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drawings/drawing4.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5.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mc:AlternateContent xmlns:mc="http://schemas.openxmlformats.org/markup-compatibility/2006">
    <mc:Choice Requires="x15">
      <x15ac:absPath xmlns:x15ac="http://schemas.microsoft.com/office/spreadsheetml/2010/11/ac" url="C:\Users\GeographicInformatio\OneDrive - Dallaglio\Documents\Daily Reports 2025\Dashboards\Monthly_Stope_Perfomance\"/>
    </mc:Choice>
  </mc:AlternateContent>
  <xr:revisionPtr revIDLastSave="0" documentId="8_{E0917B5F-377B-455F-8916-7E3A62D57B1B}" xr6:coauthVersionLast="47" xr6:coauthVersionMax="47" xr10:uidLastSave="{00000000-0000-0000-0000-000000000000}"/>
  <bookViews>
    <workbookView xWindow="-120" yWindow="-120" windowWidth="29040" windowHeight="15720" tabRatio="770" activeTab="5" xr2:uid="{93EEDD77-8F1A-4A66-A353-A86C7B3C79AA}"/>
  </bookViews>
  <sheets>
    <sheet name="SUMMARY" sheetId="6" r:id="rId1"/>
    <sheet name="Yearly Forecast" sheetId="24" r:id="rId2"/>
    <sheet name="Sheet4" sheetId="23" state="hidden" r:id="rId3"/>
    <sheet name="Rough Working" sheetId="10" state="hidden" r:id="rId4"/>
    <sheet name="Stopes PNM &amp; MNP" sheetId="27" r:id="rId5"/>
    <sheet name="STOPE SUMMARY PIVOT" sheetId="5" r:id="rId6"/>
    <sheet name="STOPE SUMMARY" sheetId="8" r:id="rId7"/>
    <sheet name="Monthly Stope Performance" sheetId="3" r:id="rId8"/>
    <sheet name="Monthly Stope Performance_HH" sheetId="18" r:id="rId9"/>
    <sheet name="July 25 D_R (Stoping)" sheetId="40" r:id="rId10"/>
    <sheet name="July 25 D_R (Tramming)" sheetId="39" r:id="rId11"/>
    <sheet name="June 25 D_R (Stoping)" sheetId="38" r:id="rId12"/>
    <sheet name="June 25 D_R (Tramming)" sheetId="37" r:id="rId13"/>
    <sheet name="Sheet2" sheetId="28" r:id="rId14"/>
    <sheet name="May 25 D_R (Stoping)" sheetId="32" r:id="rId15"/>
    <sheet name="May 25 D_R (Tramming)" sheetId="31" r:id="rId16"/>
    <sheet name="April Physicals" sheetId="33" r:id="rId17"/>
    <sheet name="April 25 D_R (Stoping)" sheetId="29" r:id="rId18"/>
    <sheet name="April 25 D_R (Tramming)" sheetId="21" r:id="rId19"/>
    <sheet name="April 25 Tramming Plan" sheetId="22" r:id="rId20"/>
    <sheet name="March 25 D_R (Tramming)" sheetId="15" r:id="rId21"/>
    <sheet name="March Physicals" sheetId="34" r:id="rId22"/>
    <sheet name="March 25 Forecast" sheetId="20" r:id="rId23"/>
    <sheet name="March UG breaking plan" sheetId="14" r:id="rId24"/>
    <sheet name="February 25 D_R (Stoping)" sheetId="9" r:id="rId25"/>
    <sheet name="February 25 D_R (Tramming)" sheetId="12" r:id="rId26"/>
    <sheet name="February Physicals" sheetId="35" r:id="rId27"/>
    <sheet name="February 25 D_R (Stoping) (2)" sheetId="13" r:id="rId28"/>
    <sheet name="January Physicals" sheetId="36" r:id="rId29"/>
    <sheet name="Assumptions" sheetId="1" r:id="rId30"/>
    <sheet name="STOPE SUMMARY (OLD)" sheetId="2" r:id="rId31"/>
    <sheet name="Pivot" sheetId="7" r:id="rId32"/>
    <sheet name="Stope History" sheetId="16" r:id="rId33"/>
    <sheet name="UG Ore Sources" sheetId="25" r:id="rId34"/>
  </sheets>
  <externalReferences>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s>
  <definedNames>
    <definedName name="_xlnm._FilterDatabase" localSheetId="10" hidden="1">'July 25 D_R (Tramming)'!#REF!</definedName>
    <definedName name="_xlnm._FilterDatabase" localSheetId="12" hidden="1">'June 25 D_R (Tramming)'!#REF!</definedName>
    <definedName name="_xlnm._FilterDatabase" localSheetId="30" hidden="1">'STOPE SUMMARY (OLD)'!$AL$1:$AL$117</definedName>
    <definedName name="_Order1" hidden="1">255</definedName>
    <definedName name="_Order2" hidden="1">0</definedName>
    <definedName name="current_month" localSheetId="9">'[1]Tonnage Recon'!#REF!</definedName>
    <definedName name="current_month" localSheetId="10">'[1]Tonnage Recon'!#REF!</definedName>
    <definedName name="current_month">'[2]Tonnage Recon'!#REF!</definedName>
    <definedName name="Months_Ore" localSheetId="9">#REF!</definedName>
    <definedName name="Months_Ore" localSheetId="10">#REF!</definedName>
    <definedName name="Months_Ore">#REF!</definedName>
    <definedName name="Ore_Descriptors" localSheetId="9">#REF!</definedName>
    <definedName name="Ore_Descriptors" localSheetId="10">#REF!</definedName>
    <definedName name="Ore_Descriptors">#REF!</definedName>
    <definedName name="Stockpiles" localSheetId="9">#REF!</definedName>
    <definedName name="Stockpiles" localSheetId="10">#REF!</definedName>
    <definedName name="Stockpiles">#REF!</definedName>
    <definedName name="wrn.EXEC_1." localSheetId="9" hidden="1">{"EXEC",#N/A,TRUE,"Header";"EXEC_1",#N/A,TRUE,"Summary_1"}</definedName>
    <definedName name="wrn.EXEC_1." localSheetId="10" hidden="1">{"EXEC",#N/A,TRUE,"Header";"EXEC_1",#N/A,TRUE,"Summary_1"}</definedName>
    <definedName name="wrn.EXEC_1." localSheetId="11" hidden="1">{"EXEC",#N/A,TRUE,"Header";"EXEC_1",#N/A,TRUE,"Summary_1"}</definedName>
    <definedName name="wrn.EXEC_1." hidden="1">{"EXEC",#N/A,TRUE,"Header";"EXEC_1",#N/A,TRUE,"Summary_1"}</definedName>
    <definedName name="wrn.EXEC_2." localSheetId="9" hidden="1">{"EXEC",#N/A,FALSE,"Header";"EXEC_2",#N/A,FALSE,"Summary_2"}</definedName>
    <definedName name="wrn.EXEC_2." localSheetId="10" hidden="1">{"EXEC",#N/A,FALSE,"Header";"EXEC_2",#N/A,FALSE,"Summary_2"}</definedName>
    <definedName name="wrn.EXEC_2." localSheetId="11" hidden="1">{"EXEC",#N/A,FALSE,"Header";"EXEC_2",#N/A,FALSE,"Summary_2"}</definedName>
    <definedName name="wrn.EXEC_2." hidden="1">{"EXEC",#N/A,FALSE,"Header";"EXEC_2",#N/A,FALSE,"Summary_2"}</definedName>
    <definedName name="wrn.EXEC_3." localSheetId="9" hidden="1">{"EXEC",#N/A,FALSE,"Header";"EXEC_3",#N/A,FALSE,"Summary_3"}</definedName>
    <definedName name="wrn.EXEC_3." localSheetId="10" hidden="1">{"EXEC",#N/A,FALSE,"Header";"EXEC_3",#N/A,FALSE,"Summary_3"}</definedName>
    <definedName name="wrn.EXEC_3." localSheetId="11" hidden="1">{"EXEC",#N/A,FALSE,"Header";"EXEC_3",#N/A,FALSE,"Summary_3"}</definedName>
    <definedName name="wrn.EXEC_3." hidden="1">{"EXEC",#N/A,FALSE,"Header";"EXEC_3",#N/A,FALSE,"Summary_3"}</definedName>
    <definedName name="wrn.EXEC_4." localSheetId="9" hidden="1">{"EXEC",#N/A,FALSE,"Header";"EXEC_4",#N/A,FALSE,"Summary_4"}</definedName>
    <definedName name="wrn.EXEC_4." localSheetId="10" hidden="1">{"EXEC",#N/A,FALSE,"Header";"EXEC_4",#N/A,FALSE,"Summary_4"}</definedName>
    <definedName name="wrn.EXEC_4." localSheetId="11" hidden="1">{"EXEC",#N/A,FALSE,"Header";"EXEC_4",#N/A,FALSE,"Summary_4"}</definedName>
    <definedName name="wrn.EXEC_4." hidden="1">{"EXEC",#N/A,FALSE,"Header";"EXEC_4",#N/A,FALSE,"Summary_4"}</definedName>
  </definedNames>
  <calcPr calcId="191028"/>
  <pivotCaches>
    <pivotCache cacheId="0" r:id="rId5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839" i="5" l="1"/>
  <c r="J1839" i="5"/>
  <c r="K1804" i="5"/>
  <c r="J1804" i="5"/>
  <c r="K1794" i="5"/>
  <c r="J1794" i="5"/>
  <c r="H1873" i="5" l="1"/>
  <c r="G1873" i="5"/>
  <c r="H1872" i="5"/>
  <c r="G1872" i="5"/>
  <c r="H1871" i="5"/>
  <c r="G1871" i="5"/>
  <c r="H1867" i="5"/>
  <c r="G1867" i="5"/>
  <c r="H1866" i="5"/>
  <c r="G1866" i="5"/>
  <c r="H1864" i="5"/>
  <c r="G1864" i="5"/>
  <c r="H1853" i="5"/>
  <c r="G1853" i="5"/>
  <c r="H1852" i="5"/>
  <c r="G1852" i="5"/>
  <c r="H1843" i="5"/>
  <c r="G1843" i="5"/>
  <c r="H1840" i="5"/>
  <c r="G1840" i="5"/>
  <c r="H1839" i="5"/>
  <c r="G1839" i="5"/>
  <c r="H1804" i="5"/>
  <c r="G1804" i="5"/>
  <c r="H1794" i="5"/>
  <c r="G1794" i="5"/>
  <c r="K1747" i="5"/>
  <c r="J1747" i="5"/>
  <c r="K1745" i="5"/>
  <c r="J1745" i="5"/>
  <c r="K1744" i="5"/>
  <c r="J1744" i="5"/>
  <c r="K1743" i="5"/>
  <c r="J1743"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O1737" i="5" s="1"/>
  <c r="L1738" i="5"/>
  <c r="O1738" i="5" s="1"/>
  <c r="L1739" i="5"/>
  <c r="O1739" i="5" s="1"/>
  <c r="L1740" i="5"/>
  <c r="O1740" i="5" s="1"/>
  <c r="L1741" i="5"/>
  <c r="O1741" i="5" s="1"/>
  <c r="L1742" i="5"/>
  <c r="O1742" i="5" s="1"/>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712" i="5"/>
  <c r="L1692" i="5"/>
  <c r="L1693" i="5"/>
  <c r="L1694" i="5"/>
  <c r="L1695" i="5"/>
  <c r="L1696" i="5"/>
  <c r="L1697" i="5"/>
  <c r="L1698" i="5"/>
  <c r="L1699" i="5"/>
  <c r="L1700" i="5"/>
  <c r="L1701" i="5"/>
  <c r="L1702" i="5"/>
  <c r="L1703" i="5"/>
  <c r="L1704" i="5"/>
  <c r="L1705" i="5"/>
  <c r="L1706" i="5"/>
  <c r="L1707" i="5"/>
  <c r="L1708" i="5"/>
  <c r="L1709" i="5"/>
  <c r="L1710" i="5"/>
  <c r="L1711" i="5"/>
  <c r="N1737" i="5"/>
  <c r="N1738" i="5"/>
  <c r="N1739" i="5"/>
  <c r="N1740" i="5"/>
  <c r="N1741" i="5"/>
  <c r="N1742" i="5"/>
  <c r="K1742" i="5"/>
  <c r="J1742" i="5"/>
  <c r="K1736" i="5"/>
  <c r="J1736" i="5"/>
  <c r="K1725" i="5"/>
  <c r="J1725" i="5"/>
  <c r="K1723" i="5"/>
  <c r="J1723" i="5"/>
  <c r="K1715" i="5"/>
  <c r="J1715" i="5"/>
  <c r="K1711" i="5"/>
  <c r="J1711" i="5"/>
  <c r="K1677" i="5"/>
  <c r="J1677" i="5"/>
  <c r="K1676" i="5"/>
  <c r="J1676" i="5"/>
  <c r="H1747" i="5" l="1"/>
  <c r="G1747" i="5"/>
  <c r="H1742" i="5"/>
  <c r="G1742" i="5"/>
  <c r="H1745" i="5"/>
  <c r="G1745" i="5"/>
  <c r="H1744" i="5"/>
  <c r="G1744" i="5"/>
  <c r="H1743" i="5"/>
  <c r="G1743" i="5"/>
  <c r="H1736" i="5"/>
  <c r="G1736" i="5"/>
  <c r="H1725" i="5"/>
  <c r="G1725" i="5"/>
  <c r="H1723" i="5"/>
  <c r="G1723" i="5"/>
  <c r="H1715" i="5"/>
  <c r="G1715" i="5"/>
  <c r="H1711" i="5"/>
  <c r="G1711" i="5"/>
  <c r="H1677" i="5"/>
  <c r="G1677" i="5"/>
  <c r="H1676" i="5"/>
  <c r="G1676" i="5"/>
  <c r="K1616" i="5" l="1"/>
  <c r="J1616" i="5"/>
  <c r="K1615" i="5"/>
  <c r="J1615" i="5"/>
  <c r="K1614" i="5"/>
  <c r="J1614" i="5"/>
  <c r="K1609" i="5"/>
  <c r="J1609" i="5"/>
  <c r="K1608" i="5"/>
  <c r="J1608" i="5"/>
  <c r="K1597" i="5"/>
  <c r="J1597" i="5"/>
  <c r="K1595" i="5"/>
  <c r="J1595" i="5"/>
  <c r="K1590" i="5"/>
  <c r="J1590" i="5"/>
  <c r="K1587" i="5"/>
  <c r="J1587" i="5"/>
  <c r="K1583" i="5"/>
  <c r="J1583" i="5"/>
  <c r="H1615" i="5" l="1"/>
  <c r="G1615" i="5"/>
  <c r="H1614" i="5"/>
  <c r="G1614" i="5"/>
  <c r="H1616" i="5"/>
  <c r="G1616" i="5"/>
  <c r="H1609" i="5"/>
  <c r="G1609" i="5"/>
  <c r="H1608" i="5"/>
  <c r="G1608" i="5"/>
  <c r="H1597" i="5"/>
  <c r="G1597" i="5"/>
  <c r="H1595" i="5"/>
  <c r="G1595" i="5"/>
  <c r="H1590" i="5"/>
  <c r="G1590" i="5"/>
  <c r="H1587" i="5"/>
  <c r="G1587" i="5"/>
  <c r="H1583" i="5"/>
  <c r="G1583" i="5"/>
  <c r="V28" i="6" l="1"/>
  <c r="X28" i="6"/>
  <c r="Y28" i="6"/>
  <c r="Z28" i="6"/>
  <c r="V29" i="6"/>
  <c r="V30" i="6"/>
  <c r="Y30" i="6"/>
  <c r="U29" i="6"/>
  <c r="U30" i="6"/>
  <c r="H30" i="6"/>
  <c r="Z30" i="6" s="1"/>
  <c r="G30" i="6"/>
  <c r="F30" i="6"/>
  <c r="X30" i="6" s="1"/>
  <c r="E30" i="6"/>
  <c r="W30" i="6" s="1"/>
  <c r="D30" i="6"/>
  <c r="C30" i="6"/>
  <c r="H29" i="6"/>
  <c r="Z29" i="6" s="1"/>
  <c r="G29" i="6"/>
  <c r="Y29" i="6" s="1"/>
  <c r="F29" i="6"/>
  <c r="X29" i="6" s="1"/>
  <c r="E29" i="6"/>
  <c r="W29" i="6" s="1"/>
  <c r="D29" i="6"/>
  <c r="C29" i="6"/>
  <c r="H28" i="6"/>
  <c r="G28" i="6"/>
  <c r="F28" i="6"/>
  <c r="E28" i="6"/>
  <c r="W28" i="6" s="1"/>
  <c r="D28" i="6"/>
  <c r="C28" i="6"/>
  <c r="U28" i="6" s="1"/>
  <c r="I30" i="6"/>
  <c r="I29" i="6"/>
  <c r="I28" i="6"/>
  <c r="D116" i="3"/>
  <c r="F116" i="3"/>
  <c r="H116" i="3"/>
  <c r="F130" i="3"/>
  <c r="E128" i="3"/>
  <c r="G127" i="3"/>
  <c r="E127" i="3"/>
  <c r="C127" i="3"/>
  <c r="E126" i="3"/>
  <c r="E125" i="3"/>
  <c r="E124" i="3"/>
  <c r="H132" i="3"/>
  <c r="G132" i="3"/>
  <c r="D132" i="3"/>
  <c r="E121" i="3"/>
  <c r="C121" i="3"/>
  <c r="C132" i="3" s="1"/>
  <c r="E132" i="3" s="1"/>
  <c r="E118" i="3"/>
  <c r="H111" i="3"/>
  <c r="G111" i="3"/>
  <c r="D111" i="3"/>
  <c r="F111" i="3" s="1"/>
  <c r="C111" i="3"/>
  <c r="E111" i="3" s="1"/>
  <c r="C77" i="3"/>
  <c r="F132" i="3" l="1"/>
  <c r="AL143" i="40"/>
  <c r="AK143" i="40"/>
  <c r="AJ143" i="40"/>
  <c r="AI143" i="40"/>
  <c r="AH143" i="40"/>
  <c r="AG143" i="40"/>
  <c r="AF143" i="40"/>
  <c r="AE143" i="40"/>
  <c r="AD143" i="40"/>
  <c r="AC143" i="40"/>
  <c r="AB143" i="40"/>
  <c r="AA143" i="40"/>
  <c r="Z143" i="40"/>
  <c r="Y143" i="40"/>
  <c r="X143" i="40"/>
  <c r="W143" i="40"/>
  <c r="V143" i="40"/>
  <c r="U143" i="40"/>
  <c r="T143" i="40"/>
  <c r="S143" i="40"/>
  <c r="R143" i="40"/>
  <c r="Q143" i="40"/>
  <c r="P143" i="40"/>
  <c r="O143" i="40"/>
  <c r="N143" i="40"/>
  <c r="M143" i="40"/>
  <c r="L143" i="40"/>
  <c r="K143" i="40"/>
  <c r="J143" i="40"/>
  <c r="I143" i="40"/>
  <c r="H143" i="40"/>
  <c r="AL142" i="40"/>
  <c r="AK142" i="40"/>
  <c r="AJ142" i="40"/>
  <c r="AI142" i="40"/>
  <c r="AH142" i="40"/>
  <c r="AG142" i="40"/>
  <c r="AF142" i="40"/>
  <c r="AE142" i="40"/>
  <c r="AD142" i="40"/>
  <c r="AC142" i="40"/>
  <c r="AB142" i="40"/>
  <c r="AA142" i="40"/>
  <c r="Z142" i="40"/>
  <c r="Y142" i="40"/>
  <c r="X142" i="40"/>
  <c r="W142" i="40"/>
  <c r="V142" i="40"/>
  <c r="U142" i="40"/>
  <c r="T142" i="40"/>
  <c r="S142" i="40"/>
  <c r="R142" i="40"/>
  <c r="Q142" i="40"/>
  <c r="P142" i="40"/>
  <c r="O142" i="40"/>
  <c r="N142" i="40"/>
  <c r="M142" i="40"/>
  <c r="L142" i="40"/>
  <c r="K142" i="40"/>
  <c r="J142" i="40"/>
  <c r="I142" i="40"/>
  <c r="H142" i="40"/>
  <c r="AL136" i="40"/>
  <c r="AK136" i="40"/>
  <c r="AJ136" i="40"/>
  <c r="AI136" i="40"/>
  <c r="AH136" i="40"/>
  <c r="AG136" i="40"/>
  <c r="AF136" i="40"/>
  <c r="AE136" i="40"/>
  <c r="AD136" i="40"/>
  <c r="AC136" i="40"/>
  <c r="AB136" i="40"/>
  <c r="AA136" i="40"/>
  <c r="Z136" i="40"/>
  <c r="Y136" i="40"/>
  <c r="X136" i="40"/>
  <c r="T136" i="40"/>
  <c r="S136" i="40"/>
  <c r="R136" i="40"/>
  <c r="Q136" i="40"/>
  <c r="P136" i="40"/>
  <c r="O136" i="40"/>
  <c r="N136" i="40"/>
  <c r="J136" i="40"/>
  <c r="H136" i="40"/>
  <c r="AL135" i="40"/>
  <c r="AK135" i="40"/>
  <c r="AD135" i="40"/>
  <c r="AC135" i="40"/>
  <c r="AB135" i="40"/>
  <c r="R135" i="40"/>
  <c r="Q135" i="40"/>
  <c r="P135" i="40"/>
  <c r="O135" i="40"/>
  <c r="H135" i="40"/>
  <c r="AL133" i="40"/>
  <c r="AK133" i="40"/>
  <c r="AJ133" i="40"/>
  <c r="AJ135" i="40" s="1"/>
  <c r="AI133" i="40"/>
  <c r="AI135" i="40" s="1"/>
  <c r="AH133" i="40"/>
  <c r="AH135" i="40" s="1"/>
  <c r="AG133" i="40"/>
  <c r="AG135" i="40" s="1"/>
  <c r="AF133" i="40"/>
  <c r="AF135" i="40" s="1"/>
  <c r="AE133" i="40"/>
  <c r="AE135" i="40" s="1"/>
  <c r="AD133" i="40"/>
  <c r="AC133" i="40"/>
  <c r="AB133" i="40"/>
  <c r="AA133" i="40"/>
  <c r="Z133" i="40"/>
  <c r="Z135" i="40" s="1"/>
  <c r="Y133" i="40"/>
  <c r="Y135" i="40" s="1"/>
  <c r="X133" i="40"/>
  <c r="X135" i="40" s="1"/>
  <c r="W133" i="40"/>
  <c r="W135" i="40" s="1"/>
  <c r="V133" i="40"/>
  <c r="V135" i="40" s="1"/>
  <c r="U133" i="40"/>
  <c r="U135" i="40" s="1"/>
  <c r="T133" i="40"/>
  <c r="T135" i="40" s="1"/>
  <c r="S133" i="40"/>
  <c r="S135" i="40" s="1"/>
  <c r="R133" i="40"/>
  <c r="Q133" i="40"/>
  <c r="P133" i="40"/>
  <c r="O133" i="40"/>
  <c r="N133" i="40"/>
  <c r="M133" i="40"/>
  <c r="L133" i="40"/>
  <c r="K133" i="40"/>
  <c r="J133" i="40"/>
  <c r="J135" i="40" s="1"/>
  <c r="I133" i="40"/>
  <c r="H133" i="40"/>
  <c r="W131" i="40"/>
  <c r="W136" i="40" s="1"/>
  <c r="V131" i="40"/>
  <c r="V136" i="40" s="1"/>
  <c r="U131" i="40"/>
  <c r="U136" i="40" s="1"/>
  <c r="T131" i="40"/>
  <c r="M131" i="40"/>
  <c r="M136" i="40" s="1"/>
  <c r="L131" i="40"/>
  <c r="L136" i="40" s="1"/>
  <c r="K131" i="40"/>
  <c r="I131" i="40"/>
  <c r="I11" i="40" s="1"/>
  <c r="AL130" i="40"/>
  <c r="AK130" i="40"/>
  <c r="AJ130" i="40"/>
  <c r="AI130" i="40"/>
  <c r="AH130" i="40"/>
  <c r="AG130" i="40"/>
  <c r="AF130" i="40"/>
  <c r="AE130" i="40"/>
  <c r="AD130" i="40"/>
  <c r="AC130" i="40"/>
  <c r="AB130" i="40"/>
  <c r="AA130" i="40"/>
  <c r="AA135" i="40" s="1"/>
  <c r="Z130" i="40"/>
  <c r="Y130" i="40"/>
  <c r="X130" i="40"/>
  <c r="W130" i="40"/>
  <c r="V130" i="40"/>
  <c r="U130" i="40"/>
  <c r="T130" i="40"/>
  <c r="S130" i="40"/>
  <c r="R130" i="40"/>
  <c r="Q130" i="40"/>
  <c r="P130" i="40"/>
  <c r="O130" i="40"/>
  <c r="N130" i="40"/>
  <c r="M130" i="40"/>
  <c r="L130" i="40"/>
  <c r="K130" i="40"/>
  <c r="K135" i="40" s="1"/>
  <c r="J130" i="40"/>
  <c r="I130" i="40"/>
  <c r="I135" i="40" s="1"/>
  <c r="H130" i="40"/>
  <c r="C130" i="40"/>
  <c r="AL129" i="40"/>
  <c r="AK129" i="40"/>
  <c r="AJ129" i="40"/>
  <c r="AI129" i="40"/>
  <c r="AH129" i="40"/>
  <c r="AG129" i="40"/>
  <c r="AF129" i="40"/>
  <c r="AE129" i="40"/>
  <c r="AD129" i="40"/>
  <c r="AC129" i="40"/>
  <c r="AB129" i="40"/>
  <c r="AA129" i="40"/>
  <c r="Z129" i="40"/>
  <c r="Y129" i="40"/>
  <c r="X129" i="40"/>
  <c r="W129" i="40"/>
  <c r="V129" i="40"/>
  <c r="U129" i="40"/>
  <c r="T129" i="40"/>
  <c r="S129" i="40"/>
  <c r="R129" i="40"/>
  <c r="Q129" i="40"/>
  <c r="P129" i="40"/>
  <c r="O129" i="40"/>
  <c r="N129" i="40"/>
  <c r="M129" i="40"/>
  <c r="L129" i="40"/>
  <c r="K129" i="40"/>
  <c r="J129" i="40"/>
  <c r="I129" i="40"/>
  <c r="H129" i="40"/>
  <c r="AF128" i="40"/>
  <c r="AE128" i="40"/>
  <c r="AD128" i="40"/>
  <c r="AC128" i="40"/>
  <c r="V128" i="40"/>
  <c r="U128" i="40"/>
  <c r="T128" i="40"/>
  <c r="S128" i="40"/>
  <c r="R128" i="40"/>
  <c r="Q128" i="40"/>
  <c r="P128" i="40"/>
  <c r="K128" i="40"/>
  <c r="J128" i="40"/>
  <c r="AL126" i="40"/>
  <c r="AK126" i="40"/>
  <c r="AJ126" i="40"/>
  <c r="AI126" i="40"/>
  <c r="AH126" i="40"/>
  <c r="AH128" i="40" s="1"/>
  <c r="AG126" i="40"/>
  <c r="AG128" i="40" s="1"/>
  <c r="AF126" i="40"/>
  <c r="AE126" i="40"/>
  <c r="AD126" i="40"/>
  <c r="AC126" i="40"/>
  <c r="AB126" i="40"/>
  <c r="AA126" i="40"/>
  <c r="Z126" i="40"/>
  <c r="Y126" i="40"/>
  <c r="Y128" i="40" s="1"/>
  <c r="X126" i="40"/>
  <c r="X128" i="40" s="1"/>
  <c r="W126" i="40"/>
  <c r="W128" i="40" s="1"/>
  <c r="V126" i="40"/>
  <c r="U126" i="40"/>
  <c r="T126" i="40"/>
  <c r="S126" i="40"/>
  <c r="R126" i="40"/>
  <c r="Q126" i="40"/>
  <c r="P126" i="40"/>
  <c r="O126" i="40"/>
  <c r="O128" i="40" s="1"/>
  <c r="N126" i="40"/>
  <c r="N128" i="40" s="1"/>
  <c r="M126" i="40"/>
  <c r="M128" i="40" s="1"/>
  <c r="L126" i="40"/>
  <c r="L128" i="40" s="1"/>
  <c r="K126" i="40"/>
  <c r="J126" i="40"/>
  <c r="I126" i="40"/>
  <c r="H126" i="40"/>
  <c r="J124" i="40"/>
  <c r="F124" i="40"/>
  <c r="G124" i="40" s="1"/>
  <c r="AL123" i="40"/>
  <c r="AK123" i="40"/>
  <c r="AJ123" i="40"/>
  <c r="AI123" i="40"/>
  <c r="AH123" i="40"/>
  <c r="AG123" i="40"/>
  <c r="AF123" i="40"/>
  <c r="AE123" i="40"/>
  <c r="AD123" i="40"/>
  <c r="AC123" i="40"/>
  <c r="AB123" i="40"/>
  <c r="AA123" i="40"/>
  <c r="Z123" i="40"/>
  <c r="Y123" i="40"/>
  <c r="X123" i="40"/>
  <c r="W123" i="40"/>
  <c r="V123" i="40"/>
  <c r="U123" i="40"/>
  <c r="T123" i="40"/>
  <c r="S123" i="40"/>
  <c r="R123" i="40"/>
  <c r="Q123" i="40"/>
  <c r="P123" i="40"/>
  <c r="O123" i="40"/>
  <c r="N123" i="40"/>
  <c r="F123" i="40" s="1"/>
  <c r="M123" i="40"/>
  <c r="L123" i="40"/>
  <c r="K123" i="40"/>
  <c r="J123" i="40"/>
  <c r="I123" i="40"/>
  <c r="I128" i="40" s="1"/>
  <c r="H123" i="40"/>
  <c r="C123" i="40"/>
  <c r="AL122" i="40"/>
  <c r="AK122" i="40"/>
  <c r="AJ122" i="40"/>
  <c r="AI122" i="40"/>
  <c r="AH122" i="40"/>
  <c r="AG122" i="40"/>
  <c r="AF122" i="40"/>
  <c r="AE122" i="40"/>
  <c r="AD122" i="40"/>
  <c r="AC122" i="40"/>
  <c r="AB122" i="40"/>
  <c r="AA122" i="40"/>
  <c r="Z122" i="40"/>
  <c r="Y122" i="40"/>
  <c r="X122" i="40"/>
  <c r="W122" i="40"/>
  <c r="V122" i="40"/>
  <c r="U122" i="40"/>
  <c r="T122" i="40"/>
  <c r="S122" i="40"/>
  <c r="R122" i="40"/>
  <c r="Q122" i="40"/>
  <c r="P122" i="40"/>
  <c r="O122" i="40"/>
  <c r="F122" i="40" s="1"/>
  <c r="N122" i="40"/>
  <c r="M122" i="40"/>
  <c r="L122" i="40"/>
  <c r="K122" i="40"/>
  <c r="J122" i="40"/>
  <c r="I122" i="40"/>
  <c r="H122" i="40"/>
  <c r="AL121" i="40"/>
  <c r="AK121" i="40"/>
  <c r="AE121" i="40"/>
  <c r="AD121" i="40"/>
  <c r="AC121" i="40"/>
  <c r="AB121" i="40"/>
  <c r="AA121" i="40"/>
  <c r="Z121" i="40"/>
  <c r="Y121" i="40"/>
  <c r="X121" i="40"/>
  <c r="W121" i="40"/>
  <c r="V121" i="40"/>
  <c r="Q121" i="40"/>
  <c r="P121" i="40"/>
  <c r="K121" i="40"/>
  <c r="J121" i="40"/>
  <c r="I121" i="40"/>
  <c r="AL119" i="40"/>
  <c r="AK119" i="40"/>
  <c r="AJ119" i="40"/>
  <c r="AI119" i="40"/>
  <c r="AH119" i="40"/>
  <c r="AH121" i="40" s="1"/>
  <c r="AG119" i="40"/>
  <c r="AG121" i="40" s="1"/>
  <c r="AF119" i="40"/>
  <c r="AF121" i="40" s="1"/>
  <c r="AE119" i="40"/>
  <c r="AD119" i="40"/>
  <c r="AC119" i="40"/>
  <c r="AB119" i="40"/>
  <c r="AA119" i="40"/>
  <c r="Z119" i="40"/>
  <c r="Y119" i="40"/>
  <c r="X119" i="40"/>
  <c r="W119" i="40"/>
  <c r="V119" i="40"/>
  <c r="U119" i="40"/>
  <c r="U121" i="40" s="1"/>
  <c r="T119" i="40"/>
  <c r="T121" i="40" s="1"/>
  <c r="S119" i="40"/>
  <c r="S121" i="40" s="1"/>
  <c r="R119" i="40"/>
  <c r="R121" i="40" s="1"/>
  <c r="Q119" i="40"/>
  <c r="P119" i="40"/>
  <c r="O119" i="40"/>
  <c r="N119" i="40"/>
  <c r="N121" i="40" s="1"/>
  <c r="M119" i="40"/>
  <c r="M121" i="40" s="1"/>
  <c r="L119" i="40"/>
  <c r="L121" i="40" s="1"/>
  <c r="K119" i="40"/>
  <c r="J119" i="40"/>
  <c r="I119" i="40"/>
  <c r="H119" i="40"/>
  <c r="H121" i="40" s="1"/>
  <c r="AL116" i="40"/>
  <c r="AK116" i="40"/>
  <c r="AJ116" i="40"/>
  <c r="AJ121" i="40" s="1"/>
  <c r="AI116" i="40"/>
  <c r="AH116" i="40"/>
  <c r="AG116" i="40"/>
  <c r="AF116" i="40"/>
  <c r="AE116" i="40"/>
  <c r="AD116" i="40"/>
  <c r="AC116" i="40"/>
  <c r="AB116" i="40"/>
  <c r="AA116" i="40"/>
  <c r="Z116" i="40"/>
  <c r="Y116" i="40"/>
  <c r="X116" i="40"/>
  <c r="W116" i="40"/>
  <c r="V116" i="40"/>
  <c r="U116" i="40"/>
  <c r="T116" i="40"/>
  <c r="S116" i="40"/>
  <c r="R116" i="40"/>
  <c r="Q116" i="40"/>
  <c r="P116" i="40"/>
  <c r="O116" i="40"/>
  <c r="N116" i="40"/>
  <c r="M116" i="40"/>
  <c r="L116" i="40"/>
  <c r="K116" i="40"/>
  <c r="J116" i="40"/>
  <c r="I116" i="40"/>
  <c r="H116" i="40"/>
  <c r="C116" i="40"/>
  <c r="AL115" i="40"/>
  <c r="AK115" i="40"/>
  <c r="AJ115" i="40"/>
  <c r="AI115" i="40"/>
  <c r="AH115" i="40"/>
  <c r="AG115" i="40"/>
  <c r="AF115" i="40"/>
  <c r="AE115" i="40"/>
  <c r="AD115" i="40"/>
  <c r="AC115" i="40"/>
  <c r="AB115" i="40"/>
  <c r="AA115" i="40"/>
  <c r="Z115" i="40"/>
  <c r="Y115" i="40"/>
  <c r="X115" i="40"/>
  <c r="W115" i="40"/>
  <c r="V115" i="40"/>
  <c r="U115" i="40"/>
  <c r="T115" i="40"/>
  <c r="S115" i="40"/>
  <c r="R115" i="40"/>
  <c r="Q115" i="40"/>
  <c r="P115" i="40"/>
  <c r="O115" i="40"/>
  <c r="N115" i="40"/>
  <c r="M115" i="40"/>
  <c r="K115" i="40"/>
  <c r="J115" i="40"/>
  <c r="I115" i="40"/>
  <c r="H115" i="40"/>
  <c r="AK114" i="40"/>
  <c r="AJ114" i="40"/>
  <c r="AI114" i="40"/>
  <c r="AH114" i="40"/>
  <c r="AG114" i="40"/>
  <c r="Z114" i="40"/>
  <c r="Y114" i="40"/>
  <c r="X114" i="40"/>
  <c r="W114" i="40"/>
  <c r="V114" i="40"/>
  <c r="P114" i="40"/>
  <c r="N114" i="40"/>
  <c r="L114" i="40"/>
  <c r="AL112" i="40"/>
  <c r="AL114" i="40" s="1"/>
  <c r="AK112" i="40"/>
  <c r="AJ112" i="40"/>
  <c r="AI112" i="40"/>
  <c r="AH112" i="40"/>
  <c r="AG112" i="40"/>
  <c r="AF112" i="40"/>
  <c r="AF114" i="40" s="1"/>
  <c r="AE112" i="40"/>
  <c r="AD112" i="40"/>
  <c r="AC112" i="40"/>
  <c r="AC114" i="40" s="1"/>
  <c r="AB112" i="40"/>
  <c r="AB114" i="40" s="1"/>
  <c r="AA112" i="40"/>
  <c r="AA114" i="40" s="1"/>
  <c r="Z112" i="40"/>
  <c r="Y112" i="40"/>
  <c r="X112" i="40"/>
  <c r="W112" i="40"/>
  <c r="V112" i="40"/>
  <c r="U112" i="40"/>
  <c r="T112" i="40"/>
  <c r="S112" i="40"/>
  <c r="R112" i="40"/>
  <c r="Q112" i="40"/>
  <c r="P112" i="40"/>
  <c r="O112" i="40"/>
  <c r="N112" i="40"/>
  <c r="M112" i="40"/>
  <c r="M114" i="40" s="1"/>
  <c r="L112" i="40"/>
  <c r="K112" i="40"/>
  <c r="J112" i="40"/>
  <c r="I112" i="40"/>
  <c r="H112" i="40"/>
  <c r="H114" i="40" s="1"/>
  <c r="L110" i="40"/>
  <c r="F110" i="40" s="1"/>
  <c r="G110" i="40" s="1"/>
  <c r="AL109" i="40"/>
  <c r="AK109" i="40"/>
  <c r="AJ109" i="40"/>
  <c r="AI109" i="40"/>
  <c r="AH109" i="40"/>
  <c r="AG109" i="40"/>
  <c r="AF109" i="40"/>
  <c r="AE109" i="40"/>
  <c r="AD109" i="40"/>
  <c r="AC109" i="40"/>
  <c r="AB109" i="40"/>
  <c r="AA109" i="40"/>
  <c r="Z109" i="40"/>
  <c r="Y109" i="40"/>
  <c r="X109" i="40"/>
  <c r="W109" i="40"/>
  <c r="V109" i="40"/>
  <c r="U109" i="40"/>
  <c r="T109" i="40"/>
  <c r="S109" i="40"/>
  <c r="R109" i="40"/>
  <c r="Q109" i="40"/>
  <c r="Q114" i="40" s="1"/>
  <c r="P109" i="40"/>
  <c r="O109" i="40"/>
  <c r="O114" i="40" s="1"/>
  <c r="N109" i="40"/>
  <c r="M109" i="40"/>
  <c r="L109" i="40"/>
  <c r="K109" i="40"/>
  <c r="K114" i="40" s="1"/>
  <c r="J109" i="40"/>
  <c r="J114" i="40" s="1"/>
  <c r="I109" i="40"/>
  <c r="F109" i="40" s="1"/>
  <c r="H109" i="40"/>
  <c r="C109" i="40"/>
  <c r="AL108" i="40"/>
  <c r="AK108" i="40"/>
  <c r="AJ108" i="40"/>
  <c r="AI108" i="40"/>
  <c r="AH108" i="40"/>
  <c r="AG108" i="40"/>
  <c r="AF108" i="40"/>
  <c r="AE108" i="40"/>
  <c r="AD108" i="40"/>
  <c r="AC108" i="40"/>
  <c r="AB108" i="40"/>
  <c r="AA108" i="40"/>
  <c r="Z108" i="40"/>
  <c r="Y108" i="40"/>
  <c r="X108" i="40"/>
  <c r="W108" i="40"/>
  <c r="V108" i="40"/>
  <c r="U108" i="40"/>
  <c r="T108" i="40"/>
  <c r="S108" i="40"/>
  <c r="R108" i="40"/>
  <c r="Q108" i="40"/>
  <c r="P108" i="40"/>
  <c r="O108" i="40"/>
  <c r="N108" i="40"/>
  <c r="M108" i="40"/>
  <c r="L108" i="40"/>
  <c r="K108" i="40"/>
  <c r="J108" i="40"/>
  <c r="F108" i="40" s="1"/>
  <c r="I108" i="40"/>
  <c r="H108" i="40"/>
  <c r="AK107" i="40"/>
  <c r="AJ107" i="40"/>
  <c r="AI107" i="40"/>
  <c r="AH107" i="40"/>
  <c r="AD107" i="40"/>
  <c r="AC107" i="40"/>
  <c r="T107" i="40"/>
  <c r="S107" i="40"/>
  <c r="R107" i="40"/>
  <c r="L107" i="40"/>
  <c r="K107" i="40"/>
  <c r="AL105" i="40"/>
  <c r="AL107" i="40" s="1"/>
  <c r="AK105" i="40"/>
  <c r="AJ105" i="40"/>
  <c r="AI105" i="40"/>
  <c r="AH105" i="40"/>
  <c r="AG105" i="40"/>
  <c r="AF105" i="40"/>
  <c r="AF107" i="40" s="1"/>
  <c r="AE105" i="40"/>
  <c r="AE107" i="40" s="1"/>
  <c r="AD105" i="40"/>
  <c r="AC105" i="40"/>
  <c r="AB105" i="40"/>
  <c r="AB107" i="40" s="1"/>
  <c r="AA105" i="40"/>
  <c r="AA107" i="40" s="1"/>
  <c r="Z105" i="40"/>
  <c r="Y105" i="40"/>
  <c r="X105" i="40"/>
  <c r="W105" i="40"/>
  <c r="V105" i="40"/>
  <c r="U105" i="40"/>
  <c r="T105" i="40"/>
  <c r="S105" i="40"/>
  <c r="R105" i="40"/>
  <c r="Q105" i="40"/>
  <c r="P105" i="40"/>
  <c r="O105" i="40"/>
  <c r="N105" i="40"/>
  <c r="N107" i="40" s="1"/>
  <c r="M105" i="40"/>
  <c r="M107" i="40" s="1"/>
  <c r="L105" i="40"/>
  <c r="K105" i="40"/>
  <c r="J105" i="40"/>
  <c r="J107" i="40" s="1"/>
  <c r="I105" i="40"/>
  <c r="I107" i="40" s="1"/>
  <c r="H105" i="40"/>
  <c r="H107" i="40" s="1"/>
  <c r="F103" i="40"/>
  <c r="AL102" i="40"/>
  <c r="AK102" i="40"/>
  <c r="AJ102" i="40"/>
  <c r="AI102" i="40"/>
  <c r="AH102" i="40"/>
  <c r="AG102" i="40"/>
  <c r="AG107" i="40" s="1"/>
  <c r="AF102" i="40"/>
  <c r="AE102" i="40"/>
  <c r="AD102" i="40"/>
  <c r="AC102" i="40"/>
  <c r="AB102" i="40"/>
  <c r="AA102" i="40"/>
  <c r="Z102" i="40"/>
  <c r="Y102" i="40"/>
  <c r="X102" i="40"/>
  <c r="X107" i="40" s="1"/>
  <c r="W102" i="40"/>
  <c r="W107" i="40" s="1"/>
  <c r="V102" i="40"/>
  <c r="V107" i="40" s="1"/>
  <c r="U102" i="40"/>
  <c r="U107" i="40" s="1"/>
  <c r="T102" i="40"/>
  <c r="S102" i="40"/>
  <c r="R102" i="40"/>
  <c r="Q102" i="40"/>
  <c r="Q107" i="40" s="1"/>
  <c r="P102" i="40"/>
  <c r="O102" i="40"/>
  <c r="N102" i="40"/>
  <c r="M102" i="40"/>
  <c r="L102" i="40"/>
  <c r="K102" i="40"/>
  <c r="J102" i="40"/>
  <c r="I102" i="40"/>
  <c r="H102" i="40"/>
  <c r="C102" i="40"/>
  <c r="AL101" i="40"/>
  <c r="AK101" i="40"/>
  <c r="AJ101" i="40"/>
  <c r="AI101" i="40"/>
  <c r="AH101" i="40"/>
  <c r="AG101" i="40"/>
  <c r="AF101" i="40"/>
  <c r="AE101" i="40"/>
  <c r="AD101" i="40"/>
  <c r="AC101" i="40"/>
  <c r="AB101" i="40"/>
  <c r="AA101" i="40"/>
  <c r="Z101" i="40"/>
  <c r="Y101" i="40"/>
  <c r="X101" i="40"/>
  <c r="W101" i="40"/>
  <c r="V101" i="40"/>
  <c r="U101" i="40"/>
  <c r="S101" i="40"/>
  <c r="R101" i="40"/>
  <c r="Q101" i="40"/>
  <c r="P101" i="40"/>
  <c r="O101" i="40"/>
  <c r="N101" i="40"/>
  <c r="M101" i="40"/>
  <c r="L101" i="40"/>
  <c r="K101" i="40"/>
  <c r="J101" i="40"/>
  <c r="I101" i="40"/>
  <c r="H101" i="40"/>
  <c r="AJ100" i="40"/>
  <c r="AI100" i="40"/>
  <c r="AD100" i="40"/>
  <c r="AC100" i="40"/>
  <c r="AB100" i="40"/>
  <c r="AA100" i="40"/>
  <c r="Z100" i="40"/>
  <c r="K100" i="40"/>
  <c r="J100" i="40"/>
  <c r="AL98" i="40"/>
  <c r="AL100" i="40" s="1"/>
  <c r="AK98" i="40"/>
  <c r="AK100" i="40" s="1"/>
  <c r="AJ98" i="40"/>
  <c r="AI98" i="40"/>
  <c r="AH98" i="40"/>
  <c r="AG98" i="40"/>
  <c r="AF98" i="40"/>
  <c r="AE98" i="40"/>
  <c r="AD98" i="40"/>
  <c r="AC98" i="40"/>
  <c r="AB98" i="40"/>
  <c r="AA98" i="40"/>
  <c r="Z98" i="40"/>
  <c r="Y98" i="40"/>
  <c r="Y100" i="40" s="1"/>
  <c r="X98" i="40"/>
  <c r="W98" i="40"/>
  <c r="V98" i="40"/>
  <c r="U98" i="40"/>
  <c r="T98" i="40"/>
  <c r="S98" i="40"/>
  <c r="R98" i="40"/>
  <c r="Q98" i="40"/>
  <c r="P98" i="40"/>
  <c r="P100" i="40" s="1"/>
  <c r="O98" i="40"/>
  <c r="O100" i="40" s="1"/>
  <c r="N98" i="40"/>
  <c r="N100" i="40" s="1"/>
  <c r="M98" i="40"/>
  <c r="M100" i="40" s="1"/>
  <c r="L98" i="40"/>
  <c r="L100" i="40" s="1"/>
  <c r="K98" i="40"/>
  <c r="J98" i="40"/>
  <c r="I98" i="40"/>
  <c r="I100" i="40" s="1"/>
  <c r="H98" i="40"/>
  <c r="H100" i="40" s="1"/>
  <c r="T96" i="40"/>
  <c r="T101" i="40" s="1"/>
  <c r="O96" i="40"/>
  <c r="L96" i="40"/>
  <c r="AL95" i="40"/>
  <c r="AK95" i="40"/>
  <c r="AJ95" i="40"/>
  <c r="AI95" i="40"/>
  <c r="AH95" i="40"/>
  <c r="AG95" i="40"/>
  <c r="AF95" i="40"/>
  <c r="AE95" i="40"/>
  <c r="AD95" i="40"/>
  <c r="AC95" i="40"/>
  <c r="AB95" i="40"/>
  <c r="AA95" i="40"/>
  <c r="Z95" i="40"/>
  <c r="Y95" i="40"/>
  <c r="X95" i="40"/>
  <c r="X100" i="40" s="1"/>
  <c r="W95" i="40"/>
  <c r="W100" i="40" s="1"/>
  <c r="V95" i="40"/>
  <c r="U95" i="40"/>
  <c r="T95" i="40"/>
  <c r="S95" i="40"/>
  <c r="R95" i="40"/>
  <c r="Q95" i="40"/>
  <c r="P95" i="40"/>
  <c r="O95" i="40"/>
  <c r="O10" i="40" s="1"/>
  <c r="N95" i="40"/>
  <c r="M95" i="40"/>
  <c r="L95" i="40"/>
  <c r="K95" i="40"/>
  <c r="J95" i="40"/>
  <c r="I95" i="40"/>
  <c r="H95" i="40"/>
  <c r="C95" i="40"/>
  <c r="AL94" i="40"/>
  <c r="AK94" i="40"/>
  <c r="AJ94" i="40"/>
  <c r="AI94" i="40"/>
  <c r="AH94" i="40"/>
  <c r="AG94" i="40"/>
  <c r="AF94" i="40"/>
  <c r="AE94" i="40"/>
  <c r="AD94" i="40"/>
  <c r="AC94" i="40"/>
  <c r="AB94" i="40"/>
  <c r="AA94" i="40"/>
  <c r="Z94" i="40"/>
  <c r="Y94" i="40"/>
  <c r="X94" i="40"/>
  <c r="W94" i="40"/>
  <c r="V94" i="40"/>
  <c r="U94" i="40"/>
  <c r="T94" i="40"/>
  <c r="S94" i="40"/>
  <c r="R94" i="40"/>
  <c r="Q94" i="40"/>
  <c r="Q15" i="40" s="1"/>
  <c r="P94" i="40"/>
  <c r="P15" i="40" s="1"/>
  <c r="P13" i="40" s="1"/>
  <c r="O94" i="40"/>
  <c r="F94" i="40" s="1"/>
  <c r="N94" i="40"/>
  <c r="M94" i="40"/>
  <c r="L94" i="40"/>
  <c r="K94" i="40"/>
  <c r="J94" i="40"/>
  <c r="I94" i="40"/>
  <c r="H94" i="40"/>
  <c r="AG93" i="40"/>
  <c r="AF93" i="40"/>
  <c r="AB93" i="40"/>
  <c r="AA93" i="40"/>
  <c r="O93" i="40"/>
  <c r="N93" i="40"/>
  <c r="M93" i="40"/>
  <c r="L93" i="40"/>
  <c r="AL91" i="40"/>
  <c r="AK91" i="40"/>
  <c r="AJ91" i="40"/>
  <c r="AI91" i="40"/>
  <c r="AI93" i="40" s="1"/>
  <c r="AH91" i="40"/>
  <c r="AH93" i="40" s="1"/>
  <c r="AG91" i="40"/>
  <c r="AF91" i="40"/>
  <c r="AE91" i="40"/>
  <c r="AD91" i="40"/>
  <c r="AC91" i="40"/>
  <c r="AB91" i="40"/>
  <c r="AA91" i="40"/>
  <c r="Z91" i="40"/>
  <c r="Z93" i="40" s="1"/>
  <c r="Y91" i="40"/>
  <c r="Y93" i="40" s="1"/>
  <c r="X91" i="40"/>
  <c r="X93" i="40" s="1"/>
  <c r="W91" i="40"/>
  <c r="W93" i="40" s="1"/>
  <c r="V91" i="40"/>
  <c r="U91" i="40"/>
  <c r="T91" i="40"/>
  <c r="S91" i="40"/>
  <c r="R91" i="40"/>
  <c r="Q91" i="40"/>
  <c r="P91" i="40"/>
  <c r="O91" i="40"/>
  <c r="N91" i="40"/>
  <c r="M91" i="40"/>
  <c r="L91" i="40"/>
  <c r="K91" i="40"/>
  <c r="J91" i="40"/>
  <c r="J93" i="40" s="1"/>
  <c r="I91" i="40"/>
  <c r="I93" i="40" s="1"/>
  <c r="H91" i="40"/>
  <c r="F89" i="40"/>
  <c r="AL88" i="40"/>
  <c r="AK88" i="40"/>
  <c r="AJ88" i="40"/>
  <c r="AI88" i="40"/>
  <c r="AH88" i="40"/>
  <c r="AG88" i="40"/>
  <c r="AF88" i="40"/>
  <c r="AE88" i="40"/>
  <c r="AD88" i="40"/>
  <c r="AC88" i="40"/>
  <c r="AB88" i="40"/>
  <c r="AA88" i="40"/>
  <c r="Z88" i="40"/>
  <c r="Y88" i="40"/>
  <c r="X88" i="40"/>
  <c r="W88" i="40"/>
  <c r="V88" i="40"/>
  <c r="V93" i="40" s="1"/>
  <c r="U88" i="40"/>
  <c r="U93" i="40" s="1"/>
  <c r="T88" i="40"/>
  <c r="T93" i="40" s="1"/>
  <c r="S88" i="40"/>
  <c r="S93" i="40" s="1"/>
  <c r="R88" i="40"/>
  <c r="R93" i="40" s="1"/>
  <c r="Q88" i="40"/>
  <c r="Q93" i="40" s="1"/>
  <c r="P88" i="40"/>
  <c r="P93" i="40" s="1"/>
  <c r="O88" i="40"/>
  <c r="N88" i="40"/>
  <c r="M88" i="40"/>
  <c r="L88" i="40"/>
  <c r="K88" i="40"/>
  <c r="F88" i="40" s="1"/>
  <c r="J88" i="40"/>
  <c r="I88" i="40"/>
  <c r="H88" i="40"/>
  <c r="C88" i="40"/>
  <c r="AL87" i="40"/>
  <c r="AK87" i="40"/>
  <c r="AJ87" i="40"/>
  <c r="AI87" i="40"/>
  <c r="AH87" i="40"/>
  <c r="AG87" i="40"/>
  <c r="AF87" i="40"/>
  <c r="AE87" i="40"/>
  <c r="AD87" i="40"/>
  <c r="AC87" i="40"/>
  <c r="AB87" i="40"/>
  <c r="AA87" i="40"/>
  <c r="Z87" i="40"/>
  <c r="Y87" i="40"/>
  <c r="X87" i="40"/>
  <c r="W87" i="40"/>
  <c r="V87" i="40"/>
  <c r="U87" i="40"/>
  <c r="T87" i="40"/>
  <c r="S87" i="40"/>
  <c r="R87" i="40"/>
  <c r="Q87" i="40"/>
  <c r="P87" i="40"/>
  <c r="O87" i="40"/>
  <c r="N87" i="40"/>
  <c r="M87" i="40"/>
  <c r="L87" i="40"/>
  <c r="K87" i="40"/>
  <c r="J87" i="40"/>
  <c r="I87" i="40"/>
  <c r="H87" i="40"/>
  <c r="F87" i="40"/>
  <c r="AL86" i="40"/>
  <c r="AD86" i="40"/>
  <c r="AC86" i="40"/>
  <c r="AB86" i="40"/>
  <c r="AA86" i="40"/>
  <c r="T86" i="40"/>
  <c r="S86" i="40"/>
  <c r="R86" i="40"/>
  <c r="I86" i="40"/>
  <c r="AL84" i="40"/>
  <c r="AK84" i="40"/>
  <c r="AK86" i="40" s="1"/>
  <c r="AJ84" i="40"/>
  <c r="AJ86" i="40" s="1"/>
  <c r="AI84" i="40"/>
  <c r="AI86" i="40" s="1"/>
  <c r="AH84" i="40"/>
  <c r="AH86" i="40" s="1"/>
  <c r="AG84" i="40"/>
  <c r="AG86" i="40" s="1"/>
  <c r="AF84" i="40"/>
  <c r="AF86" i="40" s="1"/>
  <c r="AE84" i="40"/>
  <c r="AD84" i="40"/>
  <c r="AC84" i="40"/>
  <c r="AB84" i="40"/>
  <c r="AA84" i="40"/>
  <c r="Z84" i="40"/>
  <c r="Z86" i="40" s="1"/>
  <c r="Y84" i="40"/>
  <c r="Y86" i="40" s="1"/>
  <c r="X84" i="40"/>
  <c r="X86" i="40" s="1"/>
  <c r="W84" i="40"/>
  <c r="V84" i="40"/>
  <c r="V86" i="40" s="1"/>
  <c r="U84" i="40"/>
  <c r="U86" i="40" s="1"/>
  <c r="T84" i="40"/>
  <c r="S84" i="40"/>
  <c r="R84" i="40"/>
  <c r="Q84" i="40"/>
  <c r="Q86" i="40" s="1"/>
  <c r="P84" i="40"/>
  <c r="P86" i="40" s="1"/>
  <c r="O84" i="40"/>
  <c r="O86" i="40" s="1"/>
  <c r="N84" i="40"/>
  <c r="N86" i="40" s="1"/>
  <c r="M84" i="40"/>
  <c r="M86" i="40" s="1"/>
  <c r="L84" i="40"/>
  <c r="L86" i="40" s="1"/>
  <c r="K84" i="40"/>
  <c r="K86" i="40" s="1"/>
  <c r="J84" i="40"/>
  <c r="J86" i="40" s="1"/>
  <c r="I84" i="40"/>
  <c r="H84" i="40"/>
  <c r="H86" i="40" s="1"/>
  <c r="AL81" i="40"/>
  <c r="AK81" i="40"/>
  <c r="AJ81" i="40"/>
  <c r="AI81" i="40"/>
  <c r="AH81" i="40"/>
  <c r="AG81" i="40"/>
  <c r="AF81" i="40"/>
  <c r="AE81" i="40"/>
  <c r="AE86" i="40" s="1"/>
  <c r="AD81" i="40"/>
  <c r="AC81" i="40"/>
  <c r="AB81" i="40"/>
  <c r="AA81" i="40"/>
  <c r="Z81" i="40"/>
  <c r="Y81" i="40"/>
  <c r="X81" i="40"/>
  <c r="W81" i="40"/>
  <c r="V81" i="40"/>
  <c r="U81" i="40"/>
  <c r="T81" i="40"/>
  <c r="S81" i="40"/>
  <c r="R81" i="40"/>
  <c r="Q81" i="40"/>
  <c r="P81" i="40"/>
  <c r="O81" i="40"/>
  <c r="N81" i="40"/>
  <c r="M81" i="40"/>
  <c r="L81" i="40"/>
  <c r="K81" i="40"/>
  <c r="J81" i="40"/>
  <c r="I81" i="40"/>
  <c r="H81" i="40"/>
  <c r="C81" i="40"/>
  <c r="AL80" i="40"/>
  <c r="AK80" i="40"/>
  <c r="AJ80" i="40"/>
  <c r="AI80" i="40"/>
  <c r="AH80" i="40"/>
  <c r="AG80" i="40"/>
  <c r="AF80" i="40"/>
  <c r="AE80" i="40"/>
  <c r="AD80" i="40"/>
  <c r="AC80" i="40"/>
  <c r="AB80" i="40"/>
  <c r="AA80" i="40"/>
  <c r="Z80" i="40"/>
  <c r="Y80" i="40"/>
  <c r="X80" i="40"/>
  <c r="W80" i="40"/>
  <c r="V80" i="40"/>
  <c r="U80" i="40"/>
  <c r="S80" i="40"/>
  <c r="R80" i="40"/>
  <c r="Q80" i="40"/>
  <c r="P80" i="40"/>
  <c r="L80" i="40"/>
  <c r="K80" i="40"/>
  <c r="J80" i="40"/>
  <c r="I80" i="40"/>
  <c r="H80" i="40"/>
  <c r="AE79" i="40"/>
  <c r="Y79" i="40"/>
  <c r="X79" i="40"/>
  <c r="S79" i="40"/>
  <c r="R79" i="40"/>
  <c r="Q79" i="40"/>
  <c r="P79" i="40"/>
  <c r="AL77" i="40"/>
  <c r="AL79" i="40" s="1"/>
  <c r="AK77" i="40"/>
  <c r="AK79" i="40" s="1"/>
  <c r="AJ77" i="40"/>
  <c r="AJ79" i="40" s="1"/>
  <c r="AI77" i="40"/>
  <c r="AI79" i="40" s="1"/>
  <c r="AH77" i="40"/>
  <c r="AH79" i="40" s="1"/>
  <c r="AG77" i="40"/>
  <c r="AF77" i="40"/>
  <c r="AE77" i="40"/>
  <c r="AD77" i="40"/>
  <c r="AD79" i="40" s="1"/>
  <c r="AC77" i="40"/>
  <c r="AC79" i="40" s="1"/>
  <c r="AB77" i="40"/>
  <c r="AB79" i="40" s="1"/>
  <c r="AA77" i="40"/>
  <c r="AA79" i="40" s="1"/>
  <c r="Z77" i="40"/>
  <c r="Z79" i="40" s="1"/>
  <c r="Y77" i="40"/>
  <c r="X77" i="40"/>
  <c r="W77" i="40"/>
  <c r="V77" i="40"/>
  <c r="U77" i="40"/>
  <c r="T77" i="40"/>
  <c r="T79" i="40" s="1"/>
  <c r="S77" i="40"/>
  <c r="R77" i="40"/>
  <c r="Q77" i="40"/>
  <c r="P77" i="40"/>
  <c r="O77" i="40"/>
  <c r="O79" i="40" s="1"/>
  <c r="N77" i="40"/>
  <c r="M77" i="40"/>
  <c r="L77" i="40"/>
  <c r="K77" i="40"/>
  <c r="J77" i="40"/>
  <c r="I77" i="40"/>
  <c r="H77" i="40"/>
  <c r="T75" i="40"/>
  <c r="T80" i="40" s="1"/>
  <c r="O75" i="40"/>
  <c r="O80" i="40" s="1"/>
  <c r="O15" i="40" s="1"/>
  <c r="N75" i="40"/>
  <c r="N80" i="40" s="1"/>
  <c r="N15" i="40" s="1"/>
  <c r="M75" i="40"/>
  <c r="M80" i="40" s="1"/>
  <c r="F80" i="40" s="1"/>
  <c r="AL74" i="40"/>
  <c r="AK74" i="40"/>
  <c r="AJ74" i="40"/>
  <c r="AI74" i="40"/>
  <c r="AH74" i="40"/>
  <c r="AG74" i="40"/>
  <c r="AG79" i="40" s="1"/>
  <c r="AF74" i="40"/>
  <c r="AF79" i="40" s="1"/>
  <c r="AE74" i="40"/>
  <c r="AD74" i="40"/>
  <c r="AC74" i="40"/>
  <c r="AB74" i="40"/>
  <c r="AA74" i="40"/>
  <c r="Z74" i="40"/>
  <c r="Y74" i="40"/>
  <c r="X74" i="40"/>
  <c r="W74" i="40"/>
  <c r="V74" i="40"/>
  <c r="U74" i="40"/>
  <c r="T74" i="40"/>
  <c r="S74" i="40"/>
  <c r="R74" i="40"/>
  <c r="Q74" i="40"/>
  <c r="P74" i="40"/>
  <c r="O74" i="40"/>
  <c r="N74" i="40"/>
  <c r="N79" i="40" s="1"/>
  <c r="M74" i="40"/>
  <c r="M79" i="40" s="1"/>
  <c r="L74" i="40"/>
  <c r="L79" i="40" s="1"/>
  <c r="K74" i="40"/>
  <c r="J74" i="40"/>
  <c r="I74" i="40"/>
  <c r="H74" i="40"/>
  <c r="F74" i="40" s="1"/>
  <c r="C74" i="40"/>
  <c r="AL73" i="40"/>
  <c r="AK73" i="40"/>
  <c r="AJ73" i="40"/>
  <c r="AI73" i="40"/>
  <c r="AH73" i="40"/>
  <c r="AG73" i="40"/>
  <c r="AF73" i="40"/>
  <c r="AE73" i="40"/>
  <c r="AD73" i="40"/>
  <c r="AC73" i="40"/>
  <c r="AB73" i="40"/>
  <c r="AA73" i="40"/>
  <c r="Z73" i="40"/>
  <c r="Y73" i="40"/>
  <c r="X73" i="40"/>
  <c r="W73" i="40"/>
  <c r="V73" i="40"/>
  <c r="U73" i="40"/>
  <c r="T73" i="40"/>
  <c r="S73" i="40"/>
  <c r="R73" i="40"/>
  <c r="Q73" i="40"/>
  <c r="P73" i="40"/>
  <c r="O73" i="40"/>
  <c r="N73" i="40"/>
  <c r="M73" i="40"/>
  <c r="L73" i="40"/>
  <c r="K73" i="40"/>
  <c r="J73" i="40"/>
  <c r="I73" i="40"/>
  <c r="F73" i="40" s="1"/>
  <c r="H73" i="40"/>
  <c r="AJ72" i="40"/>
  <c r="AI72" i="40"/>
  <c r="AH72" i="40"/>
  <c r="Y72" i="40"/>
  <c r="X72" i="40"/>
  <c r="W72" i="40"/>
  <c r="V72" i="40"/>
  <c r="Q72" i="40"/>
  <c r="P72" i="40"/>
  <c r="AL70" i="40"/>
  <c r="AL72" i="40" s="1"/>
  <c r="AK70" i="40"/>
  <c r="AK72" i="40" s="1"/>
  <c r="AJ70" i="40"/>
  <c r="AI70" i="40"/>
  <c r="AH70" i="40"/>
  <c r="AG70" i="40"/>
  <c r="AF70" i="40"/>
  <c r="AE70" i="40"/>
  <c r="AD70" i="40"/>
  <c r="AD72" i="40" s="1"/>
  <c r="AC70" i="40"/>
  <c r="AC72" i="40" s="1"/>
  <c r="AB70" i="40"/>
  <c r="AA70" i="40"/>
  <c r="Z70" i="40"/>
  <c r="Y70" i="40"/>
  <c r="X70" i="40"/>
  <c r="W70" i="40"/>
  <c r="V70" i="40"/>
  <c r="U70" i="40"/>
  <c r="T70" i="40"/>
  <c r="S70" i="40"/>
  <c r="S72" i="40" s="1"/>
  <c r="R70" i="40"/>
  <c r="R72" i="40" s="1"/>
  <c r="Q70" i="40"/>
  <c r="P70" i="40"/>
  <c r="O70" i="40"/>
  <c r="O72" i="40" s="1"/>
  <c r="N70" i="40"/>
  <c r="N72" i="40" s="1"/>
  <c r="M70" i="40"/>
  <c r="L70" i="40"/>
  <c r="K70" i="40"/>
  <c r="J70" i="40"/>
  <c r="I70" i="40"/>
  <c r="I72" i="40" s="1"/>
  <c r="H70" i="40"/>
  <c r="H72" i="40" s="1"/>
  <c r="F68" i="40"/>
  <c r="G68" i="40" s="1"/>
  <c r="AL67" i="40"/>
  <c r="AK67" i="40"/>
  <c r="AJ67" i="40"/>
  <c r="AI67" i="40"/>
  <c r="AH67" i="40"/>
  <c r="AG67" i="40"/>
  <c r="AF67" i="40"/>
  <c r="AE67" i="40"/>
  <c r="AD67" i="40"/>
  <c r="AC67" i="40"/>
  <c r="AB67" i="40"/>
  <c r="AB72" i="40" s="1"/>
  <c r="AA67" i="40"/>
  <c r="AA72" i="40" s="1"/>
  <c r="Z67" i="40"/>
  <c r="Z72" i="40" s="1"/>
  <c r="Y67" i="40"/>
  <c r="X67" i="40"/>
  <c r="W67" i="40"/>
  <c r="V67" i="40"/>
  <c r="U67" i="40"/>
  <c r="T67" i="40"/>
  <c r="S67" i="40"/>
  <c r="R67" i="40"/>
  <c r="Q67" i="40"/>
  <c r="P67" i="40"/>
  <c r="O67" i="40"/>
  <c r="N67" i="40"/>
  <c r="M67" i="40"/>
  <c r="L67" i="40"/>
  <c r="K67" i="40"/>
  <c r="J67" i="40"/>
  <c r="I67" i="40"/>
  <c r="H67" i="40"/>
  <c r="F67" i="40"/>
  <c r="C67" i="40"/>
  <c r="AL66" i="40"/>
  <c r="AK66" i="40"/>
  <c r="AJ66" i="40"/>
  <c r="AI66" i="40"/>
  <c r="AH66" i="40"/>
  <c r="AG66" i="40"/>
  <c r="AF66" i="40"/>
  <c r="AE66" i="40"/>
  <c r="AD66" i="40"/>
  <c r="AC66" i="40"/>
  <c r="AB66" i="40"/>
  <c r="AA66" i="40"/>
  <c r="Z66" i="40"/>
  <c r="Y66" i="40"/>
  <c r="X66" i="40"/>
  <c r="W66" i="40"/>
  <c r="V66" i="40"/>
  <c r="U66" i="40"/>
  <c r="T66" i="40"/>
  <c r="S66" i="40"/>
  <c r="R66" i="40"/>
  <c r="Q66" i="40"/>
  <c r="P66" i="40"/>
  <c r="O66" i="40"/>
  <c r="N66" i="40"/>
  <c r="M66" i="40"/>
  <c r="L66" i="40"/>
  <c r="K66" i="40"/>
  <c r="J66" i="40"/>
  <c r="I66" i="40"/>
  <c r="H66" i="40"/>
  <c r="AL65" i="40"/>
  <c r="AK65" i="40"/>
  <c r="AJ65" i="40"/>
  <c r="AI65" i="40"/>
  <c r="AH65" i="40"/>
  <c r="AG65" i="40"/>
  <c r="AF65" i="40"/>
  <c r="AE65" i="40"/>
  <c r="AD65" i="40"/>
  <c r="AC65" i="40"/>
  <c r="AB65" i="40"/>
  <c r="AA65" i="40"/>
  <c r="Z65" i="40"/>
  <c r="Y65" i="40"/>
  <c r="X65" i="40"/>
  <c r="W65" i="40"/>
  <c r="V65" i="40"/>
  <c r="U65" i="40"/>
  <c r="T65" i="40"/>
  <c r="S65" i="40"/>
  <c r="R65" i="40"/>
  <c r="Q65" i="40"/>
  <c r="P65" i="40"/>
  <c r="O65" i="40"/>
  <c r="N65" i="40"/>
  <c r="M65" i="40"/>
  <c r="L65" i="40"/>
  <c r="K65" i="40"/>
  <c r="J65" i="40"/>
  <c r="I65" i="40"/>
  <c r="H65" i="40"/>
  <c r="F61" i="40"/>
  <c r="G61" i="40" s="1"/>
  <c r="F60" i="40"/>
  <c r="AL59" i="40"/>
  <c r="AK59" i="40"/>
  <c r="AJ59" i="40"/>
  <c r="AI59" i="40"/>
  <c r="AH59" i="40"/>
  <c r="AG59" i="40"/>
  <c r="AF59" i="40"/>
  <c r="AE59" i="40"/>
  <c r="AD59" i="40"/>
  <c r="AC59" i="40"/>
  <c r="AB59" i="40"/>
  <c r="AA59" i="40"/>
  <c r="Z59" i="40"/>
  <c r="Y59" i="40"/>
  <c r="X59" i="40"/>
  <c r="W59" i="40"/>
  <c r="V59" i="40"/>
  <c r="U59" i="40"/>
  <c r="T59" i="40"/>
  <c r="S59" i="40"/>
  <c r="R59" i="40"/>
  <c r="Q59" i="40"/>
  <c r="P59" i="40"/>
  <c r="O59" i="40"/>
  <c r="N59" i="40"/>
  <c r="M59" i="40"/>
  <c r="L59" i="40"/>
  <c r="K59" i="40"/>
  <c r="J59" i="40"/>
  <c r="I59" i="40"/>
  <c r="H59" i="40"/>
  <c r="F59" i="40"/>
  <c r="G59" i="40" s="1"/>
  <c r="AL58" i="40"/>
  <c r="AK58" i="40"/>
  <c r="AJ58" i="40"/>
  <c r="AI58" i="40"/>
  <c r="AH58" i="40"/>
  <c r="AG58" i="40"/>
  <c r="AF58" i="40"/>
  <c r="AE58" i="40"/>
  <c r="AD58" i="40"/>
  <c r="AC58" i="40"/>
  <c r="AB58" i="40"/>
  <c r="AA58" i="40"/>
  <c r="Z58" i="40"/>
  <c r="Y58" i="40"/>
  <c r="X58" i="40"/>
  <c r="W58" i="40"/>
  <c r="V58" i="40"/>
  <c r="U58" i="40"/>
  <c r="T58" i="40"/>
  <c r="S58" i="40"/>
  <c r="R58" i="40"/>
  <c r="Q58" i="40"/>
  <c r="P58" i="40"/>
  <c r="O58" i="40"/>
  <c r="N58" i="40"/>
  <c r="M58" i="40"/>
  <c r="L58" i="40"/>
  <c r="K58" i="40"/>
  <c r="J58" i="40"/>
  <c r="I58" i="40"/>
  <c r="H58" i="40"/>
  <c r="F58" i="40"/>
  <c r="AL52" i="40"/>
  <c r="AK52" i="40"/>
  <c r="AJ52" i="40"/>
  <c r="AI52" i="40"/>
  <c r="AH52" i="40"/>
  <c r="AG52" i="40"/>
  <c r="AF52" i="40"/>
  <c r="AE52" i="40"/>
  <c r="AD52" i="40"/>
  <c r="AC52" i="40"/>
  <c r="AB52" i="40"/>
  <c r="AA52" i="40"/>
  <c r="Z52" i="40"/>
  <c r="Y52" i="40"/>
  <c r="X52" i="40"/>
  <c r="W52" i="40"/>
  <c r="V52" i="40"/>
  <c r="U52" i="40"/>
  <c r="T52" i="40"/>
  <c r="S52" i="40"/>
  <c r="R52" i="40"/>
  <c r="Q52" i="40"/>
  <c r="P52" i="40"/>
  <c r="O52" i="40"/>
  <c r="N52" i="40"/>
  <c r="M52" i="40"/>
  <c r="L52" i="40"/>
  <c r="K52" i="40"/>
  <c r="J52" i="40"/>
  <c r="I52" i="40"/>
  <c r="H52" i="40"/>
  <c r="AL51" i="40"/>
  <c r="AG51" i="40"/>
  <c r="AF51" i="40"/>
  <c r="AE51" i="40"/>
  <c r="W51" i="40"/>
  <c r="V51" i="40"/>
  <c r="M51" i="40"/>
  <c r="L51" i="40"/>
  <c r="K51" i="40"/>
  <c r="AL49" i="40"/>
  <c r="AK49" i="40"/>
  <c r="AJ49" i="40"/>
  <c r="AI49" i="40"/>
  <c r="AH49" i="40"/>
  <c r="AH51" i="40" s="1"/>
  <c r="AG49" i="40"/>
  <c r="AF49" i="40"/>
  <c r="AE49" i="40"/>
  <c r="AD49" i="40"/>
  <c r="AC49" i="40"/>
  <c r="AB49" i="40"/>
  <c r="AB51" i="40" s="1"/>
  <c r="AA49" i="40"/>
  <c r="AA51" i="40" s="1"/>
  <c r="Z49" i="40"/>
  <c r="Y49" i="40"/>
  <c r="Y51" i="40" s="1"/>
  <c r="X49" i="40"/>
  <c r="X51" i="40" s="1"/>
  <c r="W49" i="40"/>
  <c r="V49" i="40"/>
  <c r="U49" i="40"/>
  <c r="T49" i="40"/>
  <c r="S49" i="40"/>
  <c r="R49" i="40"/>
  <c r="Q49" i="40"/>
  <c r="P49" i="40"/>
  <c r="O49" i="40"/>
  <c r="N49" i="40"/>
  <c r="M49" i="40"/>
  <c r="L49" i="40"/>
  <c r="K49" i="40"/>
  <c r="J49" i="40"/>
  <c r="I49" i="40"/>
  <c r="H49" i="40"/>
  <c r="F47" i="40"/>
  <c r="AL46" i="40"/>
  <c r="AK46" i="40"/>
  <c r="AJ46" i="40"/>
  <c r="AI46" i="40"/>
  <c r="AH46" i="40"/>
  <c r="AG46" i="40"/>
  <c r="AF46" i="40"/>
  <c r="AE46" i="40"/>
  <c r="AD46" i="40"/>
  <c r="AD51" i="40" s="1"/>
  <c r="AC46" i="40"/>
  <c r="AC51" i="40" s="1"/>
  <c r="AB46" i="40"/>
  <c r="AA46" i="40"/>
  <c r="Z46" i="40"/>
  <c r="Y46" i="40"/>
  <c r="X46" i="40"/>
  <c r="W46" i="40"/>
  <c r="V46" i="40"/>
  <c r="U46" i="40"/>
  <c r="T46" i="40"/>
  <c r="S46" i="40"/>
  <c r="R46" i="40"/>
  <c r="Q46" i="40"/>
  <c r="Q51" i="40" s="1"/>
  <c r="P46" i="40"/>
  <c r="P51" i="40" s="1"/>
  <c r="O46" i="40"/>
  <c r="O51" i="40" s="1"/>
  <c r="N46" i="40"/>
  <c r="F46" i="40" s="1"/>
  <c r="M46" i="40"/>
  <c r="L46" i="40"/>
  <c r="K46" i="40"/>
  <c r="J46" i="40"/>
  <c r="J51" i="40" s="1"/>
  <c r="I46" i="40"/>
  <c r="H46" i="40"/>
  <c r="C46" i="40"/>
  <c r="AL45" i="40"/>
  <c r="AK45" i="40"/>
  <c r="AJ45" i="40"/>
  <c r="AI45" i="40"/>
  <c r="AH45" i="40"/>
  <c r="AG45" i="40"/>
  <c r="AF45" i="40"/>
  <c r="AE45" i="40"/>
  <c r="AD45" i="40"/>
  <c r="AC45" i="40"/>
  <c r="AB45" i="40"/>
  <c r="AA45" i="40"/>
  <c r="Z45" i="40"/>
  <c r="Y45" i="40"/>
  <c r="X45" i="40"/>
  <c r="W45" i="40"/>
  <c r="V45" i="40"/>
  <c r="U45" i="40"/>
  <c r="T45" i="40"/>
  <c r="S45" i="40"/>
  <c r="R45" i="40"/>
  <c r="Q45" i="40"/>
  <c r="P45" i="40"/>
  <c r="O45" i="40"/>
  <c r="N45" i="40"/>
  <c r="M45" i="40"/>
  <c r="L45" i="40"/>
  <c r="K45" i="40"/>
  <c r="I45" i="40"/>
  <c r="H45" i="40"/>
  <c r="AL44" i="40"/>
  <c r="AK44" i="40"/>
  <c r="AF44" i="40"/>
  <c r="AE44" i="40"/>
  <c r="AD44" i="40"/>
  <c r="AC44" i="40"/>
  <c r="AB44" i="40"/>
  <c r="V44" i="40"/>
  <c r="U44" i="40"/>
  <c r="S44" i="40"/>
  <c r="R44" i="40"/>
  <c r="K44" i="40"/>
  <c r="AL42" i="40"/>
  <c r="AK42" i="40"/>
  <c r="AJ42" i="40"/>
  <c r="AJ44" i="40" s="1"/>
  <c r="AI42" i="40"/>
  <c r="AI44" i="40" s="1"/>
  <c r="AH42" i="40"/>
  <c r="AH44" i="40" s="1"/>
  <c r="AG42" i="40"/>
  <c r="AG44" i="40" s="1"/>
  <c r="AF42" i="40"/>
  <c r="AE42" i="40"/>
  <c r="AD42" i="40"/>
  <c r="AC42" i="40"/>
  <c r="AB42" i="40"/>
  <c r="AA42" i="40"/>
  <c r="Z42" i="40"/>
  <c r="Z44" i="40" s="1"/>
  <c r="Y42" i="40"/>
  <c r="Y44" i="40" s="1"/>
  <c r="X42" i="40"/>
  <c r="X44" i="40" s="1"/>
  <c r="W42" i="40"/>
  <c r="W44" i="40" s="1"/>
  <c r="V42" i="40"/>
  <c r="U42" i="40"/>
  <c r="T42" i="40"/>
  <c r="T44" i="40" s="1"/>
  <c r="S42" i="40"/>
  <c r="R42" i="40"/>
  <c r="Q42" i="40"/>
  <c r="P42" i="40"/>
  <c r="O42" i="40"/>
  <c r="N42" i="40"/>
  <c r="M42" i="40"/>
  <c r="M44" i="40" s="1"/>
  <c r="L42" i="40"/>
  <c r="K42" i="40"/>
  <c r="J42" i="40"/>
  <c r="J44" i="40" s="1"/>
  <c r="I42" i="40"/>
  <c r="I44" i="40" s="1"/>
  <c r="H42" i="40"/>
  <c r="H44" i="40" s="1"/>
  <c r="O40" i="40"/>
  <c r="J40" i="40"/>
  <c r="J11" i="40" s="1"/>
  <c r="F40" i="40"/>
  <c r="AL39" i="40"/>
  <c r="AK39" i="40"/>
  <c r="AJ39" i="40"/>
  <c r="AI39" i="40"/>
  <c r="AH39" i="40"/>
  <c r="AG39" i="40"/>
  <c r="AF39" i="40"/>
  <c r="AE39" i="40"/>
  <c r="AD39" i="40"/>
  <c r="AC39" i="40"/>
  <c r="AB39" i="40"/>
  <c r="AA39" i="40"/>
  <c r="Z39" i="40"/>
  <c r="Y39" i="40"/>
  <c r="X39" i="40"/>
  <c r="W39" i="40"/>
  <c r="V39" i="40"/>
  <c r="U39" i="40"/>
  <c r="T39" i="40"/>
  <c r="S39" i="40"/>
  <c r="R39" i="40"/>
  <c r="Q39" i="40"/>
  <c r="Q44" i="40" s="1"/>
  <c r="P39" i="40"/>
  <c r="P44" i="40" s="1"/>
  <c r="O39" i="40"/>
  <c r="O44" i="40" s="1"/>
  <c r="N39" i="40"/>
  <c r="M39" i="40"/>
  <c r="L39" i="40"/>
  <c r="K39" i="40"/>
  <c r="J39" i="40"/>
  <c r="I39" i="40"/>
  <c r="H39" i="40"/>
  <c r="C39" i="40"/>
  <c r="AL38" i="40"/>
  <c r="AK38" i="40"/>
  <c r="AJ38" i="40"/>
  <c r="AI38" i="40"/>
  <c r="AH38" i="40"/>
  <c r="AG38" i="40"/>
  <c r="AF38" i="40"/>
  <c r="AE38" i="40"/>
  <c r="AD38" i="40"/>
  <c r="AC38" i="40"/>
  <c r="AB38" i="40"/>
  <c r="AA38" i="40"/>
  <c r="Z38" i="40"/>
  <c r="Y38" i="40"/>
  <c r="X38" i="40"/>
  <c r="W38" i="40"/>
  <c r="V38" i="40"/>
  <c r="U38" i="40"/>
  <c r="T38" i="40"/>
  <c r="S38" i="40"/>
  <c r="R38" i="40"/>
  <c r="F38" i="40" s="1"/>
  <c r="Q38" i="40"/>
  <c r="P38" i="40"/>
  <c r="O38" i="40"/>
  <c r="N38" i="40"/>
  <c r="M38" i="40"/>
  <c r="L38" i="40"/>
  <c r="K38" i="40"/>
  <c r="J38" i="40"/>
  <c r="I38" i="40"/>
  <c r="H38" i="40"/>
  <c r="AJ37" i="40"/>
  <c r="AI37" i="40"/>
  <c r="Y37" i="40"/>
  <c r="X37" i="40"/>
  <c r="W37" i="40"/>
  <c r="S37" i="40"/>
  <c r="AL35" i="40"/>
  <c r="AL37" i="40" s="1"/>
  <c r="AK35" i="40"/>
  <c r="AK37" i="40" s="1"/>
  <c r="AJ35" i="40"/>
  <c r="AI35" i="40"/>
  <c r="AH35" i="40"/>
  <c r="AG35" i="40"/>
  <c r="AG37" i="40" s="1"/>
  <c r="AF35" i="40"/>
  <c r="AF37" i="40" s="1"/>
  <c r="AE35" i="40"/>
  <c r="AD35" i="40"/>
  <c r="AC35" i="40"/>
  <c r="AB35" i="40"/>
  <c r="AA35" i="40"/>
  <c r="AA37" i="40" s="1"/>
  <c r="Z35" i="40"/>
  <c r="Z37" i="40" s="1"/>
  <c r="Y35" i="40"/>
  <c r="X35" i="40"/>
  <c r="W35" i="40"/>
  <c r="V35" i="40"/>
  <c r="V37" i="40" s="1"/>
  <c r="U35" i="40"/>
  <c r="U37" i="40" s="1"/>
  <c r="T35" i="40"/>
  <c r="S35" i="40"/>
  <c r="R35" i="40"/>
  <c r="R37" i="40" s="1"/>
  <c r="Q35" i="40"/>
  <c r="Q37" i="40" s="1"/>
  <c r="P35" i="40"/>
  <c r="P37" i="40" s="1"/>
  <c r="O35" i="40"/>
  <c r="N35" i="40"/>
  <c r="M35" i="40"/>
  <c r="L35" i="40"/>
  <c r="L37" i="40" s="1"/>
  <c r="K35" i="40"/>
  <c r="K37" i="40" s="1"/>
  <c r="J35" i="40"/>
  <c r="J37" i="40" s="1"/>
  <c r="I35" i="40"/>
  <c r="I37" i="40" s="1"/>
  <c r="H35" i="40"/>
  <c r="H37" i="40" s="1"/>
  <c r="F33" i="40"/>
  <c r="AL32" i="40"/>
  <c r="AK32" i="40"/>
  <c r="AJ32" i="40"/>
  <c r="AI32" i="40"/>
  <c r="AH32" i="40"/>
  <c r="AG32" i="40"/>
  <c r="AF32" i="40"/>
  <c r="AE32" i="40"/>
  <c r="AD32" i="40"/>
  <c r="AD37" i="40" s="1"/>
  <c r="AC32" i="40"/>
  <c r="AC37" i="40" s="1"/>
  <c r="AB32" i="40"/>
  <c r="AB37" i="40" s="1"/>
  <c r="AA32" i="40"/>
  <c r="Z32" i="40"/>
  <c r="Y32" i="40"/>
  <c r="X32" i="40"/>
  <c r="W32" i="40"/>
  <c r="V32" i="40"/>
  <c r="U32" i="40"/>
  <c r="T32" i="40"/>
  <c r="S32" i="40"/>
  <c r="R32" i="40"/>
  <c r="Q32" i="40"/>
  <c r="P32" i="40"/>
  <c r="O32" i="40"/>
  <c r="N32" i="40"/>
  <c r="M32" i="40"/>
  <c r="L32" i="40"/>
  <c r="K32" i="40"/>
  <c r="J32" i="40"/>
  <c r="I32" i="40"/>
  <c r="H32" i="40"/>
  <c r="F32" i="40" s="1"/>
  <c r="G33" i="40" s="1"/>
  <c r="C32" i="40"/>
  <c r="AL31" i="40"/>
  <c r="AK31" i="40"/>
  <c r="AJ31" i="40"/>
  <c r="AI31" i="40"/>
  <c r="AH31" i="40"/>
  <c r="AG31"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AD30" i="40"/>
  <c r="Y30" i="40"/>
  <c r="X30" i="40"/>
  <c r="W30" i="40"/>
  <c r="V30" i="40"/>
  <c r="U30" i="40"/>
  <c r="O30" i="40"/>
  <c r="N30" i="40"/>
  <c r="M30" i="40"/>
  <c r="L30" i="40"/>
  <c r="K30" i="40"/>
  <c r="J30" i="40"/>
  <c r="I30" i="40"/>
  <c r="AL28" i="40"/>
  <c r="AK28" i="40"/>
  <c r="AJ28" i="40"/>
  <c r="AJ30" i="40" s="1"/>
  <c r="AI28" i="40"/>
  <c r="AI30" i="40" s="1"/>
  <c r="AH28" i="40"/>
  <c r="AH30" i="40" s="1"/>
  <c r="AG28" i="40"/>
  <c r="AG30" i="40" s="1"/>
  <c r="AF28" i="40"/>
  <c r="AF30" i="40" s="1"/>
  <c r="AE28" i="40"/>
  <c r="AE30" i="40" s="1"/>
  <c r="AD28" i="40"/>
  <c r="AC28" i="40"/>
  <c r="AB28" i="40"/>
  <c r="AA28" i="40"/>
  <c r="AA30" i="40" s="1"/>
  <c r="Z28" i="40"/>
  <c r="Y28" i="40"/>
  <c r="X28" i="40"/>
  <c r="W28" i="40"/>
  <c r="V28" i="40"/>
  <c r="U28" i="40"/>
  <c r="T28" i="40"/>
  <c r="T30" i="40" s="1"/>
  <c r="S28" i="40"/>
  <c r="S30" i="40" s="1"/>
  <c r="R28" i="40"/>
  <c r="R30" i="40" s="1"/>
  <c r="Q28" i="40"/>
  <c r="Q30" i="40" s="1"/>
  <c r="P28" i="40"/>
  <c r="P30" i="40" s="1"/>
  <c r="O28" i="40"/>
  <c r="N28" i="40"/>
  <c r="M28" i="40"/>
  <c r="L28" i="40"/>
  <c r="K28" i="40"/>
  <c r="J28" i="40"/>
  <c r="I28" i="40"/>
  <c r="H28" i="40"/>
  <c r="F26" i="40"/>
  <c r="AL25" i="40"/>
  <c r="AK25" i="40"/>
  <c r="AJ25" i="40"/>
  <c r="AI25" i="40"/>
  <c r="AH25" i="40"/>
  <c r="AG25" i="40"/>
  <c r="AF25" i="40"/>
  <c r="AE25" i="40"/>
  <c r="AD25" i="40"/>
  <c r="AC25" i="40"/>
  <c r="AC30" i="40" s="1"/>
  <c r="AB25" i="40"/>
  <c r="AA25" i="40"/>
  <c r="Z25" i="40"/>
  <c r="Y25" i="40"/>
  <c r="X25" i="40"/>
  <c r="W25" i="40"/>
  <c r="V25" i="40"/>
  <c r="U25" i="40"/>
  <c r="T25" i="40"/>
  <c r="S25" i="40"/>
  <c r="R25" i="40"/>
  <c r="Q25" i="40"/>
  <c r="P25" i="40"/>
  <c r="O25" i="40"/>
  <c r="N25" i="40"/>
  <c r="M25" i="40"/>
  <c r="L25" i="40"/>
  <c r="K25" i="40"/>
  <c r="J25" i="40"/>
  <c r="I25" i="40"/>
  <c r="H25" i="40"/>
  <c r="F25" i="40" s="1"/>
  <c r="G26" i="40" s="1"/>
  <c r="C25" i="40"/>
  <c r="AL24" i="40"/>
  <c r="AK24" i="40"/>
  <c r="AJ24" i="40"/>
  <c r="AI24" i="40"/>
  <c r="AH24" i="40"/>
  <c r="AG24" i="40"/>
  <c r="AF24" i="40"/>
  <c r="AE24" i="40"/>
  <c r="AD24" i="40"/>
  <c r="AC24" i="40"/>
  <c r="AB24" i="40"/>
  <c r="AA24" i="40"/>
  <c r="Z24" i="40"/>
  <c r="Y24" i="40"/>
  <c r="X24" i="40"/>
  <c r="W24" i="40"/>
  <c r="V24" i="40"/>
  <c r="U24" i="40"/>
  <c r="T24" i="40"/>
  <c r="S24" i="40"/>
  <c r="R24" i="40"/>
  <c r="Q24" i="40"/>
  <c r="P24" i="40"/>
  <c r="O24" i="40"/>
  <c r="L24" i="40"/>
  <c r="K24" i="40"/>
  <c r="J24" i="40"/>
  <c r="I24" i="40"/>
  <c r="H24" i="40"/>
  <c r="F24" i="40" s="1"/>
  <c r="AJ23" i="40"/>
  <c r="AI23" i="40"/>
  <c r="AE23" i="40"/>
  <c r="AD23" i="40"/>
  <c r="AC23" i="40"/>
  <c r="AB23" i="40"/>
  <c r="AA23" i="40"/>
  <c r="T23" i="40"/>
  <c r="O23" i="40"/>
  <c r="AL21" i="40"/>
  <c r="AL23" i="40" s="1"/>
  <c r="AK21" i="40"/>
  <c r="AK23" i="40" s="1"/>
  <c r="AJ21" i="40"/>
  <c r="AI21" i="40"/>
  <c r="AH21" i="40"/>
  <c r="AG21" i="40"/>
  <c r="AF21" i="40"/>
  <c r="AE21" i="40"/>
  <c r="AD21" i="40"/>
  <c r="AC21" i="40"/>
  <c r="AB21" i="40"/>
  <c r="AA21" i="40"/>
  <c r="Z21" i="40"/>
  <c r="Z23" i="40" s="1"/>
  <c r="Y21" i="40"/>
  <c r="Y23" i="40" s="1"/>
  <c r="X21" i="40"/>
  <c r="X23" i="40" s="1"/>
  <c r="W21" i="40"/>
  <c r="V21" i="40"/>
  <c r="U21" i="40"/>
  <c r="T21" i="40"/>
  <c r="S21" i="40"/>
  <c r="S23" i="40" s="1"/>
  <c r="R21" i="40"/>
  <c r="R23" i="40" s="1"/>
  <c r="Q21" i="40"/>
  <c r="Q23" i="40" s="1"/>
  <c r="P21" i="40"/>
  <c r="O21" i="40"/>
  <c r="N21" i="40"/>
  <c r="N23" i="40" s="1"/>
  <c r="M21" i="40"/>
  <c r="M23" i="40" s="1"/>
  <c r="L21" i="40"/>
  <c r="K21" i="40"/>
  <c r="J21" i="40"/>
  <c r="J23" i="40" s="1"/>
  <c r="I21" i="40"/>
  <c r="I23" i="40" s="1"/>
  <c r="H21" i="40"/>
  <c r="H23" i="40" s="1"/>
  <c r="N19" i="40"/>
  <c r="N24" i="40" s="1"/>
  <c r="M19" i="40"/>
  <c r="M24" i="40" s="1"/>
  <c r="AL18" i="40"/>
  <c r="AK18" i="40"/>
  <c r="AJ18" i="40"/>
  <c r="AI18" i="40"/>
  <c r="AH18" i="40"/>
  <c r="AG18" i="40"/>
  <c r="AF18" i="40"/>
  <c r="AE18" i="40"/>
  <c r="AD18" i="40"/>
  <c r="AC18" i="40"/>
  <c r="AB18" i="40"/>
  <c r="AA18" i="40"/>
  <c r="Z18" i="40"/>
  <c r="Y18" i="40"/>
  <c r="X18" i="40"/>
  <c r="W18" i="40"/>
  <c r="V18" i="40"/>
  <c r="V23" i="40" s="1"/>
  <c r="U18" i="40"/>
  <c r="U23" i="40" s="1"/>
  <c r="T18" i="40"/>
  <c r="S18" i="40"/>
  <c r="R18" i="40"/>
  <c r="Q18" i="40"/>
  <c r="P18" i="40"/>
  <c r="P10" i="40" s="1"/>
  <c r="O18" i="40"/>
  <c r="N18" i="40"/>
  <c r="M18" i="40"/>
  <c r="L18" i="40"/>
  <c r="K18" i="40"/>
  <c r="J18" i="40"/>
  <c r="I18" i="40"/>
  <c r="H18" i="40"/>
  <c r="C18" i="40"/>
  <c r="AL17" i="40"/>
  <c r="AK17" i="40"/>
  <c r="AJ17" i="40"/>
  <c r="AI17" i="40"/>
  <c r="AH17" i="40"/>
  <c r="AG17" i="40"/>
  <c r="AF17" i="40"/>
  <c r="AE17" i="40"/>
  <c r="AD17" i="40"/>
  <c r="AC17" i="40"/>
  <c r="AB17" i="40"/>
  <c r="AA17" i="40"/>
  <c r="Z17" i="40"/>
  <c r="Y17" i="40"/>
  <c r="X17" i="40"/>
  <c r="W17" i="40"/>
  <c r="V17" i="40"/>
  <c r="U17" i="40"/>
  <c r="T17" i="40"/>
  <c r="S17" i="40"/>
  <c r="R17" i="40"/>
  <c r="Q17" i="40"/>
  <c r="P17" i="40"/>
  <c r="O17" i="40"/>
  <c r="N17" i="40"/>
  <c r="M17" i="40"/>
  <c r="L17" i="40"/>
  <c r="K17" i="40"/>
  <c r="J17" i="40"/>
  <c r="I17" i="40"/>
  <c r="H17" i="40"/>
  <c r="A17" i="40"/>
  <c r="AL15" i="40"/>
  <c r="AK15" i="40"/>
  <c r="AK13" i="40" s="1"/>
  <c r="AJ15" i="40"/>
  <c r="AJ13" i="40" s="1"/>
  <c r="AI15" i="40"/>
  <c r="AH15" i="40"/>
  <c r="AG15" i="40"/>
  <c r="AF15" i="40"/>
  <c r="AE15" i="40"/>
  <c r="AD15" i="40"/>
  <c r="AC15" i="40"/>
  <c r="AB15" i="40"/>
  <c r="AB13" i="40" s="1"/>
  <c r="AA15" i="40"/>
  <c r="AA13" i="40" s="1"/>
  <c r="Z15" i="40"/>
  <c r="Z13" i="40" s="1"/>
  <c r="Y15" i="40"/>
  <c r="X15" i="40"/>
  <c r="AJ14" i="40"/>
  <c r="AI14" i="40"/>
  <c r="AH14" i="40"/>
  <c r="AG14" i="40"/>
  <c r="AF14" i="40"/>
  <c r="AE14" i="40"/>
  <c r="AD14" i="40"/>
  <c r="AC14" i="40"/>
  <c r="AB14" i="40"/>
  <c r="AA14" i="40"/>
  <c r="Z14" i="40"/>
  <c r="Z12" i="40" s="1"/>
  <c r="Y14" i="40"/>
  <c r="Y12" i="40" s="1"/>
  <c r="X14" i="40"/>
  <c r="X12" i="40" s="1"/>
  <c r="AI13" i="40"/>
  <c r="AH13" i="40"/>
  <c r="Y13" i="40"/>
  <c r="X13" i="40"/>
  <c r="AI12" i="40"/>
  <c r="AH12" i="40"/>
  <c r="AC12" i="40"/>
  <c r="AK11" i="40"/>
  <c r="AJ11" i="40"/>
  <c r="AI11" i="40"/>
  <c r="AH11" i="40"/>
  <c r="AG11" i="40"/>
  <c r="AG13" i="40" s="1"/>
  <c r="AF11" i="40"/>
  <c r="AF13" i="40" s="1"/>
  <c r="AE11" i="40"/>
  <c r="AE13" i="40" s="1"/>
  <c r="AD11" i="40"/>
  <c r="AC11" i="40"/>
  <c r="AB11" i="40"/>
  <c r="AA11" i="40"/>
  <c r="Z11" i="40"/>
  <c r="Y11" i="40"/>
  <c r="X11" i="40"/>
  <c r="W11" i="40"/>
  <c r="V11" i="40"/>
  <c r="P11" i="40"/>
  <c r="AL10" i="40"/>
  <c r="AK10" i="40"/>
  <c r="AJ10" i="40"/>
  <c r="AI10" i="40"/>
  <c r="AH10" i="40"/>
  <c r="AG10" i="40"/>
  <c r="AF10" i="40"/>
  <c r="AE10" i="40"/>
  <c r="AD10" i="40"/>
  <c r="AC10" i="40"/>
  <c r="AB10" i="40"/>
  <c r="AB12" i="40" s="1"/>
  <c r="AA10" i="40"/>
  <c r="AA12" i="40" s="1"/>
  <c r="Z10" i="40"/>
  <c r="Y10" i="40"/>
  <c r="X10" i="40"/>
  <c r="N10" i="40"/>
  <c r="M10" i="40"/>
  <c r="L10" i="40"/>
  <c r="K10" i="40"/>
  <c r="C7" i="40"/>
  <c r="F137" i="40" s="1"/>
  <c r="C6" i="40"/>
  <c r="AL122" i="39"/>
  <c r="AK122" i="39"/>
  <c r="AJ122" i="39"/>
  <c r="AI122" i="39"/>
  <c r="AH122" i="39"/>
  <c r="AG122" i="39"/>
  <c r="AF122" i="39"/>
  <c r="AE122" i="39"/>
  <c r="AD122" i="39"/>
  <c r="AC122" i="39"/>
  <c r="AB122" i="39"/>
  <c r="AA122" i="39"/>
  <c r="Z122" i="39"/>
  <c r="Y122" i="39"/>
  <c r="X122" i="39"/>
  <c r="W122" i="39"/>
  <c r="V122" i="39"/>
  <c r="U122" i="39"/>
  <c r="T122" i="39"/>
  <c r="S122" i="39"/>
  <c r="R122" i="39"/>
  <c r="Q122" i="39"/>
  <c r="P122" i="39"/>
  <c r="O122" i="39"/>
  <c r="N122" i="39"/>
  <c r="M122" i="39"/>
  <c r="L122" i="39"/>
  <c r="K122" i="39"/>
  <c r="J122" i="39"/>
  <c r="I122" i="39"/>
  <c r="H122" i="39"/>
  <c r="AE121" i="39"/>
  <c r="AD121" i="39"/>
  <c r="Q121" i="39"/>
  <c r="P121" i="39"/>
  <c r="O121" i="39"/>
  <c r="N121" i="39"/>
  <c r="H121" i="39"/>
  <c r="AL119" i="39"/>
  <c r="AK119" i="39"/>
  <c r="AJ119" i="39"/>
  <c r="AI119" i="39"/>
  <c r="AH119" i="39"/>
  <c r="AG119" i="39"/>
  <c r="AG121" i="39" s="1"/>
  <c r="AF119" i="39"/>
  <c r="AF121" i="39" s="1"/>
  <c r="AE119" i="39"/>
  <c r="AD119" i="39"/>
  <c r="AC119" i="39"/>
  <c r="AC121" i="39" s="1"/>
  <c r="AB119" i="39"/>
  <c r="AB121" i="39" s="1"/>
  <c r="AA119" i="39"/>
  <c r="AA121" i="39" s="1"/>
  <c r="Z119" i="39"/>
  <c r="Z121" i="39" s="1"/>
  <c r="Y119" i="39"/>
  <c r="X119" i="39"/>
  <c r="W119" i="39"/>
  <c r="V119" i="39"/>
  <c r="U119" i="39"/>
  <c r="T119" i="39"/>
  <c r="S119" i="39"/>
  <c r="R119" i="39"/>
  <c r="R121" i="39" s="1"/>
  <c r="Q119" i="39"/>
  <c r="P119" i="39"/>
  <c r="O119" i="39"/>
  <c r="N119" i="39"/>
  <c r="M119" i="39"/>
  <c r="M121" i="39" s="1"/>
  <c r="L119" i="39"/>
  <c r="L121" i="39" s="1"/>
  <c r="K119" i="39"/>
  <c r="J119" i="39"/>
  <c r="I119" i="39"/>
  <c r="H119" i="39"/>
  <c r="V117" i="39"/>
  <c r="U117" i="39"/>
  <c r="T117" i="39"/>
  <c r="O117" i="39"/>
  <c r="M117" i="39"/>
  <c r="M11" i="39" s="1"/>
  <c r="K117" i="39"/>
  <c r="K11" i="39" s="1"/>
  <c r="J117" i="39"/>
  <c r="J11" i="39" s="1"/>
  <c r="AL116" i="39"/>
  <c r="AK116" i="39"/>
  <c r="AJ116" i="39"/>
  <c r="AI116" i="39"/>
  <c r="AH116" i="39"/>
  <c r="AG116" i="39"/>
  <c r="AF116" i="39"/>
  <c r="AE116" i="39"/>
  <c r="AD116" i="39"/>
  <c r="AC116" i="39"/>
  <c r="AB116" i="39"/>
  <c r="AA116" i="39"/>
  <c r="Z116" i="39"/>
  <c r="Y116" i="39"/>
  <c r="Y121" i="39" s="1"/>
  <c r="X116" i="39"/>
  <c r="X121" i="39" s="1"/>
  <c r="W116" i="39"/>
  <c r="W121" i="39" s="1"/>
  <c r="V116" i="39"/>
  <c r="V121" i="39" s="1"/>
  <c r="U116" i="39"/>
  <c r="U121" i="39" s="1"/>
  <c r="T116" i="39"/>
  <c r="T121" i="39" s="1"/>
  <c r="S116" i="39"/>
  <c r="R116" i="39"/>
  <c r="Q116" i="39"/>
  <c r="P116" i="39"/>
  <c r="O116" i="39"/>
  <c r="N116" i="39"/>
  <c r="M116" i="39"/>
  <c r="L116" i="39"/>
  <c r="K116" i="39"/>
  <c r="K121" i="39" s="1"/>
  <c r="J116" i="39"/>
  <c r="J121" i="39" s="1"/>
  <c r="I116" i="39"/>
  <c r="I121" i="39" s="1"/>
  <c r="H116" i="39"/>
  <c r="C116" i="39"/>
  <c r="AL115" i="39"/>
  <c r="AK115" i="39"/>
  <c r="AJ115" i="39"/>
  <c r="AI115" i="39"/>
  <c r="AH115" i="39"/>
  <c r="AG115" i="39"/>
  <c r="AF115" i="39"/>
  <c r="AE115" i="39"/>
  <c r="AD115" i="39"/>
  <c r="AC115" i="39"/>
  <c r="AB115" i="39"/>
  <c r="AA115" i="39"/>
  <c r="Z115" i="39"/>
  <c r="Y115" i="39"/>
  <c r="X115" i="39"/>
  <c r="W115" i="39"/>
  <c r="V115" i="39"/>
  <c r="U115" i="39"/>
  <c r="T115" i="39"/>
  <c r="S115" i="39"/>
  <c r="R115" i="39"/>
  <c r="Q115" i="39"/>
  <c r="P115" i="39"/>
  <c r="O115" i="39"/>
  <c r="N115" i="39"/>
  <c r="M115" i="39"/>
  <c r="L115" i="39"/>
  <c r="K115" i="39"/>
  <c r="J115" i="39"/>
  <c r="H115" i="39"/>
  <c r="F115" i="39"/>
  <c r="F113" i="39" s="1"/>
  <c r="AL114" i="39"/>
  <c r="AK114" i="39"/>
  <c r="AJ114" i="39"/>
  <c r="AI114" i="39"/>
  <c r="AH114" i="39"/>
  <c r="AG114" i="39"/>
  <c r="X114" i="39"/>
  <c r="W114" i="39"/>
  <c r="V114" i="39"/>
  <c r="U114" i="39"/>
  <c r="AL112" i="39"/>
  <c r="AK112" i="39"/>
  <c r="AJ112" i="39"/>
  <c r="AI112" i="39"/>
  <c r="AH112" i="39"/>
  <c r="AG112" i="39"/>
  <c r="AF112" i="39"/>
  <c r="AE112" i="39"/>
  <c r="AD112" i="39"/>
  <c r="AD114" i="39" s="1"/>
  <c r="AC112" i="39"/>
  <c r="AB112" i="39"/>
  <c r="AA112" i="39"/>
  <c r="AA114" i="39" s="1"/>
  <c r="Z112" i="39"/>
  <c r="Z114" i="39" s="1"/>
  <c r="Y112" i="39"/>
  <c r="Y114" i="39" s="1"/>
  <c r="X112" i="39"/>
  <c r="W112" i="39"/>
  <c r="V112" i="39"/>
  <c r="U112" i="39"/>
  <c r="T112" i="39"/>
  <c r="T114" i="39" s="1"/>
  <c r="S112" i="39"/>
  <c r="R112" i="39"/>
  <c r="Q112" i="39"/>
  <c r="P112" i="39"/>
  <c r="P114" i="39" s="1"/>
  <c r="O112" i="39"/>
  <c r="O114" i="39" s="1"/>
  <c r="N112" i="39"/>
  <c r="N114" i="39" s="1"/>
  <c r="M112" i="39"/>
  <c r="M114" i="39" s="1"/>
  <c r="L112" i="39"/>
  <c r="K112" i="39"/>
  <c r="J112" i="39"/>
  <c r="I112" i="39"/>
  <c r="I114" i="39" s="1"/>
  <c r="H112" i="39"/>
  <c r="H114" i="39" s="1"/>
  <c r="I110" i="39"/>
  <c r="I115" i="39" s="1"/>
  <c r="F110" i="39"/>
  <c r="AL109" i="39"/>
  <c r="AK109" i="39"/>
  <c r="AJ109" i="39"/>
  <c r="AI109" i="39"/>
  <c r="AH109" i="39"/>
  <c r="AG109" i="39"/>
  <c r="AF109" i="39"/>
  <c r="AE109" i="39"/>
  <c r="AD109" i="39"/>
  <c r="AC109" i="39"/>
  <c r="AB109" i="39"/>
  <c r="AA109" i="39"/>
  <c r="Z109" i="39"/>
  <c r="Y109" i="39"/>
  <c r="X109" i="39"/>
  <c r="W109" i="39"/>
  <c r="V109" i="39"/>
  <c r="U109" i="39"/>
  <c r="T109" i="39"/>
  <c r="S109" i="39"/>
  <c r="R109" i="39"/>
  <c r="R10" i="39" s="1"/>
  <c r="Q109" i="39"/>
  <c r="F109" i="39" s="1"/>
  <c r="P109" i="39"/>
  <c r="O109" i="39"/>
  <c r="N109" i="39"/>
  <c r="M109" i="39"/>
  <c r="L109" i="39"/>
  <c r="L114" i="39" s="1"/>
  <c r="K109" i="39"/>
  <c r="K114" i="39" s="1"/>
  <c r="J109" i="39"/>
  <c r="I109" i="39"/>
  <c r="H109" i="39"/>
  <c r="C109" i="39"/>
  <c r="AL108" i="39"/>
  <c r="AK108" i="39"/>
  <c r="AJ108" i="39"/>
  <c r="AI108" i="39"/>
  <c r="AH108" i="39"/>
  <c r="AG108" i="39"/>
  <c r="AF108" i="39"/>
  <c r="AE108" i="39"/>
  <c r="AD108" i="39"/>
  <c r="AC108" i="39"/>
  <c r="AB108" i="39"/>
  <c r="AA108" i="39"/>
  <c r="Z108" i="39"/>
  <c r="Y108" i="39"/>
  <c r="X108" i="39"/>
  <c r="V108" i="39"/>
  <c r="S108" i="39"/>
  <c r="R108" i="39"/>
  <c r="Q108" i="39"/>
  <c r="P108" i="39"/>
  <c r="O108" i="39"/>
  <c r="N108" i="39"/>
  <c r="M108" i="39"/>
  <c r="L108" i="39"/>
  <c r="K108" i="39"/>
  <c r="J108" i="39"/>
  <c r="I108" i="39"/>
  <c r="H108" i="39"/>
  <c r="AE107" i="39"/>
  <c r="AD107" i="39"/>
  <c r="AC107" i="39"/>
  <c r="AB107" i="39"/>
  <c r="U107" i="39"/>
  <c r="T107" i="39"/>
  <c r="S107" i="39"/>
  <c r="AL105" i="39"/>
  <c r="AK105" i="39"/>
  <c r="AJ105" i="39"/>
  <c r="AJ107" i="39" s="1"/>
  <c r="AI105" i="39"/>
  <c r="AI107" i="39" s="1"/>
  <c r="AH105" i="39"/>
  <c r="AH107" i="39" s="1"/>
  <c r="AG105" i="39"/>
  <c r="AG107" i="39" s="1"/>
  <c r="AF105" i="39"/>
  <c r="AF107" i="39" s="1"/>
  <c r="AE105" i="39"/>
  <c r="AD105" i="39"/>
  <c r="AC105" i="39"/>
  <c r="AB105" i="39"/>
  <c r="AA105" i="39"/>
  <c r="Z105" i="39"/>
  <c r="Y105" i="39"/>
  <c r="X105" i="39"/>
  <c r="X107" i="39" s="1"/>
  <c r="W105" i="39"/>
  <c r="W107" i="39" s="1"/>
  <c r="V105" i="39"/>
  <c r="V107" i="39" s="1"/>
  <c r="U105" i="39"/>
  <c r="T105" i="39"/>
  <c r="S105" i="39"/>
  <c r="R105" i="39"/>
  <c r="Q105" i="39"/>
  <c r="Q107" i="39" s="1"/>
  <c r="P105" i="39"/>
  <c r="O105" i="39"/>
  <c r="N105" i="39"/>
  <c r="N107" i="39" s="1"/>
  <c r="M105" i="39"/>
  <c r="M107" i="39" s="1"/>
  <c r="L105" i="39"/>
  <c r="K105" i="39"/>
  <c r="J105" i="39"/>
  <c r="J107" i="39" s="1"/>
  <c r="I105" i="39"/>
  <c r="H105" i="39"/>
  <c r="W103" i="39"/>
  <c r="W108" i="39" s="1"/>
  <c r="U103" i="39"/>
  <c r="U108" i="39" s="1"/>
  <c r="T103" i="39"/>
  <c r="T108" i="39" s="1"/>
  <c r="F103" i="39"/>
  <c r="G103" i="39" s="1"/>
  <c r="AL102" i="39"/>
  <c r="AK102" i="39"/>
  <c r="AJ102" i="39"/>
  <c r="AI102" i="39"/>
  <c r="AH102" i="39"/>
  <c r="AG102" i="39"/>
  <c r="AF102" i="39"/>
  <c r="AE102" i="39"/>
  <c r="AD102" i="39"/>
  <c r="AC102" i="39"/>
  <c r="AB102" i="39"/>
  <c r="AA102" i="39"/>
  <c r="Z102" i="39"/>
  <c r="Y102" i="39"/>
  <c r="X102" i="39"/>
  <c r="W102" i="39"/>
  <c r="V102" i="39"/>
  <c r="U102" i="39"/>
  <c r="T102" i="39"/>
  <c r="S102" i="39"/>
  <c r="R102" i="39"/>
  <c r="R107" i="39" s="1"/>
  <c r="Q102" i="39"/>
  <c r="P102" i="39"/>
  <c r="O102" i="39"/>
  <c r="N102" i="39"/>
  <c r="M102" i="39"/>
  <c r="L102" i="39"/>
  <c r="K102" i="39"/>
  <c r="J102" i="39"/>
  <c r="I102" i="39"/>
  <c r="I107" i="39" s="1"/>
  <c r="H102" i="39"/>
  <c r="H107" i="39" s="1"/>
  <c r="F102" i="39"/>
  <c r="C102" i="39"/>
  <c r="AL101" i="39"/>
  <c r="AK101" i="39"/>
  <c r="AJ101" i="39"/>
  <c r="AI101" i="39"/>
  <c r="AH101" i="39"/>
  <c r="AG101" i="39"/>
  <c r="AF101" i="39"/>
  <c r="AE101" i="39"/>
  <c r="AD101" i="39"/>
  <c r="AC101" i="39"/>
  <c r="AB101" i="39"/>
  <c r="AA101" i="39"/>
  <c r="Z101" i="39"/>
  <c r="Y101" i="39"/>
  <c r="X101" i="39"/>
  <c r="W101" i="39"/>
  <c r="V101" i="39"/>
  <c r="U101" i="39"/>
  <c r="T101" i="39"/>
  <c r="S101" i="39"/>
  <c r="R101" i="39"/>
  <c r="Q101" i="39"/>
  <c r="P101" i="39"/>
  <c r="O101" i="39"/>
  <c r="N101" i="39"/>
  <c r="M101" i="39"/>
  <c r="L101" i="39"/>
  <c r="K101" i="39"/>
  <c r="J101" i="39"/>
  <c r="I101" i="39"/>
  <c r="H101" i="39"/>
  <c r="F101" i="39"/>
  <c r="AL100" i="39"/>
  <c r="AK100" i="39"/>
  <c r="W100" i="39"/>
  <c r="V100" i="39"/>
  <c r="U100" i="39"/>
  <c r="T100" i="39"/>
  <c r="S100" i="39"/>
  <c r="R100" i="39"/>
  <c r="Q100" i="39"/>
  <c r="N100" i="39"/>
  <c r="AL98" i="39"/>
  <c r="AK98" i="39"/>
  <c r="AJ98" i="39"/>
  <c r="AI98" i="39"/>
  <c r="AH98" i="39"/>
  <c r="AG98" i="39"/>
  <c r="AF98" i="39"/>
  <c r="AF100" i="39" s="1"/>
  <c r="AE98" i="39"/>
  <c r="AE100" i="39" s="1"/>
  <c r="AD98" i="39"/>
  <c r="AC98" i="39"/>
  <c r="AC100" i="39" s="1"/>
  <c r="AB98" i="39"/>
  <c r="AA98" i="39"/>
  <c r="Z98" i="39"/>
  <c r="Y98" i="39"/>
  <c r="Y100" i="39" s="1"/>
  <c r="X98" i="39"/>
  <c r="X100" i="39" s="1"/>
  <c r="W98" i="39"/>
  <c r="V98" i="39"/>
  <c r="U98" i="39"/>
  <c r="T98" i="39"/>
  <c r="S98" i="39"/>
  <c r="R98" i="39"/>
  <c r="Q98" i="39"/>
  <c r="P98" i="39"/>
  <c r="P100" i="39" s="1"/>
  <c r="O98" i="39"/>
  <c r="N98" i="39"/>
  <c r="M98" i="39"/>
  <c r="M100" i="39" s="1"/>
  <c r="L98" i="39"/>
  <c r="K98" i="39"/>
  <c r="J98" i="39"/>
  <c r="J100" i="39" s="1"/>
  <c r="I98" i="39"/>
  <c r="I100" i="39" s="1"/>
  <c r="H98" i="39"/>
  <c r="H100" i="39" s="1"/>
  <c r="L96" i="39"/>
  <c r="J96" i="39"/>
  <c r="AL95" i="39"/>
  <c r="AK95" i="39"/>
  <c r="AJ95" i="39"/>
  <c r="AI95" i="39"/>
  <c r="AH95" i="39"/>
  <c r="AG95" i="39"/>
  <c r="AF95" i="39"/>
  <c r="AE95" i="39"/>
  <c r="AD95" i="39"/>
  <c r="AD100" i="39" s="1"/>
  <c r="AC95" i="39"/>
  <c r="AB95" i="39"/>
  <c r="AB100" i="39" s="1"/>
  <c r="AA95" i="39"/>
  <c r="AA100" i="39" s="1"/>
  <c r="Z95" i="39"/>
  <c r="Y95" i="39"/>
  <c r="X95" i="39"/>
  <c r="W95" i="39"/>
  <c r="V95" i="39"/>
  <c r="U95" i="39"/>
  <c r="T95" i="39"/>
  <c r="S95" i="39"/>
  <c r="R95" i="39"/>
  <c r="Q95" i="39"/>
  <c r="P95" i="39"/>
  <c r="O95" i="39"/>
  <c r="N95" i="39"/>
  <c r="M95" i="39"/>
  <c r="L95" i="39"/>
  <c r="K95" i="39"/>
  <c r="J95" i="39"/>
  <c r="I95" i="39"/>
  <c r="H95" i="39"/>
  <c r="C95" i="39"/>
  <c r="AL94" i="39"/>
  <c r="AK94" i="39"/>
  <c r="AJ94" i="39"/>
  <c r="AI94" i="39"/>
  <c r="AH94" i="39"/>
  <c r="AG94" i="39"/>
  <c r="AF94" i="39"/>
  <c r="AE94" i="39"/>
  <c r="AD94" i="39"/>
  <c r="AC94" i="39"/>
  <c r="AB94" i="39"/>
  <c r="AA94" i="39"/>
  <c r="Z94" i="39"/>
  <c r="Y94" i="39"/>
  <c r="X94" i="39"/>
  <c r="W94" i="39"/>
  <c r="V94" i="39"/>
  <c r="U94" i="39"/>
  <c r="T94" i="39"/>
  <c r="S94" i="39"/>
  <c r="R94" i="39"/>
  <c r="Q94" i="39"/>
  <c r="P94" i="39"/>
  <c r="O94" i="39"/>
  <c r="N94" i="39"/>
  <c r="M94" i="39"/>
  <c r="L94" i="39"/>
  <c r="K94" i="39"/>
  <c r="J94" i="39"/>
  <c r="I94" i="39"/>
  <c r="H94" i="39"/>
  <c r="AL93" i="39"/>
  <c r="AK93" i="39"/>
  <c r="AJ93" i="39"/>
  <c r="AI93" i="39"/>
  <c r="AF93" i="39"/>
  <c r="AE93" i="39"/>
  <c r="AD93" i="39"/>
  <c r="AB93" i="39"/>
  <c r="AA93" i="39"/>
  <c r="Z93" i="39"/>
  <c r="Y93" i="39"/>
  <c r="V93" i="39"/>
  <c r="U93" i="39"/>
  <c r="T93" i="39"/>
  <c r="N93" i="39"/>
  <c r="M93" i="39"/>
  <c r="AL91" i="39"/>
  <c r="AK91" i="39"/>
  <c r="AJ91" i="39"/>
  <c r="AI91" i="39"/>
  <c r="AH91" i="39"/>
  <c r="AG91" i="39"/>
  <c r="AG93" i="39" s="1"/>
  <c r="AF91" i="39"/>
  <c r="AE91" i="39"/>
  <c r="AD91" i="39"/>
  <c r="AC91" i="39"/>
  <c r="AC93" i="39" s="1"/>
  <c r="AB91" i="39"/>
  <c r="AA91" i="39"/>
  <c r="Z91" i="39"/>
  <c r="Y91" i="39"/>
  <c r="X91" i="39"/>
  <c r="X93" i="39" s="1"/>
  <c r="W91" i="39"/>
  <c r="V91" i="39"/>
  <c r="U91" i="39"/>
  <c r="T91" i="39"/>
  <c r="S91" i="39"/>
  <c r="S93" i="39" s="1"/>
  <c r="R91" i="39"/>
  <c r="R93" i="39" s="1"/>
  <c r="Q91" i="39"/>
  <c r="Q93" i="39" s="1"/>
  <c r="P91" i="39"/>
  <c r="P93" i="39" s="1"/>
  <c r="O91" i="39"/>
  <c r="O93" i="39" s="1"/>
  <c r="N91" i="39"/>
  <c r="M91" i="39"/>
  <c r="L91" i="39"/>
  <c r="L93" i="39" s="1"/>
  <c r="K91" i="39"/>
  <c r="K93" i="39" s="1"/>
  <c r="J91" i="39"/>
  <c r="J93" i="39" s="1"/>
  <c r="I91" i="39"/>
  <c r="I93" i="39" s="1"/>
  <c r="H91" i="39"/>
  <c r="AL88" i="39"/>
  <c r="AK88" i="39"/>
  <c r="AJ88" i="39"/>
  <c r="AI88" i="39"/>
  <c r="AH88" i="39"/>
  <c r="AG88" i="39"/>
  <c r="AF88" i="39"/>
  <c r="AE88" i="39"/>
  <c r="AD88" i="39"/>
  <c r="AC88" i="39"/>
  <c r="AB88" i="39"/>
  <c r="AA88" i="39"/>
  <c r="Z88" i="39"/>
  <c r="Y88" i="39"/>
  <c r="X88" i="39"/>
  <c r="W88" i="39"/>
  <c r="V88" i="39"/>
  <c r="U88" i="39"/>
  <c r="T88" i="39"/>
  <c r="S88" i="39"/>
  <c r="R88" i="39"/>
  <c r="Q88" i="39"/>
  <c r="P88" i="39"/>
  <c r="O88" i="39"/>
  <c r="N88" i="39"/>
  <c r="M88" i="39"/>
  <c r="L88" i="39"/>
  <c r="K88" i="39"/>
  <c r="J88" i="39"/>
  <c r="I88" i="39"/>
  <c r="H88" i="39"/>
  <c r="C88" i="39"/>
  <c r="AL87" i="39"/>
  <c r="AK87" i="39"/>
  <c r="AJ87" i="39"/>
  <c r="AI87" i="39"/>
  <c r="AH87" i="39"/>
  <c r="AG87" i="39"/>
  <c r="AF87" i="39"/>
  <c r="AE87" i="39"/>
  <c r="AD87" i="39"/>
  <c r="AC87" i="39"/>
  <c r="AB87" i="39"/>
  <c r="AA87" i="39"/>
  <c r="Z87" i="39"/>
  <c r="Y87" i="39"/>
  <c r="X87" i="39"/>
  <c r="W87" i="39"/>
  <c r="V87" i="39"/>
  <c r="U87" i="39"/>
  <c r="T87" i="39"/>
  <c r="S87" i="39"/>
  <c r="R87" i="39"/>
  <c r="Q87" i="39"/>
  <c r="P87" i="39"/>
  <c r="L87" i="39"/>
  <c r="K87" i="39"/>
  <c r="J87" i="39"/>
  <c r="I87" i="39"/>
  <c r="H87" i="39"/>
  <c r="AF86" i="39"/>
  <c r="AE86" i="39"/>
  <c r="AD86" i="39"/>
  <c r="AA86" i="39"/>
  <c r="Z86" i="39"/>
  <c r="Y86" i="39"/>
  <c r="X86" i="39"/>
  <c r="W86" i="39"/>
  <c r="V86" i="39"/>
  <c r="U86" i="39"/>
  <c r="S86" i="39"/>
  <c r="R86" i="39"/>
  <c r="AL84" i="39"/>
  <c r="AK84" i="39"/>
  <c r="AJ84" i="39"/>
  <c r="AJ86" i="39" s="1"/>
  <c r="AI84" i="39"/>
  <c r="AI86" i="39" s="1"/>
  <c r="AH84" i="39"/>
  <c r="AH86" i="39" s="1"/>
  <c r="AG84" i="39"/>
  <c r="AG86" i="39" s="1"/>
  <c r="AF84" i="39"/>
  <c r="AE84" i="39"/>
  <c r="AD84" i="39"/>
  <c r="AC84" i="39"/>
  <c r="AB84" i="39"/>
  <c r="AA84" i="39"/>
  <c r="Z84" i="39"/>
  <c r="Y84" i="39"/>
  <c r="X84" i="39"/>
  <c r="W84" i="39"/>
  <c r="V84" i="39"/>
  <c r="U84" i="39"/>
  <c r="T84" i="39"/>
  <c r="T86" i="39" s="1"/>
  <c r="S84" i="39"/>
  <c r="R84" i="39"/>
  <c r="Q84" i="39"/>
  <c r="P84" i="39"/>
  <c r="O84" i="39"/>
  <c r="N84" i="39"/>
  <c r="M84" i="39"/>
  <c r="M86" i="39" s="1"/>
  <c r="L84" i="39"/>
  <c r="L86" i="39" s="1"/>
  <c r="K84" i="39"/>
  <c r="K86" i="39" s="1"/>
  <c r="J84" i="39"/>
  <c r="J86" i="39" s="1"/>
  <c r="I84" i="39"/>
  <c r="H84" i="39"/>
  <c r="O82" i="39"/>
  <c r="O87" i="39" s="1"/>
  <c r="N82" i="39"/>
  <c r="N87" i="39" s="1"/>
  <c r="F82" i="39"/>
  <c r="G82" i="39" s="1"/>
  <c r="AL81" i="39"/>
  <c r="AK81" i="39"/>
  <c r="AJ81" i="39"/>
  <c r="AI81" i="39"/>
  <c r="AH81" i="39"/>
  <c r="AG81" i="39"/>
  <c r="AF81" i="39"/>
  <c r="AE81" i="39"/>
  <c r="AD81" i="39"/>
  <c r="AC81" i="39"/>
  <c r="AB81" i="39"/>
  <c r="AA81" i="39"/>
  <c r="Z81" i="39"/>
  <c r="Y81" i="39"/>
  <c r="X81" i="39"/>
  <c r="W81" i="39"/>
  <c r="V81" i="39"/>
  <c r="U81" i="39"/>
  <c r="T81" i="39"/>
  <c r="S81" i="39"/>
  <c r="R81" i="39"/>
  <c r="Q81" i="39"/>
  <c r="P81" i="39"/>
  <c r="O81" i="39"/>
  <c r="N81" i="39"/>
  <c r="M81" i="39"/>
  <c r="L81" i="39"/>
  <c r="K81" i="39"/>
  <c r="J81" i="39"/>
  <c r="I81" i="39"/>
  <c r="I86" i="39" s="1"/>
  <c r="H81" i="39"/>
  <c r="H86" i="39" s="1"/>
  <c r="F81" i="39"/>
  <c r="C81" i="39"/>
  <c r="AL80" i="39"/>
  <c r="AK80" i="39"/>
  <c r="AJ80" i="39"/>
  <c r="AI80" i="39"/>
  <c r="AH80" i="39"/>
  <c r="AG80" i="39"/>
  <c r="AF80" i="39"/>
  <c r="AE80" i="39"/>
  <c r="AD80" i="39"/>
  <c r="AC80" i="39"/>
  <c r="AB80" i="39"/>
  <c r="AA80" i="39"/>
  <c r="Z80" i="39"/>
  <c r="Y80" i="39"/>
  <c r="X80" i="39"/>
  <c r="W80" i="39"/>
  <c r="V80" i="39"/>
  <c r="U80" i="39"/>
  <c r="T80" i="39"/>
  <c r="S80" i="39"/>
  <c r="R80" i="39"/>
  <c r="Q80" i="39"/>
  <c r="P80" i="39"/>
  <c r="O80" i="39"/>
  <c r="N80" i="39"/>
  <c r="M80" i="39"/>
  <c r="L80" i="39"/>
  <c r="K80" i="39"/>
  <c r="J80" i="39"/>
  <c r="I80" i="39"/>
  <c r="H80" i="39"/>
  <c r="F80" i="39"/>
  <c r="F78" i="39" s="1"/>
  <c r="AD79" i="39"/>
  <c r="AC79" i="39"/>
  <c r="AB79" i="39"/>
  <c r="AA79" i="39"/>
  <c r="Z79" i="39"/>
  <c r="Q79" i="39"/>
  <c r="K79" i="39"/>
  <c r="AL77" i="39"/>
  <c r="AK77" i="39"/>
  <c r="AJ77" i="39"/>
  <c r="AI77" i="39"/>
  <c r="AH77" i="39"/>
  <c r="AG77" i="39"/>
  <c r="AF77" i="39"/>
  <c r="AF79" i="39" s="1"/>
  <c r="AE77" i="39"/>
  <c r="AE79" i="39" s="1"/>
  <c r="AD77" i="39"/>
  <c r="AC77" i="39"/>
  <c r="AB77" i="39"/>
  <c r="AA77" i="39"/>
  <c r="Z77" i="39"/>
  <c r="Y77" i="39"/>
  <c r="X77" i="39"/>
  <c r="W77" i="39"/>
  <c r="V77" i="39"/>
  <c r="U77" i="39"/>
  <c r="U79" i="39" s="1"/>
  <c r="T77" i="39"/>
  <c r="T79" i="39" s="1"/>
  <c r="S77" i="39"/>
  <c r="S79" i="39" s="1"/>
  <c r="R77" i="39"/>
  <c r="R79" i="39" s="1"/>
  <c r="Q77" i="39"/>
  <c r="P77" i="39"/>
  <c r="O77" i="39"/>
  <c r="N77" i="39"/>
  <c r="N79" i="39" s="1"/>
  <c r="M77" i="39"/>
  <c r="M79" i="39" s="1"/>
  <c r="L77" i="39"/>
  <c r="K77" i="39"/>
  <c r="J77" i="39"/>
  <c r="J79" i="39" s="1"/>
  <c r="I77" i="39"/>
  <c r="I79" i="39" s="1"/>
  <c r="H77" i="39"/>
  <c r="H79" i="39" s="1"/>
  <c r="O75" i="39"/>
  <c r="L75" i="39"/>
  <c r="F75" i="39"/>
  <c r="AL74" i="39"/>
  <c r="AL79" i="39" s="1"/>
  <c r="AK74" i="39"/>
  <c r="AJ74" i="39"/>
  <c r="AI74" i="39"/>
  <c r="AH74" i="39"/>
  <c r="AG74" i="39"/>
  <c r="AF74" i="39"/>
  <c r="AE74" i="39"/>
  <c r="AD74" i="39"/>
  <c r="AC74" i="39"/>
  <c r="AB74" i="39"/>
  <c r="AA74" i="39"/>
  <c r="Z74" i="39"/>
  <c r="Y74" i="39"/>
  <c r="X74" i="39"/>
  <c r="W74" i="39"/>
  <c r="V74" i="39"/>
  <c r="F74" i="39" s="1"/>
  <c r="U74" i="39"/>
  <c r="T74" i="39"/>
  <c r="S74" i="39"/>
  <c r="R74" i="39"/>
  <c r="Q74" i="39"/>
  <c r="P74" i="39"/>
  <c r="P79" i="39" s="1"/>
  <c r="O74" i="39"/>
  <c r="N74" i="39"/>
  <c r="M74" i="39"/>
  <c r="L74" i="39"/>
  <c r="L79" i="39" s="1"/>
  <c r="K74" i="39"/>
  <c r="J74" i="39"/>
  <c r="I74" i="39"/>
  <c r="H74" i="39"/>
  <c r="C74" i="39"/>
  <c r="AL73" i="39"/>
  <c r="AK73" i="39"/>
  <c r="AJ73" i="39"/>
  <c r="AI73" i="39"/>
  <c r="AH73" i="39"/>
  <c r="AG73" i="39"/>
  <c r="AF73" i="39"/>
  <c r="AE73" i="39"/>
  <c r="AD73" i="39"/>
  <c r="AC73" i="39"/>
  <c r="AB73" i="39"/>
  <c r="AA73" i="39"/>
  <c r="Z73" i="39"/>
  <c r="Y73" i="39"/>
  <c r="X73" i="39"/>
  <c r="W73" i="39"/>
  <c r="V73" i="39"/>
  <c r="U73" i="39"/>
  <c r="T73" i="39"/>
  <c r="S73" i="39"/>
  <c r="R73" i="39"/>
  <c r="Q73" i="39"/>
  <c r="P73" i="39"/>
  <c r="N73" i="39"/>
  <c r="M73" i="39"/>
  <c r="L73" i="39"/>
  <c r="K73" i="39"/>
  <c r="J73" i="39"/>
  <c r="I73" i="39"/>
  <c r="H73" i="39"/>
  <c r="AL72" i="39"/>
  <c r="AK72" i="39"/>
  <c r="AJ72" i="39"/>
  <c r="AI72" i="39"/>
  <c r="AH72" i="39"/>
  <c r="Q72" i="39"/>
  <c r="P72" i="39"/>
  <c r="I72" i="39"/>
  <c r="H72" i="39"/>
  <c r="AL70" i="39"/>
  <c r="AK70" i="39"/>
  <c r="AJ70" i="39"/>
  <c r="AI70" i="39"/>
  <c r="AH70" i="39"/>
  <c r="AG70" i="39"/>
  <c r="AG72" i="39" s="1"/>
  <c r="AF70" i="39"/>
  <c r="AF72" i="39" s="1"/>
  <c r="AE70" i="39"/>
  <c r="AE72" i="39" s="1"/>
  <c r="AD70" i="39"/>
  <c r="AD72" i="39" s="1"/>
  <c r="AC70" i="39"/>
  <c r="AC72" i="39" s="1"/>
  <c r="AB70" i="39"/>
  <c r="AB72" i="39" s="1"/>
  <c r="AA70" i="39"/>
  <c r="AA72" i="39" s="1"/>
  <c r="Z70" i="39"/>
  <c r="Y70" i="39"/>
  <c r="X70" i="39"/>
  <c r="W70" i="39"/>
  <c r="V70" i="39"/>
  <c r="U70" i="39"/>
  <c r="T70" i="39"/>
  <c r="S70" i="39"/>
  <c r="R70" i="39"/>
  <c r="Q70" i="39"/>
  <c r="P70" i="39"/>
  <c r="O70" i="39"/>
  <c r="N70" i="39"/>
  <c r="M70" i="39"/>
  <c r="L70" i="39"/>
  <c r="K70" i="39"/>
  <c r="K72" i="39" s="1"/>
  <c r="J70" i="39"/>
  <c r="J72" i="39" s="1"/>
  <c r="I70" i="39"/>
  <c r="H70" i="39"/>
  <c r="O68" i="39"/>
  <c r="O73" i="39" s="1"/>
  <c r="AL67" i="39"/>
  <c r="AK67" i="39"/>
  <c r="AJ67" i="39"/>
  <c r="AI67" i="39"/>
  <c r="AH67" i="39"/>
  <c r="AG67" i="39"/>
  <c r="AF67" i="39"/>
  <c r="AE67" i="39"/>
  <c r="AD67" i="39"/>
  <c r="AC67" i="39"/>
  <c r="AB67" i="39"/>
  <c r="AA67" i="39"/>
  <c r="Z67" i="39"/>
  <c r="Z72" i="39" s="1"/>
  <c r="Y67" i="39"/>
  <c r="Y72" i="39" s="1"/>
  <c r="X67" i="39"/>
  <c r="X72" i="39" s="1"/>
  <c r="W67" i="39"/>
  <c r="V67" i="39"/>
  <c r="U67" i="39"/>
  <c r="U72" i="39" s="1"/>
  <c r="T67" i="39"/>
  <c r="T72" i="39" s="1"/>
  <c r="S67" i="39"/>
  <c r="S72" i="39" s="1"/>
  <c r="R67" i="39"/>
  <c r="R72" i="39" s="1"/>
  <c r="Q67" i="39"/>
  <c r="P67" i="39"/>
  <c r="O67" i="39"/>
  <c r="O72" i="39" s="1"/>
  <c r="N67" i="39"/>
  <c r="N72" i="39" s="1"/>
  <c r="M67" i="39"/>
  <c r="L67" i="39"/>
  <c r="K67" i="39"/>
  <c r="J67" i="39"/>
  <c r="I67" i="39"/>
  <c r="H67" i="39"/>
  <c r="C67" i="39"/>
  <c r="AL66" i="39"/>
  <c r="AK66" i="39"/>
  <c r="AJ66" i="39"/>
  <c r="AI66" i="39"/>
  <c r="AH66" i="39"/>
  <c r="AG66" i="39"/>
  <c r="AF66" i="39"/>
  <c r="AE66" i="39"/>
  <c r="AD66" i="39"/>
  <c r="AC66" i="39"/>
  <c r="AB66" i="39"/>
  <c r="AA66" i="39"/>
  <c r="Z66" i="39"/>
  <c r="Y66" i="39"/>
  <c r="X66" i="39"/>
  <c r="W66" i="39"/>
  <c r="V66" i="39"/>
  <c r="U66" i="39"/>
  <c r="T66" i="39"/>
  <c r="S66" i="39"/>
  <c r="R66" i="39"/>
  <c r="Q66" i="39"/>
  <c r="P66" i="39"/>
  <c r="O66" i="39"/>
  <c r="N66" i="39"/>
  <c r="M66" i="39"/>
  <c r="L66" i="39"/>
  <c r="K66" i="39"/>
  <c r="J66" i="39"/>
  <c r="I66" i="39"/>
  <c r="H66" i="39"/>
  <c r="AC65" i="39"/>
  <c r="AA65" i="39"/>
  <c r="Z65" i="39"/>
  <c r="Y65" i="39"/>
  <c r="X65" i="39"/>
  <c r="AL63" i="39"/>
  <c r="AK63" i="39"/>
  <c r="AJ63" i="39"/>
  <c r="AI63" i="39"/>
  <c r="AI65" i="39" s="1"/>
  <c r="AH63" i="39"/>
  <c r="AG63" i="39"/>
  <c r="AF63" i="39"/>
  <c r="AE63" i="39"/>
  <c r="AE65" i="39" s="1"/>
  <c r="AD63" i="39"/>
  <c r="AD65" i="39" s="1"/>
  <c r="AC63" i="39"/>
  <c r="AB63" i="39"/>
  <c r="AA63" i="39"/>
  <c r="Z63" i="39"/>
  <c r="Y63" i="39"/>
  <c r="X63" i="39"/>
  <c r="W63" i="39"/>
  <c r="W65" i="39" s="1"/>
  <c r="V63" i="39"/>
  <c r="V65" i="39" s="1"/>
  <c r="U63" i="39"/>
  <c r="U65" i="39" s="1"/>
  <c r="T63" i="39"/>
  <c r="S63" i="39"/>
  <c r="R63" i="39"/>
  <c r="Q63" i="39"/>
  <c r="P63" i="39"/>
  <c r="O63" i="39"/>
  <c r="O65" i="39" s="1"/>
  <c r="N63" i="39"/>
  <c r="N65" i="39" s="1"/>
  <c r="M63" i="39"/>
  <c r="M65" i="39" s="1"/>
  <c r="L63" i="39"/>
  <c r="L65" i="39" s="1"/>
  <c r="K63" i="39"/>
  <c r="K65" i="39" s="1"/>
  <c r="J63" i="39"/>
  <c r="J65" i="39" s="1"/>
  <c r="I63" i="39"/>
  <c r="I65" i="39" s="1"/>
  <c r="H63" i="39"/>
  <c r="T61" i="39"/>
  <c r="S61" i="39"/>
  <c r="J61" i="39"/>
  <c r="H61" i="39"/>
  <c r="AL60" i="39"/>
  <c r="AK60" i="39"/>
  <c r="AJ60" i="39"/>
  <c r="AI60" i="39"/>
  <c r="AH60" i="39"/>
  <c r="AG60" i="39"/>
  <c r="AF60" i="39"/>
  <c r="AE60" i="39"/>
  <c r="AD60" i="39"/>
  <c r="AC60" i="39"/>
  <c r="AB60" i="39"/>
  <c r="AA60" i="39"/>
  <c r="Z60" i="39"/>
  <c r="Y60" i="39"/>
  <c r="X60" i="39"/>
  <c r="W60" i="39"/>
  <c r="V60" i="39"/>
  <c r="U60" i="39"/>
  <c r="T60" i="39"/>
  <c r="T65" i="39" s="1"/>
  <c r="S60" i="39"/>
  <c r="S65" i="39" s="1"/>
  <c r="R60" i="39"/>
  <c r="Q60" i="39"/>
  <c r="P60" i="39"/>
  <c r="O60" i="39"/>
  <c r="N60" i="39"/>
  <c r="M60" i="39"/>
  <c r="L60" i="39"/>
  <c r="J60" i="39"/>
  <c r="I60" i="39"/>
  <c r="H60" i="39"/>
  <c r="C60" i="39"/>
  <c r="AL59" i="39"/>
  <c r="AK59" i="39"/>
  <c r="AJ59" i="39"/>
  <c r="AI59" i="39"/>
  <c r="AH59" i="39"/>
  <c r="AG59" i="39"/>
  <c r="AF59" i="39"/>
  <c r="AE59" i="39"/>
  <c r="AD59" i="39"/>
  <c r="AC59" i="39"/>
  <c r="AB59" i="39"/>
  <c r="AA59" i="39"/>
  <c r="Z59" i="39"/>
  <c r="Y59" i="39"/>
  <c r="X59" i="39"/>
  <c r="W59" i="39"/>
  <c r="V59" i="39"/>
  <c r="U59" i="39"/>
  <c r="T59" i="39"/>
  <c r="S59" i="39"/>
  <c r="R59" i="39"/>
  <c r="Q59" i="39"/>
  <c r="P59" i="39"/>
  <c r="O59" i="39"/>
  <c r="N59" i="39"/>
  <c r="M59" i="39"/>
  <c r="L59" i="39"/>
  <c r="K59" i="39"/>
  <c r="J59" i="39"/>
  <c r="I59" i="39"/>
  <c r="H59" i="39"/>
  <c r="AL58" i="39"/>
  <c r="AK58" i="39"/>
  <c r="AI58" i="39"/>
  <c r="AH58" i="39"/>
  <c r="AF58" i="39"/>
  <c r="AE58" i="39"/>
  <c r="AD58" i="39"/>
  <c r="AC58" i="39"/>
  <c r="O58" i="39"/>
  <c r="N58" i="39"/>
  <c r="AL56" i="39"/>
  <c r="AK56" i="39"/>
  <c r="AJ56" i="39"/>
  <c r="AI56" i="39"/>
  <c r="AH56" i="39"/>
  <c r="AG56" i="39"/>
  <c r="AF56" i="39"/>
  <c r="AE56" i="39"/>
  <c r="AD56" i="39"/>
  <c r="AC56" i="39"/>
  <c r="AB56" i="39"/>
  <c r="AB58" i="39" s="1"/>
  <c r="AA56" i="39"/>
  <c r="AA58" i="39" s="1"/>
  <c r="Z56" i="39"/>
  <c r="Y56" i="39"/>
  <c r="X56" i="39"/>
  <c r="W56" i="39"/>
  <c r="W58" i="39" s="1"/>
  <c r="V56" i="39"/>
  <c r="V58" i="39" s="1"/>
  <c r="U56" i="39"/>
  <c r="T56" i="39"/>
  <c r="S56" i="39"/>
  <c r="R56" i="39"/>
  <c r="R58" i="39" s="1"/>
  <c r="Q56" i="39"/>
  <c r="Q58" i="39" s="1"/>
  <c r="P56" i="39"/>
  <c r="P58" i="39" s="1"/>
  <c r="O56" i="39"/>
  <c r="N56" i="39"/>
  <c r="M56" i="39"/>
  <c r="M58" i="39" s="1"/>
  <c r="L56" i="39"/>
  <c r="L58" i="39" s="1"/>
  <c r="K56" i="39"/>
  <c r="K58" i="39" s="1"/>
  <c r="J56" i="39"/>
  <c r="I56" i="39"/>
  <c r="H56" i="39"/>
  <c r="F54" i="39"/>
  <c r="AL53" i="39"/>
  <c r="AK53" i="39"/>
  <c r="AJ53" i="39"/>
  <c r="AI53" i="39"/>
  <c r="AH53" i="39"/>
  <c r="AG53" i="39"/>
  <c r="AF53" i="39"/>
  <c r="AE53" i="39"/>
  <c r="AD53" i="39"/>
  <c r="AC53" i="39"/>
  <c r="AB53" i="39"/>
  <c r="AA53" i="39"/>
  <c r="Z53" i="39"/>
  <c r="Z58" i="39" s="1"/>
  <c r="Y53" i="39"/>
  <c r="X53" i="39"/>
  <c r="W53" i="39"/>
  <c r="V53" i="39"/>
  <c r="U53" i="39"/>
  <c r="U10" i="39" s="1"/>
  <c r="T53" i="39"/>
  <c r="T10" i="39" s="1"/>
  <c r="S53" i="39"/>
  <c r="R53" i="39"/>
  <c r="Q53" i="39"/>
  <c r="P53" i="39"/>
  <c r="O53" i="39"/>
  <c r="N53" i="39"/>
  <c r="M53" i="39"/>
  <c r="L53" i="39"/>
  <c r="K53" i="39"/>
  <c r="J53" i="39"/>
  <c r="I53" i="39"/>
  <c r="H53" i="39"/>
  <c r="C53" i="39"/>
  <c r="AL52" i="39"/>
  <c r="AK52" i="39"/>
  <c r="AJ52" i="39"/>
  <c r="AI52" i="39"/>
  <c r="AH52" i="39"/>
  <c r="AG52" i="39"/>
  <c r="AF52" i="39"/>
  <c r="AE52" i="39"/>
  <c r="AD52" i="39"/>
  <c r="AC52" i="39"/>
  <c r="AB52" i="39"/>
  <c r="AA52" i="39"/>
  <c r="Z52" i="39"/>
  <c r="Y52" i="39"/>
  <c r="X52" i="39"/>
  <c r="W52" i="39"/>
  <c r="V52" i="39"/>
  <c r="U52" i="39"/>
  <c r="T52" i="39"/>
  <c r="S52" i="39"/>
  <c r="R52" i="39"/>
  <c r="Q52" i="39"/>
  <c r="P52" i="39"/>
  <c r="O52" i="39"/>
  <c r="N52" i="39"/>
  <c r="M52" i="39"/>
  <c r="L52" i="39"/>
  <c r="K52" i="39"/>
  <c r="J52" i="39"/>
  <c r="I52" i="39"/>
  <c r="H52" i="39"/>
  <c r="F52" i="39" s="1"/>
  <c r="AK51" i="39"/>
  <c r="AJ51" i="39"/>
  <c r="AI51" i="39"/>
  <c r="AH51" i="39"/>
  <c r="AF51" i="39"/>
  <c r="AE51" i="39"/>
  <c r="AB51" i="39"/>
  <c r="AA51" i="39"/>
  <c r="Z51" i="39"/>
  <c r="Y51" i="39"/>
  <c r="X51" i="39"/>
  <c r="W51" i="39"/>
  <c r="V51" i="39"/>
  <c r="U51" i="39"/>
  <c r="T51" i="39"/>
  <c r="S51" i="39"/>
  <c r="L51" i="39"/>
  <c r="K51" i="39"/>
  <c r="AL49" i="39"/>
  <c r="AK49" i="39"/>
  <c r="AJ49" i="39"/>
  <c r="AI49" i="39"/>
  <c r="AH49" i="39"/>
  <c r="AG49" i="39"/>
  <c r="AG51" i="39" s="1"/>
  <c r="AF49" i="39"/>
  <c r="AE49" i="39"/>
  <c r="AD49" i="39"/>
  <c r="AD51" i="39" s="1"/>
  <c r="AC49" i="39"/>
  <c r="AC51" i="39" s="1"/>
  <c r="AB49" i="39"/>
  <c r="AA49" i="39"/>
  <c r="Z49" i="39"/>
  <c r="Y49" i="39"/>
  <c r="X49" i="39"/>
  <c r="W49" i="39"/>
  <c r="V49" i="39"/>
  <c r="U49" i="39"/>
  <c r="T49" i="39"/>
  <c r="S49" i="39"/>
  <c r="R49" i="39"/>
  <c r="R51" i="39" s="1"/>
  <c r="Q49" i="39"/>
  <c r="Q51" i="39" s="1"/>
  <c r="P49" i="39"/>
  <c r="P51" i="39" s="1"/>
  <c r="O49" i="39"/>
  <c r="N49" i="39"/>
  <c r="M49" i="39"/>
  <c r="M51" i="39" s="1"/>
  <c r="L49" i="39"/>
  <c r="K49" i="39"/>
  <c r="J49" i="39"/>
  <c r="I49" i="39"/>
  <c r="I51" i="39" s="1"/>
  <c r="H49" i="39"/>
  <c r="AL46" i="39"/>
  <c r="AK46" i="39"/>
  <c r="AJ46" i="39"/>
  <c r="AI46" i="39"/>
  <c r="AH46" i="39"/>
  <c r="AG46" i="39"/>
  <c r="AF46" i="39"/>
  <c r="AE46" i="39"/>
  <c r="AD46" i="39"/>
  <c r="AC46" i="39"/>
  <c r="AB46" i="39"/>
  <c r="AA46" i="39"/>
  <c r="Z46" i="39"/>
  <c r="Y46" i="39"/>
  <c r="X46" i="39"/>
  <c r="W46" i="39"/>
  <c r="V46" i="39"/>
  <c r="U46" i="39"/>
  <c r="T46" i="39"/>
  <c r="S46" i="39"/>
  <c r="R46" i="39"/>
  <c r="Q46" i="39"/>
  <c r="P46" i="39"/>
  <c r="O46" i="39"/>
  <c r="N46" i="39"/>
  <c r="M46" i="39"/>
  <c r="L46" i="39"/>
  <c r="K46" i="39"/>
  <c r="J46" i="39"/>
  <c r="J51" i="39" s="1"/>
  <c r="I46" i="39"/>
  <c r="H46" i="39"/>
  <c r="F46" i="39"/>
  <c r="G47" i="39" s="1"/>
  <c r="C46" i="39"/>
  <c r="AL45" i="39"/>
  <c r="AK45" i="39"/>
  <c r="AJ45" i="39"/>
  <c r="AI45" i="39"/>
  <c r="AH45" i="39"/>
  <c r="AG45" i="39"/>
  <c r="AF45" i="39"/>
  <c r="AE45" i="39"/>
  <c r="AD45" i="39"/>
  <c r="AC45" i="39"/>
  <c r="AB45" i="39"/>
  <c r="AA45" i="39"/>
  <c r="Z45" i="39"/>
  <c r="Y45" i="39"/>
  <c r="X45" i="39"/>
  <c r="W45" i="39"/>
  <c r="V45" i="39"/>
  <c r="U45" i="39"/>
  <c r="T45" i="39"/>
  <c r="S45" i="39"/>
  <c r="R45" i="39"/>
  <c r="Q45" i="39"/>
  <c r="P45" i="39"/>
  <c r="O45" i="39"/>
  <c r="N45" i="39"/>
  <c r="M45" i="39"/>
  <c r="L45" i="39"/>
  <c r="K45" i="39"/>
  <c r="J45" i="39"/>
  <c r="I45" i="39"/>
  <c r="H45" i="39"/>
  <c r="AL44" i="39"/>
  <c r="AK44" i="39"/>
  <c r="AJ44" i="39"/>
  <c r="AC44" i="39"/>
  <c r="AB44" i="39"/>
  <c r="Z44" i="39"/>
  <c r="Y44" i="39"/>
  <c r="X44" i="39"/>
  <c r="Q44" i="39"/>
  <c r="P44" i="39"/>
  <c r="O44" i="39"/>
  <c r="N44" i="39"/>
  <c r="H44" i="39"/>
  <c r="AL42" i="39"/>
  <c r="AK42" i="39"/>
  <c r="AJ42" i="39"/>
  <c r="AI42" i="39"/>
  <c r="AH42" i="39"/>
  <c r="AH44" i="39" s="1"/>
  <c r="AG42" i="39"/>
  <c r="AG44" i="39" s="1"/>
  <c r="AF42" i="39"/>
  <c r="AE42" i="39"/>
  <c r="AD42" i="39"/>
  <c r="AC42" i="39"/>
  <c r="AB42" i="39"/>
  <c r="AA42" i="39"/>
  <c r="AA44" i="39" s="1"/>
  <c r="Z42" i="39"/>
  <c r="Y42" i="39"/>
  <c r="X42" i="39"/>
  <c r="W42" i="39"/>
  <c r="W44" i="39" s="1"/>
  <c r="V42" i="39"/>
  <c r="V44" i="39" s="1"/>
  <c r="U42" i="39"/>
  <c r="T42" i="39"/>
  <c r="S42" i="39"/>
  <c r="S44" i="39" s="1"/>
  <c r="R42" i="39"/>
  <c r="Q42" i="39"/>
  <c r="P42" i="39"/>
  <c r="O42" i="39"/>
  <c r="N42" i="39"/>
  <c r="M42" i="39"/>
  <c r="L42" i="39"/>
  <c r="K42" i="39"/>
  <c r="K44" i="39" s="1"/>
  <c r="J42" i="39"/>
  <c r="J44" i="39" s="1"/>
  <c r="I42" i="39"/>
  <c r="I44" i="39" s="1"/>
  <c r="H42" i="39"/>
  <c r="J40" i="39"/>
  <c r="AL39" i="39"/>
  <c r="AK39" i="39"/>
  <c r="AJ39" i="39"/>
  <c r="AI39" i="39"/>
  <c r="AH39" i="39"/>
  <c r="AG39" i="39"/>
  <c r="AF39" i="39"/>
  <c r="AE39" i="39"/>
  <c r="AD39" i="39"/>
  <c r="AC39" i="39"/>
  <c r="AB39" i="39"/>
  <c r="AA39" i="39"/>
  <c r="Z39" i="39"/>
  <c r="Y39" i="39"/>
  <c r="X39" i="39"/>
  <c r="W39" i="39"/>
  <c r="V39" i="39"/>
  <c r="U39" i="39"/>
  <c r="T39" i="39"/>
  <c r="S39" i="39"/>
  <c r="R39" i="39"/>
  <c r="Q39" i="39"/>
  <c r="P39" i="39"/>
  <c r="O39" i="39"/>
  <c r="N39" i="39"/>
  <c r="M39" i="39"/>
  <c r="L39" i="39"/>
  <c r="L44" i="39" s="1"/>
  <c r="K39" i="39"/>
  <c r="J39" i="39"/>
  <c r="I39" i="39"/>
  <c r="H39" i="39"/>
  <c r="C39" i="39"/>
  <c r="AL38" i="39"/>
  <c r="AK38" i="39"/>
  <c r="AJ38" i="39"/>
  <c r="AI38" i="39"/>
  <c r="AH38" i="39"/>
  <c r="AG38" i="39"/>
  <c r="AF38" i="39"/>
  <c r="AE38" i="39"/>
  <c r="AD38" i="39"/>
  <c r="AC38" i="39"/>
  <c r="AB38" i="39"/>
  <c r="AA38" i="39"/>
  <c r="Z38" i="39"/>
  <c r="Y38" i="39"/>
  <c r="X38" i="39"/>
  <c r="W38" i="39"/>
  <c r="V38" i="39"/>
  <c r="U38" i="39"/>
  <c r="T38" i="39"/>
  <c r="S38" i="39"/>
  <c r="R38" i="39"/>
  <c r="Q38" i="39"/>
  <c r="P38" i="39"/>
  <c r="O38" i="39"/>
  <c r="N38" i="39"/>
  <c r="M38" i="39"/>
  <c r="L38" i="39"/>
  <c r="K38" i="39"/>
  <c r="J38" i="39"/>
  <c r="I38" i="39"/>
  <c r="AG37" i="39"/>
  <c r="AF37" i="39"/>
  <c r="AE37" i="39"/>
  <c r="AD37" i="39"/>
  <c r="AC37" i="39"/>
  <c r="V37" i="39"/>
  <c r="U37" i="39"/>
  <c r="T37" i="39"/>
  <c r="S37" i="39"/>
  <c r="Q37" i="39"/>
  <c r="O37" i="39"/>
  <c r="AL35" i="39"/>
  <c r="AK35" i="39"/>
  <c r="AJ35" i="39"/>
  <c r="AI35" i="39"/>
  <c r="AH35" i="39"/>
  <c r="AH37" i="39" s="1"/>
  <c r="AG35" i="39"/>
  <c r="AF35" i="39"/>
  <c r="AE35" i="39"/>
  <c r="AD35" i="39"/>
  <c r="AC35" i="39"/>
  <c r="AB35" i="39"/>
  <c r="AB37" i="39" s="1"/>
  <c r="AA35" i="39"/>
  <c r="AA37" i="39" s="1"/>
  <c r="Z35" i="39"/>
  <c r="Z37" i="39" s="1"/>
  <c r="Y35" i="39"/>
  <c r="Y37" i="39" s="1"/>
  <c r="X35" i="39"/>
  <c r="W35" i="39"/>
  <c r="V35" i="39"/>
  <c r="U35" i="39"/>
  <c r="T35" i="39"/>
  <c r="S35" i="39"/>
  <c r="R35" i="39"/>
  <c r="Q35" i="39"/>
  <c r="P35" i="39"/>
  <c r="O35" i="39"/>
  <c r="N35" i="39"/>
  <c r="M35" i="39"/>
  <c r="M37" i="39" s="1"/>
  <c r="L35" i="39"/>
  <c r="K35" i="39"/>
  <c r="J35" i="39"/>
  <c r="J37" i="39" s="1"/>
  <c r="I35" i="39"/>
  <c r="I37" i="39" s="1"/>
  <c r="H35" i="39"/>
  <c r="F33" i="39"/>
  <c r="AL32" i="39"/>
  <c r="AK32" i="39"/>
  <c r="AJ32" i="39"/>
  <c r="AI32" i="39"/>
  <c r="AH32" i="39"/>
  <c r="AG32" i="39"/>
  <c r="AF32" i="39"/>
  <c r="AE32" i="39"/>
  <c r="AD32" i="39"/>
  <c r="AC32" i="39"/>
  <c r="AB32" i="39"/>
  <c r="AA32" i="39"/>
  <c r="Z32" i="39"/>
  <c r="Y32" i="39"/>
  <c r="X32" i="39"/>
  <c r="W32" i="39"/>
  <c r="V32" i="39"/>
  <c r="U32" i="39"/>
  <c r="T32" i="39"/>
  <c r="S32" i="39"/>
  <c r="R32" i="39"/>
  <c r="Q32" i="39"/>
  <c r="P32" i="39"/>
  <c r="O32" i="39"/>
  <c r="N32" i="39"/>
  <c r="M32" i="39"/>
  <c r="L32" i="39"/>
  <c r="L37" i="39" s="1"/>
  <c r="K32" i="39"/>
  <c r="J32" i="39"/>
  <c r="I32" i="39"/>
  <c r="H32" i="39"/>
  <c r="H37" i="39" s="1"/>
  <c r="C32" i="39"/>
  <c r="AL31" i="39"/>
  <c r="AK31" i="39"/>
  <c r="AJ31" i="39"/>
  <c r="AI31" i="39"/>
  <c r="AH31" i="39"/>
  <c r="AG31" i="39"/>
  <c r="AF31" i="39"/>
  <c r="AE31" i="39"/>
  <c r="AD31" i="39"/>
  <c r="AC31" i="39"/>
  <c r="AB31" i="39"/>
  <c r="AA31" i="39"/>
  <c r="Z31" i="39"/>
  <c r="Y31" i="39"/>
  <c r="X31" i="39"/>
  <c r="W31" i="39"/>
  <c r="V31" i="39"/>
  <c r="U31" i="39"/>
  <c r="T31" i="39"/>
  <c r="S31" i="39"/>
  <c r="R31" i="39"/>
  <c r="Q31" i="39"/>
  <c r="P31" i="39"/>
  <c r="O31" i="39"/>
  <c r="N31" i="39"/>
  <c r="M31" i="39"/>
  <c r="L31" i="39"/>
  <c r="K31" i="39"/>
  <c r="J31" i="39"/>
  <c r="I31" i="39"/>
  <c r="AG30" i="39"/>
  <c r="AF30" i="39"/>
  <c r="O30" i="39"/>
  <c r="N30" i="39"/>
  <c r="AL28" i="39"/>
  <c r="AL30" i="39" s="1"/>
  <c r="AK28" i="39"/>
  <c r="AJ28" i="39"/>
  <c r="AI28" i="39"/>
  <c r="AI30" i="39" s="1"/>
  <c r="AH28" i="39"/>
  <c r="AH30" i="39" s="1"/>
  <c r="AG28" i="39"/>
  <c r="AF28" i="39"/>
  <c r="AE28" i="39"/>
  <c r="AE30" i="39" s="1"/>
  <c r="AD28" i="39"/>
  <c r="AD30" i="39" s="1"/>
  <c r="AC28" i="39"/>
  <c r="AB28" i="39"/>
  <c r="AA28" i="39"/>
  <c r="AA30" i="39" s="1"/>
  <c r="Z28" i="39"/>
  <c r="Z30" i="39" s="1"/>
  <c r="Y28" i="39"/>
  <c r="Y30" i="39" s="1"/>
  <c r="X28" i="39"/>
  <c r="W28" i="39"/>
  <c r="V28" i="39"/>
  <c r="U28" i="39"/>
  <c r="T28" i="39"/>
  <c r="S28" i="39"/>
  <c r="R28" i="39"/>
  <c r="Q28" i="39"/>
  <c r="P28" i="39"/>
  <c r="O28" i="39"/>
  <c r="N28" i="39"/>
  <c r="M28" i="39"/>
  <c r="L28" i="39"/>
  <c r="K28" i="39"/>
  <c r="J28" i="39"/>
  <c r="I28" i="39"/>
  <c r="I30" i="39" s="1"/>
  <c r="H28" i="39"/>
  <c r="H30" i="39" s="1"/>
  <c r="F26" i="39"/>
  <c r="G26" i="39" s="1"/>
  <c r="AL25" i="39"/>
  <c r="AK25" i="39"/>
  <c r="AJ25" i="39"/>
  <c r="AI25" i="39"/>
  <c r="AH25" i="39"/>
  <c r="AG25" i="39"/>
  <c r="AF25" i="39"/>
  <c r="AE25" i="39"/>
  <c r="AD25" i="39"/>
  <c r="AC25" i="39"/>
  <c r="AB25" i="39"/>
  <c r="AA25" i="39"/>
  <c r="Z25" i="39"/>
  <c r="Y25" i="39"/>
  <c r="X25" i="39"/>
  <c r="X30" i="39" s="1"/>
  <c r="W25" i="39"/>
  <c r="W30" i="39" s="1"/>
  <c r="V25" i="39"/>
  <c r="V30" i="39" s="1"/>
  <c r="U25" i="39"/>
  <c r="T25" i="39"/>
  <c r="S25" i="39"/>
  <c r="S30" i="39" s="1"/>
  <c r="R25" i="39"/>
  <c r="R30" i="39" s="1"/>
  <c r="Q25" i="39"/>
  <c r="Q30" i="39" s="1"/>
  <c r="P25" i="39"/>
  <c r="P30" i="39" s="1"/>
  <c r="O25" i="39"/>
  <c r="N25" i="39"/>
  <c r="M25" i="39"/>
  <c r="M30" i="39" s="1"/>
  <c r="L25" i="39"/>
  <c r="L30" i="39" s="1"/>
  <c r="K25" i="39"/>
  <c r="J25" i="39"/>
  <c r="I25" i="39"/>
  <c r="H25" i="39"/>
  <c r="F25" i="39"/>
  <c r="C25" i="39"/>
  <c r="AL24" i="39"/>
  <c r="AK24" i="39"/>
  <c r="AJ24" i="39"/>
  <c r="AI24" i="39"/>
  <c r="AH24" i="39"/>
  <c r="AG24" i="39"/>
  <c r="AF24" i="39"/>
  <c r="AE24" i="39"/>
  <c r="AD24" i="39"/>
  <c r="AC24" i="39"/>
  <c r="AB24" i="39"/>
  <c r="AA24" i="39"/>
  <c r="Z24" i="39"/>
  <c r="Y24" i="39"/>
  <c r="X24" i="39"/>
  <c r="W24" i="39"/>
  <c r="V24" i="39"/>
  <c r="U24" i="39"/>
  <c r="T24" i="39"/>
  <c r="S24" i="39"/>
  <c r="R24" i="39"/>
  <c r="Q24" i="39"/>
  <c r="P24" i="39"/>
  <c r="O24" i="39"/>
  <c r="N24" i="39"/>
  <c r="M24" i="39"/>
  <c r="L24" i="39"/>
  <c r="K24" i="39"/>
  <c r="J24" i="39"/>
  <c r="I24" i="39"/>
  <c r="H24" i="39"/>
  <c r="F24" i="39"/>
  <c r="AL23" i="39"/>
  <c r="AE23" i="39"/>
  <c r="X23" i="39"/>
  <c r="W23" i="39"/>
  <c r="T23" i="39"/>
  <c r="S23" i="39"/>
  <c r="R23" i="39"/>
  <c r="AL21" i="39"/>
  <c r="AK21" i="39"/>
  <c r="AK23" i="39" s="1"/>
  <c r="AJ21" i="39"/>
  <c r="AJ23" i="39" s="1"/>
  <c r="AI21" i="39"/>
  <c r="AH21" i="39"/>
  <c r="AH23" i="39" s="1"/>
  <c r="AG21" i="39"/>
  <c r="AG23" i="39" s="1"/>
  <c r="AF21" i="39"/>
  <c r="AF23" i="39" s="1"/>
  <c r="AE21" i="39"/>
  <c r="AD21" i="39"/>
  <c r="AD23" i="39" s="1"/>
  <c r="AC21" i="39"/>
  <c r="AB21" i="39"/>
  <c r="AB23" i="39" s="1"/>
  <c r="AA21" i="39"/>
  <c r="AA23" i="39" s="1"/>
  <c r="Z21" i="39"/>
  <c r="Z23" i="39" s="1"/>
  <c r="Y21" i="39"/>
  <c r="X21" i="39"/>
  <c r="W21" i="39"/>
  <c r="V21" i="39"/>
  <c r="U21" i="39"/>
  <c r="U23" i="39" s="1"/>
  <c r="T21" i="39"/>
  <c r="S21" i="39"/>
  <c r="R21" i="39"/>
  <c r="Q21" i="39"/>
  <c r="Q23" i="39" s="1"/>
  <c r="P21" i="39"/>
  <c r="P23" i="39" s="1"/>
  <c r="O21" i="39"/>
  <c r="O23" i="39" s="1"/>
  <c r="N21" i="39"/>
  <c r="M21" i="39"/>
  <c r="M23" i="39" s="1"/>
  <c r="L21" i="39"/>
  <c r="L23" i="39" s="1"/>
  <c r="K21" i="39"/>
  <c r="K23" i="39" s="1"/>
  <c r="J21" i="39"/>
  <c r="J23" i="39" s="1"/>
  <c r="I21" i="39"/>
  <c r="I23" i="39" s="1"/>
  <c r="H21" i="39"/>
  <c r="H23" i="39" s="1"/>
  <c r="AL18" i="39"/>
  <c r="AK18" i="39"/>
  <c r="AJ18" i="39"/>
  <c r="AI18" i="39"/>
  <c r="AH18" i="39"/>
  <c r="AG18" i="39"/>
  <c r="AF18" i="39"/>
  <c r="AE18" i="39"/>
  <c r="AD18" i="39"/>
  <c r="AC18" i="39"/>
  <c r="AC23" i="39" s="1"/>
  <c r="AB18" i="39"/>
  <c r="AA18" i="39"/>
  <c r="Z18" i="39"/>
  <c r="Y18" i="39"/>
  <c r="Y23" i="39" s="1"/>
  <c r="X18" i="39"/>
  <c r="W18" i="39"/>
  <c r="V18" i="39"/>
  <c r="U18" i="39"/>
  <c r="T18" i="39"/>
  <c r="S18" i="39"/>
  <c r="R18" i="39"/>
  <c r="Q18" i="39"/>
  <c r="P18" i="39"/>
  <c r="O18" i="39"/>
  <c r="N18" i="39"/>
  <c r="N23" i="39" s="1"/>
  <c r="M18" i="39"/>
  <c r="L18" i="39"/>
  <c r="K18" i="39"/>
  <c r="J18" i="39"/>
  <c r="I18" i="39"/>
  <c r="H18" i="39"/>
  <c r="C18" i="39"/>
  <c r="AL17" i="39"/>
  <c r="AK17" i="39"/>
  <c r="AJ17" i="39"/>
  <c r="AI17" i="39"/>
  <c r="AH17" i="39"/>
  <c r="AG17" i="39"/>
  <c r="AF17" i="39"/>
  <c r="AE17" i="39"/>
  <c r="AD17" i="39"/>
  <c r="AC17" i="39"/>
  <c r="AB17" i="39"/>
  <c r="AA17" i="39"/>
  <c r="Z17" i="39"/>
  <c r="Y17" i="39"/>
  <c r="X17" i="39"/>
  <c r="W17" i="39"/>
  <c r="V17" i="39"/>
  <c r="U17" i="39"/>
  <c r="T17" i="39"/>
  <c r="S17" i="39"/>
  <c r="R17" i="39"/>
  <c r="Q17" i="39"/>
  <c r="P17" i="39"/>
  <c r="O17" i="39"/>
  <c r="N17" i="39"/>
  <c r="M17" i="39"/>
  <c r="L17" i="39"/>
  <c r="K17" i="39"/>
  <c r="J17" i="39"/>
  <c r="I17" i="39"/>
  <c r="H17" i="39"/>
  <c r="AJ15" i="39"/>
  <c r="AI15" i="39"/>
  <c r="AH15" i="39"/>
  <c r="AG15" i="39"/>
  <c r="AE15" i="39"/>
  <c r="AC15" i="39"/>
  <c r="AB15" i="39"/>
  <c r="AA15" i="39"/>
  <c r="AA13" i="39" s="1"/>
  <c r="Z15" i="39"/>
  <c r="Y15" i="39"/>
  <c r="X15" i="39"/>
  <c r="X13" i="39" s="1"/>
  <c r="T15" i="39"/>
  <c r="S15" i="39"/>
  <c r="S13" i="39" s="1"/>
  <c r="R15" i="39"/>
  <c r="R13" i="39" s="1"/>
  <c r="AG14" i="39"/>
  <c r="AF14" i="39"/>
  <c r="AD14" i="39"/>
  <c r="AC14" i="39"/>
  <c r="AB14" i="39"/>
  <c r="AA14" i="39"/>
  <c r="Z14" i="39"/>
  <c r="Y14" i="39"/>
  <c r="X14" i="39"/>
  <c r="AI11" i="39"/>
  <c r="AH11" i="39"/>
  <c r="AH13" i="39" s="1"/>
  <c r="AG11" i="39"/>
  <c r="AG13" i="39" s="1"/>
  <c r="AF11" i="39"/>
  <c r="AD11" i="39"/>
  <c r="AA11" i="39"/>
  <c r="X11" i="39"/>
  <c r="V11" i="39"/>
  <c r="S11" i="39"/>
  <c r="R11" i="39"/>
  <c r="Q11" i="39"/>
  <c r="P11" i="39"/>
  <c r="L11" i="39"/>
  <c r="AK10" i="39"/>
  <c r="AD10" i="39"/>
  <c r="AD12" i="39" s="1"/>
  <c r="AC10" i="39"/>
  <c r="AB10" i="39"/>
  <c r="AB12" i="39" s="1"/>
  <c r="AA10" i="39"/>
  <c r="AA12" i="39" s="1"/>
  <c r="Z10" i="39"/>
  <c r="Z12" i="39" s="1"/>
  <c r="Y10" i="39"/>
  <c r="Y12" i="39" s="1"/>
  <c r="X10" i="39"/>
  <c r="X12" i="39" s="1"/>
  <c r="O10" i="39"/>
  <c r="N10" i="39"/>
  <c r="C7" i="39"/>
  <c r="C6" i="39"/>
  <c r="F92" i="40" l="1"/>
  <c r="F78" i="40"/>
  <c r="G40" i="40"/>
  <c r="F71" i="40"/>
  <c r="O13" i="40"/>
  <c r="F44" i="40"/>
  <c r="F42" i="40" s="1"/>
  <c r="F120" i="40"/>
  <c r="G122" i="40"/>
  <c r="O14" i="40"/>
  <c r="O12" i="40" s="1"/>
  <c r="G89" i="40"/>
  <c r="F36" i="40"/>
  <c r="G47" i="40"/>
  <c r="I14" i="40"/>
  <c r="N13" i="40"/>
  <c r="I136" i="40"/>
  <c r="F136" i="40" s="1"/>
  <c r="W86" i="40"/>
  <c r="F86" i="40" s="1"/>
  <c r="M15" i="40"/>
  <c r="M13" i="40" s="1"/>
  <c r="Z51" i="40"/>
  <c r="Z128" i="40"/>
  <c r="AE72" i="40"/>
  <c r="AF72" i="40"/>
  <c r="AJ93" i="40"/>
  <c r="R10" i="40"/>
  <c r="N11" i="40"/>
  <c r="AL13" i="40"/>
  <c r="F39" i="40"/>
  <c r="N51" i="40"/>
  <c r="O107" i="40"/>
  <c r="F107" i="40" s="1"/>
  <c r="O11" i="40"/>
  <c r="V15" i="40"/>
  <c r="V13" i="40" s="1"/>
  <c r="P107" i="40"/>
  <c r="W15" i="40"/>
  <c r="W13" i="40" s="1"/>
  <c r="F121" i="40"/>
  <c r="U11" i="40"/>
  <c r="P23" i="40"/>
  <c r="P14" i="40" s="1"/>
  <c r="P12" i="40" s="1"/>
  <c r="T72" i="40"/>
  <c r="AD12" i="40"/>
  <c r="U72" i="40"/>
  <c r="AE12" i="40"/>
  <c r="AD114" i="40"/>
  <c r="AF12" i="40"/>
  <c r="AH37" i="40"/>
  <c r="AE114" i="40"/>
  <c r="AG12" i="40"/>
  <c r="L115" i="40"/>
  <c r="L15" i="40" s="1"/>
  <c r="M14" i="40"/>
  <c r="M12" i="40" s="1"/>
  <c r="AB30" i="40"/>
  <c r="L44" i="40"/>
  <c r="F75" i="40"/>
  <c r="G75" i="40" s="1"/>
  <c r="O121" i="40"/>
  <c r="AG72" i="40"/>
  <c r="H79" i="40"/>
  <c r="AK93" i="40"/>
  <c r="R100" i="40"/>
  <c r="I114" i="40"/>
  <c r="W10" i="40"/>
  <c r="M37" i="40"/>
  <c r="F37" i="40" s="1"/>
  <c r="AL93" i="40"/>
  <c r="S100" i="40"/>
  <c r="AK30" i="40"/>
  <c r="N37" i="40"/>
  <c r="N14" i="40" s="1"/>
  <c r="N12" i="40" s="1"/>
  <c r="AL30" i="40"/>
  <c r="O37" i="40"/>
  <c r="H93" i="40"/>
  <c r="F93" i="40" s="1"/>
  <c r="F91" i="40" s="1"/>
  <c r="F85" i="40"/>
  <c r="Q100" i="40"/>
  <c r="F100" i="40" s="1"/>
  <c r="F98" i="40" s="1"/>
  <c r="H30" i="40"/>
  <c r="AI128" i="40"/>
  <c r="AD13" i="40"/>
  <c r="AK51" i="40"/>
  <c r="F101" i="40"/>
  <c r="F106" i="40"/>
  <c r="AK128" i="40"/>
  <c r="M135" i="40"/>
  <c r="F135" i="40" s="1"/>
  <c r="F133" i="40" s="1"/>
  <c r="AC13" i="40"/>
  <c r="AJ51" i="40"/>
  <c r="J72" i="40"/>
  <c r="F72" i="40" s="1"/>
  <c r="R114" i="40"/>
  <c r="N135" i="40"/>
  <c r="K136" i="40"/>
  <c r="K15" i="40" s="1"/>
  <c r="K11" i="40"/>
  <c r="AI51" i="40"/>
  <c r="K93" i="40"/>
  <c r="L135" i="40"/>
  <c r="J45" i="40"/>
  <c r="F45" i="40" s="1"/>
  <c r="AF23" i="40"/>
  <c r="L72" i="40"/>
  <c r="AG23" i="40"/>
  <c r="I51" i="40"/>
  <c r="M72" i="40"/>
  <c r="F102" i="40"/>
  <c r="G103" i="40" s="1"/>
  <c r="AJ128" i="40"/>
  <c r="AL128" i="40"/>
  <c r="K72" i="40"/>
  <c r="S114" i="40"/>
  <c r="H51" i="40"/>
  <c r="F51" i="40" s="1"/>
  <c r="F49" i="40" s="1"/>
  <c r="T114" i="40"/>
  <c r="AH23" i="40"/>
  <c r="Q10" i="40"/>
  <c r="U79" i="40"/>
  <c r="AI121" i="40"/>
  <c r="AC93" i="40"/>
  <c r="AE100" i="40"/>
  <c r="V79" i="40"/>
  <c r="V14" i="40" s="1"/>
  <c r="V12" i="40" s="1"/>
  <c r="AD93" i="40"/>
  <c r="AF100" i="40"/>
  <c r="H128" i="40"/>
  <c r="F128" i="40" s="1"/>
  <c r="F126" i="40" s="1"/>
  <c r="W23" i="40"/>
  <c r="W79" i="40"/>
  <c r="AE93" i="40"/>
  <c r="AG100" i="40"/>
  <c r="AH100" i="40"/>
  <c r="Z30" i="40"/>
  <c r="AE37" i="40"/>
  <c r="U114" i="40"/>
  <c r="AA128" i="40"/>
  <c r="J79" i="40"/>
  <c r="T100" i="40"/>
  <c r="AB128" i="40"/>
  <c r="AJ12" i="40"/>
  <c r="S51" i="40"/>
  <c r="V100" i="40"/>
  <c r="K79" i="40"/>
  <c r="U100" i="40"/>
  <c r="F143" i="40"/>
  <c r="F142" i="40"/>
  <c r="F140" i="40" s="1"/>
  <c r="F117" i="40"/>
  <c r="F116" i="40"/>
  <c r="F54" i="40"/>
  <c r="H11" i="40"/>
  <c r="J10" i="40"/>
  <c r="F114" i="40"/>
  <c r="F112" i="40" s="1"/>
  <c r="F81" i="40"/>
  <c r="F52" i="40"/>
  <c r="F53" i="40"/>
  <c r="F56" i="40" s="1"/>
  <c r="F19" i="40"/>
  <c r="F18" i="40"/>
  <c r="H15" i="40"/>
  <c r="I10" i="40"/>
  <c r="F82" i="40"/>
  <c r="AL14" i="40"/>
  <c r="AL12" i="40" s="1"/>
  <c r="AL11" i="40"/>
  <c r="H10" i="40"/>
  <c r="F66" i="40"/>
  <c r="F65" i="40"/>
  <c r="F63" i="40" s="1"/>
  <c r="U15" i="40"/>
  <c r="T11" i="40"/>
  <c r="V10" i="40"/>
  <c r="F96" i="40"/>
  <c r="F95" i="40"/>
  <c r="S15" i="40"/>
  <c r="R14" i="40"/>
  <c r="R12" i="40" s="1"/>
  <c r="R11" i="40"/>
  <c r="T10" i="40"/>
  <c r="R15" i="40"/>
  <c r="R13" i="40" s="1"/>
  <c r="Q14" i="40"/>
  <c r="Q11" i="40"/>
  <c r="Q13" i="40" s="1"/>
  <c r="S10" i="40"/>
  <c r="F129" i="40"/>
  <c r="F31" i="40"/>
  <c r="F30" i="40"/>
  <c r="F28" i="40" s="1"/>
  <c r="T15" i="40"/>
  <c r="T13" i="40" s="1"/>
  <c r="S14" i="40"/>
  <c r="S12" i="40" s="1"/>
  <c r="S11" i="40"/>
  <c r="U10" i="40"/>
  <c r="L11" i="40"/>
  <c r="AK14" i="40"/>
  <c r="AK12" i="40" s="1"/>
  <c r="K23" i="40"/>
  <c r="T51" i="40"/>
  <c r="Y107" i="40"/>
  <c r="F130" i="40"/>
  <c r="F131" i="40"/>
  <c r="G131" i="40" s="1"/>
  <c r="F138" i="40"/>
  <c r="G138" i="40" s="1"/>
  <c r="N44" i="40"/>
  <c r="I79" i="40"/>
  <c r="R51" i="40"/>
  <c r="M11" i="40"/>
  <c r="J15" i="40"/>
  <c r="J13" i="40" s="1"/>
  <c r="L23" i="40"/>
  <c r="L14" i="40" s="1"/>
  <c r="L12" i="40" s="1"/>
  <c r="T37" i="40"/>
  <c r="T14" i="40" s="1"/>
  <c r="T12" i="40" s="1"/>
  <c r="U51" i="40"/>
  <c r="U14" i="40" s="1"/>
  <c r="U12" i="40" s="1"/>
  <c r="Z107" i="40"/>
  <c r="F50" i="39"/>
  <c r="W15" i="39"/>
  <c r="W13" i="39" s="1"/>
  <c r="F73" i="39"/>
  <c r="F53" i="39"/>
  <c r="S10" i="39"/>
  <c r="F65" i="39"/>
  <c r="AJ30" i="39"/>
  <c r="G75" i="39"/>
  <c r="J14" i="39"/>
  <c r="AF65" i="39"/>
  <c r="AK107" i="39"/>
  <c r="AL51" i="39"/>
  <c r="F23" i="39"/>
  <c r="K14" i="39"/>
  <c r="K12" i="39" s="1"/>
  <c r="AK30" i="39"/>
  <c r="F22" i="39"/>
  <c r="G24" i="39"/>
  <c r="O14" i="39"/>
  <c r="O12" i="39" s="1"/>
  <c r="G33" i="39"/>
  <c r="AD44" i="39"/>
  <c r="AE44" i="39"/>
  <c r="AF44" i="39"/>
  <c r="F32" i="39"/>
  <c r="N37" i="39"/>
  <c r="F37" i="39" s="1"/>
  <c r="F35" i="39" s="1"/>
  <c r="Q10" i="39"/>
  <c r="O15" i="39"/>
  <c r="O13" i="39" s="1"/>
  <c r="F31" i="39"/>
  <c r="G54" i="39"/>
  <c r="V72" i="39"/>
  <c r="L107" i="39"/>
  <c r="F107" i="39" s="1"/>
  <c r="F105" i="39" s="1"/>
  <c r="AB114" i="39"/>
  <c r="AJ121" i="39"/>
  <c r="L72" i="39"/>
  <c r="F72" i="39" s="1"/>
  <c r="F70" i="39" s="1"/>
  <c r="AJ65" i="39"/>
  <c r="O51" i="39"/>
  <c r="AK86" i="39"/>
  <c r="AL86" i="39"/>
  <c r="AI100" i="39"/>
  <c r="AI121" i="39"/>
  <c r="M44" i="39"/>
  <c r="M14" i="39" s="1"/>
  <c r="M12" i="39" s="1"/>
  <c r="AH79" i="39"/>
  <c r="AI79" i="39"/>
  <c r="AF114" i="39"/>
  <c r="T30" i="39"/>
  <c r="T14" i="39" s="1"/>
  <c r="T12" i="39" s="1"/>
  <c r="AJ79" i="39"/>
  <c r="N11" i="39"/>
  <c r="P65" i="39"/>
  <c r="AK79" i="39"/>
  <c r="O86" i="39"/>
  <c r="K100" i="39"/>
  <c r="O11" i="39"/>
  <c r="R44" i="39"/>
  <c r="AJ58" i="39"/>
  <c r="P86" i="39"/>
  <c r="P14" i="39" s="1"/>
  <c r="P12" i="39" s="1"/>
  <c r="AH93" i="39"/>
  <c r="L100" i="39"/>
  <c r="F100" i="39" s="1"/>
  <c r="J30" i="39"/>
  <c r="AJ100" i="39"/>
  <c r="A17" i="39"/>
  <c r="Z100" i="39"/>
  <c r="Q114" i="39"/>
  <c r="F114" i="39" s="1"/>
  <c r="T58" i="39"/>
  <c r="V79" i="39"/>
  <c r="Y13" i="39"/>
  <c r="R37" i="39"/>
  <c r="R14" i="39" s="1"/>
  <c r="R12" i="39" s="1"/>
  <c r="U58" i="39"/>
  <c r="U14" i="39" s="1"/>
  <c r="U12" i="39" s="1"/>
  <c r="W79" i="39"/>
  <c r="K30" i="39"/>
  <c r="F30" i="39" s="1"/>
  <c r="F28" i="39" s="1"/>
  <c r="AL65" i="39"/>
  <c r="AH100" i="39"/>
  <c r="AC114" i="39"/>
  <c r="O107" i="39"/>
  <c r="Q86" i="39"/>
  <c r="Q14" i="39" s="1"/>
  <c r="Q12" i="39" s="1"/>
  <c r="T44" i="39"/>
  <c r="AJ37" i="39"/>
  <c r="AL37" i="39"/>
  <c r="W11" i="39"/>
  <c r="AC30" i="39"/>
  <c r="Z107" i="39"/>
  <c r="J114" i="39"/>
  <c r="F122" i="39"/>
  <c r="F66" i="39"/>
  <c r="J15" i="39"/>
  <c r="J13" i="39" s="1"/>
  <c r="I11" i="39"/>
  <c r="K10" i="39"/>
  <c r="F19" i="39"/>
  <c r="H15" i="39"/>
  <c r="F95" i="39"/>
  <c r="AL11" i="39"/>
  <c r="AL15" i="39"/>
  <c r="AK11" i="39"/>
  <c r="F94" i="39"/>
  <c r="F60" i="39"/>
  <c r="AJ14" i="39"/>
  <c r="AJ11" i="39"/>
  <c r="I15" i="39"/>
  <c r="I13" i="39" s="1"/>
  <c r="H14" i="39"/>
  <c r="H11" i="39"/>
  <c r="D10" i="39" s="1"/>
  <c r="J10" i="39"/>
  <c r="F18" i="39"/>
  <c r="I10" i="39"/>
  <c r="F96" i="39"/>
  <c r="G96" i="39" s="1"/>
  <c r="AL14" i="39"/>
  <c r="AL12" i="39" s="1"/>
  <c r="H10" i="39"/>
  <c r="AK14" i="39"/>
  <c r="AK12" i="39" s="1"/>
  <c r="AK15" i="39"/>
  <c r="AL10" i="39"/>
  <c r="F87" i="39"/>
  <c r="AF15" i="39"/>
  <c r="AF13" i="39" s="1"/>
  <c r="AE14" i="39"/>
  <c r="AE12" i="39" s="1"/>
  <c r="AE11" i="39"/>
  <c r="AE13" i="39" s="1"/>
  <c r="AG10" i="39"/>
  <c r="AG12" i="39" s="1"/>
  <c r="F117" i="39"/>
  <c r="F116" i="39"/>
  <c r="F108" i="39"/>
  <c r="F39" i="39"/>
  <c r="G40" i="39" s="1"/>
  <c r="V15" i="39"/>
  <c r="V13" i="39" s="1"/>
  <c r="U11" i="39"/>
  <c r="W10" i="39"/>
  <c r="F38" i="39"/>
  <c r="U15" i="39"/>
  <c r="U13" i="39" s="1"/>
  <c r="T11" i="39"/>
  <c r="T13" i="39" s="1"/>
  <c r="V10" i="39"/>
  <c r="M15" i="39"/>
  <c r="M13" i="39" s="1"/>
  <c r="AJ10" i="39"/>
  <c r="L15" i="39"/>
  <c r="L13" i="39" s="1"/>
  <c r="AI10" i="39"/>
  <c r="K15" i="39"/>
  <c r="K13" i="39" s="1"/>
  <c r="AH10" i="39"/>
  <c r="F89" i="39"/>
  <c r="G89" i="39" s="1"/>
  <c r="F88" i="39"/>
  <c r="AI14" i="39"/>
  <c r="AF10" i="39"/>
  <c r="AF12" i="39" s="1"/>
  <c r="AH14" i="39"/>
  <c r="AE10" i="39"/>
  <c r="F61" i="39"/>
  <c r="F59" i="39"/>
  <c r="AD15" i="39"/>
  <c r="AD13" i="39" s="1"/>
  <c r="Y11" i="39"/>
  <c r="P10" i="39"/>
  <c r="Z11" i="39"/>
  <c r="Z13" i="39" s="1"/>
  <c r="N15" i="39"/>
  <c r="N13" i="39" s="1"/>
  <c r="V23" i="39"/>
  <c r="F67" i="39"/>
  <c r="F68" i="39"/>
  <c r="AA107" i="39"/>
  <c r="S121" i="39"/>
  <c r="F121" i="39" s="1"/>
  <c r="F119" i="39" s="1"/>
  <c r="AI13" i="39"/>
  <c r="AK121" i="39"/>
  <c r="AE114" i="39"/>
  <c r="AB30" i="39"/>
  <c r="O79" i="39"/>
  <c r="F79" i="39" s="1"/>
  <c r="AJ13" i="39"/>
  <c r="S58" i="39"/>
  <c r="S14" i="39" s="1"/>
  <c r="S12" i="39" s="1"/>
  <c r="M72" i="39"/>
  <c r="AH65" i="39"/>
  <c r="AL107" i="39"/>
  <c r="N51" i="39"/>
  <c r="F51" i="39" s="1"/>
  <c r="X58" i="39"/>
  <c r="AK65" i="39"/>
  <c r="Y58" i="39"/>
  <c r="AG100" i="39"/>
  <c r="W37" i="39"/>
  <c r="X37" i="39"/>
  <c r="AH121" i="39"/>
  <c r="K107" i="39"/>
  <c r="AG79" i="39"/>
  <c r="AL121" i="39"/>
  <c r="AI37" i="39"/>
  <c r="G110" i="39"/>
  <c r="U44" i="39"/>
  <c r="AC12" i="39"/>
  <c r="AK37" i="39"/>
  <c r="I58" i="39"/>
  <c r="I14" i="39" s="1"/>
  <c r="I12" i="39" s="1"/>
  <c r="J58" i="39"/>
  <c r="Y107" i="39"/>
  <c r="L10" i="39"/>
  <c r="AB11" i="39"/>
  <c r="AB13" i="39" s="1"/>
  <c r="P15" i="39"/>
  <c r="P13" i="39" s="1"/>
  <c r="M10" i="39"/>
  <c r="AC11" i="39"/>
  <c r="AC13" i="39" s="1"/>
  <c r="Q15" i="39"/>
  <c r="Q13" i="39" s="1"/>
  <c r="F45" i="39"/>
  <c r="AB65" i="39"/>
  <c r="AI23" i="39"/>
  <c r="N86" i="39"/>
  <c r="F86" i="39" s="1"/>
  <c r="F84" i="39" s="1"/>
  <c r="W93" i="39"/>
  <c r="R114" i="39"/>
  <c r="AI44" i="39"/>
  <c r="X79" i="39"/>
  <c r="S114" i="39"/>
  <c r="U30" i="39"/>
  <c r="H51" i="39"/>
  <c r="Q65" i="39"/>
  <c r="W72" i="39"/>
  <c r="Y79" i="39"/>
  <c r="AB86" i="39"/>
  <c r="R65" i="39"/>
  <c r="AC86" i="39"/>
  <c r="H93" i="39"/>
  <c r="F93" i="39" s="1"/>
  <c r="F91" i="39" s="1"/>
  <c r="O100" i="39"/>
  <c r="P107" i="39"/>
  <c r="F105" i="40" l="1"/>
  <c r="G108" i="40"/>
  <c r="F84" i="40"/>
  <c r="G87" i="40"/>
  <c r="F35" i="40"/>
  <c r="G38" i="40"/>
  <c r="F70" i="40"/>
  <c r="G73" i="40"/>
  <c r="H13" i="40"/>
  <c r="F134" i="40"/>
  <c r="G134" i="40" s="1"/>
  <c r="G136" i="40"/>
  <c r="G101" i="40"/>
  <c r="F99" i="40"/>
  <c r="G99" i="40" s="1"/>
  <c r="I15" i="40"/>
  <c r="I13" i="40" s="1"/>
  <c r="L13" i="40"/>
  <c r="I12" i="40"/>
  <c r="J14" i="40"/>
  <c r="J12" i="40" s="1"/>
  <c r="G85" i="40"/>
  <c r="F141" i="40"/>
  <c r="G141" i="40" s="1"/>
  <c r="G143" i="40"/>
  <c r="F119" i="40"/>
  <c r="G120" i="40" s="1"/>
  <c r="G96" i="40"/>
  <c r="G45" i="40"/>
  <c r="F43" i="40"/>
  <c r="G43" i="40" s="1"/>
  <c r="G92" i="40"/>
  <c r="G19" i="40"/>
  <c r="G52" i="40"/>
  <c r="F50" i="40"/>
  <c r="G50" i="40" s="1"/>
  <c r="G36" i="40"/>
  <c r="D10" i="40"/>
  <c r="E10" i="40" s="1"/>
  <c r="F79" i="40"/>
  <c r="K13" i="40"/>
  <c r="G94" i="40"/>
  <c r="W14" i="40"/>
  <c r="W12" i="40" s="1"/>
  <c r="G106" i="40"/>
  <c r="H14" i="40"/>
  <c r="F57" i="40"/>
  <c r="G57" i="40" s="1"/>
  <c r="G54" i="40"/>
  <c r="G117" i="40"/>
  <c r="F23" i="40"/>
  <c r="F22" i="40"/>
  <c r="U13" i="40"/>
  <c r="C10" i="40"/>
  <c r="G82" i="40"/>
  <c r="G31" i="40"/>
  <c r="F29" i="40"/>
  <c r="G29" i="40" s="1"/>
  <c r="G129" i="40"/>
  <c r="F127" i="40"/>
  <c r="G127" i="40" s="1"/>
  <c r="Q12" i="40"/>
  <c r="S13" i="40"/>
  <c r="G71" i="40"/>
  <c r="F64" i="40"/>
  <c r="G64" i="40" s="1"/>
  <c r="G66" i="40"/>
  <c r="K14" i="40"/>
  <c r="K12" i="40" s="1"/>
  <c r="F115" i="40"/>
  <c r="F77" i="39"/>
  <c r="G78" i="39" s="1"/>
  <c r="G80" i="39"/>
  <c r="F49" i="39"/>
  <c r="G52" i="39"/>
  <c r="F112" i="39"/>
  <c r="G113" i="39" s="1"/>
  <c r="G115" i="39"/>
  <c r="F98" i="39"/>
  <c r="G101" i="39"/>
  <c r="F43" i="39"/>
  <c r="AJ12" i="39"/>
  <c r="F58" i="39"/>
  <c r="F56" i="39" s="1"/>
  <c r="G94" i="39"/>
  <c r="F92" i="39"/>
  <c r="G92" i="39" s="1"/>
  <c r="AL13" i="39"/>
  <c r="H13" i="39"/>
  <c r="D12" i="39"/>
  <c r="F63" i="39"/>
  <c r="F57" i="39"/>
  <c r="G57" i="39" s="1"/>
  <c r="G59" i="39"/>
  <c r="F64" i="39"/>
  <c r="G64" i="39" s="1"/>
  <c r="G66" i="39"/>
  <c r="F120" i="39"/>
  <c r="G120" i="39" s="1"/>
  <c r="G122" i="39"/>
  <c r="G87" i="39"/>
  <c r="F85" i="39"/>
  <c r="G85" i="39" s="1"/>
  <c r="F44" i="39"/>
  <c r="F42" i="39" s="1"/>
  <c r="G22" i="39"/>
  <c r="G38" i="39"/>
  <c r="F36" i="39"/>
  <c r="G36" i="39" s="1"/>
  <c r="J12" i="39"/>
  <c r="N14" i="39"/>
  <c r="N12" i="39" s="1"/>
  <c r="L14" i="39"/>
  <c r="L12" i="39" s="1"/>
  <c r="G19" i="39"/>
  <c r="F29" i="39"/>
  <c r="G29" i="39" s="1"/>
  <c r="G31" i="39"/>
  <c r="G61" i="39"/>
  <c r="F71" i="39"/>
  <c r="G71" i="39" s="1"/>
  <c r="G73" i="39"/>
  <c r="F99" i="39"/>
  <c r="G99" i="39" s="1"/>
  <c r="W14" i="39"/>
  <c r="W12" i="39" s="1"/>
  <c r="AK13" i="39"/>
  <c r="AI12" i="39"/>
  <c r="G50" i="39"/>
  <c r="H12" i="39"/>
  <c r="F21" i="39"/>
  <c r="V14" i="39"/>
  <c r="V12" i="39" s="1"/>
  <c r="G108" i="39"/>
  <c r="F106" i="39"/>
  <c r="G106" i="39" s="1"/>
  <c r="G117" i="39"/>
  <c r="AH12" i="39"/>
  <c r="C10" i="39"/>
  <c r="E10" i="39" s="1"/>
  <c r="F21" i="40" l="1"/>
  <c r="G24" i="40"/>
  <c r="G115" i="40"/>
  <c r="F113" i="40"/>
  <c r="G113" i="40" s="1"/>
  <c r="G22" i="40"/>
  <c r="C12" i="40"/>
  <c r="C11" i="40" s="1"/>
  <c r="H12" i="40"/>
  <c r="F77" i="40"/>
  <c r="G78" i="40" s="1"/>
  <c r="G80" i="40"/>
  <c r="D12" i="40"/>
  <c r="C12" i="39"/>
  <c r="C11" i="39" s="1"/>
  <c r="G43" i="39"/>
  <c r="E12" i="39"/>
  <c r="D11" i="39"/>
  <c r="E11" i="39" s="1"/>
  <c r="G45" i="39"/>
  <c r="D11" i="40" l="1"/>
  <c r="E11" i="40" s="1"/>
  <c r="E12" i="40"/>
  <c r="AL143" i="38" l="1"/>
  <c r="AK143" i="38"/>
  <c r="AJ143" i="38"/>
  <c r="AI143" i="38"/>
  <c r="AH143" i="38"/>
  <c r="AG143" i="38"/>
  <c r="AF143" i="38"/>
  <c r="AE143" i="38"/>
  <c r="AD143" i="38"/>
  <c r="AC143" i="38"/>
  <c r="AB143" i="38"/>
  <c r="AA143" i="38"/>
  <c r="Z143" i="38"/>
  <c r="Y143" i="38"/>
  <c r="X143" i="38"/>
  <c r="W143" i="38"/>
  <c r="V143" i="38"/>
  <c r="U143" i="38"/>
  <c r="T143" i="38"/>
  <c r="S143" i="38"/>
  <c r="R143" i="38"/>
  <c r="Q143" i="38"/>
  <c r="P143" i="38"/>
  <c r="O143" i="38"/>
  <c r="N143" i="38"/>
  <c r="M143" i="38"/>
  <c r="L143" i="38"/>
  <c r="K143" i="38"/>
  <c r="J143" i="38"/>
  <c r="I143" i="38"/>
  <c r="H143" i="38"/>
  <c r="AL142" i="38"/>
  <c r="AK142" i="38"/>
  <c r="AJ142" i="38"/>
  <c r="AI142" i="38"/>
  <c r="AH142" i="38"/>
  <c r="AG142" i="38"/>
  <c r="AF142" i="38"/>
  <c r="AE142" i="38"/>
  <c r="AD142" i="38"/>
  <c r="AC142" i="38"/>
  <c r="AB142" i="38"/>
  <c r="AA142" i="38"/>
  <c r="Z142" i="38"/>
  <c r="Y142" i="38"/>
  <c r="X142" i="38"/>
  <c r="W142" i="38"/>
  <c r="V142" i="38"/>
  <c r="U142" i="38"/>
  <c r="T142" i="38"/>
  <c r="S142" i="38"/>
  <c r="R142" i="38"/>
  <c r="Q142" i="38"/>
  <c r="P142" i="38"/>
  <c r="O142" i="38"/>
  <c r="N142" i="38"/>
  <c r="M142" i="38"/>
  <c r="L142" i="38"/>
  <c r="K142" i="38"/>
  <c r="J142" i="38"/>
  <c r="I142" i="38"/>
  <c r="H142" i="38"/>
  <c r="AL136" i="38"/>
  <c r="AK136" i="38"/>
  <c r="AJ136" i="38"/>
  <c r="AI136" i="38"/>
  <c r="AH136" i="38"/>
  <c r="AG136" i="38"/>
  <c r="AE136" i="38"/>
  <c r="AD136" i="38"/>
  <c r="AC136" i="38"/>
  <c r="Y136" i="38"/>
  <c r="X136" i="38"/>
  <c r="W136" i="38"/>
  <c r="V136" i="38"/>
  <c r="U136" i="38"/>
  <c r="T136" i="38"/>
  <c r="S136" i="38"/>
  <c r="R136" i="38"/>
  <c r="Q136" i="38"/>
  <c r="P136" i="38"/>
  <c r="O136" i="38"/>
  <c r="N136" i="38"/>
  <c r="M136" i="38"/>
  <c r="L136" i="38"/>
  <c r="K136" i="38"/>
  <c r="J136" i="38"/>
  <c r="I136" i="38"/>
  <c r="H136" i="38"/>
  <c r="F136" i="38"/>
  <c r="AL135" i="38"/>
  <c r="X135" i="38"/>
  <c r="W135" i="38"/>
  <c r="V135" i="38"/>
  <c r="U135" i="38"/>
  <c r="T135" i="38"/>
  <c r="S135" i="38"/>
  <c r="R135" i="38"/>
  <c r="Q135" i="38"/>
  <c r="I135" i="38"/>
  <c r="H135" i="38"/>
  <c r="AF131" i="38"/>
  <c r="AF136" i="38" s="1"/>
  <c r="AB131" i="38"/>
  <c r="AB136" i="38" s="1"/>
  <c r="AA131" i="38"/>
  <c r="AA136" i="38" s="1"/>
  <c r="Z131" i="38"/>
  <c r="Z136" i="38" s="1"/>
  <c r="Y131" i="38"/>
  <c r="W131" i="38"/>
  <c r="N131" i="38"/>
  <c r="L131" i="38"/>
  <c r="AK130" i="38"/>
  <c r="AK135" i="38" s="1"/>
  <c r="AJ130" i="38"/>
  <c r="AJ135" i="38" s="1"/>
  <c r="AI130" i="38"/>
  <c r="AI135" i="38" s="1"/>
  <c r="AH130" i="38"/>
  <c r="AH135" i="38" s="1"/>
  <c r="AG130" i="38"/>
  <c r="AG135" i="38" s="1"/>
  <c r="AF130" i="38"/>
  <c r="AF135" i="38" s="1"/>
  <c r="AE130" i="38"/>
  <c r="AE135" i="38" s="1"/>
  <c r="AD130" i="38"/>
  <c r="AD135" i="38" s="1"/>
  <c r="AC130" i="38"/>
  <c r="AC135" i="38" s="1"/>
  <c r="AB130" i="38"/>
  <c r="AB135" i="38" s="1"/>
  <c r="AA130" i="38"/>
  <c r="AA135" i="38" s="1"/>
  <c r="Z130" i="38"/>
  <c r="Z135" i="38" s="1"/>
  <c r="Y130" i="38"/>
  <c r="Y135" i="38" s="1"/>
  <c r="X130" i="38"/>
  <c r="W130" i="38"/>
  <c r="V130" i="38"/>
  <c r="U130" i="38"/>
  <c r="T130" i="38"/>
  <c r="S130" i="38"/>
  <c r="R130" i="38"/>
  <c r="Q130" i="38"/>
  <c r="P130" i="38"/>
  <c r="P135" i="38" s="1"/>
  <c r="O130" i="38"/>
  <c r="O135" i="38" s="1"/>
  <c r="N130" i="38"/>
  <c r="N135" i="38" s="1"/>
  <c r="M130" i="38"/>
  <c r="M135" i="38" s="1"/>
  <c r="L130" i="38"/>
  <c r="L135" i="38" s="1"/>
  <c r="K130" i="38"/>
  <c r="K135" i="38" s="1"/>
  <c r="J130" i="38"/>
  <c r="J135" i="38" s="1"/>
  <c r="I130" i="38"/>
  <c r="H130" i="38"/>
  <c r="C130" i="38"/>
  <c r="AL129" i="38"/>
  <c r="AK129" i="38"/>
  <c r="AJ129" i="38"/>
  <c r="AI129" i="38"/>
  <c r="AH129" i="38"/>
  <c r="AG129" i="38"/>
  <c r="AF129" i="38"/>
  <c r="AE129" i="38"/>
  <c r="AD129" i="38"/>
  <c r="AC129" i="38"/>
  <c r="AB129" i="38"/>
  <c r="AA129" i="38"/>
  <c r="Z129" i="38"/>
  <c r="Y129" i="38"/>
  <c r="X129" i="38"/>
  <c r="W129" i="38"/>
  <c r="V129" i="38"/>
  <c r="U129" i="38"/>
  <c r="T129" i="38"/>
  <c r="S129" i="38"/>
  <c r="R129" i="38"/>
  <c r="Q129" i="38"/>
  <c r="P129" i="38"/>
  <c r="O129" i="38"/>
  <c r="N129" i="38"/>
  <c r="M129" i="38"/>
  <c r="L129" i="38"/>
  <c r="K129" i="38"/>
  <c r="J129" i="38"/>
  <c r="I129" i="38"/>
  <c r="H129" i="38"/>
  <c r="AL128" i="38"/>
  <c r="AK128" i="38"/>
  <c r="AJ128" i="38"/>
  <c r="AI128" i="38"/>
  <c r="AH128" i="38"/>
  <c r="AG128" i="38"/>
  <c r="AF128" i="38"/>
  <c r="AE128" i="38"/>
  <c r="AD128" i="38"/>
  <c r="AC128" i="38"/>
  <c r="AA128" i="38"/>
  <c r="U128" i="38"/>
  <c r="T128" i="38"/>
  <c r="S128" i="38"/>
  <c r="R128" i="38"/>
  <c r="Q128" i="38"/>
  <c r="P128" i="38"/>
  <c r="H128" i="38"/>
  <c r="R124" i="38"/>
  <c r="Q124" i="38"/>
  <c r="AL123" i="38"/>
  <c r="AK123" i="38"/>
  <c r="AJ123" i="38"/>
  <c r="AI123" i="38"/>
  <c r="AH123" i="38"/>
  <c r="AG123" i="38"/>
  <c r="AF123" i="38"/>
  <c r="AE123" i="38"/>
  <c r="AD123" i="38"/>
  <c r="AC123" i="38"/>
  <c r="AB123" i="38"/>
  <c r="AB128" i="38" s="1"/>
  <c r="AA123" i="38"/>
  <c r="Z123" i="38"/>
  <c r="Z128" i="38" s="1"/>
  <c r="Y123" i="38"/>
  <c r="Y128" i="38" s="1"/>
  <c r="X123" i="38"/>
  <c r="X128" i="38" s="1"/>
  <c r="W123" i="38"/>
  <c r="W128" i="38" s="1"/>
  <c r="V123" i="38"/>
  <c r="V128" i="38" s="1"/>
  <c r="U123" i="38"/>
  <c r="T123" i="38"/>
  <c r="S123" i="38"/>
  <c r="R123" i="38"/>
  <c r="Q123" i="38"/>
  <c r="P123" i="38"/>
  <c r="O123" i="38"/>
  <c r="O128" i="38" s="1"/>
  <c r="N123" i="38"/>
  <c r="N128" i="38" s="1"/>
  <c r="M123" i="38"/>
  <c r="M128" i="38" s="1"/>
  <c r="L123" i="38"/>
  <c r="L128" i="38" s="1"/>
  <c r="F128" i="38" s="1"/>
  <c r="K123" i="38"/>
  <c r="K128" i="38" s="1"/>
  <c r="J123" i="38"/>
  <c r="J128" i="38" s="1"/>
  <c r="I123" i="38"/>
  <c r="I128" i="38" s="1"/>
  <c r="H123" i="38"/>
  <c r="C123" i="38"/>
  <c r="AL122" i="38"/>
  <c r="AK122" i="38"/>
  <c r="AJ122" i="38"/>
  <c r="AI122" i="38"/>
  <c r="AH122" i="38"/>
  <c r="AG122" i="38"/>
  <c r="AF122" i="38"/>
  <c r="AE122" i="38"/>
  <c r="AD122" i="38"/>
  <c r="AC122" i="38"/>
  <c r="AB122" i="38"/>
  <c r="AA122" i="38"/>
  <c r="Z122" i="38"/>
  <c r="Y122" i="38"/>
  <c r="X122" i="38"/>
  <c r="W122" i="38"/>
  <c r="V122" i="38"/>
  <c r="U122" i="38"/>
  <c r="T122" i="38"/>
  <c r="S122" i="38"/>
  <c r="R122" i="38"/>
  <c r="Q122" i="38"/>
  <c r="P122" i="38"/>
  <c r="O122" i="38"/>
  <c r="N122" i="38"/>
  <c r="M122" i="38"/>
  <c r="L122" i="38"/>
  <c r="K122" i="38"/>
  <c r="J122" i="38"/>
  <c r="I122" i="38"/>
  <c r="H122" i="38"/>
  <c r="AL121" i="38"/>
  <c r="AK121" i="38"/>
  <c r="AJ121" i="38"/>
  <c r="AD121" i="38"/>
  <c r="AC121" i="38"/>
  <c r="AB121" i="38"/>
  <c r="AA121" i="38"/>
  <c r="Z121" i="38"/>
  <c r="Y121" i="38"/>
  <c r="X121" i="38"/>
  <c r="W121" i="38"/>
  <c r="V121" i="38"/>
  <c r="U121" i="38"/>
  <c r="Q121" i="38"/>
  <c r="H121" i="38"/>
  <c r="AL116" i="38"/>
  <c r="AK116" i="38"/>
  <c r="AJ116" i="38"/>
  <c r="AI116" i="38"/>
  <c r="AI121" i="38" s="1"/>
  <c r="AH116" i="38"/>
  <c r="AH121" i="38" s="1"/>
  <c r="AG116" i="38"/>
  <c r="AG121" i="38" s="1"/>
  <c r="AF116" i="38"/>
  <c r="AF121" i="38" s="1"/>
  <c r="AE116" i="38"/>
  <c r="AE121" i="38" s="1"/>
  <c r="AD116" i="38"/>
  <c r="AC116" i="38"/>
  <c r="AB116" i="38"/>
  <c r="AA116" i="38"/>
  <c r="Z116" i="38"/>
  <c r="Y116" i="38"/>
  <c r="X116" i="38"/>
  <c r="W116" i="38"/>
  <c r="V116" i="38"/>
  <c r="U116" i="38"/>
  <c r="T116" i="38"/>
  <c r="T121" i="38" s="1"/>
  <c r="S116" i="38"/>
  <c r="S121" i="38" s="1"/>
  <c r="R116" i="38"/>
  <c r="R121" i="38" s="1"/>
  <c r="Q116" i="38"/>
  <c r="P116" i="38"/>
  <c r="P121" i="38" s="1"/>
  <c r="O116" i="38"/>
  <c r="O121" i="38" s="1"/>
  <c r="N116" i="38"/>
  <c r="N121" i="38" s="1"/>
  <c r="M116" i="38"/>
  <c r="M121" i="38" s="1"/>
  <c r="L116" i="38"/>
  <c r="L121" i="38" s="1"/>
  <c r="K116" i="38"/>
  <c r="K121" i="38" s="1"/>
  <c r="J116" i="38"/>
  <c r="J121" i="38" s="1"/>
  <c r="I116" i="38"/>
  <c r="I121" i="38" s="1"/>
  <c r="F121" i="38" s="1"/>
  <c r="H116" i="38"/>
  <c r="C116" i="38"/>
  <c r="AL115" i="38"/>
  <c r="AJ115" i="38"/>
  <c r="AI115" i="38"/>
  <c r="AH115" i="38"/>
  <c r="AG115" i="38"/>
  <c r="AF115" i="38"/>
  <c r="AE115" i="38"/>
  <c r="AD115" i="38"/>
  <c r="AC115" i="38"/>
  <c r="AB115" i="38"/>
  <c r="AA115" i="38"/>
  <c r="Z115" i="38"/>
  <c r="Y115" i="38"/>
  <c r="X115" i="38"/>
  <c r="W115" i="38"/>
  <c r="V115" i="38"/>
  <c r="U115" i="38"/>
  <c r="T115" i="38"/>
  <c r="S115" i="38"/>
  <c r="R115" i="38"/>
  <c r="Q115" i="38"/>
  <c r="P115" i="38"/>
  <c r="O115" i="38"/>
  <c r="N115" i="38"/>
  <c r="M115" i="38"/>
  <c r="L115" i="38"/>
  <c r="K115" i="38"/>
  <c r="J115" i="38"/>
  <c r="I115" i="38"/>
  <c r="H115" i="38"/>
  <c r="AI114" i="38"/>
  <c r="AH114" i="38"/>
  <c r="AG114" i="38"/>
  <c r="AF114" i="38"/>
  <c r="AE114" i="38"/>
  <c r="AD114" i="38"/>
  <c r="AC114" i="38"/>
  <c r="AB114" i="38"/>
  <c r="X114" i="38"/>
  <c r="W114" i="38"/>
  <c r="U114" i="38"/>
  <c r="T114" i="38"/>
  <c r="R114" i="38"/>
  <c r="Q114" i="38"/>
  <c r="P114" i="38"/>
  <c r="O114" i="38"/>
  <c r="N114" i="38"/>
  <c r="M114" i="38"/>
  <c r="L114" i="38"/>
  <c r="AK110" i="38"/>
  <c r="AK115" i="38" s="1"/>
  <c r="F110" i="38"/>
  <c r="AL109" i="38"/>
  <c r="AL114" i="38" s="1"/>
  <c r="AK109" i="38"/>
  <c r="AK114" i="38" s="1"/>
  <c r="AJ109" i="38"/>
  <c r="AJ114" i="38" s="1"/>
  <c r="AI109" i="38"/>
  <c r="AH109" i="38"/>
  <c r="AG109" i="38"/>
  <c r="AF109" i="38"/>
  <c r="AE109" i="38"/>
  <c r="AD109" i="38"/>
  <c r="AC109" i="38"/>
  <c r="AB109" i="38"/>
  <c r="AA109" i="38"/>
  <c r="AA114" i="38" s="1"/>
  <c r="Z109" i="38"/>
  <c r="Z114" i="38" s="1"/>
  <c r="Y109" i="38"/>
  <c r="Y114" i="38" s="1"/>
  <c r="X109" i="38"/>
  <c r="W109" i="38"/>
  <c r="V109" i="38"/>
  <c r="V114" i="38" s="1"/>
  <c r="U109" i="38"/>
  <c r="T109" i="38"/>
  <c r="S109" i="38"/>
  <c r="S114" i="38" s="1"/>
  <c r="R109" i="38"/>
  <c r="Q109" i="38"/>
  <c r="P109" i="38"/>
  <c r="O109" i="38"/>
  <c r="N109" i="38"/>
  <c r="M109" i="38"/>
  <c r="L109" i="38"/>
  <c r="K109" i="38"/>
  <c r="K114" i="38" s="1"/>
  <c r="J109" i="38"/>
  <c r="J114" i="38" s="1"/>
  <c r="I109" i="38"/>
  <c r="I114" i="38" s="1"/>
  <c r="H109" i="38"/>
  <c r="H114" i="38" s="1"/>
  <c r="C109" i="38"/>
  <c r="AL108" i="38"/>
  <c r="AK108" i="38"/>
  <c r="AJ108" i="38"/>
  <c r="AI108" i="38"/>
  <c r="AH108" i="38"/>
  <c r="AG108" i="38"/>
  <c r="AF108" i="38"/>
  <c r="AE108" i="38"/>
  <c r="AD108" i="38"/>
  <c r="AC108" i="38"/>
  <c r="AB108" i="38"/>
  <c r="AA108" i="38"/>
  <c r="Z108" i="38"/>
  <c r="F108" i="38" s="1"/>
  <c r="Y108" i="38"/>
  <c r="X108" i="38"/>
  <c r="W108" i="38"/>
  <c r="V108" i="38"/>
  <c r="U108" i="38"/>
  <c r="T108" i="38"/>
  <c r="S108" i="38"/>
  <c r="R108" i="38"/>
  <c r="Q108" i="38"/>
  <c r="P108" i="38"/>
  <c r="O108" i="38"/>
  <c r="N108" i="38"/>
  <c r="M108" i="38"/>
  <c r="L108" i="38"/>
  <c r="K108" i="38"/>
  <c r="J108" i="38"/>
  <c r="I108" i="38"/>
  <c r="H108" i="38"/>
  <c r="AL107" i="38"/>
  <c r="AF107" i="38"/>
  <c r="AE107" i="38"/>
  <c r="AD107" i="38"/>
  <c r="AC107" i="38"/>
  <c r="AB107" i="38"/>
  <c r="AA107" i="38"/>
  <c r="Z107" i="38"/>
  <c r="Y107" i="38"/>
  <c r="X107" i="38"/>
  <c r="W107" i="38"/>
  <c r="V107" i="38"/>
  <c r="U107" i="38"/>
  <c r="T107" i="38"/>
  <c r="S107" i="38"/>
  <c r="M107" i="38"/>
  <c r="L107" i="38"/>
  <c r="K107" i="38"/>
  <c r="J107" i="38"/>
  <c r="H107" i="38"/>
  <c r="AL102" i="38"/>
  <c r="AK102" i="38"/>
  <c r="AK107" i="38" s="1"/>
  <c r="AJ102" i="38"/>
  <c r="AJ107" i="38" s="1"/>
  <c r="AI102" i="38"/>
  <c r="AI107" i="38" s="1"/>
  <c r="AH102" i="38"/>
  <c r="AH107" i="38" s="1"/>
  <c r="AG102" i="38"/>
  <c r="AG107" i="38" s="1"/>
  <c r="AF102" i="38"/>
  <c r="AE102" i="38"/>
  <c r="AD102" i="38"/>
  <c r="AC102" i="38"/>
  <c r="AB102" i="38"/>
  <c r="AA102" i="38"/>
  <c r="Z102" i="38"/>
  <c r="Y102" i="38"/>
  <c r="X102" i="38"/>
  <c r="W102" i="38"/>
  <c r="V102" i="38"/>
  <c r="U102" i="38"/>
  <c r="T102" i="38"/>
  <c r="S102" i="38"/>
  <c r="R102" i="38"/>
  <c r="R107" i="38" s="1"/>
  <c r="Q102" i="38"/>
  <c r="Q107" i="38" s="1"/>
  <c r="P102" i="38"/>
  <c r="P107" i="38" s="1"/>
  <c r="P14" i="38" s="1"/>
  <c r="O102" i="38"/>
  <c r="O107" i="38" s="1"/>
  <c r="N102" i="38"/>
  <c r="N107" i="38" s="1"/>
  <c r="M102" i="38"/>
  <c r="L102" i="38"/>
  <c r="K102" i="38"/>
  <c r="J102" i="38"/>
  <c r="I102" i="38"/>
  <c r="I107" i="38" s="1"/>
  <c r="H102" i="38"/>
  <c r="C102" i="38"/>
  <c r="AL101" i="38"/>
  <c r="AK101" i="38"/>
  <c r="AJ101" i="38"/>
  <c r="AI101" i="38"/>
  <c r="AH101" i="38"/>
  <c r="AG101" i="38"/>
  <c r="AF101" i="38"/>
  <c r="AE101" i="38"/>
  <c r="AD101" i="38"/>
  <c r="AC101" i="38"/>
  <c r="AB101" i="38"/>
  <c r="AA101" i="38"/>
  <c r="Z101" i="38"/>
  <c r="Y101" i="38"/>
  <c r="X101" i="38"/>
  <c r="W101" i="38"/>
  <c r="V101" i="38"/>
  <c r="U101" i="38"/>
  <c r="T101" i="38"/>
  <c r="S101" i="38"/>
  <c r="R101" i="38"/>
  <c r="Q101" i="38"/>
  <c r="P101" i="38"/>
  <c r="O101" i="38"/>
  <c r="N101" i="38"/>
  <c r="M101" i="38"/>
  <c r="L101" i="38"/>
  <c r="K101" i="38"/>
  <c r="J101" i="38"/>
  <c r="I101" i="38"/>
  <c r="H101" i="38"/>
  <c r="AL100" i="38"/>
  <c r="AK100" i="38"/>
  <c r="AJ100" i="38"/>
  <c r="AI100" i="38"/>
  <c r="AH100" i="38"/>
  <c r="AG100" i="38"/>
  <c r="AE100" i="38"/>
  <c r="AD100" i="38"/>
  <c r="AC100" i="38"/>
  <c r="AB100" i="38"/>
  <c r="AA100" i="38"/>
  <c r="Z100" i="38"/>
  <c r="S100" i="38"/>
  <c r="R100" i="38"/>
  <c r="Q100" i="38"/>
  <c r="P100" i="38"/>
  <c r="O100" i="38"/>
  <c r="N100" i="38"/>
  <c r="M100" i="38"/>
  <c r="O96" i="38"/>
  <c r="AL95" i="38"/>
  <c r="AK95" i="38"/>
  <c r="AJ95" i="38"/>
  <c r="AI95" i="38"/>
  <c r="AH95" i="38"/>
  <c r="AG95" i="38"/>
  <c r="AF95" i="38"/>
  <c r="AF100" i="38" s="1"/>
  <c r="AE95" i="38"/>
  <c r="AD95" i="38"/>
  <c r="AC95" i="38"/>
  <c r="AB95" i="38"/>
  <c r="AA95" i="38"/>
  <c r="Z95" i="38"/>
  <c r="Y95" i="38"/>
  <c r="Y100" i="38" s="1"/>
  <c r="X95" i="38"/>
  <c r="X100" i="38" s="1"/>
  <c r="W95" i="38"/>
  <c r="W100" i="38" s="1"/>
  <c r="V95" i="38"/>
  <c r="V100" i="38" s="1"/>
  <c r="U95" i="38"/>
  <c r="U100" i="38" s="1"/>
  <c r="T95" i="38"/>
  <c r="T100" i="38" s="1"/>
  <c r="S95" i="38"/>
  <c r="R95" i="38"/>
  <c r="Q95" i="38"/>
  <c r="Q10" i="38" s="1"/>
  <c r="P95" i="38"/>
  <c r="O95" i="38"/>
  <c r="N95" i="38"/>
  <c r="M95" i="38"/>
  <c r="L95" i="38"/>
  <c r="L100" i="38" s="1"/>
  <c r="K95" i="38"/>
  <c r="K100" i="38" s="1"/>
  <c r="F100" i="38" s="1"/>
  <c r="J95" i="38"/>
  <c r="J100" i="38" s="1"/>
  <c r="I95" i="38"/>
  <c r="I100" i="38" s="1"/>
  <c r="H95" i="38"/>
  <c r="H100" i="38" s="1"/>
  <c r="C95" i="38"/>
  <c r="AL94" i="38"/>
  <c r="AK94" i="38"/>
  <c r="AJ94" i="38"/>
  <c r="AI94" i="38"/>
  <c r="AH94" i="38"/>
  <c r="AG94" i="38"/>
  <c r="AF94" i="38"/>
  <c r="AE94" i="38"/>
  <c r="AD94" i="38"/>
  <c r="AC94" i="38"/>
  <c r="AB94" i="38"/>
  <c r="AA94" i="38"/>
  <c r="Z94" i="38"/>
  <c r="Y94" i="38"/>
  <c r="X94" i="38"/>
  <c r="W94" i="38"/>
  <c r="V94" i="38"/>
  <c r="U94" i="38"/>
  <c r="T94" i="38"/>
  <c r="S94" i="38"/>
  <c r="R94" i="38"/>
  <c r="Q94" i="38"/>
  <c r="P94" i="38"/>
  <c r="O94" i="38"/>
  <c r="N94" i="38"/>
  <c r="M94" i="38"/>
  <c r="L94" i="38"/>
  <c r="K94" i="38"/>
  <c r="J94" i="38"/>
  <c r="I94" i="38"/>
  <c r="H94" i="38"/>
  <c r="AL93" i="38"/>
  <c r="AK93" i="38"/>
  <c r="AJ93" i="38"/>
  <c r="AI93" i="38"/>
  <c r="AH93" i="38"/>
  <c r="AB93" i="38"/>
  <c r="W93" i="38"/>
  <c r="V93" i="38"/>
  <c r="U93" i="38"/>
  <c r="S93" i="38"/>
  <c r="I93" i="38"/>
  <c r="H93" i="38"/>
  <c r="AL88" i="38"/>
  <c r="AK88" i="38"/>
  <c r="AJ88" i="38"/>
  <c r="AI88" i="38"/>
  <c r="AH88" i="38"/>
  <c r="AG88" i="38"/>
  <c r="AG93" i="38" s="1"/>
  <c r="AF88" i="38"/>
  <c r="AF93" i="38" s="1"/>
  <c r="AE88" i="38"/>
  <c r="AE93" i="38" s="1"/>
  <c r="AD88" i="38"/>
  <c r="AD93" i="38" s="1"/>
  <c r="AC88" i="38"/>
  <c r="AC93" i="38" s="1"/>
  <c r="AB88" i="38"/>
  <c r="AA88" i="38"/>
  <c r="AA93" i="38" s="1"/>
  <c r="Z88" i="38"/>
  <c r="Z93" i="38" s="1"/>
  <c r="Y88" i="38"/>
  <c r="Y93" i="38" s="1"/>
  <c r="X88" i="38"/>
  <c r="X93" i="38" s="1"/>
  <c r="W88" i="38"/>
  <c r="V88" i="38"/>
  <c r="U88" i="38"/>
  <c r="T88" i="38"/>
  <c r="T93" i="38" s="1"/>
  <c r="S88" i="38"/>
  <c r="R88" i="38"/>
  <c r="R93" i="38" s="1"/>
  <c r="Q88" i="38"/>
  <c r="Q93" i="38" s="1"/>
  <c r="P88" i="38"/>
  <c r="P93" i="38" s="1"/>
  <c r="O88" i="38"/>
  <c r="O93" i="38" s="1"/>
  <c r="N88" i="38"/>
  <c r="N93" i="38" s="1"/>
  <c r="M88" i="38"/>
  <c r="M93" i="38" s="1"/>
  <c r="L88" i="38"/>
  <c r="L93" i="38" s="1"/>
  <c r="K88" i="38"/>
  <c r="K93" i="38" s="1"/>
  <c r="J88" i="38"/>
  <c r="J93" i="38" s="1"/>
  <c r="F93" i="38" s="1"/>
  <c r="I88" i="38"/>
  <c r="H88" i="38"/>
  <c r="C88" i="38"/>
  <c r="AL87" i="38"/>
  <c r="AK87" i="38"/>
  <c r="AJ87" i="38"/>
  <c r="AI87" i="38"/>
  <c r="AH87" i="38"/>
  <c r="AG87" i="38"/>
  <c r="AF87" i="38"/>
  <c r="AE87" i="38"/>
  <c r="AD87" i="38"/>
  <c r="AC87" i="38"/>
  <c r="AB87" i="38"/>
  <c r="AA87" i="38"/>
  <c r="Z87" i="38"/>
  <c r="Y87" i="38"/>
  <c r="X87" i="38"/>
  <c r="W87" i="38"/>
  <c r="V87" i="38"/>
  <c r="U87" i="38"/>
  <c r="T87" i="38"/>
  <c r="S87" i="38"/>
  <c r="R87" i="38"/>
  <c r="Q87" i="38"/>
  <c r="P87" i="38"/>
  <c r="O87" i="38"/>
  <c r="N87" i="38"/>
  <c r="M87" i="38"/>
  <c r="L87" i="38"/>
  <c r="K87" i="38"/>
  <c r="J87" i="38"/>
  <c r="I87" i="38"/>
  <c r="H87" i="38"/>
  <c r="AI86" i="38"/>
  <c r="AH86" i="38"/>
  <c r="AG86" i="38"/>
  <c r="AF86" i="38"/>
  <c r="AE86" i="38"/>
  <c r="AD86" i="38"/>
  <c r="AC86" i="38"/>
  <c r="AB86" i="38"/>
  <c r="AA86" i="38"/>
  <c r="M86" i="38"/>
  <c r="L86" i="38"/>
  <c r="K86" i="38"/>
  <c r="J86" i="38"/>
  <c r="I86" i="38"/>
  <c r="F82" i="38"/>
  <c r="G82" i="38" s="1"/>
  <c r="AL81" i="38"/>
  <c r="AL86" i="38" s="1"/>
  <c r="AK81" i="38"/>
  <c r="AK86" i="38" s="1"/>
  <c r="AJ81" i="38"/>
  <c r="AJ86" i="38" s="1"/>
  <c r="AI81" i="38"/>
  <c r="AH81" i="38"/>
  <c r="AG81" i="38"/>
  <c r="AF81" i="38"/>
  <c r="AE81" i="38"/>
  <c r="AD81" i="38"/>
  <c r="AC81" i="38"/>
  <c r="AB81" i="38"/>
  <c r="AA81" i="38"/>
  <c r="Z81" i="38"/>
  <c r="Z86" i="38" s="1"/>
  <c r="Y81" i="38"/>
  <c r="Y86" i="38" s="1"/>
  <c r="X81" i="38"/>
  <c r="X86" i="38" s="1"/>
  <c r="W81" i="38"/>
  <c r="W86" i="38" s="1"/>
  <c r="V81" i="38"/>
  <c r="V86" i="38" s="1"/>
  <c r="U81" i="38"/>
  <c r="U86" i="38" s="1"/>
  <c r="T81" i="38"/>
  <c r="T86" i="38" s="1"/>
  <c r="S81" i="38"/>
  <c r="S86" i="38" s="1"/>
  <c r="R81" i="38"/>
  <c r="R86" i="38" s="1"/>
  <c r="Q81" i="38"/>
  <c r="Q86" i="38" s="1"/>
  <c r="P81" i="38"/>
  <c r="P86" i="38" s="1"/>
  <c r="O81" i="38"/>
  <c r="O86" i="38" s="1"/>
  <c r="O14" i="38" s="1"/>
  <c r="N81" i="38"/>
  <c r="F81" i="38" s="1"/>
  <c r="M81" i="38"/>
  <c r="L81" i="38"/>
  <c r="K81" i="38"/>
  <c r="J81" i="38"/>
  <c r="I81" i="38"/>
  <c r="H81" i="38"/>
  <c r="H86" i="38" s="1"/>
  <c r="C81" i="38"/>
  <c r="AL80" i="38"/>
  <c r="AK80" i="38"/>
  <c r="AJ80" i="38"/>
  <c r="AI80" i="38"/>
  <c r="AH80" i="38"/>
  <c r="AG80" i="38"/>
  <c r="AF80" i="38"/>
  <c r="AE80" i="38"/>
  <c r="AD80" i="38"/>
  <c r="AC80" i="38"/>
  <c r="AB80" i="38"/>
  <c r="AA80" i="38"/>
  <c r="Z80" i="38"/>
  <c r="Y80" i="38"/>
  <c r="X80" i="38"/>
  <c r="W80" i="38"/>
  <c r="V80" i="38"/>
  <c r="U80" i="38"/>
  <c r="T80" i="38"/>
  <c r="S80" i="38"/>
  <c r="R80" i="38"/>
  <c r="O80" i="38"/>
  <c r="F80" i="38" s="1"/>
  <c r="N80" i="38"/>
  <c r="M80" i="38"/>
  <c r="L80" i="38"/>
  <c r="K80" i="38"/>
  <c r="J80" i="38"/>
  <c r="I80" i="38"/>
  <c r="H80" i="38"/>
  <c r="AL79" i="38"/>
  <c r="AK79" i="38"/>
  <c r="AI79" i="38"/>
  <c r="AH79" i="38"/>
  <c r="AG79" i="38"/>
  <c r="AB79" i="38"/>
  <c r="AA79" i="38"/>
  <c r="Z79" i="38"/>
  <c r="Y79" i="38"/>
  <c r="X79" i="38"/>
  <c r="W79" i="38"/>
  <c r="V79" i="38"/>
  <c r="U79" i="38"/>
  <c r="T79" i="38"/>
  <c r="S79" i="38"/>
  <c r="R79" i="38"/>
  <c r="I79" i="38"/>
  <c r="Q75" i="38"/>
  <c r="Q80" i="38" s="1"/>
  <c r="P75" i="38"/>
  <c r="P80" i="38" s="1"/>
  <c r="AL74" i="38"/>
  <c r="AK74" i="38"/>
  <c r="AJ74" i="38"/>
  <c r="AJ79" i="38" s="1"/>
  <c r="AI74" i="38"/>
  <c r="AH74" i="38"/>
  <c r="AG74" i="38"/>
  <c r="AF74" i="38"/>
  <c r="AF79" i="38" s="1"/>
  <c r="AE74" i="38"/>
  <c r="AE79" i="38" s="1"/>
  <c r="AD74" i="38"/>
  <c r="AD79" i="38" s="1"/>
  <c r="AC74" i="38"/>
  <c r="AC79" i="38" s="1"/>
  <c r="AB74" i="38"/>
  <c r="AA74" i="38"/>
  <c r="Z74" i="38"/>
  <c r="Y74" i="38"/>
  <c r="X74" i="38"/>
  <c r="W74" i="38"/>
  <c r="V74" i="38"/>
  <c r="U74" i="38"/>
  <c r="T74" i="38"/>
  <c r="S74" i="38"/>
  <c r="R74" i="38"/>
  <c r="Q74" i="38"/>
  <c r="Q79" i="38" s="1"/>
  <c r="P74" i="38"/>
  <c r="P79" i="38" s="1"/>
  <c r="O74" i="38"/>
  <c r="O79" i="38" s="1"/>
  <c r="N74" i="38"/>
  <c r="N79" i="38" s="1"/>
  <c r="M74" i="38"/>
  <c r="M79" i="38" s="1"/>
  <c r="L74" i="38"/>
  <c r="L79" i="38" s="1"/>
  <c r="K74" i="38"/>
  <c r="K79" i="38" s="1"/>
  <c r="J74" i="38"/>
  <c r="J79" i="38" s="1"/>
  <c r="I74" i="38"/>
  <c r="H74" i="38"/>
  <c r="H79" i="38" s="1"/>
  <c r="F79" i="38" s="1"/>
  <c r="AL73" i="38"/>
  <c r="AK73" i="38"/>
  <c r="AJ73" i="38"/>
  <c r="AI73" i="38"/>
  <c r="AH73" i="38"/>
  <c r="AG73" i="38"/>
  <c r="AF73" i="38"/>
  <c r="AE73" i="38"/>
  <c r="AD73" i="38"/>
  <c r="AC73" i="38"/>
  <c r="AB73" i="38"/>
  <c r="AB15" i="38" s="1"/>
  <c r="AA73" i="38"/>
  <c r="AA15" i="38" s="1"/>
  <c r="Z73" i="38"/>
  <c r="Y73" i="38"/>
  <c r="X73" i="38"/>
  <c r="W73" i="38"/>
  <c r="U73" i="38"/>
  <c r="T73" i="38"/>
  <c r="S73" i="38"/>
  <c r="R73" i="38"/>
  <c r="Q73" i="38"/>
  <c r="P73" i="38"/>
  <c r="O73" i="38"/>
  <c r="N73" i="38"/>
  <c r="M73" i="38"/>
  <c r="L73" i="38"/>
  <c r="K73" i="38"/>
  <c r="J73" i="38"/>
  <c r="I73" i="38"/>
  <c r="H73" i="38"/>
  <c r="AK72" i="38"/>
  <c r="AJ72" i="38"/>
  <c r="AI72" i="38"/>
  <c r="AH72" i="38"/>
  <c r="AG72" i="38"/>
  <c r="AC72" i="38"/>
  <c r="AB72" i="38"/>
  <c r="AA72" i="38"/>
  <c r="Z72" i="38"/>
  <c r="Y72" i="38"/>
  <c r="X72" i="38"/>
  <c r="R72" i="38"/>
  <c r="Q72" i="38"/>
  <c r="P72" i="38"/>
  <c r="O72" i="38"/>
  <c r="N72" i="38"/>
  <c r="M72" i="38"/>
  <c r="L72" i="38"/>
  <c r="V68" i="38"/>
  <c r="V73" i="38" s="1"/>
  <c r="F68" i="38"/>
  <c r="G68" i="38" s="1"/>
  <c r="AL67" i="38"/>
  <c r="AL72" i="38" s="1"/>
  <c r="AK67" i="38"/>
  <c r="AJ67" i="38"/>
  <c r="AI67" i="38"/>
  <c r="AI10" i="38" s="1"/>
  <c r="AH67" i="38"/>
  <c r="F67" i="38" s="1"/>
  <c r="AG67" i="38"/>
  <c r="AF67" i="38"/>
  <c r="AF72" i="38" s="1"/>
  <c r="AE67" i="38"/>
  <c r="AE72" i="38" s="1"/>
  <c r="AD67" i="38"/>
  <c r="AD72" i="38" s="1"/>
  <c r="AC67" i="38"/>
  <c r="AB67" i="38"/>
  <c r="AA67" i="38"/>
  <c r="Z67" i="38"/>
  <c r="Y67" i="38"/>
  <c r="X67" i="38"/>
  <c r="W67" i="38"/>
  <c r="W72" i="38" s="1"/>
  <c r="V67" i="38"/>
  <c r="V72" i="38" s="1"/>
  <c r="U67" i="38"/>
  <c r="U72" i="38" s="1"/>
  <c r="T67" i="38"/>
  <c r="T72" i="38" s="1"/>
  <c r="S67" i="38"/>
  <c r="S72" i="38" s="1"/>
  <c r="R67" i="38"/>
  <c r="Q67" i="38"/>
  <c r="P67" i="38"/>
  <c r="O67" i="38"/>
  <c r="N67" i="38"/>
  <c r="M67" i="38"/>
  <c r="L67" i="38"/>
  <c r="K67" i="38"/>
  <c r="K72" i="38" s="1"/>
  <c r="J67" i="38"/>
  <c r="J72" i="38" s="1"/>
  <c r="I67" i="38"/>
  <c r="I72" i="38" s="1"/>
  <c r="H67" i="38"/>
  <c r="H72" i="38" s="1"/>
  <c r="C67" i="38"/>
  <c r="AL66" i="38"/>
  <c r="AK66" i="38"/>
  <c r="AJ66" i="38"/>
  <c r="AI66" i="38"/>
  <c r="F66" i="38" s="1"/>
  <c r="AH66" i="38"/>
  <c r="AG66" i="38"/>
  <c r="AF66" i="38"/>
  <c r="AE66" i="38"/>
  <c r="AD66" i="38"/>
  <c r="AC66" i="38"/>
  <c r="AB66" i="38"/>
  <c r="AA66" i="38"/>
  <c r="Z66" i="38"/>
  <c r="Y66" i="38"/>
  <c r="X66" i="38"/>
  <c r="W66" i="38"/>
  <c r="V66" i="38"/>
  <c r="U66" i="38"/>
  <c r="T66" i="38"/>
  <c r="S66" i="38"/>
  <c r="R66" i="38"/>
  <c r="Q66" i="38"/>
  <c r="P66" i="38"/>
  <c r="O66" i="38"/>
  <c r="N66" i="38"/>
  <c r="M66" i="38"/>
  <c r="L66" i="38"/>
  <c r="K66" i="38"/>
  <c r="J66" i="38"/>
  <c r="I66" i="38"/>
  <c r="H66" i="38"/>
  <c r="AL65" i="38"/>
  <c r="AK65" i="38"/>
  <c r="AJ65" i="38"/>
  <c r="AI65" i="38"/>
  <c r="AH65" i="38"/>
  <c r="AG65" i="38"/>
  <c r="AF65" i="38"/>
  <c r="AA65" i="38"/>
  <c r="Z65" i="38"/>
  <c r="Y65" i="38"/>
  <c r="X65" i="38"/>
  <c r="W65" i="38"/>
  <c r="V65" i="38"/>
  <c r="U65" i="38"/>
  <c r="T65" i="38"/>
  <c r="S65" i="38"/>
  <c r="H65" i="38"/>
  <c r="F61" i="38"/>
  <c r="AL60" i="38"/>
  <c r="AK60" i="38"/>
  <c r="AJ60" i="38"/>
  <c r="AI60" i="38"/>
  <c r="AH60" i="38"/>
  <c r="AG60" i="38"/>
  <c r="AF60" i="38"/>
  <c r="AE60" i="38"/>
  <c r="AE65" i="38" s="1"/>
  <c r="AD60" i="38"/>
  <c r="AD65" i="38" s="1"/>
  <c r="AC60" i="38"/>
  <c r="AC65" i="38" s="1"/>
  <c r="AB60" i="38"/>
  <c r="AB65" i="38" s="1"/>
  <c r="V60" i="38"/>
  <c r="U60" i="38"/>
  <c r="T60" i="38"/>
  <c r="S60" i="38"/>
  <c r="R60" i="38"/>
  <c r="R65" i="38" s="1"/>
  <c r="Q60" i="38"/>
  <c r="Q65" i="38" s="1"/>
  <c r="P60" i="38"/>
  <c r="P65" i="38" s="1"/>
  <c r="O60" i="38"/>
  <c r="O65" i="38" s="1"/>
  <c r="N60" i="38"/>
  <c r="N65" i="38" s="1"/>
  <c r="M60" i="38"/>
  <c r="M65" i="38" s="1"/>
  <c r="L60" i="38"/>
  <c r="L65" i="38" s="1"/>
  <c r="K60" i="38"/>
  <c r="K65" i="38" s="1"/>
  <c r="J60" i="38"/>
  <c r="J65" i="38" s="1"/>
  <c r="I60" i="38"/>
  <c r="I65" i="38" s="1"/>
  <c r="H60" i="38"/>
  <c r="AL59" i="38"/>
  <c r="AK59" i="38"/>
  <c r="AJ59" i="38"/>
  <c r="AI59" i="38"/>
  <c r="AH59" i="38"/>
  <c r="AG59" i="38"/>
  <c r="AF59" i="38"/>
  <c r="AE59" i="38"/>
  <c r="AD59" i="38"/>
  <c r="AC59" i="38"/>
  <c r="AB59" i="38"/>
  <c r="AA59" i="38"/>
  <c r="Z59" i="38"/>
  <c r="Y59" i="38"/>
  <c r="X59" i="38"/>
  <c r="W59" i="38"/>
  <c r="V59" i="38"/>
  <c r="U59" i="38"/>
  <c r="T59" i="38"/>
  <c r="S59" i="38"/>
  <c r="R59" i="38"/>
  <c r="Q59" i="38"/>
  <c r="O59" i="38"/>
  <c r="N59" i="38"/>
  <c r="M59" i="38"/>
  <c r="L59" i="38"/>
  <c r="K59" i="38"/>
  <c r="J59" i="38"/>
  <c r="I59" i="38"/>
  <c r="H59" i="38"/>
  <c r="AI58" i="38"/>
  <c r="AH58" i="38"/>
  <c r="AB58" i="38"/>
  <c r="AA58" i="38"/>
  <c r="Z58" i="38"/>
  <c r="Y58" i="38"/>
  <c r="X58" i="38"/>
  <c r="W58" i="38"/>
  <c r="V58" i="38"/>
  <c r="U58" i="38"/>
  <c r="N58" i="38"/>
  <c r="M58" i="38"/>
  <c r="L58" i="38"/>
  <c r="K58" i="38"/>
  <c r="J58" i="38"/>
  <c r="I58" i="38"/>
  <c r="H58" i="38"/>
  <c r="V54" i="38"/>
  <c r="Q54" i="38"/>
  <c r="P54" i="38"/>
  <c r="P59" i="38" s="1"/>
  <c r="O54" i="38"/>
  <c r="M54" i="38"/>
  <c r="I54" i="38"/>
  <c r="AL53" i="38"/>
  <c r="AL58" i="38" s="1"/>
  <c r="AK53" i="38"/>
  <c r="AK58" i="38" s="1"/>
  <c r="AJ53" i="38"/>
  <c r="AJ58" i="38" s="1"/>
  <c r="AI53" i="38"/>
  <c r="AH53" i="38"/>
  <c r="AG53" i="38"/>
  <c r="AG58" i="38" s="1"/>
  <c r="F58" i="38" s="1"/>
  <c r="AF53" i="38"/>
  <c r="AF58" i="38" s="1"/>
  <c r="AE53" i="38"/>
  <c r="AE58" i="38" s="1"/>
  <c r="AD53" i="38"/>
  <c r="AD58" i="38" s="1"/>
  <c r="AC53" i="38"/>
  <c r="AC58" i="38" s="1"/>
  <c r="AB53" i="38"/>
  <c r="AA53" i="38"/>
  <c r="Z53" i="38"/>
  <c r="Y53" i="38"/>
  <c r="X53" i="38"/>
  <c r="W53" i="38"/>
  <c r="V53" i="38"/>
  <c r="U53" i="38"/>
  <c r="T53" i="38"/>
  <c r="T58" i="38" s="1"/>
  <c r="S53" i="38"/>
  <c r="S58" i="38" s="1"/>
  <c r="R53" i="38"/>
  <c r="R58" i="38" s="1"/>
  <c r="Q53" i="38"/>
  <c r="Q58" i="38" s="1"/>
  <c r="P53" i="38"/>
  <c r="P58" i="38" s="1"/>
  <c r="O53" i="38"/>
  <c r="O58" i="38" s="1"/>
  <c r="N53" i="38"/>
  <c r="M53" i="38"/>
  <c r="L53" i="38"/>
  <c r="K53" i="38"/>
  <c r="J53" i="38"/>
  <c r="I53" i="38"/>
  <c r="H53" i="38"/>
  <c r="C53" i="38"/>
  <c r="AL52" i="38"/>
  <c r="AK52" i="38"/>
  <c r="AJ52" i="38"/>
  <c r="AI52" i="38"/>
  <c r="AH52" i="38"/>
  <c r="AG52" i="38"/>
  <c r="AF52" i="38"/>
  <c r="AE52" i="38"/>
  <c r="AD52" i="38"/>
  <c r="AC52" i="38"/>
  <c r="AB52" i="38"/>
  <c r="AA52" i="38"/>
  <c r="Z52" i="38"/>
  <c r="Y52" i="38"/>
  <c r="X52" i="38"/>
  <c r="W52" i="38"/>
  <c r="V52" i="38"/>
  <c r="U52" i="38"/>
  <c r="T52" i="38"/>
  <c r="S52" i="38"/>
  <c r="R52" i="38"/>
  <c r="Q52" i="38"/>
  <c r="O52" i="38"/>
  <c r="N52" i="38"/>
  <c r="M52" i="38"/>
  <c r="L52" i="38"/>
  <c r="K52" i="38"/>
  <c r="H52" i="38"/>
  <c r="AI51" i="38"/>
  <c r="AH51" i="38"/>
  <c r="AH14" i="38" s="1"/>
  <c r="AG51" i="38"/>
  <c r="AF51" i="38"/>
  <c r="AE51" i="38"/>
  <c r="AB51" i="38"/>
  <c r="AA51" i="38"/>
  <c r="Z51" i="38"/>
  <c r="Y51" i="38"/>
  <c r="X51" i="38"/>
  <c r="V51" i="38"/>
  <c r="U51" i="38"/>
  <c r="T51" i="38"/>
  <c r="S51" i="38"/>
  <c r="R51" i="38"/>
  <c r="Q51" i="38"/>
  <c r="P51" i="38"/>
  <c r="O51" i="38"/>
  <c r="M51" i="38"/>
  <c r="V47" i="38"/>
  <c r="U47" i="38"/>
  <c r="T47" i="38"/>
  <c r="S47" i="38"/>
  <c r="P47" i="38"/>
  <c r="P52" i="38" s="1"/>
  <c r="O47" i="38"/>
  <c r="N47" i="38"/>
  <c r="M47" i="38"/>
  <c r="J47" i="38"/>
  <c r="J52" i="38" s="1"/>
  <c r="I47" i="38"/>
  <c r="I52" i="38" s="1"/>
  <c r="F47" i="38"/>
  <c r="AL46" i="38"/>
  <c r="AL51" i="38" s="1"/>
  <c r="AK46" i="38"/>
  <c r="AK10" i="38" s="1"/>
  <c r="AJ46" i="38"/>
  <c r="AI46" i="38"/>
  <c r="AH46" i="38"/>
  <c r="AG46" i="38"/>
  <c r="AF46" i="38"/>
  <c r="AE46" i="38"/>
  <c r="AD46" i="38"/>
  <c r="AD51" i="38" s="1"/>
  <c r="AC46" i="38"/>
  <c r="AC51" i="38" s="1"/>
  <c r="AB46" i="38"/>
  <c r="AA46" i="38"/>
  <c r="Z46" i="38"/>
  <c r="Y46" i="38"/>
  <c r="X46" i="38"/>
  <c r="W46" i="38"/>
  <c r="W51" i="38" s="1"/>
  <c r="V46" i="38"/>
  <c r="U46" i="38"/>
  <c r="T46" i="38"/>
  <c r="S46" i="38"/>
  <c r="R46" i="38"/>
  <c r="Q46" i="38"/>
  <c r="P46" i="38"/>
  <c r="O46" i="38"/>
  <c r="N46" i="38"/>
  <c r="N51" i="38" s="1"/>
  <c r="M46" i="38"/>
  <c r="L46" i="38"/>
  <c r="L51" i="38" s="1"/>
  <c r="K46" i="38"/>
  <c r="K51" i="38" s="1"/>
  <c r="J46" i="38"/>
  <c r="J51" i="38" s="1"/>
  <c r="I46" i="38"/>
  <c r="I51" i="38" s="1"/>
  <c r="H46" i="38"/>
  <c r="H51" i="38" s="1"/>
  <c r="H14" i="38" s="1"/>
  <c r="AL45" i="38"/>
  <c r="AK45" i="38"/>
  <c r="AJ45" i="38"/>
  <c r="AI45" i="38"/>
  <c r="AH45" i="38"/>
  <c r="AF45" i="38"/>
  <c r="AE45" i="38"/>
  <c r="AD45" i="38"/>
  <c r="AC45" i="38"/>
  <c r="AB45" i="38"/>
  <c r="AA45" i="38"/>
  <c r="Z45" i="38"/>
  <c r="Y45" i="38"/>
  <c r="X45" i="38"/>
  <c r="W45" i="38"/>
  <c r="U45" i="38"/>
  <c r="T45" i="38"/>
  <c r="S45" i="38"/>
  <c r="R45" i="38"/>
  <c r="L45" i="38"/>
  <c r="K45" i="38"/>
  <c r="J45" i="38"/>
  <c r="I45" i="38"/>
  <c r="H45" i="38"/>
  <c r="H15" i="38" s="1"/>
  <c r="AL44" i="38"/>
  <c r="AK44" i="38"/>
  <c r="AJ44" i="38"/>
  <c r="AI44" i="38"/>
  <c r="AI14" i="38" s="1"/>
  <c r="AI12" i="38" s="1"/>
  <c r="AB44" i="38"/>
  <c r="W44" i="38"/>
  <c r="V44" i="38"/>
  <c r="U44" i="38"/>
  <c r="K44" i="38"/>
  <c r="J44" i="38"/>
  <c r="I44" i="38"/>
  <c r="H44" i="38"/>
  <c r="AK40" i="38"/>
  <c r="AG40" i="38"/>
  <c r="V40" i="38"/>
  <c r="V45" i="38" s="1"/>
  <c r="Q40" i="38"/>
  <c r="Q45" i="38" s="1"/>
  <c r="P40" i="38"/>
  <c r="P45" i="38" s="1"/>
  <c r="O40" i="38"/>
  <c r="O45" i="38" s="1"/>
  <c r="N40" i="38"/>
  <c r="N45" i="38" s="1"/>
  <c r="M40" i="38"/>
  <c r="M45" i="38" s="1"/>
  <c r="J40" i="38"/>
  <c r="I40" i="38"/>
  <c r="AL39" i="38"/>
  <c r="AK39" i="38"/>
  <c r="AJ39" i="38"/>
  <c r="AI39" i="38"/>
  <c r="AH39" i="38"/>
  <c r="AH44" i="38" s="1"/>
  <c r="AG39" i="38"/>
  <c r="AG44" i="38" s="1"/>
  <c r="AF39" i="38"/>
  <c r="AF44" i="38" s="1"/>
  <c r="AE39" i="38"/>
  <c r="AE44" i="38" s="1"/>
  <c r="AD39" i="38"/>
  <c r="AD44" i="38" s="1"/>
  <c r="AC39" i="38"/>
  <c r="AC44" i="38" s="1"/>
  <c r="AB39" i="38"/>
  <c r="AA39" i="38"/>
  <c r="Z39" i="38"/>
  <c r="Z44" i="38" s="1"/>
  <c r="Y39" i="38"/>
  <c r="Y44" i="38" s="1"/>
  <c r="X39" i="38"/>
  <c r="X44" i="38" s="1"/>
  <c r="W39" i="38"/>
  <c r="V39" i="38"/>
  <c r="U39" i="38"/>
  <c r="T39" i="38"/>
  <c r="T44" i="38" s="1"/>
  <c r="S39" i="38"/>
  <c r="S44" i="38" s="1"/>
  <c r="R39" i="38"/>
  <c r="R44" i="38" s="1"/>
  <c r="Q39" i="38"/>
  <c r="Q44" i="38" s="1"/>
  <c r="P39" i="38"/>
  <c r="P44" i="38" s="1"/>
  <c r="O39" i="38"/>
  <c r="O44" i="38" s="1"/>
  <c r="N39" i="38"/>
  <c r="N44" i="38" s="1"/>
  <c r="M39" i="38"/>
  <c r="M44" i="38" s="1"/>
  <c r="L39" i="38"/>
  <c r="L44" i="38" s="1"/>
  <c r="K39" i="38"/>
  <c r="J39" i="38"/>
  <c r="I39" i="38"/>
  <c r="H39" i="38"/>
  <c r="AL38" i="38"/>
  <c r="AK38" i="38"/>
  <c r="AJ38" i="38"/>
  <c r="AI38" i="38"/>
  <c r="AH38" i="38"/>
  <c r="AG38" i="38"/>
  <c r="AF38" i="38"/>
  <c r="AE38" i="38"/>
  <c r="AD38" i="38"/>
  <c r="AC38" i="38"/>
  <c r="F38" i="38" s="1"/>
  <c r="AB38" i="38"/>
  <c r="AA38" i="38"/>
  <c r="Z38" i="38"/>
  <c r="Y38" i="38"/>
  <c r="X38" i="38"/>
  <c r="W38" i="38"/>
  <c r="U38" i="38"/>
  <c r="T38" i="38"/>
  <c r="S38" i="38"/>
  <c r="R38" i="38"/>
  <c r="Q38" i="38"/>
  <c r="P38" i="38"/>
  <c r="O38" i="38"/>
  <c r="N38" i="38"/>
  <c r="M38" i="38"/>
  <c r="L38" i="38"/>
  <c r="K38" i="38"/>
  <c r="I38" i="38"/>
  <c r="H38" i="38"/>
  <c r="AD37" i="38"/>
  <c r="Z37" i="38"/>
  <c r="Y37" i="38"/>
  <c r="X37" i="38"/>
  <c r="W37" i="38"/>
  <c r="V37" i="38"/>
  <c r="U37" i="38"/>
  <c r="T37" i="38"/>
  <c r="O37" i="38"/>
  <c r="N37" i="38"/>
  <c r="M37" i="38"/>
  <c r="I37" i="38"/>
  <c r="H37" i="38"/>
  <c r="V33" i="38"/>
  <c r="V38" i="38" s="1"/>
  <c r="P33" i="38"/>
  <c r="O33" i="38"/>
  <c r="N33" i="38"/>
  <c r="M33" i="38"/>
  <c r="J33" i="38"/>
  <c r="J38" i="38" s="1"/>
  <c r="I33" i="38"/>
  <c r="AL32" i="38"/>
  <c r="AL37" i="38" s="1"/>
  <c r="AK32" i="38"/>
  <c r="AK37" i="38" s="1"/>
  <c r="AJ32" i="38"/>
  <c r="AJ37" i="38" s="1"/>
  <c r="AI32" i="38"/>
  <c r="AI37" i="38" s="1"/>
  <c r="AH32" i="38"/>
  <c r="AH37" i="38" s="1"/>
  <c r="AG32" i="38"/>
  <c r="AG37" i="38" s="1"/>
  <c r="AF32" i="38"/>
  <c r="AF37" i="38" s="1"/>
  <c r="AE32" i="38"/>
  <c r="AE37" i="38" s="1"/>
  <c r="AD32" i="38"/>
  <c r="AC32" i="38"/>
  <c r="AC37" i="38" s="1"/>
  <c r="AB32" i="38"/>
  <c r="AB37" i="38" s="1"/>
  <c r="AA32" i="38"/>
  <c r="AA37" i="38" s="1"/>
  <c r="Z32" i="38"/>
  <c r="Y32" i="38"/>
  <c r="X32" i="38"/>
  <c r="W32" i="38"/>
  <c r="V32" i="38"/>
  <c r="U32" i="38"/>
  <c r="T32" i="38"/>
  <c r="S32" i="38"/>
  <c r="R32" i="38"/>
  <c r="R37" i="38" s="1"/>
  <c r="Q32" i="38"/>
  <c r="Q37" i="38" s="1"/>
  <c r="P32" i="38"/>
  <c r="P37" i="38" s="1"/>
  <c r="O32" i="38"/>
  <c r="N32" i="38"/>
  <c r="M32" i="38"/>
  <c r="L32" i="38"/>
  <c r="L37" i="38" s="1"/>
  <c r="K32" i="38"/>
  <c r="K37" i="38" s="1"/>
  <c r="J32" i="38"/>
  <c r="J37" i="38" s="1"/>
  <c r="I32" i="38"/>
  <c r="H32" i="38"/>
  <c r="AL31" i="38"/>
  <c r="AK31" i="38"/>
  <c r="AJ31" i="38"/>
  <c r="AI31" i="38"/>
  <c r="AH31" i="38"/>
  <c r="AH15" i="38" s="1"/>
  <c r="AH13" i="38" s="1"/>
  <c r="AG31" i="38"/>
  <c r="AF31" i="38"/>
  <c r="AF15" i="38" s="1"/>
  <c r="AF13" i="38" s="1"/>
  <c r="AE31" i="38"/>
  <c r="AD31" i="38"/>
  <c r="AC31" i="38"/>
  <c r="AB31" i="38"/>
  <c r="AA31" i="38"/>
  <c r="Z31" i="38"/>
  <c r="Y31" i="38"/>
  <c r="X31" i="38"/>
  <c r="W31" i="38"/>
  <c r="V31" i="38"/>
  <c r="U31" i="38"/>
  <c r="T31" i="38"/>
  <c r="S31" i="38"/>
  <c r="R31" i="38"/>
  <c r="Q31" i="38"/>
  <c r="P31" i="38"/>
  <c r="O31" i="38"/>
  <c r="N31" i="38"/>
  <c r="M31" i="38"/>
  <c r="L31" i="38"/>
  <c r="K31" i="38"/>
  <c r="J31" i="38"/>
  <c r="I31" i="38"/>
  <c r="H31" i="38"/>
  <c r="AL30" i="38"/>
  <c r="AK30" i="38"/>
  <c r="AJ30" i="38"/>
  <c r="AI30" i="38"/>
  <c r="AH30" i="38"/>
  <c r="AG30" i="38"/>
  <c r="AG14" i="38" s="1"/>
  <c r="AF30" i="38"/>
  <c r="AE30" i="38"/>
  <c r="AD30" i="38"/>
  <c r="AC30" i="38"/>
  <c r="AB30" i="38"/>
  <c r="AA30" i="38"/>
  <c r="Z30" i="38"/>
  <c r="Y30" i="38"/>
  <c r="X30" i="38"/>
  <c r="W30" i="38"/>
  <c r="V30" i="38"/>
  <c r="U30" i="38"/>
  <c r="T30" i="38"/>
  <c r="S30" i="38"/>
  <c r="R30" i="38"/>
  <c r="Q30" i="38"/>
  <c r="Q14" i="38" s="1"/>
  <c r="P30" i="38"/>
  <c r="O30" i="38"/>
  <c r="N30" i="38"/>
  <c r="M30" i="38"/>
  <c r="L30" i="38"/>
  <c r="K30" i="38"/>
  <c r="J30" i="38"/>
  <c r="I30" i="38"/>
  <c r="H30" i="38"/>
  <c r="F26" i="38"/>
  <c r="G26" i="38" s="1"/>
  <c r="F25" i="38"/>
  <c r="AL24" i="38"/>
  <c r="AK24" i="38"/>
  <c r="AJ24" i="38"/>
  <c r="AI24" i="38"/>
  <c r="AH24" i="38"/>
  <c r="AG24" i="38"/>
  <c r="AF24" i="38"/>
  <c r="AE24" i="38"/>
  <c r="AD24" i="38"/>
  <c r="AC24" i="38"/>
  <c r="AB24" i="38"/>
  <c r="AA24" i="38"/>
  <c r="Z24" i="38"/>
  <c r="Y24" i="38"/>
  <c r="Y15" i="38" s="1"/>
  <c r="Y13" i="38" s="1"/>
  <c r="X24" i="38"/>
  <c r="X15" i="38" s="1"/>
  <c r="X13" i="38" s="1"/>
  <c r="W24" i="38"/>
  <c r="W15" i="38" s="1"/>
  <c r="W13" i="38" s="1"/>
  <c r="V24" i="38"/>
  <c r="V15" i="38" s="1"/>
  <c r="U24" i="38"/>
  <c r="U15" i="38" s="1"/>
  <c r="U13" i="38" s="1"/>
  <c r="T24" i="38"/>
  <c r="T15" i="38" s="1"/>
  <c r="T13" i="38" s="1"/>
  <c r="S24" i="38"/>
  <c r="S15" i="38" s="1"/>
  <c r="S13" i="38" s="1"/>
  <c r="R24" i="38"/>
  <c r="Q24" i="38"/>
  <c r="N24" i="38"/>
  <c r="M24" i="38"/>
  <c r="L24" i="38"/>
  <c r="K24" i="38"/>
  <c r="J24" i="38"/>
  <c r="I24" i="38"/>
  <c r="H24" i="38"/>
  <c r="AL23" i="38"/>
  <c r="AK23" i="38"/>
  <c r="AJ23" i="38"/>
  <c r="AI23" i="38"/>
  <c r="AD23" i="38"/>
  <c r="T23" i="38"/>
  <c r="S23" i="38"/>
  <c r="R23" i="38"/>
  <c r="M23" i="38"/>
  <c r="L23" i="38"/>
  <c r="K23" i="38"/>
  <c r="J23" i="38"/>
  <c r="I23" i="38"/>
  <c r="H23" i="38"/>
  <c r="V19" i="38"/>
  <c r="P19" i="38"/>
  <c r="P24" i="38" s="1"/>
  <c r="O19" i="38"/>
  <c r="O24" i="38" s="1"/>
  <c r="N19" i="38"/>
  <c r="M19" i="38"/>
  <c r="L19" i="38"/>
  <c r="J19" i="38"/>
  <c r="I19" i="38"/>
  <c r="AL18" i="38"/>
  <c r="AK18" i="38"/>
  <c r="AJ18" i="38"/>
  <c r="AI18" i="38"/>
  <c r="AH18" i="38"/>
  <c r="AH23" i="38" s="1"/>
  <c r="AG18" i="38"/>
  <c r="AG23" i="38" s="1"/>
  <c r="AF18" i="38"/>
  <c r="AF23" i="38" s="1"/>
  <c r="AE18" i="38"/>
  <c r="AE23" i="38" s="1"/>
  <c r="AD18" i="38"/>
  <c r="AC18" i="38"/>
  <c r="AC23" i="38" s="1"/>
  <c r="AB18" i="38"/>
  <c r="AB23" i="38" s="1"/>
  <c r="AA18" i="38"/>
  <c r="Z18" i="38"/>
  <c r="Y18" i="38"/>
  <c r="X18" i="38"/>
  <c r="X23" i="38" s="1"/>
  <c r="W18" i="38"/>
  <c r="W23" i="38" s="1"/>
  <c r="V18" i="38"/>
  <c r="V23" i="38" s="1"/>
  <c r="U18" i="38"/>
  <c r="U23" i="38" s="1"/>
  <c r="U14" i="38" s="1"/>
  <c r="T18" i="38"/>
  <c r="S18" i="38"/>
  <c r="R18" i="38"/>
  <c r="Q18" i="38"/>
  <c r="Q23" i="38" s="1"/>
  <c r="P18" i="38"/>
  <c r="P23" i="38" s="1"/>
  <c r="O18" i="38"/>
  <c r="O23" i="38" s="1"/>
  <c r="N18" i="38"/>
  <c r="N23" i="38" s="1"/>
  <c r="M18" i="38"/>
  <c r="L18" i="38"/>
  <c r="K18" i="38"/>
  <c r="J18" i="38"/>
  <c r="I18" i="38"/>
  <c r="H18" i="38"/>
  <c r="C18" i="38"/>
  <c r="AL17" i="38"/>
  <c r="AK17" i="38"/>
  <c r="AJ17" i="38"/>
  <c r="AI17" i="38"/>
  <c r="AH17" i="38"/>
  <c r="AG17" i="38"/>
  <c r="AF17" i="38"/>
  <c r="AE17" i="38"/>
  <c r="AD17" i="38"/>
  <c r="AC17" i="38"/>
  <c r="AB17" i="38"/>
  <c r="AA17" i="38"/>
  <c r="Z17" i="38"/>
  <c r="Y17" i="38"/>
  <c r="X17" i="38"/>
  <c r="W17" i="38"/>
  <c r="V17" i="38"/>
  <c r="U17" i="38"/>
  <c r="T17" i="38"/>
  <c r="S17" i="38"/>
  <c r="R17" i="38"/>
  <c r="Q17" i="38"/>
  <c r="P17" i="38"/>
  <c r="O17" i="38"/>
  <c r="N17" i="38"/>
  <c r="M17" i="38"/>
  <c r="L17" i="38"/>
  <c r="K17" i="38"/>
  <c r="J17" i="38"/>
  <c r="I17" i="38"/>
  <c r="H17" i="38"/>
  <c r="A17" i="38"/>
  <c r="AL14" i="38"/>
  <c r="AL12" i="38" s="1"/>
  <c r="AI11" i="38"/>
  <c r="AH11" i="38"/>
  <c r="AF11" i="38"/>
  <c r="AE11" i="38"/>
  <c r="Y11" i="38"/>
  <c r="X11" i="38"/>
  <c r="W11" i="38"/>
  <c r="U11" i="38"/>
  <c r="T11" i="38"/>
  <c r="S11" i="38"/>
  <c r="R11" i="38"/>
  <c r="H11" i="38"/>
  <c r="AL10" i="38"/>
  <c r="X10" i="38"/>
  <c r="W10" i="38"/>
  <c r="V10" i="38"/>
  <c r="J10" i="38"/>
  <c r="I10" i="38"/>
  <c r="H10" i="38"/>
  <c r="C7" i="38"/>
  <c r="C6" i="38"/>
  <c r="AL122" i="37"/>
  <c r="AK122" i="37"/>
  <c r="AJ122" i="37"/>
  <c r="AI122" i="37"/>
  <c r="AH122" i="37"/>
  <c r="AG122" i="37"/>
  <c r="AF122" i="37"/>
  <c r="AE122" i="37"/>
  <c r="AD122" i="37"/>
  <c r="AC122" i="37"/>
  <c r="AB122" i="37"/>
  <c r="AA122" i="37"/>
  <c r="Z122" i="37"/>
  <c r="Y122" i="37"/>
  <c r="X122" i="37"/>
  <c r="W122" i="37"/>
  <c r="V122" i="37"/>
  <c r="U122" i="37"/>
  <c r="T122" i="37"/>
  <c r="S122" i="37"/>
  <c r="R122" i="37"/>
  <c r="Q122" i="37"/>
  <c r="P122" i="37"/>
  <c r="O122" i="37"/>
  <c r="N122" i="37"/>
  <c r="M122" i="37"/>
  <c r="L122" i="37"/>
  <c r="K122" i="37"/>
  <c r="J122" i="37"/>
  <c r="I122" i="37"/>
  <c r="H122" i="37"/>
  <c r="W121" i="37"/>
  <c r="P121" i="37"/>
  <c r="O121" i="37"/>
  <c r="L121" i="37"/>
  <c r="K121" i="37"/>
  <c r="I121" i="37"/>
  <c r="H121" i="37"/>
  <c r="AL119" i="37"/>
  <c r="AK119" i="37"/>
  <c r="AJ119" i="37"/>
  <c r="AI119" i="37"/>
  <c r="AH119" i="37"/>
  <c r="AH121" i="37" s="1"/>
  <c r="AG119" i="37"/>
  <c r="AG121" i="37" s="1"/>
  <c r="AF119" i="37"/>
  <c r="AF121" i="37" s="1"/>
  <c r="AE119" i="37"/>
  <c r="AE121" i="37" s="1"/>
  <c r="AD119" i="37"/>
  <c r="AD121" i="37" s="1"/>
  <c r="AC119" i="37"/>
  <c r="AC121" i="37" s="1"/>
  <c r="AB119" i="37"/>
  <c r="AB121" i="37" s="1"/>
  <c r="AA119" i="37"/>
  <c r="AA121" i="37" s="1"/>
  <c r="Z119" i="37"/>
  <c r="Z121" i="37" s="1"/>
  <c r="Y119" i="37"/>
  <c r="X119" i="37"/>
  <c r="W119" i="37"/>
  <c r="V119" i="37"/>
  <c r="V121" i="37" s="1"/>
  <c r="U119" i="37"/>
  <c r="U121" i="37" s="1"/>
  <c r="T119" i="37"/>
  <c r="S119" i="37"/>
  <c r="S121" i="37" s="1"/>
  <c r="R119" i="37"/>
  <c r="Q119" i="37"/>
  <c r="P119" i="37"/>
  <c r="O119" i="37"/>
  <c r="N119" i="37"/>
  <c r="N121" i="37" s="1"/>
  <c r="M119" i="37"/>
  <c r="M121" i="37" s="1"/>
  <c r="L119" i="37"/>
  <c r="K119" i="37"/>
  <c r="J119" i="37"/>
  <c r="J121" i="37" s="1"/>
  <c r="I119" i="37"/>
  <c r="H119" i="37"/>
  <c r="AK117" i="37"/>
  <c r="AJ117" i="37"/>
  <c r="AD117" i="37"/>
  <c r="AC117" i="37"/>
  <c r="M117" i="37"/>
  <c r="AL116" i="37"/>
  <c r="AL121" i="37" s="1"/>
  <c r="AK116" i="37"/>
  <c r="AK121" i="37" s="1"/>
  <c r="AJ116" i="37"/>
  <c r="AJ121" i="37" s="1"/>
  <c r="AI116" i="37"/>
  <c r="AI121" i="37" s="1"/>
  <c r="AH116" i="37"/>
  <c r="AG116" i="37"/>
  <c r="AF116" i="37"/>
  <c r="AE116" i="37"/>
  <c r="AD116" i="37"/>
  <c r="AC116" i="37"/>
  <c r="AB116" i="37"/>
  <c r="AA116" i="37"/>
  <c r="Z116" i="37"/>
  <c r="Y116" i="37"/>
  <c r="X116" i="37"/>
  <c r="X121" i="37" s="1"/>
  <c r="W116" i="37"/>
  <c r="V116" i="37"/>
  <c r="U116" i="37"/>
  <c r="T116" i="37"/>
  <c r="T121" i="37" s="1"/>
  <c r="S116" i="37"/>
  <c r="R116" i="37"/>
  <c r="Q116" i="37"/>
  <c r="P116" i="37"/>
  <c r="O116" i="37"/>
  <c r="N116" i="37"/>
  <c r="M116" i="37"/>
  <c r="L116" i="37"/>
  <c r="K116" i="37"/>
  <c r="J116" i="37"/>
  <c r="I116" i="37"/>
  <c r="H116" i="37"/>
  <c r="C116" i="37"/>
  <c r="AL115" i="37"/>
  <c r="AK115" i="37"/>
  <c r="AJ115" i="37"/>
  <c r="AI115" i="37"/>
  <c r="AH115" i="37"/>
  <c r="AG115" i="37"/>
  <c r="AF115" i="37"/>
  <c r="AE115" i="37"/>
  <c r="AD115" i="37"/>
  <c r="AC115" i="37"/>
  <c r="AB115" i="37"/>
  <c r="AA115" i="37"/>
  <c r="Z115" i="37"/>
  <c r="Y115" i="37"/>
  <c r="X115" i="37"/>
  <c r="W115" i="37"/>
  <c r="V115" i="37"/>
  <c r="U115" i="37"/>
  <c r="T115" i="37"/>
  <c r="S115" i="37"/>
  <c r="R115" i="37"/>
  <c r="P115" i="37"/>
  <c r="O115" i="37"/>
  <c r="N115" i="37"/>
  <c r="M115" i="37"/>
  <c r="K115" i="37"/>
  <c r="J115" i="37"/>
  <c r="I115" i="37"/>
  <c r="H115" i="37"/>
  <c r="AL114" i="37"/>
  <c r="AK114" i="37"/>
  <c r="AJ114" i="37"/>
  <c r="AI114" i="37"/>
  <c r="AH114" i="37"/>
  <c r="W114" i="37"/>
  <c r="T114" i="37"/>
  <c r="S114" i="37"/>
  <c r="Q114" i="37"/>
  <c r="AL112" i="37"/>
  <c r="AK112" i="37"/>
  <c r="AJ112" i="37"/>
  <c r="AI112" i="37"/>
  <c r="AH112" i="37"/>
  <c r="AG112" i="37"/>
  <c r="AF112" i="37"/>
  <c r="AF114" i="37" s="1"/>
  <c r="AE112" i="37"/>
  <c r="AD112" i="37"/>
  <c r="AD114" i="37" s="1"/>
  <c r="AC112" i="37"/>
  <c r="AB112" i="37"/>
  <c r="AB114" i="37" s="1"/>
  <c r="AA112" i="37"/>
  <c r="Z112" i="37"/>
  <c r="Y112" i="37"/>
  <c r="Y114" i="37" s="1"/>
  <c r="X112" i="37"/>
  <c r="X114" i="37" s="1"/>
  <c r="W112" i="37"/>
  <c r="V112" i="37"/>
  <c r="V114" i="37" s="1"/>
  <c r="U112" i="37"/>
  <c r="U114" i="37" s="1"/>
  <c r="T112" i="37"/>
  <c r="S112" i="37"/>
  <c r="R112" i="37"/>
  <c r="R114" i="37" s="1"/>
  <c r="Q112" i="37"/>
  <c r="P112" i="37"/>
  <c r="O112" i="37"/>
  <c r="N112" i="37"/>
  <c r="M112" i="37"/>
  <c r="L112" i="37"/>
  <c r="K112" i="37"/>
  <c r="J112" i="37"/>
  <c r="I112" i="37"/>
  <c r="I114" i="37" s="1"/>
  <c r="H112" i="37"/>
  <c r="H114" i="37" s="1"/>
  <c r="Y110" i="37"/>
  <c r="Q110" i="37"/>
  <c r="Q115" i="37" s="1"/>
  <c r="L110" i="37"/>
  <c r="L115" i="37" s="1"/>
  <c r="AL109" i="37"/>
  <c r="AK109" i="37"/>
  <c r="AJ109" i="37"/>
  <c r="AI109" i="37"/>
  <c r="AH109" i="37"/>
  <c r="AG109" i="37"/>
  <c r="AF109" i="37"/>
  <c r="AE109" i="37"/>
  <c r="AE114" i="37" s="1"/>
  <c r="AD109" i="37"/>
  <c r="AC109" i="37"/>
  <c r="AB109" i="37"/>
  <c r="AA109" i="37"/>
  <c r="AA114" i="37" s="1"/>
  <c r="Z109" i="37"/>
  <c r="Z114" i="37" s="1"/>
  <c r="Y109" i="37"/>
  <c r="X109" i="37"/>
  <c r="W109" i="37"/>
  <c r="V109" i="37"/>
  <c r="U109" i="37"/>
  <c r="T109" i="37"/>
  <c r="S109" i="37"/>
  <c r="R109" i="37"/>
  <c r="Q109" i="37"/>
  <c r="P109" i="37"/>
  <c r="P114" i="37" s="1"/>
  <c r="O109" i="37"/>
  <c r="O114" i="37" s="1"/>
  <c r="N109" i="37"/>
  <c r="N114" i="37" s="1"/>
  <c r="M109" i="37"/>
  <c r="L109" i="37"/>
  <c r="K109" i="37"/>
  <c r="J109" i="37"/>
  <c r="I109" i="37"/>
  <c r="H109" i="37"/>
  <c r="C109" i="37"/>
  <c r="AL108" i="37"/>
  <c r="AK108" i="37"/>
  <c r="AJ108" i="37"/>
  <c r="AI108" i="37"/>
  <c r="AH108" i="37"/>
  <c r="AG108" i="37"/>
  <c r="AF108" i="37"/>
  <c r="AE108" i="37"/>
  <c r="AD108" i="37"/>
  <c r="AC108" i="37"/>
  <c r="AB108" i="37"/>
  <c r="AA108" i="37"/>
  <c r="Z108" i="37"/>
  <c r="Y108" i="37"/>
  <c r="X108" i="37"/>
  <c r="W108" i="37"/>
  <c r="V108" i="37"/>
  <c r="U108" i="37"/>
  <c r="T108" i="37"/>
  <c r="S108" i="37"/>
  <c r="R108" i="37"/>
  <c r="Q108" i="37"/>
  <c r="N108" i="37"/>
  <c r="M108" i="37"/>
  <c r="L108" i="37"/>
  <c r="K108" i="37"/>
  <c r="J108" i="37"/>
  <c r="I108" i="37"/>
  <c r="H108" i="37"/>
  <c r="AF107" i="37"/>
  <c r="AC107" i="37"/>
  <c r="AB107" i="37"/>
  <c r="Z107" i="37"/>
  <c r="Q107" i="37"/>
  <c r="P107" i="37"/>
  <c r="O107" i="37"/>
  <c r="N107" i="37"/>
  <c r="M107" i="37"/>
  <c r="L107" i="37"/>
  <c r="K107" i="37"/>
  <c r="AL105" i="37"/>
  <c r="AK105" i="37"/>
  <c r="AK107" i="37" s="1"/>
  <c r="AJ105" i="37"/>
  <c r="AI105" i="37"/>
  <c r="AH105" i="37"/>
  <c r="AH107" i="37" s="1"/>
  <c r="AG105" i="37"/>
  <c r="AG107" i="37" s="1"/>
  <c r="AF105" i="37"/>
  <c r="AE105" i="37"/>
  <c r="AE107" i="37" s="1"/>
  <c r="AD105" i="37"/>
  <c r="AD107" i="37" s="1"/>
  <c r="AC105" i="37"/>
  <c r="AB105" i="37"/>
  <c r="AA105" i="37"/>
  <c r="AA107" i="37" s="1"/>
  <c r="Z105" i="37"/>
  <c r="Y105" i="37"/>
  <c r="X105" i="37"/>
  <c r="W105" i="37"/>
  <c r="V105" i="37"/>
  <c r="U105" i="37"/>
  <c r="T105" i="37"/>
  <c r="S105" i="37"/>
  <c r="R105" i="37"/>
  <c r="Q105" i="37"/>
  <c r="P105" i="37"/>
  <c r="O105" i="37"/>
  <c r="N105" i="37"/>
  <c r="M105" i="37"/>
  <c r="L105" i="37"/>
  <c r="K105" i="37"/>
  <c r="J105" i="37"/>
  <c r="I105" i="37"/>
  <c r="I107" i="37" s="1"/>
  <c r="H105" i="37"/>
  <c r="P103" i="37"/>
  <c r="P108" i="37" s="1"/>
  <c r="O103" i="37"/>
  <c r="O108" i="37" s="1"/>
  <c r="K103" i="37"/>
  <c r="AL102" i="37"/>
  <c r="AK102" i="37"/>
  <c r="AJ102" i="37"/>
  <c r="AJ107" i="37" s="1"/>
  <c r="AI102" i="37"/>
  <c r="AI107" i="37" s="1"/>
  <c r="AH102" i="37"/>
  <c r="AG102" i="37"/>
  <c r="AF102" i="37"/>
  <c r="AE102" i="37"/>
  <c r="AD102" i="37"/>
  <c r="AC102" i="37"/>
  <c r="AB102" i="37"/>
  <c r="AA102" i="37"/>
  <c r="Z102" i="37"/>
  <c r="Y102" i="37"/>
  <c r="Y107" i="37" s="1"/>
  <c r="X102" i="37"/>
  <c r="X107" i="37" s="1"/>
  <c r="W102" i="37"/>
  <c r="W107" i="37" s="1"/>
  <c r="V102" i="37"/>
  <c r="U102" i="37"/>
  <c r="T102" i="37"/>
  <c r="S102" i="37"/>
  <c r="R102" i="37"/>
  <c r="Q102" i="37"/>
  <c r="P102" i="37"/>
  <c r="O102" i="37"/>
  <c r="N102" i="37"/>
  <c r="M102" i="37"/>
  <c r="L102" i="37"/>
  <c r="K102" i="37"/>
  <c r="J102" i="37"/>
  <c r="I102" i="37"/>
  <c r="H102" i="37"/>
  <c r="H107" i="37" s="1"/>
  <c r="C102" i="37"/>
  <c r="AL101" i="37"/>
  <c r="AK101" i="37"/>
  <c r="AJ101" i="37"/>
  <c r="AI101" i="37"/>
  <c r="AH101" i="37"/>
  <c r="AG101" i="37"/>
  <c r="AF101" i="37"/>
  <c r="AE101" i="37"/>
  <c r="AD101" i="37"/>
  <c r="AC101" i="37"/>
  <c r="AB101" i="37"/>
  <c r="AA101" i="37"/>
  <c r="Z101" i="37"/>
  <c r="Y101" i="37"/>
  <c r="X101" i="37"/>
  <c r="V101" i="37"/>
  <c r="U101" i="37"/>
  <c r="T101" i="37"/>
  <c r="S101" i="37"/>
  <c r="R101" i="37"/>
  <c r="Q101" i="37"/>
  <c r="P101" i="37"/>
  <c r="N101" i="37"/>
  <c r="M101" i="37"/>
  <c r="L101" i="37"/>
  <c r="K101" i="37"/>
  <c r="J101" i="37"/>
  <c r="I101" i="37"/>
  <c r="H101" i="37"/>
  <c r="AK100" i="37"/>
  <c r="AJ100" i="37"/>
  <c r="AH100" i="37"/>
  <c r="AG100" i="37"/>
  <c r="T100" i="37"/>
  <c r="S100" i="37"/>
  <c r="K100" i="37"/>
  <c r="H100" i="37"/>
  <c r="AL98" i="37"/>
  <c r="AL100" i="37" s="1"/>
  <c r="AK98" i="37"/>
  <c r="AJ98" i="37"/>
  <c r="AI98" i="37"/>
  <c r="AI100" i="37" s="1"/>
  <c r="AH98" i="37"/>
  <c r="AG98" i="37"/>
  <c r="AF98" i="37"/>
  <c r="AE98" i="37"/>
  <c r="AD98" i="37"/>
  <c r="AC98" i="37"/>
  <c r="AB98" i="37"/>
  <c r="AA98" i="37"/>
  <c r="Z98" i="37"/>
  <c r="Y98" i="37"/>
  <c r="Y100" i="37" s="1"/>
  <c r="X98" i="37"/>
  <c r="X100" i="37" s="1"/>
  <c r="W98" i="37"/>
  <c r="W100" i="37" s="1"/>
  <c r="V98" i="37"/>
  <c r="V100" i="37" s="1"/>
  <c r="U98" i="37"/>
  <c r="U100" i="37" s="1"/>
  <c r="T98" i="37"/>
  <c r="S98" i="37"/>
  <c r="R98" i="37"/>
  <c r="R100" i="37" s="1"/>
  <c r="Q98" i="37"/>
  <c r="P98" i="37"/>
  <c r="O98" i="37"/>
  <c r="O100" i="37" s="1"/>
  <c r="N98" i="37"/>
  <c r="N100" i="37" s="1"/>
  <c r="M98" i="37"/>
  <c r="M100" i="37" s="1"/>
  <c r="L98" i="37"/>
  <c r="K98" i="37"/>
  <c r="J98" i="37"/>
  <c r="I98" i="37"/>
  <c r="H98" i="37"/>
  <c r="W96" i="37"/>
  <c r="W101" i="37" s="1"/>
  <c r="AL95" i="37"/>
  <c r="AK95" i="37"/>
  <c r="AJ95" i="37"/>
  <c r="AI95" i="37"/>
  <c r="AH95" i="37"/>
  <c r="AG95" i="37"/>
  <c r="AF95" i="37"/>
  <c r="AF100" i="37" s="1"/>
  <c r="AE95" i="37"/>
  <c r="AE100" i="37" s="1"/>
  <c r="AD95" i="37"/>
  <c r="AC95" i="37"/>
  <c r="AB95" i="37"/>
  <c r="AA95" i="37"/>
  <c r="Z95" i="37"/>
  <c r="Y95" i="37"/>
  <c r="X95" i="37"/>
  <c r="W95" i="37"/>
  <c r="V95" i="37"/>
  <c r="U95" i="37"/>
  <c r="T95" i="37"/>
  <c r="S95" i="37"/>
  <c r="R95" i="37"/>
  <c r="Q95" i="37"/>
  <c r="P95" i="37"/>
  <c r="P100" i="37" s="1"/>
  <c r="O95" i="37"/>
  <c r="N95" i="37"/>
  <c r="M95" i="37"/>
  <c r="L95" i="37"/>
  <c r="L100" i="37" s="1"/>
  <c r="K95" i="37"/>
  <c r="J95" i="37"/>
  <c r="I95" i="37"/>
  <c r="H95" i="37"/>
  <c r="C95" i="37"/>
  <c r="AL94" i="37"/>
  <c r="AK94" i="37"/>
  <c r="AJ94" i="37"/>
  <c r="AI94" i="37"/>
  <c r="AH94" i="37"/>
  <c r="AG94" i="37"/>
  <c r="AF94" i="37"/>
  <c r="AE94" i="37"/>
  <c r="AD94" i="37"/>
  <c r="AC94" i="37"/>
  <c r="AB94" i="37"/>
  <c r="AA94" i="37"/>
  <c r="Z94" i="37"/>
  <c r="Y94" i="37"/>
  <c r="X94" i="37"/>
  <c r="W94" i="37"/>
  <c r="V94" i="37"/>
  <c r="U94" i="37"/>
  <c r="T94" i="37"/>
  <c r="S94" i="37"/>
  <c r="R94" i="37"/>
  <c r="Q94" i="37"/>
  <c r="P94" i="37"/>
  <c r="O94" i="37"/>
  <c r="N94" i="37"/>
  <c r="M94" i="37"/>
  <c r="L94" i="37"/>
  <c r="K94" i="37"/>
  <c r="J94" i="37"/>
  <c r="I94" i="37"/>
  <c r="H94" i="37"/>
  <c r="AA93" i="37"/>
  <c r="Z93" i="37"/>
  <c r="S93" i="37"/>
  <c r="R93" i="37"/>
  <c r="N93" i="37"/>
  <c r="L93" i="37"/>
  <c r="K93" i="37"/>
  <c r="I93" i="37"/>
  <c r="H93" i="37"/>
  <c r="AL91" i="37"/>
  <c r="AK91" i="37"/>
  <c r="AK93" i="37" s="1"/>
  <c r="AJ91" i="37"/>
  <c r="AJ93" i="37" s="1"/>
  <c r="AI91" i="37"/>
  <c r="AI93" i="37" s="1"/>
  <c r="AH91" i="37"/>
  <c r="AH93" i="37" s="1"/>
  <c r="AG91" i="37"/>
  <c r="AF91" i="37"/>
  <c r="AE91" i="37"/>
  <c r="AE93" i="37" s="1"/>
  <c r="AD91" i="37"/>
  <c r="AD93" i="37" s="1"/>
  <c r="AC91" i="37"/>
  <c r="AC93" i="37" s="1"/>
  <c r="AB91" i="37"/>
  <c r="AB93" i="37" s="1"/>
  <c r="AA91" i="37"/>
  <c r="Z91" i="37"/>
  <c r="Y91" i="37"/>
  <c r="Y93" i="37" s="1"/>
  <c r="X91" i="37"/>
  <c r="X93" i="37" s="1"/>
  <c r="W91" i="37"/>
  <c r="V91" i="37"/>
  <c r="V93" i="37" s="1"/>
  <c r="U91" i="37"/>
  <c r="U93" i="37" s="1"/>
  <c r="T91" i="37"/>
  <c r="T93" i="37" s="1"/>
  <c r="S91" i="37"/>
  <c r="R91" i="37"/>
  <c r="Q91" i="37"/>
  <c r="Q93" i="37" s="1"/>
  <c r="P91" i="37"/>
  <c r="P93" i="37" s="1"/>
  <c r="O91" i="37"/>
  <c r="N91" i="37"/>
  <c r="M91" i="37"/>
  <c r="M93" i="37" s="1"/>
  <c r="L91" i="37"/>
  <c r="K91" i="37"/>
  <c r="J91" i="37"/>
  <c r="J93" i="37" s="1"/>
  <c r="I91" i="37"/>
  <c r="H91" i="37"/>
  <c r="AL88" i="37"/>
  <c r="AL93" i="37" s="1"/>
  <c r="AK88" i="37"/>
  <c r="AJ88" i="37"/>
  <c r="AI88" i="37"/>
  <c r="AH88" i="37"/>
  <c r="AG88" i="37"/>
  <c r="AF88" i="37"/>
  <c r="AE88" i="37"/>
  <c r="AD88" i="37"/>
  <c r="AC88" i="37"/>
  <c r="AB88" i="37"/>
  <c r="AA88" i="37"/>
  <c r="Z88" i="37"/>
  <c r="Y88" i="37"/>
  <c r="X88" i="37"/>
  <c r="W88" i="37"/>
  <c r="W93" i="37" s="1"/>
  <c r="V88" i="37"/>
  <c r="U88" i="37"/>
  <c r="T88" i="37"/>
  <c r="S88" i="37"/>
  <c r="R88" i="37"/>
  <c r="Q88" i="37"/>
  <c r="P88" i="37"/>
  <c r="O88" i="37"/>
  <c r="O93" i="37" s="1"/>
  <c r="N88" i="37"/>
  <c r="M88" i="37"/>
  <c r="L88" i="37"/>
  <c r="K88" i="37"/>
  <c r="J88" i="37"/>
  <c r="I88" i="37"/>
  <c r="H88" i="37"/>
  <c r="C88" i="37"/>
  <c r="AL87" i="37"/>
  <c r="AK87" i="37"/>
  <c r="AJ87" i="37"/>
  <c r="AI87" i="37"/>
  <c r="AH87" i="37"/>
  <c r="AG87" i="37"/>
  <c r="AF87" i="37"/>
  <c r="AE87" i="37"/>
  <c r="AD87" i="37"/>
  <c r="AC87" i="37"/>
  <c r="AB87" i="37"/>
  <c r="AA87" i="37"/>
  <c r="Z87" i="37"/>
  <c r="Y87" i="37"/>
  <c r="X87" i="37"/>
  <c r="W87" i="37"/>
  <c r="V87" i="37"/>
  <c r="U87" i="37"/>
  <c r="T87" i="37"/>
  <c r="S87" i="37"/>
  <c r="R87" i="37"/>
  <c r="Q87" i="37"/>
  <c r="P87" i="37"/>
  <c r="O87" i="37"/>
  <c r="N87" i="37"/>
  <c r="L87" i="37"/>
  <c r="K87" i="37"/>
  <c r="J87" i="37"/>
  <c r="I87" i="37"/>
  <c r="H87" i="37"/>
  <c r="AG86" i="37"/>
  <c r="AF86" i="37"/>
  <c r="AE86" i="37"/>
  <c r="X86" i="37"/>
  <c r="W86" i="37"/>
  <c r="P86" i="37"/>
  <c r="N86" i="37"/>
  <c r="M86" i="37"/>
  <c r="AL84" i="37"/>
  <c r="AK84" i="37"/>
  <c r="AJ84" i="37"/>
  <c r="AJ86" i="37" s="1"/>
  <c r="AI84" i="37"/>
  <c r="AI86" i="37" s="1"/>
  <c r="AH84" i="37"/>
  <c r="AH86" i="37" s="1"/>
  <c r="AG84" i="37"/>
  <c r="AF84" i="37"/>
  <c r="AE84" i="37"/>
  <c r="AD84" i="37"/>
  <c r="AD86" i="37" s="1"/>
  <c r="AC84" i="37"/>
  <c r="AC86" i="37" s="1"/>
  <c r="AB84" i="37"/>
  <c r="AA84" i="37"/>
  <c r="Z84" i="37"/>
  <c r="Z86" i="37" s="1"/>
  <c r="Y84" i="37"/>
  <c r="Y86" i="37" s="1"/>
  <c r="X84" i="37"/>
  <c r="W84" i="37"/>
  <c r="V84" i="37"/>
  <c r="V86" i="37" s="1"/>
  <c r="U84" i="37"/>
  <c r="T84" i="37"/>
  <c r="S84" i="37"/>
  <c r="S86" i="37" s="1"/>
  <c r="R84" i="37"/>
  <c r="R86" i="37" s="1"/>
  <c r="Q84" i="37"/>
  <c r="P84" i="37"/>
  <c r="O84" i="37"/>
  <c r="O86" i="37" s="1"/>
  <c r="N84" i="37"/>
  <c r="M84" i="37"/>
  <c r="L84" i="37"/>
  <c r="K84" i="37"/>
  <c r="J84" i="37"/>
  <c r="J86" i="37" s="1"/>
  <c r="I84" i="37"/>
  <c r="H84" i="37"/>
  <c r="AL81" i="37"/>
  <c r="AK81" i="37"/>
  <c r="AJ81" i="37"/>
  <c r="AI81" i="37"/>
  <c r="AH81" i="37"/>
  <c r="AG81" i="37"/>
  <c r="AF81" i="37"/>
  <c r="AE81" i="37"/>
  <c r="AD81" i="37"/>
  <c r="AC81" i="37"/>
  <c r="AB81" i="37"/>
  <c r="AB86" i="37" s="1"/>
  <c r="AA81" i="37"/>
  <c r="Z81" i="37"/>
  <c r="Y81" i="37"/>
  <c r="X81" i="37"/>
  <c r="W81" i="37"/>
  <c r="V81" i="37"/>
  <c r="U81" i="37"/>
  <c r="T81" i="37"/>
  <c r="T86" i="37" s="1"/>
  <c r="S81" i="37"/>
  <c r="R81" i="37"/>
  <c r="Q81" i="37"/>
  <c r="Q86" i="37" s="1"/>
  <c r="P81" i="37"/>
  <c r="O81" i="37"/>
  <c r="N81" i="37"/>
  <c r="M81" i="37"/>
  <c r="L81" i="37"/>
  <c r="L86" i="37" s="1"/>
  <c r="K81" i="37"/>
  <c r="K86" i="37" s="1"/>
  <c r="J81" i="37"/>
  <c r="I81" i="37"/>
  <c r="H81" i="37"/>
  <c r="C81" i="37"/>
  <c r="AL80" i="37"/>
  <c r="AK80" i="37"/>
  <c r="AJ80" i="37"/>
  <c r="AI80" i="37"/>
  <c r="AH80" i="37"/>
  <c r="AG80" i="37"/>
  <c r="AF80" i="37"/>
  <c r="AE80" i="37"/>
  <c r="AD80" i="37"/>
  <c r="AC80" i="37"/>
  <c r="AB80" i="37"/>
  <c r="AA80" i="37"/>
  <c r="Z80" i="37"/>
  <c r="Y80" i="37"/>
  <c r="X80" i="37"/>
  <c r="V80" i="37"/>
  <c r="U80" i="37"/>
  <c r="T80" i="37"/>
  <c r="S80" i="37"/>
  <c r="R80" i="37"/>
  <c r="Q80" i="37"/>
  <c r="P80" i="37"/>
  <c r="O80" i="37"/>
  <c r="N80" i="37"/>
  <c r="M80" i="37"/>
  <c r="K80" i="37"/>
  <c r="J80" i="37"/>
  <c r="I80" i="37"/>
  <c r="H80" i="37"/>
  <c r="AL79" i="37"/>
  <c r="AK79" i="37"/>
  <c r="AD79" i="37"/>
  <c r="AC79" i="37"/>
  <c r="X79" i="37"/>
  <c r="W79" i="37"/>
  <c r="S79" i="37"/>
  <c r="W78" i="37"/>
  <c r="W80" i="37" s="1"/>
  <c r="AL77" i="37"/>
  <c r="AK77" i="37"/>
  <c r="AJ77" i="37"/>
  <c r="AJ79" i="37" s="1"/>
  <c r="AI77" i="37"/>
  <c r="AI79" i="37" s="1"/>
  <c r="AH77" i="37"/>
  <c r="AH79" i="37" s="1"/>
  <c r="AG77" i="37"/>
  <c r="AF77" i="37"/>
  <c r="AF79" i="37" s="1"/>
  <c r="AE77" i="37"/>
  <c r="AD77" i="37"/>
  <c r="AC77" i="37"/>
  <c r="AB77" i="37"/>
  <c r="AB79" i="37" s="1"/>
  <c r="AA77" i="37"/>
  <c r="Z77" i="37"/>
  <c r="Z79" i="37" s="1"/>
  <c r="Y77" i="37"/>
  <c r="Y79" i="37" s="1"/>
  <c r="X77" i="37"/>
  <c r="W77" i="37"/>
  <c r="V77" i="37"/>
  <c r="V79" i="37" s="1"/>
  <c r="U77" i="37"/>
  <c r="T77" i="37"/>
  <c r="S77" i="37"/>
  <c r="R77" i="37"/>
  <c r="Q77" i="37"/>
  <c r="P77" i="37"/>
  <c r="O77" i="37"/>
  <c r="N77" i="37"/>
  <c r="M77" i="37"/>
  <c r="L77" i="37"/>
  <c r="L79" i="37" s="1"/>
  <c r="K77" i="37"/>
  <c r="K79" i="37" s="1"/>
  <c r="J77" i="37"/>
  <c r="J79" i="37" s="1"/>
  <c r="I77" i="37"/>
  <c r="I79" i="37" s="1"/>
  <c r="H77" i="37"/>
  <c r="H79" i="37" s="1"/>
  <c r="AB75" i="37"/>
  <c r="Y75" i="37"/>
  <c r="L75" i="37"/>
  <c r="L80" i="37" s="1"/>
  <c r="AL74" i="37"/>
  <c r="AK74" i="37"/>
  <c r="AJ74" i="37"/>
  <c r="AI74" i="37"/>
  <c r="AH74" i="37"/>
  <c r="AG74" i="37"/>
  <c r="AF74" i="37"/>
  <c r="AE74" i="37"/>
  <c r="AE79" i="37" s="1"/>
  <c r="AD74" i="37"/>
  <c r="AC74" i="37"/>
  <c r="AB74" i="37"/>
  <c r="AA74" i="37"/>
  <c r="Z74" i="37"/>
  <c r="Y74" i="37"/>
  <c r="X74" i="37"/>
  <c r="W74" i="37"/>
  <c r="V74" i="37"/>
  <c r="U74" i="37"/>
  <c r="U79" i="37" s="1"/>
  <c r="T74" i="37"/>
  <c r="T79" i="37" s="1"/>
  <c r="S74" i="37"/>
  <c r="R74" i="37"/>
  <c r="R79" i="37" s="1"/>
  <c r="Q74" i="37"/>
  <c r="P74" i="37"/>
  <c r="O74" i="37"/>
  <c r="N74" i="37"/>
  <c r="M74" i="37"/>
  <c r="L74" i="37"/>
  <c r="K74" i="37"/>
  <c r="J74" i="37"/>
  <c r="I74" i="37"/>
  <c r="H74" i="37"/>
  <c r="C74" i="37"/>
  <c r="AL73" i="37"/>
  <c r="AK73" i="37"/>
  <c r="AJ73" i="37"/>
  <c r="AI73" i="37"/>
  <c r="AH73" i="37"/>
  <c r="AG73" i="37"/>
  <c r="AF73" i="37"/>
  <c r="AE73" i="37"/>
  <c r="AD73" i="37"/>
  <c r="AC73" i="37"/>
  <c r="AB73" i="37"/>
  <c r="AA73" i="37"/>
  <c r="Z73" i="37"/>
  <c r="Y73" i="37"/>
  <c r="X73" i="37"/>
  <c r="W73" i="37"/>
  <c r="V73" i="37"/>
  <c r="U73" i="37"/>
  <c r="T73" i="37"/>
  <c r="S73" i="37"/>
  <c r="R73" i="37"/>
  <c r="Q73" i="37"/>
  <c r="P73" i="37"/>
  <c r="O73" i="37"/>
  <c r="N73" i="37"/>
  <c r="M73" i="37"/>
  <c r="L73" i="37"/>
  <c r="J73" i="37"/>
  <c r="I73" i="37"/>
  <c r="H73" i="37"/>
  <c r="AI72" i="37"/>
  <c r="AG72" i="37"/>
  <c r="AF72" i="37"/>
  <c r="AD72" i="37"/>
  <c r="AC72" i="37"/>
  <c r="U72" i="37"/>
  <c r="P72" i="37"/>
  <c r="O72" i="37"/>
  <c r="H72" i="37"/>
  <c r="AL70" i="37"/>
  <c r="AL72" i="37" s="1"/>
  <c r="AK70" i="37"/>
  <c r="AJ70" i="37"/>
  <c r="AI70" i="37"/>
  <c r="AH70" i="37"/>
  <c r="AH72" i="37" s="1"/>
  <c r="AG70" i="37"/>
  <c r="AF70" i="37"/>
  <c r="AE70" i="37"/>
  <c r="AE72" i="37" s="1"/>
  <c r="AD70" i="37"/>
  <c r="AC70" i="37"/>
  <c r="AB70" i="37"/>
  <c r="AA70" i="37"/>
  <c r="Z70" i="37"/>
  <c r="Z72" i="37" s="1"/>
  <c r="Y70" i="37"/>
  <c r="X70" i="37"/>
  <c r="W70" i="37"/>
  <c r="V70" i="37"/>
  <c r="U70" i="37"/>
  <c r="T70" i="37"/>
  <c r="T72" i="37" s="1"/>
  <c r="S70" i="37"/>
  <c r="S72" i="37" s="1"/>
  <c r="R70" i="37"/>
  <c r="R72" i="37" s="1"/>
  <c r="Q70" i="37"/>
  <c r="Q72" i="37" s="1"/>
  <c r="P70" i="37"/>
  <c r="O70" i="37"/>
  <c r="N70" i="37"/>
  <c r="N72" i="37" s="1"/>
  <c r="M70" i="37"/>
  <c r="M72" i="37" s="1"/>
  <c r="L70" i="37"/>
  <c r="K70" i="37"/>
  <c r="J70" i="37"/>
  <c r="J72" i="37" s="1"/>
  <c r="I70" i="37"/>
  <c r="I72" i="37" s="1"/>
  <c r="H70" i="37"/>
  <c r="K68" i="37"/>
  <c r="K73" i="37" s="1"/>
  <c r="AL67" i="37"/>
  <c r="AK67" i="37"/>
  <c r="AJ67" i="37"/>
  <c r="AJ72" i="37" s="1"/>
  <c r="AI67" i="37"/>
  <c r="AH67" i="37"/>
  <c r="AG67" i="37"/>
  <c r="AF67" i="37"/>
  <c r="AE67" i="37"/>
  <c r="AD67" i="37"/>
  <c r="AC67" i="37"/>
  <c r="AB67" i="37"/>
  <c r="AB72" i="37" s="1"/>
  <c r="AA67" i="37"/>
  <c r="AA72" i="37" s="1"/>
  <c r="Z67" i="37"/>
  <c r="Y67" i="37"/>
  <c r="X67" i="37"/>
  <c r="W67" i="37"/>
  <c r="V67" i="37"/>
  <c r="U67" i="37"/>
  <c r="T67" i="37"/>
  <c r="S67" i="37"/>
  <c r="R67" i="37"/>
  <c r="Q67" i="37"/>
  <c r="P67" i="37"/>
  <c r="O67" i="37"/>
  <c r="N67" i="37"/>
  <c r="M67" i="37"/>
  <c r="L67" i="37"/>
  <c r="L72" i="37" s="1"/>
  <c r="K67" i="37"/>
  <c r="J67" i="37"/>
  <c r="I67" i="37"/>
  <c r="H67" i="37"/>
  <c r="C67" i="37"/>
  <c r="AL66" i="37"/>
  <c r="AK66" i="37"/>
  <c r="AJ66" i="37"/>
  <c r="AI66" i="37"/>
  <c r="AH66" i="37"/>
  <c r="AG66" i="37"/>
  <c r="AF66" i="37"/>
  <c r="AE66" i="37"/>
  <c r="AD66" i="37"/>
  <c r="AC66" i="37"/>
  <c r="AB66" i="37"/>
  <c r="AA66" i="37"/>
  <c r="Z66" i="37"/>
  <c r="Y66" i="37"/>
  <c r="X66" i="37"/>
  <c r="W66" i="37"/>
  <c r="V66" i="37"/>
  <c r="U66" i="37"/>
  <c r="T66" i="37"/>
  <c r="S66" i="37"/>
  <c r="R66" i="37"/>
  <c r="Q66" i="37"/>
  <c r="O66" i="37"/>
  <c r="N66" i="37"/>
  <c r="M66" i="37"/>
  <c r="L66" i="37"/>
  <c r="K66" i="37"/>
  <c r="J66" i="37"/>
  <c r="I66" i="37"/>
  <c r="H66" i="37"/>
  <c r="AL65" i="37"/>
  <c r="AI65" i="37"/>
  <c r="T65" i="37"/>
  <c r="M65" i="37"/>
  <c r="L65" i="37"/>
  <c r="AL63" i="37"/>
  <c r="AK63" i="37"/>
  <c r="AK65" i="37" s="1"/>
  <c r="AJ63" i="37"/>
  <c r="AJ65" i="37" s="1"/>
  <c r="AI63" i="37"/>
  <c r="AH63" i="37"/>
  <c r="AH65" i="37" s="1"/>
  <c r="AG63" i="37"/>
  <c r="AF63" i="37"/>
  <c r="AE63" i="37"/>
  <c r="AE65" i="37" s="1"/>
  <c r="AD63" i="37"/>
  <c r="AC63" i="37"/>
  <c r="AC65" i="37" s="1"/>
  <c r="AB63" i="37"/>
  <c r="AA63" i="37"/>
  <c r="Z63" i="37"/>
  <c r="Z65" i="37" s="1"/>
  <c r="Y63" i="37"/>
  <c r="Y65" i="37" s="1"/>
  <c r="X63" i="37"/>
  <c r="X65" i="37" s="1"/>
  <c r="W63" i="37"/>
  <c r="W65" i="37" s="1"/>
  <c r="V63" i="37"/>
  <c r="V65" i="37" s="1"/>
  <c r="U63" i="37"/>
  <c r="U65" i="37" s="1"/>
  <c r="T63" i="37"/>
  <c r="S63" i="37"/>
  <c r="S65" i="37" s="1"/>
  <c r="R63" i="37"/>
  <c r="R65" i="37" s="1"/>
  <c r="Q63" i="37"/>
  <c r="P63" i="37"/>
  <c r="O63" i="37"/>
  <c r="O65" i="37" s="1"/>
  <c r="N63" i="37"/>
  <c r="N65" i="37" s="1"/>
  <c r="M63" i="37"/>
  <c r="L63" i="37"/>
  <c r="K63" i="37"/>
  <c r="K65" i="37" s="1"/>
  <c r="J63" i="37"/>
  <c r="I63" i="37"/>
  <c r="H63" i="37"/>
  <c r="P61" i="37"/>
  <c r="P66" i="37" s="1"/>
  <c r="AL60" i="37"/>
  <c r="AK60" i="37"/>
  <c r="AJ60" i="37"/>
  <c r="AI60" i="37"/>
  <c r="AH60" i="37"/>
  <c r="AG60" i="37"/>
  <c r="AF60" i="37"/>
  <c r="AF65" i="37" s="1"/>
  <c r="AE60" i="37"/>
  <c r="AD60" i="37"/>
  <c r="AC60" i="37"/>
  <c r="AB60" i="37"/>
  <c r="AA60" i="37"/>
  <c r="Z60" i="37"/>
  <c r="Y60" i="37"/>
  <c r="X60" i="37"/>
  <c r="W60" i="37"/>
  <c r="V60" i="37"/>
  <c r="U60" i="37"/>
  <c r="T60" i="37"/>
  <c r="S60" i="37"/>
  <c r="R60" i="37"/>
  <c r="Q60" i="37"/>
  <c r="P60" i="37"/>
  <c r="P65" i="37" s="1"/>
  <c r="O60" i="37"/>
  <c r="N60" i="37"/>
  <c r="M60" i="37"/>
  <c r="L60" i="37"/>
  <c r="K60" i="37"/>
  <c r="J60" i="37"/>
  <c r="I60" i="37"/>
  <c r="H60" i="37"/>
  <c r="C60" i="37"/>
  <c r="AL59" i="37"/>
  <c r="AK59" i="37"/>
  <c r="AJ59" i="37"/>
  <c r="AI59" i="37"/>
  <c r="AH59" i="37"/>
  <c r="AG59" i="37"/>
  <c r="AF59" i="37"/>
  <c r="AE59" i="37"/>
  <c r="AD59" i="37"/>
  <c r="AC59" i="37"/>
  <c r="AB59" i="37"/>
  <c r="AA59" i="37"/>
  <c r="Z59" i="37"/>
  <c r="Y59" i="37"/>
  <c r="X59" i="37"/>
  <c r="W59" i="37"/>
  <c r="V59" i="37"/>
  <c r="U59" i="37"/>
  <c r="T59" i="37"/>
  <c r="S59" i="37"/>
  <c r="R59" i="37"/>
  <c r="Q59" i="37"/>
  <c r="P59" i="37"/>
  <c r="O59" i="37"/>
  <c r="N59" i="37"/>
  <c r="M59" i="37"/>
  <c r="L59" i="37"/>
  <c r="K59" i="37"/>
  <c r="J59" i="37"/>
  <c r="I59" i="37"/>
  <c r="H59" i="37"/>
  <c r="AE58" i="37"/>
  <c r="AD58" i="37"/>
  <c r="AC58" i="37"/>
  <c r="AB58" i="37"/>
  <c r="AA58" i="37"/>
  <c r="Z58" i="37"/>
  <c r="Y58" i="37"/>
  <c r="S58" i="37"/>
  <c r="R58" i="37"/>
  <c r="M58" i="37"/>
  <c r="K58" i="37"/>
  <c r="J58" i="37"/>
  <c r="AL56" i="37"/>
  <c r="AK56" i="37"/>
  <c r="AJ56" i="37"/>
  <c r="AJ58" i="37" s="1"/>
  <c r="AI56" i="37"/>
  <c r="AH56" i="37"/>
  <c r="AH58" i="37" s="1"/>
  <c r="AG56" i="37"/>
  <c r="AF56" i="37"/>
  <c r="AE56" i="37"/>
  <c r="AD56" i="37"/>
  <c r="AC56" i="37"/>
  <c r="AB56" i="37"/>
  <c r="AA56" i="37"/>
  <c r="Z56" i="37"/>
  <c r="Y56" i="37"/>
  <c r="X56" i="37"/>
  <c r="W56" i="37"/>
  <c r="W58" i="37" s="1"/>
  <c r="V56" i="37"/>
  <c r="V58" i="37" s="1"/>
  <c r="U56" i="37"/>
  <c r="T56" i="37"/>
  <c r="S56" i="37"/>
  <c r="R56" i="37"/>
  <c r="Q56" i="37"/>
  <c r="P56" i="37"/>
  <c r="P58" i="37" s="1"/>
  <c r="O56" i="37"/>
  <c r="O58" i="37" s="1"/>
  <c r="N56" i="37"/>
  <c r="N58" i="37" s="1"/>
  <c r="M56" i="37"/>
  <c r="L56" i="37"/>
  <c r="L58" i="37" s="1"/>
  <c r="K56" i="37"/>
  <c r="J56" i="37"/>
  <c r="I56" i="37"/>
  <c r="I58" i="37" s="1"/>
  <c r="H56" i="37"/>
  <c r="AC54" i="37"/>
  <c r="Y54" i="37"/>
  <c r="W54" i="37"/>
  <c r="V54" i="37"/>
  <c r="AL53" i="37"/>
  <c r="AK53" i="37"/>
  <c r="AJ53" i="37"/>
  <c r="AI53" i="37"/>
  <c r="AI58" i="37" s="1"/>
  <c r="AH53" i="37"/>
  <c r="AG53" i="37"/>
  <c r="AF53" i="37"/>
  <c r="AE53" i="37"/>
  <c r="AD53" i="37"/>
  <c r="AC53" i="37"/>
  <c r="AB53" i="37"/>
  <c r="AA53" i="37"/>
  <c r="Z53" i="37"/>
  <c r="Y53" i="37"/>
  <c r="X53" i="37"/>
  <c r="W53" i="37"/>
  <c r="V53" i="37"/>
  <c r="U53" i="37"/>
  <c r="U58" i="37" s="1"/>
  <c r="T53" i="37"/>
  <c r="S53" i="37"/>
  <c r="R53" i="37"/>
  <c r="Q53" i="37"/>
  <c r="Q58" i="37" s="1"/>
  <c r="P53" i="37"/>
  <c r="O53" i="37"/>
  <c r="N53" i="37"/>
  <c r="M53" i="37"/>
  <c r="L53" i="37"/>
  <c r="K53" i="37"/>
  <c r="J53" i="37"/>
  <c r="I53" i="37"/>
  <c r="H53" i="37"/>
  <c r="C53" i="37"/>
  <c r="AL52" i="37"/>
  <c r="AK52" i="37"/>
  <c r="AJ52" i="37"/>
  <c r="AI52" i="37"/>
  <c r="AH52" i="37"/>
  <c r="AG52" i="37"/>
  <c r="AF52" i="37"/>
  <c r="AE52" i="37"/>
  <c r="AD52" i="37"/>
  <c r="AC52" i="37"/>
  <c r="AB52" i="37"/>
  <c r="AA52" i="37"/>
  <c r="Z52" i="37"/>
  <c r="Y52" i="37"/>
  <c r="X52" i="37"/>
  <c r="W52" i="37"/>
  <c r="V52" i="37"/>
  <c r="U52" i="37"/>
  <c r="T52" i="37"/>
  <c r="S52" i="37"/>
  <c r="R52" i="37"/>
  <c r="Q52" i="37"/>
  <c r="P52" i="37"/>
  <c r="O52" i="37"/>
  <c r="N52" i="37"/>
  <c r="M52" i="37"/>
  <c r="L52" i="37"/>
  <c r="K52" i="37"/>
  <c r="J52" i="37"/>
  <c r="I52" i="37"/>
  <c r="H52" i="37"/>
  <c r="AL51" i="37"/>
  <c r="AI51" i="37"/>
  <c r="AH51" i="37"/>
  <c r="AA51" i="37"/>
  <c r="T51" i="37"/>
  <c r="S51" i="37"/>
  <c r="Q51" i="37"/>
  <c r="P51" i="37"/>
  <c r="AL49" i="37"/>
  <c r="AK49" i="37"/>
  <c r="AK51" i="37" s="1"/>
  <c r="AJ49" i="37"/>
  <c r="AJ51" i="37" s="1"/>
  <c r="AI49" i="37"/>
  <c r="AH49" i="37"/>
  <c r="AG49" i="37"/>
  <c r="AG51" i="37" s="1"/>
  <c r="AF49" i="37"/>
  <c r="AF51" i="37" s="1"/>
  <c r="AE49" i="37"/>
  <c r="AD49" i="37"/>
  <c r="AC49" i="37"/>
  <c r="AC51" i="37" s="1"/>
  <c r="AB49" i="37"/>
  <c r="AB51" i="37" s="1"/>
  <c r="AA49" i="37"/>
  <c r="Z49" i="37"/>
  <c r="Y49" i="37"/>
  <c r="Y51" i="37" s="1"/>
  <c r="X49" i="37"/>
  <c r="X51" i="37" s="1"/>
  <c r="W49" i="37"/>
  <c r="V49" i="37"/>
  <c r="V51" i="37" s="1"/>
  <c r="U49" i="37"/>
  <c r="U51" i="37" s="1"/>
  <c r="T49" i="37"/>
  <c r="S49" i="37"/>
  <c r="R49" i="37"/>
  <c r="R51" i="37" s="1"/>
  <c r="Q49" i="37"/>
  <c r="P49" i="37"/>
  <c r="O49" i="37"/>
  <c r="N49" i="37"/>
  <c r="M49" i="37"/>
  <c r="M51" i="37" s="1"/>
  <c r="L49" i="37"/>
  <c r="K49" i="37"/>
  <c r="J49" i="37"/>
  <c r="I49" i="37"/>
  <c r="H49" i="37"/>
  <c r="H51" i="37" s="1"/>
  <c r="AL46" i="37"/>
  <c r="AK46" i="37"/>
  <c r="AJ46" i="37"/>
  <c r="AI46" i="37"/>
  <c r="AH46" i="37"/>
  <c r="AG46" i="37"/>
  <c r="AF46" i="37"/>
  <c r="AE46" i="37"/>
  <c r="AE51" i="37" s="1"/>
  <c r="AD46" i="37"/>
  <c r="AC46" i="37"/>
  <c r="AB46" i="37"/>
  <c r="AA46" i="37"/>
  <c r="Z46" i="37"/>
  <c r="Z51" i="37" s="1"/>
  <c r="Y46" i="37"/>
  <c r="X46" i="37"/>
  <c r="W46" i="37"/>
  <c r="W51" i="37" s="1"/>
  <c r="V46" i="37"/>
  <c r="U46" i="37"/>
  <c r="T46" i="37"/>
  <c r="S46" i="37"/>
  <c r="R46" i="37"/>
  <c r="Q46" i="37"/>
  <c r="P46" i="37"/>
  <c r="O46" i="37"/>
  <c r="O51" i="37" s="1"/>
  <c r="N46" i="37"/>
  <c r="N51" i="37" s="1"/>
  <c r="M46" i="37"/>
  <c r="L46" i="37"/>
  <c r="K46" i="37"/>
  <c r="J46" i="37"/>
  <c r="I46" i="37"/>
  <c r="H46" i="37"/>
  <c r="C46" i="37"/>
  <c r="AL45" i="37"/>
  <c r="AK45" i="37"/>
  <c r="AJ45" i="37"/>
  <c r="AI45" i="37"/>
  <c r="AH45" i="37"/>
  <c r="AG45" i="37"/>
  <c r="AF45" i="37"/>
  <c r="AE45" i="37"/>
  <c r="AD45" i="37"/>
  <c r="AC45" i="37"/>
  <c r="AB45" i="37"/>
  <c r="AA45" i="37"/>
  <c r="Z45" i="37"/>
  <c r="Y45" i="37"/>
  <c r="X45" i="37"/>
  <c r="W45" i="37"/>
  <c r="V45" i="37"/>
  <c r="U45" i="37"/>
  <c r="T45" i="37"/>
  <c r="S45" i="37"/>
  <c r="R45" i="37"/>
  <c r="Q45" i="37"/>
  <c r="P45" i="37"/>
  <c r="O45" i="37"/>
  <c r="N45" i="37"/>
  <c r="M45" i="37"/>
  <c r="L45" i="37"/>
  <c r="K45" i="37"/>
  <c r="J45" i="37"/>
  <c r="I45" i="37"/>
  <c r="H45" i="37"/>
  <c r="AH44" i="37"/>
  <c r="AG44" i="37"/>
  <c r="AF44" i="37"/>
  <c r="AC44" i="37"/>
  <c r="Z44" i="37"/>
  <c r="Y44" i="37"/>
  <c r="W44" i="37"/>
  <c r="V44" i="37"/>
  <c r="L44" i="37"/>
  <c r="K44" i="37"/>
  <c r="J44" i="37"/>
  <c r="I44" i="37"/>
  <c r="H44" i="37"/>
  <c r="AL42" i="37"/>
  <c r="AK42" i="37"/>
  <c r="AJ42" i="37"/>
  <c r="AJ44" i="37" s="1"/>
  <c r="AI42" i="37"/>
  <c r="AI44" i="37" s="1"/>
  <c r="AH42" i="37"/>
  <c r="AG42" i="37"/>
  <c r="AF42" i="37"/>
  <c r="AE42" i="37"/>
  <c r="AD42" i="37"/>
  <c r="AC42" i="37"/>
  <c r="AB42" i="37"/>
  <c r="AB44" i="37" s="1"/>
  <c r="AA42" i="37"/>
  <c r="Z42" i="37"/>
  <c r="Y42" i="37"/>
  <c r="X42" i="37"/>
  <c r="X44" i="37" s="1"/>
  <c r="W42" i="37"/>
  <c r="V42" i="37"/>
  <c r="U42" i="37"/>
  <c r="T42" i="37"/>
  <c r="S42" i="37"/>
  <c r="R42" i="37"/>
  <c r="Q42" i="37"/>
  <c r="P42" i="37"/>
  <c r="O42" i="37"/>
  <c r="N42" i="37"/>
  <c r="M42" i="37"/>
  <c r="L42" i="37"/>
  <c r="K42" i="37"/>
  <c r="J42" i="37"/>
  <c r="I42" i="37"/>
  <c r="H42" i="37"/>
  <c r="AB40" i="37"/>
  <c r="AL39" i="37"/>
  <c r="AK39" i="37"/>
  <c r="AK44" i="37" s="1"/>
  <c r="AJ39" i="37"/>
  <c r="AI39" i="37"/>
  <c r="AH39" i="37"/>
  <c r="AG39" i="37"/>
  <c r="AF39" i="37"/>
  <c r="AE39" i="37"/>
  <c r="AD39" i="37"/>
  <c r="AC39" i="37"/>
  <c r="AB39" i="37"/>
  <c r="AA39" i="37"/>
  <c r="Z39" i="37"/>
  <c r="Y39" i="37"/>
  <c r="X39" i="37"/>
  <c r="W39" i="37"/>
  <c r="V39" i="37"/>
  <c r="U39" i="37"/>
  <c r="U44" i="37" s="1"/>
  <c r="T39" i="37"/>
  <c r="T44" i="37" s="1"/>
  <c r="S39" i="37"/>
  <c r="R39" i="37"/>
  <c r="Q39" i="37"/>
  <c r="P39" i="37"/>
  <c r="O39" i="37"/>
  <c r="N39" i="37"/>
  <c r="N44" i="37" s="1"/>
  <c r="M39" i="37"/>
  <c r="M44" i="37" s="1"/>
  <c r="L39" i="37"/>
  <c r="K39" i="37"/>
  <c r="J39" i="37"/>
  <c r="I39" i="37"/>
  <c r="H39" i="37"/>
  <c r="C39" i="37"/>
  <c r="AL38" i="37"/>
  <c r="AK38" i="37"/>
  <c r="AJ38" i="37"/>
  <c r="AI38" i="37"/>
  <c r="AH38" i="37"/>
  <c r="AG38" i="37"/>
  <c r="AF38" i="37"/>
  <c r="AE38" i="37"/>
  <c r="AD38" i="37"/>
  <c r="AC38" i="37"/>
  <c r="AB38" i="37"/>
  <c r="AA38" i="37"/>
  <c r="Z38" i="37"/>
  <c r="Y38" i="37"/>
  <c r="X38" i="37"/>
  <c r="W38" i="37"/>
  <c r="V38" i="37"/>
  <c r="U38" i="37"/>
  <c r="T38" i="37"/>
  <c r="S38" i="37"/>
  <c r="R38" i="37"/>
  <c r="Q38" i="37"/>
  <c r="P38" i="37"/>
  <c r="O38" i="37"/>
  <c r="N38" i="37"/>
  <c r="M38" i="37"/>
  <c r="L38" i="37"/>
  <c r="K38" i="37"/>
  <c r="J38" i="37"/>
  <c r="I38" i="37"/>
  <c r="AE37" i="37"/>
  <c r="AC37" i="37"/>
  <c r="AB37" i="37"/>
  <c r="T37" i="37"/>
  <c r="S37" i="37"/>
  <c r="R37" i="37"/>
  <c r="Q37" i="37"/>
  <c r="P37" i="37"/>
  <c r="O37" i="37"/>
  <c r="N37" i="37"/>
  <c r="AL35" i="37"/>
  <c r="AK35" i="37"/>
  <c r="AK37" i="37" s="1"/>
  <c r="AJ35" i="37"/>
  <c r="AI35" i="37"/>
  <c r="AH35" i="37"/>
  <c r="AH37" i="37" s="1"/>
  <c r="AG35" i="37"/>
  <c r="AG37" i="37" s="1"/>
  <c r="AF35" i="37"/>
  <c r="AE35" i="37"/>
  <c r="AD35" i="37"/>
  <c r="AD37" i="37" s="1"/>
  <c r="AC35" i="37"/>
  <c r="AB35" i="37"/>
  <c r="AA35" i="37"/>
  <c r="Z35" i="37"/>
  <c r="Y35" i="37"/>
  <c r="Y37" i="37" s="1"/>
  <c r="X35" i="37"/>
  <c r="W35" i="37"/>
  <c r="V35" i="37"/>
  <c r="U35" i="37"/>
  <c r="T35" i="37"/>
  <c r="S35" i="37"/>
  <c r="R35" i="37"/>
  <c r="Q35" i="37"/>
  <c r="P35" i="37"/>
  <c r="O35" i="37"/>
  <c r="N35" i="37"/>
  <c r="M35" i="37"/>
  <c r="M37" i="37" s="1"/>
  <c r="L35" i="37"/>
  <c r="K35" i="37"/>
  <c r="J35" i="37"/>
  <c r="J37" i="37" s="1"/>
  <c r="I35" i="37"/>
  <c r="I37" i="37" s="1"/>
  <c r="H35" i="37"/>
  <c r="H37" i="37" s="1"/>
  <c r="AL32" i="37"/>
  <c r="AL37" i="37" s="1"/>
  <c r="AK32" i="37"/>
  <c r="AJ32" i="37"/>
  <c r="AI32" i="37"/>
  <c r="AI37" i="37" s="1"/>
  <c r="AH32" i="37"/>
  <c r="AG32" i="37"/>
  <c r="AF32" i="37"/>
  <c r="AF37" i="37" s="1"/>
  <c r="AE32" i="37"/>
  <c r="AD32" i="37"/>
  <c r="AC32" i="37"/>
  <c r="AB32" i="37"/>
  <c r="AA32" i="37"/>
  <c r="AA37" i="37" s="1"/>
  <c r="Z32" i="37"/>
  <c r="Z37" i="37" s="1"/>
  <c r="Y32" i="37"/>
  <c r="X32" i="37"/>
  <c r="W32" i="37"/>
  <c r="V32" i="37"/>
  <c r="U32" i="37"/>
  <c r="T32" i="37"/>
  <c r="S32" i="37"/>
  <c r="R32" i="37"/>
  <c r="Q32" i="37"/>
  <c r="P32" i="37"/>
  <c r="O32" i="37"/>
  <c r="N32" i="37"/>
  <c r="M32" i="37"/>
  <c r="L32" i="37"/>
  <c r="K32" i="37"/>
  <c r="K37" i="37" s="1"/>
  <c r="J32" i="37"/>
  <c r="I32" i="37"/>
  <c r="H32" i="37"/>
  <c r="C32" i="37"/>
  <c r="AL31" i="37"/>
  <c r="AK31" i="37"/>
  <c r="AJ31" i="37"/>
  <c r="AI31" i="37"/>
  <c r="AH31" i="37"/>
  <c r="AG31" i="37"/>
  <c r="AF31" i="37"/>
  <c r="AE31" i="37"/>
  <c r="AD31" i="37"/>
  <c r="AC31" i="37"/>
  <c r="AB31" i="37"/>
  <c r="AA31" i="37"/>
  <c r="Z31" i="37"/>
  <c r="Y31" i="37"/>
  <c r="X31" i="37"/>
  <c r="W31" i="37"/>
  <c r="V31" i="37"/>
  <c r="U31" i="37"/>
  <c r="T31" i="37"/>
  <c r="S31" i="37"/>
  <c r="R31" i="37"/>
  <c r="Q31" i="37"/>
  <c r="P31" i="37"/>
  <c r="O31" i="37"/>
  <c r="N31" i="37"/>
  <c r="M31" i="37"/>
  <c r="L31" i="37"/>
  <c r="K31" i="37"/>
  <c r="J31" i="37"/>
  <c r="I31" i="37"/>
  <c r="AK30" i="37"/>
  <c r="AJ30" i="37"/>
  <c r="AH30" i="37"/>
  <c r="AG30" i="37"/>
  <c r="X30" i="37"/>
  <c r="W30" i="37"/>
  <c r="V30" i="37"/>
  <c r="U30" i="37"/>
  <c r="T30" i="37"/>
  <c r="S30" i="37"/>
  <c r="M30" i="37"/>
  <c r="AL28" i="37"/>
  <c r="AL30" i="37" s="1"/>
  <c r="AK28" i="37"/>
  <c r="AJ28" i="37"/>
  <c r="AI28" i="37"/>
  <c r="AI30" i="37" s="1"/>
  <c r="AH28" i="37"/>
  <c r="AG28" i="37"/>
  <c r="AF28" i="37"/>
  <c r="AE28" i="37"/>
  <c r="AD28" i="37"/>
  <c r="AD30" i="37" s="1"/>
  <c r="AC28" i="37"/>
  <c r="AB28" i="37"/>
  <c r="AA28" i="37"/>
  <c r="AA30" i="37" s="1"/>
  <c r="Z28" i="37"/>
  <c r="Z30" i="37" s="1"/>
  <c r="Y28" i="37"/>
  <c r="Y30" i="37" s="1"/>
  <c r="X28" i="37"/>
  <c r="W28" i="37"/>
  <c r="V28" i="37"/>
  <c r="U28" i="37"/>
  <c r="T28" i="37"/>
  <c r="S28" i="37"/>
  <c r="R28" i="37"/>
  <c r="R30" i="37" s="1"/>
  <c r="Q28" i="37"/>
  <c r="P28" i="37"/>
  <c r="O28" i="37"/>
  <c r="O30" i="37" s="1"/>
  <c r="N28" i="37"/>
  <c r="N30" i="37" s="1"/>
  <c r="M28" i="37"/>
  <c r="L28" i="37"/>
  <c r="K28" i="37"/>
  <c r="J28" i="37"/>
  <c r="J30" i="37" s="1"/>
  <c r="I28" i="37"/>
  <c r="H28" i="37"/>
  <c r="AL25" i="37"/>
  <c r="AK25" i="37"/>
  <c r="AJ25" i="37"/>
  <c r="AI25" i="37"/>
  <c r="AH25" i="37"/>
  <c r="AG25" i="37"/>
  <c r="AF25" i="37"/>
  <c r="AF30" i="37" s="1"/>
  <c r="AE25" i="37"/>
  <c r="AE30" i="37" s="1"/>
  <c r="AD25" i="37"/>
  <c r="AC25" i="37"/>
  <c r="AB25" i="37"/>
  <c r="AA25" i="37"/>
  <c r="Z25" i="37"/>
  <c r="Y25" i="37"/>
  <c r="X25" i="37"/>
  <c r="W25" i="37"/>
  <c r="V25" i="37"/>
  <c r="U25" i="37"/>
  <c r="T25" i="37"/>
  <c r="S25" i="37"/>
  <c r="R25" i="37"/>
  <c r="Q25" i="37"/>
  <c r="P25" i="37"/>
  <c r="P30" i="37" s="1"/>
  <c r="O25" i="37"/>
  <c r="N25" i="37"/>
  <c r="M25" i="37"/>
  <c r="L25" i="37"/>
  <c r="L30" i="37" s="1"/>
  <c r="K25" i="37"/>
  <c r="K30" i="37" s="1"/>
  <c r="J25" i="37"/>
  <c r="I25" i="37"/>
  <c r="H25" i="37"/>
  <c r="H30" i="37" s="1"/>
  <c r="C25" i="37"/>
  <c r="AL24" i="37"/>
  <c r="AK24" i="37"/>
  <c r="AJ24" i="37"/>
  <c r="AI24" i="37"/>
  <c r="AH24" i="37"/>
  <c r="AG24" i="37"/>
  <c r="AF24" i="37"/>
  <c r="AE24" i="37"/>
  <c r="AD24" i="37"/>
  <c r="AC24" i="37"/>
  <c r="AB24" i="37"/>
  <c r="AA24" i="37"/>
  <c r="Z24" i="37"/>
  <c r="Y24" i="37"/>
  <c r="X24" i="37"/>
  <c r="W24" i="37"/>
  <c r="V24" i="37"/>
  <c r="U24" i="37"/>
  <c r="T24" i="37"/>
  <c r="S24" i="37"/>
  <c r="R24" i="37"/>
  <c r="Q24" i="37"/>
  <c r="P24" i="37"/>
  <c r="O24" i="37"/>
  <c r="N24" i="37"/>
  <c r="M24" i="37"/>
  <c r="L24" i="37"/>
  <c r="K24" i="37"/>
  <c r="J24" i="37"/>
  <c r="I24" i="37"/>
  <c r="H24" i="37"/>
  <c r="AD23" i="37"/>
  <c r="AC23" i="37"/>
  <c r="AB23" i="37"/>
  <c r="AA23" i="37"/>
  <c r="Z23" i="37"/>
  <c r="Y23" i="37"/>
  <c r="S23" i="37"/>
  <c r="R23" i="37"/>
  <c r="Q23" i="37"/>
  <c r="N23" i="37"/>
  <c r="M23" i="37"/>
  <c r="J23" i="37"/>
  <c r="H23" i="37"/>
  <c r="AL21" i="37"/>
  <c r="AK21" i="37"/>
  <c r="AJ21" i="37"/>
  <c r="AJ23" i="37" s="1"/>
  <c r="AI21" i="37"/>
  <c r="AI23" i="37" s="1"/>
  <c r="AH21" i="37"/>
  <c r="AH23" i="37" s="1"/>
  <c r="AG21" i="37"/>
  <c r="AG23" i="37" s="1"/>
  <c r="AF21" i="37"/>
  <c r="AF23" i="37" s="1"/>
  <c r="AE21" i="37"/>
  <c r="AD21" i="37"/>
  <c r="AC21" i="37"/>
  <c r="AB21" i="37"/>
  <c r="AA21" i="37"/>
  <c r="Z21" i="37"/>
  <c r="Y21" i="37"/>
  <c r="X21" i="37"/>
  <c r="X23" i="37" s="1"/>
  <c r="W21" i="37"/>
  <c r="W23" i="37" s="1"/>
  <c r="V21" i="37"/>
  <c r="U21" i="37"/>
  <c r="U23" i="37" s="1"/>
  <c r="T21" i="37"/>
  <c r="T23" i="37" s="1"/>
  <c r="S21" i="37"/>
  <c r="R21" i="37"/>
  <c r="Q21" i="37"/>
  <c r="P21" i="37"/>
  <c r="P23" i="37" s="1"/>
  <c r="O21" i="37"/>
  <c r="O23" i="37" s="1"/>
  <c r="N21" i="37"/>
  <c r="M21" i="37"/>
  <c r="L21" i="37"/>
  <c r="L23" i="37" s="1"/>
  <c r="K21" i="37"/>
  <c r="J21" i="37"/>
  <c r="I21" i="37"/>
  <c r="I23" i="37" s="1"/>
  <c r="H21" i="37"/>
  <c r="AL18" i="37"/>
  <c r="AL23" i="37" s="1"/>
  <c r="AK18" i="37"/>
  <c r="AK23" i="37" s="1"/>
  <c r="AJ18" i="37"/>
  <c r="AI18" i="37"/>
  <c r="AH18" i="37"/>
  <c r="AG18" i="37"/>
  <c r="AF18" i="37"/>
  <c r="AE18" i="37"/>
  <c r="AE23" i="37" s="1"/>
  <c r="AD18" i="37"/>
  <c r="AC18" i="37"/>
  <c r="AB18" i="37"/>
  <c r="AA18" i="37"/>
  <c r="Z18" i="37"/>
  <c r="Y18" i="37"/>
  <c r="X18" i="37"/>
  <c r="W18" i="37"/>
  <c r="V18" i="37"/>
  <c r="V23" i="37" s="1"/>
  <c r="U18" i="37"/>
  <c r="T18" i="37"/>
  <c r="S18" i="37"/>
  <c r="R18" i="37"/>
  <c r="Q18" i="37"/>
  <c r="P18" i="37"/>
  <c r="O18" i="37"/>
  <c r="N18" i="37"/>
  <c r="M18" i="37"/>
  <c r="L18" i="37"/>
  <c r="K18" i="37"/>
  <c r="K23" i="37" s="1"/>
  <c r="J18" i="37"/>
  <c r="I18" i="37"/>
  <c r="H18" i="37"/>
  <c r="C18" i="37"/>
  <c r="AL17" i="37"/>
  <c r="AK17" i="37"/>
  <c r="AJ17" i="37"/>
  <c r="AI17" i="37"/>
  <c r="AH17" i="37"/>
  <c r="AG17" i="37"/>
  <c r="AF17" i="37"/>
  <c r="AE17" i="37"/>
  <c r="AD17" i="37"/>
  <c r="AC17" i="37"/>
  <c r="AB17" i="37"/>
  <c r="AA17" i="37"/>
  <c r="Z17" i="37"/>
  <c r="Y17" i="37"/>
  <c r="X17" i="37"/>
  <c r="W17" i="37"/>
  <c r="V17" i="37"/>
  <c r="U17" i="37"/>
  <c r="T17" i="37"/>
  <c r="S17" i="37"/>
  <c r="R17" i="37"/>
  <c r="Q17" i="37"/>
  <c r="P17" i="37"/>
  <c r="O17" i="37"/>
  <c r="N17" i="37"/>
  <c r="M17" i="37"/>
  <c r="L17" i="37"/>
  <c r="K17" i="37"/>
  <c r="J17" i="37"/>
  <c r="I17" i="37"/>
  <c r="H17" i="37"/>
  <c r="C7" i="37"/>
  <c r="C6" i="37"/>
  <c r="H12" i="38" l="1"/>
  <c r="V14" i="38"/>
  <c r="V12" i="38" s="1"/>
  <c r="G80" i="38"/>
  <c r="H13" i="38"/>
  <c r="G108" i="38"/>
  <c r="Q12" i="38"/>
  <c r="S37" i="38"/>
  <c r="S14" i="38" s="1"/>
  <c r="S12" i="38" s="1"/>
  <c r="S10" i="38"/>
  <c r="F119" i="38"/>
  <c r="P12" i="38"/>
  <c r="F24" i="38"/>
  <c r="F64" i="38"/>
  <c r="F98" i="38"/>
  <c r="AH12" i="38"/>
  <c r="F46" i="38"/>
  <c r="G47" i="38" s="1"/>
  <c r="AJ10" i="38"/>
  <c r="AJ51" i="38"/>
  <c r="AJ14" i="38" s="1"/>
  <c r="AJ12" i="38" s="1"/>
  <c r="AG15" i="38"/>
  <c r="AG13" i="38" s="1"/>
  <c r="R14" i="38"/>
  <c r="R12" i="38" s="1"/>
  <c r="T14" i="38"/>
  <c r="V13" i="38"/>
  <c r="Z15" i="38"/>
  <c r="F44" i="38"/>
  <c r="F42" i="38" s="1"/>
  <c r="P10" i="38"/>
  <c r="F52" i="38"/>
  <c r="AK51" i="38"/>
  <c r="AK14" i="38" s="1"/>
  <c r="AK12" i="38" s="1"/>
  <c r="G136" i="38"/>
  <c r="R10" i="38"/>
  <c r="F94" i="38"/>
  <c r="T10" i="38"/>
  <c r="F45" i="38"/>
  <c r="U10" i="38"/>
  <c r="U12" i="38" s="1"/>
  <c r="N86" i="38"/>
  <c r="N14" i="38" s="1"/>
  <c r="N12" i="38" s="1"/>
  <c r="I15" i="38"/>
  <c r="W14" i="38"/>
  <c r="W12" i="38" s="1"/>
  <c r="X14" i="38"/>
  <c r="X12" i="38" s="1"/>
  <c r="Y23" i="38"/>
  <c r="F23" i="38" s="1"/>
  <c r="F21" i="38" s="1"/>
  <c r="Y10" i="38"/>
  <c r="F109" i="38"/>
  <c r="G110" i="38" s="1"/>
  <c r="Z23" i="38"/>
  <c r="Z14" i="38" s="1"/>
  <c r="Z12" i="38" s="1"/>
  <c r="Z10" i="38"/>
  <c r="AA23" i="38"/>
  <c r="AA10" i="38"/>
  <c r="F135" i="38"/>
  <c r="AG11" i="38"/>
  <c r="AG45" i="38"/>
  <c r="V11" i="38"/>
  <c r="AI15" i="38"/>
  <c r="AI13" i="38" s="1"/>
  <c r="AA11" i="38"/>
  <c r="AA13" i="38" s="1"/>
  <c r="F101" i="38"/>
  <c r="Z11" i="38"/>
  <c r="N15" i="38"/>
  <c r="N13" i="38" s="1"/>
  <c r="M14" i="38"/>
  <c r="M12" i="38" s="1"/>
  <c r="M11" i="38"/>
  <c r="O10" i="38"/>
  <c r="O12" i="38" s="1"/>
  <c r="F138" i="38"/>
  <c r="F114" i="38"/>
  <c r="J14" i="38"/>
  <c r="J12" i="38" s="1"/>
  <c r="L10" i="38"/>
  <c r="F137" i="38"/>
  <c r="F53" i="38"/>
  <c r="F56" i="38" s="1"/>
  <c r="F40" i="38"/>
  <c r="G40" i="38" s="1"/>
  <c r="I14" i="38"/>
  <c r="I12" i="38" s="1"/>
  <c r="I11" i="38"/>
  <c r="D10" i="38" s="1"/>
  <c r="E10" i="38" s="1"/>
  <c r="K10" i="38"/>
  <c r="C10" i="38" s="1"/>
  <c r="F117" i="38"/>
  <c r="G117" i="38" s="1"/>
  <c r="F87" i="38"/>
  <c r="F86" i="38"/>
  <c r="F84" i="38" s="1"/>
  <c r="M15" i="38"/>
  <c r="M13" i="38" s="1"/>
  <c r="L14" i="38"/>
  <c r="L12" i="38" s="1"/>
  <c r="L11" i="38"/>
  <c r="N10" i="38"/>
  <c r="F115" i="38"/>
  <c r="K15" i="38"/>
  <c r="J11" i="38"/>
  <c r="F54" i="38"/>
  <c r="F39" i="38"/>
  <c r="J15" i="38"/>
  <c r="J13" i="38" s="1"/>
  <c r="F116" i="38"/>
  <c r="L15" i="38"/>
  <c r="K14" i="38"/>
  <c r="K11" i="38"/>
  <c r="M10" i="38"/>
  <c r="F75" i="38"/>
  <c r="F74" i="38"/>
  <c r="F77" i="38" s="1"/>
  <c r="AE15" i="38"/>
  <c r="AE13" i="38" s="1"/>
  <c r="AD14" i="38"/>
  <c r="AD11" i="38"/>
  <c r="AF10" i="38"/>
  <c r="F103" i="38"/>
  <c r="F102" i="38"/>
  <c r="F73" i="38"/>
  <c r="F72" i="38"/>
  <c r="F70" i="38" s="1"/>
  <c r="AD15" i="38"/>
  <c r="AD13" i="38" s="1"/>
  <c r="AC14" i="38"/>
  <c r="AC12" i="38" s="1"/>
  <c r="AC11" i="38"/>
  <c r="AE10" i="38"/>
  <c r="F130" i="38"/>
  <c r="F33" i="38"/>
  <c r="F32" i="38"/>
  <c r="AC15" i="38"/>
  <c r="AC13" i="38" s="1"/>
  <c r="AB14" i="38"/>
  <c r="AB11" i="38"/>
  <c r="AB13" i="38" s="1"/>
  <c r="N11" i="38"/>
  <c r="O15" i="38"/>
  <c r="F95" i="38"/>
  <c r="F96" i="38"/>
  <c r="G96" i="38" s="1"/>
  <c r="O11" i="38"/>
  <c r="P15" i="38"/>
  <c r="F30" i="38"/>
  <c r="F28" i="38" s="1"/>
  <c r="F31" i="38"/>
  <c r="F88" i="38"/>
  <c r="F91" i="38" s="1"/>
  <c r="F89" i="38"/>
  <c r="G89" i="38" s="1"/>
  <c r="F107" i="38"/>
  <c r="P11" i="38"/>
  <c r="Q15" i="38"/>
  <c r="Q11" i="38"/>
  <c r="R15" i="38"/>
  <c r="R13" i="38" s="1"/>
  <c r="AJ11" i="38"/>
  <c r="F129" i="38"/>
  <c r="F131" i="38"/>
  <c r="F134" i="38" s="1"/>
  <c r="AD10" i="38"/>
  <c r="AL11" i="38"/>
  <c r="AA14" i="38"/>
  <c r="AA12" i="38" s="1"/>
  <c r="AE14" i="38"/>
  <c r="F18" i="38"/>
  <c r="F19" i="38"/>
  <c r="AJ15" i="38"/>
  <c r="AJ13" i="38" s="1"/>
  <c r="F59" i="38"/>
  <c r="F60" i="38"/>
  <c r="G61" i="38" s="1"/>
  <c r="F65" i="38"/>
  <c r="F63" i="38" s="1"/>
  <c r="F122" i="38"/>
  <c r="AB10" i="38"/>
  <c r="Y14" i="38"/>
  <c r="Y12" i="38" s="1"/>
  <c r="AK15" i="38"/>
  <c r="AC10" i="38"/>
  <c r="AK11" i="38"/>
  <c r="AL15" i="38"/>
  <c r="F123" i="38"/>
  <c r="F126" i="38" s="1"/>
  <c r="F124" i="38"/>
  <c r="G124" i="38" s="1"/>
  <c r="AG10" i="38"/>
  <c r="AG12" i="38" s="1"/>
  <c r="AH10" i="38"/>
  <c r="AF14" i="38"/>
  <c r="F142" i="38"/>
  <c r="F143" i="38"/>
  <c r="F122" i="37"/>
  <c r="F26" i="37"/>
  <c r="F25" i="37"/>
  <c r="N15" i="37"/>
  <c r="N13" i="37" s="1"/>
  <c r="M14" i="37"/>
  <c r="M12" i="37" s="1"/>
  <c r="M11" i="37"/>
  <c r="O10" i="37"/>
  <c r="F96" i="37"/>
  <c r="F95" i="37"/>
  <c r="F61" i="37"/>
  <c r="F60" i="37"/>
  <c r="F94" i="37"/>
  <c r="F59" i="37"/>
  <c r="K15" i="37"/>
  <c r="J11" i="37"/>
  <c r="L10" i="37"/>
  <c r="J10" i="37"/>
  <c r="I10" i="37"/>
  <c r="F88" i="37"/>
  <c r="AL14" i="37"/>
  <c r="AL12" i="37" s="1"/>
  <c r="H10" i="37"/>
  <c r="F87" i="37"/>
  <c r="J15" i="37"/>
  <c r="J13" i="37" s="1"/>
  <c r="I11" i="37"/>
  <c r="K10" i="37"/>
  <c r="H11" i="37"/>
  <c r="I15" i="37"/>
  <c r="H14" i="37"/>
  <c r="F89" i="37"/>
  <c r="AL11" i="37"/>
  <c r="AL15" i="37"/>
  <c r="AL13" i="37" s="1"/>
  <c r="AK11" i="37"/>
  <c r="F117" i="37"/>
  <c r="G117" i="37" s="1"/>
  <c r="F116" i="37"/>
  <c r="F53" i="37"/>
  <c r="AK15" i="37"/>
  <c r="F19" i="37"/>
  <c r="F18" i="37"/>
  <c r="H15" i="37"/>
  <c r="F45" i="37"/>
  <c r="AC15" i="37"/>
  <c r="AC13" i="37" s="1"/>
  <c r="AB11" i="37"/>
  <c r="AD10" i="37"/>
  <c r="F110" i="37"/>
  <c r="F109" i="37"/>
  <c r="AB15" i="37"/>
  <c r="AB13" i="37" s="1"/>
  <c r="AA14" i="37"/>
  <c r="AA12" i="37" s="1"/>
  <c r="AA11" i="37"/>
  <c r="AC10" i="37"/>
  <c r="Z14" i="37"/>
  <c r="Z12" i="37" s="1"/>
  <c r="Z11" i="37"/>
  <c r="F108" i="37"/>
  <c r="F107" i="37"/>
  <c r="F105" i="37" s="1"/>
  <c r="Z15" i="37"/>
  <c r="Y11" i="37"/>
  <c r="AA15" i="37"/>
  <c r="AA13" i="37" s="1"/>
  <c r="AB10" i="37"/>
  <c r="AA10" i="37"/>
  <c r="Y15" i="37"/>
  <c r="Y13" i="37" s="1"/>
  <c r="X11" i="37"/>
  <c r="Z10" i="37"/>
  <c r="F75" i="37"/>
  <c r="F74" i="37"/>
  <c r="U15" i="37"/>
  <c r="T11" i="37"/>
  <c r="V10" i="37"/>
  <c r="T15" i="37"/>
  <c r="T13" i="37" s="1"/>
  <c r="S11" i="37"/>
  <c r="U10" i="37"/>
  <c r="F103" i="37"/>
  <c r="G103" i="37" s="1"/>
  <c r="F102" i="37"/>
  <c r="Q15" i="37"/>
  <c r="P14" i="37"/>
  <c r="P12" i="37" s="1"/>
  <c r="P11" i="37"/>
  <c r="R10" i="37"/>
  <c r="V15" i="37"/>
  <c r="V13" i="37" s="1"/>
  <c r="W11" i="37"/>
  <c r="F38" i="37"/>
  <c r="P15" i="37"/>
  <c r="P13" i="37" s="1"/>
  <c r="O15" i="37"/>
  <c r="O13" i="37" s="1"/>
  <c r="M15" i="37"/>
  <c r="M13" i="37" s="1"/>
  <c r="O11" i="37"/>
  <c r="L15" i="37"/>
  <c r="AI14" i="37"/>
  <c r="AH14" i="37"/>
  <c r="F79" i="37"/>
  <c r="F77" i="37" s="1"/>
  <c r="AJ10" i="37"/>
  <c r="AI10" i="37"/>
  <c r="AG10" i="37"/>
  <c r="F115" i="37"/>
  <c r="F101" i="37"/>
  <c r="F46" i="37"/>
  <c r="Y10" i="37"/>
  <c r="S15" i="37"/>
  <c r="V11" i="37"/>
  <c r="U11" i="37"/>
  <c r="R11" i="37"/>
  <c r="L11" i="37"/>
  <c r="F24" i="37"/>
  <c r="K11" i="37"/>
  <c r="F73" i="37"/>
  <c r="AF10" i="37"/>
  <c r="F47" i="37"/>
  <c r="G47" i="37" s="1"/>
  <c r="F40" i="37"/>
  <c r="F39" i="37"/>
  <c r="R15" i="37"/>
  <c r="R13" i="37" s="1"/>
  <c r="Q11" i="37"/>
  <c r="N11" i="37"/>
  <c r="AK10" i="37"/>
  <c r="AH10" i="37"/>
  <c r="W14" i="37"/>
  <c r="W12" i="37" s="1"/>
  <c r="R14" i="37"/>
  <c r="R12" i="37" s="1"/>
  <c r="AE10" i="37"/>
  <c r="AL10" i="37"/>
  <c r="F31" i="37"/>
  <c r="S10" i="37"/>
  <c r="Q10" i="37"/>
  <c r="AJ15" i="37"/>
  <c r="P10" i="37"/>
  <c r="F23" i="37"/>
  <c r="F21" i="37" s="1"/>
  <c r="AI15" i="37"/>
  <c r="AJ11" i="37"/>
  <c r="N10" i="37"/>
  <c r="AH15" i="37"/>
  <c r="AI11" i="37"/>
  <c r="M10" i="37"/>
  <c r="AG15" i="37"/>
  <c r="AH11" i="37"/>
  <c r="AF15" i="37"/>
  <c r="AG11" i="37"/>
  <c r="F82" i="37"/>
  <c r="F81" i="37"/>
  <c r="F80" i="37"/>
  <c r="AE15" i="37"/>
  <c r="AG79" i="37"/>
  <c r="W10" i="37"/>
  <c r="X10" i="37"/>
  <c r="AD11" i="37"/>
  <c r="AE11" i="37"/>
  <c r="AF11" i="37"/>
  <c r="F52" i="37"/>
  <c r="F54" i="37"/>
  <c r="G54" i="37" s="1"/>
  <c r="AK86" i="37"/>
  <c r="AF93" i="37"/>
  <c r="T10" i="37"/>
  <c r="AC11" i="37"/>
  <c r="F32" i="37"/>
  <c r="F33" i="37"/>
  <c r="G33" i="37" s="1"/>
  <c r="AG93" i="37"/>
  <c r="F93" i="37" s="1"/>
  <c r="F91" i="37" s="1"/>
  <c r="Y121" i="37"/>
  <c r="AD65" i="37"/>
  <c r="W15" i="37"/>
  <c r="X15" i="37"/>
  <c r="X13" i="37" s="1"/>
  <c r="AD15" i="37"/>
  <c r="F66" i="37"/>
  <c r="F67" i="37"/>
  <c r="F68" i="37"/>
  <c r="N14" i="37"/>
  <c r="N12" i="37" s="1"/>
  <c r="Q14" i="37"/>
  <c r="Q12" i="37" s="1"/>
  <c r="I100" i="37"/>
  <c r="I14" i="37" s="1"/>
  <c r="I12" i="37" s="1"/>
  <c r="J100" i="37"/>
  <c r="AK72" i="37"/>
  <c r="AK14" i="37" s="1"/>
  <c r="AK12" i="37" s="1"/>
  <c r="Q30" i="37"/>
  <c r="J114" i="37"/>
  <c r="AK58" i="37"/>
  <c r="AL86" i="37"/>
  <c r="K114" i="37"/>
  <c r="AL58" i="37"/>
  <c r="L114" i="37"/>
  <c r="O44" i="37"/>
  <c r="F44" i="37" s="1"/>
  <c r="F42" i="37" s="1"/>
  <c r="H86" i="37"/>
  <c r="M114" i="37"/>
  <c r="P44" i="37"/>
  <c r="K72" i="37"/>
  <c r="AA79" i="37"/>
  <c r="I86" i="37"/>
  <c r="A17" i="37"/>
  <c r="AJ37" i="37"/>
  <c r="AJ14" i="37" s="1"/>
  <c r="AJ12" i="37" s="1"/>
  <c r="Q44" i="37"/>
  <c r="AD51" i="37"/>
  <c r="R44" i="37"/>
  <c r="AA65" i="37"/>
  <c r="Q100" i="37"/>
  <c r="S44" i="37"/>
  <c r="S14" i="37" s="1"/>
  <c r="S12" i="37" s="1"/>
  <c r="AB65" i="37"/>
  <c r="AB30" i="37"/>
  <c r="AB14" i="37" s="1"/>
  <c r="AB12" i="37" s="1"/>
  <c r="I51" i="37"/>
  <c r="F51" i="37" s="1"/>
  <c r="F49" i="37" s="1"/>
  <c r="T58" i="37"/>
  <c r="F58" i="37" s="1"/>
  <c r="F56" i="37" s="1"/>
  <c r="J107" i="37"/>
  <c r="Y72" i="37"/>
  <c r="Y14" i="37" s="1"/>
  <c r="Y12" i="37" s="1"/>
  <c r="AC100" i="37"/>
  <c r="AE44" i="37"/>
  <c r="AE14" i="37" s="1"/>
  <c r="AE12" i="37" s="1"/>
  <c r="AD100" i="37"/>
  <c r="X58" i="37"/>
  <c r="X14" i="37" s="1"/>
  <c r="X12" i="37" s="1"/>
  <c r="I65" i="37"/>
  <c r="J65" i="37"/>
  <c r="AA86" i="37"/>
  <c r="V37" i="37"/>
  <c r="AG114" i="37"/>
  <c r="AG14" i="37" s="1"/>
  <c r="AG12" i="37" s="1"/>
  <c r="I30" i="37"/>
  <c r="F30" i="37" s="1"/>
  <c r="F28" i="37" s="1"/>
  <c r="R107" i="37"/>
  <c r="S107" i="37"/>
  <c r="AL44" i="37"/>
  <c r="Q79" i="37"/>
  <c r="T107" i="37"/>
  <c r="Q121" i="37"/>
  <c r="F121" i="37" s="1"/>
  <c r="F119" i="37" s="1"/>
  <c r="AA44" i="37"/>
  <c r="V72" i="37"/>
  <c r="F72" i="37" s="1"/>
  <c r="F70" i="37" s="1"/>
  <c r="W72" i="37"/>
  <c r="AA100" i="37"/>
  <c r="X72" i="37"/>
  <c r="AB100" i="37"/>
  <c r="L51" i="37"/>
  <c r="N79" i="37"/>
  <c r="W37" i="37"/>
  <c r="P79" i="37"/>
  <c r="U107" i="37"/>
  <c r="R121" i="37"/>
  <c r="AC30" i="37"/>
  <c r="AC14" i="37" s="1"/>
  <c r="AC12" i="37" s="1"/>
  <c r="AL107" i="37"/>
  <c r="L37" i="37"/>
  <c r="F37" i="37" s="1"/>
  <c r="F35" i="37" s="1"/>
  <c r="Z100" i="37"/>
  <c r="U86" i="37"/>
  <c r="F86" i="37" s="1"/>
  <c r="F84" i="37" s="1"/>
  <c r="J51" i="37"/>
  <c r="J14" i="37" s="1"/>
  <c r="J12" i="37" s="1"/>
  <c r="AD44" i="37"/>
  <c r="AD14" i="37" s="1"/>
  <c r="AD12" i="37" s="1"/>
  <c r="K51" i="37"/>
  <c r="K14" i="37" s="1"/>
  <c r="K12" i="37" s="1"/>
  <c r="AC114" i="37"/>
  <c r="U37" i="37"/>
  <c r="M79" i="37"/>
  <c r="O79" i="37"/>
  <c r="X37" i="37"/>
  <c r="AF58" i="37"/>
  <c r="AF14" i="37" s="1"/>
  <c r="AF12" i="37" s="1"/>
  <c r="Q65" i="37"/>
  <c r="F65" i="37" s="1"/>
  <c r="F63" i="37" s="1"/>
  <c r="V107" i="37"/>
  <c r="V14" i="37" s="1"/>
  <c r="V12" i="37" s="1"/>
  <c r="G66" i="38" l="1"/>
  <c r="AE12" i="38"/>
  <c r="F22" i="38"/>
  <c r="G22" i="38" s="1"/>
  <c r="G24" i="38"/>
  <c r="G33" i="38"/>
  <c r="I13" i="38"/>
  <c r="G64" i="38"/>
  <c r="G103" i="38"/>
  <c r="D12" i="38"/>
  <c r="F105" i="38"/>
  <c r="AF12" i="38"/>
  <c r="AL13" i="38"/>
  <c r="G54" i="38"/>
  <c r="F37" i="38"/>
  <c r="AB12" i="38"/>
  <c r="G122" i="38"/>
  <c r="F120" i="38"/>
  <c r="G120" i="38" s="1"/>
  <c r="G87" i="38"/>
  <c r="F85" i="38"/>
  <c r="G85" i="38" s="1"/>
  <c r="G19" i="38"/>
  <c r="F43" i="38"/>
  <c r="G43" i="38" s="1"/>
  <c r="G45" i="38"/>
  <c r="F112" i="38"/>
  <c r="G138" i="38"/>
  <c r="G75" i="38"/>
  <c r="F51" i="38"/>
  <c r="F49" i="38" s="1"/>
  <c r="G101" i="38"/>
  <c r="F99" i="38"/>
  <c r="G99" i="38" s="1"/>
  <c r="L13" i="38"/>
  <c r="G31" i="38"/>
  <c r="F29" i="38"/>
  <c r="G29" i="38" s="1"/>
  <c r="F36" i="38"/>
  <c r="K13" i="38"/>
  <c r="F133" i="38"/>
  <c r="G134" i="38" s="1"/>
  <c r="G73" i="38"/>
  <c r="F71" i="38"/>
  <c r="G71" i="38" s="1"/>
  <c r="G131" i="38"/>
  <c r="G94" i="38"/>
  <c r="F92" i="38"/>
  <c r="G92" i="38" s="1"/>
  <c r="G129" i="38"/>
  <c r="F127" i="38"/>
  <c r="G127" i="38" s="1"/>
  <c r="F50" i="38"/>
  <c r="F106" i="38"/>
  <c r="G106" i="38" s="1"/>
  <c r="F141" i="38"/>
  <c r="G143" i="38"/>
  <c r="Z13" i="38"/>
  <c r="T12" i="38"/>
  <c r="O13" i="38"/>
  <c r="G116" i="38"/>
  <c r="F113" i="38"/>
  <c r="C12" i="38"/>
  <c r="C11" i="38" s="1"/>
  <c r="F57" i="38"/>
  <c r="G57" i="38" s="1"/>
  <c r="G59" i="38"/>
  <c r="AD12" i="38"/>
  <c r="Q13" i="38"/>
  <c r="F140" i="38"/>
  <c r="K12" i="38"/>
  <c r="F78" i="38"/>
  <c r="G78" i="38" s="1"/>
  <c r="P13" i="38"/>
  <c r="AK13" i="38"/>
  <c r="F78" i="37"/>
  <c r="G78" i="37" s="1"/>
  <c r="G80" i="37"/>
  <c r="F36" i="37"/>
  <c r="G36" i="37" s="1"/>
  <c r="G38" i="37"/>
  <c r="O14" i="37"/>
  <c r="O12" i="37" s="1"/>
  <c r="AG13" i="37"/>
  <c r="F100" i="37"/>
  <c r="F98" i="37" s="1"/>
  <c r="AH13" i="37"/>
  <c r="Q13" i="37"/>
  <c r="G110" i="37"/>
  <c r="AD13" i="37"/>
  <c r="G82" i="37"/>
  <c r="U14" i="37"/>
  <c r="U12" i="37" s="1"/>
  <c r="C10" i="37"/>
  <c r="G66" i="37"/>
  <c r="F64" i="37"/>
  <c r="G64" i="37" s="1"/>
  <c r="AJ13" i="37"/>
  <c r="F43" i="37"/>
  <c r="G43" i="37" s="1"/>
  <c r="G45" i="37"/>
  <c r="G19" i="37"/>
  <c r="F29" i="37"/>
  <c r="G29" i="37" s="1"/>
  <c r="G31" i="37"/>
  <c r="G61" i="37"/>
  <c r="G101" i="37"/>
  <c r="F99" i="37"/>
  <c r="G99" i="37" s="1"/>
  <c r="G75" i="37"/>
  <c r="G87" i="37"/>
  <c r="F85" i="37"/>
  <c r="G85" i="37" s="1"/>
  <c r="F71" i="37"/>
  <c r="G71" i="37" s="1"/>
  <c r="G73" i="37"/>
  <c r="W13" i="37"/>
  <c r="F57" i="37"/>
  <c r="G57" i="37" s="1"/>
  <c r="G59" i="37"/>
  <c r="T14" i="37"/>
  <c r="T12" i="37" s="1"/>
  <c r="U13" i="37"/>
  <c r="AK13" i="37"/>
  <c r="G115" i="37"/>
  <c r="F113" i="37"/>
  <c r="G113" i="37" s="1"/>
  <c r="G96" i="37"/>
  <c r="G40" i="37"/>
  <c r="AF13" i="37"/>
  <c r="AI13" i="37"/>
  <c r="F22" i="37"/>
  <c r="G22" i="37" s="1"/>
  <c r="G24" i="37"/>
  <c r="K13" i="37"/>
  <c r="H13" i="37"/>
  <c r="D12" i="37"/>
  <c r="G94" i="37"/>
  <c r="F92" i="37"/>
  <c r="G92" i="37" s="1"/>
  <c r="S13" i="37"/>
  <c r="L14" i="37"/>
  <c r="L12" i="37" s="1"/>
  <c r="F50" i="37"/>
  <c r="G50" i="37" s="1"/>
  <c r="G52" i="37"/>
  <c r="G108" i="37"/>
  <c r="F106" i="37"/>
  <c r="G106" i="37" s="1"/>
  <c r="D10" i="37"/>
  <c r="E10" i="37" s="1"/>
  <c r="G26" i="37"/>
  <c r="G89" i="37"/>
  <c r="H12" i="37"/>
  <c r="C12" i="37"/>
  <c r="C11" i="37" s="1"/>
  <c r="F120" i="37"/>
  <c r="G120" i="37" s="1"/>
  <c r="G122" i="37"/>
  <c r="AH12" i="37"/>
  <c r="AI12" i="37"/>
  <c r="F114" i="37"/>
  <c r="F112" i="37" s="1"/>
  <c r="AE13" i="37"/>
  <c r="L13" i="37"/>
  <c r="Z13" i="37"/>
  <c r="I13" i="37"/>
  <c r="G141" i="38" l="1"/>
  <c r="G50" i="38"/>
  <c r="G113" i="38"/>
  <c r="F35" i="38"/>
  <c r="G38" i="38"/>
  <c r="G52" i="38"/>
  <c r="E12" i="38"/>
  <c r="D11" i="38"/>
  <c r="E11" i="38" s="1"/>
  <c r="G36" i="38"/>
  <c r="E12" i="37"/>
  <c r="D11" i="37"/>
  <c r="E11" i="37" s="1"/>
  <c r="Y26" i="6" l="1"/>
  <c r="Z26" i="6"/>
  <c r="AA26" i="6"/>
  <c r="Z25" i="6"/>
  <c r="AA25" i="6"/>
  <c r="Y25" i="6"/>
  <c r="T6" i="24"/>
  <c r="C88" i="3" l="1"/>
  <c r="C87" i="3"/>
  <c r="C86" i="3"/>
  <c r="C85" i="3"/>
  <c r="C84" i="3"/>
  <c r="C83" i="3"/>
  <c r="C82" i="3"/>
  <c r="C81" i="3"/>
  <c r="C80" i="3"/>
  <c r="C79" i="3"/>
  <c r="C78" i="3"/>
  <c r="L2096" i="5"/>
  <c r="L2097" i="5"/>
  <c r="L2098" i="5"/>
  <c r="I2096" i="5"/>
  <c r="F2096" i="5"/>
  <c r="I2050" i="5"/>
  <c r="F13" i="24"/>
  <c r="F14" i="24"/>
  <c r="F12" i="24"/>
  <c r="F10" i="24"/>
  <c r="F9" i="24"/>
  <c r="F8" i="24"/>
  <c r="O24" i="6"/>
  <c r="D24" i="6"/>
  <c r="E24" i="6"/>
  <c r="F24" i="6"/>
  <c r="G24" i="6"/>
  <c r="H24" i="6"/>
  <c r="H7" i="24" s="1"/>
  <c r="I24" i="6"/>
  <c r="I7" i="24" s="1"/>
  <c r="J24" i="6"/>
  <c r="J7" i="24" s="1"/>
  <c r="K24" i="6"/>
  <c r="K7" i="24" s="1"/>
  <c r="L24" i="6"/>
  <c r="L7" i="24" s="1"/>
  <c r="M24" i="6"/>
  <c r="M7" i="24" s="1"/>
  <c r="N24" i="6"/>
  <c r="N7" i="24" s="1"/>
  <c r="C24" i="6"/>
  <c r="C7" i="24" s="1"/>
  <c r="D7" i="24"/>
  <c r="E7" i="24"/>
  <c r="F7" i="24"/>
  <c r="G7" i="24"/>
  <c r="D6" i="24"/>
  <c r="E6" i="24"/>
  <c r="F6" i="24"/>
  <c r="G6" i="24"/>
  <c r="H6" i="24"/>
  <c r="I6" i="24"/>
  <c r="J6" i="24"/>
  <c r="K6" i="24"/>
  <c r="L6" i="24"/>
  <c r="M6" i="24"/>
  <c r="N6" i="24"/>
  <c r="C6" i="24"/>
  <c r="D5" i="24"/>
  <c r="E5" i="24"/>
  <c r="F5" i="24"/>
  <c r="G5" i="24"/>
  <c r="H5" i="24"/>
  <c r="I5" i="24"/>
  <c r="J5" i="24"/>
  <c r="K5" i="24"/>
  <c r="L5" i="24"/>
  <c r="M5" i="24"/>
  <c r="N5" i="24"/>
  <c r="C5" i="24"/>
  <c r="C2" i="24"/>
  <c r="T5" i="24"/>
  <c r="Y5" i="24" s="1"/>
  <c r="J111" i="34"/>
  <c r="H111" i="34"/>
  <c r="F111" i="34"/>
  <c r="D111" i="34"/>
  <c r="J110" i="34"/>
  <c r="J109" i="34" s="1"/>
  <c r="H110" i="34"/>
  <c r="F110" i="34"/>
  <c r="D110" i="34"/>
  <c r="J106" i="34"/>
  <c r="H106" i="34"/>
  <c r="F106" i="34"/>
  <c r="D106" i="34"/>
  <c r="J105" i="34"/>
  <c r="H105" i="34"/>
  <c r="F105" i="34"/>
  <c r="D105" i="34"/>
  <c r="J104" i="34"/>
  <c r="H104" i="34"/>
  <c r="F104" i="34"/>
  <c r="D104" i="34"/>
  <c r="J103" i="34"/>
  <c r="H103" i="34"/>
  <c r="F103" i="34"/>
  <c r="D103" i="34"/>
  <c r="J102" i="34"/>
  <c r="H102" i="34"/>
  <c r="F102" i="34"/>
  <c r="D102" i="34"/>
  <c r="J101" i="34"/>
  <c r="H101" i="34"/>
  <c r="F101" i="34"/>
  <c r="D101" i="34"/>
  <c r="J97" i="34"/>
  <c r="H97" i="34"/>
  <c r="F97" i="34"/>
  <c r="D97" i="34"/>
  <c r="J96" i="34"/>
  <c r="H96" i="34"/>
  <c r="H95" i="34" s="1"/>
  <c r="F96" i="34"/>
  <c r="D96" i="34"/>
  <c r="D95" i="34" s="1"/>
  <c r="J93" i="34"/>
  <c r="H93" i="34"/>
  <c r="F93" i="34"/>
  <c r="D93" i="34"/>
  <c r="J92" i="34"/>
  <c r="H92" i="34"/>
  <c r="F92" i="34"/>
  <c r="D92" i="34"/>
  <c r="J89" i="34"/>
  <c r="H89" i="34"/>
  <c r="F89" i="34"/>
  <c r="D89" i="34"/>
  <c r="J88" i="34"/>
  <c r="J87" i="34" s="1"/>
  <c r="H88" i="34"/>
  <c r="F88" i="34"/>
  <c r="D88" i="34"/>
  <c r="J84" i="34"/>
  <c r="H84" i="34"/>
  <c r="F84" i="34"/>
  <c r="D84" i="34"/>
  <c r="J83" i="34"/>
  <c r="H83" i="34"/>
  <c r="F83" i="34"/>
  <c r="D83" i="34"/>
  <c r="J82" i="34"/>
  <c r="H82" i="34"/>
  <c r="F82" i="34"/>
  <c r="D82" i="34"/>
  <c r="F81" i="34"/>
  <c r="D81" i="34"/>
  <c r="J79" i="34"/>
  <c r="H79" i="34"/>
  <c r="F79" i="34"/>
  <c r="D79" i="34"/>
  <c r="J78" i="34"/>
  <c r="H78" i="34"/>
  <c r="F78" i="34"/>
  <c r="D78" i="34"/>
  <c r="J75" i="34"/>
  <c r="H75" i="34"/>
  <c r="F75" i="34"/>
  <c r="D75" i="34"/>
  <c r="J74" i="34"/>
  <c r="H74" i="34"/>
  <c r="F74" i="34"/>
  <c r="D74" i="34"/>
  <c r="J73" i="34"/>
  <c r="H73" i="34"/>
  <c r="F73" i="34"/>
  <c r="D73" i="34"/>
  <c r="J70" i="34"/>
  <c r="H70" i="34"/>
  <c r="F70" i="34"/>
  <c r="D70" i="34"/>
  <c r="J69" i="34"/>
  <c r="H69" i="34"/>
  <c r="F69" i="34"/>
  <c r="D69" i="34"/>
  <c r="J68" i="34"/>
  <c r="H68" i="34"/>
  <c r="F68" i="34"/>
  <c r="D68" i="34"/>
  <c r="F67" i="34"/>
  <c r="D67" i="34"/>
  <c r="J65" i="34"/>
  <c r="H65" i="34"/>
  <c r="F65" i="34"/>
  <c r="D65" i="34"/>
  <c r="J64" i="34"/>
  <c r="H64" i="34"/>
  <c r="F64" i="34"/>
  <c r="D64" i="34"/>
  <c r="J63" i="34"/>
  <c r="H63" i="34"/>
  <c r="F63" i="34"/>
  <c r="D63" i="34"/>
  <c r="J62" i="34"/>
  <c r="H62" i="34"/>
  <c r="F62" i="34"/>
  <c r="D62" i="34"/>
  <c r="J60" i="34"/>
  <c r="H60" i="34"/>
  <c r="F60" i="34"/>
  <c r="D60" i="34"/>
  <c r="J59" i="34"/>
  <c r="H59" i="34"/>
  <c r="F59" i="34"/>
  <c r="D59" i="34"/>
  <c r="J55" i="34"/>
  <c r="H55" i="34"/>
  <c r="F55" i="34"/>
  <c r="D55" i="34"/>
  <c r="J54" i="34"/>
  <c r="J53" i="34" s="1"/>
  <c r="H54" i="34"/>
  <c r="H53" i="34" s="1"/>
  <c r="F54" i="34"/>
  <c r="D54" i="34"/>
  <c r="J51" i="34"/>
  <c r="H51" i="34"/>
  <c r="F51" i="34"/>
  <c r="D51" i="34"/>
  <c r="J49" i="34"/>
  <c r="H49" i="34"/>
  <c r="F49" i="34"/>
  <c r="D49" i="34"/>
  <c r="J48" i="34"/>
  <c r="H48" i="34"/>
  <c r="H50" i="34" s="1"/>
  <c r="F48" i="34"/>
  <c r="D48" i="34"/>
  <c r="D50" i="34" s="1"/>
  <c r="J45" i="34"/>
  <c r="H45" i="34"/>
  <c r="F45" i="34"/>
  <c r="D45" i="34"/>
  <c r="J43" i="34"/>
  <c r="H43" i="34"/>
  <c r="F43" i="34"/>
  <c r="D43" i="34"/>
  <c r="J42" i="34"/>
  <c r="J44" i="34" s="1"/>
  <c r="H42" i="34"/>
  <c r="F42" i="34"/>
  <c r="D42" i="34"/>
  <c r="J38" i="34"/>
  <c r="H38" i="34"/>
  <c r="F38" i="34"/>
  <c r="D38" i="34"/>
  <c r="J37" i="34"/>
  <c r="H37" i="34"/>
  <c r="F37" i="34"/>
  <c r="D37" i="34"/>
  <c r="J34" i="34"/>
  <c r="H34" i="34"/>
  <c r="F34" i="34"/>
  <c r="D34" i="34"/>
  <c r="J33" i="34"/>
  <c r="H33" i="34"/>
  <c r="F33" i="34"/>
  <c r="D33" i="34"/>
  <c r="J32" i="34"/>
  <c r="H32" i="34"/>
  <c r="F32" i="34"/>
  <c r="D32" i="34"/>
  <c r="J29" i="34"/>
  <c r="H29" i="34"/>
  <c r="F29" i="34"/>
  <c r="D29" i="34"/>
  <c r="J28" i="34"/>
  <c r="H28" i="34"/>
  <c r="F28" i="34"/>
  <c r="D28" i="34"/>
  <c r="J27" i="34"/>
  <c r="H27" i="34"/>
  <c r="F27" i="34"/>
  <c r="D27" i="34"/>
  <c r="J24" i="34"/>
  <c r="H24" i="34"/>
  <c r="F24" i="34"/>
  <c r="D24" i="34"/>
  <c r="J23" i="34"/>
  <c r="H23" i="34"/>
  <c r="F23" i="34"/>
  <c r="D23" i="34"/>
  <c r="J22" i="34"/>
  <c r="H22" i="34"/>
  <c r="F22" i="34"/>
  <c r="D22" i="34"/>
  <c r="J19" i="34"/>
  <c r="H19" i="34"/>
  <c r="F19" i="34"/>
  <c r="D19" i="34"/>
  <c r="J18" i="34"/>
  <c r="H18" i="34"/>
  <c r="H17" i="34" s="1"/>
  <c r="F18" i="34"/>
  <c r="F17" i="34" s="1"/>
  <c r="D18" i="34"/>
  <c r="D17" i="34" s="1"/>
  <c r="J12" i="34"/>
  <c r="H12" i="34"/>
  <c r="F12" i="34"/>
  <c r="D12" i="34"/>
  <c r="J11" i="34"/>
  <c r="H11" i="34"/>
  <c r="F11" i="34"/>
  <c r="D11" i="34"/>
  <c r="D10" i="34"/>
  <c r="D7" i="34" s="1"/>
  <c r="J8" i="34"/>
  <c r="H8" i="34"/>
  <c r="F8" i="34"/>
  <c r="D8" i="34"/>
  <c r="E7" i="34"/>
  <c r="F4" i="34"/>
  <c r="D4" i="34"/>
  <c r="A3" i="34"/>
  <c r="H47" i="34" l="1"/>
  <c r="H87" i="34"/>
  <c r="D31" i="34"/>
  <c r="J67" i="34"/>
  <c r="J31" i="34"/>
  <c r="D44" i="34"/>
  <c r="D41" i="34" s="1"/>
  <c r="J17" i="34"/>
  <c r="F10" i="34"/>
  <c r="F7" i="34" s="1"/>
  <c r="D109" i="34"/>
  <c r="H67" i="34"/>
  <c r="F31" i="34"/>
  <c r="D47" i="34"/>
  <c r="J72" i="34"/>
  <c r="F87" i="34"/>
  <c r="F95" i="34"/>
  <c r="H109" i="34"/>
  <c r="J50" i="34"/>
  <c r="J47" i="34" s="1"/>
  <c r="J95" i="34"/>
  <c r="H10" i="34"/>
  <c r="H7" i="34" s="1"/>
  <c r="H15" i="34" s="1"/>
  <c r="F100" i="34"/>
  <c r="J100" i="34"/>
  <c r="D36" i="34"/>
  <c r="J41" i="34"/>
  <c r="D53" i="34"/>
  <c r="H100" i="34"/>
  <c r="F36" i="34"/>
  <c r="D72" i="34"/>
  <c r="J36" i="34"/>
  <c r="F53" i="34"/>
  <c r="H72" i="34"/>
  <c r="D87" i="34"/>
  <c r="D91" i="34" s="1"/>
  <c r="H31" i="34"/>
  <c r="F50" i="34"/>
  <c r="F47" i="34" s="1"/>
  <c r="J10" i="34"/>
  <c r="J7" i="34" s="1"/>
  <c r="J15" i="34" s="1"/>
  <c r="H81" i="34"/>
  <c r="F109" i="34"/>
  <c r="F44" i="34"/>
  <c r="F41" i="34" s="1"/>
  <c r="F72" i="34"/>
  <c r="J81" i="34"/>
  <c r="H44" i="34"/>
  <c r="H41" i="34" s="1"/>
  <c r="D100" i="34"/>
  <c r="H36" i="34"/>
  <c r="D6" i="34"/>
  <c r="D15" i="34"/>
  <c r="F6" i="34"/>
  <c r="F15" i="34"/>
  <c r="F91" i="34"/>
  <c r="H91" i="34"/>
  <c r="J91" i="34"/>
  <c r="D21" i="34"/>
  <c r="D26" i="34" s="1"/>
  <c r="F21" i="34"/>
  <c r="F26" i="34" s="1"/>
  <c r="H21" i="34"/>
  <c r="H26" i="34" s="1"/>
  <c r="J21" i="34"/>
  <c r="J26" i="34" s="1"/>
  <c r="H6" i="34" l="1"/>
  <c r="J6" i="34"/>
  <c r="C18" i="32"/>
  <c r="D18" i="32"/>
  <c r="E18" i="32"/>
  <c r="F18" i="32"/>
  <c r="G18" i="32"/>
  <c r="H18" i="32"/>
  <c r="I18" i="32"/>
  <c r="J18" i="32"/>
  <c r="K18" i="32"/>
  <c r="L18" i="32"/>
  <c r="M18" i="32"/>
  <c r="N18" i="32"/>
  <c r="O18" i="32"/>
  <c r="P18" i="32"/>
  <c r="Q18" i="32"/>
  <c r="R18" i="32"/>
  <c r="S18" i="32"/>
  <c r="T18" i="32"/>
  <c r="U18" i="32"/>
  <c r="V18" i="32"/>
  <c r="W18" i="32"/>
  <c r="X18" i="32"/>
  <c r="Y18" i="32"/>
  <c r="Z18" i="32"/>
  <c r="AA18" i="32"/>
  <c r="AB18" i="32"/>
  <c r="AC18" i="32"/>
  <c r="AD18" i="32"/>
  <c r="AE18" i="32"/>
  <c r="AF18" i="32"/>
  <c r="AG18" i="32"/>
  <c r="AH18" i="32"/>
  <c r="AI18" i="32"/>
  <c r="AJ18" i="32"/>
  <c r="AK18" i="32"/>
  <c r="AL18" i="32"/>
  <c r="E19" i="32"/>
  <c r="F19" i="32"/>
  <c r="G19" i="32"/>
  <c r="H19" i="32"/>
  <c r="I19" i="32"/>
  <c r="J19" i="32"/>
  <c r="K19" i="32"/>
  <c r="L19" i="32"/>
  <c r="M19" i="32"/>
  <c r="N19" i="32"/>
  <c r="O19" i="32"/>
  <c r="P19" i="32"/>
  <c r="Q19" i="32"/>
  <c r="R19" i="32"/>
  <c r="S19" i="32"/>
  <c r="T19" i="32"/>
  <c r="U19" i="32"/>
  <c r="V19" i="32"/>
  <c r="W19" i="32"/>
  <c r="X19" i="32"/>
  <c r="Y19" i="32"/>
  <c r="Z19" i="32"/>
  <c r="AA19" i="32"/>
  <c r="AB19" i="32"/>
  <c r="AC19" i="32"/>
  <c r="AD19" i="32"/>
  <c r="AE19" i="32"/>
  <c r="AF19" i="32"/>
  <c r="AG19" i="32"/>
  <c r="AH19" i="32"/>
  <c r="AI19" i="32"/>
  <c r="AJ19" i="32"/>
  <c r="AK19" i="32"/>
  <c r="AL19" i="32"/>
  <c r="E20" i="32"/>
  <c r="F20" i="32"/>
  <c r="G20" i="32"/>
  <c r="H20" i="32"/>
  <c r="I20" i="32"/>
  <c r="J20" i="32"/>
  <c r="K20" i="32"/>
  <c r="L20" i="32"/>
  <c r="M20" i="32"/>
  <c r="N20" i="32"/>
  <c r="O20" i="32"/>
  <c r="P20" i="32"/>
  <c r="Q20" i="32"/>
  <c r="R20" i="32"/>
  <c r="S20" i="32"/>
  <c r="T20" i="32"/>
  <c r="U20" i="32"/>
  <c r="V20" i="32"/>
  <c r="W20" i="32"/>
  <c r="X20" i="32"/>
  <c r="Y20" i="32"/>
  <c r="Z20" i="32"/>
  <c r="AA20" i="32"/>
  <c r="AB20" i="32"/>
  <c r="AC20" i="32"/>
  <c r="AD20" i="32"/>
  <c r="AE20" i="32"/>
  <c r="AF20" i="32"/>
  <c r="AG20" i="32"/>
  <c r="AH20" i="32"/>
  <c r="AI20" i="32"/>
  <c r="AJ20" i="32"/>
  <c r="AK20" i="32"/>
  <c r="AL20" i="32"/>
  <c r="D21" i="32"/>
  <c r="E21" i="32"/>
  <c r="F21" i="32"/>
  <c r="G21" i="32"/>
  <c r="H21" i="32"/>
  <c r="I21" i="32"/>
  <c r="J21" i="32"/>
  <c r="K21" i="32"/>
  <c r="L21" i="32"/>
  <c r="M21" i="32"/>
  <c r="N21" i="32"/>
  <c r="O21" i="32"/>
  <c r="P21" i="32"/>
  <c r="Q21" i="32"/>
  <c r="R21" i="32"/>
  <c r="S21" i="32"/>
  <c r="T21" i="32"/>
  <c r="U21" i="32"/>
  <c r="V21" i="32"/>
  <c r="W21" i="32"/>
  <c r="X21" i="32"/>
  <c r="Y21" i="32"/>
  <c r="Z21" i="32"/>
  <c r="AA21" i="32"/>
  <c r="AB21" i="32"/>
  <c r="AC21" i="32"/>
  <c r="AD21" i="32"/>
  <c r="AE21" i="32"/>
  <c r="AF21" i="32"/>
  <c r="AG21" i="32"/>
  <c r="AH21" i="32"/>
  <c r="AI21" i="32"/>
  <c r="AJ21" i="32"/>
  <c r="AK21" i="32"/>
  <c r="AL21" i="32"/>
  <c r="E22" i="32"/>
  <c r="F22" i="32"/>
  <c r="G22" i="32"/>
  <c r="H22" i="32"/>
  <c r="I22" i="32"/>
  <c r="J22" i="32"/>
  <c r="K22" i="32"/>
  <c r="L22" i="32"/>
  <c r="M22" i="32"/>
  <c r="N22" i="32"/>
  <c r="O22" i="32"/>
  <c r="P22" i="32"/>
  <c r="Q22" i="32"/>
  <c r="R22" i="32"/>
  <c r="S22" i="32"/>
  <c r="T22" i="32"/>
  <c r="U22" i="32"/>
  <c r="V22" i="32"/>
  <c r="W22" i="32"/>
  <c r="X22" i="32"/>
  <c r="Y22" i="32"/>
  <c r="Z22" i="32"/>
  <c r="AA22" i="32"/>
  <c r="AB22" i="32"/>
  <c r="AC22" i="32"/>
  <c r="AD22" i="32"/>
  <c r="AE22" i="32"/>
  <c r="AF22" i="32"/>
  <c r="AG22" i="32"/>
  <c r="AH22" i="32"/>
  <c r="AI22" i="32"/>
  <c r="AJ22" i="32"/>
  <c r="AK22" i="32"/>
  <c r="AL22" i="32"/>
  <c r="D23" i="32"/>
  <c r="E23" i="32"/>
  <c r="F23" i="32"/>
  <c r="G23" i="32"/>
  <c r="H23" i="32"/>
  <c r="I23" i="32"/>
  <c r="J23" i="32"/>
  <c r="K23" i="32"/>
  <c r="L23" i="32"/>
  <c r="M23" i="32"/>
  <c r="N23" i="32"/>
  <c r="O23" i="32"/>
  <c r="P23" i="32"/>
  <c r="Q23" i="32"/>
  <c r="R23" i="32"/>
  <c r="S23" i="32"/>
  <c r="T23" i="32"/>
  <c r="U23" i="32"/>
  <c r="V23" i="32"/>
  <c r="W23" i="32"/>
  <c r="X23" i="32"/>
  <c r="Y23" i="32"/>
  <c r="Z23" i="32"/>
  <c r="AA23" i="32"/>
  <c r="AB23" i="32"/>
  <c r="AC23" i="32"/>
  <c r="AD23" i="32"/>
  <c r="AE23" i="32"/>
  <c r="AF23" i="32"/>
  <c r="AG23" i="32"/>
  <c r="AH23" i="32"/>
  <c r="AI23" i="32"/>
  <c r="AJ23" i="32"/>
  <c r="AK23" i="32"/>
  <c r="AL23" i="32"/>
  <c r="E24" i="32"/>
  <c r="F24" i="32"/>
  <c r="G24" i="32"/>
  <c r="H24" i="32"/>
  <c r="I24" i="32"/>
  <c r="J24" i="32"/>
  <c r="K24" i="32"/>
  <c r="L24" i="32"/>
  <c r="M24" i="32"/>
  <c r="N24" i="32"/>
  <c r="O24" i="32"/>
  <c r="P24" i="32"/>
  <c r="Q24" i="32"/>
  <c r="R24" i="32"/>
  <c r="S24" i="32"/>
  <c r="T24" i="32"/>
  <c r="U24" i="32"/>
  <c r="V24" i="32"/>
  <c r="W24" i="32"/>
  <c r="X24" i="32"/>
  <c r="Y24" i="32"/>
  <c r="Z24" i="32"/>
  <c r="AA24" i="32"/>
  <c r="AB24" i="32"/>
  <c r="AC24" i="32"/>
  <c r="AD24" i="32"/>
  <c r="AE24" i="32"/>
  <c r="AF24" i="32"/>
  <c r="AG24" i="32"/>
  <c r="AH24" i="32"/>
  <c r="AI24" i="32"/>
  <c r="AJ24" i="32"/>
  <c r="AK24" i="32"/>
  <c r="AL24" i="32"/>
  <c r="C25" i="32"/>
  <c r="D25" i="32"/>
  <c r="E25" i="32"/>
  <c r="F25" i="32"/>
  <c r="G25" i="32"/>
  <c r="H25" i="32"/>
  <c r="I25" i="32"/>
  <c r="J25" i="32"/>
  <c r="K25" i="32"/>
  <c r="L25" i="32"/>
  <c r="M25" i="32"/>
  <c r="N25" i="32"/>
  <c r="O25" i="32"/>
  <c r="P25" i="32"/>
  <c r="Q25" i="32"/>
  <c r="R25" i="32"/>
  <c r="S25" i="32"/>
  <c r="T25" i="32"/>
  <c r="U25" i="32"/>
  <c r="V25" i="32"/>
  <c r="W25" i="32"/>
  <c r="X25" i="32"/>
  <c r="Y25" i="32"/>
  <c r="Z25" i="32"/>
  <c r="AA25" i="32"/>
  <c r="AB25" i="32"/>
  <c r="AC25" i="32"/>
  <c r="AD25" i="32"/>
  <c r="AE25" i="32"/>
  <c r="AF25" i="32"/>
  <c r="AG25" i="32"/>
  <c r="AH25" i="32"/>
  <c r="AI25" i="32"/>
  <c r="AJ25" i="32"/>
  <c r="AK25" i="32"/>
  <c r="AL25" i="32"/>
  <c r="E26" i="32"/>
  <c r="F26" i="32"/>
  <c r="G26" i="32"/>
  <c r="H26" i="32"/>
  <c r="I26" i="32"/>
  <c r="J26" i="32"/>
  <c r="K26" i="32"/>
  <c r="L26" i="32"/>
  <c r="M26" i="32"/>
  <c r="N26" i="32"/>
  <c r="O26" i="32"/>
  <c r="P26" i="32"/>
  <c r="Q26" i="32"/>
  <c r="R26" i="32"/>
  <c r="S26" i="32"/>
  <c r="T26" i="32"/>
  <c r="U26" i="32"/>
  <c r="V26" i="32"/>
  <c r="W26" i="32"/>
  <c r="X26" i="32"/>
  <c r="Y26" i="32"/>
  <c r="Z26" i="32"/>
  <c r="AA26" i="32"/>
  <c r="AB26" i="32"/>
  <c r="AC26" i="32"/>
  <c r="AD26" i="32"/>
  <c r="AE26" i="32"/>
  <c r="AF26" i="32"/>
  <c r="AG26" i="32"/>
  <c r="AH26" i="32"/>
  <c r="AI26" i="32"/>
  <c r="AJ26" i="32"/>
  <c r="AK26" i="32"/>
  <c r="AL26" i="32"/>
  <c r="E27" i="32"/>
  <c r="F27" i="32"/>
  <c r="G27" i="32"/>
  <c r="H27" i="32"/>
  <c r="I27" i="32"/>
  <c r="J27" i="32"/>
  <c r="K27" i="32"/>
  <c r="L27" i="32"/>
  <c r="M27" i="32"/>
  <c r="N27" i="32"/>
  <c r="O27" i="32"/>
  <c r="P27" i="32"/>
  <c r="Q27" i="32"/>
  <c r="R27" i="32"/>
  <c r="S27" i="32"/>
  <c r="T27" i="32"/>
  <c r="U27" i="32"/>
  <c r="V27" i="32"/>
  <c r="W27" i="32"/>
  <c r="X27" i="32"/>
  <c r="Y27" i="32"/>
  <c r="Z27" i="32"/>
  <c r="AA27" i="32"/>
  <c r="AB27" i="32"/>
  <c r="AC27" i="32"/>
  <c r="AD27" i="32"/>
  <c r="AE27" i="32"/>
  <c r="AF27" i="32"/>
  <c r="AG27" i="32"/>
  <c r="AH27" i="32"/>
  <c r="AI27" i="32"/>
  <c r="AJ27" i="32"/>
  <c r="AK27" i="32"/>
  <c r="AL27" i="32"/>
  <c r="D28" i="32"/>
  <c r="E28" i="32"/>
  <c r="F28" i="32"/>
  <c r="G28" i="32"/>
  <c r="H28" i="32"/>
  <c r="I28" i="32"/>
  <c r="J28" i="32"/>
  <c r="K28" i="32"/>
  <c r="L28" i="32"/>
  <c r="M28" i="32"/>
  <c r="N28" i="32"/>
  <c r="O28" i="32"/>
  <c r="P28" i="32"/>
  <c r="Q28" i="32"/>
  <c r="R28" i="32"/>
  <c r="S28" i="32"/>
  <c r="T28" i="32"/>
  <c r="U28" i="32"/>
  <c r="V28" i="32"/>
  <c r="W28" i="32"/>
  <c r="X28" i="32"/>
  <c r="Y28" i="32"/>
  <c r="Z28" i="32"/>
  <c r="AA28" i="32"/>
  <c r="AB28" i="32"/>
  <c r="AC28" i="32"/>
  <c r="AD28" i="32"/>
  <c r="AE28" i="32"/>
  <c r="AF28" i="32"/>
  <c r="AG28" i="32"/>
  <c r="AH28" i="32"/>
  <c r="AI28" i="32"/>
  <c r="AJ28" i="32"/>
  <c r="AK28" i="32"/>
  <c r="AL28" i="32"/>
  <c r="E29" i="32"/>
  <c r="F29" i="32"/>
  <c r="G29" i="32"/>
  <c r="H29" i="32"/>
  <c r="I29" i="32"/>
  <c r="J29" i="32"/>
  <c r="K29" i="32"/>
  <c r="L29" i="32"/>
  <c r="M29" i="32"/>
  <c r="N29" i="32"/>
  <c r="O29" i="32"/>
  <c r="P29" i="32"/>
  <c r="Q29" i="32"/>
  <c r="R29" i="32"/>
  <c r="S29" i="32"/>
  <c r="T29" i="32"/>
  <c r="U29" i="32"/>
  <c r="V29" i="32"/>
  <c r="W29" i="32"/>
  <c r="X29" i="32"/>
  <c r="Y29" i="32"/>
  <c r="Z29" i="32"/>
  <c r="AA29" i="32"/>
  <c r="AB29" i="32"/>
  <c r="AC29" i="32"/>
  <c r="AD29" i="32"/>
  <c r="AE29" i="32"/>
  <c r="AF29" i="32"/>
  <c r="AG29" i="32"/>
  <c r="AH29" i="32"/>
  <c r="AI29" i="32"/>
  <c r="AJ29" i="32"/>
  <c r="AK29" i="32"/>
  <c r="AL29" i="32"/>
  <c r="D30" i="32"/>
  <c r="E30" i="32"/>
  <c r="F30" i="32"/>
  <c r="G30" i="32"/>
  <c r="H30" i="32"/>
  <c r="I30" i="32"/>
  <c r="J30" i="32"/>
  <c r="K30" i="32"/>
  <c r="L30" i="32"/>
  <c r="M30" i="32"/>
  <c r="N30" i="32"/>
  <c r="O30" i="32"/>
  <c r="P30" i="32"/>
  <c r="Q30" i="32"/>
  <c r="R30" i="32"/>
  <c r="S30" i="32"/>
  <c r="T30" i="32"/>
  <c r="U30" i="32"/>
  <c r="V30" i="32"/>
  <c r="W30" i="32"/>
  <c r="X30" i="32"/>
  <c r="Y30" i="32"/>
  <c r="Z30" i="32"/>
  <c r="AA30" i="32"/>
  <c r="AB30" i="32"/>
  <c r="AC30" i="32"/>
  <c r="AD30" i="32"/>
  <c r="AE30" i="32"/>
  <c r="AF30" i="32"/>
  <c r="AG30" i="32"/>
  <c r="AH30" i="32"/>
  <c r="AI30" i="32"/>
  <c r="AJ30" i="32"/>
  <c r="AK30" i="32"/>
  <c r="AL30" i="32"/>
  <c r="E31" i="32"/>
  <c r="F31" i="32"/>
  <c r="G31" i="32"/>
  <c r="H31" i="32"/>
  <c r="I31" i="32"/>
  <c r="J31" i="32"/>
  <c r="K31" i="32"/>
  <c r="L31" i="32"/>
  <c r="M31" i="32"/>
  <c r="N31" i="32"/>
  <c r="O31" i="32"/>
  <c r="P31" i="32"/>
  <c r="Q31" i="32"/>
  <c r="R31" i="32"/>
  <c r="S31" i="32"/>
  <c r="T31" i="32"/>
  <c r="U31" i="32"/>
  <c r="V31" i="32"/>
  <c r="W31" i="32"/>
  <c r="X31" i="32"/>
  <c r="Y31" i="32"/>
  <c r="Z31" i="32"/>
  <c r="AA31" i="32"/>
  <c r="AB31" i="32"/>
  <c r="AC31" i="32"/>
  <c r="AD31" i="32"/>
  <c r="AE31" i="32"/>
  <c r="AF31" i="32"/>
  <c r="AG31" i="32"/>
  <c r="AH31" i="32"/>
  <c r="AI31" i="32"/>
  <c r="AJ31" i="32"/>
  <c r="AK31" i="32"/>
  <c r="AL31" i="32"/>
  <c r="C32" i="32"/>
  <c r="D32" i="32"/>
  <c r="E32" i="32"/>
  <c r="F32" i="32"/>
  <c r="G32" i="32"/>
  <c r="H32" i="32"/>
  <c r="I32" i="32"/>
  <c r="J32" i="32"/>
  <c r="K32" i="32"/>
  <c r="L32" i="32"/>
  <c r="M32" i="32"/>
  <c r="N32" i="32"/>
  <c r="O32" i="32"/>
  <c r="P32" i="32"/>
  <c r="Q32" i="32"/>
  <c r="R32" i="32"/>
  <c r="S32" i="32"/>
  <c r="T32" i="32"/>
  <c r="U32" i="32"/>
  <c r="V32" i="32"/>
  <c r="W32" i="32"/>
  <c r="X32" i="32"/>
  <c r="Y32" i="32"/>
  <c r="Z32" i="32"/>
  <c r="AA32" i="32"/>
  <c r="AB32" i="32"/>
  <c r="AC32" i="32"/>
  <c r="AD32" i="32"/>
  <c r="AE32" i="32"/>
  <c r="AF32" i="32"/>
  <c r="AG32" i="32"/>
  <c r="AH32" i="32"/>
  <c r="AI32" i="32"/>
  <c r="AJ32" i="32"/>
  <c r="AK32" i="32"/>
  <c r="AL32" i="32"/>
  <c r="E33" i="32"/>
  <c r="F33" i="32"/>
  <c r="G33" i="32"/>
  <c r="H33" i="32"/>
  <c r="I33" i="32"/>
  <c r="J33" i="32"/>
  <c r="K33" i="32"/>
  <c r="L33" i="32"/>
  <c r="M33" i="32"/>
  <c r="N33" i="32"/>
  <c r="O33" i="32"/>
  <c r="P33" i="32"/>
  <c r="Q33" i="32"/>
  <c r="R33" i="32"/>
  <c r="S33" i="32"/>
  <c r="T33" i="32"/>
  <c r="U33" i="32"/>
  <c r="V33" i="32"/>
  <c r="W33" i="32"/>
  <c r="X33" i="32"/>
  <c r="Y33" i="32"/>
  <c r="Z33" i="32"/>
  <c r="AA33" i="32"/>
  <c r="AB33" i="32"/>
  <c r="AC33" i="32"/>
  <c r="AD33" i="32"/>
  <c r="AE33" i="32"/>
  <c r="AF33" i="32"/>
  <c r="AG33" i="32"/>
  <c r="AH33" i="32"/>
  <c r="AI33" i="32"/>
  <c r="AJ33" i="32"/>
  <c r="AK33" i="32"/>
  <c r="AL33" i="32"/>
  <c r="E34" i="32"/>
  <c r="F34" i="32"/>
  <c r="G34" i="32"/>
  <c r="H34" i="32"/>
  <c r="I34" i="32"/>
  <c r="J34" i="32"/>
  <c r="K34" i="32"/>
  <c r="L34" i="32"/>
  <c r="M34" i="32"/>
  <c r="N34" i="32"/>
  <c r="O34" i="32"/>
  <c r="P34" i="32"/>
  <c r="Q34" i="32"/>
  <c r="R34" i="32"/>
  <c r="S34" i="32"/>
  <c r="T34" i="32"/>
  <c r="U34" i="32"/>
  <c r="V34" i="32"/>
  <c r="W34" i="32"/>
  <c r="X34" i="32"/>
  <c r="Y34" i="32"/>
  <c r="Z34" i="32"/>
  <c r="AA34" i="32"/>
  <c r="AB34" i="32"/>
  <c r="AC34" i="32"/>
  <c r="AD34" i="32"/>
  <c r="AE34" i="32"/>
  <c r="AF34" i="32"/>
  <c r="AG34" i="32"/>
  <c r="AH34" i="32"/>
  <c r="AI34" i="32"/>
  <c r="AJ34" i="32"/>
  <c r="AK34" i="32"/>
  <c r="AL34" i="32"/>
  <c r="D35" i="32"/>
  <c r="E35" i="32"/>
  <c r="F35" i="32"/>
  <c r="G35" i="32"/>
  <c r="H35" i="32"/>
  <c r="I35" i="32"/>
  <c r="J35" i="32"/>
  <c r="K35" i="32"/>
  <c r="L35" i="32"/>
  <c r="M35" i="32"/>
  <c r="N35" i="32"/>
  <c r="O35" i="32"/>
  <c r="P35" i="32"/>
  <c r="Q35" i="32"/>
  <c r="R35" i="32"/>
  <c r="S35" i="32"/>
  <c r="T35" i="32"/>
  <c r="U35" i="32"/>
  <c r="V35" i="32"/>
  <c r="W35" i="32"/>
  <c r="X35" i="32"/>
  <c r="Y35" i="32"/>
  <c r="Z35" i="32"/>
  <c r="AA35" i="32"/>
  <c r="AB35" i="32"/>
  <c r="AC35" i="32"/>
  <c r="AD35" i="32"/>
  <c r="AE35" i="32"/>
  <c r="AF35" i="32"/>
  <c r="AG35" i="32"/>
  <c r="AH35" i="32"/>
  <c r="AI35" i="32"/>
  <c r="AJ35" i="32"/>
  <c r="AK35" i="32"/>
  <c r="AL35" i="32"/>
  <c r="E36" i="32"/>
  <c r="F36" i="32"/>
  <c r="G36" i="32"/>
  <c r="H36" i="32"/>
  <c r="I36" i="32"/>
  <c r="J36" i="32"/>
  <c r="K36" i="32"/>
  <c r="L36" i="32"/>
  <c r="M36" i="32"/>
  <c r="N36" i="32"/>
  <c r="O36" i="32"/>
  <c r="P36" i="32"/>
  <c r="Q36" i="32"/>
  <c r="R36" i="32"/>
  <c r="S36" i="32"/>
  <c r="T36" i="32"/>
  <c r="U36" i="32"/>
  <c r="V36" i="32"/>
  <c r="W36" i="32"/>
  <c r="X36" i="32"/>
  <c r="Y36" i="32"/>
  <c r="Z36" i="32"/>
  <c r="AA36" i="32"/>
  <c r="AB36" i="32"/>
  <c r="AC36" i="32"/>
  <c r="AD36" i="32"/>
  <c r="AE36" i="32"/>
  <c r="AF36" i="32"/>
  <c r="AG36" i="32"/>
  <c r="AH36" i="32"/>
  <c r="AI36" i="32"/>
  <c r="AJ36" i="32"/>
  <c r="AK36" i="32"/>
  <c r="AL36" i="32"/>
  <c r="D37" i="32"/>
  <c r="E37" i="32"/>
  <c r="F37" i="32"/>
  <c r="G37" i="32"/>
  <c r="H37" i="32"/>
  <c r="I37" i="32"/>
  <c r="J37" i="32"/>
  <c r="K37" i="32"/>
  <c r="L37" i="32"/>
  <c r="M37" i="32"/>
  <c r="N37" i="32"/>
  <c r="O37" i="32"/>
  <c r="P37" i="32"/>
  <c r="Q37" i="32"/>
  <c r="R37" i="32"/>
  <c r="S37" i="32"/>
  <c r="T37" i="32"/>
  <c r="U37" i="32"/>
  <c r="V37" i="32"/>
  <c r="W37" i="32"/>
  <c r="X37" i="32"/>
  <c r="Y37" i="32"/>
  <c r="Z37" i="32"/>
  <c r="AA37" i="32"/>
  <c r="AB37" i="32"/>
  <c r="AC37" i="32"/>
  <c r="AD37" i="32"/>
  <c r="AE37" i="32"/>
  <c r="AF37" i="32"/>
  <c r="AG37" i="32"/>
  <c r="AH37" i="32"/>
  <c r="AI37" i="32"/>
  <c r="AJ37" i="32"/>
  <c r="AK37" i="32"/>
  <c r="AL37" i="32"/>
  <c r="E38" i="32"/>
  <c r="F38" i="32"/>
  <c r="G38" i="32"/>
  <c r="H38" i="32"/>
  <c r="I38" i="32"/>
  <c r="J38" i="32"/>
  <c r="K38" i="32"/>
  <c r="L38" i="32"/>
  <c r="M38" i="32"/>
  <c r="N38" i="32"/>
  <c r="O38" i="32"/>
  <c r="P38" i="32"/>
  <c r="Q38" i="32"/>
  <c r="R38" i="32"/>
  <c r="S38" i="32"/>
  <c r="T38" i="32"/>
  <c r="U38" i="32"/>
  <c r="V38" i="32"/>
  <c r="W38" i="32"/>
  <c r="X38" i="32"/>
  <c r="Y38" i="32"/>
  <c r="Z38" i="32"/>
  <c r="AA38" i="32"/>
  <c r="AB38" i="32"/>
  <c r="AC38" i="32"/>
  <c r="AD38" i="32"/>
  <c r="AE38" i="32"/>
  <c r="AF38" i="32"/>
  <c r="AG38" i="32"/>
  <c r="AH38" i="32"/>
  <c r="AI38" i="32"/>
  <c r="AJ38" i="32"/>
  <c r="AK38" i="32"/>
  <c r="AL38" i="32"/>
  <c r="C39" i="32"/>
  <c r="D39" i="32"/>
  <c r="E39" i="32"/>
  <c r="F39" i="32"/>
  <c r="G39" i="32"/>
  <c r="H39" i="32"/>
  <c r="I39" i="32"/>
  <c r="J39" i="32"/>
  <c r="K39" i="32"/>
  <c r="L39" i="32"/>
  <c r="M39" i="32"/>
  <c r="N39" i="32"/>
  <c r="O39" i="32"/>
  <c r="P39" i="32"/>
  <c r="Q39" i="32"/>
  <c r="R39" i="32"/>
  <c r="S39" i="32"/>
  <c r="T39" i="32"/>
  <c r="U39" i="32"/>
  <c r="V39" i="32"/>
  <c r="W39" i="32"/>
  <c r="X39" i="32"/>
  <c r="Y39" i="32"/>
  <c r="Z39" i="32"/>
  <c r="AA39" i="32"/>
  <c r="AB39" i="32"/>
  <c r="AC39" i="32"/>
  <c r="AD39" i="32"/>
  <c r="AE39" i="32"/>
  <c r="AF39" i="32"/>
  <c r="AG39" i="32"/>
  <c r="AH39" i="32"/>
  <c r="AI39" i="32"/>
  <c r="AJ39" i="32"/>
  <c r="AK39" i="32"/>
  <c r="AL39" i="32"/>
  <c r="E40" i="32"/>
  <c r="F40" i="32"/>
  <c r="G40" i="32"/>
  <c r="H40" i="32"/>
  <c r="I40" i="32"/>
  <c r="J40" i="32"/>
  <c r="K40" i="32"/>
  <c r="L40" i="32"/>
  <c r="M40" i="32"/>
  <c r="N40" i="32"/>
  <c r="O40" i="32"/>
  <c r="P40" i="32"/>
  <c r="Q40" i="32"/>
  <c r="R40" i="32"/>
  <c r="S40" i="32"/>
  <c r="T40" i="32"/>
  <c r="U40" i="32"/>
  <c r="V40" i="32"/>
  <c r="W40" i="32"/>
  <c r="X40" i="32"/>
  <c r="Y40" i="32"/>
  <c r="Z40" i="32"/>
  <c r="AA40" i="32"/>
  <c r="AB40" i="32"/>
  <c r="AC40" i="32"/>
  <c r="AD40" i="32"/>
  <c r="AE40" i="32"/>
  <c r="AF40" i="32"/>
  <c r="AG40" i="32"/>
  <c r="AH40" i="32"/>
  <c r="AI40" i="32"/>
  <c r="AJ40" i="32"/>
  <c r="AK40" i="32"/>
  <c r="AL40" i="32"/>
  <c r="E41" i="32"/>
  <c r="F41" i="32"/>
  <c r="G41" i="32"/>
  <c r="H41" i="32"/>
  <c r="I41" i="32"/>
  <c r="J41" i="32"/>
  <c r="K41" i="32"/>
  <c r="L41" i="32"/>
  <c r="M41" i="32"/>
  <c r="N41" i="32"/>
  <c r="O41" i="32"/>
  <c r="P41" i="32"/>
  <c r="Q41" i="32"/>
  <c r="R41" i="32"/>
  <c r="S41" i="32"/>
  <c r="T41" i="32"/>
  <c r="U41" i="32"/>
  <c r="V41" i="32"/>
  <c r="W41" i="32"/>
  <c r="X41" i="32"/>
  <c r="Y41" i="32"/>
  <c r="Z41" i="32"/>
  <c r="AA41" i="32"/>
  <c r="AB41" i="32"/>
  <c r="AC41" i="32"/>
  <c r="AD41" i="32"/>
  <c r="AE41" i="32"/>
  <c r="AF41" i="32"/>
  <c r="AG41" i="32"/>
  <c r="AH41" i="32"/>
  <c r="AI41" i="32"/>
  <c r="AJ41" i="32"/>
  <c r="AK41" i="32"/>
  <c r="AL41" i="32"/>
  <c r="D42" i="32"/>
  <c r="E42" i="32"/>
  <c r="F42" i="32"/>
  <c r="G42" i="32"/>
  <c r="H42" i="32"/>
  <c r="I42" i="32"/>
  <c r="J42" i="32"/>
  <c r="K42" i="32"/>
  <c r="L42" i="32"/>
  <c r="M42" i="32"/>
  <c r="N42" i="32"/>
  <c r="O42" i="32"/>
  <c r="P42" i="32"/>
  <c r="Q42" i="32"/>
  <c r="R42" i="32"/>
  <c r="S42" i="32"/>
  <c r="T42" i="32"/>
  <c r="U42" i="32"/>
  <c r="V42" i="32"/>
  <c r="W42" i="32"/>
  <c r="X42" i="32"/>
  <c r="Y42" i="32"/>
  <c r="Z42" i="32"/>
  <c r="AA42" i="32"/>
  <c r="AB42" i="32"/>
  <c r="AC42" i="32"/>
  <c r="AD42" i="32"/>
  <c r="AE42" i="32"/>
  <c r="AF42" i="32"/>
  <c r="AG42" i="32"/>
  <c r="AH42" i="32"/>
  <c r="AI42" i="32"/>
  <c r="AJ42" i="32"/>
  <c r="AK42" i="32"/>
  <c r="AL42" i="32"/>
  <c r="E43" i="32"/>
  <c r="F43" i="32"/>
  <c r="G43" i="32"/>
  <c r="H43" i="32"/>
  <c r="I43" i="32"/>
  <c r="J43" i="32"/>
  <c r="K43" i="32"/>
  <c r="L43" i="32"/>
  <c r="M43" i="32"/>
  <c r="N43" i="32"/>
  <c r="O43" i="32"/>
  <c r="P43" i="32"/>
  <c r="Q43" i="32"/>
  <c r="R43" i="32"/>
  <c r="S43" i="32"/>
  <c r="T43" i="32"/>
  <c r="U43" i="32"/>
  <c r="V43" i="32"/>
  <c r="W43" i="32"/>
  <c r="X43" i="32"/>
  <c r="Y43" i="32"/>
  <c r="Z43" i="32"/>
  <c r="AA43" i="32"/>
  <c r="AB43" i="32"/>
  <c r="AC43" i="32"/>
  <c r="AD43" i="32"/>
  <c r="AE43" i="32"/>
  <c r="AF43" i="32"/>
  <c r="AG43" i="32"/>
  <c r="AH43" i="32"/>
  <c r="AI43" i="32"/>
  <c r="AJ43" i="32"/>
  <c r="AK43" i="32"/>
  <c r="AL43" i="32"/>
  <c r="D44" i="32"/>
  <c r="E44" i="32"/>
  <c r="F44" i="32"/>
  <c r="G44" i="32"/>
  <c r="H44" i="32"/>
  <c r="I44" i="32"/>
  <c r="J44" i="32"/>
  <c r="K44" i="32"/>
  <c r="L44" i="32"/>
  <c r="M44" i="32"/>
  <c r="N44" i="32"/>
  <c r="O44" i="32"/>
  <c r="P44" i="32"/>
  <c r="Q44" i="32"/>
  <c r="R44" i="32"/>
  <c r="S44" i="32"/>
  <c r="T44" i="32"/>
  <c r="U44" i="32"/>
  <c r="V44" i="32"/>
  <c r="W44" i="32"/>
  <c r="X44" i="32"/>
  <c r="Y44" i="32"/>
  <c r="Z44" i="32"/>
  <c r="AA44" i="32"/>
  <c r="AB44" i="32"/>
  <c r="AC44" i="32"/>
  <c r="AD44" i="32"/>
  <c r="AE44" i="32"/>
  <c r="AF44" i="32"/>
  <c r="AG44" i="32"/>
  <c r="AH44" i="32"/>
  <c r="AI44" i="32"/>
  <c r="AJ44" i="32"/>
  <c r="AK44" i="32"/>
  <c r="AL44" i="32"/>
  <c r="E45" i="32"/>
  <c r="F45" i="32"/>
  <c r="G45" i="32"/>
  <c r="H45" i="32"/>
  <c r="I45" i="32"/>
  <c r="J45" i="32"/>
  <c r="K45" i="32"/>
  <c r="L45" i="32"/>
  <c r="M45" i="32"/>
  <c r="N45" i="32"/>
  <c r="O45" i="32"/>
  <c r="P45" i="32"/>
  <c r="Q45" i="32"/>
  <c r="R45" i="32"/>
  <c r="S45" i="32"/>
  <c r="T45" i="32"/>
  <c r="U45" i="32"/>
  <c r="V45" i="32"/>
  <c r="W45" i="32"/>
  <c r="X45" i="32"/>
  <c r="Y45" i="32"/>
  <c r="Z45" i="32"/>
  <c r="AA45" i="32"/>
  <c r="AB45" i="32"/>
  <c r="AC45" i="32"/>
  <c r="AD45" i="32"/>
  <c r="AE45" i="32"/>
  <c r="AF45" i="32"/>
  <c r="AG45" i="32"/>
  <c r="AH45" i="32"/>
  <c r="AI45" i="32"/>
  <c r="AJ45" i="32"/>
  <c r="AK45" i="32"/>
  <c r="AL45" i="32"/>
  <c r="C46" i="32"/>
  <c r="D46" i="32"/>
  <c r="E46" i="32"/>
  <c r="F46" i="32"/>
  <c r="G46" i="32"/>
  <c r="H46" i="32"/>
  <c r="I46" i="32"/>
  <c r="J46" i="32"/>
  <c r="K46" i="32"/>
  <c r="L46" i="32"/>
  <c r="M46" i="32"/>
  <c r="N46" i="32"/>
  <c r="O46" i="32"/>
  <c r="P46" i="32"/>
  <c r="Q46" i="32"/>
  <c r="R46" i="32"/>
  <c r="S46" i="32"/>
  <c r="T46" i="32"/>
  <c r="U46" i="32"/>
  <c r="V46" i="32"/>
  <c r="W46" i="32"/>
  <c r="X46" i="32"/>
  <c r="Y46" i="32"/>
  <c r="Z46" i="32"/>
  <c r="AA46" i="32"/>
  <c r="AB46" i="32"/>
  <c r="AC46" i="32"/>
  <c r="AD46" i="32"/>
  <c r="AE46" i="32"/>
  <c r="AF46" i="32"/>
  <c r="AG46" i="32"/>
  <c r="AH46" i="32"/>
  <c r="AI46" i="32"/>
  <c r="AJ46" i="32"/>
  <c r="AK46" i="32"/>
  <c r="AL46" i="32"/>
  <c r="E47" i="32"/>
  <c r="F47" i="32"/>
  <c r="G47" i="32"/>
  <c r="H47" i="32"/>
  <c r="I47" i="32"/>
  <c r="J47" i="32"/>
  <c r="K47" i="32"/>
  <c r="L47" i="32"/>
  <c r="M47" i="32"/>
  <c r="N47" i="32"/>
  <c r="O47" i="32"/>
  <c r="P47" i="32"/>
  <c r="Q47" i="32"/>
  <c r="R47" i="32"/>
  <c r="S47" i="32"/>
  <c r="T47" i="32"/>
  <c r="U47" i="32"/>
  <c r="V47" i="32"/>
  <c r="W47" i="32"/>
  <c r="X47" i="32"/>
  <c r="Y47" i="32"/>
  <c r="Z47" i="32"/>
  <c r="AA47" i="32"/>
  <c r="AB47" i="32"/>
  <c r="AC47" i="32"/>
  <c r="AD47" i="32"/>
  <c r="AE47" i="32"/>
  <c r="AF47" i="32"/>
  <c r="AG47" i="32"/>
  <c r="AH47" i="32"/>
  <c r="AI47" i="32"/>
  <c r="AJ47" i="32"/>
  <c r="AK47" i="32"/>
  <c r="AL47" i="32"/>
  <c r="E48" i="32"/>
  <c r="F48" i="32"/>
  <c r="G48" i="32"/>
  <c r="H48" i="32"/>
  <c r="I48" i="32"/>
  <c r="J48" i="32"/>
  <c r="K48" i="32"/>
  <c r="L48" i="32"/>
  <c r="M48" i="32"/>
  <c r="N48" i="32"/>
  <c r="O48" i="32"/>
  <c r="P48" i="32"/>
  <c r="Q48" i="32"/>
  <c r="R48" i="32"/>
  <c r="S48" i="32"/>
  <c r="T48" i="32"/>
  <c r="U48" i="32"/>
  <c r="V48" i="32"/>
  <c r="W48" i="32"/>
  <c r="X48" i="32"/>
  <c r="Y48" i="32"/>
  <c r="Z48" i="32"/>
  <c r="AA48" i="32"/>
  <c r="AB48" i="32"/>
  <c r="AC48" i="32"/>
  <c r="AD48" i="32"/>
  <c r="AE48" i="32"/>
  <c r="AF48" i="32"/>
  <c r="AG48" i="32"/>
  <c r="AH48" i="32"/>
  <c r="AI48" i="32"/>
  <c r="AJ48" i="32"/>
  <c r="AK48" i="32"/>
  <c r="AL48" i="32"/>
  <c r="D49" i="32"/>
  <c r="E49" i="32"/>
  <c r="F49" i="32"/>
  <c r="G49" i="32"/>
  <c r="H49" i="32"/>
  <c r="I49" i="32"/>
  <c r="J49" i="32"/>
  <c r="K49" i="32"/>
  <c r="L49" i="32"/>
  <c r="M49" i="32"/>
  <c r="N49" i="32"/>
  <c r="O49" i="32"/>
  <c r="P49" i="32"/>
  <c r="Q49" i="32"/>
  <c r="R49" i="32"/>
  <c r="S49" i="32"/>
  <c r="T49" i="32"/>
  <c r="U49" i="32"/>
  <c r="V49" i="32"/>
  <c r="W49" i="32"/>
  <c r="X49" i="32"/>
  <c r="Y49" i="32"/>
  <c r="Z49" i="32"/>
  <c r="AA49" i="32"/>
  <c r="AB49" i="32"/>
  <c r="AC49" i="32"/>
  <c r="AD49" i="32"/>
  <c r="AE49" i="32"/>
  <c r="AF49" i="32"/>
  <c r="AG49" i="32"/>
  <c r="AH49" i="32"/>
  <c r="AI49" i="32"/>
  <c r="AJ49" i="32"/>
  <c r="AK49" i="32"/>
  <c r="AL49" i="32"/>
  <c r="E50" i="32"/>
  <c r="F50" i="32"/>
  <c r="G50" i="32"/>
  <c r="H50" i="32"/>
  <c r="I50" i="32"/>
  <c r="J50" i="32"/>
  <c r="K50" i="32"/>
  <c r="L50" i="32"/>
  <c r="M50" i="32"/>
  <c r="N50" i="32"/>
  <c r="O50" i="32"/>
  <c r="P50" i="32"/>
  <c r="Q50" i="32"/>
  <c r="R50" i="32"/>
  <c r="S50" i="32"/>
  <c r="T50" i="32"/>
  <c r="U50" i="32"/>
  <c r="V50" i="32"/>
  <c r="W50" i="32"/>
  <c r="X50" i="32"/>
  <c r="Y50" i="32"/>
  <c r="Z50" i="32"/>
  <c r="AA50" i="32"/>
  <c r="AB50" i="32"/>
  <c r="AC50" i="32"/>
  <c r="AD50" i="32"/>
  <c r="AE50" i="32"/>
  <c r="AF50" i="32"/>
  <c r="AG50" i="32"/>
  <c r="AH50" i="32"/>
  <c r="AI50" i="32"/>
  <c r="AJ50" i="32"/>
  <c r="AK50" i="32"/>
  <c r="AL50" i="32"/>
  <c r="D51" i="32"/>
  <c r="E51" i="32"/>
  <c r="F51" i="32"/>
  <c r="G51" i="32"/>
  <c r="H51" i="32"/>
  <c r="I51" i="32"/>
  <c r="J51" i="32"/>
  <c r="K51" i="32"/>
  <c r="L51" i="32"/>
  <c r="M51" i="32"/>
  <c r="N51" i="32"/>
  <c r="O51" i="32"/>
  <c r="P51" i="32"/>
  <c r="Q51" i="32"/>
  <c r="R51" i="32"/>
  <c r="S51" i="32"/>
  <c r="T51" i="32"/>
  <c r="U51" i="32"/>
  <c r="V51" i="32"/>
  <c r="W51" i="32"/>
  <c r="X51" i="32"/>
  <c r="Y51" i="32"/>
  <c r="Z51" i="32"/>
  <c r="AA51" i="32"/>
  <c r="AB51" i="32"/>
  <c r="AC51" i="32"/>
  <c r="AD51" i="32"/>
  <c r="AE51" i="32"/>
  <c r="AF51" i="32"/>
  <c r="AG51" i="32"/>
  <c r="AH51" i="32"/>
  <c r="AI51" i="32"/>
  <c r="AJ51" i="32"/>
  <c r="AK51" i="32"/>
  <c r="AL51" i="32"/>
  <c r="E52" i="32"/>
  <c r="F52" i="32"/>
  <c r="G52" i="32"/>
  <c r="H52" i="32"/>
  <c r="I52" i="32"/>
  <c r="J52" i="32"/>
  <c r="K52" i="32"/>
  <c r="L52" i="32"/>
  <c r="M52" i="32"/>
  <c r="N52" i="32"/>
  <c r="O52" i="32"/>
  <c r="P52" i="32"/>
  <c r="Q52" i="32"/>
  <c r="R52" i="32"/>
  <c r="S52" i="32"/>
  <c r="T52" i="32"/>
  <c r="U52" i="32"/>
  <c r="V52" i="32"/>
  <c r="W52" i="32"/>
  <c r="X52" i="32"/>
  <c r="Y52" i="32"/>
  <c r="Z52" i="32"/>
  <c r="AA52" i="32"/>
  <c r="AB52" i="32"/>
  <c r="AC52" i="32"/>
  <c r="AD52" i="32"/>
  <c r="AE52" i="32"/>
  <c r="AF52" i="32"/>
  <c r="AG52" i="32"/>
  <c r="AH52" i="32"/>
  <c r="AI52" i="32"/>
  <c r="AJ52" i="32"/>
  <c r="AK52" i="32"/>
  <c r="AL52" i="32"/>
  <c r="C53" i="32"/>
  <c r="D53" i="32"/>
  <c r="E53" i="32"/>
  <c r="F53" i="32"/>
  <c r="G53" i="32"/>
  <c r="H53" i="32"/>
  <c r="I53" i="32"/>
  <c r="J53" i="32"/>
  <c r="K53" i="32"/>
  <c r="L53" i="32"/>
  <c r="M53" i="32"/>
  <c r="N53" i="32"/>
  <c r="O53" i="32"/>
  <c r="P53" i="32"/>
  <c r="Q53" i="32"/>
  <c r="R53" i="32"/>
  <c r="S53" i="32"/>
  <c r="T53" i="32"/>
  <c r="U53" i="32"/>
  <c r="V53" i="32"/>
  <c r="W53" i="32"/>
  <c r="X53" i="32"/>
  <c r="Y53" i="32"/>
  <c r="Z53" i="32"/>
  <c r="AA53" i="32"/>
  <c r="AB53" i="32"/>
  <c r="AC53" i="32"/>
  <c r="AD53" i="32"/>
  <c r="AE53" i="32"/>
  <c r="AF53" i="32"/>
  <c r="AG53" i="32"/>
  <c r="AH53" i="32"/>
  <c r="AI53" i="32"/>
  <c r="AJ53" i="32"/>
  <c r="AK53" i="32"/>
  <c r="AL53" i="32"/>
  <c r="E54" i="32"/>
  <c r="F54" i="32"/>
  <c r="G54" i="32"/>
  <c r="H54" i="32"/>
  <c r="I54" i="32"/>
  <c r="J54" i="32"/>
  <c r="K54" i="32"/>
  <c r="L54" i="32"/>
  <c r="M54" i="32"/>
  <c r="N54" i="32"/>
  <c r="O54" i="32"/>
  <c r="P54" i="32"/>
  <c r="Q54" i="32"/>
  <c r="R54" i="32"/>
  <c r="S54" i="32"/>
  <c r="T54" i="32"/>
  <c r="U54" i="32"/>
  <c r="V54" i="32"/>
  <c r="W54" i="32"/>
  <c r="X54" i="32"/>
  <c r="Y54" i="32"/>
  <c r="Z54" i="32"/>
  <c r="AA54" i="32"/>
  <c r="AB54" i="32"/>
  <c r="AC54" i="32"/>
  <c r="AD54" i="32"/>
  <c r="AE54" i="32"/>
  <c r="AF54" i="32"/>
  <c r="AG54" i="32"/>
  <c r="AH54" i="32"/>
  <c r="AI54" i="32"/>
  <c r="AJ54" i="32"/>
  <c r="AK54" i="32"/>
  <c r="AL54" i="32"/>
  <c r="E55" i="32"/>
  <c r="F55" i="32"/>
  <c r="G55" i="32"/>
  <c r="H55" i="32"/>
  <c r="I55" i="32"/>
  <c r="J55" i="32"/>
  <c r="K55" i="32"/>
  <c r="L55" i="32"/>
  <c r="M55" i="32"/>
  <c r="N55" i="32"/>
  <c r="O55" i="32"/>
  <c r="P55" i="32"/>
  <c r="Q55" i="32"/>
  <c r="R55" i="32"/>
  <c r="S55" i="32"/>
  <c r="T55" i="32"/>
  <c r="U55" i="32"/>
  <c r="V55" i="32"/>
  <c r="W55" i="32"/>
  <c r="X55" i="32"/>
  <c r="Y55" i="32"/>
  <c r="Z55" i="32"/>
  <c r="AA55" i="32"/>
  <c r="AB55" i="32"/>
  <c r="AC55" i="32"/>
  <c r="AD55" i="32"/>
  <c r="AE55" i="32"/>
  <c r="AF55" i="32"/>
  <c r="AG55" i="32"/>
  <c r="AH55" i="32"/>
  <c r="AI55" i="32"/>
  <c r="AJ55" i="32"/>
  <c r="AK55" i="32"/>
  <c r="AL55" i="32"/>
  <c r="D56" i="32"/>
  <c r="E56" i="32"/>
  <c r="F56" i="32"/>
  <c r="G56" i="32"/>
  <c r="H56" i="32"/>
  <c r="I56" i="32"/>
  <c r="J56" i="32"/>
  <c r="K56" i="32"/>
  <c r="L56" i="32"/>
  <c r="M56" i="32"/>
  <c r="N56" i="32"/>
  <c r="O56" i="32"/>
  <c r="P56" i="32"/>
  <c r="Q56" i="32"/>
  <c r="R56" i="32"/>
  <c r="S56" i="32"/>
  <c r="T56" i="32"/>
  <c r="U56" i="32"/>
  <c r="V56" i="32"/>
  <c r="W56" i="32"/>
  <c r="X56" i="32"/>
  <c r="Y56" i="32"/>
  <c r="Z56" i="32"/>
  <c r="AA56" i="32"/>
  <c r="AB56" i="32"/>
  <c r="AC56" i="32"/>
  <c r="AD56" i="32"/>
  <c r="AE56" i="32"/>
  <c r="AF56" i="32"/>
  <c r="AG56" i="32"/>
  <c r="AH56" i="32"/>
  <c r="AI56" i="32"/>
  <c r="AJ56" i="32"/>
  <c r="AK56" i="32"/>
  <c r="AL56" i="32"/>
  <c r="E57" i="32"/>
  <c r="F57" i="32"/>
  <c r="G57" i="32"/>
  <c r="H57" i="32"/>
  <c r="I57" i="32"/>
  <c r="J57" i="32"/>
  <c r="K57" i="32"/>
  <c r="L57" i="32"/>
  <c r="M57" i="32"/>
  <c r="N57" i="32"/>
  <c r="O57" i="32"/>
  <c r="P57" i="32"/>
  <c r="Q57" i="32"/>
  <c r="R57" i="32"/>
  <c r="S57" i="32"/>
  <c r="T57" i="32"/>
  <c r="U57" i="32"/>
  <c r="V57" i="32"/>
  <c r="W57" i="32"/>
  <c r="X57" i="32"/>
  <c r="Y57" i="32"/>
  <c r="Z57" i="32"/>
  <c r="AA57" i="32"/>
  <c r="AB57" i="32"/>
  <c r="AC57" i="32"/>
  <c r="AD57" i="32"/>
  <c r="AE57" i="32"/>
  <c r="AF57" i="32"/>
  <c r="AG57" i="32"/>
  <c r="AH57" i="32"/>
  <c r="AI57" i="32"/>
  <c r="AJ57" i="32"/>
  <c r="AK57" i="32"/>
  <c r="AL57" i="32"/>
  <c r="D58" i="32"/>
  <c r="E58" i="32"/>
  <c r="F58" i="32"/>
  <c r="G58" i="32"/>
  <c r="H58" i="32"/>
  <c r="I58" i="32"/>
  <c r="J58" i="32"/>
  <c r="K58" i="32"/>
  <c r="L58" i="32"/>
  <c r="M58" i="32"/>
  <c r="N58" i="32"/>
  <c r="O58" i="32"/>
  <c r="P58" i="32"/>
  <c r="Q58" i="32"/>
  <c r="R58" i="32"/>
  <c r="S58" i="32"/>
  <c r="T58" i="32"/>
  <c r="U58" i="32"/>
  <c r="V58" i="32"/>
  <c r="W58" i="32"/>
  <c r="X58" i="32"/>
  <c r="Y58" i="32"/>
  <c r="Z58" i="32"/>
  <c r="AA58" i="32"/>
  <c r="AB58" i="32"/>
  <c r="AC58" i="32"/>
  <c r="AD58" i="32"/>
  <c r="AE58" i="32"/>
  <c r="AF58" i="32"/>
  <c r="AG58" i="32"/>
  <c r="AH58" i="32"/>
  <c r="AI58" i="32"/>
  <c r="AJ58" i="32"/>
  <c r="AK58" i="32"/>
  <c r="AL58" i="32"/>
  <c r="E59" i="32"/>
  <c r="F59" i="32"/>
  <c r="G59" i="32"/>
  <c r="H59" i="32"/>
  <c r="I59" i="32"/>
  <c r="J59" i="32"/>
  <c r="K59" i="32"/>
  <c r="L59" i="32"/>
  <c r="M59" i="32"/>
  <c r="N59" i="32"/>
  <c r="O59" i="32"/>
  <c r="P59" i="32"/>
  <c r="Q59" i="32"/>
  <c r="R59" i="32"/>
  <c r="S59" i="32"/>
  <c r="T59" i="32"/>
  <c r="U59" i="32"/>
  <c r="V59" i="32"/>
  <c r="W59" i="32"/>
  <c r="X59" i="32"/>
  <c r="Y59" i="32"/>
  <c r="Z59" i="32"/>
  <c r="AA59" i="32"/>
  <c r="AB59" i="32"/>
  <c r="AC59" i="32"/>
  <c r="AD59" i="32"/>
  <c r="AE59" i="32"/>
  <c r="AF59" i="32"/>
  <c r="AG59" i="32"/>
  <c r="AH59" i="32"/>
  <c r="AI59" i="32"/>
  <c r="AJ59" i="32"/>
  <c r="AK59" i="32"/>
  <c r="AL59" i="32"/>
  <c r="C60" i="32"/>
  <c r="D60" i="32"/>
  <c r="E60" i="32"/>
  <c r="F60" i="32"/>
  <c r="G60" i="32"/>
  <c r="H60" i="32"/>
  <c r="I60" i="32"/>
  <c r="J60" i="32"/>
  <c r="K60" i="32"/>
  <c r="L60" i="32"/>
  <c r="M60" i="32"/>
  <c r="N60" i="32"/>
  <c r="O60" i="32"/>
  <c r="P60" i="32"/>
  <c r="Q60" i="32"/>
  <c r="R60" i="32"/>
  <c r="S60" i="32"/>
  <c r="T60" i="32"/>
  <c r="U60" i="32"/>
  <c r="V60" i="32"/>
  <c r="W60" i="32"/>
  <c r="X60" i="32"/>
  <c r="Y60" i="32"/>
  <c r="Z60" i="32"/>
  <c r="AA60" i="32"/>
  <c r="AB60" i="32"/>
  <c r="AC60" i="32"/>
  <c r="AD60" i="32"/>
  <c r="AE60" i="32"/>
  <c r="AF60" i="32"/>
  <c r="AG60" i="32"/>
  <c r="AH60" i="32"/>
  <c r="AI60" i="32"/>
  <c r="AJ60" i="32"/>
  <c r="AK60" i="32"/>
  <c r="AL60" i="32"/>
  <c r="E61" i="32"/>
  <c r="F61" i="32"/>
  <c r="G61" i="32"/>
  <c r="H61" i="32"/>
  <c r="I61" i="32"/>
  <c r="J61" i="32"/>
  <c r="K61" i="32"/>
  <c r="L61" i="32"/>
  <c r="M61" i="32"/>
  <c r="N61" i="32"/>
  <c r="O61" i="32"/>
  <c r="P61" i="32"/>
  <c r="Q61" i="32"/>
  <c r="R61" i="32"/>
  <c r="S61" i="32"/>
  <c r="T61" i="32"/>
  <c r="U61" i="32"/>
  <c r="V61" i="32"/>
  <c r="W61" i="32"/>
  <c r="X61" i="32"/>
  <c r="Y61" i="32"/>
  <c r="Z61" i="32"/>
  <c r="AA61" i="32"/>
  <c r="AB61" i="32"/>
  <c r="AC61" i="32"/>
  <c r="AD61" i="32"/>
  <c r="AE61" i="32"/>
  <c r="AF61" i="32"/>
  <c r="AG61" i="32"/>
  <c r="AH61" i="32"/>
  <c r="AI61" i="32"/>
  <c r="AJ61" i="32"/>
  <c r="AK61" i="32"/>
  <c r="AL61" i="32"/>
  <c r="E62" i="32"/>
  <c r="F62" i="32"/>
  <c r="G62" i="32"/>
  <c r="H62" i="32"/>
  <c r="I62" i="32"/>
  <c r="J62" i="32"/>
  <c r="K62" i="32"/>
  <c r="L62" i="32"/>
  <c r="M62" i="32"/>
  <c r="N62" i="32"/>
  <c r="O62" i="32"/>
  <c r="P62" i="32"/>
  <c r="Q62" i="32"/>
  <c r="R62" i="32"/>
  <c r="S62" i="32"/>
  <c r="T62" i="32"/>
  <c r="U62" i="32"/>
  <c r="V62" i="32"/>
  <c r="W62" i="32"/>
  <c r="X62" i="32"/>
  <c r="Y62" i="32"/>
  <c r="Z62" i="32"/>
  <c r="AA62" i="32"/>
  <c r="AB62" i="32"/>
  <c r="AC62" i="32"/>
  <c r="AD62" i="32"/>
  <c r="AE62" i="32"/>
  <c r="AF62" i="32"/>
  <c r="AG62" i="32"/>
  <c r="AH62" i="32"/>
  <c r="AI62" i="32"/>
  <c r="AJ62" i="32"/>
  <c r="AK62" i="32"/>
  <c r="AL62" i="32"/>
  <c r="D63" i="32"/>
  <c r="E63" i="32"/>
  <c r="F63" i="32"/>
  <c r="G63" i="32"/>
  <c r="H63" i="32"/>
  <c r="I63" i="32"/>
  <c r="J63" i="32"/>
  <c r="K63" i="32"/>
  <c r="L63" i="32"/>
  <c r="M63" i="32"/>
  <c r="N63" i="32"/>
  <c r="O63" i="32"/>
  <c r="P63" i="32"/>
  <c r="Q63" i="32"/>
  <c r="R63" i="32"/>
  <c r="S63" i="32"/>
  <c r="T63" i="32"/>
  <c r="U63" i="32"/>
  <c r="V63" i="32"/>
  <c r="W63" i="32"/>
  <c r="X63" i="32"/>
  <c r="Y63" i="32"/>
  <c r="Z63" i="32"/>
  <c r="AA63" i="32"/>
  <c r="AB63" i="32"/>
  <c r="AC63" i="32"/>
  <c r="AD63" i="32"/>
  <c r="AE63" i="32"/>
  <c r="AF63" i="32"/>
  <c r="AG63" i="32"/>
  <c r="AH63" i="32"/>
  <c r="AI63" i="32"/>
  <c r="AJ63" i="32"/>
  <c r="AK63" i="32"/>
  <c r="AL63" i="32"/>
  <c r="E64" i="32"/>
  <c r="F64" i="32"/>
  <c r="G64" i="32"/>
  <c r="H64" i="32"/>
  <c r="I64" i="32"/>
  <c r="J64" i="32"/>
  <c r="K64" i="32"/>
  <c r="L64" i="32"/>
  <c r="M64" i="32"/>
  <c r="N64" i="32"/>
  <c r="O64" i="32"/>
  <c r="P64" i="32"/>
  <c r="Q64" i="32"/>
  <c r="R64" i="32"/>
  <c r="S64" i="32"/>
  <c r="T64" i="32"/>
  <c r="U64" i="32"/>
  <c r="V64" i="32"/>
  <c r="W64" i="32"/>
  <c r="X64" i="32"/>
  <c r="Y64" i="32"/>
  <c r="Z64" i="32"/>
  <c r="AA64" i="32"/>
  <c r="AB64" i="32"/>
  <c r="AC64" i="32"/>
  <c r="AD64" i="32"/>
  <c r="AE64" i="32"/>
  <c r="AF64" i="32"/>
  <c r="AG64" i="32"/>
  <c r="AH64" i="32"/>
  <c r="AI64" i="32"/>
  <c r="AJ64" i="32"/>
  <c r="AK64" i="32"/>
  <c r="AL64" i="32"/>
  <c r="D65" i="32"/>
  <c r="E65" i="32"/>
  <c r="F65" i="32"/>
  <c r="G65" i="32"/>
  <c r="H65" i="32"/>
  <c r="I65" i="32"/>
  <c r="J65" i="32"/>
  <c r="K65" i="32"/>
  <c r="L65" i="32"/>
  <c r="M65" i="32"/>
  <c r="N65" i="32"/>
  <c r="O65" i="32"/>
  <c r="P65" i="32"/>
  <c r="Q65" i="32"/>
  <c r="R65" i="32"/>
  <c r="S65" i="32"/>
  <c r="T65" i="32"/>
  <c r="U65" i="32"/>
  <c r="V65" i="32"/>
  <c r="W65" i="32"/>
  <c r="X65" i="32"/>
  <c r="Y65" i="32"/>
  <c r="Z65" i="32"/>
  <c r="AA65" i="32"/>
  <c r="AB65" i="32"/>
  <c r="AC65" i="32"/>
  <c r="AD65" i="32"/>
  <c r="AE65" i="32"/>
  <c r="AF65" i="32"/>
  <c r="AG65" i="32"/>
  <c r="AH65" i="32"/>
  <c r="AI65" i="32"/>
  <c r="AJ65" i="32"/>
  <c r="AK65" i="32"/>
  <c r="AL65" i="32"/>
  <c r="E66" i="32"/>
  <c r="F66" i="32"/>
  <c r="G66" i="32"/>
  <c r="H66" i="32"/>
  <c r="I66" i="32"/>
  <c r="J66" i="32"/>
  <c r="K66" i="32"/>
  <c r="L66" i="32"/>
  <c r="M66" i="32"/>
  <c r="N66" i="32"/>
  <c r="O66" i="32"/>
  <c r="P66" i="32"/>
  <c r="Q66" i="32"/>
  <c r="R66" i="32"/>
  <c r="S66" i="32"/>
  <c r="T66" i="32"/>
  <c r="U66" i="32"/>
  <c r="V66" i="32"/>
  <c r="W66" i="32"/>
  <c r="X66" i="32"/>
  <c r="Y66" i="32"/>
  <c r="Z66" i="32"/>
  <c r="AA66" i="32"/>
  <c r="AB66" i="32"/>
  <c r="AC66" i="32"/>
  <c r="AD66" i="32"/>
  <c r="AE66" i="32"/>
  <c r="AF66" i="32"/>
  <c r="AG66" i="32"/>
  <c r="AH66" i="32"/>
  <c r="AI66" i="32"/>
  <c r="AJ66" i="32"/>
  <c r="AK66" i="32"/>
  <c r="AL66" i="32"/>
  <c r="C67" i="32"/>
  <c r="D67" i="32"/>
  <c r="E67" i="32"/>
  <c r="F67" i="32"/>
  <c r="G67" i="32"/>
  <c r="H67" i="32"/>
  <c r="I67" i="32"/>
  <c r="J67" i="32"/>
  <c r="K67" i="32"/>
  <c r="L67" i="32"/>
  <c r="M67" i="32"/>
  <c r="N67" i="32"/>
  <c r="O67" i="32"/>
  <c r="P67" i="32"/>
  <c r="Q67" i="32"/>
  <c r="R67" i="32"/>
  <c r="S67" i="32"/>
  <c r="T67" i="32"/>
  <c r="U67" i="32"/>
  <c r="V67" i="32"/>
  <c r="W67" i="32"/>
  <c r="X67" i="32"/>
  <c r="Y67" i="32"/>
  <c r="Z67" i="32"/>
  <c r="AA67" i="32"/>
  <c r="AB67" i="32"/>
  <c r="AC67" i="32"/>
  <c r="AD67" i="32"/>
  <c r="AE67" i="32"/>
  <c r="AF67" i="32"/>
  <c r="AG67" i="32"/>
  <c r="AH67" i="32"/>
  <c r="AI67" i="32"/>
  <c r="AJ67" i="32"/>
  <c r="AK67" i="32"/>
  <c r="AL67" i="32"/>
  <c r="E68" i="32"/>
  <c r="F68" i="32"/>
  <c r="G68" i="32"/>
  <c r="H68" i="32"/>
  <c r="I68" i="32"/>
  <c r="J68" i="32"/>
  <c r="K68" i="32"/>
  <c r="L68" i="32"/>
  <c r="M68" i="32"/>
  <c r="N68" i="32"/>
  <c r="O68" i="32"/>
  <c r="P68" i="32"/>
  <c r="Q68" i="32"/>
  <c r="R68" i="32"/>
  <c r="S68" i="32"/>
  <c r="T68" i="32"/>
  <c r="U68" i="32"/>
  <c r="V68" i="32"/>
  <c r="W68" i="32"/>
  <c r="X68" i="32"/>
  <c r="Y68" i="32"/>
  <c r="Z68" i="32"/>
  <c r="AA68" i="32"/>
  <c r="AB68" i="32"/>
  <c r="AC68" i="32"/>
  <c r="AD68" i="32"/>
  <c r="AE68" i="32"/>
  <c r="AF68" i="32"/>
  <c r="AG68" i="32"/>
  <c r="AH68" i="32"/>
  <c r="AI68" i="32"/>
  <c r="AJ68" i="32"/>
  <c r="AK68" i="32"/>
  <c r="AL68" i="32"/>
  <c r="E69" i="32"/>
  <c r="F69" i="32"/>
  <c r="G69" i="32"/>
  <c r="H69" i="32"/>
  <c r="I69" i="32"/>
  <c r="J69" i="32"/>
  <c r="K69" i="32"/>
  <c r="L69" i="32"/>
  <c r="M69" i="32"/>
  <c r="N69" i="32"/>
  <c r="O69" i="32"/>
  <c r="P69" i="32"/>
  <c r="Q69" i="32"/>
  <c r="R69" i="32"/>
  <c r="S69" i="32"/>
  <c r="T69" i="32"/>
  <c r="U69" i="32"/>
  <c r="V69" i="32"/>
  <c r="W69" i="32"/>
  <c r="X69" i="32"/>
  <c r="Y69" i="32"/>
  <c r="Z69" i="32"/>
  <c r="AA69" i="32"/>
  <c r="AB69" i="32"/>
  <c r="AC69" i="32"/>
  <c r="AD69" i="32"/>
  <c r="AE69" i="32"/>
  <c r="AF69" i="32"/>
  <c r="AG69" i="32"/>
  <c r="AH69" i="32"/>
  <c r="AI69" i="32"/>
  <c r="AJ69" i="32"/>
  <c r="AK69" i="32"/>
  <c r="AL69" i="32"/>
  <c r="D70" i="32"/>
  <c r="E70" i="32"/>
  <c r="F70" i="32"/>
  <c r="G70" i="32"/>
  <c r="H70" i="32"/>
  <c r="I70" i="32"/>
  <c r="J70" i="32"/>
  <c r="K70" i="32"/>
  <c r="L70" i="32"/>
  <c r="M70" i="32"/>
  <c r="N70" i="32"/>
  <c r="O70" i="32"/>
  <c r="P70" i="32"/>
  <c r="Q70" i="32"/>
  <c r="R70" i="32"/>
  <c r="S70" i="32"/>
  <c r="T70" i="32"/>
  <c r="U70" i="32"/>
  <c r="V70" i="32"/>
  <c r="W70" i="32"/>
  <c r="X70" i="32"/>
  <c r="Y70" i="32"/>
  <c r="Z70" i="32"/>
  <c r="AA70" i="32"/>
  <c r="AB70" i="32"/>
  <c r="AC70" i="32"/>
  <c r="AD70" i="32"/>
  <c r="AE70" i="32"/>
  <c r="AF70" i="32"/>
  <c r="AG70" i="32"/>
  <c r="AH70" i="32"/>
  <c r="AI70" i="32"/>
  <c r="AJ70" i="32"/>
  <c r="AK70" i="32"/>
  <c r="AL70" i="32"/>
  <c r="E71" i="32"/>
  <c r="F71" i="32"/>
  <c r="G71" i="32"/>
  <c r="H71" i="32"/>
  <c r="I71" i="32"/>
  <c r="J71" i="32"/>
  <c r="K71" i="32"/>
  <c r="L71" i="32"/>
  <c r="M71" i="32"/>
  <c r="N71" i="32"/>
  <c r="O71" i="32"/>
  <c r="P71" i="32"/>
  <c r="Q71" i="32"/>
  <c r="R71" i="32"/>
  <c r="S71" i="32"/>
  <c r="T71" i="32"/>
  <c r="U71" i="32"/>
  <c r="V71" i="32"/>
  <c r="W71" i="32"/>
  <c r="X71" i="32"/>
  <c r="Y71" i="32"/>
  <c r="Z71" i="32"/>
  <c r="AA71" i="32"/>
  <c r="AB71" i="32"/>
  <c r="AC71" i="32"/>
  <c r="AD71" i="32"/>
  <c r="AE71" i="32"/>
  <c r="AF71" i="32"/>
  <c r="AG71" i="32"/>
  <c r="AH71" i="32"/>
  <c r="AI71" i="32"/>
  <c r="AJ71" i="32"/>
  <c r="AK71" i="32"/>
  <c r="AL71" i="32"/>
  <c r="D72" i="32"/>
  <c r="E72" i="32"/>
  <c r="F72" i="32"/>
  <c r="G72" i="32"/>
  <c r="H72" i="32"/>
  <c r="I72" i="32"/>
  <c r="J72" i="32"/>
  <c r="K72" i="32"/>
  <c r="L72" i="32"/>
  <c r="M72" i="32"/>
  <c r="N72" i="32"/>
  <c r="O72" i="32"/>
  <c r="P72" i="32"/>
  <c r="Q72" i="32"/>
  <c r="R72" i="32"/>
  <c r="S72" i="32"/>
  <c r="T72" i="32"/>
  <c r="U72" i="32"/>
  <c r="V72" i="32"/>
  <c r="W72" i="32"/>
  <c r="X72" i="32"/>
  <c r="Y72" i="32"/>
  <c r="Z72" i="32"/>
  <c r="AA72" i="32"/>
  <c r="AB72" i="32"/>
  <c r="AC72" i="32"/>
  <c r="AD72" i="32"/>
  <c r="AE72" i="32"/>
  <c r="AF72" i="32"/>
  <c r="AG72" i="32"/>
  <c r="AH72" i="32"/>
  <c r="AI72" i="32"/>
  <c r="AJ72" i="32"/>
  <c r="AK72" i="32"/>
  <c r="AL72" i="32"/>
  <c r="E73" i="32"/>
  <c r="F73" i="32"/>
  <c r="G73" i="32"/>
  <c r="H73" i="32"/>
  <c r="I73" i="32"/>
  <c r="J73" i="32"/>
  <c r="K73" i="32"/>
  <c r="L73" i="32"/>
  <c r="M73" i="32"/>
  <c r="N73" i="32"/>
  <c r="O73" i="32"/>
  <c r="P73" i="32"/>
  <c r="Q73" i="32"/>
  <c r="R73" i="32"/>
  <c r="S73" i="32"/>
  <c r="T73" i="32"/>
  <c r="U73" i="32"/>
  <c r="V73" i="32"/>
  <c r="W73" i="32"/>
  <c r="X73" i="32"/>
  <c r="Y73" i="32"/>
  <c r="Z73" i="32"/>
  <c r="AA73" i="32"/>
  <c r="AB73" i="32"/>
  <c r="AC73" i="32"/>
  <c r="AD73" i="32"/>
  <c r="AE73" i="32"/>
  <c r="AF73" i="32"/>
  <c r="AG73" i="32"/>
  <c r="AH73" i="32"/>
  <c r="AI73" i="32"/>
  <c r="AJ73" i="32"/>
  <c r="AK73" i="32"/>
  <c r="AL73" i="32"/>
  <c r="C74" i="32"/>
  <c r="D74" i="32"/>
  <c r="E74" i="32"/>
  <c r="F74" i="32"/>
  <c r="G74" i="32"/>
  <c r="H74" i="32"/>
  <c r="I74" i="32"/>
  <c r="J74" i="32"/>
  <c r="K74" i="32"/>
  <c r="L74" i="32"/>
  <c r="M74" i="32"/>
  <c r="N74" i="32"/>
  <c r="O74" i="32"/>
  <c r="P74" i="32"/>
  <c r="Q74" i="32"/>
  <c r="R74" i="32"/>
  <c r="S74" i="32"/>
  <c r="T74" i="32"/>
  <c r="U74" i="32"/>
  <c r="V74" i="32"/>
  <c r="W74" i="32"/>
  <c r="X74" i="32"/>
  <c r="Y74" i="32"/>
  <c r="Z74" i="32"/>
  <c r="AA74" i="32"/>
  <c r="AB74" i="32"/>
  <c r="AC74" i="32"/>
  <c r="AD74" i="32"/>
  <c r="AE74" i="32"/>
  <c r="AF74" i="32"/>
  <c r="AG74" i="32"/>
  <c r="AH74" i="32"/>
  <c r="AI74" i="32"/>
  <c r="AJ74" i="32"/>
  <c r="AK74" i="32"/>
  <c r="AL74" i="32"/>
  <c r="E75" i="32"/>
  <c r="F75" i="32"/>
  <c r="G75" i="32"/>
  <c r="H75" i="32"/>
  <c r="I75" i="32"/>
  <c r="J75" i="32"/>
  <c r="K75" i="32"/>
  <c r="L75" i="32"/>
  <c r="M75" i="32"/>
  <c r="N75" i="32"/>
  <c r="O75" i="32"/>
  <c r="P75" i="32"/>
  <c r="Q75" i="32"/>
  <c r="R75" i="32"/>
  <c r="S75" i="32"/>
  <c r="T75" i="32"/>
  <c r="U75" i="32"/>
  <c r="V75" i="32"/>
  <c r="W75" i="32"/>
  <c r="X75" i="32"/>
  <c r="Y75" i="32"/>
  <c r="Z75" i="32"/>
  <c r="AA75" i="32"/>
  <c r="AB75" i="32"/>
  <c r="AC75" i="32"/>
  <c r="AD75" i="32"/>
  <c r="AE75" i="32"/>
  <c r="AF75" i="32"/>
  <c r="AG75" i="32"/>
  <c r="AH75" i="32"/>
  <c r="AI75" i="32"/>
  <c r="AJ75" i="32"/>
  <c r="AK75" i="32"/>
  <c r="AL75" i="32"/>
  <c r="E76" i="32"/>
  <c r="F76" i="32"/>
  <c r="G76" i="32"/>
  <c r="H76" i="32"/>
  <c r="I76" i="32"/>
  <c r="J76" i="32"/>
  <c r="K76" i="32"/>
  <c r="L76" i="32"/>
  <c r="M76" i="32"/>
  <c r="N76" i="32"/>
  <c r="O76" i="32"/>
  <c r="P76" i="32"/>
  <c r="Q76" i="32"/>
  <c r="R76" i="32"/>
  <c r="S76" i="32"/>
  <c r="T76" i="32"/>
  <c r="U76" i="32"/>
  <c r="V76" i="32"/>
  <c r="W76" i="32"/>
  <c r="X76" i="32"/>
  <c r="Y76" i="32"/>
  <c r="Z76" i="32"/>
  <c r="AA76" i="32"/>
  <c r="AB76" i="32"/>
  <c r="AC76" i="32"/>
  <c r="AD76" i="32"/>
  <c r="AE76" i="32"/>
  <c r="AF76" i="32"/>
  <c r="AG76" i="32"/>
  <c r="AH76" i="32"/>
  <c r="AI76" i="32"/>
  <c r="AJ76" i="32"/>
  <c r="AK76" i="32"/>
  <c r="AL76" i="32"/>
  <c r="D77" i="32"/>
  <c r="E77" i="32"/>
  <c r="F77" i="32"/>
  <c r="G77" i="32"/>
  <c r="H77" i="32"/>
  <c r="I77" i="32"/>
  <c r="J77" i="32"/>
  <c r="K77" i="32"/>
  <c r="L77" i="32"/>
  <c r="M77" i="32"/>
  <c r="N77" i="32"/>
  <c r="O77" i="32"/>
  <c r="P77" i="32"/>
  <c r="Q77" i="32"/>
  <c r="R77" i="32"/>
  <c r="S77" i="32"/>
  <c r="T77" i="32"/>
  <c r="U77" i="32"/>
  <c r="V77" i="32"/>
  <c r="W77" i="32"/>
  <c r="X77" i="32"/>
  <c r="Y77" i="32"/>
  <c r="Z77" i="32"/>
  <c r="AA77" i="32"/>
  <c r="AB77" i="32"/>
  <c r="AC77" i="32"/>
  <c r="AD77" i="32"/>
  <c r="AE77" i="32"/>
  <c r="AF77" i="32"/>
  <c r="AG77" i="32"/>
  <c r="AH77" i="32"/>
  <c r="AI77" i="32"/>
  <c r="AJ77" i="32"/>
  <c r="AK77" i="32"/>
  <c r="AL77" i="32"/>
  <c r="E78" i="32"/>
  <c r="F78" i="32"/>
  <c r="G78" i="32"/>
  <c r="H78" i="32"/>
  <c r="I78" i="32"/>
  <c r="J78" i="32"/>
  <c r="K78" i="32"/>
  <c r="L78" i="32"/>
  <c r="M78" i="32"/>
  <c r="N78" i="32"/>
  <c r="O78" i="32"/>
  <c r="P78" i="32"/>
  <c r="Q78" i="32"/>
  <c r="R78" i="32"/>
  <c r="S78" i="32"/>
  <c r="T78" i="32"/>
  <c r="U78" i="32"/>
  <c r="V78" i="32"/>
  <c r="W78" i="32"/>
  <c r="X78" i="32"/>
  <c r="Y78" i="32"/>
  <c r="Z78" i="32"/>
  <c r="AA78" i="32"/>
  <c r="AB78" i="32"/>
  <c r="AC78" i="32"/>
  <c r="AD78" i="32"/>
  <c r="AE78" i="32"/>
  <c r="AF78" i="32"/>
  <c r="AG78" i="32"/>
  <c r="AH78" i="32"/>
  <c r="AI78" i="32"/>
  <c r="AJ78" i="32"/>
  <c r="AK78" i="32"/>
  <c r="AL78" i="32"/>
  <c r="D79" i="32"/>
  <c r="E79" i="32"/>
  <c r="F79" i="32"/>
  <c r="G79" i="32"/>
  <c r="H79" i="32"/>
  <c r="I79" i="32"/>
  <c r="J79" i="32"/>
  <c r="K79" i="32"/>
  <c r="L79" i="32"/>
  <c r="M79" i="32"/>
  <c r="N79" i="32"/>
  <c r="O79" i="32"/>
  <c r="P79" i="32"/>
  <c r="Q79" i="32"/>
  <c r="R79" i="32"/>
  <c r="S79" i="32"/>
  <c r="T79" i="32"/>
  <c r="U79" i="32"/>
  <c r="V79" i="32"/>
  <c r="W79" i="32"/>
  <c r="X79" i="32"/>
  <c r="Y79" i="32"/>
  <c r="Z79" i="32"/>
  <c r="AA79" i="32"/>
  <c r="AB79" i="32"/>
  <c r="AC79" i="32"/>
  <c r="AD79" i="32"/>
  <c r="AE79" i="32"/>
  <c r="AF79" i="32"/>
  <c r="AG79" i="32"/>
  <c r="AH79" i="32"/>
  <c r="AI79" i="32"/>
  <c r="AJ79" i="32"/>
  <c r="AK79" i="32"/>
  <c r="AL79" i="32"/>
  <c r="E80" i="32"/>
  <c r="F80" i="32"/>
  <c r="G80" i="32"/>
  <c r="H80" i="32"/>
  <c r="I80" i="32"/>
  <c r="J80" i="32"/>
  <c r="K80" i="32"/>
  <c r="L80" i="32"/>
  <c r="M80" i="32"/>
  <c r="N80" i="32"/>
  <c r="O80" i="32"/>
  <c r="P80" i="32"/>
  <c r="Q80" i="32"/>
  <c r="R80" i="32"/>
  <c r="S80" i="32"/>
  <c r="T80" i="32"/>
  <c r="U80" i="32"/>
  <c r="V80" i="32"/>
  <c r="W80" i="32"/>
  <c r="X80" i="32"/>
  <c r="Y80" i="32"/>
  <c r="Z80" i="32"/>
  <c r="AA80" i="32"/>
  <c r="AB80" i="32"/>
  <c r="AC80" i="32"/>
  <c r="AD80" i="32"/>
  <c r="AE80" i="32"/>
  <c r="AF80" i="32"/>
  <c r="AG80" i="32"/>
  <c r="AH80" i="32"/>
  <c r="AI80" i="32"/>
  <c r="AJ80" i="32"/>
  <c r="AK80" i="32"/>
  <c r="AL80" i="32"/>
  <c r="C81" i="32"/>
  <c r="D81" i="32"/>
  <c r="E81" i="32"/>
  <c r="F81" i="32"/>
  <c r="G81" i="32"/>
  <c r="H81" i="32"/>
  <c r="I81" i="32"/>
  <c r="J81" i="32"/>
  <c r="K81" i="32"/>
  <c r="L81" i="32"/>
  <c r="M81" i="32"/>
  <c r="N81" i="32"/>
  <c r="O81" i="32"/>
  <c r="P81" i="32"/>
  <c r="Q81" i="32"/>
  <c r="R81" i="32"/>
  <c r="S81" i="32"/>
  <c r="T81" i="32"/>
  <c r="U81" i="32"/>
  <c r="V81" i="32"/>
  <c r="W81" i="32"/>
  <c r="X81" i="32"/>
  <c r="Y81" i="32"/>
  <c r="Z81" i="32"/>
  <c r="AA81" i="32"/>
  <c r="AB81" i="32"/>
  <c r="AC81" i="32"/>
  <c r="AD81" i="32"/>
  <c r="AE81" i="32"/>
  <c r="AF81" i="32"/>
  <c r="AG81" i="32"/>
  <c r="AH81" i="32"/>
  <c r="AI81" i="32"/>
  <c r="AJ81" i="32"/>
  <c r="AK81" i="32"/>
  <c r="AL81" i="32"/>
  <c r="E82" i="32"/>
  <c r="F82" i="32"/>
  <c r="G82" i="32"/>
  <c r="H82" i="32"/>
  <c r="I82" i="32"/>
  <c r="J82" i="32"/>
  <c r="K82" i="32"/>
  <c r="L82" i="32"/>
  <c r="M82" i="32"/>
  <c r="N82" i="32"/>
  <c r="O82" i="32"/>
  <c r="P82" i="32"/>
  <c r="Q82" i="32"/>
  <c r="R82" i="32"/>
  <c r="S82" i="32"/>
  <c r="T82" i="32"/>
  <c r="U82" i="32"/>
  <c r="V82" i="32"/>
  <c r="W82" i="32"/>
  <c r="X82" i="32"/>
  <c r="Y82" i="32"/>
  <c r="Z82" i="32"/>
  <c r="AA82" i="32"/>
  <c r="AB82" i="32"/>
  <c r="AC82" i="32"/>
  <c r="AD82" i="32"/>
  <c r="AE82" i="32"/>
  <c r="AF82" i="32"/>
  <c r="AG82" i="32"/>
  <c r="AH82" i="32"/>
  <c r="AI82" i="32"/>
  <c r="AJ82" i="32"/>
  <c r="AK82" i="32"/>
  <c r="AL82" i="32"/>
  <c r="E83" i="32"/>
  <c r="F83" i="32"/>
  <c r="G83" i="32"/>
  <c r="H83" i="32"/>
  <c r="I83" i="32"/>
  <c r="J83" i="32"/>
  <c r="K83" i="32"/>
  <c r="L83" i="32"/>
  <c r="M83" i="32"/>
  <c r="N83" i="32"/>
  <c r="O83" i="32"/>
  <c r="P83" i="32"/>
  <c r="Q83" i="32"/>
  <c r="R83" i="32"/>
  <c r="S83" i="32"/>
  <c r="T83" i="32"/>
  <c r="U83" i="32"/>
  <c r="V83" i="32"/>
  <c r="W83" i="32"/>
  <c r="X83" i="32"/>
  <c r="Y83" i="32"/>
  <c r="Z83" i="32"/>
  <c r="AA83" i="32"/>
  <c r="AB83" i="32"/>
  <c r="AC83" i="32"/>
  <c r="AD83" i="32"/>
  <c r="AE83" i="32"/>
  <c r="AF83" i="32"/>
  <c r="AG83" i="32"/>
  <c r="AH83" i="32"/>
  <c r="AI83" i="32"/>
  <c r="AJ83" i="32"/>
  <c r="AK83" i="32"/>
  <c r="AL83" i="32"/>
  <c r="D84" i="32"/>
  <c r="E84" i="32"/>
  <c r="F84" i="32"/>
  <c r="G84" i="32"/>
  <c r="H84" i="32"/>
  <c r="I84" i="32"/>
  <c r="J84" i="32"/>
  <c r="K84" i="32"/>
  <c r="L84" i="32"/>
  <c r="M84" i="32"/>
  <c r="N84" i="32"/>
  <c r="O84" i="32"/>
  <c r="P84" i="32"/>
  <c r="Q84" i="32"/>
  <c r="R84" i="32"/>
  <c r="S84" i="32"/>
  <c r="T84" i="32"/>
  <c r="U84" i="32"/>
  <c r="V84" i="32"/>
  <c r="W84" i="32"/>
  <c r="X84" i="32"/>
  <c r="Y84" i="32"/>
  <c r="Z84" i="32"/>
  <c r="AA84" i="32"/>
  <c r="AB84" i="32"/>
  <c r="AC84" i="32"/>
  <c r="AD84" i="32"/>
  <c r="AE84" i="32"/>
  <c r="AF84" i="32"/>
  <c r="AG84" i="32"/>
  <c r="AH84" i="32"/>
  <c r="AI84" i="32"/>
  <c r="AJ84" i="32"/>
  <c r="AK84" i="32"/>
  <c r="AL84" i="32"/>
  <c r="E85" i="32"/>
  <c r="F85" i="32"/>
  <c r="G85" i="32"/>
  <c r="H85" i="32"/>
  <c r="I85" i="32"/>
  <c r="J85" i="32"/>
  <c r="K85" i="32"/>
  <c r="L85" i="32"/>
  <c r="M85" i="32"/>
  <c r="N85" i="32"/>
  <c r="O85" i="32"/>
  <c r="P85" i="32"/>
  <c r="Q85" i="32"/>
  <c r="R85" i="32"/>
  <c r="S85" i="32"/>
  <c r="T85" i="32"/>
  <c r="U85" i="32"/>
  <c r="V85" i="32"/>
  <c r="W85" i="32"/>
  <c r="X85" i="32"/>
  <c r="Y85" i="32"/>
  <c r="Z85" i="32"/>
  <c r="AA85" i="32"/>
  <c r="AB85" i="32"/>
  <c r="AC85" i="32"/>
  <c r="AD85" i="32"/>
  <c r="AE85" i="32"/>
  <c r="AF85" i="32"/>
  <c r="AG85" i="32"/>
  <c r="AH85" i="32"/>
  <c r="AI85" i="32"/>
  <c r="AJ85" i="32"/>
  <c r="AK85" i="32"/>
  <c r="AL85" i="32"/>
  <c r="D86" i="32"/>
  <c r="E86" i="32"/>
  <c r="F86" i="32"/>
  <c r="G86" i="32"/>
  <c r="H86" i="32"/>
  <c r="I86" i="32"/>
  <c r="J86" i="32"/>
  <c r="K86" i="32"/>
  <c r="L86" i="32"/>
  <c r="M86" i="32"/>
  <c r="N86" i="32"/>
  <c r="O86" i="32"/>
  <c r="P86" i="32"/>
  <c r="Q86" i="32"/>
  <c r="R86" i="32"/>
  <c r="S86" i="32"/>
  <c r="T86" i="32"/>
  <c r="U86" i="32"/>
  <c r="V86" i="32"/>
  <c r="W86" i="32"/>
  <c r="X86" i="32"/>
  <c r="Y86" i="32"/>
  <c r="Z86" i="32"/>
  <c r="AA86" i="32"/>
  <c r="AB86" i="32"/>
  <c r="AC86" i="32"/>
  <c r="AD86" i="32"/>
  <c r="AE86" i="32"/>
  <c r="AF86" i="32"/>
  <c r="AG86" i="32"/>
  <c r="AH86" i="32"/>
  <c r="AI86" i="32"/>
  <c r="AJ86" i="32"/>
  <c r="AK86" i="32"/>
  <c r="AL86" i="32"/>
  <c r="E87" i="32"/>
  <c r="F87" i="32"/>
  <c r="G87" i="32"/>
  <c r="H87" i="32"/>
  <c r="I87" i="32"/>
  <c r="J87" i="32"/>
  <c r="K87" i="32"/>
  <c r="L87" i="32"/>
  <c r="M87" i="32"/>
  <c r="N87" i="32"/>
  <c r="O87" i="32"/>
  <c r="P87" i="32"/>
  <c r="Q87" i="32"/>
  <c r="R87" i="32"/>
  <c r="S87" i="32"/>
  <c r="T87" i="32"/>
  <c r="U87" i="32"/>
  <c r="V87" i="32"/>
  <c r="W87" i="32"/>
  <c r="X87" i="32"/>
  <c r="Y87" i="32"/>
  <c r="Z87" i="32"/>
  <c r="AA87" i="32"/>
  <c r="AB87" i="32"/>
  <c r="AC87" i="32"/>
  <c r="AD87" i="32"/>
  <c r="AE87" i="32"/>
  <c r="AF87" i="32"/>
  <c r="AG87" i="32"/>
  <c r="AH87" i="32"/>
  <c r="AI87" i="32"/>
  <c r="AJ87" i="32"/>
  <c r="AK87" i="32"/>
  <c r="AL87" i="32"/>
  <c r="C88" i="32"/>
  <c r="D88" i="32"/>
  <c r="E88" i="32"/>
  <c r="F88" i="32"/>
  <c r="G88" i="32"/>
  <c r="H88" i="32"/>
  <c r="I88" i="32"/>
  <c r="J88" i="32"/>
  <c r="K88" i="32"/>
  <c r="L88" i="32"/>
  <c r="M88" i="32"/>
  <c r="N88" i="32"/>
  <c r="O88" i="32"/>
  <c r="P88" i="32"/>
  <c r="Q88" i="32"/>
  <c r="R88" i="32"/>
  <c r="S88" i="32"/>
  <c r="T88" i="32"/>
  <c r="U88" i="32"/>
  <c r="V88" i="32"/>
  <c r="W88" i="32"/>
  <c r="X88" i="32"/>
  <c r="Y88" i="32"/>
  <c r="Z88" i="32"/>
  <c r="AA88" i="32"/>
  <c r="AB88" i="32"/>
  <c r="AC88" i="32"/>
  <c r="AD88" i="32"/>
  <c r="AE88" i="32"/>
  <c r="AF88" i="32"/>
  <c r="AG88" i="32"/>
  <c r="AH88" i="32"/>
  <c r="AI88" i="32"/>
  <c r="AJ88" i="32"/>
  <c r="AK88" i="32"/>
  <c r="AL88" i="32"/>
  <c r="E89" i="32"/>
  <c r="F89" i="32"/>
  <c r="G89" i="32"/>
  <c r="H89" i="32"/>
  <c r="I89" i="32"/>
  <c r="J89" i="32"/>
  <c r="K89" i="32"/>
  <c r="L89" i="32"/>
  <c r="M89" i="32"/>
  <c r="N89" i="32"/>
  <c r="O89" i="32"/>
  <c r="P89" i="32"/>
  <c r="Q89" i="32"/>
  <c r="R89" i="32"/>
  <c r="S89" i="32"/>
  <c r="T89" i="32"/>
  <c r="U89" i="32"/>
  <c r="V89" i="32"/>
  <c r="W89" i="32"/>
  <c r="X89" i="32"/>
  <c r="Y89" i="32"/>
  <c r="Z89" i="32"/>
  <c r="AA89" i="32"/>
  <c r="AB89" i="32"/>
  <c r="AC89" i="32"/>
  <c r="AD89" i="32"/>
  <c r="AE89" i="32"/>
  <c r="AF89" i="32"/>
  <c r="AG89" i="32"/>
  <c r="AH89" i="32"/>
  <c r="AI89" i="32"/>
  <c r="AJ89" i="32"/>
  <c r="AK89" i="32"/>
  <c r="AL89" i="32"/>
  <c r="E90" i="32"/>
  <c r="F90" i="32"/>
  <c r="G90" i="32"/>
  <c r="H90" i="32"/>
  <c r="I90" i="32"/>
  <c r="J90" i="32"/>
  <c r="K90" i="32"/>
  <c r="L90" i="32"/>
  <c r="M90" i="32"/>
  <c r="N90" i="32"/>
  <c r="O90" i="32"/>
  <c r="P90" i="32"/>
  <c r="Q90" i="32"/>
  <c r="R90" i="32"/>
  <c r="S90" i="32"/>
  <c r="T90" i="32"/>
  <c r="U90" i="32"/>
  <c r="V90" i="32"/>
  <c r="W90" i="32"/>
  <c r="X90" i="32"/>
  <c r="Y90" i="32"/>
  <c r="Z90" i="32"/>
  <c r="AA90" i="32"/>
  <c r="AB90" i="32"/>
  <c r="AC90" i="32"/>
  <c r="AD90" i="32"/>
  <c r="AE90" i="32"/>
  <c r="AF90" i="32"/>
  <c r="AG90" i="32"/>
  <c r="AH90" i="32"/>
  <c r="AI90" i="32"/>
  <c r="AJ90" i="32"/>
  <c r="AK90" i="32"/>
  <c r="AL90" i="32"/>
  <c r="D91" i="32"/>
  <c r="E91" i="32"/>
  <c r="F91" i="32"/>
  <c r="G91" i="32"/>
  <c r="H91" i="32"/>
  <c r="I91" i="32"/>
  <c r="J91" i="32"/>
  <c r="K91" i="32"/>
  <c r="L91" i="32"/>
  <c r="M91" i="32"/>
  <c r="N91" i="32"/>
  <c r="O91" i="32"/>
  <c r="P91" i="32"/>
  <c r="Q91" i="32"/>
  <c r="R91" i="32"/>
  <c r="S91" i="32"/>
  <c r="T91" i="32"/>
  <c r="U91" i="32"/>
  <c r="V91" i="32"/>
  <c r="W91" i="32"/>
  <c r="X91" i="32"/>
  <c r="Y91" i="32"/>
  <c r="Z91" i="32"/>
  <c r="AA91" i="32"/>
  <c r="AB91" i="32"/>
  <c r="AC91" i="32"/>
  <c r="AD91" i="32"/>
  <c r="AE91" i="32"/>
  <c r="AF91" i="32"/>
  <c r="AG91" i="32"/>
  <c r="AH91" i="32"/>
  <c r="AI91" i="32"/>
  <c r="AJ91" i="32"/>
  <c r="AK91" i="32"/>
  <c r="AL91" i="32"/>
  <c r="E92" i="32"/>
  <c r="F92" i="32"/>
  <c r="G92" i="32"/>
  <c r="H92" i="32"/>
  <c r="I92" i="32"/>
  <c r="J92" i="32"/>
  <c r="K92" i="32"/>
  <c r="L92" i="32"/>
  <c r="M92" i="32"/>
  <c r="N92" i="32"/>
  <c r="O92" i="32"/>
  <c r="P92" i="32"/>
  <c r="Q92" i="32"/>
  <c r="R92" i="32"/>
  <c r="S92" i="32"/>
  <c r="T92" i="32"/>
  <c r="U92" i="32"/>
  <c r="V92" i="32"/>
  <c r="W92" i="32"/>
  <c r="X92" i="32"/>
  <c r="Y92" i="32"/>
  <c r="Z92" i="32"/>
  <c r="AA92" i="32"/>
  <c r="AB92" i="32"/>
  <c r="AC92" i="32"/>
  <c r="AD92" i="32"/>
  <c r="AE92" i="32"/>
  <c r="AF92" i="32"/>
  <c r="AG92" i="32"/>
  <c r="AH92" i="32"/>
  <c r="AI92" i="32"/>
  <c r="AJ92" i="32"/>
  <c r="AK92" i="32"/>
  <c r="AL92" i="32"/>
  <c r="D93" i="32"/>
  <c r="E93" i="32"/>
  <c r="F93" i="32"/>
  <c r="G93" i="32"/>
  <c r="H93" i="32"/>
  <c r="I93" i="32"/>
  <c r="J93" i="32"/>
  <c r="K93" i="32"/>
  <c r="L93" i="32"/>
  <c r="M93" i="32"/>
  <c r="N93" i="32"/>
  <c r="O93" i="32"/>
  <c r="P93" i="32"/>
  <c r="Q93" i="32"/>
  <c r="R93" i="32"/>
  <c r="S93" i="32"/>
  <c r="T93" i="32"/>
  <c r="U93" i="32"/>
  <c r="V93" i="32"/>
  <c r="W93" i="32"/>
  <c r="X93" i="32"/>
  <c r="Y93" i="32"/>
  <c r="Z93" i="32"/>
  <c r="AA93" i="32"/>
  <c r="AB93" i="32"/>
  <c r="AC93" i="32"/>
  <c r="AD93" i="32"/>
  <c r="AE93" i="32"/>
  <c r="AF93" i="32"/>
  <c r="AG93" i="32"/>
  <c r="AH93" i="32"/>
  <c r="AI93" i="32"/>
  <c r="AJ93" i="32"/>
  <c r="AK93" i="32"/>
  <c r="AL93" i="32"/>
  <c r="E94" i="32"/>
  <c r="F94" i="32"/>
  <c r="G94" i="32"/>
  <c r="H94" i="32"/>
  <c r="I94" i="32"/>
  <c r="J94" i="32"/>
  <c r="K94" i="32"/>
  <c r="L94" i="32"/>
  <c r="M94" i="32"/>
  <c r="N94" i="32"/>
  <c r="O94" i="32"/>
  <c r="P94" i="32"/>
  <c r="Q94" i="32"/>
  <c r="R94" i="32"/>
  <c r="S94" i="32"/>
  <c r="T94" i="32"/>
  <c r="U94" i="32"/>
  <c r="V94" i="32"/>
  <c r="W94" i="32"/>
  <c r="X94" i="32"/>
  <c r="Y94" i="32"/>
  <c r="Z94" i="32"/>
  <c r="AA94" i="32"/>
  <c r="AB94" i="32"/>
  <c r="AC94" i="32"/>
  <c r="AD94" i="32"/>
  <c r="AE94" i="32"/>
  <c r="AF94" i="32"/>
  <c r="AG94" i="32"/>
  <c r="AH94" i="32"/>
  <c r="AI94" i="32"/>
  <c r="AJ94" i="32"/>
  <c r="AK94" i="32"/>
  <c r="AL94" i="32"/>
  <c r="C95" i="32"/>
  <c r="D95" i="32"/>
  <c r="E95" i="32"/>
  <c r="F95" i="32"/>
  <c r="G95" i="32"/>
  <c r="H95" i="32"/>
  <c r="I95" i="32"/>
  <c r="J95" i="32"/>
  <c r="K95" i="32"/>
  <c r="L95" i="32"/>
  <c r="M95" i="32"/>
  <c r="N95" i="32"/>
  <c r="O95" i="32"/>
  <c r="P95" i="32"/>
  <c r="Q95" i="32"/>
  <c r="R95" i="32"/>
  <c r="S95" i="32"/>
  <c r="T95" i="32"/>
  <c r="U95" i="32"/>
  <c r="V95" i="32"/>
  <c r="W95" i="32"/>
  <c r="X95" i="32"/>
  <c r="Y95" i="32"/>
  <c r="Z95" i="32"/>
  <c r="AA95" i="32"/>
  <c r="AB95" i="32"/>
  <c r="AC95" i="32"/>
  <c r="AD95" i="32"/>
  <c r="AE95" i="32"/>
  <c r="AF95" i="32"/>
  <c r="AG95" i="32"/>
  <c r="AH95" i="32"/>
  <c r="AI95" i="32"/>
  <c r="AJ95" i="32"/>
  <c r="AK95" i="32"/>
  <c r="AL95" i="32"/>
  <c r="E96" i="32"/>
  <c r="F96" i="32"/>
  <c r="G96" i="32"/>
  <c r="H96" i="32"/>
  <c r="I96" i="32"/>
  <c r="J96" i="32"/>
  <c r="K96" i="32"/>
  <c r="L96" i="32"/>
  <c r="M96" i="32"/>
  <c r="N96" i="32"/>
  <c r="O96" i="32"/>
  <c r="P96" i="32"/>
  <c r="Q96" i="32"/>
  <c r="R96" i="32"/>
  <c r="S96" i="32"/>
  <c r="T96" i="32"/>
  <c r="U96" i="32"/>
  <c r="V96" i="32"/>
  <c r="W96" i="32"/>
  <c r="X96" i="32"/>
  <c r="Y96" i="32"/>
  <c r="Z96" i="32"/>
  <c r="AA96" i="32"/>
  <c r="AB96" i="32"/>
  <c r="AC96" i="32"/>
  <c r="AD96" i="32"/>
  <c r="AE96" i="32"/>
  <c r="AF96" i="32"/>
  <c r="AG96" i="32"/>
  <c r="AH96" i="32"/>
  <c r="AI96" i="32"/>
  <c r="AJ96" i="32"/>
  <c r="AK96" i="32"/>
  <c r="AL96" i="32"/>
  <c r="E97" i="32"/>
  <c r="F97" i="32"/>
  <c r="G97" i="32"/>
  <c r="H97" i="32"/>
  <c r="I97" i="32"/>
  <c r="J97" i="32"/>
  <c r="K97" i="32"/>
  <c r="L97" i="32"/>
  <c r="M97" i="32"/>
  <c r="N97" i="32"/>
  <c r="O97" i="32"/>
  <c r="P97" i="32"/>
  <c r="Q97" i="32"/>
  <c r="R97" i="32"/>
  <c r="S97" i="32"/>
  <c r="T97" i="32"/>
  <c r="U97" i="32"/>
  <c r="V97" i="32"/>
  <c r="W97" i="32"/>
  <c r="X97" i="32"/>
  <c r="Y97" i="32"/>
  <c r="Z97" i="32"/>
  <c r="AA97" i="32"/>
  <c r="AB97" i="32"/>
  <c r="AC97" i="32"/>
  <c r="AD97" i="32"/>
  <c r="AE97" i="32"/>
  <c r="AF97" i="32"/>
  <c r="AG97" i="32"/>
  <c r="AH97" i="32"/>
  <c r="AI97" i="32"/>
  <c r="AJ97" i="32"/>
  <c r="AK97" i="32"/>
  <c r="AL97" i="32"/>
  <c r="D98" i="32"/>
  <c r="E98" i="32"/>
  <c r="F98" i="32"/>
  <c r="G98" i="32"/>
  <c r="H98" i="32"/>
  <c r="I98" i="32"/>
  <c r="J98" i="32"/>
  <c r="K98" i="32"/>
  <c r="L98" i="32"/>
  <c r="M98" i="32"/>
  <c r="N98" i="32"/>
  <c r="O98" i="32"/>
  <c r="P98" i="32"/>
  <c r="Q98" i="32"/>
  <c r="R98" i="32"/>
  <c r="S98" i="32"/>
  <c r="T98" i="32"/>
  <c r="U98" i="32"/>
  <c r="V98" i="32"/>
  <c r="W98" i="32"/>
  <c r="X98" i="32"/>
  <c r="Y98" i="32"/>
  <c r="Z98" i="32"/>
  <c r="AA98" i="32"/>
  <c r="AB98" i="32"/>
  <c r="AC98" i="32"/>
  <c r="AD98" i="32"/>
  <c r="AE98" i="32"/>
  <c r="AF98" i="32"/>
  <c r="AG98" i="32"/>
  <c r="AH98" i="32"/>
  <c r="AI98" i="32"/>
  <c r="AJ98" i="32"/>
  <c r="AK98" i="32"/>
  <c r="AL98" i="32"/>
  <c r="E99" i="32"/>
  <c r="F99" i="32"/>
  <c r="G99" i="32"/>
  <c r="H99" i="32"/>
  <c r="I99" i="32"/>
  <c r="J99" i="32"/>
  <c r="K99" i="32"/>
  <c r="L99" i="32"/>
  <c r="M99" i="32"/>
  <c r="N99" i="32"/>
  <c r="O99" i="32"/>
  <c r="P99" i="32"/>
  <c r="Q99" i="32"/>
  <c r="R99" i="32"/>
  <c r="S99" i="32"/>
  <c r="T99" i="32"/>
  <c r="U99" i="32"/>
  <c r="V99" i="32"/>
  <c r="W99" i="32"/>
  <c r="X99" i="32"/>
  <c r="Y99" i="32"/>
  <c r="Z99" i="32"/>
  <c r="AA99" i="32"/>
  <c r="AB99" i="32"/>
  <c r="AC99" i="32"/>
  <c r="AD99" i="32"/>
  <c r="AE99" i="32"/>
  <c r="AF99" i="32"/>
  <c r="AG99" i="32"/>
  <c r="AH99" i="32"/>
  <c r="AI99" i="32"/>
  <c r="AJ99" i="32"/>
  <c r="AK99" i="32"/>
  <c r="AL99" i="32"/>
  <c r="D100" i="32"/>
  <c r="E100" i="32"/>
  <c r="F100" i="32"/>
  <c r="G100" i="32"/>
  <c r="H100" i="32"/>
  <c r="I100" i="32"/>
  <c r="J100" i="32"/>
  <c r="K100" i="32"/>
  <c r="L100" i="32"/>
  <c r="M100" i="32"/>
  <c r="N100" i="32"/>
  <c r="O100" i="32"/>
  <c r="P100" i="32"/>
  <c r="Q100" i="32"/>
  <c r="R100" i="32"/>
  <c r="S100" i="32"/>
  <c r="T100" i="32"/>
  <c r="U100" i="32"/>
  <c r="V100" i="32"/>
  <c r="W100" i="32"/>
  <c r="X100" i="32"/>
  <c r="Y100" i="32"/>
  <c r="Z100" i="32"/>
  <c r="AA100" i="32"/>
  <c r="AB100" i="32"/>
  <c r="AC100" i="32"/>
  <c r="AD100" i="32"/>
  <c r="AE100" i="32"/>
  <c r="AF100" i="32"/>
  <c r="AG100" i="32"/>
  <c r="AH100" i="32"/>
  <c r="AI100" i="32"/>
  <c r="AJ100" i="32"/>
  <c r="AK100" i="32"/>
  <c r="AL100" i="32"/>
  <c r="E101" i="32"/>
  <c r="F101" i="32"/>
  <c r="G101" i="32"/>
  <c r="H101" i="32"/>
  <c r="I101" i="32"/>
  <c r="J101" i="32"/>
  <c r="K101" i="32"/>
  <c r="L101" i="32"/>
  <c r="M101" i="32"/>
  <c r="N101" i="32"/>
  <c r="O101" i="32"/>
  <c r="P101" i="32"/>
  <c r="Q101" i="32"/>
  <c r="R101" i="32"/>
  <c r="S101" i="32"/>
  <c r="T101" i="32"/>
  <c r="U101" i="32"/>
  <c r="V101" i="32"/>
  <c r="W101" i="32"/>
  <c r="X101" i="32"/>
  <c r="Y101" i="32"/>
  <c r="Z101" i="32"/>
  <c r="AA101" i="32"/>
  <c r="AB101" i="32"/>
  <c r="AC101" i="32"/>
  <c r="AD101" i="32"/>
  <c r="AE101" i="32"/>
  <c r="AF101" i="32"/>
  <c r="AG101" i="32"/>
  <c r="AH101" i="32"/>
  <c r="AI101" i="32"/>
  <c r="AJ101" i="32"/>
  <c r="AK101" i="32"/>
  <c r="AL101" i="32"/>
  <c r="C102" i="32"/>
  <c r="D102" i="32"/>
  <c r="E102" i="32"/>
  <c r="F102" i="32"/>
  <c r="G102" i="32"/>
  <c r="H102" i="32"/>
  <c r="I102" i="32"/>
  <c r="J102" i="32"/>
  <c r="K102" i="32"/>
  <c r="L102" i="32"/>
  <c r="M102" i="32"/>
  <c r="N102" i="32"/>
  <c r="O102" i="32"/>
  <c r="P102" i="32"/>
  <c r="Q102" i="32"/>
  <c r="R102" i="32"/>
  <c r="S102" i="32"/>
  <c r="T102" i="32"/>
  <c r="U102" i="32"/>
  <c r="V102" i="32"/>
  <c r="W102" i="32"/>
  <c r="X102" i="32"/>
  <c r="Y102" i="32"/>
  <c r="Z102" i="32"/>
  <c r="AA102" i="32"/>
  <c r="AB102" i="32"/>
  <c r="AC102" i="32"/>
  <c r="AD102" i="32"/>
  <c r="AE102" i="32"/>
  <c r="AF102" i="32"/>
  <c r="AG102" i="32"/>
  <c r="AH102" i="32"/>
  <c r="AI102" i="32"/>
  <c r="AJ102" i="32"/>
  <c r="AK102" i="32"/>
  <c r="AL102" i="32"/>
  <c r="E103" i="32"/>
  <c r="F103" i="32"/>
  <c r="G103" i="32"/>
  <c r="H103" i="32"/>
  <c r="I103" i="32"/>
  <c r="J103" i="32"/>
  <c r="K103" i="32"/>
  <c r="L103" i="32"/>
  <c r="M103" i="32"/>
  <c r="N103" i="32"/>
  <c r="O103" i="32"/>
  <c r="P103" i="32"/>
  <c r="Q103" i="32"/>
  <c r="R103" i="32"/>
  <c r="S103" i="32"/>
  <c r="T103" i="32"/>
  <c r="U103" i="32"/>
  <c r="V103" i="32"/>
  <c r="W103" i="32"/>
  <c r="X103" i="32"/>
  <c r="Y103" i="32"/>
  <c r="Z103" i="32"/>
  <c r="AA103" i="32"/>
  <c r="AB103" i="32"/>
  <c r="AC103" i="32"/>
  <c r="AD103" i="32"/>
  <c r="AE103" i="32"/>
  <c r="AF103" i="32"/>
  <c r="AG103" i="32"/>
  <c r="AH103" i="32"/>
  <c r="AI103" i="32"/>
  <c r="AJ103" i="32"/>
  <c r="AK103" i="32"/>
  <c r="AL103" i="32"/>
  <c r="E104" i="32"/>
  <c r="F104" i="32"/>
  <c r="G104" i="32"/>
  <c r="H104" i="32"/>
  <c r="I104" i="32"/>
  <c r="J104" i="32"/>
  <c r="K104" i="32"/>
  <c r="L104" i="32"/>
  <c r="M104" i="32"/>
  <c r="N104" i="32"/>
  <c r="O104" i="32"/>
  <c r="P104" i="32"/>
  <c r="Q104" i="32"/>
  <c r="R104" i="32"/>
  <c r="S104" i="32"/>
  <c r="T104" i="32"/>
  <c r="U104" i="32"/>
  <c r="V104" i="32"/>
  <c r="W104" i="32"/>
  <c r="X104" i="32"/>
  <c r="Y104" i="32"/>
  <c r="Z104" i="32"/>
  <c r="AA104" i="32"/>
  <c r="AB104" i="32"/>
  <c r="AC104" i="32"/>
  <c r="AD104" i="32"/>
  <c r="AE104" i="32"/>
  <c r="AF104" i="32"/>
  <c r="AG104" i="32"/>
  <c r="AH104" i="32"/>
  <c r="AI104" i="32"/>
  <c r="AJ104" i="32"/>
  <c r="AK104" i="32"/>
  <c r="AL104" i="32"/>
  <c r="D105" i="32"/>
  <c r="E105" i="32"/>
  <c r="F105" i="32"/>
  <c r="G105" i="32"/>
  <c r="H105" i="32"/>
  <c r="I105" i="32"/>
  <c r="J105" i="32"/>
  <c r="K105" i="32"/>
  <c r="L105" i="32"/>
  <c r="M105" i="32"/>
  <c r="N105" i="32"/>
  <c r="O105" i="32"/>
  <c r="P105" i="32"/>
  <c r="Q105" i="32"/>
  <c r="R105" i="32"/>
  <c r="S105" i="32"/>
  <c r="T105" i="32"/>
  <c r="U105" i="32"/>
  <c r="V105" i="32"/>
  <c r="W105" i="32"/>
  <c r="X105" i="32"/>
  <c r="Y105" i="32"/>
  <c r="Z105" i="32"/>
  <c r="AA105" i="32"/>
  <c r="AB105" i="32"/>
  <c r="AC105" i="32"/>
  <c r="AD105" i="32"/>
  <c r="AE105" i="32"/>
  <c r="AF105" i="32"/>
  <c r="AG105" i="32"/>
  <c r="AH105" i="32"/>
  <c r="AI105" i="32"/>
  <c r="AJ105" i="32"/>
  <c r="AK105" i="32"/>
  <c r="AL105" i="32"/>
  <c r="E106" i="32"/>
  <c r="F106" i="32"/>
  <c r="G106" i="32"/>
  <c r="H106" i="32"/>
  <c r="I106" i="32"/>
  <c r="J106" i="32"/>
  <c r="K106" i="32"/>
  <c r="L106" i="32"/>
  <c r="M106" i="32"/>
  <c r="N106" i="32"/>
  <c r="O106" i="32"/>
  <c r="P106" i="32"/>
  <c r="Q106" i="32"/>
  <c r="R106" i="32"/>
  <c r="S106" i="32"/>
  <c r="T106" i="32"/>
  <c r="U106" i="32"/>
  <c r="V106" i="32"/>
  <c r="W106" i="32"/>
  <c r="X106" i="32"/>
  <c r="Y106" i="32"/>
  <c r="Z106" i="32"/>
  <c r="AA106" i="32"/>
  <c r="AB106" i="32"/>
  <c r="AC106" i="32"/>
  <c r="AD106" i="32"/>
  <c r="AE106" i="32"/>
  <c r="AF106" i="32"/>
  <c r="AG106" i="32"/>
  <c r="AH106" i="32"/>
  <c r="AI106" i="32"/>
  <c r="AJ106" i="32"/>
  <c r="AK106" i="32"/>
  <c r="AL106" i="32"/>
  <c r="D107" i="32"/>
  <c r="E107" i="32"/>
  <c r="F107" i="32"/>
  <c r="G107" i="32"/>
  <c r="H107" i="32"/>
  <c r="I107" i="32"/>
  <c r="J107" i="32"/>
  <c r="K107" i="32"/>
  <c r="L107" i="32"/>
  <c r="M107" i="32"/>
  <c r="N107" i="32"/>
  <c r="O107" i="32"/>
  <c r="P107" i="32"/>
  <c r="Q107" i="32"/>
  <c r="R107" i="32"/>
  <c r="S107" i="32"/>
  <c r="T107" i="32"/>
  <c r="U107" i="32"/>
  <c r="V107" i="32"/>
  <c r="W107" i="32"/>
  <c r="X107" i="32"/>
  <c r="Y107" i="32"/>
  <c r="Z107" i="32"/>
  <c r="AA107" i="32"/>
  <c r="AB107" i="32"/>
  <c r="AC107" i="32"/>
  <c r="AD107" i="32"/>
  <c r="AE107" i="32"/>
  <c r="AF107" i="32"/>
  <c r="AG107" i="32"/>
  <c r="AH107" i="32"/>
  <c r="AI107" i="32"/>
  <c r="AJ107" i="32"/>
  <c r="AK107" i="32"/>
  <c r="AL107" i="32"/>
  <c r="E108" i="32"/>
  <c r="F108" i="32"/>
  <c r="G108" i="32"/>
  <c r="H108" i="32"/>
  <c r="I108" i="32"/>
  <c r="J108" i="32"/>
  <c r="K108" i="32"/>
  <c r="L108" i="32"/>
  <c r="M108" i="32"/>
  <c r="N108" i="32"/>
  <c r="O108" i="32"/>
  <c r="P108" i="32"/>
  <c r="Q108" i="32"/>
  <c r="R108" i="32"/>
  <c r="S108" i="32"/>
  <c r="T108" i="32"/>
  <c r="U108" i="32"/>
  <c r="V108" i="32"/>
  <c r="W108" i="32"/>
  <c r="X108" i="32"/>
  <c r="Y108" i="32"/>
  <c r="Z108" i="32"/>
  <c r="AA108" i="32"/>
  <c r="AB108" i="32"/>
  <c r="AC108" i="32"/>
  <c r="AD108" i="32"/>
  <c r="AE108" i="32"/>
  <c r="AF108" i="32"/>
  <c r="AG108" i="32"/>
  <c r="AH108" i="32"/>
  <c r="AI108" i="32"/>
  <c r="AJ108" i="32"/>
  <c r="AK108" i="32"/>
  <c r="AL108" i="32"/>
  <c r="C109" i="32"/>
  <c r="D109" i="32"/>
  <c r="E109" i="32"/>
  <c r="F109" i="32"/>
  <c r="G109" i="32"/>
  <c r="H109" i="32"/>
  <c r="I109" i="32"/>
  <c r="J109" i="32"/>
  <c r="K109" i="32"/>
  <c r="L109" i="32"/>
  <c r="M109" i="32"/>
  <c r="N109" i="32"/>
  <c r="O109" i="32"/>
  <c r="P109" i="32"/>
  <c r="Q109" i="32"/>
  <c r="R109" i="32"/>
  <c r="S109" i="32"/>
  <c r="T109" i="32"/>
  <c r="U109" i="32"/>
  <c r="V109" i="32"/>
  <c r="W109" i="32"/>
  <c r="X109" i="32"/>
  <c r="Y109" i="32"/>
  <c r="Z109" i="32"/>
  <c r="AA109" i="32"/>
  <c r="AB109" i="32"/>
  <c r="AC109" i="32"/>
  <c r="AD109" i="32"/>
  <c r="AE109" i="32"/>
  <c r="AF109" i="32"/>
  <c r="AG109" i="32"/>
  <c r="AH109" i="32"/>
  <c r="AI109" i="32"/>
  <c r="AJ109" i="32"/>
  <c r="AK109" i="32"/>
  <c r="AL109" i="32"/>
  <c r="E110" i="32"/>
  <c r="F110" i="32"/>
  <c r="G110" i="32"/>
  <c r="H110" i="32"/>
  <c r="I110" i="32"/>
  <c r="J110" i="32"/>
  <c r="K110" i="32"/>
  <c r="L110" i="32"/>
  <c r="M110" i="32"/>
  <c r="N110" i="32"/>
  <c r="O110" i="32"/>
  <c r="P110" i="32"/>
  <c r="Q110" i="32"/>
  <c r="R110" i="32"/>
  <c r="S110" i="32"/>
  <c r="T110" i="32"/>
  <c r="U110" i="32"/>
  <c r="V110" i="32"/>
  <c r="W110" i="32"/>
  <c r="X110" i="32"/>
  <c r="Y110" i="32"/>
  <c r="Z110" i="32"/>
  <c r="AA110" i="32"/>
  <c r="AB110" i="32"/>
  <c r="AC110" i="32"/>
  <c r="AD110" i="32"/>
  <c r="AE110" i="32"/>
  <c r="AF110" i="32"/>
  <c r="AG110" i="32"/>
  <c r="AH110" i="32"/>
  <c r="AI110" i="32"/>
  <c r="AJ110" i="32"/>
  <c r="AK110" i="32"/>
  <c r="AL110" i="32"/>
  <c r="E111" i="32"/>
  <c r="F111" i="32"/>
  <c r="G111" i="32"/>
  <c r="H111" i="32"/>
  <c r="I111" i="32"/>
  <c r="J111" i="32"/>
  <c r="K111" i="32"/>
  <c r="L111" i="32"/>
  <c r="M111" i="32"/>
  <c r="N111" i="32"/>
  <c r="O111" i="32"/>
  <c r="P111" i="32"/>
  <c r="Q111" i="32"/>
  <c r="R111" i="32"/>
  <c r="S111" i="32"/>
  <c r="T111" i="32"/>
  <c r="U111" i="32"/>
  <c r="V111" i="32"/>
  <c r="W111" i="32"/>
  <c r="X111" i="32"/>
  <c r="Y111" i="32"/>
  <c r="Z111" i="32"/>
  <c r="AA111" i="32"/>
  <c r="AB111" i="32"/>
  <c r="AC111" i="32"/>
  <c r="AD111" i="32"/>
  <c r="AE111" i="32"/>
  <c r="AF111" i="32"/>
  <c r="AG111" i="32"/>
  <c r="AH111" i="32"/>
  <c r="AI111" i="32"/>
  <c r="AJ111" i="32"/>
  <c r="AK111" i="32"/>
  <c r="AL111" i="32"/>
  <c r="D112" i="32"/>
  <c r="E112" i="32"/>
  <c r="F112" i="32"/>
  <c r="G112" i="32"/>
  <c r="H112" i="32"/>
  <c r="I112" i="32"/>
  <c r="J112" i="32"/>
  <c r="K112" i="32"/>
  <c r="L112" i="32"/>
  <c r="M112" i="32"/>
  <c r="N112" i="32"/>
  <c r="O112" i="32"/>
  <c r="P112" i="32"/>
  <c r="Q112" i="32"/>
  <c r="R112" i="32"/>
  <c r="S112" i="32"/>
  <c r="T112" i="32"/>
  <c r="U112" i="32"/>
  <c r="V112" i="32"/>
  <c r="W112" i="32"/>
  <c r="X112" i="32"/>
  <c r="Y112" i="32"/>
  <c r="Z112" i="32"/>
  <c r="AA112" i="32"/>
  <c r="AB112" i="32"/>
  <c r="AC112" i="32"/>
  <c r="AD112" i="32"/>
  <c r="AE112" i="32"/>
  <c r="AF112" i="32"/>
  <c r="AG112" i="32"/>
  <c r="AH112" i="32"/>
  <c r="AI112" i="32"/>
  <c r="AJ112" i="32"/>
  <c r="AK112" i="32"/>
  <c r="AL112" i="32"/>
  <c r="E113" i="32"/>
  <c r="F113" i="32"/>
  <c r="G113" i="32"/>
  <c r="H113" i="32"/>
  <c r="I113" i="32"/>
  <c r="J113" i="32"/>
  <c r="K113" i="32"/>
  <c r="L113" i="32"/>
  <c r="M113" i="32"/>
  <c r="N113" i="32"/>
  <c r="O113" i="32"/>
  <c r="P113" i="32"/>
  <c r="Q113" i="32"/>
  <c r="R113" i="32"/>
  <c r="S113" i="32"/>
  <c r="T113" i="32"/>
  <c r="U113" i="32"/>
  <c r="V113" i="32"/>
  <c r="W113" i="32"/>
  <c r="X113" i="32"/>
  <c r="Y113" i="32"/>
  <c r="Z113" i="32"/>
  <c r="AA113" i="32"/>
  <c r="AB113" i="32"/>
  <c r="AC113" i="32"/>
  <c r="AD113" i="32"/>
  <c r="AE113" i="32"/>
  <c r="AF113" i="32"/>
  <c r="AG113" i="32"/>
  <c r="AH113" i="32"/>
  <c r="AI113" i="32"/>
  <c r="AJ113" i="32"/>
  <c r="AK113" i="32"/>
  <c r="AL113" i="32"/>
  <c r="D114" i="32"/>
  <c r="E114" i="32"/>
  <c r="F114" i="32"/>
  <c r="G114" i="32"/>
  <c r="H114" i="32"/>
  <c r="I114" i="32"/>
  <c r="J114" i="32"/>
  <c r="K114" i="32"/>
  <c r="L114" i="32"/>
  <c r="M114" i="32"/>
  <c r="N114" i="32"/>
  <c r="O114" i="32"/>
  <c r="P114" i="32"/>
  <c r="Q114" i="32"/>
  <c r="R114" i="32"/>
  <c r="S114" i="32"/>
  <c r="T114" i="32"/>
  <c r="U114" i="32"/>
  <c r="V114" i="32"/>
  <c r="W114" i="32"/>
  <c r="X114" i="32"/>
  <c r="Y114" i="32"/>
  <c r="Z114" i="32"/>
  <c r="AA114" i="32"/>
  <c r="AB114" i="32"/>
  <c r="AC114" i="32"/>
  <c r="AD114" i="32"/>
  <c r="AE114" i="32"/>
  <c r="AF114" i="32"/>
  <c r="AG114" i="32"/>
  <c r="AH114" i="32"/>
  <c r="AI114" i="32"/>
  <c r="AJ114" i="32"/>
  <c r="AK114" i="32"/>
  <c r="AL114" i="32"/>
  <c r="E115" i="32"/>
  <c r="F115" i="32"/>
  <c r="G115" i="32"/>
  <c r="H115" i="32"/>
  <c r="I115" i="32"/>
  <c r="J115" i="32"/>
  <c r="K115" i="32"/>
  <c r="L115" i="32"/>
  <c r="M115" i="32"/>
  <c r="N115" i="32"/>
  <c r="O115" i="32"/>
  <c r="P115" i="32"/>
  <c r="Q115" i="32"/>
  <c r="R115" i="32"/>
  <c r="S115" i="32"/>
  <c r="T115" i="32"/>
  <c r="U115" i="32"/>
  <c r="V115" i="32"/>
  <c r="W115" i="32"/>
  <c r="X115" i="32"/>
  <c r="Y115" i="32"/>
  <c r="Z115" i="32"/>
  <c r="AA115" i="32"/>
  <c r="AB115" i="32"/>
  <c r="AC115" i="32"/>
  <c r="AD115" i="32"/>
  <c r="AE115" i="32"/>
  <c r="AF115" i="32"/>
  <c r="AG115" i="32"/>
  <c r="AH115" i="32"/>
  <c r="AI115" i="32"/>
  <c r="AJ115" i="32"/>
  <c r="AK115" i="32"/>
  <c r="AL115" i="32"/>
  <c r="C116" i="32"/>
  <c r="D116" i="32"/>
  <c r="E116" i="32"/>
  <c r="F116" i="32"/>
  <c r="G116" i="32"/>
  <c r="H116" i="32"/>
  <c r="I116" i="32"/>
  <c r="J116" i="32"/>
  <c r="K116" i="32"/>
  <c r="L116" i="32"/>
  <c r="M116" i="32"/>
  <c r="N116" i="32"/>
  <c r="O116" i="32"/>
  <c r="P116" i="32"/>
  <c r="Q116" i="32"/>
  <c r="R116" i="32"/>
  <c r="S116" i="32"/>
  <c r="T116" i="32"/>
  <c r="U116" i="32"/>
  <c r="V116" i="32"/>
  <c r="W116" i="32"/>
  <c r="X116" i="32"/>
  <c r="Y116" i="32"/>
  <c r="Z116" i="32"/>
  <c r="AA116" i="32"/>
  <c r="AB116" i="32"/>
  <c r="AC116" i="32"/>
  <c r="AD116" i="32"/>
  <c r="AE116" i="32"/>
  <c r="AF116" i="32"/>
  <c r="AG116" i="32"/>
  <c r="AH116" i="32"/>
  <c r="AI116" i="32"/>
  <c r="AJ116" i="32"/>
  <c r="AK116" i="32"/>
  <c r="AL116" i="32"/>
  <c r="E117" i="32"/>
  <c r="F117" i="32"/>
  <c r="G117" i="32"/>
  <c r="H117" i="32"/>
  <c r="I117" i="32"/>
  <c r="J117" i="32"/>
  <c r="K117" i="32"/>
  <c r="L117" i="32"/>
  <c r="M117" i="32"/>
  <c r="N117" i="32"/>
  <c r="O117" i="32"/>
  <c r="P117" i="32"/>
  <c r="Q117" i="32"/>
  <c r="R117" i="32"/>
  <c r="S117" i="32"/>
  <c r="T117" i="32"/>
  <c r="U117" i="32"/>
  <c r="V117" i="32"/>
  <c r="W117" i="32"/>
  <c r="X117" i="32"/>
  <c r="Y117" i="32"/>
  <c r="Z117" i="32"/>
  <c r="AA117" i="32"/>
  <c r="AB117" i="32"/>
  <c r="AC117" i="32"/>
  <c r="AD117" i="32"/>
  <c r="AE117" i="32"/>
  <c r="AF117" i="32"/>
  <c r="AG117" i="32"/>
  <c r="AH117" i="32"/>
  <c r="AI117" i="32"/>
  <c r="AJ117" i="32"/>
  <c r="AK117" i="32"/>
  <c r="AL117" i="32"/>
  <c r="E118" i="32"/>
  <c r="F118" i="32"/>
  <c r="G118" i="32"/>
  <c r="H118" i="32"/>
  <c r="I118" i="32"/>
  <c r="J118" i="32"/>
  <c r="K118" i="32"/>
  <c r="L118" i="32"/>
  <c r="M118" i="32"/>
  <c r="N118" i="32"/>
  <c r="O118" i="32"/>
  <c r="P118" i="32"/>
  <c r="Q118" i="32"/>
  <c r="R118" i="32"/>
  <c r="S118" i="32"/>
  <c r="T118" i="32"/>
  <c r="U118" i="32"/>
  <c r="V118" i="32"/>
  <c r="W118" i="32"/>
  <c r="X118" i="32"/>
  <c r="Y118" i="32"/>
  <c r="Z118" i="32"/>
  <c r="AA118" i="32"/>
  <c r="AB118" i="32"/>
  <c r="AC118" i="32"/>
  <c r="AD118" i="32"/>
  <c r="AE118" i="32"/>
  <c r="AF118" i="32"/>
  <c r="AG118" i="32"/>
  <c r="AH118" i="32"/>
  <c r="AI118" i="32"/>
  <c r="AJ118" i="32"/>
  <c r="AK118" i="32"/>
  <c r="AL118" i="32"/>
  <c r="D119" i="32"/>
  <c r="E119" i="32"/>
  <c r="F119" i="32"/>
  <c r="G119" i="32"/>
  <c r="H119" i="32"/>
  <c r="I119" i="32"/>
  <c r="J119" i="32"/>
  <c r="K119" i="32"/>
  <c r="L119" i="32"/>
  <c r="M119" i="32"/>
  <c r="N119" i="32"/>
  <c r="O119" i="32"/>
  <c r="P119" i="32"/>
  <c r="Q119" i="32"/>
  <c r="R119" i="32"/>
  <c r="S119" i="32"/>
  <c r="T119" i="32"/>
  <c r="U119" i="32"/>
  <c r="V119" i="32"/>
  <c r="W119" i="32"/>
  <c r="X119" i="32"/>
  <c r="Y119" i="32"/>
  <c r="Z119" i="32"/>
  <c r="AA119" i="32"/>
  <c r="AB119" i="32"/>
  <c r="AC119" i="32"/>
  <c r="AD119" i="32"/>
  <c r="AE119" i="32"/>
  <c r="AF119" i="32"/>
  <c r="AG119" i="32"/>
  <c r="AH119" i="32"/>
  <c r="AI119" i="32"/>
  <c r="AJ119" i="32"/>
  <c r="AK119" i="32"/>
  <c r="AL119" i="32"/>
  <c r="E120" i="32"/>
  <c r="F120" i="32"/>
  <c r="G120" i="32"/>
  <c r="H120" i="32"/>
  <c r="I120" i="32"/>
  <c r="J120" i="32"/>
  <c r="K120" i="32"/>
  <c r="L120" i="32"/>
  <c r="M120" i="32"/>
  <c r="N120" i="32"/>
  <c r="O120" i="32"/>
  <c r="P120" i="32"/>
  <c r="Q120" i="32"/>
  <c r="R120" i="32"/>
  <c r="S120" i="32"/>
  <c r="T120" i="32"/>
  <c r="U120" i="32"/>
  <c r="V120" i="32"/>
  <c r="W120" i="32"/>
  <c r="X120" i="32"/>
  <c r="Y120" i="32"/>
  <c r="Z120" i="32"/>
  <c r="AA120" i="32"/>
  <c r="AB120" i="32"/>
  <c r="AC120" i="32"/>
  <c r="AD120" i="32"/>
  <c r="AE120" i="32"/>
  <c r="AF120" i="32"/>
  <c r="AG120" i="32"/>
  <c r="AH120" i="32"/>
  <c r="AI120" i="32"/>
  <c r="AJ120" i="32"/>
  <c r="AK120" i="32"/>
  <c r="AL120" i="32"/>
  <c r="D121" i="32"/>
  <c r="E121" i="32"/>
  <c r="F121" i="32"/>
  <c r="G121" i="32"/>
  <c r="H121" i="32"/>
  <c r="I121" i="32"/>
  <c r="J121" i="32"/>
  <c r="K121" i="32"/>
  <c r="L121" i="32"/>
  <c r="M121" i="32"/>
  <c r="N121" i="32"/>
  <c r="O121" i="32"/>
  <c r="P121" i="32"/>
  <c r="Q121" i="32"/>
  <c r="R121" i="32"/>
  <c r="S121" i="32"/>
  <c r="T121" i="32"/>
  <c r="U121" i="32"/>
  <c r="V121" i="32"/>
  <c r="W121" i="32"/>
  <c r="X121" i="32"/>
  <c r="Y121" i="32"/>
  <c r="Z121" i="32"/>
  <c r="AA121" i="32"/>
  <c r="AB121" i="32"/>
  <c r="AC121" i="32"/>
  <c r="AD121" i="32"/>
  <c r="AE121" i="32"/>
  <c r="AF121" i="32"/>
  <c r="AG121" i="32"/>
  <c r="AH121" i="32"/>
  <c r="AI121" i="32"/>
  <c r="AJ121" i="32"/>
  <c r="AK121" i="32"/>
  <c r="AL121" i="32"/>
  <c r="E122" i="32"/>
  <c r="F122" i="32"/>
  <c r="G122" i="32"/>
  <c r="H122" i="32"/>
  <c r="I122" i="32"/>
  <c r="J122" i="32"/>
  <c r="K122" i="32"/>
  <c r="L122" i="32"/>
  <c r="M122" i="32"/>
  <c r="N122" i="32"/>
  <c r="O122" i="32"/>
  <c r="P122" i="32"/>
  <c r="Q122" i="32"/>
  <c r="R122" i="32"/>
  <c r="S122" i="32"/>
  <c r="T122" i="32"/>
  <c r="U122" i="32"/>
  <c r="V122" i="32"/>
  <c r="W122" i="32"/>
  <c r="X122" i="32"/>
  <c r="Y122" i="32"/>
  <c r="Z122" i="32"/>
  <c r="AA122" i="32"/>
  <c r="AB122" i="32"/>
  <c r="AC122" i="32"/>
  <c r="AD122" i="32"/>
  <c r="AE122" i="32"/>
  <c r="AF122" i="32"/>
  <c r="AG122" i="32"/>
  <c r="AH122" i="32"/>
  <c r="AI122" i="32"/>
  <c r="AJ122" i="32"/>
  <c r="AK122" i="32"/>
  <c r="AL122" i="32"/>
  <c r="C67" i="31"/>
  <c r="C74" i="31"/>
  <c r="C81" i="31"/>
  <c r="C88" i="31"/>
  <c r="C95" i="31"/>
  <c r="C102" i="31"/>
  <c r="C60" i="31"/>
  <c r="C53" i="31"/>
  <c r="C46" i="31"/>
  <c r="C39" i="31"/>
  <c r="C32" i="31"/>
  <c r="C25" i="31"/>
  <c r="C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AH18" i="31"/>
  <c r="AI18" i="31"/>
  <c r="AJ18" i="31"/>
  <c r="AK18" i="31"/>
  <c r="AL18"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AH19" i="31"/>
  <c r="AI19" i="31"/>
  <c r="AJ19" i="31"/>
  <c r="AK19" i="31"/>
  <c r="AL19" i="31"/>
  <c r="H21" i="31"/>
  <c r="I21" i="31"/>
  <c r="J21" i="31"/>
  <c r="K21" i="31"/>
  <c r="L21" i="31"/>
  <c r="M21" i="31"/>
  <c r="N21" i="31"/>
  <c r="O21" i="31"/>
  <c r="P21" i="31"/>
  <c r="Q21" i="31"/>
  <c r="R21" i="31"/>
  <c r="S21" i="31"/>
  <c r="T21" i="31"/>
  <c r="U21" i="31"/>
  <c r="V21" i="31"/>
  <c r="W21" i="31"/>
  <c r="X21" i="31"/>
  <c r="Y21" i="31"/>
  <c r="Z21" i="31"/>
  <c r="AA21" i="31"/>
  <c r="AB21" i="31"/>
  <c r="AC21" i="31"/>
  <c r="AD21" i="31"/>
  <c r="AE21" i="31"/>
  <c r="AF21" i="31"/>
  <c r="AG21" i="31"/>
  <c r="AH21" i="31"/>
  <c r="AI21" i="31"/>
  <c r="AJ21" i="31"/>
  <c r="AK21" i="31"/>
  <c r="AL21"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AH22" i="31"/>
  <c r="AI22" i="31"/>
  <c r="AJ22" i="31"/>
  <c r="AK22" i="31"/>
  <c r="AL22"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AH23" i="31"/>
  <c r="AI23" i="31"/>
  <c r="AJ23" i="31"/>
  <c r="AK23" i="31"/>
  <c r="AL23" i="31"/>
  <c r="H24" i="31"/>
  <c r="I24" i="31"/>
  <c r="J24" i="31"/>
  <c r="K24" i="31"/>
  <c r="L24" i="31"/>
  <c r="M24" i="31"/>
  <c r="N24" i="31"/>
  <c r="O24" i="31"/>
  <c r="P24" i="31"/>
  <c r="Q24" i="31"/>
  <c r="R24" i="31"/>
  <c r="S24" i="31"/>
  <c r="T24" i="31"/>
  <c r="U24" i="31"/>
  <c r="V24" i="31"/>
  <c r="W24" i="31"/>
  <c r="X24" i="31"/>
  <c r="Y24" i="31"/>
  <c r="Z24" i="31"/>
  <c r="AA24" i="31"/>
  <c r="AB24" i="31"/>
  <c r="AC24" i="31"/>
  <c r="AD24" i="31"/>
  <c r="AE24" i="31"/>
  <c r="AF24" i="31"/>
  <c r="AG24" i="31"/>
  <c r="AH24" i="31"/>
  <c r="AI24" i="31"/>
  <c r="AJ24" i="31"/>
  <c r="AK24" i="31"/>
  <c r="AL24"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AH25" i="31"/>
  <c r="AI25" i="31"/>
  <c r="AJ25" i="31"/>
  <c r="AK25" i="31"/>
  <c r="AL25"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AH26" i="31"/>
  <c r="AI26" i="31"/>
  <c r="AJ26" i="31"/>
  <c r="AK26" i="31"/>
  <c r="AL26"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AH28" i="31"/>
  <c r="AI28" i="31"/>
  <c r="AJ28" i="31"/>
  <c r="AK28" i="31"/>
  <c r="AL28"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AH29" i="31"/>
  <c r="AI29" i="31"/>
  <c r="AJ29" i="31"/>
  <c r="AK29" i="31"/>
  <c r="AL29"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AH30" i="31"/>
  <c r="AI30" i="31"/>
  <c r="AJ30" i="31"/>
  <c r="AK30" i="31"/>
  <c r="AL30"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AH31" i="31"/>
  <c r="AI31" i="31"/>
  <c r="AJ31" i="31"/>
  <c r="AK31" i="31"/>
  <c r="AL31"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AH32" i="31"/>
  <c r="AI32" i="31"/>
  <c r="AJ32" i="31"/>
  <c r="AK32" i="31"/>
  <c r="AL32"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AH33" i="31"/>
  <c r="AI33" i="31"/>
  <c r="AJ33" i="31"/>
  <c r="AK33" i="31"/>
  <c r="AL33"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AH35" i="31"/>
  <c r="AI35" i="31"/>
  <c r="AJ35" i="31"/>
  <c r="AK35" i="31"/>
  <c r="AL35"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AH36" i="31"/>
  <c r="AI36" i="31"/>
  <c r="AJ36" i="31"/>
  <c r="AK36" i="31"/>
  <c r="AL36"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AH37" i="31"/>
  <c r="AI37" i="31"/>
  <c r="AJ37" i="31"/>
  <c r="AK37" i="31"/>
  <c r="AL37"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AH38" i="31"/>
  <c r="AI38" i="31"/>
  <c r="AJ38" i="31"/>
  <c r="AK38" i="31"/>
  <c r="AL38"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AH39" i="31"/>
  <c r="AI39" i="31"/>
  <c r="AJ39" i="31"/>
  <c r="AK39" i="31"/>
  <c r="AL39" i="31"/>
  <c r="H40" i="31"/>
  <c r="I40" i="31"/>
  <c r="J40" i="31"/>
  <c r="K40" i="31"/>
  <c r="L40" i="31"/>
  <c r="M40" i="31"/>
  <c r="N40" i="31"/>
  <c r="O40" i="31"/>
  <c r="P40" i="31"/>
  <c r="Q40" i="31"/>
  <c r="R40" i="31"/>
  <c r="S40" i="31"/>
  <c r="T40" i="31"/>
  <c r="U40" i="31"/>
  <c r="V40" i="31"/>
  <c r="W40" i="31"/>
  <c r="X40" i="31"/>
  <c r="Y40" i="31"/>
  <c r="Z40" i="31"/>
  <c r="AA40" i="31"/>
  <c r="AB40" i="31"/>
  <c r="AC40" i="31"/>
  <c r="AD40" i="31"/>
  <c r="AE40" i="31"/>
  <c r="AF40" i="31"/>
  <c r="AG40" i="31"/>
  <c r="AH40" i="31"/>
  <c r="AI40" i="31"/>
  <c r="AJ40" i="31"/>
  <c r="AK40" i="31"/>
  <c r="AL40"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AH42" i="31"/>
  <c r="AI42" i="31"/>
  <c r="AJ42" i="31"/>
  <c r="AK42" i="31"/>
  <c r="AL42"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AH43" i="31"/>
  <c r="AI43" i="31"/>
  <c r="AJ43" i="31"/>
  <c r="AK43" i="31"/>
  <c r="AL43"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AH44" i="31"/>
  <c r="AI44" i="31"/>
  <c r="AJ44" i="31"/>
  <c r="AK44" i="31"/>
  <c r="AL44"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AH45" i="31"/>
  <c r="AI45" i="31"/>
  <c r="AJ45" i="31"/>
  <c r="AK45" i="31"/>
  <c r="AL45"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AH46" i="31"/>
  <c r="AI46" i="31"/>
  <c r="AJ46" i="31"/>
  <c r="AK46" i="31"/>
  <c r="AL46"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AH47" i="31"/>
  <c r="AI47" i="31"/>
  <c r="AJ47" i="31"/>
  <c r="AK47" i="31"/>
  <c r="AL47"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AH49" i="31"/>
  <c r="AI49" i="31"/>
  <c r="AJ49" i="31"/>
  <c r="AK49" i="31"/>
  <c r="AL49"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AH50" i="31"/>
  <c r="AI50" i="31"/>
  <c r="AJ50" i="31"/>
  <c r="AK50" i="31"/>
  <c r="AL50"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AH51" i="31"/>
  <c r="AI51" i="31"/>
  <c r="AJ51" i="31"/>
  <c r="AK51" i="31"/>
  <c r="AL51"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AH52" i="31"/>
  <c r="AI52" i="31"/>
  <c r="AJ52" i="31"/>
  <c r="AK52" i="31"/>
  <c r="AL52"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AH53" i="31"/>
  <c r="AI53" i="31"/>
  <c r="AJ53" i="31"/>
  <c r="AK53" i="31"/>
  <c r="AL53"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AH54" i="31"/>
  <c r="AI54" i="31"/>
  <c r="AJ54" i="31"/>
  <c r="AK54" i="31"/>
  <c r="AL54"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AH56" i="31"/>
  <c r="AI56" i="31"/>
  <c r="AJ56" i="31"/>
  <c r="AK56" i="31"/>
  <c r="AL56"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AH57" i="31"/>
  <c r="AI57" i="31"/>
  <c r="AJ57" i="31"/>
  <c r="AK57" i="31"/>
  <c r="AL57"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AH58" i="31"/>
  <c r="AI58" i="31"/>
  <c r="AJ58" i="31"/>
  <c r="AK58" i="31"/>
  <c r="AL58"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AH59" i="31"/>
  <c r="AI59" i="31"/>
  <c r="AJ59" i="31"/>
  <c r="AK59" i="31"/>
  <c r="AL59"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AH60" i="31"/>
  <c r="AI60" i="31"/>
  <c r="AJ60" i="31"/>
  <c r="AK60" i="31"/>
  <c r="AL60"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AH61" i="31"/>
  <c r="AI61" i="31"/>
  <c r="AJ61" i="31"/>
  <c r="AK61" i="31"/>
  <c r="AL61"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AH63" i="31"/>
  <c r="AI63" i="31"/>
  <c r="AJ63" i="31"/>
  <c r="AK63" i="31"/>
  <c r="AL63"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AH64" i="31"/>
  <c r="AI64" i="31"/>
  <c r="AJ64" i="31"/>
  <c r="AK64" i="31"/>
  <c r="AL64"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AH65" i="31"/>
  <c r="AI65" i="31"/>
  <c r="AJ65" i="31"/>
  <c r="AK65" i="31"/>
  <c r="AL65"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AH66" i="31"/>
  <c r="AI66" i="31"/>
  <c r="AJ66" i="31"/>
  <c r="AK66" i="31"/>
  <c r="AL66"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AH67" i="31"/>
  <c r="AI67" i="31"/>
  <c r="AJ67" i="31"/>
  <c r="AK67" i="31"/>
  <c r="AL67"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AH68" i="31"/>
  <c r="AI68" i="31"/>
  <c r="AJ68" i="31"/>
  <c r="AK68" i="31"/>
  <c r="AL68"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AH70" i="31"/>
  <c r="AI70" i="31"/>
  <c r="AJ70" i="31"/>
  <c r="AK70" i="31"/>
  <c r="AL70"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AH71" i="31"/>
  <c r="AI71" i="31"/>
  <c r="AJ71" i="31"/>
  <c r="AK71" i="31"/>
  <c r="AL71"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AH72" i="31"/>
  <c r="AI72" i="31"/>
  <c r="AJ72" i="31"/>
  <c r="AK72" i="31"/>
  <c r="AL72"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AH73" i="31"/>
  <c r="AI73" i="31"/>
  <c r="AJ73" i="31"/>
  <c r="AK73" i="31"/>
  <c r="AL73"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AH74" i="31"/>
  <c r="AI74" i="31"/>
  <c r="AJ74" i="31"/>
  <c r="AK74" i="31"/>
  <c r="AL74"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AH75" i="31"/>
  <c r="AI75" i="31"/>
  <c r="AJ75" i="31"/>
  <c r="AK75" i="31"/>
  <c r="AL75"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AH77" i="31"/>
  <c r="AI77" i="31"/>
  <c r="AJ77" i="31"/>
  <c r="AK77" i="31"/>
  <c r="AL77"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AH78" i="31"/>
  <c r="AI78" i="31"/>
  <c r="AJ78" i="31"/>
  <c r="AK78" i="31"/>
  <c r="AL78"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AH79" i="31"/>
  <c r="AI79" i="31"/>
  <c r="AJ79" i="31"/>
  <c r="AK79" i="31"/>
  <c r="AL79" i="31"/>
  <c r="H80" i="31"/>
  <c r="I80" i="31"/>
  <c r="J80" i="31"/>
  <c r="K80" i="31"/>
  <c r="L80" i="31"/>
  <c r="M80" i="31"/>
  <c r="N80" i="31"/>
  <c r="O80" i="31"/>
  <c r="P80" i="31"/>
  <c r="Q80" i="31"/>
  <c r="R80" i="31"/>
  <c r="S80" i="31"/>
  <c r="T80" i="31"/>
  <c r="U80" i="31"/>
  <c r="V80" i="31"/>
  <c r="W80" i="31"/>
  <c r="X80" i="31"/>
  <c r="Y80" i="31"/>
  <c r="Z80" i="31"/>
  <c r="AA80" i="31"/>
  <c r="AB80" i="31"/>
  <c r="AC80" i="31"/>
  <c r="AD80" i="31"/>
  <c r="AE80" i="31"/>
  <c r="AF80" i="31"/>
  <c r="AG80" i="31"/>
  <c r="AH80" i="31"/>
  <c r="AI80" i="31"/>
  <c r="AJ80" i="31"/>
  <c r="AK80" i="31"/>
  <c r="AL80" i="31"/>
  <c r="H81" i="31"/>
  <c r="I81" i="31"/>
  <c r="J81" i="31"/>
  <c r="K81" i="31"/>
  <c r="L81" i="31"/>
  <c r="M81" i="31"/>
  <c r="N81" i="31"/>
  <c r="O81" i="31"/>
  <c r="P81" i="31"/>
  <c r="Q81" i="31"/>
  <c r="R81" i="31"/>
  <c r="S81" i="31"/>
  <c r="T81" i="31"/>
  <c r="U81" i="31"/>
  <c r="V81" i="31"/>
  <c r="W81" i="31"/>
  <c r="X81" i="31"/>
  <c r="Y81" i="31"/>
  <c r="Z81" i="31"/>
  <c r="AA81" i="31"/>
  <c r="AB81" i="31"/>
  <c r="AC81" i="31"/>
  <c r="AD81" i="31"/>
  <c r="AE81" i="31"/>
  <c r="AF81" i="31"/>
  <c r="AG81" i="31"/>
  <c r="AH81" i="31"/>
  <c r="AI81" i="31"/>
  <c r="AJ81" i="31"/>
  <c r="AK81" i="31"/>
  <c r="AL81" i="31"/>
  <c r="H82" i="31"/>
  <c r="I82" i="31"/>
  <c r="J82" i="31"/>
  <c r="K82" i="31"/>
  <c r="L82" i="31"/>
  <c r="M82" i="31"/>
  <c r="N82" i="31"/>
  <c r="O82" i="31"/>
  <c r="P82" i="31"/>
  <c r="Q82" i="31"/>
  <c r="R82" i="31"/>
  <c r="S82" i="31"/>
  <c r="T82" i="31"/>
  <c r="U82" i="31"/>
  <c r="V82" i="31"/>
  <c r="W82" i="31"/>
  <c r="X82" i="31"/>
  <c r="Y82" i="31"/>
  <c r="Z82" i="31"/>
  <c r="AA82" i="31"/>
  <c r="AB82" i="31"/>
  <c r="AC82" i="31"/>
  <c r="AD82" i="31"/>
  <c r="AE82" i="31"/>
  <c r="AF82" i="31"/>
  <c r="AG82" i="31"/>
  <c r="AH82" i="31"/>
  <c r="AI82" i="31"/>
  <c r="AJ82" i="31"/>
  <c r="AK82" i="31"/>
  <c r="AL82" i="31"/>
  <c r="H84" i="31"/>
  <c r="I84" i="31"/>
  <c r="J84" i="31"/>
  <c r="K84" i="31"/>
  <c r="L84" i="31"/>
  <c r="M84" i="31"/>
  <c r="N84" i="31"/>
  <c r="O84" i="31"/>
  <c r="P84" i="31"/>
  <c r="Q84" i="31"/>
  <c r="R84" i="31"/>
  <c r="S84" i="31"/>
  <c r="T84" i="31"/>
  <c r="U84" i="31"/>
  <c r="V84" i="31"/>
  <c r="W84" i="31"/>
  <c r="X84" i="31"/>
  <c r="Y84" i="31"/>
  <c r="Z84" i="31"/>
  <c r="AA84" i="31"/>
  <c r="AB84" i="31"/>
  <c r="AC84" i="31"/>
  <c r="AD84" i="31"/>
  <c r="AE84" i="31"/>
  <c r="AF84" i="31"/>
  <c r="AG84" i="31"/>
  <c r="AH84" i="31"/>
  <c r="AI84" i="31"/>
  <c r="AJ84" i="31"/>
  <c r="AK84" i="31"/>
  <c r="AL84" i="31"/>
  <c r="H85" i="31"/>
  <c r="I85" i="31"/>
  <c r="J85" i="31"/>
  <c r="K85" i="31"/>
  <c r="L85" i="31"/>
  <c r="M85" i="31"/>
  <c r="N85" i="31"/>
  <c r="O85" i="31"/>
  <c r="P85" i="31"/>
  <c r="Q85" i="31"/>
  <c r="R85" i="31"/>
  <c r="S85" i="31"/>
  <c r="T85" i="31"/>
  <c r="U85" i="31"/>
  <c r="V85" i="31"/>
  <c r="W85" i="31"/>
  <c r="X85" i="31"/>
  <c r="Y85" i="31"/>
  <c r="Z85" i="31"/>
  <c r="AA85" i="31"/>
  <c r="AB85" i="31"/>
  <c r="AC85" i="31"/>
  <c r="AD85" i="31"/>
  <c r="AE85" i="31"/>
  <c r="AF85" i="31"/>
  <c r="AG85" i="31"/>
  <c r="AH85" i="31"/>
  <c r="AI85" i="31"/>
  <c r="AJ85" i="31"/>
  <c r="AK85" i="31"/>
  <c r="AL85" i="31"/>
  <c r="H86" i="31"/>
  <c r="I86" i="31"/>
  <c r="J86" i="31"/>
  <c r="K86" i="31"/>
  <c r="L86" i="31"/>
  <c r="M86" i="31"/>
  <c r="N86" i="31"/>
  <c r="O86" i="31"/>
  <c r="P86" i="31"/>
  <c r="Q86" i="31"/>
  <c r="R86" i="31"/>
  <c r="S86" i="31"/>
  <c r="T86" i="31"/>
  <c r="U86" i="31"/>
  <c r="V86" i="31"/>
  <c r="W86" i="31"/>
  <c r="X86" i="31"/>
  <c r="Y86" i="31"/>
  <c r="Z86" i="31"/>
  <c r="AA86" i="31"/>
  <c r="AB86" i="31"/>
  <c r="AC86" i="31"/>
  <c r="AD86" i="31"/>
  <c r="AE86" i="31"/>
  <c r="AF86" i="31"/>
  <c r="AG86" i="31"/>
  <c r="AH86" i="31"/>
  <c r="AI86" i="31"/>
  <c r="AJ86" i="31"/>
  <c r="AK86" i="31"/>
  <c r="AL86" i="31"/>
  <c r="H87" i="31"/>
  <c r="I87" i="31"/>
  <c r="J87" i="31"/>
  <c r="K87" i="31"/>
  <c r="L87" i="31"/>
  <c r="M87" i="31"/>
  <c r="N87" i="31"/>
  <c r="O87" i="31"/>
  <c r="P87" i="31"/>
  <c r="Q87" i="31"/>
  <c r="R87" i="31"/>
  <c r="S87" i="31"/>
  <c r="T87" i="31"/>
  <c r="U87" i="31"/>
  <c r="V87" i="31"/>
  <c r="W87" i="31"/>
  <c r="X87" i="31"/>
  <c r="Y87" i="31"/>
  <c r="Z87" i="31"/>
  <c r="AA87" i="31"/>
  <c r="AB87" i="31"/>
  <c r="AC87" i="31"/>
  <c r="AD87" i="31"/>
  <c r="AE87" i="31"/>
  <c r="AF87" i="31"/>
  <c r="AG87" i="31"/>
  <c r="AH87" i="31"/>
  <c r="AI87" i="31"/>
  <c r="AJ87" i="31"/>
  <c r="AK87" i="31"/>
  <c r="AL87" i="31"/>
  <c r="H88" i="31"/>
  <c r="I88" i="31"/>
  <c r="J88" i="31"/>
  <c r="K88" i="31"/>
  <c r="L88" i="31"/>
  <c r="M88" i="31"/>
  <c r="N88" i="31"/>
  <c r="O88" i="31"/>
  <c r="P88" i="31"/>
  <c r="Q88" i="31"/>
  <c r="R88" i="31"/>
  <c r="S88" i="31"/>
  <c r="T88" i="31"/>
  <c r="U88" i="31"/>
  <c r="V88" i="31"/>
  <c r="W88" i="31"/>
  <c r="X88" i="31"/>
  <c r="Y88" i="31"/>
  <c r="Z88" i="31"/>
  <c r="AA88" i="31"/>
  <c r="AB88" i="31"/>
  <c r="AC88" i="31"/>
  <c r="AD88" i="31"/>
  <c r="AE88" i="31"/>
  <c r="AF88" i="31"/>
  <c r="AG88" i="31"/>
  <c r="AH88" i="31"/>
  <c r="AI88" i="31"/>
  <c r="AJ88" i="31"/>
  <c r="AK88" i="31"/>
  <c r="AL88" i="31"/>
  <c r="H89" i="31"/>
  <c r="I89" i="31"/>
  <c r="J89" i="31"/>
  <c r="K89" i="31"/>
  <c r="L89" i="31"/>
  <c r="M89" i="31"/>
  <c r="N89" i="31"/>
  <c r="O89" i="31"/>
  <c r="P89" i="31"/>
  <c r="Q89" i="31"/>
  <c r="R89" i="31"/>
  <c r="S89" i="31"/>
  <c r="T89" i="31"/>
  <c r="U89" i="31"/>
  <c r="V89" i="31"/>
  <c r="W89" i="31"/>
  <c r="X89" i="31"/>
  <c r="Y89" i="31"/>
  <c r="Z89" i="31"/>
  <c r="AA89" i="31"/>
  <c r="AB89" i="31"/>
  <c r="AC89" i="31"/>
  <c r="AD89" i="31"/>
  <c r="AE89" i="31"/>
  <c r="AF89" i="31"/>
  <c r="AG89" i="31"/>
  <c r="AH89" i="31"/>
  <c r="AI89" i="31"/>
  <c r="AJ89" i="31"/>
  <c r="AK89" i="31"/>
  <c r="AL89" i="31"/>
  <c r="H91" i="31"/>
  <c r="I91" i="31"/>
  <c r="J91" i="31"/>
  <c r="K91" i="31"/>
  <c r="L91" i="31"/>
  <c r="M91" i="31"/>
  <c r="N91" i="31"/>
  <c r="O91" i="31"/>
  <c r="P91" i="31"/>
  <c r="Q91" i="31"/>
  <c r="R91" i="31"/>
  <c r="S91" i="31"/>
  <c r="T91" i="31"/>
  <c r="U91" i="31"/>
  <c r="V91" i="31"/>
  <c r="W91" i="31"/>
  <c r="X91" i="31"/>
  <c r="Y91" i="31"/>
  <c r="Z91" i="31"/>
  <c r="AA91" i="31"/>
  <c r="AB91" i="31"/>
  <c r="AC91" i="31"/>
  <c r="AD91" i="31"/>
  <c r="AE91" i="31"/>
  <c r="AF91" i="31"/>
  <c r="AG91" i="31"/>
  <c r="AH91" i="31"/>
  <c r="AI91" i="31"/>
  <c r="AJ91" i="31"/>
  <c r="AK91" i="31"/>
  <c r="AL91" i="31"/>
  <c r="H92" i="31"/>
  <c r="I92" i="31"/>
  <c r="J92" i="31"/>
  <c r="K92" i="31"/>
  <c r="L92" i="31"/>
  <c r="M92" i="31"/>
  <c r="N92" i="31"/>
  <c r="O92" i="31"/>
  <c r="P92" i="31"/>
  <c r="Q92" i="31"/>
  <c r="R92" i="31"/>
  <c r="S92" i="31"/>
  <c r="T92" i="31"/>
  <c r="U92" i="31"/>
  <c r="V92" i="31"/>
  <c r="W92" i="31"/>
  <c r="X92" i="31"/>
  <c r="Y92" i="31"/>
  <c r="Z92" i="31"/>
  <c r="AA92" i="31"/>
  <c r="AB92" i="31"/>
  <c r="AC92" i="31"/>
  <c r="AD92" i="31"/>
  <c r="AE92" i="31"/>
  <c r="AF92" i="31"/>
  <c r="AG92" i="31"/>
  <c r="AH92" i="31"/>
  <c r="AI92" i="31"/>
  <c r="AJ92" i="31"/>
  <c r="AK92" i="31"/>
  <c r="AL92" i="31"/>
  <c r="H93" i="31"/>
  <c r="I93" i="31"/>
  <c r="J93" i="31"/>
  <c r="K93" i="31"/>
  <c r="L93" i="31"/>
  <c r="M93" i="31"/>
  <c r="N93" i="31"/>
  <c r="O93" i="31"/>
  <c r="P93" i="31"/>
  <c r="Q93" i="31"/>
  <c r="R93" i="31"/>
  <c r="S93" i="31"/>
  <c r="T93" i="31"/>
  <c r="U93" i="31"/>
  <c r="V93" i="31"/>
  <c r="W93" i="31"/>
  <c r="X93" i="31"/>
  <c r="Y93" i="31"/>
  <c r="Z93" i="31"/>
  <c r="AA93" i="31"/>
  <c r="AB93" i="31"/>
  <c r="AC93" i="31"/>
  <c r="AD93" i="31"/>
  <c r="AE93" i="31"/>
  <c r="AF93" i="31"/>
  <c r="AG93" i="31"/>
  <c r="AH93" i="31"/>
  <c r="AI93" i="31"/>
  <c r="AJ93" i="31"/>
  <c r="AK93" i="31"/>
  <c r="AL93" i="31"/>
  <c r="H94" i="31"/>
  <c r="I94" i="31"/>
  <c r="J94" i="31"/>
  <c r="K94" i="31"/>
  <c r="L94" i="31"/>
  <c r="M94" i="31"/>
  <c r="N94" i="31"/>
  <c r="O94" i="31"/>
  <c r="P94" i="31"/>
  <c r="Q94" i="31"/>
  <c r="R94" i="31"/>
  <c r="S94" i="31"/>
  <c r="T94" i="31"/>
  <c r="U94" i="31"/>
  <c r="V94" i="31"/>
  <c r="W94" i="31"/>
  <c r="X94" i="31"/>
  <c r="Y94" i="31"/>
  <c r="Z94" i="31"/>
  <c r="AA94" i="31"/>
  <c r="AB94" i="31"/>
  <c r="AC94" i="31"/>
  <c r="AD94" i="31"/>
  <c r="AE94" i="31"/>
  <c r="AF94" i="31"/>
  <c r="AG94" i="31"/>
  <c r="AH94" i="31"/>
  <c r="AI94" i="31"/>
  <c r="AJ94" i="31"/>
  <c r="AK94" i="31"/>
  <c r="AL94" i="31"/>
  <c r="H95" i="31"/>
  <c r="I95" i="31"/>
  <c r="J95" i="31"/>
  <c r="K95" i="31"/>
  <c r="L95" i="31"/>
  <c r="M95" i="31"/>
  <c r="N95" i="31"/>
  <c r="O95" i="31"/>
  <c r="P95" i="31"/>
  <c r="Q95" i="31"/>
  <c r="R95" i="31"/>
  <c r="S95" i="31"/>
  <c r="T95" i="31"/>
  <c r="U95" i="31"/>
  <c r="V95" i="31"/>
  <c r="W95" i="31"/>
  <c r="X95" i="31"/>
  <c r="Y95" i="31"/>
  <c r="Z95" i="31"/>
  <c r="AA95" i="31"/>
  <c r="AB95" i="31"/>
  <c r="AC95" i="31"/>
  <c r="AD95" i="31"/>
  <c r="AE95" i="31"/>
  <c r="AF95" i="31"/>
  <c r="AG95" i="31"/>
  <c r="AH95" i="31"/>
  <c r="AI95" i="31"/>
  <c r="AJ95" i="31"/>
  <c r="AK95" i="31"/>
  <c r="AL95" i="31"/>
  <c r="H96" i="31"/>
  <c r="I96" i="31"/>
  <c r="J96" i="31"/>
  <c r="K96" i="31"/>
  <c r="L96" i="31"/>
  <c r="M96" i="31"/>
  <c r="N96" i="31"/>
  <c r="O96" i="31"/>
  <c r="P96" i="31"/>
  <c r="Q96" i="31"/>
  <c r="R96" i="31"/>
  <c r="S96" i="31"/>
  <c r="T96" i="31"/>
  <c r="U96" i="31"/>
  <c r="V96" i="31"/>
  <c r="W96" i="31"/>
  <c r="X96" i="31"/>
  <c r="Y96" i="31"/>
  <c r="Z96" i="31"/>
  <c r="AA96" i="31"/>
  <c r="AB96" i="31"/>
  <c r="AC96" i="31"/>
  <c r="AD96" i="31"/>
  <c r="AE96" i="31"/>
  <c r="AF96" i="31"/>
  <c r="AG96" i="31"/>
  <c r="AH96" i="31"/>
  <c r="AI96" i="31"/>
  <c r="AJ96" i="31"/>
  <c r="AK96" i="31"/>
  <c r="AL96" i="31"/>
  <c r="H98" i="31"/>
  <c r="I98" i="31"/>
  <c r="J98" i="31"/>
  <c r="K98" i="31"/>
  <c r="L98" i="31"/>
  <c r="M98" i="31"/>
  <c r="N98" i="31"/>
  <c r="O98" i="31"/>
  <c r="P98" i="31"/>
  <c r="Q98" i="31"/>
  <c r="R98" i="31"/>
  <c r="S98" i="31"/>
  <c r="T98" i="31"/>
  <c r="U98" i="31"/>
  <c r="V98" i="31"/>
  <c r="W98" i="31"/>
  <c r="X98" i="31"/>
  <c r="Y98" i="31"/>
  <c r="Z98" i="31"/>
  <c r="AA98" i="31"/>
  <c r="AB98" i="31"/>
  <c r="AC98" i="31"/>
  <c r="AD98" i="31"/>
  <c r="AE98" i="31"/>
  <c r="AF98" i="31"/>
  <c r="AG98" i="31"/>
  <c r="AH98" i="31"/>
  <c r="AI98" i="31"/>
  <c r="AJ98" i="31"/>
  <c r="AK98" i="31"/>
  <c r="AL98" i="31"/>
  <c r="H99" i="31"/>
  <c r="I99" i="31"/>
  <c r="J99" i="31"/>
  <c r="K99" i="31"/>
  <c r="L99" i="31"/>
  <c r="M99" i="31"/>
  <c r="N99" i="31"/>
  <c r="O99" i="31"/>
  <c r="P99" i="31"/>
  <c r="Q99" i="31"/>
  <c r="R99" i="31"/>
  <c r="S99" i="31"/>
  <c r="T99" i="31"/>
  <c r="U99" i="31"/>
  <c r="V99" i="31"/>
  <c r="W99" i="31"/>
  <c r="X99" i="31"/>
  <c r="Y99" i="31"/>
  <c r="Z99" i="31"/>
  <c r="AA99" i="31"/>
  <c r="AB99" i="31"/>
  <c r="AC99" i="31"/>
  <c r="AD99" i="31"/>
  <c r="AE99" i="31"/>
  <c r="AF99" i="31"/>
  <c r="AG99" i="31"/>
  <c r="AH99" i="31"/>
  <c r="AI99" i="31"/>
  <c r="AJ99" i="31"/>
  <c r="AK99" i="31"/>
  <c r="AL99" i="31"/>
  <c r="H100" i="31"/>
  <c r="I100" i="31"/>
  <c r="J100" i="31"/>
  <c r="K100" i="31"/>
  <c r="L100" i="31"/>
  <c r="M100" i="31"/>
  <c r="N100" i="31"/>
  <c r="O100" i="31"/>
  <c r="P100" i="31"/>
  <c r="Q100" i="31"/>
  <c r="R100" i="31"/>
  <c r="S100" i="31"/>
  <c r="T100" i="31"/>
  <c r="U100" i="31"/>
  <c r="V100" i="31"/>
  <c r="W100" i="31"/>
  <c r="X100" i="31"/>
  <c r="Y100" i="31"/>
  <c r="Z100" i="31"/>
  <c r="AA100" i="31"/>
  <c r="AB100" i="31"/>
  <c r="AC100" i="31"/>
  <c r="AD100" i="31"/>
  <c r="AE100" i="31"/>
  <c r="AF100" i="31"/>
  <c r="AG100" i="31"/>
  <c r="AH100" i="31"/>
  <c r="AI100" i="31"/>
  <c r="AJ100" i="31"/>
  <c r="AK100" i="31"/>
  <c r="AL100" i="31"/>
  <c r="H101" i="31"/>
  <c r="I101" i="31"/>
  <c r="J101" i="31"/>
  <c r="K101" i="31"/>
  <c r="L101" i="31"/>
  <c r="M101" i="31"/>
  <c r="N101" i="31"/>
  <c r="O101" i="31"/>
  <c r="P101" i="31"/>
  <c r="Q101" i="31"/>
  <c r="R101" i="31"/>
  <c r="S101" i="31"/>
  <c r="T101" i="31"/>
  <c r="U101" i="31"/>
  <c r="V101" i="31"/>
  <c r="W101" i="31"/>
  <c r="X101" i="31"/>
  <c r="Y101" i="31"/>
  <c r="Z101" i="31"/>
  <c r="AA101" i="31"/>
  <c r="AB101" i="31"/>
  <c r="AC101" i="31"/>
  <c r="AD101" i="31"/>
  <c r="AE101" i="31"/>
  <c r="AF101" i="31"/>
  <c r="AG101" i="31"/>
  <c r="AH101" i="31"/>
  <c r="AI101" i="31"/>
  <c r="AJ101" i="31"/>
  <c r="AK101" i="31"/>
  <c r="AL101"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H107" i="31"/>
  <c r="I107" i="31"/>
  <c r="J107" i="31"/>
  <c r="K107" i="31"/>
  <c r="L107" i="31"/>
  <c r="M107" i="31"/>
  <c r="N107" i="31"/>
  <c r="O107" i="31"/>
  <c r="P107" i="31"/>
  <c r="Q107" i="31"/>
  <c r="R107" i="31"/>
  <c r="S107" i="31"/>
  <c r="T107" i="31"/>
  <c r="U107" i="31"/>
  <c r="V107" i="31"/>
  <c r="W107" i="31"/>
  <c r="X107" i="31"/>
  <c r="Y107" i="31"/>
  <c r="Z107" i="31"/>
  <c r="AA107" i="31"/>
  <c r="AB107" i="31"/>
  <c r="AC107" i="31"/>
  <c r="AD107" i="31"/>
  <c r="AE107" i="31"/>
  <c r="AF107" i="31"/>
  <c r="AG107" i="31"/>
  <c r="AH107" i="31"/>
  <c r="AI107" i="31"/>
  <c r="AJ107" i="31"/>
  <c r="AK107" i="31"/>
  <c r="AL107"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K112" i="36" l="1"/>
  <c r="I112" i="36"/>
  <c r="G112" i="36"/>
  <c r="E112" i="36"/>
  <c r="D112" i="36"/>
  <c r="K111" i="36"/>
  <c r="I111" i="36"/>
  <c r="I110" i="36" s="1"/>
  <c r="G111" i="36"/>
  <c r="E111" i="36"/>
  <c r="D111" i="36"/>
  <c r="K107" i="36"/>
  <c r="I107" i="36"/>
  <c r="G107" i="36"/>
  <c r="E107" i="36"/>
  <c r="D107" i="36"/>
  <c r="K106" i="36"/>
  <c r="I106" i="36"/>
  <c r="G106" i="36"/>
  <c r="E106" i="36"/>
  <c r="D106" i="36"/>
  <c r="K105" i="36"/>
  <c r="I105" i="36"/>
  <c r="G105" i="36"/>
  <c r="E105" i="36"/>
  <c r="D105" i="36"/>
  <c r="K104" i="36"/>
  <c r="I104" i="36"/>
  <c r="G104" i="36"/>
  <c r="E104" i="36"/>
  <c r="D104" i="36"/>
  <c r="K103" i="36"/>
  <c r="I103" i="36"/>
  <c r="G103" i="36"/>
  <c r="E103" i="36"/>
  <c r="D103" i="36"/>
  <c r="K102" i="36"/>
  <c r="I102" i="36"/>
  <c r="G102" i="36"/>
  <c r="E102" i="36"/>
  <c r="D102" i="36"/>
  <c r="K98" i="36"/>
  <c r="I98" i="36"/>
  <c r="G98" i="36"/>
  <c r="E98" i="36"/>
  <c r="D98" i="36"/>
  <c r="K97" i="36"/>
  <c r="I97" i="36"/>
  <c r="G97" i="36"/>
  <c r="E97" i="36"/>
  <c r="D97" i="36"/>
  <c r="K94" i="36"/>
  <c r="I94" i="36"/>
  <c r="G94" i="36"/>
  <c r="E94" i="36"/>
  <c r="D94" i="36"/>
  <c r="K93" i="36"/>
  <c r="I93" i="36"/>
  <c r="G93" i="36"/>
  <c r="E93" i="36"/>
  <c r="D93" i="36"/>
  <c r="K90" i="36"/>
  <c r="I90" i="36"/>
  <c r="G90" i="36"/>
  <c r="E90" i="36"/>
  <c r="D90" i="36"/>
  <c r="K89" i="36"/>
  <c r="I89" i="36"/>
  <c r="G89" i="36"/>
  <c r="E89" i="36"/>
  <c r="D89" i="36"/>
  <c r="K85" i="36"/>
  <c r="I85" i="36"/>
  <c r="G85" i="36"/>
  <c r="E85" i="36"/>
  <c r="D85" i="36"/>
  <c r="K84" i="36"/>
  <c r="I84" i="36"/>
  <c r="G84" i="36"/>
  <c r="E84" i="36"/>
  <c r="D84" i="36"/>
  <c r="K83" i="36"/>
  <c r="I83" i="36"/>
  <c r="G83" i="36"/>
  <c r="E83" i="36"/>
  <c r="D83" i="36"/>
  <c r="G82" i="36"/>
  <c r="E82" i="36"/>
  <c r="D82" i="36"/>
  <c r="K80" i="36"/>
  <c r="I80" i="36"/>
  <c r="G80" i="36"/>
  <c r="E80" i="36"/>
  <c r="D80" i="36"/>
  <c r="K79" i="36"/>
  <c r="I79" i="36"/>
  <c r="G79" i="36"/>
  <c r="E79" i="36"/>
  <c r="D79" i="36"/>
  <c r="K76" i="36"/>
  <c r="I76" i="36"/>
  <c r="G76" i="36"/>
  <c r="E76" i="36"/>
  <c r="D76" i="36"/>
  <c r="K75" i="36"/>
  <c r="I75" i="36"/>
  <c r="G75" i="36"/>
  <c r="E75" i="36"/>
  <c r="D75" i="36"/>
  <c r="K74" i="36"/>
  <c r="I74" i="36"/>
  <c r="G74" i="36"/>
  <c r="E74" i="36"/>
  <c r="D74" i="36"/>
  <c r="K71" i="36"/>
  <c r="I71" i="36"/>
  <c r="G71" i="36"/>
  <c r="E71" i="36"/>
  <c r="D71" i="36"/>
  <c r="K70" i="36"/>
  <c r="I70" i="36"/>
  <c r="G70" i="36"/>
  <c r="E70" i="36"/>
  <c r="D70" i="36"/>
  <c r="K69" i="36"/>
  <c r="I69" i="36"/>
  <c r="G69" i="36"/>
  <c r="E69" i="36"/>
  <c r="D69" i="36"/>
  <c r="G68" i="36"/>
  <c r="E68" i="36"/>
  <c r="D68" i="36"/>
  <c r="K66" i="36"/>
  <c r="I66" i="36"/>
  <c r="G66" i="36"/>
  <c r="E66" i="36"/>
  <c r="D66" i="36"/>
  <c r="K65" i="36"/>
  <c r="I65" i="36"/>
  <c r="G65" i="36"/>
  <c r="E65" i="36"/>
  <c r="D65" i="36"/>
  <c r="K64" i="36"/>
  <c r="I64" i="36"/>
  <c r="G64" i="36"/>
  <c r="E64" i="36"/>
  <c r="D64" i="36"/>
  <c r="K63" i="36"/>
  <c r="I63" i="36"/>
  <c r="G63" i="36"/>
  <c r="E63" i="36"/>
  <c r="D63" i="36"/>
  <c r="K61" i="36"/>
  <c r="I61" i="36"/>
  <c r="G61" i="36"/>
  <c r="E61" i="36"/>
  <c r="D61" i="36"/>
  <c r="K60" i="36"/>
  <c r="I60" i="36"/>
  <c r="G60" i="36"/>
  <c r="E60" i="36"/>
  <c r="D60" i="36"/>
  <c r="K56" i="36"/>
  <c r="I56" i="36"/>
  <c r="G56" i="36"/>
  <c r="E56" i="36"/>
  <c r="D56" i="36"/>
  <c r="K55" i="36"/>
  <c r="I55" i="36"/>
  <c r="G55" i="36"/>
  <c r="E55" i="36"/>
  <c r="D55" i="36"/>
  <c r="K52" i="36"/>
  <c r="I52" i="36"/>
  <c r="G52" i="36"/>
  <c r="E52" i="36"/>
  <c r="D52" i="36"/>
  <c r="K50" i="36"/>
  <c r="I50" i="36"/>
  <c r="G50" i="36"/>
  <c r="E50" i="36"/>
  <c r="D50" i="36"/>
  <c r="K49" i="36"/>
  <c r="I49" i="36"/>
  <c r="G49" i="36"/>
  <c r="E49" i="36"/>
  <c r="D49" i="36"/>
  <c r="K46" i="36"/>
  <c r="I46" i="36"/>
  <c r="G46" i="36"/>
  <c r="E46" i="36"/>
  <c r="D46" i="36"/>
  <c r="K44" i="36"/>
  <c r="I44" i="36"/>
  <c r="G44" i="36"/>
  <c r="E44" i="36"/>
  <c r="D44" i="36"/>
  <c r="K43" i="36"/>
  <c r="I43" i="36"/>
  <c r="G43" i="36"/>
  <c r="E43" i="36"/>
  <c r="D43" i="36"/>
  <c r="K39" i="36"/>
  <c r="I39" i="36"/>
  <c r="G39" i="36"/>
  <c r="E39" i="36"/>
  <c r="D39" i="36"/>
  <c r="K38" i="36"/>
  <c r="I38" i="36"/>
  <c r="G38" i="36"/>
  <c r="E38" i="36"/>
  <c r="D38" i="36"/>
  <c r="K35" i="36"/>
  <c r="I35" i="36"/>
  <c r="G35" i="36"/>
  <c r="E35" i="36"/>
  <c r="D35" i="36"/>
  <c r="K34" i="36"/>
  <c r="I34" i="36"/>
  <c r="G34" i="36"/>
  <c r="E34" i="36"/>
  <c r="D34" i="36"/>
  <c r="K33" i="36"/>
  <c r="I33" i="36"/>
  <c r="G33" i="36"/>
  <c r="E33" i="36"/>
  <c r="D33" i="36"/>
  <c r="K30" i="36"/>
  <c r="I30" i="36"/>
  <c r="G30" i="36"/>
  <c r="E30" i="36"/>
  <c r="D30" i="36"/>
  <c r="K29" i="36"/>
  <c r="I29" i="36"/>
  <c r="G29" i="36"/>
  <c r="E29" i="36"/>
  <c r="D29" i="36"/>
  <c r="K28" i="36"/>
  <c r="I28" i="36"/>
  <c r="G28" i="36"/>
  <c r="E28" i="36"/>
  <c r="D28" i="36"/>
  <c r="K25" i="36"/>
  <c r="I25" i="36"/>
  <c r="G25" i="36"/>
  <c r="E25" i="36"/>
  <c r="D25" i="36"/>
  <c r="K24" i="36"/>
  <c r="I24" i="36"/>
  <c r="G24" i="36"/>
  <c r="E24" i="36"/>
  <c r="D24" i="36"/>
  <c r="K23" i="36"/>
  <c r="I23" i="36"/>
  <c r="G23" i="36"/>
  <c r="E23" i="36"/>
  <c r="D23" i="36"/>
  <c r="K20" i="36"/>
  <c r="I20" i="36"/>
  <c r="G20" i="36"/>
  <c r="E20" i="36"/>
  <c r="D20" i="36"/>
  <c r="K19" i="36"/>
  <c r="I19" i="36"/>
  <c r="G19" i="36"/>
  <c r="E19" i="36"/>
  <c r="D19" i="36"/>
  <c r="K13" i="36"/>
  <c r="I13" i="36"/>
  <c r="G13" i="36"/>
  <c r="E13" i="36"/>
  <c r="D13" i="36"/>
  <c r="K12" i="36"/>
  <c r="I12" i="36"/>
  <c r="G12" i="36"/>
  <c r="E12" i="36"/>
  <c r="D12" i="36"/>
  <c r="K9" i="36"/>
  <c r="I9" i="36"/>
  <c r="G9" i="36"/>
  <c r="E9" i="36"/>
  <c r="D9" i="36"/>
  <c r="F8" i="36"/>
  <c r="G4" i="36"/>
  <c r="E4" i="36"/>
  <c r="D4" i="36"/>
  <c r="A3" i="36"/>
  <c r="J111" i="35"/>
  <c r="H111" i="35"/>
  <c r="F111" i="35"/>
  <c r="D111" i="35"/>
  <c r="J110" i="35"/>
  <c r="H110" i="35"/>
  <c r="F110" i="35"/>
  <c r="D110" i="35"/>
  <c r="J106" i="35"/>
  <c r="H106" i="35"/>
  <c r="F106" i="35"/>
  <c r="D106" i="35"/>
  <c r="J105" i="35"/>
  <c r="H105" i="35"/>
  <c r="F105" i="35"/>
  <c r="D105" i="35"/>
  <c r="J104" i="35"/>
  <c r="H104" i="35"/>
  <c r="F104" i="35"/>
  <c r="D104" i="35"/>
  <c r="J103" i="35"/>
  <c r="H103" i="35"/>
  <c r="F103" i="35"/>
  <c r="D103" i="35"/>
  <c r="J102" i="35"/>
  <c r="H102" i="35"/>
  <c r="F102" i="35"/>
  <c r="D102" i="35"/>
  <c r="J101" i="35"/>
  <c r="H101" i="35"/>
  <c r="F101" i="35"/>
  <c r="D101" i="35"/>
  <c r="J97" i="35"/>
  <c r="H97" i="35"/>
  <c r="F97" i="35"/>
  <c r="D97" i="35"/>
  <c r="J96" i="35"/>
  <c r="H96" i="35"/>
  <c r="F96" i="35"/>
  <c r="F95" i="35" s="1"/>
  <c r="D96" i="35"/>
  <c r="J93" i="35"/>
  <c r="H93" i="35"/>
  <c r="F93" i="35"/>
  <c r="D93" i="35"/>
  <c r="J92" i="35"/>
  <c r="H92" i="35"/>
  <c r="F92" i="35"/>
  <c r="D92" i="35"/>
  <c r="J89" i="35"/>
  <c r="H89" i="35"/>
  <c r="F89" i="35"/>
  <c r="D89" i="35"/>
  <c r="J88" i="35"/>
  <c r="H88" i="35"/>
  <c r="F88" i="35"/>
  <c r="D88" i="35"/>
  <c r="J84" i="35"/>
  <c r="H84" i="35"/>
  <c r="F84" i="35"/>
  <c r="D84" i="35"/>
  <c r="J83" i="35"/>
  <c r="H83" i="35"/>
  <c r="F83" i="35"/>
  <c r="D83" i="35"/>
  <c r="J82" i="35"/>
  <c r="H82" i="35"/>
  <c r="F82" i="35"/>
  <c r="D82" i="35"/>
  <c r="F81" i="35"/>
  <c r="D81" i="35"/>
  <c r="J79" i="35"/>
  <c r="H79" i="35"/>
  <c r="F79" i="35"/>
  <c r="D79" i="35"/>
  <c r="J78" i="35"/>
  <c r="H78" i="35"/>
  <c r="F78" i="35"/>
  <c r="D78" i="35"/>
  <c r="J75" i="35"/>
  <c r="H75" i="35"/>
  <c r="F75" i="35"/>
  <c r="D75" i="35"/>
  <c r="J74" i="35"/>
  <c r="H74" i="35"/>
  <c r="F74" i="35"/>
  <c r="D74" i="35"/>
  <c r="J73" i="35"/>
  <c r="H73" i="35"/>
  <c r="H72" i="35" s="1"/>
  <c r="F73" i="35"/>
  <c r="D73" i="35"/>
  <c r="J70" i="35"/>
  <c r="H70" i="35"/>
  <c r="F70" i="35"/>
  <c r="D70" i="35"/>
  <c r="J69" i="35"/>
  <c r="H69" i="35"/>
  <c r="F69" i="35"/>
  <c r="D69" i="35"/>
  <c r="J68" i="35"/>
  <c r="H68" i="35"/>
  <c r="F68" i="35"/>
  <c r="D68" i="35"/>
  <c r="F67" i="35"/>
  <c r="D67" i="35"/>
  <c r="J65" i="35"/>
  <c r="H65" i="35"/>
  <c r="F65" i="35"/>
  <c r="D65" i="35"/>
  <c r="J64" i="35"/>
  <c r="H64" i="35"/>
  <c r="F64" i="35"/>
  <c r="D64" i="35"/>
  <c r="J63" i="35"/>
  <c r="H63" i="35"/>
  <c r="F63" i="35"/>
  <c r="D63" i="35"/>
  <c r="J62" i="35"/>
  <c r="H62" i="35"/>
  <c r="F62" i="35"/>
  <c r="D62" i="35"/>
  <c r="J60" i="35"/>
  <c r="H60" i="35"/>
  <c r="F60" i="35"/>
  <c r="D60" i="35"/>
  <c r="J59" i="35"/>
  <c r="H59" i="35"/>
  <c r="F59" i="35"/>
  <c r="D59" i="35"/>
  <c r="J55" i="35"/>
  <c r="H55" i="35"/>
  <c r="F55" i="35"/>
  <c r="D55" i="35"/>
  <c r="J54" i="35"/>
  <c r="H54" i="35"/>
  <c r="F54" i="35"/>
  <c r="D54" i="35"/>
  <c r="J51" i="35"/>
  <c r="H51" i="35"/>
  <c r="F51" i="35"/>
  <c r="D51" i="35"/>
  <c r="J49" i="35"/>
  <c r="H49" i="35"/>
  <c r="F49" i="35"/>
  <c r="D49" i="35"/>
  <c r="J48" i="35"/>
  <c r="H48" i="35"/>
  <c r="F48" i="35"/>
  <c r="D48" i="35"/>
  <c r="J45" i="35"/>
  <c r="H45" i="35"/>
  <c r="F45" i="35"/>
  <c r="D45" i="35"/>
  <c r="J43" i="35"/>
  <c r="H43" i="35"/>
  <c r="F43" i="35"/>
  <c r="D43" i="35"/>
  <c r="J42" i="35"/>
  <c r="H42" i="35"/>
  <c r="F42" i="35"/>
  <c r="D42" i="35"/>
  <c r="J38" i="35"/>
  <c r="H38" i="35"/>
  <c r="F38" i="35"/>
  <c r="D38" i="35"/>
  <c r="J37" i="35"/>
  <c r="H37" i="35"/>
  <c r="H36" i="35" s="1"/>
  <c r="F37" i="35"/>
  <c r="D37" i="35"/>
  <c r="J34" i="35"/>
  <c r="H34" i="35"/>
  <c r="F34" i="35"/>
  <c r="D34" i="35"/>
  <c r="J33" i="35"/>
  <c r="H33" i="35"/>
  <c r="F33" i="35"/>
  <c r="D33" i="35"/>
  <c r="J32" i="35"/>
  <c r="H32" i="35"/>
  <c r="F32" i="35"/>
  <c r="D32" i="35"/>
  <c r="J29" i="35"/>
  <c r="H29" i="35"/>
  <c r="F29" i="35"/>
  <c r="D29" i="35"/>
  <c r="J28" i="35"/>
  <c r="H28" i="35"/>
  <c r="F28" i="35"/>
  <c r="D28" i="35"/>
  <c r="J27" i="35"/>
  <c r="H27" i="35"/>
  <c r="F27" i="35"/>
  <c r="D27" i="35"/>
  <c r="J24" i="35"/>
  <c r="H24" i="35"/>
  <c r="F24" i="35"/>
  <c r="D24" i="35"/>
  <c r="J23" i="35"/>
  <c r="H23" i="35"/>
  <c r="F23" i="35"/>
  <c r="D23" i="35"/>
  <c r="J22" i="35"/>
  <c r="H22" i="35"/>
  <c r="F22" i="35"/>
  <c r="D22" i="35"/>
  <c r="J19" i="35"/>
  <c r="H19" i="35"/>
  <c r="F19" i="35"/>
  <c r="D19" i="35"/>
  <c r="J18" i="35"/>
  <c r="H18" i="35"/>
  <c r="F18" i="35"/>
  <c r="D18" i="35"/>
  <c r="J12" i="35"/>
  <c r="H12" i="35"/>
  <c r="F12" i="35"/>
  <c r="D12" i="35"/>
  <c r="J11" i="35"/>
  <c r="H11" i="35"/>
  <c r="F11" i="35"/>
  <c r="D11" i="35"/>
  <c r="J8" i="35"/>
  <c r="H8" i="35"/>
  <c r="F8" i="35"/>
  <c r="D8" i="35"/>
  <c r="E7" i="35"/>
  <c r="F4" i="35"/>
  <c r="D4" i="35"/>
  <c r="A3" i="35"/>
  <c r="G110" i="36" l="1"/>
  <c r="E110" i="36"/>
  <c r="D87" i="35"/>
  <c r="G88" i="36"/>
  <c r="I88" i="36"/>
  <c r="I96" i="36"/>
  <c r="J72" i="35"/>
  <c r="K110" i="36"/>
  <c r="H109" i="35"/>
  <c r="E88" i="36"/>
  <c r="E92" i="36" s="1"/>
  <c r="D88" i="36"/>
  <c r="D92" i="36" s="1"/>
  <c r="J109" i="35"/>
  <c r="D37" i="36"/>
  <c r="G11" i="36"/>
  <c r="G8" i="36" s="1"/>
  <c r="G7" i="36" s="1"/>
  <c r="I82" i="36"/>
  <c r="K73" i="36"/>
  <c r="K96" i="36"/>
  <c r="E13" i="24"/>
  <c r="E9" i="24"/>
  <c r="D18" i="36"/>
  <c r="E14" i="24"/>
  <c r="E10" i="24"/>
  <c r="K82" i="36"/>
  <c r="J50" i="35"/>
  <c r="J47" i="35" s="1"/>
  <c r="J81" i="35"/>
  <c r="E12" i="24"/>
  <c r="T4" i="24"/>
  <c r="E8" i="24"/>
  <c r="E51" i="36"/>
  <c r="E48" i="36" s="1"/>
  <c r="G51" i="36"/>
  <c r="G48" i="36" s="1"/>
  <c r="C9" i="24"/>
  <c r="C13" i="24"/>
  <c r="D9" i="24"/>
  <c r="D13" i="24"/>
  <c r="C8" i="24"/>
  <c r="T2" i="24"/>
  <c r="C12" i="24"/>
  <c r="D8" i="24"/>
  <c r="T3" i="24"/>
  <c r="D12" i="24"/>
  <c r="G54" i="36"/>
  <c r="K54" i="36"/>
  <c r="K18" i="36"/>
  <c r="D10" i="24"/>
  <c r="D14" i="24"/>
  <c r="E96" i="36"/>
  <c r="G92" i="36"/>
  <c r="I54" i="36"/>
  <c r="I18" i="36"/>
  <c r="F109" i="35"/>
  <c r="K51" i="36"/>
  <c r="K48" i="36" s="1"/>
  <c r="I73" i="36"/>
  <c r="G96" i="36"/>
  <c r="E73" i="36"/>
  <c r="K11" i="36"/>
  <c r="K8" i="36" s="1"/>
  <c r="K7" i="36" s="1"/>
  <c r="F10" i="35"/>
  <c r="F7" i="35" s="1"/>
  <c r="F15" i="35" s="1"/>
  <c r="F36" i="35"/>
  <c r="H10" i="35"/>
  <c r="H7" i="35" s="1"/>
  <c r="H6" i="35" s="1"/>
  <c r="D51" i="36"/>
  <c r="D48" i="36" s="1"/>
  <c r="J36" i="35"/>
  <c r="H87" i="35"/>
  <c r="H91" i="35" s="1"/>
  <c r="H95" i="35"/>
  <c r="D73" i="36"/>
  <c r="D91" i="35"/>
  <c r="D21" i="35"/>
  <c r="D26" i="35" s="1"/>
  <c r="D50" i="35"/>
  <c r="D47" i="35" s="1"/>
  <c r="J95" i="35"/>
  <c r="D109" i="35"/>
  <c r="D32" i="36"/>
  <c r="F21" i="35"/>
  <c r="F26" i="35" s="1"/>
  <c r="F50" i="35"/>
  <c r="F47" i="35" s="1"/>
  <c r="H81" i="35"/>
  <c r="H21" i="35"/>
  <c r="H26" i="35" s="1"/>
  <c r="E18" i="36"/>
  <c r="D54" i="36"/>
  <c r="H50" i="35"/>
  <c r="H47" i="35" s="1"/>
  <c r="G18" i="36"/>
  <c r="E54" i="36"/>
  <c r="D110" i="36"/>
  <c r="D11" i="36"/>
  <c r="D8" i="36" s="1"/>
  <c r="D7" i="36" s="1"/>
  <c r="H17" i="35"/>
  <c r="K45" i="36"/>
  <c r="K42" i="36" s="1"/>
  <c r="K22" i="36"/>
  <c r="K27" i="36" s="1"/>
  <c r="E37" i="36"/>
  <c r="I51" i="36"/>
  <c r="I48" i="36" s="1"/>
  <c r="K88" i="36"/>
  <c r="K92" i="36" s="1"/>
  <c r="D96" i="36"/>
  <c r="G37" i="36"/>
  <c r="G101" i="36"/>
  <c r="J31" i="35"/>
  <c r="G32" i="36"/>
  <c r="I37" i="36"/>
  <c r="G73" i="36"/>
  <c r="I92" i="36"/>
  <c r="D10" i="35"/>
  <c r="D7" i="35" s="1"/>
  <c r="D6" i="35" s="1"/>
  <c r="I32" i="36"/>
  <c r="K37" i="36"/>
  <c r="D36" i="35"/>
  <c r="I11" i="36"/>
  <c r="I8" i="36" s="1"/>
  <c r="I7" i="36" s="1"/>
  <c r="K32" i="36"/>
  <c r="J53" i="35"/>
  <c r="D31" i="35"/>
  <c r="D44" i="35"/>
  <c r="D41" i="35" s="1"/>
  <c r="D53" i="35"/>
  <c r="E11" i="36"/>
  <c r="E8" i="36" s="1"/>
  <c r="E7" i="36" s="1"/>
  <c r="D45" i="36"/>
  <c r="D42" i="36" s="1"/>
  <c r="F31" i="35"/>
  <c r="F44" i="35"/>
  <c r="F41" i="35" s="1"/>
  <c r="F53" i="35"/>
  <c r="J87" i="35"/>
  <c r="J91" i="35" s="1"/>
  <c r="J100" i="35"/>
  <c r="D22" i="36"/>
  <c r="D27" i="36" s="1"/>
  <c r="E45" i="36"/>
  <c r="E42" i="36" s="1"/>
  <c r="J67" i="35"/>
  <c r="F87" i="35"/>
  <c r="F91" i="35" s="1"/>
  <c r="K68" i="36"/>
  <c r="H31" i="35"/>
  <c r="H44" i="35"/>
  <c r="H41" i="35" s="1"/>
  <c r="H53" i="35"/>
  <c r="H67" i="35"/>
  <c r="D100" i="35"/>
  <c r="E22" i="36"/>
  <c r="E27" i="36" s="1"/>
  <c r="G45" i="36"/>
  <c r="G42" i="36" s="1"/>
  <c r="J10" i="35"/>
  <c r="J7" i="35" s="1"/>
  <c r="J15" i="35" s="1"/>
  <c r="F100" i="35"/>
  <c r="H100" i="35"/>
  <c r="J44" i="35"/>
  <c r="J41" i="35" s="1"/>
  <c r="G22" i="36"/>
  <c r="G27" i="36" s="1"/>
  <c r="I45" i="36"/>
  <c r="I42" i="36" s="1"/>
  <c r="I22" i="36"/>
  <c r="I27" i="36" s="1"/>
  <c r="D95" i="35"/>
  <c r="I101" i="36"/>
  <c r="K101" i="36"/>
  <c r="I68" i="36"/>
  <c r="D101" i="36"/>
  <c r="E101" i="36"/>
  <c r="D72" i="35"/>
  <c r="J17" i="35"/>
  <c r="J21" i="35"/>
  <c r="J26" i="35" s="1"/>
  <c r="F72" i="35"/>
  <c r="E32" i="36"/>
  <c r="D17" i="35"/>
  <c r="F17" i="35"/>
  <c r="G16" i="36"/>
  <c r="E16" i="36" l="1"/>
  <c r="K16" i="36"/>
  <c r="F6" i="35"/>
  <c r="C10" i="24"/>
  <c r="C14" i="24"/>
  <c r="H15" i="35"/>
  <c r="D15" i="35"/>
  <c r="D16" i="36"/>
  <c r="I16" i="36"/>
  <c r="J6" i="35"/>
  <c r="O12" i="24"/>
  <c r="E15" i="24"/>
  <c r="Q9" i="27"/>
  <c r="E38" i="6"/>
  <c r="E37" i="6"/>
  <c r="E36" i="6"/>
  <c r="C38" i="6"/>
  <c r="C37" i="6"/>
  <c r="C36" i="6"/>
  <c r="X36" i="6" l="1"/>
  <c r="Y36" i="6"/>
  <c r="X37" i="6"/>
  <c r="Y37" i="6"/>
  <c r="X38" i="6"/>
  <c r="Y38" i="6"/>
  <c r="W37" i="6"/>
  <c r="W38" i="6"/>
  <c r="W36" i="6"/>
  <c r="S25" i="6"/>
  <c r="O23" i="6"/>
  <c r="J30" i="6"/>
  <c r="K30" i="6"/>
  <c r="L30" i="6"/>
  <c r="M30" i="6"/>
  <c r="N30" i="6"/>
  <c r="J29" i="6"/>
  <c r="K29" i="6"/>
  <c r="L29" i="6"/>
  <c r="M29" i="6"/>
  <c r="N29" i="6"/>
  <c r="J28" i="6"/>
  <c r="K28" i="6"/>
  <c r="L28" i="6"/>
  <c r="M28" i="6"/>
  <c r="N28" i="6"/>
  <c r="AF27" i="6"/>
  <c r="AE27" i="6"/>
  <c r="AD27" i="6"/>
  <c r="AC27" i="6"/>
  <c r="AB27" i="6"/>
  <c r="AA27" i="6"/>
  <c r="W27" i="6"/>
  <c r="V27" i="6"/>
  <c r="U27" i="6"/>
  <c r="N27" i="6"/>
  <c r="M27" i="6"/>
  <c r="L27" i="6"/>
  <c r="K27" i="6"/>
  <c r="J27" i="6"/>
  <c r="I27" i="6"/>
  <c r="H27" i="6"/>
  <c r="G27" i="6"/>
  <c r="E27" i="6"/>
  <c r="C27" i="6"/>
  <c r="D26" i="6"/>
  <c r="D25" i="6"/>
  <c r="O25" i="6" s="1"/>
  <c r="AF24" i="6"/>
  <c r="AE24" i="6"/>
  <c r="AD24" i="6"/>
  <c r="AC24" i="6"/>
  <c r="AB24" i="6"/>
  <c r="AA24" i="6"/>
  <c r="Z24" i="6"/>
  <c r="Y24" i="6"/>
  <c r="X24" i="6"/>
  <c r="W24" i="6"/>
  <c r="V24" i="6"/>
  <c r="U24" i="6"/>
  <c r="S22" i="6"/>
  <c r="S23" i="6" s="1"/>
  <c r="O22" i="6"/>
  <c r="I24" i="24"/>
  <c r="F22" i="24"/>
  <c r="F21" i="24"/>
  <c r="F20" i="24"/>
  <c r="D21" i="24"/>
  <c r="D20" i="24"/>
  <c r="O26" i="6" l="1"/>
  <c r="S26" i="6"/>
  <c r="Y27" i="6"/>
  <c r="Z27" i="6"/>
  <c r="S27" i="6" s="1"/>
  <c r="S24" i="6"/>
  <c r="D27" i="6"/>
  <c r="O27" i="6" s="1"/>
  <c r="Q136" i="32"/>
  <c r="P136" i="32"/>
  <c r="O136" i="32"/>
  <c r="N136" i="32"/>
  <c r="M136" i="32"/>
  <c r="L136" i="32"/>
  <c r="K136" i="32"/>
  <c r="J136" i="32"/>
  <c r="I136" i="32"/>
  <c r="H136" i="32"/>
  <c r="Q135" i="32"/>
  <c r="P135" i="32"/>
  <c r="O135" i="32"/>
  <c r="N135" i="32"/>
  <c r="M135" i="32"/>
  <c r="L135" i="32"/>
  <c r="K135" i="32"/>
  <c r="J135" i="32"/>
  <c r="I135" i="32"/>
  <c r="H135" i="32"/>
  <c r="Q129" i="32"/>
  <c r="P129" i="32"/>
  <c r="O129" i="32"/>
  <c r="N129" i="32"/>
  <c r="M129" i="32"/>
  <c r="L129" i="32"/>
  <c r="K129" i="32"/>
  <c r="J129" i="32"/>
  <c r="I129" i="32"/>
  <c r="H129" i="32"/>
  <c r="Q128" i="32"/>
  <c r="P128" i="32"/>
  <c r="O128" i="32"/>
  <c r="N128" i="32"/>
  <c r="M128" i="32"/>
  <c r="L128" i="32"/>
  <c r="K128" i="32"/>
  <c r="J128" i="32"/>
  <c r="I128" i="32"/>
  <c r="H128" i="32"/>
  <c r="K10" i="10" l="1"/>
  <c r="N39" i="10"/>
  <c r="O39" i="10"/>
  <c r="P39" i="10"/>
  <c r="Q39" i="10"/>
  <c r="R39" i="10"/>
  <c r="S39" i="10"/>
  <c r="T39" i="10"/>
  <c r="N38" i="10"/>
  <c r="O38" i="10"/>
  <c r="P38" i="10"/>
  <c r="Q38" i="10"/>
  <c r="R38" i="10"/>
  <c r="S38" i="10"/>
  <c r="T38" i="10"/>
  <c r="N37" i="10"/>
  <c r="O37" i="10"/>
  <c r="P37" i="10"/>
  <c r="Q37" i="10"/>
  <c r="R37" i="10"/>
  <c r="S37" i="10"/>
  <c r="T37" i="10"/>
  <c r="O88" i="3"/>
  <c r="O87" i="3"/>
  <c r="O86" i="3"/>
  <c r="O85" i="3"/>
  <c r="O84" i="3"/>
  <c r="O83" i="3"/>
  <c r="O82" i="3"/>
  <c r="O81" i="3"/>
  <c r="O80" i="3"/>
  <c r="O79" i="3"/>
  <c r="O78" i="3"/>
  <c r="O77" i="3"/>
  <c r="H111" i="33"/>
  <c r="F111" i="33"/>
  <c r="D111" i="33"/>
  <c r="H110" i="33"/>
  <c r="H109" i="33" s="1"/>
  <c r="F110" i="33"/>
  <c r="D110" i="33"/>
  <c r="H106" i="33"/>
  <c r="F106" i="33"/>
  <c r="D106" i="33"/>
  <c r="H105" i="33"/>
  <c r="F105" i="33"/>
  <c r="D105" i="33"/>
  <c r="H104" i="33"/>
  <c r="F104" i="33"/>
  <c r="D104" i="33"/>
  <c r="H103" i="33"/>
  <c r="F103" i="33"/>
  <c r="D103" i="33"/>
  <c r="H102" i="33"/>
  <c r="F102" i="33"/>
  <c r="D102" i="33"/>
  <c r="H101" i="33"/>
  <c r="F101" i="33"/>
  <c r="D101" i="33"/>
  <c r="H97" i="33"/>
  <c r="F97" i="33"/>
  <c r="D97" i="33"/>
  <c r="H96" i="33"/>
  <c r="F96" i="33"/>
  <c r="D96" i="33"/>
  <c r="H93" i="33"/>
  <c r="F93" i="33"/>
  <c r="D93" i="33"/>
  <c r="H92" i="33"/>
  <c r="F92" i="33"/>
  <c r="D92" i="33"/>
  <c r="H89" i="33"/>
  <c r="F89" i="33"/>
  <c r="D89" i="33"/>
  <c r="H88" i="33"/>
  <c r="H91" i="33" s="1"/>
  <c r="F88" i="33"/>
  <c r="F87" i="33" s="1"/>
  <c r="D88" i="33"/>
  <c r="D87" i="33" s="1"/>
  <c r="H87" i="33"/>
  <c r="H84" i="33"/>
  <c r="F84" i="33"/>
  <c r="D84" i="33"/>
  <c r="H83" i="33"/>
  <c r="F83" i="33"/>
  <c r="D83" i="33"/>
  <c r="H82" i="33"/>
  <c r="F82" i="33"/>
  <c r="D82" i="33"/>
  <c r="F81" i="33"/>
  <c r="D81" i="33"/>
  <c r="H79" i="33"/>
  <c r="F79" i="33"/>
  <c r="D79" i="33"/>
  <c r="H78" i="33"/>
  <c r="F78" i="33"/>
  <c r="D78" i="33"/>
  <c r="H75" i="33"/>
  <c r="F75" i="33"/>
  <c r="D75" i="33"/>
  <c r="H74" i="33"/>
  <c r="F74" i="33"/>
  <c r="D74" i="33"/>
  <c r="H73" i="33"/>
  <c r="F73" i="33"/>
  <c r="D73" i="33"/>
  <c r="H70" i="33"/>
  <c r="F70" i="33"/>
  <c r="D70" i="33"/>
  <c r="H69" i="33"/>
  <c r="F69" i="33"/>
  <c r="D69" i="33"/>
  <c r="H68" i="33"/>
  <c r="F68" i="33"/>
  <c r="D68" i="33"/>
  <c r="F67" i="33"/>
  <c r="D67" i="33"/>
  <c r="H65" i="33"/>
  <c r="F65" i="33"/>
  <c r="D65" i="33"/>
  <c r="H64" i="33"/>
  <c r="F64" i="33"/>
  <c r="D64" i="33"/>
  <c r="H63" i="33"/>
  <c r="F63" i="33"/>
  <c r="D63" i="33"/>
  <c r="H62" i="33"/>
  <c r="F62" i="33"/>
  <c r="D62" i="33"/>
  <c r="H60" i="33"/>
  <c r="F60" i="33"/>
  <c r="D60" i="33"/>
  <c r="H59" i="33"/>
  <c r="F59" i="33"/>
  <c r="D59" i="33"/>
  <c r="H55" i="33"/>
  <c r="F55" i="33"/>
  <c r="D55" i="33"/>
  <c r="H54" i="33"/>
  <c r="F54" i="33"/>
  <c r="F53" i="33" s="1"/>
  <c r="D54" i="33"/>
  <c r="H51" i="33"/>
  <c r="F51" i="33"/>
  <c r="D51" i="33"/>
  <c r="H49" i="33"/>
  <c r="F49" i="33"/>
  <c r="D49" i="33"/>
  <c r="H48" i="33"/>
  <c r="H50" i="33" s="1"/>
  <c r="F48" i="33"/>
  <c r="D48" i="33"/>
  <c r="H45" i="33"/>
  <c r="F45" i="33"/>
  <c r="D45" i="33"/>
  <c r="H43" i="33"/>
  <c r="F43" i="33"/>
  <c r="D43" i="33"/>
  <c r="H42" i="33"/>
  <c r="F42" i="33"/>
  <c r="D42" i="33"/>
  <c r="H38" i="33"/>
  <c r="F38" i="33"/>
  <c r="D38" i="33"/>
  <c r="H37" i="33"/>
  <c r="H36" i="33" s="1"/>
  <c r="F37" i="33"/>
  <c r="F36" i="33" s="1"/>
  <c r="D37" i="33"/>
  <c r="H34" i="33"/>
  <c r="F34" i="33"/>
  <c r="D34" i="33"/>
  <c r="H33" i="33"/>
  <c r="F33" i="33"/>
  <c r="D33" i="33"/>
  <c r="H32" i="33"/>
  <c r="H31" i="33" s="1"/>
  <c r="F32" i="33"/>
  <c r="F31" i="33" s="1"/>
  <c r="D32" i="33"/>
  <c r="D31" i="33" s="1"/>
  <c r="H29" i="33"/>
  <c r="F29" i="33"/>
  <c r="D29" i="33"/>
  <c r="H28" i="33"/>
  <c r="F28" i="33"/>
  <c r="D28" i="33"/>
  <c r="H27" i="33"/>
  <c r="F27" i="33"/>
  <c r="D27" i="33"/>
  <c r="H24" i="33"/>
  <c r="F24" i="33"/>
  <c r="D24" i="33"/>
  <c r="H23" i="33"/>
  <c r="F23" i="33"/>
  <c r="D23" i="33"/>
  <c r="H22" i="33"/>
  <c r="F22" i="33"/>
  <c r="D22" i="33"/>
  <c r="H19" i="33"/>
  <c r="F19" i="33"/>
  <c r="D19" i="33"/>
  <c r="H18" i="33"/>
  <c r="F18" i="33"/>
  <c r="D18" i="33"/>
  <c r="H12" i="33"/>
  <c r="F12" i="33"/>
  <c r="D12" i="33"/>
  <c r="H11" i="33"/>
  <c r="F11" i="33"/>
  <c r="F10" i="33" s="1"/>
  <c r="F7" i="33" s="1"/>
  <c r="D11" i="33"/>
  <c r="D10" i="33" s="1"/>
  <c r="D7" i="33" s="1"/>
  <c r="H10" i="33"/>
  <c r="H7" i="33" s="1"/>
  <c r="H8" i="33"/>
  <c r="F8" i="33"/>
  <c r="D8" i="33"/>
  <c r="E7" i="33"/>
  <c r="F4" i="33"/>
  <c r="D4" i="33"/>
  <c r="A3" i="33"/>
  <c r="F95" i="33" l="1"/>
  <c r="H21" i="33"/>
  <c r="H26" i="33" s="1"/>
  <c r="D17" i="33"/>
  <c r="D91" i="33"/>
  <c r="F17" i="33"/>
  <c r="F72" i="33"/>
  <c r="F91" i="33"/>
  <c r="D109" i="33"/>
  <c r="D21" i="33"/>
  <c r="D26" i="33" s="1"/>
  <c r="D95" i="33"/>
  <c r="F21" i="33"/>
  <c r="F26" i="33" s="1"/>
  <c r="D53" i="33"/>
  <c r="H95" i="33"/>
  <c r="H53" i="33"/>
  <c r="H17" i="33"/>
  <c r="F50" i="33"/>
  <c r="F47" i="33" s="1"/>
  <c r="H72" i="33"/>
  <c r="F109" i="33"/>
  <c r="H67" i="33"/>
  <c r="AC34" i="10"/>
  <c r="D22" i="24"/>
  <c r="AC36" i="10"/>
  <c r="AC35" i="10"/>
  <c r="H100" i="33"/>
  <c r="D50" i="33"/>
  <c r="D47" i="33" s="1"/>
  <c r="H81" i="33"/>
  <c r="D100" i="33"/>
  <c r="F100" i="33"/>
  <c r="H47" i="33"/>
  <c r="D72" i="33"/>
  <c r="D36" i="33"/>
  <c r="D44" i="33"/>
  <c r="D41" i="33" s="1"/>
  <c r="F44" i="33"/>
  <c r="F41" i="33" s="1"/>
  <c r="H44" i="33"/>
  <c r="H41" i="33" s="1"/>
  <c r="H15" i="33"/>
  <c r="H6" i="33"/>
  <c r="D6" i="33"/>
  <c r="D15" i="33"/>
  <c r="F15" i="33"/>
  <c r="F6" i="33"/>
  <c r="AL136" i="32" l="1"/>
  <c r="AK136" i="32"/>
  <c r="AJ136" i="32"/>
  <c r="AI136" i="32"/>
  <c r="AH136" i="32"/>
  <c r="AG136" i="32"/>
  <c r="AF136" i="32"/>
  <c r="AE136" i="32"/>
  <c r="AD136" i="32"/>
  <c r="AC136" i="32"/>
  <c r="AB136" i="32"/>
  <c r="AA136" i="32"/>
  <c r="Z136" i="32"/>
  <c r="Y136" i="32"/>
  <c r="X136" i="32"/>
  <c r="W136" i="32"/>
  <c r="V136" i="32"/>
  <c r="U136" i="32"/>
  <c r="T136" i="32"/>
  <c r="S136" i="32"/>
  <c r="R136" i="32"/>
  <c r="AL135" i="32"/>
  <c r="AK135" i="32"/>
  <c r="AJ135" i="32"/>
  <c r="AI135" i="32"/>
  <c r="AH135" i="32"/>
  <c r="AG135" i="32"/>
  <c r="AF135" i="32"/>
  <c r="AE135" i="32"/>
  <c r="AD135" i="32"/>
  <c r="AC135" i="32"/>
  <c r="AB135" i="32"/>
  <c r="AA135" i="32"/>
  <c r="Z135" i="32"/>
  <c r="Y135" i="32"/>
  <c r="X135" i="32"/>
  <c r="W135" i="32"/>
  <c r="V135" i="32"/>
  <c r="U135" i="32"/>
  <c r="T135" i="32"/>
  <c r="S135" i="32"/>
  <c r="R135" i="32"/>
  <c r="F131" i="32"/>
  <c r="F130" i="32"/>
  <c r="AL129" i="32"/>
  <c r="AK129" i="32"/>
  <c r="AJ129" i="32"/>
  <c r="AI129" i="32"/>
  <c r="AH129" i="32"/>
  <c r="AG129" i="32"/>
  <c r="AF129" i="32"/>
  <c r="AE129" i="32"/>
  <c r="AD129" i="32"/>
  <c r="AC129" i="32"/>
  <c r="AB129" i="32"/>
  <c r="AA129" i="32"/>
  <c r="Z129" i="32"/>
  <c r="Y129" i="32"/>
  <c r="X129" i="32"/>
  <c r="W129" i="32"/>
  <c r="V129" i="32"/>
  <c r="U129" i="32"/>
  <c r="T129" i="32"/>
  <c r="S129" i="32"/>
  <c r="R129" i="32"/>
  <c r="F129" i="32"/>
  <c r="AL128" i="32"/>
  <c r="AK128" i="32"/>
  <c r="AJ128" i="32"/>
  <c r="AI128" i="32"/>
  <c r="AH128" i="32"/>
  <c r="AG128" i="32"/>
  <c r="AF128" i="32"/>
  <c r="AE128" i="32"/>
  <c r="AD128" i="32"/>
  <c r="AC128" i="32"/>
  <c r="AB128" i="32"/>
  <c r="AA128" i="32"/>
  <c r="Z128" i="32"/>
  <c r="Y128" i="32"/>
  <c r="X128" i="32"/>
  <c r="W128" i="32"/>
  <c r="V128" i="32"/>
  <c r="U128" i="32"/>
  <c r="T128" i="32"/>
  <c r="S128" i="32"/>
  <c r="R128" i="32"/>
  <c r="F128" i="32"/>
  <c r="F124" i="32"/>
  <c r="F123" i="32"/>
  <c r="W14" i="32"/>
  <c r="AA14" i="32"/>
  <c r="AD14" i="32"/>
  <c r="AI14" i="32"/>
  <c r="V14" i="32"/>
  <c r="M14" i="32"/>
  <c r="O15" i="32"/>
  <c r="AE14" i="32"/>
  <c r="Q14" i="32"/>
  <c r="AL14" i="32"/>
  <c r="AG14" i="32"/>
  <c r="AF14" i="32"/>
  <c r="Y14" i="32"/>
  <c r="P14" i="32"/>
  <c r="AL17" i="32"/>
  <c r="AK17" i="32"/>
  <c r="AJ17" i="32"/>
  <c r="AI17" i="32"/>
  <c r="AH17" i="32"/>
  <c r="AG17" i="32"/>
  <c r="AF17" i="32"/>
  <c r="AE17" i="32"/>
  <c r="AD17" i="32"/>
  <c r="AC17" i="32"/>
  <c r="AB17" i="32"/>
  <c r="AA17" i="32"/>
  <c r="Z17" i="32"/>
  <c r="Y17" i="32"/>
  <c r="X17" i="32"/>
  <c r="W17" i="32"/>
  <c r="V17" i="32"/>
  <c r="U17" i="32"/>
  <c r="T17" i="32"/>
  <c r="S17" i="32"/>
  <c r="R17" i="32"/>
  <c r="Q17" i="32"/>
  <c r="P17" i="32"/>
  <c r="O17" i="32"/>
  <c r="N17" i="32"/>
  <c r="M17" i="32"/>
  <c r="L17" i="32"/>
  <c r="K17" i="32"/>
  <c r="J17" i="32"/>
  <c r="I17" i="32"/>
  <c r="H17" i="32"/>
  <c r="A17" i="32"/>
  <c r="AL15" i="32"/>
  <c r="AJ15" i="32"/>
  <c r="AH15" i="32"/>
  <c r="AG15" i="32"/>
  <c r="AF15" i="32"/>
  <c r="AE15" i="32"/>
  <c r="AD15" i="32"/>
  <c r="AC15" i="32"/>
  <c r="AB15" i="32"/>
  <c r="AA15" i="32"/>
  <c r="Z15" i="32"/>
  <c r="Y15" i="32"/>
  <c r="X15" i="32"/>
  <c r="W15" i="32"/>
  <c r="V15" i="32"/>
  <c r="T15" i="32"/>
  <c r="R15" i="32"/>
  <c r="Q15" i="32"/>
  <c r="P15" i="32"/>
  <c r="AL11" i="32"/>
  <c r="AK11" i="32"/>
  <c r="AI11" i="32"/>
  <c r="AG11" i="32"/>
  <c r="AF11" i="32"/>
  <c r="AE11" i="32"/>
  <c r="AD11" i="32"/>
  <c r="AC11" i="32"/>
  <c r="AB11" i="32"/>
  <c r="AA11" i="32"/>
  <c r="Z11" i="32"/>
  <c r="Y11" i="32"/>
  <c r="X11" i="32"/>
  <c r="W11" i="32"/>
  <c r="V11" i="32"/>
  <c r="U11" i="32"/>
  <c r="S11" i="32"/>
  <c r="Q11" i="32"/>
  <c r="P11" i="32"/>
  <c r="O11" i="32"/>
  <c r="N11" i="32"/>
  <c r="M11" i="32"/>
  <c r="L11" i="32"/>
  <c r="K11" i="32"/>
  <c r="J11" i="32"/>
  <c r="I11" i="32"/>
  <c r="H11" i="32"/>
  <c r="AK10" i="32"/>
  <c r="AI10" i="32"/>
  <c r="AH10" i="32"/>
  <c r="AG10" i="32"/>
  <c r="AF10" i="32"/>
  <c r="AE10" i="32"/>
  <c r="AD10" i="32"/>
  <c r="AC10" i="32"/>
  <c r="AA10" i="32"/>
  <c r="Y10" i="32"/>
  <c r="X10" i="32"/>
  <c r="W10" i="32"/>
  <c r="U10" i="32"/>
  <c r="S10" i="32"/>
  <c r="Q10" i="32"/>
  <c r="P10" i="32"/>
  <c r="O10" i="32"/>
  <c r="M10" i="32"/>
  <c r="I10" i="32"/>
  <c r="C6" i="32"/>
  <c r="F103" i="31"/>
  <c r="F94" i="31"/>
  <c r="F82" i="31"/>
  <c r="E85" i="3" s="1"/>
  <c r="F81" i="31"/>
  <c r="D85" i="3" s="1"/>
  <c r="P85" i="3" s="1"/>
  <c r="F80" i="31"/>
  <c r="F75" i="31"/>
  <c r="F73" i="31"/>
  <c r="F68" i="31"/>
  <c r="E83" i="3" s="1"/>
  <c r="L15" i="31"/>
  <c r="F59" i="31"/>
  <c r="F54" i="31"/>
  <c r="F53" i="31"/>
  <c r="F52" i="31"/>
  <c r="F47" i="31"/>
  <c r="E81" i="3" s="1"/>
  <c r="H15" i="31"/>
  <c r="F40" i="31"/>
  <c r="E80" i="3" s="1"/>
  <c r="O15" i="31"/>
  <c r="F38" i="31"/>
  <c r="F32" i="31"/>
  <c r="D79" i="3" s="1"/>
  <c r="P79" i="3" s="1"/>
  <c r="N10" i="31"/>
  <c r="F31" i="31"/>
  <c r="F26" i="31"/>
  <c r="E78" i="3" s="1"/>
  <c r="L10" i="31"/>
  <c r="F24" i="31"/>
  <c r="F19" i="31"/>
  <c r="E77" i="3" s="1"/>
  <c r="A17" i="31"/>
  <c r="AL17" i="31"/>
  <c r="AK17" i="31"/>
  <c r="AJ17" i="31"/>
  <c r="AI17" i="31"/>
  <c r="AH17" i="31"/>
  <c r="AG17" i="31"/>
  <c r="AF17" i="31"/>
  <c r="AE17" i="31"/>
  <c r="AD17" i="31"/>
  <c r="AC17" i="31"/>
  <c r="AB17" i="31"/>
  <c r="AA17" i="31"/>
  <c r="Z17" i="31"/>
  <c r="Y17" i="31"/>
  <c r="X17" i="31"/>
  <c r="W17" i="31"/>
  <c r="V17" i="31"/>
  <c r="U17" i="31"/>
  <c r="T17" i="31"/>
  <c r="S17" i="31"/>
  <c r="R17" i="31"/>
  <c r="Q17" i="31"/>
  <c r="P17" i="31"/>
  <c r="O17" i="31"/>
  <c r="N17" i="31"/>
  <c r="M17" i="31"/>
  <c r="L17" i="31"/>
  <c r="K17" i="31"/>
  <c r="J17" i="31"/>
  <c r="I17" i="31"/>
  <c r="H17" i="31"/>
  <c r="AL15" i="31"/>
  <c r="AH15" i="31"/>
  <c r="AG15" i="31"/>
  <c r="AF15" i="31"/>
  <c r="AE15" i="31"/>
  <c r="AC15" i="31"/>
  <c r="AB15" i="31"/>
  <c r="AA15" i="31"/>
  <c r="Z15" i="31"/>
  <c r="Y15" i="31"/>
  <c r="X15" i="31"/>
  <c r="W15" i="31"/>
  <c r="V15" i="31"/>
  <c r="R15" i="31"/>
  <c r="Q15" i="31"/>
  <c r="P15" i="31"/>
  <c r="J15" i="31"/>
  <c r="I15" i="31"/>
  <c r="AL14" i="31"/>
  <c r="AK14" i="31"/>
  <c r="AG14" i="31"/>
  <c r="AF14" i="31"/>
  <c r="AE14" i="31"/>
  <c r="AD14" i="31"/>
  <c r="AB14" i="31"/>
  <c r="AA14" i="31"/>
  <c r="Z14" i="31"/>
  <c r="Y14" i="31"/>
  <c r="X14" i="31"/>
  <c r="W14" i="31"/>
  <c r="V14" i="31"/>
  <c r="U14" i="31"/>
  <c r="Q14" i="31"/>
  <c r="P14" i="31"/>
  <c r="AL11" i="31"/>
  <c r="AK11" i="31"/>
  <c r="AG11" i="31"/>
  <c r="AF11" i="31"/>
  <c r="AE11" i="31"/>
  <c r="AD11" i="31"/>
  <c r="AB11" i="31"/>
  <c r="AA11" i="31"/>
  <c r="Z11" i="31"/>
  <c r="Y11" i="31"/>
  <c r="X11" i="31"/>
  <c r="W11" i="31"/>
  <c r="V11" i="31"/>
  <c r="U11" i="31"/>
  <c r="Q11" i="31"/>
  <c r="P11" i="31"/>
  <c r="O11" i="31"/>
  <c r="N11" i="31"/>
  <c r="I11" i="31"/>
  <c r="H11" i="31"/>
  <c r="AI10" i="31"/>
  <c r="AH10" i="31"/>
  <c r="AG10" i="31"/>
  <c r="AF10" i="31"/>
  <c r="AD10" i="31"/>
  <c r="AC10" i="31"/>
  <c r="AB10" i="31"/>
  <c r="AA10" i="31"/>
  <c r="Z10" i="31"/>
  <c r="Y10" i="31"/>
  <c r="X10" i="31"/>
  <c r="W10" i="31"/>
  <c r="S10" i="31"/>
  <c r="Q10" i="31"/>
  <c r="P10" i="31"/>
  <c r="C6" i="31"/>
  <c r="AE13" i="32" l="1"/>
  <c r="AD13" i="32"/>
  <c r="X13" i="32"/>
  <c r="Z13" i="32"/>
  <c r="AI12" i="32"/>
  <c r="R10" i="31"/>
  <c r="AD12" i="32"/>
  <c r="W12" i="32"/>
  <c r="R10" i="32"/>
  <c r="AA13" i="32"/>
  <c r="F126" i="32"/>
  <c r="G124" i="32"/>
  <c r="Z14" i="32"/>
  <c r="X14" i="32"/>
  <c r="X12" i="32" s="1"/>
  <c r="U14" i="32"/>
  <c r="U12" i="32" s="1"/>
  <c r="AB14" i="32"/>
  <c r="AC14" i="32"/>
  <c r="AC12" i="32" s="1"/>
  <c r="S14" i="32"/>
  <c r="S12" i="32" s="1"/>
  <c r="AK14" i="32"/>
  <c r="AK12" i="32" s="1"/>
  <c r="M10" i="31"/>
  <c r="Y12" i="31"/>
  <c r="R14" i="32"/>
  <c r="F74" i="31"/>
  <c r="D84" i="3" s="1"/>
  <c r="P84" i="3" s="1"/>
  <c r="Z10" i="32"/>
  <c r="V13" i="32"/>
  <c r="AA12" i="32"/>
  <c r="W13" i="32"/>
  <c r="AD12" i="31"/>
  <c r="F102" i="31"/>
  <c r="D88" i="3" s="1"/>
  <c r="P88" i="3" s="1"/>
  <c r="AB10" i="32"/>
  <c r="I10" i="31"/>
  <c r="AB13" i="32"/>
  <c r="H10" i="31"/>
  <c r="F67" i="31"/>
  <c r="D83" i="3" s="1"/>
  <c r="P83" i="3" s="1"/>
  <c r="F25" i="31"/>
  <c r="D78" i="3" s="1"/>
  <c r="G32" i="6" s="1"/>
  <c r="F65" i="31"/>
  <c r="AL13" i="32"/>
  <c r="O13" i="32"/>
  <c r="N14" i="32"/>
  <c r="Z13" i="31"/>
  <c r="Q77" i="3"/>
  <c r="Q85" i="3"/>
  <c r="Q83" i="3"/>
  <c r="Q80" i="3"/>
  <c r="Q78" i="3"/>
  <c r="Q81" i="3"/>
  <c r="P13" i="31"/>
  <c r="X12" i="31"/>
  <c r="V13" i="31"/>
  <c r="E88" i="3"/>
  <c r="G54" i="31"/>
  <c r="F50" i="31"/>
  <c r="G81" i="3" s="1"/>
  <c r="S81" i="3" s="1"/>
  <c r="Z12" i="31"/>
  <c r="Y13" i="31"/>
  <c r="O13" i="31"/>
  <c r="AF12" i="31"/>
  <c r="AE13" i="31"/>
  <c r="I13" i="31"/>
  <c r="Q12" i="31"/>
  <c r="AL13" i="31"/>
  <c r="E84" i="3"/>
  <c r="X13" i="31"/>
  <c r="AB12" i="31"/>
  <c r="Q13" i="31"/>
  <c r="AF13" i="31"/>
  <c r="AG13" i="31"/>
  <c r="W12" i="31"/>
  <c r="AF12" i="32"/>
  <c r="AC13" i="32"/>
  <c r="M12" i="32"/>
  <c r="Y13" i="32"/>
  <c r="Y12" i="32"/>
  <c r="G131" i="32"/>
  <c r="AG13" i="32"/>
  <c r="Q13" i="32"/>
  <c r="G129" i="32"/>
  <c r="F127" i="32"/>
  <c r="N10" i="32"/>
  <c r="N15" i="32"/>
  <c r="N13" i="32" s="1"/>
  <c r="I15" i="32"/>
  <c r="I13" i="32" s="1"/>
  <c r="J15" i="32"/>
  <c r="J13" i="32" s="1"/>
  <c r="AE12" i="32"/>
  <c r="O14" i="32"/>
  <c r="O12" i="32" s="1"/>
  <c r="K10" i="32"/>
  <c r="F136" i="32"/>
  <c r="P13" i="32"/>
  <c r="K15" i="32"/>
  <c r="K13" i="32" s="1"/>
  <c r="AG12" i="32"/>
  <c r="L14" i="32"/>
  <c r="L10" i="32"/>
  <c r="J10" i="32"/>
  <c r="J14" i="32"/>
  <c r="L15" i="32"/>
  <c r="L13" i="32" s="1"/>
  <c r="H10" i="32"/>
  <c r="M15" i="32"/>
  <c r="M13" i="32" s="1"/>
  <c r="H14" i="32"/>
  <c r="P12" i="32"/>
  <c r="Q12" i="32"/>
  <c r="AF13" i="32"/>
  <c r="T10" i="32"/>
  <c r="AJ10" i="32"/>
  <c r="R11" i="32"/>
  <c r="R13" i="32" s="1"/>
  <c r="AH11" i="32"/>
  <c r="AH13" i="32" s="1"/>
  <c r="AH14" i="32"/>
  <c r="AH12" i="32" s="1"/>
  <c r="S15" i="32"/>
  <c r="S13" i="32" s="1"/>
  <c r="AI15" i="32"/>
  <c r="AI13" i="32" s="1"/>
  <c r="V10" i="32"/>
  <c r="V12" i="32" s="1"/>
  <c r="AL10" i="32"/>
  <c r="AL12" i="32" s="1"/>
  <c r="T11" i="32"/>
  <c r="T13" i="32" s="1"/>
  <c r="AJ11" i="32"/>
  <c r="AJ13" i="32" s="1"/>
  <c r="T14" i="32"/>
  <c r="AJ14" i="32"/>
  <c r="U15" i="32"/>
  <c r="U13" i="32" s="1"/>
  <c r="AK15" i="32"/>
  <c r="AK13" i="32" s="1"/>
  <c r="F135" i="32"/>
  <c r="F133" i="32" s="1"/>
  <c r="F22" i="31"/>
  <c r="G77" i="3" s="1"/>
  <c r="S77" i="3" s="1"/>
  <c r="H13" i="31"/>
  <c r="K11" i="31"/>
  <c r="K15" i="31"/>
  <c r="F30" i="31"/>
  <c r="F71" i="31"/>
  <c r="J10" i="31"/>
  <c r="F29" i="31"/>
  <c r="G78" i="3" s="1"/>
  <c r="S78" i="3" s="1"/>
  <c r="W13" i="31"/>
  <c r="K10" i="31"/>
  <c r="F46" i="31"/>
  <c r="F87" i="31"/>
  <c r="F18" i="31"/>
  <c r="AA12" i="31"/>
  <c r="F95" i="31"/>
  <c r="F96" i="31"/>
  <c r="E87" i="3" s="1"/>
  <c r="J11" i="31"/>
  <c r="L11" i="31"/>
  <c r="L13" i="31" s="1"/>
  <c r="F39" i="31"/>
  <c r="AB13" i="31"/>
  <c r="F57" i="31"/>
  <c r="F108" i="31"/>
  <c r="AG12" i="31"/>
  <c r="AA13" i="31"/>
  <c r="F78" i="31"/>
  <c r="P12" i="31"/>
  <c r="M15" i="31"/>
  <c r="G82" i="31"/>
  <c r="O10" i="31"/>
  <c r="AE10" i="31"/>
  <c r="AE12" i="31" s="1"/>
  <c r="M11" i="31"/>
  <c r="AC11" i="31"/>
  <c r="AC13" i="31" s="1"/>
  <c r="AC14" i="31"/>
  <c r="AC12" i="31" s="1"/>
  <c r="N15" i="31"/>
  <c r="N13" i="31" s="1"/>
  <c r="AD15" i="31"/>
  <c r="AD13" i="31" s="1"/>
  <c r="F33" i="31"/>
  <c r="F36" i="31" s="1"/>
  <c r="F60" i="31"/>
  <c r="F61" i="31"/>
  <c r="E82" i="3" s="1"/>
  <c r="F100" i="31"/>
  <c r="F101" i="31"/>
  <c r="T10" i="31"/>
  <c r="AJ10" i="31"/>
  <c r="R11" i="31"/>
  <c r="R13" i="31" s="1"/>
  <c r="AH11" i="31"/>
  <c r="AH13" i="31" s="1"/>
  <c r="AH14" i="31"/>
  <c r="AH12" i="31" s="1"/>
  <c r="S15" i="31"/>
  <c r="AI15" i="31"/>
  <c r="F88" i="31"/>
  <c r="F89" i="31"/>
  <c r="E86" i="3" s="1"/>
  <c r="U10" i="31"/>
  <c r="U12" i="31" s="1"/>
  <c r="AK10" i="31"/>
  <c r="AK12" i="31" s="1"/>
  <c r="S11" i="31"/>
  <c r="AI11" i="31"/>
  <c r="S14" i="31"/>
  <c r="S12" i="31" s="1"/>
  <c r="AI14" i="31"/>
  <c r="AI12" i="31" s="1"/>
  <c r="T15" i="31"/>
  <c r="AJ15" i="31"/>
  <c r="V10" i="31"/>
  <c r="V12" i="31" s="1"/>
  <c r="AL10" i="31"/>
  <c r="AL12" i="31" s="1"/>
  <c r="T11" i="31"/>
  <c r="AJ11" i="31"/>
  <c r="T14" i="31"/>
  <c r="AJ14" i="31"/>
  <c r="U15" i="31"/>
  <c r="U13" i="31" s="1"/>
  <c r="AK15" i="31"/>
  <c r="AK13" i="31" s="1"/>
  <c r="F45" i="31"/>
  <c r="D82" i="3" l="1"/>
  <c r="P82" i="3" s="1"/>
  <c r="D86" i="3"/>
  <c r="P86" i="3" s="1"/>
  <c r="D87" i="3"/>
  <c r="P87" i="3" s="1"/>
  <c r="G127" i="32"/>
  <c r="AJ12" i="32"/>
  <c r="Z12" i="32"/>
  <c r="R14" i="31"/>
  <c r="R12" i="31" s="1"/>
  <c r="R12" i="32"/>
  <c r="G68" i="31"/>
  <c r="T12" i="31"/>
  <c r="G75" i="31"/>
  <c r="U78" i="3"/>
  <c r="U81" i="3"/>
  <c r="F51" i="31"/>
  <c r="F49" i="31" s="1"/>
  <c r="P78" i="3"/>
  <c r="AD41" i="10"/>
  <c r="Y32" i="6" s="1"/>
  <c r="F107" i="31"/>
  <c r="F105" i="31" s="1"/>
  <c r="F88" i="3" s="1"/>
  <c r="R88" i="3" s="1"/>
  <c r="M14" i="31"/>
  <c r="M12" i="31" s="1"/>
  <c r="O14" i="31"/>
  <c r="O12" i="31" s="1"/>
  <c r="F58" i="31"/>
  <c r="F56" i="31" s="1"/>
  <c r="G57" i="31" s="1"/>
  <c r="G19" i="31"/>
  <c r="D77" i="3"/>
  <c r="G47" i="31"/>
  <c r="D81" i="3"/>
  <c r="P81" i="3" s="1"/>
  <c r="F44" i="31"/>
  <c r="G45" i="31" s="1"/>
  <c r="F72" i="31"/>
  <c r="G73" i="31" s="1"/>
  <c r="T12" i="32"/>
  <c r="L14" i="31"/>
  <c r="L12" i="31" s="1"/>
  <c r="G103" i="31"/>
  <c r="G26" i="31"/>
  <c r="AB12" i="32"/>
  <c r="AJ12" i="31"/>
  <c r="F37" i="31"/>
  <c r="F93" i="31"/>
  <c r="G94" i="31" s="1"/>
  <c r="F86" i="31"/>
  <c r="F84" i="31" s="1"/>
  <c r="F85" i="3" s="1"/>
  <c r="R85" i="3" s="1"/>
  <c r="G40" i="31"/>
  <c r="D80" i="3"/>
  <c r="P80" i="3" s="1"/>
  <c r="N12" i="32"/>
  <c r="Q82" i="3"/>
  <c r="J78" i="3"/>
  <c r="M78" i="3" s="1"/>
  <c r="W78" i="3" s="1"/>
  <c r="Q84" i="3"/>
  <c r="J81" i="3"/>
  <c r="M81" i="3" s="1"/>
  <c r="W81" i="3" s="1"/>
  <c r="Q86" i="3"/>
  <c r="Q88" i="3"/>
  <c r="U77" i="3"/>
  <c r="J77" i="3"/>
  <c r="G83" i="3"/>
  <c r="G89" i="31"/>
  <c r="G84" i="3"/>
  <c r="S84" i="3" s="1"/>
  <c r="C10" i="31"/>
  <c r="D10" i="31"/>
  <c r="G79" i="3"/>
  <c r="S79" i="3" s="1"/>
  <c r="F63" i="31"/>
  <c r="F82" i="3" s="1"/>
  <c r="R82" i="3" s="1"/>
  <c r="AI13" i="31"/>
  <c r="J13" i="31"/>
  <c r="S13" i="31"/>
  <c r="G33" i="31"/>
  <c r="E79" i="3"/>
  <c r="K13" i="31"/>
  <c r="C10" i="32"/>
  <c r="D10" i="32"/>
  <c r="J12" i="32"/>
  <c r="H12" i="32"/>
  <c r="H15" i="32"/>
  <c r="K14" i="32"/>
  <c r="K12" i="32" s="1"/>
  <c r="F134" i="32"/>
  <c r="G134" i="32" s="1"/>
  <c r="G136" i="32"/>
  <c r="L12" i="32"/>
  <c r="I14" i="32"/>
  <c r="I12" i="32" s="1"/>
  <c r="F28" i="31"/>
  <c r="G31" i="31"/>
  <c r="F85" i="31"/>
  <c r="K14" i="31"/>
  <c r="K12" i="31" s="1"/>
  <c r="AJ13" i="31"/>
  <c r="F23" i="31"/>
  <c r="J14" i="31"/>
  <c r="J12" i="31" s="1"/>
  <c r="I14" i="31"/>
  <c r="I12" i="31" s="1"/>
  <c r="D12" i="31"/>
  <c r="T13" i="31"/>
  <c r="F98" i="31"/>
  <c r="F92" i="31"/>
  <c r="G86" i="3" s="1"/>
  <c r="F66" i="31"/>
  <c r="F79" i="31"/>
  <c r="F106" i="31"/>
  <c r="N14" i="31"/>
  <c r="N12" i="31" s="1"/>
  <c r="G101" i="31"/>
  <c r="F99" i="31"/>
  <c r="F43" i="31"/>
  <c r="G80" i="3" s="1"/>
  <c r="M13" i="31"/>
  <c r="G96" i="31"/>
  <c r="H14" i="31"/>
  <c r="S86" i="3" l="1"/>
  <c r="G87" i="3"/>
  <c r="S87" i="3" s="1"/>
  <c r="G14" i="24"/>
  <c r="F87" i="3"/>
  <c r="C89" i="3"/>
  <c r="F91" i="31"/>
  <c r="G108" i="31"/>
  <c r="E89" i="3"/>
  <c r="AD37" i="10" s="1"/>
  <c r="S28" i="6"/>
  <c r="G12" i="24"/>
  <c r="O30" i="6"/>
  <c r="S30" i="6"/>
  <c r="G52" i="31"/>
  <c r="G59" i="31"/>
  <c r="G87" i="31"/>
  <c r="E10" i="32"/>
  <c r="E10" i="31"/>
  <c r="F42" i="31"/>
  <c r="F80" i="3" s="1"/>
  <c r="R80" i="3" s="1"/>
  <c r="P77" i="3"/>
  <c r="P89" i="3" s="1"/>
  <c r="D89" i="3"/>
  <c r="F35" i="31"/>
  <c r="G38" i="31"/>
  <c r="F70" i="31"/>
  <c r="H85" i="3"/>
  <c r="K85" i="3" s="1"/>
  <c r="I85" i="3"/>
  <c r="L85" i="3" s="1"/>
  <c r="V85" i="3" s="1"/>
  <c r="I88" i="3"/>
  <c r="L88" i="3" s="1"/>
  <c r="V88" i="3" s="1"/>
  <c r="H88" i="3"/>
  <c r="K88" i="3" s="1"/>
  <c r="S80" i="3"/>
  <c r="U80" i="3" s="1"/>
  <c r="J80" i="3"/>
  <c r="M80" i="3" s="1"/>
  <c r="W80" i="3" s="1"/>
  <c r="U86" i="3"/>
  <c r="J86" i="3"/>
  <c r="M86" i="3" s="1"/>
  <c r="W86" i="3" s="1"/>
  <c r="Q87" i="3"/>
  <c r="S83" i="3"/>
  <c r="U83" i="3" s="1"/>
  <c r="J83" i="3"/>
  <c r="M83" i="3" s="1"/>
  <c r="W83" i="3" s="1"/>
  <c r="J79" i="3"/>
  <c r="M79" i="3" s="1"/>
  <c r="W79" i="3" s="1"/>
  <c r="Q79" i="3"/>
  <c r="U84" i="3"/>
  <c r="J84" i="3"/>
  <c r="M84" i="3" s="1"/>
  <c r="W84" i="3" s="1"/>
  <c r="M77" i="3"/>
  <c r="W77" i="3" s="1"/>
  <c r="H82" i="3"/>
  <c r="K82" i="3" s="1"/>
  <c r="I82" i="3"/>
  <c r="G29" i="31"/>
  <c r="F78" i="3"/>
  <c r="G33" i="6" s="1"/>
  <c r="G50" i="31"/>
  <c r="F81" i="3"/>
  <c r="R81" i="3" s="1"/>
  <c r="G106" i="31"/>
  <c r="G88" i="3"/>
  <c r="G85" i="31"/>
  <c r="G85" i="3"/>
  <c r="G99" i="31"/>
  <c r="C12" i="32"/>
  <c r="C11" i="32" s="1"/>
  <c r="D12" i="32"/>
  <c r="H13" i="32"/>
  <c r="F77" i="31"/>
  <c r="G80" i="31"/>
  <c r="F64" i="31"/>
  <c r="G82" i="3" s="1"/>
  <c r="G66" i="31"/>
  <c r="C12" i="31"/>
  <c r="C11" i="31" s="1"/>
  <c r="H12" i="31"/>
  <c r="D11" i="31"/>
  <c r="F21" i="31"/>
  <c r="F77" i="3" s="1"/>
  <c r="G24" i="31"/>
  <c r="G78" i="31" l="1"/>
  <c r="F84" i="3"/>
  <c r="G71" i="31"/>
  <c r="F83" i="3"/>
  <c r="R87" i="3"/>
  <c r="F86" i="3"/>
  <c r="G92" i="31"/>
  <c r="I87" i="3"/>
  <c r="T87" i="3" s="1"/>
  <c r="H87" i="3"/>
  <c r="K87" i="3" s="1"/>
  <c r="H80" i="3"/>
  <c r="K80" i="3" s="1"/>
  <c r="I80" i="3"/>
  <c r="L80" i="3" s="1"/>
  <c r="V80" i="3" s="1"/>
  <c r="G13" i="24"/>
  <c r="S29" i="6"/>
  <c r="O28" i="6"/>
  <c r="O29" i="6" s="1"/>
  <c r="G43" i="31"/>
  <c r="T88" i="3"/>
  <c r="F79" i="3"/>
  <c r="G36" i="31"/>
  <c r="T85" i="3"/>
  <c r="R78" i="3"/>
  <c r="AD42" i="10"/>
  <c r="Y33" i="6" s="1"/>
  <c r="S85" i="3"/>
  <c r="U85" i="3" s="1"/>
  <c r="J85" i="3"/>
  <c r="M85" i="3" s="1"/>
  <c r="W85" i="3" s="1"/>
  <c r="U87" i="3"/>
  <c r="U79" i="3"/>
  <c r="Q89" i="3"/>
  <c r="S88" i="3"/>
  <c r="U88" i="3" s="1"/>
  <c r="J88" i="3"/>
  <c r="M88" i="3" s="1"/>
  <c r="W88" i="3" s="1"/>
  <c r="J87" i="3"/>
  <c r="M87" i="3" s="1"/>
  <c r="W87" i="3" s="1"/>
  <c r="T82" i="3"/>
  <c r="L82" i="3"/>
  <c r="V82" i="3" s="1"/>
  <c r="H78" i="3"/>
  <c r="K78" i="3" s="1"/>
  <c r="I78" i="3"/>
  <c r="H81" i="3"/>
  <c r="K81" i="3" s="1"/>
  <c r="I81" i="3"/>
  <c r="G22" i="31"/>
  <c r="G64" i="31"/>
  <c r="E11" i="31"/>
  <c r="E12" i="31"/>
  <c r="E12" i="32"/>
  <c r="D11" i="32"/>
  <c r="E11" i="32" s="1"/>
  <c r="R86" i="3" l="1"/>
  <c r="I86" i="3"/>
  <c r="H86" i="3"/>
  <c r="K86" i="3" s="1"/>
  <c r="R84" i="3"/>
  <c r="H84" i="3"/>
  <c r="K84" i="3" s="1"/>
  <c r="I84" i="3"/>
  <c r="AD43" i="10"/>
  <c r="Y34" i="6" s="1"/>
  <c r="G34" i="6"/>
  <c r="R83" i="3"/>
  <c r="H83" i="3"/>
  <c r="K83" i="3" s="1"/>
  <c r="I83" i="3"/>
  <c r="L87" i="3"/>
  <c r="V87" i="3" s="1"/>
  <c r="T80" i="3"/>
  <c r="H79" i="3"/>
  <c r="K79" i="3" s="1"/>
  <c r="R79" i="3"/>
  <c r="I79" i="3"/>
  <c r="S82" i="3"/>
  <c r="U82" i="3" s="1"/>
  <c r="U89" i="3" s="1"/>
  <c r="J82" i="3"/>
  <c r="I77" i="3"/>
  <c r="R77" i="3"/>
  <c r="T81" i="3"/>
  <c r="L81" i="3"/>
  <c r="V81" i="3" s="1"/>
  <c r="T78" i="3"/>
  <c r="L78" i="3"/>
  <c r="V78" i="3" s="1"/>
  <c r="H77" i="3"/>
  <c r="K77" i="3" s="1"/>
  <c r="T83" i="3" l="1"/>
  <c r="L83" i="3"/>
  <c r="V83" i="3" s="1"/>
  <c r="T84" i="3"/>
  <c r="L84" i="3"/>
  <c r="V84" i="3" s="1"/>
  <c r="I89" i="3"/>
  <c r="T86" i="3"/>
  <c r="L86" i="3"/>
  <c r="V86" i="3" s="1"/>
  <c r="R89" i="3"/>
  <c r="K89" i="3"/>
  <c r="T79" i="3"/>
  <c r="L79" i="3"/>
  <c r="V79" i="3" s="1"/>
  <c r="L77" i="3"/>
  <c r="T77" i="3"/>
  <c r="M82" i="3"/>
  <c r="J89" i="3"/>
  <c r="AD39" i="10" s="1"/>
  <c r="S89" i="3"/>
  <c r="T89" i="3" l="1"/>
  <c r="W82" i="3"/>
  <c r="W89" i="3" s="1"/>
  <c r="M89" i="3"/>
  <c r="L89" i="3"/>
  <c r="V77" i="3"/>
  <c r="V89" i="3" s="1"/>
  <c r="D6" i="23" l="1"/>
  <c r="X17" i="24"/>
  <c r="X6" i="24"/>
  <c r="AB39" i="10"/>
  <c r="M38" i="10" l="1"/>
  <c r="M39" i="10" l="1"/>
  <c r="M37" i="10"/>
  <c r="O15" i="24" l="1"/>
  <c r="S33" i="23"/>
  <c r="S37" i="23" s="1"/>
  <c r="S32" i="23"/>
  <c r="S36" i="23" s="1"/>
  <c r="S8" i="23" s="1"/>
  <c r="S30" i="23"/>
  <c r="S29" i="23"/>
  <c r="K39" i="10"/>
  <c r="S34" i="23" s="1"/>
  <c r="S38" i="23" s="1"/>
  <c r="K36" i="10"/>
  <c r="S31" i="23" s="1"/>
  <c r="E18" i="10"/>
  <c r="P9" i="10" s="1"/>
  <c r="D4" i="23"/>
  <c r="O14" i="24"/>
  <c r="O19" i="24" l="1"/>
  <c r="F18" i="28"/>
  <c r="E13" i="28"/>
  <c r="M13" i="28" s="1"/>
  <c r="F6" i="28"/>
  <c r="E10" i="28"/>
  <c r="M10" i="28" s="1"/>
  <c r="E3" i="28"/>
  <c r="E23" i="28"/>
  <c r="M23" i="28" s="1"/>
  <c r="F19" i="28"/>
  <c r="P3" i="28"/>
  <c r="F23" i="28" s="1"/>
  <c r="E19" i="28"/>
  <c r="M19" i="28" s="1"/>
  <c r="E17" i="28"/>
  <c r="M17" i="28" s="1"/>
  <c r="B25" i="29"/>
  <c r="B28" i="29" s="1"/>
  <c r="AN136" i="29"/>
  <c r="AM136" i="29"/>
  <c r="AL136" i="29"/>
  <c r="AK136" i="29"/>
  <c r="AJ136" i="29"/>
  <c r="AI136" i="29"/>
  <c r="AH136" i="29"/>
  <c r="AG136" i="29"/>
  <c r="AF136" i="29"/>
  <c r="AE136" i="29"/>
  <c r="AD136" i="29"/>
  <c r="AC136" i="29"/>
  <c r="AB136" i="29"/>
  <c r="AA136" i="29"/>
  <c r="Z136" i="29"/>
  <c r="Y136" i="29"/>
  <c r="X136" i="29"/>
  <c r="W136" i="29"/>
  <c r="V136" i="29"/>
  <c r="U136" i="29"/>
  <c r="T136" i="29"/>
  <c r="S136" i="29"/>
  <c r="R136" i="29"/>
  <c r="Q136" i="29"/>
  <c r="P136" i="29"/>
  <c r="O136" i="29"/>
  <c r="N136" i="29"/>
  <c r="M136" i="29"/>
  <c r="L136" i="29"/>
  <c r="K136" i="29"/>
  <c r="J136" i="29"/>
  <c r="AN135" i="29"/>
  <c r="AM135" i="29"/>
  <c r="AL135" i="29"/>
  <c r="AK135" i="29"/>
  <c r="AJ135" i="29"/>
  <c r="AI135" i="29"/>
  <c r="AH135" i="29"/>
  <c r="AG135" i="29"/>
  <c r="AF135" i="29"/>
  <c r="AE135" i="29"/>
  <c r="AD135" i="29"/>
  <c r="AC135" i="29"/>
  <c r="AB135" i="29"/>
  <c r="AA135" i="29"/>
  <c r="Z135" i="29"/>
  <c r="Y135" i="29"/>
  <c r="X135" i="29"/>
  <c r="W135" i="29"/>
  <c r="V135" i="29"/>
  <c r="U135" i="29"/>
  <c r="T135" i="29"/>
  <c r="S135" i="29"/>
  <c r="R135" i="29"/>
  <c r="Q135" i="29"/>
  <c r="P135" i="29"/>
  <c r="O135" i="29"/>
  <c r="N135" i="29"/>
  <c r="M135" i="29"/>
  <c r="L135" i="29"/>
  <c r="K135" i="29"/>
  <c r="J135" i="29"/>
  <c r="AN129" i="29"/>
  <c r="AM129" i="29"/>
  <c r="AL129" i="29"/>
  <c r="AK129" i="29"/>
  <c r="AJ129" i="29"/>
  <c r="AI129" i="29"/>
  <c r="AH129" i="29"/>
  <c r="AG129" i="29"/>
  <c r="AF129" i="29"/>
  <c r="AE129" i="29"/>
  <c r="AD129" i="29"/>
  <c r="AC129" i="29"/>
  <c r="AB129" i="29"/>
  <c r="AA129" i="29"/>
  <c r="Z129" i="29"/>
  <c r="Y129" i="29"/>
  <c r="X129" i="29"/>
  <c r="W129" i="29"/>
  <c r="V129" i="29"/>
  <c r="U129" i="29"/>
  <c r="T129" i="29"/>
  <c r="S129" i="29"/>
  <c r="R129" i="29"/>
  <c r="Q129" i="29"/>
  <c r="P129" i="29"/>
  <c r="O129" i="29"/>
  <c r="N129" i="29"/>
  <c r="M129" i="29"/>
  <c r="L129" i="29"/>
  <c r="K129" i="29"/>
  <c r="J129" i="29"/>
  <c r="AN128" i="29"/>
  <c r="AM128" i="29"/>
  <c r="AL128" i="29"/>
  <c r="AK128" i="29"/>
  <c r="AJ128" i="29"/>
  <c r="AI128" i="29"/>
  <c r="AH128" i="29"/>
  <c r="AG128" i="29"/>
  <c r="AF128" i="29"/>
  <c r="AE128" i="29"/>
  <c r="AD128" i="29"/>
  <c r="AC128" i="29"/>
  <c r="AB128" i="29"/>
  <c r="AA128" i="29"/>
  <c r="Z128" i="29"/>
  <c r="Y128" i="29"/>
  <c r="X128" i="29"/>
  <c r="W128" i="29"/>
  <c r="V128" i="29"/>
  <c r="U128" i="29"/>
  <c r="T128" i="29"/>
  <c r="S128" i="29"/>
  <c r="R128" i="29"/>
  <c r="Q128" i="29"/>
  <c r="P128" i="29"/>
  <c r="O128" i="29"/>
  <c r="N128" i="29"/>
  <c r="M128" i="29"/>
  <c r="L128" i="29"/>
  <c r="K128" i="29"/>
  <c r="J128" i="29"/>
  <c r="AN122" i="29"/>
  <c r="AM122" i="29"/>
  <c r="AL122" i="29"/>
  <c r="AK122" i="29"/>
  <c r="AJ122" i="29"/>
  <c r="AI122" i="29"/>
  <c r="AH122" i="29"/>
  <c r="AG122" i="29"/>
  <c r="AF122" i="29"/>
  <c r="AE122" i="29"/>
  <c r="AD122" i="29"/>
  <c r="AC122" i="29"/>
  <c r="AB122" i="29"/>
  <c r="AA122" i="29"/>
  <c r="Z122" i="29"/>
  <c r="Y122" i="29"/>
  <c r="X122" i="29"/>
  <c r="W122" i="29"/>
  <c r="V122" i="29"/>
  <c r="U122" i="29"/>
  <c r="T122" i="29"/>
  <c r="S122" i="29"/>
  <c r="R122" i="29"/>
  <c r="Q122" i="29"/>
  <c r="P122" i="29"/>
  <c r="O122" i="29"/>
  <c r="N122" i="29"/>
  <c r="M122" i="29"/>
  <c r="L122" i="29"/>
  <c r="K122" i="29"/>
  <c r="J122" i="29"/>
  <c r="AM116" i="29"/>
  <c r="AM121" i="29" s="1"/>
  <c r="AL116" i="29"/>
  <c r="AL121" i="29" s="1"/>
  <c r="AK116" i="29"/>
  <c r="AK121" i="29" s="1"/>
  <c r="AJ116" i="29"/>
  <c r="AJ121" i="29" s="1"/>
  <c r="AI116" i="29"/>
  <c r="AI121" i="29" s="1"/>
  <c r="AH116" i="29"/>
  <c r="AH121" i="29" s="1"/>
  <c r="AG116" i="29"/>
  <c r="AG121" i="29" s="1"/>
  <c r="AF116" i="29"/>
  <c r="AF121" i="29" s="1"/>
  <c r="AE116" i="29"/>
  <c r="AE121" i="29" s="1"/>
  <c r="AD116" i="29"/>
  <c r="AD121" i="29" s="1"/>
  <c r="AC116" i="29"/>
  <c r="AB116" i="29"/>
  <c r="AB121" i="29" s="1"/>
  <c r="AA116" i="29"/>
  <c r="AA121" i="29" s="1"/>
  <c r="Z116" i="29"/>
  <c r="Z121" i="29" s="1"/>
  <c r="Y116" i="29"/>
  <c r="Y121" i="29" s="1"/>
  <c r="X116" i="29"/>
  <c r="X121" i="29" s="1"/>
  <c r="W116" i="29"/>
  <c r="W121" i="29" s="1"/>
  <c r="V116" i="29"/>
  <c r="V121" i="29" s="1"/>
  <c r="U116" i="29"/>
  <c r="U121" i="29" s="1"/>
  <c r="T116" i="29"/>
  <c r="T121" i="29" s="1"/>
  <c r="S116" i="29"/>
  <c r="S121" i="29" s="1"/>
  <c r="R116" i="29"/>
  <c r="R121" i="29" s="1"/>
  <c r="Q116" i="29"/>
  <c r="Q121" i="29" s="1"/>
  <c r="P116" i="29"/>
  <c r="P121" i="29" s="1"/>
  <c r="O116" i="29"/>
  <c r="O121" i="29" s="1"/>
  <c r="N116" i="29"/>
  <c r="N121" i="29" s="1"/>
  <c r="M116" i="29"/>
  <c r="M121" i="29" s="1"/>
  <c r="L116" i="29"/>
  <c r="L121" i="29" s="1"/>
  <c r="K116" i="29"/>
  <c r="K121" i="29" s="1"/>
  <c r="J116" i="29"/>
  <c r="J121" i="29" s="1"/>
  <c r="AN115" i="29"/>
  <c r="AM115" i="29"/>
  <c r="AL115" i="29"/>
  <c r="AK115" i="29"/>
  <c r="AJ115" i="29"/>
  <c r="AI115" i="29"/>
  <c r="AH115" i="29"/>
  <c r="AG115" i="29"/>
  <c r="AF115" i="29"/>
  <c r="AE115" i="29"/>
  <c r="AD115" i="29"/>
  <c r="AB115" i="29"/>
  <c r="AA115" i="29"/>
  <c r="Z115" i="29"/>
  <c r="Y115" i="29"/>
  <c r="X115" i="29"/>
  <c r="W115" i="29"/>
  <c r="V115" i="29"/>
  <c r="U115" i="29"/>
  <c r="T115" i="29"/>
  <c r="R115" i="29"/>
  <c r="Q115" i="29"/>
  <c r="P115" i="29"/>
  <c r="O115" i="29"/>
  <c r="N115" i="29"/>
  <c r="M115" i="29"/>
  <c r="L115" i="29"/>
  <c r="K115" i="29"/>
  <c r="J115" i="29"/>
  <c r="AN109" i="29"/>
  <c r="AN114" i="29" s="1"/>
  <c r="AM109" i="29"/>
  <c r="AM114" i="29" s="1"/>
  <c r="AL109" i="29"/>
  <c r="AL114" i="29" s="1"/>
  <c r="AK109" i="29"/>
  <c r="AK114" i="29" s="1"/>
  <c r="AJ109" i="29"/>
  <c r="AJ114" i="29" s="1"/>
  <c r="AI109" i="29"/>
  <c r="AI114" i="29" s="1"/>
  <c r="AH109" i="29"/>
  <c r="AH114" i="29" s="1"/>
  <c r="AG109" i="29"/>
  <c r="AG114" i="29" s="1"/>
  <c r="AF109" i="29"/>
  <c r="AF114" i="29" s="1"/>
  <c r="AE109" i="29"/>
  <c r="AE114" i="29" s="1"/>
  <c r="AD109" i="29"/>
  <c r="AD114" i="29" s="1"/>
  <c r="AC109" i="29"/>
  <c r="AB109" i="29"/>
  <c r="AB114" i="29" s="1"/>
  <c r="AA109" i="29"/>
  <c r="AA114" i="29" s="1"/>
  <c r="Z109" i="29"/>
  <c r="Z114" i="29" s="1"/>
  <c r="Y109" i="29"/>
  <c r="Y114" i="29" s="1"/>
  <c r="X109" i="29"/>
  <c r="X114" i="29" s="1"/>
  <c r="W109" i="29"/>
  <c r="W114" i="29" s="1"/>
  <c r="V109" i="29"/>
  <c r="V114" i="29" s="1"/>
  <c r="U109" i="29"/>
  <c r="U114" i="29" s="1"/>
  <c r="T109" i="29"/>
  <c r="T114" i="29" s="1"/>
  <c r="S109" i="29"/>
  <c r="S114" i="29" s="1"/>
  <c r="R109" i="29"/>
  <c r="R114" i="29" s="1"/>
  <c r="Q109" i="29"/>
  <c r="Q114" i="29" s="1"/>
  <c r="P109" i="29"/>
  <c r="P114" i="29" s="1"/>
  <c r="O109" i="29"/>
  <c r="O114" i="29" s="1"/>
  <c r="N109" i="29"/>
  <c r="N114" i="29" s="1"/>
  <c r="M109" i="29"/>
  <c r="M114" i="29" s="1"/>
  <c r="L109" i="29"/>
  <c r="L114" i="29" s="1"/>
  <c r="K109" i="29"/>
  <c r="K114" i="29" s="1"/>
  <c r="J109" i="29"/>
  <c r="J114" i="29" s="1"/>
  <c r="E109" i="29"/>
  <c r="AN108" i="29"/>
  <c r="AM108" i="29"/>
  <c r="AL108" i="29"/>
  <c r="AK108" i="29"/>
  <c r="AJ108" i="29"/>
  <c r="AI108" i="29"/>
  <c r="AH108" i="29"/>
  <c r="AG108" i="29"/>
  <c r="AF108" i="29"/>
  <c r="AE108" i="29"/>
  <c r="AD108" i="29"/>
  <c r="AC108" i="29"/>
  <c r="AB108" i="29"/>
  <c r="Y108" i="29"/>
  <c r="X108" i="29"/>
  <c r="W108" i="29"/>
  <c r="V108" i="29"/>
  <c r="U108" i="29"/>
  <c r="T108" i="29"/>
  <c r="S108" i="29"/>
  <c r="R108" i="29"/>
  <c r="P108" i="29"/>
  <c r="O108" i="29"/>
  <c r="N108" i="29"/>
  <c r="M108" i="29"/>
  <c r="L108" i="29"/>
  <c r="K108" i="29"/>
  <c r="J108" i="29"/>
  <c r="AA103" i="29"/>
  <c r="AA108" i="29" s="1"/>
  <c r="Z103" i="29"/>
  <c r="Z108" i="29" s="1"/>
  <c r="Q103" i="29"/>
  <c r="Q108" i="29" s="1"/>
  <c r="AN102" i="29"/>
  <c r="AN107" i="29" s="1"/>
  <c r="AM102" i="29"/>
  <c r="AM107" i="29" s="1"/>
  <c r="AL102" i="29"/>
  <c r="AL107" i="29" s="1"/>
  <c r="AK102" i="29"/>
  <c r="AK107" i="29" s="1"/>
  <c r="AJ102" i="29"/>
  <c r="AJ107" i="29" s="1"/>
  <c r="AI102" i="29"/>
  <c r="AI107" i="29" s="1"/>
  <c r="AH102" i="29"/>
  <c r="AH107" i="29" s="1"/>
  <c r="AG102" i="29"/>
  <c r="AG107" i="29" s="1"/>
  <c r="AF102" i="29"/>
  <c r="AF107" i="29" s="1"/>
  <c r="AE102" i="29"/>
  <c r="AE107" i="29" s="1"/>
  <c r="AD102" i="29"/>
  <c r="AD107" i="29" s="1"/>
  <c r="AC102" i="29"/>
  <c r="AB102" i="29"/>
  <c r="AB107" i="29" s="1"/>
  <c r="AA102" i="29"/>
  <c r="AA107" i="29" s="1"/>
  <c r="Z102" i="29"/>
  <c r="Z107" i="29" s="1"/>
  <c r="Y102" i="29"/>
  <c r="Y107" i="29" s="1"/>
  <c r="X102" i="29"/>
  <c r="X107" i="29" s="1"/>
  <c r="W102" i="29"/>
  <c r="W107" i="29" s="1"/>
  <c r="V102" i="29"/>
  <c r="V107" i="29" s="1"/>
  <c r="U102" i="29"/>
  <c r="U107" i="29" s="1"/>
  <c r="T102" i="29"/>
  <c r="T107" i="29" s="1"/>
  <c r="S102" i="29"/>
  <c r="S107" i="29" s="1"/>
  <c r="R102" i="29"/>
  <c r="R107" i="29" s="1"/>
  <c r="Q102" i="29"/>
  <c r="Q107" i="29" s="1"/>
  <c r="P102" i="29"/>
  <c r="P107" i="29" s="1"/>
  <c r="O102" i="29"/>
  <c r="O107" i="29" s="1"/>
  <c r="N102" i="29"/>
  <c r="N107" i="29" s="1"/>
  <c r="M102" i="29"/>
  <c r="M107" i="29" s="1"/>
  <c r="L102" i="29"/>
  <c r="L107" i="29" s="1"/>
  <c r="K102" i="29"/>
  <c r="K107" i="29" s="1"/>
  <c r="J102" i="29"/>
  <c r="J107" i="29" s="1"/>
  <c r="E102" i="29"/>
  <c r="AN101" i="29"/>
  <c r="AM101" i="29"/>
  <c r="AL101" i="29"/>
  <c r="AK101" i="29"/>
  <c r="AJ101" i="29"/>
  <c r="AI101" i="29"/>
  <c r="AH101" i="29"/>
  <c r="AG101" i="29"/>
  <c r="AF101" i="29"/>
  <c r="AE101" i="29"/>
  <c r="AD101" i="29"/>
  <c r="AC101" i="29"/>
  <c r="AB101" i="29"/>
  <c r="AA101" i="29"/>
  <c r="Z101" i="29"/>
  <c r="Y101" i="29"/>
  <c r="X101" i="29"/>
  <c r="W101" i="29"/>
  <c r="V101" i="29"/>
  <c r="U101" i="29"/>
  <c r="T101" i="29"/>
  <c r="S101" i="29"/>
  <c r="R101" i="29"/>
  <c r="Q101" i="29"/>
  <c r="P101" i="29"/>
  <c r="O101" i="29"/>
  <c r="N101" i="29"/>
  <c r="M101" i="29"/>
  <c r="L101" i="29"/>
  <c r="K101" i="29"/>
  <c r="J101" i="29"/>
  <c r="AN95" i="29"/>
  <c r="AN100" i="29" s="1"/>
  <c r="AM95" i="29"/>
  <c r="AM100" i="29" s="1"/>
  <c r="AL95" i="29"/>
  <c r="AL100" i="29" s="1"/>
  <c r="AK95" i="29"/>
  <c r="AK100" i="29" s="1"/>
  <c r="AJ95" i="29"/>
  <c r="AJ100" i="29" s="1"/>
  <c r="AI95" i="29"/>
  <c r="AI100" i="29" s="1"/>
  <c r="AH95" i="29"/>
  <c r="AH100" i="29" s="1"/>
  <c r="AG95" i="29"/>
  <c r="AG100" i="29" s="1"/>
  <c r="AF95" i="29"/>
  <c r="AF100" i="29" s="1"/>
  <c r="AE95" i="29"/>
  <c r="AE100" i="29" s="1"/>
  <c r="AD95" i="29"/>
  <c r="AD100" i="29" s="1"/>
  <c r="AC95" i="29"/>
  <c r="AB95" i="29"/>
  <c r="AB100" i="29" s="1"/>
  <c r="AA95" i="29"/>
  <c r="AA100" i="29" s="1"/>
  <c r="Z95" i="29"/>
  <c r="Z100" i="29" s="1"/>
  <c r="Y95" i="29"/>
  <c r="Y100" i="29" s="1"/>
  <c r="X95" i="29"/>
  <c r="X100" i="29" s="1"/>
  <c r="W95" i="29"/>
  <c r="W100" i="29" s="1"/>
  <c r="V95" i="29"/>
  <c r="V100" i="29" s="1"/>
  <c r="U95" i="29"/>
  <c r="U100" i="29" s="1"/>
  <c r="T95" i="29"/>
  <c r="T100" i="29" s="1"/>
  <c r="S95" i="29"/>
  <c r="S100" i="29" s="1"/>
  <c r="R95" i="29"/>
  <c r="R100" i="29" s="1"/>
  <c r="Q95" i="29"/>
  <c r="Q100" i="29" s="1"/>
  <c r="P95" i="29"/>
  <c r="P100" i="29" s="1"/>
  <c r="O95" i="29"/>
  <c r="O100" i="29" s="1"/>
  <c r="N95" i="29"/>
  <c r="N100" i="29" s="1"/>
  <c r="M95" i="29"/>
  <c r="M100" i="29" s="1"/>
  <c r="L95" i="29"/>
  <c r="L100" i="29" s="1"/>
  <c r="K95" i="29"/>
  <c r="K100" i="29" s="1"/>
  <c r="J95" i="29"/>
  <c r="J100" i="29" s="1"/>
  <c r="E95" i="29"/>
  <c r="AN94" i="29"/>
  <c r="AM94" i="29"/>
  <c r="AL94" i="29"/>
  <c r="AK94" i="29"/>
  <c r="AJ94" i="29"/>
  <c r="AI94" i="29"/>
  <c r="AH94" i="29"/>
  <c r="AG94" i="29"/>
  <c r="AF94" i="29"/>
  <c r="AE94" i="29"/>
  <c r="AD94" i="29"/>
  <c r="AC94" i="29"/>
  <c r="AB94" i="29"/>
  <c r="AA94" i="29"/>
  <c r="Z94" i="29"/>
  <c r="Y94" i="29"/>
  <c r="X94" i="29"/>
  <c r="W94" i="29"/>
  <c r="V94" i="29"/>
  <c r="U94" i="29"/>
  <c r="T94" i="29"/>
  <c r="S94" i="29"/>
  <c r="R94" i="29"/>
  <c r="Q94" i="29"/>
  <c r="P94" i="29"/>
  <c r="O94" i="29"/>
  <c r="N94" i="29"/>
  <c r="M94" i="29"/>
  <c r="L94" i="29"/>
  <c r="K94" i="29"/>
  <c r="J94" i="29"/>
  <c r="AN88" i="29"/>
  <c r="AN93" i="29" s="1"/>
  <c r="AM88" i="29"/>
  <c r="AM93" i="29" s="1"/>
  <c r="AL88" i="29"/>
  <c r="AL93" i="29" s="1"/>
  <c r="AK88" i="29"/>
  <c r="AK93" i="29" s="1"/>
  <c r="AJ88" i="29"/>
  <c r="AJ93" i="29" s="1"/>
  <c r="AI88" i="29"/>
  <c r="AI93" i="29" s="1"/>
  <c r="AH88" i="29"/>
  <c r="AH93" i="29" s="1"/>
  <c r="AG88" i="29"/>
  <c r="AG93" i="29" s="1"/>
  <c r="AF88" i="29"/>
  <c r="AF93" i="29" s="1"/>
  <c r="AE88" i="29"/>
  <c r="AE93" i="29" s="1"/>
  <c r="AD88" i="29"/>
  <c r="AD93" i="29" s="1"/>
  <c r="AC88" i="29"/>
  <c r="AB88" i="29"/>
  <c r="AB93" i="29" s="1"/>
  <c r="AA88" i="29"/>
  <c r="AA93" i="29" s="1"/>
  <c r="Z88" i="29"/>
  <c r="Z93" i="29" s="1"/>
  <c r="Y88" i="29"/>
  <c r="Y93" i="29" s="1"/>
  <c r="X88" i="29"/>
  <c r="X93" i="29" s="1"/>
  <c r="W88" i="29"/>
  <c r="W93" i="29" s="1"/>
  <c r="V88" i="29"/>
  <c r="U88" i="29"/>
  <c r="U93" i="29" s="1"/>
  <c r="T88" i="29"/>
  <c r="T93" i="29" s="1"/>
  <c r="S88" i="29"/>
  <c r="S93" i="29" s="1"/>
  <c r="R88" i="29"/>
  <c r="R93" i="29" s="1"/>
  <c r="Q88" i="29"/>
  <c r="Q93" i="29" s="1"/>
  <c r="P88" i="29"/>
  <c r="P93" i="29" s="1"/>
  <c r="O88" i="29"/>
  <c r="O93" i="29" s="1"/>
  <c r="N88" i="29"/>
  <c r="N93" i="29" s="1"/>
  <c r="M88" i="29"/>
  <c r="M93" i="29" s="1"/>
  <c r="L88" i="29"/>
  <c r="K88" i="29"/>
  <c r="K93" i="29" s="1"/>
  <c r="J88" i="29"/>
  <c r="J93" i="29" s="1"/>
  <c r="E88" i="29"/>
  <c r="AN87" i="29"/>
  <c r="AM87" i="29"/>
  <c r="AL87" i="29"/>
  <c r="AK87" i="29"/>
  <c r="AJ87" i="29"/>
  <c r="AI87" i="29"/>
  <c r="AH87" i="29"/>
  <c r="AG87" i="29"/>
  <c r="AF87" i="29"/>
  <c r="AE87" i="29"/>
  <c r="AD87" i="29"/>
  <c r="AC87" i="29"/>
  <c r="AB87" i="29"/>
  <c r="AA87" i="29"/>
  <c r="Z87" i="29"/>
  <c r="Y87" i="29"/>
  <c r="X87" i="29"/>
  <c r="W87" i="29"/>
  <c r="V87" i="29"/>
  <c r="U87" i="29"/>
  <c r="T87" i="29"/>
  <c r="R87" i="29"/>
  <c r="Q87" i="29"/>
  <c r="P87" i="29"/>
  <c r="O87" i="29"/>
  <c r="N87" i="29"/>
  <c r="M87" i="29"/>
  <c r="L87" i="29"/>
  <c r="K87" i="29"/>
  <c r="J87" i="29"/>
  <c r="S82" i="29"/>
  <c r="S87" i="29" s="1"/>
  <c r="AN81" i="29"/>
  <c r="AN86" i="29" s="1"/>
  <c r="AM81" i="29"/>
  <c r="AM86" i="29" s="1"/>
  <c r="AL81" i="29"/>
  <c r="AL86" i="29" s="1"/>
  <c r="AK81" i="29"/>
  <c r="AK86" i="29" s="1"/>
  <c r="AJ81" i="29"/>
  <c r="AJ86" i="29" s="1"/>
  <c r="AI81" i="29"/>
  <c r="AI86" i="29" s="1"/>
  <c r="AH81" i="29"/>
  <c r="AH86" i="29" s="1"/>
  <c r="AG81" i="29"/>
  <c r="AG86" i="29" s="1"/>
  <c r="AF81" i="29"/>
  <c r="AF86" i="29" s="1"/>
  <c r="AE81" i="29"/>
  <c r="AE86" i="29" s="1"/>
  <c r="AD81" i="29"/>
  <c r="AD86" i="29" s="1"/>
  <c r="AC81" i="29"/>
  <c r="AC86" i="29" s="1"/>
  <c r="AB81" i="29"/>
  <c r="AB86" i="29" s="1"/>
  <c r="AA81" i="29"/>
  <c r="AA86" i="29" s="1"/>
  <c r="Z81" i="29"/>
  <c r="Z86" i="29" s="1"/>
  <c r="Y81" i="29"/>
  <c r="Y86" i="29" s="1"/>
  <c r="X81" i="29"/>
  <c r="X86" i="29" s="1"/>
  <c r="W81" i="29"/>
  <c r="W86" i="29" s="1"/>
  <c r="V81" i="29"/>
  <c r="V86" i="29" s="1"/>
  <c r="U81" i="29"/>
  <c r="U86" i="29" s="1"/>
  <c r="T81" i="29"/>
  <c r="T86" i="29" s="1"/>
  <c r="S81" i="29"/>
  <c r="S86" i="29" s="1"/>
  <c r="R81" i="29"/>
  <c r="R86" i="29" s="1"/>
  <c r="Q81" i="29"/>
  <c r="Q86" i="29" s="1"/>
  <c r="P81" i="29"/>
  <c r="P86" i="29" s="1"/>
  <c r="O81" i="29"/>
  <c r="O86" i="29" s="1"/>
  <c r="N81" i="29"/>
  <c r="N86" i="29" s="1"/>
  <c r="M81" i="29"/>
  <c r="M86" i="29" s="1"/>
  <c r="L81" i="29"/>
  <c r="K81" i="29"/>
  <c r="K86" i="29" s="1"/>
  <c r="J81" i="29"/>
  <c r="J86" i="29" s="1"/>
  <c r="E81" i="29"/>
  <c r="AN80" i="29"/>
  <c r="AM80" i="29"/>
  <c r="AL80" i="29"/>
  <c r="AK80" i="29"/>
  <c r="AJ80" i="29"/>
  <c r="AI80" i="29"/>
  <c r="AH80" i="29"/>
  <c r="AG80" i="29"/>
  <c r="AF80" i="29"/>
  <c r="AE80" i="29"/>
  <c r="AD80" i="29"/>
  <c r="AC80" i="29"/>
  <c r="AA80" i="29"/>
  <c r="Z80" i="29"/>
  <c r="Y80" i="29"/>
  <c r="X80" i="29"/>
  <c r="W80" i="29"/>
  <c r="V80" i="29"/>
  <c r="U80" i="29"/>
  <c r="T80" i="29"/>
  <c r="S80" i="29"/>
  <c r="R80" i="29"/>
  <c r="Q80" i="29"/>
  <c r="P80" i="29"/>
  <c r="O80" i="29"/>
  <c r="N80" i="29"/>
  <c r="M80" i="29"/>
  <c r="L80" i="29"/>
  <c r="K80" i="29"/>
  <c r="J80" i="29"/>
  <c r="AC79" i="29"/>
  <c r="AB75" i="29"/>
  <c r="AB80" i="29" s="1"/>
  <c r="AN74" i="29"/>
  <c r="AN79" i="29" s="1"/>
  <c r="AM74" i="29"/>
  <c r="AM79" i="29" s="1"/>
  <c r="AL74" i="29"/>
  <c r="AL79" i="29" s="1"/>
  <c r="AK74" i="29"/>
  <c r="AK79" i="29" s="1"/>
  <c r="AJ74" i="29"/>
  <c r="AJ79" i="29" s="1"/>
  <c r="AI74" i="29"/>
  <c r="AI79" i="29" s="1"/>
  <c r="AH74" i="29"/>
  <c r="AH79" i="29" s="1"/>
  <c r="AG74" i="29"/>
  <c r="AG79" i="29" s="1"/>
  <c r="AF74" i="29"/>
  <c r="AF79" i="29" s="1"/>
  <c r="AE74" i="29"/>
  <c r="AE79" i="29" s="1"/>
  <c r="AD74" i="29"/>
  <c r="AD79" i="29" s="1"/>
  <c r="AB74" i="29"/>
  <c r="AB79" i="29" s="1"/>
  <c r="AA74" i="29"/>
  <c r="Z74" i="29"/>
  <c r="Z79" i="29" s="1"/>
  <c r="Y74" i="29"/>
  <c r="Y79" i="29" s="1"/>
  <c r="X74" i="29"/>
  <c r="X79" i="29" s="1"/>
  <c r="W74" i="29"/>
  <c r="W79" i="29" s="1"/>
  <c r="V74" i="29"/>
  <c r="V79" i="29" s="1"/>
  <c r="U74" i="29"/>
  <c r="U79" i="29" s="1"/>
  <c r="T74" i="29"/>
  <c r="T79" i="29" s="1"/>
  <c r="S74" i="29"/>
  <c r="S79" i="29" s="1"/>
  <c r="R74" i="29"/>
  <c r="R79" i="29" s="1"/>
  <c r="Q74" i="29"/>
  <c r="Q79" i="29" s="1"/>
  <c r="P74" i="29"/>
  <c r="P79" i="29" s="1"/>
  <c r="O74" i="29"/>
  <c r="O79" i="29" s="1"/>
  <c r="N74" i="29"/>
  <c r="N79" i="29" s="1"/>
  <c r="M74" i="29"/>
  <c r="M79" i="29" s="1"/>
  <c r="L74" i="29"/>
  <c r="L79" i="29" s="1"/>
  <c r="K74" i="29"/>
  <c r="K79" i="29" s="1"/>
  <c r="J74" i="29"/>
  <c r="J79" i="29" s="1"/>
  <c r="E74" i="29"/>
  <c r="AN73" i="29"/>
  <c r="AM73" i="29"/>
  <c r="AL73" i="29"/>
  <c r="AK73" i="29"/>
  <c r="AJ73" i="29"/>
  <c r="AI73" i="29"/>
  <c r="AH73" i="29"/>
  <c r="AG73" i="29"/>
  <c r="AE73" i="29"/>
  <c r="AD73" i="29"/>
  <c r="AC73" i="29"/>
  <c r="AA73" i="29"/>
  <c r="Z73" i="29"/>
  <c r="V73" i="29"/>
  <c r="U73" i="29"/>
  <c r="T73" i="29"/>
  <c r="R73" i="29"/>
  <c r="Q73" i="29"/>
  <c r="P73" i="29"/>
  <c r="O73" i="29"/>
  <c r="N73" i="29"/>
  <c r="M73" i="29"/>
  <c r="L73" i="29"/>
  <c r="K73" i="29"/>
  <c r="J73" i="29"/>
  <c r="AC72" i="29"/>
  <c r="P70" i="29"/>
  <c r="O70" i="29"/>
  <c r="N70" i="29"/>
  <c r="M70" i="29"/>
  <c r="L70" i="29"/>
  <c r="K70" i="29"/>
  <c r="J70" i="29"/>
  <c r="AF68" i="29"/>
  <c r="AF73" i="29" s="1"/>
  <c r="AB68" i="29"/>
  <c r="AB73" i="29" s="1"/>
  <c r="Y68" i="29"/>
  <c r="Y73" i="29" s="1"/>
  <c r="X68" i="29"/>
  <c r="X73" i="29" s="1"/>
  <c r="W68" i="29"/>
  <c r="W73" i="29" s="1"/>
  <c r="S68" i="29"/>
  <c r="S73" i="29" s="1"/>
  <c r="AN67" i="29"/>
  <c r="AN72" i="29" s="1"/>
  <c r="AM67" i="29"/>
  <c r="AM72" i="29" s="1"/>
  <c r="AL67" i="29"/>
  <c r="AL72" i="29" s="1"/>
  <c r="AK67" i="29"/>
  <c r="AK72" i="29" s="1"/>
  <c r="AJ67" i="29"/>
  <c r="AJ72" i="29" s="1"/>
  <c r="AI67" i="29"/>
  <c r="AI72" i="29" s="1"/>
  <c r="AH67" i="29"/>
  <c r="AH72" i="29" s="1"/>
  <c r="AG67" i="29"/>
  <c r="AG72" i="29" s="1"/>
  <c r="AF67" i="29"/>
  <c r="AF72" i="29" s="1"/>
  <c r="AE67" i="29"/>
  <c r="AE72" i="29" s="1"/>
  <c r="AD67" i="29"/>
  <c r="AD72" i="29" s="1"/>
  <c r="AB67" i="29"/>
  <c r="AB72" i="29" s="1"/>
  <c r="AA67" i="29"/>
  <c r="AA72" i="29" s="1"/>
  <c r="Z67" i="29"/>
  <c r="Z72" i="29" s="1"/>
  <c r="Y67" i="29"/>
  <c r="Y72" i="29" s="1"/>
  <c r="X67" i="29"/>
  <c r="X72" i="29" s="1"/>
  <c r="W67" i="29"/>
  <c r="W72" i="29" s="1"/>
  <c r="V67" i="29"/>
  <c r="V72" i="29" s="1"/>
  <c r="U67" i="29"/>
  <c r="U72" i="29" s="1"/>
  <c r="T67" i="29"/>
  <c r="T72" i="29" s="1"/>
  <c r="S67" i="29"/>
  <c r="S72" i="29" s="1"/>
  <c r="R67" i="29"/>
  <c r="R72" i="29" s="1"/>
  <c r="Q67" i="29"/>
  <c r="Q72" i="29" s="1"/>
  <c r="P67" i="29"/>
  <c r="O67" i="29"/>
  <c r="N67" i="29"/>
  <c r="M67" i="29"/>
  <c r="L67" i="29"/>
  <c r="K67" i="29"/>
  <c r="J67" i="29"/>
  <c r="E67" i="29"/>
  <c r="AN66" i="29"/>
  <c r="AM66" i="29"/>
  <c r="AL66" i="29"/>
  <c r="AK66" i="29"/>
  <c r="AJ66" i="29"/>
  <c r="AI66" i="29"/>
  <c r="AH66" i="29"/>
  <c r="AG66" i="29"/>
  <c r="AF66" i="29"/>
  <c r="AE66" i="29"/>
  <c r="AD66" i="29"/>
  <c r="AB66" i="29"/>
  <c r="AA66" i="29"/>
  <c r="Z66" i="29"/>
  <c r="Y66" i="29"/>
  <c r="V66" i="29"/>
  <c r="U66" i="29"/>
  <c r="T66" i="29"/>
  <c r="AC65" i="29"/>
  <c r="AB65" i="29"/>
  <c r="AA65" i="29"/>
  <c r="Z65" i="29"/>
  <c r="Y65" i="29"/>
  <c r="X61" i="29"/>
  <c r="X66" i="29" s="1"/>
  <c r="W61" i="29"/>
  <c r="W66" i="29" s="1"/>
  <c r="S61" i="29"/>
  <c r="S66" i="29" s="1"/>
  <c r="R61" i="29"/>
  <c r="R66" i="29" s="1"/>
  <c r="Q61" i="29"/>
  <c r="Q66" i="29" s="1"/>
  <c r="P61" i="29"/>
  <c r="O61" i="29"/>
  <c r="N61" i="29"/>
  <c r="N66" i="29" s="1"/>
  <c r="M61" i="29"/>
  <c r="M66" i="29" s="1"/>
  <c r="L61" i="29"/>
  <c r="L66" i="29" s="1"/>
  <c r="K61" i="29"/>
  <c r="K66" i="29" s="1"/>
  <c r="J61" i="29"/>
  <c r="J66" i="29" s="1"/>
  <c r="AN60" i="29"/>
  <c r="AN65" i="29" s="1"/>
  <c r="AM60" i="29"/>
  <c r="AM65" i="29" s="1"/>
  <c r="AL60" i="29"/>
  <c r="AL65" i="29" s="1"/>
  <c r="AK60" i="29"/>
  <c r="AK65" i="29" s="1"/>
  <c r="AJ60" i="29"/>
  <c r="AJ65" i="29" s="1"/>
  <c r="AI60" i="29"/>
  <c r="AI65" i="29" s="1"/>
  <c r="AH60" i="29"/>
  <c r="AH65" i="29" s="1"/>
  <c r="AG60" i="29"/>
  <c r="AG65" i="29" s="1"/>
  <c r="AF60" i="29"/>
  <c r="AF65" i="29" s="1"/>
  <c r="AE60" i="29"/>
  <c r="AE65" i="29" s="1"/>
  <c r="AD60" i="29"/>
  <c r="AD65" i="29" s="1"/>
  <c r="X60" i="29"/>
  <c r="X65" i="29" s="1"/>
  <c r="W60" i="29"/>
  <c r="W65" i="29" s="1"/>
  <c r="V60" i="29"/>
  <c r="V65" i="29" s="1"/>
  <c r="U60" i="29"/>
  <c r="U65" i="29" s="1"/>
  <c r="T60" i="29"/>
  <c r="S60" i="29"/>
  <c r="S65" i="29" s="1"/>
  <c r="R60" i="29"/>
  <c r="R65" i="29" s="1"/>
  <c r="Q60" i="29"/>
  <c r="Q65" i="29" s="1"/>
  <c r="P60" i="29"/>
  <c r="P65" i="29" s="1"/>
  <c r="O60" i="29"/>
  <c r="O65" i="29" s="1"/>
  <c r="N60" i="29"/>
  <c r="N65" i="29" s="1"/>
  <c r="M60" i="29"/>
  <c r="M65" i="29" s="1"/>
  <c r="L60" i="29"/>
  <c r="L65" i="29" s="1"/>
  <c r="K60" i="29"/>
  <c r="K65" i="29" s="1"/>
  <c r="J60" i="29"/>
  <c r="J65" i="29" s="1"/>
  <c r="E60" i="29"/>
  <c r="AN59" i="29"/>
  <c r="AM59" i="29"/>
  <c r="AL59" i="29"/>
  <c r="AK59" i="29"/>
  <c r="AJ59" i="29"/>
  <c r="AI59" i="29"/>
  <c r="AH59" i="29"/>
  <c r="AG59" i="29"/>
  <c r="AE59" i="29"/>
  <c r="AD59" i="29"/>
  <c r="AC59" i="29"/>
  <c r="AA59" i="29"/>
  <c r="V59" i="29"/>
  <c r="U59" i="29"/>
  <c r="R59" i="29"/>
  <c r="Q59" i="29"/>
  <c r="P59" i="29"/>
  <c r="AF54" i="29"/>
  <c r="AF59" i="29" s="1"/>
  <c r="AB54" i="29"/>
  <c r="AB59" i="29" s="1"/>
  <c r="AA54" i="29"/>
  <c r="Z54" i="29"/>
  <c r="Y54" i="29"/>
  <c r="Y59" i="29" s="1"/>
  <c r="X54" i="29"/>
  <c r="X59" i="29" s="1"/>
  <c r="W54" i="29"/>
  <c r="W59" i="29" s="1"/>
  <c r="T54" i="29"/>
  <c r="T59" i="29" s="1"/>
  <c r="S54" i="29"/>
  <c r="S59" i="29" s="1"/>
  <c r="O54" i="29"/>
  <c r="O59" i="29" s="1"/>
  <c r="N54" i="29"/>
  <c r="N59" i="29" s="1"/>
  <c r="M54" i="29"/>
  <c r="M59" i="29" s="1"/>
  <c r="L54" i="29"/>
  <c r="L59" i="29" s="1"/>
  <c r="K54" i="29"/>
  <c r="K59" i="29" s="1"/>
  <c r="J54" i="29"/>
  <c r="J59" i="29" s="1"/>
  <c r="AN53" i="29"/>
  <c r="AN58" i="29" s="1"/>
  <c r="AM53" i="29"/>
  <c r="AM58" i="29" s="1"/>
  <c r="AL53" i="29"/>
  <c r="AL58" i="29" s="1"/>
  <c r="AK53" i="29"/>
  <c r="AK58" i="29" s="1"/>
  <c r="AJ53" i="29"/>
  <c r="AJ58" i="29" s="1"/>
  <c r="AI53" i="29"/>
  <c r="AI58" i="29" s="1"/>
  <c r="AH53" i="29"/>
  <c r="AH58" i="29" s="1"/>
  <c r="AG53" i="29"/>
  <c r="AG58" i="29" s="1"/>
  <c r="AF53" i="29"/>
  <c r="AF58" i="29" s="1"/>
  <c r="AE53" i="29"/>
  <c r="AE58" i="29" s="1"/>
  <c r="AD53" i="29"/>
  <c r="AD58" i="29" s="1"/>
  <c r="AB53" i="29"/>
  <c r="AB58" i="29" s="1"/>
  <c r="AA53" i="29"/>
  <c r="AA58" i="29" s="1"/>
  <c r="Z53" i="29"/>
  <c r="Z58" i="29" s="1"/>
  <c r="Y53" i="29"/>
  <c r="Y58" i="29" s="1"/>
  <c r="X53" i="29"/>
  <c r="X58" i="29" s="1"/>
  <c r="W53" i="29"/>
  <c r="W58" i="29" s="1"/>
  <c r="V53" i="29"/>
  <c r="V58" i="29" s="1"/>
  <c r="U53" i="29"/>
  <c r="U58" i="29" s="1"/>
  <c r="T53" i="29"/>
  <c r="T58" i="29" s="1"/>
  <c r="S53" i="29"/>
  <c r="S58" i="29" s="1"/>
  <c r="R53" i="29"/>
  <c r="R58" i="29" s="1"/>
  <c r="Q53" i="29"/>
  <c r="Q58" i="29" s="1"/>
  <c r="P53" i="29"/>
  <c r="P58" i="29" s="1"/>
  <c r="O53" i="29"/>
  <c r="O58" i="29" s="1"/>
  <c r="N53" i="29"/>
  <c r="N58" i="29" s="1"/>
  <c r="M53" i="29"/>
  <c r="M58" i="29" s="1"/>
  <c r="L53" i="29"/>
  <c r="L58" i="29" s="1"/>
  <c r="K53" i="29"/>
  <c r="K58" i="29" s="1"/>
  <c r="J53" i="29"/>
  <c r="J58" i="29" s="1"/>
  <c r="E53" i="29"/>
  <c r="AN52" i="29"/>
  <c r="AM52" i="29"/>
  <c r="AL52" i="29"/>
  <c r="AK52" i="29"/>
  <c r="AJ52" i="29"/>
  <c r="AI52" i="29"/>
  <c r="AH52" i="29"/>
  <c r="AG52" i="29"/>
  <c r="AD52" i="29"/>
  <c r="AC52" i="29"/>
  <c r="Z52" i="29"/>
  <c r="X52" i="29"/>
  <c r="V52" i="29"/>
  <c r="U52" i="29"/>
  <c r="T52" i="29"/>
  <c r="S52" i="29"/>
  <c r="O52" i="29"/>
  <c r="L52" i="29"/>
  <c r="AC51" i="29"/>
  <c r="AF47" i="29"/>
  <c r="AF52" i="29" s="1"/>
  <c r="AE47" i="29"/>
  <c r="AE52" i="29" s="1"/>
  <c r="AB47" i="29"/>
  <c r="AB52" i="29" s="1"/>
  <c r="AA47" i="29"/>
  <c r="AA52" i="29" s="1"/>
  <c r="Y47" i="29"/>
  <c r="Y52" i="29" s="1"/>
  <c r="W47" i="29"/>
  <c r="W52" i="29" s="1"/>
  <c r="R47" i="29"/>
  <c r="R52" i="29" s="1"/>
  <c r="Q47" i="29"/>
  <c r="Q52" i="29" s="1"/>
  <c r="P47" i="29"/>
  <c r="P52" i="29" s="1"/>
  <c r="N47" i="29"/>
  <c r="M47" i="29"/>
  <c r="M52" i="29" s="1"/>
  <c r="K47" i="29"/>
  <c r="K52" i="29" s="1"/>
  <c r="J47" i="29"/>
  <c r="J52" i="29" s="1"/>
  <c r="AN46" i="29"/>
  <c r="AN51" i="29" s="1"/>
  <c r="AM46" i="29"/>
  <c r="AM51" i="29" s="1"/>
  <c r="AL46" i="29"/>
  <c r="AL51" i="29" s="1"/>
  <c r="AK46" i="29"/>
  <c r="AK51" i="29" s="1"/>
  <c r="AJ46" i="29"/>
  <c r="AJ51" i="29" s="1"/>
  <c r="AI46" i="29"/>
  <c r="AI51" i="29" s="1"/>
  <c r="AH46" i="29"/>
  <c r="AH51" i="29" s="1"/>
  <c r="AG46" i="29"/>
  <c r="AG51" i="29" s="1"/>
  <c r="AF46" i="29"/>
  <c r="AF51" i="29" s="1"/>
  <c r="AE46" i="29"/>
  <c r="AE51" i="29" s="1"/>
  <c r="AD46" i="29"/>
  <c r="AD51" i="29" s="1"/>
  <c r="AB46" i="29"/>
  <c r="AB51" i="29" s="1"/>
  <c r="AA46" i="29"/>
  <c r="AA51" i="29" s="1"/>
  <c r="Z46" i="29"/>
  <c r="Z51" i="29" s="1"/>
  <c r="Y46" i="29"/>
  <c r="Y51" i="29" s="1"/>
  <c r="X46" i="29"/>
  <c r="X51" i="29" s="1"/>
  <c r="W46" i="29"/>
  <c r="W51" i="29" s="1"/>
  <c r="V46" i="29"/>
  <c r="V51" i="29" s="1"/>
  <c r="U46" i="29"/>
  <c r="U51" i="29" s="1"/>
  <c r="T46" i="29"/>
  <c r="T51" i="29" s="1"/>
  <c r="S46" i="29"/>
  <c r="S51" i="29" s="1"/>
  <c r="R46" i="29"/>
  <c r="R51" i="29" s="1"/>
  <c r="Q46" i="29"/>
  <c r="Q51" i="29" s="1"/>
  <c r="P46" i="29"/>
  <c r="P51" i="29" s="1"/>
  <c r="O46" i="29"/>
  <c r="O51" i="29" s="1"/>
  <c r="N46" i="29"/>
  <c r="N51" i="29" s="1"/>
  <c r="M46" i="29"/>
  <c r="L46" i="29"/>
  <c r="L51" i="29" s="1"/>
  <c r="K46" i="29"/>
  <c r="K51" i="29" s="1"/>
  <c r="J46" i="29"/>
  <c r="J51" i="29" s="1"/>
  <c r="E46" i="29"/>
  <c r="AN45" i="29"/>
  <c r="AM45" i="29"/>
  <c r="AL45" i="29"/>
  <c r="AK45" i="29"/>
  <c r="AJ45" i="29"/>
  <c r="AI45" i="29"/>
  <c r="AH45" i="29"/>
  <c r="AG45" i="29"/>
  <c r="AF45" i="29"/>
  <c r="AE45" i="29"/>
  <c r="AD45" i="29"/>
  <c r="AC45" i="29"/>
  <c r="AB45" i="29"/>
  <c r="AA45" i="29"/>
  <c r="Z45" i="29"/>
  <c r="Y45" i="29"/>
  <c r="X45" i="29"/>
  <c r="W45" i="29"/>
  <c r="V45" i="29"/>
  <c r="U45" i="29"/>
  <c r="T45" i="29"/>
  <c r="S45" i="29"/>
  <c r="R45" i="29"/>
  <c r="Q45" i="29"/>
  <c r="P45" i="29"/>
  <c r="O45" i="29"/>
  <c r="N45" i="29"/>
  <c r="M45" i="29"/>
  <c r="L45" i="29"/>
  <c r="K45" i="29"/>
  <c r="J45" i="29"/>
  <c r="AN39" i="29"/>
  <c r="AN44" i="29" s="1"/>
  <c r="AM39" i="29"/>
  <c r="AM44" i="29" s="1"/>
  <c r="AL39" i="29"/>
  <c r="AL44" i="29" s="1"/>
  <c r="AK39" i="29"/>
  <c r="AJ39" i="29"/>
  <c r="AJ44" i="29" s="1"/>
  <c r="AI39" i="29"/>
  <c r="AI44" i="29" s="1"/>
  <c r="AH39" i="29"/>
  <c r="AH44" i="29" s="1"/>
  <c r="AG39" i="29"/>
  <c r="AG44" i="29" s="1"/>
  <c r="AF39" i="29"/>
  <c r="AF44" i="29" s="1"/>
  <c r="AE39" i="29"/>
  <c r="AE44" i="29" s="1"/>
  <c r="AD39" i="29"/>
  <c r="AD44" i="29" s="1"/>
  <c r="AC39" i="29"/>
  <c r="AC44" i="29" s="1"/>
  <c r="AB39" i="29"/>
  <c r="AB44" i="29" s="1"/>
  <c r="AA39" i="29"/>
  <c r="AA44" i="29" s="1"/>
  <c r="Z39" i="29"/>
  <c r="Z44" i="29" s="1"/>
  <c r="Y39" i="29"/>
  <c r="Y44" i="29" s="1"/>
  <c r="X39" i="29"/>
  <c r="X44" i="29" s="1"/>
  <c r="W39" i="29"/>
  <c r="W44" i="29" s="1"/>
  <c r="V39" i="29"/>
  <c r="V44" i="29" s="1"/>
  <c r="U39" i="29"/>
  <c r="U44" i="29" s="1"/>
  <c r="T39" i="29"/>
  <c r="T44" i="29" s="1"/>
  <c r="S39" i="29"/>
  <c r="S44" i="29" s="1"/>
  <c r="R39" i="29"/>
  <c r="R44" i="29" s="1"/>
  <c r="Q39" i="29"/>
  <c r="Q44" i="29" s="1"/>
  <c r="P39" i="29"/>
  <c r="P44" i="29" s="1"/>
  <c r="O39" i="29"/>
  <c r="O44" i="29" s="1"/>
  <c r="N39" i="29"/>
  <c r="N44" i="29" s="1"/>
  <c r="M39" i="29"/>
  <c r="L39" i="29"/>
  <c r="L44" i="29" s="1"/>
  <c r="K39" i="29"/>
  <c r="K44" i="29" s="1"/>
  <c r="J39" i="29"/>
  <c r="J44" i="29" s="1"/>
  <c r="E39" i="29"/>
  <c r="AN38" i="29"/>
  <c r="AM38" i="29"/>
  <c r="AL38" i="29"/>
  <c r="AK38" i="29"/>
  <c r="AJ38" i="29"/>
  <c r="AI38" i="29"/>
  <c r="AH38" i="29"/>
  <c r="AG38" i="29"/>
  <c r="AF38" i="29"/>
  <c r="AE38" i="29"/>
  <c r="AD38" i="29"/>
  <c r="Z38" i="29"/>
  <c r="X38" i="29"/>
  <c r="W38" i="29"/>
  <c r="V38" i="29"/>
  <c r="U38" i="29"/>
  <c r="T38" i="29"/>
  <c r="P38" i="29"/>
  <c r="AC37" i="29"/>
  <c r="AC33" i="29"/>
  <c r="AC38" i="29" s="1"/>
  <c r="AB33" i="29"/>
  <c r="AB38" i="29" s="1"/>
  <c r="AA33" i="29"/>
  <c r="AA38" i="29" s="1"/>
  <c r="Y33" i="29"/>
  <c r="Y38" i="29" s="1"/>
  <c r="S33" i="29"/>
  <c r="S38" i="29" s="1"/>
  <c r="R33" i="29"/>
  <c r="R38" i="29" s="1"/>
  <c r="Q33" i="29"/>
  <c r="P33" i="29"/>
  <c r="O33" i="29"/>
  <c r="O38" i="29" s="1"/>
  <c r="N33" i="29"/>
  <c r="M33" i="29"/>
  <c r="M38" i="29" s="1"/>
  <c r="L33" i="29"/>
  <c r="L38" i="29" s="1"/>
  <c r="K33" i="29"/>
  <c r="K38" i="29" s="1"/>
  <c r="J33" i="29"/>
  <c r="J38" i="29" s="1"/>
  <c r="AN32" i="29"/>
  <c r="AN37" i="29" s="1"/>
  <c r="AM32" i="29"/>
  <c r="AM37" i="29" s="1"/>
  <c r="AL32" i="29"/>
  <c r="AL37" i="29" s="1"/>
  <c r="AK32" i="29"/>
  <c r="AK37" i="29" s="1"/>
  <c r="AJ32" i="29"/>
  <c r="AJ37" i="29" s="1"/>
  <c r="AI32" i="29"/>
  <c r="AI37" i="29" s="1"/>
  <c r="AH32" i="29"/>
  <c r="AH37" i="29" s="1"/>
  <c r="AG32" i="29"/>
  <c r="AG37" i="29" s="1"/>
  <c r="AF32" i="29"/>
  <c r="AF37" i="29" s="1"/>
  <c r="AE32" i="29"/>
  <c r="AD32" i="29"/>
  <c r="AD37" i="29" s="1"/>
  <c r="AB32" i="29"/>
  <c r="AB37" i="29" s="1"/>
  <c r="AA32" i="29"/>
  <c r="AA37" i="29" s="1"/>
  <c r="Z32" i="29"/>
  <c r="Z37" i="29" s="1"/>
  <c r="Y32" i="29"/>
  <c r="Y37" i="29" s="1"/>
  <c r="X32" i="29"/>
  <c r="X37" i="29" s="1"/>
  <c r="W32" i="29"/>
  <c r="W37" i="29" s="1"/>
  <c r="V32" i="29"/>
  <c r="V37" i="29" s="1"/>
  <c r="U32" i="29"/>
  <c r="U37" i="29" s="1"/>
  <c r="T32" i="29"/>
  <c r="T37" i="29" s="1"/>
  <c r="S32" i="29"/>
  <c r="S37" i="29" s="1"/>
  <c r="R32" i="29"/>
  <c r="R37" i="29" s="1"/>
  <c r="Q32" i="29"/>
  <c r="Q37" i="29" s="1"/>
  <c r="P32" i="29"/>
  <c r="P37" i="29" s="1"/>
  <c r="O32" i="29"/>
  <c r="O37" i="29" s="1"/>
  <c r="N32" i="29"/>
  <c r="N37" i="29" s="1"/>
  <c r="M32" i="29"/>
  <c r="M37" i="29" s="1"/>
  <c r="L32" i="29"/>
  <c r="L37" i="29" s="1"/>
  <c r="K32" i="29"/>
  <c r="K37" i="29" s="1"/>
  <c r="J32" i="29"/>
  <c r="J37" i="29" s="1"/>
  <c r="E32" i="29"/>
  <c r="AN31" i="29"/>
  <c r="AM31" i="29"/>
  <c r="AL31" i="29"/>
  <c r="AK31" i="29"/>
  <c r="AJ31" i="29"/>
  <c r="AI31" i="29"/>
  <c r="AH31" i="29"/>
  <c r="AG31" i="29"/>
  <c r="AF31" i="29"/>
  <c r="AE31" i="29"/>
  <c r="AD31" i="29"/>
  <c r="AC31" i="29"/>
  <c r="AB31" i="29"/>
  <c r="AA31" i="29"/>
  <c r="Z31" i="29"/>
  <c r="Y31" i="29"/>
  <c r="X31" i="29"/>
  <c r="W31" i="29"/>
  <c r="V31" i="29"/>
  <c r="U31" i="29"/>
  <c r="T31" i="29"/>
  <c r="S31" i="29"/>
  <c r="R31" i="29"/>
  <c r="Q31" i="29"/>
  <c r="P31" i="29"/>
  <c r="O31" i="29"/>
  <c r="N31" i="29"/>
  <c r="M31" i="29"/>
  <c r="L31" i="29"/>
  <c r="K31" i="29"/>
  <c r="J31" i="29"/>
  <c r="AN30" i="29"/>
  <c r="AM30" i="29"/>
  <c r="AL30" i="29"/>
  <c r="AK30" i="29"/>
  <c r="AJ30" i="29"/>
  <c r="AI30" i="29"/>
  <c r="AH30" i="29"/>
  <c r="AG30" i="29"/>
  <c r="AF30" i="29"/>
  <c r="AE30" i="29"/>
  <c r="AD30" i="29"/>
  <c r="AC30" i="29"/>
  <c r="AB30" i="29"/>
  <c r="AA30" i="29"/>
  <c r="Z30" i="29"/>
  <c r="Y30" i="29"/>
  <c r="X30" i="29"/>
  <c r="W30" i="29"/>
  <c r="V30" i="29"/>
  <c r="U30" i="29"/>
  <c r="T30" i="29"/>
  <c r="S30" i="29"/>
  <c r="R30" i="29"/>
  <c r="Q30" i="29"/>
  <c r="P30" i="29"/>
  <c r="O30" i="29"/>
  <c r="N30" i="29"/>
  <c r="M30" i="29"/>
  <c r="L30" i="29"/>
  <c r="K30" i="29"/>
  <c r="J30" i="29"/>
  <c r="AN24" i="29"/>
  <c r="AM24" i="29"/>
  <c r="AL24" i="29"/>
  <c r="AK24" i="29"/>
  <c r="AJ24" i="29"/>
  <c r="AI24" i="29"/>
  <c r="AH24" i="29"/>
  <c r="AG24" i="29"/>
  <c r="AF24" i="29"/>
  <c r="AE24" i="29"/>
  <c r="AD24" i="29"/>
  <c r="Z24" i="29"/>
  <c r="X24" i="29"/>
  <c r="W24" i="29"/>
  <c r="V24" i="29"/>
  <c r="U24" i="29"/>
  <c r="T24" i="29"/>
  <c r="S24" i="29"/>
  <c r="R24" i="29"/>
  <c r="Q24" i="29"/>
  <c r="P24" i="29"/>
  <c r="O24" i="29"/>
  <c r="N24" i="29"/>
  <c r="M24" i="29"/>
  <c r="L24" i="29"/>
  <c r="K24" i="29"/>
  <c r="J24" i="29"/>
  <c r="AC23" i="29"/>
  <c r="AB23" i="29"/>
  <c r="AC19" i="29"/>
  <c r="AC24" i="29" s="1"/>
  <c r="AB19" i="29"/>
  <c r="AB24" i="29" s="1"/>
  <c r="AA19" i="29"/>
  <c r="AA24" i="29" s="1"/>
  <c r="Y19" i="29"/>
  <c r="AN18" i="29"/>
  <c r="AN23" i="29" s="1"/>
  <c r="AM18" i="29"/>
  <c r="AM23" i="29" s="1"/>
  <c r="AL18" i="29"/>
  <c r="AL23" i="29" s="1"/>
  <c r="AK18" i="29"/>
  <c r="AK23" i="29" s="1"/>
  <c r="AJ18" i="29"/>
  <c r="AJ23" i="29" s="1"/>
  <c r="AI18" i="29"/>
  <c r="AI23" i="29" s="1"/>
  <c r="AH18" i="29"/>
  <c r="AH23" i="29" s="1"/>
  <c r="AG18" i="29"/>
  <c r="AG23" i="29" s="1"/>
  <c r="AF18" i="29"/>
  <c r="AE18" i="29"/>
  <c r="AE23" i="29" s="1"/>
  <c r="AD18" i="29"/>
  <c r="AD23" i="29" s="1"/>
  <c r="AA18" i="29"/>
  <c r="AA23" i="29" s="1"/>
  <c r="Z18" i="29"/>
  <c r="Z23" i="29" s="1"/>
  <c r="Y18" i="29"/>
  <c r="Y23" i="29" s="1"/>
  <c r="X18" i="29"/>
  <c r="X23" i="29" s="1"/>
  <c r="W18" i="29"/>
  <c r="V18" i="29"/>
  <c r="U18" i="29"/>
  <c r="T18" i="29"/>
  <c r="T23" i="29" s="1"/>
  <c r="S18" i="29"/>
  <c r="S23" i="29" s="1"/>
  <c r="R18" i="29"/>
  <c r="R23" i="29" s="1"/>
  <c r="Q18" i="29"/>
  <c r="Q23" i="29" s="1"/>
  <c r="P18" i="29"/>
  <c r="P23" i="29" s="1"/>
  <c r="O18" i="29"/>
  <c r="O23" i="29" s="1"/>
  <c r="N18" i="29"/>
  <c r="M18" i="29"/>
  <c r="M23" i="29" s="1"/>
  <c r="L18" i="29"/>
  <c r="L23" i="29" s="1"/>
  <c r="K18" i="29"/>
  <c r="K23" i="29" s="1"/>
  <c r="J18" i="29"/>
  <c r="E18" i="29"/>
  <c r="AN17" i="29"/>
  <c r="AM17" i="29"/>
  <c r="AL17" i="29"/>
  <c r="AK17" i="29"/>
  <c r="AJ17" i="29"/>
  <c r="AI17" i="29"/>
  <c r="AH17" i="29"/>
  <c r="AG17" i="29"/>
  <c r="AF17" i="29"/>
  <c r="AE17" i="29"/>
  <c r="AD17" i="29"/>
  <c r="AC17" i="29"/>
  <c r="AB17" i="29"/>
  <c r="AA17" i="29"/>
  <c r="Z17" i="29"/>
  <c r="Y17" i="29"/>
  <c r="X17" i="29"/>
  <c r="W17" i="29"/>
  <c r="V17" i="29"/>
  <c r="U17" i="29"/>
  <c r="T17" i="29"/>
  <c r="S17" i="29"/>
  <c r="R17" i="29"/>
  <c r="Q17" i="29"/>
  <c r="P17" i="29"/>
  <c r="O17" i="29"/>
  <c r="N17" i="29"/>
  <c r="M17" i="29"/>
  <c r="L17" i="29"/>
  <c r="K17" i="29"/>
  <c r="J17" i="29"/>
  <c r="E7" i="29"/>
  <c r="H130" i="29" s="1"/>
  <c r="E6" i="29"/>
  <c r="B88" i="29" l="1"/>
  <c r="B91" i="29" s="1"/>
  <c r="B93" i="29" s="1"/>
  <c r="B67" i="29"/>
  <c r="B70" i="29" s="1"/>
  <c r="B102" i="29"/>
  <c r="B105" i="29" s="1"/>
  <c r="B107" i="29" s="1"/>
  <c r="L93" i="29"/>
  <c r="H93" i="29" s="1"/>
  <c r="B53" i="29"/>
  <c r="B56" i="29" s="1"/>
  <c r="B58" i="29" s="1"/>
  <c r="B95" i="29"/>
  <c r="B98" i="29" s="1"/>
  <c r="B18" i="29"/>
  <c r="J23" i="29"/>
  <c r="B74" i="29"/>
  <c r="B77" i="29" s="1"/>
  <c r="B79" i="29" s="1"/>
  <c r="B81" i="29"/>
  <c r="B84" i="29" s="1"/>
  <c r="B32" i="29"/>
  <c r="B35" i="29" s="1"/>
  <c r="B37" i="29" s="1"/>
  <c r="B39" i="29"/>
  <c r="B46" i="29"/>
  <c r="B60" i="29"/>
  <c r="B63" i="29" s="1"/>
  <c r="B64" i="29" s="1"/>
  <c r="E14" i="28"/>
  <c r="E18" i="28"/>
  <c r="M18" i="28" s="1"/>
  <c r="N18" i="28" s="1"/>
  <c r="E6" i="28"/>
  <c r="E7" i="28" s="1"/>
  <c r="E9" i="28"/>
  <c r="N19" i="28"/>
  <c r="E22" i="28"/>
  <c r="M22" i="28" s="1"/>
  <c r="E21" i="28"/>
  <c r="M21" i="28" s="1"/>
  <c r="N23" i="28"/>
  <c r="F10" i="28"/>
  <c r="M3" i="28"/>
  <c r="F13" i="28"/>
  <c r="F17" i="28"/>
  <c r="N17" i="28" s="1"/>
  <c r="F22" i="28"/>
  <c r="N22" i="28" s="1"/>
  <c r="F21" i="28"/>
  <c r="E4" i="28"/>
  <c r="F3" i="28"/>
  <c r="B71" i="29"/>
  <c r="B72" i="29"/>
  <c r="B30" i="29"/>
  <c r="B29" i="29"/>
  <c r="L15" i="29"/>
  <c r="J72" i="29"/>
  <c r="K72" i="29"/>
  <c r="K14" i="29" s="1"/>
  <c r="L72" i="29"/>
  <c r="M72" i="29"/>
  <c r="N72" i="29"/>
  <c r="H40" i="29"/>
  <c r="AL14" i="29"/>
  <c r="V11" i="29"/>
  <c r="AK14" i="29"/>
  <c r="U11" i="29"/>
  <c r="AJ14" i="29"/>
  <c r="S11" i="29"/>
  <c r="H115" i="29"/>
  <c r="AI14" i="29"/>
  <c r="M11" i="29"/>
  <c r="H26" i="29"/>
  <c r="B26" i="29" s="1"/>
  <c r="C26" i="29" s="1"/>
  <c r="AH14" i="29"/>
  <c r="L11" i="29"/>
  <c r="AD10" i="29"/>
  <c r="H25" i="29"/>
  <c r="AG14" i="29"/>
  <c r="K11" i="29"/>
  <c r="H68" i="29"/>
  <c r="B68" i="29" s="1"/>
  <c r="C68" i="29" s="1"/>
  <c r="S14" i="29"/>
  <c r="AN10" i="29"/>
  <c r="AL15" i="29"/>
  <c r="AK10" i="29"/>
  <c r="AJ15" i="29"/>
  <c r="AI11" i="29"/>
  <c r="AI15" i="29"/>
  <c r="AH11" i="29"/>
  <c r="AI10" i="29"/>
  <c r="H96" i="29"/>
  <c r="AH15" i="29"/>
  <c r="AG11" i="29"/>
  <c r="H82" i="29"/>
  <c r="AG15" i="29"/>
  <c r="AD11" i="29"/>
  <c r="H124" i="29"/>
  <c r="AN15" i="29"/>
  <c r="AM11" i="29"/>
  <c r="AM10" i="29"/>
  <c r="H19" i="29"/>
  <c r="AL11" i="29"/>
  <c r="H103" i="29"/>
  <c r="H95" i="29"/>
  <c r="AC10" i="29"/>
  <c r="H131" i="29"/>
  <c r="I131" i="29" s="1"/>
  <c r="AM15" i="29"/>
  <c r="AL10" i="29"/>
  <c r="H54" i="29"/>
  <c r="AK11" i="29"/>
  <c r="AJ10" i="29"/>
  <c r="AB10" i="29"/>
  <c r="Z14" i="29"/>
  <c r="AC11" i="29"/>
  <c r="AM14" i="29"/>
  <c r="M15" i="29"/>
  <c r="O72" i="29"/>
  <c r="T15" i="29"/>
  <c r="H114" i="29"/>
  <c r="Q14" i="29"/>
  <c r="W11" i="29"/>
  <c r="R14" i="29"/>
  <c r="Z11" i="29"/>
  <c r="H101" i="29"/>
  <c r="U10" i="29"/>
  <c r="H31" i="29"/>
  <c r="T10" i="29"/>
  <c r="AE15" i="29"/>
  <c r="AB14" i="29"/>
  <c r="H87" i="29"/>
  <c r="P72" i="29"/>
  <c r="P14" i="29" s="1"/>
  <c r="AA10" i="29"/>
  <c r="H30" i="29"/>
  <c r="S10" i="29"/>
  <c r="V15" i="29"/>
  <c r="U15" i="29"/>
  <c r="AA79" i="29"/>
  <c r="H79" i="29" s="1"/>
  <c r="H121" i="29"/>
  <c r="W15" i="29"/>
  <c r="N11" i="29"/>
  <c r="H61" i="29"/>
  <c r="Y14" i="29"/>
  <c r="Z59" i="29"/>
  <c r="Z15" i="29" s="1"/>
  <c r="H108" i="29"/>
  <c r="AD15" i="29"/>
  <c r="O66" i="29"/>
  <c r="H45" i="29"/>
  <c r="H53" i="29"/>
  <c r="H100" i="29"/>
  <c r="H67" i="29"/>
  <c r="H74" i="29"/>
  <c r="K10" i="29"/>
  <c r="M51" i="29"/>
  <c r="H51" i="29" s="1"/>
  <c r="H46" i="29"/>
  <c r="M10" i="29"/>
  <c r="P10" i="29"/>
  <c r="N38" i="29"/>
  <c r="W10" i="29"/>
  <c r="W23" i="29"/>
  <c r="W14" i="29" s="1"/>
  <c r="H107" i="29"/>
  <c r="Y24" i="29"/>
  <c r="H24" i="29" s="1"/>
  <c r="Y11" i="29"/>
  <c r="AA15" i="29"/>
  <c r="H81" i="29"/>
  <c r="L86" i="29"/>
  <c r="H86" i="29" s="1"/>
  <c r="H84" i="29" s="1"/>
  <c r="H102" i="29"/>
  <c r="R15" i="29"/>
  <c r="T65" i="29"/>
  <c r="T14" i="29" s="1"/>
  <c r="P11" i="29"/>
  <c r="P66" i="29"/>
  <c r="P15" i="29" s="1"/>
  <c r="N23" i="29"/>
  <c r="N10" i="29"/>
  <c r="H18" i="29"/>
  <c r="AF10" i="29"/>
  <c r="AF23" i="29"/>
  <c r="AF14" i="29" s="1"/>
  <c r="AF11" i="29"/>
  <c r="X15" i="29"/>
  <c r="H33" i="29"/>
  <c r="M44" i="29"/>
  <c r="H44" i="29" s="1"/>
  <c r="H39" i="29"/>
  <c r="N52" i="29"/>
  <c r="H52" i="29" s="1"/>
  <c r="H47" i="29"/>
  <c r="L10" i="29"/>
  <c r="V10" i="29"/>
  <c r="V23" i="29"/>
  <c r="V14" i="29" s="1"/>
  <c r="AE37" i="29"/>
  <c r="AE14" i="29" s="1"/>
  <c r="AE10" i="29"/>
  <c r="U14" i="29"/>
  <c r="R10" i="29"/>
  <c r="AC14" i="29"/>
  <c r="Q38" i="29"/>
  <c r="Q15" i="29" s="1"/>
  <c r="Q11" i="29"/>
  <c r="AD14" i="29"/>
  <c r="T11" i="29"/>
  <c r="H136" i="29"/>
  <c r="H135" i="29"/>
  <c r="H133" i="29" s="1"/>
  <c r="H116" i="29"/>
  <c r="AF15" i="29"/>
  <c r="AE11" i="29"/>
  <c r="O11" i="29"/>
  <c r="AG10" i="29"/>
  <c r="Q10" i="29"/>
  <c r="H117" i="29"/>
  <c r="H80" i="29"/>
  <c r="H129" i="29"/>
  <c r="H128" i="29"/>
  <c r="H89" i="29"/>
  <c r="B89" i="29" s="1"/>
  <c r="C89" i="29" s="1"/>
  <c r="H88" i="29"/>
  <c r="H75" i="29"/>
  <c r="B75" i="29" s="1"/>
  <c r="C75" i="29" s="1"/>
  <c r="H58" i="29"/>
  <c r="H32" i="29"/>
  <c r="Y15" i="29"/>
  <c r="AN14" i="29"/>
  <c r="X14" i="29"/>
  <c r="AN11" i="29"/>
  <c r="X11" i="29"/>
  <c r="Z10" i="29"/>
  <c r="J10" i="29"/>
  <c r="H73" i="29"/>
  <c r="X10" i="29"/>
  <c r="AA11" i="29"/>
  <c r="J15" i="29"/>
  <c r="AB15" i="29"/>
  <c r="H94" i="29"/>
  <c r="H109" i="29"/>
  <c r="H110" i="29"/>
  <c r="H122" i="29"/>
  <c r="Y10" i="29"/>
  <c r="J11" i="29"/>
  <c r="AB11" i="29"/>
  <c r="K15" i="29"/>
  <c r="AC15" i="29"/>
  <c r="H60" i="29"/>
  <c r="H123" i="29"/>
  <c r="O10" i="29"/>
  <c r="AH10" i="29"/>
  <c r="R11" i="29"/>
  <c r="AJ11" i="29"/>
  <c r="S15" i="29"/>
  <c r="AK15" i="29"/>
  <c r="B106" i="29" l="1"/>
  <c r="AB12" i="29"/>
  <c r="AF12" i="29"/>
  <c r="B54" i="29"/>
  <c r="C54" i="29" s="1"/>
  <c r="B103" i="29"/>
  <c r="C103" i="29" s="1"/>
  <c r="B96" i="29"/>
  <c r="C96" i="29" s="1"/>
  <c r="AI13" i="29"/>
  <c r="B92" i="29"/>
  <c r="B57" i="29"/>
  <c r="W13" i="29"/>
  <c r="W12" i="29"/>
  <c r="AM12" i="29"/>
  <c r="B65" i="29"/>
  <c r="N3" i="28"/>
  <c r="N4" i="28" s="1"/>
  <c r="AH12" i="29"/>
  <c r="AE13" i="29"/>
  <c r="AL13" i="29"/>
  <c r="AJ13" i="29"/>
  <c r="B40" i="29"/>
  <c r="C40" i="29" s="1"/>
  <c r="T12" i="29"/>
  <c r="K13" i="29"/>
  <c r="AN13" i="29"/>
  <c r="I68" i="29"/>
  <c r="I19" i="29"/>
  <c r="AJ12" i="29"/>
  <c r="R13" i="29"/>
  <c r="I110" i="29"/>
  <c r="Z12" i="29"/>
  <c r="J14" i="29"/>
  <c r="J12" i="29" s="1"/>
  <c r="H37" i="29"/>
  <c r="H35" i="29" s="1"/>
  <c r="AD13" i="29"/>
  <c r="B78" i="29"/>
  <c r="B80" i="29" s="1"/>
  <c r="C80" i="29" s="1"/>
  <c r="B86" i="29"/>
  <c r="B85" i="29"/>
  <c r="Y12" i="29"/>
  <c r="AK13" i="29"/>
  <c r="H91" i="29"/>
  <c r="B33" i="29"/>
  <c r="C33" i="29" s="1"/>
  <c r="V13" i="29"/>
  <c r="B49" i="29"/>
  <c r="B47" i="29"/>
  <c r="C47" i="29" s="1"/>
  <c r="AC12" i="29"/>
  <c r="I108" i="29"/>
  <c r="H113" i="29"/>
  <c r="H72" i="29"/>
  <c r="H70" i="29" s="1"/>
  <c r="I61" i="29"/>
  <c r="AG12" i="29"/>
  <c r="B61" i="29"/>
  <c r="C61" i="29" s="1"/>
  <c r="B19" i="29"/>
  <c r="AE12" i="29"/>
  <c r="P13" i="29"/>
  <c r="AL12" i="29"/>
  <c r="H28" i="29"/>
  <c r="B82" i="29"/>
  <c r="C82" i="29" s="1"/>
  <c r="I117" i="29"/>
  <c r="U12" i="29"/>
  <c r="H85" i="29"/>
  <c r="I85" i="29" s="1"/>
  <c r="Z13" i="29"/>
  <c r="B21" i="29"/>
  <c r="B36" i="29"/>
  <c r="B42" i="29"/>
  <c r="M6" i="28"/>
  <c r="M7" i="28" s="1"/>
  <c r="M14" i="28"/>
  <c r="M15" i="28" s="1"/>
  <c r="E15" i="28"/>
  <c r="F7" i="28"/>
  <c r="F4" i="28"/>
  <c r="N21" i="28"/>
  <c r="E20" i="28"/>
  <c r="M9" i="28"/>
  <c r="E11" i="28"/>
  <c r="F14" i="28"/>
  <c r="M4" i="28"/>
  <c r="N13" i="28"/>
  <c r="N10" i="28"/>
  <c r="B59" i="29"/>
  <c r="C59" i="29" s="1"/>
  <c r="C57" i="29"/>
  <c r="B94" i="29"/>
  <c r="C94" i="29" s="1"/>
  <c r="C92" i="29"/>
  <c r="B108" i="29"/>
  <c r="C108" i="29" s="1"/>
  <c r="C106" i="29"/>
  <c r="C71" i="29"/>
  <c r="B73" i="29"/>
  <c r="C73" i="29" s="1"/>
  <c r="B100" i="29"/>
  <c r="B99" i="29"/>
  <c r="C64" i="29"/>
  <c r="B31" i="29"/>
  <c r="C31" i="29" s="1"/>
  <c r="C29" i="29"/>
  <c r="AK12" i="29"/>
  <c r="I103" i="29"/>
  <c r="I40" i="29"/>
  <c r="I82" i="29"/>
  <c r="AG13" i="29"/>
  <c r="AA13" i="29"/>
  <c r="I54" i="29"/>
  <c r="H119" i="29"/>
  <c r="AA14" i="29"/>
  <c r="AA12" i="29" s="1"/>
  <c r="AM13" i="29"/>
  <c r="AH13" i="29"/>
  <c r="L13" i="29"/>
  <c r="Q12" i="29"/>
  <c r="X12" i="29"/>
  <c r="O14" i="29"/>
  <c r="O12" i="29" s="1"/>
  <c r="AN12" i="29"/>
  <c r="S12" i="29"/>
  <c r="S13" i="29"/>
  <c r="I33" i="29"/>
  <c r="H77" i="29"/>
  <c r="I96" i="29"/>
  <c r="U13" i="29"/>
  <c r="I26" i="29"/>
  <c r="E10" i="29"/>
  <c r="H49" i="29"/>
  <c r="H112" i="29"/>
  <c r="I115" i="29"/>
  <c r="M13" i="29"/>
  <c r="R12" i="29"/>
  <c r="Y13" i="29"/>
  <c r="H56" i="29"/>
  <c r="L14" i="29"/>
  <c r="L12" i="29" s="1"/>
  <c r="H99" i="29"/>
  <c r="I75" i="29"/>
  <c r="H106" i="29"/>
  <c r="P12" i="29"/>
  <c r="K12" i="29"/>
  <c r="I124" i="29"/>
  <c r="H66" i="29"/>
  <c r="H29" i="29"/>
  <c r="AI12" i="29"/>
  <c r="H98" i="29"/>
  <c r="I31" i="29"/>
  <c r="H38" i="29"/>
  <c r="H36" i="29" s="1"/>
  <c r="H59" i="29"/>
  <c r="H57" i="29" s="1"/>
  <c r="T13" i="29"/>
  <c r="AC13" i="29"/>
  <c r="AD12" i="29"/>
  <c r="I47" i="29"/>
  <c r="H43" i="29"/>
  <c r="I45" i="29"/>
  <c r="Q13" i="29"/>
  <c r="H50" i="29"/>
  <c r="I52" i="29"/>
  <c r="H42" i="29"/>
  <c r="X13" i="29"/>
  <c r="M14" i="29"/>
  <c r="M12" i="29" s="1"/>
  <c r="H92" i="29"/>
  <c r="I94" i="29"/>
  <c r="AB13" i="29"/>
  <c r="AF13" i="29"/>
  <c r="I101" i="29"/>
  <c r="J13" i="29"/>
  <c r="H22" i="29"/>
  <c r="O15" i="29"/>
  <c r="O13" i="29" s="1"/>
  <c r="V12" i="29"/>
  <c r="I87" i="29"/>
  <c r="N15" i="29"/>
  <c r="N13" i="29" s="1"/>
  <c r="I89" i="29"/>
  <c r="F10" i="29"/>
  <c r="H120" i="29"/>
  <c r="I122" i="29"/>
  <c r="H65" i="29"/>
  <c r="H63" i="29" s="1"/>
  <c r="H126" i="29"/>
  <c r="I136" i="29"/>
  <c r="H134" i="29"/>
  <c r="I134" i="29" s="1"/>
  <c r="H105" i="29"/>
  <c r="I129" i="29"/>
  <c r="H127" i="29"/>
  <c r="H71" i="29"/>
  <c r="I80" i="29"/>
  <c r="H78" i="29"/>
  <c r="N14" i="29"/>
  <c r="N12" i="29" s="1"/>
  <c r="H23" i="29"/>
  <c r="H21" i="29" s="1"/>
  <c r="N6" i="28" l="1"/>
  <c r="I92" i="29"/>
  <c r="B38" i="29"/>
  <c r="C38" i="29" s="1"/>
  <c r="C78" i="29"/>
  <c r="I59" i="29"/>
  <c r="I29" i="29"/>
  <c r="I78" i="29"/>
  <c r="I113" i="29"/>
  <c r="C36" i="29"/>
  <c r="I71" i="29"/>
  <c r="B51" i="29"/>
  <c r="B50" i="29"/>
  <c r="I50" i="29"/>
  <c r="I73" i="29"/>
  <c r="B44" i="29"/>
  <c r="B43" i="29"/>
  <c r="I57" i="29"/>
  <c r="B66" i="29"/>
  <c r="C66" i="29" s="1"/>
  <c r="B87" i="29"/>
  <c r="C87" i="29" s="1"/>
  <c r="C85" i="29"/>
  <c r="B22" i="29"/>
  <c r="B23" i="29"/>
  <c r="I106" i="29"/>
  <c r="I36" i="29"/>
  <c r="B10" i="29"/>
  <c r="C19" i="29"/>
  <c r="N14" i="28"/>
  <c r="N15" i="28" s="1"/>
  <c r="N7" i="28"/>
  <c r="F15" i="28"/>
  <c r="M11" i="28"/>
  <c r="M20" i="28"/>
  <c r="E24" i="28"/>
  <c r="E26" i="28" s="1"/>
  <c r="F20" i="28"/>
  <c r="F24" i="28" s="1"/>
  <c r="F9" i="28"/>
  <c r="F11" i="28" s="1"/>
  <c r="B101" i="29"/>
  <c r="C101" i="29" s="1"/>
  <c r="C99" i="29"/>
  <c r="I120" i="29"/>
  <c r="I66" i="29"/>
  <c r="I99" i="29"/>
  <c r="H64" i="29"/>
  <c r="I64" i="29" s="1"/>
  <c r="F12" i="29"/>
  <c r="F11" i="29" s="1"/>
  <c r="I38" i="29"/>
  <c r="G10" i="29"/>
  <c r="E12" i="29"/>
  <c r="E11" i="29" s="1"/>
  <c r="I127" i="29"/>
  <c r="I24" i="29"/>
  <c r="I22" i="29"/>
  <c r="I43" i="29"/>
  <c r="B24" i="29" l="1"/>
  <c r="C22" i="29"/>
  <c r="B11" i="29"/>
  <c r="B52" i="29"/>
  <c r="C52" i="29" s="1"/>
  <c r="C50" i="29"/>
  <c r="C43" i="29"/>
  <c r="B45" i="29"/>
  <c r="C45" i="29" s="1"/>
  <c r="F26" i="28"/>
  <c r="N9" i="28"/>
  <c r="N11" i="28" s="1"/>
  <c r="N20" i="28"/>
  <c r="N24" i="28" s="1"/>
  <c r="M24" i="28"/>
  <c r="M26" i="28" s="1"/>
  <c r="G12" i="29"/>
  <c r="G11" i="29"/>
  <c r="N26" i="28" l="1"/>
  <c r="B12" i="29"/>
  <c r="C24" i="29"/>
  <c r="H23" i="28"/>
  <c r="L23" i="28" s="1"/>
  <c r="G23" i="28"/>
  <c r="K23" i="28" s="1"/>
  <c r="B18" i="28"/>
  <c r="B19" i="28"/>
  <c r="B20" i="28"/>
  <c r="B21" i="28"/>
  <c r="B22" i="28"/>
  <c r="B23" i="28"/>
  <c r="B17" i="28"/>
  <c r="B14" i="28"/>
  <c r="B13" i="28"/>
  <c r="B10" i="28"/>
  <c r="B9" i="28"/>
  <c r="B6" i="28"/>
  <c r="B3" i="28"/>
  <c r="I23" i="28" l="1"/>
  <c r="AB14" i="21" l="1"/>
  <c r="AC14" i="21"/>
  <c r="P11" i="21"/>
  <c r="G75" i="21"/>
  <c r="O11" i="21"/>
  <c r="R10" i="21"/>
  <c r="G61" i="21"/>
  <c r="G54" i="21"/>
  <c r="G33" i="21"/>
  <c r="G26" i="21"/>
  <c r="D18"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AH15" i="21"/>
  <c r="AG15" i="21"/>
  <c r="AF15" i="21"/>
  <c r="AE15" i="21"/>
  <c r="AD15" i="21"/>
  <c r="AC15" i="21"/>
  <c r="AB15" i="21"/>
  <c r="AA15" i="21"/>
  <c r="AH14" i="21"/>
  <c r="AG14" i="21"/>
  <c r="AF14" i="21"/>
  <c r="AE14" i="21"/>
  <c r="AD14" i="21"/>
  <c r="AA14" i="21"/>
  <c r="Z14" i="21"/>
  <c r="AH11" i="21"/>
  <c r="AG11" i="21"/>
  <c r="AF11" i="21"/>
  <c r="AE11" i="21"/>
  <c r="AD11" i="21"/>
  <c r="AC11" i="21"/>
  <c r="AB11" i="21"/>
  <c r="AA11" i="21"/>
  <c r="Z11" i="21"/>
  <c r="R11" i="21"/>
  <c r="L11" i="21"/>
  <c r="K11" i="21"/>
  <c r="AJ10" i="21"/>
  <c r="AI10" i="21"/>
  <c r="AH10" i="21"/>
  <c r="AG10" i="21"/>
  <c r="AF10" i="21"/>
  <c r="AE10" i="21"/>
  <c r="AD10" i="21"/>
  <c r="AC10" i="21"/>
  <c r="AB10" i="21"/>
  <c r="T10" i="21"/>
  <c r="S10" i="21"/>
  <c r="D6" i="21"/>
  <c r="G74" i="21" l="1"/>
  <c r="H75" i="21" s="1"/>
  <c r="G25" i="21"/>
  <c r="H26" i="21" s="1"/>
  <c r="G52" i="21"/>
  <c r="G53" i="21"/>
  <c r="H54" i="21" s="1"/>
  <c r="G95" i="21"/>
  <c r="G94" i="21"/>
  <c r="Q11" i="21"/>
  <c r="L10" i="21"/>
  <c r="O15" i="21"/>
  <c r="O13" i="21" s="1"/>
  <c r="Q15" i="21"/>
  <c r="P15" i="21"/>
  <c r="P13" i="21" s="1"/>
  <c r="G96" i="21"/>
  <c r="G31" i="21"/>
  <c r="G29" i="21" s="1"/>
  <c r="G80" i="21"/>
  <c r="G78" i="21" s="1"/>
  <c r="B88" i="21"/>
  <c r="B91" i="21" s="1"/>
  <c r="K15" i="21"/>
  <c r="K13" i="21" s="1"/>
  <c r="O10" i="21"/>
  <c r="L15" i="21"/>
  <c r="L13" i="21" s="1"/>
  <c r="P10" i="21"/>
  <c r="G32" i="21"/>
  <c r="H33" i="21" s="1"/>
  <c r="N15" i="21"/>
  <c r="B25" i="21"/>
  <c r="B28" i="21" s="1"/>
  <c r="B46" i="21"/>
  <c r="G82" i="21"/>
  <c r="M10" i="21"/>
  <c r="G81" i="21"/>
  <c r="B32" i="21"/>
  <c r="M11" i="21"/>
  <c r="B53" i="21"/>
  <c r="G59" i="21"/>
  <c r="G57" i="21" s="1"/>
  <c r="B74" i="21"/>
  <c r="B18" i="21"/>
  <c r="G60" i="21"/>
  <c r="H61" i="21" s="1"/>
  <c r="Q10" i="21"/>
  <c r="N10" i="21"/>
  <c r="B39" i="21"/>
  <c r="B95" i="21"/>
  <c r="B60" i="21"/>
  <c r="B67" i="21"/>
  <c r="B81" i="21"/>
  <c r="B102" i="21"/>
  <c r="N11" i="21"/>
  <c r="AA13" i="21"/>
  <c r="AC13" i="21"/>
  <c r="AG13" i="21"/>
  <c r="AF13" i="21"/>
  <c r="AH13" i="21"/>
  <c r="AD13" i="21"/>
  <c r="AB12" i="21"/>
  <c r="AE13" i="21"/>
  <c r="AC12" i="21"/>
  <c r="AD12" i="21"/>
  <c r="AB13" i="21"/>
  <c r="M15" i="21"/>
  <c r="R14" i="21"/>
  <c r="R12" i="21" s="1"/>
  <c r="AF12" i="21"/>
  <c r="AE12" i="21"/>
  <c r="AG12" i="21"/>
  <c r="G108" i="21"/>
  <c r="AH12" i="21"/>
  <c r="R15" i="21"/>
  <c r="R13" i="21" s="1"/>
  <c r="J11" i="21"/>
  <c r="G58" i="21"/>
  <c r="S15" i="21"/>
  <c r="AI15" i="21"/>
  <c r="G38" i="21"/>
  <c r="G39" i="21"/>
  <c r="G40" i="21"/>
  <c r="G66" i="21"/>
  <c r="S11" i="21"/>
  <c r="AI14" i="21"/>
  <c r="AI12" i="21" s="1"/>
  <c r="G67" i="21"/>
  <c r="G68" i="21"/>
  <c r="G101" i="21"/>
  <c r="W10" i="21"/>
  <c r="AM10" i="21"/>
  <c r="U11" i="21"/>
  <c r="AK11" i="21"/>
  <c r="U14" i="21"/>
  <c r="AK14" i="21"/>
  <c r="V15" i="21"/>
  <c r="AL15" i="21"/>
  <c r="G102" i="21"/>
  <c r="G103" i="21"/>
  <c r="U10" i="21"/>
  <c r="T15" i="21"/>
  <c r="AL10" i="21"/>
  <c r="U15" i="21"/>
  <c r="W15" i="21"/>
  <c r="AK10" i="21"/>
  <c r="AJ15" i="21"/>
  <c r="T11" i="21"/>
  <c r="AJ14" i="21"/>
  <c r="AJ12" i="21" s="1"/>
  <c r="V11" i="21"/>
  <c r="AL14" i="21"/>
  <c r="G45" i="21"/>
  <c r="Y10" i="21"/>
  <c r="W11" i="21"/>
  <c r="W14" i="21"/>
  <c r="AM14" i="21"/>
  <c r="X15" i="21"/>
  <c r="G44" i="21"/>
  <c r="G46" i="21"/>
  <c r="G47" i="21"/>
  <c r="G88" i="21"/>
  <c r="G89" i="21"/>
  <c r="AI11" i="21"/>
  <c r="S14" i="21"/>
  <c r="S12" i="21" s="1"/>
  <c r="V10" i="21"/>
  <c r="AJ11" i="21"/>
  <c r="T14" i="21"/>
  <c r="T12" i="21" s="1"/>
  <c r="AK15" i="21"/>
  <c r="X10" i="21"/>
  <c r="AL11" i="21"/>
  <c r="V14" i="21"/>
  <c r="AM15" i="21"/>
  <c r="I10" i="21"/>
  <c r="AM11" i="21"/>
  <c r="J10" i="21"/>
  <c r="Z10" i="21"/>
  <c r="Z12" i="21" s="1"/>
  <c r="X11" i="21"/>
  <c r="X14" i="21"/>
  <c r="Y15" i="21"/>
  <c r="G18" i="21"/>
  <c r="G19" i="21"/>
  <c r="K10" i="21"/>
  <c r="AA10" i="21"/>
  <c r="AA12" i="21" s="1"/>
  <c r="I11" i="21"/>
  <c r="Y11" i="21"/>
  <c r="Y14" i="21"/>
  <c r="J15" i="21"/>
  <c r="Z15" i="21"/>
  <c r="Z13" i="21" s="1"/>
  <c r="G73" i="21"/>
  <c r="Y12" i="21" l="1"/>
  <c r="H47" i="21"/>
  <c r="B47" i="21" s="1"/>
  <c r="Q13" i="21"/>
  <c r="G42" i="21"/>
  <c r="G56" i="21"/>
  <c r="H57" i="21" s="1"/>
  <c r="M14" i="21"/>
  <c r="M12" i="21" s="1"/>
  <c r="G87" i="21"/>
  <c r="G85" i="21" s="1"/>
  <c r="N13" i="21"/>
  <c r="K14" i="21"/>
  <c r="K12" i="21" s="1"/>
  <c r="H96" i="21"/>
  <c r="B96" i="21" s="1"/>
  <c r="G72" i="21"/>
  <c r="G70" i="21" s="1"/>
  <c r="G37" i="21"/>
  <c r="G35" i="21" s="1"/>
  <c r="G86" i="21"/>
  <c r="G84" i="21" s="1"/>
  <c r="G65" i="21"/>
  <c r="G63" i="21" s="1"/>
  <c r="G51" i="21"/>
  <c r="G49" i="21" s="1"/>
  <c r="O14" i="21"/>
  <c r="O12" i="21" s="1"/>
  <c r="I14" i="21"/>
  <c r="I12" i="21" s="1"/>
  <c r="G107" i="21"/>
  <c r="H108" i="21" s="1"/>
  <c r="Q14" i="21"/>
  <c r="Q12" i="21" s="1"/>
  <c r="P14" i="21"/>
  <c r="P12" i="21" s="1"/>
  <c r="H82" i="21"/>
  <c r="B82" i="21" s="1"/>
  <c r="H89" i="21"/>
  <c r="B89" i="21" s="1"/>
  <c r="AJ13" i="21"/>
  <c r="X12" i="21"/>
  <c r="W13" i="21"/>
  <c r="M13" i="21"/>
  <c r="B105" i="21"/>
  <c r="B98" i="21"/>
  <c r="B49" i="21"/>
  <c r="G93" i="21"/>
  <c r="G91" i="21" s="1"/>
  <c r="B70" i="21"/>
  <c r="B63" i="21"/>
  <c r="B61" i="21"/>
  <c r="B42" i="21"/>
  <c r="B21" i="21"/>
  <c r="B29" i="21"/>
  <c r="C29" i="21" s="1"/>
  <c r="B30" i="21"/>
  <c r="N14" i="21"/>
  <c r="N12" i="21" s="1"/>
  <c r="B77" i="21"/>
  <c r="B75" i="21"/>
  <c r="B93" i="21"/>
  <c r="B35" i="21"/>
  <c r="B33" i="21"/>
  <c r="C33" i="21" s="1"/>
  <c r="J14" i="21"/>
  <c r="J12" i="21" s="1"/>
  <c r="B56" i="21"/>
  <c r="B54" i="21"/>
  <c r="B26" i="21"/>
  <c r="G30" i="21"/>
  <c r="G28" i="21" s="1"/>
  <c r="H29" i="21" s="1"/>
  <c r="B84" i="21"/>
  <c r="L14" i="21"/>
  <c r="L12" i="21" s="1"/>
  <c r="G100" i="21"/>
  <c r="G98" i="21" s="1"/>
  <c r="AI13" i="21"/>
  <c r="H103" i="21"/>
  <c r="B103" i="21" s="1"/>
  <c r="H40" i="21"/>
  <c r="B40" i="21" s="1"/>
  <c r="G92" i="21"/>
  <c r="B92" i="21" s="1"/>
  <c r="C92" i="21" s="1"/>
  <c r="AK12" i="21"/>
  <c r="Y13" i="21"/>
  <c r="U12" i="21"/>
  <c r="S13" i="21"/>
  <c r="J13" i="21"/>
  <c r="D10" i="21"/>
  <c r="X13" i="21"/>
  <c r="U13" i="21"/>
  <c r="H68" i="21"/>
  <c r="B68" i="21" s="1"/>
  <c r="H59" i="21"/>
  <c r="W12" i="21"/>
  <c r="G106" i="21"/>
  <c r="V12" i="21"/>
  <c r="G64" i="21"/>
  <c r="G71" i="21"/>
  <c r="G99" i="21"/>
  <c r="AM12" i="21"/>
  <c r="G23" i="21"/>
  <c r="T13" i="21"/>
  <c r="AK13" i="21"/>
  <c r="AL12" i="21"/>
  <c r="G79" i="21"/>
  <c r="G36" i="21"/>
  <c r="AM13" i="21"/>
  <c r="E10" i="21"/>
  <c r="H45" i="21"/>
  <c r="G43" i="21"/>
  <c r="H43" i="21" s="1"/>
  <c r="G50" i="21"/>
  <c r="AL13" i="21"/>
  <c r="H19" i="21"/>
  <c r="V13" i="21"/>
  <c r="C96" i="21" l="1"/>
  <c r="K21" i="28"/>
  <c r="C75" i="21"/>
  <c r="K18" i="28"/>
  <c r="C40" i="21"/>
  <c r="K9" i="28"/>
  <c r="C89" i="21"/>
  <c r="K20" i="28"/>
  <c r="C26" i="21"/>
  <c r="K6" i="28"/>
  <c r="K7" i="28" s="1"/>
  <c r="C54" i="21"/>
  <c r="K13" i="28"/>
  <c r="K15" i="28" s="1"/>
  <c r="C47" i="21"/>
  <c r="K10" i="28"/>
  <c r="C68" i="21"/>
  <c r="K17" i="28"/>
  <c r="K24" i="28" s="1"/>
  <c r="C103" i="21"/>
  <c r="K22" i="28"/>
  <c r="C82" i="21"/>
  <c r="K19" i="28"/>
  <c r="C61" i="21"/>
  <c r="K14" i="28"/>
  <c r="B19" i="21"/>
  <c r="H92" i="21"/>
  <c r="H94" i="21"/>
  <c r="H73" i="21"/>
  <c r="H38" i="21"/>
  <c r="H64" i="21"/>
  <c r="H66" i="21"/>
  <c r="H36" i="21"/>
  <c r="H85" i="21"/>
  <c r="G105" i="21"/>
  <c r="H106" i="21" s="1"/>
  <c r="H101" i="21"/>
  <c r="H52" i="21"/>
  <c r="H87" i="21"/>
  <c r="D12" i="21"/>
  <c r="D11" i="21" s="1"/>
  <c r="B94" i="21"/>
  <c r="C94" i="21" s="1"/>
  <c r="B86" i="21"/>
  <c r="B85" i="21"/>
  <c r="C85" i="21" s="1"/>
  <c r="B44" i="21"/>
  <c r="B43" i="21"/>
  <c r="C43" i="21" s="1"/>
  <c r="B58" i="21"/>
  <c r="B57" i="21"/>
  <c r="C57" i="21" s="1"/>
  <c r="B37" i="21"/>
  <c r="B36" i="21"/>
  <c r="B79" i="21"/>
  <c r="B78" i="21"/>
  <c r="C78" i="21" s="1"/>
  <c r="B51" i="21"/>
  <c r="B50" i="21"/>
  <c r="C50" i="21" s="1"/>
  <c r="B100" i="21"/>
  <c r="B99" i="21"/>
  <c r="C99" i="21" s="1"/>
  <c r="B107" i="21"/>
  <c r="B106" i="21"/>
  <c r="C106" i="21" s="1"/>
  <c r="B65" i="21"/>
  <c r="B64" i="21"/>
  <c r="C64" i="21" s="1"/>
  <c r="H31" i="21"/>
  <c r="B72" i="21"/>
  <c r="B71" i="21"/>
  <c r="C71" i="21" s="1"/>
  <c r="H99" i="21"/>
  <c r="B23" i="21"/>
  <c r="F10" i="21"/>
  <c r="H71" i="21"/>
  <c r="G21" i="21"/>
  <c r="G77" i="21"/>
  <c r="H78" i="21" s="1"/>
  <c r="H80" i="21"/>
  <c r="H50" i="21"/>
  <c r="C19" i="21" l="1"/>
  <c r="K3" i="28"/>
  <c r="K11" i="28"/>
  <c r="B10" i="21"/>
  <c r="AJ61" i="3" s="1"/>
  <c r="B38" i="21"/>
  <c r="C38" i="21" s="1"/>
  <c r="C36" i="21"/>
  <c r="B59" i="21"/>
  <c r="C59" i="21" s="1"/>
  <c r="B66" i="21"/>
  <c r="C66" i="21" s="1"/>
  <c r="B45" i="21"/>
  <c r="C45" i="21" s="1"/>
  <c r="B87" i="21"/>
  <c r="C87" i="21" s="1"/>
  <c r="B108" i="21"/>
  <c r="C108" i="21" s="1"/>
  <c r="B101" i="21"/>
  <c r="C101" i="21" s="1"/>
  <c r="B80" i="21"/>
  <c r="C80" i="21" s="1"/>
  <c r="B73" i="21"/>
  <c r="C73" i="21" s="1"/>
  <c r="B52" i="21"/>
  <c r="C52" i="21" s="1"/>
  <c r="Z36" i="10"/>
  <c r="AB36" i="10"/>
  <c r="AA36" i="10"/>
  <c r="Z39" i="10"/>
  <c r="K4" i="28" l="1"/>
  <c r="K26" i="28" s="1"/>
  <c r="D14" i="23"/>
  <c r="AI62" i="3"/>
  <c r="AI61" i="3"/>
  <c r="P27" i="3" l="1"/>
  <c r="R27" i="3"/>
  <c r="C38" i="9"/>
  <c r="C36" i="9" s="1"/>
  <c r="C12" i="9" s="1"/>
  <c r="C35" i="9"/>
  <c r="C33" i="9"/>
  <c r="C26" i="9"/>
  <c r="D13" i="25" l="1"/>
  <c r="D14" i="25" s="1"/>
  <c r="D11" i="25"/>
  <c r="D12" i="25" s="1"/>
  <c r="I20" i="25"/>
  <c r="I27" i="25" s="1"/>
  <c r="D7" i="25"/>
  <c r="D8" i="25" s="1"/>
  <c r="BK20" i="25"/>
  <c r="D5" i="25"/>
  <c r="D6" i="25" s="1"/>
  <c r="C5" i="25"/>
  <c r="D17" i="25" l="1"/>
  <c r="AG20" i="25"/>
  <c r="BL20" i="25"/>
  <c r="D3" i="25"/>
  <c r="H20" i="25"/>
  <c r="H27" i="25" s="1"/>
  <c r="C6" i="25"/>
  <c r="J20" i="25"/>
  <c r="D16" i="25"/>
  <c r="D9" i="25"/>
  <c r="D10" i="25" s="1"/>
  <c r="AD20" i="25"/>
  <c r="AD27" i="25" s="1"/>
  <c r="AT20" i="25"/>
  <c r="BJ20" i="25"/>
  <c r="BJ27" i="25" s="1"/>
  <c r="R20" i="25"/>
  <c r="R21" i="25" s="1"/>
  <c r="AH21" i="25"/>
  <c r="AX20" i="25"/>
  <c r="AX21" i="25" s="1"/>
  <c r="BN21" i="25"/>
  <c r="BM20" i="25"/>
  <c r="BM27" i="25" s="1"/>
  <c r="W20" i="25"/>
  <c r="W21" i="25" s="1"/>
  <c r="BC20" i="25"/>
  <c r="BC27" i="25" s="1"/>
  <c r="C7" i="25"/>
  <c r="C8" i="25" s="1"/>
  <c r="AG21" i="25"/>
  <c r="BM21" i="25"/>
  <c r="BD20" i="25"/>
  <c r="G20" i="25"/>
  <c r="G27" i="25" s="1"/>
  <c r="AM20" i="25"/>
  <c r="AM27" i="25" s="1"/>
  <c r="AW20" i="25"/>
  <c r="AW21" i="25" s="1"/>
  <c r="I21" i="25"/>
  <c r="I28" i="25" s="1"/>
  <c r="AE20" i="25"/>
  <c r="AE21" i="25" s="1"/>
  <c r="AE28" i="25" s="1"/>
  <c r="AU20" i="25"/>
  <c r="AU21" i="25" s="1"/>
  <c r="AV20" i="25"/>
  <c r="AV21" i="25" s="1"/>
  <c r="BL21" i="25"/>
  <c r="Y20" i="25"/>
  <c r="Y27" i="25" s="1"/>
  <c r="Q20" i="25"/>
  <c r="Q21" i="25" s="1"/>
  <c r="AF20" i="25"/>
  <c r="AF27" i="25" s="1"/>
  <c r="AH20" i="25"/>
  <c r="BN20" i="25"/>
  <c r="AT27" i="25"/>
  <c r="AE27" i="25"/>
  <c r="BK21" i="25"/>
  <c r="BK28" i="25" s="1"/>
  <c r="AF21" i="25"/>
  <c r="BD27" i="25"/>
  <c r="AH27" i="25"/>
  <c r="BN27" i="25"/>
  <c r="AG27" i="25"/>
  <c r="T20" i="25"/>
  <c r="AJ20" i="25"/>
  <c r="AZ20" i="25"/>
  <c r="BL27" i="25"/>
  <c r="BD21" i="25"/>
  <c r="BD28" i="25" s="1"/>
  <c r="BA20" i="25"/>
  <c r="M20" i="25"/>
  <c r="M21" i="25" s="1"/>
  <c r="AC20" i="25"/>
  <c r="AS20" i="25"/>
  <c r="BI20" i="25"/>
  <c r="BI21" i="25"/>
  <c r="J27" i="25"/>
  <c r="BJ21" i="25"/>
  <c r="X20" i="25"/>
  <c r="X21" i="25" s="1"/>
  <c r="AY20" i="25"/>
  <c r="C24" i="25"/>
  <c r="C25" i="25" s="1"/>
  <c r="C11" i="25"/>
  <c r="C12" i="25" s="1"/>
  <c r="BE20" i="25"/>
  <c r="BE21" i="25" s="1"/>
  <c r="U20" i="25"/>
  <c r="AK20" i="25"/>
  <c r="AI20" i="25"/>
  <c r="AI21" i="25" s="1"/>
  <c r="V21" i="25"/>
  <c r="N20" i="25"/>
  <c r="AN20" i="25"/>
  <c r="BO20" i="25"/>
  <c r="BO21" i="25" s="1"/>
  <c r="O20" i="25"/>
  <c r="O21" i="25" s="1"/>
  <c r="AO20" i="25"/>
  <c r="BK27" i="25"/>
  <c r="C16" i="25"/>
  <c r="C17" i="25" s="1"/>
  <c r="P20" i="25"/>
  <c r="P21" i="25" s="1"/>
  <c r="C3" i="25"/>
  <c r="Z20" i="25"/>
  <c r="AP20" i="25"/>
  <c r="BF20" i="25"/>
  <c r="N21" i="25"/>
  <c r="C9" i="25"/>
  <c r="C10" i="25" s="1"/>
  <c r="D4" i="25"/>
  <c r="K20" i="25"/>
  <c r="AA20" i="25"/>
  <c r="AQ20" i="25"/>
  <c r="BG20" i="25"/>
  <c r="AK21" i="25"/>
  <c r="C13" i="25"/>
  <c r="C14" i="25" s="1"/>
  <c r="J21" i="25"/>
  <c r="L20" i="25"/>
  <c r="L21" i="25" s="1"/>
  <c r="AB20" i="25"/>
  <c r="AB21" i="25" s="1"/>
  <c r="AR20" i="25"/>
  <c r="BH20" i="25"/>
  <c r="S20" i="25"/>
  <c r="E20" i="25"/>
  <c r="F20" i="25"/>
  <c r="V20" i="25"/>
  <c r="AL20" i="25"/>
  <c r="AL21" i="25" s="1"/>
  <c r="BB20" i="25"/>
  <c r="BB21" i="25" s="1"/>
  <c r="AU28" i="25" l="1"/>
  <c r="BJ28" i="25"/>
  <c r="G21" i="25"/>
  <c r="G28" i="25" s="1"/>
  <c r="AV27" i="25"/>
  <c r="AX27" i="25"/>
  <c r="AX28" i="25" s="1"/>
  <c r="H21" i="25"/>
  <c r="H28" i="25" s="1"/>
  <c r="AD21" i="25"/>
  <c r="AD28" i="25" s="1"/>
  <c r="J28" i="25"/>
  <c r="AW27" i="25"/>
  <c r="AW28" i="25" s="1"/>
  <c r="AU27" i="25"/>
  <c r="BL28" i="25"/>
  <c r="R27" i="25"/>
  <c r="R28" i="25" s="1"/>
  <c r="AA21" i="25"/>
  <c r="BM28" i="25"/>
  <c r="D20" i="25"/>
  <c r="AP21" i="25"/>
  <c r="AF28" i="25"/>
  <c r="T21" i="25"/>
  <c r="AG28" i="25"/>
  <c r="W27" i="25"/>
  <c r="W28" i="25" s="1"/>
  <c r="BN28" i="25"/>
  <c r="BC21" i="25"/>
  <c r="BC28" i="25" s="1"/>
  <c r="Q27" i="25"/>
  <c r="Q28" i="25" s="1"/>
  <c r="AH28" i="25"/>
  <c r="AT21" i="25"/>
  <c r="AT28" i="25" s="1"/>
  <c r="Y21" i="25"/>
  <c r="Y28" i="25" s="1"/>
  <c r="AM21" i="25"/>
  <c r="AM28" i="25" s="1"/>
  <c r="AV28" i="25"/>
  <c r="K27" i="25"/>
  <c r="K21" i="25"/>
  <c r="P27" i="25"/>
  <c r="P28" i="25" s="1"/>
  <c r="AY27" i="25"/>
  <c r="C20" i="25"/>
  <c r="V27" i="25"/>
  <c r="V28" i="25"/>
  <c r="BF27" i="25"/>
  <c r="AK27" i="25"/>
  <c r="AK28" i="25" s="1"/>
  <c r="F27" i="25"/>
  <c r="BF21" i="25"/>
  <c r="E27" i="25"/>
  <c r="E28" i="25" s="1"/>
  <c r="BG27" i="25"/>
  <c r="BG28" i="25" s="1"/>
  <c r="AO27" i="25"/>
  <c r="AO28" i="25"/>
  <c r="U27" i="25"/>
  <c r="AZ27" i="25"/>
  <c r="AO21" i="25"/>
  <c r="S27" i="25"/>
  <c r="BG21" i="25"/>
  <c r="AP27" i="25"/>
  <c r="O27" i="25"/>
  <c r="O28" i="25" s="1"/>
  <c r="U21" i="25"/>
  <c r="BI27" i="25"/>
  <c r="BI28" i="25" s="1"/>
  <c r="AZ21" i="25"/>
  <c r="F21" i="25"/>
  <c r="F28" i="25" s="1"/>
  <c r="AY21" i="25"/>
  <c r="L27" i="25"/>
  <c r="L28" i="25" s="1"/>
  <c r="AI27" i="25"/>
  <c r="AI28" i="25" s="1"/>
  <c r="BA27" i="25"/>
  <c r="BB27" i="25"/>
  <c r="BB28" i="25" s="1"/>
  <c r="X27" i="25"/>
  <c r="X28" i="25" s="1"/>
  <c r="BA21" i="25"/>
  <c r="AL27" i="25"/>
  <c r="AL28" i="25" s="1"/>
  <c r="BH27" i="25"/>
  <c r="AQ27" i="25"/>
  <c r="BO27" i="25"/>
  <c r="BO28" i="25" s="1"/>
  <c r="AS27" i="25"/>
  <c r="AJ27" i="25"/>
  <c r="BH21" i="25"/>
  <c r="BH28" i="25" s="1"/>
  <c r="AQ21" i="25"/>
  <c r="AQ28" i="25" s="1"/>
  <c r="Z27" i="25"/>
  <c r="AN27" i="25"/>
  <c r="BE27" i="25"/>
  <c r="BE28" i="25" s="1"/>
  <c r="AS21" i="25"/>
  <c r="AS28" i="25" s="1"/>
  <c r="AJ21" i="25"/>
  <c r="AJ28" i="25" s="1"/>
  <c r="AR27" i="25"/>
  <c r="Z21" i="25"/>
  <c r="N27" i="25"/>
  <c r="N28" i="25" s="1"/>
  <c r="AC27" i="25"/>
  <c r="AR21" i="25"/>
  <c r="AA27" i="25"/>
  <c r="S21" i="25"/>
  <c r="S28" i="25" s="1"/>
  <c r="AC21" i="25"/>
  <c r="T27" i="25"/>
  <c r="T28" i="25" s="1"/>
  <c r="AB27" i="25"/>
  <c r="AB28" i="25" s="1"/>
  <c r="C4" i="25"/>
  <c r="E21" i="25"/>
  <c r="M27" i="25"/>
  <c r="M28" i="25" s="1"/>
  <c r="AN21" i="25"/>
  <c r="AN28" i="25" s="1"/>
  <c r="U28" i="25" l="1"/>
  <c r="AP28" i="25"/>
  <c r="Z28" i="25"/>
  <c r="AZ28" i="25"/>
  <c r="AA28" i="25"/>
  <c r="K28" i="25"/>
  <c r="D21" i="25"/>
  <c r="AR28" i="25"/>
  <c r="BA28" i="25"/>
  <c r="C27" i="25"/>
  <c r="BF28" i="25"/>
  <c r="AY28" i="25"/>
  <c r="AC28" i="25"/>
  <c r="C28" i="25"/>
  <c r="C21" i="25"/>
  <c r="AC31" i="23" l="1"/>
  <c r="AC29" i="23"/>
  <c r="AC30" i="23" s="1"/>
  <c r="AC28" i="23"/>
  <c r="AC26" i="23"/>
  <c r="AC27" i="23" s="1"/>
  <c r="AC25" i="23"/>
  <c r="AC23" i="23"/>
  <c r="AC24" i="23" s="1"/>
  <c r="T33" i="23"/>
  <c r="U33" i="23"/>
  <c r="V33" i="23"/>
  <c r="W33" i="23"/>
  <c r="X33" i="23"/>
  <c r="Y33" i="23"/>
  <c r="Z33" i="23"/>
  <c r="AA33" i="23"/>
  <c r="AB33" i="23"/>
  <c r="R33" i="23"/>
  <c r="R34" i="23" s="1"/>
  <c r="Q33" i="23"/>
  <c r="R32" i="23"/>
  <c r="Q32" i="23"/>
  <c r="AC5" i="23"/>
  <c r="AC6" i="23"/>
  <c r="AC4" i="23"/>
  <c r="R19" i="23"/>
  <c r="S19" i="23"/>
  <c r="Q19" i="23"/>
  <c r="AF36" i="10"/>
  <c r="AG36" i="10"/>
  <c r="AH36" i="10"/>
  <c r="AI36" i="10"/>
  <c r="AJ36" i="10"/>
  <c r="AK36" i="10"/>
  <c r="AE35" i="10"/>
  <c r="AD35" i="10"/>
  <c r="AE34" i="10"/>
  <c r="AD34" i="10"/>
  <c r="X9" i="24"/>
  <c r="X10" i="24"/>
  <c r="X11" i="24"/>
  <c r="X12" i="24"/>
  <c r="X13" i="24"/>
  <c r="X14" i="24"/>
  <c r="X15" i="24"/>
  <c r="X16" i="24"/>
  <c r="X5" i="24"/>
  <c r="X3" i="24"/>
  <c r="X4" i="24"/>
  <c r="X2" i="24"/>
  <c r="K1981" i="5"/>
  <c r="J1981" i="5"/>
  <c r="AD36" i="10" l="1"/>
  <c r="AE36" i="10"/>
  <c r="O17" i="24"/>
  <c r="I14" i="23" s="1"/>
  <c r="AI63" i="3"/>
  <c r="AI64" i="3" s="1"/>
  <c r="Q34" i="23"/>
  <c r="O10" i="24" l="1"/>
  <c r="I12" i="23" s="1"/>
  <c r="I15" i="23" s="1"/>
  <c r="AG28" i="10"/>
  <c r="AH28" i="10"/>
  <c r="AI28" i="10"/>
  <c r="AJ28" i="10"/>
  <c r="AK28" i="10"/>
  <c r="AF28" i="10"/>
  <c r="AD29" i="10"/>
  <c r="AE29" i="10"/>
  <c r="AC29" i="10"/>
  <c r="H21" i="24"/>
  <c r="H20" i="24"/>
  <c r="F24" i="24"/>
  <c r="T13" i="24"/>
  <c r="T12" i="24"/>
  <c r="T11" i="24"/>
  <c r="T10" i="24"/>
  <c r="T9" i="24"/>
  <c r="Y12" i="24" s="1"/>
  <c r="T8" i="24"/>
  <c r="Y11" i="24" s="1"/>
  <c r="T7" i="24"/>
  <c r="S14" i="24"/>
  <c r="O7" i="24"/>
  <c r="I11" i="23" s="1"/>
  <c r="O4" i="24"/>
  <c r="I10" i="23" s="1"/>
  <c r="U2" i="24" l="1"/>
  <c r="Z2" i="24" s="1"/>
  <c r="Y2" i="24"/>
  <c r="F23" i="24"/>
  <c r="U6" i="24"/>
  <c r="Z9" i="24" s="1"/>
  <c r="Y9" i="24"/>
  <c r="U7" i="24"/>
  <c r="Z10" i="24" s="1"/>
  <c r="Y10" i="24"/>
  <c r="U12" i="24"/>
  <c r="Z15" i="24" s="1"/>
  <c r="Y15" i="24"/>
  <c r="U13" i="24"/>
  <c r="Z16" i="24" s="1"/>
  <c r="Y16" i="24"/>
  <c r="D23" i="24"/>
  <c r="U10" i="24"/>
  <c r="Z13" i="24" s="1"/>
  <c r="Y13" i="24"/>
  <c r="U11" i="24"/>
  <c r="Z14" i="24" s="1"/>
  <c r="Y14" i="24"/>
  <c r="U8" i="24"/>
  <c r="Z11" i="24" s="1"/>
  <c r="U9" i="24"/>
  <c r="Z12" i="24" s="1"/>
  <c r="U3" i="24"/>
  <c r="Z3" i="24" s="1"/>
  <c r="Y3" i="24"/>
  <c r="U4" i="24"/>
  <c r="Z4" i="24" s="1"/>
  <c r="Y4" i="24"/>
  <c r="H22" i="24"/>
  <c r="H24" i="24" s="1"/>
  <c r="D24" i="24"/>
  <c r="Z17" i="24" l="1"/>
  <c r="Y17" i="24"/>
  <c r="H23" i="24"/>
  <c r="O13" i="24"/>
  <c r="O16" i="24"/>
  <c r="O8" i="24"/>
  <c r="O9" i="24" s="1"/>
  <c r="O5" i="24"/>
  <c r="O6" i="24" s="1"/>
  <c r="O2" i="24"/>
  <c r="O3" i="24" s="1"/>
  <c r="E27" i="10"/>
  <c r="E26" i="10"/>
  <c r="E25" i="10"/>
  <c r="E24" i="10"/>
  <c r="E23" i="10"/>
  <c r="E22" i="10"/>
  <c r="E21" i="10"/>
  <c r="E20" i="10"/>
  <c r="F6" i="23"/>
  <c r="F5" i="23"/>
  <c r="O62" i="3" l="1"/>
  <c r="O63" i="3"/>
  <c r="O64" i="3"/>
  <c r="O65" i="3"/>
  <c r="O66" i="3"/>
  <c r="O67" i="3"/>
  <c r="O68" i="3"/>
  <c r="O69" i="3"/>
  <c r="O70" i="3"/>
  <c r="O71" i="3"/>
  <c r="O61" i="3"/>
  <c r="S71" i="3" l="1"/>
  <c r="H22" i="28"/>
  <c r="G70" i="3"/>
  <c r="H20" i="28" s="1"/>
  <c r="G69" i="3"/>
  <c r="H19" i="28" s="1"/>
  <c r="G68" i="3"/>
  <c r="H18" i="28" s="1"/>
  <c r="G67" i="3"/>
  <c r="H17" i="28" s="1"/>
  <c r="G66" i="3"/>
  <c r="H14" i="28" s="1"/>
  <c r="G65" i="3"/>
  <c r="H13" i="28" s="1"/>
  <c r="G64" i="3"/>
  <c r="H10" i="28" s="1"/>
  <c r="G63" i="3"/>
  <c r="H9" i="28" s="1"/>
  <c r="G62" i="3"/>
  <c r="H6" i="28" s="1"/>
  <c r="Q71" i="3"/>
  <c r="G22" i="28"/>
  <c r="I22" i="28" s="1"/>
  <c r="G21" i="28"/>
  <c r="I21" i="28" s="1"/>
  <c r="E70" i="3"/>
  <c r="G20" i="28" s="1"/>
  <c r="I20" i="28" s="1"/>
  <c r="E69" i="3"/>
  <c r="E68" i="3"/>
  <c r="G18" i="28" s="1"/>
  <c r="I18" i="28" s="1"/>
  <c r="E67" i="3"/>
  <c r="E66" i="3"/>
  <c r="E65" i="3"/>
  <c r="E64" i="3"/>
  <c r="G10" i="28" s="1"/>
  <c r="I10" i="28" s="1"/>
  <c r="E63" i="3"/>
  <c r="E62" i="3"/>
  <c r="G6" i="28" s="1"/>
  <c r="E61" i="3"/>
  <c r="G3" i="28" s="1"/>
  <c r="D70" i="3"/>
  <c r="D69" i="3"/>
  <c r="D68" i="3"/>
  <c r="D67" i="3"/>
  <c r="D66" i="3"/>
  <c r="D65" i="3"/>
  <c r="D64" i="3"/>
  <c r="D63" i="3"/>
  <c r="D62" i="3"/>
  <c r="D61" i="3"/>
  <c r="F71" i="3"/>
  <c r="C71" i="3"/>
  <c r="F70" i="3"/>
  <c r="C70" i="3"/>
  <c r="C20" i="28" s="1"/>
  <c r="F69" i="3"/>
  <c r="C69" i="3"/>
  <c r="F68" i="3"/>
  <c r="C68" i="3"/>
  <c r="F67" i="3"/>
  <c r="C67" i="3"/>
  <c r="F66" i="3"/>
  <c r="C66" i="3"/>
  <c r="F65" i="3"/>
  <c r="C65" i="3"/>
  <c r="F64" i="3"/>
  <c r="C64" i="3"/>
  <c r="F63" i="3"/>
  <c r="C63" i="3"/>
  <c r="F62" i="3"/>
  <c r="C62" i="3"/>
  <c r="C6" i="28" s="1"/>
  <c r="F61" i="3"/>
  <c r="C61" i="3"/>
  <c r="K2001" i="5"/>
  <c r="J2001" i="5"/>
  <c r="K2000" i="5"/>
  <c r="J2000" i="5"/>
  <c r="K1999" i="5"/>
  <c r="J1999" i="5"/>
  <c r="K1995" i="5"/>
  <c r="J1995" i="5"/>
  <c r="K1994" i="5"/>
  <c r="J1994" i="5"/>
  <c r="K1992" i="5"/>
  <c r="J1992" i="5"/>
  <c r="K1980" i="5"/>
  <c r="J1980" i="5"/>
  <c r="K1971" i="5"/>
  <c r="J1971" i="5"/>
  <c r="N1971" i="5" s="1"/>
  <c r="K1968" i="5"/>
  <c r="J1968" i="5"/>
  <c r="N1968" i="5" s="1"/>
  <c r="K1932" i="5"/>
  <c r="J1932" i="5"/>
  <c r="J1922" i="5"/>
  <c r="F1968" i="5"/>
  <c r="S1967" i="5"/>
  <c r="S1968" i="5"/>
  <c r="S1969" i="5"/>
  <c r="S1970" i="5"/>
  <c r="S1971" i="5"/>
  <c r="P1968" i="5"/>
  <c r="P1969" i="5"/>
  <c r="P1970" i="5"/>
  <c r="N1969" i="5"/>
  <c r="N1970" i="5"/>
  <c r="L1967" i="5"/>
  <c r="L1969" i="5"/>
  <c r="L1970" i="5"/>
  <c r="I1968" i="5"/>
  <c r="I1969" i="5"/>
  <c r="O1969" i="5" s="1"/>
  <c r="L9" i="27" l="1"/>
  <c r="F32" i="6"/>
  <c r="F12" i="6" s="1"/>
  <c r="M9" i="27"/>
  <c r="F33" i="6"/>
  <c r="F13" i="6" s="1"/>
  <c r="R68" i="3"/>
  <c r="D18" i="28"/>
  <c r="H69" i="3"/>
  <c r="K69" i="3" s="1"/>
  <c r="C19" i="28"/>
  <c r="J19" i="28" s="1"/>
  <c r="H61" i="3"/>
  <c r="K61" i="3" s="1"/>
  <c r="C3" i="28"/>
  <c r="R61" i="3"/>
  <c r="D3" i="28"/>
  <c r="R69" i="3"/>
  <c r="D19" i="28"/>
  <c r="H63" i="3"/>
  <c r="K63" i="3" s="1"/>
  <c r="C9" i="28"/>
  <c r="C21" i="28"/>
  <c r="D21" i="28"/>
  <c r="C22" i="28"/>
  <c r="J22" i="28" s="1"/>
  <c r="R64" i="3"/>
  <c r="D10" i="28"/>
  <c r="R71" i="3"/>
  <c r="AC42" i="10"/>
  <c r="X33" i="6" s="1"/>
  <c r="D23" i="28"/>
  <c r="H66" i="3"/>
  <c r="K66" i="3" s="1"/>
  <c r="C14" i="28"/>
  <c r="J14" i="28" s="1"/>
  <c r="R66" i="3"/>
  <c r="D14" i="28"/>
  <c r="H67" i="3"/>
  <c r="K67" i="3" s="1"/>
  <c r="C17" i="28"/>
  <c r="J17" i="28" s="1"/>
  <c r="C7" i="28"/>
  <c r="R62" i="3"/>
  <c r="D6" i="28"/>
  <c r="R70" i="3"/>
  <c r="D20" i="28"/>
  <c r="R63" i="3"/>
  <c r="D9" i="28"/>
  <c r="H64" i="3"/>
  <c r="K64" i="3" s="1"/>
  <c r="C10" i="28"/>
  <c r="J10" i="28" s="1"/>
  <c r="D22" i="28"/>
  <c r="H65" i="3"/>
  <c r="K65" i="3" s="1"/>
  <c r="C13" i="28"/>
  <c r="H71" i="3"/>
  <c r="AC41" i="10"/>
  <c r="X32" i="6" s="1"/>
  <c r="C23" i="28"/>
  <c r="J23" i="28" s="1"/>
  <c r="R65" i="3"/>
  <c r="D13" i="28"/>
  <c r="R67" i="3"/>
  <c r="D17" i="28"/>
  <c r="H68" i="3"/>
  <c r="K68" i="3" s="1"/>
  <c r="C18" i="28"/>
  <c r="J18" i="28" s="1"/>
  <c r="G7" i="28"/>
  <c r="H7" i="28" s="1"/>
  <c r="I6" i="28"/>
  <c r="I7" i="28" s="1"/>
  <c r="L10" i="28"/>
  <c r="L13" i="28"/>
  <c r="I30" i="18"/>
  <c r="G9" i="28"/>
  <c r="L14" i="28"/>
  <c r="L17" i="28"/>
  <c r="H21" i="28"/>
  <c r="L22" i="28"/>
  <c r="L9" i="28"/>
  <c r="I3" i="28"/>
  <c r="I4" i="28" s="1"/>
  <c r="G4" i="28"/>
  <c r="L18" i="28"/>
  <c r="Q65" i="3"/>
  <c r="G13" i="28"/>
  <c r="L19" i="28"/>
  <c r="Q66" i="3"/>
  <c r="G14" i="28"/>
  <c r="I14" i="28" s="1"/>
  <c r="J20" i="28"/>
  <c r="L20" i="28"/>
  <c r="Q67" i="3"/>
  <c r="G17" i="28"/>
  <c r="Q69" i="3"/>
  <c r="G19" i="28"/>
  <c r="I19" i="28" s="1"/>
  <c r="J6" i="28"/>
  <c r="J7" i="28" s="1"/>
  <c r="L6" i="28"/>
  <c r="L7" i="28" s="1"/>
  <c r="D40" i="18"/>
  <c r="D39" i="18"/>
  <c r="D28" i="18"/>
  <c r="D36" i="18"/>
  <c r="D35" i="18"/>
  <c r="D34" i="18"/>
  <c r="D37" i="18"/>
  <c r="D33" i="18"/>
  <c r="D32" i="18"/>
  <c r="D31" i="18"/>
  <c r="H70" i="3"/>
  <c r="K70" i="3" s="1"/>
  <c r="W71" i="3"/>
  <c r="D30" i="18"/>
  <c r="D38" i="18"/>
  <c r="C73" i="3"/>
  <c r="F73" i="3" s="1"/>
  <c r="D29" i="18"/>
  <c r="H62" i="3"/>
  <c r="K62" i="3" s="1"/>
  <c r="P71" i="3"/>
  <c r="J66" i="3"/>
  <c r="M66" i="3" s="1"/>
  <c r="W66" i="3" s="1"/>
  <c r="J37" i="18"/>
  <c r="S70" i="3"/>
  <c r="I39" i="18"/>
  <c r="J39" i="18"/>
  <c r="P67" i="3"/>
  <c r="I67" i="3"/>
  <c r="P70" i="3"/>
  <c r="I70" i="3"/>
  <c r="J69" i="3"/>
  <c r="M69" i="3" s="1"/>
  <c r="W69" i="3" s="1"/>
  <c r="P66" i="3"/>
  <c r="I66" i="3"/>
  <c r="J30" i="18"/>
  <c r="S63" i="3"/>
  <c r="C38" i="18"/>
  <c r="C39" i="18"/>
  <c r="Q61" i="3"/>
  <c r="E73" i="3"/>
  <c r="I29" i="18"/>
  <c r="M29" i="18" s="1"/>
  <c r="Q62" i="3"/>
  <c r="J64" i="3"/>
  <c r="M64" i="3" s="1"/>
  <c r="W64" i="3" s="1"/>
  <c r="S64" i="3"/>
  <c r="I35" i="18"/>
  <c r="Q68" i="3"/>
  <c r="I38" i="18"/>
  <c r="J63" i="3"/>
  <c r="M63" i="3" s="1"/>
  <c r="W63" i="3" s="1"/>
  <c r="Q63" i="3"/>
  <c r="J32" i="18"/>
  <c r="S65" i="3"/>
  <c r="I36" i="18"/>
  <c r="I37" i="18"/>
  <c r="Q70" i="3"/>
  <c r="C35" i="18"/>
  <c r="I68" i="3"/>
  <c r="P68" i="3"/>
  <c r="I31" i="18"/>
  <c r="Q64" i="3"/>
  <c r="J33" i="18"/>
  <c r="S66" i="3"/>
  <c r="I34" i="18"/>
  <c r="C31" i="18"/>
  <c r="I64" i="3"/>
  <c r="P64" i="3"/>
  <c r="J38" i="18"/>
  <c r="P69" i="3"/>
  <c r="I69" i="3"/>
  <c r="J67" i="3"/>
  <c r="M67" i="3" s="1"/>
  <c r="W67" i="3" s="1"/>
  <c r="J29" i="18"/>
  <c r="S62" i="3"/>
  <c r="C28" i="18"/>
  <c r="G28" i="18" s="1"/>
  <c r="D73" i="3"/>
  <c r="P61" i="3"/>
  <c r="I61" i="3"/>
  <c r="J34" i="18"/>
  <c r="S67" i="3"/>
  <c r="I33" i="18"/>
  <c r="I63" i="3"/>
  <c r="P63" i="3"/>
  <c r="J36" i="18"/>
  <c r="S69" i="3"/>
  <c r="C32" i="18"/>
  <c r="P65" i="3"/>
  <c r="I65" i="3"/>
  <c r="C29" i="18"/>
  <c r="P62" i="3"/>
  <c r="I62" i="3"/>
  <c r="J35" i="18"/>
  <c r="S68" i="3"/>
  <c r="I32" i="18"/>
  <c r="J68" i="3"/>
  <c r="M68" i="3" s="1"/>
  <c r="W68" i="3" s="1"/>
  <c r="J65" i="3"/>
  <c r="M65" i="3" s="1"/>
  <c r="W65" i="3" s="1"/>
  <c r="C37" i="18"/>
  <c r="C36" i="18"/>
  <c r="J31" i="18"/>
  <c r="C30" i="18"/>
  <c r="J62" i="3"/>
  <c r="M62" i="3" s="1"/>
  <c r="W62" i="3" s="1"/>
  <c r="L1968" i="5"/>
  <c r="O1968" i="5" s="1"/>
  <c r="C34" i="18"/>
  <c r="C33" i="18"/>
  <c r="I28" i="18"/>
  <c r="J70" i="3"/>
  <c r="M70" i="3" s="1"/>
  <c r="W70" i="3" s="1"/>
  <c r="L1971" i="5"/>
  <c r="D7" i="28" l="1"/>
  <c r="N9" i="27"/>
  <c r="N10" i="27" s="1"/>
  <c r="F34" i="6"/>
  <c r="F14" i="6" s="1"/>
  <c r="O9" i="27"/>
  <c r="P9" i="27" s="1"/>
  <c r="L10" i="27"/>
  <c r="M10" i="27" s="1"/>
  <c r="E36" i="18"/>
  <c r="F36" i="18" s="1"/>
  <c r="C11" i="28"/>
  <c r="D11" i="28" s="1"/>
  <c r="C15" i="28"/>
  <c r="K30" i="18"/>
  <c r="L30" i="18" s="1"/>
  <c r="E33" i="18"/>
  <c r="F33" i="18" s="1"/>
  <c r="D15" i="28"/>
  <c r="J13" i="28"/>
  <c r="C24" i="28"/>
  <c r="D24" i="28" s="1"/>
  <c r="J9" i="28"/>
  <c r="C4" i="28"/>
  <c r="D4" i="28" s="1"/>
  <c r="E34" i="18"/>
  <c r="F34" i="18" s="1"/>
  <c r="K71" i="3"/>
  <c r="K73" i="3" s="1"/>
  <c r="AC43" i="10"/>
  <c r="X34" i="6" s="1"/>
  <c r="U65" i="3"/>
  <c r="E39" i="18"/>
  <c r="F39" i="18" s="1"/>
  <c r="U69" i="3"/>
  <c r="U67" i="3"/>
  <c r="G15" i="28"/>
  <c r="I13" i="28"/>
  <c r="L15" i="28"/>
  <c r="J21" i="28"/>
  <c r="L21" i="28"/>
  <c r="L24" i="28" s="1"/>
  <c r="U66" i="3"/>
  <c r="G11" i="28"/>
  <c r="I9" i="28"/>
  <c r="L11" i="28"/>
  <c r="U70" i="3"/>
  <c r="G24" i="28"/>
  <c r="I17" i="28"/>
  <c r="K37" i="18"/>
  <c r="L37" i="18" s="1"/>
  <c r="E37" i="18"/>
  <c r="F37" i="18" s="1"/>
  <c r="E35" i="18"/>
  <c r="F35" i="18" s="1"/>
  <c r="E31" i="18"/>
  <c r="F31" i="18" s="1"/>
  <c r="E32" i="18"/>
  <c r="F32" i="18" s="1"/>
  <c r="K32" i="18"/>
  <c r="L32" i="18" s="1"/>
  <c r="K33" i="18"/>
  <c r="L33" i="18" s="1"/>
  <c r="U64" i="3"/>
  <c r="E38" i="18"/>
  <c r="F38" i="18" s="1"/>
  <c r="K38" i="18"/>
  <c r="L38" i="18" s="1"/>
  <c r="K39" i="18"/>
  <c r="L39" i="18" s="1"/>
  <c r="K36" i="18"/>
  <c r="L36" i="18" s="1"/>
  <c r="E29" i="18"/>
  <c r="F29" i="18" s="1"/>
  <c r="V71" i="3"/>
  <c r="T71" i="3"/>
  <c r="H73" i="3"/>
  <c r="K34" i="18"/>
  <c r="L34" i="18" s="1"/>
  <c r="P73" i="3"/>
  <c r="AK61" i="3" s="1"/>
  <c r="K35" i="18"/>
  <c r="L35" i="18" s="1"/>
  <c r="U68" i="3"/>
  <c r="U63" i="3"/>
  <c r="AL61" i="3"/>
  <c r="T62" i="3"/>
  <c r="L62" i="3"/>
  <c r="V62" i="3" s="1"/>
  <c r="L68" i="3"/>
  <c r="V68" i="3" s="1"/>
  <c r="T68" i="3"/>
  <c r="I41" i="18"/>
  <c r="E28" i="18"/>
  <c r="F28" i="18" s="1"/>
  <c r="T63" i="3"/>
  <c r="L63" i="3"/>
  <c r="V63" i="3" s="1"/>
  <c r="L64" i="3"/>
  <c r="V64" i="3" s="1"/>
  <c r="T64" i="3"/>
  <c r="L61" i="3"/>
  <c r="V61" i="3" s="1"/>
  <c r="I73" i="3"/>
  <c r="T61" i="3"/>
  <c r="Q73" i="3"/>
  <c r="U62" i="3"/>
  <c r="K29" i="18" s="1"/>
  <c r="L29" i="18" s="1"/>
  <c r="N29" i="18" s="1"/>
  <c r="T65" i="3"/>
  <c r="L65" i="3"/>
  <c r="V65" i="3" s="1"/>
  <c r="L67" i="3"/>
  <c r="V67" i="3" s="1"/>
  <c r="T67" i="3"/>
  <c r="E30" i="18"/>
  <c r="F30" i="18" s="1"/>
  <c r="G30" i="18"/>
  <c r="L69" i="3"/>
  <c r="V69" i="3" s="1"/>
  <c r="T69" i="3"/>
  <c r="T66" i="3"/>
  <c r="L66" i="3"/>
  <c r="T70" i="3"/>
  <c r="L70" i="3"/>
  <c r="V70" i="3" s="1"/>
  <c r="K31" i="18"/>
  <c r="L31" i="18" s="1"/>
  <c r="C41" i="18"/>
  <c r="D41" i="18" s="1"/>
  <c r="C26" i="28" l="1"/>
  <c r="D26" i="28" s="1"/>
  <c r="H11" i="28"/>
  <c r="J11" i="28" s="1"/>
  <c r="I11" i="28"/>
  <c r="H24" i="28"/>
  <c r="J24" i="28" s="1"/>
  <c r="I24" i="28"/>
  <c r="G26" i="28"/>
  <c r="I26" i="28" s="1"/>
  <c r="H15" i="28"/>
  <c r="J15" i="28" s="1"/>
  <c r="I15" i="28"/>
  <c r="R73" i="3"/>
  <c r="AK62" i="3" s="1"/>
  <c r="F41" i="18"/>
  <c r="E41" i="18"/>
  <c r="T73" i="3"/>
  <c r="AK63" i="3" s="1"/>
  <c r="L73" i="3"/>
  <c r="V66" i="3"/>
  <c r="V73" i="3" s="1"/>
  <c r="AK64" i="3" s="1"/>
  <c r="AN61" i="3"/>
  <c r="AM61" i="3"/>
  <c r="AL108" i="22" l="1"/>
  <c r="AK108" i="22"/>
  <c r="AJ108" i="22"/>
  <c r="AI108" i="22"/>
  <c r="AH108" i="22"/>
  <c r="AG108" i="22"/>
  <c r="AF108" i="22"/>
  <c r="AE108" i="22"/>
  <c r="AD108" i="22"/>
  <c r="AC108" i="22"/>
  <c r="AB108" i="22"/>
  <c r="AA108" i="22"/>
  <c r="Z108" i="22"/>
  <c r="Y108" i="22"/>
  <c r="X108" i="22"/>
  <c r="W108" i="22"/>
  <c r="V108" i="22"/>
  <c r="U108" i="22"/>
  <c r="T108" i="22"/>
  <c r="S108" i="22"/>
  <c r="R108" i="22"/>
  <c r="Q108" i="22"/>
  <c r="P108" i="22"/>
  <c r="O108" i="22"/>
  <c r="N108" i="22"/>
  <c r="M108" i="22"/>
  <c r="L108" i="22"/>
  <c r="K108" i="22"/>
  <c r="J108" i="22"/>
  <c r="I108" i="22"/>
  <c r="H108" i="22"/>
  <c r="AL107" i="22"/>
  <c r="AA107" i="22"/>
  <c r="AL101" i="22"/>
  <c r="AK101" i="22"/>
  <c r="AJ101" i="22"/>
  <c r="AI101" i="22"/>
  <c r="AH101" i="22"/>
  <c r="AG101" i="22"/>
  <c r="AF101" i="22"/>
  <c r="AE101" i="22"/>
  <c r="AD101" i="22"/>
  <c r="AC101" i="22"/>
  <c r="AB101" i="22"/>
  <c r="AA101" i="22"/>
  <c r="Z101" i="22"/>
  <c r="Y101" i="22"/>
  <c r="X101" i="22"/>
  <c r="W101" i="22"/>
  <c r="V101" i="22"/>
  <c r="U101" i="22"/>
  <c r="T101" i="22"/>
  <c r="S101" i="22"/>
  <c r="R101" i="22"/>
  <c r="Q101" i="22"/>
  <c r="P101" i="22"/>
  <c r="O101" i="22"/>
  <c r="N101" i="22"/>
  <c r="M101" i="22"/>
  <c r="L101" i="22"/>
  <c r="K101" i="22"/>
  <c r="J101" i="22"/>
  <c r="H101" i="22"/>
  <c r="AA100" i="22"/>
  <c r="AL100" i="22"/>
  <c r="I96" i="22"/>
  <c r="I101" i="22" s="1"/>
  <c r="AB100" i="22"/>
  <c r="AL94" i="22"/>
  <c r="AK94" i="22"/>
  <c r="AJ94" i="22"/>
  <c r="AI94" i="22"/>
  <c r="AH94" i="22"/>
  <c r="AG94" i="22"/>
  <c r="AF94" i="22"/>
  <c r="AE94" i="22"/>
  <c r="AD94" i="22"/>
  <c r="AC94" i="22"/>
  <c r="AB94" i="22"/>
  <c r="AA94" i="22"/>
  <c r="Z94" i="22"/>
  <c r="Y94" i="22"/>
  <c r="X94" i="22"/>
  <c r="W94" i="22"/>
  <c r="V94" i="22"/>
  <c r="U94" i="22"/>
  <c r="T94" i="22"/>
  <c r="S94" i="22"/>
  <c r="R94" i="22"/>
  <c r="Q94" i="22"/>
  <c r="P94" i="22"/>
  <c r="O94" i="22"/>
  <c r="N94" i="22"/>
  <c r="M94" i="22"/>
  <c r="L94" i="22"/>
  <c r="K94" i="22"/>
  <c r="J94" i="22"/>
  <c r="I94" i="22"/>
  <c r="H94" i="22"/>
  <c r="AL93" i="22"/>
  <c r="AB93" i="22"/>
  <c r="AA93" i="22"/>
  <c r="AL87" i="22"/>
  <c r="AK87" i="22"/>
  <c r="AJ87" i="22"/>
  <c r="AI87" i="22"/>
  <c r="AH87" i="22"/>
  <c r="AG87" i="22"/>
  <c r="AF87" i="22"/>
  <c r="AE87" i="22"/>
  <c r="AD87" i="22"/>
  <c r="AC87" i="22"/>
  <c r="AB87" i="22"/>
  <c r="AA87" i="22"/>
  <c r="Z87" i="22"/>
  <c r="Y87" i="22"/>
  <c r="X87" i="22"/>
  <c r="W87" i="22"/>
  <c r="V87" i="22"/>
  <c r="U87" i="22"/>
  <c r="T87" i="22"/>
  <c r="S87" i="22"/>
  <c r="R87" i="22"/>
  <c r="Q87" i="22"/>
  <c r="P87" i="22"/>
  <c r="O87" i="22"/>
  <c r="N87" i="22"/>
  <c r="M87" i="22"/>
  <c r="L87" i="22"/>
  <c r="K87" i="22"/>
  <c r="J87" i="22"/>
  <c r="I87" i="22"/>
  <c r="H87" i="22"/>
  <c r="AL86" i="22"/>
  <c r="AB86" i="22"/>
  <c r="AA86" i="22"/>
  <c r="AL80" i="22"/>
  <c r="AK80" i="22"/>
  <c r="AJ80" i="22"/>
  <c r="AI80" i="22"/>
  <c r="AH80" i="22"/>
  <c r="AG80" i="22"/>
  <c r="AF80" i="22"/>
  <c r="AE80" i="22"/>
  <c r="AD80" i="22"/>
  <c r="AC80" i="22"/>
  <c r="AB80" i="22"/>
  <c r="AA80" i="22"/>
  <c r="Z80" i="22"/>
  <c r="Y80" i="22"/>
  <c r="X80" i="22"/>
  <c r="W80" i="22"/>
  <c r="V80" i="22"/>
  <c r="U80" i="22"/>
  <c r="T80" i="22"/>
  <c r="S80" i="22"/>
  <c r="R80" i="22"/>
  <c r="Q80" i="22"/>
  <c r="P80" i="22"/>
  <c r="O80" i="22"/>
  <c r="N80" i="22"/>
  <c r="M80" i="22"/>
  <c r="L80" i="22"/>
  <c r="K80" i="22"/>
  <c r="J80" i="22"/>
  <c r="H80" i="22"/>
  <c r="AA79" i="22"/>
  <c r="AL79" i="22"/>
  <c r="I75" i="22"/>
  <c r="I80" i="22" s="1"/>
  <c r="AB79" i="22"/>
  <c r="AL73" i="22"/>
  <c r="AK73" i="22"/>
  <c r="AJ73" i="22"/>
  <c r="AI73" i="22"/>
  <c r="AH73" i="22"/>
  <c r="AG73" i="22"/>
  <c r="AF73" i="22"/>
  <c r="AE73" i="22"/>
  <c r="AD73" i="22"/>
  <c r="AC73" i="22"/>
  <c r="AB73" i="22"/>
  <c r="AA73" i="22"/>
  <c r="Z73" i="22"/>
  <c r="Y73" i="22"/>
  <c r="X73" i="22"/>
  <c r="W73" i="22"/>
  <c r="V73" i="22"/>
  <c r="U73" i="22"/>
  <c r="T73" i="22"/>
  <c r="S73" i="22"/>
  <c r="R73" i="22"/>
  <c r="Q73" i="22"/>
  <c r="P73" i="22"/>
  <c r="O73" i="22"/>
  <c r="N73" i="22"/>
  <c r="M73" i="22"/>
  <c r="L73" i="22"/>
  <c r="K73" i="22"/>
  <c r="J73" i="22"/>
  <c r="I73" i="22"/>
  <c r="H73" i="22"/>
  <c r="AL72" i="22"/>
  <c r="AB72" i="22"/>
  <c r="AA72" i="22"/>
  <c r="AL66" i="22"/>
  <c r="AK66" i="22"/>
  <c r="AJ66" i="22"/>
  <c r="AI66" i="22"/>
  <c r="AH66" i="22"/>
  <c r="AG66" i="22"/>
  <c r="AF66" i="22"/>
  <c r="AE66" i="22"/>
  <c r="AD66" i="22"/>
  <c r="AC66" i="22"/>
  <c r="AB66" i="22"/>
  <c r="AA66" i="22"/>
  <c r="Z66" i="22"/>
  <c r="Y66" i="22"/>
  <c r="X66" i="22"/>
  <c r="W66" i="22"/>
  <c r="V66" i="22"/>
  <c r="U66" i="22"/>
  <c r="T66" i="22"/>
  <c r="S66" i="22"/>
  <c r="R66" i="22"/>
  <c r="Q66" i="22"/>
  <c r="P66" i="22"/>
  <c r="O66" i="22"/>
  <c r="N66" i="22"/>
  <c r="M66" i="22"/>
  <c r="L66" i="22"/>
  <c r="K66" i="22"/>
  <c r="J66" i="22"/>
  <c r="I66" i="22"/>
  <c r="H66" i="22"/>
  <c r="AL65" i="22"/>
  <c r="H65" i="22"/>
  <c r="AB65" i="22"/>
  <c r="L65" i="22"/>
  <c r="J65" i="22"/>
  <c r="I65" i="22"/>
  <c r="N65" i="22"/>
  <c r="M65" i="22"/>
  <c r="AL59" i="22"/>
  <c r="AK59" i="22"/>
  <c r="AJ59" i="22"/>
  <c r="AI59" i="22"/>
  <c r="AH59" i="22"/>
  <c r="AG59" i="22"/>
  <c r="AF59" i="22"/>
  <c r="AE59" i="22"/>
  <c r="AD59" i="22"/>
  <c r="AC59" i="22"/>
  <c r="AB59" i="22"/>
  <c r="AA59" i="22"/>
  <c r="Z59" i="22"/>
  <c r="Y59" i="22"/>
  <c r="X59" i="22"/>
  <c r="W59" i="22"/>
  <c r="V59" i="22"/>
  <c r="U59" i="22"/>
  <c r="T59" i="22"/>
  <c r="S59" i="22"/>
  <c r="R59" i="22"/>
  <c r="Q59" i="22"/>
  <c r="P59" i="22"/>
  <c r="O59" i="22"/>
  <c r="N59" i="22"/>
  <c r="M59" i="22"/>
  <c r="L59" i="22"/>
  <c r="K59" i="22"/>
  <c r="J59" i="22"/>
  <c r="I59" i="22"/>
  <c r="H59" i="22"/>
  <c r="AA58" i="22"/>
  <c r="Y58" i="22"/>
  <c r="AL58" i="22"/>
  <c r="AK58" i="22"/>
  <c r="AJ58" i="22"/>
  <c r="AI58" i="22"/>
  <c r="AE58" i="22"/>
  <c r="AD58" i="22"/>
  <c r="AC58" i="22"/>
  <c r="AB58" i="22"/>
  <c r="Z58" i="22"/>
  <c r="X58" i="22"/>
  <c r="W58" i="22"/>
  <c r="I54" i="22"/>
  <c r="AL52" i="22"/>
  <c r="AK52" i="22"/>
  <c r="AJ52" i="22"/>
  <c r="AI52" i="22"/>
  <c r="AH52" i="22"/>
  <c r="AG52" i="22"/>
  <c r="AF52" i="22"/>
  <c r="AE52" i="22"/>
  <c r="AD52" i="22"/>
  <c r="AC52" i="22"/>
  <c r="AB52" i="22"/>
  <c r="AA52" i="22"/>
  <c r="Z52" i="22"/>
  <c r="Y52" i="22"/>
  <c r="X52" i="22"/>
  <c r="W52" i="22"/>
  <c r="V52" i="22"/>
  <c r="U52" i="22"/>
  <c r="T52" i="22"/>
  <c r="S52" i="22"/>
  <c r="R52" i="22"/>
  <c r="Q52" i="22"/>
  <c r="P52" i="22"/>
  <c r="O52" i="22"/>
  <c r="N52" i="22"/>
  <c r="M52" i="22"/>
  <c r="L52" i="22"/>
  <c r="K52" i="22"/>
  <c r="J52" i="22"/>
  <c r="I52" i="22"/>
  <c r="H52" i="22"/>
  <c r="AB51" i="22"/>
  <c r="AA51" i="22"/>
  <c r="AL51" i="22"/>
  <c r="AL45" i="22"/>
  <c r="AK45" i="22"/>
  <c r="AJ45" i="22"/>
  <c r="AI45" i="22"/>
  <c r="AH45" i="22"/>
  <c r="AG45" i="22"/>
  <c r="AF45" i="22"/>
  <c r="AE45" i="22"/>
  <c r="AD45" i="22"/>
  <c r="AC45" i="22"/>
  <c r="AB45" i="22"/>
  <c r="AA45" i="22"/>
  <c r="Z45" i="22"/>
  <c r="Y45" i="22"/>
  <c r="X45" i="22"/>
  <c r="W45" i="22"/>
  <c r="V45" i="22"/>
  <c r="U45" i="22"/>
  <c r="T45" i="22"/>
  <c r="S45" i="22"/>
  <c r="R45" i="22"/>
  <c r="Q45" i="22"/>
  <c r="P45" i="22"/>
  <c r="O45" i="22"/>
  <c r="N45" i="22"/>
  <c r="M45" i="22"/>
  <c r="L45" i="22"/>
  <c r="K45" i="22"/>
  <c r="J45" i="22"/>
  <c r="I45" i="22"/>
  <c r="H45" i="22"/>
  <c r="AL44" i="22"/>
  <c r="AB44" i="22"/>
  <c r="AA44" i="22"/>
  <c r="AL38" i="22"/>
  <c r="AK38" i="22"/>
  <c r="AJ38" i="22"/>
  <c r="AI38" i="22"/>
  <c r="AH38" i="22"/>
  <c r="AG38" i="22"/>
  <c r="AF38" i="22"/>
  <c r="AE38" i="22"/>
  <c r="AD38" i="22"/>
  <c r="AC38" i="22"/>
  <c r="AB38" i="22"/>
  <c r="AA38" i="22"/>
  <c r="Z38" i="22"/>
  <c r="Y38" i="22"/>
  <c r="X38" i="22"/>
  <c r="W38" i="22"/>
  <c r="V38" i="22"/>
  <c r="U38" i="22"/>
  <c r="T38" i="22"/>
  <c r="S38" i="22"/>
  <c r="R38" i="22"/>
  <c r="Q38" i="22"/>
  <c r="P38" i="22"/>
  <c r="O38" i="22"/>
  <c r="N38" i="22"/>
  <c r="M38" i="22"/>
  <c r="L38" i="22"/>
  <c r="K38" i="22"/>
  <c r="J38" i="22"/>
  <c r="I38" i="22"/>
  <c r="H38" i="22"/>
  <c r="AL37" i="22"/>
  <c r="AD37" i="22"/>
  <c r="V37" i="22"/>
  <c r="N37" i="22"/>
  <c r="K37" i="22"/>
  <c r="J37" i="22"/>
  <c r="I37" i="22"/>
  <c r="AK37" i="22"/>
  <c r="AJ37" i="22"/>
  <c r="AI37" i="22"/>
  <c r="AH37" i="22"/>
  <c r="AF37" i="22"/>
  <c r="AE37" i="22"/>
  <c r="AC37" i="22"/>
  <c r="AA37" i="22"/>
  <c r="Z37" i="22"/>
  <c r="Y37" i="22"/>
  <c r="W37" i="22"/>
  <c r="U37" i="22"/>
  <c r="T37" i="22"/>
  <c r="S37" i="22"/>
  <c r="R37" i="22"/>
  <c r="P37" i="22"/>
  <c r="O37" i="22"/>
  <c r="M37" i="22"/>
  <c r="AG37" i="22"/>
  <c r="X37" i="22"/>
  <c r="Q37" i="22"/>
  <c r="AL31" i="22"/>
  <c r="AK31" i="22"/>
  <c r="AJ31" i="22"/>
  <c r="AI31" i="22"/>
  <c r="AH31" i="22"/>
  <c r="AG31" i="22"/>
  <c r="AF31" i="22"/>
  <c r="AE31" i="22"/>
  <c r="AD31" i="22"/>
  <c r="AC31" i="22"/>
  <c r="AB31" i="22"/>
  <c r="AA31" i="22"/>
  <c r="Z31" i="22"/>
  <c r="Y31" i="22"/>
  <c r="X31" i="22"/>
  <c r="W31" i="22"/>
  <c r="V31" i="22"/>
  <c r="U31" i="22"/>
  <c r="T31" i="22"/>
  <c r="S31" i="22"/>
  <c r="R31" i="22"/>
  <c r="Q31" i="22"/>
  <c r="P31" i="22"/>
  <c r="O31" i="22"/>
  <c r="N31" i="22"/>
  <c r="M31" i="22"/>
  <c r="L31" i="22"/>
  <c r="K31" i="22"/>
  <c r="J31" i="22"/>
  <c r="AB30" i="22"/>
  <c r="AA30" i="22"/>
  <c r="AL30" i="22"/>
  <c r="I26" i="22"/>
  <c r="I31" i="22" s="1"/>
  <c r="AL24" i="22"/>
  <c r="AK24" i="22"/>
  <c r="AJ24" i="22"/>
  <c r="AI24" i="22"/>
  <c r="AH24" i="22"/>
  <c r="AG24" i="22"/>
  <c r="AF24" i="22"/>
  <c r="AE24" i="22"/>
  <c r="AD24" i="22"/>
  <c r="AC24" i="22"/>
  <c r="AB24" i="22"/>
  <c r="AA24" i="22"/>
  <c r="Z24" i="22"/>
  <c r="Y24" i="22"/>
  <c r="X24" i="22"/>
  <c r="W24" i="22"/>
  <c r="V24" i="22"/>
  <c r="U24" i="22"/>
  <c r="T24" i="22"/>
  <c r="S24" i="22"/>
  <c r="R24" i="22"/>
  <c r="Q24" i="22"/>
  <c r="P24" i="22"/>
  <c r="O24" i="22"/>
  <c r="N24" i="22"/>
  <c r="M24" i="22"/>
  <c r="L24" i="22"/>
  <c r="K24" i="22"/>
  <c r="J24" i="22"/>
  <c r="I24" i="22"/>
  <c r="H24" i="22"/>
  <c r="AB23" i="22"/>
  <c r="AL23" i="22"/>
  <c r="AA23" i="22"/>
  <c r="Z23" i="22"/>
  <c r="A17" i="22"/>
  <c r="V15" i="22"/>
  <c r="AI11" i="22" l="1"/>
  <c r="L37" i="22"/>
  <c r="AB37" i="22"/>
  <c r="AH11" i="22"/>
  <c r="AJ11" i="22"/>
  <c r="AF58" i="22"/>
  <c r="T15" i="22"/>
  <c r="K65" i="22"/>
  <c r="AA65" i="22"/>
  <c r="F108" i="22"/>
  <c r="F87" i="22"/>
  <c r="F66" i="22"/>
  <c r="F38" i="22"/>
  <c r="AH15" i="22"/>
  <c r="R15" i="22"/>
  <c r="AG11" i="22"/>
  <c r="Q11" i="22"/>
  <c r="F32" i="22"/>
  <c r="F31" i="22"/>
  <c r="AF15" i="22"/>
  <c r="P15" i="22"/>
  <c r="AE11" i="22"/>
  <c r="O11" i="22"/>
  <c r="L15" i="22"/>
  <c r="L13" i="22" s="1"/>
  <c r="K11" i="22"/>
  <c r="Z15" i="22"/>
  <c r="I15" i="22"/>
  <c r="V11" i="22"/>
  <c r="V13" i="22" s="1"/>
  <c r="F61" i="22"/>
  <c r="F33" i="22"/>
  <c r="AE15" i="22"/>
  <c r="O15" i="22"/>
  <c r="AD11" i="22"/>
  <c r="N11" i="22"/>
  <c r="J15" i="22"/>
  <c r="Y11" i="22"/>
  <c r="I11" i="22"/>
  <c r="H11" i="22"/>
  <c r="W15" i="22"/>
  <c r="F103" i="22"/>
  <c r="F82" i="22"/>
  <c r="F59" i="22"/>
  <c r="AD15" i="22"/>
  <c r="N15" i="22"/>
  <c r="N13" i="22" s="1"/>
  <c r="AC11" i="22"/>
  <c r="M11" i="22"/>
  <c r="AB15" i="22"/>
  <c r="AA11" i="22"/>
  <c r="AA10" i="22"/>
  <c r="Y15" i="22"/>
  <c r="AL14" i="22"/>
  <c r="F101" i="22"/>
  <c r="F80" i="22"/>
  <c r="AC15" i="22"/>
  <c r="M15" i="22"/>
  <c r="M13" i="22" s="1"/>
  <c r="AB14" i="22"/>
  <c r="AB12" i="22" s="1"/>
  <c r="AB11" i="22"/>
  <c r="L11" i="22"/>
  <c r="F26" i="22"/>
  <c r="AA14" i="22"/>
  <c r="F54" i="22"/>
  <c r="F24" i="22"/>
  <c r="AA15" i="22"/>
  <c r="K15" i="22"/>
  <c r="Z11" i="22"/>
  <c r="J11" i="22"/>
  <c r="AB10" i="22"/>
  <c r="F52" i="22"/>
  <c r="X11" i="22"/>
  <c r="AL11" i="22"/>
  <c r="F96" i="22"/>
  <c r="F75" i="22"/>
  <c r="F19" i="22"/>
  <c r="X15" i="22"/>
  <c r="H15" i="22"/>
  <c r="W11" i="22"/>
  <c r="F94" i="22"/>
  <c r="F73" i="22"/>
  <c r="F47" i="22"/>
  <c r="AF11" i="22"/>
  <c r="S15" i="22"/>
  <c r="U15" i="22"/>
  <c r="F45" i="22"/>
  <c r="AH58" i="22"/>
  <c r="AG15" i="22"/>
  <c r="AB107" i="22"/>
  <c r="AL10" i="22"/>
  <c r="AI15" i="22"/>
  <c r="F40" i="22"/>
  <c r="F37" i="22"/>
  <c r="T11" i="22"/>
  <c r="U11" i="22"/>
  <c r="Q15" i="22"/>
  <c r="AJ15" i="22"/>
  <c r="AJ13" i="22" s="1"/>
  <c r="S11" i="22"/>
  <c r="F68" i="22"/>
  <c r="P11" i="22"/>
  <c r="AK15" i="22"/>
  <c r="F89" i="22"/>
  <c r="AK11" i="22"/>
  <c r="R11" i="22"/>
  <c r="AL15" i="22"/>
  <c r="AL13" i="22" s="1"/>
  <c r="AF13" i="22" l="1"/>
  <c r="K13" i="22"/>
  <c r="AD13" i="22"/>
  <c r="Q13" i="22"/>
  <c r="AC13" i="22"/>
  <c r="J13" i="22"/>
  <c r="Z13" i="22"/>
  <c r="AA13" i="22"/>
  <c r="O13" i="22"/>
  <c r="AE13" i="22"/>
  <c r="AB13" i="22"/>
  <c r="D10" i="22"/>
  <c r="I13" i="22"/>
  <c r="AG13" i="22"/>
  <c r="AA12" i="22"/>
  <c r="S13" i="22"/>
  <c r="F106" i="22"/>
  <c r="F78" i="22"/>
  <c r="F35" i="22"/>
  <c r="F99" i="22"/>
  <c r="Y13" i="22"/>
  <c r="AH13" i="22"/>
  <c r="F22" i="22"/>
  <c r="AK13" i="22"/>
  <c r="F57" i="22"/>
  <c r="R13" i="22"/>
  <c r="F36" i="22"/>
  <c r="G38" i="22"/>
  <c r="F29" i="22"/>
  <c r="F71" i="22"/>
  <c r="F92" i="22"/>
  <c r="F64" i="22"/>
  <c r="H13" i="22"/>
  <c r="D12" i="22"/>
  <c r="G33" i="22"/>
  <c r="T13" i="22"/>
  <c r="AL12" i="22"/>
  <c r="F50" i="22"/>
  <c r="F43" i="22"/>
  <c r="AI13" i="22"/>
  <c r="U13" i="22"/>
  <c r="X13" i="22"/>
  <c r="W13" i="22"/>
  <c r="P13" i="22"/>
  <c r="F85" i="22"/>
  <c r="G36" i="22" l="1"/>
  <c r="D11" i="22"/>
  <c r="Q30" i="22" l="1"/>
  <c r="Q58" i="22"/>
  <c r="Q65" i="22"/>
  <c r="Q93" i="22"/>
  <c r="Q107" i="22"/>
  <c r="P30" i="22"/>
  <c r="P72" i="22"/>
  <c r="P86" i="22"/>
  <c r="P93" i="22"/>
  <c r="P100" i="22"/>
  <c r="P107" i="22"/>
  <c r="O30" i="22"/>
  <c r="O72" i="22"/>
  <c r="O79" i="22"/>
  <c r="O93" i="22"/>
  <c r="O107" i="22"/>
  <c r="N30" i="22"/>
  <c r="N72" i="22"/>
  <c r="N79" i="22"/>
  <c r="N93" i="22"/>
  <c r="N107" i="22"/>
  <c r="M30" i="22"/>
  <c r="M58" i="22"/>
  <c r="M79" i="22"/>
  <c r="M100" i="22"/>
  <c r="Q44" i="22" l="1"/>
  <c r="O44" i="22"/>
  <c r="P51" i="22"/>
  <c r="O86" i="22"/>
  <c r="N23" i="22"/>
  <c r="Q72" i="22"/>
  <c r="P44" i="22"/>
  <c r="M107" i="22"/>
  <c r="M51" i="22"/>
  <c r="O23" i="22"/>
  <c r="M93" i="22"/>
  <c r="N44" i="22"/>
  <c r="O51" i="22"/>
  <c r="N86" i="22"/>
  <c r="P58" i="22"/>
  <c r="Q100" i="22"/>
  <c r="Q51" i="22"/>
  <c r="N100" i="22"/>
  <c r="N58" i="22"/>
  <c r="M44" i="22"/>
  <c r="N51" i="22"/>
  <c r="O58" i="22"/>
  <c r="P23" i="22"/>
  <c r="M72" i="22"/>
  <c r="Q86" i="22"/>
  <c r="Q79" i="22"/>
  <c r="P79" i="22"/>
  <c r="O65" i="22"/>
  <c r="M86" i="22"/>
  <c r="O100" i="22"/>
  <c r="P65" i="22"/>
  <c r="Q23" i="22"/>
  <c r="N14" i="22" l="1"/>
  <c r="N12" i="22" s="1"/>
  <c r="N10" i="22"/>
  <c r="M23" i="22"/>
  <c r="M14" i="22" s="1"/>
  <c r="M10" i="22"/>
  <c r="O10" i="22"/>
  <c r="O14" i="22"/>
  <c r="P14" i="22"/>
  <c r="Q10" i="22"/>
  <c r="P10" i="22"/>
  <c r="Q14" i="22"/>
  <c r="Q12" i="22" s="1"/>
  <c r="M12" i="22" l="1"/>
  <c r="O12" i="22"/>
  <c r="P12" i="22"/>
  <c r="K100" i="22" l="1"/>
  <c r="AC30" i="22"/>
  <c r="AD30" i="22" l="1"/>
  <c r="AH72" i="22"/>
  <c r="Y107" i="22"/>
  <c r="W107" i="22"/>
  <c r="AJ51" i="22"/>
  <c r="J58" i="22"/>
  <c r="AE72" i="22"/>
  <c r="Z79" i="22"/>
  <c r="AF93" i="22"/>
  <c r="K93" i="22"/>
  <c r="V107" i="22"/>
  <c r="S51" i="22"/>
  <c r="I58" i="22"/>
  <c r="I72" i="22"/>
  <c r="AE93" i="22"/>
  <c r="U107" i="22"/>
  <c r="Y30" i="22"/>
  <c r="AH51" i="22"/>
  <c r="R51" i="22"/>
  <c r="X65" i="22"/>
  <c r="AC72" i="22"/>
  <c r="X79" i="22"/>
  <c r="AI86" i="22"/>
  <c r="S86" i="22"/>
  <c r="AD93" i="22"/>
  <c r="I93" i="22"/>
  <c r="Y100" i="22"/>
  <c r="T107" i="22"/>
  <c r="X30" i="22"/>
  <c r="V44" i="22"/>
  <c r="AG51" i="22"/>
  <c r="L51" i="22"/>
  <c r="W65" i="22"/>
  <c r="W79" i="22"/>
  <c r="AH86" i="22"/>
  <c r="R86" i="22"/>
  <c r="AC93" i="22"/>
  <c r="X100" i="22"/>
  <c r="AI107" i="22"/>
  <c r="S107" i="22"/>
  <c r="W51" i="22"/>
  <c r="AC65" i="22"/>
  <c r="R72" i="22"/>
  <c r="X86" i="22"/>
  <c r="AD100" i="22"/>
  <c r="L58" i="22"/>
  <c r="L72" i="22"/>
  <c r="W86" i="22"/>
  <c r="R93" i="22"/>
  <c r="X107" i="22"/>
  <c r="AK51" i="22"/>
  <c r="U51" i="22"/>
  <c r="K72" i="22"/>
  <c r="AG93" i="22"/>
  <c r="T51" i="22"/>
  <c r="J72" i="22"/>
  <c r="X44" i="22"/>
  <c r="Y65" i="22"/>
  <c r="AD72" i="22"/>
  <c r="Y79" i="22"/>
  <c r="AJ86" i="22"/>
  <c r="T86" i="22"/>
  <c r="J93" i="22"/>
  <c r="Z100" i="22"/>
  <c r="AK107" i="22"/>
  <c r="W44" i="22"/>
  <c r="AJ107" i="22"/>
  <c r="F25" i="22"/>
  <c r="G26" i="22" s="1"/>
  <c r="W30" i="22"/>
  <c r="AK44" i="22"/>
  <c r="U44" i="22"/>
  <c r="AF51" i="22"/>
  <c r="K51" i="22"/>
  <c r="V65" i="22"/>
  <c r="V79" i="22"/>
  <c r="AG86" i="22"/>
  <c r="L86" i="22"/>
  <c r="W100" i="22"/>
  <c r="AH107" i="22"/>
  <c r="R107" i="22"/>
  <c r="AH93" i="22"/>
  <c r="AF72" i="22"/>
  <c r="AK86" i="22"/>
  <c r="AF86" i="22"/>
  <c r="AJ65" i="22"/>
  <c r="AK100" i="22"/>
  <c r="Y93" i="22"/>
  <c r="AH65" i="22"/>
  <c r="AH79" i="22"/>
  <c r="X93" i="22"/>
  <c r="AI100" i="22"/>
  <c r="AD107" i="22"/>
  <c r="I107" i="22"/>
  <c r="I30" i="22"/>
  <c r="AC79" i="22"/>
  <c r="I100" i="22"/>
  <c r="AE51" i="22"/>
  <c r="Z72" i="22"/>
  <c r="AG107" i="22"/>
  <c r="AK30" i="22"/>
  <c r="AD51" i="22"/>
  <c r="Y72" i="22"/>
  <c r="AE86" i="22"/>
  <c r="Z93" i="22"/>
  <c r="AF107" i="22"/>
  <c r="AI79" i="22"/>
  <c r="AJ100" i="22"/>
  <c r="AI30" i="22"/>
  <c r="L44" i="22"/>
  <c r="R79" i="22"/>
  <c r="S100" i="22"/>
  <c r="AH30" i="22"/>
  <c r="R30" i="22"/>
  <c r="AF44" i="22"/>
  <c r="K44" i="22"/>
  <c r="V58" i="22"/>
  <c r="AG65" i="22"/>
  <c r="V72" i="22"/>
  <c r="AG79" i="22"/>
  <c r="L79" i="22"/>
  <c r="W93" i="22"/>
  <c r="AH100" i="22"/>
  <c r="R100" i="22"/>
  <c r="AC107" i="22"/>
  <c r="L107" i="22"/>
  <c r="AC51" i="22"/>
  <c r="S79" i="22"/>
  <c r="AE107" i="22"/>
  <c r="AF65" i="22"/>
  <c r="L100" i="22"/>
  <c r="R58" i="22"/>
  <c r="AI93" i="22"/>
  <c r="V51" i="22"/>
  <c r="AG72" i="22"/>
  <c r="AC100" i="22"/>
  <c r="L93" i="22"/>
  <c r="V30" i="22"/>
  <c r="AJ44" i="22"/>
  <c r="J51" i="22"/>
  <c r="AK65" i="22"/>
  <c r="U65" i="22"/>
  <c r="AK79" i="22"/>
  <c r="U79" i="22"/>
  <c r="K86" i="22"/>
  <c r="S44" i="22"/>
  <c r="U100" i="22"/>
  <c r="AJ30" i="22"/>
  <c r="AH44" i="22"/>
  <c r="S65" i="22"/>
  <c r="X72" i="22"/>
  <c r="AD86" i="22"/>
  <c r="J107" i="22"/>
  <c r="S30" i="22"/>
  <c r="AG44" i="22"/>
  <c r="W72" i="22"/>
  <c r="Z51" i="22"/>
  <c r="V93" i="22"/>
  <c r="AF30" i="22"/>
  <c r="K30" i="22"/>
  <c r="AD44" i="22"/>
  <c r="I44" i="22"/>
  <c r="Y51" i="22"/>
  <c r="T58" i="22"/>
  <c r="AE65" i="22"/>
  <c r="AJ72" i="22"/>
  <c r="T72" i="22"/>
  <c r="AE79" i="22"/>
  <c r="J79" i="22"/>
  <c r="Z86" i="22"/>
  <c r="AK93" i="22"/>
  <c r="U93" i="22"/>
  <c r="AF100" i="22"/>
  <c r="S93" i="22"/>
  <c r="Z44" i="22"/>
  <c r="K58" i="22"/>
  <c r="V86" i="22"/>
  <c r="Y44" i="22"/>
  <c r="U86" i="22"/>
  <c r="AI51" i="22"/>
  <c r="T44" i="22"/>
  <c r="V100" i="22"/>
  <c r="U30" i="22"/>
  <c r="AI44" i="22"/>
  <c r="I51" i="22"/>
  <c r="T65" i="22"/>
  <c r="AJ79" i="22"/>
  <c r="T79" i="22"/>
  <c r="J86" i="22"/>
  <c r="K107" i="22"/>
  <c r="T30" i="22"/>
  <c r="R44" i="22"/>
  <c r="AI65" i="22"/>
  <c r="I86" i="22"/>
  <c r="T100" i="22"/>
  <c r="AC86" i="22"/>
  <c r="AG30" i="22"/>
  <c r="L30" i="22"/>
  <c r="AE44" i="22"/>
  <c r="J44" i="22"/>
  <c r="U58" i="22"/>
  <c r="AK72" i="22"/>
  <c r="U72" i="22"/>
  <c r="AF79" i="22"/>
  <c r="K79" i="22"/>
  <c r="AG100" i="22"/>
  <c r="AE30" i="22"/>
  <c r="J30" i="22"/>
  <c r="AC44" i="22"/>
  <c r="X51" i="22"/>
  <c r="S58" i="22"/>
  <c r="AD65" i="22"/>
  <c r="AI72" i="22"/>
  <c r="S72" i="22"/>
  <c r="AD79" i="22"/>
  <c r="I79" i="22"/>
  <c r="Y86" i="22"/>
  <c r="AJ93" i="22"/>
  <c r="T93" i="22"/>
  <c r="AE100" i="22"/>
  <c r="J100" i="22"/>
  <c r="Z107" i="22"/>
  <c r="AE23" i="22" l="1"/>
  <c r="AE14" i="22" s="1"/>
  <c r="AE10" i="22"/>
  <c r="H107" i="22"/>
  <c r="F107" i="22" s="1"/>
  <c r="F102" i="22"/>
  <c r="G103" i="22" s="1"/>
  <c r="F58" i="22"/>
  <c r="AF10" i="22"/>
  <c r="AF23" i="22"/>
  <c r="AF14" i="22" s="1"/>
  <c r="AG23" i="22"/>
  <c r="AG14" i="22" s="1"/>
  <c r="AG12" i="22" s="1"/>
  <c r="AG10" i="22"/>
  <c r="R23" i="22"/>
  <c r="R10" i="22"/>
  <c r="W23" i="22"/>
  <c r="W14" i="22" s="1"/>
  <c r="W12" i="22" s="1"/>
  <c r="W10" i="22"/>
  <c r="F44" i="22"/>
  <c r="Z30" i="22"/>
  <c r="Z14" i="22" s="1"/>
  <c r="Z10" i="22"/>
  <c r="F53" i="22"/>
  <c r="G54" i="22" s="1"/>
  <c r="L23" i="22"/>
  <c r="L14" i="22" s="1"/>
  <c r="L10" i="22"/>
  <c r="AD10" i="22"/>
  <c r="AD23" i="22"/>
  <c r="AD14" i="22" s="1"/>
  <c r="AD12" i="22" s="1"/>
  <c r="S10" i="22"/>
  <c r="S23" i="22"/>
  <c r="S14" i="22" s="1"/>
  <c r="S12" i="22" s="1"/>
  <c r="AH10" i="22"/>
  <c r="AH23" i="22"/>
  <c r="AH14" i="22" s="1"/>
  <c r="F88" i="22"/>
  <c r="G89" i="22" s="1"/>
  <c r="H93" i="22"/>
  <c r="F93" i="22" s="1"/>
  <c r="H10" i="22"/>
  <c r="F18" i="22"/>
  <c r="G19" i="22" s="1"/>
  <c r="Y23" i="22"/>
  <c r="Y14" i="22" s="1"/>
  <c r="Y10" i="22"/>
  <c r="F95" i="22"/>
  <c r="G96" i="22" s="1"/>
  <c r="H100" i="22"/>
  <c r="F100" i="22" s="1"/>
  <c r="AC23" i="22"/>
  <c r="AC14" i="22" s="1"/>
  <c r="AC10" i="22"/>
  <c r="F46" i="22"/>
  <c r="G47" i="22" s="1"/>
  <c r="H79" i="22"/>
  <c r="F79" i="22" s="1"/>
  <c r="F74" i="22"/>
  <c r="G75" i="22" s="1"/>
  <c r="H72" i="22"/>
  <c r="F67" i="22"/>
  <c r="G68" i="22" s="1"/>
  <c r="F39" i="22"/>
  <c r="G40" i="22" s="1"/>
  <c r="I10" i="22"/>
  <c r="I23" i="22"/>
  <c r="R65" i="22"/>
  <c r="F65" i="22" s="1"/>
  <c r="F60" i="22"/>
  <c r="G61" i="22" s="1"/>
  <c r="J23" i="22"/>
  <c r="J14" i="22" s="1"/>
  <c r="J10" i="22"/>
  <c r="K23" i="22"/>
  <c r="K14" i="22" s="1"/>
  <c r="K12" i="22" s="1"/>
  <c r="K10" i="22"/>
  <c r="T10" i="22"/>
  <c r="T23" i="22"/>
  <c r="T14" i="22" s="1"/>
  <c r="T12" i="22" s="1"/>
  <c r="F51" i="22"/>
  <c r="H86" i="22"/>
  <c r="F86" i="22" s="1"/>
  <c r="F81" i="22"/>
  <c r="G82" i="22" s="1"/>
  <c r="AJ10" i="22"/>
  <c r="AJ23" i="22"/>
  <c r="AJ14" i="22" s="1"/>
  <c r="AJ12" i="22" s="1"/>
  <c r="V10" i="22"/>
  <c r="V23" i="22"/>
  <c r="V14" i="22" s="1"/>
  <c r="V12" i="22" s="1"/>
  <c r="AI23" i="22"/>
  <c r="AI14" i="22" s="1"/>
  <c r="AI10" i="22"/>
  <c r="U23" i="22"/>
  <c r="U14" i="22" s="1"/>
  <c r="U10" i="22"/>
  <c r="AK23" i="22"/>
  <c r="AK14" i="22" s="1"/>
  <c r="AK12" i="22" s="1"/>
  <c r="AK10" i="22"/>
  <c r="X23" i="22"/>
  <c r="X14" i="22" s="1"/>
  <c r="X10" i="22"/>
  <c r="F30" i="22" l="1"/>
  <c r="AH12" i="22"/>
  <c r="U12" i="22"/>
  <c r="J12" i="22"/>
  <c r="F63" i="22"/>
  <c r="G64" i="22" s="1"/>
  <c r="G66" i="22"/>
  <c r="F72" i="22"/>
  <c r="H14" i="22"/>
  <c r="AF12" i="22"/>
  <c r="Z12" i="22"/>
  <c r="C10" i="22"/>
  <c r="E10" i="22" s="1"/>
  <c r="R14" i="22"/>
  <c r="R12" i="22" s="1"/>
  <c r="F42" i="22"/>
  <c r="G43" i="22" s="1"/>
  <c r="G45" i="22"/>
  <c r="F91" i="22"/>
  <c r="G92" i="22" s="1"/>
  <c r="G94" i="22"/>
  <c r="F56" i="22"/>
  <c r="G57" i="22" s="1"/>
  <c r="G59" i="22"/>
  <c r="AI12" i="22"/>
  <c r="F105" i="22"/>
  <c r="G106" i="22" s="1"/>
  <c r="G108" i="22"/>
  <c r="Y12" i="22"/>
  <c r="G87" i="22"/>
  <c r="F84" i="22"/>
  <c r="G85" i="22" s="1"/>
  <c r="F49" i="22"/>
  <c r="G50" i="22" s="1"/>
  <c r="G52" i="22"/>
  <c r="X12" i="22"/>
  <c r="AC12" i="22"/>
  <c r="L12" i="22"/>
  <c r="F23" i="22"/>
  <c r="I14" i="22"/>
  <c r="I12" i="22" s="1"/>
  <c r="G80" i="22"/>
  <c r="F77" i="22"/>
  <c r="G78" i="22" s="1"/>
  <c r="F98" i="22"/>
  <c r="G99" i="22" s="1"/>
  <c r="G101" i="22"/>
  <c r="AE12" i="22"/>
  <c r="H12" i="22" l="1"/>
  <c r="C12" i="22"/>
  <c r="F21" i="22"/>
  <c r="G22" i="22" s="1"/>
  <c r="G24" i="22"/>
  <c r="G73" i="22"/>
  <c r="F70" i="22"/>
  <c r="G71" i="22" s="1"/>
  <c r="F28" i="22"/>
  <c r="G29" i="22" s="1"/>
  <c r="G31" i="22"/>
  <c r="C11" i="22" l="1"/>
  <c r="E11" i="22" s="1"/>
  <c r="E12" i="22"/>
  <c r="AK11" i="15" l="1"/>
  <c r="AL11" i="15"/>
  <c r="AL108" i="15"/>
  <c r="AK108" i="15"/>
  <c r="AJ108" i="15"/>
  <c r="AI108" i="15"/>
  <c r="AH108" i="15"/>
  <c r="AG108" i="15"/>
  <c r="AF108" i="15"/>
  <c r="AE108" i="15"/>
  <c r="AD108" i="15"/>
  <c r="AC108" i="15"/>
  <c r="AB108" i="15"/>
  <c r="AA108" i="15"/>
  <c r="Z108" i="15"/>
  <c r="Y108" i="15"/>
  <c r="X108" i="15"/>
  <c r="W108" i="15"/>
  <c r="V108" i="15"/>
  <c r="U108" i="15"/>
  <c r="T108" i="15"/>
  <c r="S108" i="15"/>
  <c r="R108" i="15"/>
  <c r="Q108" i="15"/>
  <c r="P108" i="15"/>
  <c r="O108" i="15"/>
  <c r="N108" i="15"/>
  <c r="M108" i="15"/>
  <c r="L108" i="15"/>
  <c r="K108" i="15"/>
  <c r="J108" i="15"/>
  <c r="I108" i="15"/>
  <c r="H108" i="15"/>
  <c r="Y107" i="15"/>
  <c r="X107" i="15"/>
  <c r="N107" i="15"/>
  <c r="L107" i="15"/>
  <c r="K107" i="15"/>
  <c r="J107" i="15"/>
  <c r="I107" i="15"/>
  <c r="H107" i="15"/>
  <c r="AL107" i="15"/>
  <c r="AK107" i="15"/>
  <c r="AJ107" i="15"/>
  <c r="AH107" i="15"/>
  <c r="AG107" i="15"/>
  <c r="AD107" i="15"/>
  <c r="AC107" i="15"/>
  <c r="AA107" i="15"/>
  <c r="Z107" i="15"/>
  <c r="W107" i="15"/>
  <c r="V107" i="15"/>
  <c r="U107" i="15"/>
  <c r="T107" i="15"/>
  <c r="R107" i="15"/>
  <c r="Q107" i="15"/>
  <c r="M107" i="15"/>
  <c r="AI107" i="15"/>
  <c r="AB107" i="15"/>
  <c r="S107" i="15"/>
  <c r="AJ101" i="15"/>
  <c r="AH101" i="15"/>
  <c r="AG101" i="15"/>
  <c r="AF101" i="15"/>
  <c r="AE101" i="15"/>
  <c r="AA101" i="15"/>
  <c r="Y101" i="15"/>
  <c r="W101" i="15"/>
  <c r="V101" i="15"/>
  <c r="U101" i="15"/>
  <c r="S101" i="15"/>
  <c r="R101" i="15"/>
  <c r="Q101" i="15"/>
  <c r="P101" i="15"/>
  <c r="O101" i="15"/>
  <c r="N101" i="15"/>
  <c r="M101" i="15"/>
  <c r="L101" i="15"/>
  <c r="K101" i="15"/>
  <c r="J101" i="15"/>
  <c r="I101" i="15"/>
  <c r="H101" i="15"/>
  <c r="AG100" i="15"/>
  <c r="AD100" i="15"/>
  <c r="AC100" i="15"/>
  <c r="S100" i="15"/>
  <c r="R100" i="15"/>
  <c r="Q100" i="15"/>
  <c r="P100" i="15"/>
  <c r="AL100" i="15"/>
  <c r="AK100" i="15"/>
  <c r="AJ100" i="15"/>
  <c r="AI100" i="15"/>
  <c r="AH100" i="15"/>
  <c r="AF100" i="15"/>
  <c r="AE100" i="15"/>
  <c r="AB100" i="15"/>
  <c r="AA100" i="15"/>
  <c r="Z100" i="15"/>
  <c r="Y100" i="15"/>
  <c r="W100" i="15"/>
  <c r="V100" i="15"/>
  <c r="U100" i="15"/>
  <c r="T100" i="15"/>
  <c r="O100" i="15"/>
  <c r="K100" i="15"/>
  <c r="J100" i="15"/>
  <c r="AL96" i="15"/>
  <c r="AL101" i="15" s="1"/>
  <c r="AK96" i="15"/>
  <c r="AK101" i="15" s="1"/>
  <c r="AI96" i="15"/>
  <c r="AI101" i="15" s="1"/>
  <c r="AH96" i="15"/>
  <c r="AF96" i="15"/>
  <c r="AD96" i="15"/>
  <c r="AD101" i="15" s="1"/>
  <c r="AC96" i="15"/>
  <c r="AC101" i="15" s="1"/>
  <c r="AB96" i="15"/>
  <c r="AB101" i="15" s="1"/>
  <c r="Z96" i="15"/>
  <c r="Z101" i="15" s="1"/>
  <c r="X96" i="15"/>
  <c r="X101" i="15" s="1"/>
  <c r="W96" i="15"/>
  <c r="T96" i="15"/>
  <c r="T101" i="15" s="1"/>
  <c r="X100" i="15"/>
  <c r="N100" i="15"/>
  <c r="M100" i="15"/>
  <c r="L100" i="15"/>
  <c r="I100" i="15"/>
  <c r="H100" i="15"/>
  <c r="AL94" i="15"/>
  <c r="AK94" i="15"/>
  <c r="AJ94" i="15"/>
  <c r="AI94" i="15"/>
  <c r="AH94" i="15"/>
  <c r="AG94" i="15"/>
  <c r="AF94" i="15"/>
  <c r="AE94" i="15"/>
  <c r="AD94" i="15"/>
  <c r="AB94" i="15"/>
  <c r="AA94" i="15"/>
  <c r="Z94" i="15"/>
  <c r="Y94" i="15"/>
  <c r="W94" i="15"/>
  <c r="V94" i="15"/>
  <c r="U94" i="15"/>
  <c r="T94" i="15"/>
  <c r="S94" i="15"/>
  <c r="R94" i="15"/>
  <c r="Q94" i="15"/>
  <c r="P94" i="15"/>
  <c r="O94" i="15"/>
  <c r="N94" i="15"/>
  <c r="M94" i="15"/>
  <c r="L94" i="15"/>
  <c r="K94" i="15"/>
  <c r="J94" i="15"/>
  <c r="I94" i="15"/>
  <c r="H94" i="15"/>
  <c r="AE93" i="15"/>
  <c r="AD93" i="15"/>
  <c r="O93" i="15"/>
  <c r="N93" i="15"/>
  <c r="AJ93" i="15"/>
  <c r="AI93" i="15"/>
  <c r="AH93" i="15"/>
  <c r="AG93" i="15"/>
  <c r="AF93" i="15"/>
  <c r="AA93" i="15"/>
  <c r="T93" i="15"/>
  <c r="S93" i="15"/>
  <c r="R93" i="15"/>
  <c r="Q93" i="15"/>
  <c r="P93" i="15"/>
  <c r="K93" i="15"/>
  <c r="AC89" i="15"/>
  <c r="AC94" i="15" s="1"/>
  <c r="X89" i="15"/>
  <c r="X94" i="15" s="1"/>
  <c r="AC93" i="15"/>
  <c r="AB93" i="15"/>
  <c r="Y93" i="15"/>
  <c r="M93" i="15"/>
  <c r="L93" i="15"/>
  <c r="I93" i="15"/>
  <c r="AL87" i="15"/>
  <c r="AK87" i="15"/>
  <c r="AJ87" i="15"/>
  <c r="AF87" i="15"/>
  <c r="AE87" i="15"/>
  <c r="AC87" i="15"/>
  <c r="AB87" i="15"/>
  <c r="AA87" i="15"/>
  <c r="Z87" i="15"/>
  <c r="Y87" i="15"/>
  <c r="X87" i="15"/>
  <c r="W87" i="15"/>
  <c r="V87" i="15"/>
  <c r="U87" i="15"/>
  <c r="T87" i="15"/>
  <c r="S87" i="15"/>
  <c r="R87" i="15"/>
  <c r="Q87" i="15"/>
  <c r="P87" i="15"/>
  <c r="O87" i="15"/>
  <c r="N87" i="15"/>
  <c r="M87" i="15"/>
  <c r="L87" i="15"/>
  <c r="K87" i="15"/>
  <c r="J87" i="15"/>
  <c r="I87" i="15"/>
  <c r="H87" i="15"/>
  <c r="AL86" i="15"/>
  <c r="AK86" i="15"/>
  <c r="AA86" i="15"/>
  <c r="Z86" i="15"/>
  <c r="Y86" i="15"/>
  <c r="X86" i="15"/>
  <c r="W86" i="15"/>
  <c r="V86" i="15"/>
  <c r="U86" i="15"/>
  <c r="J86" i="15"/>
  <c r="I86" i="15"/>
  <c r="AH86" i="15"/>
  <c r="AG86" i="15"/>
  <c r="AC86" i="15"/>
  <c r="AB86" i="15"/>
  <c r="R86" i="15"/>
  <c r="Q86" i="15"/>
  <c r="M86" i="15"/>
  <c r="L86" i="15"/>
  <c r="K86" i="15"/>
  <c r="H86" i="15"/>
  <c r="AK82" i="15"/>
  <c r="AI82" i="15"/>
  <c r="AI87" i="15" s="1"/>
  <c r="AH82" i="15"/>
  <c r="AH87" i="15" s="1"/>
  <c r="AG82" i="15"/>
  <c r="AG87" i="15" s="1"/>
  <c r="AD82" i="15"/>
  <c r="AD87" i="15" s="1"/>
  <c r="AJ86" i="15"/>
  <c r="AI86" i="15"/>
  <c r="AF86" i="15"/>
  <c r="T86" i="15"/>
  <c r="S86" i="15"/>
  <c r="P86" i="15"/>
  <c r="AL80" i="15"/>
  <c r="AJ80" i="15"/>
  <c r="AI80" i="15"/>
  <c r="AH80" i="15"/>
  <c r="AG80" i="15"/>
  <c r="AF80" i="15"/>
  <c r="AE80" i="15"/>
  <c r="AD80" i="15"/>
  <c r="AA80" i="15"/>
  <c r="Z80" i="15"/>
  <c r="Y80" i="15"/>
  <c r="X80" i="15"/>
  <c r="U80" i="15"/>
  <c r="T80" i="15"/>
  <c r="S80" i="15"/>
  <c r="R80" i="15"/>
  <c r="Q80" i="15"/>
  <c r="P80" i="15"/>
  <c r="O80" i="15"/>
  <c r="N80" i="15"/>
  <c r="M80" i="15"/>
  <c r="L80" i="15"/>
  <c r="K80" i="15"/>
  <c r="J80" i="15"/>
  <c r="I80" i="15"/>
  <c r="H80" i="15"/>
  <c r="AF79" i="15"/>
  <c r="AE79" i="15"/>
  <c r="Z79" i="15"/>
  <c r="U79" i="15"/>
  <c r="J79" i="15"/>
  <c r="AL79" i="15"/>
  <c r="AK79" i="15"/>
  <c r="AJ79" i="15"/>
  <c r="AI79" i="15"/>
  <c r="AH79" i="15"/>
  <c r="AG79" i="15"/>
  <c r="AB79" i="15"/>
  <c r="AA79" i="15"/>
  <c r="Y79" i="15"/>
  <c r="X79" i="15"/>
  <c r="W79" i="15"/>
  <c r="V79" i="15"/>
  <c r="T79" i="15"/>
  <c r="S79" i="15"/>
  <c r="R79" i="15"/>
  <c r="Q79" i="15"/>
  <c r="L79" i="15"/>
  <c r="K79" i="15"/>
  <c r="I79" i="15"/>
  <c r="H79" i="15"/>
  <c r="AK75" i="15"/>
  <c r="AK80" i="15" s="1"/>
  <c r="AJ75" i="15"/>
  <c r="AI75" i="15"/>
  <c r="AC75" i="15"/>
  <c r="AC80" i="15" s="1"/>
  <c r="AB75" i="15"/>
  <c r="AB80" i="15" s="1"/>
  <c r="W75" i="15"/>
  <c r="W80" i="15" s="1"/>
  <c r="V75" i="15"/>
  <c r="V80" i="15" s="1"/>
  <c r="U75" i="15"/>
  <c r="T75" i="15"/>
  <c r="Q75" i="15"/>
  <c r="AD79" i="15"/>
  <c r="AC79" i="15"/>
  <c r="P79" i="15"/>
  <c r="O79" i="15"/>
  <c r="N79" i="15"/>
  <c r="M79" i="15"/>
  <c r="AL73" i="15"/>
  <c r="AK73" i="15"/>
  <c r="AI73" i="15"/>
  <c r="AH73" i="15"/>
  <c r="AG73" i="15"/>
  <c r="AF73" i="15"/>
  <c r="AE73" i="15"/>
  <c r="AD73" i="15"/>
  <c r="AC73" i="15"/>
  <c r="AA73" i="15"/>
  <c r="Z73" i="15"/>
  <c r="Y73" i="15"/>
  <c r="X73" i="15"/>
  <c r="W73" i="15"/>
  <c r="V73" i="15"/>
  <c r="U73" i="15"/>
  <c r="T73" i="15"/>
  <c r="S73" i="15"/>
  <c r="R73" i="15"/>
  <c r="Q73" i="15"/>
  <c r="P73" i="15"/>
  <c r="O73" i="15"/>
  <c r="N73" i="15"/>
  <c r="M73" i="15"/>
  <c r="L73" i="15"/>
  <c r="K73" i="15"/>
  <c r="J73" i="15"/>
  <c r="I73" i="15"/>
  <c r="H73" i="15"/>
  <c r="AJ72" i="15"/>
  <c r="AI72" i="15"/>
  <c r="AE72" i="15"/>
  <c r="AD72" i="15"/>
  <c r="AB72" i="15"/>
  <c r="S72" i="15"/>
  <c r="R72" i="15"/>
  <c r="Q72" i="15"/>
  <c r="P72" i="15"/>
  <c r="O72" i="15"/>
  <c r="N72" i="15"/>
  <c r="L72" i="15"/>
  <c r="AL72" i="15"/>
  <c r="AK72" i="15"/>
  <c r="AH72" i="15"/>
  <c r="AG72" i="15"/>
  <c r="AF72" i="15"/>
  <c r="X72" i="15"/>
  <c r="W72" i="15"/>
  <c r="V72" i="15"/>
  <c r="U72" i="15"/>
  <c r="H72" i="15"/>
  <c r="AJ68" i="15"/>
  <c r="AJ73" i="15" s="1"/>
  <c r="AB68" i="15"/>
  <c r="AB73" i="15" s="1"/>
  <c r="AC72" i="15"/>
  <c r="Y72" i="15"/>
  <c r="T72" i="15"/>
  <c r="M72" i="15"/>
  <c r="I72" i="15"/>
  <c r="AL66" i="15"/>
  <c r="AK66" i="15"/>
  <c r="AJ66" i="15"/>
  <c r="AI66" i="15"/>
  <c r="AH66" i="15"/>
  <c r="AG66" i="15"/>
  <c r="AF66" i="15"/>
  <c r="AE66" i="15"/>
  <c r="AD66" i="15"/>
  <c r="AC66" i="15"/>
  <c r="AB66" i="15"/>
  <c r="AA66" i="15"/>
  <c r="Z66" i="15"/>
  <c r="Y66" i="15"/>
  <c r="X66" i="15"/>
  <c r="W66" i="15"/>
  <c r="V66" i="15"/>
  <c r="U66" i="15"/>
  <c r="T66" i="15"/>
  <c r="S66" i="15"/>
  <c r="R66" i="15"/>
  <c r="Q66" i="15"/>
  <c r="P66" i="15"/>
  <c r="O66" i="15"/>
  <c r="N66" i="15"/>
  <c r="M66" i="15"/>
  <c r="L66" i="15"/>
  <c r="K66" i="15"/>
  <c r="J66" i="15"/>
  <c r="I66" i="15"/>
  <c r="H66" i="15"/>
  <c r="AL65" i="15"/>
  <c r="AK65" i="15"/>
  <c r="AF65" i="15"/>
  <c r="AB65" i="15"/>
  <c r="AA65" i="15"/>
  <c r="Y65" i="15"/>
  <c r="X65" i="15"/>
  <c r="W65" i="15"/>
  <c r="V65" i="15"/>
  <c r="U65" i="15"/>
  <c r="T65" i="15"/>
  <c r="R65" i="15"/>
  <c r="K65" i="15"/>
  <c r="AJ65" i="15"/>
  <c r="AH65" i="15"/>
  <c r="AG65" i="15"/>
  <c r="AC65" i="15"/>
  <c r="Q65" i="15"/>
  <c r="P65" i="15"/>
  <c r="M65" i="15"/>
  <c r="L65" i="15"/>
  <c r="J65" i="15"/>
  <c r="I65" i="15"/>
  <c r="H65" i="15"/>
  <c r="AI65" i="15"/>
  <c r="AD65" i="15"/>
  <c r="S65" i="15"/>
  <c r="O65" i="15"/>
  <c r="AL59" i="15"/>
  <c r="AK59" i="15"/>
  <c r="AI59" i="15"/>
  <c r="AH59" i="15"/>
  <c r="AG59" i="15"/>
  <c r="AF59" i="15"/>
  <c r="AE59" i="15"/>
  <c r="AD59" i="15"/>
  <c r="AC59" i="15"/>
  <c r="AB59" i="15"/>
  <c r="AA59" i="15"/>
  <c r="Z59" i="15"/>
  <c r="Y59" i="15"/>
  <c r="X59" i="15"/>
  <c r="W59" i="15"/>
  <c r="V59" i="15"/>
  <c r="U59" i="15"/>
  <c r="T59" i="15"/>
  <c r="S59" i="15"/>
  <c r="R59" i="15"/>
  <c r="Q59" i="15"/>
  <c r="P59" i="15"/>
  <c r="O59" i="15"/>
  <c r="N59" i="15"/>
  <c r="M59" i="15"/>
  <c r="L59" i="15"/>
  <c r="K59" i="15"/>
  <c r="J59" i="15"/>
  <c r="I59" i="15"/>
  <c r="H59" i="15"/>
  <c r="AJ58" i="15"/>
  <c r="AB58" i="15"/>
  <c r="AA58" i="15"/>
  <c r="Z58" i="15"/>
  <c r="Y58" i="15"/>
  <c r="X58" i="15"/>
  <c r="V58" i="15"/>
  <c r="O58" i="15"/>
  <c r="N58" i="15"/>
  <c r="K58" i="15"/>
  <c r="J58" i="15"/>
  <c r="I58" i="15"/>
  <c r="AL58" i="15"/>
  <c r="AK58" i="15"/>
  <c r="AI58" i="15"/>
  <c r="AE58" i="15"/>
  <c r="AD58" i="15"/>
  <c r="AC58" i="15"/>
  <c r="W58" i="15"/>
  <c r="U58" i="15"/>
  <c r="T58" i="15"/>
  <c r="M58" i="15"/>
  <c r="L58" i="15"/>
  <c r="AJ54" i="15"/>
  <c r="AJ59" i="15" s="1"/>
  <c r="S58" i="15"/>
  <c r="Q58" i="15"/>
  <c r="AL52" i="15"/>
  <c r="AK52" i="15"/>
  <c r="AJ52" i="15"/>
  <c r="AI52" i="15"/>
  <c r="AH52" i="15"/>
  <c r="AG52" i="15"/>
  <c r="AF52" i="15"/>
  <c r="AE52" i="15"/>
  <c r="AD52" i="15"/>
  <c r="AC52" i="15"/>
  <c r="AB52" i="15"/>
  <c r="AA52" i="15"/>
  <c r="Z52" i="15"/>
  <c r="Y52" i="15"/>
  <c r="X52" i="15"/>
  <c r="W52" i="15"/>
  <c r="V52" i="15"/>
  <c r="U52" i="15"/>
  <c r="T52" i="15"/>
  <c r="S52" i="15"/>
  <c r="R52" i="15"/>
  <c r="Q52" i="15"/>
  <c r="P52" i="15"/>
  <c r="O52" i="15"/>
  <c r="N52" i="15"/>
  <c r="M52" i="15"/>
  <c r="L52" i="15"/>
  <c r="K52" i="15"/>
  <c r="J52" i="15"/>
  <c r="I52" i="15"/>
  <c r="H52" i="15"/>
  <c r="AC51" i="15"/>
  <c r="X51" i="15"/>
  <c r="T51" i="15"/>
  <c r="S51" i="15"/>
  <c r="M51" i="15"/>
  <c r="AJ51" i="15"/>
  <c r="AI51" i="15"/>
  <c r="AH51" i="15"/>
  <c r="AG51" i="15"/>
  <c r="AF51" i="15"/>
  <c r="AE51" i="15"/>
  <c r="AD51" i="15"/>
  <c r="AB51" i="15"/>
  <c r="Z51" i="15"/>
  <c r="Y51" i="15"/>
  <c r="R51" i="15"/>
  <c r="Q51" i="15"/>
  <c r="P51" i="15"/>
  <c r="O51" i="15"/>
  <c r="N51" i="15"/>
  <c r="L51" i="15"/>
  <c r="J51" i="15"/>
  <c r="I51" i="15"/>
  <c r="AL51" i="15"/>
  <c r="AA51" i="15"/>
  <c r="V51" i="15"/>
  <c r="K51" i="15"/>
  <c r="AL45" i="15"/>
  <c r="AK45" i="15"/>
  <c r="AJ45" i="15"/>
  <c r="AI45" i="15"/>
  <c r="AH45" i="15"/>
  <c r="AG45" i="15"/>
  <c r="AF45" i="15"/>
  <c r="AE45" i="15"/>
  <c r="AD45" i="15"/>
  <c r="AC45" i="15"/>
  <c r="AB45" i="15"/>
  <c r="AA45" i="15"/>
  <c r="Z45" i="15"/>
  <c r="Y45" i="15"/>
  <c r="X45" i="15"/>
  <c r="W45" i="15"/>
  <c r="V45" i="15"/>
  <c r="U45" i="15"/>
  <c r="T45" i="15"/>
  <c r="S45" i="15"/>
  <c r="R45" i="15"/>
  <c r="Q45" i="15"/>
  <c r="P45" i="15"/>
  <c r="O45" i="15"/>
  <c r="N45" i="15"/>
  <c r="M45" i="15"/>
  <c r="L45" i="15"/>
  <c r="K45" i="15"/>
  <c r="J45" i="15"/>
  <c r="I45" i="15"/>
  <c r="H45" i="15"/>
  <c r="AG44" i="15"/>
  <c r="AB44" i="15"/>
  <c r="X44" i="15"/>
  <c r="W44" i="15"/>
  <c r="Q44" i="15"/>
  <c r="L44" i="15"/>
  <c r="AL44" i="15"/>
  <c r="AK44" i="15"/>
  <c r="AJ44" i="15"/>
  <c r="AI44" i="15"/>
  <c r="AH44" i="15"/>
  <c r="AF44" i="15"/>
  <c r="AD44" i="15"/>
  <c r="AC44" i="15"/>
  <c r="V44" i="15"/>
  <c r="U44" i="15"/>
  <c r="T44" i="15"/>
  <c r="S44" i="15"/>
  <c r="R44" i="15"/>
  <c r="P44" i="15"/>
  <c r="N44" i="15"/>
  <c r="M44" i="15"/>
  <c r="AE44" i="15"/>
  <c r="Z44" i="15"/>
  <c r="O44" i="15"/>
  <c r="J44" i="15"/>
  <c r="AL38" i="15"/>
  <c r="AK38" i="15"/>
  <c r="AJ38" i="15"/>
  <c r="AI38" i="15"/>
  <c r="AH38" i="15"/>
  <c r="AG38" i="15"/>
  <c r="AF38" i="15"/>
  <c r="AE38" i="15"/>
  <c r="AD38" i="15"/>
  <c r="AC38" i="15"/>
  <c r="AB38" i="15"/>
  <c r="AA38" i="15"/>
  <c r="Z38" i="15"/>
  <c r="Y38" i="15"/>
  <c r="X38" i="15"/>
  <c r="W38" i="15"/>
  <c r="V38" i="15"/>
  <c r="U38" i="15"/>
  <c r="T38" i="15"/>
  <c r="F38" i="15" s="1"/>
  <c r="S38" i="15"/>
  <c r="R38" i="15"/>
  <c r="Q38" i="15"/>
  <c r="P38" i="15"/>
  <c r="O38" i="15"/>
  <c r="N38" i="15"/>
  <c r="M38" i="15"/>
  <c r="L38" i="15"/>
  <c r="K38" i="15"/>
  <c r="J38" i="15"/>
  <c r="I38" i="15"/>
  <c r="H38" i="15"/>
  <c r="AL37" i="15"/>
  <c r="AK37" i="15"/>
  <c r="AF37" i="15"/>
  <c r="V37" i="15"/>
  <c r="U37" i="15"/>
  <c r="P37" i="15"/>
  <c r="AI37" i="15"/>
  <c r="AH37" i="15"/>
  <c r="AG37" i="15"/>
  <c r="AB37" i="15"/>
  <c r="AA37" i="15"/>
  <c r="Z37" i="15"/>
  <c r="Y37" i="15"/>
  <c r="X37" i="15"/>
  <c r="W37" i="15"/>
  <c r="T37" i="15"/>
  <c r="R37" i="15"/>
  <c r="Q37" i="15"/>
  <c r="L37" i="15"/>
  <c r="K37" i="15"/>
  <c r="J37" i="15"/>
  <c r="I37" i="15"/>
  <c r="J33" i="15"/>
  <c r="AD37" i="15"/>
  <c r="N37" i="15"/>
  <c r="AL31" i="15"/>
  <c r="AK31" i="15"/>
  <c r="AJ31" i="15"/>
  <c r="AI31" i="15"/>
  <c r="AH31" i="15"/>
  <c r="AG31" i="15"/>
  <c r="AF31" i="15"/>
  <c r="AE31" i="15"/>
  <c r="AD31" i="15"/>
  <c r="AC31" i="15"/>
  <c r="AB31" i="15"/>
  <c r="AA31" i="15"/>
  <c r="Z31" i="15"/>
  <c r="Y31" i="15"/>
  <c r="X31" i="15"/>
  <c r="W31" i="15"/>
  <c r="V31" i="15"/>
  <c r="U31" i="15"/>
  <c r="T31" i="15"/>
  <c r="S31" i="15"/>
  <c r="R31" i="15"/>
  <c r="Q31" i="15"/>
  <c r="P31" i="15"/>
  <c r="O31" i="15"/>
  <c r="N31" i="15"/>
  <c r="M31" i="15"/>
  <c r="L31" i="15"/>
  <c r="K31" i="15"/>
  <c r="J31" i="15"/>
  <c r="I31" i="15"/>
  <c r="AI30" i="15"/>
  <c r="AE30" i="15"/>
  <c r="X30" i="15"/>
  <c r="S30" i="15"/>
  <c r="O30" i="15"/>
  <c r="N30" i="15"/>
  <c r="M30" i="15"/>
  <c r="L30" i="15"/>
  <c r="K30" i="15"/>
  <c r="J30" i="15"/>
  <c r="I30" i="15"/>
  <c r="AK30" i="15"/>
  <c r="AJ30" i="15"/>
  <c r="AH30" i="15"/>
  <c r="AF30" i="15"/>
  <c r="AD30" i="15"/>
  <c r="AC30" i="15"/>
  <c r="AB30" i="15"/>
  <c r="AA30" i="15"/>
  <c r="Z30" i="15"/>
  <c r="Y30" i="15"/>
  <c r="W30" i="15"/>
  <c r="U30" i="15"/>
  <c r="T30" i="15"/>
  <c r="R30" i="15"/>
  <c r="P30" i="15"/>
  <c r="AG30" i="15"/>
  <c r="Q30" i="15"/>
  <c r="AL24" i="15"/>
  <c r="AK24" i="15"/>
  <c r="AJ24" i="15"/>
  <c r="AI24" i="15"/>
  <c r="AH24" i="15"/>
  <c r="AG24" i="15"/>
  <c r="AF24" i="15"/>
  <c r="AE24" i="15"/>
  <c r="AD24" i="15"/>
  <c r="AC24" i="15"/>
  <c r="AB24" i="15"/>
  <c r="AA24" i="15"/>
  <c r="Z24" i="15"/>
  <c r="Y24" i="15"/>
  <c r="X24" i="15"/>
  <c r="W24" i="15"/>
  <c r="V24" i="15"/>
  <c r="F24" i="15" s="1"/>
  <c r="U24" i="15"/>
  <c r="T24" i="15"/>
  <c r="S24" i="15"/>
  <c r="R24" i="15"/>
  <c r="Q24" i="15"/>
  <c r="P24" i="15"/>
  <c r="O24" i="15"/>
  <c r="N24" i="15"/>
  <c r="M24" i="15"/>
  <c r="L24" i="15"/>
  <c r="K24" i="15"/>
  <c r="J24" i="15"/>
  <c r="I24" i="15"/>
  <c r="H24" i="15"/>
  <c r="AK23" i="15"/>
  <c r="AI23" i="15"/>
  <c r="AB23" i="15"/>
  <c r="W23" i="15"/>
  <c r="U23" i="15"/>
  <c r="S23" i="15"/>
  <c r="R23" i="15"/>
  <c r="Q23" i="15"/>
  <c r="P23" i="15"/>
  <c r="O23" i="15"/>
  <c r="N23" i="15"/>
  <c r="M23" i="15"/>
  <c r="L23" i="15"/>
  <c r="AH23" i="15"/>
  <c r="AG23" i="15"/>
  <c r="AF23" i="15"/>
  <c r="AE23" i="15"/>
  <c r="AD23" i="15"/>
  <c r="AC23" i="15"/>
  <c r="AA23" i="15"/>
  <c r="Y23" i="15"/>
  <c r="T23" i="15"/>
  <c r="K23" i="15"/>
  <c r="J23" i="15"/>
  <c r="I23" i="15"/>
  <c r="A17" i="15"/>
  <c r="U15" i="15"/>
  <c r="T15" i="15"/>
  <c r="S15" i="15"/>
  <c r="S13" i="15" s="1"/>
  <c r="S11" i="15"/>
  <c r="R11" i="15"/>
  <c r="Q11" i="15"/>
  <c r="AF10" i="15"/>
  <c r="AA10" i="15"/>
  <c r="W10" i="15"/>
  <c r="F68" i="15"/>
  <c r="U13" i="15" l="1"/>
  <c r="AA15" i="15"/>
  <c r="F87" i="15"/>
  <c r="W93" i="15"/>
  <c r="F93" i="15" s="1"/>
  <c r="F91" i="15" s="1"/>
  <c r="Z23" i="15"/>
  <c r="Z14" i="15" s="1"/>
  <c r="Z12" i="15" s="1"/>
  <c r="N65" i="15"/>
  <c r="F65" i="15" s="1"/>
  <c r="F63" i="15" s="1"/>
  <c r="AE65" i="15"/>
  <c r="P58" i="15"/>
  <c r="F58" i="15" s="1"/>
  <c r="F56" i="15" s="1"/>
  <c r="AF58" i="15"/>
  <c r="AF14" i="15" s="1"/>
  <c r="AF12" i="15" s="1"/>
  <c r="AG10" i="15"/>
  <c r="U11" i="15"/>
  <c r="W15" i="15"/>
  <c r="F40" i="15"/>
  <c r="F88" i="15"/>
  <c r="R58" i="15"/>
  <c r="J72" i="15"/>
  <c r="J14" i="15" s="1"/>
  <c r="J12" i="15" s="1"/>
  <c r="U93" i="15"/>
  <c r="K72" i="15"/>
  <c r="V93" i="15"/>
  <c r="AJ10" i="15"/>
  <c r="AI14" i="15"/>
  <c r="AI12" i="15" s="1"/>
  <c r="AK10" i="15"/>
  <c r="AG15" i="15"/>
  <c r="AE37" i="15"/>
  <c r="AE14" i="15" s="1"/>
  <c r="AE12" i="15" s="1"/>
  <c r="I44" i="15"/>
  <c r="F44" i="15" s="1"/>
  <c r="F42" i="15" s="1"/>
  <c r="U51" i="15"/>
  <c r="AK51" i="15"/>
  <c r="H93" i="15"/>
  <c r="X93" i="15"/>
  <c r="P10" i="15"/>
  <c r="AL10" i="15"/>
  <c r="AF11" i="15"/>
  <c r="AH15" i="15"/>
  <c r="F45" i="15"/>
  <c r="F86" i="15"/>
  <c r="F84" i="15" s="1"/>
  <c r="Q10" i="15"/>
  <c r="AG11" i="15"/>
  <c r="P14" i="15"/>
  <c r="P12" i="15" s="1"/>
  <c r="AI15" i="15"/>
  <c r="K44" i="15"/>
  <c r="AA44" i="15"/>
  <c r="F46" i="15"/>
  <c r="F47" i="15"/>
  <c r="W51" i="15"/>
  <c r="J93" i="15"/>
  <c r="Z93" i="15"/>
  <c r="O107" i="15"/>
  <c r="F107" i="15" s="1"/>
  <c r="F105" i="15" s="1"/>
  <c r="AE107" i="15"/>
  <c r="AH10" i="15"/>
  <c r="H14" i="15"/>
  <c r="Y44" i="15"/>
  <c r="Y14" i="15" s="1"/>
  <c r="Y12" i="15" s="1"/>
  <c r="AH11" i="15"/>
  <c r="P107" i="15"/>
  <c r="AF107" i="15"/>
  <c r="Y11" i="15"/>
  <c r="K10" i="15"/>
  <c r="S10" i="15"/>
  <c r="K15" i="15"/>
  <c r="F39" i="15"/>
  <c r="AG14" i="15"/>
  <c r="AG12" i="15" s="1"/>
  <c r="Z72" i="15"/>
  <c r="AK93" i="15"/>
  <c r="AK14" i="15" s="1"/>
  <c r="AK12" i="15" s="1"/>
  <c r="AC37" i="15"/>
  <c r="AC14" i="15" s="1"/>
  <c r="AC12" i="15" s="1"/>
  <c r="AL93" i="15"/>
  <c r="AD11" i="15"/>
  <c r="O37" i="15"/>
  <c r="R10" i="15"/>
  <c r="Q14" i="15"/>
  <c r="AJ15" i="15"/>
  <c r="AJ13" i="15" s="1"/>
  <c r="AI11" i="15"/>
  <c r="R14" i="15"/>
  <c r="R12" i="15" s="1"/>
  <c r="AK15" i="15"/>
  <c r="AK13" i="15" s="1"/>
  <c r="T10" i="15"/>
  <c r="AJ11" i="15"/>
  <c r="P15" i="15"/>
  <c r="V23" i="15"/>
  <c r="V14" i="15" s="1"/>
  <c r="U10" i="15"/>
  <c r="O11" i="15"/>
  <c r="T14" i="15"/>
  <c r="T12" i="15" s="1"/>
  <c r="Q15" i="15"/>
  <c r="Q13" i="15" s="1"/>
  <c r="F67" i="15"/>
  <c r="G68" i="15" s="1"/>
  <c r="N86" i="15"/>
  <c r="AD86" i="15"/>
  <c r="Y10" i="15"/>
  <c r="F108" i="15"/>
  <c r="F61" i="15"/>
  <c r="F60" i="15"/>
  <c r="F32" i="15"/>
  <c r="F31" i="15"/>
  <c r="AE15" i="15"/>
  <c r="O15" i="15"/>
  <c r="AD14" i="15"/>
  <c r="AD12" i="15" s="1"/>
  <c r="N14" i="15"/>
  <c r="N12" i="15" s="1"/>
  <c r="AC11" i="15"/>
  <c r="M11" i="15"/>
  <c r="AE10" i="15"/>
  <c r="O10" i="15"/>
  <c r="F59" i="15"/>
  <c r="F33" i="15"/>
  <c r="G33" i="15" s="1"/>
  <c r="AD15" i="15"/>
  <c r="N15" i="15"/>
  <c r="AB11" i="15"/>
  <c r="L11" i="15"/>
  <c r="AD10" i="15"/>
  <c r="N10" i="15"/>
  <c r="F102" i="15"/>
  <c r="AC15" i="15"/>
  <c r="M15" i="15"/>
  <c r="AB14" i="15"/>
  <c r="AB12" i="15" s="1"/>
  <c r="L14" i="15"/>
  <c r="AA11" i="15"/>
  <c r="K11" i="15"/>
  <c r="AC10" i="15"/>
  <c r="M10" i="15"/>
  <c r="F26" i="15"/>
  <c r="F25" i="15"/>
  <c r="AB15" i="15"/>
  <c r="AB13" i="15" s="1"/>
  <c r="L15" i="15"/>
  <c r="L13" i="15" s="1"/>
  <c r="K14" i="15"/>
  <c r="K12" i="15" s="1"/>
  <c r="Z11" i="15"/>
  <c r="J11" i="15"/>
  <c r="AB10" i="15"/>
  <c r="L10" i="15"/>
  <c r="F103" i="15"/>
  <c r="F54" i="15"/>
  <c r="F53" i="15"/>
  <c r="F51" i="15"/>
  <c r="F49" i="15" s="1"/>
  <c r="F101" i="15"/>
  <c r="F100" i="15"/>
  <c r="F96" i="15"/>
  <c r="F95" i="15"/>
  <c r="F75" i="15"/>
  <c r="F74" i="15"/>
  <c r="F52" i="15"/>
  <c r="Z15" i="15"/>
  <c r="J15" i="15"/>
  <c r="X11" i="15"/>
  <c r="H11" i="15"/>
  <c r="Z10" i="15"/>
  <c r="J10" i="15"/>
  <c r="F94" i="15"/>
  <c r="F82" i="15"/>
  <c r="F81" i="15"/>
  <c r="F73" i="15"/>
  <c r="F80" i="15"/>
  <c r="F79" i="15"/>
  <c r="F77" i="15" s="1"/>
  <c r="F19" i="15"/>
  <c r="F18" i="15"/>
  <c r="X15" i="15"/>
  <c r="X13" i="15" s="1"/>
  <c r="H15" i="15"/>
  <c r="W14" i="15"/>
  <c r="W12" i="15" s="1"/>
  <c r="V11" i="15"/>
  <c r="X10" i="15"/>
  <c r="H10" i="15"/>
  <c r="T11" i="15"/>
  <c r="T13" i="15" s="1"/>
  <c r="V15" i="15"/>
  <c r="V13" i="15" s="1"/>
  <c r="F89" i="15"/>
  <c r="G89" i="15" s="1"/>
  <c r="W11" i="15"/>
  <c r="Y15" i="15"/>
  <c r="Y13" i="15" s="1"/>
  <c r="AH58" i="15"/>
  <c r="AI10" i="15"/>
  <c r="AH14" i="15"/>
  <c r="M37" i="15"/>
  <c r="M14" i="15" s="1"/>
  <c r="M12" i="15" s="1"/>
  <c r="AA72" i="15"/>
  <c r="AA14" i="15" s="1"/>
  <c r="AA12" i="15" s="1"/>
  <c r="I10" i="15"/>
  <c r="AF15" i="15"/>
  <c r="AF13" i="15" s="1"/>
  <c r="AE11" i="15"/>
  <c r="I15" i="15"/>
  <c r="AJ23" i="15"/>
  <c r="I11" i="15"/>
  <c r="S37" i="15"/>
  <c r="N11" i="15"/>
  <c r="S14" i="15"/>
  <c r="S12" i="15" s="1"/>
  <c r="AL15" i="15"/>
  <c r="AL23" i="15"/>
  <c r="AL14" i="15" s="1"/>
  <c r="AL12" i="15" s="1"/>
  <c r="AJ37" i="15"/>
  <c r="AJ14" i="15" s="1"/>
  <c r="AJ12" i="15" s="1"/>
  <c r="F66" i="15"/>
  <c r="V10" i="15"/>
  <c r="P11" i="15"/>
  <c r="U14" i="15"/>
  <c r="U12" i="15" s="1"/>
  <c r="R15" i="15"/>
  <c r="R13" i="15" s="1"/>
  <c r="X23" i="15"/>
  <c r="X14" i="15" s="1"/>
  <c r="X12" i="15" s="1"/>
  <c r="V30" i="15"/>
  <c r="AL30" i="15"/>
  <c r="O86" i="15"/>
  <c r="O14" i="15" s="1"/>
  <c r="O12" i="15" s="1"/>
  <c r="AE86" i="15"/>
  <c r="H13" i="15" l="1"/>
  <c r="D12" i="15"/>
  <c r="O13" i="15"/>
  <c r="AH12" i="15"/>
  <c r="AE13" i="15"/>
  <c r="F29" i="15"/>
  <c r="P13" i="15"/>
  <c r="G87" i="15"/>
  <c r="F85" i="15"/>
  <c r="G85" i="15" s="1"/>
  <c r="AL13" i="15"/>
  <c r="F72" i="15"/>
  <c r="F70" i="15" s="1"/>
  <c r="G75" i="15"/>
  <c r="AA13" i="15"/>
  <c r="I14" i="15"/>
  <c r="I12" i="15" s="1"/>
  <c r="F43" i="15"/>
  <c r="G43" i="15" s="1"/>
  <c r="G45" i="15"/>
  <c r="V12" i="15"/>
  <c r="J13" i="15"/>
  <c r="G61" i="15"/>
  <c r="F36" i="15"/>
  <c r="G82" i="15"/>
  <c r="F98" i="15"/>
  <c r="G26" i="15"/>
  <c r="N13" i="15"/>
  <c r="K13" i="15"/>
  <c r="G47" i="15"/>
  <c r="F37" i="15"/>
  <c r="AC13" i="15"/>
  <c r="G19" i="15"/>
  <c r="AD13" i="15"/>
  <c r="F106" i="15"/>
  <c r="G106" i="15" s="1"/>
  <c r="G108" i="15"/>
  <c r="AG13" i="15"/>
  <c r="Z13" i="15"/>
  <c r="G40" i="15"/>
  <c r="M13" i="15"/>
  <c r="G59" i="15"/>
  <c r="F57" i="15"/>
  <c r="G57" i="15" s="1"/>
  <c r="W13" i="15"/>
  <c r="F22" i="15"/>
  <c r="H12" i="15"/>
  <c r="G66" i="15"/>
  <c r="F64" i="15"/>
  <c r="G64" i="15" s="1"/>
  <c r="F50" i="15"/>
  <c r="G50" i="15" s="1"/>
  <c r="G52" i="15"/>
  <c r="AH13" i="15"/>
  <c r="F23" i="15"/>
  <c r="G94" i="15"/>
  <c r="F92" i="15"/>
  <c r="G92" i="15" s="1"/>
  <c r="C10" i="15"/>
  <c r="Q12" i="15"/>
  <c r="F30" i="15"/>
  <c r="F28" i="15" s="1"/>
  <c r="I13" i="15"/>
  <c r="G54" i="15"/>
  <c r="AI13" i="15"/>
  <c r="G80" i="15"/>
  <c r="F78" i="15"/>
  <c r="G78" i="15" s="1"/>
  <c r="F71" i="15"/>
  <c r="G96" i="15"/>
  <c r="G101" i="15"/>
  <c r="F99" i="15"/>
  <c r="G99" i="15" s="1"/>
  <c r="D10" i="15"/>
  <c r="G103" i="15"/>
  <c r="L12" i="15"/>
  <c r="E10" i="15" l="1"/>
  <c r="D11" i="15"/>
  <c r="E11" i="15" s="1"/>
  <c r="F21" i="15"/>
  <c r="G24" i="15"/>
  <c r="C12" i="15"/>
  <c r="C11" i="15" s="1"/>
  <c r="G22" i="15"/>
  <c r="G71" i="15"/>
  <c r="G73" i="15"/>
  <c r="F35" i="15"/>
  <c r="G38" i="15"/>
  <c r="G31" i="15"/>
  <c r="G29" i="15"/>
  <c r="G36" i="15"/>
  <c r="E12" i="15"/>
  <c r="V8" i="10" l="1"/>
  <c r="V9" i="10"/>
  <c r="V10" i="10"/>
  <c r="V11" i="10"/>
  <c r="V12" i="10"/>
  <c r="V13" i="10"/>
  <c r="V14" i="10"/>
  <c r="V15" i="10"/>
  <c r="U8" i="10"/>
  <c r="U9" i="10"/>
  <c r="W9" i="10" s="1"/>
  <c r="U10" i="10"/>
  <c r="U11" i="10"/>
  <c r="U12" i="10"/>
  <c r="U13" i="10"/>
  <c r="U14" i="10"/>
  <c r="U15" i="10"/>
  <c r="U7" i="10"/>
  <c r="P7" i="10"/>
  <c r="Q7" i="10" s="1"/>
  <c r="O10" i="10"/>
  <c r="F27" i="10"/>
  <c r="U16" i="10" l="1"/>
  <c r="W14" i="10"/>
  <c r="W15" i="10"/>
  <c r="W13" i="10"/>
  <c r="W12" i="10"/>
  <c r="F4" i="23"/>
  <c r="W8" i="10"/>
  <c r="W11" i="10"/>
  <c r="W10" i="10"/>
  <c r="H4" i="23" l="1"/>
  <c r="F7" i="23"/>
  <c r="J1873" i="5"/>
  <c r="K1873" i="5" l="1"/>
  <c r="AN108" i="15" l="1"/>
  <c r="AN103" i="15"/>
  <c r="AN106" i="15" s="1"/>
  <c r="AN54" i="15"/>
  <c r="AE38" i="3"/>
  <c r="AN33" i="15" l="1"/>
  <c r="AN36" i="15" s="1"/>
  <c r="AN73" i="15"/>
  <c r="AN40" i="15"/>
  <c r="AN43" i="15" s="1"/>
  <c r="AN81" i="15"/>
  <c r="AN84" i="15" s="1"/>
  <c r="AN96" i="15"/>
  <c r="AN99" i="15" s="1"/>
  <c r="AN68" i="15"/>
  <c r="AN71" i="15" s="1"/>
  <c r="AN100" i="15"/>
  <c r="AN101" i="15"/>
  <c r="AN38" i="15"/>
  <c r="AN19" i="15"/>
  <c r="AN22" i="15" s="1"/>
  <c r="AN39" i="15"/>
  <c r="AN42" i="15" s="1"/>
  <c r="AN88" i="15"/>
  <c r="AN91" i="15" s="1"/>
  <c r="AN102" i="15"/>
  <c r="AN105" i="15" s="1"/>
  <c r="AN32" i="15"/>
  <c r="AN35" i="15" s="1"/>
  <c r="AN53" i="15"/>
  <c r="AN56" i="15" s="1"/>
  <c r="AN46" i="15"/>
  <c r="AN49" i="15" s="1"/>
  <c r="AN95" i="15"/>
  <c r="AN98" i="15" s="1"/>
  <c r="AN18" i="15"/>
  <c r="AN21" i="15" s="1"/>
  <c r="AN67" i="15"/>
  <c r="AN70" i="15" s="1"/>
  <c r="AN74" i="15"/>
  <c r="AN77" i="15" s="1"/>
  <c r="AN60" i="15"/>
  <c r="AN63" i="15" s="1"/>
  <c r="AN61" i="15"/>
  <c r="AN64" i="15" s="1"/>
  <c r="AN57" i="15"/>
  <c r="AN59" i="15"/>
  <c r="AN47" i="15"/>
  <c r="AN50" i="15" s="1"/>
  <c r="AN82" i="15" l="1"/>
  <c r="AN85" i="15" s="1"/>
  <c r="AN89" i="15"/>
  <c r="AN92" i="15" s="1"/>
  <c r="AN87" i="15"/>
  <c r="AN75" i="15"/>
  <c r="AN78" i="15" s="1"/>
  <c r="AN45" i="15"/>
  <c r="AN80" i="15"/>
  <c r="AN51" i="15"/>
  <c r="AN79" i="15"/>
  <c r="AN65" i="15"/>
  <c r="AN37" i="15"/>
  <c r="AN107" i="15"/>
  <c r="AN86" i="15"/>
  <c r="AN72" i="15"/>
  <c r="AN44" i="15"/>
  <c r="AN23" i="15"/>
  <c r="AN58" i="15"/>
  <c r="AN93" i="15"/>
  <c r="AN52" i="15"/>
  <c r="AN66" i="15"/>
  <c r="AN24" i="15"/>
  <c r="AN94" i="15" l="1"/>
  <c r="AA2" i="20" a="1"/>
  <c r="AA2" i="20" s="1"/>
  <c r="Z2" i="20" a="1"/>
  <c r="Z2" i="20" s="1"/>
  <c r="Y2" i="20" a="1"/>
  <c r="Y2" i="20" s="1"/>
  <c r="X2" i="20" a="1"/>
  <c r="X2" i="20" s="1"/>
  <c r="W2" i="20" a="1"/>
  <c r="W2" i="20" s="1"/>
  <c r="V2" i="20" a="1"/>
  <c r="V2" i="20" s="1"/>
  <c r="U2" i="20" a="1"/>
  <c r="U2" i="20" s="1"/>
  <c r="T2" i="20" a="1"/>
  <c r="T2" i="20" s="1"/>
  <c r="S2" i="20" a="1"/>
  <c r="S2" i="20" s="1"/>
  <c r="R2" i="20" a="1"/>
  <c r="R2" i="20" s="1"/>
  <c r="Q2" i="20" a="1"/>
  <c r="Q2" i="20" s="1"/>
  <c r="P2" i="20" a="1"/>
  <c r="P2" i="20" s="1"/>
  <c r="O2" i="20" a="1"/>
  <c r="O2" i="20" s="1"/>
  <c r="N2" i="20" a="1"/>
  <c r="N2" i="20" s="1"/>
  <c r="M2" i="20" a="1"/>
  <c r="M2" i="20" s="1"/>
  <c r="L2" i="20" a="1"/>
  <c r="L2" i="20" s="1"/>
  <c r="K2" i="20" a="1"/>
  <c r="K2" i="20" s="1"/>
  <c r="J2" i="20" a="1"/>
  <c r="J2" i="20" s="1"/>
  <c r="I2" i="20" a="1"/>
  <c r="I2" i="20" s="1"/>
  <c r="H2" i="20" a="1"/>
  <c r="H2" i="20" s="1"/>
  <c r="G2" i="20" a="1"/>
  <c r="G2" i="20" s="1"/>
  <c r="F2" i="20" a="1"/>
  <c r="F2" i="20" s="1"/>
  <c r="E2" i="20" a="1"/>
  <c r="E2" i="20" s="1"/>
  <c r="D2" i="20" a="1"/>
  <c r="D2" i="20" s="1"/>
  <c r="C2" i="20" a="1"/>
  <c r="C2" i="20" s="1"/>
  <c r="B2" i="20" a="1"/>
  <c r="B2" i="20" s="1"/>
  <c r="AA1" i="20"/>
  <c r="Z1" i="20"/>
  <c r="Y1" i="20"/>
  <c r="X1" i="20"/>
  <c r="W1" i="20"/>
  <c r="V1" i="20"/>
  <c r="U1" i="20"/>
  <c r="T1" i="20"/>
  <c r="S1" i="20"/>
  <c r="R1" i="20"/>
  <c r="Q1" i="20"/>
  <c r="P1" i="20"/>
  <c r="O1" i="20"/>
  <c r="B1" i="20"/>
  <c r="N1" i="20"/>
  <c r="M1" i="20"/>
  <c r="L1" i="20"/>
  <c r="K1" i="20"/>
  <c r="J1" i="20"/>
  <c r="I1" i="20"/>
  <c r="H1" i="20"/>
  <c r="G1" i="20"/>
  <c r="F1" i="20"/>
  <c r="E1" i="20"/>
  <c r="D1" i="20"/>
  <c r="C1" i="20"/>
  <c r="D37" i="3"/>
  <c r="K16" i="10"/>
  <c r="O20" i="10"/>
  <c r="I36" i="10"/>
  <c r="I39" i="10"/>
  <c r="J39" i="10"/>
  <c r="B30" i="20"/>
  <c r="B28" i="20"/>
  <c r="B27" i="20"/>
  <c r="B32" i="20"/>
  <c r="B26" i="20"/>
  <c r="B31" i="20"/>
  <c r="B29" i="20"/>
  <c r="X37" i="3" l="1"/>
  <c r="U63" i="10" l="1"/>
  <c r="U64" i="10"/>
  <c r="U65" i="10"/>
  <c r="W63" i="10" l="1"/>
  <c r="C45" i="9" l="1"/>
  <c r="C22" i="9"/>
  <c r="C19" i="9" l="1"/>
  <c r="AA38" i="10" l="1"/>
  <c r="AA37" i="10"/>
  <c r="AA39" i="10" l="1"/>
  <c r="P143" i="18"/>
  <c r="P136" i="18"/>
  <c r="P129" i="18"/>
  <c r="P122" i="18"/>
  <c r="P115" i="18"/>
  <c r="P108" i="18"/>
  <c r="P101" i="18"/>
  <c r="P94" i="18"/>
  <c r="P87" i="18"/>
  <c r="P80" i="18"/>
  <c r="P73" i="18"/>
  <c r="P66" i="18"/>
  <c r="P59" i="18"/>
  <c r="D57" i="18"/>
  <c r="D58" i="18" s="1"/>
  <c r="O50" i="3"/>
  <c r="O51" i="3"/>
  <c r="D17" i="1"/>
  <c r="D16" i="1"/>
  <c r="D49" i="3"/>
  <c r="X49" i="3" s="1"/>
  <c r="D48" i="3"/>
  <c r="X48" i="3" s="1"/>
  <c r="D47" i="3"/>
  <c r="C18" i="18" s="1"/>
  <c r="D46" i="3"/>
  <c r="C17" i="18" s="1"/>
  <c r="D45" i="3"/>
  <c r="X45" i="3" s="1"/>
  <c r="D44" i="3"/>
  <c r="X44" i="3" s="1"/>
  <c r="D43" i="3"/>
  <c r="X43" i="3" s="1"/>
  <c r="D42" i="3"/>
  <c r="X42" i="3" s="1"/>
  <c r="D41" i="3"/>
  <c r="X41" i="3" s="1"/>
  <c r="D40" i="3"/>
  <c r="X40" i="3" s="1"/>
  <c r="D39" i="3"/>
  <c r="X39" i="3" s="1"/>
  <c r="D38" i="3"/>
  <c r="X38" i="3" s="1"/>
  <c r="T37" i="3"/>
  <c r="C24" i="9"/>
  <c r="AH46" i="3" l="1"/>
  <c r="G36" i="18"/>
  <c r="H36" i="18" s="1"/>
  <c r="M33" i="18"/>
  <c r="N33" i="18" s="1"/>
  <c r="M39" i="18"/>
  <c r="N39" i="18" s="1"/>
  <c r="G32" i="18"/>
  <c r="H32" i="18" s="1"/>
  <c r="M35" i="18"/>
  <c r="N35" i="18" s="1"/>
  <c r="M37" i="18"/>
  <c r="N37" i="18" s="1"/>
  <c r="G31" i="18"/>
  <c r="H31" i="18" s="1"/>
  <c r="M31" i="18"/>
  <c r="N31" i="18" s="1"/>
  <c r="M36" i="18"/>
  <c r="N36" i="18" s="1"/>
  <c r="G29" i="18"/>
  <c r="H29" i="18" s="1"/>
  <c r="O29" i="18" s="1"/>
  <c r="M34" i="18"/>
  <c r="N34" i="18" s="1"/>
  <c r="H30" i="18"/>
  <c r="M32" i="18"/>
  <c r="N32" i="18" s="1"/>
  <c r="M38" i="18"/>
  <c r="N38" i="18" s="1"/>
  <c r="G37" i="18"/>
  <c r="H37" i="18" s="1"/>
  <c r="G35" i="18"/>
  <c r="H35" i="18" s="1"/>
  <c r="M28" i="18"/>
  <c r="G38" i="18"/>
  <c r="H38" i="18" s="1"/>
  <c r="G33" i="18"/>
  <c r="H33" i="18" s="1"/>
  <c r="G34" i="18"/>
  <c r="H34" i="18" s="1"/>
  <c r="G39" i="18"/>
  <c r="H39" i="18" s="1"/>
  <c r="M30" i="18"/>
  <c r="N30" i="18" s="1"/>
  <c r="AI46" i="3"/>
  <c r="AB41" i="10"/>
  <c r="W32" i="6" s="1"/>
  <c r="X46" i="3"/>
  <c r="X47" i="3"/>
  <c r="T40" i="3"/>
  <c r="T41" i="3"/>
  <c r="T43" i="3"/>
  <c r="T44" i="3"/>
  <c r="T45" i="3"/>
  <c r="T48" i="3"/>
  <c r="C20" i="18"/>
  <c r="Q145" i="18" s="1"/>
  <c r="T47" i="3"/>
  <c r="C10" i="18"/>
  <c r="Q75" i="18" s="1"/>
  <c r="T46" i="3"/>
  <c r="C9" i="18"/>
  <c r="Q68" i="18" s="1"/>
  <c r="G17" i="18"/>
  <c r="C19" i="18"/>
  <c r="Q138" i="18" s="1"/>
  <c r="C16" i="18"/>
  <c r="Q117" i="18" s="1"/>
  <c r="Q124" i="18"/>
  <c r="C15" i="18"/>
  <c r="Q110" i="18" s="1"/>
  <c r="T39" i="3"/>
  <c r="T38" i="3"/>
  <c r="C14" i="18"/>
  <c r="Q103" i="18" s="1"/>
  <c r="C13" i="18"/>
  <c r="G13" i="18" s="1"/>
  <c r="Q131" i="18"/>
  <c r="C12" i="18"/>
  <c r="Q89" i="18" s="1"/>
  <c r="C11" i="18"/>
  <c r="C8" i="18"/>
  <c r="T42" i="3"/>
  <c r="G18" i="18"/>
  <c r="B19" i="9"/>
  <c r="S32" i="6" l="1"/>
  <c r="O36" i="18"/>
  <c r="O38" i="18"/>
  <c r="O31" i="18"/>
  <c r="O33" i="18"/>
  <c r="O39" i="18"/>
  <c r="G41" i="18"/>
  <c r="H28" i="18"/>
  <c r="H41" i="18" s="1"/>
  <c r="O34" i="18"/>
  <c r="O37" i="18"/>
  <c r="M41" i="18"/>
  <c r="O32" i="18"/>
  <c r="O30" i="18"/>
  <c r="O35" i="18"/>
  <c r="AB42" i="10"/>
  <c r="G9" i="18"/>
  <c r="X50" i="3"/>
  <c r="Z50" i="3" s="1"/>
  <c r="G19" i="18"/>
  <c r="G10" i="18"/>
  <c r="G20" i="18"/>
  <c r="G16" i="18"/>
  <c r="G14" i="18"/>
  <c r="C21" i="18"/>
  <c r="G15" i="18"/>
  <c r="Q61" i="18"/>
  <c r="G8" i="18"/>
  <c r="G11" i="18"/>
  <c r="Q82" i="18"/>
  <c r="Q96" i="18"/>
  <c r="G12" i="18"/>
  <c r="AB43" i="10" l="1"/>
  <c r="W34" i="6" s="1"/>
  <c r="S34" i="6" s="1"/>
  <c r="W33" i="6"/>
  <c r="S33" i="6" s="1"/>
  <c r="G21" i="18"/>
  <c r="D28" i="10"/>
  <c r="J35" i="10" l="1"/>
  <c r="J34" i="10"/>
  <c r="I1873" i="5"/>
  <c r="I1872" i="5"/>
  <c r="I1871" i="5"/>
  <c r="I1867" i="5"/>
  <c r="I1868" i="5"/>
  <c r="I1866" i="5"/>
  <c r="I1864" i="5"/>
  <c r="I1865" i="5"/>
  <c r="I1853" i="5"/>
  <c r="I1843" i="5"/>
  <c r="I1844" i="5"/>
  <c r="I1840" i="5"/>
  <c r="I1839" i="5"/>
  <c r="I1804" i="5"/>
  <c r="I1805" i="5"/>
  <c r="I1794" i="5"/>
  <c r="N85" i="16"/>
  <c r="M85" i="16"/>
  <c r="L85" i="16"/>
  <c r="K85" i="16"/>
  <c r="J85" i="16"/>
  <c r="I85" i="16"/>
  <c r="I82" i="16"/>
  <c r="E82" i="16"/>
  <c r="E85" i="16" s="1"/>
  <c r="F85" i="16" s="1"/>
  <c r="F84" i="16" s="1"/>
  <c r="N81" i="16"/>
  <c r="I81" i="16" s="1"/>
  <c r="M81" i="16"/>
  <c r="L81" i="16"/>
  <c r="K81" i="16"/>
  <c r="J81" i="16"/>
  <c r="E81" i="16"/>
  <c r="F81" i="16" s="1"/>
  <c r="F80" i="16" s="1"/>
  <c r="I78" i="16"/>
  <c r="I80" i="16" s="1"/>
  <c r="R80" i="16" s="1"/>
  <c r="E78" i="16"/>
  <c r="P77" i="16"/>
  <c r="N77" i="16"/>
  <c r="M77" i="16"/>
  <c r="L77" i="16"/>
  <c r="K77" i="16"/>
  <c r="J77" i="16"/>
  <c r="I77" i="16"/>
  <c r="F77" i="16"/>
  <c r="Q77" i="16" s="1"/>
  <c r="P76" i="16"/>
  <c r="R76" i="16" s="1"/>
  <c r="I76" i="16"/>
  <c r="H76" i="16"/>
  <c r="F76" i="16"/>
  <c r="Q76" i="16" s="1"/>
  <c r="I75" i="16"/>
  <c r="Q74" i="16"/>
  <c r="I74" i="16"/>
  <c r="E74" i="16"/>
  <c r="E77" i="16" s="1"/>
  <c r="N73" i="16"/>
  <c r="M73" i="16"/>
  <c r="L73" i="16"/>
  <c r="I73" i="16" s="1"/>
  <c r="K73" i="16"/>
  <c r="J73" i="16"/>
  <c r="P72" i="16"/>
  <c r="I72" i="16"/>
  <c r="I70" i="16"/>
  <c r="H72" i="16" s="1"/>
  <c r="E70" i="16"/>
  <c r="E73" i="16" s="1"/>
  <c r="F73" i="16" s="1"/>
  <c r="Q69" i="16"/>
  <c r="P69" i="16"/>
  <c r="N69" i="16"/>
  <c r="M69" i="16"/>
  <c r="L69" i="16"/>
  <c r="K69" i="16"/>
  <c r="J69" i="16"/>
  <c r="I69" i="16"/>
  <c r="F69" i="16"/>
  <c r="F68" i="16" s="1"/>
  <c r="Q68" i="16" s="1"/>
  <c r="E69" i="16"/>
  <c r="I68" i="16"/>
  <c r="R68" i="16" s="1"/>
  <c r="H68" i="16"/>
  <c r="I67" i="16"/>
  <c r="Q66" i="16"/>
  <c r="I66" i="16"/>
  <c r="E66" i="16"/>
  <c r="N65" i="16"/>
  <c r="M65" i="16"/>
  <c r="L65" i="16"/>
  <c r="K65" i="16"/>
  <c r="I65" i="16" s="1"/>
  <c r="J65" i="16"/>
  <c r="I64" i="16"/>
  <c r="R64" i="16" s="1"/>
  <c r="H64" i="16"/>
  <c r="F64" i="16"/>
  <c r="Q64" i="16" s="1"/>
  <c r="I62" i="16"/>
  <c r="I63" i="16" s="1"/>
  <c r="E62" i="16"/>
  <c r="E65" i="16" s="1"/>
  <c r="F65" i="16" s="1"/>
  <c r="N61" i="16"/>
  <c r="M61" i="16"/>
  <c r="L61" i="16"/>
  <c r="K61" i="16"/>
  <c r="J61" i="16"/>
  <c r="I61" i="16" s="1"/>
  <c r="I60" i="16"/>
  <c r="R60" i="16" s="1"/>
  <c r="I58" i="16"/>
  <c r="H60" i="16" s="1"/>
  <c r="E58" i="16"/>
  <c r="E61" i="16" s="1"/>
  <c r="F61" i="16" s="1"/>
  <c r="Q57" i="16"/>
  <c r="N57" i="16"/>
  <c r="M57" i="16"/>
  <c r="L57" i="16"/>
  <c r="K57" i="16"/>
  <c r="J57" i="16"/>
  <c r="I57" i="16" s="1"/>
  <c r="I54" i="16"/>
  <c r="E54" i="16"/>
  <c r="E57" i="16" s="1"/>
  <c r="F57" i="16" s="1"/>
  <c r="F56" i="16" s="1"/>
  <c r="Q56" i="16" s="1"/>
  <c r="P53" i="16"/>
  <c r="N53" i="16"/>
  <c r="M53" i="16"/>
  <c r="L53" i="16"/>
  <c r="K53" i="16"/>
  <c r="J53" i="16"/>
  <c r="I53" i="16"/>
  <c r="Q53" i="16" s="1"/>
  <c r="E53" i="16"/>
  <c r="F53" i="16" s="1"/>
  <c r="I52" i="16"/>
  <c r="R52" i="16" s="1"/>
  <c r="H52" i="16"/>
  <c r="F52" i="16"/>
  <c r="Q52" i="16" s="1"/>
  <c r="I51" i="16"/>
  <c r="Q50" i="16"/>
  <c r="I50" i="16"/>
  <c r="E50" i="16"/>
  <c r="P49" i="16"/>
  <c r="N49" i="16"/>
  <c r="M49" i="16"/>
  <c r="L49" i="16"/>
  <c r="I49" i="16" s="1"/>
  <c r="K49" i="16"/>
  <c r="J49" i="16"/>
  <c r="E49" i="16"/>
  <c r="F49" i="16" s="1"/>
  <c r="I48" i="16"/>
  <c r="R48" i="16" s="1"/>
  <c r="H48" i="16"/>
  <c r="I46" i="16"/>
  <c r="Q46" i="16" s="1"/>
  <c r="E46" i="16"/>
  <c r="P45" i="16"/>
  <c r="N45" i="16"/>
  <c r="M45" i="16"/>
  <c r="L45" i="16"/>
  <c r="K45" i="16"/>
  <c r="J45" i="16"/>
  <c r="I45" i="16"/>
  <c r="E45" i="16"/>
  <c r="F45" i="16" s="1"/>
  <c r="I42" i="16"/>
  <c r="E42" i="16"/>
  <c r="N41" i="16"/>
  <c r="M41" i="16"/>
  <c r="L41" i="16"/>
  <c r="K41" i="16"/>
  <c r="J41" i="16"/>
  <c r="I41" i="16" s="1"/>
  <c r="P40" i="16"/>
  <c r="R40" i="16" s="1"/>
  <c r="I40" i="16"/>
  <c r="H40" i="16"/>
  <c r="I38" i="16"/>
  <c r="I39" i="16" s="1"/>
  <c r="E38" i="16"/>
  <c r="E41" i="16" s="1"/>
  <c r="F41" i="16" s="1"/>
  <c r="P37" i="16"/>
  <c r="N37" i="16"/>
  <c r="N5" i="16" s="1"/>
  <c r="N4" i="16" s="1"/>
  <c r="M37" i="16"/>
  <c r="I37" i="16" s="1"/>
  <c r="Q37" i="16" s="1"/>
  <c r="L37" i="16"/>
  <c r="K37" i="16"/>
  <c r="J37" i="16"/>
  <c r="P36" i="16"/>
  <c r="I35" i="16"/>
  <c r="I34" i="16"/>
  <c r="E34" i="16"/>
  <c r="E37" i="16" s="1"/>
  <c r="F37" i="16" s="1"/>
  <c r="F36" i="16" s="1"/>
  <c r="Q36" i="16" s="1"/>
  <c r="N33" i="16"/>
  <c r="M33" i="16"/>
  <c r="L33" i="16"/>
  <c r="K33" i="16"/>
  <c r="J33" i="16"/>
  <c r="I33" i="16"/>
  <c r="E33" i="16"/>
  <c r="F33" i="16" s="1"/>
  <c r="Q33" i="16" s="1"/>
  <c r="I32" i="16"/>
  <c r="R32" i="16" s="1"/>
  <c r="H32" i="16"/>
  <c r="I31" i="16"/>
  <c r="Q30" i="16"/>
  <c r="I30" i="16"/>
  <c r="E30" i="16"/>
  <c r="N29" i="16"/>
  <c r="M29" i="16"/>
  <c r="L29" i="16"/>
  <c r="I29" i="16" s="1"/>
  <c r="K29" i="16"/>
  <c r="J29" i="16"/>
  <c r="P28" i="16"/>
  <c r="P29" i="16" s="1"/>
  <c r="I28" i="16"/>
  <c r="I26" i="16"/>
  <c r="H28" i="16" s="1"/>
  <c r="E26" i="16"/>
  <c r="E29" i="16" s="1"/>
  <c r="F29" i="16" s="1"/>
  <c r="N25" i="16"/>
  <c r="M25" i="16"/>
  <c r="L25" i="16"/>
  <c r="K25" i="16"/>
  <c r="J25" i="16"/>
  <c r="I25" i="16" s="1"/>
  <c r="E25" i="16"/>
  <c r="F25" i="16" s="1"/>
  <c r="P24" i="16"/>
  <c r="R24" i="16" s="1"/>
  <c r="I24" i="16"/>
  <c r="H24" i="16"/>
  <c r="I23" i="16"/>
  <c r="I22" i="16"/>
  <c r="Q22" i="16" s="1"/>
  <c r="E22" i="16"/>
  <c r="N21" i="16"/>
  <c r="M21" i="16"/>
  <c r="L21" i="16"/>
  <c r="K21" i="16"/>
  <c r="J21" i="16"/>
  <c r="I21" i="16" s="1"/>
  <c r="P20" i="16"/>
  <c r="I18" i="16"/>
  <c r="E18" i="16"/>
  <c r="E21" i="16" s="1"/>
  <c r="F21" i="16" s="1"/>
  <c r="N17" i="16"/>
  <c r="M17" i="16"/>
  <c r="I17" i="16" s="1"/>
  <c r="L17" i="16"/>
  <c r="K17" i="16"/>
  <c r="J17" i="16"/>
  <c r="I14" i="16"/>
  <c r="I16" i="16" s="1"/>
  <c r="R16" i="16" s="1"/>
  <c r="E14" i="16"/>
  <c r="E17" i="16" s="1"/>
  <c r="F17" i="16" s="1"/>
  <c r="F16" i="16" s="1"/>
  <c r="P13" i="16"/>
  <c r="N13" i="16"/>
  <c r="I13" i="16" s="1"/>
  <c r="M13" i="16"/>
  <c r="L13" i="16"/>
  <c r="K13" i="16"/>
  <c r="J13" i="16"/>
  <c r="E13" i="16"/>
  <c r="F13" i="16" s="1"/>
  <c r="Q13" i="16" s="1"/>
  <c r="P12" i="16"/>
  <c r="F12" i="16"/>
  <c r="Q12" i="16" s="1"/>
  <c r="I10" i="16"/>
  <c r="I11" i="16" s="1"/>
  <c r="E10" i="16"/>
  <c r="N9" i="16"/>
  <c r="M9" i="16"/>
  <c r="M5" i="16" s="1"/>
  <c r="M4" i="16" s="1"/>
  <c r="L9" i="16"/>
  <c r="K9" i="16"/>
  <c r="J9" i="16"/>
  <c r="E9" i="16"/>
  <c r="F9" i="16" s="1"/>
  <c r="F8" i="16" s="1"/>
  <c r="Q8" i="16" s="1"/>
  <c r="P8" i="16"/>
  <c r="I8" i="16"/>
  <c r="H8" i="16"/>
  <c r="Q7" i="16"/>
  <c r="I6" i="16"/>
  <c r="Q6" i="16" s="1"/>
  <c r="E6" i="16"/>
  <c r="H5" i="16"/>
  <c r="H4" i="16" s="1"/>
  <c r="G5" i="16"/>
  <c r="G4" i="16" s="1"/>
  <c r="E5" i="16"/>
  <c r="P3" i="16"/>
  <c r="N3" i="16"/>
  <c r="M3" i="16"/>
  <c r="L3" i="16"/>
  <c r="K3" i="16"/>
  <c r="J3" i="16"/>
  <c r="H3" i="16"/>
  <c r="G3" i="16"/>
  <c r="F3" i="16"/>
  <c r="B38" i="3"/>
  <c r="O38" i="3" s="1"/>
  <c r="B49" i="3"/>
  <c r="O49" i="3" s="1"/>
  <c r="B48" i="3"/>
  <c r="O48" i="3" s="1"/>
  <c r="B47" i="3"/>
  <c r="O47" i="3" s="1"/>
  <c r="B46" i="3"/>
  <c r="O46" i="3" s="1"/>
  <c r="B45" i="3"/>
  <c r="O45" i="3" s="1"/>
  <c r="B44" i="3"/>
  <c r="O44" i="3" s="1"/>
  <c r="B43" i="3"/>
  <c r="O43" i="3" s="1"/>
  <c r="B42" i="3"/>
  <c r="O42" i="3" s="1"/>
  <c r="B41" i="3"/>
  <c r="O41" i="3" s="1"/>
  <c r="B40" i="3"/>
  <c r="O40" i="3" s="1"/>
  <c r="B39" i="3"/>
  <c r="O39" i="3" s="1"/>
  <c r="B37" i="3"/>
  <c r="O37" i="3" s="1"/>
  <c r="D50" i="3" l="1"/>
  <c r="F24" i="16"/>
  <c r="Q24" i="16" s="1"/>
  <c r="Q25" i="16"/>
  <c r="F44" i="16"/>
  <c r="Q44" i="16" s="1"/>
  <c r="Q45" i="16"/>
  <c r="Q73" i="16"/>
  <c r="F72" i="16"/>
  <c r="Q72" i="16" s="1"/>
  <c r="E3" i="16"/>
  <c r="E4" i="16" s="1"/>
  <c r="F40" i="16"/>
  <c r="Q40" i="16" s="1"/>
  <c r="Q41" i="16"/>
  <c r="P73" i="16"/>
  <c r="R72" i="16"/>
  <c r="F20" i="16"/>
  <c r="Q20" i="16" s="1"/>
  <c r="Q21" i="16"/>
  <c r="I84" i="16"/>
  <c r="R84" i="16" s="1"/>
  <c r="H84" i="16"/>
  <c r="I83" i="16"/>
  <c r="H44" i="16"/>
  <c r="I43" i="16"/>
  <c r="I44" i="16"/>
  <c r="R44" i="16" s="1"/>
  <c r="Q42" i="16"/>
  <c r="F48" i="16"/>
  <c r="Q48" i="16" s="1"/>
  <c r="Q49" i="16"/>
  <c r="F60" i="16"/>
  <c r="Q60" i="16" s="1"/>
  <c r="Q61" i="16"/>
  <c r="Q10" i="16"/>
  <c r="R28" i="16"/>
  <c r="R12" i="16"/>
  <c r="I20" i="16"/>
  <c r="R20" i="16" s="1"/>
  <c r="H20" i="16"/>
  <c r="I19" i="16"/>
  <c r="Q18" i="16"/>
  <c r="I36" i="16"/>
  <c r="R36" i="16" s="1"/>
  <c r="H36" i="16"/>
  <c r="I56" i="16"/>
  <c r="R56" i="16" s="1"/>
  <c r="H56" i="16"/>
  <c r="I55" i="16"/>
  <c r="Q54" i="16"/>
  <c r="Q65" i="16"/>
  <c r="P21" i="16"/>
  <c r="Q34" i="16"/>
  <c r="P9" i="16"/>
  <c r="R8" i="16"/>
  <c r="K5" i="16"/>
  <c r="K4" i="16" s="1"/>
  <c r="F32" i="16"/>
  <c r="Q32" i="16" s="1"/>
  <c r="F5" i="16"/>
  <c r="I3" i="16"/>
  <c r="Q3" i="16" s="1"/>
  <c r="I12" i="16"/>
  <c r="H12" i="16"/>
  <c r="I9" i="16"/>
  <c r="I5" i="16" s="1"/>
  <c r="J5" i="16"/>
  <c r="J4" i="16" s="1"/>
  <c r="L5" i="16"/>
  <c r="L4" i="16" s="1"/>
  <c r="Q29" i="16"/>
  <c r="F28" i="16"/>
  <c r="Q28" i="16" s="1"/>
  <c r="I79" i="16"/>
  <c r="I15" i="16"/>
  <c r="Q58" i="16"/>
  <c r="Q38" i="16"/>
  <c r="P41" i="16"/>
  <c r="I59" i="16"/>
  <c r="H80" i="16"/>
  <c r="H16" i="16"/>
  <c r="Q62" i="16"/>
  <c r="P25" i="16"/>
  <c r="I47" i="16"/>
  <c r="Q26" i="16"/>
  <c r="Q70" i="16"/>
  <c r="I27" i="16"/>
  <c r="I71" i="16"/>
  <c r="P5" i="16" l="1"/>
  <c r="P4" i="16" s="1"/>
  <c r="R4" i="16" s="1"/>
  <c r="Q5" i="16"/>
  <c r="F4" i="16"/>
  <c r="Q4" i="16" s="1"/>
  <c r="I4" i="16"/>
  <c r="CT83" i="8" l="1"/>
  <c r="CS83" i="8"/>
  <c r="CT82" i="8"/>
  <c r="CS82" i="8"/>
  <c r="CT81" i="8"/>
  <c r="CS81" i="8"/>
  <c r="CT80" i="8"/>
  <c r="CS80" i="8"/>
  <c r="CT79" i="8"/>
  <c r="CS79" i="8"/>
  <c r="CT78" i="8"/>
  <c r="CS78" i="8"/>
  <c r="CT77" i="8"/>
  <c r="CS77" i="8"/>
  <c r="CS86" i="8" s="1"/>
  <c r="CT76" i="8"/>
  <c r="CS76" i="8"/>
  <c r="CT75" i="8"/>
  <c r="CS75" i="8"/>
  <c r="CT71" i="8"/>
  <c r="CS71" i="8"/>
  <c r="CT70" i="8"/>
  <c r="CS70" i="8"/>
  <c r="CT69" i="8"/>
  <c r="CS69" i="8"/>
  <c r="CT68" i="8"/>
  <c r="CS68" i="8"/>
  <c r="CT67" i="8"/>
  <c r="CS67" i="8"/>
  <c r="CT66" i="8"/>
  <c r="CS66" i="8"/>
  <c r="CS72" i="8" s="1"/>
  <c r="CT65" i="8"/>
  <c r="CS65" i="8"/>
  <c r="CT64" i="8"/>
  <c r="CS64" i="8"/>
  <c r="CT63" i="8"/>
  <c r="CS63" i="8"/>
  <c r="CT59" i="8"/>
  <c r="CS59" i="8"/>
  <c r="CT58" i="8"/>
  <c r="CS58" i="8"/>
  <c r="CT57" i="8"/>
  <c r="CS57" i="8"/>
  <c r="CT56" i="8"/>
  <c r="CS56" i="8"/>
  <c r="CT55" i="8"/>
  <c r="CS55" i="8"/>
  <c r="CT54" i="8"/>
  <c r="CS54" i="8"/>
  <c r="CT53" i="8"/>
  <c r="CS53" i="8"/>
  <c r="CT52" i="8"/>
  <c r="CS52" i="8"/>
  <c r="CT51" i="8"/>
  <c r="CS51" i="8"/>
  <c r="CT46" i="8"/>
  <c r="F40" i="3" s="1"/>
  <c r="CS46" i="8"/>
  <c r="C40" i="3" s="1"/>
  <c r="CT45" i="8"/>
  <c r="CS45" i="8"/>
  <c r="CT44" i="8"/>
  <c r="CS44" i="8"/>
  <c r="CT43" i="8"/>
  <c r="CS43" i="8"/>
  <c r="CT42" i="8"/>
  <c r="CS42" i="8"/>
  <c r="CT41" i="8"/>
  <c r="CS41" i="8"/>
  <c r="CT40" i="8"/>
  <c r="CS40" i="8"/>
  <c r="CT39" i="8"/>
  <c r="CS39" i="8"/>
  <c r="F1840" i="5"/>
  <c r="F1841" i="5"/>
  <c r="C432" i="5"/>
  <c r="C433" i="5"/>
  <c r="C559" i="5"/>
  <c r="C560" i="5"/>
  <c r="C561" i="5"/>
  <c r="C562" i="5"/>
  <c r="C563" i="5"/>
  <c r="C687" i="5"/>
  <c r="C688" i="5"/>
  <c r="C689" i="5"/>
  <c r="C816" i="5"/>
  <c r="C817" i="5"/>
  <c r="C944" i="5"/>
  <c r="C945" i="5"/>
  <c r="C1071" i="5"/>
  <c r="C1072" i="5"/>
  <c r="C1073" i="5"/>
  <c r="C1074" i="5"/>
  <c r="C1199" i="5"/>
  <c r="C1200" i="5"/>
  <c r="C1201" i="5"/>
  <c r="C1328" i="5"/>
  <c r="C1329" i="5"/>
  <c r="C1455" i="5"/>
  <c r="C1456" i="5"/>
  <c r="C1457" i="5"/>
  <c r="C1458" i="5"/>
  <c r="C1583" i="5"/>
  <c r="C1584" i="5"/>
  <c r="C1585" i="5"/>
  <c r="C1586" i="5"/>
  <c r="C1711" i="5"/>
  <c r="C1712" i="5"/>
  <c r="C1713" i="5"/>
  <c r="C1839" i="5"/>
  <c r="C1840" i="5"/>
  <c r="C1841" i="5"/>
  <c r="C1967" i="5"/>
  <c r="C1968" i="5"/>
  <c r="C1969" i="5"/>
  <c r="C2096" i="5"/>
  <c r="C2097" i="5"/>
  <c r="C2223" i="5"/>
  <c r="C2224" i="5"/>
  <c r="C2225" i="5"/>
  <c r="C2352" i="5"/>
  <c r="C2353" i="5"/>
  <c r="C2480" i="5"/>
  <c r="C2481" i="5"/>
  <c r="C2608" i="5"/>
  <c r="C2609" i="5"/>
  <c r="C2736" i="5"/>
  <c r="C2737" i="5"/>
  <c r="C2864" i="5"/>
  <c r="C2865" i="5"/>
  <c r="C2992" i="5"/>
  <c r="C2993" i="5"/>
  <c r="C3119" i="5"/>
  <c r="C3120" i="5"/>
  <c r="C3248" i="5"/>
  <c r="C3249" i="5"/>
  <c r="C304" i="5"/>
  <c r="C176" i="5"/>
  <c r="C47" i="5"/>
  <c r="C48" i="5"/>
  <c r="Z158" i="14"/>
  <c r="Z159" i="14" s="1"/>
  <c r="T158" i="14"/>
  <c r="T159" i="14" s="1"/>
  <c r="S158" i="14"/>
  <c r="S159" i="14" s="1"/>
  <c r="AF156" i="14"/>
  <c r="AD156" i="14"/>
  <c r="AB156" i="14"/>
  <c r="AA156" i="14"/>
  <c r="Z156" i="14"/>
  <c r="Y156" i="14"/>
  <c r="W156" i="14"/>
  <c r="V156" i="14"/>
  <c r="U156" i="14"/>
  <c r="T156" i="14"/>
  <c r="P156" i="14"/>
  <c r="N156" i="14"/>
  <c r="L156" i="14"/>
  <c r="K156" i="14"/>
  <c r="J156" i="14"/>
  <c r="I156" i="14"/>
  <c r="G156" i="14"/>
  <c r="F156" i="14"/>
  <c r="E156" i="14"/>
  <c r="D156" i="14"/>
  <c r="AG155" i="14"/>
  <c r="AG156" i="14" s="1"/>
  <c r="AF155" i="14"/>
  <c r="AE155" i="14"/>
  <c r="AE156" i="14" s="1"/>
  <c r="AD155" i="14"/>
  <c r="AC155" i="14"/>
  <c r="AC156" i="14" s="1"/>
  <c r="AB155" i="14"/>
  <c r="AA155" i="14"/>
  <c r="Z155" i="14"/>
  <c r="Y155" i="14"/>
  <c r="X155" i="14"/>
  <c r="X156" i="14" s="1"/>
  <c r="W155" i="14"/>
  <c r="V155" i="14"/>
  <c r="U155" i="14"/>
  <c r="T155" i="14"/>
  <c r="S155" i="14"/>
  <c r="S156" i="14" s="1"/>
  <c r="R155" i="14"/>
  <c r="R156" i="14" s="1"/>
  <c r="Q155" i="14"/>
  <c r="C155" i="14" s="1"/>
  <c r="P155" i="14"/>
  <c r="O155" i="14"/>
  <c r="O156" i="14" s="1"/>
  <c r="N155" i="14"/>
  <c r="M155" i="14"/>
  <c r="M156" i="14" s="1"/>
  <c r="L155" i="14"/>
  <c r="K155" i="14"/>
  <c r="J155" i="14"/>
  <c r="I155" i="14"/>
  <c r="H155" i="14"/>
  <c r="H156" i="14" s="1"/>
  <c r="G155" i="14"/>
  <c r="F155" i="14"/>
  <c r="E155" i="14"/>
  <c r="D155" i="14"/>
  <c r="C153" i="14"/>
  <c r="C154" i="14" s="1"/>
  <c r="C151" i="14"/>
  <c r="C152" i="14" s="1"/>
  <c r="C149" i="14"/>
  <c r="C150" i="14" s="1"/>
  <c r="C147" i="14"/>
  <c r="C148" i="14" s="1"/>
  <c r="C145" i="14"/>
  <c r="C146" i="14" s="1"/>
  <c r="C144" i="14"/>
  <c r="C143" i="14"/>
  <c r="C141" i="14"/>
  <c r="C142" i="14" s="1"/>
  <c r="AG140" i="14"/>
  <c r="AF140" i="14"/>
  <c r="AE140" i="14"/>
  <c r="AD140" i="14"/>
  <c r="AC140" i="14"/>
  <c r="AB140" i="14"/>
  <c r="Z140" i="14"/>
  <c r="X140" i="14"/>
  <c r="W140" i="14"/>
  <c r="V140" i="14"/>
  <c r="U140" i="14"/>
  <c r="S140" i="14"/>
  <c r="R140" i="14"/>
  <c r="Q140" i="14"/>
  <c r="P140" i="14"/>
  <c r="O140" i="14"/>
  <c r="N140" i="14"/>
  <c r="M140" i="14"/>
  <c r="L140" i="14"/>
  <c r="J140" i="14"/>
  <c r="H140" i="14"/>
  <c r="G140" i="14"/>
  <c r="F140" i="14"/>
  <c r="E140" i="14"/>
  <c r="AG139" i="14"/>
  <c r="AF139" i="14"/>
  <c r="AE139" i="14"/>
  <c r="AD139" i="14"/>
  <c r="AC139" i="14"/>
  <c r="AB139" i="14"/>
  <c r="AB158" i="14" s="1"/>
  <c r="AB159" i="14" s="1"/>
  <c r="AA139" i="14"/>
  <c r="Z139" i="14"/>
  <c r="Y139" i="14"/>
  <c r="Y140" i="14" s="1"/>
  <c r="X139" i="14"/>
  <c r="W139" i="14"/>
  <c r="V139" i="14"/>
  <c r="U139" i="14"/>
  <c r="T139" i="14"/>
  <c r="T140" i="14" s="1"/>
  <c r="S139" i="14"/>
  <c r="R139" i="14"/>
  <c r="Q139" i="14"/>
  <c r="P139" i="14"/>
  <c r="O139" i="14"/>
  <c r="N139" i="14"/>
  <c r="M139" i="14"/>
  <c r="L139" i="14"/>
  <c r="L158" i="14" s="1"/>
  <c r="L159" i="14" s="1"/>
  <c r="K139" i="14"/>
  <c r="J139" i="14"/>
  <c r="I139" i="14"/>
  <c r="I140" i="14" s="1"/>
  <c r="H139" i="14"/>
  <c r="G139" i="14"/>
  <c r="F139" i="14"/>
  <c r="E139" i="14"/>
  <c r="D139" i="14"/>
  <c r="C137" i="14"/>
  <c r="C138" i="14" s="1"/>
  <c r="C135" i="14"/>
  <c r="C136" i="14" s="1"/>
  <c r="C133" i="14"/>
  <c r="C134" i="14" s="1"/>
  <c r="C132" i="14"/>
  <c r="C131" i="14"/>
  <c r="C129" i="14"/>
  <c r="C130" i="14" s="1"/>
  <c r="C127" i="14"/>
  <c r="C128" i="14" s="1"/>
  <c r="C125" i="14"/>
  <c r="C126" i="14" s="1"/>
  <c r="C124" i="14"/>
  <c r="C123" i="14"/>
  <c r="C121" i="14"/>
  <c r="C122" i="14" s="1"/>
  <c r="C119" i="14"/>
  <c r="C120" i="14" s="1"/>
  <c r="C117" i="14"/>
  <c r="C118" i="14" s="1"/>
  <c r="C115" i="14"/>
  <c r="C116" i="14" s="1"/>
  <c r="C113" i="14"/>
  <c r="C114" i="14" s="1"/>
  <c r="C111" i="14"/>
  <c r="C112" i="14" s="1"/>
  <c r="C109" i="14"/>
  <c r="C110" i="14" s="1"/>
  <c r="C108" i="14"/>
  <c r="C107" i="14"/>
  <c r="C105" i="14"/>
  <c r="C106" i="14" s="1"/>
  <c r="C103" i="14"/>
  <c r="C104" i="14" s="1"/>
  <c r="C102" i="14"/>
  <c r="C101" i="14"/>
  <c r="C99" i="14"/>
  <c r="C100" i="14" s="1"/>
  <c r="AF98" i="14"/>
  <c r="AD98" i="14"/>
  <c r="AC98" i="14"/>
  <c r="AB98" i="14"/>
  <c r="AA98" i="14"/>
  <c r="Y98" i="14"/>
  <c r="X98" i="14"/>
  <c r="W98" i="14"/>
  <c r="V98" i="14"/>
  <c r="T98" i="14"/>
  <c r="S98" i="14"/>
  <c r="R98" i="14"/>
  <c r="P98" i="14"/>
  <c r="N98" i="14"/>
  <c r="M98" i="14"/>
  <c r="L98" i="14"/>
  <c r="K98" i="14"/>
  <c r="I98" i="14"/>
  <c r="H98" i="14"/>
  <c r="G98" i="14"/>
  <c r="F98" i="14"/>
  <c r="D98" i="14"/>
  <c r="AG97" i="14"/>
  <c r="AG98" i="14" s="1"/>
  <c r="AF97" i="14"/>
  <c r="AE97" i="14"/>
  <c r="AE98" i="14" s="1"/>
  <c r="AD97" i="14"/>
  <c r="AC97" i="14"/>
  <c r="AB97" i="14"/>
  <c r="AA97" i="14"/>
  <c r="Z97" i="14"/>
  <c r="Z98" i="14" s="1"/>
  <c r="Y97" i="14"/>
  <c r="X97" i="14"/>
  <c r="X158" i="14" s="1"/>
  <c r="X159" i="14" s="1"/>
  <c r="W97" i="14"/>
  <c r="W158" i="14" s="1"/>
  <c r="W159" i="14" s="1"/>
  <c r="V97" i="14"/>
  <c r="V158" i="14" s="1"/>
  <c r="V159" i="14" s="1"/>
  <c r="U97" i="14"/>
  <c r="U158" i="14" s="1"/>
  <c r="U159" i="14" s="1"/>
  <c r="T97" i="14"/>
  <c r="S97" i="14"/>
  <c r="R97" i="14"/>
  <c r="R158" i="14" s="1"/>
  <c r="R159" i="14" s="1"/>
  <c r="Q97" i="14"/>
  <c r="Q98" i="14" s="1"/>
  <c r="P97" i="14"/>
  <c r="O97" i="14"/>
  <c r="O98" i="14" s="1"/>
  <c r="N97" i="14"/>
  <c r="M97" i="14"/>
  <c r="L97" i="14"/>
  <c r="K97" i="14"/>
  <c r="J97" i="14"/>
  <c r="J98" i="14" s="1"/>
  <c r="I97" i="14"/>
  <c r="H97" i="14"/>
  <c r="H158" i="14" s="1"/>
  <c r="H159" i="14" s="1"/>
  <c r="G97" i="14"/>
  <c r="G158" i="14" s="1"/>
  <c r="G159" i="14" s="1"/>
  <c r="F97" i="14"/>
  <c r="F158" i="14" s="1"/>
  <c r="F159" i="14" s="1"/>
  <c r="E97" i="14"/>
  <c r="E98" i="14" s="1"/>
  <c r="D97" i="14"/>
  <c r="C96" i="14"/>
  <c r="C95" i="14"/>
  <c r="C93" i="14"/>
  <c r="C94" i="14" s="1"/>
  <c r="C91" i="14"/>
  <c r="C92" i="14" s="1"/>
  <c r="C89" i="14"/>
  <c r="C90" i="14" s="1"/>
  <c r="C88" i="14"/>
  <c r="C87" i="14"/>
  <c r="C85" i="14"/>
  <c r="C86" i="14" s="1"/>
  <c r="AG84" i="14"/>
  <c r="AF84" i="14"/>
  <c r="AE84" i="14"/>
  <c r="AD84" i="14"/>
  <c r="AC84" i="14"/>
  <c r="V84" i="14"/>
  <c r="F84" i="14"/>
  <c r="AH83" i="14"/>
  <c r="AH84" i="14" s="1"/>
  <c r="AG83" i="14"/>
  <c r="AF83" i="14"/>
  <c r="AE83" i="14"/>
  <c r="AD83" i="14"/>
  <c r="AC83" i="14"/>
  <c r="AB83" i="14"/>
  <c r="AB84" i="14" s="1"/>
  <c r="AA83" i="14"/>
  <c r="AA84" i="14" s="1"/>
  <c r="Z83" i="14"/>
  <c r="Z84" i="14" s="1"/>
  <c r="Y83" i="14"/>
  <c r="Y84" i="14" s="1"/>
  <c r="X83" i="14"/>
  <c r="X84" i="14" s="1"/>
  <c r="W83" i="14"/>
  <c r="W84" i="14" s="1"/>
  <c r="V83" i="14"/>
  <c r="U83" i="14"/>
  <c r="U84" i="14" s="1"/>
  <c r="T83" i="14"/>
  <c r="T84" i="14" s="1"/>
  <c r="S83" i="14"/>
  <c r="S84" i="14" s="1"/>
  <c r="R83" i="14"/>
  <c r="R84" i="14" s="1"/>
  <c r="Q83" i="14"/>
  <c r="Q158" i="14" s="1"/>
  <c r="Q159" i="14" s="1"/>
  <c r="P83" i="14"/>
  <c r="P84" i="14" s="1"/>
  <c r="O83" i="14"/>
  <c r="O84" i="14" s="1"/>
  <c r="N83" i="14"/>
  <c r="N84" i="14" s="1"/>
  <c r="M83" i="14"/>
  <c r="M84" i="14" s="1"/>
  <c r="L83" i="14"/>
  <c r="L84" i="14" s="1"/>
  <c r="K83" i="14"/>
  <c r="K84" i="14" s="1"/>
  <c r="J83" i="14"/>
  <c r="J84" i="14" s="1"/>
  <c r="I83" i="14"/>
  <c r="I84" i="14" s="1"/>
  <c r="H83" i="14"/>
  <c r="H84" i="14" s="1"/>
  <c r="G83" i="14"/>
  <c r="G84" i="14" s="1"/>
  <c r="F83" i="14"/>
  <c r="E83" i="14"/>
  <c r="E84" i="14" s="1"/>
  <c r="D83" i="14"/>
  <c r="D84" i="14" s="1"/>
  <c r="C82" i="14"/>
  <c r="C81" i="14"/>
  <c r="C79" i="14"/>
  <c r="C80" i="14" s="1"/>
  <c r="C77" i="14"/>
  <c r="C78" i="14" s="1"/>
  <c r="W74" i="14"/>
  <c r="W2" i="14" s="1"/>
  <c r="V74" i="14"/>
  <c r="T74" i="14"/>
  <c r="T73" i="14"/>
  <c r="AA72" i="14"/>
  <c r="AA73" i="14" s="1"/>
  <c r="X72" i="14"/>
  <c r="X73" i="14" s="1"/>
  <c r="W72" i="14"/>
  <c r="W73" i="14" s="1"/>
  <c r="V72" i="14"/>
  <c r="V73" i="14" s="1"/>
  <c r="U72" i="14"/>
  <c r="U73" i="14" s="1"/>
  <c r="T72" i="14"/>
  <c r="K72" i="14"/>
  <c r="K73" i="14" s="1"/>
  <c r="C70" i="14"/>
  <c r="C71" i="14" s="1"/>
  <c r="AH72" i="14"/>
  <c r="AG72" i="14"/>
  <c r="AF72" i="14"/>
  <c r="AE72" i="14"/>
  <c r="AD72" i="14"/>
  <c r="AC72" i="14"/>
  <c r="AC73" i="14" s="1"/>
  <c r="AB72" i="14"/>
  <c r="AB73" i="14" s="1"/>
  <c r="Z72" i="14"/>
  <c r="Z73" i="14" s="1"/>
  <c r="Y72" i="14"/>
  <c r="Y73" i="14" s="1"/>
  <c r="S72" i="14"/>
  <c r="R72" i="14"/>
  <c r="Q72" i="14"/>
  <c r="Q73" i="14" s="1"/>
  <c r="P72" i="14"/>
  <c r="P73" i="14" s="1"/>
  <c r="O72" i="14"/>
  <c r="O73" i="14" s="1"/>
  <c r="N72" i="14"/>
  <c r="N73" i="14" s="1"/>
  <c r="L72" i="14"/>
  <c r="L73" i="14" s="1"/>
  <c r="J72" i="14"/>
  <c r="J73" i="14" s="1"/>
  <c r="I72" i="14"/>
  <c r="I73" i="14" s="1"/>
  <c r="H72" i="14"/>
  <c r="H73" i="14" s="1"/>
  <c r="G72" i="14"/>
  <c r="G73" i="14" s="1"/>
  <c r="F72" i="14"/>
  <c r="F73" i="14" s="1"/>
  <c r="E72" i="14"/>
  <c r="E73" i="14" s="1"/>
  <c r="D72" i="14"/>
  <c r="C66" i="14"/>
  <c r="C67" i="14" s="1"/>
  <c r="C64" i="14"/>
  <c r="C65" i="14" s="1"/>
  <c r="C62" i="14"/>
  <c r="C63" i="14" s="1"/>
  <c r="C60" i="14"/>
  <c r="C61" i="14" s="1"/>
  <c r="AH73" i="14"/>
  <c r="AG73" i="14"/>
  <c r="AF73" i="14"/>
  <c r="AE73" i="14"/>
  <c r="AD73" i="14"/>
  <c r="AB74" i="14"/>
  <c r="S73" i="14"/>
  <c r="R73" i="14"/>
  <c r="C58" i="14"/>
  <c r="C59" i="14" s="1"/>
  <c r="AC56" i="14"/>
  <c r="AC57" i="14" s="1"/>
  <c r="AB56" i="14"/>
  <c r="AB57" i="14" s="1"/>
  <c r="AA56" i="14"/>
  <c r="AA57" i="14" s="1"/>
  <c r="X56" i="14"/>
  <c r="X57" i="14" s="1"/>
  <c r="W56" i="14"/>
  <c r="W57" i="14" s="1"/>
  <c r="V56" i="14"/>
  <c r="V57" i="14" s="1"/>
  <c r="U56" i="14"/>
  <c r="U57" i="14" s="1"/>
  <c r="M56" i="14"/>
  <c r="M57" i="14" s="1"/>
  <c r="K56" i="14"/>
  <c r="K57" i="14" s="1"/>
  <c r="C52" i="14"/>
  <c r="C53" i="14" s="1"/>
  <c r="AH56" i="14"/>
  <c r="AH57" i="14" s="1"/>
  <c r="AG56" i="14"/>
  <c r="AG57" i="14" s="1"/>
  <c r="AF56" i="14"/>
  <c r="AF57" i="14" s="1"/>
  <c r="AE56" i="14"/>
  <c r="AE57" i="14" s="1"/>
  <c r="AD56" i="14"/>
  <c r="AD57" i="14" s="1"/>
  <c r="AC74" i="14"/>
  <c r="Y56" i="14"/>
  <c r="Y57" i="14" s="1"/>
  <c r="T56" i="14"/>
  <c r="T57" i="14" s="1"/>
  <c r="S56" i="14"/>
  <c r="S57" i="14" s="1"/>
  <c r="R56" i="14"/>
  <c r="R57" i="14" s="1"/>
  <c r="Q56" i="14"/>
  <c r="Q57" i="14" s="1"/>
  <c r="P56" i="14"/>
  <c r="P57" i="14" s="1"/>
  <c r="O56" i="14"/>
  <c r="O57" i="14" s="1"/>
  <c r="N56" i="14"/>
  <c r="N57" i="14" s="1"/>
  <c r="L56" i="14"/>
  <c r="L57" i="14" s="1"/>
  <c r="I56" i="14"/>
  <c r="I57" i="14" s="1"/>
  <c r="H56" i="14"/>
  <c r="H57" i="14" s="1"/>
  <c r="G56" i="14"/>
  <c r="G57" i="14" s="1"/>
  <c r="F56" i="14"/>
  <c r="F57" i="14" s="1"/>
  <c r="E56" i="14"/>
  <c r="E57" i="14" s="1"/>
  <c r="D56" i="14"/>
  <c r="C50" i="14"/>
  <c r="C51" i="14" s="1"/>
  <c r="C48" i="14"/>
  <c r="C49" i="14" s="1"/>
  <c r="AB46" i="14"/>
  <c r="AB47" i="14" s="1"/>
  <c r="AA46" i="14"/>
  <c r="AA47" i="14" s="1"/>
  <c r="Z46" i="14"/>
  <c r="Z47" i="14" s="1"/>
  <c r="L46" i="14"/>
  <c r="L47" i="14" s="1"/>
  <c r="J46" i="14"/>
  <c r="J47" i="14" s="1"/>
  <c r="C44" i="14"/>
  <c r="C45" i="14" s="1"/>
  <c r="AH46" i="14"/>
  <c r="AH47" i="14" s="1"/>
  <c r="AG46" i="14"/>
  <c r="AG47" i="14" s="1"/>
  <c r="AF46" i="14"/>
  <c r="AF47" i="14" s="1"/>
  <c r="AE46" i="14"/>
  <c r="AE47" i="14" s="1"/>
  <c r="AD46" i="14"/>
  <c r="AD47" i="14" s="1"/>
  <c r="AC46" i="14"/>
  <c r="AC47" i="14" s="1"/>
  <c r="Y46" i="14"/>
  <c r="Y47" i="14" s="1"/>
  <c r="X46" i="14"/>
  <c r="X47" i="14" s="1"/>
  <c r="W46" i="14"/>
  <c r="W47" i="14" s="1"/>
  <c r="V46" i="14"/>
  <c r="V47" i="14" s="1"/>
  <c r="U46" i="14"/>
  <c r="U47" i="14" s="1"/>
  <c r="T46" i="14"/>
  <c r="T47" i="14" s="1"/>
  <c r="S46" i="14"/>
  <c r="S47" i="14" s="1"/>
  <c r="R46" i="14"/>
  <c r="R47" i="14" s="1"/>
  <c r="Q46" i="14"/>
  <c r="Q47" i="14" s="1"/>
  <c r="P46" i="14"/>
  <c r="P47" i="14" s="1"/>
  <c r="O46" i="14"/>
  <c r="O47" i="14" s="1"/>
  <c r="N46" i="14"/>
  <c r="N47" i="14" s="1"/>
  <c r="M46" i="14"/>
  <c r="M47" i="14" s="1"/>
  <c r="K46" i="14"/>
  <c r="K47" i="14" s="1"/>
  <c r="I46" i="14"/>
  <c r="I47" i="14" s="1"/>
  <c r="H46" i="14"/>
  <c r="H47" i="14" s="1"/>
  <c r="G46" i="14"/>
  <c r="G47" i="14" s="1"/>
  <c r="F46" i="14"/>
  <c r="F47" i="14" s="1"/>
  <c r="E46" i="14"/>
  <c r="E47" i="14" s="1"/>
  <c r="D46" i="14"/>
  <c r="AA74" i="14"/>
  <c r="C40" i="14"/>
  <c r="C41" i="14" s="1"/>
  <c r="L74" i="14"/>
  <c r="K74" i="14"/>
  <c r="C39" i="14"/>
  <c r="C38" i="14"/>
  <c r="C37" i="14"/>
  <c r="C36" i="14"/>
  <c r="C34" i="14"/>
  <c r="C35" i="14" s="1"/>
  <c r="C32" i="14"/>
  <c r="C33" i="14" s="1"/>
  <c r="C31" i="14"/>
  <c r="C30" i="14"/>
  <c r="C28" i="14"/>
  <c r="C29" i="14" s="1"/>
  <c r="C26" i="14"/>
  <c r="C27" i="14" s="1"/>
  <c r="C24" i="14"/>
  <c r="C25" i="14" s="1"/>
  <c r="C23" i="14"/>
  <c r="C22" i="14"/>
  <c r="AC20" i="14"/>
  <c r="AC21" i="14" s="1"/>
  <c r="AB20" i="14"/>
  <c r="AB21" i="14" s="1"/>
  <c r="W20" i="14"/>
  <c r="W21" i="14" s="1"/>
  <c r="N20" i="14"/>
  <c r="N21" i="14" s="1"/>
  <c r="M20" i="14"/>
  <c r="M21" i="14" s="1"/>
  <c r="L20" i="14"/>
  <c r="L21" i="14" s="1"/>
  <c r="I20" i="14"/>
  <c r="I21" i="14" s="1"/>
  <c r="H20" i="14"/>
  <c r="H21" i="14" s="1"/>
  <c r="G20" i="14"/>
  <c r="G21" i="14" s="1"/>
  <c r="F20" i="14"/>
  <c r="F21" i="14" s="1"/>
  <c r="Z20" i="14"/>
  <c r="Z21" i="14" s="1"/>
  <c r="Y20" i="14"/>
  <c r="Y21" i="14" s="1"/>
  <c r="U20" i="14"/>
  <c r="U21" i="14" s="1"/>
  <c r="T20" i="14"/>
  <c r="T21" i="14" s="1"/>
  <c r="C18" i="14"/>
  <c r="C19" i="14" s="1"/>
  <c r="J20" i="14"/>
  <c r="J21" i="14" s="1"/>
  <c r="E20" i="14"/>
  <c r="E21" i="14" s="1"/>
  <c r="D20" i="14"/>
  <c r="C16" i="14"/>
  <c r="C17" i="14" s="1"/>
  <c r="C14" i="14"/>
  <c r="C15" i="14" s="1"/>
  <c r="AE20" i="14"/>
  <c r="AE21" i="14" s="1"/>
  <c r="AD20" i="14"/>
  <c r="AD21" i="14" s="1"/>
  <c r="AA20" i="14"/>
  <c r="AA21" i="14" s="1"/>
  <c r="X20" i="14"/>
  <c r="X21" i="14" s="1"/>
  <c r="V20" i="14"/>
  <c r="P20" i="14"/>
  <c r="P21" i="14" s="1"/>
  <c r="O20" i="14"/>
  <c r="O21" i="14" s="1"/>
  <c r="K20" i="14"/>
  <c r="K21" i="14" s="1"/>
  <c r="G74" i="14"/>
  <c r="F74" i="14"/>
  <c r="C10" i="14"/>
  <c r="C11" i="14" s="1"/>
  <c r="AG9" i="14"/>
  <c r="AG8" i="14"/>
  <c r="T8" i="14"/>
  <c r="T9" i="14" s="1"/>
  <c r="S8" i="14"/>
  <c r="S9" i="14" s="1"/>
  <c r="R8" i="14"/>
  <c r="R9" i="14" s="1"/>
  <c r="Q8" i="14"/>
  <c r="Q9" i="14" s="1"/>
  <c r="P8" i="14"/>
  <c r="P9" i="14" s="1"/>
  <c r="J8" i="14"/>
  <c r="J9" i="14" s="1"/>
  <c r="I8" i="14"/>
  <c r="I9" i="14" s="1"/>
  <c r="H8" i="14"/>
  <c r="H9" i="14" s="1"/>
  <c r="E8" i="14"/>
  <c r="E9" i="14" s="1"/>
  <c r="AF8" i="14"/>
  <c r="AF9" i="14" s="1"/>
  <c r="AE8" i="14"/>
  <c r="AE9" i="14" s="1"/>
  <c r="AD8" i="14"/>
  <c r="AD9" i="14" s="1"/>
  <c r="AC8" i="14"/>
  <c r="AC9" i="14" s="1"/>
  <c r="AB8" i="14"/>
  <c r="AB9" i="14" s="1"/>
  <c r="AA8" i="14"/>
  <c r="AA9" i="14" s="1"/>
  <c r="Z74" i="14"/>
  <c r="Z2" i="14" s="1"/>
  <c r="Y74" i="14"/>
  <c r="X8" i="14"/>
  <c r="X9" i="14" s="1"/>
  <c r="W8" i="14"/>
  <c r="W9" i="14" s="1"/>
  <c r="V8" i="14"/>
  <c r="V9" i="14" s="1"/>
  <c r="U8" i="14"/>
  <c r="U9" i="14" s="1"/>
  <c r="S74" i="14"/>
  <c r="O8" i="14"/>
  <c r="O9" i="14" s="1"/>
  <c r="N8" i="14"/>
  <c r="N9" i="14" s="1"/>
  <c r="M8" i="14"/>
  <c r="M9" i="14" s="1"/>
  <c r="L8" i="14"/>
  <c r="L9" i="14" s="1"/>
  <c r="K8" i="14"/>
  <c r="K9" i="14" s="1"/>
  <c r="J74" i="14"/>
  <c r="I74" i="14"/>
  <c r="H74" i="14"/>
  <c r="G8" i="14"/>
  <c r="G9" i="14" s="1"/>
  <c r="F8" i="14"/>
  <c r="F9" i="14" s="1"/>
  <c r="C6" i="14"/>
  <c r="D8" i="14"/>
  <c r="CS74" i="8" l="1"/>
  <c r="CT74" i="8" s="1"/>
  <c r="CS85" i="8"/>
  <c r="CS60" i="8"/>
  <c r="CT60" i="8" s="1"/>
  <c r="H40" i="3"/>
  <c r="CS61" i="8"/>
  <c r="CT61" i="8" s="1"/>
  <c r="CS62" i="8"/>
  <c r="CT62" i="8" s="1"/>
  <c r="CS73" i="8"/>
  <c r="CS84" i="8"/>
  <c r="CT84" i="8" s="1"/>
  <c r="D11" i="18"/>
  <c r="I40" i="3"/>
  <c r="AB40" i="3" s="1"/>
  <c r="CS48" i="8"/>
  <c r="CT48" i="8" s="1"/>
  <c r="J1872" i="5"/>
  <c r="J1843" i="5"/>
  <c r="CS49" i="8"/>
  <c r="CT49" i="8" s="1"/>
  <c r="C7" i="14"/>
  <c r="J1853" i="5"/>
  <c r="J1867" i="5"/>
  <c r="J1840" i="5"/>
  <c r="CS47" i="8" s="1"/>
  <c r="J1866" i="5"/>
  <c r="CT72" i="8"/>
  <c r="CT73" i="8"/>
  <c r="CT85" i="8"/>
  <c r="CT86" i="8"/>
  <c r="K75" i="14"/>
  <c r="L2" i="14"/>
  <c r="L75" i="14"/>
  <c r="S2" i="14"/>
  <c r="AB2" i="14"/>
  <c r="AB75" i="14"/>
  <c r="D9" i="14"/>
  <c r="T75" i="14"/>
  <c r="C156" i="14"/>
  <c r="G2" i="14"/>
  <c r="G75" i="14"/>
  <c r="D57" i="14"/>
  <c r="D73" i="14"/>
  <c r="D21" i="14"/>
  <c r="C46" i="14"/>
  <c r="D47" i="14"/>
  <c r="F2" i="14"/>
  <c r="F75" i="14"/>
  <c r="V21" i="14"/>
  <c r="V75" i="14" s="1"/>
  <c r="H2" i="14"/>
  <c r="H75" i="14"/>
  <c r="W75" i="14"/>
  <c r="W3" i="14" s="1"/>
  <c r="M72" i="14"/>
  <c r="M73" i="14" s="1"/>
  <c r="C42" i="14"/>
  <c r="C43" i="14" s="1"/>
  <c r="AH20" i="14"/>
  <c r="AH21" i="14" s="1"/>
  <c r="X74" i="14"/>
  <c r="C68" i="14"/>
  <c r="C69" i="14" s="1"/>
  <c r="D74" i="14"/>
  <c r="U74" i="14"/>
  <c r="T2" i="14"/>
  <c r="C12" i="14"/>
  <c r="C13" i="14" s="1"/>
  <c r="K140" i="14"/>
  <c r="K158" i="14"/>
  <c r="K159" i="14" s="1"/>
  <c r="AF20" i="14"/>
  <c r="AF21" i="14" s="1"/>
  <c r="D140" i="14"/>
  <c r="C139" i="14"/>
  <c r="C140" i="14" s="1"/>
  <c r="I75" i="14"/>
  <c r="S20" i="14"/>
  <c r="S21" i="14" s="1"/>
  <c r="AG158" i="14"/>
  <c r="AG159" i="14" s="1"/>
  <c r="E74" i="14"/>
  <c r="AA75" i="14"/>
  <c r="P74" i="14"/>
  <c r="Y8" i="14"/>
  <c r="Y9" i="14" s="1"/>
  <c r="AC158" i="14"/>
  <c r="AC159" i="14" s="1"/>
  <c r="AG74" i="14"/>
  <c r="Z8" i="14"/>
  <c r="Z9" i="14" s="1"/>
  <c r="J56" i="14"/>
  <c r="J57" i="14" s="1"/>
  <c r="Z56" i="14"/>
  <c r="Z57" i="14" s="1"/>
  <c r="C83" i="14"/>
  <c r="U98" i="14"/>
  <c r="N158" i="14"/>
  <c r="N159" i="14" s="1"/>
  <c r="AD158" i="14"/>
  <c r="AD159" i="14" s="1"/>
  <c r="Q156" i="14"/>
  <c r="E158" i="14"/>
  <c r="E159" i="14" s="1"/>
  <c r="AG20" i="14"/>
  <c r="AG21" i="14" s="1"/>
  <c r="R20" i="14"/>
  <c r="R21" i="14" s="1"/>
  <c r="M158" i="14"/>
  <c r="M159" i="14" s="1"/>
  <c r="R74" i="14"/>
  <c r="AH74" i="14"/>
  <c r="O158" i="14"/>
  <c r="O159" i="14" s="1"/>
  <c r="AE158" i="14"/>
  <c r="AE159" i="14" s="1"/>
  <c r="J158" i="14"/>
  <c r="J159" i="14" s="1"/>
  <c r="V2" i="14"/>
  <c r="J75" i="14"/>
  <c r="AA140" i="14"/>
  <c r="AA158" i="14"/>
  <c r="AA159" i="14" s="1"/>
  <c r="C84" i="14"/>
  <c r="AF74" i="14"/>
  <c r="D158" i="14"/>
  <c r="Q84" i="14"/>
  <c r="P158" i="14"/>
  <c r="P159" i="14" s="1"/>
  <c r="AF158" i="14"/>
  <c r="AF159" i="14" s="1"/>
  <c r="Q20" i="14"/>
  <c r="Q21" i="14" s="1"/>
  <c r="Q74" i="14"/>
  <c r="C97" i="14"/>
  <c r="J2" i="14"/>
  <c r="AH8" i="14"/>
  <c r="AH9" i="14" s="1"/>
  <c r="M74" i="14"/>
  <c r="AC2" i="14"/>
  <c r="AC75" i="14"/>
  <c r="I158" i="14"/>
  <c r="I159" i="14" s="1"/>
  <c r="Y158" i="14"/>
  <c r="Y159" i="14" s="1"/>
  <c r="N74" i="14"/>
  <c r="O74" i="14"/>
  <c r="AE74" i="14"/>
  <c r="AD74" i="14"/>
  <c r="Q83" i="18" l="1"/>
  <c r="E11" i="18"/>
  <c r="CS88" i="8"/>
  <c r="S40" i="3"/>
  <c r="U40" i="3" s="1"/>
  <c r="CT88" i="8"/>
  <c r="K1840" i="5"/>
  <c r="CT47" i="8" s="1"/>
  <c r="G40" i="3" s="1"/>
  <c r="CS50" i="8"/>
  <c r="CS90" i="8" s="1"/>
  <c r="E40" i="3"/>
  <c r="Y40" i="3" s="1"/>
  <c r="J1864" i="5"/>
  <c r="CS89" i="8"/>
  <c r="CT89" i="8" s="1"/>
  <c r="S75" i="14"/>
  <c r="L3" i="14"/>
  <c r="S3" i="14"/>
  <c r="J1852" i="5"/>
  <c r="J1871" i="5"/>
  <c r="G3" i="14"/>
  <c r="C98" i="14"/>
  <c r="H3" i="14"/>
  <c r="Q75" i="14"/>
  <c r="Q2" i="14"/>
  <c r="Q3" i="14" s="1"/>
  <c r="Z75" i="14"/>
  <c r="Z3" i="14" s="1"/>
  <c r="R75" i="14"/>
  <c r="R2" i="14"/>
  <c r="R3" i="14" s="1"/>
  <c r="U75" i="14"/>
  <c r="U2" i="14"/>
  <c r="U3" i="14" s="1"/>
  <c r="D2" i="14"/>
  <c r="D75" i="14"/>
  <c r="C74" i="14"/>
  <c r="AD2" i="14"/>
  <c r="AD75" i="14"/>
  <c r="AA2" i="14"/>
  <c r="AA3" i="14" s="1"/>
  <c r="C20" i="14"/>
  <c r="C21" i="14" s="1"/>
  <c r="M2" i="14"/>
  <c r="M75" i="14"/>
  <c r="AG75" i="14"/>
  <c r="AG2" i="14"/>
  <c r="AG3" i="14" s="1"/>
  <c r="T3" i="14"/>
  <c r="F3" i="14"/>
  <c r="AB3" i="14"/>
  <c r="P75" i="14"/>
  <c r="P2" i="14"/>
  <c r="P3" i="14" s="1"/>
  <c r="E2" i="14"/>
  <c r="E75" i="14"/>
  <c r="X2" i="14"/>
  <c r="X75" i="14"/>
  <c r="C72" i="14"/>
  <c r="C73" i="14" s="1"/>
  <c r="V3" i="14"/>
  <c r="AF75" i="14"/>
  <c r="AF2" i="14"/>
  <c r="AC3" i="14"/>
  <c r="J3" i="14"/>
  <c r="Y2" i="14"/>
  <c r="C8" i="14"/>
  <c r="C9" i="14" s="1"/>
  <c r="AH75" i="14"/>
  <c r="AH2" i="14"/>
  <c r="C47" i="14"/>
  <c r="AE2" i="14"/>
  <c r="AE75" i="14"/>
  <c r="O2" i="14"/>
  <c r="O75" i="14"/>
  <c r="I2" i="14"/>
  <c r="I3" i="14" s="1"/>
  <c r="Y75" i="14"/>
  <c r="N2" i="14"/>
  <c r="N75" i="14"/>
  <c r="D159" i="14"/>
  <c r="C158" i="14"/>
  <c r="C159" i="14" s="1"/>
  <c r="C56" i="14"/>
  <c r="C57" i="14" s="1"/>
  <c r="K2" i="14"/>
  <c r="K3" i="14" s="1"/>
  <c r="F11" i="18" l="1"/>
  <c r="H11" i="18" s="1"/>
  <c r="Q84" i="18"/>
  <c r="J11" i="18"/>
  <c r="R83" i="18" s="1"/>
  <c r="T83" i="18" s="1"/>
  <c r="AA40" i="3"/>
  <c r="AC40" i="3" s="1"/>
  <c r="Q40" i="3"/>
  <c r="I11" i="18"/>
  <c r="CT50" i="8"/>
  <c r="CT90" i="8" s="1"/>
  <c r="J40" i="3"/>
  <c r="L40" i="3"/>
  <c r="K1853" i="5"/>
  <c r="AH3" i="14"/>
  <c r="K1871" i="5"/>
  <c r="K1872" i="5"/>
  <c r="K1866" i="5"/>
  <c r="K1864" i="5"/>
  <c r="K1852" i="5"/>
  <c r="K1867" i="5"/>
  <c r="K1843" i="5"/>
  <c r="E3" i="14"/>
  <c r="N3" i="14"/>
  <c r="C75" i="14"/>
  <c r="O3" i="14"/>
  <c r="AE3" i="14"/>
  <c r="AD3" i="14"/>
  <c r="X3" i="14"/>
  <c r="D3" i="14"/>
  <c r="C2" i="14"/>
  <c r="Y3" i="14"/>
  <c r="AF3" i="14"/>
  <c r="M3" i="14"/>
  <c r="C3" i="14" s="1"/>
  <c r="Q85" i="18" l="1"/>
  <c r="AD40" i="3"/>
  <c r="S83" i="18"/>
  <c r="K40" i="3"/>
  <c r="R82" i="18"/>
  <c r="K11" i="18"/>
  <c r="M11" i="18"/>
  <c r="N40" i="3"/>
  <c r="P40" i="3"/>
  <c r="R40" i="3" s="1"/>
  <c r="T36" i="10"/>
  <c r="L11" i="18" l="1"/>
  <c r="N11" i="18" s="1"/>
  <c r="AE40" i="3" s="1"/>
  <c r="R84" i="18"/>
  <c r="T82" i="18"/>
  <c r="S82" i="18"/>
  <c r="C21" i="3"/>
  <c r="C20" i="3"/>
  <c r="N20" i="3" s="1"/>
  <c r="C22" i="3"/>
  <c r="N22" i="3" s="1"/>
  <c r="N21" i="3" l="1"/>
  <c r="F6" i="27"/>
  <c r="F10" i="27" s="1"/>
  <c r="T84" i="18"/>
  <c r="S84" i="18"/>
  <c r="R85" i="18"/>
  <c r="O11" i="18"/>
  <c r="AN34" i="10"/>
  <c r="AM34" i="10"/>
  <c r="B54" i="9"/>
  <c r="B55" i="9"/>
  <c r="B57" i="9"/>
  <c r="B59" i="9"/>
  <c r="B61" i="9"/>
  <c r="B62" i="9"/>
  <c r="B64" i="9"/>
  <c r="B66" i="9"/>
  <c r="B68" i="9"/>
  <c r="B69" i="9"/>
  <c r="B71" i="9"/>
  <c r="B73" i="9"/>
  <c r="B75" i="9"/>
  <c r="B76" i="9"/>
  <c r="B78" i="9"/>
  <c r="B80" i="9"/>
  <c r="B82" i="9"/>
  <c r="B83" i="9"/>
  <c r="B85" i="9"/>
  <c r="B87" i="9"/>
  <c r="B89" i="9"/>
  <c r="B90" i="9"/>
  <c r="B92" i="9"/>
  <c r="B94" i="9"/>
  <c r="B96" i="9"/>
  <c r="B97" i="9"/>
  <c r="B99" i="9"/>
  <c r="B101" i="9"/>
  <c r="B102" i="9"/>
  <c r="B103" i="9"/>
  <c r="B104" i="9"/>
  <c r="B105" i="9"/>
  <c r="B106" i="9"/>
  <c r="B107" i="9"/>
  <c r="B108" i="9"/>
  <c r="B52" i="9"/>
  <c r="B47" i="9"/>
  <c r="B48" i="9"/>
  <c r="B50" i="9"/>
  <c r="B34" i="9"/>
  <c r="B36" i="9"/>
  <c r="B38" i="9"/>
  <c r="B33" i="9"/>
  <c r="B27" i="9"/>
  <c r="B28" i="9"/>
  <c r="B29" i="9"/>
  <c r="B30" i="9"/>
  <c r="B31" i="9"/>
  <c r="B26" i="9"/>
  <c r="B20" i="9"/>
  <c r="B22" i="9"/>
  <c r="B24" i="9"/>
  <c r="O6" i="27" l="1"/>
  <c r="D32" i="6"/>
  <c r="D12" i="6" s="1"/>
  <c r="S85" i="18"/>
  <c r="T85" i="18"/>
  <c r="P28" i="10"/>
  <c r="K48" i="10"/>
  <c r="P48" i="10"/>
  <c r="J51" i="10"/>
  <c r="K51" i="10"/>
  <c r="L51" i="10"/>
  <c r="M51" i="10"/>
  <c r="N51" i="10"/>
  <c r="O51" i="10"/>
  <c r="P51" i="10"/>
  <c r="Q51" i="10"/>
  <c r="R51" i="10"/>
  <c r="S51" i="10"/>
  <c r="T51" i="10"/>
  <c r="I51" i="10"/>
  <c r="L36" i="10" l="1"/>
  <c r="M36" i="10"/>
  <c r="N36" i="10"/>
  <c r="O36" i="10"/>
  <c r="P36" i="10"/>
  <c r="Q36" i="10"/>
  <c r="R36" i="10"/>
  <c r="S36" i="10"/>
  <c r="F32" i="10"/>
  <c r="F33" i="10"/>
  <c r="F34" i="10"/>
  <c r="F35" i="10"/>
  <c r="F36" i="10"/>
  <c r="F37" i="10"/>
  <c r="F38" i="10"/>
  <c r="F39" i="10"/>
  <c r="F40" i="10"/>
  <c r="F41" i="10"/>
  <c r="F42" i="10"/>
  <c r="F31" i="10"/>
  <c r="U32" i="10"/>
  <c r="J33" i="10"/>
  <c r="K33" i="10"/>
  <c r="L33" i="10"/>
  <c r="M33" i="10"/>
  <c r="N33" i="10"/>
  <c r="O33" i="10"/>
  <c r="P33" i="10"/>
  <c r="Q33" i="10"/>
  <c r="R33" i="10"/>
  <c r="S33" i="10"/>
  <c r="T33" i="10"/>
  <c r="P27" i="10" l="1"/>
  <c r="K27" i="10"/>
  <c r="B104" i="13"/>
  <c r="B76" i="13"/>
  <c r="B83" i="13"/>
  <c r="B90" i="13"/>
  <c r="B97" i="13"/>
  <c r="B69" i="13"/>
  <c r="B62" i="13"/>
  <c r="B55" i="13"/>
  <c r="B48" i="13"/>
  <c r="B41" i="9"/>
  <c r="B32" i="3"/>
  <c r="B28" i="3"/>
  <c r="B27" i="3"/>
  <c r="C21" i="13"/>
  <c r="AP108" i="13"/>
  <c r="AO108" i="13"/>
  <c r="AN108" i="13"/>
  <c r="AC108" i="13"/>
  <c r="AB108" i="13"/>
  <c r="AA108" i="13"/>
  <c r="Z108" i="13"/>
  <c r="Y108" i="13"/>
  <c r="X108" i="13"/>
  <c r="V108" i="13"/>
  <c r="U108" i="13"/>
  <c r="T108" i="13"/>
  <c r="S108" i="13"/>
  <c r="R108" i="13"/>
  <c r="Q108" i="13"/>
  <c r="P108" i="13"/>
  <c r="O108" i="13"/>
  <c r="N108" i="13"/>
  <c r="M108" i="13"/>
  <c r="L108" i="13"/>
  <c r="AP107" i="13"/>
  <c r="AO107" i="13"/>
  <c r="AN107" i="13"/>
  <c r="AC107" i="13"/>
  <c r="AB107" i="13"/>
  <c r="AA107" i="13"/>
  <c r="Z107" i="13"/>
  <c r="Y107" i="13"/>
  <c r="X107" i="13"/>
  <c r="W107" i="13"/>
  <c r="V107" i="13"/>
  <c r="U107" i="13"/>
  <c r="T107" i="13"/>
  <c r="S107" i="13"/>
  <c r="R107" i="13"/>
  <c r="Q107" i="13"/>
  <c r="P107" i="13"/>
  <c r="O107" i="13"/>
  <c r="N107" i="13"/>
  <c r="M107" i="13"/>
  <c r="L107" i="13"/>
  <c r="AU103" i="13"/>
  <c r="AV103" i="13" s="1"/>
  <c r="AW103" i="13" s="1"/>
  <c r="AX103" i="13" s="1"/>
  <c r="AY103" i="13" s="1"/>
  <c r="AZ103" i="13" s="1"/>
  <c r="BA103" i="13" s="1"/>
  <c r="BB103" i="13" s="1"/>
  <c r="BC103" i="13" s="1"/>
  <c r="BD103" i="13" s="1"/>
  <c r="BE103" i="13" s="1"/>
  <c r="W103" i="13"/>
  <c r="W108" i="13" s="1"/>
  <c r="AU102" i="13"/>
  <c r="AV102" i="13" s="1"/>
  <c r="AW102" i="13" s="1"/>
  <c r="AX102" i="13" s="1"/>
  <c r="AY102" i="13" s="1"/>
  <c r="AZ102" i="13" s="1"/>
  <c r="BA102" i="13" s="1"/>
  <c r="BB102" i="13" s="1"/>
  <c r="BC102" i="13" s="1"/>
  <c r="BD102" i="13" s="1"/>
  <c r="BE102" i="13" s="1"/>
  <c r="BF102" i="13" s="1"/>
  <c r="BG102" i="13" s="1"/>
  <c r="BH102" i="13" s="1"/>
  <c r="BI102" i="13" s="1"/>
  <c r="BJ102" i="13" s="1"/>
  <c r="BK102" i="13" s="1"/>
  <c r="BL102" i="13" s="1"/>
  <c r="BM102" i="13" s="1"/>
  <c r="BN102" i="13" s="1"/>
  <c r="BO102" i="13" s="1"/>
  <c r="BP102" i="13" s="1"/>
  <c r="BQ102" i="13" s="1"/>
  <c r="BR102" i="13" s="1"/>
  <c r="BS102" i="13" s="1"/>
  <c r="BT102" i="13" s="1"/>
  <c r="BU102" i="13" s="1"/>
  <c r="BV102" i="13" s="1"/>
  <c r="AP101" i="13"/>
  <c r="AO101" i="13"/>
  <c r="AN101" i="13"/>
  <c r="AM101" i="13"/>
  <c r="AL101" i="13"/>
  <c r="AK101" i="13"/>
  <c r="AJ101" i="13"/>
  <c r="AI101" i="13"/>
  <c r="AH101" i="13"/>
  <c r="AG101" i="13"/>
  <c r="AF101" i="13"/>
  <c r="AE101" i="13"/>
  <c r="AD101" i="13"/>
  <c r="AC101" i="13"/>
  <c r="AB101" i="13"/>
  <c r="AA101" i="13"/>
  <c r="Z101" i="13"/>
  <c r="Y101" i="13"/>
  <c r="X101" i="13"/>
  <c r="W101" i="13"/>
  <c r="V101" i="13"/>
  <c r="U101" i="13"/>
  <c r="T101" i="13"/>
  <c r="S101" i="13"/>
  <c r="R101" i="13"/>
  <c r="Q101" i="13"/>
  <c r="P101" i="13"/>
  <c r="O101" i="13"/>
  <c r="N101" i="13"/>
  <c r="M101" i="13"/>
  <c r="L101" i="13"/>
  <c r="AU96" i="13"/>
  <c r="AV96" i="13" s="1"/>
  <c r="AW96" i="13" s="1"/>
  <c r="AX96" i="13" s="1"/>
  <c r="AY96" i="13" s="1"/>
  <c r="AZ96" i="13" s="1"/>
  <c r="BA96" i="13" s="1"/>
  <c r="BB96" i="13" s="1"/>
  <c r="BC96" i="13" s="1"/>
  <c r="BD96" i="13" s="1"/>
  <c r="BE96" i="13" s="1"/>
  <c r="BF96" i="13" s="1"/>
  <c r="BG96" i="13" s="1"/>
  <c r="BH96" i="13" s="1"/>
  <c r="BI96" i="13" s="1"/>
  <c r="BJ96" i="13" s="1"/>
  <c r="BK96" i="13" s="1"/>
  <c r="BL96" i="13" s="1"/>
  <c r="BM96" i="13" s="1"/>
  <c r="BN96" i="13" s="1"/>
  <c r="BO96" i="13" s="1"/>
  <c r="BP96" i="13" s="1"/>
  <c r="BQ96" i="13" s="1"/>
  <c r="BR96" i="13" s="1"/>
  <c r="BS96" i="13" s="1"/>
  <c r="BT96" i="13" s="1"/>
  <c r="AN100" i="13"/>
  <c r="Z100" i="13"/>
  <c r="X100" i="13"/>
  <c r="Q100" i="13"/>
  <c r="AU95" i="13"/>
  <c r="AP94" i="13"/>
  <c r="AO94" i="13"/>
  <c r="AN94" i="13"/>
  <c r="AM94" i="13"/>
  <c r="AL94" i="13"/>
  <c r="AK94" i="13"/>
  <c r="AJ94" i="13"/>
  <c r="AI94" i="13"/>
  <c r="AH94" i="13"/>
  <c r="AG94" i="13"/>
  <c r="AF94" i="13"/>
  <c r="AE94" i="13"/>
  <c r="AD94" i="13"/>
  <c r="AC94" i="13"/>
  <c r="AB94" i="13"/>
  <c r="AA94" i="13"/>
  <c r="Z94" i="13"/>
  <c r="Y94" i="13"/>
  <c r="X94" i="13"/>
  <c r="W94" i="13"/>
  <c r="V94" i="13"/>
  <c r="U94" i="13"/>
  <c r="T94" i="13"/>
  <c r="S94" i="13"/>
  <c r="R94" i="13"/>
  <c r="Q94" i="13"/>
  <c r="P94" i="13"/>
  <c r="O94" i="13"/>
  <c r="N94" i="13"/>
  <c r="M94" i="13"/>
  <c r="L94" i="13"/>
  <c r="AU89" i="13"/>
  <c r="AV89" i="13" s="1"/>
  <c r="AW89" i="13" s="1"/>
  <c r="AX89" i="13" s="1"/>
  <c r="AY89" i="13" s="1"/>
  <c r="AZ89" i="13" s="1"/>
  <c r="BA89" i="13" s="1"/>
  <c r="BB89" i="13" s="1"/>
  <c r="BC89" i="13" s="1"/>
  <c r="BD89" i="13" s="1"/>
  <c r="BE89" i="13" s="1"/>
  <c r="BF89" i="13" s="1"/>
  <c r="BG89" i="13" s="1"/>
  <c r="BH89" i="13" s="1"/>
  <c r="BI89" i="13" s="1"/>
  <c r="BJ89" i="13" s="1"/>
  <c r="BK89" i="13" s="1"/>
  <c r="BL89" i="13" s="1"/>
  <c r="BM89" i="13" s="1"/>
  <c r="BN89" i="13" s="1"/>
  <c r="BO89" i="13" s="1"/>
  <c r="BP89" i="13" s="1"/>
  <c r="BQ89" i="13" s="1"/>
  <c r="BR89" i="13" s="1"/>
  <c r="BS89" i="13" s="1"/>
  <c r="BT89" i="13" s="1"/>
  <c r="AG93" i="13"/>
  <c r="AB93" i="13"/>
  <c r="R93" i="13"/>
  <c r="Q93" i="13"/>
  <c r="AP87" i="13"/>
  <c r="AO87" i="13"/>
  <c r="AN87" i="13"/>
  <c r="AM87" i="13"/>
  <c r="AL87" i="13"/>
  <c r="AI87" i="13"/>
  <c r="AH87" i="13"/>
  <c r="AG87" i="13"/>
  <c r="AF87" i="13"/>
  <c r="AE87" i="13"/>
  <c r="AD87" i="13"/>
  <c r="AC87" i="13"/>
  <c r="AA87" i="13"/>
  <c r="Z87" i="13"/>
  <c r="Y87" i="13"/>
  <c r="X87" i="13"/>
  <c r="V87" i="13"/>
  <c r="R87" i="13"/>
  <c r="P87" i="13"/>
  <c r="O87" i="13"/>
  <c r="N87" i="13"/>
  <c r="M87" i="13"/>
  <c r="L87" i="13"/>
  <c r="AU82" i="13"/>
  <c r="AV82" i="13" s="1"/>
  <c r="AW82" i="13" s="1"/>
  <c r="AX82" i="13" s="1"/>
  <c r="AY82" i="13" s="1"/>
  <c r="AK82" i="13"/>
  <c r="AK87" i="13" s="1"/>
  <c r="AJ82" i="13"/>
  <c r="AJ87" i="13" s="1"/>
  <c r="AB82" i="13"/>
  <c r="AB87" i="13" s="1"/>
  <c r="W82" i="13"/>
  <c r="W87" i="13" s="1"/>
  <c r="U82" i="13"/>
  <c r="U87" i="13" s="1"/>
  <c r="T82" i="13"/>
  <c r="T87" i="13" s="1"/>
  <c r="S82" i="13"/>
  <c r="S87" i="13" s="1"/>
  <c r="R82" i="13"/>
  <c r="Q82" i="13"/>
  <c r="Q87" i="13" s="1"/>
  <c r="AP80" i="13"/>
  <c r="AO80" i="13"/>
  <c r="AN80" i="13"/>
  <c r="AM80" i="13"/>
  <c r="AL80" i="13"/>
  <c r="AK80" i="13"/>
  <c r="AJ80" i="13"/>
  <c r="AI80" i="13"/>
  <c r="AH80" i="13"/>
  <c r="AG80" i="13"/>
  <c r="AF80" i="13"/>
  <c r="AE80" i="13"/>
  <c r="AD80" i="13"/>
  <c r="AC80" i="13"/>
  <c r="AB80" i="13"/>
  <c r="AA80" i="13"/>
  <c r="Z80" i="13"/>
  <c r="Y80" i="13"/>
  <c r="X80" i="13"/>
  <c r="W80" i="13"/>
  <c r="V80" i="13"/>
  <c r="U80" i="13"/>
  <c r="T80" i="13"/>
  <c r="S80" i="13"/>
  <c r="R80" i="13"/>
  <c r="Q80" i="13"/>
  <c r="P80" i="13"/>
  <c r="O80" i="13"/>
  <c r="N80" i="13"/>
  <c r="L80" i="13"/>
  <c r="AU75" i="13"/>
  <c r="M75" i="13"/>
  <c r="M80" i="13" s="1"/>
  <c r="M79" i="13"/>
  <c r="AU74" i="13"/>
  <c r="AP73" i="13"/>
  <c r="AO73" i="13"/>
  <c r="AN73" i="13"/>
  <c r="AM73" i="13"/>
  <c r="AL73" i="13"/>
  <c r="AK73" i="13"/>
  <c r="AI73" i="13"/>
  <c r="AG73" i="13"/>
  <c r="AE73" i="13"/>
  <c r="AD73" i="13"/>
  <c r="AC73" i="13"/>
  <c r="AB73" i="13"/>
  <c r="AA73" i="13"/>
  <c r="Z73" i="13"/>
  <c r="Y73" i="13"/>
  <c r="X73" i="13"/>
  <c r="AJ68" i="13"/>
  <c r="AJ73" i="13" s="1"/>
  <c r="AH68" i="13"/>
  <c r="AH73" i="13" s="1"/>
  <c r="AF68" i="13"/>
  <c r="AF73" i="13" s="1"/>
  <c r="W68" i="13"/>
  <c r="W73" i="13" s="1"/>
  <c r="V68" i="13"/>
  <c r="V73" i="13" s="1"/>
  <c r="U68" i="13"/>
  <c r="U73" i="13" s="1"/>
  <c r="T68" i="13"/>
  <c r="T73" i="13" s="1"/>
  <c r="S68" i="13"/>
  <c r="S73" i="13" s="1"/>
  <c r="R68" i="13"/>
  <c r="R73" i="13" s="1"/>
  <c r="Q68" i="13"/>
  <c r="Q73" i="13" s="1"/>
  <c r="P68" i="13"/>
  <c r="P73" i="13" s="1"/>
  <c r="O68" i="13"/>
  <c r="O73" i="13" s="1"/>
  <c r="N68" i="13"/>
  <c r="N73" i="13" s="1"/>
  <c r="M68" i="13"/>
  <c r="M73" i="13" s="1"/>
  <c r="L68" i="13"/>
  <c r="L73" i="13" s="1"/>
  <c r="AU67" i="13"/>
  <c r="AP66" i="13"/>
  <c r="AO66" i="13"/>
  <c r="AN66" i="13"/>
  <c r="AM66" i="13"/>
  <c r="AL66" i="13"/>
  <c r="AK66" i="13"/>
  <c r="AJ66" i="13"/>
  <c r="AI66" i="13"/>
  <c r="AH66" i="13"/>
  <c r="AF66" i="13"/>
  <c r="AE66" i="13"/>
  <c r="AD66" i="13"/>
  <c r="AC66" i="13"/>
  <c r="AB66" i="13"/>
  <c r="AA66" i="13"/>
  <c r="Z66" i="13"/>
  <c r="Y66" i="13"/>
  <c r="X66" i="13"/>
  <c r="L66" i="13"/>
  <c r="AU61" i="13"/>
  <c r="AG61" i="13"/>
  <c r="AG66" i="13" s="1"/>
  <c r="W61" i="13"/>
  <c r="W66" i="13" s="1"/>
  <c r="V61" i="13"/>
  <c r="V66" i="13" s="1"/>
  <c r="U61" i="13"/>
  <c r="U66" i="13" s="1"/>
  <c r="T61" i="13"/>
  <c r="T66" i="13" s="1"/>
  <c r="S61" i="13"/>
  <c r="S66" i="13" s="1"/>
  <c r="R61" i="13"/>
  <c r="R66" i="13" s="1"/>
  <c r="Q61" i="13"/>
  <c r="Q66" i="13" s="1"/>
  <c r="P61" i="13"/>
  <c r="P66" i="13" s="1"/>
  <c r="O61" i="13"/>
  <c r="O66" i="13" s="1"/>
  <c r="N61" i="13"/>
  <c r="N66" i="13" s="1"/>
  <c r="M61" i="13"/>
  <c r="M66" i="13" s="1"/>
  <c r="AU60" i="13"/>
  <c r="AV60" i="13" s="1"/>
  <c r="AP59" i="13"/>
  <c r="AO59" i="13"/>
  <c r="AN59" i="13"/>
  <c r="AM59" i="13"/>
  <c r="AL59" i="13"/>
  <c r="AK59" i="13"/>
  <c r="AJ59" i="13"/>
  <c r="AF59" i="13"/>
  <c r="AE59" i="13"/>
  <c r="AD59" i="13"/>
  <c r="AC59" i="13"/>
  <c r="AB59" i="13"/>
  <c r="AA59" i="13"/>
  <c r="Z59" i="13"/>
  <c r="Y59" i="13"/>
  <c r="X59" i="13"/>
  <c r="W59" i="13"/>
  <c r="V59" i="13"/>
  <c r="T59" i="13"/>
  <c r="S59" i="13"/>
  <c r="R59" i="13"/>
  <c r="AI54" i="13"/>
  <c r="AI59" i="13" s="1"/>
  <c r="AH54" i="13"/>
  <c r="AH59" i="13" s="1"/>
  <c r="AG54" i="13"/>
  <c r="AG59" i="13" s="1"/>
  <c r="U54" i="13"/>
  <c r="U59" i="13" s="1"/>
  <c r="Q54" i="13"/>
  <c r="Q59" i="13" s="1"/>
  <c r="P54" i="13"/>
  <c r="P59" i="13" s="1"/>
  <c r="O54" i="13"/>
  <c r="O59" i="13" s="1"/>
  <c r="N54" i="13"/>
  <c r="N59" i="13" s="1"/>
  <c r="M54" i="13"/>
  <c r="M59" i="13" s="1"/>
  <c r="L54" i="13"/>
  <c r="AU53" i="13"/>
  <c r="AP52" i="13"/>
  <c r="AO52" i="13"/>
  <c r="AN52" i="13"/>
  <c r="AM52" i="13"/>
  <c r="AL52" i="13"/>
  <c r="AK52" i="13"/>
  <c r="AG52" i="13"/>
  <c r="AF52" i="13"/>
  <c r="AE52" i="13"/>
  <c r="AD52" i="13"/>
  <c r="AC52" i="13"/>
  <c r="AB52" i="13"/>
  <c r="AA52" i="13"/>
  <c r="Z52" i="13"/>
  <c r="Y52" i="13"/>
  <c r="X52" i="13"/>
  <c r="N52" i="13"/>
  <c r="L52" i="13"/>
  <c r="AU47" i="13"/>
  <c r="AV47" i="13" s="1"/>
  <c r="AW47" i="13" s="1"/>
  <c r="AX47" i="13" s="1"/>
  <c r="AJ47" i="13"/>
  <c r="AJ52" i="13" s="1"/>
  <c r="AI47" i="13"/>
  <c r="AI52" i="13" s="1"/>
  <c r="AH47" i="13"/>
  <c r="AH52" i="13" s="1"/>
  <c r="W47" i="13"/>
  <c r="W52" i="13" s="1"/>
  <c r="V47" i="13"/>
  <c r="V52" i="13" s="1"/>
  <c r="U47" i="13"/>
  <c r="U52" i="13" s="1"/>
  <c r="T47" i="13"/>
  <c r="T52" i="13" s="1"/>
  <c r="S47" i="13"/>
  <c r="S52" i="13" s="1"/>
  <c r="R47" i="13"/>
  <c r="R52" i="13" s="1"/>
  <c r="Q47" i="13"/>
  <c r="Q52" i="13" s="1"/>
  <c r="P47" i="13"/>
  <c r="P52" i="13" s="1"/>
  <c r="O47" i="13"/>
  <c r="O52" i="13" s="1"/>
  <c r="M47" i="13"/>
  <c r="M52" i="13" s="1"/>
  <c r="AP45" i="13"/>
  <c r="AO45" i="13"/>
  <c r="AN45" i="13"/>
  <c r="AM45" i="13"/>
  <c r="AL45" i="13"/>
  <c r="AK45" i="13"/>
  <c r="AJ45" i="13"/>
  <c r="AI45" i="13"/>
  <c r="AH45" i="13"/>
  <c r="AG45" i="13"/>
  <c r="AF45" i="13"/>
  <c r="AE45" i="13"/>
  <c r="AD45" i="13"/>
  <c r="AC45" i="13"/>
  <c r="AB45" i="13"/>
  <c r="AA45" i="13"/>
  <c r="Z45" i="13"/>
  <c r="Y45" i="13"/>
  <c r="X45" i="13"/>
  <c r="W45" i="13"/>
  <c r="V45" i="13"/>
  <c r="U45" i="13"/>
  <c r="T45" i="13"/>
  <c r="S45" i="13"/>
  <c r="R45" i="13"/>
  <c r="Q45" i="13"/>
  <c r="N45" i="13"/>
  <c r="M45" i="13"/>
  <c r="L45" i="13"/>
  <c r="AU40" i="13"/>
  <c r="AV40" i="13" s="1"/>
  <c r="AW40" i="13" s="1"/>
  <c r="P40" i="13"/>
  <c r="P45" i="13" s="1"/>
  <c r="O40" i="13"/>
  <c r="O45" i="13" s="1"/>
  <c r="AO44" i="13"/>
  <c r="AU39" i="13"/>
  <c r="AP38" i="13"/>
  <c r="AO38" i="13"/>
  <c r="AN38" i="13"/>
  <c r="AM38" i="13"/>
  <c r="AL38" i="13"/>
  <c r="AK38" i="13"/>
  <c r="AF38" i="13"/>
  <c r="AE38" i="13"/>
  <c r="AD38" i="13"/>
  <c r="AC38" i="13"/>
  <c r="AB38" i="13"/>
  <c r="AA38" i="13"/>
  <c r="Z38" i="13"/>
  <c r="Y38" i="13"/>
  <c r="X38" i="13"/>
  <c r="Q38" i="13"/>
  <c r="L38" i="13"/>
  <c r="AJ33" i="13"/>
  <c r="AJ38" i="13" s="1"/>
  <c r="AI33" i="13"/>
  <c r="AI38" i="13" s="1"/>
  <c r="AH33" i="13"/>
  <c r="AH38" i="13" s="1"/>
  <c r="AG33" i="13"/>
  <c r="AG38" i="13" s="1"/>
  <c r="W33" i="13"/>
  <c r="W38" i="13" s="1"/>
  <c r="V33" i="13"/>
  <c r="V38" i="13" s="1"/>
  <c r="U33" i="13"/>
  <c r="U38" i="13" s="1"/>
  <c r="T33" i="13"/>
  <c r="T38" i="13" s="1"/>
  <c r="S33" i="13"/>
  <c r="S38" i="13" s="1"/>
  <c r="R33" i="13"/>
  <c r="R38" i="13" s="1"/>
  <c r="Q33" i="13"/>
  <c r="P33" i="13"/>
  <c r="P38" i="13" s="1"/>
  <c r="O33" i="13"/>
  <c r="O38" i="13" s="1"/>
  <c r="N33" i="13"/>
  <c r="N38" i="13" s="1"/>
  <c r="M33" i="13"/>
  <c r="M38" i="13" s="1"/>
  <c r="L33" i="13"/>
  <c r="AU33" i="13" s="1"/>
  <c r="AU32" i="13"/>
  <c r="AP31" i="13"/>
  <c r="AO31" i="13"/>
  <c r="AN31" i="13"/>
  <c r="AM31" i="13"/>
  <c r="AL31" i="13"/>
  <c r="AK31" i="13"/>
  <c r="AJ31" i="13"/>
  <c r="AI31" i="13"/>
  <c r="AH31" i="13"/>
  <c r="AG31" i="13"/>
  <c r="AF31" i="13"/>
  <c r="AE31" i="13"/>
  <c r="AD31" i="13"/>
  <c r="AC31" i="13"/>
  <c r="AB31" i="13"/>
  <c r="AA31" i="13"/>
  <c r="Z31" i="13"/>
  <c r="Y31" i="13"/>
  <c r="X31" i="13"/>
  <c r="W31" i="13"/>
  <c r="V31" i="13"/>
  <c r="U31" i="13"/>
  <c r="T31" i="13"/>
  <c r="S31" i="13"/>
  <c r="R31" i="13"/>
  <c r="Q31" i="13"/>
  <c r="P31" i="13"/>
  <c r="O31" i="13"/>
  <c r="N31" i="13"/>
  <c r="M31" i="13"/>
  <c r="L31" i="13"/>
  <c r="AU26" i="13"/>
  <c r="AV26" i="13" s="1"/>
  <c r="AW26" i="13" s="1"/>
  <c r="AX26" i="13" s="1"/>
  <c r="AY26" i="13" s="1"/>
  <c r="AZ26" i="13" s="1"/>
  <c r="BA26" i="13" s="1"/>
  <c r="BB26" i="13" s="1"/>
  <c r="BC26" i="13" s="1"/>
  <c r="BD26" i="13" s="1"/>
  <c r="BE26" i="13" s="1"/>
  <c r="BF26" i="13" s="1"/>
  <c r="BG26" i="13" s="1"/>
  <c r="BH26" i="13" s="1"/>
  <c r="BI26" i="13" s="1"/>
  <c r="BJ26" i="13" s="1"/>
  <c r="BK26" i="13" s="1"/>
  <c r="BL26" i="13" s="1"/>
  <c r="BM26" i="13" s="1"/>
  <c r="BN26" i="13" s="1"/>
  <c r="BO26" i="13" s="1"/>
  <c r="BP26" i="13" s="1"/>
  <c r="BQ26" i="13" s="1"/>
  <c r="BR26" i="13" s="1"/>
  <c r="BS26" i="13" s="1"/>
  <c r="BT26" i="13" s="1"/>
  <c r="AF30" i="13"/>
  <c r="AB30" i="13"/>
  <c r="M30" i="13"/>
  <c r="AP24" i="13"/>
  <c r="AO24" i="13"/>
  <c r="AN24" i="13"/>
  <c r="AM24" i="13"/>
  <c r="AL24" i="13"/>
  <c r="AI24" i="13"/>
  <c r="AG24" i="13"/>
  <c r="AF24" i="13"/>
  <c r="AE24" i="13"/>
  <c r="AD24" i="13"/>
  <c r="AC24" i="13"/>
  <c r="AB24" i="13"/>
  <c r="AA24" i="13"/>
  <c r="Z24" i="13"/>
  <c r="Y24" i="13"/>
  <c r="X24" i="13"/>
  <c r="W24" i="13"/>
  <c r="V24" i="13"/>
  <c r="U24" i="13"/>
  <c r="T24" i="13"/>
  <c r="S24" i="13"/>
  <c r="R24" i="13"/>
  <c r="Q24" i="13"/>
  <c r="P24" i="13"/>
  <c r="O24" i="13"/>
  <c r="N24" i="13"/>
  <c r="M24" i="13"/>
  <c r="L24" i="13"/>
  <c r="AU19" i="13"/>
  <c r="AV19" i="13" s="1"/>
  <c r="AW19" i="13" s="1"/>
  <c r="AX19" i="13" s="1"/>
  <c r="AY19" i="13" s="1"/>
  <c r="AZ19" i="13" s="1"/>
  <c r="BA19" i="13" s="1"/>
  <c r="BB19" i="13" s="1"/>
  <c r="BC19" i="13" s="1"/>
  <c r="BD19" i="13" s="1"/>
  <c r="BE19" i="13" s="1"/>
  <c r="BF19" i="13" s="1"/>
  <c r="BG19" i="13" s="1"/>
  <c r="BH19" i="13" s="1"/>
  <c r="BI19" i="13" s="1"/>
  <c r="BJ19" i="13" s="1"/>
  <c r="BK19" i="13" s="1"/>
  <c r="BL19" i="13" s="1"/>
  <c r="BM19" i="13" s="1"/>
  <c r="BN19" i="13" s="1"/>
  <c r="BO19" i="13" s="1"/>
  <c r="BP19" i="13" s="1"/>
  <c r="AK19" i="13"/>
  <c r="AK24" i="13" s="1"/>
  <c r="AJ19" i="13"/>
  <c r="AJ24" i="13" s="1"/>
  <c r="AH19" i="13"/>
  <c r="AH24" i="13" s="1"/>
  <c r="BV17" i="13"/>
  <c r="BU17" i="13"/>
  <c r="BT17" i="13"/>
  <c r="BS17" i="13"/>
  <c r="BR17" i="13"/>
  <c r="BQ17" i="13"/>
  <c r="BP17" i="13"/>
  <c r="BO17" i="13"/>
  <c r="BN17" i="13"/>
  <c r="BM17" i="13"/>
  <c r="BL17" i="13"/>
  <c r="BK17" i="13"/>
  <c r="BJ17" i="13"/>
  <c r="BI17" i="13"/>
  <c r="BH17" i="13"/>
  <c r="BG17" i="13"/>
  <c r="BF17" i="13"/>
  <c r="BE17" i="13"/>
  <c r="BD17" i="13"/>
  <c r="BC17" i="13"/>
  <c r="BB17" i="13"/>
  <c r="BA17" i="13"/>
  <c r="AZ17" i="13"/>
  <c r="AY17" i="13"/>
  <c r="AX17" i="13"/>
  <c r="AW17" i="13"/>
  <c r="AV17" i="13"/>
  <c r="AU17" i="13"/>
  <c r="B59" i="13"/>
  <c r="B40" i="9"/>
  <c r="AQ10" i="12"/>
  <c r="AQ11" i="12"/>
  <c r="T27" i="10" l="1"/>
  <c r="L30" i="13"/>
  <c r="AV95" i="13"/>
  <c r="AD65" i="13"/>
  <c r="AH30" i="13"/>
  <c r="AC58" i="13"/>
  <c r="AD58" i="13"/>
  <c r="AB23" i="13"/>
  <c r="R37" i="13"/>
  <c r="Y100" i="13"/>
  <c r="Q30" i="13"/>
  <c r="AG30" i="13"/>
  <c r="AA37" i="13"/>
  <c r="O72" i="13"/>
  <c r="T30" i="13"/>
  <c r="AL23" i="13"/>
  <c r="T72" i="13"/>
  <c r="Z65" i="13"/>
  <c r="BU27" i="13"/>
  <c r="BV27" i="13" s="1"/>
  <c r="AK10" i="13"/>
  <c r="U86" i="13"/>
  <c r="AK86" i="13"/>
  <c r="AR10" i="12"/>
  <c r="AS10" i="12" s="1"/>
  <c r="AT10" i="12" s="1"/>
  <c r="AU10" i="12" s="1"/>
  <c r="AV10" i="12" s="1"/>
  <c r="AW10" i="12" s="1"/>
  <c r="AX10" i="12" s="1"/>
  <c r="AY10" i="12" s="1"/>
  <c r="AZ10" i="12" s="1"/>
  <c r="BA10" i="12" s="1"/>
  <c r="BB10" i="12" s="1"/>
  <c r="BC10" i="12" s="1"/>
  <c r="BD10" i="12" s="1"/>
  <c r="BE10" i="12" s="1"/>
  <c r="BF10" i="12" s="1"/>
  <c r="BG10" i="12" s="1"/>
  <c r="BH10" i="12" s="1"/>
  <c r="BI10" i="12" s="1"/>
  <c r="BJ10" i="12" s="1"/>
  <c r="BK10" i="12" s="1"/>
  <c r="BL10" i="12" s="1"/>
  <c r="BM10" i="12" s="1"/>
  <c r="BN10" i="12" s="1"/>
  <c r="BO10" i="12" s="1"/>
  <c r="BP10" i="12" s="1"/>
  <c r="AA72" i="13"/>
  <c r="AW60" i="13"/>
  <c r="AX60" i="13" s="1"/>
  <c r="AY60" i="13" s="1"/>
  <c r="AZ60" i="13" s="1"/>
  <c r="BA60" i="13" s="1"/>
  <c r="BB60" i="13" s="1"/>
  <c r="BC60" i="13" s="1"/>
  <c r="BD60" i="13" s="1"/>
  <c r="BE60" i="13" s="1"/>
  <c r="BF60" i="13" s="1"/>
  <c r="BG60" i="13" s="1"/>
  <c r="BH60" i="13" s="1"/>
  <c r="BI60" i="13" s="1"/>
  <c r="BJ60" i="13" s="1"/>
  <c r="BK60" i="13" s="1"/>
  <c r="BL60" i="13" s="1"/>
  <c r="BM60" i="13" s="1"/>
  <c r="BN60" i="13" s="1"/>
  <c r="BO60" i="13" s="1"/>
  <c r="BP60" i="13" s="1"/>
  <c r="BQ60" i="13" s="1"/>
  <c r="BR60" i="13" s="1"/>
  <c r="BS60" i="13" s="1"/>
  <c r="BT60" i="13" s="1"/>
  <c r="BU60" i="13" s="1"/>
  <c r="BV60" i="13" s="1"/>
  <c r="AF65" i="13"/>
  <c r="AN44" i="13"/>
  <c r="Z44" i="13"/>
  <c r="AP44" i="13"/>
  <c r="Q65" i="13"/>
  <c r="AG65" i="13"/>
  <c r="M72" i="13"/>
  <c r="AJ72" i="13"/>
  <c r="AE30" i="13"/>
  <c r="AE10" i="13"/>
  <c r="AF10" i="13"/>
  <c r="AW95" i="13"/>
  <c r="AX95" i="13" s="1"/>
  <c r="AY95" i="13" s="1"/>
  <c r="AZ95" i="13" s="1"/>
  <c r="BA95" i="13" s="1"/>
  <c r="BB95" i="13" s="1"/>
  <c r="BC95" i="13" s="1"/>
  <c r="BD95" i="13" s="1"/>
  <c r="BE95" i="13" s="1"/>
  <c r="BF95" i="13" s="1"/>
  <c r="BG95" i="13" s="1"/>
  <c r="BH95" i="13" s="1"/>
  <c r="BI95" i="13" s="1"/>
  <c r="BJ95" i="13" s="1"/>
  <c r="BK95" i="13" s="1"/>
  <c r="BL95" i="13" s="1"/>
  <c r="BM95" i="13" s="1"/>
  <c r="BN95" i="13" s="1"/>
  <c r="BO95" i="13" s="1"/>
  <c r="BP95" i="13" s="1"/>
  <c r="BQ95" i="13" s="1"/>
  <c r="BR95" i="13" s="1"/>
  <c r="BS95" i="13" s="1"/>
  <c r="BT95" i="13" s="1"/>
  <c r="BU95" i="13" s="1"/>
  <c r="BV95" i="13" s="1"/>
  <c r="AU68" i="13"/>
  <c r="AL10" i="13"/>
  <c r="AV53" i="13"/>
  <c r="AW53" i="13" s="1"/>
  <c r="AX53" i="13" s="1"/>
  <c r="AY53" i="13" s="1"/>
  <c r="AZ53" i="13" s="1"/>
  <c r="BA53" i="13" s="1"/>
  <c r="BB53" i="13" s="1"/>
  <c r="BC53" i="13" s="1"/>
  <c r="BD53" i="13" s="1"/>
  <c r="BE53" i="13" s="1"/>
  <c r="BF53" i="13" s="1"/>
  <c r="BG53" i="13" s="1"/>
  <c r="BH53" i="13" s="1"/>
  <c r="BI53" i="13" s="1"/>
  <c r="BJ53" i="13" s="1"/>
  <c r="BK53" i="13" s="1"/>
  <c r="BL53" i="13" s="1"/>
  <c r="BM53" i="13" s="1"/>
  <c r="BN53" i="13" s="1"/>
  <c r="BO53" i="13" s="1"/>
  <c r="BP53" i="13" s="1"/>
  <c r="BQ53" i="13" s="1"/>
  <c r="BR53" i="13" s="1"/>
  <c r="BS53" i="13" s="1"/>
  <c r="BT53" i="13" s="1"/>
  <c r="BU53" i="13" s="1"/>
  <c r="BV53" i="13" s="1"/>
  <c r="N79" i="13"/>
  <c r="AG10" i="13"/>
  <c r="AZ82" i="13"/>
  <c r="BA82" i="13" s="1"/>
  <c r="BB82" i="13" s="1"/>
  <c r="AH10" i="13"/>
  <c r="AF93" i="13"/>
  <c r="AM10" i="13"/>
  <c r="AJ23" i="13"/>
  <c r="AR11" i="12"/>
  <c r="AJ10" i="13"/>
  <c r="AL79" i="13"/>
  <c r="AM23" i="13"/>
  <c r="AI37" i="13"/>
  <c r="AI10" i="13"/>
  <c r="AO30" i="13"/>
  <c r="AU18" i="13"/>
  <c r="AV18" i="13" s="1"/>
  <c r="AW18" i="13" s="1"/>
  <c r="AX18" i="13" s="1"/>
  <c r="AY18" i="13" s="1"/>
  <c r="AZ18" i="13" s="1"/>
  <c r="BA18" i="13" s="1"/>
  <c r="BB18" i="13" s="1"/>
  <c r="BC18" i="13" s="1"/>
  <c r="BD18" i="13" s="1"/>
  <c r="BE18" i="13" s="1"/>
  <c r="BF18" i="13" s="1"/>
  <c r="BG18" i="13" s="1"/>
  <c r="BH18" i="13" s="1"/>
  <c r="BI18" i="13" s="1"/>
  <c r="BJ18" i="13" s="1"/>
  <c r="BK18" i="13" s="1"/>
  <c r="BL18" i="13" s="1"/>
  <c r="BM18" i="13" s="1"/>
  <c r="BN18" i="13" s="1"/>
  <c r="BO18" i="13" s="1"/>
  <c r="BP18" i="13" s="1"/>
  <c r="BQ18" i="13" s="1"/>
  <c r="BR18" i="13" s="1"/>
  <c r="BS18" i="13" s="1"/>
  <c r="BT18" i="13" s="1"/>
  <c r="BU18" i="13" s="1"/>
  <c r="BV18" i="13" s="1"/>
  <c r="L10" i="13"/>
  <c r="J18" i="13"/>
  <c r="V86" i="13"/>
  <c r="AL86" i="13"/>
  <c r="AE93" i="13"/>
  <c r="Q72" i="13"/>
  <c r="R86" i="13"/>
  <c r="AH86" i="13"/>
  <c r="S51" i="13"/>
  <c r="AI51" i="13"/>
  <c r="R72" i="13"/>
  <c r="S86" i="13"/>
  <c r="AI86" i="13"/>
  <c r="AP86" i="13"/>
  <c r="B68" i="13"/>
  <c r="W86" i="13"/>
  <c r="AM86" i="13"/>
  <c r="X86" i="13"/>
  <c r="AN86" i="13"/>
  <c r="AO86" i="13"/>
  <c r="Y86" i="13"/>
  <c r="W58" i="13"/>
  <c r="AM58" i="13"/>
  <c r="V65" i="13"/>
  <c r="W65" i="13"/>
  <c r="V72" i="13"/>
  <c r="T51" i="13"/>
  <c r="X65" i="13"/>
  <c r="AN65" i="13"/>
  <c r="AC79" i="13"/>
  <c r="N23" i="13"/>
  <c r="AK79" i="13"/>
  <c r="S30" i="13"/>
  <c r="AI30" i="13"/>
  <c r="S58" i="13"/>
  <c r="AI58" i="13"/>
  <c r="AO93" i="13"/>
  <c r="AI23" i="13"/>
  <c r="T58" i="13"/>
  <c r="AJ58" i="13"/>
  <c r="AD79" i="13"/>
  <c r="U72" i="13"/>
  <c r="L44" i="13"/>
  <c r="AA23" i="13"/>
  <c r="X37" i="13"/>
  <c r="O23" i="13"/>
  <c r="AE23" i="13"/>
  <c r="AA65" i="13"/>
  <c r="U100" i="13"/>
  <c r="AK100" i="13"/>
  <c r="AB37" i="13"/>
  <c r="W79" i="13"/>
  <c r="W100" i="13"/>
  <c r="AB44" i="13"/>
  <c r="Q51" i="13"/>
  <c r="AG51" i="13"/>
  <c r="U58" i="13"/>
  <c r="O51" i="13"/>
  <c r="V58" i="13"/>
  <c r="AL58" i="13"/>
  <c r="U65" i="13"/>
  <c r="AV75" i="13"/>
  <c r="AW75" i="13" s="1"/>
  <c r="AX75" i="13" s="1"/>
  <c r="AY75" i="13" s="1"/>
  <c r="AZ75" i="13" s="1"/>
  <c r="BA75" i="13" s="1"/>
  <c r="BB75" i="13" s="1"/>
  <c r="BC75" i="13" s="1"/>
  <c r="BD75" i="13" s="1"/>
  <c r="BE75" i="13" s="1"/>
  <c r="BF75" i="13" s="1"/>
  <c r="BG75" i="13" s="1"/>
  <c r="BH75" i="13" s="1"/>
  <c r="BI75" i="13" s="1"/>
  <c r="BJ75" i="13" s="1"/>
  <c r="BK75" i="13" s="1"/>
  <c r="BL75" i="13" s="1"/>
  <c r="BM75" i="13" s="1"/>
  <c r="BN75" i="13" s="1"/>
  <c r="BO75" i="13" s="1"/>
  <c r="BP75" i="13" s="1"/>
  <c r="BQ75" i="13" s="1"/>
  <c r="BR75" i="13" s="1"/>
  <c r="BS75" i="13" s="1"/>
  <c r="BT75" i="13" s="1"/>
  <c r="BU76" i="13" s="1"/>
  <c r="BV76" i="13" s="1"/>
  <c r="BU97" i="13"/>
  <c r="BV97" i="13" s="1"/>
  <c r="AF44" i="13"/>
  <c r="Y72" i="13"/>
  <c r="AO72" i="13"/>
  <c r="S79" i="13"/>
  <c r="M93" i="13"/>
  <c r="AC93" i="13"/>
  <c r="R23" i="13"/>
  <c r="AH23" i="13"/>
  <c r="Z37" i="13"/>
  <c r="AP37" i="13"/>
  <c r="Q44" i="13"/>
  <c r="V51" i="13"/>
  <c r="AL51" i="13"/>
  <c r="AP72" i="13"/>
  <c r="N93" i="13"/>
  <c r="AD93" i="13"/>
  <c r="BF103" i="13"/>
  <c r="BG103" i="13" s="1"/>
  <c r="BH103" i="13" s="1"/>
  <c r="BI103" i="13" s="1"/>
  <c r="BJ103" i="13" s="1"/>
  <c r="BK103" i="13" s="1"/>
  <c r="BL103" i="13" s="1"/>
  <c r="BM103" i="13" s="1"/>
  <c r="BN103" i="13" s="1"/>
  <c r="BO103" i="13" s="1"/>
  <c r="BP103" i="13" s="1"/>
  <c r="BQ103" i="13" s="1"/>
  <c r="BR103" i="13" s="1"/>
  <c r="BS103" i="13" s="1"/>
  <c r="BT103" i="13" s="1"/>
  <c r="BU104" i="13" s="1"/>
  <c r="BV104" i="13" s="1"/>
  <c r="V23" i="13"/>
  <c r="AV32" i="13"/>
  <c r="AW32" i="13" s="1"/>
  <c r="AX32" i="13" s="1"/>
  <c r="AY32" i="13" s="1"/>
  <c r="AZ32" i="13" s="1"/>
  <c r="BA32" i="13" s="1"/>
  <c r="BB32" i="13" s="1"/>
  <c r="BC32" i="13" s="1"/>
  <c r="BD32" i="13" s="1"/>
  <c r="BE32" i="13" s="1"/>
  <c r="BF32" i="13" s="1"/>
  <c r="BG32" i="13" s="1"/>
  <c r="BH32" i="13" s="1"/>
  <c r="BI32" i="13" s="1"/>
  <c r="BJ32" i="13" s="1"/>
  <c r="BK32" i="13" s="1"/>
  <c r="BL32" i="13" s="1"/>
  <c r="BM32" i="13" s="1"/>
  <c r="BN32" i="13" s="1"/>
  <c r="BO32" i="13" s="1"/>
  <c r="BP32" i="13" s="1"/>
  <c r="BQ32" i="13" s="1"/>
  <c r="BR32" i="13" s="1"/>
  <c r="BS32" i="13" s="1"/>
  <c r="BT32" i="13" s="1"/>
  <c r="BU32" i="13" s="1"/>
  <c r="BV32" i="13" s="1"/>
  <c r="AK44" i="13"/>
  <c r="W51" i="13"/>
  <c r="AM51" i="13"/>
  <c r="S65" i="13"/>
  <c r="AI65" i="13"/>
  <c r="AV68" i="13"/>
  <c r="AW68" i="13" s="1"/>
  <c r="AX68" i="13" s="1"/>
  <c r="AY68" i="13" s="1"/>
  <c r="AZ68" i="13" s="1"/>
  <c r="BA68" i="13" s="1"/>
  <c r="BB68" i="13" s="1"/>
  <c r="BC68" i="13" s="1"/>
  <c r="BD68" i="13" s="1"/>
  <c r="BE68" i="13" s="1"/>
  <c r="BF68" i="13" s="1"/>
  <c r="BG68" i="13" s="1"/>
  <c r="BH68" i="13" s="1"/>
  <c r="BI68" i="13" s="1"/>
  <c r="BJ68" i="13" s="1"/>
  <c r="BK68" i="13" s="1"/>
  <c r="BL68" i="13" s="1"/>
  <c r="BM68" i="13" s="1"/>
  <c r="BN68" i="13" s="1"/>
  <c r="BO68" i="13" s="1"/>
  <c r="BP68" i="13" s="1"/>
  <c r="BQ68" i="13" s="1"/>
  <c r="BR68" i="13" s="1"/>
  <c r="BS68" i="13" s="1"/>
  <c r="BT68" i="13" s="1"/>
  <c r="BU69" i="13" s="1"/>
  <c r="BV69" i="13" s="1"/>
  <c r="BC82" i="13"/>
  <c r="BD82" i="13" s="1"/>
  <c r="BE82" i="13" s="1"/>
  <c r="BF82" i="13" s="1"/>
  <c r="BG82" i="13" s="1"/>
  <c r="BH82" i="13" s="1"/>
  <c r="BI82" i="13" s="1"/>
  <c r="BJ82" i="13" s="1"/>
  <c r="BK82" i="13" s="1"/>
  <c r="BL82" i="13" s="1"/>
  <c r="BM82" i="13" s="1"/>
  <c r="BN82" i="13" s="1"/>
  <c r="BO82" i="13" s="1"/>
  <c r="BP82" i="13" s="1"/>
  <c r="BQ82" i="13" s="1"/>
  <c r="BR82" i="13" s="1"/>
  <c r="BS82" i="13" s="1"/>
  <c r="BT82" i="13" s="1"/>
  <c r="BU83" i="13" s="1"/>
  <c r="BV83" i="13" s="1"/>
  <c r="AV33" i="13"/>
  <c r="AW33" i="13" s="1"/>
  <c r="AX33" i="13" s="1"/>
  <c r="AY33" i="13" s="1"/>
  <c r="AZ33" i="13" s="1"/>
  <c r="BA33" i="13" s="1"/>
  <c r="BB33" i="13" s="1"/>
  <c r="BC33" i="13" s="1"/>
  <c r="BD33" i="13" s="1"/>
  <c r="BE33" i="13" s="1"/>
  <c r="BF33" i="13" s="1"/>
  <c r="BG33" i="13" s="1"/>
  <c r="BH33" i="13" s="1"/>
  <c r="BI33" i="13" s="1"/>
  <c r="BJ33" i="13" s="1"/>
  <c r="BK33" i="13" s="1"/>
  <c r="BL33" i="13" s="1"/>
  <c r="BM33" i="13" s="1"/>
  <c r="BN33" i="13" s="1"/>
  <c r="BO33" i="13" s="1"/>
  <c r="BP33" i="13" s="1"/>
  <c r="BQ33" i="13" s="1"/>
  <c r="BR33" i="13" s="1"/>
  <c r="BS33" i="13" s="1"/>
  <c r="BT33" i="13" s="1"/>
  <c r="BU34" i="13" s="1"/>
  <c r="BV34" i="13" s="1"/>
  <c r="V44" i="13"/>
  <c r="AL44" i="13"/>
  <c r="U51" i="13"/>
  <c r="AK51" i="13"/>
  <c r="X51" i="13"/>
  <c r="AN51" i="13"/>
  <c r="AB72" i="13"/>
  <c r="V79" i="13"/>
  <c r="P93" i="13"/>
  <c r="AD100" i="13"/>
  <c r="Z93" i="13"/>
  <c r="Q79" i="13"/>
  <c r="AG79" i="13"/>
  <c r="AD30" i="13"/>
  <c r="O58" i="13"/>
  <c r="AC23" i="13"/>
  <c r="Z23" i="13"/>
  <c r="AP23" i="13"/>
  <c r="AH37" i="13"/>
  <c r="AP58" i="13"/>
  <c r="P58" i="13"/>
  <c r="AF58" i="13"/>
  <c r="AP65" i="13"/>
  <c r="T100" i="13"/>
  <c r="AJ100" i="13"/>
  <c r="AC65" i="13"/>
  <c r="U30" i="13"/>
  <c r="Q37" i="13"/>
  <c r="Y58" i="13"/>
  <c r="AE58" i="13"/>
  <c r="Y65" i="13"/>
  <c r="AB51" i="13"/>
  <c r="AG58" i="13"/>
  <c r="AI72" i="13"/>
  <c r="AP93" i="13"/>
  <c r="AJ15" i="13"/>
  <c r="P23" i="13"/>
  <c r="AF23" i="13"/>
  <c r="N30" i="13"/>
  <c r="O44" i="13"/>
  <c r="AE44" i="13"/>
  <c r="AN72" i="13"/>
  <c r="R79" i="13"/>
  <c r="AH79" i="13"/>
  <c r="Q23" i="13"/>
  <c r="AG23" i="13"/>
  <c r="O30" i="13"/>
  <c r="P44" i="13"/>
  <c r="AI79" i="13"/>
  <c r="AD37" i="13"/>
  <c r="N86" i="13"/>
  <c r="AD86" i="13"/>
  <c r="AK30" i="13"/>
  <c r="AE37" i="13"/>
  <c r="M58" i="13"/>
  <c r="S93" i="13"/>
  <c r="V30" i="13"/>
  <c r="AL30" i="13"/>
  <c r="P37" i="13"/>
  <c r="AO58" i="13"/>
  <c r="AA79" i="13"/>
  <c r="AU25" i="13"/>
  <c r="AV25" i="13" s="1"/>
  <c r="AW25" i="13" s="1"/>
  <c r="AX25" i="13" s="1"/>
  <c r="AY25" i="13" s="1"/>
  <c r="AZ25" i="13" s="1"/>
  <c r="BA25" i="13" s="1"/>
  <c r="BB25" i="13" s="1"/>
  <c r="BC25" i="13" s="1"/>
  <c r="BD25" i="13" s="1"/>
  <c r="BE25" i="13" s="1"/>
  <c r="BF25" i="13" s="1"/>
  <c r="BG25" i="13" s="1"/>
  <c r="BH25" i="13" s="1"/>
  <c r="BI25" i="13" s="1"/>
  <c r="BJ25" i="13" s="1"/>
  <c r="BK25" i="13" s="1"/>
  <c r="BL25" i="13" s="1"/>
  <c r="BM25" i="13" s="1"/>
  <c r="BN25" i="13" s="1"/>
  <c r="BO25" i="13" s="1"/>
  <c r="BP25" i="13" s="1"/>
  <c r="BQ25" i="13" s="1"/>
  <c r="BR25" i="13" s="1"/>
  <c r="BS25" i="13" s="1"/>
  <c r="BT25" i="13" s="1"/>
  <c r="BU25" i="13" s="1"/>
  <c r="BV25" i="13" s="1"/>
  <c r="AJ37" i="13"/>
  <c r="AC51" i="13"/>
  <c r="P51" i="13"/>
  <c r="AF51" i="13"/>
  <c r="R58" i="13"/>
  <c r="AH58" i="13"/>
  <c r="P79" i="13"/>
  <c r="AF79" i="13"/>
  <c r="V100" i="13"/>
  <c r="AL100" i="13"/>
  <c r="AI93" i="13"/>
  <c r="AM30" i="13"/>
  <c r="AP30" i="13"/>
  <c r="U44" i="13"/>
  <c r="AG72" i="13"/>
  <c r="X72" i="13"/>
  <c r="V93" i="13"/>
  <c r="AN30" i="13"/>
  <c r="Z30" i="13"/>
  <c r="AY47" i="13"/>
  <c r="AZ47" i="13" s="1"/>
  <c r="BA47" i="13" s="1"/>
  <c r="BB47" i="13" s="1"/>
  <c r="BC47" i="13" s="1"/>
  <c r="BD47" i="13" s="1"/>
  <c r="BE47" i="13" s="1"/>
  <c r="BF47" i="13" s="1"/>
  <c r="BG47" i="13" s="1"/>
  <c r="BH47" i="13" s="1"/>
  <c r="BI47" i="13" s="1"/>
  <c r="BJ47" i="13" s="1"/>
  <c r="BK47" i="13" s="1"/>
  <c r="BL47" i="13" s="1"/>
  <c r="BM47" i="13" s="1"/>
  <c r="BN47" i="13" s="1"/>
  <c r="BO47" i="13" s="1"/>
  <c r="BP47" i="13" s="1"/>
  <c r="BQ47" i="13" s="1"/>
  <c r="BR47" i="13" s="1"/>
  <c r="BS47" i="13" s="1"/>
  <c r="BT47" i="13" s="1"/>
  <c r="BU48" i="13" s="1"/>
  <c r="BV48" i="13" s="1"/>
  <c r="AH72" i="13"/>
  <c r="AV74" i="13"/>
  <c r="AW74" i="13" s="1"/>
  <c r="AX74" i="13" s="1"/>
  <c r="AY74" i="13" s="1"/>
  <c r="AZ74" i="13" s="1"/>
  <c r="BA74" i="13" s="1"/>
  <c r="BB74" i="13" s="1"/>
  <c r="BC74" i="13" s="1"/>
  <c r="BD74" i="13" s="1"/>
  <c r="BE74" i="13" s="1"/>
  <c r="BF74" i="13" s="1"/>
  <c r="BG74" i="13" s="1"/>
  <c r="BH74" i="13" s="1"/>
  <c r="BI74" i="13" s="1"/>
  <c r="BJ74" i="13" s="1"/>
  <c r="BK74" i="13" s="1"/>
  <c r="BL74" i="13" s="1"/>
  <c r="BM74" i="13" s="1"/>
  <c r="BN74" i="13" s="1"/>
  <c r="BO74" i="13" s="1"/>
  <c r="BP74" i="13" s="1"/>
  <c r="BQ74" i="13" s="1"/>
  <c r="BR74" i="13" s="1"/>
  <c r="BS74" i="13" s="1"/>
  <c r="BT74" i="13" s="1"/>
  <c r="BU74" i="13" s="1"/>
  <c r="BV74" i="13" s="1"/>
  <c r="AJ93" i="13"/>
  <c r="AK93" i="13"/>
  <c r="V11" i="13"/>
  <c r="AN15" i="13"/>
  <c r="AM15" i="13"/>
  <c r="X30" i="13"/>
  <c r="AI15" i="13"/>
  <c r="AJ44" i="13"/>
  <c r="U37" i="13"/>
  <c r="AK37" i="13"/>
  <c r="J40" i="13"/>
  <c r="C40" i="13" s="1"/>
  <c r="D40" i="13" s="1"/>
  <c r="Y37" i="13"/>
  <c r="Y23" i="13"/>
  <c r="AL11" i="13"/>
  <c r="AM11" i="13"/>
  <c r="L23" i="13"/>
  <c r="Y30" i="13"/>
  <c r="AL37" i="13"/>
  <c r="Z72" i="13"/>
  <c r="AO23" i="13"/>
  <c r="N37" i="13"/>
  <c r="T44" i="13"/>
  <c r="BU90" i="13"/>
  <c r="BV90" i="13" s="1"/>
  <c r="U23" i="13"/>
  <c r="V37" i="13"/>
  <c r="M51" i="13"/>
  <c r="O86" i="13"/>
  <c r="S23" i="13"/>
  <c r="N51" i="13"/>
  <c r="AD51" i="13"/>
  <c r="J66" i="13"/>
  <c r="L79" i="13"/>
  <c r="AB79" i="13"/>
  <c r="L72" i="13"/>
  <c r="W30" i="13"/>
  <c r="P65" i="13"/>
  <c r="AE86" i="13"/>
  <c r="L51" i="13"/>
  <c r="AU46" i="13"/>
  <c r="AV46" i="13" s="1"/>
  <c r="AW46" i="13" s="1"/>
  <c r="AX46" i="13" s="1"/>
  <c r="AY46" i="13" s="1"/>
  <c r="AZ46" i="13" s="1"/>
  <c r="BA46" i="13" s="1"/>
  <c r="BB46" i="13" s="1"/>
  <c r="BC46" i="13" s="1"/>
  <c r="BD46" i="13" s="1"/>
  <c r="BE46" i="13" s="1"/>
  <c r="BF46" i="13" s="1"/>
  <c r="BG46" i="13" s="1"/>
  <c r="BH46" i="13" s="1"/>
  <c r="BI46" i="13" s="1"/>
  <c r="BJ46" i="13" s="1"/>
  <c r="BK46" i="13" s="1"/>
  <c r="BL46" i="13" s="1"/>
  <c r="BM46" i="13" s="1"/>
  <c r="BN46" i="13" s="1"/>
  <c r="BO46" i="13" s="1"/>
  <c r="BP46" i="13" s="1"/>
  <c r="BQ46" i="13" s="1"/>
  <c r="BR46" i="13" s="1"/>
  <c r="BS46" i="13" s="1"/>
  <c r="BT46" i="13" s="1"/>
  <c r="BU46" i="13" s="1"/>
  <c r="BV46" i="13" s="1"/>
  <c r="AE51" i="13"/>
  <c r="AG86" i="13"/>
  <c r="M100" i="13"/>
  <c r="AC100" i="13"/>
  <c r="T65" i="13"/>
  <c r="AJ65" i="13"/>
  <c r="AL93" i="13"/>
  <c r="L37" i="13"/>
  <c r="AV39" i="13"/>
  <c r="AW39" i="13" s="1"/>
  <c r="AX39" i="13" s="1"/>
  <c r="AY39" i="13" s="1"/>
  <c r="AZ39" i="13" s="1"/>
  <c r="BA39" i="13" s="1"/>
  <c r="BB39" i="13" s="1"/>
  <c r="BC39" i="13" s="1"/>
  <c r="BD39" i="13" s="1"/>
  <c r="BE39" i="13" s="1"/>
  <c r="BF39" i="13" s="1"/>
  <c r="BG39" i="13" s="1"/>
  <c r="BH39" i="13" s="1"/>
  <c r="BI39" i="13" s="1"/>
  <c r="BJ39" i="13" s="1"/>
  <c r="BK39" i="13" s="1"/>
  <c r="BL39" i="13" s="1"/>
  <c r="BM39" i="13" s="1"/>
  <c r="BN39" i="13" s="1"/>
  <c r="BO39" i="13" s="1"/>
  <c r="BP39" i="13" s="1"/>
  <c r="BQ39" i="13" s="1"/>
  <c r="BR39" i="13" s="1"/>
  <c r="BS39" i="13" s="1"/>
  <c r="BT39" i="13" s="1"/>
  <c r="BU39" i="13" s="1"/>
  <c r="BV39" i="13" s="1"/>
  <c r="R65" i="13"/>
  <c r="AH65" i="13"/>
  <c r="AE72" i="13"/>
  <c r="O79" i="13"/>
  <c r="AE79" i="13"/>
  <c r="O100" i="13"/>
  <c r="AE100" i="13"/>
  <c r="AA100" i="13"/>
  <c r="W23" i="13"/>
  <c r="AC30" i="13"/>
  <c r="M37" i="13"/>
  <c r="AC37" i="13"/>
  <c r="W44" i="13"/>
  <c r="AM44" i="13"/>
  <c r="P72" i="13"/>
  <c r="AF72" i="13"/>
  <c r="Y93" i="13"/>
  <c r="X93" i="13"/>
  <c r="AN93" i="13"/>
  <c r="P100" i="13"/>
  <c r="L100" i="13"/>
  <c r="AB100" i="13"/>
  <c r="P30" i="13"/>
  <c r="AF86" i="13"/>
  <c r="BQ19" i="13"/>
  <c r="BR19" i="13" s="1"/>
  <c r="BS19" i="13" s="1"/>
  <c r="BT19" i="13" s="1"/>
  <c r="BU20" i="13" s="1"/>
  <c r="BV20" i="13" s="1"/>
  <c r="AG37" i="13"/>
  <c r="AX40" i="13"/>
  <c r="AY40" i="13" s="1"/>
  <c r="AZ40" i="13" s="1"/>
  <c r="BA40" i="13" s="1"/>
  <c r="BB40" i="13" s="1"/>
  <c r="BC40" i="13" s="1"/>
  <c r="BD40" i="13" s="1"/>
  <c r="BE40" i="13" s="1"/>
  <c r="BF40" i="13" s="1"/>
  <c r="BG40" i="13" s="1"/>
  <c r="BH40" i="13" s="1"/>
  <c r="BI40" i="13" s="1"/>
  <c r="BJ40" i="13" s="1"/>
  <c r="BK40" i="13" s="1"/>
  <c r="BL40" i="13" s="1"/>
  <c r="BM40" i="13" s="1"/>
  <c r="BN40" i="13" s="1"/>
  <c r="BO40" i="13" s="1"/>
  <c r="BP40" i="13" s="1"/>
  <c r="BQ40" i="13" s="1"/>
  <c r="BR40" i="13" s="1"/>
  <c r="BS40" i="13" s="1"/>
  <c r="BT40" i="13" s="1"/>
  <c r="BU41" i="13" s="1"/>
  <c r="BV41" i="13" s="1"/>
  <c r="AA44" i="13"/>
  <c r="Y51" i="13"/>
  <c r="AO51" i="13"/>
  <c r="AK58" i="13"/>
  <c r="AA58" i="13"/>
  <c r="AM79" i="13"/>
  <c r="T79" i="13"/>
  <c r="AJ79" i="13"/>
  <c r="Q86" i="13"/>
  <c r="AJ30" i="13"/>
  <c r="R30" i="13"/>
  <c r="AG44" i="13"/>
  <c r="L58" i="13"/>
  <c r="AB58" i="13"/>
  <c r="AV61" i="13"/>
  <c r="AW61" i="13" s="1"/>
  <c r="AX61" i="13" s="1"/>
  <c r="AY61" i="13" s="1"/>
  <c r="AZ61" i="13" s="1"/>
  <c r="BA61" i="13" s="1"/>
  <c r="BB61" i="13" s="1"/>
  <c r="BC61" i="13" s="1"/>
  <c r="BD61" i="13" s="1"/>
  <c r="BE61" i="13" s="1"/>
  <c r="BF61" i="13" s="1"/>
  <c r="BG61" i="13" s="1"/>
  <c r="BH61" i="13" s="1"/>
  <c r="BI61" i="13" s="1"/>
  <c r="BJ61" i="13" s="1"/>
  <c r="BK61" i="13" s="1"/>
  <c r="BL61" i="13" s="1"/>
  <c r="BM61" i="13" s="1"/>
  <c r="BN61" i="13" s="1"/>
  <c r="BO61" i="13" s="1"/>
  <c r="BP61" i="13" s="1"/>
  <c r="BQ61" i="13" s="1"/>
  <c r="BR61" i="13" s="1"/>
  <c r="BS61" i="13" s="1"/>
  <c r="BT61" i="13" s="1"/>
  <c r="BU62" i="13" s="1"/>
  <c r="BV62" i="13" s="1"/>
  <c r="AK72" i="13"/>
  <c r="U79" i="13"/>
  <c r="L86" i="13"/>
  <c r="AB86" i="13"/>
  <c r="S72" i="13"/>
  <c r="P86" i="13"/>
  <c r="AA93" i="13"/>
  <c r="AH44" i="13"/>
  <c r="M44" i="13"/>
  <c r="AC44" i="13"/>
  <c r="Z51" i="13"/>
  <c r="AP51" i="13"/>
  <c r="L65" i="13"/>
  <c r="AB65" i="13"/>
  <c r="AL72" i="13"/>
  <c r="AO79" i="13"/>
  <c r="R100" i="13"/>
  <c r="AH100" i="13"/>
  <c r="AD23" i="13"/>
  <c r="T37" i="13"/>
  <c r="N44" i="13"/>
  <c r="AD44" i="13"/>
  <c r="X58" i="13"/>
  <c r="AN58" i="13"/>
  <c r="N58" i="13"/>
  <c r="M65" i="13"/>
  <c r="Z79" i="13"/>
  <c r="AP79" i="13"/>
  <c r="T86" i="13"/>
  <c r="AJ86" i="13"/>
  <c r="O93" i="13"/>
  <c r="AM100" i="13"/>
  <c r="S100" i="13"/>
  <c r="AI100" i="13"/>
  <c r="J108" i="13"/>
  <c r="L59" i="13"/>
  <c r="J59" i="13" s="1"/>
  <c r="AU54" i="13"/>
  <c r="AV54" i="13" s="1"/>
  <c r="AW54" i="13" s="1"/>
  <c r="AX54" i="13" s="1"/>
  <c r="AY54" i="13" s="1"/>
  <c r="AZ54" i="13" s="1"/>
  <c r="BA54" i="13" s="1"/>
  <c r="BB54" i="13" s="1"/>
  <c r="BC54" i="13" s="1"/>
  <c r="BD54" i="13" s="1"/>
  <c r="BE54" i="13" s="1"/>
  <c r="BF54" i="13" s="1"/>
  <c r="BG54" i="13" s="1"/>
  <c r="BH54" i="13" s="1"/>
  <c r="BI54" i="13" s="1"/>
  <c r="BJ54" i="13" s="1"/>
  <c r="BK54" i="13" s="1"/>
  <c r="BL54" i="13" s="1"/>
  <c r="BM54" i="13" s="1"/>
  <c r="BN54" i="13" s="1"/>
  <c r="BO54" i="13" s="1"/>
  <c r="BP54" i="13" s="1"/>
  <c r="BQ54" i="13" s="1"/>
  <c r="BR54" i="13" s="1"/>
  <c r="BS54" i="13" s="1"/>
  <c r="BT54" i="13" s="1"/>
  <c r="BU55" i="13" s="1"/>
  <c r="BV55" i="13" s="1"/>
  <c r="J68" i="13"/>
  <c r="J103" i="13"/>
  <c r="J101" i="13"/>
  <c r="J95" i="13"/>
  <c r="J74" i="13"/>
  <c r="J88" i="13"/>
  <c r="J80" i="13"/>
  <c r="J54" i="13"/>
  <c r="AD15" i="13"/>
  <c r="N15" i="13"/>
  <c r="J96" i="13"/>
  <c r="J87" i="13"/>
  <c r="J53" i="13"/>
  <c r="AG15" i="13"/>
  <c r="P15" i="13"/>
  <c r="AB11" i="13"/>
  <c r="L11" i="13"/>
  <c r="R10" i="13"/>
  <c r="AP15" i="13"/>
  <c r="Y15" i="13"/>
  <c r="AK11" i="13"/>
  <c r="U11" i="13"/>
  <c r="AA10" i="13"/>
  <c r="AO15" i="13"/>
  <c r="X15" i="13"/>
  <c r="AJ11" i="13"/>
  <c r="T11" i="13"/>
  <c r="Z10" i="13"/>
  <c r="J52" i="13"/>
  <c r="J24" i="13"/>
  <c r="AL15" i="13"/>
  <c r="R15" i="13"/>
  <c r="AI11" i="13"/>
  <c r="P11" i="13"/>
  <c r="AN10" i="13"/>
  <c r="J75" i="13"/>
  <c r="AK15" i="13"/>
  <c r="Q15" i="13"/>
  <c r="AH11" i="13"/>
  <c r="O11" i="13"/>
  <c r="AD10" i="13"/>
  <c r="J102" i="13"/>
  <c r="J82" i="13"/>
  <c r="J46" i="13"/>
  <c r="J38" i="13"/>
  <c r="J33" i="13"/>
  <c r="AC15" i="13"/>
  <c r="AN14" i="13"/>
  <c r="AA11" i="13"/>
  <c r="V10" i="13"/>
  <c r="J67" i="13"/>
  <c r="AB15" i="13"/>
  <c r="Z11" i="13"/>
  <c r="U10" i="13"/>
  <c r="AA15" i="13"/>
  <c r="Y11" i="13"/>
  <c r="T10" i="13"/>
  <c r="J39" i="13"/>
  <c r="J26" i="13"/>
  <c r="Z15" i="13"/>
  <c r="X11" i="13"/>
  <c r="S10" i="13"/>
  <c r="O15" i="13"/>
  <c r="N11" i="13"/>
  <c r="M15" i="13"/>
  <c r="AP11" i="13"/>
  <c r="M11" i="13"/>
  <c r="J94" i="13"/>
  <c r="J61" i="13"/>
  <c r="AO11" i="13"/>
  <c r="AP10" i="13"/>
  <c r="AP14" i="13"/>
  <c r="AN11" i="13"/>
  <c r="AO10" i="13"/>
  <c r="AE15" i="13"/>
  <c r="AC11" i="13"/>
  <c r="P10" i="13"/>
  <c r="J107" i="13"/>
  <c r="J89" i="13"/>
  <c r="J73" i="13"/>
  <c r="J47" i="13"/>
  <c r="W15" i="13"/>
  <c r="W11" i="13"/>
  <c r="O10" i="13"/>
  <c r="AO37" i="13"/>
  <c r="M10" i="13"/>
  <c r="J25" i="13"/>
  <c r="J31" i="13"/>
  <c r="N10" i="13"/>
  <c r="J32" i="13"/>
  <c r="Q10" i="13"/>
  <c r="Q11" i="13"/>
  <c r="J45" i="13"/>
  <c r="W10" i="13"/>
  <c r="R11" i="13"/>
  <c r="AO14" i="13"/>
  <c r="M86" i="13"/>
  <c r="AC86" i="13"/>
  <c r="X10" i="13"/>
  <c r="S11" i="13"/>
  <c r="S15" i="13"/>
  <c r="J60" i="13"/>
  <c r="Y10" i="13"/>
  <c r="T15" i="13"/>
  <c r="AB10" i="13"/>
  <c r="AD11" i="13"/>
  <c r="U15" i="13"/>
  <c r="J19" i="13"/>
  <c r="AC10" i="13"/>
  <c r="AE11" i="13"/>
  <c r="V15" i="13"/>
  <c r="AF11" i="13"/>
  <c r="AF15" i="13"/>
  <c r="E17" i="13"/>
  <c r="AG11" i="13"/>
  <c r="AH15" i="13"/>
  <c r="S37" i="13"/>
  <c r="J81" i="13"/>
  <c r="AU81" i="13"/>
  <c r="AV81" i="13" s="1"/>
  <c r="AW81" i="13" s="1"/>
  <c r="AX81" i="13" s="1"/>
  <c r="AY81" i="13" s="1"/>
  <c r="AZ81" i="13" s="1"/>
  <c r="BA81" i="13" s="1"/>
  <c r="BB81" i="13" s="1"/>
  <c r="BC81" i="13" s="1"/>
  <c r="BD81" i="13" s="1"/>
  <c r="BE81" i="13" s="1"/>
  <c r="BF81" i="13" s="1"/>
  <c r="BG81" i="13" s="1"/>
  <c r="BH81" i="13" s="1"/>
  <c r="BI81" i="13" s="1"/>
  <c r="BJ81" i="13" s="1"/>
  <c r="BK81" i="13" s="1"/>
  <c r="BL81" i="13" s="1"/>
  <c r="BM81" i="13" s="1"/>
  <c r="BN81" i="13" s="1"/>
  <c r="BO81" i="13" s="1"/>
  <c r="BP81" i="13" s="1"/>
  <c r="BQ81" i="13" s="1"/>
  <c r="BR81" i="13" s="1"/>
  <c r="BS81" i="13" s="1"/>
  <c r="BT81" i="13" s="1"/>
  <c r="BU81" i="13" s="1"/>
  <c r="BV81" i="13" s="1"/>
  <c r="AU88" i="13"/>
  <c r="AV88" i="13" s="1"/>
  <c r="AW88" i="13" s="1"/>
  <c r="AX88" i="13" s="1"/>
  <c r="AY88" i="13" s="1"/>
  <c r="AZ88" i="13" s="1"/>
  <c r="BA88" i="13" s="1"/>
  <c r="BB88" i="13" s="1"/>
  <c r="BC88" i="13" s="1"/>
  <c r="BD88" i="13" s="1"/>
  <c r="BE88" i="13" s="1"/>
  <c r="BF88" i="13" s="1"/>
  <c r="BG88" i="13" s="1"/>
  <c r="BH88" i="13" s="1"/>
  <c r="BI88" i="13" s="1"/>
  <c r="BJ88" i="13" s="1"/>
  <c r="BK88" i="13" s="1"/>
  <c r="BL88" i="13" s="1"/>
  <c r="BM88" i="13" s="1"/>
  <c r="BN88" i="13" s="1"/>
  <c r="BO88" i="13" s="1"/>
  <c r="BP88" i="13" s="1"/>
  <c r="BQ88" i="13" s="1"/>
  <c r="BR88" i="13" s="1"/>
  <c r="BS88" i="13" s="1"/>
  <c r="BT88" i="13" s="1"/>
  <c r="BU88" i="13" s="1"/>
  <c r="BV88" i="13" s="1"/>
  <c r="L93" i="13"/>
  <c r="AO65" i="13"/>
  <c r="AK23" i="13"/>
  <c r="R51" i="13"/>
  <c r="AH51" i="13"/>
  <c r="Z58" i="13"/>
  <c r="AH93" i="13"/>
  <c r="S44" i="13"/>
  <c r="AI44" i="13"/>
  <c r="X79" i="13"/>
  <c r="AN79" i="13"/>
  <c r="AN37" i="13"/>
  <c r="AK65" i="13"/>
  <c r="Y79" i="13"/>
  <c r="AA51" i="13"/>
  <c r="T93" i="13"/>
  <c r="N65" i="13"/>
  <c r="Z86" i="13"/>
  <c r="U93" i="13"/>
  <c r="O65" i="13"/>
  <c r="AE65" i="13"/>
  <c r="AV67" i="13"/>
  <c r="AW67" i="13" s="1"/>
  <c r="AX67" i="13" s="1"/>
  <c r="AY67" i="13" s="1"/>
  <c r="AZ67" i="13" s="1"/>
  <c r="BA67" i="13" s="1"/>
  <c r="BB67" i="13" s="1"/>
  <c r="BC67" i="13" s="1"/>
  <c r="BD67" i="13" s="1"/>
  <c r="BE67" i="13" s="1"/>
  <c r="BF67" i="13" s="1"/>
  <c r="BG67" i="13" s="1"/>
  <c r="BH67" i="13" s="1"/>
  <c r="BI67" i="13" s="1"/>
  <c r="BJ67" i="13" s="1"/>
  <c r="BK67" i="13" s="1"/>
  <c r="BL67" i="13" s="1"/>
  <c r="BM67" i="13" s="1"/>
  <c r="BN67" i="13" s="1"/>
  <c r="BO67" i="13" s="1"/>
  <c r="BP67" i="13" s="1"/>
  <c r="BQ67" i="13" s="1"/>
  <c r="BR67" i="13" s="1"/>
  <c r="BS67" i="13" s="1"/>
  <c r="BT67" i="13" s="1"/>
  <c r="BU67" i="13" s="1"/>
  <c r="BV67" i="13" s="1"/>
  <c r="AA86" i="13"/>
  <c r="AO100" i="13"/>
  <c r="M23" i="13"/>
  <c r="R44" i="13"/>
  <c r="W72" i="13"/>
  <c r="AM72" i="13"/>
  <c r="AP100" i="13"/>
  <c r="X44" i="13"/>
  <c r="AJ51" i="13"/>
  <c r="AL65" i="13"/>
  <c r="AC72" i="13"/>
  <c r="AF100" i="13"/>
  <c r="T23" i="13"/>
  <c r="Y44" i="13"/>
  <c r="AM65" i="13"/>
  <c r="AG100" i="13"/>
  <c r="O37" i="13"/>
  <c r="X23" i="13"/>
  <c r="AN23" i="13"/>
  <c r="AF37" i="13"/>
  <c r="N100" i="13"/>
  <c r="AA30" i="13"/>
  <c r="W37" i="13"/>
  <c r="AM37" i="13"/>
  <c r="Q58" i="13"/>
  <c r="N72" i="13"/>
  <c r="AD72" i="13"/>
  <c r="W93" i="13"/>
  <c r="AM93" i="13"/>
  <c r="B108" i="13"/>
  <c r="B96" i="13"/>
  <c r="B54" i="13"/>
  <c r="B101" i="13"/>
  <c r="B89" i="13"/>
  <c r="B102" i="13"/>
  <c r="B52" i="13"/>
  <c r="B61" i="13"/>
  <c r="B82" i="13"/>
  <c r="B87" i="13"/>
  <c r="B45" i="9"/>
  <c r="B103" i="13"/>
  <c r="B73" i="13"/>
  <c r="B47" i="13"/>
  <c r="B75" i="13"/>
  <c r="B94" i="13"/>
  <c r="B66" i="13"/>
  <c r="B107" i="13"/>
  <c r="Z14" i="13" l="1"/>
  <c r="AL14" i="13"/>
  <c r="AL12" i="13" s="1"/>
  <c r="AM14" i="13"/>
  <c r="AM12" i="13" s="1"/>
  <c r="L15" i="13"/>
  <c r="L13" i="13" s="1"/>
  <c r="B78" i="13"/>
  <c r="B80" i="13"/>
  <c r="C66" i="13"/>
  <c r="S14" i="13"/>
  <c r="S12" i="13" s="1"/>
  <c r="AA14" i="13"/>
  <c r="AA12" i="13" s="1"/>
  <c r="AF14" i="13"/>
  <c r="AF12" i="13" s="1"/>
  <c r="V13" i="13"/>
  <c r="AS11" i="12"/>
  <c r="AT11" i="12" s="1"/>
  <c r="AU11" i="12" s="1"/>
  <c r="AV11" i="12" s="1"/>
  <c r="AW11" i="12" s="1"/>
  <c r="AX11" i="12" s="1"/>
  <c r="AY11" i="12" s="1"/>
  <c r="AZ11" i="12" s="1"/>
  <c r="BA11" i="12" s="1"/>
  <c r="BB11" i="12" s="1"/>
  <c r="BC11" i="12" s="1"/>
  <c r="BD11" i="12" s="1"/>
  <c r="BE11" i="12" s="1"/>
  <c r="BF11" i="12" s="1"/>
  <c r="BG11" i="12" s="1"/>
  <c r="BH11" i="12" s="1"/>
  <c r="BI11" i="12" s="1"/>
  <c r="BJ11" i="12" s="1"/>
  <c r="BK11" i="12" s="1"/>
  <c r="BL11" i="12" s="1"/>
  <c r="BM11" i="12" s="1"/>
  <c r="BN11" i="12" s="1"/>
  <c r="BO11" i="12" s="1"/>
  <c r="BP12" i="12" s="1"/>
  <c r="B105" i="13"/>
  <c r="E17" i="10"/>
  <c r="AF13" i="13"/>
  <c r="AH14" i="13"/>
  <c r="AH12" i="13" s="1"/>
  <c r="V14" i="13"/>
  <c r="V12" i="13" s="1"/>
  <c r="AL13" i="13"/>
  <c r="M14" i="13"/>
  <c r="M12" i="13" s="1"/>
  <c r="R14" i="13"/>
  <c r="R12" i="13" s="1"/>
  <c r="P14" i="13"/>
  <c r="P12" i="13" s="1"/>
  <c r="AB14" i="13"/>
  <c r="AB12" i="13" s="1"/>
  <c r="Y14" i="13"/>
  <c r="Y12" i="13" s="1"/>
  <c r="AN12" i="13"/>
  <c r="AN13" i="13"/>
  <c r="AP13" i="13"/>
  <c r="J37" i="13"/>
  <c r="J35" i="13" s="1"/>
  <c r="S13" i="13"/>
  <c r="AJ13" i="13"/>
  <c r="AC14" i="13"/>
  <c r="AC12" i="13" s="1"/>
  <c r="AK13" i="13"/>
  <c r="AM13" i="13"/>
  <c r="P13" i="13"/>
  <c r="AD14" i="13"/>
  <c r="AD12" i="13" s="1"/>
  <c r="J30" i="13"/>
  <c r="K31" i="13" s="1"/>
  <c r="X14" i="13"/>
  <c r="X12" i="13" s="1"/>
  <c r="K40" i="13"/>
  <c r="J58" i="13"/>
  <c r="J56" i="13" s="1"/>
  <c r="AE14" i="13"/>
  <c r="AE12" i="13" s="1"/>
  <c r="U14" i="13"/>
  <c r="U12" i="13" s="1"/>
  <c r="AG13" i="13"/>
  <c r="Q14" i="13"/>
  <c r="Q12" i="13" s="1"/>
  <c r="AI14" i="13"/>
  <c r="AI12" i="13" s="1"/>
  <c r="O14" i="13"/>
  <c r="O12" i="13" s="1"/>
  <c r="U13" i="13"/>
  <c r="AJ14" i="13"/>
  <c r="AJ12" i="13" s="1"/>
  <c r="W14" i="13"/>
  <c r="W12" i="13" s="1"/>
  <c r="AK14" i="13"/>
  <c r="AK12" i="13" s="1"/>
  <c r="J72" i="13"/>
  <c r="J70" i="13" s="1"/>
  <c r="J51" i="13"/>
  <c r="J49" i="13" s="1"/>
  <c r="C49" i="13" s="1"/>
  <c r="T13" i="13"/>
  <c r="AB13" i="13"/>
  <c r="X13" i="13"/>
  <c r="J65" i="13"/>
  <c r="K66" i="13" s="1"/>
  <c r="O13" i="13"/>
  <c r="J44" i="13"/>
  <c r="J42" i="13" s="1"/>
  <c r="AE13" i="13"/>
  <c r="J93" i="13"/>
  <c r="J91" i="13" s="1"/>
  <c r="J79" i="13"/>
  <c r="J77" i="13" s="1"/>
  <c r="AC13" i="13"/>
  <c r="AI13" i="13"/>
  <c r="AH13" i="13"/>
  <c r="Z12" i="13"/>
  <c r="J86" i="13"/>
  <c r="J84" i="13" s="1"/>
  <c r="J100" i="13"/>
  <c r="J98" i="13" s="1"/>
  <c r="AO12" i="13"/>
  <c r="AP12" i="13"/>
  <c r="Y13" i="13"/>
  <c r="K26" i="13"/>
  <c r="C26" i="13"/>
  <c r="N14" i="13"/>
  <c r="N12" i="13" s="1"/>
  <c r="J99" i="13"/>
  <c r="C101" i="13"/>
  <c r="W13" i="13"/>
  <c r="K61" i="13"/>
  <c r="C61" i="13"/>
  <c r="D61" i="13" s="1"/>
  <c r="K75" i="13"/>
  <c r="C75" i="13"/>
  <c r="D75" i="13" s="1"/>
  <c r="C103" i="13"/>
  <c r="D103" i="13" s="1"/>
  <c r="K103" i="13"/>
  <c r="K47" i="13"/>
  <c r="C47" i="13"/>
  <c r="D47" i="13" s="1"/>
  <c r="J92" i="13"/>
  <c r="C94" i="13"/>
  <c r="AU10" i="13"/>
  <c r="AV10" i="13" s="1"/>
  <c r="AW10" i="13" s="1"/>
  <c r="AX10" i="13" s="1"/>
  <c r="AY10" i="13" s="1"/>
  <c r="AZ10" i="13" s="1"/>
  <c r="BA10" i="13" s="1"/>
  <c r="BB10" i="13" s="1"/>
  <c r="BC10" i="13" s="1"/>
  <c r="BD10" i="13" s="1"/>
  <c r="BE10" i="13" s="1"/>
  <c r="BF10" i="13" s="1"/>
  <c r="BG10" i="13" s="1"/>
  <c r="BH10" i="13" s="1"/>
  <c r="BI10" i="13" s="1"/>
  <c r="BJ10" i="13" s="1"/>
  <c r="BK10" i="13" s="1"/>
  <c r="BL10" i="13" s="1"/>
  <c r="BM10" i="13" s="1"/>
  <c r="BN10" i="13" s="1"/>
  <c r="BO10" i="13" s="1"/>
  <c r="BP10" i="13" s="1"/>
  <c r="BQ10" i="13" s="1"/>
  <c r="BR10" i="13" s="1"/>
  <c r="BS10" i="13" s="1"/>
  <c r="BT10" i="13" s="1"/>
  <c r="BU10" i="13" s="1"/>
  <c r="BV10" i="13" s="1"/>
  <c r="G10" i="13"/>
  <c r="AO13" i="13"/>
  <c r="C68" i="13"/>
  <c r="D68" i="13" s="1"/>
  <c r="K68" i="13"/>
  <c r="J71" i="13"/>
  <c r="C73" i="13"/>
  <c r="J23" i="13"/>
  <c r="J21" i="13" s="1"/>
  <c r="J57" i="13"/>
  <c r="C59" i="13"/>
  <c r="K89" i="13"/>
  <c r="C89" i="13"/>
  <c r="D89" i="13" s="1"/>
  <c r="C33" i="13"/>
  <c r="D33" i="13" s="1"/>
  <c r="K33" i="13"/>
  <c r="AG14" i="13"/>
  <c r="AG12" i="13" s="1"/>
  <c r="J105" i="13"/>
  <c r="L14" i="13"/>
  <c r="J36" i="13"/>
  <c r="C38" i="13"/>
  <c r="J85" i="13"/>
  <c r="C87" i="13"/>
  <c r="M13" i="13"/>
  <c r="AA13" i="13"/>
  <c r="K96" i="13"/>
  <c r="C96" i="13"/>
  <c r="D96" i="13" s="1"/>
  <c r="J29" i="13"/>
  <c r="R13" i="13"/>
  <c r="N13" i="13"/>
  <c r="K82" i="13"/>
  <c r="C82" i="13"/>
  <c r="D82" i="13" s="1"/>
  <c r="AD13" i="13"/>
  <c r="J64" i="13"/>
  <c r="C24" i="13"/>
  <c r="J22" i="13"/>
  <c r="K54" i="13"/>
  <c r="C54" i="13"/>
  <c r="D54" i="13" s="1"/>
  <c r="J50" i="13"/>
  <c r="C52" i="13"/>
  <c r="C80" i="13"/>
  <c r="J78" i="13"/>
  <c r="C108" i="13"/>
  <c r="K108" i="13"/>
  <c r="J106" i="13"/>
  <c r="T14" i="13"/>
  <c r="T12" i="13" s="1"/>
  <c r="C45" i="13"/>
  <c r="C43" i="13" s="1"/>
  <c r="J43" i="13"/>
  <c r="AU45" i="13"/>
  <c r="H10" i="13"/>
  <c r="AU11" i="13"/>
  <c r="AV11" i="13" s="1"/>
  <c r="AW11" i="13" s="1"/>
  <c r="AX11" i="13" s="1"/>
  <c r="AY11" i="13" s="1"/>
  <c r="AZ11" i="13" s="1"/>
  <c r="BA11" i="13" s="1"/>
  <c r="BB11" i="13" s="1"/>
  <c r="BC11" i="13" s="1"/>
  <c r="BD11" i="13" s="1"/>
  <c r="BE11" i="13" s="1"/>
  <c r="BF11" i="13" s="1"/>
  <c r="BG11" i="13" s="1"/>
  <c r="BH11" i="13" s="1"/>
  <c r="BI11" i="13" s="1"/>
  <c r="BJ11" i="13" s="1"/>
  <c r="BK11" i="13" s="1"/>
  <c r="BL11" i="13" s="1"/>
  <c r="BM11" i="13" s="1"/>
  <c r="BN11" i="13" s="1"/>
  <c r="BO11" i="13" s="1"/>
  <c r="BP11" i="13" s="1"/>
  <c r="BQ11" i="13" s="1"/>
  <c r="BR11" i="13" s="1"/>
  <c r="BS11" i="13" s="1"/>
  <c r="BT11" i="13" s="1"/>
  <c r="BU12" i="13" s="1"/>
  <c r="BV12" i="13" s="1"/>
  <c r="K19" i="13"/>
  <c r="C19" i="13"/>
  <c r="Z13" i="13"/>
  <c r="Q13" i="13"/>
  <c r="B64" i="13"/>
  <c r="B50" i="13"/>
  <c r="B43" i="9"/>
  <c r="B57" i="13"/>
  <c r="B85" i="13"/>
  <c r="B92" i="13"/>
  <c r="B71" i="13"/>
  <c r="B99" i="13"/>
  <c r="B106" i="13"/>
  <c r="P8" i="10" l="1"/>
  <c r="H12" i="13"/>
  <c r="K73" i="13"/>
  <c r="C71" i="13"/>
  <c r="C50" i="13"/>
  <c r="K57" i="13"/>
  <c r="C85" i="13"/>
  <c r="K38" i="13"/>
  <c r="I10" i="13"/>
  <c r="K36" i="13"/>
  <c r="K106" i="13"/>
  <c r="K71" i="13"/>
  <c r="K52" i="13"/>
  <c r="K59" i="13"/>
  <c r="K50" i="13"/>
  <c r="J28" i="13"/>
  <c r="K29" i="13" s="1"/>
  <c r="K87" i="13"/>
  <c r="K43" i="13"/>
  <c r="K85" i="13"/>
  <c r="K45" i="13"/>
  <c r="J63" i="13"/>
  <c r="K64" i="13" s="1"/>
  <c r="K24" i="13"/>
  <c r="K99" i="13"/>
  <c r="C78" i="13"/>
  <c r="C92" i="13"/>
  <c r="K94" i="13"/>
  <c r="K78" i="13"/>
  <c r="K101" i="13"/>
  <c r="K80" i="13"/>
  <c r="K92" i="13"/>
  <c r="C57" i="13"/>
  <c r="K22" i="13"/>
  <c r="C22" i="13"/>
  <c r="C13" i="13"/>
  <c r="C36" i="13"/>
  <c r="C106" i="13"/>
  <c r="C99" i="13"/>
  <c r="L12" i="13"/>
  <c r="G12" i="13"/>
  <c r="G11" i="13" s="1"/>
  <c r="H11" i="13"/>
  <c r="C11" i="13"/>
  <c r="D19" i="13"/>
  <c r="C64" i="13"/>
  <c r="I11" i="13" l="1"/>
  <c r="C12" i="13"/>
  <c r="I12" i="13"/>
  <c r="AM101" i="9" l="1"/>
  <c r="AL101" i="9"/>
  <c r="AK101" i="9"/>
  <c r="AJ101" i="9"/>
  <c r="AI101" i="9"/>
  <c r="AH101" i="9"/>
  <c r="AG101" i="9"/>
  <c r="AF101" i="9"/>
  <c r="AE101" i="9"/>
  <c r="AD101" i="9"/>
  <c r="AC101" i="9"/>
  <c r="AB101" i="9"/>
  <c r="AA101" i="9"/>
  <c r="Z101" i="9"/>
  <c r="Y101" i="9"/>
  <c r="X101" i="9"/>
  <c r="W101" i="9"/>
  <c r="V101" i="9"/>
  <c r="U101" i="9"/>
  <c r="T101" i="9"/>
  <c r="S101" i="9"/>
  <c r="R101" i="9"/>
  <c r="Q101" i="9"/>
  <c r="P101" i="9"/>
  <c r="O101" i="9"/>
  <c r="N101" i="9"/>
  <c r="M101" i="9"/>
  <c r="L101" i="9"/>
  <c r="P20" i="10"/>
  <c r="Q19" i="10"/>
  <c r="V28" i="10"/>
  <c r="K28" i="10"/>
  <c r="T28" i="10" s="1"/>
  <c r="U26" i="10"/>
  <c r="U25" i="10"/>
  <c r="Q8" i="10" s="1"/>
  <c r="AU103" i="9"/>
  <c r="AV103" i="9" s="1"/>
  <c r="AW103" i="9" s="1"/>
  <c r="AX103" i="9" s="1"/>
  <c r="AY103" i="9" s="1"/>
  <c r="AZ103" i="9" s="1"/>
  <c r="BA103" i="9" s="1"/>
  <c r="BB103" i="9" s="1"/>
  <c r="BC103" i="9" s="1"/>
  <c r="BD103" i="9" s="1"/>
  <c r="BE103" i="9" s="1"/>
  <c r="AU102" i="9"/>
  <c r="AV102" i="9" s="1"/>
  <c r="AW102" i="9" s="1"/>
  <c r="AX102" i="9" s="1"/>
  <c r="AY102" i="9" s="1"/>
  <c r="AZ102" i="9" s="1"/>
  <c r="BA102" i="9" s="1"/>
  <c r="BB102" i="9" s="1"/>
  <c r="BC102" i="9" s="1"/>
  <c r="BD102" i="9" s="1"/>
  <c r="BE102" i="9" s="1"/>
  <c r="BF102" i="9" s="1"/>
  <c r="BG102" i="9" s="1"/>
  <c r="BH102" i="9" s="1"/>
  <c r="BI102" i="9" s="1"/>
  <c r="BJ102" i="9" s="1"/>
  <c r="BK102" i="9" s="1"/>
  <c r="BL102" i="9" s="1"/>
  <c r="BM102" i="9" s="1"/>
  <c r="BN102" i="9" s="1"/>
  <c r="BO102" i="9" s="1"/>
  <c r="BP102" i="9" s="1"/>
  <c r="BQ102" i="9" s="1"/>
  <c r="BR102" i="9" s="1"/>
  <c r="BS102" i="9" s="1"/>
  <c r="BT102" i="9" s="1"/>
  <c r="BU102" i="9" s="1"/>
  <c r="BV102" i="9" s="1"/>
  <c r="AU96" i="9"/>
  <c r="AV96" i="9" s="1"/>
  <c r="AW96" i="9" s="1"/>
  <c r="AX96" i="9" s="1"/>
  <c r="AY96" i="9" s="1"/>
  <c r="AZ96" i="9" s="1"/>
  <c r="BA96" i="9" s="1"/>
  <c r="BB96" i="9" s="1"/>
  <c r="BC96" i="9" s="1"/>
  <c r="BD96" i="9" s="1"/>
  <c r="BE96" i="9" s="1"/>
  <c r="BF96" i="9" s="1"/>
  <c r="BG96" i="9" s="1"/>
  <c r="BH96" i="9" s="1"/>
  <c r="BI96" i="9" s="1"/>
  <c r="BJ96" i="9" s="1"/>
  <c r="BK96" i="9" s="1"/>
  <c r="BL96" i="9" s="1"/>
  <c r="BM96" i="9" s="1"/>
  <c r="BN96" i="9" s="1"/>
  <c r="BO96" i="9" s="1"/>
  <c r="BP96" i="9" s="1"/>
  <c r="BQ96" i="9" s="1"/>
  <c r="BR96" i="9" s="1"/>
  <c r="BS96" i="9" s="1"/>
  <c r="BT96" i="9" s="1"/>
  <c r="AU89" i="9"/>
  <c r="AV89" i="9" s="1"/>
  <c r="AW89" i="9" s="1"/>
  <c r="AX89" i="9" s="1"/>
  <c r="AY89" i="9" s="1"/>
  <c r="AZ89" i="9" s="1"/>
  <c r="BA89" i="9" s="1"/>
  <c r="BB89" i="9" s="1"/>
  <c r="BC89" i="9" s="1"/>
  <c r="BD89" i="9" s="1"/>
  <c r="BE89" i="9" s="1"/>
  <c r="BF89" i="9" s="1"/>
  <c r="BG89" i="9" s="1"/>
  <c r="BH89" i="9" s="1"/>
  <c r="BI89" i="9" s="1"/>
  <c r="BJ89" i="9" s="1"/>
  <c r="BK89" i="9" s="1"/>
  <c r="BL89" i="9" s="1"/>
  <c r="BM89" i="9" s="1"/>
  <c r="BN89" i="9" s="1"/>
  <c r="BO89" i="9" s="1"/>
  <c r="BP89" i="9" s="1"/>
  <c r="BQ89" i="9" s="1"/>
  <c r="BR89" i="9" s="1"/>
  <c r="BS89" i="9" s="1"/>
  <c r="BT89" i="9" s="1"/>
  <c r="AU82" i="9"/>
  <c r="AV82" i="9" s="1"/>
  <c r="AW82" i="9" s="1"/>
  <c r="AX82" i="9" s="1"/>
  <c r="AY82" i="9" s="1"/>
  <c r="AU75" i="9"/>
  <c r="AU61" i="9"/>
  <c r="AU47" i="9"/>
  <c r="AU40" i="9"/>
  <c r="AV40" i="9" s="1"/>
  <c r="AW40" i="9" s="1"/>
  <c r="AU26" i="9"/>
  <c r="AV26" i="9" s="1"/>
  <c r="AW26" i="9" s="1"/>
  <c r="AX26" i="9" s="1"/>
  <c r="AY26" i="9" s="1"/>
  <c r="AZ26" i="9" s="1"/>
  <c r="BA26" i="9" s="1"/>
  <c r="BB26" i="9" s="1"/>
  <c r="BC26" i="9" s="1"/>
  <c r="BD26" i="9" s="1"/>
  <c r="BE26" i="9" s="1"/>
  <c r="BF26" i="9" s="1"/>
  <c r="BG26" i="9" s="1"/>
  <c r="BH26" i="9" s="1"/>
  <c r="BI26" i="9" s="1"/>
  <c r="BJ26" i="9" s="1"/>
  <c r="BK26" i="9" s="1"/>
  <c r="BL26" i="9" s="1"/>
  <c r="BM26" i="9" s="1"/>
  <c r="BN26" i="9" s="1"/>
  <c r="BO26" i="9" s="1"/>
  <c r="BP26" i="9" s="1"/>
  <c r="BQ26" i="9" s="1"/>
  <c r="BR26" i="9" s="1"/>
  <c r="BS26" i="9" s="1"/>
  <c r="BT26" i="9" s="1"/>
  <c r="AU19" i="9"/>
  <c r="AV19" i="9" s="1"/>
  <c r="AW19" i="9" s="1"/>
  <c r="AX19" i="9" s="1"/>
  <c r="AY19" i="9" s="1"/>
  <c r="AZ19" i="9" s="1"/>
  <c r="BA19" i="9" s="1"/>
  <c r="BB19" i="9" s="1"/>
  <c r="BC19" i="9" s="1"/>
  <c r="BD19" i="9" s="1"/>
  <c r="BE19" i="9" s="1"/>
  <c r="BF19" i="9" s="1"/>
  <c r="BG19" i="9" s="1"/>
  <c r="BH19" i="9" s="1"/>
  <c r="BI19" i="9" s="1"/>
  <c r="BJ19" i="9" s="1"/>
  <c r="BK19" i="9" s="1"/>
  <c r="BL19" i="9" s="1"/>
  <c r="BM19" i="9" s="1"/>
  <c r="BN19" i="9" s="1"/>
  <c r="BO19" i="9" s="1"/>
  <c r="BP19" i="9" s="1"/>
  <c r="Q18" i="10"/>
  <c r="P29" i="10"/>
  <c r="U31" i="10"/>
  <c r="U34" i="10"/>
  <c r="I24" i="10"/>
  <c r="J24" i="10"/>
  <c r="K24" i="10"/>
  <c r="L24" i="10"/>
  <c r="M24" i="10"/>
  <c r="N24" i="10"/>
  <c r="O24" i="10"/>
  <c r="Q24" i="10"/>
  <c r="R24" i="10"/>
  <c r="S24" i="10"/>
  <c r="T24" i="10"/>
  <c r="P24" i="10"/>
  <c r="AP101" i="9"/>
  <c r="AO101" i="9"/>
  <c r="AN101" i="9"/>
  <c r="BV17" i="9"/>
  <c r="BU17" i="9"/>
  <c r="BT17" i="9"/>
  <c r="BS17" i="9"/>
  <c r="BR17" i="9"/>
  <c r="BQ17" i="9"/>
  <c r="BP17" i="9"/>
  <c r="BO17" i="9"/>
  <c r="BN17" i="9"/>
  <c r="BM17" i="9"/>
  <c r="BL17" i="9"/>
  <c r="BK17" i="9"/>
  <c r="BJ17" i="9"/>
  <c r="BI17" i="9"/>
  <c r="BH17" i="9"/>
  <c r="BG17" i="9"/>
  <c r="BF17" i="9"/>
  <c r="BE17" i="9"/>
  <c r="BD17" i="9"/>
  <c r="BC17" i="9"/>
  <c r="BB17" i="9"/>
  <c r="BA17" i="9"/>
  <c r="AZ17" i="9"/>
  <c r="AY17" i="9"/>
  <c r="AX17" i="9"/>
  <c r="AW17" i="9"/>
  <c r="AV17" i="9"/>
  <c r="AU17" i="9"/>
  <c r="U23" i="10" l="1"/>
  <c r="O23" i="10"/>
  <c r="U35" i="10"/>
  <c r="U38" i="10"/>
  <c r="U24" i="10"/>
  <c r="AU81" i="9"/>
  <c r="AV81" i="9" s="1"/>
  <c r="AW81" i="9" s="1"/>
  <c r="AX81" i="9" s="1"/>
  <c r="AY81" i="9" s="1"/>
  <c r="AZ81" i="9" s="1"/>
  <c r="BA81" i="9" s="1"/>
  <c r="BB81" i="9" s="1"/>
  <c r="BC81" i="9" s="1"/>
  <c r="BD81" i="9" s="1"/>
  <c r="BE81" i="9" s="1"/>
  <c r="BF81" i="9" s="1"/>
  <c r="BG81" i="9" s="1"/>
  <c r="BH81" i="9" s="1"/>
  <c r="BI81" i="9" s="1"/>
  <c r="BJ81" i="9" s="1"/>
  <c r="BK81" i="9" s="1"/>
  <c r="BL81" i="9" s="1"/>
  <c r="BM81" i="9" s="1"/>
  <c r="BN81" i="9" s="1"/>
  <c r="BO81" i="9" s="1"/>
  <c r="BP81" i="9" s="1"/>
  <c r="BQ81" i="9" s="1"/>
  <c r="BR81" i="9" s="1"/>
  <c r="BS81" i="9" s="1"/>
  <c r="BT81" i="9" s="1"/>
  <c r="BU81" i="9" s="1"/>
  <c r="BV81" i="9" s="1"/>
  <c r="AU18" i="9"/>
  <c r="AV18" i="9" s="1"/>
  <c r="AW18" i="9" s="1"/>
  <c r="AX18" i="9" s="1"/>
  <c r="AY18" i="9" s="1"/>
  <c r="AZ18" i="9" s="1"/>
  <c r="BA18" i="9" s="1"/>
  <c r="BB18" i="9" s="1"/>
  <c r="BC18" i="9" s="1"/>
  <c r="BD18" i="9" s="1"/>
  <c r="BE18" i="9" s="1"/>
  <c r="BF18" i="9" s="1"/>
  <c r="BG18" i="9" s="1"/>
  <c r="BH18" i="9" s="1"/>
  <c r="BI18" i="9" s="1"/>
  <c r="BJ18" i="9" s="1"/>
  <c r="BK18" i="9" s="1"/>
  <c r="BL18" i="9" s="1"/>
  <c r="BM18" i="9" s="1"/>
  <c r="BN18" i="9" s="1"/>
  <c r="BO18" i="9" s="1"/>
  <c r="BP18" i="9" s="1"/>
  <c r="AU46" i="9"/>
  <c r="AV46" i="9" s="1"/>
  <c r="AW46" i="9" s="1"/>
  <c r="AX46" i="9" s="1"/>
  <c r="AY46" i="9" s="1"/>
  <c r="AZ46" i="9" s="1"/>
  <c r="BA46" i="9" s="1"/>
  <c r="BB46" i="9" s="1"/>
  <c r="BC46" i="9" s="1"/>
  <c r="BD46" i="9" s="1"/>
  <c r="BE46" i="9" s="1"/>
  <c r="BF46" i="9" s="1"/>
  <c r="BG46" i="9" s="1"/>
  <c r="BH46" i="9" s="1"/>
  <c r="BI46" i="9" s="1"/>
  <c r="BJ46" i="9" s="1"/>
  <c r="BK46" i="9" s="1"/>
  <c r="BL46" i="9" s="1"/>
  <c r="BM46" i="9" s="1"/>
  <c r="BN46" i="9" s="1"/>
  <c r="BO46" i="9" s="1"/>
  <c r="BP46" i="9" s="1"/>
  <c r="BQ46" i="9" s="1"/>
  <c r="BR46" i="9" s="1"/>
  <c r="BS46" i="9" s="1"/>
  <c r="BT46" i="9" s="1"/>
  <c r="BU46" i="9" s="1"/>
  <c r="BV46" i="9" s="1"/>
  <c r="AU74" i="9"/>
  <c r="AV74" i="9" s="1"/>
  <c r="AW74" i="9" s="1"/>
  <c r="AX74" i="9" s="1"/>
  <c r="AY74" i="9" s="1"/>
  <c r="AZ74" i="9" s="1"/>
  <c r="BA74" i="9" s="1"/>
  <c r="BB74" i="9" s="1"/>
  <c r="BC74" i="9" s="1"/>
  <c r="BD74" i="9" s="1"/>
  <c r="BE74" i="9" s="1"/>
  <c r="BF74" i="9" s="1"/>
  <c r="BG74" i="9" s="1"/>
  <c r="BH74" i="9" s="1"/>
  <c r="BI74" i="9" s="1"/>
  <c r="BJ74" i="9" s="1"/>
  <c r="BK74" i="9" s="1"/>
  <c r="BL74" i="9" s="1"/>
  <c r="BM74" i="9" s="1"/>
  <c r="BN74" i="9" s="1"/>
  <c r="BO74" i="9" s="1"/>
  <c r="BP74" i="9" s="1"/>
  <c r="BQ74" i="9" s="1"/>
  <c r="BR74" i="9" s="1"/>
  <c r="BS74" i="9" s="1"/>
  <c r="BT74" i="9" s="1"/>
  <c r="BU74" i="9" s="1"/>
  <c r="BV74" i="9" s="1"/>
  <c r="AU39" i="9"/>
  <c r="AV39" i="9" s="1"/>
  <c r="AW39" i="9" s="1"/>
  <c r="AX39" i="9" s="1"/>
  <c r="AY39" i="9" s="1"/>
  <c r="AZ39" i="9" s="1"/>
  <c r="BA39" i="9" s="1"/>
  <c r="BB39" i="9" s="1"/>
  <c r="BC39" i="9" s="1"/>
  <c r="BD39" i="9" s="1"/>
  <c r="BE39" i="9" s="1"/>
  <c r="BF39" i="9" s="1"/>
  <c r="BG39" i="9" s="1"/>
  <c r="BH39" i="9" s="1"/>
  <c r="BI39" i="9" s="1"/>
  <c r="BJ39" i="9" s="1"/>
  <c r="BK39" i="9" s="1"/>
  <c r="BL39" i="9" s="1"/>
  <c r="BM39" i="9" s="1"/>
  <c r="BN39" i="9" s="1"/>
  <c r="BO39" i="9" s="1"/>
  <c r="BP39" i="9" s="1"/>
  <c r="BQ39" i="9" s="1"/>
  <c r="BR39" i="9" s="1"/>
  <c r="BS39" i="9" s="1"/>
  <c r="BT39" i="9" s="1"/>
  <c r="BU39" i="9" s="1"/>
  <c r="BV39" i="9" s="1"/>
  <c r="AU67" i="9"/>
  <c r="AV67" i="9" s="1"/>
  <c r="AW67" i="9" s="1"/>
  <c r="AX67" i="9" s="1"/>
  <c r="AY67" i="9" s="1"/>
  <c r="AZ67" i="9" s="1"/>
  <c r="BA67" i="9" s="1"/>
  <c r="BB67" i="9" s="1"/>
  <c r="BC67" i="9" s="1"/>
  <c r="BD67" i="9" s="1"/>
  <c r="BE67" i="9" s="1"/>
  <c r="BF67" i="9" s="1"/>
  <c r="BG67" i="9" s="1"/>
  <c r="BH67" i="9" s="1"/>
  <c r="BI67" i="9" s="1"/>
  <c r="BJ67" i="9" s="1"/>
  <c r="BK67" i="9" s="1"/>
  <c r="BL67" i="9" s="1"/>
  <c r="BM67" i="9" s="1"/>
  <c r="BN67" i="9" s="1"/>
  <c r="BO67" i="9" s="1"/>
  <c r="BP67" i="9" s="1"/>
  <c r="BQ67" i="9" s="1"/>
  <c r="BR67" i="9" s="1"/>
  <c r="BS67" i="9" s="1"/>
  <c r="BT67" i="9" s="1"/>
  <c r="BU67" i="9" s="1"/>
  <c r="BV67" i="9" s="1"/>
  <c r="AU95" i="9"/>
  <c r="AV95" i="9" s="1"/>
  <c r="AW95" i="9" s="1"/>
  <c r="AX95" i="9" s="1"/>
  <c r="AY95" i="9" s="1"/>
  <c r="AZ95" i="9" s="1"/>
  <c r="BA95" i="9" s="1"/>
  <c r="BB95" i="9" s="1"/>
  <c r="BC95" i="9" s="1"/>
  <c r="BD95" i="9" s="1"/>
  <c r="BE95" i="9" s="1"/>
  <c r="BF95" i="9" s="1"/>
  <c r="BG95" i="9" s="1"/>
  <c r="BH95" i="9" s="1"/>
  <c r="BI95" i="9" s="1"/>
  <c r="BJ95" i="9" s="1"/>
  <c r="BK95" i="9" s="1"/>
  <c r="BL95" i="9" s="1"/>
  <c r="BM95" i="9" s="1"/>
  <c r="BN95" i="9" s="1"/>
  <c r="BO95" i="9" s="1"/>
  <c r="BP95" i="9" s="1"/>
  <c r="BQ95" i="9" s="1"/>
  <c r="BR95" i="9" s="1"/>
  <c r="BS95" i="9" s="1"/>
  <c r="BT95" i="9" s="1"/>
  <c r="BU95" i="9" s="1"/>
  <c r="BV95" i="9" s="1"/>
  <c r="J95" i="9"/>
  <c r="AU88" i="9"/>
  <c r="AV88" i="9" s="1"/>
  <c r="AW88" i="9" s="1"/>
  <c r="AX88" i="9" s="1"/>
  <c r="AY88" i="9" s="1"/>
  <c r="AZ88" i="9" s="1"/>
  <c r="BA88" i="9" s="1"/>
  <c r="BB88" i="9" s="1"/>
  <c r="BC88" i="9" s="1"/>
  <c r="BD88" i="9" s="1"/>
  <c r="BE88" i="9" s="1"/>
  <c r="BF88" i="9" s="1"/>
  <c r="BG88" i="9" s="1"/>
  <c r="BH88" i="9" s="1"/>
  <c r="BI88" i="9" s="1"/>
  <c r="BJ88" i="9" s="1"/>
  <c r="BK88" i="9" s="1"/>
  <c r="BL88" i="9" s="1"/>
  <c r="BM88" i="9" s="1"/>
  <c r="BN88" i="9" s="1"/>
  <c r="BO88" i="9" s="1"/>
  <c r="BP88" i="9" s="1"/>
  <c r="BQ88" i="9" s="1"/>
  <c r="BR88" i="9" s="1"/>
  <c r="BS88" i="9" s="1"/>
  <c r="BT88" i="9" s="1"/>
  <c r="BU88" i="9" s="1"/>
  <c r="BV88" i="9" s="1"/>
  <c r="AU60" i="9"/>
  <c r="AV60" i="9" s="1"/>
  <c r="AW60" i="9" s="1"/>
  <c r="AX60" i="9" s="1"/>
  <c r="AY60" i="9" s="1"/>
  <c r="AZ60" i="9" s="1"/>
  <c r="BA60" i="9" s="1"/>
  <c r="BB60" i="9" s="1"/>
  <c r="BC60" i="9" s="1"/>
  <c r="BD60" i="9" s="1"/>
  <c r="BE60" i="9" s="1"/>
  <c r="BF60" i="9" s="1"/>
  <c r="BG60" i="9" s="1"/>
  <c r="BH60" i="9" s="1"/>
  <c r="BI60" i="9" s="1"/>
  <c r="BJ60" i="9" s="1"/>
  <c r="BK60" i="9" s="1"/>
  <c r="BL60" i="9" s="1"/>
  <c r="BM60" i="9" s="1"/>
  <c r="BN60" i="9" s="1"/>
  <c r="BO60" i="9" s="1"/>
  <c r="BP60" i="9" s="1"/>
  <c r="BQ60" i="9" s="1"/>
  <c r="BR60" i="9" s="1"/>
  <c r="BS60" i="9" s="1"/>
  <c r="BT60" i="9" s="1"/>
  <c r="BU60" i="9" s="1"/>
  <c r="BV60" i="9" s="1"/>
  <c r="K29" i="10"/>
  <c r="T29" i="10" s="1"/>
  <c r="M100" i="9"/>
  <c r="AC100" i="9"/>
  <c r="AE100" i="9"/>
  <c r="O100" i="9"/>
  <c r="Z100" i="9"/>
  <c r="BQ19" i="9"/>
  <c r="BR19" i="9" s="1"/>
  <c r="BS19" i="9" s="1"/>
  <c r="BT19" i="9" s="1"/>
  <c r="BU20" i="9" s="1"/>
  <c r="BV20" i="9" s="1"/>
  <c r="AA100" i="9"/>
  <c r="BU27" i="9"/>
  <c r="BV27" i="9" s="1"/>
  <c r="BU90" i="9"/>
  <c r="BV90" i="9" s="1"/>
  <c r="BU97" i="9"/>
  <c r="BV97" i="9" s="1"/>
  <c r="V100" i="9"/>
  <c r="W100" i="9"/>
  <c r="AM100" i="9"/>
  <c r="L100" i="9"/>
  <c r="AB100" i="9"/>
  <c r="AD100" i="9"/>
  <c r="P100" i="9"/>
  <c r="AF100" i="9"/>
  <c r="U100" i="9"/>
  <c r="AL100" i="9"/>
  <c r="Q100" i="9"/>
  <c r="AG100" i="9"/>
  <c r="AJ100" i="9"/>
  <c r="AK100" i="9"/>
  <c r="R100" i="9"/>
  <c r="AH100" i="9"/>
  <c r="S100" i="9"/>
  <c r="AI100" i="9"/>
  <c r="X100" i="9"/>
  <c r="T100" i="9"/>
  <c r="N100" i="9"/>
  <c r="Y100" i="9"/>
  <c r="AU53" i="9"/>
  <c r="AV53" i="9" s="1"/>
  <c r="AW53" i="9" s="1"/>
  <c r="AX53" i="9" s="1"/>
  <c r="AY53" i="9" s="1"/>
  <c r="AZ53" i="9" s="1"/>
  <c r="BA53" i="9" s="1"/>
  <c r="BB53" i="9" s="1"/>
  <c r="BC53" i="9" s="1"/>
  <c r="BD53" i="9" s="1"/>
  <c r="BE53" i="9" s="1"/>
  <c r="BF53" i="9" s="1"/>
  <c r="BG53" i="9" s="1"/>
  <c r="BH53" i="9" s="1"/>
  <c r="BI53" i="9" s="1"/>
  <c r="BJ53" i="9" s="1"/>
  <c r="BK53" i="9" s="1"/>
  <c r="BL53" i="9" s="1"/>
  <c r="BM53" i="9" s="1"/>
  <c r="BN53" i="9" s="1"/>
  <c r="BO53" i="9" s="1"/>
  <c r="BP53" i="9" s="1"/>
  <c r="BQ53" i="9" s="1"/>
  <c r="BR53" i="9" s="1"/>
  <c r="BS53" i="9" s="1"/>
  <c r="BT53" i="9" s="1"/>
  <c r="BU53" i="9" s="1"/>
  <c r="BV53" i="9" s="1"/>
  <c r="AU32" i="9"/>
  <c r="AV32" i="9" s="1"/>
  <c r="AW32" i="9" s="1"/>
  <c r="AX32" i="9" s="1"/>
  <c r="AY32" i="9" s="1"/>
  <c r="AZ32" i="9" s="1"/>
  <c r="BA32" i="9" s="1"/>
  <c r="BB32" i="9" s="1"/>
  <c r="BC32" i="9" s="1"/>
  <c r="BD32" i="9" s="1"/>
  <c r="BE32" i="9" s="1"/>
  <c r="BF32" i="9" s="1"/>
  <c r="BG32" i="9" s="1"/>
  <c r="BH32" i="9" s="1"/>
  <c r="BI32" i="9" s="1"/>
  <c r="BJ32" i="9" s="1"/>
  <c r="BK32" i="9" s="1"/>
  <c r="BL32" i="9" s="1"/>
  <c r="BM32" i="9" s="1"/>
  <c r="BN32" i="9" s="1"/>
  <c r="BO32" i="9" s="1"/>
  <c r="BP32" i="9" s="1"/>
  <c r="BQ32" i="9" s="1"/>
  <c r="BR32" i="9" s="1"/>
  <c r="BS32" i="9" s="1"/>
  <c r="BT32" i="9" s="1"/>
  <c r="BU32" i="9" s="1"/>
  <c r="BV32" i="9" s="1"/>
  <c r="AU25" i="9"/>
  <c r="AV25" i="9" s="1"/>
  <c r="AW25" i="9" s="1"/>
  <c r="AX25" i="9" s="1"/>
  <c r="AY25" i="9" s="1"/>
  <c r="AZ25" i="9" s="1"/>
  <c r="BA25" i="9" s="1"/>
  <c r="BB25" i="9" s="1"/>
  <c r="BC25" i="9" s="1"/>
  <c r="BD25" i="9" s="1"/>
  <c r="BE25" i="9" s="1"/>
  <c r="BF25" i="9" s="1"/>
  <c r="BG25" i="9" s="1"/>
  <c r="BH25" i="9" s="1"/>
  <c r="BI25" i="9" s="1"/>
  <c r="BJ25" i="9" s="1"/>
  <c r="BK25" i="9" s="1"/>
  <c r="BL25" i="9" s="1"/>
  <c r="BM25" i="9" s="1"/>
  <c r="BN25" i="9" s="1"/>
  <c r="BO25" i="9" s="1"/>
  <c r="BP25" i="9" s="1"/>
  <c r="BQ25" i="9" s="1"/>
  <c r="BR25" i="9" s="1"/>
  <c r="BS25" i="9" s="1"/>
  <c r="BT25" i="9" s="1"/>
  <c r="BU25" i="9" s="1"/>
  <c r="BV25" i="9" s="1"/>
  <c r="AZ82" i="9"/>
  <c r="BA82" i="9" s="1"/>
  <c r="BB82" i="9" s="1"/>
  <c r="BC82" i="9" s="1"/>
  <c r="BD82" i="9" s="1"/>
  <c r="BE82" i="9" s="1"/>
  <c r="BF82" i="9" s="1"/>
  <c r="BG82" i="9" s="1"/>
  <c r="BH82" i="9" s="1"/>
  <c r="BI82" i="9" s="1"/>
  <c r="BJ82" i="9" s="1"/>
  <c r="BK82" i="9" s="1"/>
  <c r="BL82" i="9" s="1"/>
  <c r="BM82" i="9" s="1"/>
  <c r="BN82" i="9" s="1"/>
  <c r="BO82" i="9" s="1"/>
  <c r="BP82" i="9" s="1"/>
  <c r="BQ82" i="9" s="1"/>
  <c r="BR82" i="9" s="1"/>
  <c r="BS82" i="9" s="1"/>
  <c r="BT82" i="9" s="1"/>
  <c r="BU83" i="9" s="1"/>
  <c r="BV83" i="9" s="1"/>
  <c r="Q20" i="10"/>
  <c r="V26" i="10"/>
  <c r="AU33" i="9"/>
  <c r="AV33" i="9" s="1"/>
  <c r="AW33" i="9" s="1"/>
  <c r="AX33" i="9" s="1"/>
  <c r="AY33" i="9" s="1"/>
  <c r="AZ33" i="9" s="1"/>
  <c r="BA33" i="9" s="1"/>
  <c r="BB33" i="9" s="1"/>
  <c r="BC33" i="9" s="1"/>
  <c r="BD33" i="9" s="1"/>
  <c r="BE33" i="9" s="1"/>
  <c r="BF33" i="9" s="1"/>
  <c r="BG33" i="9" s="1"/>
  <c r="BH33" i="9" s="1"/>
  <c r="BI33" i="9" s="1"/>
  <c r="BJ33" i="9" s="1"/>
  <c r="BK33" i="9" s="1"/>
  <c r="BL33" i="9" s="1"/>
  <c r="BM33" i="9" s="1"/>
  <c r="BN33" i="9" s="1"/>
  <c r="BO33" i="9" s="1"/>
  <c r="BP33" i="9" s="1"/>
  <c r="BQ33" i="9" s="1"/>
  <c r="BR33" i="9" s="1"/>
  <c r="BS33" i="9" s="1"/>
  <c r="BT33" i="9" s="1"/>
  <c r="BU34" i="9" s="1"/>
  <c r="BV34" i="9" s="1"/>
  <c r="AU68" i="9"/>
  <c r="AV68" i="9" s="1"/>
  <c r="AW68" i="9" s="1"/>
  <c r="AX68" i="9" s="1"/>
  <c r="AY68" i="9" s="1"/>
  <c r="AZ68" i="9" s="1"/>
  <c r="BA68" i="9" s="1"/>
  <c r="BB68" i="9" s="1"/>
  <c r="BC68" i="9" s="1"/>
  <c r="BD68" i="9" s="1"/>
  <c r="BE68" i="9" s="1"/>
  <c r="BF68" i="9" s="1"/>
  <c r="BG68" i="9" s="1"/>
  <c r="BH68" i="9" s="1"/>
  <c r="BI68" i="9" s="1"/>
  <c r="BJ68" i="9" s="1"/>
  <c r="BK68" i="9" s="1"/>
  <c r="BL68" i="9" s="1"/>
  <c r="BM68" i="9" s="1"/>
  <c r="BN68" i="9" s="1"/>
  <c r="BO68" i="9" s="1"/>
  <c r="BP68" i="9" s="1"/>
  <c r="BQ68" i="9" s="1"/>
  <c r="BR68" i="9" s="1"/>
  <c r="BS68" i="9" s="1"/>
  <c r="BT68" i="9" s="1"/>
  <c r="BU69" i="9" s="1"/>
  <c r="BV69" i="9" s="1"/>
  <c r="AV75" i="9"/>
  <c r="AW75" i="9" s="1"/>
  <c r="AX75" i="9" s="1"/>
  <c r="AY75" i="9" s="1"/>
  <c r="AZ75" i="9" s="1"/>
  <c r="BA75" i="9" s="1"/>
  <c r="BB75" i="9" s="1"/>
  <c r="BC75" i="9" s="1"/>
  <c r="BD75" i="9" s="1"/>
  <c r="BE75" i="9" s="1"/>
  <c r="BF75" i="9" s="1"/>
  <c r="BG75" i="9" s="1"/>
  <c r="BH75" i="9" s="1"/>
  <c r="BI75" i="9" s="1"/>
  <c r="BJ75" i="9" s="1"/>
  <c r="BK75" i="9" s="1"/>
  <c r="BL75" i="9" s="1"/>
  <c r="BM75" i="9" s="1"/>
  <c r="BN75" i="9" s="1"/>
  <c r="BO75" i="9" s="1"/>
  <c r="BP75" i="9" s="1"/>
  <c r="BQ75" i="9" s="1"/>
  <c r="BR75" i="9" s="1"/>
  <c r="BS75" i="9" s="1"/>
  <c r="BT75" i="9" s="1"/>
  <c r="BU76" i="9" s="1"/>
  <c r="BV76" i="9" s="1"/>
  <c r="AX40" i="9"/>
  <c r="AY40" i="9" s="1"/>
  <c r="AZ40" i="9" s="1"/>
  <c r="BA40" i="9" s="1"/>
  <c r="BB40" i="9" s="1"/>
  <c r="BC40" i="9" s="1"/>
  <c r="BD40" i="9" s="1"/>
  <c r="BE40" i="9" s="1"/>
  <c r="BF40" i="9" s="1"/>
  <c r="BG40" i="9" s="1"/>
  <c r="BH40" i="9" s="1"/>
  <c r="BI40" i="9" s="1"/>
  <c r="BJ40" i="9" s="1"/>
  <c r="BK40" i="9" s="1"/>
  <c r="BL40" i="9" s="1"/>
  <c r="BM40" i="9" s="1"/>
  <c r="BN40" i="9" s="1"/>
  <c r="BO40" i="9" s="1"/>
  <c r="BP40" i="9" s="1"/>
  <c r="BQ40" i="9" s="1"/>
  <c r="BR40" i="9" s="1"/>
  <c r="BS40" i="9" s="1"/>
  <c r="BT40" i="9" s="1"/>
  <c r="BU41" i="9" s="1"/>
  <c r="BV41" i="9" s="1"/>
  <c r="AV47" i="9"/>
  <c r="AW47" i="9" s="1"/>
  <c r="AX47" i="9" s="1"/>
  <c r="AY47" i="9" s="1"/>
  <c r="AZ47" i="9" s="1"/>
  <c r="BA47" i="9" s="1"/>
  <c r="BB47" i="9" s="1"/>
  <c r="BC47" i="9" s="1"/>
  <c r="BD47" i="9" s="1"/>
  <c r="BE47" i="9" s="1"/>
  <c r="BF47" i="9" s="1"/>
  <c r="BG47" i="9" s="1"/>
  <c r="BH47" i="9" s="1"/>
  <c r="BI47" i="9" s="1"/>
  <c r="BJ47" i="9" s="1"/>
  <c r="BK47" i="9" s="1"/>
  <c r="BL47" i="9" s="1"/>
  <c r="BM47" i="9" s="1"/>
  <c r="BN47" i="9" s="1"/>
  <c r="BO47" i="9" s="1"/>
  <c r="BP47" i="9" s="1"/>
  <c r="BQ47" i="9" s="1"/>
  <c r="BR47" i="9" s="1"/>
  <c r="BS47" i="9" s="1"/>
  <c r="BT47" i="9" s="1"/>
  <c r="BU48" i="9" s="1"/>
  <c r="BV48" i="9" s="1"/>
  <c r="AU54" i="9"/>
  <c r="AV54" i="9" s="1"/>
  <c r="AW54" i="9" s="1"/>
  <c r="AX54" i="9" s="1"/>
  <c r="AY54" i="9" s="1"/>
  <c r="AZ54" i="9" s="1"/>
  <c r="BA54" i="9" s="1"/>
  <c r="BB54" i="9" s="1"/>
  <c r="BC54" i="9" s="1"/>
  <c r="BD54" i="9" s="1"/>
  <c r="BE54" i="9" s="1"/>
  <c r="BF54" i="9" s="1"/>
  <c r="BG54" i="9" s="1"/>
  <c r="BH54" i="9" s="1"/>
  <c r="BI54" i="9" s="1"/>
  <c r="BJ54" i="9" s="1"/>
  <c r="BK54" i="9" s="1"/>
  <c r="BL54" i="9" s="1"/>
  <c r="BM54" i="9" s="1"/>
  <c r="BN54" i="9" s="1"/>
  <c r="BO54" i="9" s="1"/>
  <c r="BP54" i="9" s="1"/>
  <c r="BQ54" i="9" s="1"/>
  <c r="BR54" i="9" s="1"/>
  <c r="BS54" i="9" s="1"/>
  <c r="BT54" i="9" s="1"/>
  <c r="BU55" i="9" s="1"/>
  <c r="BV55" i="9" s="1"/>
  <c r="AV61" i="9"/>
  <c r="AW61" i="9" s="1"/>
  <c r="AX61" i="9" s="1"/>
  <c r="AY61" i="9" s="1"/>
  <c r="AZ61" i="9" s="1"/>
  <c r="BA61" i="9" s="1"/>
  <c r="BB61" i="9" s="1"/>
  <c r="BC61" i="9" s="1"/>
  <c r="BD61" i="9" s="1"/>
  <c r="BE61" i="9" s="1"/>
  <c r="BF61" i="9" s="1"/>
  <c r="BG61" i="9" s="1"/>
  <c r="BH61" i="9" s="1"/>
  <c r="BI61" i="9" s="1"/>
  <c r="BJ61" i="9" s="1"/>
  <c r="BK61" i="9" s="1"/>
  <c r="BL61" i="9" s="1"/>
  <c r="BM61" i="9" s="1"/>
  <c r="BN61" i="9" s="1"/>
  <c r="BO61" i="9" s="1"/>
  <c r="BP61" i="9" s="1"/>
  <c r="BQ61" i="9" s="1"/>
  <c r="BR61" i="9" s="1"/>
  <c r="BS61" i="9" s="1"/>
  <c r="BT61" i="9" s="1"/>
  <c r="BU62" i="9" s="1"/>
  <c r="BV62" i="9" s="1"/>
  <c r="C82" i="9"/>
  <c r="C80" i="9"/>
  <c r="J96" i="9"/>
  <c r="C96" i="9" s="1"/>
  <c r="D32" i="3" s="1"/>
  <c r="O32" i="3" s="1"/>
  <c r="C75" i="9"/>
  <c r="C89" i="9"/>
  <c r="C94" i="9"/>
  <c r="C59" i="9"/>
  <c r="AN100" i="9"/>
  <c r="C73" i="9"/>
  <c r="AO100" i="9"/>
  <c r="C87" i="9"/>
  <c r="C68" i="9"/>
  <c r="C47" i="9"/>
  <c r="AP100" i="9"/>
  <c r="C61" i="9"/>
  <c r="C66" i="9"/>
  <c r="J101" i="9"/>
  <c r="C101" i="9" s="1"/>
  <c r="AU11" i="9"/>
  <c r="C40" i="9"/>
  <c r="C52" i="9"/>
  <c r="B23" i="9" l="1"/>
  <c r="B86" i="9"/>
  <c r="B53" i="9"/>
  <c r="B65" i="9"/>
  <c r="B46" i="9"/>
  <c r="B51" i="9"/>
  <c r="B72" i="9"/>
  <c r="B58" i="9"/>
  <c r="B79" i="9"/>
  <c r="B74" i="9"/>
  <c r="B46" i="13"/>
  <c r="B53" i="13"/>
  <c r="B39" i="9"/>
  <c r="B44" i="9"/>
  <c r="B51" i="13"/>
  <c r="B100" i="9"/>
  <c r="B95" i="9"/>
  <c r="B58" i="13"/>
  <c r="B93" i="9"/>
  <c r="B88" i="9"/>
  <c r="C32" i="3"/>
  <c r="N32" i="3" s="1"/>
  <c r="C95" i="9"/>
  <c r="C88" i="9"/>
  <c r="C18" i="9"/>
  <c r="C32" i="9"/>
  <c r="C54" i="9"/>
  <c r="C39" i="9"/>
  <c r="C25" i="9"/>
  <c r="C53" i="9"/>
  <c r="D47" i="9"/>
  <c r="C81" i="9"/>
  <c r="AU10" i="9"/>
  <c r="AV10" i="9" s="1"/>
  <c r="AW10" i="9" s="1"/>
  <c r="AX10" i="9" s="1"/>
  <c r="AY10" i="9" s="1"/>
  <c r="AZ10" i="9" s="1"/>
  <c r="BA10" i="9" s="1"/>
  <c r="BB10" i="9" s="1"/>
  <c r="BC10" i="9" s="1"/>
  <c r="BD10" i="9" s="1"/>
  <c r="BE10" i="9" s="1"/>
  <c r="BF10" i="9" s="1"/>
  <c r="BG10" i="9" s="1"/>
  <c r="BH10" i="9" s="1"/>
  <c r="BI10" i="9" s="1"/>
  <c r="BJ10" i="9" s="1"/>
  <c r="BK10" i="9" s="1"/>
  <c r="BL10" i="9" s="1"/>
  <c r="BM10" i="9" s="1"/>
  <c r="BN10" i="9" s="1"/>
  <c r="BO10" i="9" s="1"/>
  <c r="BP10" i="9" s="1"/>
  <c r="BQ10" i="9" s="1"/>
  <c r="BR10" i="9" s="1"/>
  <c r="BS10" i="9" s="1"/>
  <c r="BT10" i="9" s="1"/>
  <c r="BU10" i="9" s="1"/>
  <c r="BV10" i="9" s="1"/>
  <c r="C60" i="9"/>
  <c r="C74" i="9"/>
  <c r="C46" i="9"/>
  <c r="C67" i="9"/>
  <c r="D40" i="9"/>
  <c r="C78" i="9"/>
  <c r="D75" i="9"/>
  <c r="C50" i="9"/>
  <c r="C99" i="9"/>
  <c r="F32" i="3" s="1"/>
  <c r="Q32" i="3" s="1"/>
  <c r="D96" i="9"/>
  <c r="C71" i="9"/>
  <c r="D68" i="9"/>
  <c r="AU45" i="9"/>
  <c r="C43" i="9"/>
  <c r="C64" i="9"/>
  <c r="D61" i="9"/>
  <c r="C92" i="9"/>
  <c r="D89" i="9"/>
  <c r="C85" i="9"/>
  <c r="D82" i="9"/>
  <c r="BQ18" i="9"/>
  <c r="BR18" i="9" s="1"/>
  <c r="BS18" i="9" s="1"/>
  <c r="BT18" i="9" s="1"/>
  <c r="BU18" i="9" s="1"/>
  <c r="BV18" i="9" s="1"/>
  <c r="AV11" i="9"/>
  <c r="AW11" i="9" s="1"/>
  <c r="AX11" i="9" s="1"/>
  <c r="AY11" i="9" s="1"/>
  <c r="AZ11" i="9" s="1"/>
  <c r="BA11" i="9" s="1"/>
  <c r="BB11" i="9" s="1"/>
  <c r="BC11" i="9" s="1"/>
  <c r="BD11" i="9" s="1"/>
  <c r="BE11" i="9" s="1"/>
  <c r="K96" i="9"/>
  <c r="J99" i="9"/>
  <c r="J100" i="9"/>
  <c r="B37" i="9" l="1"/>
  <c r="B70" i="9"/>
  <c r="B63" i="9"/>
  <c r="B60" i="9"/>
  <c r="B81" i="9"/>
  <c r="B67" i="9"/>
  <c r="B49" i="9"/>
  <c r="B56" i="9"/>
  <c r="B79" i="13"/>
  <c r="B77" i="9"/>
  <c r="B65" i="13"/>
  <c r="B93" i="13"/>
  <c r="B91" i="9"/>
  <c r="B49" i="13"/>
  <c r="B81" i="13"/>
  <c r="B56" i="13"/>
  <c r="B42" i="9"/>
  <c r="B86" i="13"/>
  <c r="B72" i="13"/>
  <c r="B95" i="13"/>
  <c r="BQ10" i="12"/>
  <c r="BR10" i="12" s="1"/>
  <c r="BQ12" i="12"/>
  <c r="BR12" i="12" s="1"/>
  <c r="B74" i="13"/>
  <c r="B100" i="13"/>
  <c r="B98" i="9"/>
  <c r="B60" i="13"/>
  <c r="B67" i="13"/>
  <c r="C57" i="9"/>
  <c r="B88" i="13"/>
  <c r="C37" i="9"/>
  <c r="C51" i="9"/>
  <c r="J98" i="9"/>
  <c r="C98" i="9" s="1"/>
  <c r="C100" i="9"/>
  <c r="D54" i="9"/>
  <c r="D33" i="9"/>
  <c r="C93" i="9"/>
  <c r="C65" i="9"/>
  <c r="C72" i="9"/>
  <c r="C58" i="9"/>
  <c r="C44" i="9"/>
  <c r="C86" i="9"/>
  <c r="C23" i="9"/>
  <c r="C79" i="9"/>
  <c r="C28" i="9"/>
  <c r="C30" i="9"/>
  <c r="D19" i="9"/>
  <c r="K101" i="9"/>
  <c r="B21" i="9" l="1"/>
  <c r="B35" i="9"/>
  <c r="B84" i="9"/>
  <c r="B98" i="13"/>
  <c r="E32" i="3"/>
  <c r="P32" i="3" s="1"/>
  <c r="B63" i="13"/>
  <c r="B84" i="13"/>
  <c r="B77" i="13"/>
  <c r="B70" i="13"/>
  <c r="K99" i="9"/>
  <c r="B91" i="13"/>
  <c r="C77" i="9"/>
  <c r="C84" i="9"/>
  <c r="C70" i="9"/>
  <c r="C63" i="9"/>
  <c r="C42" i="9"/>
  <c r="C49" i="9"/>
  <c r="C21" i="9"/>
  <c r="C56" i="9"/>
  <c r="C91" i="9"/>
  <c r="X43" i="10"/>
  <c r="X41" i="10"/>
  <c r="X42" i="10" s="1"/>
  <c r="X34" i="10"/>
  <c r="X35" i="10" s="1"/>
  <c r="AA33" i="10"/>
  <c r="AB33" i="10"/>
  <c r="AC33" i="10"/>
  <c r="AD33" i="10"/>
  <c r="AE33" i="10"/>
  <c r="AF33" i="10"/>
  <c r="AG33" i="10"/>
  <c r="AH33" i="10"/>
  <c r="AI33" i="10"/>
  <c r="AJ33" i="10"/>
  <c r="AK33" i="10"/>
  <c r="Z33" i="10"/>
  <c r="X31" i="10"/>
  <c r="X32" i="10" s="1"/>
  <c r="N1724" i="5"/>
  <c r="N1726" i="5"/>
  <c r="FC44" i="8"/>
  <c r="D29" i="3" s="1"/>
  <c r="O29" i="3" s="1"/>
  <c r="N1725" i="5"/>
  <c r="L1677" i="5"/>
  <c r="L1676" i="5"/>
  <c r="J36" i="10"/>
  <c r="I33" i="10"/>
  <c r="U33" i="10" s="1"/>
  <c r="F16" i="10"/>
  <c r="F25" i="10"/>
  <c r="F23" i="10"/>
  <c r="F22" i="10"/>
  <c r="F21" i="10"/>
  <c r="F17" i="10"/>
  <c r="F20" i="10"/>
  <c r="F24" i="10"/>
  <c r="F26" i="10"/>
  <c r="U36" i="10" l="1"/>
  <c r="X36" i="10"/>
  <c r="X33" i="10"/>
  <c r="EX83" i="8" l="1"/>
  <c r="EW83" i="8"/>
  <c r="EX82" i="8"/>
  <c r="EW82" i="8"/>
  <c r="EX81" i="8"/>
  <c r="EW81" i="8"/>
  <c r="EX80" i="8"/>
  <c r="EW80" i="8"/>
  <c r="EX79" i="8"/>
  <c r="EW79" i="8"/>
  <c r="EX78" i="8"/>
  <c r="EW78" i="8"/>
  <c r="EX77" i="8"/>
  <c r="EW77" i="8"/>
  <c r="EX76" i="8"/>
  <c r="EW76" i="8"/>
  <c r="EX75" i="8"/>
  <c r="EW75" i="8"/>
  <c r="EX71" i="8"/>
  <c r="EW71" i="8"/>
  <c r="EX70" i="8"/>
  <c r="EW70" i="8"/>
  <c r="EX69" i="8"/>
  <c r="EW69" i="8"/>
  <c r="EX68" i="8"/>
  <c r="EW68" i="8"/>
  <c r="EX67" i="8"/>
  <c r="EW67" i="8"/>
  <c r="EX66" i="8"/>
  <c r="EW66" i="8"/>
  <c r="EX65" i="8"/>
  <c r="EW65" i="8"/>
  <c r="EX64" i="8"/>
  <c r="EW64" i="8"/>
  <c r="EX63" i="8"/>
  <c r="EW63" i="8"/>
  <c r="EX59" i="8"/>
  <c r="EW59" i="8"/>
  <c r="EX58" i="8"/>
  <c r="EW58" i="8"/>
  <c r="EX57" i="8"/>
  <c r="EW57" i="8"/>
  <c r="EX56" i="8"/>
  <c r="EW56" i="8"/>
  <c r="EX55" i="8"/>
  <c r="EW55" i="8"/>
  <c r="EX54" i="8"/>
  <c r="EW54" i="8"/>
  <c r="EX53" i="8"/>
  <c r="EW53" i="8"/>
  <c r="EX52" i="8"/>
  <c r="EW52" i="8"/>
  <c r="EX51" i="8"/>
  <c r="EW51" i="8"/>
  <c r="EX47" i="8"/>
  <c r="EW47" i="8"/>
  <c r="EX46" i="8"/>
  <c r="EW46" i="8"/>
  <c r="EX45" i="8"/>
  <c r="EW45" i="8"/>
  <c r="EX43" i="8"/>
  <c r="E28" i="3" s="1"/>
  <c r="P28" i="3" s="1"/>
  <c r="EW43" i="8"/>
  <c r="C28" i="3" s="1"/>
  <c r="N28" i="3" s="1"/>
  <c r="EX42" i="8"/>
  <c r="EW42" i="8"/>
  <c r="EX41" i="8"/>
  <c r="EW41" i="8"/>
  <c r="EX40" i="8"/>
  <c r="EW40" i="8"/>
  <c r="EX39" i="8"/>
  <c r="EW39" i="8"/>
  <c r="ET83" i="8"/>
  <c r="ES83" i="8"/>
  <c r="ET82" i="8"/>
  <c r="ES82" i="8"/>
  <c r="ET81" i="8"/>
  <c r="ES81" i="8"/>
  <c r="ET80" i="8"/>
  <c r="ES80" i="8"/>
  <c r="ET79" i="8"/>
  <c r="ES79" i="8"/>
  <c r="ET78" i="8"/>
  <c r="ES78" i="8"/>
  <c r="ET77" i="8"/>
  <c r="ES77" i="8"/>
  <c r="ET76" i="8"/>
  <c r="ES76" i="8"/>
  <c r="ET75" i="8"/>
  <c r="ES75" i="8"/>
  <c r="ET71" i="8"/>
  <c r="ES71" i="8"/>
  <c r="ET70" i="8"/>
  <c r="ES70" i="8"/>
  <c r="ET69" i="8"/>
  <c r="ES69" i="8"/>
  <c r="ET68" i="8"/>
  <c r="ES68" i="8"/>
  <c r="ET67" i="8"/>
  <c r="ES67" i="8"/>
  <c r="ET66" i="8"/>
  <c r="ES66" i="8"/>
  <c r="ET65" i="8"/>
  <c r="ES65" i="8"/>
  <c r="ET64" i="8"/>
  <c r="ES64" i="8"/>
  <c r="ET63" i="8"/>
  <c r="ES63" i="8"/>
  <c r="ET59" i="8"/>
  <c r="ES59" i="8"/>
  <c r="ET58" i="8"/>
  <c r="ES58" i="8"/>
  <c r="ET57" i="8"/>
  <c r="ES57" i="8"/>
  <c r="ET56" i="8"/>
  <c r="ES56" i="8"/>
  <c r="ET55" i="8"/>
  <c r="ES55" i="8"/>
  <c r="ET54" i="8"/>
  <c r="ES54" i="8"/>
  <c r="ET53" i="8"/>
  <c r="ES53" i="8"/>
  <c r="ET52" i="8"/>
  <c r="ES52" i="8"/>
  <c r="ET51" i="8"/>
  <c r="ES51" i="8"/>
  <c r="ET47" i="8"/>
  <c r="G45" i="3" s="1"/>
  <c r="ES47" i="8"/>
  <c r="E45" i="3" s="1"/>
  <c r="Y45" i="3" s="1"/>
  <c r="ET46" i="8"/>
  <c r="F45" i="3" s="1"/>
  <c r="ES46" i="8"/>
  <c r="C45" i="3" s="1"/>
  <c r="ET45" i="8"/>
  <c r="ES45" i="8"/>
  <c r="ET43" i="8"/>
  <c r="ES43" i="8"/>
  <c r="C27" i="3" s="1"/>
  <c r="N27" i="3" s="1"/>
  <c r="ET42" i="8"/>
  <c r="ES42" i="8"/>
  <c r="ET41" i="8"/>
  <c r="ES41" i="8"/>
  <c r="ET40" i="8"/>
  <c r="ES40" i="8"/>
  <c r="ET39" i="8"/>
  <c r="ES39" i="8"/>
  <c r="CX83" i="8"/>
  <c r="CW83" i="8"/>
  <c r="CV83" i="8"/>
  <c r="CU83" i="8"/>
  <c r="CX82" i="8"/>
  <c r="CW82" i="8"/>
  <c r="CV82" i="8"/>
  <c r="CU82" i="8"/>
  <c r="CX81" i="8"/>
  <c r="CW81" i="8"/>
  <c r="CV81" i="8"/>
  <c r="CU81" i="8"/>
  <c r="CX80" i="8"/>
  <c r="CW80" i="8"/>
  <c r="CV80" i="8"/>
  <c r="CU80" i="8"/>
  <c r="CX79" i="8"/>
  <c r="CW79" i="8"/>
  <c r="CV79" i="8"/>
  <c r="CU79" i="8"/>
  <c r="CX78" i="8"/>
  <c r="CW78" i="8"/>
  <c r="CV78" i="8"/>
  <c r="CU78" i="8"/>
  <c r="CX77" i="8"/>
  <c r="CW77" i="8"/>
  <c r="CV77" i="8"/>
  <c r="CU77" i="8"/>
  <c r="CX76" i="8"/>
  <c r="CW76" i="8"/>
  <c r="CV76" i="8"/>
  <c r="CU76" i="8"/>
  <c r="CX75" i="8"/>
  <c r="CW75" i="8"/>
  <c r="CV75" i="8"/>
  <c r="CU75" i="8"/>
  <c r="CX71" i="8"/>
  <c r="CW71" i="8"/>
  <c r="CV71" i="8"/>
  <c r="CU71" i="8"/>
  <c r="CX70" i="8"/>
  <c r="CW70" i="8"/>
  <c r="CV70" i="8"/>
  <c r="CU70" i="8"/>
  <c r="CX69" i="8"/>
  <c r="CW69" i="8"/>
  <c r="CV69" i="8"/>
  <c r="CU69" i="8"/>
  <c r="CX68" i="8"/>
  <c r="CW68" i="8"/>
  <c r="CV68" i="8"/>
  <c r="CU68" i="8"/>
  <c r="CX67" i="8"/>
  <c r="CW67" i="8"/>
  <c r="CV67" i="8"/>
  <c r="CU67" i="8"/>
  <c r="CX66" i="8"/>
  <c r="CW66" i="8"/>
  <c r="CV66" i="8"/>
  <c r="CU66" i="8"/>
  <c r="CX65" i="8"/>
  <c r="CW65" i="8"/>
  <c r="CV65" i="8"/>
  <c r="CU65" i="8"/>
  <c r="CX64" i="8"/>
  <c r="CW64" i="8"/>
  <c r="CV64" i="8"/>
  <c r="CU64" i="8"/>
  <c r="CX63" i="8"/>
  <c r="CW63" i="8"/>
  <c r="CV63" i="8"/>
  <c r="CU63" i="8"/>
  <c r="CX59" i="8"/>
  <c r="CW59" i="8"/>
  <c r="CV59" i="8"/>
  <c r="CU59" i="8"/>
  <c r="CX58" i="8"/>
  <c r="CW58" i="8"/>
  <c r="CV58" i="8"/>
  <c r="CU58" i="8"/>
  <c r="CX57" i="8"/>
  <c r="CW57" i="8"/>
  <c r="CV57" i="8"/>
  <c r="CU57" i="8"/>
  <c r="CX56" i="8"/>
  <c r="CW56" i="8"/>
  <c r="CV56" i="8"/>
  <c r="CU56" i="8"/>
  <c r="CX55" i="8"/>
  <c r="CW55" i="8"/>
  <c r="CV55" i="8"/>
  <c r="CU55" i="8"/>
  <c r="CX54" i="8"/>
  <c r="CW54" i="8"/>
  <c r="CV54" i="8"/>
  <c r="CU54" i="8"/>
  <c r="CX53" i="8"/>
  <c r="CW53" i="8"/>
  <c r="CV53" i="8"/>
  <c r="CU53" i="8"/>
  <c r="CX52" i="8"/>
  <c r="CW52" i="8"/>
  <c r="CV52" i="8"/>
  <c r="CU52" i="8"/>
  <c r="CX51" i="8"/>
  <c r="CW51" i="8"/>
  <c r="CV51" i="8"/>
  <c r="CU51" i="8"/>
  <c r="CX47" i="8"/>
  <c r="CW47" i="8"/>
  <c r="CV47" i="8"/>
  <c r="CU47" i="8"/>
  <c r="CX46" i="8"/>
  <c r="CW46" i="8"/>
  <c r="CV46" i="8"/>
  <c r="CU46" i="8"/>
  <c r="CX45" i="8"/>
  <c r="CW45" i="8"/>
  <c r="CV45" i="8"/>
  <c r="CU45" i="8"/>
  <c r="CV44" i="8"/>
  <c r="CU44" i="8"/>
  <c r="CX43" i="8"/>
  <c r="CW43" i="8"/>
  <c r="CV43" i="8"/>
  <c r="CU43" i="8"/>
  <c r="CX42" i="8"/>
  <c r="CW42" i="8"/>
  <c r="CV42" i="8"/>
  <c r="CU42" i="8"/>
  <c r="CX41" i="8"/>
  <c r="CW41" i="8"/>
  <c r="CV41" i="8"/>
  <c r="CU41" i="8"/>
  <c r="CX40" i="8"/>
  <c r="CW40" i="8"/>
  <c r="CV40" i="8"/>
  <c r="CU40" i="8"/>
  <c r="CX39" i="8"/>
  <c r="CW39" i="8"/>
  <c r="CV39" i="8"/>
  <c r="CU39" i="8"/>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5" i="5"/>
  <c r="I1586" i="5"/>
  <c r="I1588" i="5"/>
  <c r="I1589" i="5"/>
  <c r="I1591" i="5"/>
  <c r="I1592" i="5"/>
  <c r="I1593" i="5"/>
  <c r="I1594" i="5"/>
  <c r="I1596" i="5"/>
  <c r="I1598" i="5"/>
  <c r="I1599" i="5"/>
  <c r="I1600" i="5"/>
  <c r="I1601" i="5"/>
  <c r="I1602" i="5"/>
  <c r="I1603" i="5"/>
  <c r="I1604" i="5"/>
  <c r="I1605" i="5"/>
  <c r="I1606" i="5"/>
  <c r="I1607" i="5"/>
  <c r="I1610" i="5"/>
  <c r="I1611" i="5"/>
  <c r="I1612" i="5"/>
  <c r="I1613" i="5"/>
  <c r="I1614" i="5"/>
  <c r="I1615"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3" i="5"/>
  <c r="I1714" i="5"/>
  <c r="I1715" i="5"/>
  <c r="I1716" i="5"/>
  <c r="I1717" i="5"/>
  <c r="I1718" i="5"/>
  <c r="I1719" i="5"/>
  <c r="I1720" i="5"/>
  <c r="I1721" i="5"/>
  <c r="I1722" i="5"/>
  <c r="I1723" i="5"/>
  <c r="I1724" i="5"/>
  <c r="O1724" i="5" s="1"/>
  <c r="I1725" i="5"/>
  <c r="O1725" i="5" s="1"/>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5" i="5"/>
  <c r="I1796" i="5"/>
  <c r="I1797" i="5"/>
  <c r="I1798" i="5"/>
  <c r="I1799" i="5"/>
  <c r="I1800" i="5"/>
  <c r="I1801" i="5"/>
  <c r="I1802" i="5"/>
  <c r="I1803"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41" i="5"/>
  <c r="I1842" i="5"/>
  <c r="I1845" i="5"/>
  <c r="I1846" i="5"/>
  <c r="I1847" i="5"/>
  <c r="I1848" i="5"/>
  <c r="I1849" i="5"/>
  <c r="I1850" i="5"/>
  <c r="I1851" i="5"/>
  <c r="I1852" i="5"/>
  <c r="I1854" i="5"/>
  <c r="I1855" i="5"/>
  <c r="I1856" i="5"/>
  <c r="I1857" i="5"/>
  <c r="I1858" i="5"/>
  <c r="I1859" i="5"/>
  <c r="I1860" i="5"/>
  <c r="I1861" i="5"/>
  <c r="I1862" i="5"/>
  <c r="I1863" i="5"/>
  <c r="I1869" i="5"/>
  <c r="I1870"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O1967" i="5" s="1"/>
  <c r="I1970" i="5"/>
  <c r="O1970" i="5" s="1"/>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I2222" i="5"/>
  <c r="I2223" i="5"/>
  <c r="I2225" i="5"/>
  <c r="I2226" i="5"/>
  <c r="I2227" i="5"/>
  <c r="I2228" i="5"/>
  <c r="I2229" i="5"/>
  <c r="I2230" i="5"/>
  <c r="I2231" i="5"/>
  <c r="I2232" i="5"/>
  <c r="I2233" i="5"/>
  <c r="I2234" i="5"/>
  <c r="I2235" i="5"/>
  <c r="I2236" i="5"/>
  <c r="I2237" i="5"/>
  <c r="I2238" i="5"/>
  <c r="I2239" i="5"/>
  <c r="I2240" i="5"/>
  <c r="I2241" i="5"/>
  <c r="I2242" i="5"/>
  <c r="I2243" i="5"/>
  <c r="I2244" i="5"/>
  <c r="I2245" i="5"/>
  <c r="I2246" i="5"/>
  <c r="I2247" i="5"/>
  <c r="I2248" i="5"/>
  <c r="I2249" i="5"/>
  <c r="I2250" i="5"/>
  <c r="I2251" i="5"/>
  <c r="I2252" i="5"/>
  <c r="I2253" i="5"/>
  <c r="I2254" i="5"/>
  <c r="I2255" i="5"/>
  <c r="I2256" i="5"/>
  <c r="I2257" i="5"/>
  <c r="I2258" i="5"/>
  <c r="I2259" i="5"/>
  <c r="I2260" i="5"/>
  <c r="I2261" i="5"/>
  <c r="I2262" i="5"/>
  <c r="I2263" i="5"/>
  <c r="I2264" i="5"/>
  <c r="I2265" i="5"/>
  <c r="I2266" i="5"/>
  <c r="I2267" i="5"/>
  <c r="I2268" i="5"/>
  <c r="I2269" i="5"/>
  <c r="I2270" i="5"/>
  <c r="I2271" i="5"/>
  <c r="I2272" i="5"/>
  <c r="I2273" i="5"/>
  <c r="I2274" i="5"/>
  <c r="I2275" i="5"/>
  <c r="I2276" i="5"/>
  <c r="I2277" i="5"/>
  <c r="I2278" i="5"/>
  <c r="I2279" i="5"/>
  <c r="I2280" i="5"/>
  <c r="I2281" i="5"/>
  <c r="I2282" i="5"/>
  <c r="I2283" i="5"/>
  <c r="I2284" i="5"/>
  <c r="I2285" i="5"/>
  <c r="I2286" i="5"/>
  <c r="I2287" i="5"/>
  <c r="I2288" i="5"/>
  <c r="I2289" i="5"/>
  <c r="I2290" i="5"/>
  <c r="I2291" i="5"/>
  <c r="I2292" i="5"/>
  <c r="I2293" i="5"/>
  <c r="I2294" i="5"/>
  <c r="I2295" i="5"/>
  <c r="I2296" i="5"/>
  <c r="I2297" i="5"/>
  <c r="I2298" i="5"/>
  <c r="I2299" i="5"/>
  <c r="I2300" i="5"/>
  <c r="I2301" i="5"/>
  <c r="I2302" i="5"/>
  <c r="I2303" i="5"/>
  <c r="I2304" i="5"/>
  <c r="I2305" i="5"/>
  <c r="I2306" i="5"/>
  <c r="I2307" i="5"/>
  <c r="I2308" i="5"/>
  <c r="I2309" i="5"/>
  <c r="I2310" i="5"/>
  <c r="I2311" i="5"/>
  <c r="I2312" i="5"/>
  <c r="I2313" i="5"/>
  <c r="I2314" i="5"/>
  <c r="I2315" i="5"/>
  <c r="I2316" i="5"/>
  <c r="I2317" i="5"/>
  <c r="I2318" i="5"/>
  <c r="I2319" i="5"/>
  <c r="I2320" i="5"/>
  <c r="I2321" i="5"/>
  <c r="I2322" i="5"/>
  <c r="I2323" i="5"/>
  <c r="I2324" i="5"/>
  <c r="I2325" i="5"/>
  <c r="I2326" i="5"/>
  <c r="I2327" i="5"/>
  <c r="I2328" i="5"/>
  <c r="I2329" i="5"/>
  <c r="I2330" i="5"/>
  <c r="I2331" i="5"/>
  <c r="I2332" i="5"/>
  <c r="I2333" i="5"/>
  <c r="I2334" i="5"/>
  <c r="I2335" i="5"/>
  <c r="I2336" i="5"/>
  <c r="I2337" i="5"/>
  <c r="I2338" i="5"/>
  <c r="I2339" i="5"/>
  <c r="I2340" i="5"/>
  <c r="I2341" i="5"/>
  <c r="I2342" i="5"/>
  <c r="I2343" i="5"/>
  <c r="I2344" i="5"/>
  <c r="I2345" i="5"/>
  <c r="I2346" i="5"/>
  <c r="I2347" i="5"/>
  <c r="I2348" i="5"/>
  <c r="I2349" i="5"/>
  <c r="I2350" i="5"/>
  <c r="I2351" i="5"/>
  <c r="I2353" i="5"/>
  <c r="I2354" i="5"/>
  <c r="I2355" i="5"/>
  <c r="I2356" i="5"/>
  <c r="I2357" i="5"/>
  <c r="I2358" i="5"/>
  <c r="I2359" i="5"/>
  <c r="I2360" i="5"/>
  <c r="I2361" i="5"/>
  <c r="I2362" i="5"/>
  <c r="I2363" i="5"/>
  <c r="I2364" i="5"/>
  <c r="I2365" i="5"/>
  <c r="I2366" i="5"/>
  <c r="I2367" i="5"/>
  <c r="I2368" i="5"/>
  <c r="I2369" i="5"/>
  <c r="I2370" i="5"/>
  <c r="I2371" i="5"/>
  <c r="I2372" i="5"/>
  <c r="I2373" i="5"/>
  <c r="I2374" i="5"/>
  <c r="I2375" i="5"/>
  <c r="I2376" i="5"/>
  <c r="I2377" i="5"/>
  <c r="I2378" i="5"/>
  <c r="I2379" i="5"/>
  <c r="I2380" i="5"/>
  <c r="I2381" i="5"/>
  <c r="I2382" i="5"/>
  <c r="I2383" i="5"/>
  <c r="I2384" i="5"/>
  <c r="I2385" i="5"/>
  <c r="I2386" i="5"/>
  <c r="I2387" i="5"/>
  <c r="I2388" i="5"/>
  <c r="I2389" i="5"/>
  <c r="I2390" i="5"/>
  <c r="I2391" i="5"/>
  <c r="I2392" i="5"/>
  <c r="I2393" i="5"/>
  <c r="I2394" i="5"/>
  <c r="I2395" i="5"/>
  <c r="I2396" i="5"/>
  <c r="I2397" i="5"/>
  <c r="I2398" i="5"/>
  <c r="I2399" i="5"/>
  <c r="I2400" i="5"/>
  <c r="I2401" i="5"/>
  <c r="I2402" i="5"/>
  <c r="I2403" i="5"/>
  <c r="I2404" i="5"/>
  <c r="I2405" i="5"/>
  <c r="I2406" i="5"/>
  <c r="I2407" i="5"/>
  <c r="I2408" i="5"/>
  <c r="I2409" i="5"/>
  <c r="I2410" i="5"/>
  <c r="I2411" i="5"/>
  <c r="I2412" i="5"/>
  <c r="I2413" i="5"/>
  <c r="I2414" i="5"/>
  <c r="I2415" i="5"/>
  <c r="I2416" i="5"/>
  <c r="I2417" i="5"/>
  <c r="I2418" i="5"/>
  <c r="I2419" i="5"/>
  <c r="I2420" i="5"/>
  <c r="I2421" i="5"/>
  <c r="I2422" i="5"/>
  <c r="I2423" i="5"/>
  <c r="I2424" i="5"/>
  <c r="I2425" i="5"/>
  <c r="I2426" i="5"/>
  <c r="I2427" i="5"/>
  <c r="I2428" i="5"/>
  <c r="I2429" i="5"/>
  <c r="I2430" i="5"/>
  <c r="I2431" i="5"/>
  <c r="I2432" i="5"/>
  <c r="I2433" i="5"/>
  <c r="I2434" i="5"/>
  <c r="I2435" i="5"/>
  <c r="I2436" i="5"/>
  <c r="I2437" i="5"/>
  <c r="I2438" i="5"/>
  <c r="I2439" i="5"/>
  <c r="I2440" i="5"/>
  <c r="I2441" i="5"/>
  <c r="I2442" i="5"/>
  <c r="I2443" i="5"/>
  <c r="I2444" i="5"/>
  <c r="I2445" i="5"/>
  <c r="I2446" i="5"/>
  <c r="I2447" i="5"/>
  <c r="I2448" i="5"/>
  <c r="I2449" i="5"/>
  <c r="I2450" i="5"/>
  <c r="I2451" i="5"/>
  <c r="I2452" i="5"/>
  <c r="I2453" i="5"/>
  <c r="I2454" i="5"/>
  <c r="I2455" i="5"/>
  <c r="I2456" i="5"/>
  <c r="I2457" i="5"/>
  <c r="I2458" i="5"/>
  <c r="I2459" i="5"/>
  <c r="I2460" i="5"/>
  <c r="I2461" i="5"/>
  <c r="I2462" i="5"/>
  <c r="I2463" i="5"/>
  <c r="I2464" i="5"/>
  <c r="I2465" i="5"/>
  <c r="I2466" i="5"/>
  <c r="I2467" i="5"/>
  <c r="I2468" i="5"/>
  <c r="I2469" i="5"/>
  <c r="I2470" i="5"/>
  <c r="I2471" i="5"/>
  <c r="I2472" i="5"/>
  <c r="I2473" i="5"/>
  <c r="I2474" i="5"/>
  <c r="I2475" i="5"/>
  <c r="I2476" i="5"/>
  <c r="I2477" i="5"/>
  <c r="I2478" i="5"/>
  <c r="I2479" i="5"/>
  <c r="I2481" i="5"/>
  <c r="I2482" i="5"/>
  <c r="I2483" i="5"/>
  <c r="I2484" i="5"/>
  <c r="I2485" i="5"/>
  <c r="I2486" i="5"/>
  <c r="I2487" i="5"/>
  <c r="I2488" i="5"/>
  <c r="I2489" i="5"/>
  <c r="I2490" i="5"/>
  <c r="I2491" i="5"/>
  <c r="I2492" i="5"/>
  <c r="I2493" i="5"/>
  <c r="I2494" i="5"/>
  <c r="I2495" i="5"/>
  <c r="I2496" i="5"/>
  <c r="I2497" i="5"/>
  <c r="I2498" i="5"/>
  <c r="I2499" i="5"/>
  <c r="I2500" i="5"/>
  <c r="I2501" i="5"/>
  <c r="I2502" i="5"/>
  <c r="I2503" i="5"/>
  <c r="I2504" i="5"/>
  <c r="I2505" i="5"/>
  <c r="I2506" i="5"/>
  <c r="I2507" i="5"/>
  <c r="I2508" i="5"/>
  <c r="I2509" i="5"/>
  <c r="I2510" i="5"/>
  <c r="I2511" i="5"/>
  <c r="I2512" i="5"/>
  <c r="I2513" i="5"/>
  <c r="I2514" i="5"/>
  <c r="I2515" i="5"/>
  <c r="I2516" i="5"/>
  <c r="I2517" i="5"/>
  <c r="I2518" i="5"/>
  <c r="I2519" i="5"/>
  <c r="I2520" i="5"/>
  <c r="I2521" i="5"/>
  <c r="I2522" i="5"/>
  <c r="I2523" i="5"/>
  <c r="I2524" i="5"/>
  <c r="I2525" i="5"/>
  <c r="I2526" i="5"/>
  <c r="I2527" i="5"/>
  <c r="I2528" i="5"/>
  <c r="I2529" i="5"/>
  <c r="I2530" i="5"/>
  <c r="I2531" i="5"/>
  <c r="I2532" i="5"/>
  <c r="I2533" i="5"/>
  <c r="I2534" i="5"/>
  <c r="I2535" i="5"/>
  <c r="I2536" i="5"/>
  <c r="I2537" i="5"/>
  <c r="I2538" i="5"/>
  <c r="I2539" i="5"/>
  <c r="I2540" i="5"/>
  <c r="I2541" i="5"/>
  <c r="I2542" i="5"/>
  <c r="I2543" i="5"/>
  <c r="I2544" i="5"/>
  <c r="I2545" i="5"/>
  <c r="I2546" i="5"/>
  <c r="I2547" i="5"/>
  <c r="I2548" i="5"/>
  <c r="I2549" i="5"/>
  <c r="I2550" i="5"/>
  <c r="I2551" i="5"/>
  <c r="I2552" i="5"/>
  <c r="I2553" i="5"/>
  <c r="I2554" i="5"/>
  <c r="I2555" i="5"/>
  <c r="I2556" i="5"/>
  <c r="I2557" i="5"/>
  <c r="I2558" i="5"/>
  <c r="I2559" i="5"/>
  <c r="I2560" i="5"/>
  <c r="I2561" i="5"/>
  <c r="I2562" i="5"/>
  <c r="I2563" i="5"/>
  <c r="I2564" i="5"/>
  <c r="I2565" i="5"/>
  <c r="I2566" i="5"/>
  <c r="I2567" i="5"/>
  <c r="I2568" i="5"/>
  <c r="I2569" i="5"/>
  <c r="I2570" i="5"/>
  <c r="I2571" i="5"/>
  <c r="I2572" i="5"/>
  <c r="I2573" i="5"/>
  <c r="I2574" i="5"/>
  <c r="I2575" i="5"/>
  <c r="I2576" i="5"/>
  <c r="I2577" i="5"/>
  <c r="I2578" i="5"/>
  <c r="I2579" i="5"/>
  <c r="I2580" i="5"/>
  <c r="I2581" i="5"/>
  <c r="I2582" i="5"/>
  <c r="I2583" i="5"/>
  <c r="I2584" i="5"/>
  <c r="I2585" i="5"/>
  <c r="I2586" i="5"/>
  <c r="I2587" i="5"/>
  <c r="I2588" i="5"/>
  <c r="I2589" i="5"/>
  <c r="I2590" i="5"/>
  <c r="I2591" i="5"/>
  <c r="I2592" i="5"/>
  <c r="I2593" i="5"/>
  <c r="I2594" i="5"/>
  <c r="I2595" i="5"/>
  <c r="I2596" i="5"/>
  <c r="I2597" i="5"/>
  <c r="I2598" i="5"/>
  <c r="I2599" i="5"/>
  <c r="I2600" i="5"/>
  <c r="I2601" i="5"/>
  <c r="I2602" i="5"/>
  <c r="I2603" i="5"/>
  <c r="I2604" i="5"/>
  <c r="I2605" i="5"/>
  <c r="I2606" i="5"/>
  <c r="I2607" i="5"/>
  <c r="I2609" i="5"/>
  <c r="I2610" i="5"/>
  <c r="I2611" i="5"/>
  <c r="I2612" i="5"/>
  <c r="I2613" i="5"/>
  <c r="I2614" i="5"/>
  <c r="I2615" i="5"/>
  <c r="I2616" i="5"/>
  <c r="I2617" i="5"/>
  <c r="I2618" i="5"/>
  <c r="I2619" i="5"/>
  <c r="I2620" i="5"/>
  <c r="I2621" i="5"/>
  <c r="I2622" i="5"/>
  <c r="I2623" i="5"/>
  <c r="I2624" i="5"/>
  <c r="I2625" i="5"/>
  <c r="I2626" i="5"/>
  <c r="I2627" i="5"/>
  <c r="I2628" i="5"/>
  <c r="I2629" i="5"/>
  <c r="I2630" i="5"/>
  <c r="I2631" i="5"/>
  <c r="I2632" i="5"/>
  <c r="I2633" i="5"/>
  <c r="I2634" i="5"/>
  <c r="I2635" i="5"/>
  <c r="I2636" i="5"/>
  <c r="I2637" i="5"/>
  <c r="I2638" i="5"/>
  <c r="I2639" i="5"/>
  <c r="I2640" i="5"/>
  <c r="I2641" i="5"/>
  <c r="I2642" i="5"/>
  <c r="I2643" i="5"/>
  <c r="I2644" i="5"/>
  <c r="I2645" i="5"/>
  <c r="I2646" i="5"/>
  <c r="I2647" i="5"/>
  <c r="I2648" i="5"/>
  <c r="I2649" i="5"/>
  <c r="I2650" i="5"/>
  <c r="I2651" i="5"/>
  <c r="I2652" i="5"/>
  <c r="I2653" i="5"/>
  <c r="I2654" i="5"/>
  <c r="I2655" i="5"/>
  <c r="I2656" i="5"/>
  <c r="I2657" i="5"/>
  <c r="I2658" i="5"/>
  <c r="I2659" i="5"/>
  <c r="I2660" i="5"/>
  <c r="I2661" i="5"/>
  <c r="I2662" i="5"/>
  <c r="I2663" i="5"/>
  <c r="I2664" i="5"/>
  <c r="I2665" i="5"/>
  <c r="I2666" i="5"/>
  <c r="I2667" i="5"/>
  <c r="I2668" i="5"/>
  <c r="I2669" i="5"/>
  <c r="I2670" i="5"/>
  <c r="I2671" i="5"/>
  <c r="I2672" i="5"/>
  <c r="I2673" i="5"/>
  <c r="I2674" i="5"/>
  <c r="I2675" i="5"/>
  <c r="I2676" i="5"/>
  <c r="I2677" i="5"/>
  <c r="I2678" i="5"/>
  <c r="I2679" i="5"/>
  <c r="I2680" i="5"/>
  <c r="I2681" i="5"/>
  <c r="I2682" i="5"/>
  <c r="I2683" i="5"/>
  <c r="I2684" i="5"/>
  <c r="I2685" i="5"/>
  <c r="I2686" i="5"/>
  <c r="I2687" i="5"/>
  <c r="I2688" i="5"/>
  <c r="I2689" i="5"/>
  <c r="I2690" i="5"/>
  <c r="I2691" i="5"/>
  <c r="I2692" i="5"/>
  <c r="I2693" i="5"/>
  <c r="I2694" i="5"/>
  <c r="I2695" i="5"/>
  <c r="I2696" i="5"/>
  <c r="I2697" i="5"/>
  <c r="I2698" i="5"/>
  <c r="I2699" i="5"/>
  <c r="I2700" i="5"/>
  <c r="I2701" i="5"/>
  <c r="I2702" i="5"/>
  <c r="I2703" i="5"/>
  <c r="I2704" i="5"/>
  <c r="I2705" i="5"/>
  <c r="I2706" i="5"/>
  <c r="I2707" i="5"/>
  <c r="I2708" i="5"/>
  <c r="I2709" i="5"/>
  <c r="I2710" i="5"/>
  <c r="I2711" i="5"/>
  <c r="I2712" i="5"/>
  <c r="I2713" i="5"/>
  <c r="I2714" i="5"/>
  <c r="I2715" i="5"/>
  <c r="I2716" i="5"/>
  <c r="I2717" i="5"/>
  <c r="I2718" i="5"/>
  <c r="I2719" i="5"/>
  <c r="I2720" i="5"/>
  <c r="I2721" i="5"/>
  <c r="I2722" i="5"/>
  <c r="I2723" i="5"/>
  <c r="I2724" i="5"/>
  <c r="I2725" i="5"/>
  <c r="I2726" i="5"/>
  <c r="I2727" i="5"/>
  <c r="I2728" i="5"/>
  <c r="I2729" i="5"/>
  <c r="I2730" i="5"/>
  <c r="I2731" i="5"/>
  <c r="I2732" i="5"/>
  <c r="I2733" i="5"/>
  <c r="I2734" i="5"/>
  <c r="I2735" i="5"/>
  <c r="I2737" i="5"/>
  <c r="I2738" i="5"/>
  <c r="I2739" i="5"/>
  <c r="I2740" i="5"/>
  <c r="I2741" i="5"/>
  <c r="I2742" i="5"/>
  <c r="I2743" i="5"/>
  <c r="I2744" i="5"/>
  <c r="I2745" i="5"/>
  <c r="I2746" i="5"/>
  <c r="I2747" i="5"/>
  <c r="I2748" i="5"/>
  <c r="I2749" i="5"/>
  <c r="I2750" i="5"/>
  <c r="I2751" i="5"/>
  <c r="I2752" i="5"/>
  <c r="I2753" i="5"/>
  <c r="I2754" i="5"/>
  <c r="I2755" i="5"/>
  <c r="I2756" i="5"/>
  <c r="I2757" i="5"/>
  <c r="I2758" i="5"/>
  <c r="I2759" i="5"/>
  <c r="I2760" i="5"/>
  <c r="I2761" i="5"/>
  <c r="I2762" i="5"/>
  <c r="I2763" i="5"/>
  <c r="I2764" i="5"/>
  <c r="I2765" i="5"/>
  <c r="I2766" i="5"/>
  <c r="I2767" i="5"/>
  <c r="I2768" i="5"/>
  <c r="I2769" i="5"/>
  <c r="I2770" i="5"/>
  <c r="I2771" i="5"/>
  <c r="I2772" i="5"/>
  <c r="I2773" i="5"/>
  <c r="I2774" i="5"/>
  <c r="I2775" i="5"/>
  <c r="I2776" i="5"/>
  <c r="I2777" i="5"/>
  <c r="I2778" i="5"/>
  <c r="I2779" i="5"/>
  <c r="I2780" i="5"/>
  <c r="I2781" i="5"/>
  <c r="I2782" i="5"/>
  <c r="I2783" i="5"/>
  <c r="I2784" i="5"/>
  <c r="I2785" i="5"/>
  <c r="I2786" i="5"/>
  <c r="I2787" i="5"/>
  <c r="I2788" i="5"/>
  <c r="I2789" i="5"/>
  <c r="I2790" i="5"/>
  <c r="I2791" i="5"/>
  <c r="I2792" i="5"/>
  <c r="I2793" i="5"/>
  <c r="I2794" i="5"/>
  <c r="I2795" i="5"/>
  <c r="I2796" i="5"/>
  <c r="I2797" i="5"/>
  <c r="I2798" i="5"/>
  <c r="I2799" i="5"/>
  <c r="I2800" i="5"/>
  <c r="I2801" i="5"/>
  <c r="I2802" i="5"/>
  <c r="I2803" i="5"/>
  <c r="I2804" i="5"/>
  <c r="I2805" i="5"/>
  <c r="I2806" i="5"/>
  <c r="I2807" i="5"/>
  <c r="I2808" i="5"/>
  <c r="I2809" i="5"/>
  <c r="I2810" i="5"/>
  <c r="I2811" i="5"/>
  <c r="I2812" i="5"/>
  <c r="I2813" i="5"/>
  <c r="I2814" i="5"/>
  <c r="I2815" i="5"/>
  <c r="I2816" i="5"/>
  <c r="I2817" i="5"/>
  <c r="I2818" i="5"/>
  <c r="I2819" i="5"/>
  <c r="I2820" i="5"/>
  <c r="I2821" i="5"/>
  <c r="I2822" i="5"/>
  <c r="I2823" i="5"/>
  <c r="I2824" i="5"/>
  <c r="I2825" i="5"/>
  <c r="I2826" i="5"/>
  <c r="I2827" i="5"/>
  <c r="I2828" i="5"/>
  <c r="I2829" i="5"/>
  <c r="I2830" i="5"/>
  <c r="I2831" i="5"/>
  <c r="I2832" i="5"/>
  <c r="I2833" i="5"/>
  <c r="I2834" i="5"/>
  <c r="I2835" i="5"/>
  <c r="I2836" i="5"/>
  <c r="I2837" i="5"/>
  <c r="I2838" i="5"/>
  <c r="I2839" i="5"/>
  <c r="I2840" i="5"/>
  <c r="I2841" i="5"/>
  <c r="I2842" i="5"/>
  <c r="I2843" i="5"/>
  <c r="I2844" i="5"/>
  <c r="I2845" i="5"/>
  <c r="I2846" i="5"/>
  <c r="I2847" i="5"/>
  <c r="I2848" i="5"/>
  <c r="I2849" i="5"/>
  <c r="I2850" i="5"/>
  <c r="I2851" i="5"/>
  <c r="I2852" i="5"/>
  <c r="I2853" i="5"/>
  <c r="I2854" i="5"/>
  <c r="I2855" i="5"/>
  <c r="I2856" i="5"/>
  <c r="I2857" i="5"/>
  <c r="I2858" i="5"/>
  <c r="I2859" i="5"/>
  <c r="I2860" i="5"/>
  <c r="I2861" i="5"/>
  <c r="I2862" i="5"/>
  <c r="I2863" i="5"/>
  <c r="I2865" i="5"/>
  <c r="I2866" i="5"/>
  <c r="I2867" i="5"/>
  <c r="I2868" i="5"/>
  <c r="I2869" i="5"/>
  <c r="I2870" i="5"/>
  <c r="I2871" i="5"/>
  <c r="I2872" i="5"/>
  <c r="I2873" i="5"/>
  <c r="I2874" i="5"/>
  <c r="I2875" i="5"/>
  <c r="I2876" i="5"/>
  <c r="I2877" i="5"/>
  <c r="I2878" i="5"/>
  <c r="I2879" i="5"/>
  <c r="I2880" i="5"/>
  <c r="I2881" i="5"/>
  <c r="I2882" i="5"/>
  <c r="I2883" i="5"/>
  <c r="I2884" i="5"/>
  <c r="I2885" i="5"/>
  <c r="I2886" i="5"/>
  <c r="I2887" i="5"/>
  <c r="I2888" i="5"/>
  <c r="I2889" i="5"/>
  <c r="I2890" i="5"/>
  <c r="I2891" i="5"/>
  <c r="I2892" i="5"/>
  <c r="I2893" i="5"/>
  <c r="I2894" i="5"/>
  <c r="I2895" i="5"/>
  <c r="I2896" i="5"/>
  <c r="I2897" i="5"/>
  <c r="I2898" i="5"/>
  <c r="I2899" i="5"/>
  <c r="I2900" i="5"/>
  <c r="I2901" i="5"/>
  <c r="I2902" i="5"/>
  <c r="I2903" i="5"/>
  <c r="I2904" i="5"/>
  <c r="I2905" i="5"/>
  <c r="I2906" i="5"/>
  <c r="I2907" i="5"/>
  <c r="I2908" i="5"/>
  <c r="I2909" i="5"/>
  <c r="I2910" i="5"/>
  <c r="I2911" i="5"/>
  <c r="I2912" i="5"/>
  <c r="I2913" i="5"/>
  <c r="I2914" i="5"/>
  <c r="I2915" i="5"/>
  <c r="I2916" i="5"/>
  <c r="I2917" i="5"/>
  <c r="I2918" i="5"/>
  <c r="I2919" i="5"/>
  <c r="I2920" i="5"/>
  <c r="I2921" i="5"/>
  <c r="I2922" i="5"/>
  <c r="I2923" i="5"/>
  <c r="I2924" i="5"/>
  <c r="I2925" i="5"/>
  <c r="I2926" i="5"/>
  <c r="I2927" i="5"/>
  <c r="I2928" i="5"/>
  <c r="I2929" i="5"/>
  <c r="I2930" i="5"/>
  <c r="I2931" i="5"/>
  <c r="I2932" i="5"/>
  <c r="I2933" i="5"/>
  <c r="I2934" i="5"/>
  <c r="I2935" i="5"/>
  <c r="I2936" i="5"/>
  <c r="I2937" i="5"/>
  <c r="I2938" i="5"/>
  <c r="I2939" i="5"/>
  <c r="I2940" i="5"/>
  <c r="I2941" i="5"/>
  <c r="I2942" i="5"/>
  <c r="I2943" i="5"/>
  <c r="I2944" i="5"/>
  <c r="I2945" i="5"/>
  <c r="I2946" i="5"/>
  <c r="I2947" i="5"/>
  <c r="I2948" i="5"/>
  <c r="I2949" i="5"/>
  <c r="I2950" i="5"/>
  <c r="I2951" i="5"/>
  <c r="I2952" i="5"/>
  <c r="I2953" i="5"/>
  <c r="I2954" i="5"/>
  <c r="I2955" i="5"/>
  <c r="I2956" i="5"/>
  <c r="I2957" i="5"/>
  <c r="I2958" i="5"/>
  <c r="I2959" i="5"/>
  <c r="I2960" i="5"/>
  <c r="I2961" i="5"/>
  <c r="I2962" i="5"/>
  <c r="I2963" i="5"/>
  <c r="I2964" i="5"/>
  <c r="I2965" i="5"/>
  <c r="I2966" i="5"/>
  <c r="I2967" i="5"/>
  <c r="I2968" i="5"/>
  <c r="I2969" i="5"/>
  <c r="I2970" i="5"/>
  <c r="I2971" i="5"/>
  <c r="I2972" i="5"/>
  <c r="I2973" i="5"/>
  <c r="I2974" i="5"/>
  <c r="I2975" i="5"/>
  <c r="I2976" i="5"/>
  <c r="I2977" i="5"/>
  <c r="I2978" i="5"/>
  <c r="I2979" i="5"/>
  <c r="I2980" i="5"/>
  <c r="I2981" i="5"/>
  <c r="I2982" i="5"/>
  <c r="I2983" i="5"/>
  <c r="I2984" i="5"/>
  <c r="I2985" i="5"/>
  <c r="I2986" i="5"/>
  <c r="I2987" i="5"/>
  <c r="I2988" i="5"/>
  <c r="I2989" i="5"/>
  <c r="I2990" i="5"/>
  <c r="I2991" i="5"/>
  <c r="I2993" i="5"/>
  <c r="I2994" i="5"/>
  <c r="I2995" i="5"/>
  <c r="I2996" i="5"/>
  <c r="I2997" i="5"/>
  <c r="I2998" i="5"/>
  <c r="I2999" i="5"/>
  <c r="I3000" i="5"/>
  <c r="I3001" i="5"/>
  <c r="I3002" i="5"/>
  <c r="I3003" i="5"/>
  <c r="I3004" i="5"/>
  <c r="I3005" i="5"/>
  <c r="I3006" i="5"/>
  <c r="I3007" i="5"/>
  <c r="I3008" i="5"/>
  <c r="I3009" i="5"/>
  <c r="I3010" i="5"/>
  <c r="I3011" i="5"/>
  <c r="I3012" i="5"/>
  <c r="I3013" i="5"/>
  <c r="I3014" i="5"/>
  <c r="I3015" i="5"/>
  <c r="I3016" i="5"/>
  <c r="I3017" i="5"/>
  <c r="I3018" i="5"/>
  <c r="I3019" i="5"/>
  <c r="I3020" i="5"/>
  <c r="I3021" i="5"/>
  <c r="I3022" i="5"/>
  <c r="I3023" i="5"/>
  <c r="I3024" i="5"/>
  <c r="I3025" i="5"/>
  <c r="I3026" i="5"/>
  <c r="I3027" i="5"/>
  <c r="I3028" i="5"/>
  <c r="I3029" i="5"/>
  <c r="I3030" i="5"/>
  <c r="I3031" i="5"/>
  <c r="I3032" i="5"/>
  <c r="I3033" i="5"/>
  <c r="I3034" i="5"/>
  <c r="I3035" i="5"/>
  <c r="I3036" i="5"/>
  <c r="I3037" i="5"/>
  <c r="I3038" i="5"/>
  <c r="I3039" i="5"/>
  <c r="I3040" i="5"/>
  <c r="I3041" i="5"/>
  <c r="I3042" i="5"/>
  <c r="I3043" i="5"/>
  <c r="I3044" i="5"/>
  <c r="I3045" i="5"/>
  <c r="I3046" i="5"/>
  <c r="I3047" i="5"/>
  <c r="I3048" i="5"/>
  <c r="I3049" i="5"/>
  <c r="I3050" i="5"/>
  <c r="I3051" i="5"/>
  <c r="I3052" i="5"/>
  <c r="I3053" i="5"/>
  <c r="I3054" i="5"/>
  <c r="I3055" i="5"/>
  <c r="I3056" i="5"/>
  <c r="I3057" i="5"/>
  <c r="I3058" i="5"/>
  <c r="I3059" i="5"/>
  <c r="I3060" i="5"/>
  <c r="I3061" i="5"/>
  <c r="I3062" i="5"/>
  <c r="I3063" i="5"/>
  <c r="I3064" i="5"/>
  <c r="I3065" i="5"/>
  <c r="I3066" i="5"/>
  <c r="I3067" i="5"/>
  <c r="I3068" i="5"/>
  <c r="I3069" i="5"/>
  <c r="I3070" i="5"/>
  <c r="I3071" i="5"/>
  <c r="I3072" i="5"/>
  <c r="I3073" i="5"/>
  <c r="I3074" i="5"/>
  <c r="I3075" i="5"/>
  <c r="I3076" i="5"/>
  <c r="I3077" i="5"/>
  <c r="I3078" i="5"/>
  <c r="I3079" i="5"/>
  <c r="I3080" i="5"/>
  <c r="I3081" i="5"/>
  <c r="I3082" i="5"/>
  <c r="I3083" i="5"/>
  <c r="I3084" i="5"/>
  <c r="I3085" i="5"/>
  <c r="I3086" i="5"/>
  <c r="I3087" i="5"/>
  <c r="I3088" i="5"/>
  <c r="I3089" i="5"/>
  <c r="I3090" i="5"/>
  <c r="I3091" i="5"/>
  <c r="I3092" i="5"/>
  <c r="I3093" i="5"/>
  <c r="I3094" i="5"/>
  <c r="I3095" i="5"/>
  <c r="I3096" i="5"/>
  <c r="I3097" i="5"/>
  <c r="I3098" i="5"/>
  <c r="I3099" i="5"/>
  <c r="I3100" i="5"/>
  <c r="I3101" i="5"/>
  <c r="I3102" i="5"/>
  <c r="I3103" i="5"/>
  <c r="I3104" i="5"/>
  <c r="I3105" i="5"/>
  <c r="I3106" i="5"/>
  <c r="I3107" i="5"/>
  <c r="I3108" i="5"/>
  <c r="I3109" i="5"/>
  <c r="I3110" i="5"/>
  <c r="I3111" i="5"/>
  <c r="I3112" i="5"/>
  <c r="I3113" i="5"/>
  <c r="I3114" i="5"/>
  <c r="I3115" i="5"/>
  <c r="I3116" i="5"/>
  <c r="I3117" i="5"/>
  <c r="I3118" i="5"/>
  <c r="I3119" i="5"/>
  <c r="I3121" i="5"/>
  <c r="I3122" i="5"/>
  <c r="I3123" i="5"/>
  <c r="I3124" i="5"/>
  <c r="I3125" i="5"/>
  <c r="I3126" i="5"/>
  <c r="I3127" i="5"/>
  <c r="I3128" i="5"/>
  <c r="I3129" i="5"/>
  <c r="I3130" i="5"/>
  <c r="I3131" i="5"/>
  <c r="I3132" i="5"/>
  <c r="I3133" i="5"/>
  <c r="I3134" i="5"/>
  <c r="I3135" i="5"/>
  <c r="I3136" i="5"/>
  <c r="I3137" i="5"/>
  <c r="I3138" i="5"/>
  <c r="I3139" i="5"/>
  <c r="I3140" i="5"/>
  <c r="I3141" i="5"/>
  <c r="I3142" i="5"/>
  <c r="I3143" i="5"/>
  <c r="I3144" i="5"/>
  <c r="I3145" i="5"/>
  <c r="I3146" i="5"/>
  <c r="I3147" i="5"/>
  <c r="I3148" i="5"/>
  <c r="I3149" i="5"/>
  <c r="I3150" i="5"/>
  <c r="I3151" i="5"/>
  <c r="I3152" i="5"/>
  <c r="I3153" i="5"/>
  <c r="I3154" i="5"/>
  <c r="I3155" i="5"/>
  <c r="I3156" i="5"/>
  <c r="I3157" i="5"/>
  <c r="I3158" i="5"/>
  <c r="I3159" i="5"/>
  <c r="I3160" i="5"/>
  <c r="I3161" i="5"/>
  <c r="I3162" i="5"/>
  <c r="I3163" i="5"/>
  <c r="I3164" i="5"/>
  <c r="I3165" i="5"/>
  <c r="I3166" i="5"/>
  <c r="I3167" i="5"/>
  <c r="I3168" i="5"/>
  <c r="I3169" i="5"/>
  <c r="I3170" i="5"/>
  <c r="I3171" i="5"/>
  <c r="I3172" i="5"/>
  <c r="I3173" i="5"/>
  <c r="I3174" i="5"/>
  <c r="I3175" i="5"/>
  <c r="I3176" i="5"/>
  <c r="I3177" i="5"/>
  <c r="I3178" i="5"/>
  <c r="I3179" i="5"/>
  <c r="I3180" i="5"/>
  <c r="I3181" i="5"/>
  <c r="I3182" i="5"/>
  <c r="I3183" i="5"/>
  <c r="I3184" i="5"/>
  <c r="I3185" i="5"/>
  <c r="I3186" i="5"/>
  <c r="I3187" i="5"/>
  <c r="I3188" i="5"/>
  <c r="I3189" i="5"/>
  <c r="I3190" i="5"/>
  <c r="I3191" i="5"/>
  <c r="I3192" i="5"/>
  <c r="I3193" i="5"/>
  <c r="I3194" i="5"/>
  <c r="I3195" i="5"/>
  <c r="I3196" i="5"/>
  <c r="I3197" i="5"/>
  <c r="I3198" i="5"/>
  <c r="I3199" i="5"/>
  <c r="I3200" i="5"/>
  <c r="I3201" i="5"/>
  <c r="I3202" i="5"/>
  <c r="I3203" i="5"/>
  <c r="I3204" i="5"/>
  <c r="I3205" i="5"/>
  <c r="I3206" i="5"/>
  <c r="I3207" i="5"/>
  <c r="I3208" i="5"/>
  <c r="I3209" i="5"/>
  <c r="I3210" i="5"/>
  <c r="I3211" i="5"/>
  <c r="I3212" i="5"/>
  <c r="I3213" i="5"/>
  <c r="I3214" i="5"/>
  <c r="I3215" i="5"/>
  <c r="I3216" i="5"/>
  <c r="I3217" i="5"/>
  <c r="I3218" i="5"/>
  <c r="I3219" i="5"/>
  <c r="I3220" i="5"/>
  <c r="I3221" i="5"/>
  <c r="I3222" i="5"/>
  <c r="I3223" i="5"/>
  <c r="I3224" i="5"/>
  <c r="I3225" i="5"/>
  <c r="I3226" i="5"/>
  <c r="I3227" i="5"/>
  <c r="I3228" i="5"/>
  <c r="I3229" i="5"/>
  <c r="I3230" i="5"/>
  <c r="I3231" i="5"/>
  <c r="I3232" i="5"/>
  <c r="I3233" i="5"/>
  <c r="I3234" i="5"/>
  <c r="I3235" i="5"/>
  <c r="I3236" i="5"/>
  <c r="I3237" i="5"/>
  <c r="I3238" i="5"/>
  <c r="I3239" i="5"/>
  <c r="I3240" i="5"/>
  <c r="I3241" i="5"/>
  <c r="I3242" i="5"/>
  <c r="I3243" i="5"/>
  <c r="I3244" i="5"/>
  <c r="I3245" i="5"/>
  <c r="I3246" i="5"/>
  <c r="I3247" i="5"/>
  <c r="I3249" i="5"/>
  <c r="I3250" i="5"/>
  <c r="I3251" i="5"/>
  <c r="I3252" i="5"/>
  <c r="I3253" i="5"/>
  <c r="I3254" i="5"/>
  <c r="I3255" i="5"/>
  <c r="I3256" i="5"/>
  <c r="I3257" i="5"/>
  <c r="I3258" i="5"/>
  <c r="I3259" i="5"/>
  <c r="I3260" i="5"/>
  <c r="I3261" i="5"/>
  <c r="I3262" i="5"/>
  <c r="I3263" i="5"/>
  <c r="I3264" i="5"/>
  <c r="I3265" i="5"/>
  <c r="I3266" i="5"/>
  <c r="I3267" i="5"/>
  <c r="I3268" i="5"/>
  <c r="I3269" i="5"/>
  <c r="I3270" i="5"/>
  <c r="I3271" i="5"/>
  <c r="I3272" i="5"/>
  <c r="I3273" i="5"/>
  <c r="I3274" i="5"/>
  <c r="I3275" i="5"/>
  <c r="I3276" i="5"/>
  <c r="I3277" i="5"/>
  <c r="I3278" i="5"/>
  <c r="I3279" i="5"/>
  <c r="I3280" i="5"/>
  <c r="I3281" i="5"/>
  <c r="I3282" i="5"/>
  <c r="I3283" i="5"/>
  <c r="I3284" i="5"/>
  <c r="I3285" i="5"/>
  <c r="I3286" i="5"/>
  <c r="I3287" i="5"/>
  <c r="I3288" i="5"/>
  <c r="I3289" i="5"/>
  <c r="I3290" i="5"/>
  <c r="I3291" i="5"/>
  <c r="I3292" i="5"/>
  <c r="I3293" i="5"/>
  <c r="I3294" i="5"/>
  <c r="I3295" i="5"/>
  <c r="I3296" i="5"/>
  <c r="I3297" i="5"/>
  <c r="I3298" i="5"/>
  <c r="I3299" i="5"/>
  <c r="I3300" i="5"/>
  <c r="I3301" i="5"/>
  <c r="I3302" i="5"/>
  <c r="I3303" i="5"/>
  <c r="I3304" i="5"/>
  <c r="I3305" i="5"/>
  <c r="I3306" i="5"/>
  <c r="I3307" i="5"/>
  <c r="I3308" i="5"/>
  <c r="I3309" i="5"/>
  <c r="I3310" i="5"/>
  <c r="I3311" i="5"/>
  <c r="I3312" i="5"/>
  <c r="I3313" i="5"/>
  <c r="I3314" i="5"/>
  <c r="I3315" i="5"/>
  <c r="I3316" i="5"/>
  <c r="I3317" i="5"/>
  <c r="I3318" i="5"/>
  <c r="I3319" i="5"/>
  <c r="I3320" i="5"/>
  <c r="I3321" i="5"/>
  <c r="I3322" i="5"/>
  <c r="I3323" i="5"/>
  <c r="I3324"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EW44" i="8"/>
  <c r="D28" i="3" s="1"/>
  <c r="O28" i="3" s="1"/>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I586" i="5"/>
  <c r="I587" i="5"/>
  <c r="I588" i="5"/>
  <c r="I589" i="5"/>
  <c r="I590" i="5"/>
  <c r="M1739" i="5"/>
  <c r="P1739" i="5"/>
  <c r="P1742" i="5"/>
  <c r="CX44" i="8"/>
  <c r="L2739" i="5"/>
  <c r="N2739" i="5"/>
  <c r="V2739" i="5"/>
  <c r="S2739" i="5"/>
  <c r="L2740" i="5"/>
  <c r="N2740" i="5"/>
  <c r="V2740" i="5"/>
  <c r="S2740" i="5"/>
  <c r="N1711" i="5"/>
  <c r="AP108" i="9"/>
  <c r="AO108" i="9"/>
  <c r="AN108" i="9"/>
  <c r="AC108" i="9"/>
  <c r="AB108" i="9"/>
  <c r="AA108" i="9"/>
  <c r="Z108" i="9"/>
  <c r="Y108" i="9"/>
  <c r="X108" i="9"/>
  <c r="V108" i="9"/>
  <c r="U108" i="9"/>
  <c r="T108" i="9"/>
  <c r="S108" i="9"/>
  <c r="R108" i="9"/>
  <c r="Q108" i="9"/>
  <c r="P108" i="9"/>
  <c r="O108" i="9"/>
  <c r="N108" i="9"/>
  <c r="M108" i="9"/>
  <c r="L108" i="9"/>
  <c r="AP107" i="9"/>
  <c r="AO107" i="9"/>
  <c r="AN107" i="9"/>
  <c r="AC107" i="9"/>
  <c r="AB107" i="9"/>
  <c r="AA107" i="9"/>
  <c r="Z107" i="9"/>
  <c r="Y107" i="9"/>
  <c r="X107" i="9"/>
  <c r="W107" i="9"/>
  <c r="V107" i="9"/>
  <c r="U107" i="9"/>
  <c r="T107" i="9"/>
  <c r="S107" i="9"/>
  <c r="R107" i="9"/>
  <c r="Q107" i="9"/>
  <c r="P107" i="9"/>
  <c r="O107" i="9"/>
  <c r="N107" i="9"/>
  <c r="M107" i="9"/>
  <c r="L107" i="9"/>
  <c r="W103" i="9"/>
  <c r="BF103" i="9" s="1"/>
  <c r="BG103" i="9" s="1"/>
  <c r="BH103" i="9" s="1"/>
  <c r="BI103" i="9" s="1"/>
  <c r="BJ103" i="9" s="1"/>
  <c r="BK103" i="9" s="1"/>
  <c r="BL103" i="9" s="1"/>
  <c r="BM103" i="9" s="1"/>
  <c r="BN103" i="9" s="1"/>
  <c r="BO103" i="9" s="1"/>
  <c r="BP103" i="9" s="1"/>
  <c r="BQ103" i="9" s="1"/>
  <c r="BR103" i="9" s="1"/>
  <c r="BS103" i="9" s="1"/>
  <c r="BT103" i="9" s="1"/>
  <c r="BU104" i="9" s="1"/>
  <c r="BV104" i="9" s="1"/>
  <c r="H45" i="3" l="1"/>
  <c r="D16" i="18"/>
  <c r="I45" i="3"/>
  <c r="AB45" i="3" s="1"/>
  <c r="J16" i="18"/>
  <c r="R118" i="18" s="1"/>
  <c r="AA45" i="3"/>
  <c r="AC45" i="3" s="1"/>
  <c r="Q45" i="3"/>
  <c r="I16" i="18"/>
  <c r="J45" i="3"/>
  <c r="L45" i="3"/>
  <c r="ES72" i="8"/>
  <c r="ET72" i="8" s="1"/>
  <c r="EW60" i="8"/>
  <c r="EX60" i="8" s="1"/>
  <c r="CW48" i="8"/>
  <c r="CX48" i="8" s="1"/>
  <c r="CU60" i="8"/>
  <c r="CV60" i="8" s="1"/>
  <c r="CU86" i="8"/>
  <c r="CV86" i="8" s="1"/>
  <c r="ES62" i="8"/>
  <c r="ET62" i="8" s="1"/>
  <c r="ES73" i="8"/>
  <c r="ET73" i="8" s="1"/>
  <c r="CW60" i="8"/>
  <c r="CX60" i="8" s="1"/>
  <c r="CW86" i="8"/>
  <c r="CX86" i="8" s="1"/>
  <c r="EW48" i="8"/>
  <c r="EX48" i="8" s="1"/>
  <c r="EW84" i="8"/>
  <c r="EX84" i="8" s="1"/>
  <c r="G28" i="3"/>
  <c r="R28" i="3" s="1"/>
  <c r="W108" i="9"/>
  <c r="J28" i="3"/>
  <c r="CU62" i="8"/>
  <c r="CV62" i="8" s="1"/>
  <c r="CU84" i="8"/>
  <c r="CV84" i="8" s="1"/>
  <c r="EW62" i="8"/>
  <c r="EX62" i="8" s="1"/>
  <c r="EW73" i="8"/>
  <c r="EX73" i="8" s="1"/>
  <c r="EW61" i="8"/>
  <c r="EX61" i="8" s="1"/>
  <c r="CU72" i="8"/>
  <c r="CV72" i="8" s="1"/>
  <c r="CU74" i="8"/>
  <c r="CV74" i="8" s="1"/>
  <c r="ES48" i="8"/>
  <c r="EW86" i="8"/>
  <c r="EX86" i="8" s="1"/>
  <c r="EW49" i="8"/>
  <c r="CW84" i="8"/>
  <c r="CX84" i="8" s="1"/>
  <c r="CW72" i="8"/>
  <c r="CX72" i="8" s="1"/>
  <c r="ES61" i="8"/>
  <c r="ET61" i="8" s="1"/>
  <c r="ES86" i="8"/>
  <c r="ET86" i="8" s="1"/>
  <c r="CW62" i="8"/>
  <c r="CX62" i="8" s="1"/>
  <c r="ES85" i="8"/>
  <c r="ET85" i="8" s="1"/>
  <c r="EW85" i="8"/>
  <c r="EX85" i="8" s="1"/>
  <c r="CU48" i="8"/>
  <c r="CW74" i="8"/>
  <c r="CX74" i="8" s="1"/>
  <c r="ES49" i="8"/>
  <c r="ET49" i="8" s="1"/>
  <c r="ES74" i="8"/>
  <c r="ET74" i="8" s="1"/>
  <c r="EW72" i="8"/>
  <c r="EW74" i="8"/>
  <c r="EX74" i="8" s="1"/>
  <c r="EX44" i="8"/>
  <c r="F28" i="3" s="1"/>
  <c r="EW50" i="8"/>
  <c r="CW44" i="8"/>
  <c r="CW50" i="8" s="1"/>
  <c r="CU50" i="8"/>
  <c r="ES60" i="8"/>
  <c r="ET60" i="8" s="1"/>
  <c r="ES84" i="8"/>
  <c r="ET84" i="8" s="1"/>
  <c r="CU49" i="8"/>
  <c r="CW49" i="8"/>
  <c r="CU61" i="8"/>
  <c r="CV61" i="8" s="1"/>
  <c r="CU73" i="8"/>
  <c r="CV73" i="8" s="1"/>
  <c r="CU85" i="8"/>
  <c r="CV85" i="8" s="1"/>
  <c r="CW61" i="8"/>
  <c r="CX61" i="8" s="1"/>
  <c r="CW73" i="8"/>
  <c r="CX73" i="8" s="1"/>
  <c r="CW85" i="8"/>
  <c r="CX85" i="8" s="1"/>
  <c r="M1742" i="5"/>
  <c r="N1744" i="5"/>
  <c r="O2740" i="5"/>
  <c r="N1743" i="5"/>
  <c r="O2739" i="5"/>
  <c r="T2739" i="5"/>
  <c r="X2739" i="5" s="1"/>
  <c r="W2739" i="5"/>
  <c r="U2739" i="5"/>
  <c r="T2740" i="5"/>
  <c r="X2740" i="5" s="1"/>
  <c r="W2740" i="5"/>
  <c r="U2740" i="5"/>
  <c r="M2739" i="5"/>
  <c r="M2740" i="5"/>
  <c r="J108" i="9"/>
  <c r="J102" i="9"/>
  <c r="C102" i="9" s="1"/>
  <c r="J103" i="9"/>
  <c r="C103" i="9" s="1"/>
  <c r="J107" i="9"/>
  <c r="C107" i="9" s="1"/>
  <c r="H28" i="3" l="1"/>
  <c r="S28" i="3" s="1"/>
  <c r="Q28" i="3"/>
  <c r="EW89" i="8"/>
  <c r="Q118" i="18"/>
  <c r="T118" i="18" s="1"/>
  <c r="E16" i="18"/>
  <c r="S45" i="3"/>
  <c r="U45" i="3" s="1"/>
  <c r="R117" i="18"/>
  <c r="M16" i="18"/>
  <c r="K16" i="18"/>
  <c r="N45" i="3"/>
  <c r="P45" i="3"/>
  <c r="R45" i="3" s="1"/>
  <c r="ES44" i="8"/>
  <c r="D27" i="3" s="1"/>
  <c r="O27" i="3" s="1"/>
  <c r="C11" i="9"/>
  <c r="K45" i="3"/>
  <c r="EW90" i="8"/>
  <c r="ES88" i="8"/>
  <c r="CW89" i="8"/>
  <c r="CU88" i="8"/>
  <c r="CW88" i="8"/>
  <c r="CX88" i="8" s="1"/>
  <c r="EW88" i="8"/>
  <c r="ET48" i="8"/>
  <c r="C108" i="9"/>
  <c r="C13" i="9" s="1"/>
  <c r="C106" i="9"/>
  <c r="D103" i="9"/>
  <c r="BF11" i="9"/>
  <c r="BG11" i="9" s="1"/>
  <c r="BH11" i="9" s="1"/>
  <c r="BI11" i="9" s="1"/>
  <c r="BJ11" i="9" s="1"/>
  <c r="BK11" i="9" s="1"/>
  <c r="BL11" i="9" s="1"/>
  <c r="BM11" i="9" s="1"/>
  <c r="BN11" i="9" s="1"/>
  <c r="BO11" i="9" s="1"/>
  <c r="BP11" i="9" s="1"/>
  <c r="BQ11" i="9" s="1"/>
  <c r="BR11" i="9" s="1"/>
  <c r="BS11" i="9" s="1"/>
  <c r="BT11" i="9" s="1"/>
  <c r="BU12" i="9" s="1"/>
  <c r="BV12" i="9" s="1"/>
  <c r="ES89" i="8"/>
  <c r="ET89" i="8" s="1"/>
  <c r="EX72" i="8"/>
  <c r="EX49" i="8"/>
  <c r="EX89" i="8" s="1"/>
  <c r="CU90" i="8"/>
  <c r="CV48" i="8"/>
  <c r="CV50" i="8"/>
  <c r="EX50" i="8"/>
  <c r="CW90" i="8"/>
  <c r="CX50" i="8"/>
  <c r="CX49" i="8"/>
  <c r="CV49" i="8"/>
  <c r="CU89" i="8"/>
  <c r="Y2739" i="5"/>
  <c r="P2740" i="5"/>
  <c r="P2739" i="5"/>
  <c r="Y2740" i="5"/>
  <c r="J105" i="9"/>
  <c r="C105" i="9" s="1"/>
  <c r="J106" i="9"/>
  <c r="K108" i="9"/>
  <c r="K103" i="9"/>
  <c r="AA45" i="10" l="1"/>
  <c r="X45" i="10" s="1"/>
  <c r="F15" i="27"/>
  <c r="I28" i="3"/>
  <c r="S118" i="18"/>
  <c r="ET88" i="8"/>
  <c r="Q119" i="18"/>
  <c r="F16" i="18"/>
  <c r="H16" i="18" s="1"/>
  <c r="L16" i="18"/>
  <c r="N16" i="18" s="1"/>
  <c r="AE45" i="3" s="1"/>
  <c r="R119" i="18"/>
  <c r="T117" i="18"/>
  <c r="S117" i="18"/>
  <c r="EX90" i="8"/>
  <c r="CV88" i="8"/>
  <c r="EX88" i="8"/>
  <c r="CX89" i="8"/>
  <c r="J27" i="3"/>
  <c r="J45" i="10"/>
  <c r="ES50" i="8"/>
  <c r="ES90" i="8" s="1"/>
  <c r="CV90" i="8"/>
  <c r="K106" i="9"/>
  <c r="ET44" i="8"/>
  <c r="CV89" i="8"/>
  <c r="CX90" i="8"/>
  <c r="F75" i="8"/>
  <c r="E75" i="8"/>
  <c r="F39" i="8"/>
  <c r="E39" i="8"/>
  <c r="IY34" i="8"/>
  <c r="IZ34" i="8" s="1"/>
  <c r="IW34" i="8"/>
  <c r="IX34" i="8" s="1"/>
  <c r="IU34" i="8"/>
  <c r="IV34" i="8" s="1"/>
  <c r="IS34" i="8"/>
  <c r="IT34" i="8" s="1"/>
  <c r="IQ34" i="8"/>
  <c r="IR34" i="8" s="1"/>
  <c r="IO34" i="8"/>
  <c r="IP34" i="8" s="1"/>
  <c r="IM34" i="8"/>
  <c r="IN34" i="8" s="1"/>
  <c r="IK34" i="8"/>
  <c r="IL34" i="8" s="1"/>
  <c r="II34" i="8"/>
  <c r="IJ34" i="8" s="1"/>
  <c r="IG34" i="8"/>
  <c r="IH34" i="8" s="1"/>
  <c r="IE34" i="8"/>
  <c r="IF34" i="8" s="1"/>
  <c r="IC34" i="8"/>
  <c r="ID34" i="8" s="1"/>
  <c r="IA34" i="8"/>
  <c r="IB34" i="8" s="1"/>
  <c r="HY34" i="8"/>
  <c r="HZ34" i="8" s="1"/>
  <c r="HW34" i="8"/>
  <c r="HX34" i="8" s="1"/>
  <c r="HU34" i="8"/>
  <c r="HV34" i="8" s="1"/>
  <c r="HS34" i="8"/>
  <c r="HT34" i="8" s="1"/>
  <c r="HQ34" i="8"/>
  <c r="HR34" i="8" s="1"/>
  <c r="HO34" i="8"/>
  <c r="HP34" i="8" s="1"/>
  <c r="HM34" i="8"/>
  <c r="HN34" i="8" s="1"/>
  <c r="HK34" i="8"/>
  <c r="HL34" i="8" s="1"/>
  <c r="HI34" i="8"/>
  <c r="HJ34" i="8" s="1"/>
  <c r="HG34" i="8"/>
  <c r="HH34" i="8" s="1"/>
  <c r="HE34" i="8"/>
  <c r="HF34" i="8" s="1"/>
  <c r="HC34" i="8"/>
  <c r="HD34" i="8" s="1"/>
  <c r="HA34" i="8"/>
  <c r="HB34" i="8" s="1"/>
  <c r="GY34" i="8"/>
  <c r="GZ34" i="8" s="1"/>
  <c r="GW34" i="8"/>
  <c r="GX34" i="8" s="1"/>
  <c r="GU34" i="8"/>
  <c r="GV34" i="8" s="1"/>
  <c r="GS34" i="8"/>
  <c r="GT34" i="8" s="1"/>
  <c r="GQ34" i="8"/>
  <c r="GR34" i="8" s="1"/>
  <c r="GO34" i="8"/>
  <c r="GP34" i="8" s="1"/>
  <c r="GM34" i="8"/>
  <c r="GN34" i="8" s="1"/>
  <c r="GK34" i="8"/>
  <c r="GL34" i="8" s="1"/>
  <c r="GI34" i="8"/>
  <c r="GJ34" i="8" s="1"/>
  <c r="GG34" i="8"/>
  <c r="GH34" i="8" s="1"/>
  <c r="GE34" i="8"/>
  <c r="GF34" i="8" s="1"/>
  <c r="GC34" i="8"/>
  <c r="GD34" i="8" s="1"/>
  <c r="GA34" i="8"/>
  <c r="GB34" i="8" s="1"/>
  <c r="FY34" i="8"/>
  <c r="FZ34" i="8" s="1"/>
  <c r="FW34" i="8"/>
  <c r="FX34" i="8" s="1"/>
  <c r="FU34" i="8"/>
  <c r="FV34" i="8" s="1"/>
  <c r="FS34" i="8"/>
  <c r="FT34" i="8" s="1"/>
  <c r="FQ34" i="8"/>
  <c r="FR34" i="8" s="1"/>
  <c r="FO34" i="8"/>
  <c r="FP34" i="8" s="1"/>
  <c r="FM34" i="8"/>
  <c r="FN34" i="8" s="1"/>
  <c r="FK34" i="8"/>
  <c r="FL34" i="8" s="1"/>
  <c r="FI34" i="8"/>
  <c r="FJ34" i="8" s="1"/>
  <c r="FG34" i="8"/>
  <c r="FH34" i="8" s="1"/>
  <c r="FE34" i="8"/>
  <c r="FF34" i="8" s="1"/>
  <c r="FC34" i="8"/>
  <c r="FD34" i="8" s="1"/>
  <c r="FA34" i="8"/>
  <c r="FB34" i="8" s="1"/>
  <c r="EY34" i="8"/>
  <c r="EZ34" i="8" s="1"/>
  <c r="EU34" i="8"/>
  <c r="EV34" i="8" s="1"/>
  <c r="EQ34" i="8"/>
  <c r="ER34" i="8" s="1"/>
  <c r="EO34" i="8"/>
  <c r="EP34" i="8" s="1"/>
  <c r="EM34" i="8"/>
  <c r="EN34" i="8" s="1"/>
  <c r="EK34" i="8"/>
  <c r="EL34" i="8" s="1"/>
  <c r="EI34" i="8"/>
  <c r="EJ34" i="8" s="1"/>
  <c r="EG34" i="8"/>
  <c r="EH34" i="8" s="1"/>
  <c r="EE34" i="8"/>
  <c r="EF34" i="8" s="1"/>
  <c r="EC34" i="8"/>
  <c r="ED34" i="8" s="1"/>
  <c r="EA34" i="8"/>
  <c r="EB34" i="8" s="1"/>
  <c r="DY34" i="8"/>
  <c r="DZ34" i="8" s="1"/>
  <c r="DW34" i="8"/>
  <c r="DX34" i="8" s="1"/>
  <c r="DU34" i="8"/>
  <c r="DV34" i="8" s="1"/>
  <c r="DS34" i="8"/>
  <c r="DT34" i="8" s="1"/>
  <c r="DQ34" i="8"/>
  <c r="DR34" i="8" s="1"/>
  <c r="DO34" i="8"/>
  <c r="DP34" i="8" s="1"/>
  <c r="DM34" i="8"/>
  <c r="DN34" i="8" s="1"/>
  <c r="DK34" i="8"/>
  <c r="DL34" i="8" s="1"/>
  <c r="DI34" i="8"/>
  <c r="DJ34" i="8" s="1"/>
  <c r="DG34" i="8"/>
  <c r="DH34" i="8" s="1"/>
  <c r="DE34" i="8"/>
  <c r="DF34" i="8" s="1"/>
  <c r="DC34" i="8"/>
  <c r="DD34" i="8" s="1"/>
  <c r="DA34" i="8"/>
  <c r="DB34" i="8" s="1"/>
  <c r="CY34" i="8"/>
  <c r="CZ34" i="8" s="1"/>
  <c r="CQ34" i="8"/>
  <c r="CR34" i="8" s="1"/>
  <c r="CO34" i="8"/>
  <c r="CP34" i="8" s="1"/>
  <c r="CM34" i="8"/>
  <c r="CN34" i="8" s="1"/>
  <c r="CK34" i="8"/>
  <c r="CL34" i="8" s="1"/>
  <c r="CI34" i="8"/>
  <c r="CJ34" i="8" s="1"/>
  <c r="CG34" i="8"/>
  <c r="CH34" i="8" s="1"/>
  <c r="CE34" i="8"/>
  <c r="CF34" i="8" s="1"/>
  <c r="CC34" i="8"/>
  <c r="CD34" i="8" s="1"/>
  <c r="CA34" i="8"/>
  <c r="CB34" i="8" s="1"/>
  <c r="BY34" i="8"/>
  <c r="BZ34" i="8" s="1"/>
  <c r="BW34" i="8"/>
  <c r="BX34" i="8" s="1"/>
  <c r="BU34" i="8"/>
  <c r="BV34" i="8" s="1"/>
  <c r="BS34" i="8"/>
  <c r="BT34" i="8" s="1"/>
  <c r="BQ34" i="8"/>
  <c r="BR34" i="8" s="1"/>
  <c r="BO34" i="8"/>
  <c r="BP34" i="8" s="1"/>
  <c r="BM34" i="8"/>
  <c r="BN34" i="8" s="1"/>
  <c r="BK34" i="8"/>
  <c r="BL34" i="8" s="1"/>
  <c r="BI34" i="8"/>
  <c r="BJ34" i="8" s="1"/>
  <c r="BG34" i="8"/>
  <c r="BH34" i="8" s="1"/>
  <c r="BE34" i="8"/>
  <c r="BF34" i="8" s="1"/>
  <c r="BC34" i="8"/>
  <c r="BD34" i="8" s="1"/>
  <c r="BA34" i="8"/>
  <c r="BB34" i="8" s="1"/>
  <c r="AY34" i="8"/>
  <c r="AZ34" i="8" s="1"/>
  <c r="AW34" i="8"/>
  <c r="AX34" i="8" s="1"/>
  <c r="AU34" i="8"/>
  <c r="AV34" i="8" s="1"/>
  <c r="AS34" i="8"/>
  <c r="AT34" i="8" s="1"/>
  <c r="AQ34" i="8"/>
  <c r="AR34" i="8" s="1"/>
  <c r="AO34" i="8"/>
  <c r="AP34" i="8" s="1"/>
  <c r="AM34" i="8"/>
  <c r="AN34" i="8" s="1"/>
  <c r="AK34" i="8"/>
  <c r="AL34" i="8" s="1"/>
  <c r="AI34" i="8"/>
  <c r="AJ34" i="8" s="1"/>
  <c r="AG34" i="8"/>
  <c r="AH34" i="8" s="1"/>
  <c r="AE34" i="8"/>
  <c r="AF34" i="8" s="1"/>
  <c r="AC34" i="8"/>
  <c r="AD34" i="8" s="1"/>
  <c r="AA34" i="8"/>
  <c r="AB34" i="8" s="1"/>
  <c r="Y34" i="8"/>
  <c r="Z34" i="8" s="1"/>
  <c r="W34" i="8"/>
  <c r="X34" i="8" s="1"/>
  <c r="U34" i="8"/>
  <c r="V34" i="8" s="1"/>
  <c r="S34" i="8"/>
  <c r="T34" i="8" s="1"/>
  <c r="Q34" i="8"/>
  <c r="R34" i="8" s="1"/>
  <c r="O34" i="8"/>
  <c r="P34" i="8" s="1"/>
  <c r="M34" i="8"/>
  <c r="N34" i="8" s="1"/>
  <c r="K34" i="8"/>
  <c r="L34" i="8" s="1"/>
  <c r="I34" i="8"/>
  <c r="J34" i="8" s="1"/>
  <c r="G34" i="8"/>
  <c r="H34" i="8" s="1"/>
  <c r="E34" i="8"/>
  <c r="F34" i="8" s="1"/>
  <c r="IY33" i="8"/>
  <c r="IZ33" i="8" s="1"/>
  <c r="IW33" i="8"/>
  <c r="IX33" i="8" s="1"/>
  <c r="IU33" i="8"/>
  <c r="IV33" i="8" s="1"/>
  <c r="IS33" i="8"/>
  <c r="IT33" i="8" s="1"/>
  <c r="IQ33" i="8"/>
  <c r="IR33" i="8" s="1"/>
  <c r="IO33" i="8"/>
  <c r="IP33" i="8" s="1"/>
  <c r="IM33" i="8"/>
  <c r="IN33" i="8" s="1"/>
  <c r="IK33" i="8"/>
  <c r="IL33" i="8" s="1"/>
  <c r="II33" i="8"/>
  <c r="IJ33" i="8" s="1"/>
  <c r="IG33" i="8"/>
  <c r="IH33" i="8" s="1"/>
  <c r="IE33" i="8"/>
  <c r="IF33" i="8" s="1"/>
  <c r="IC33" i="8"/>
  <c r="ID33" i="8" s="1"/>
  <c r="IA33" i="8"/>
  <c r="IB33" i="8" s="1"/>
  <c r="HY33" i="8"/>
  <c r="HZ33" i="8" s="1"/>
  <c r="HW33" i="8"/>
  <c r="HX33" i="8" s="1"/>
  <c r="HU33" i="8"/>
  <c r="HV33" i="8" s="1"/>
  <c r="HS33" i="8"/>
  <c r="HT33" i="8" s="1"/>
  <c r="HQ33" i="8"/>
  <c r="HR33" i="8" s="1"/>
  <c r="HO33" i="8"/>
  <c r="HP33" i="8" s="1"/>
  <c r="HM33" i="8"/>
  <c r="HN33" i="8" s="1"/>
  <c r="HK33" i="8"/>
  <c r="HL33" i="8" s="1"/>
  <c r="HI33" i="8"/>
  <c r="HJ33" i="8" s="1"/>
  <c r="HG33" i="8"/>
  <c r="HH33" i="8" s="1"/>
  <c r="HE33" i="8"/>
  <c r="HF33" i="8" s="1"/>
  <c r="HC33" i="8"/>
  <c r="HD33" i="8" s="1"/>
  <c r="HA33" i="8"/>
  <c r="HB33" i="8" s="1"/>
  <c r="GY33" i="8"/>
  <c r="GZ33" i="8" s="1"/>
  <c r="GW33" i="8"/>
  <c r="GX33" i="8" s="1"/>
  <c r="GU33" i="8"/>
  <c r="GV33" i="8" s="1"/>
  <c r="GS33" i="8"/>
  <c r="GT33" i="8" s="1"/>
  <c r="GQ33" i="8"/>
  <c r="GR33" i="8" s="1"/>
  <c r="GO33" i="8"/>
  <c r="GP33" i="8" s="1"/>
  <c r="GM33" i="8"/>
  <c r="GN33" i="8" s="1"/>
  <c r="GK33" i="8"/>
  <c r="GL33" i="8" s="1"/>
  <c r="GI33" i="8"/>
  <c r="GJ33" i="8" s="1"/>
  <c r="GG33" i="8"/>
  <c r="GH33" i="8" s="1"/>
  <c r="GE33" i="8"/>
  <c r="GF33" i="8" s="1"/>
  <c r="GC33" i="8"/>
  <c r="GD33" i="8" s="1"/>
  <c r="GA33" i="8"/>
  <c r="GB33" i="8" s="1"/>
  <c r="FY33" i="8"/>
  <c r="FZ33" i="8" s="1"/>
  <c r="FW33" i="8"/>
  <c r="FX33" i="8" s="1"/>
  <c r="FU33" i="8"/>
  <c r="FV33" i="8" s="1"/>
  <c r="FS33" i="8"/>
  <c r="FT33" i="8" s="1"/>
  <c r="FQ33" i="8"/>
  <c r="FR33" i="8" s="1"/>
  <c r="FO33" i="8"/>
  <c r="FP33" i="8" s="1"/>
  <c r="FM33" i="8"/>
  <c r="FN33" i="8" s="1"/>
  <c r="FK33" i="8"/>
  <c r="FL33" i="8" s="1"/>
  <c r="FI33" i="8"/>
  <c r="FJ33" i="8" s="1"/>
  <c r="FG33" i="8"/>
  <c r="FH33" i="8" s="1"/>
  <c r="FE33" i="8"/>
  <c r="FF33" i="8" s="1"/>
  <c r="FC33" i="8"/>
  <c r="FD33" i="8" s="1"/>
  <c r="FA33" i="8"/>
  <c r="FB33" i="8" s="1"/>
  <c r="EY33" i="8"/>
  <c r="EZ33" i="8" s="1"/>
  <c r="EU33" i="8"/>
  <c r="EV33" i="8" s="1"/>
  <c r="EQ33" i="8"/>
  <c r="ER33" i="8" s="1"/>
  <c r="EO33" i="8"/>
  <c r="EP33" i="8" s="1"/>
  <c r="EM33" i="8"/>
  <c r="EN33" i="8" s="1"/>
  <c r="EK33" i="8"/>
  <c r="EL33" i="8" s="1"/>
  <c r="EI33" i="8"/>
  <c r="EJ33" i="8" s="1"/>
  <c r="EG33" i="8"/>
  <c r="EH33" i="8" s="1"/>
  <c r="EE33" i="8"/>
  <c r="EF33" i="8" s="1"/>
  <c r="EC33" i="8"/>
  <c r="ED33" i="8" s="1"/>
  <c r="EA33" i="8"/>
  <c r="EB33" i="8" s="1"/>
  <c r="DY33" i="8"/>
  <c r="DZ33" i="8" s="1"/>
  <c r="DW33" i="8"/>
  <c r="DX33" i="8" s="1"/>
  <c r="DU33" i="8"/>
  <c r="DV33" i="8" s="1"/>
  <c r="DS33" i="8"/>
  <c r="DT33" i="8" s="1"/>
  <c r="DQ33" i="8"/>
  <c r="DR33" i="8" s="1"/>
  <c r="DO33" i="8"/>
  <c r="DP33" i="8" s="1"/>
  <c r="DM33" i="8"/>
  <c r="DN33" i="8" s="1"/>
  <c r="DK33" i="8"/>
  <c r="DL33" i="8" s="1"/>
  <c r="DI33" i="8"/>
  <c r="DJ33" i="8" s="1"/>
  <c r="DG33" i="8"/>
  <c r="DH33" i="8" s="1"/>
  <c r="DE33" i="8"/>
  <c r="DF33" i="8" s="1"/>
  <c r="DC33" i="8"/>
  <c r="DD33" i="8" s="1"/>
  <c r="DA33" i="8"/>
  <c r="DB33" i="8" s="1"/>
  <c r="CY33" i="8"/>
  <c r="CZ33" i="8" s="1"/>
  <c r="CQ33" i="8"/>
  <c r="CR33" i="8" s="1"/>
  <c r="CO33" i="8"/>
  <c r="CP33" i="8" s="1"/>
  <c r="CM33" i="8"/>
  <c r="CN33" i="8" s="1"/>
  <c r="CK33" i="8"/>
  <c r="CL33" i="8" s="1"/>
  <c r="CI33" i="8"/>
  <c r="CJ33" i="8" s="1"/>
  <c r="CG33" i="8"/>
  <c r="CH33" i="8" s="1"/>
  <c r="CE33" i="8"/>
  <c r="CF33" i="8" s="1"/>
  <c r="CC33" i="8"/>
  <c r="CD33" i="8" s="1"/>
  <c r="CA33" i="8"/>
  <c r="CB33" i="8" s="1"/>
  <c r="BY33" i="8"/>
  <c r="BZ33" i="8" s="1"/>
  <c r="BW33" i="8"/>
  <c r="BX33" i="8" s="1"/>
  <c r="BU33" i="8"/>
  <c r="BV33" i="8" s="1"/>
  <c r="BS33" i="8"/>
  <c r="BT33" i="8" s="1"/>
  <c r="BQ33" i="8"/>
  <c r="BR33" i="8" s="1"/>
  <c r="BO33" i="8"/>
  <c r="BP33" i="8" s="1"/>
  <c r="BM33" i="8"/>
  <c r="BN33" i="8" s="1"/>
  <c r="BK33" i="8"/>
  <c r="BL33" i="8" s="1"/>
  <c r="BI33" i="8"/>
  <c r="BJ33" i="8" s="1"/>
  <c r="BG33" i="8"/>
  <c r="BH33" i="8" s="1"/>
  <c r="BE33" i="8"/>
  <c r="BF33" i="8" s="1"/>
  <c r="BC33" i="8"/>
  <c r="BD33" i="8" s="1"/>
  <c r="BA33" i="8"/>
  <c r="BB33" i="8" s="1"/>
  <c r="AY33" i="8"/>
  <c r="AZ33" i="8" s="1"/>
  <c r="AW33" i="8"/>
  <c r="AX33" i="8" s="1"/>
  <c r="AU33" i="8"/>
  <c r="AV33" i="8" s="1"/>
  <c r="AS33" i="8"/>
  <c r="AT33" i="8" s="1"/>
  <c r="AQ33" i="8"/>
  <c r="AR33" i="8" s="1"/>
  <c r="AO33" i="8"/>
  <c r="AP33" i="8" s="1"/>
  <c r="AM33" i="8"/>
  <c r="AN33" i="8" s="1"/>
  <c r="AK33" i="8"/>
  <c r="AL33" i="8" s="1"/>
  <c r="AI33" i="8"/>
  <c r="AJ33" i="8" s="1"/>
  <c r="AG33" i="8"/>
  <c r="AH33" i="8" s="1"/>
  <c r="AE33" i="8"/>
  <c r="AF33" i="8" s="1"/>
  <c r="AC33" i="8"/>
  <c r="AD33" i="8" s="1"/>
  <c r="AA33" i="8"/>
  <c r="AB33" i="8" s="1"/>
  <c r="Y33" i="8"/>
  <c r="Z33" i="8" s="1"/>
  <c r="W33" i="8"/>
  <c r="X33" i="8" s="1"/>
  <c r="U33" i="8"/>
  <c r="V33" i="8" s="1"/>
  <c r="S33" i="8"/>
  <c r="T33" i="8" s="1"/>
  <c r="Q33" i="8"/>
  <c r="R33" i="8" s="1"/>
  <c r="O33" i="8"/>
  <c r="P33" i="8" s="1"/>
  <c r="M33" i="8"/>
  <c r="N33" i="8" s="1"/>
  <c r="K33" i="8"/>
  <c r="L33" i="8" s="1"/>
  <c r="I33" i="8"/>
  <c r="J33" i="8" s="1"/>
  <c r="G33" i="8"/>
  <c r="H33" i="8" s="1"/>
  <c r="E33" i="8"/>
  <c r="F33" i="8" s="1"/>
  <c r="IY26" i="8"/>
  <c r="IZ26" i="8" s="1"/>
  <c r="IW26" i="8"/>
  <c r="IX26" i="8" s="1"/>
  <c r="IU26" i="8"/>
  <c r="IV26" i="8" s="1"/>
  <c r="IS26" i="8"/>
  <c r="IT26" i="8" s="1"/>
  <c r="IQ26" i="8"/>
  <c r="IR26" i="8" s="1"/>
  <c r="IO26" i="8"/>
  <c r="IP26" i="8" s="1"/>
  <c r="IM26" i="8"/>
  <c r="IN26" i="8" s="1"/>
  <c r="IK26" i="8"/>
  <c r="IL26" i="8" s="1"/>
  <c r="II26" i="8"/>
  <c r="IJ26" i="8" s="1"/>
  <c r="IG26" i="8"/>
  <c r="IH26" i="8" s="1"/>
  <c r="IE26" i="8"/>
  <c r="IF26" i="8" s="1"/>
  <c r="IC26" i="8"/>
  <c r="ID26" i="8" s="1"/>
  <c r="IA26" i="8"/>
  <c r="IB26" i="8" s="1"/>
  <c r="HY26" i="8"/>
  <c r="HZ26" i="8" s="1"/>
  <c r="HW26" i="8"/>
  <c r="HX26" i="8" s="1"/>
  <c r="HU26" i="8"/>
  <c r="HV26" i="8" s="1"/>
  <c r="HS26" i="8"/>
  <c r="HT26" i="8" s="1"/>
  <c r="HQ26" i="8"/>
  <c r="HR26" i="8" s="1"/>
  <c r="HO26" i="8"/>
  <c r="HP26" i="8" s="1"/>
  <c r="HM26" i="8"/>
  <c r="HN26" i="8" s="1"/>
  <c r="HK26" i="8"/>
  <c r="HL26" i="8" s="1"/>
  <c r="HI26" i="8"/>
  <c r="HJ26" i="8" s="1"/>
  <c r="HG26" i="8"/>
  <c r="HH26" i="8" s="1"/>
  <c r="HE26" i="8"/>
  <c r="HF26" i="8" s="1"/>
  <c r="HC26" i="8"/>
  <c r="HD26" i="8" s="1"/>
  <c r="HA26" i="8"/>
  <c r="HB26" i="8" s="1"/>
  <c r="GY26" i="8"/>
  <c r="GZ26" i="8" s="1"/>
  <c r="GW26" i="8"/>
  <c r="GX26" i="8" s="1"/>
  <c r="GU26" i="8"/>
  <c r="GV26" i="8" s="1"/>
  <c r="GS26" i="8"/>
  <c r="GT26" i="8" s="1"/>
  <c r="GQ26" i="8"/>
  <c r="GR26" i="8" s="1"/>
  <c r="GO26" i="8"/>
  <c r="GP26" i="8" s="1"/>
  <c r="GM26" i="8"/>
  <c r="GN26" i="8" s="1"/>
  <c r="GK26" i="8"/>
  <c r="GL26" i="8" s="1"/>
  <c r="GI26" i="8"/>
  <c r="GJ26" i="8" s="1"/>
  <c r="GG26" i="8"/>
  <c r="GH26" i="8" s="1"/>
  <c r="GE26" i="8"/>
  <c r="GF26" i="8" s="1"/>
  <c r="GC26" i="8"/>
  <c r="GD26" i="8" s="1"/>
  <c r="GA26" i="8"/>
  <c r="GB26" i="8" s="1"/>
  <c r="FY26" i="8"/>
  <c r="FZ26" i="8" s="1"/>
  <c r="FW26" i="8"/>
  <c r="FX26" i="8" s="1"/>
  <c r="FU26" i="8"/>
  <c r="FV26" i="8" s="1"/>
  <c r="FS26" i="8"/>
  <c r="FT26" i="8" s="1"/>
  <c r="FQ26" i="8"/>
  <c r="FR26" i="8" s="1"/>
  <c r="FO26" i="8"/>
  <c r="FP26" i="8" s="1"/>
  <c r="FM26" i="8"/>
  <c r="FN26" i="8" s="1"/>
  <c r="FK26" i="8"/>
  <c r="FL26" i="8" s="1"/>
  <c r="FI26" i="8"/>
  <c r="FJ26" i="8" s="1"/>
  <c r="FG26" i="8"/>
  <c r="FH26" i="8" s="1"/>
  <c r="FE26" i="8"/>
  <c r="FF26" i="8" s="1"/>
  <c r="FC26" i="8"/>
  <c r="FD26" i="8" s="1"/>
  <c r="FA26" i="8"/>
  <c r="FB26" i="8" s="1"/>
  <c r="EY26" i="8"/>
  <c r="EZ26" i="8" s="1"/>
  <c r="EU26" i="8"/>
  <c r="EV26" i="8" s="1"/>
  <c r="EQ26" i="8"/>
  <c r="ER26" i="8" s="1"/>
  <c r="EO26" i="8"/>
  <c r="EP26" i="8" s="1"/>
  <c r="EM26" i="8"/>
  <c r="EN26" i="8" s="1"/>
  <c r="EK26" i="8"/>
  <c r="EL26" i="8" s="1"/>
  <c r="EI26" i="8"/>
  <c r="EJ26" i="8" s="1"/>
  <c r="EG26" i="8"/>
  <c r="EH26" i="8" s="1"/>
  <c r="EE26" i="8"/>
  <c r="EF26" i="8" s="1"/>
  <c r="EC26" i="8"/>
  <c r="ED26" i="8" s="1"/>
  <c r="EA26" i="8"/>
  <c r="EB26" i="8" s="1"/>
  <c r="DY26" i="8"/>
  <c r="DZ26" i="8" s="1"/>
  <c r="DW26" i="8"/>
  <c r="DX26" i="8" s="1"/>
  <c r="DU26" i="8"/>
  <c r="DV26" i="8" s="1"/>
  <c r="DS26" i="8"/>
  <c r="DT26" i="8" s="1"/>
  <c r="DQ26" i="8"/>
  <c r="DR26" i="8" s="1"/>
  <c r="DO26" i="8"/>
  <c r="DP26" i="8" s="1"/>
  <c r="DM26" i="8"/>
  <c r="DN26" i="8" s="1"/>
  <c r="DK26" i="8"/>
  <c r="DL26" i="8" s="1"/>
  <c r="DI26" i="8"/>
  <c r="DJ26" i="8" s="1"/>
  <c r="DG26" i="8"/>
  <c r="DH26" i="8" s="1"/>
  <c r="DE26" i="8"/>
  <c r="DF26" i="8" s="1"/>
  <c r="DC26" i="8"/>
  <c r="DD26" i="8" s="1"/>
  <c r="DA26" i="8"/>
  <c r="DB26" i="8" s="1"/>
  <c r="CY26" i="8"/>
  <c r="CZ26" i="8" s="1"/>
  <c r="CQ26" i="8"/>
  <c r="CR26" i="8" s="1"/>
  <c r="CO26" i="8"/>
  <c r="CP26" i="8" s="1"/>
  <c r="CM26" i="8"/>
  <c r="CN26" i="8" s="1"/>
  <c r="CK26" i="8"/>
  <c r="CL26" i="8" s="1"/>
  <c r="CI26" i="8"/>
  <c r="CJ26" i="8" s="1"/>
  <c r="CG26" i="8"/>
  <c r="CH26" i="8" s="1"/>
  <c r="CE26" i="8"/>
  <c r="CF26" i="8" s="1"/>
  <c r="CC26" i="8"/>
  <c r="CD26" i="8" s="1"/>
  <c r="CA26" i="8"/>
  <c r="CB26" i="8" s="1"/>
  <c r="BY26" i="8"/>
  <c r="BZ26" i="8" s="1"/>
  <c r="BW26" i="8"/>
  <c r="BX26" i="8" s="1"/>
  <c r="BU26" i="8"/>
  <c r="BV26" i="8" s="1"/>
  <c r="BS26" i="8"/>
  <c r="BT26" i="8" s="1"/>
  <c r="BQ26" i="8"/>
  <c r="BR26" i="8" s="1"/>
  <c r="BO26" i="8"/>
  <c r="BP26" i="8" s="1"/>
  <c r="BM26" i="8"/>
  <c r="BN26" i="8" s="1"/>
  <c r="BK26" i="8"/>
  <c r="BL26" i="8" s="1"/>
  <c r="BI26" i="8"/>
  <c r="BJ26" i="8" s="1"/>
  <c r="BG26" i="8"/>
  <c r="BH26" i="8" s="1"/>
  <c r="BE26" i="8"/>
  <c r="BF26" i="8" s="1"/>
  <c r="BC26" i="8"/>
  <c r="BD26" i="8" s="1"/>
  <c r="BA26" i="8"/>
  <c r="BB26" i="8" s="1"/>
  <c r="AY26" i="8"/>
  <c r="AZ26" i="8" s="1"/>
  <c r="AW26" i="8"/>
  <c r="AX26" i="8" s="1"/>
  <c r="AU26" i="8"/>
  <c r="AV26" i="8" s="1"/>
  <c r="AS26" i="8"/>
  <c r="AT26" i="8" s="1"/>
  <c r="AQ26" i="8"/>
  <c r="AR26" i="8" s="1"/>
  <c r="AO26" i="8"/>
  <c r="AP26" i="8" s="1"/>
  <c r="AM26" i="8"/>
  <c r="AN26" i="8" s="1"/>
  <c r="AK26" i="8"/>
  <c r="AL26" i="8" s="1"/>
  <c r="AI26" i="8"/>
  <c r="AJ26" i="8" s="1"/>
  <c r="AG26" i="8"/>
  <c r="AH26" i="8" s="1"/>
  <c r="AE26" i="8"/>
  <c r="AF26" i="8" s="1"/>
  <c r="AC26" i="8"/>
  <c r="AD26" i="8" s="1"/>
  <c r="AA26" i="8"/>
  <c r="AB26" i="8" s="1"/>
  <c r="Y26" i="8"/>
  <c r="Z26" i="8" s="1"/>
  <c r="W26" i="8"/>
  <c r="X26" i="8" s="1"/>
  <c r="U26" i="8"/>
  <c r="V26" i="8" s="1"/>
  <c r="S26" i="8"/>
  <c r="T26" i="8" s="1"/>
  <c r="Q26" i="8"/>
  <c r="R26" i="8" s="1"/>
  <c r="O26" i="8"/>
  <c r="P26" i="8" s="1"/>
  <c r="M26" i="8"/>
  <c r="N26" i="8" s="1"/>
  <c r="K26" i="8"/>
  <c r="L26" i="8" s="1"/>
  <c r="I26" i="8"/>
  <c r="J26" i="8" s="1"/>
  <c r="G26" i="8"/>
  <c r="H26" i="8" s="1"/>
  <c r="E26" i="8"/>
  <c r="F26" i="8" s="1"/>
  <c r="IY25" i="8"/>
  <c r="IZ25" i="8" s="1"/>
  <c r="IW25" i="8"/>
  <c r="IX25" i="8" s="1"/>
  <c r="IU25" i="8"/>
  <c r="IV25" i="8" s="1"/>
  <c r="IS25" i="8"/>
  <c r="IT25" i="8" s="1"/>
  <c r="IQ25" i="8"/>
  <c r="IR25" i="8" s="1"/>
  <c r="IO25" i="8"/>
  <c r="IP25" i="8" s="1"/>
  <c r="IM25" i="8"/>
  <c r="IN25" i="8" s="1"/>
  <c r="IK25" i="8"/>
  <c r="IL25" i="8" s="1"/>
  <c r="II25" i="8"/>
  <c r="IJ25" i="8" s="1"/>
  <c r="IG25" i="8"/>
  <c r="IH25" i="8" s="1"/>
  <c r="IE25" i="8"/>
  <c r="IF25" i="8" s="1"/>
  <c r="IC25" i="8"/>
  <c r="ID25" i="8" s="1"/>
  <c r="IA25" i="8"/>
  <c r="IB25" i="8" s="1"/>
  <c r="HY25" i="8"/>
  <c r="HZ25" i="8" s="1"/>
  <c r="HW25" i="8"/>
  <c r="HX25" i="8" s="1"/>
  <c r="HU25" i="8"/>
  <c r="HV25" i="8" s="1"/>
  <c r="HS25" i="8"/>
  <c r="HT25" i="8" s="1"/>
  <c r="HQ25" i="8"/>
  <c r="HR25" i="8" s="1"/>
  <c r="HO25" i="8"/>
  <c r="HP25" i="8" s="1"/>
  <c r="HM25" i="8"/>
  <c r="HN25" i="8" s="1"/>
  <c r="HK25" i="8"/>
  <c r="HL25" i="8" s="1"/>
  <c r="HI25" i="8"/>
  <c r="HJ25" i="8" s="1"/>
  <c r="HG25" i="8"/>
  <c r="HH25" i="8" s="1"/>
  <c r="HE25" i="8"/>
  <c r="HF25" i="8" s="1"/>
  <c r="HC25" i="8"/>
  <c r="HD25" i="8" s="1"/>
  <c r="HA25" i="8"/>
  <c r="HB25" i="8" s="1"/>
  <c r="GY25" i="8"/>
  <c r="GZ25" i="8" s="1"/>
  <c r="GW25" i="8"/>
  <c r="GX25" i="8" s="1"/>
  <c r="GU25" i="8"/>
  <c r="GV25" i="8" s="1"/>
  <c r="GS25" i="8"/>
  <c r="GT25" i="8" s="1"/>
  <c r="GQ25" i="8"/>
  <c r="GR25" i="8" s="1"/>
  <c r="GO25" i="8"/>
  <c r="GP25" i="8" s="1"/>
  <c r="GM25" i="8"/>
  <c r="GN25" i="8" s="1"/>
  <c r="GK25" i="8"/>
  <c r="GL25" i="8" s="1"/>
  <c r="GI25" i="8"/>
  <c r="GJ25" i="8" s="1"/>
  <c r="GG25" i="8"/>
  <c r="GH25" i="8" s="1"/>
  <c r="GE25" i="8"/>
  <c r="GF25" i="8" s="1"/>
  <c r="GC25" i="8"/>
  <c r="GD25" i="8" s="1"/>
  <c r="GA25" i="8"/>
  <c r="GB25" i="8" s="1"/>
  <c r="FY25" i="8"/>
  <c r="FZ25" i="8" s="1"/>
  <c r="FW25" i="8"/>
  <c r="FX25" i="8" s="1"/>
  <c r="FU25" i="8"/>
  <c r="FV25" i="8" s="1"/>
  <c r="FS25" i="8"/>
  <c r="FT25" i="8" s="1"/>
  <c r="FQ25" i="8"/>
  <c r="FR25" i="8" s="1"/>
  <c r="FO25" i="8"/>
  <c r="FP25" i="8" s="1"/>
  <c r="FM25" i="8"/>
  <c r="FN25" i="8" s="1"/>
  <c r="FK25" i="8"/>
  <c r="FL25" i="8" s="1"/>
  <c r="FI25" i="8"/>
  <c r="FJ25" i="8" s="1"/>
  <c r="FG25" i="8"/>
  <c r="FH25" i="8" s="1"/>
  <c r="FE25" i="8"/>
  <c r="FF25" i="8" s="1"/>
  <c r="FC25" i="8"/>
  <c r="FD25" i="8" s="1"/>
  <c r="FA25" i="8"/>
  <c r="FB25" i="8" s="1"/>
  <c r="EY25" i="8"/>
  <c r="EZ25" i="8" s="1"/>
  <c r="EU25" i="8"/>
  <c r="EV25" i="8" s="1"/>
  <c r="EQ25" i="8"/>
  <c r="ER25" i="8" s="1"/>
  <c r="EO25" i="8"/>
  <c r="EP25" i="8" s="1"/>
  <c r="EM25" i="8"/>
  <c r="EN25" i="8" s="1"/>
  <c r="EK25" i="8"/>
  <c r="EL25" i="8" s="1"/>
  <c r="EI25" i="8"/>
  <c r="EJ25" i="8" s="1"/>
  <c r="EG25" i="8"/>
  <c r="EH25" i="8" s="1"/>
  <c r="EE25" i="8"/>
  <c r="EF25" i="8" s="1"/>
  <c r="EC25" i="8"/>
  <c r="ED25" i="8" s="1"/>
  <c r="EA25" i="8"/>
  <c r="EB25" i="8" s="1"/>
  <c r="DY25" i="8"/>
  <c r="DZ25" i="8" s="1"/>
  <c r="DW25" i="8"/>
  <c r="DX25" i="8" s="1"/>
  <c r="DU25" i="8"/>
  <c r="DV25" i="8" s="1"/>
  <c r="DS25" i="8"/>
  <c r="DT25" i="8" s="1"/>
  <c r="DQ25" i="8"/>
  <c r="DR25" i="8" s="1"/>
  <c r="DO25" i="8"/>
  <c r="DP25" i="8" s="1"/>
  <c r="DM25" i="8"/>
  <c r="DN25" i="8" s="1"/>
  <c r="DK25" i="8"/>
  <c r="DL25" i="8" s="1"/>
  <c r="DI25" i="8"/>
  <c r="DJ25" i="8" s="1"/>
  <c r="DG25" i="8"/>
  <c r="DH25" i="8" s="1"/>
  <c r="DE25" i="8"/>
  <c r="DF25" i="8" s="1"/>
  <c r="DC25" i="8"/>
  <c r="DD25" i="8" s="1"/>
  <c r="DA25" i="8"/>
  <c r="DB25" i="8" s="1"/>
  <c r="CY25" i="8"/>
  <c r="CZ25" i="8" s="1"/>
  <c r="CQ25" i="8"/>
  <c r="CR25" i="8" s="1"/>
  <c r="CO25" i="8"/>
  <c r="CP25" i="8" s="1"/>
  <c r="CM25" i="8"/>
  <c r="CN25" i="8" s="1"/>
  <c r="CK25" i="8"/>
  <c r="CL25" i="8" s="1"/>
  <c r="CI25" i="8"/>
  <c r="CJ25" i="8" s="1"/>
  <c r="CG25" i="8"/>
  <c r="CH25" i="8" s="1"/>
  <c r="CE25" i="8"/>
  <c r="CF25" i="8" s="1"/>
  <c r="CC25" i="8"/>
  <c r="CD25" i="8" s="1"/>
  <c r="CA25" i="8"/>
  <c r="CB25" i="8" s="1"/>
  <c r="BY25" i="8"/>
  <c r="BZ25" i="8" s="1"/>
  <c r="BW25" i="8"/>
  <c r="BX25" i="8" s="1"/>
  <c r="BU25" i="8"/>
  <c r="BV25" i="8" s="1"/>
  <c r="BS25" i="8"/>
  <c r="BT25" i="8" s="1"/>
  <c r="BQ25" i="8"/>
  <c r="BR25" i="8" s="1"/>
  <c r="BO25" i="8"/>
  <c r="BP25" i="8" s="1"/>
  <c r="BM25" i="8"/>
  <c r="BN25" i="8" s="1"/>
  <c r="BK25" i="8"/>
  <c r="BL25" i="8" s="1"/>
  <c r="BI25" i="8"/>
  <c r="BJ25" i="8" s="1"/>
  <c r="BG25" i="8"/>
  <c r="BH25" i="8" s="1"/>
  <c r="BE25" i="8"/>
  <c r="BF25" i="8" s="1"/>
  <c r="BC25" i="8"/>
  <c r="BD25" i="8" s="1"/>
  <c r="BA25" i="8"/>
  <c r="BB25" i="8" s="1"/>
  <c r="AY25" i="8"/>
  <c r="AZ25" i="8" s="1"/>
  <c r="AW25" i="8"/>
  <c r="AX25" i="8" s="1"/>
  <c r="AU25" i="8"/>
  <c r="AV25" i="8" s="1"/>
  <c r="AS25" i="8"/>
  <c r="AT25" i="8" s="1"/>
  <c r="AQ25" i="8"/>
  <c r="AR25" i="8" s="1"/>
  <c r="AO25" i="8"/>
  <c r="AP25" i="8" s="1"/>
  <c r="AM25" i="8"/>
  <c r="AN25" i="8" s="1"/>
  <c r="AK25" i="8"/>
  <c r="AL25" i="8" s="1"/>
  <c r="AI25" i="8"/>
  <c r="AJ25" i="8" s="1"/>
  <c r="AG25" i="8"/>
  <c r="AH25" i="8" s="1"/>
  <c r="AE25" i="8"/>
  <c r="AF25" i="8" s="1"/>
  <c r="AC25" i="8"/>
  <c r="AD25" i="8" s="1"/>
  <c r="AA25" i="8"/>
  <c r="AB25" i="8" s="1"/>
  <c r="Y25" i="8"/>
  <c r="Z25" i="8" s="1"/>
  <c r="W25" i="8"/>
  <c r="X25" i="8" s="1"/>
  <c r="U25" i="8"/>
  <c r="V25" i="8" s="1"/>
  <c r="S25" i="8"/>
  <c r="T25" i="8" s="1"/>
  <c r="Q25" i="8"/>
  <c r="R25" i="8" s="1"/>
  <c r="O25" i="8"/>
  <c r="P25" i="8" s="1"/>
  <c r="M25" i="8"/>
  <c r="N25" i="8" s="1"/>
  <c r="K25" i="8"/>
  <c r="L25" i="8" s="1"/>
  <c r="I25" i="8"/>
  <c r="J25" i="8" s="1"/>
  <c r="G25" i="8"/>
  <c r="H25" i="8" s="1"/>
  <c r="E25" i="8"/>
  <c r="F25" i="8" s="1"/>
  <c r="IY18" i="8"/>
  <c r="IZ18" i="8" s="1"/>
  <c r="IW18" i="8"/>
  <c r="IX18" i="8" s="1"/>
  <c r="IU18" i="8"/>
  <c r="IV18" i="8" s="1"/>
  <c r="IS18" i="8"/>
  <c r="IT18" i="8" s="1"/>
  <c r="IQ18" i="8"/>
  <c r="IR18" i="8" s="1"/>
  <c r="IO18" i="8"/>
  <c r="IP18" i="8" s="1"/>
  <c r="IM18" i="8"/>
  <c r="IN18" i="8" s="1"/>
  <c r="IK18" i="8"/>
  <c r="IL18" i="8" s="1"/>
  <c r="II18" i="8"/>
  <c r="IJ18" i="8" s="1"/>
  <c r="IG18" i="8"/>
  <c r="IH18" i="8" s="1"/>
  <c r="IE18" i="8"/>
  <c r="IF18" i="8" s="1"/>
  <c r="IC18" i="8"/>
  <c r="ID18" i="8" s="1"/>
  <c r="IA18" i="8"/>
  <c r="IB18" i="8" s="1"/>
  <c r="HY18" i="8"/>
  <c r="HZ18" i="8" s="1"/>
  <c r="HW18" i="8"/>
  <c r="HX18" i="8" s="1"/>
  <c r="HU18" i="8"/>
  <c r="HV18" i="8" s="1"/>
  <c r="HS18" i="8"/>
  <c r="HT18" i="8" s="1"/>
  <c r="HQ18" i="8"/>
  <c r="HR18" i="8" s="1"/>
  <c r="HO18" i="8"/>
  <c r="HP18" i="8" s="1"/>
  <c r="HM18" i="8"/>
  <c r="HN18" i="8" s="1"/>
  <c r="HK18" i="8"/>
  <c r="HL18" i="8" s="1"/>
  <c r="HI18" i="8"/>
  <c r="HJ18" i="8" s="1"/>
  <c r="HG18" i="8"/>
  <c r="HH18" i="8" s="1"/>
  <c r="HE18" i="8"/>
  <c r="HF18" i="8" s="1"/>
  <c r="HC18" i="8"/>
  <c r="HD18" i="8" s="1"/>
  <c r="HA18" i="8"/>
  <c r="HB18" i="8" s="1"/>
  <c r="GY18" i="8"/>
  <c r="GZ18" i="8" s="1"/>
  <c r="GW18" i="8"/>
  <c r="GX18" i="8" s="1"/>
  <c r="GU18" i="8"/>
  <c r="GV18" i="8" s="1"/>
  <c r="GS18" i="8"/>
  <c r="GT18" i="8" s="1"/>
  <c r="GQ18" i="8"/>
  <c r="GR18" i="8" s="1"/>
  <c r="GO18" i="8"/>
  <c r="GP18" i="8" s="1"/>
  <c r="GM18" i="8"/>
  <c r="GN18" i="8" s="1"/>
  <c r="GK18" i="8"/>
  <c r="GL18" i="8" s="1"/>
  <c r="GI18" i="8"/>
  <c r="GJ18" i="8" s="1"/>
  <c r="GG18" i="8"/>
  <c r="GH18" i="8" s="1"/>
  <c r="GE18" i="8"/>
  <c r="GF18" i="8" s="1"/>
  <c r="GC18" i="8"/>
  <c r="GD18" i="8" s="1"/>
  <c r="GA18" i="8"/>
  <c r="GB18" i="8" s="1"/>
  <c r="FY18" i="8"/>
  <c r="FZ18" i="8" s="1"/>
  <c r="FW18" i="8"/>
  <c r="FX18" i="8" s="1"/>
  <c r="FU18" i="8"/>
  <c r="FV18" i="8" s="1"/>
  <c r="FS18" i="8"/>
  <c r="FT18" i="8" s="1"/>
  <c r="FQ18" i="8"/>
  <c r="FR18" i="8" s="1"/>
  <c r="FO18" i="8"/>
  <c r="FP18" i="8" s="1"/>
  <c r="FM18" i="8"/>
  <c r="FN18" i="8" s="1"/>
  <c r="FK18" i="8"/>
  <c r="FL18" i="8" s="1"/>
  <c r="FI18" i="8"/>
  <c r="FJ18" i="8" s="1"/>
  <c r="FG18" i="8"/>
  <c r="FH18" i="8" s="1"/>
  <c r="FE18" i="8"/>
  <c r="FF18" i="8" s="1"/>
  <c r="FC18" i="8"/>
  <c r="FD18" i="8" s="1"/>
  <c r="FA18" i="8"/>
  <c r="FB18" i="8" s="1"/>
  <c r="EY18" i="8"/>
  <c r="EZ18" i="8" s="1"/>
  <c r="EU18" i="8"/>
  <c r="EV18" i="8" s="1"/>
  <c r="EQ18" i="8"/>
  <c r="ER18" i="8" s="1"/>
  <c r="EO18" i="8"/>
  <c r="EP18" i="8" s="1"/>
  <c r="EM18" i="8"/>
  <c r="EN18" i="8" s="1"/>
  <c r="EK18" i="8"/>
  <c r="EL18" i="8" s="1"/>
  <c r="EI18" i="8"/>
  <c r="EJ18" i="8" s="1"/>
  <c r="EG18" i="8"/>
  <c r="EH18" i="8" s="1"/>
  <c r="EE18" i="8"/>
  <c r="EF18" i="8" s="1"/>
  <c r="EC18" i="8"/>
  <c r="ED18" i="8" s="1"/>
  <c r="EA18" i="8"/>
  <c r="EB18" i="8" s="1"/>
  <c r="DY18" i="8"/>
  <c r="DZ18" i="8" s="1"/>
  <c r="DW18" i="8"/>
  <c r="DX18" i="8" s="1"/>
  <c r="DU18" i="8"/>
  <c r="DV18" i="8" s="1"/>
  <c r="DS18" i="8"/>
  <c r="DT18" i="8" s="1"/>
  <c r="DQ18" i="8"/>
  <c r="DR18" i="8" s="1"/>
  <c r="DO18" i="8"/>
  <c r="DP18" i="8" s="1"/>
  <c r="DM18" i="8"/>
  <c r="DN18" i="8" s="1"/>
  <c r="DK18" i="8"/>
  <c r="DL18" i="8" s="1"/>
  <c r="DI18" i="8"/>
  <c r="DJ18" i="8" s="1"/>
  <c r="DG18" i="8"/>
  <c r="DH18" i="8" s="1"/>
  <c r="DE18" i="8"/>
  <c r="DF18" i="8" s="1"/>
  <c r="DC18" i="8"/>
  <c r="DD18" i="8" s="1"/>
  <c r="DA18" i="8"/>
  <c r="DB18" i="8" s="1"/>
  <c r="CY18" i="8"/>
  <c r="CZ18" i="8" s="1"/>
  <c r="CQ18" i="8"/>
  <c r="CR18" i="8" s="1"/>
  <c r="CO18" i="8"/>
  <c r="CP18" i="8" s="1"/>
  <c r="CM18" i="8"/>
  <c r="CN18" i="8" s="1"/>
  <c r="CK18" i="8"/>
  <c r="CL18" i="8" s="1"/>
  <c r="CI18" i="8"/>
  <c r="CJ18" i="8" s="1"/>
  <c r="CG18" i="8"/>
  <c r="CH18" i="8" s="1"/>
  <c r="CE18" i="8"/>
  <c r="CF18" i="8" s="1"/>
  <c r="CC18" i="8"/>
  <c r="CD18" i="8" s="1"/>
  <c r="CA18" i="8"/>
  <c r="CB18" i="8" s="1"/>
  <c r="BY18" i="8"/>
  <c r="BZ18" i="8" s="1"/>
  <c r="BW18" i="8"/>
  <c r="BX18" i="8" s="1"/>
  <c r="BU18" i="8"/>
  <c r="BV18" i="8" s="1"/>
  <c r="BS18" i="8"/>
  <c r="BT18" i="8" s="1"/>
  <c r="BQ18" i="8"/>
  <c r="BR18" i="8" s="1"/>
  <c r="BO18" i="8"/>
  <c r="BP18" i="8" s="1"/>
  <c r="BM18" i="8"/>
  <c r="BN18" i="8" s="1"/>
  <c r="BK18" i="8"/>
  <c r="BL18" i="8" s="1"/>
  <c r="BI18" i="8"/>
  <c r="BJ18" i="8" s="1"/>
  <c r="BG18" i="8"/>
  <c r="BH18" i="8" s="1"/>
  <c r="BE18" i="8"/>
  <c r="BF18" i="8" s="1"/>
  <c r="BC18" i="8"/>
  <c r="BD18" i="8" s="1"/>
  <c r="BA18" i="8"/>
  <c r="BB18" i="8" s="1"/>
  <c r="AY18" i="8"/>
  <c r="AZ18" i="8" s="1"/>
  <c r="AW18" i="8"/>
  <c r="AX18" i="8" s="1"/>
  <c r="AU18" i="8"/>
  <c r="AV18" i="8" s="1"/>
  <c r="AS18" i="8"/>
  <c r="AT18" i="8" s="1"/>
  <c r="AQ18" i="8"/>
  <c r="AR18" i="8" s="1"/>
  <c r="AO18" i="8"/>
  <c r="AP18" i="8" s="1"/>
  <c r="AM18" i="8"/>
  <c r="AN18" i="8" s="1"/>
  <c r="AK18" i="8"/>
  <c r="AL18" i="8" s="1"/>
  <c r="AI18" i="8"/>
  <c r="AJ18" i="8" s="1"/>
  <c r="AG18" i="8"/>
  <c r="AH18" i="8" s="1"/>
  <c r="AE18" i="8"/>
  <c r="AF18" i="8" s="1"/>
  <c r="AC18" i="8"/>
  <c r="AD18" i="8" s="1"/>
  <c r="AA18" i="8"/>
  <c r="AB18" i="8" s="1"/>
  <c r="Y18" i="8"/>
  <c r="Z18" i="8" s="1"/>
  <c r="W18" i="8"/>
  <c r="X18" i="8" s="1"/>
  <c r="U18" i="8"/>
  <c r="V18" i="8" s="1"/>
  <c r="S18" i="8"/>
  <c r="T18" i="8" s="1"/>
  <c r="Q18" i="8"/>
  <c r="R18" i="8" s="1"/>
  <c r="O18" i="8"/>
  <c r="P18" i="8" s="1"/>
  <c r="M18" i="8"/>
  <c r="N18" i="8" s="1"/>
  <c r="K18" i="8"/>
  <c r="L18" i="8" s="1"/>
  <c r="I18" i="8"/>
  <c r="J18" i="8" s="1"/>
  <c r="G18" i="8"/>
  <c r="H18" i="8" s="1"/>
  <c r="E18" i="8"/>
  <c r="F18" i="8" s="1"/>
  <c r="IY17" i="8"/>
  <c r="IZ17" i="8" s="1"/>
  <c r="IW17" i="8"/>
  <c r="IX17" i="8" s="1"/>
  <c r="IU17" i="8"/>
  <c r="IV17" i="8" s="1"/>
  <c r="IS17" i="8"/>
  <c r="IT17" i="8" s="1"/>
  <c r="IQ17" i="8"/>
  <c r="IR17" i="8" s="1"/>
  <c r="IO17" i="8"/>
  <c r="IP17" i="8" s="1"/>
  <c r="IM17" i="8"/>
  <c r="IN17" i="8" s="1"/>
  <c r="IK17" i="8"/>
  <c r="IL17" i="8" s="1"/>
  <c r="II17" i="8"/>
  <c r="IJ17" i="8" s="1"/>
  <c r="IG17" i="8"/>
  <c r="IH17" i="8" s="1"/>
  <c r="IE17" i="8"/>
  <c r="IF17" i="8" s="1"/>
  <c r="IC17" i="8"/>
  <c r="ID17" i="8" s="1"/>
  <c r="IA17" i="8"/>
  <c r="IB17" i="8" s="1"/>
  <c r="HY17" i="8"/>
  <c r="HZ17" i="8" s="1"/>
  <c r="HW17" i="8"/>
  <c r="HX17" i="8" s="1"/>
  <c r="HU17" i="8"/>
  <c r="HV17" i="8" s="1"/>
  <c r="HS17" i="8"/>
  <c r="HT17" i="8" s="1"/>
  <c r="HQ17" i="8"/>
  <c r="HR17" i="8" s="1"/>
  <c r="HO17" i="8"/>
  <c r="HP17" i="8" s="1"/>
  <c r="HM17" i="8"/>
  <c r="HN17" i="8" s="1"/>
  <c r="HK17" i="8"/>
  <c r="HL17" i="8" s="1"/>
  <c r="HI17" i="8"/>
  <c r="HJ17" i="8" s="1"/>
  <c r="HG17" i="8"/>
  <c r="HH17" i="8" s="1"/>
  <c r="HE17" i="8"/>
  <c r="HF17" i="8" s="1"/>
  <c r="HC17" i="8"/>
  <c r="HD17" i="8" s="1"/>
  <c r="HA17" i="8"/>
  <c r="HB17" i="8" s="1"/>
  <c r="GY17" i="8"/>
  <c r="GZ17" i="8" s="1"/>
  <c r="GW17" i="8"/>
  <c r="GX17" i="8" s="1"/>
  <c r="GU17" i="8"/>
  <c r="GV17" i="8" s="1"/>
  <c r="GS17" i="8"/>
  <c r="GT17" i="8" s="1"/>
  <c r="GQ17" i="8"/>
  <c r="GR17" i="8" s="1"/>
  <c r="GO17" i="8"/>
  <c r="GP17" i="8" s="1"/>
  <c r="GM17" i="8"/>
  <c r="GN17" i="8" s="1"/>
  <c r="GK17" i="8"/>
  <c r="GL17" i="8" s="1"/>
  <c r="GI17" i="8"/>
  <c r="GJ17" i="8" s="1"/>
  <c r="GG17" i="8"/>
  <c r="GH17" i="8" s="1"/>
  <c r="GE17" i="8"/>
  <c r="GF17" i="8" s="1"/>
  <c r="GC17" i="8"/>
  <c r="GD17" i="8" s="1"/>
  <c r="GA17" i="8"/>
  <c r="GB17" i="8" s="1"/>
  <c r="FY17" i="8"/>
  <c r="FZ17" i="8" s="1"/>
  <c r="FW17" i="8"/>
  <c r="FX17" i="8" s="1"/>
  <c r="FU17" i="8"/>
  <c r="FV17" i="8" s="1"/>
  <c r="FS17" i="8"/>
  <c r="FT17" i="8" s="1"/>
  <c r="FQ17" i="8"/>
  <c r="FR17" i="8" s="1"/>
  <c r="FO17" i="8"/>
  <c r="FP17" i="8" s="1"/>
  <c r="FM17" i="8"/>
  <c r="FN17" i="8" s="1"/>
  <c r="FK17" i="8"/>
  <c r="FL17" i="8" s="1"/>
  <c r="FI17" i="8"/>
  <c r="FJ17" i="8" s="1"/>
  <c r="FG17" i="8"/>
  <c r="FH17" i="8" s="1"/>
  <c r="FE17" i="8"/>
  <c r="FF17" i="8" s="1"/>
  <c r="FC17" i="8"/>
  <c r="FD17" i="8" s="1"/>
  <c r="FA17" i="8"/>
  <c r="FB17" i="8" s="1"/>
  <c r="EY17" i="8"/>
  <c r="EZ17" i="8" s="1"/>
  <c r="EU17" i="8"/>
  <c r="EV17" i="8" s="1"/>
  <c r="EQ17" i="8"/>
  <c r="ER17" i="8" s="1"/>
  <c r="EO17" i="8"/>
  <c r="EP17" i="8" s="1"/>
  <c r="EM17" i="8"/>
  <c r="EN17" i="8" s="1"/>
  <c r="EK17" i="8"/>
  <c r="EL17" i="8" s="1"/>
  <c r="EI17" i="8"/>
  <c r="EJ17" i="8" s="1"/>
  <c r="EG17" i="8"/>
  <c r="EH17" i="8" s="1"/>
  <c r="EE17" i="8"/>
  <c r="EF17" i="8" s="1"/>
  <c r="EC17" i="8"/>
  <c r="ED17" i="8" s="1"/>
  <c r="EA17" i="8"/>
  <c r="EB17" i="8" s="1"/>
  <c r="DY17" i="8"/>
  <c r="DZ17" i="8" s="1"/>
  <c r="DW17" i="8"/>
  <c r="DX17" i="8" s="1"/>
  <c r="DU17" i="8"/>
  <c r="DV17" i="8" s="1"/>
  <c r="DS17" i="8"/>
  <c r="DT17" i="8" s="1"/>
  <c r="DQ17" i="8"/>
  <c r="DR17" i="8" s="1"/>
  <c r="DO17" i="8"/>
  <c r="DP17" i="8" s="1"/>
  <c r="DM17" i="8"/>
  <c r="DN17" i="8" s="1"/>
  <c r="DK17" i="8"/>
  <c r="DL17" i="8" s="1"/>
  <c r="DI17" i="8"/>
  <c r="DJ17" i="8" s="1"/>
  <c r="DG17" i="8"/>
  <c r="DH17" i="8" s="1"/>
  <c r="DE17" i="8"/>
  <c r="DF17" i="8" s="1"/>
  <c r="DC17" i="8"/>
  <c r="DD17" i="8" s="1"/>
  <c r="DA17" i="8"/>
  <c r="DB17" i="8" s="1"/>
  <c r="CY17" i="8"/>
  <c r="CZ17" i="8" s="1"/>
  <c r="CQ17" i="8"/>
  <c r="CR17" i="8" s="1"/>
  <c r="CO17" i="8"/>
  <c r="CP17" i="8" s="1"/>
  <c r="CM17" i="8"/>
  <c r="CN17" i="8" s="1"/>
  <c r="CK17" i="8"/>
  <c r="CL17" i="8" s="1"/>
  <c r="CI17" i="8"/>
  <c r="CJ17" i="8" s="1"/>
  <c r="CG17" i="8"/>
  <c r="CH17" i="8" s="1"/>
  <c r="CE17" i="8"/>
  <c r="CF17" i="8" s="1"/>
  <c r="CC17" i="8"/>
  <c r="CD17" i="8" s="1"/>
  <c r="CA17" i="8"/>
  <c r="CB17" i="8" s="1"/>
  <c r="BY17" i="8"/>
  <c r="BZ17" i="8" s="1"/>
  <c r="BW17" i="8"/>
  <c r="BX17" i="8" s="1"/>
  <c r="BU17" i="8"/>
  <c r="BV17" i="8" s="1"/>
  <c r="BS17" i="8"/>
  <c r="BT17" i="8" s="1"/>
  <c r="BQ17" i="8"/>
  <c r="BR17" i="8" s="1"/>
  <c r="BO17" i="8"/>
  <c r="BP17" i="8" s="1"/>
  <c r="BM17" i="8"/>
  <c r="BN17" i="8" s="1"/>
  <c r="BK17" i="8"/>
  <c r="BL17" i="8" s="1"/>
  <c r="BI17" i="8"/>
  <c r="BJ17" i="8" s="1"/>
  <c r="BG17" i="8"/>
  <c r="BH17" i="8" s="1"/>
  <c r="BE17" i="8"/>
  <c r="BF17" i="8" s="1"/>
  <c r="BC17" i="8"/>
  <c r="BD17" i="8" s="1"/>
  <c r="BA17" i="8"/>
  <c r="BB17" i="8" s="1"/>
  <c r="AY17" i="8"/>
  <c r="AZ17" i="8" s="1"/>
  <c r="AW17" i="8"/>
  <c r="AX17" i="8" s="1"/>
  <c r="AU17" i="8"/>
  <c r="AV17" i="8" s="1"/>
  <c r="AS17" i="8"/>
  <c r="AT17" i="8" s="1"/>
  <c r="AQ17" i="8"/>
  <c r="AR17" i="8" s="1"/>
  <c r="AO17" i="8"/>
  <c r="AP17" i="8" s="1"/>
  <c r="AM17" i="8"/>
  <c r="AN17" i="8" s="1"/>
  <c r="AK17" i="8"/>
  <c r="AL17" i="8" s="1"/>
  <c r="AI17" i="8"/>
  <c r="AJ17" i="8" s="1"/>
  <c r="AG17" i="8"/>
  <c r="AH17" i="8" s="1"/>
  <c r="AE17" i="8"/>
  <c r="AF17" i="8" s="1"/>
  <c r="AC17" i="8"/>
  <c r="AD17" i="8" s="1"/>
  <c r="AA17" i="8"/>
  <c r="AB17" i="8" s="1"/>
  <c r="Y17" i="8"/>
  <c r="Z17" i="8" s="1"/>
  <c r="W17" i="8"/>
  <c r="X17" i="8" s="1"/>
  <c r="U17" i="8"/>
  <c r="V17" i="8" s="1"/>
  <c r="S17" i="8"/>
  <c r="T17" i="8" s="1"/>
  <c r="Q17" i="8"/>
  <c r="R17" i="8" s="1"/>
  <c r="O17" i="8"/>
  <c r="P17" i="8" s="1"/>
  <c r="M17" i="8"/>
  <c r="N17" i="8" s="1"/>
  <c r="K17" i="8"/>
  <c r="L17" i="8" s="1"/>
  <c r="I17" i="8"/>
  <c r="J17" i="8" s="1"/>
  <c r="G17" i="8"/>
  <c r="H17" i="8" s="1"/>
  <c r="E17" i="8"/>
  <c r="F17" i="8" s="1"/>
  <c r="S9" i="8"/>
  <c r="T9" i="8" s="1"/>
  <c r="U9" i="8"/>
  <c r="V9" i="8" s="1"/>
  <c r="W9" i="8"/>
  <c r="X9" i="8" s="1"/>
  <c r="Y9" i="8"/>
  <c r="Z9" i="8" s="1"/>
  <c r="AA9" i="8"/>
  <c r="AB9" i="8" s="1"/>
  <c r="AC9" i="8"/>
  <c r="AD9" i="8" s="1"/>
  <c r="AE9" i="8"/>
  <c r="AF9" i="8" s="1"/>
  <c r="AG9" i="8"/>
  <c r="AH9" i="8" s="1"/>
  <c r="AI9" i="8"/>
  <c r="AJ9" i="8" s="1"/>
  <c r="AK9" i="8"/>
  <c r="AL9" i="8" s="1"/>
  <c r="AM9" i="8"/>
  <c r="AN9" i="8" s="1"/>
  <c r="AO9" i="8"/>
  <c r="AP9" i="8" s="1"/>
  <c r="AQ9" i="8"/>
  <c r="AR9" i="8" s="1"/>
  <c r="AS9" i="8"/>
  <c r="AT9" i="8" s="1"/>
  <c r="AU9" i="8"/>
  <c r="AV9" i="8" s="1"/>
  <c r="AW9" i="8"/>
  <c r="AX9" i="8" s="1"/>
  <c r="AY9" i="8"/>
  <c r="AZ9" i="8" s="1"/>
  <c r="BA9" i="8"/>
  <c r="BB9" i="8" s="1"/>
  <c r="BC9" i="8"/>
  <c r="BD9" i="8"/>
  <c r="BE9" i="8"/>
  <c r="BF9" i="8" s="1"/>
  <c r="BG9" i="8"/>
  <c r="BH9" i="8" s="1"/>
  <c r="BI9" i="8"/>
  <c r="BJ9" i="8" s="1"/>
  <c r="BK9" i="8"/>
  <c r="BL9" i="8" s="1"/>
  <c r="BM9" i="8"/>
  <c r="BN9" i="8" s="1"/>
  <c r="BO9" i="8"/>
  <c r="BP9" i="8" s="1"/>
  <c r="BQ9" i="8"/>
  <c r="BR9" i="8" s="1"/>
  <c r="BS9" i="8"/>
  <c r="BT9" i="8" s="1"/>
  <c r="BU9" i="8"/>
  <c r="BV9" i="8" s="1"/>
  <c r="BW9" i="8"/>
  <c r="BX9" i="8" s="1"/>
  <c r="BY9" i="8"/>
  <c r="BZ9" i="8" s="1"/>
  <c r="CA9" i="8"/>
  <c r="CB9" i="8" s="1"/>
  <c r="CC9" i="8"/>
  <c r="CD9" i="8" s="1"/>
  <c r="CE9" i="8"/>
  <c r="CF9" i="8" s="1"/>
  <c r="CG9" i="8"/>
  <c r="CH9" i="8" s="1"/>
  <c r="CI9" i="8"/>
  <c r="CJ9" i="8" s="1"/>
  <c r="CK9" i="8"/>
  <c r="CL9" i="8" s="1"/>
  <c r="CM9" i="8"/>
  <c r="CN9" i="8" s="1"/>
  <c r="CO9" i="8"/>
  <c r="CP9" i="8" s="1"/>
  <c r="CQ9" i="8"/>
  <c r="CR9" i="8"/>
  <c r="CY9" i="8"/>
  <c r="CZ9" i="8" s="1"/>
  <c r="DA9" i="8"/>
  <c r="DB9" i="8" s="1"/>
  <c r="DC9" i="8"/>
  <c r="DD9" i="8" s="1"/>
  <c r="DE9" i="8"/>
  <c r="DF9" i="8" s="1"/>
  <c r="DG9" i="8"/>
  <c r="DH9" i="8" s="1"/>
  <c r="DI9" i="8"/>
  <c r="DJ9" i="8"/>
  <c r="DK9" i="8"/>
  <c r="DL9" i="8" s="1"/>
  <c r="DM9" i="8"/>
  <c r="DN9" i="8" s="1"/>
  <c r="DO9" i="8"/>
  <c r="DP9" i="8" s="1"/>
  <c r="DQ9" i="8"/>
  <c r="DR9" i="8" s="1"/>
  <c r="DS9" i="8"/>
  <c r="DT9" i="8" s="1"/>
  <c r="DU9" i="8"/>
  <c r="DV9" i="8" s="1"/>
  <c r="DW9" i="8"/>
  <c r="DX9" i="8" s="1"/>
  <c r="DY9" i="8"/>
  <c r="DZ9" i="8" s="1"/>
  <c r="EA9" i="8"/>
  <c r="EB9" i="8"/>
  <c r="EC9" i="8"/>
  <c r="ED9" i="8"/>
  <c r="EE9" i="8"/>
  <c r="EF9" i="8" s="1"/>
  <c r="EG9" i="8"/>
  <c r="EH9" i="8" s="1"/>
  <c r="EI9" i="8"/>
  <c r="EJ9" i="8" s="1"/>
  <c r="EK9" i="8"/>
  <c r="EL9" i="8" s="1"/>
  <c r="EM9" i="8"/>
  <c r="EN9" i="8" s="1"/>
  <c r="EO9" i="8"/>
  <c r="EP9" i="8" s="1"/>
  <c r="EQ9" i="8"/>
  <c r="ER9" i="8" s="1"/>
  <c r="EU9" i="8"/>
  <c r="EV9" i="8" s="1"/>
  <c r="EY9" i="8"/>
  <c r="EZ9" i="8" s="1"/>
  <c r="FA9" i="8"/>
  <c r="FB9" i="8" s="1"/>
  <c r="FC9" i="8"/>
  <c r="FD9" i="8" s="1"/>
  <c r="FE9" i="8"/>
  <c r="FF9" i="8"/>
  <c r="FG9" i="8"/>
  <c r="FH9" i="8" s="1"/>
  <c r="FI9" i="8"/>
  <c r="FJ9" i="8" s="1"/>
  <c r="FK9" i="8"/>
  <c r="FL9" i="8" s="1"/>
  <c r="FM9" i="8"/>
  <c r="FN9" i="8" s="1"/>
  <c r="FO9" i="8"/>
  <c r="FP9" i="8" s="1"/>
  <c r="FQ9" i="8"/>
  <c r="FR9" i="8" s="1"/>
  <c r="FS9" i="8"/>
  <c r="FT9" i="8" s="1"/>
  <c r="FU9" i="8"/>
  <c r="FV9" i="8" s="1"/>
  <c r="FW9" i="8"/>
  <c r="FX9" i="8" s="1"/>
  <c r="FY9" i="8"/>
  <c r="FZ9" i="8" s="1"/>
  <c r="GA9" i="8"/>
  <c r="GB9" i="8" s="1"/>
  <c r="GC9" i="8"/>
  <c r="GD9" i="8" s="1"/>
  <c r="GE9" i="8"/>
  <c r="GF9" i="8" s="1"/>
  <c r="GG9" i="8"/>
  <c r="GH9" i="8" s="1"/>
  <c r="GI9" i="8"/>
  <c r="GJ9" i="8" s="1"/>
  <c r="GK9" i="8"/>
  <c r="GL9" i="8" s="1"/>
  <c r="GM9" i="8"/>
  <c r="GN9" i="8" s="1"/>
  <c r="GO9" i="8"/>
  <c r="GP9" i="8" s="1"/>
  <c r="GQ9" i="8"/>
  <c r="GR9" i="8"/>
  <c r="GS9" i="8"/>
  <c r="GT9" i="8" s="1"/>
  <c r="GU9" i="8"/>
  <c r="GV9" i="8" s="1"/>
  <c r="GW9" i="8"/>
  <c r="GX9" i="8" s="1"/>
  <c r="GY9" i="8"/>
  <c r="GZ9" i="8" s="1"/>
  <c r="HA9" i="8"/>
  <c r="HB9" i="8" s="1"/>
  <c r="HC9" i="8"/>
  <c r="HD9" i="8" s="1"/>
  <c r="HE9" i="8"/>
  <c r="HF9" i="8"/>
  <c r="HG9" i="8"/>
  <c r="HH9" i="8"/>
  <c r="HI9" i="8"/>
  <c r="HJ9" i="8"/>
  <c r="HK9" i="8"/>
  <c r="HL9" i="8" s="1"/>
  <c r="HM9" i="8"/>
  <c r="HN9" i="8" s="1"/>
  <c r="HO9" i="8"/>
  <c r="HP9" i="8" s="1"/>
  <c r="HQ9" i="8"/>
  <c r="HR9" i="8" s="1"/>
  <c r="HS9" i="8"/>
  <c r="HT9" i="8" s="1"/>
  <c r="HU9" i="8"/>
  <c r="HV9" i="8" s="1"/>
  <c r="HW9" i="8"/>
  <c r="HX9" i="8" s="1"/>
  <c r="HY9" i="8"/>
  <c r="HZ9" i="8" s="1"/>
  <c r="IA9" i="8"/>
  <c r="IB9" i="8" s="1"/>
  <c r="IC9" i="8"/>
  <c r="ID9" i="8" s="1"/>
  <c r="IE9" i="8"/>
  <c r="IF9" i="8" s="1"/>
  <c r="IG9" i="8"/>
  <c r="IH9" i="8" s="1"/>
  <c r="II9" i="8"/>
  <c r="IJ9" i="8"/>
  <c r="IK9" i="8"/>
  <c r="IL9" i="8" s="1"/>
  <c r="IM9" i="8"/>
  <c r="IN9" i="8" s="1"/>
  <c r="IO9" i="8"/>
  <c r="IP9" i="8" s="1"/>
  <c r="IQ9" i="8"/>
  <c r="IR9" i="8" s="1"/>
  <c r="IS9" i="8"/>
  <c r="IT9" i="8" s="1"/>
  <c r="IU9" i="8"/>
  <c r="IV9" i="8" s="1"/>
  <c r="IW9" i="8"/>
  <c r="IX9" i="8" s="1"/>
  <c r="IY9" i="8"/>
  <c r="IZ9" i="8" s="1"/>
  <c r="S10" i="8"/>
  <c r="T10" i="8" s="1"/>
  <c r="U10" i="8"/>
  <c r="V10" i="8" s="1"/>
  <c r="W10" i="8"/>
  <c r="X10" i="8" s="1"/>
  <c r="Y10" i="8"/>
  <c r="Z10" i="8" s="1"/>
  <c r="AA10" i="8"/>
  <c r="AB10" i="8" s="1"/>
  <c r="AC10" i="8"/>
  <c r="AD10" i="8" s="1"/>
  <c r="AE10" i="8"/>
  <c r="AF10" i="8" s="1"/>
  <c r="AG10" i="8"/>
  <c r="AH10" i="8" s="1"/>
  <c r="AI10" i="8"/>
  <c r="AJ10" i="8" s="1"/>
  <c r="AK10" i="8"/>
  <c r="AL10" i="8" s="1"/>
  <c r="AM10" i="8"/>
  <c r="AN10" i="8"/>
  <c r="AO10" i="8"/>
  <c r="AP10" i="8" s="1"/>
  <c r="AQ10" i="8"/>
  <c r="AR10" i="8" s="1"/>
  <c r="AS10" i="8"/>
  <c r="AT10" i="8" s="1"/>
  <c r="AU10" i="8"/>
  <c r="AV10" i="8" s="1"/>
  <c r="AW10" i="8"/>
  <c r="AX10" i="8" s="1"/>
  <c r="AY10" i="8"/>
  <c r="AZ10" i="8" s="1"/>
  <c r="BA10" i="8"/>
  <c r="BB10" i="8" s="1"/>
  <c r="BC10" i="8"/>
  <c r="BD10" i="8" s="1"/>
  <c r="BE10" i="8"/>
  <c r="BF10" i="8" s="1"/>
  <c r="BG10" i="8"/>
  <c r="BH10" i="8" s="1"/>
  <c r="BI10" i="8"/>
  <c r="BJ10" i="8" s="1"/>
  <c r="BK10" i="8"/>
  <c r="BL10" i="8" s="1"/>
  <c r="BM10" i="8"/>
  <c r="BN10" i="8" s="1"/>
  <c r="BO10" i="8"/>
  <c r="BP10" i="8" s="1"/>
  <c r="BQ10" i="8"/>
  <c r="BR10" i="8" s="1"/>
  <c r="BS10" i="8"/>
  <c r="BT10" i="8" s="1"/>
  <c r="BU10" i="8"/>
  <c r="BV10" i="8" s="1"/>
  <c r="BW10" i="8"/>
  <c r="BX10" i="8" s="1"/>
  <c r="BY10" i="8"/>
  <c r="BZ10" i="8" s="1"/>
  <c r="CA10" i="8"/>
  <c r="CB10" i="8" s="1"/>
  <c r="CC10" i="8"/>
  <c r="CD10" i="8" s="1"/>
  <c r="CE10" i="8"/>
  <c r="CF10" i="8"/>
  <c r="CG10" i="8"/>
  <c r="CH10" i="8" s="1"/>
  <c r="CI10" i="8"/>
  <c r="CJ10" i="8" s="1"/>
  <c r="CK10" i="8"/>
  <c r="CL10" i="8" s="1"/>
  <c r="CM10" i="8"/>
  <c r="CN10" i="8" s="1"/>
  <c r="CO10" i="8"/>
  <c r="CP10" i="8" s="1"/>
  <c r="CQ10" i="8"/>
  <c r="CR10" i="8" s="1"/>
  <c r="CY10" i="8"/>
  <c r="CZ10" i="8" s="1"/>
  <c r="DA10" i="8"/>
  <c r="DB10" i="8" s="1"/>
  <c r="DC10" i="8"/>
  <c r="DD10" i="8" s="1"/>
  <c r="DE10" i="8"/>
  <c r="DF10" i="8" s="1"/>
  <c r="DG10" i="8"/>
  <c r="DH10" i="8" s="1"/>
  <c r="DI10" i="8"/>
  <c r="DJ10" i="8" s="1"/>
  <c r="DK10" i="8"/>
  <c r="DL10" i="8" s="1"/>
  <c r="DM10" i="8"/>
  <c r="DN10" i="8"/>
  <c r="DO10" i="8"/>
  <c r="DP10" i="8" s="1"/>
  <c r="DQ10" i="8"/>
  <c r="DR10" i="8" s="1"/>
  <c r="DS10" i="8"/>
  <c r="DT10" i="8" s="1"/>
  <c r="DU10" i="8"/>
  <c r="DV10" i="8" s="1"/>
  <c r="DW10" i="8"/>
  <c r="DX10" i="8" s="1"/>
  <c r="DY10" i="8"/>
  <c r="DZ10" i="8" s="1"/>
  <c r="EA10" i="8"/>
  <c r="EB10" i="8" s="1"/>
  <c r="EC10" i="8"/>
  <c r="ED10" i="8" s="1"/>
  <c r="EE10" i="8"/>
  <c r="EF10" i="8" s="1"/>
  <c r="EG10" i="8"/>
  <c r="EH10" i="8" s="1"/>
  <c r="EI10" i="8"/>
  <c r="EJ10" i="8" s="1"/>
  <c r="EK10" i="8"/>
  <c r="EL10" i="8" s="1"/>
  <c r="EM10" i="8"/>
  <c r="EN10" i="8" s="1"/>
  <c r="EO10" i="8"/>
  <c r="EP10" i="8" s="1"/>
  <c r="EQ10" i="8"/>
  <c r="ER10" i="8" s="1"/>
  <c r="EU10" i="8"/>
  <c r="EV10" i="8" s="1"/>
  <c r="EY10" i="8"/>
  <c r="EZ10" i="8" s="1"/>
  <c r="FA10" i="8"/>
  <c r="FB10" i="8" s="1"/>
  <c r="FC10" i="8"/>
  <c r="FD10" i="8" s="1"/>
  <c r="FE10" i="8"/>
  <c r="FF10" i="8" s="1"/>
  <c r="FG10" i="8"/>
  <c r="FH10" i="8" s="1"/>
  <c r="FI10" i="8"/>
  <c r="FJ10" i="8" s="1"/>
  <c r="FK10" i="8"/>
  <c r="FL10" i="8" s="1"/>
  <c r="FM10" i="8"/>
  <c r="FN10" i="8" s="1"/>
  <c r="FO10" i="8"/>
  <c r="FP10" i="8" s="1"/>
  <c r="FQ10" i="8"/>
  <c r="FR10" i="8" s="1"/>
  <c r="FS10" i="8"/>
  <c r="FT10" i="8"/>
  <c r="FU10" i="8"/>
  <c r="FV10" i="8" s="1"/>
  <c r="FW10" i="8"/>
  <c r="FX10" i="8" s="1"/>
  <c r="FY10" i="8"/>
  <c r="FZ10" i="8" s="1"/>
  <c r="GA10" i="8"/>
  <c r="GB10" i="8" s="1"/>
  <c r="GC10" i="8"/>
  <c r="GD10" i="8" s="1"/>
  <c r="GE10" i="8"/>
  <c r="GF10" i="8" s="1"/>
  <c r="GG10" i="8"/>
  <c r="GH10" i="8" s="1"/>
  <c r="GI10" i="8"/>
  <c r="GJ10" i="8" s="1"/>
  <c r="GK10" i="8"/>
  <c r="GL10" i="8"/>
  <c r="GM10" i="8"/>
  <c r="GN10" i="8" s="1"/>
  <c r="GO10" i="8"/>
  <c r="GP10" i="8" s="1"/>
  <c r="GQ10" i="8"/>
  <c r="GR10" i="8" s="1"/>
  <c r="GS10" i="8"/>
  <c r="GT10" i="8" s="1"/>
  <c r="GU10" i="8"/>
  <c r="GV10" i="8" s="1"/>
  <c r="GW10" i="8"/>
  <c r="GX10" i="8"/>
  <c r="GY10" i="8"/>
  <c r="GZ10" i="8" s="1"/>
  <c r="HA10" i="8"/>
  <c r="HB10" i="8" s="1"/>
  <c r="HC10" i="8"/>
  <c r="HD10" i="8" s="1"/>
  <c r="HE10" i="8"/>
  <c r="HF10" i="8" s="1"/>
  <c r="HG10" i="8"/>
  <c r="HH10" i="8" s="1"/>
  <c r="HI10" i="8"/>
  <c r="HJ10" i="8" s="1"/>
  <c r="HK10" i="8"/>
  <c r="HL10" i="8"/>
  <c r="HM10" i="8"/>
  <c r="HN10" i="8" s="1"/>
  <c r="HO10" i="8"/>
  <c r="HP10" i="8" s="1"/>
  <c r="HQ10" i="8"/>
  <c r="HR10" i="8" s="1"/>
  <c r="HS10" i="8"/>
  <c r="HT10" i="8" s="1"/>
  <c r="HU10" i="8"/>
  <c r="HV10" i="8" s="1"/>
  <c r="HW10" i="8"/>
  <c r="HX10" i="8" s="1"/>
  <c r="HY10" i="8"/>
  <c r="HZ10" i="8" s="1"/>
  <c r="IA10" i="8"/>
  <c r="IB10" i="8" s="1"/>
  <c r="IC10" i="8"/>
  <c r="ID10" i="8" s="1"/>
  <c r="IE10" i="8"/>
  <c r="IF10" i="8" s="1"/>
  <c r="IG10" i="8"/>
  <c r="IH10" i="8" s="1"/>
  <c r="II10" i="8"/>
  <c r="IJ10" i="8" s="1"/>
  <c r="IK10" i="8"/>
  <c r="IL10" i="8" s="1"/>
  <c r="IM10" i="8"/>
  <c r="IN10" i="8" s="1"/>
  <c r="IO10" i="8"/>
  <c r="IP10" i="8"/>
  <c r="IQ10" i="8"/>
  <c r="IR10" i="8"/>
  <c r="IS10" i="8"/>
  <c r="IT10" i="8" s="1"/>
  <c r="IU10" i="8"/>
  <c r="IV10" i="8" s="1"/>
  <c r="IW10" i="8"/>
  <c r="IX10" i="8" s="1"/>
  <c r="IY10" i="8"/>
  <c r="IZ10" i="8" s="1"/>
  <c r="G9" i="8"/>
  <c r="H9" i="8" s="1"/>
  <c r="I9" i="8"/>
  <c r="J9" i="8" s="1"/>
  <c r="K9" i="8"/>
  <c r="L9" i="8" s="1"/>
  <c r="M9" i="8"/>
  <c r="N9" i="8" s="1"/>
  <c r="O9" i="8"/>
  <c r="P9" i="8" s="1"/>
  <c r="Q9" i="8"/>
  <c r="R9" i="8" s="1"/>
  <c r="G10" i="8"/>
  <c r="H10" i="8" s="1"/>
  <c r="I10" i="8"/>
  <c r="J10" i="8" s="1"/>
  <c r="K10" i="8"/>
  <c r="L10" i="8" s="1"/>
  <c r="M10" i="8"/>
  <c r="N10" i="8" s="1"/>
  <c r="O10" i="8"/>
  <c r="P10" i="8" s="1"/>
  <c r="Q10" i="8"/>
  <c r="R10" i="8" s="1"/>
  <c r="E10" i="8"/>
  <c r="F10" i="8" s="1"/>
  <c r="E9" i="8"/>
  <c r="F9" i="8" s="1"/>
  <c r="C32" i="8" a="1"/>
  <c r="C32" i="8" s="1"/>
  <c r="D32" i="8" s="1" a="1"/>
  <c r="D32" i="8" s="1"/>
  <c r="C31" i="8" a="1"/>
  <c r="C31" i="8" s="1"/>
  <c r="D31" i="8" s="1" a="1"/>
  <c r="D31" i="8" s="1"/>
  <c r="C30" i="8" a="1"/>
  <c r="C30" i="8" s="1"/>
  <c r="D30" i="8" s="1" a="1"/>
  <c r="D30" i="8" s="1"/>
  <c r="C29" i="8" a="1"/>
  <c r="C29" i="8" s="1"/>
  <c r="D29" i="8" s="1" a="1"/>
  <c r="D29" i="8" s="1"/>
  <c r="C28" i="8" a="1"/>
  <c r="C28" i="8" s="1"/>
  <c r="D28" i="8" s="1" a="1"/>
  <c r="D28" i="8" s="1"/>
  <c r="C27" i="8" a="1"/>
  <c r="C27" i="8" s="1"/>
  <c r="D27" i="8" s="1" a="1"/>
  <c r="D27" i="8" s="1"/>
  <c r="C22" i="8" a="1"/>
  <c r="C22" i="8" s="1"/>
  <c r="D22" i="8" s="1" a="1"/>
  <c r="D22" i="8" s="1"/>
  <c r="C21" i="8" a="1"/>
  <c r="C21" i="8" s="1"/>
  <c r="D21" i="8" s="1" a="1"/>
  <c r="D21" i="8" s="1"/>
  <c r="C20" i="8" a="1"/>
  <c r="C20" i="8" s="1"/>
  <c r="D20" i="8" s="1" a="1"/>
  <c r="D20" i="8" s="1"/>
  <c r="C19" i="8" a="1"/>
  <c r="C19" i="8" s="1"/>
  <c r="D19" i="8" s="1" a="1"/>
  <c r="D19" i="8" s="1"/>
  <c r="C16" i="8" a="1"/>
  <c r="C16" i="8" s="1"/>
  <c r="D16" i="8" s="1" a="1"/>
  <c r="D16" i="8" s="1"/>
  <c r="C15" i="8" a="1"/>
  <c r="C15" i="8" s="1"/>
  <c r="D15" i="8" s="1" a="1"/>
  <c r="D15" i="8" s="1"/>
  <c r="C14" i="8" a="1"/>
  <c r="C14" i="8" s="1"/>
  <c r="D14" i="8" s="1" a="1"/>
  <c r="D14" i="8" s="1"/>
  <c r="C13" i="8" a="1"/>
  <c r="C13" i="8" s="1"/>
  <c r="D13" i="8" s="1" a="1"/>
  <c r="D13" i="8" s="1"/>
  <c r="C12" i="8" a="1"/>
  <c r="C12" i="8" s="1"/>
  <c r="D12" i="8" s="1" a="1"/>
  <c r="D12" i="8" s="1"/>
  <c r="C11" i="8" a="1"/>
  <c r="C11" i="8" s="1"/>
  <c r="D11" i="8" s="1" a="1"/>
  <c r="D11" i="8" s="1"/>
  <c r="C5" i="8" a="1"/>
  <c r="C5" i="8" s="1"/>
  <c r="D5" i="8" s="1" a="1"/>
  <c r="D5" i="8" s="1"/>
  <c r="C6" i="8" a="1"/>
  <c r="C6" i="8" s="1"/>
  <c r="D6" i="8" s="1" a="1"/>
  <c r="D6" i="8" s="1"/>
  <c r="C7" i="8" a="1"/>
  <c r="C7" i="8" s="1"/>
  <c r="D7" i="8" s="1" a="1"/>
  <c r="D7" i="8" s="1"/>
  <c r="C8" i="8" a="1"/>
  <c r="C8" i="8" s="1"/>
  <c r="D8" i="8" s="1" a="1"/>
  <c r="D8" i="8" s="1"/>
  <c r="C4" i="8" a="1"/>
  <c r="C4" i="8" s="1"/>
  <c r="D4" i="8" s="1" a="1"/>
  <c r="D4" i="8" s="1"/>
  <c r="C3" i="8" a="1"/>
  <c r="C3" i="8" s="1"/>
  <c r="D3" i="8" s="1" a="1"/>
  <c r="D3" i="8" s="1"/>
  <c r="L83" i="8"/>
  <c r="K83" i="8"/>
  <c r="L82" i="8"/>
  <c r="K82" i="8"/>
  <c r="L81" i="8"/>
  <c r="K81" i="8"/>
  <c r="L80" i="8"/>
  <c r="K80" i="8"/>
  <c r="L79" i="8"/>
  <c r="K79" i="8"/>
  <c r="L78" i="8"/>
  <c r="K78" i="8"/>
  <c r="L77" i="8"/>
  <c r="K77" i="8"/>
  <c r="L76" i="8"/>
  <c r="K76" i="8"/>
  <c r="L75" i="8"/>
  <c r="K75" i="8"/>
  <c r="L71" i="8"/>
  <c r="K71" i="8"/>
  <c r="L70" i="8"/>
  <c r="K70" i="8"/>
  <c r="L69" i="8"/>
  <c r="K69" i="8"/>
  <c r="L68" i="8"/>
  <c r="K68" i="8"/>
  <c r="L67" i="8"/>
  <c r="K67" i="8"/>
  <c r="L66" i="8"/>
  <c r="K66" i="8"/>
  <c r="L65" i="8"/>
  <c r="K65" i="8"/>
  <c r="L64" i="8"/>
  <c r="K64" i="8"/>
  <c r="L63" i="8"/>
  <c r="K63" i="8"/>
  <c r="L59" i="8"/>
  <c r="K59" i="8"/>
  <c r="L58" i="8"/>
  <c r="K58" i="8"/>
  <c r="L57" i="8"/>
  <c r="K57" i="8"/>
  <c r="L56" i="8"/>
  <c r="K56" i="8"/>
  <c r="L55" i="8"/>
  <c r="K55" i="8"/>
  <c r="L54" i="8"/>
  <c r="K54" i="8"/>
  <c r="L53" i="8"/>
  <c r="K53" i="8"/>
  <c r="L52" i="8"/>
  <c r="K52" i="8"/>
  <c r="L51" i="8"/>
  <c r="K51" i="8"/>
  <c r="L47" i="8"/>
  <c r="K47" i="8"/>
  <c r="L46" i="8"/>
  <c r="K46" i="8"/>
  <c r="L45" i="8"/>
  <c r="K45" i="8"/>
  <c r="L44" i="8"/>
  <c r="K44" i="8"/>
  <c r="L43" i="8"/>
  <c r="K43" i="8"/>
  <c r="L42" i="8"/>
  <c r="K42" i="8"/>
  <c r="L41" i="8"/>
  <c r="K41" i="8"/>
  <c r="L40" i="8"/>
  <c r="K40" i="8"/>
  <c r="L39" i="8"/>
  <c r="K39" i="8"/>
  <c r="J83" i="8"/>
  <c r="I83" i="8"/>
  <c r="J82" i="8"/>
  <c r="I82" i="8"/>
  <c r="J81" i="8"/>
  <c r="I81" i="8"/>
  <c r="J80" i="8"/>
  <c r="I80" i="8"/>
  <c r="J79" i="8"/>
  <c r="I79" i="8"/>
  <c r="J78" i="8"/>
  <c r="I78" i="8"/>
  <c r="J77" i="8"/>
  <c r="I77" i="8"/>
  <c r="J76" i="8"/>
  <c r="I76" i="8"/>
  <c r="J75" i="8"/>
  <c r="I75" i="8"/>
  <c r="J71" i="8"/>
  <c r="I71" i="8"/>
  <c r="J70" i="8"/>
  <c r="I70" i="8"/>
  <c r="J69" i="8"/>
  <c r="I69" i="8"/>
  <c r="J68" i="8"/>
  <c r="I68" i="8"/>
  <c r="J67" i="8"/>
  <c r="I67" i="8"/>
  <c r="J66" i="8"/>
  <c r="I66" i="8"/>
  <c r="J65" i="8"/>
  <c r="I65" i="8"/>
  <c r="J64" i="8"/>
  <c r="I64" i="8"/>
  <c r="J63" i="8"/>
  <c r="I63" i="8"/>
  <c r="J59" i="8"/>
  <c r="I59" i="8"/>
  <c r="J58" i="8"/>
  <c r="I58" i="8"/>
  <c r="J57" i="8"/>
  <c r="I57" i="8"/>
  <c r="J56" i="8"/>
  <c r="I56" i="8"/>
  <c r="J55" i="8"/>
  <c r="I55" i="8"/>
  <c r="J54" i="8"/>
  <c r="I54" i="8"/>
  <c r="J53" i="8"/>
  <c r="I53" i="8"/>
  <c r="J52" i="8"/>
  <c r="I52" i="8"/>
  <c r="J51" i="8"/>
  <c r="I51" i="8"/>
  <c r="J47" i="8"/>
  <c r="I47" i="8"/>
  <c r="J46" i="8"/>
  <c r="I46" i="8"/>
  <c r="J45" i="8"/>
  <c r="I45" i="8"/>
  <c r="J44" i="8"/>
  <c r="I44" i="8"/>
  <c r="J43" i="8"/>
  <c r="I43" i="8"/>
  <c r="J42" i="8"/>
  <c r="I42" i="8"/>
  <c r="J41" i="8"/>
  <c r="I41" i="8"/>
  <c r="J40" i="8"/>
  <c r="I40" i="8"/>
  <c r="J39" i="8"/>
  <c r="I39" i="8"/>
  <c r="H83" i="8"/>
  <c r="G83" i="8"/>
  <c r="H82" i="8"/>
  <c r="G82" i="8"/>
  <c r="H81" i="8"/>
  <c r="G81" i="8"/>
  <c r="H80" i="8"/>
  <c r="G80" i="8"/>
  <c r="H79" i="8"/>
  <c r="G79" i="8"/>
  <c r="H78" i="8"/>
  <c r="G78" i="8"/>
  <c r="H77" i="8"/>
  <c r="G77" i="8"/>
  <c r="H76" i="8"/>
  <c r="G76" i="8"/>
  <c r="H75" i="8"/>
  <c r="G75" i="8"/>
  <c r="H71" i="8"/>
  <c r="G71" i="8"/>
  <c r="H70" i="8"/>
  <c r="G70" i="8"/>
  <c r="H69" i="8"/>
  <c r="G69" i="8"/>
  <c r="H68" i="8"/>
  <c r="G68" i="8"/>
  <c r="H67" i="8"/>
  <c r="G67" i="8"/>
  <c r="H66" i="8"/>
  <c r="G66" i="8"/>
  <c r="H65" i="8"/>
  <c r="G65" i="8"/>
  <c r="H64" i="8"/>
  <c r="G64" i="8"/>
  <c r="H63" i="8"/>
  <c r="G63" i="8"/>
  <c r="H59" i="8"/>
  <c r="G59" i="8"/>
  <c r="H58" i="8"/>
  <c r="G58" i="8"/>
  <c r="H57" i="8"/>
  <c r="G57" i="8"/>
  <c r="H56" i="8"/>
  <c r="G56" i="8"/>
  <c r="H55" i="8"/>
  <c r="G55" i="8"/>
  <c r="H54" i="8"/>
  <c r="G54" i="8"/>
  <c r="H53" i="8"/>
  <c r="G53" i="8"/>
  <c r="H52" i="8"/>
  <c r="G52" i="8"/>
  <c r="H51" i="8"/>
  <c r="G51" i="8"/>
  <c r="H47" i="8"/>
  <c r="G47" i="8"/>
  <c r="H46" i="8"/>
  <c r="G46" i="8"/>
  <c r="H45" i="8"/>
  <c r="G45" i="8"/>
  <c r="H44" i="8"/>
  <c r="G44" i="8"/>
  <c r="H43" i="8"/>
  <c r="G43" i="8"/>
  <c r="H42" i="8"/>
  <c r="G42" i="8"/>
  <c r="H41" i="8"/>
  <c r="G41" i="8"/>
  <c r="H40" i="8"/>
  <c r="G40" i="8"/>
  <c r="H39" i="8"/>
  <c r="G39" i="8"/>
  <c r="F83" i="8"/>
  <c r="E83" i="8"/>
  <c r="F82" i="8"/>
  <c r="E82" i="8"/>
  <c r="F81" i="8"/>
  <c r="E81" i="8"/>
  <c r="F80" i="8"/>
  <c r="E80" i="8"/>
  <c r="F79" i="8"/>
  <c r="E79" i="8"/>
  <c r="F78" i="8"/>
  <c r="E78" i="8"/>
  <c r="F77" i="8"/>
  <c r="E77" i="8"/>
  <c r="F76" i="8"/>
  <c r="E76" i="8"/>
  <c r="F71" i="8"/>
  <c r="E71" i="8"/>
  <c r="F70" i="8"/>
  <c r="E70" i="8"/>
  <c r="F69" i="8"/>
  <c r="E69" i="8"/>
  <c r="F68" i="8"/>
  <c r="E68" i="8"/>
  <c r="F67" i="8"/>
  <c r="E67" i="8"/>
  <c r="F66" i="8"/>
  <c r="E66" i="8"/>
  <c r="F65" i="8"/>
  <c r="E65" i="8"/>
  <c r="F64" i="8"/>
  <c r="E64" i="8"/>
  <c r="F63" i="8"/>
  <c r="E63" i="8"/>
  <c r="F59" i="8"/>
  <c r="E59" i="8"/>
  <c r="F58" i="8"/>
  <c r="E58" i="8"/>
  <c r="F57" i="8"/>
  <c r="E57" i="8"/>
  <c r="F56" i="8"/>
  <c r="E56" i="8"/>
  <c r="F55" i="8"/>
  <c r="E55" i="8"/>
  <c r="F54" i="8"/>
  <c r="E54" i="8"/>
  <c r="E53" i="8"/>
  <c r="F52" i="8"/>
  <c r="E52" i="8"/>
  <c r="F51" i="8"/>
  <c r="E51" i="8"/>
  <c r="F47" i="8"/>
  <c r="G37" i="3" s="1"/>
  <c r="E47" i="8"/>
  <c r="E37" i="3" s="1"/>
  <c r="F46" i="8"/>
  <c r="F37" i="3" s="1"/>
  <c r="E46" i="8"/>
  <c r="C37" i="3" s="1"/>
  <c r="F45" i="8"/>
  <c r="E45" i="8"/>
  <c r="F44" i="8"/>
  <c r="E44" i="8"/>
  <c r="F43" i="8"/>
  <c r="E43" i="8"/>
  <c r="F42" i="8"/>
  <c r="E42" i="8"/>
  <c r="F41" i="8"/>
  <c r="E41" i="8"/>
  <c r="F40" i="8"/>
  <c r="E40" i="8"/>
  <c r="IZ83" i="8"/>
  <c r="IY83" i="8"/>
  <c r="IZ82" i="8"/>
  <c r="IY82" i="8"/>
  <c r="IZ81" i="8"/>
  <c r="IY81" i="8"/>
  <c r="IZ80" i="8"/>
  <c r="IY80" i="8"/>
  <c r="IZ79" i="8"/>
  <c r="IY79" i="8"/>
  <c r="IZ78" i="8"/>
  <c r="IY78" i="8"/>
  <c r="IZ77" i="8"/>
  <c r="IY77" i="8"/>
  <c r="IZ76" i="8"/>
  <c r="IY76" i="8"/>
  <c r="IZ75" i="8"/>
  <c r="IY75" i="8"/>
  <c r="IZ71" i="8"/>
  <c r="IY71" i="8"/>
  <c r="IZ70" i="8"/>
  <c r="IY70" i="8"/>
  <c r="IZ69" i="8"/>
  <c r="IY69" i="8"/>
  <c r="IZ68" i="8"/>
  <c r="IY68" i="8"/>
  <c r="IZ67" i="8"/>
  <c r="IY67" i="8"/>
  <c r="IZ66" i="8"/>
  <c r="IY66" i="8"/>
  <c r="IZ65" i="8"/>
  <c r="IY65" i="8"/>
  <c r="IZ64" i="8"/>
  <c r="IY64" i="8"/>
  <c r="IZ63" i="8"/>
  <c r="IY63" i="8"/>
  <c r="IZ59" i="8"/>
  <c r="IY59" i="8"/>
  <c r="IZ58" i="8"/>
  <c r="IY58" i="8"/>
  <c r="IZ57" i="8"/>
  <c r="IY57" i="8"/>
  <c r="IZ56" i="8"/>
  <c r="IY56" i="8"/>
  <c r="IZ55" i="8"/>
  <c r="IY55" i="8"/>
  <c r="IZ54" i="8"/>
  <c r="IY54" i="8"/>
  <c r="IZ53" i="8"/>
  <c r="IY53" i="8"/>
  <c r="IZ52" i="8"/>
  <c r="IY52" i="8"/>
  <c r="IZ51" i="8"/>
  <c r="IY51" i="8"/>
  <c r="IZ47" i="8"/>
  <c r="IY47" i="8"/>
  <c r="IZ46" i="8"/>
  <c r="IY46" i="8"/>
  <c r="IZ45" i="8"/>
  <c r="IY45" i="8"/>
  <c r="IZ44" i="8"/>
  <c r="IY44" i="8"/>
  <c r="IZ43" i="8"/>
  <c r="IY43" i="8"/>
  <c r="IZ42" i="8"/>
  <c r="IY42" i="8"/>
  <c r="IZ41" i="8"/>
  <c r="IY41" i="8"/>
  <c r="IZ40" i="8"/>
  <c r="IY40" i="8"/>
  <c r="IZ39" i="8"/>
  <c r="IY39" i="8"/>
  <c r="IX83" i="8"/>
  <c r="IW83" i="8"/>
  <c r="IX82" i="8"/>
  <c r="IW82" i="8"/>
  <c r="IX81" i="8"/>
  <c r="IW81" i="8"/>
  <c r="IX80" i="8"/>
  <c r="IW80" i="8"/>
  <c r="IX79" i="8"/>
  <c r="IW79" i="8"/>
  <c r="IX78" i="8"/>
  <c r="IW78" i="8"/>
  <c r="IX77" i="8"/>
  <c r="IW77" i="8"/>
  <c r="IX76" i="8"/>
  <c r="IW76" i="8"/>
  <c r="IX75" i="8"/>
  <c r="IW75" i="8"/>
  <c r="IX71" i="8"/>
  <c r="IW71" i="8"/>
  <c r="IX70" i="8"/>
  <c r="IW70" i="8"/>
  <c r="IX69" i="8"/>
  <c r="IW69" i="8"/>
  <c r="IX68" i="8"/>
  <c r="IW68" i="8"/>
  <c r="IX67" i="8"/>
  <c r="IW67" i="8"/>
  <c r="IX66" i="8"/>
  <c r="IW66" i="8"/>
  <c r="IX65" i="8"/>
  <c r="IW65" i="8"/>
  <c r="IX64" i="8"/>
  <c r="IW64" i="8"/>
  <c r="IX63" i="8"/>
  <c r="IW63" i="8"/>
  <c r="IX59" i="8"/>
  <c r="IW59" i="8"/>
  <c r="IX58" i="8"/>
  <c r="IW58" i="8"/>
  <c r="IX57" i="8"/>
  <c r="IW57" i="8"/>
  <c r="IX56" i="8"/>
  <c r="IW56" i="8"/>
  <c r="IX55" i="8"/>
  <c r="IW55" i="8"/>
  <c r="IX54" i="8"/>
  <c r="IW54" i="8"/>
  <c r="IX53" i="8"/>
  <c r="IW53" i="8"/>
  <c r="IX52" i="8"/>
  <c r="IW52" i="8"/>
  <c r="IX51" i="8"/>
  <c r="IW51" i="8"/>
  <c r="IX47" i="8"/>
  <c r="IW47" i="8"/>
  <c r="IX46" i="8"/>
  <c r="IW46" i="8"/>
  <c r="IX45" i="8"/>
  <c r="IW45" i="8"/>
  <c r="IX44" i="8"/>
  <c r="IW44" i="8"/>
  <c r="IX43" i="8"/>
  <c r="IW43" i="8"/>
  <c r="IX42" i="8"/>
  <c r="IW42" i="8"/>
  <c r="IX41" i="8"/>
  <c r="IW41" i="8"/>
  <c r="IX40" i="8"/>
  <c r="IW40" i="8"/>
  <c r="IX39" i="8"/>
  <c r="IW39" i="8"/>
  <c r="IV83" i="8"/>
  <c r="IU83" i="8"/>
  <c r="IV82" i="8"/>
  <c r="IU82" i="8"/>
  <c r="IV81" i="8"/>
  <c r="IU81" i="8"/>
  <c r="IV80" i="8"/>
  <c r="IU80" i="8"/>
  <c r="IV79" i="8"/>
  <c r="IU79" i="8"/>
  <c r="IV78" i="8"/>
  <c r="IU78" i="8"/>
  <c r="IV77" i="8"/>
  <c r="IU77" i="8"/>
  <c r="IV76" i="8"/>
  <c r="IU76" i="8"/>
  <c r="IV75" i="8"/>
  <c r="IU75" i="8"/>
  <c r="IV71" i="8"/>
  <c r="IU71" i="8"/>
  <c r="IV70" i="8"/>
  <c r="IU70" i="8"/>
  <c r="IV69" i="8"/>
  <c r="IU69" i="8"/>
  <c r="IV68" i="8"/>
  <c r="IU68" i="8"/>
  <c r="IV67" i="8"/>
  <c r="IU67" i="8"/>
  <c r="IV66" i="8"/>
  <c r="IU66" i="8"/>
  <c r="IV65" i="8"/>
  <c r="IU65" i="8"/>
  <c r="IV64" i="8"/>
  <c r="IU64" i="8"/>
  <c r="IV63" i="8"/>
  <c r="IU63" i="8"/>
  <c r="IV59" i="8"/>
  <c r="IU59" i="8"/>
  <c r="IV58" i="8"/>
  <c r="IU58" i="8"/>
  <c r="IV57" i="8"/>
  <c r="IU57" i="8"/>
  <c r="IV56" i="8"/>
  <c r="IU56" i="8"/>
  <c r="IV55" i="8"/>
  <c r="IU55" i="8"/>
  <c r="IV54" i="8"/>
  <c r="IU54" i="8"/>
  <c r="IV53" i="8"/>
  <c r="IU53" i="8"/>
  <c r="IV52" i="8"/>
  <c r="IU52" i="8"/>
  <c r="IV51" i="8"/>
  <c r="IU51" i="8"/>
  <c r="IV47" i="8"/>
  <c r="IU47" i="8"/>
  <c r="IV46" i="8"/>
  <c r="IU46" i="8"/>
  <c r="IV45" i="8"/>
  <c r="IU45" i="8"/>
  <c r="IV44" i="8"/>
  <c r="IU44" i="8"/>
  <c r="IV43" i="8"/>
  <c r="IU43" i="8"/>
  <c r="IV42" i="8"/>
  <c r="IU42" i="8"/>
  <c r="IV41" i="8"/>
  <c r="IU41" i="8"/>
  <c r="IV40" i="8"/>
  <c r="IU40" i="8"/>
  <c r="IV39" i="8"/>
  <c r="IU39" i="8"/>
  <c r="IT83" i="8"/>
  <c r="IS83" i="8"/>
  <c r="IT82" i="8"/>
  <c r="IS82" i="8"/>
  <c r="IT81" i="8"/>
  <c r="IS81" i="8"/>
  <c r="IT80" i="8"/>
  <c r="IS80" i="8"/>
  <c r="IT79" i="8"/>
  <c r="IS79" i="8"/>
  <c r="IT78" i="8"/>
  <c r="IS78" i="8"/>
  <c r="IT77" i="8"/>
  <c r="IS77" i="8"/>
  <c r="IT76" i="8"/>
  <c r="IS76" i="8"/>
  <c r="IT75" i="8"/>
  <c r="IS75" i="8"/>
  <c r="IT71" i="8"/>
  <c r="IS71" i="8"/>
  <c r="IT70" i="8"/>
  <c r="IS70" i="8"/>
  <c r="IT69" i="8"/>
  <c r="IS69" i="8"/>
  <c r="IT68" i="8"/>
  <c r="IS68" i="8"/>
  <c r="IT67" i="8"/>
  <c r="IS67" i="8"/>
  <c r="IT66" i="8"/>
  <c r="IS66" i="8"/>
  <c r="IT65" i="8"/>
  <c r="IS65" i="8"/>
  <c r="IT64" i="8"/>
  <c r="IS64" i="8"/>
  <c r="IT63" i="8"/>
  <c r="IS63" i="8"/>
  <c r="IT59" i="8"/>
  <c r="IS59" i="8"/>
  <c r="IT58" i="8"/>
  <c r="IS58" i="8"/>
  <c r="IT57" i="8"/>
  <c r="IS57" i="8"/>
  <c r="IT56" i="8"/>
  <c r="IS56" i="8"/>
  <c r="IT55" i="8"/>
  <c r="IS55" i="8"/>
  <c r="IT54" i="8"/>
  <c r="IS54" i="8"/>
  <c r="IT53" i="8"/>
  <c r="IS53" i="8"/>
  <c r="IT52" i="8"/>
  <c r="IS52" i="8"/>
  <c r="IT51" i="8"/>
  <c r="IS51" i="8"/>
  <c r="IT47" i="8"/>
  <c r="IS47" i="8"/>
  <c r="IT46" i="8"/>
  <c r="IS46" i="8"/>
  <c r="IT45" i="8"/>
  <c r="IS45" i="8"/>
  <c r="IT44" i="8"/>
  <c r="IS44" i="8"/>
  <c r="IT43" i="8"/>
  <c r="IS43" i="8"/>
  <c r="IT42" i="8"/>
  <c r="IS42" i="8"/>
  <c r="IT41" i="8"/>
  <c r="IS41" i="8"/>
  <c r="IT40" i="8"/>
  <c r="IS40" i="8"/>
  <c r="IT39" i="8"/>
  <c r="IS39" i="8"/>
  <c r="IR83" i="8"/>
  <c r="IQ83" i="8"/>
  <c r="IR82" i="8"/>
  <c r="IQ82" i="8"/>
  <c r="IR81" i="8"/>
  <c r="IQ81" i="8"/>
  <c r="IR80" i="8"/>
  <c r="IQ80" i="8"/>
  <c r="IR79" i="8"/>
  <c r="IQ79" i="8"/>
  <c r="IR78" i="8"/>
  <c r="IQ78" i="8"/>
  <c r="IR77" i="8"/>
  <c r="IQ77" i="8"/>
  <c r="IR76" i="8"/>
  <c r="IQ76" i="8"/>
  <c r="IR75" i="8"/>
  <c r="IQ75" i="8"/>
  <c r="IR71" i="8"/>
  <c r="IQ71" i="8"/>
  <c r="IR70" i="8"/>
  <c r="IQ70" i="8"/>
  <c r="IR69" i="8"/>
  <c r="IQ69" i="8"/>
  <c r="IR68" i="8"/>
  <c r="IQ68" i="8"/>
  <c r="IR67" i="8"/>
  <c r="IQ67" i="8"/>
  <c r="IR66" i="8"/>
  <c r="IQ66" i="8"/>
  <c r="IR65" i="8"/>
  <c r="IQ65" i="8"/>
  <c r="IR64" i="8"/>
  <c r="IQ64" i="8"/>
  <c r="IR63" i="8"/>
  <c r="IQ63" i="8"/>
  <c r="IR59" i="8"/>
  <c r="IQ59" i="8"/>
  <c r="IR58" i="8"/>
  <c r="IQ58" i="8"/>
  <c r="IR57" i="8"/>
  <c r="IQ57" i="8"/>
  <c r="IR56" i="8"/>
  <c r="IQ56" i="8"/>
  <c r="IR55" i="8"/>
  <c r="IQ55" i="8"/>
  <c r="IR54" i="8"/>
  <c r="IQ54" i="8"/>
  <c r="IR53" i="8"/>
  <c r="IQ53" i="8"/>
  <c r="IR52" i="8"/>
  <c r="IQ52" i="8"/>
  <c r="IR51" i="8"/>
  <c r="IQ51" i="8"/>
  <c r="IR47" i="8"/>
  <c r="IQ47" i="8"/>
  <c r="IR46" i="8"/>
  <c r="IQ46" i="8"/>
  <c r="IR45" i="8"/>
  <c r="IQ45" i="8"/>
  <c r="IR44" i="8"/>
  <c r="IQ44" i="8"/>
  <c r="IR43" i="8"/>
  <c r="IQ43" i="8"/>
  <c r="IR42" i="8"/>
  <c r="IQ42" i="8"/>
  <c r="IR41" i="8"/>
  <c r="IQ41" i="8"/>
  <c r="IR40" i="8"/>
  <c r="IQ40" i="8"/>
  <c r="IR39" i="8"/>
  <c r="IQ39" i="8"/>
  <c r="IP83" i="8"/>
  <c r="IO83" i="8"/>
  <c r="IP82" i="8"/>
  <c r="IO82" i="8"/>
  <c r="IP81" i="8"/>
  <c r="IO81" i="8"/>
  <c r="IP80" i="8"/>
  <c r="IO80" i="8"/>
  <c r="IP79" i="8"/>
  <c r="IO79" i="8"/>
  <c r="IP78" i="8"/>
  <c r="IO78" i="8"/>
  <c r="IP77" i="8"/>
  <c r="IO77" i="8"/>
  <c r="IP76" i="8"/>
  <c r="IO76" i="8"/>
  <c r="IP75" i="8"/>
  <c r="IO75" i="8"/>
  <c r="IP71" i="8"/>
  <c r="IO71" i="8"/>
  <c r="IP70" i="8"/>
  <c r="IO70" i="8"/>
  <c r="IP69" i="8"/>
  <c r="IO69" i="8"/>
  <c r="IP68" i="8"/>
  <c r="IO68" i="8"/>
  <c r="IP67" i="8"/>
  <c r="IO67" i="8"/>
  <c r="IP66" i="8"/>
  <c r="IO66" i="8"/>
  <c r="IP65" i="8"/>
  <c r="IO65" i="8"/>
  <c r="IP64" i="8"/>
  <c r="IO64" i="8"/>
  <c r="IP63" i="8"/>
  <c r="IO63" i="8"/>
  <c r="IP59" i="8"/>
  <c r="IO59" i="8"/>
  <c r="IP58" i="8"/>
  <c r="IO58" i="8"/>
  <c r="IP57" i="8"/>
  <c r="IO57" i="8"/>
  <c r="IP56" i="8"/>
  <c r="IO56" i="8"/>
  <c r="IP55" i="8"/>
  <c r="IO55" i="8"/>
  <c r="IP54" i="8"/>
  <c r="IO54" i="8"/>
  <c r="IP53" i="8"/>
  <c r="IO53" i="8"/>
  <c r="IP52" i="8"/>
  <c r="IO52" i="8"/>
  <c r="IP51" i="8"/>
  <c r="IO51" i="8"/>
  <c r="IP47" i="8"/>
  <c r="IO47" i="8"/>
  <c r="IP46" i="8"/>
  <c r="IO46" i="8"/>
  <c r="IP45" i="8"/>
  <c r="IO45" i="8"/>
  <c r="IP44" i="8"/>
  <c r="IO44" i="8"/>
  <c r="IP43" i="8"/>
  <c r="IO43" i="8"/>
  <c r="IP42" i="8"/>
  <c r="IO42" i="8"/>
  <c r="IP41" i="8"/>
  <c r="IO41" i="8"/>
  <c r="IP40" i="8"/>
  <c r="IO40" i="8"/>
  <c r="IP39" i="8"/>
  <c r="IO39" i="8"/>
  <c r="IN83" i="8"/>
  <c r="IM83" i="8"/>
  <c r="IN82" i="8"/>
  <c r="IM82" i="8"/>
  <c r="IN81" i="8"/>
  <c r="IM81" i="8"/>
  <c r="IN80" i="8"/>
  <c r="IM80" i="8"/>
  <c r="IN79" i="8"/>
  <c r="IM79" i="8"/>
  <c r="IN78" i="8"/>
  <c r="IM78" i="8"/>
  <c r="IN77" i="8"/>
  <c r="IM77" i="8"/>
  <c r="IN76" i="8"/>
  <c r="IM76" i="8"/>
  <c r="IN75" i="8"/>
  <c r="IM75" i="8"/>
  <c r="IN71" i="8"/>
  <c r="IM71" i="8"/>
  <c r="IN70" i="8"/>
  <c r="IM70" i="8"/>
  <c r="IN69" i="8"/>
  <c r="IM69" i="8"/>
  <c r="IN68" i="8"/>
  <c r="IM68" i="8"/>
  <c r="IN67" i="8"/>
  <c r="IM67" i="8"/>
  <c r="IN66" i="8"/>
  <c r="IM66" i="8"/>
  <c r="IN65" i="8"/>
  <c r="IM65" i="8"/>
  <c r="IN64" i="8"/>
  <c r="IM64" i="8"/>
  <c r="IN63" i="8"/>
  <c r="IM63" i="8"/>
  <c r="IN59" i="8"/>
  <c r="IM59" i="8"/>
  <c r="IN58" i="8"/>
  <c r="IM58" i="8"/>
  <c r="IN57" i="8"/>
  <c r="IM57" i="8"/>
  <c r="IN56" i="8"/>
  <c r="IM56" i="8"/>
  <c r="IN55" i="8"/>
  <c r="IM55" i="8"/>
  <c r="IN54" i="8"/>
  <c r="IM54" i="8"/>
  <c r="IN53" i="8"/>
  <c r="IM53" i="8"/>
  <c r="IN52" i="8"/>
  <c r="IM52" i="8"/>
  <c r="IN51" i="8"/>
  <c r="IM51" i="8"/>
  <c r="IN47" i="8"/>
  <c r="IM47" i="8"/>
  <c r="IN46" i="8"/>
  <c r="IM46" i="8"/>
  <c r="IN45" i="8"/>
  <c r="IM45" i="8"/>
  <c r="IN44" i="8"/>
  <c r="IM44" i="8"/>
  <c r="IN43" i="8"/>
  <c r="IM43" i="8"/>
  <c r="IN42" i="8"/>
  <c r="IM42" i="8"/>
  <c r="IN41" i="8"/>
  <c r="IM41" i="8"/>
  <c r="IN40" i="8"/>
  <c r="IM40" i="8"/>
  <c r="IN39" i="8"/>
  <c r="IM39" i="8"/>
  <c r="IL83" i="8"/>
  <c r="IK83" i="8"/>
  <c r="IL82" i="8"/>
  <c r="IK82" i="8"/>
  <c r="IL81" i="8"/>
  <c r="IK81" i="8"/>
  <c r="IL80" i="8"/>
  <c r="IK80" i="8"/>
  <c r="IL79" i="8"/>
  <c r="IK79" i="8"/>
  <c r="IL78" i="8"/>
  <c r="IK78" i="8"/>
  <c r="IL77" i="8"/>
  <c r="IK77" i="8"/>
  <c r="IL76" i="8"/>
  <c r="IK76" i="8"/>
  <c r="IL75" i="8"/>
  <c r="IK75" i="8"/>
  <c r="IL71" i="8"/>
  <c r="IK71" i="8"/>
  <c r="IL70" i="8"/>
  <c r="IK70" i="8"/>
  <c r="IL69" i="8"/>
  <c r="IK69" i="8"/>
  <c r="IL68" i="8"/>
  <c r="IK68" i="8"/>
  <c r="IL67" i="8"/>
  <c r="IK67" i="8"/>
  <c r="IL66" i="8"/>
  <c r="IK66" i="8"/>
  <c r="IL65" i="8"/>
  <c r="IK65" i="8"/>
  <c r="IL64" i="8"/>
  <c r="IK64" i="8"/>
  <c r="IL63" i="8"/>
  <c r="IK63" i="8"/>
  <c r="IL59" i="8"/>
  <c r="IK59" i="8"/>
  <c r="IL58" i="8"/>
  <c r="IK58" i="8"/>
  <c r="IL57" i="8"/>
  <c r="IK57" i="8"/>
  <c r="IL56" i="8"/>
  <c r="IK56" i="8"/>
  <c r="IL55" i="8"/>
  <c r="IK55" i="8"/>
  <c r="IL54" i="8"/>
  <c r="IK54" i="8"/>
  <c r="IL53" i="8"/>
  <c r="IK53" i="8"/>
  <c r="IL52" i="8"/>
  <c r="IK52" i="8"/>
  <c r="IL51" i="8"/>
  <c r="IK51" i="8"/>
  <c r="IL47" i="8"/>
  <c r="IK47" i="8"/>
  <c r="IL46" i="8"/>
  <c r="IK46" i="8"/>
  <c r="IL45" i="8"/>
  <c r="IK45" i="8"/>
  <c r="IL44" i="8"/>
  <c r="IK44" i="8"/>
  <c r="IL43" i="8"/>
  <c r="IK43" i="8"/>
  <c r="IL42" i="8"/>
  <c r="IK42" i="8"/>
  <c r="IL41" i="8"/>
  <c r="IK41" i="8"/>
  <c r="IL40" i="8"/>
  <c r="IK40" i="8"/>
  <c r="IL39" i="8"/>
  <c r="IK39" i="8"/>
  <c r="IJ83" i="8"/>
  <c r="II83" i="8"/>
  <c r="IJ82" i="8"/>
  <c r="II82" i="8"/>
  <c r="IJ81" i="8"/>
  <c r="II81" i="8"/>
  <c r="IJ80" i="8"/>
  <c r="II80" i="8"/>
  <c r="IJ79" i="8"/>
  <c r="II79" i="8"/>
  <c r="IJ78" i="8"/>
  <c r="II78" i="8"/>
  <c r="IJ77" i="8"/>
  <c r="II77" i="8"/>
  <c r="IJ76" i="8"/>
  <c r="II76" i="8"/>
  <c r="IJ75" i="8"/>
  <c r="II75" i="8"/>
  <c r="IJ71" i="8"/>
  <c r="II71" i="8"/>
  <c r="IJ70" i="8"/>
  <c r="II70" i="8"/>
  <c r="IJ69" i="8"/>
  <c r="II69" i="8"/>
  <c r="IJ68" i="8"/>
  <c r="II68" i="8"/>
  <c r="IJ67" i="8"/>
  <c r="II67" i="8"/>
  <c r="IJ66" i="8"/>
  <c r="II66" i="8"/>
  <c r="IJ65" i="8"/>
  <c r="II65" i="8"/>
  <c r="IJ64" i="8"/>
  <c r="II64" i="8"/>
  <c r="IJ63" i="8"/>
  <c r="II63" i="8"/>
  <c r="IJ59" i="8"/>
  <c r="II59" i="8"/>
  <c r="IJ58" i="8"/>
  <c r="II58" i="8"/>
  <c r="IJ57" i="8"/>
  <c r="II57" i="8"/>
  <c r="IJ56" i="8"/>
  <c r="II56" i="8"/>
  <c r="IJ55" i="8"/>
  <c r="II55" i="8"/>
  <c r="IJ54" i="8"/>
  <c r="II54" i="8"/>
  <c r="IJ53" i="8"/>
  <c r="II53" i="8"/>
  <c r="IJ52" i="8"/>
  <c r="II52" i="8"/>
  <c r="IJ51" i="8"/>
  <c r="II51" i="8"/>
  <c r="IJ47" i="8"/>
  <c r="II47" i="8"/>
  <c r="IJ46" i="8"/>
  <c r="II46" i="8"/>
  <c r="IJ45" i="8"/>
  <c r="II45" i="8"/>
  <c r="IJ44" i="8"/>
  <c r="II44" i="8"/>
  <c r="IJ43" i="8"/>
  <c r="II43" i="8"/>
  <c r="IJ42" i="8"/>
  <c r="II42" i="8"/>
  <c r="IJ41" i="8"/>
  <c r="II41" i="8"/>
  <c r="IJ40" i="8"/>
  <c r="II40" i="8"/>
  <c r="IJ39" i="8"/>
  <c r="II39" i="8"/>
  <c r="IH83" i="8"/>
  <c r="IG83" i="8"/>
  <c r="IH82" i="8"/>
  <c r="IG82" i="8"/>
  <c r="IH81" i="8"/>
  <c r="IG81" i="8"/>
  <c r="IH80" i="8"/>
  <c r="IG80" i="8"/>
  <c r="IH79" i="8"/>
  <c r="IG79" i="8"/>
  <c r="IH78" i="8"/>
  <c r="IG78" i="8"/>
  <c r="IH77" i="8"/>
  <c r="IG77" i="8"/>
  <c r="IH76" i="8"/>
  <c r="IG76" i="8"/>
  <c r="IH75" i="8"/>
  <c r="IG75" i="8"/>
  <c r="IH71" i="8"/>
  <c r="IG71" i="8"/>
  <c r="IH70" i="8"/>
  <c r="IG70" i="8"/>
  <c r="IH69" i="8"/>
  <c r="IG69" i="8"/>
  <c r="IH68" i="8"/>
  <c r="IG68" i="8"/>
  <c r="IH67" i="8"/>
  <c r="IG67" i="8"/>
  <c r="IH66" i="8"/>
  <c r="IG66" i="8"/>
  <c r="IH65" i="8"/>
  <c r="IG65" i="8"/>
  <c r="IH64" i="8"/>
  <c r="IG64" i="8"/>
  <c r="IH63" i="8"/>
  <c r="IG63" i="8"/>
  <c r="IH59" i="8"/>
  <c r="IG59" i="8"/>
  <c r="IH58" i="8"/>
  <c r="IG58" i="8"/>
  <c r="IH57" i="8"/>
  <c r="IG57" i="8"/>
  <c r="IH56" i="8"/>
  <c r="IG56" i="8"/>
  <c r="IH55" i="8"/>
  <c r="IG55" i="8"/>
  <c r="IH54" i="8"/>
  <c r="IG54" i="8"/>
  <c r="IH53" i="8"/>
  <c r="IG53" i="8"/>
  <c r="IH52" i="8"/>
  <c r="IG52" i="8"/>
  <c r="IH51" i="8"/>
  <c r="IG51" i="8"/>
  <c r="IH47" i="8"/>
  <c r="IG47" i="8"/>
  <c r="IH46" i="8"/>
  <c r="IG46" i="8"/>
  <c r="IH45" i="8"/>
  <c r="IG45" i="8"/>
  <c r="IH44" i="8"/>
  <c r="IG44" i="8"/>
  <c r="IH43" i="8"/>
  <c r="IG43" i="8"/>
  <c r="IH42" i="8"/>
  <c r="IG42" i="8"/>
  <c r="IH41" i="8"/>
  <c r="IG41" i="8"/>
  <c r="IH40" i="8"/>
  <c r="IG40" i="8"/>
  <c r="IH39" i="8"/>
  <c r="IG39" i="8"/>
  <c r="IF83" i="8"/>
  <c r="IE83" i="8"/>
  <c r="IF82" i="8"/>
  <c r="IE82" i="8"/>
  <c r="IF81" i="8"/>
  <c r="IE81" i="8"/>
  <c r="IF80" i="8"/>
  <c r="IE80" i="8"/>
  <c r="IF79" i="8"/>
  <c r="IE79" i="8"/>
  <c r="IF78" i="8"/>
  <c r="IE78" i="8"/>
  <c r="IF77" i="8"/>
  <c r="IE77" i="8"/>
  <c r="IF76" i="8"/>
  <c r="IE76" i="8"/>
  <c r="IF75" i="8"/>
  <c r="IE75" i="8"/>
  <c r="IF71" i="8"/>
  <c r="IE71" i="8"/>
  <c r="IF70" i="8"/>
  <c r="IE70" i="8"/>
  <c r="IF69" i="8"/>
  <c r="IE69" i="8"/>
  <c r="IF68" i="8"/>
  <c r="IE68" i="8"/>
  <c r="IF67" i="8"/>
  <c r="IE67" i="8"/>
  <c r="IF66" i="8"/>
  <c r="IE66" i="8"/>
  <c r="IF65" i="8"/>
  <c r="IE65" i="8"/>
  <c r="IF64" i="8"/>
  <c r="IE64" i="8"/>
  <c r="IF63" i="8"/>
  <c r="IE63" i="8"/>
  <c r="IF59" i="8"/>
  <c r="IE59" i="8"/>
  <c r="IF58" i="8"/>
  <c r="IE58" i="8"/>
  <c r="IF57" i="8"/>
  <c r="IE57" i="8"/>
  <c r="IF56" i="8"/>
  <c r="IE56" i="8"/>
  <c r="IF55" i="8"/>
  <c r="IE55" i="8"/>
  <c r="IF54" i="8"/>
  <c r="IE54" i="8"/>
  <c r="IF53" i="8"/>
  <c r="IE53" i="8"/>
  <c r="IF52" i="8"/>
  <c r="IE52" i="8"/>
  <c r="IF51" i="8"/>
  <c r="IE51" i="8"/>
  <c r="IF47" i="8"/>
  <c r="IE47" i="8"/>
  <c r="IF46" i="8"/>
  <c r="IE46" i="8"/>
  <c r="IF45" i="8"/>
  <c r="IE45" i="8"/>
  <c r="IF44" i="8"/>
  <c r="IE44" i="8"/>
  <c r="IF43" i="8"/>
  <c r="IE43" i="8"/>
  <c r="IF42" i="8"/>
  <c r="IE42" i="8"/>
  <c r="IF41" i="8"/>
  <c r="IE41" i="8"/>
  <c r="IF40" i="8"/>
  <c r="IE40" i="8"/>
  <c r="IF39" i="8"/>
  <c r="IE39" i="8"/>
  <c r="ID83" i="8"/>
  <c r="IC83" i="8"/>
  <c r="ID82" i="8"/>
  <c r="IC82" i="8"/>
  <c r="ID81" i="8"/>
  <c r="IC81" i="8"/>
  <c r="ID80" i="8"/>
  <c r="IC80" i="8"/>
  <c r="ID79" i="8"/>
  <c r="IC79" i="8"/>
  <c r="ID78" i="8"/>
  <c r="IC78" i="8"/>
  <c r="ID77" i="8"/>
  <c r="IC77" i="8"/>
  <c r="ID76" i="8"/>
  <c r="IC76" i="8"/>
  <c r="ID75" i="8"/>
  <c r="IC75" i="8"/>
  <c r="ID71" i="8"/>
  <c r="IC71" i="8"/>
  <c r="ID70" i="8"/>
  <c r="IC70" i="8"/>
  <c r="ID69" i="8"/>
  <c r="IC69" i="8"/>
  <c r="ID68" i="8"/>
  <c r="IC68" i="8"/>
  <c r="ID67" i="8"/>
  <c r="IC67" i="8"/>
  <c r="ID66" i="8"/>
  <c r="IC66" i="8"/>
  <c r="ID65" i="8"/>
  <c r="IC65" i="8"/>
  <c r="ID64" i="8"/>
  <c r="IC64" i="8"/>
  <c r="ID63" i="8"/>
  <c r="IC63" i="8"/>
  <c r="ID59" i="8"/>
  <c r="IC59" i="8"/>
  <c r="ID58" i="8"/>
  <c r="IC58" i="8"/>
  <c r="ID57" i="8"/>
  <c r="IC57" i="8"/>
  <c r="ID56" i="8"/>
  <c r="IC56" i="8"/>
  <c r="ID55" i="8"/>
  <c r="IC55" i="8"/>
  <c r="ID54" i="8"/>
  <c r="IC54" i="8"/>
  <c r="ID53" i="8"/>
  <c r="IC53" i="8"/>
  <c r="ID52" i="8"/>
  <c r="IC52" i="8"/>
  <c r="ID51" i="8"/>
  <c r="IC51" i="8"/>
  <c r="ID47" i="8"/>
  <c r="IC47" i="8"/>
  <c r="ID46" i="8"/>
  <c r="IC46" i="8"/>
  <c r="ID45" i="8"/>
  <c r="IC45" i="8"/>
  <c r="ID44" i="8"/>
  <c r="IC44" i="8"/>
  <c r="ID43" i="8"/>
  <c r="IC43" i="8"/>
  <c r="ID42" i="8"/>
  <c r="IC42" i="8"/>
  <c r="ID41" i="8"/>
  <c r="IC41" i="8"/>
  <c r="ID40" i="8"/>
  <c r="IC40" i="8"/>
  <c r="ID39" i="8"/>
  <c r="IC39" i="8"/>
  <c r="IB83" i="8"/>
  <c r="IA83" i="8"/>
  <c r="IB82" i="8"/>
  <c r="IA82" i="8"/>
  <c r="IB81" i="8"/>
  <c r="IA81" i="8"/>
  <c r="IB80" i="8"/>
  <c r="IA80" i="8"/>
  <c r="IB79" i="8"/>
  <c r="IA79" i="8"/>
  <c r="IB78" i="8"/>
  <c r="IA78" i="8"/>
  <c r="IB77" i="8"/>
  <c r="IA77" i="8"/>
  <c r="IB76" i="8"/>
  <c r="IA76" i="8"/>
  <c r="IB75" i="8"/>
  <c r="IA75" i="8"/>
  <c r="IB71" i="8"/>
  <c r="IA71" i="8"/>
  <c r="IB70" i="8"/>
  <c r="IA70" i="8"/>
  <c r="IB69" i="8"/>
  <c r="IA69" i="8"/>
  <c r="IB68" i="8"/>
  <c r="IA68" i="8"/>
  <c r="IB67" i="8"/>
  <c r="IA67" i="8"/>
  <c r="IB66" i="8"/>
  <c r="IA66" i="8"/>
  <c r="IB65" i="8"/>
  <c r="IA65" i="8"/>
  <c r="IB64" i="8"/>
  <c r="IA64" i="8"/>
  <c r="IB63" i="8"/>
  <c r="IA63" i="8"/>
  <c r="IB59" i="8"/>
  <c r="IA59" i="8"/>
  <c r="IB58" i="8"/>
  <c r="IA58" i="8"/>
  <c r="IB57" i="8"/>
  <c r="IA57" i="8"/>
  <c r="IB56" i="8"/>
  <c r="IA56" i="8"/>
  <c r="IB55" i="8"/>
  <c r="IA55" i="8"/>
  <c r="IB54" i="8"/>
  <c r="IA54" i="8"/>
  <c r="IB53" i="8"/>
  <c r="IA53" i="8"/>
  <c r="IB52" i="8"/>
  <c r="IA52" i="8"/>
  <c r="IB51" i="8"/>
  <c r="IA51" i="8"/>
  <c r="IB47" i="8"/>
  <c r="IA47" i="8"/>
  <c r="IB46" i="8"/>
  <c r="IA46" i="8"/>
  <c r="IB45" i="8"/>
  <c r="IA45" i="8"/>
  <c r="IB44" i="8"/>
  <c r="IA44" i="8"/>
  <c r="IB43" i="8"/>
  <c r="IA43" i="8"/>
  <c r="IB42" i="8"/>
  <c r="IA42" i="8"/>
  <c r="IB41" i="8"/>
  <c r="IA41" i="8"/>
  <c r="IB40" i="8"/>
  <c r="IA40" i="8"/>
  <c r="IB39" i="8"/>
  <c r="IA39" i="8"/>
  <c r="HZ83" i="8"/>
  <c r="HY83" i="8"/>
  <c r="HZ82" i="8"/>
  <c r="HY82" i="8"/>
  <c r="HZ81" i="8"/>
  <c r="HY81" i="8"/>
  <c r="HZ80" i="8"/>
  <c r="HY80" i="8"/>
  <c r="HZ79" i="8"/>
  <c r="HY79" i="8"/>
  <c r="HZ78" i="8"/>
  <c r="HY78" i="8"/>
  <c r="HZ77" i="8"/>
  <c r="HY77" i="8"/>
  <c r="HZ76" i="8"/>
  <c r="HY76" i="8"/>
  <c r="HZ75" i="8"/>
  <c r="HY75" i="8"/>
  <c r="HZ71" i="8"/>
  <c r="HY71" i="8"/>
  <c r="HZ70" i="8"/>
  <c r="HY70" i="8"/>
  <c r="HZ69" i="8"/>
  <c r="HY69" i="8"/>
  <c r="HZ68" i="8"/>
  <c r="HY68" i="8"/>
  <c r="HZ67" i="8"/>
  <c r="HY67" i="8"/>
  <c r="HZ66" i="8"/>
  <c r="HY66" i="8"/>
  <c r="HZ65" i="8"/>
  <c r="HY65" i="8"/>
  <c r="HZ64" i="8"/>
  <c r="HY64" i="8"/>
  <c r="HZ63" i="8"/>
  <c r="HY63" i="8"/>
  <c r="HZ59" i="8"/>
  <c r="HY59" i="8"/>
  <c r="HZ58" i="8"/>
  <c r="HY58" i="8"/>
  <c r="HZ57" i="8"/>
  <c r="HY57" i="8"/>
  <c r="HZ56" i="8"/>
  <c r="HY56" i="8"/>
  <c r="HZ55" i="8"/>
  <c r="HY55" i="8"/>
  <c r="HZ54" i="8"/>
  <c r="HY54" i="8"/>
  <c r="HZ53" i="8"/>
  <c r="HY53" i="8"/>
  <c r="HZ52" i="8"/>
  <c r="HY52" i="8"/>
  <c r="HZ51" i="8"/>
  <c r="HY51" i="8"/>
  <c r="HZ47" i="8"/>
  <c r="HY47" i="8"/>
  <c r="HZ46" i="8"/>
  <c r="HY46" i="8"/>
  <c r="HZ45" i="8"/>
  <c r="HY45" i="8"/>
  <c r="HZ44" i="8"/>
  <c r="HY44" i="8"/>
  <c r="HZ43" i="8"/>
  <c r="HY43" i="8"/>
  <c r="HZ42" i="8"/>
  <c r="HY42" i="8"/>
  <c r="HZ41" i="8"/>
  <c r="HY41" i="8"/>
  <c r="HZ40" i="8"/>
  <c r="HY40" i="8"/>
  <c r="HZ39" i="8"/>
  <c r="HY39" i="8"/>
  <c r="HX83" i="8"/>
  <c r="HW83" i="8"/>
  <c r="HX82" i="8"/>
  <c r="HW82" i="8"/>
  <c r="HX81" i="8"/>
  <c r="HW81" i="8"/>
  <c r="HX80" i="8"/>
  <c r="HW80" i="8"/>
  <c r="HX79" i="8"/>
  <c r="HW79" i="8"/>
  <c r="HX78" i="8"/>
  <c r="HW78" i="8"/>
  <c r="HX77" i="8"/>
  <c r="HW77" i="8"/>
  <c r="HX76" i="8"/>
  <c r="HW76" i="8"/>
  <c r="HX75" i="8"/>
  <c r="HW75" i="8"/>
  <c r="HX71" i="8"/>
  <c r="HW71" i="8"/>
  <c r="HX70" i="8"/>
  <c r="HW70" i="8"/>
  <c r="HX69" i="8"/>
  <c r="HW69" i="8"/>
  <c r="HX68" i="8"/>
  <c r="HW68" i="8"/>
  <c r="HX67" i="8"/>
  <c r="HW67" i="8"/>
  <c r="HX66" i="8"/>
  <c r="HW66" i="8"/>
  <c r="HX65" i="8"/>
  <c r="HW65" i="8"/>
  <c r="HX64" i="8"/>
  <c r="HW64" i="8"/>
  <c r="HX63" i="8"/>
  <c r="HW63" i="8"/>
  <c r="HX59" i="8"/>
  <c r="HW59" i="8"/>
  <c r="HX58" i="8"/>
  <c r="HW58" i="8"/>
  <c r="HX57" i="8"/>
  <c r="HW57" i="8"/>
  <c r="HX56" i="8"/>
  <c r="HW56" i="8"/>
  <c r="HX55" i="8"/>
  <c r="HW55" i="8"/>
  <c r="HX54" i="8"/>
  <c r="HW54" i="8"/>
  <c r="HX53" i="8"/>
  <c r="HW53" i="8"/>
  <c r="HX52" i="8"/>
  <c r="HW52" i="8"/>
  <c r="HX51" i="8"/>
  <c r="HW51" i="8"/>
  <c r="HX47" i="8"/>
  <c r="HW47" i="8"/>
  <c r="HX46" i="8"/>
  <c r="HW46" i="8"/>
  <c r="HX45" i="8"/>
  <c r="HW45" i="8"/>
  <c r="HX44" i="8"/>
  <c r="HW44" i="8"/>
  <c r="HX43" i="8"/>
  <c r="HW43" i="8"/>
  <c r="HX42" i="8"/>
  <c r="HW42" i="8"/>
  <c r="HX41" i="8"/>
  <c r="HW41" i="8"/>
  <c r="HX40" i="8"/>
  <c r="HW40" i="8"/>
  <c r="HX39" i="8"/>
  <c r="HW39" i="8"/>
  <c r="HV83" i="8"/>
  <c r="HU83" i="8"/>
  <c r="HV82" i="8"/>
  <c r="HU82" i="8"/>
  <c r="HV81" i="8"/>
  <c r="HU81" i="8"/>
  <c r="HV80" i="8"/>
  <c r="HU80" i="8"/>
  <c r="HV79" i="8"/>
  <c r="HU79" i="8"/>
  <c r="HV78" i="8"/>
  <c r="HU78" i="8"/>
  <c r="HV77" i="8"/>
  <c r="HU77" i="8"/>
  <c r="HV76" i="8"/>
  <c r="HU76" i="8"/>
  <c r="HV75" i="8"/>
  <c r="HU75" i="8"/>
  <c r="HV71" i="8"/>
  <c r="HU71" i="8"/>
  <c r="HV70" i="8"/>
  <c r="HU70" i="8"/>
  <c r="HV69" i="8"/>
  <c r="HU69" i="8"/>
  <c r="HV68" i="8"/>
  <c r="HU68" i="8"/>
  <c r="HV67" i="8"/>
  <c r="HU67" i="8"/>
  <c r="HV66" i="8"/>
  <c r="HU66" i="8"/>
  <c r="HV65" i="8"/>
  <c r="HU65" i="8"/>
  <c r="HV64" i="8"/>
  <c r="HU64" i="8"/>
  <c r="HV63" i="8"/>
  <c r="HU63" i="8"/>
  <c r="HV59" i="8"/>
  <c r="HU59" i="8"/>
  <c r="HV58" i="8"/>
  <c r="HU58" i="8"/>
  <c r="HV57" i="8"/>
  <c r="HU57" i="8"/>
  <c r="HV56" i="8"/>
  <c r="HU56" i="8"/>
  <c r="HV55" i="8"/>
  <c r="HU55" i="8"/>
  <c r="HV54" i="8"/>
  <c r="HU54" i="8"/>
  <c r="HV53" i="8"/>
  <c r="HU53" i="8"/>
  <c r="HV52" i="8"/>
  <c r="HU52" i="8"/>
  <c r="HV51" i="8"/>
  <c r="HU51" i="8"/>
  <c r="HV47" i="8"/>
  <c r="HU47" i="8"/>
  <c r="HV46" i="8"/>
  <c r="HU46" i="8"/>
  <c r="HV45" i="8"/>
  <c r="HU45" i="8"/>
  <c r="HV44" i="8"/>
  <c r="HU44" i="8"/>
  <c r="HV43" i="8"/>
  <c r="HU43" i="8"/>
  <c r="HV42" i="8"/>
  <c r="HU42" i="8"/>
  <c r="HV41" i="8"/>
  <c r="HU41" i="8"/>
  <c r="HV40" i="8"/>
  <c r="HU40" i="8"/>
  <c r="HV39" i="8"/>
  <c r="HU39" i="8"/>
  <c r="HT83" i="8"/>
  <c r="HS83" i="8"/>
  <c r="HT82" i="8"/>
  <c r="HS82" i="8"/>
  <c r="HT81" i="8"/>
  <c r="HS81" i="8"/>
  <c r="HT80" i="8"/>
  <c r="HS80" i="8"/>
  <c r="HT79" i="8"/>
  <c r="HS79" i="8"/>
  <c r="HT78" i="8"/>
  <c r="HS78" i="8"/>
  <c r="HT77" i="8"/>
  <c r="HS77" i="8"/>
  <c r="HT76" i="8"/>
  <c r="HS76" i="8"/>
  <c r="HT75" i="8"/>
  <c r="HS75" i="8"/>
  <c r="HT71" i="8"/>
  <c r="HS71" i="8"/>
  <c r="HT70" i="8"/>
  <c r="HS70" i="8"/>
  <c r="HT69" i="8"/>
  <c r="HS69" i="8"/>
  <c r="HT68" i="8"/>
  <c r="HS68" i="8"/>
  <c r="HT67" i="8"/>
  <c r="HS67" i="8"/>
  <c r="HT66" i="8"/>
  <c r="HS66" i="8"/>
  <c r="HT65" i="8"/>
  <c r="HS65" i="8"/>
  <c r="HT64" i="8"/>
  <c r="HS64" i="8"/>
  <c r="HT63" i="8"/>
  <c r="HS63" i="8"/>
  <c r="HT59" i="8"/>
  <c r="HS59" i="8"/>
  <c r="HT58" i="8"/>
  <c r="HS58" i="8"/>
  <c r="HT57" i="8"/>
  <c r="HS57" i="8"/>
  <c r="HT56" i="8"/>
  <c r="HS56" i="8"/>
  <c r="HT55" i="8"/>
  <c r="HS55" i="8"/>
  <c r="HT54" i="8"/>
  <c r="HS54" i="8"/>
  <c r="HT53" i="8"/>
  <c r="HS53" i="8"/>
  <c r="HT52" i="8"/>
  <c r="HS52" i="8"/>
  <c r="HT51" i="8"/>
  <c r="HS51" i="8"/>
  <c r="HT47" i="8"/>
  <c r="HS47" i="8"/>
  <c r="HT46" i="8"/>
  <c r="HS46" i="8"/>
  <c r="HT45" i="8"/>
  <c r="HS45" i="8"/>
  <c r="HT44" i="8"/>
  <c r="HS44" i="8"/>
  <c r="HT43" i="8"/>
  <c r="HS43" i="8"/>
  <c r="HT42" i="8"/>
  <c r="HS42" i="8"/>
  <c r="HT41" i="8"/>
  <c r="HS41" i="8"/>
  <c r="HT40" i="8"/>
  <c r="HS40" i="8"/>
  <c r="HT39" i="8"/>
  <c r="HS39" i="8"/>
  <c r="HR83" i="8"/>
  <c r="HQ83" i="8"/>
  <c r="HR82" i="8"/>
  <c r="HQ82" i="8"/>
  <c r="HR81" i="8"/>
  <c r="HQ81" i="8"/>
  <c r="HR80" i="8"/>
  <c r="HQ80" i="8"/>
  <c r="HR79" i="8"/>
  <c r="HQ79" i="8"/>
  <c r="HR78" i="8"/>
  <c r="HQ78" i="8"/>
  <c r="HR77" i="8"/>
  <c r="HQ77" i="8"/>
  <c r="HR76" i="8"/>
  <c r="HQ76" i="8"/>
  <c r="HR75" i="8"/>
  <c r="HQ75" i="8"/>
  <c r="HR71" i="8"/>
  <c r="HQ71" i="8"/>
  <c r="HR70" i="8"/>
  <c r="HQ70" i="8"/>
  <c r="HR69" i="8"/>
  <c r="HQ69" i="8"/>
  <c r="HR68" i="8"/>
  <c r="HQ68" i="8"/>
  <c r="HR67" i="8"/>
  <c r="HQ67" i="8"/>
  <c r="HR66" i="8"/>
  <c r="HQ66" i="8"/>
  <c r="HR65" i="8"/>
  <c r="HQ65" i="8"/>
  <c r="HR64" i="8"/>
  <c r="HQ64" i="8"/>
  <c r="HR63" i="8"/>
  <c r="HQ63" i="8"/>
  <c r="HR59" i="8"/>
  <c r="HQ59" i="8"/>
  <c r="HR58" i="8"/>
  <c r="HQ58" i="8"/>
  <c r="HR57" i="8"/>
  <c r="HQ57" i="8"/>
  <c r="HR56" i="8"/>
  <c r="HQ56" i="8"/>
  <c r="HR55" i="8"/>
  <c r="HQ55" i="8"/>
  <c r="HR54" i="8"/>
  <c r="HQ54" i="8"/>
  <c r="HR53" i="8"/>
  <c r="HQ53" i="8"/>
  <c r="HR52" i="8"/>
  <c r="HQ52" i="8"/>
  <c r="HR51" i="8"/>
  <c r="HQ51" i="8"/>
  <c r="HR47" i="8"/>
  <c r="HQ47" i="8"/>
  <c r="HR46" i="8"/>
  <c r="HQ46" i="8"/>
  <c r="HR45" i="8"/>
  <c r="HQ45" i="8"/>
  <c r="HR44" i="8"/>
  <c r="HQ44" i="8"/>
  <c r="HR43" i="8"/>
  <c r="HQ43" i="8"/>
  <c r="HR42" i="8"/>
  <c r="HQ42" i="8"/>
  <c r="HR41" i="8"/>
  <c r="HQ41" i="8"/>
  <c r="HR40" i="8"/>
  <c r="HQ40" i="8"/>
  <c r="HR39" i="8"/>
  <c r="HQ39" i="8"/>
  <c r="HP83" i="8"/>
  <c r="HO83" i="8"/>
  <c r="HP82" i="8"/>
  <c r="HO82" i="8"/>
  <c r="HP81" i="8"/>
  <c r="HO81" i="8"/>
  <c r="HP80" i="8"/>
  <c r="HO80" i="8"/>
  <c r="HP79" i="8"/>
  <c r="HO79" i="8"/>
  <c r="HP78" i="8"/>
  <c r="HO78" i="8"/>
  <c r="HP77" i="8"/>
  <c r="HO77" i="8"/>
  <c r="HP76" i="8"/>
  <c r="HO76" i="8"/>
  <c r="HP75" i="8"/>
  <c r="HO75" i="8"/>
  <c r="HP71" i="8"/>
  <c r="HO71" i="8"/>
  <c r="HP70" i="8"/>
  <c r="HO70" i="8"/>
  <c r="HP69" i="8"/>
  <c r="HO69" i="8"/>
  <c r="HP68" i="8"/>
  <c r="HO68" i="8"/>
  <c r="HP67" i="8"/>
  <c r="HO67" i="8"/>
  <c r="HP66" i="8"/>
  <c r="HO66" i="8"/>
  <c r="HP65" i="8"/>
  <c r="HO65" i="8"/>
  <c r="HP64" i="8"/>
  <c r="HO64" i="8"/>
  <c r="HP63" i="8"/>
  <c r="HO63" i="8"/>
  <c r="HP59" i="8"/>
  <c r="HO59" i="8"/>
  <c r="HP58" i="8"/>
  <c r="HO58" i="8"/>
  <c r="HP57" i="8"/>
  <c r="HO57" i="8"/>
  <c r="HP56" i="8"/>
  <c r="HO56" i="8"/>
  <c r="HP55" i="8"/>
  <c r="HO55" i="8"/>
  <c r="HP54" i="8"/>
  <c r="HO54" i="8"/>
  <c r="HP53" i="8"/>
  <c r="HO53" i="8"/>
  <c r="HP52" i="8"/>
  <c r="HO52" i="8"/>
  <c r="HP51" i="8"/>
  <c r="HO51" i="8"/>
  <c r="HP47" i="8"/>
  <c r="HO47" i="8"/>
  <c r="HP46" i="8"/>
  <c r="HO46" i="8"/>
  <c r="HP45" i="8"/>
  <c r="HO45" i="8"/>
  <c r="HP44" i="8"/>
  <c r="HO44" i="8"/>
  <c r="HP43" i="8"/>
  <c r="HO43" i="8"/>
  <c r="HP42" i="8"/>
  <c r="HO42" i="8"/>
  <c r="HP41" i="8"/>
  <c r="HO41" i="8"/>
  <c r="HP40" i="8"/>
  <c r="HO40" i="8"/>
  <c r="HP39" i="8"/>
  <c r="HO39" i="8"/>
  <c r="HN83" i="8"/>
  <c r="HM83" i="8"/>
  <c r="HN82" i="8"/>
  <c r="HM82" i="8"/>
  <c r="HN81" i="8"/>
  <c r="HM81" i="8"/>
  <c r="HN80" i="8"/>
  <c r="HM80" i="8"/>
  <c r="HN79" i="8"/>
  <c r="HM79" i="8"/>
  <c r="HN78" i="8"/>
  <c r="HM78" i="8"/>
  <c r="HN77" i="8"/>
  <c r="HM77" i="8"/>
  <c r="HN76" i="8"/>
  <c r="HM76" i="8"/>
  <c r="HN75" i="8"/>
  <c r="HM75" i="8"/>
  <c r="HN71" i="8"/>
  <c r="HM71" i="8"/>
  <c r="HN70" i="8"/>
  <c r="HM70" i="8"/>
  <c r="HN69" i="8"/>
  <c r="HM69" i="8"/>
  <c r="HN68" i="8"/>
  <c r="HM68" i="8"/>
  <c r="HN67" i="8"/>
  <c r="HM67" i="8"/>
  <c r="HN66" i="8"/>
  <c r="HM66" i="8"/>
  <c r="HN65" i="8"/>
  <c r="HM65" i="8"/>
  <c r="HN64" i="8"/>
  <c r="HM64" i="8"/>
  <c r="HN63" i="8"/>
  <c r="HM63" i="8"/>
  <c r="HN59" i="8"/>
  <c r="HM59" i="8"/>
  <c r="HN58" i="8"/>
  <c r="HM58" i="8"/>
  <c r="HN57" i="8"/>
  <c r="HM57" i="8"/>
  <c r="HN56" i="8"/>
  <c r="HM56" i="8"/>
  <c r="HN55" i="8"/>
  <c r="HM55" i="8"/>
  <c r="HN54" i="8"/>
  <c r="HM54" i="8"/>
  <c r="HN53" i="8"/>
  <c r="HM53" i="8"/>
  <c r="HN52" i="8"/>
  <c r="HM52" i="8"/>
  <c r="HN51" i="8"/>
  <c r="HM51" i="8"/>
  <c r="HN47" i="8"/>
  <c r="HM47" i="8"/>
  <c r="HN46" i="8"/>
  <c r="HM46" i="8"/>
  <c r="HN45" i="8"/>
  <c r="HM45" i="8"/>
  <c r="HN44" i="8"/>
  <c r="HM44" i="8"/>
  <c r="HN43" i="8"/>
  <c r="HM43" i="8"/>
  <c r="HN42" i="8"/>
  <c r="HM42" i="8"/>
  <c r="HN41" i="8"/>
  <c r="HM41" i="8"/>
  <c r="HN40" i="8"/>
  <c r="HM40" i="8"/>
  <c r="HN39" i="8"/>
  <c r="HM39" i="8"/>
  <c r="HL83" i="8"/>
  <c r="HK83" i="8"/>
  <c r="HL82" i="8"/>
  <c r="HK82" i="8"/>
  <c r="HL81" i="8"/>
  <c r="HK81" i="8"/>
  <c r="HL80" i="8"/>
  <c r="HK80" i="8"/>
  <c r="HL79" i="8"/>
  <c r="HK79" i="8"/>
  <c r="HL78" i="8"/>
  <c r="HK78" i="8"/>
  <c r="HL77" i="8"/>
  <c r="HK77" i="8"/>
  <c r="HL76" i="8"/>
  <c r="HK76" i="8"/>
  <c r="HL75" i="8"/>
  <c r="HK75" i="8"/>
  <c r="HL71" i="8"/>
  <c r="HK71" i="8"/>
  <c r="HL70" i="8"/>
  <c r="HK70" i="8"/>
  <c r="HL69" i="8"/>
  <c r="HK69" i="8"/>
  <c r="HL68" i="8"/>
  <c r="HK68" i="8"/>
  <c r="HL67" i="8"/>
  <c r="HK67" i="8"/>
  <c r="HL66" i="8"/>
  <c r="HK66" i="8"/>
  <c r="HL65" i="8"/>
  <c r="HK65" i="8"/>
  <c r="HL64" i="8"/>
  <c r="HK64" i="8"/>
  <c r="HL63" i="8"/>
  <c r="HK63" i="8"/>
  <c r="HL59" i="8"/>
  <c r="HK59" i="8"/>
  <c r="HL58" i="8"/>
  <c r="HK58" i="8"/>
  <c r="HL57" i="8"/>
  <c r="HK57" i="8"/>
  <c r="HL56" i="8"/>
  <c r="HK56" i="8"/>
  <c r="HL55" i="8"/>
  <c r="HK55" i="8"/>
  <c r="HL54" i="8"/>
  <c r="HK54" i="8"/>
  <c r="HL53" i="8"/>
  <c r="HK53" i="8"/>
  <c r="HL52" i="8"/>
  <c r="HK52" i="8"/>
  <c r="HL51" i="8"/>
  <c r="HK51" i="8"/>
  <c r="HL47" i="8"/>
  <c r="HK47" i="8"/>
  <c r="HL46" i="8"/>
  <c r="HK46" i="8"/>
  <c r="HL45" i="8"/>
  <c r="HK45" i="8"/>
  <c r="HL44" i="8"/>
  <c r="HK44" i="8"/>
  <c r="HL43" i="8"/>
  <c r="HK43" i="8"/>
  <c r="HL42" i="8"/>
  <c r="HK42" i="8"/>
  <c r="HL41" i="8"/>
  <c r="HK41" i="8"/>
  <c r="HL40" i="8"/>
  <c r="HK40" i="8"/>
  <c r="HL39" i="8"/>
  <c r="HK39" i="8"/>
  <c r="HJ83" i="8"/>
  <c r="HI83" i="8"/>
  <c r="HJ82" i="8"/>
  <c r="HI82" i="8"/>
  <c r="HJ81" i="8"/>
  <c r="HI81" i="8"/>
  <c r="HJ80" i="8"/>
  <c r="HI80" i="8"/>
  <c r="HJ79" i="8"/>
  <c r="HI79" i="8"/>
  <c r="HJ78" i="8"/>
  <c r="HI78" i="8"/>
  <c r="HJ77" i="8"/>
  <c r="HI77" i="8"/>
  <c r="HJ76" i="8"/>
  <c r="HI76" i="8"/>
  <c r="HJ75" i="8"/>
  <c r="HI75" i="8"/>
  <c r="HJ71" i="8"/>
  <c r="HI71" i="8"/>
  <c r="HJ70" i="8"/>
  <c r="HI70" i="8"/>
  <c r="HJ69" i="8"/>
  <c r="HI69" i="8"/>
  <c r="HJ68" i="8"/>
  <c r="HI68" i="8"/>
  <c r="HJ67" i="8"/>
  <c r="HI67" i="8"/>
  <c r="HJ66" i="8"/>
  <c r="HI66" i="8"/>
  <c r="HJ65" i="8"/>
  <c r="HI65" i="8"/>
  <c r="HJ64" i="8"/>
  <c r="HI64" i="8"/>
  <c r="HJ63" i="8"/>
  <c r="HI63" i="8"/>
  <c r="HJ59" i="8"/>
  <c r="HI59" i="8"/>
  <c r="HJ58" i="8"/>
  <c r="HI58" i="8"/>
  <c r="HJ57" i="8"/>
  <c r="HI57" i="8"/>
  <c r="HJ56" i="8"/>
  <c r="HI56" i="8"/>
  <c r="HJ55" i="8"/>
  <c r="HI55" i="8"/>
  <c r="HJ54" i="8"/>
  <c r="HI54" i="8"/>
  <c r="HJ53" i="8"/>
  <c r="HI53" i="8"/>
  <c r="HJ52" i="8"/>
  <c r="HI52" i="8"/>
  <c r="HJ51" i="8"/>
  <c r="HI51" i="8"/>
  <c r="HJ47" i="8"/>
  <c r="HI47" i="8"/>
  <c r="HJ46" i="8"/>
  <c r="HI46" i="8"/>
  <c r="HJ45" i="8"/>
  <c r="HI45" i="8"/>
  <c r="HJ44" i="8"/>
  <c r="HI44" i="8"/>
  <c r="HJ43" i="8"/>
  <c r="HI43" i="8"/>
  <c r="HJ42" i="8"/>
  <c r="HI42" i="8"/>
  <c r="HJ41" i="8"/>
  <c r="HI41" i="8"/>
  <c r="HJ40" i="8"/>
  <c r="HI40" i="8"/>
  <c r="HJ39" i="8"/>
  <c r="HI39" i="8"/>
  <c r="HH83" i="8"/>
  <c r="HG83" i="8"/>
  <c r="HH82" i="8"/>
  <c r="HG82" i="8"/>
  <c r="HH81" i="8"/>
  <c r="HG81" i="8"/>
  <c r="HH80" i="8"/>
  <c r="HG80" i="8"/>
  <c r="HH79" i="8"/>
  <c r="HG79" i="8"/>
  <c r="HH78" i="8"/>
  <c r="HG78" i="8"/>
  <c r="HH77" i="8"/>
  <c r="HG77" i="8"/>
  <c r="HH76" i="8"/>
  <c r="HG76" i="8"/>
  <c r="HH75" i="8"/>
  <c r="HG75" i="8"/>
  <c r="HH71" i="8"/>
  <c r="HG71" i="8"/>
  <c r="HH70" i="8"/>
  <c r="HG70" i="8"/>
  <c r="HH69" i="8"/>
  <c r="HG69" i="8"/>
  <c r="HH68" i="8"/>
  <c r="HG68" i="8"/>
  <c r="HH67" i="8"/>
  <c r="HG67" i="8"/>
  <c r="HH66" i="8"/>
  <c r="HG66" i="8"/>
  <c r="HH65" i="8"/>
  <c r="HG65" i="8"/>
  <c r="HH64" i="8"/>
  <c r="HG64" i="8"/>
  <c r="HH63" i="8"/>
  <c r="HG63" i="8"/>
  <c r="HH59" i="8"/>
  <c r="HG59" i="8"/>
  <c r="HH58" i="8"/>
  <c r="HG58" i="8"/>
  <c r="HH57" i="8"/>
  <c r="HG57" i="8"/>
  <c r="HH56" i="8"/>
  <c r="HG56" i="8"/>
  <c r="HH55" i="8"/>
  <c r="HG55" i="8"/>
  <c r="HH54" i="8"/>
  <c r="HG54" i="8"/>
  <c r="HH53" i="8"/>
  <c r="HG53" i="8"/>
  <c r="HH52" i="8"/>
  <c r="HG52" i="8"/>
  <c r="HH51" i="8"/>
  <c r="HG51" i="8"/>
  <c r="HH47" i="8"/>
  <c r="HG47" i="8"/>
  <c r="HH46" i="8"/>
  <c r="HG46" i="8"/>
  <c r="HH45" i="8"/>
  <c r="HG45" i="8"/>
  <c r="HH44" i="8"/>
  <c r="HG44" i="8"/>
  <c r="HH43" i="8"/>
  <c r="HG43" i="8"/>
  <c r="HH42" i="8"/>
  <c r="HG42" i="8"/>
  <c r="HH41" i="8"/>
  <c r="HG41" i="8"/>
  <c r="HH40" i="8"/>
  <c r="HG40" i="8"/>
  <c r="HH39" i="8"/>
  <c r="HG39" i="8"/>
  <c r="HF83" i="8"/>
  <c r="HE83" i="8"/>
  <c r="HF82" i="8"/>
  <c r="HE82" i="8"/>
  <c r="HF81" i="8"/>
  <c r="HE81" i="8"/>
  <c r="HF80" i="8"/>
  <c r="HE80" i="8"/>
  <c r="HF79" i="8"/>
  <c r="HE79" i="8"/>
  <c r="HF78" i="8"/>
  <c r="HE78" i="8"/>
  <c r="HF77" i="8"/>
  <c r="HE77" i="8"/>
  <c r="HF76" i="8"/>
  <c r="HE76" i="8"/>
  <c r="HF75" i="8"/>
  <c r="HE75" i="8"/>
  <c r="HF71" i="8"/>
  <c r="HE71" i="8"/>
  <c r="HF70" i="8"/>
  <c r="HE70" i="8"/>
  <c r="HF69" i="8"/>
  <c r="HE69" i="8"/>
  <c r="HF68" i="8"/>
  <c r="HE68" i="8"/>
  <c r="HF67" i="8"/>
  <c r="HE67" i="8"/>
  <c r="HF66" i="8"/>
  <c r="HE66" i="8"/>
  <c r="HF65" i="8"/>
  <c r="HE65" i="8"/>
  <c r="HF64" i="8"/>
  <c r="HE64" i="8"/>
  <c r="HF63" i="8"/>
  <c r="HE63" i="8"/>
  <c r="HF59" i="8"/>
  <c r="HE59" i="8"/>
  <c r="HF58" i="8"/>
  <c r="HE58" i="8"/>
  <c r="HF57" i="8"/>
  <c r="HE57" i="8"/>
  <c r="HF56" i="8"/>
  <c r="HE56" i="8"/>
  <c r="HF55" i="8"/>
  <c r="HE55" i="8"/>
  <c r="HF54" i="8"/>
  <c r="HE54" i="8"/>
  <c r="HF53" i="8"/>
  <c r="HE53" i="8"/>
  <c r="HF52" i="8"/>
  <c r="HE52" i="8"/>
  <c r="HF51" i="8"/>
  <c r="HE51" i="8"/>
  <c r="HF47" i="8"/>
  <c r="HE47" i="8"/>
  <c r="HF46" i="8"/>
  <c r="HE46" i="8"/>
  <c r="HF45" i="8"/>
  <c r="HE45" i="8"/>
  <c r="HF44" i="8"/>
  <c r="HE44" i="8"/>
  <c r="HF43" i="8"/>
  <c r="HE43" i="8"/>
  <c r="HF42" i="8"/>
  <c r="HE42" i="8"/>
  <c r="HF41" i="8"/>
  <c r="HE41" i="8"/>
  <c r="HF40" i="8"/>
  <c r="HE40" i="8"/>
  <c r="HF39" i="8"/>
  <c r="HE39" i="8"/>
  <c r="HD83" i="8"/>
  <c r="HC83" i="8"/>
  <c r="HD82" i="8"/>
  <c r="HC82" i="8"/>
  <c r="HD81" i="8"/>
  <c r="HC81" i="8"/>
  <c r="HD80" i="8"/>
  <c r="HC80" i="8"/>
  <c r="HD79" i="8"/>
  <c r="HC79" i="8"/>
  <c r="HD78" i="8"/>
  <c r="HC78" i="8"/>
  <c r="HD77" i="8"/>
  <c r="HC77" i="8"/>
  <c r="HD76" i="8"/>
  <c r="HC76" i="8"/>
  <c r="HD75" i="8"/>
  <c r="HC75" i="8"/>
  <c r="HD71" i="8"/>
  <c r="HC71" i="8"/>
  <c r="HD70" i="8"/>
  <c r="HC70" i="8"/>
  <c r="HD69" i="8"/>
  <c r="HC69" i="8"/>
  <c r="HD68" i="8"/>
  <c r="HC68" i="8"/>
  <c r="HD67" i="8"/>
  <c r="HC67" i="8"/>
  <c r="HD66" i="8"/>
  <c r="HC66" i="8"/>
  <c r="HD65" i="8"/>
  <c r="HC65" i="8"/>
  <c r="HD64" i="8"/>
  <c r="HC64" i="8"/>
  <c r="HD63" i="8"/>
  <c r="HC63" i="8"/>
  <c r="HD59" i="8"/>
  <c r="HC59" i="8"/>
  <c r="HD58" i="8"/>
  <c r="HC58" i="8"/>
  <c r="HD57" i="8"/>
  <c r="HC57" i="8"/>
  <c r="HD56" i="8"/>
  <c r="HC56" i="8"/>
  <c r="HD55" i="8"/>
  <c r="HC55" i="8"/>
  <c r="HD54" i="8"/>
  <c r="HC54" i="8"/>
  <c r="HD53" i="8"/>
  <c r="HC53" i="8"/>
  <c r="HD52" i="8"/>
  <c r="HC52" i="8"/>
  <c r="HD51" i="8"/>
  <c r="HC51" i="8"/>
  <c r="HD47" i="8"/>
  <c r="HC47" i="8"/>
  <c r="HD46" i="8"/>
  <c r="HC46" i="8"/>
  <c r="HD45" i="8"/>
  <c r="HC45" i="8"/>
  <c r="HD44" i="8"/>
  <c r="HC44" i="8"/>
  <c r="HD43" i="8"/>
  <c r="HC43" i="8"/>
  <c r="HD42" i="8"/>
  <c r="HC42" i="8"/>
  <c r="HD41" i="8"/>
  <c r="HC41" i="8"/>
  <c r="HD40" i="8"/>
  <c r="HC40" i="8"/>
  <c r="HD39" i="8"/>
  <c r="HC39" i="8"/>
  <c r="HB83" i="8"/>
  <c r="HA83" i="8"/>
  <c r="HB82" i="8"/>
  <c r="HA82" i="8"/>
  <c r="HB81" i="8"/>
  <c r="HA81" i="8"/>
  <c r="HB80" i="8"/>
  <c r="HA80" i="8"/>
  <c r="HB79" i="8"/>
  <c r="HA79" i="8"/>
  <c r="HB78" i="8"/>
  <c r="HA78" i="8"/>
  <c r="HB77" i="8"/>
  <c r="HA77" i="8"/>
  <c r="HB76" i="8"/>
  <c r="HA76" i="8"/>
  <c r="HB75" i="8"/>
  <c r="HA75" i="8"/>
  <c r="HB71" i="8"/>
  <c r="HA71" i="8"/>
  <c r="HB70" i="8"/>
  <c r="HA70" i="8"/>
  <c r="HB69" i="8"/>
  <c r="HA69" i="8"/>
  <c r="HB68" i="8"/>
  <c r="HA68" i="8"/>
  <c r="HB67" i="8"/>
  <c r="HA67" i="8"/>
  <c r="HB66" i="8"/>
  <c r="HA66" i="8"/>
  <c r="HB65" i="8"/>
  <c r="HA65" i="8"/>
  <c r="HB64" i="8"/>
  <c r="HA64" i="8"/>
  <c r="HB63" i="8"/>
  <c r="HA63" i="8"/>
  <c r="HB59" i="8"/>
  <c r="HA59" i="8"/>
  <c r="HB58" i="8"/>
  <c r="HA58" i="8"/>
  <c r="HB57" i="8"/>
  <c r="HA57" i="8"/>
  <c r="HB56" i="8"/>
  <c r="HA56" i="8"/>
  <c r="HB55" i="8"/>
  <c r="HA55" i="8"/>
  <c r="HB54" i="8"/>
  <c r="HA54" i="8"/>
  <c r="HB53" i="8"/>
  <c r="HA53" i="8"/>
  <c r="HB52" i="8"/>
  <c r="HA52" i="8"/>
  <c r="HB51" i="8"/>
  <c r="HA51" i="8"/>
  <c r="HB47" i="8"/>
  <c r="HA47" i="8"/>
  <c r="HB46" i="8"/>
  <c r="HA46" i="8"/>
  <c r="HB45" i="8"/>
  <c r="HA45" i="8"/>
  <c r="HB44" i="8"/>
  <c r="HA44" i="8"/>
  <c r="HB43" i="8"/>
  <c r="HA43" i="8"/>
  <c r="HB42" i="8"/>
  <c r="HA42" i="8"/>
  <c r="HB41" i="8"/>
  <c r="HA41" i="8"/>
  <c r="HB40" i="8"/>
  <c r="HA40" i="8"/>
  <c r="HB39" i="8"/>
  <c r="HA39" i="8"/>
  <c r="GZ83" i="8"/>
  <c r="GY83" i="8"/>
  <c r="GZ82" i="8"/>
  <c r="GY82" i="8"/>
  <c r="GZ81" i="8"/>
  <c r="GY81" i="8"/>
  <c r="GZ80" i="8"/>
  <c r="GY80" i="8"/>
  <c r="GZ79" i="8"/>
  <c r="GY79" i="8"/>
  <c r="GZ78" i="8"/>
  <c r="GY78" i="8"/>
  <c r="GZ77" i="8"/>
  <c r="GY77" i="8"/>
  <c r="GZ76" i="8"/>
  <c r="GY76" i="8"/>
  <c r="GZ75" i="8"/>
  <c r="GY75" i="8"/>
  <c r="GZ71" i="8"/>
  <c r="GY71" i="8"/>
  <c r="GZ70" i="8"/>
  <c r="GY70" i="8"/>
  <c r="GZ69" i="8"/>
  <c r="GY69" i="8"/>
  <c r="GZ68" i="8"/>
  <c r="GY68" i="8"/>
  <c r="GZ67" i="8"/>
  <c r="GY67" i="8"/>
  <c r="GZ66" i="8"/>
  <c r="GY66" i="8"/>
  <c r="GZ65" i="8"/>
  <c r="GY65" i="8"/>
  <c r="GZ64" i="8"/>
  <c r="GY64" i="8"/>
  <c r="GZ63" i="8"/>
  <c r="GY63" i="8"/>
  <c r="GZ59" i="8"/>
  <c r="GY59" i="8"/>
  <c r="GZ58" i="8"/>
  <c r="GY58" i="8"/>
  <c r="GZ57" i="8"/>
  <c r="GY57" i="8"/>
  <c r="GZ56" i="8"/>
  <c r="GY56" i="8"/>
  <c r="GZ55" i="8"/>
  <c r="GY55" i="8"/>
  <c r="GZ54" i="8"/>
  <c r="GY54" i="8"/>
  <c r="GZ53" i="8"/>
  <c r="GY53" i="8"/>
  <c r="GZ52" i="8"/>
  <c r="GY52" i="8"/>
  <c r="GZ51" i="8"/>
  <c r="GY51" i="8"/>
  <c r="GZ47" i="8"/>
  <c r="GY47" i="8"/>
  <c r="GZ46" i="8"/>
  <c r="GY46" i="8"/>
  <c r="GZ45" i="8"/>
  <c r="GY45" i="8"/>
  <c r="GZ44" i="8"/>
  <c r="GY44" i="8"/>
  <c r="GZ43" i="8"/>
  <c r="GY43" i="8"/>
  <c r="GZ42" i="8"/>
  <c r="GY42" i="8"/>
  <c r="GZ41" i="8"/>
  <c r="GY41" i="8"/>
  <c r="GZ40" i="8"/>
  <c r="GY40" i="8"/>
  <c r="GZ39" i="8"/>
  <c r="GY39" i="8"/>
  <c r="GX83" i="8"/>
  <c r="GW83" i="8"/>
  <c r="GX82" i="8"/>
  <c r="GW82" i="8"/>
  <c r="GX81" i="8"/>
  <c r="GW81" i="8"/>
  <c r="GX80" i="8"/>
  <c r="GW80" i="8"/>
  <c r="GX79" i="8"/>
  <c r="GW79" i="8"/>
  <c r="GX78" i="8"/>
  <c r="GW78" i="8"/>
  <c r="GX77" i="8"/>
  <c r="GW77" i="8"/>
  <c r="GX76" i="8"/>
  <c r="GW76" i="8"/>
  <c r="GX75" i="8"/>
  <c r="GW75" i="8"/>
  <c r="GX71" i="8"/>
  <c r="GW71" i="8"/>
  <c r="GX70" i="8"/>
  <c r="GW70" i="8"/>
  <c r="GX69" i="8"/>
  <c r="GW69" i="8"/>
  <c r="GX68" i="8"/>
  <c r="GW68" i="8"/>
  <c r="GX67" i="8"/>
  <c r="GW67" i="8"/>
  <c r="GX66" i="8"/>
  <c r="GW66" i="8"/>
  <c r="GX65" i="8"/>
  <c r="GW65" i="8"/>
  <c r="GX64" i="8"/>
  <c r="GW64" i="8"/>
  <c r="GX63" i="8"/>
  <c r="GW63" i="8"/>
  <c r="GX59" i="8"/>
  <c r="GW59" i="8"/>
  <c r="GX58" i="8"/>
  <c r="GW58" i="8"/>
  <c r="GX57" i="8"/>
  <c r="GW57" i="8"/>
  <c r="GX56" i="8"/>
  <c r="GW56" i="8"/>
  <c r="GX55" i="8"/>
  <c r="GW55" i="8"/>
  <c r="GX54" i="8"/>
  <c r="GW54" i="8"/>
  <c r="GX53" i="8"/>
  <c r="GW53" i="8"/>
  <c r="GX52" i="8"/>
  <c r="GW52" i="8"/>
  <c r="GX51" i="8"/>
  <c r="GW51" i="8"/>
  <c r="GX47" i="8"/>
  <c r="GW47" i="8"/>
  <c r="GX46" i="8"/>
  <c r="GW46" i="8"/>
  <c r="GX45" i="8"/>
  <c r="GW45" i="8"/>
  <c r="GX44" i="8"/>
  <c r="GW44" i="8"/>
  <c r="GX43" i="8"/>
  <c r="GW43" i="8"/>
  <c r="GX42" i="8"/>
  <c r="GW42" i="8"/>
  <c r="GX41" i="8"/>
  <c r="GW41" i="8"/>
  <c r="GX40" i="8"/>
  <c r="GW40" i="8"/>
  <c r="GX39" i="8"/>
  <c r="GW39" i="8"/>
  <c r="GV83" i="8"/>
  <c r="GU83" i="8"/>
  <c r="GV82" i="8"/>
  <c r="GU82" i="8"/>
  <c r="GV81" i="8"/>
  <c r="GU81" i="8"/>
  <c r="GV80" i="8"/>
  <c r="GU80" i="8"/>
  <c r="GV79" i="8"/>
  <c r="GU79" i="8"/>
  <c r="GV78" i="8"/>
  <c r="GU78" i="8"/>
  <c r="GV77" i="8"/>
  <c r="GU77" i="8"/>
  <c r="GV76" i="8"/>
  <c r="GU76" i="8"/>
  <c r="GV75" i="8"/>
  <c r="GU75" i="8"/>
  <c r="GV71" i="8"/>
  <c r="GU71" i="8"/>
  <c r="GV70" i="8"/>
  <c r="GU70" i="8"/>
  <c r="GV69" i="8"/>
  <c r="GU69" i="8"/>
  <c r="GV68" i="8"/>
  <c r="GU68" i="8"/>
  <c r="GV67" i="8"/>
  <c r="GU67" i="8"/>
  <c r="GV66" i="8"/>
  <c r="GU66" i="8"/>
  <c r="GV65" i="8"/>
  <c r="GU65" i="8"/>
  <c r="GV64" i="8"/>
  <c r="GU64" i="8"/>
  <c r="GV63" i="8"/>
  <c r="GU63" i="8"/>
  <c r="GV59" i="8"/>
  <c r="GU59" i="8"/>
  <c r="GV58" i="8"/>
  <c r="GU58" i="8"/>
  <c r="GV57" i="8"/>
  <c r="GU57" i="8"/>
  <c r="GV56" i="8"/>
  <c r="GU56" i="8"/>
  <c r="GV55" i="8"/>
  <c r="GU55" i="8"/>
  <c r="GV54" i="8"/>
  <c r="GU54" i="8"/>
  <c r="GV53" i="8"/>
  <c r="GU53" i="8"/>
  <c r="GV52" i="8"/>
  <c r="GU52" i="8"/>
  <c r="GV51" i="8"/>
  <c r="GU51" i="8"/>
  <c r="GV47" i="8"/>
  <c r="GU47" i="8"/>
  <c r="GV46" i="8"/>
  <c r="GU46" i="8"/>
  <c r="GV45" i="8"/>
  <c r="GU45" i="8"/>
  <c r="GV44" i="8"/>
  <c r="GU44" i="8"/>
  <c r="GV43" i="8"/>
  <c r="GU43" i="8"/>
  <c r="GV42" i="8"/>
  <c r="GU42" i="8"/>
  <c r="GV41" i="8"/>
  <c r="GU41" i="8"/>
  <c r="GV40" i="8"/>
  <c r="GU40" i="8"/>
  <c r="GV39" i="8"/>
  <c r="GU39" i="8"/>
  <c r="GT83" i="8"/>
  <c r="GS83" i="8"/>
  <c r="GT82" i="8"/>
  <c r="GS82" i="8"/>
  <c r="GT81" i="8"/>
  <c r="GS81" i="8"/>
  <c r="GT80" i="8"/>
  <c r="GS80" i="8"/>
  <c r="GT79" i="8"/>
  <c r="GS79" i="8"/>
  <c r="GT78" i="8"/>
  <c r="GS78" i="8"/>
  <c r="GT77" i="8"/>
  <c r="GS77" i="8"/>
  <c r="GT76" i="8"/>
  <c r="GS76" i="8"/>
  <c r="GT75" i="8"/>
  <c r="GS75" i="8"/>
  <c r="GT71" i="8"/>
  <c r="GS71" i="8"/>
  <c r="GT70" i="8"/>
  <c r="GS70" i="8"/>
  <c r="GT69" i="8"/>
  <c r="GS69" i="8"/>
  <c r="GT68" i="8"/>
  <c r="GS68" i="8"/>
  <c r="GT67" i="8"/>
  <c r="GS67" i="8"/>
  <c r="GT66" i="8"/>
  <c r="GS66" i="8"/>
  <c r="GT65" i="8"/>
  <c r="GS65" i="8"/>
  <c r="GT64" i="8"/>
  <c r="GS64" i="8"/>
  <c r="GT63" i="8"/>
  <c r="GS63" i="8"/>
  <c r="GT59" i="8"/>
  <c r="GS59" i="8"/>
  <c r="GT58" i="8"/>
  <c r="GS58" i="8"/>
  <c r="GT57" i="8"/>
  <c r="GS57" i="8"/>
  <c r="GT56" i="8"/>
  <c r="GS56" i="8"/>
  <c r="GT55" i="8"/>
  <c r="GS55" i="8"/>
  <c r="GT54" i="8"/>
  <c r="GS54" i="8"/>
  <c r="GT53" i="8"/>
  <c r="GS53" i="8"/>
  <c r="GT52" i="8"/>
  <c r="GS52" i="8"/>
  <c r="GT51" i="8"/>
  <c r="GS51" i="8"/>
  <c r="GT47" i="8"/>
  <c r="GS47" i="8"/>
  <c r="GT46" i="8"/>
  <c r="GS46" i="8"/>
  <c r="GT45" i="8"/>
  <c r="GS45" i="8"/>
  <c r="GT44" i="8"/>
  <c r="GS44" i="8"/>
  <c r="GT43" i="8"/>
  <c r="GS43" i="8"/>
  <c r="GT42" i="8"/>
  <c r="GS42" i="8"/>
  <c r="GT41" i="8"/>
  <c r="GS41" i="8"/>
  <c r="GT40" i="8"/>
  <c r="GS40" i="8"/>
  <c r="GT39" i="8"/>
  <c r="GS39" i="8"/>
  <c r="GR83" i="8"/>
  <c r="GQ83" i="8"/>
  <c r="GR82" i="8"/>
  <c r="GQ82" i="8"/>
  <c r="GR81" i="8"/>
  <c r="GQ81" i="8"/>
  <c r="GR80" i="8"/>
  <c r="GQ80" i="8"/>
  <c r="GR79" i="8"/>
  <c r="GQ79" i="8"/>
  <c r="GR78" i="8"/>
  <c r="GQ78" i="8"/>
  <c r="GR77" i="8"/>
  <c r="GQ77" i="8"/>
  <c r="GR76" i="8"/>
  <c r="GQ76" i="8"/>
  <c r="GR75" i="8"/>
  <c r="GQ75" i="8"/>
  <c r="GR71" i="8"/>
  <c r="GQ71" i="8"/>
  <c r="GR70" i="8"/>
  <c r="GQ70" i="8"/>
  <c r="GR69" i="8"/>
  <c r="GQ69" i="8"/>
  <c r="GR68" i="8"/>
  <c r="GQ68" i="8"/>
  <c r="GR67" i="8"/>
  <c r="GQ67" i="8"/>
  <c r="GR66" i="8"/>
  <c r="GQ66" i="8"/>
  <c r="GR65" i="8"/>
  <c r="GQ65" i="8"/>
  <c r="GR64" i="8"/>
  <c r="GQ64" i="8"/>
  <c r="GR63" i="8"/>
  <c r="GQ63" i="8"/>
  <c r="GR59" i="8"/>
  <c r="GQ59" i="8"/>
  <c r="GR58" i="8"/>
  <c r="GQ58" i="8"/>
  <c r="GR57" i="8"/>
  <c r="GQ57" i="8"/>
  <c r="GR56" i="8"/>
  <c r="GQ56" i="8"/>
  <c r="GR55" i="8"/>
  <c r="GQ55" i="8"/>
  <c r="GR54" i="8"/>
  <c r="GQ54" i="8"/>
  <c r="GR53" i="8"/>
  <c r="GQ53" i="8"/>
  <c r="GR52" i="8"/>
  <c r="GQ52" i="8"/>
  <c r="GR51" i="8"/>
  <c r="GQ51" i="8"/>
  <c r="GR47" i="8"/>
  <c r="GQ47" i="8"/>
  <c r="GR46" i="8"/>
  <c r="GQ46" i="8"/>
  <c r="GR45" i="8"/>
  <c r="GQ45" i="8"/>
  <c r="GR44" i="8"/>
  <c r="GQ44" i="8"/>
  <c r="GR43" i="8"/>
  <c r="GQ43" i="8"/>
  <c r="GR42" i="8"/>
  <c r="GQ42" i="8"/>
  <c r="GR41" i="8"/>
  <c r="GQ41" i="8"/>
  <c r="GR40" i="8"/>
  <c r="GQ40" i="8"/>
  <c r="GR39" i="8"/>
  <c r="GQ39" i="8"/>
  <c r="GP83" i="8"/>
  <c r="GO83" i="8"/>
  <c r="GP82" i="8"/>
  <c r="GO82" i="8"/>
  <c r="GP81" i="8"/>
  <c r="GO81" i="8"/>
  <c r="GP80" i="8"/>
  <c r="GO80" i="8"/>
  <c r="GP79" i="8"/>
  <c r="GO79" i="8"/>
  <c r="GP78" i="8"/>
  <c r="GO78" i="8"/>
  <c r="GP77" i="8"/>
  <c r="GO77" i="8"/>
  <c r="GP76" i="8"/>
  <c r="GO76" i="8"/>
  <c r="GP75" i="8"/>
  <c r="GO75" i="8"/>
  <c r="GP71" i="8"/>
  <c r="GO71" i="8"/>
  <c r="GP70" i="8"/>
  <c r="GO70" i="8"/>
  <c r="GP69" i="8"/>
  <c r="GO69" i="8"/>
  <c r="GP68" i="8"/>
  <c r="GO68" i="8"/>
  <c r="GP67" i="8"/>
  <c r="GO67" i="8"/>
  <c r="GP66" i="8"/>
  <c r="GO66" i="8"/>
  <c r="GP65" i="8"/>
  <c r="GO65" i="8"/>
  <c r="GP64" i="8"/>
  <c r="GO64" i="8"/>
  <c r="GP63" i="8"/>
  <c r="GO63" i="8"/>
  <c r="GP59" i="8"/>
  <c r="GO59" i="8"/>
  <c r="GP58" i="8"/>
  <c r="GO58" i="8"/>
  <c r="GP57" i="8"/>
  <c r="GO57" i="8"/>
  <c r="GP56" i="8"/>
  <c r="GO56" i="8"/>
  <c r="GP55" i="8"/>
  <c r="GO55" i="8"/>
  <c r="GP54" i="8"/>
  <c r="GO54" i="8"/>
  <c r="GP53" i="8"/>
  <c r="GO53" i="8"/>
  <c r="GP52" i="8"/>
  <c r="GO52" i="8"/>
  <c r="GP51" i="8"/>
  <c r="GO51" i="8"/>
  <c r="GP47" i="8"/>
  <c r="GO47" i="8"/>
  <c r="GP46" i="8"/>
  <c r="GO46" i="8"/>
  <c r="GP45" i="8"/>
  <c r="GO45" i="8"/>
  <c r="GP44" i="8"/>
  <c r="GO44" i="8"/>
  <c r="GP43" i="8"/>
  <c r="GO43" i="8"/>
  <c r="GP42" i="8"/>
  <c r="GO42" i="8"/>
  <c r="GP41" i="8"/>
  <c r="GO41" i="8"/>
  <c r="GP40" i="8"/>
  <c r="GO40" i="8"/>
  <c r="GP39" i="8"/>
  <c r="GO39" i="8"/>
  <c r="GN83" i="8"/>
  <c r="GM83" i="8"/>
  <c r="GN82" i="8"/>
  <c r="GM82" i="8"/>
  <c r="GN81" i="8"/>
  <c r="GM81" i="8"/>
  <c r="GN80" i="8"/>
  <c r="GM80" i="8"/>
  <c r="GN79" i="8"/>
  <c r="GM79" i="8"/>
  <c r="GN78" i="8"/>
  <c r="GM78" i="8"/>
  <c r="GN77" i="8"/>
  <c r="GM77" i="8"/>
  <c r="GN76" i="8"/>
  <c r="GM76" i="8"/>
  <c r="GN75" i="8"/>
  <c r="GM75" i="8"/>
  <c r="GN71" i="8"/>
  <c r="GM71" i="8"/>
  <c r="GN70" i="8"/>
  <c r="GM70" i="8"/>
  <c r="GN69" i="8"/>
  <c r="GM69" i="8"/>
  <c r="GN68" i="8"/>
  <c r="GM68" i="8"/>
  <c r="GN67" i="8"/>
  <c r="GM67" i="8"/>
  <c r="GN66" i="8"/>
  <c r="GM66" i="8"/>
  <c r="GN65" i="8"/>
  <c r="GM65" i="8"/>
  <c r="GN64" i="8"/>
  <c r="GM64" i="8"/>
  <c r="GN63" i="8"/>
  <c r="GM63" i="8"/>
  <c r="GN59" i="8"/>
  <c r="GM59" i="8"/>
  <c r="GN58" i="8"/>
  <c r="GM58" i="8"/>
  <c r="GN57" i="8"/>
  <c r="GM57" i="8"/>
  <c r="GN56" i="8"/>
  <c r="GM56" i="8"/>
  <c r="GN55" i="8"/>
  <c r="GM55" i="8"/>
  <c r="GN54" i="8"/>
  <c r="GM54" i="8"/>
  <c r="GN53" i="8"/>
  <c r="GM53" i="8"/>
  <c r="GN52" i="8"/>
  <c r="GM52" i="8"/>
  <c r="GN51" i="8"/>
  <c r="GM51" i="8"/>
  <c r="GN47" i="8"/>
  <c r="GM47" i="8"/>
  <c r="GN46" i="8"/>
  <c r="GM46" i="8"/>
  <c r="GN45" i="8"/>
  <c r="GM45" i="8"/>
  <c r="GN44" i="8"/>
  <c r="GM44" i="8"/>
  <c r="GN43" i="8"/>
  <c r="GM43" i="8"/>
  <c r="GN42" i="8"/>
  <c r="GM42" i="8"/>
  <c r="GN41" i="8"/>
  <c r="GM41" i="8"/>
  <c r="GN40" i="8"/>
  <c r="GM40" i="8"/>
  <c r="GN39" i="8"/>
  <c r="GM39" i="8"/>
  <c r="GL83" i="8"/>
  <c r="GK83" i="8"/>
  <c r="GL82" i="8"/>
  <c r="GK82" i="8"/>
  <c r="GL81" i="8"/>
  <c r="GK81" i="8"/>
  <c r="GL80" i="8"/>
  <c r="GK80" i="8"/>
  <c r="GL79" i="8"/>
  <c r="GK79" i="8"/>
  <c r="GL78" i="8"/>
  <c r="GK78" i="8"/>
  <c r="GL77" i="8"/>
  <c r="GK77" i="8"/>
  <c r="GL76" i="8"/>
  <c r="GK76" i="8"/>
  <c r="GL75" i="8"/>
  <c r="GK75" i="8"/>
  <c r="GL71" i="8"/>
  <c r="GK71" i="8"/>
  <c r="GL70" i="8"/>
  <c r="GK70" i="8"/>
  <c r="GL69" i="8"/>
  <c r="GK69" i="8"/>
  <c r="GL68" i="8"/>
  <c r="GK68" i="8"/>
  <c r="GL67" i="8"/>
  <c r="GK67" i="8"/>
  <c r="GL66" i="8"/>
  <c r="GK66" i="8"/>
  <c r="GL65" i="8"/>
  <c r="GK65" i="8"/>
  <c r="GL64" i="8"/>
  <c r="GK64" i="8"/>
  <c r="GL63" i="8"/>
  <c r="GK63" i="8"/>
  <c r="GL59" i="8"/>
  <c r="GK59" i="8"/>
  <c r="GL58" i="8"/>
  <c r="GK58" i="8"/>
  <c r="GL57" i="8"/>
  <c r="GK57" i="8"/>
  <c r="GL56" i="8"/>
  <c r="GK56" i="8"/>
  <c r="GL55" i="8"/>
  <c r="GK55" i="8"/>
  <c r="GL54" i="8"/>
  <c r="GK54" i="8"/>
  <c r="GL53" i="8"/>
  <c r="GK53" i="8"/>
  <c r="GL52" i="8"/>
  <c r="GK52" i="8"/>
  <c r="GL51" i="8"/>
  <c r="GK51" i="8"/>
  <c r="GL47" i="8"/>
  <c r="GK47" i="8"/>
  <c r="GL46" i="8"/>
  <c r="GK46" i="8"/>
  <c r="GL45" i="8"/>
  <c r="GK45" i="8"/>
  <c r="GL44" i="8"/>
  <c r="GK44" i="8"/>
  <c r="GL43" i="8"/>
  <c r="GK43" i="8"/>
  <c r="GL42" i="8"/>
  <c r="GK42" i="8"/>
  <c r="GL41" i="8"/>
  <c r="GK41" i="8"/>
  <c r="GL40" i="8"/>
  <c r="GK40" i="8"/>
  <c r="GL39" i="8"/>
  <c r="GK39" i="8"/>
  <c r="GJ83" i="8"/>
  <c r="GI83" i="8"/>
  <c r="GJ82" i="8"/>
  <c r="GI82" i="8"/>
  <c r="GJ81" i="8"/>
  <c r="GI81" i="8"/>
  <c r="GJ80" i="8"/>
  <c r="GI80" i="8"/>
  <c r="GJ79" i="8"/>
  <c r="GI79" i="8"/>
  <c r="GJ78" i="8"/>
  <c r="GI78" i="8"/>
  <c r="GJ77" i="8"/>
  <c r="GI77" i="8"/>
  <c r="GJ76" i="8"/>
  <c r="GI76" i="8"/>
  <c r="GJ75" i="8"/>
  <c r="GI75" i="8"/>
  <c r="GJ71" i="8"/>
  <c r="GI71" i="8"/>
  <c r="GJ70" i="8"/>
  <c r="GI70" i="8"/>
  <c r="GJ69" i="8"/>
  <c r="GI69" i="8"/>
  <c r="GJ68" i="8"/>
  <c r="GI68" i="8"/>
  <c r="GJ67" i="8"/>
  <c r="GI67" i="8"/>
  <c r="GJ66" i="8"/>
  <c r="GI66" i="8"/>
  <c r="GJ65" i="8"/>
  <c r="GI65" i="8"/>
  <c r="GJ64" i="8"/>
  <c r="GI64" i="8"/>
  <c r="GJ63" i="8"/>
  <c r="GI63" i="8"/>
  <c r="GJ59" i="8"/>
  <c r="GI59" i="8"/>
  <c r="GJ58" i="8"/>
  <c r="GI58" i="8"/>
  <c r="GJ57" i="8"/>
  <c r="GI57" i="8"/>
  <c r="GJ56" i="8"/>
  <c r="GI56" i="8"/>
  <c r="GJ55" i="8"/>
  <c r="GI55" i="8"/>
  <c r="GJ54" i="8"/>
  <c r="GI54" i="8"/>
  <c r="GJ53" i="8"/>
  <c r="GI53" i="8"/>
  <c r="GJ52" i="8"/>
  <c r="GI52" i="8"/>
  <c r="GJ51" i="8"/>
  <c r="GI51" i="8"/>
  <c r="GJ47" i="8"/>
  <c r="GI47" i="8"/>
  <c r="GJ46" i="8"/>
  <c r="GI46" i="8"/>
  <c r="GJ45" i="8"/>
  <c r="GI45" i="8"/>
  <c r="GJ44" i="8"/>
  <c r="GI44" i="8"/>
  <c r="GJ43" i="8"/>
  <c r="GI43" i="8"/>
  <c r="GJ42" i="8"/>
  <c r="GI42" i="8"/>
  <c r="GJ41" i="8"/>
  <c r="GI41" i="8"/>
  <c r="GJ40" i="8"/>
  <c r="GI40" i="8"/>
  <c r="GJ39" i="8"/>
  <c r="GI39" i="8"/>
  <c r="GH83" i="8"/>
  <c r="GG83" i="8"/>
  <c r="GH82" i="8"/>
  <c r="GG82" i="8"/>
  <c r="GH81" i="8"/>
  <c r="GG81" i="8"/>
  <c r="GH80" i="8"/>
  <c r="GG80" i="8"/>
  <c r="GH79" i="8"/>
  <c r="GG79" i="8"/>
  <c r="GH78" i="8"/>
  <c r="GG78" i="8"/>
  <c r="GH77" i="8"/>
  <c r="GG77" i="8"/>
  <c r="GH76" i="8"/>
  <c r="GG76" i="8"/>
  <c r="GH75" i="8"/>
  <c r="GG75" i="8"/>
  <c r="GH71" i="8"/>
  <c r="GG71" i="8"/>
  <c r="GH70" i="8"/>
  <c r="GG70" i="8"/>
  <c r="GH69" i="8"/>
  <c r="GG69" i="8"/>
  <c r="GH68" i="8"/>
  <c r="GG68" i="8"/>
  <c r="GH67" i="8"/>
  <c r="GG67" i="8"/>
  <c r="GH66" i="8"/>
  <c r="GG66" i="8"/>
  <c r="GH65" i="8"/>
  <c r="GG65" i="8"/>
  <c r="GH64" i="8"/>
  <c r="GG64" i="8"/>
  <c r="GH63" i="8"/>
  <c r="GG63" i="8"/>
  <c r="GH59" i="8"/>
  <c r="GG59" i="8"/>
  <c r="GH58" i="8"/>
  <c r="GG58" i="8"/>
  <c r="GH57" i="8"/>
  <c r="GG57" i="8"/>
  <c r="GH56" i="8"/>
  <c r="GG56" i="8"/>
  <c r="GH55" i="8"/>
  <c r="GG55" i="8"/>
  <c r="GH54" i="8"/>
  <c r="GG54" i="8"/>
  <c r="GH53" i="8"/>
  <c r="GG53" i="8"/>
  <c r="GH52" i="8"/>
  <c r="GG52" i="8"/>
  <c r="GH51" i="8"/>
  <c r="GG51" i="8"/>
  <c r="GH47" i="8"/>
  <c r="GG47" i="8"/>
  <c r="GH46" i="8"/>
  <c r="GG46" i="8"/>
  <c r="GH45" i="8"/>
  <c r="GG45" i="8"/>
  <c r="GH44" i="8"/>
  <c r="GG44" i="8"/>
  <c r="GH43" i="8"/>
  <c r="GG43" i="8"/>
  <c r="GH42" i="8"/>
  <c r="GG42" i="8"/>
  <c r="GH41" i="8"/>
  <c r="GG41" i="8"/>
  <c r="GH40" i="8"/>
  <c r="GG40" i="8"/>
  <c r="GH39" i="8"/>
  <c r="GG39" i="8"/>
  <c r="GF83" i="8"/>
  <c r="GE83" i="8"/>
  <c r="GF82" i="8"/>
  <c r="GE82" i="8"/>
  <c r="GF81" i="8"/>
  <c r="GE81" i="8"/>
  <c r="GF80" i="8"/>
  <c r="GE80" i="8"/>
  <c r="GF79" i="8"/>
  <c r="GE79" i="8"/>
  <c r="GF78" i="8"/>
  <c r="GE78" i="8"/>
  <c r="GF77" i="8"/>
  <c r="GE77" i="8"/>
  <c r="GF76" i="8"/>
  <c r="GE76" i="8"/>
  <c r="GF75" i="8"/>
  <c r="GE75" i="8"/>
  <c r="GF71" i="8"/>
  <c r="GE71" i="8"/>
  <c r="GF70" i="8"/>
  <c r="GE70" i="8"/>
  <c r="GF69" i="8"/>
  <c r="GE69" i="8"/>
  <c r="GF68" i="8"/>
  <c r="GE68" i="8"/>
  <c r="GF67" i="8"/>
  <c r="GE67" i="8"/>
  <c r="GF66" i="8"/>
  <c r="GE66" i="8"/>
  <c r="GF65" i="8"/>
  <c r="GE65" i="8"/>
  <c r="GF64" i="8"/>
  <c r="GE64" i="8"/>
  <c r="GF63" i="8"/>
  <c r="GE63" i="8"/>
  <c r="GF59" i="8"/>
  <c r="GE59" i="8"/>
  <c r="GF58" i="8"/>
  <c r="GE58" i="8"/>
  <c r="GF57" i="8"/>
  <c r="GE57" i="8"/>
  <c r="GF56" i="8"/>
  <c r="GE56" i="8"/>
  <c r="GF55" i="8"/>
  <c r="GE55" i="8"/>
  <c r="GF54" i="8"/>
  <c r="GE54" i="8"/>
  <c r="GF53" i="8"/>
  <c r="GE53" i="8"/>
  <c r="GF52" i="8"/>
  <c r="GE52" i="8"/>
  <c r="GF51" i="8"/>
  <c r="GE51" i="8"/>
  <c r="GF47" i="8"/>
  <c r="GE47" i="8"/>
  <c r="GF46" i="8"/>
  <c r="GE46" i="8"/>
  <c r="GF45" i="8"/>
  <c r="GE45" i="8"/>
  <c r="GF44" i="8"/>
  <c r="GE44" i="8"/>
  <c r="GF43" i="8"/>
  <c r="GE43" i="8"/>
  <c r="GF42" i="8"/>
  <c r="GE42" i="8"/>
  <c r="GF41" i="8"/>
  <c r="GE41" i="8"/>
  <c r="GF40" i="8"/>
  <c r="GE40" i="8"/>
  <c r="GF39" i="8"/>
  <c r="GE39" i="8"/>
  <c r="GD83" i="8"/>
  <c r="GC83" i="8"/>
  <c r="GD82" i="8"/>
  <c r="GC82" i="8"/>
  <c r="GD81" i="8"/>
  <c r="GC81" i="8"/>
  <c r="GD80" i="8"/>
  <c r="GC80" i="8"/>
  <c r="GD79" i="8"/>
  <c r="GC79" i="8"/>
  <c r="GD78" i="8"/>
  <c r="GC78" i="8"/>
  <c r="GD77" i="8"/>
  <c r="GC77" i="8"/>
  <c r="GD76" i="8"/>
  <c r="GC76" i="8"/>
  <c r="GD75" i="8"/>
  <c r="GC75" i="8"/>
  <c r="GD71" i="8"/>
  <c r="GC71" i="8"/>
  <c r="GD70" i="8"/>
  <c r="GC70" i="8"/>
  <c r="GD69" i="8"/>
  <c r="GC69" i="8"/>
  <c r="GD68" i="8"/>
  <c r="GC68" i="8"/>
  <c r="GD67" i="8"/>
  <c r="GC67" i="8"/>
  <c r="GD66" i="8"/>
  <c r="GC66" i="8"/>
  <c r="GD65" i="8"/>
  <c r="GC65" i="8"/>
  <c r="GD64" i="8"/>
  <c r="GC64" i="8"/>
  <c r="GD63" i="8"/>
  <c r="GC63" i="8"/>
  <c r="GD59" i="8"/>
  <c r="GC59" i="8"/>
  <c r="GD58" i="8"/>
  <c r="GC58" i="8"/>
  <c r="GD57" i="8"/>
  <c r="GC57" i="8"/>
  <c r="GD56" i="8"/>
  <c r="GC56" i="8"/>
  <c r="GD55" i="8"/>
  <c r="GC55" i="8"/>
  <c r="GD54" i="8"/>
  <c r="GC54" i="8"/>
  <c r="GD53" i="8"/>
  <c r="GC53" i="8"/>
  <c r="GD52" i="8"/>
  <c r="GC52" i="8"/>
  <c r="GD51" i="8"/>
  <c r="GC51" i="8"/>
  <c r="GD47" i="8"/>
  <c r="GC47" i="8"/>
  <c r="GD46" i="8"/>
  <c r="GC46" i="8"/>
  <c r="GD45" i="8"/>
  <c r="GC45" i="8"/>
  <c r="GD44" i="8"/>
  <c r="GC44" i="8"/>
  <c r="GD43" i="8"/>
  <c r="GC43" i="8"/>
  <c r="GD42" i="8"/>
  <c r="GC42" i="8"/>
  <c r="GD41" i="8"/>
  <c r="GC41" i="8"/>
  <c r="GD40" i="8"/>
  <c r="GC40" i="8"/>
  <c r="GD39" i="8"/>
  <c r="GC39" i="8"/>
  <c r="GB83" i="8"/>
  <c r="GA83" i="8"/>
  <c r="GB82" i="8"/>
  <c r="GA82" i="8"/>
  <c r="GB81" i="8"/>
  <c r="GA81" i="8"/>
  <c r="GB80" i="8"/>
  <c r="GA80" i="8"/>
  <c r="GB79" i="8"/>
  <c r="GA79" i="8"/>
  <c r="GB78" i="8"/>
  <c r="GA78" i="8"/>
  <c r="GB77" i="8"/>
  <c r="GA77" i="8"/>
  <c r="GB76" i="8"/>
  <c r="GA76" i="8"/>
  <c r="GB75" i="8"/>
  <c r="GA75" i="8"/>
  <c r="GB71" i="8"/>
  <c r="GA71" i="8"/>
  <c r="GB70" i="8"/>
  <c r="GA70" i="8"/>
  <c r="GB69" i="8"/>
  <c r="GA69" i="8"/>
  <c r="GB68" i="8"/>
  <c r="GA68" i="8"/>
  <c r="GB67" i="8"/>
  <c r="GA67" i="8"/>
  <c r="GB66" i="8"/>
  <c r="GA66" i="8"/>
  <c r="GB65" i="8"/>
  <c r="GA65" i="8"/>
  <c r="GB64" i="8"/>
  <c r="GA64" i="8"/>
  <c r="GB63" i="8"/>
  <c r="GA63" i="8"/>
  <c r="GB59" i="8"/>
  <c r="GA59" i="8"/>
  <c r="GB58" i="8"/>
  <c r="GA58" i="8"/>
  <c r="GB57" i="8"/>
  <c r="GA57" i="8"/>
  <c r="GB56" i="8"/>
  <c r="GA56" i="8"/>
  <c r="GB55" i="8"/>
  <c r="GA55" i="8"/>
  <c r="GB54" i="8"/>
  <c r="GA54" i="8"/>
  <c r="GB53" i="8"/>
  <c r="GA53" i="8"/>
  <c r="GB52" i="8"/>
  <c r="GA52" i="8"/>
  <c r="GB51" i="8"/>
  <c r="GA51" i="8"/>
  <c r="GB47" i="8"/>
  <c r="GA47" i="8"/>
  <c r="GB46" i="8"/>
  <c r="GA46" i="8"/>
  <c r="GB45" i="8"/>
  <c r="GA45" i="8"/>
  <c r="GB44" i="8"/>
  <c r="GA44" i="8"/>
  <c r="GB43" i="8"/>
  <c r="GA43" i="8"/>
  <c r="GB42" i="8"/>
  <c r="GA42" i="8"/>
  <c r="GB41" i="8"/>
  <c r="GA41" i="8"/>
  <c r="GB40" i="8"/>
  <c r="GA40" i="8"/>
  <c r="GB39" i="8"/>
  <c r="GA39" i="8"/>
  <c r="FZ83" i="8"/>
  <c r="FY83" i="8"/>
  <c r="FZ82" i="8"/>
  <c r="FY82" i="8"/>
  <c r="FZ81" i="8"/>
  <c r="FY81" i="8"/>
  <c r="FZ80" i="8"/>
  <c r="FY80" i="8"/>
  <c r="FZ79" i="8"/>
  <c r="FY79" i="8"/>
  <c r="FZ78" i="8"/>
  <c r="FY78" i="8"/>
  <c r="FZ77" i="8"/>
  <c r="FY77" i="8"/>
  <c r="FZ76" i="8"/>
  <c r="FY76" i="8"/>
  <c r="FZ75" i="8"/>
  <c r="FY75" i="8"/>
  <c r="FZ71" i="8"/>
  <c r="FY71" i="8"/>
  <c r="FZ70" i="8"/>
  <c r="FY70" i="8"/>
  <c r="FZ69" i="8"/>
  <c r="FY69" i="8"/>
  <c r="FZ68" i="8"/>
  <c r="FY68" i="8"/>
  <c r="FZ67" i="8"/>
  <c r="FY67" i="8"/>
  <c r="FZ66" i="8"/>
  <c r="FY66" i="8"/>
  <c r="FZ65" i="8"/>
  <c r="FY65" i="8"/>
  <c r="FZ64" i="8"/>
  <c r="FY64" i="8"/>
  <c r="FZ63" i="8"/>
  <c r="FY63" i="8"/>
  <c r="FZ59" i="8"/>
  <c r="FY59" i="8"/>
  <c r="FZ58" i="8"/>
  <c r="FY58" i="8"/>
  <c r="FZ57" i="8"/>
  <c r="FY57" i="8"/>
  <c r="FZ56" i="8"/>
  <c r="FY56" i="8"/>
  <c r="FZ55" i="8"/>
  <c r="FY55" i="8"/>
  <c r="FZ54" i="8"/>
  <c r="FY54" i="8"/>
  <c r="FZ53" i="8"/>
  <c r="FY53" i="8"/>
  <c r="FZ52" i="8"/>
  <c r="FY52" i="8"/>
  <c r="FZ51" i="8"/>
  <c r="FY51" i="8"/>
  <c r="FZ47" i="8"/>
  <c r="FY47" i="8"/>
  <c r="FZ46" i="8"/>
  <c r="FY46" i="8"/>
  <c r="FZ45" i="8"/>
  <c r="FY45" i="8"/>
  <c r="FZ44" i="8"/>
  <c r="FY44" i="8"/>
  <c r="FZ43" i="8"/>
  <c r="FY43" i="8"/>
  <c r="FZ42" i="8"/>
  <c r="FY42" i="8"/>
  <c r="FZ41" i="8"/>
  <c r="FY41" i="8"/>
  <c r="FZ40" i="8"/>
  <c r="FY40" i="8"/>
  <c r="FZ39" i="8"/>
  <c r="FY39" i="8"/>
  <c r="FX83" i="8"/>
  <c r="FW83" i="8"/>
  <c r="FX82" i="8"/>
  <c r="FW82" i="8"/>
  <c r="FX81" i="8"/>
  <c r="FW81" i="8"/>
  <c r="FX80" i="8"/>
  <c r="FW80" i="8"/>
  <c r="FX79" i="8"/>
  <c r="FW79" i="8"/>
  <c r="FX78" i="8"/>
  <c r="FW78" i="8"/>
  <c r="FX77" i="8"/>
  <c r="FW77" i="8"/>
  <c r="FX76" i="8"/>
  <c r="FW76" i="8"/>
  <c r="FX75" i="8"/>
  <c r="FW75" i="8"/>
  <c r="FX71" i="8"/>
  <c r="FW71" i="8"/>
  <c r="FX70" i="8"/>
  <c r="FW70" i="8"/>
  <c r="FX69" i="8"/>
  <c r="FW69" i="8"/>
  <c r="FX68" i="8"/>
  <c r="FW68" i="8"/>
  <c r="FX67" i="8"/>
  <c r="FW67" i="8"/>
  <c r="FX66" i="8"/>
  <c r="FW66" i="8"/>
  <c r="FX65" i="8"/>
  <c r="FW65" i="8"/>
  <c r="FX64" i="8"/>
  <c r="FW64" i="8"/>
  <c r="FX63" i="8"/>
  <c r="FW63" i="8"/>
  <c r="FX59" i="8"/>
  <c r="FW59" i="8"/>
  <c r="FX58" i="8"/>
  <c r="FW58" i="8"/>
  <c r="FX57" i="8"/>
  <c r="FW57" i="8"/>
  <c r="FX56" i="8"/>
  <c r="FW56" i="8"/>
  <c r="FX55" i="8"/>
  <c r="FW55" i="8"/>
  <c r="FX54" i="8"/>
  <c r="FW54" i="8"/>
  <c r="FX53" i="8"/>
  <c r="FW53" i="8"/>
  <c r="FX52" i="8"/>
  <c r="FW52" i="8"/>
  <c r="FX51" i="8"/>
  <c r="FW51" i="8"/>
  <c r="FX47" i="8"/>
  <c r="FW47" i="8"/>
  <c r="FX46" i="8"/>
  <c r="FW46" i="8"/>
  <c r="FX45" i="8"/>
  <c r="FW45" i="8"/>
  <c r="FX44" i="8"/>
  <c r="FW44" i="8"/>
  <c r="FX43" i="8"/>
  <c r="FW43" i="8"/>
  <c r="FX42" i="8"/>
  <c r="FW42" i="8"/>
  <c r="FX41" i="8"/>
  <c r="FW41" i="8"/>
  <c r="FX40" i="8"/>
  <c r="FW40" i="8"/>
  <c r="FX39" i="8"/>
  <c r="FW39" i="8"/>
  <c r="FV83" i="8"/>
  <c r="FU83" i="8"/>
  <c r="FV82" i="8"/>
  <c r="FU82" i="8"/>
  <c r="FV81" i="8"/>
  <c r="FU81" i="8"/>
  <c r="FV80" i="8"/>
  <c r="FU80" i="8"/>
  <c r="FV79" i="8"/>
  <c r="FU79" i="8"/>
  <c r="FV78" i="8"/>
  <c r="FU78" i="8"/>
  <c r="FV77" i="8"/>
  <c r="FU77" i="8"/>
  <c r="FV76" i="8"/>
  <c r="FU76" i="8"/>
  <c r="FV75" i="8"/>
  <c r="FU75" i="8"/>
  <c r="FV71" i="8"/>
  <c r="FU71" i="8"/>
  <c r="FV70" i="8"/>
  <c r="FU70" i="8"/>
  <c r="FV69" i="8"/>
  <c r="FU69" i="8"/>
  <c r="FV68" i="8"/>
  <c r="FU68" i="8"/>
  <c r="FV67" i="8"/>
  <c r="FU67" i="8"/>
  <c r="FV66" i="8"/>
  <c r="FU66" i="8"/>
  <c r="FV65" i="8"/>
  <c r="FU65" i="8"/>
  <c r="FV64" i="8"/>
  <c r="FU64" i="8"/>
  <c r="FV63" i="8"/>
  <c r="FU63" i="8"/>
  <c r="FV59" i="8"/>
  <c r="FU59" i="8"/>
  <c r="FV58" i="8"/>
  <c r="FU58" i="8"/>
  <c r="FV57" i="8"/>
  <c r="FU57" i="8"/>
  <c r="FV56" i="8"/>
  <c r="FU56" i="8"/>
  <c r="FV55" i="8"/>
  <c r="FU55" i="8"/>
  <c r="FV54" i="8"/>
  <c r="FU54" i="8"/>
  <c r="FV53" i="8"/>
  <c r="FU53" i="8"/>
  <c r="FV52" i="8"/>
  <c r="FU52" i="8"/>
  <c r="FV51" i="8"/>
  <c r="FU51" i="8"/>
  <c r="FV47" i="8"/>
  <c r="FU47" i="8"/>
  <c r="FV46" i="8"/>
  <c r="FU46" i="8"/>
  <c r="FV45" i="8"/>
  <c r="FU45" i="8"/>
  <c r="FV44" i="8"/>
  <c r="FU44" i="8"/>
  <c r="FV43" i="8"/>
  <c r="FU43" i="8"/>
  <c r="FV42" i="8"/>
  <c r="FU42" i="8"/>
  <c r="FV41" i="8"/>
  <c r="FU41" i="8"/>
  <c r="FV40" i="8"/>
  <c r="FU40" i="8"/>
  <c r="FV39" i="8"/>
  <c r="FU39" i="8"/>
  <c r="FT83" i="8"/>
  <c r="FS83" i="8"/>
  <c r="FT82" i="8"/>
  <c r="FS82" i="8"/>
  <c r="FT81" i="8"/>
  <c r="FS81" i="8"/>
  <c r="FT80" i="8"/>
  <c r="FS80" i="8"/>
  <c r="FT79" i="8"/>
  <c r="FS79" i="8"/>
  <c r="FT78" i="8"/>
  <c r="FS78" i="8"/>
  <c r="FT77" i="8"/>
  <c r="FS77" i="8"/>
  <c r="FT76" i="8"/>
  <c r="FS76" i="8"/>
  <c r="FT75" i="8"/>
  <c r="FS75" i="8"/>
  <c r="FT71" i="8"/>
  <c r="FS71" i="8"/>
  <c r="FT70" i="8"/>
  <c r="FS70" i="8"/>
  <c r="FT69" i="8"/>
  <c r="FS69" i="8"/>
  <c r="FT68" i="8"/>
  <c r="FS68" i="8"/>
  <c r="FT67" i="8"/>
  <c r="FS67" i="8"/>
  <c r="FT66" i="8"/>
  <c r="FS66" i="8"/>
  <c r="FT65" i="8"/>
  <c r="FS65" i="8"/>
  <c r="FT64" i="8"/>
  <c r="FS64" i="8"/>
  <c r="FT63" i="8"/>
  <c r="FS63" i="8"/>
  <c r="FT59" i="8"/>
  <c r="FS59" i="8"/>
  <c r="FT58" i="8"/>
  <c r="FS58" i="8"/>
  <c r="FT57" i="8"/>
  <c r="FS57" i="8"/>
  <c r="FT56" i="8"/>
  <c r="FS56" i="8"/>
  <c r="FT55" i="8"/>
  <c r="FS55" i="8"/>
  <c r="FT54" i="8"/>
  <c r="FS54" i="8"/>
  <c r="FT53" i="8"/>
  <c r="FS53" i="8"/>
  <c r="FT52" i="8"/>
  <c r="FS52" i="8"/>
  <c r="FT51" i="8"/>
  <c r="FS51" i="8"/>
  <c r="FT47" i="8"/>
  <c r="FS47" i="8"/>
  <c r="FT46" i="8"/>
  <c r="FS46" i="8"/>
  <c r="FT45" i="8"/>
  <c r="FS45" i="8"/>
  <c r="FT44" i="8"/>
  <c r="FS44" i="8"/>
  <c r="FT43" i="8"/>
  <c r="FS43" i="8"/>
  <c r="FT42" i="8"/>
  <c r="FS42" i="8"/>
  <c r="FT41" i="8"/>
  <c r="FS41" i="8"/>
  <c r="FT40" i="8"/>
  <c r="FS40" i="8"/>
  <c r="FT39" i="8"/>
  <c r="FS39" i="8"/>
  <c r="FR83" i="8"/>
  <c r="FQ83" i="8"/>
  <c r="FR82" i="8"/>
  <c r="FQ82" i="8"/>
  <c r="FR81" i="8"/>
  <c r="FQ81" i="8"/>
  <c r="FR80" i="8"/>
  <c r="FQ80" i="8"/>
  <c r="FR79" i="8"/>
  <c r="FQ79" i="8"/>
  <c r="FR78" i="8"/>
  <c r="FQ78" i="8"/>
  <c r="FR77" i="8"/>
  <c r="FQ77" i="8"/>
  <c r="FR76" i="8"/>
  <c r="FQ76" i="8"/>
  <c r="FR75" i="8"/>
  <c r="FQ75" i="8"/>
  <c r="FR71" i="8"/>
  <c r="FQ71" i="8"/>
  <c r="FR70" i="8"/>
  <c r="FQ70" i="8"/>
  <c r="FR69" i="8"/>
  <c r="FQ69" i="8"/>
  <c r="FR68" i="8"/>
  <c r="FQ68" i="8"/>
  <c r="FR67" i="8"/>
  <c r="FQ67" i="8"/>
  <c r="FR66" i="8"/>
  <c r="FQ66" i="8"/>
  <c r="FR65" i="8"/>
  <c r="FQ65" i="8"/>
  <c r="FR64" i="8"/>
  <c r="FQ64" i="8"/>
  <c r="FR63" i="8"/>
  <c r="FQ63" i="8"/>
  <c r="FR59" i="8"/>
  <c r="FQ59" i="8"/>
  <c r="FR58" i="8"/>
  <c r="FQ58" i="8"/>
  <c r="FR57" i="8"/>
  <c r="FQ57" i="8"/>
  <c r="FR56" i="8"/>
  <c r="FQ56" i="8"/>
  <c r="FR55" i="8"/>
  <c r="FQ55" i="8"/>
  <c r="FR54" i="8"/>
  <c r="FQ54" i="8"/>
  <c r="FR53" i="8"/>
  <c r="FQ53" i="8"/>
  <c r="FR52" i="8"/>
  <c r="FQ52" i="8"/>
  <c r="FR51" i="8"/>
  <c r="FQ51" i="8"/>
  <c r="FR47" i="8"/>
  <c r="FQ47" i="8"/>
  <c r="FR46" i="8"/>
  <c r="FQ46" i="8"/>
  <c r="FR45" i="8"/>
  <c r="FQ45" i="8"/>
  <c r="FR44" i="8"/>
  <c r="FQ44" i="8"/>
  <c r="FR43" i="8"/>
  <c r="FQ43" i="8"/>
  <c r="FR42" i="8"/>
  <c r="FQ42" i="8"/>
  <c r="FR41" i="8"/>
  <c r="FQ41" i="8"/>
  <c r="FR40" i="8"/>
  <c r="FQ40" i="8"/>
  <c r="FR39" i="8"/>
  <c r="FQ39" i="8"/>
  <c r="FP83" i="8"/>
  <c r="FO83" i="8"/>
  <c r="FP82" i="8"/>
  <c r="FO82" i="8"/>
  <c r="FP81" i="8"/>
  <c r="FO81" i="8"/>
  <c r="FP80" i="8"/>
  <c r="FO80" i="8"/>
  <c r="FP79" i="8"/>
  <c r="FO79" i="8"/>
  <c r="FP78" i="8"/>
  <c r="FO78" i="8"/>
  <c r="FP77" i="8"/>
  <c r="FO77" i="8"/>
  <c r="FP76" i="8"/>
  <c r="FO76" i="8"/>
  <c r="FP75" i="8"/>
  <c r="FO75" i="8"/>
  <c r="FP71" i="8"/>
  <c r="FO71" i="8"/>
  <c r="FP70" i="8"/>
  <c r="FO70" i="8"/>
  <c r="FP69" i="8"/>
  <c r="FO69" i="8"/>
  <c r="FP68" i="8"/>
  <c r="FO68" i="8"/>
  <c r="FP67" i="8"/>
  <c r="FO67" i="8"/>
  <c r="FP66" i="8"/>
  <c r="FO66" i="8"/>
  <c r="FP65" i="8"/>
  <c r="FO65" i="8"/>
  <c r="FP64" i="8"/>
  <c r="FO64" i="8"/>
  <c r="FP63" i="8"/>
  <c r="FO63" i="8"/>
  <c r="FP59" i="8"/>
  <c r="FO59" i="8"/>
  <c r="FP58" i="8"/>
  <c r="FO58" i="8"/>
  <c r="FP57" i="8"/>
  <c r="FO57" i="8"/>
  <c r="FP56" i="8"/>
  <c r="FO56" i="8"/>
  <c r="FP55" i="8"/>
  <c r="FO55" i="8"/>
  <c r="FP54" i="8"/>
  <c r="FO54" i="8"/>
  <c r="FP53" i="8"/>
  <c r="FO53" i="8"/>
  <c r="FP52" i="8"/>
  <c r="FO52" i="8"/>
  <c r="FP51" i="8"/>
  <c r="FO51" i="8"/>
  <c r="FP47" i="8"/>
  <c r="FO47" i="8"/>
  <c r="FP46" i="8"/>
  <c r="FO46" i="8"/>
  <c r="FP45" i="8"/>
  <c r="FO45" i="8"/>
  <c r="FP44" i="8"/>
  <c r="FO44" i="8"/>
  <c r="FP43" i="8"/>
  <c r="FO43" i="8"/>
  <c r="FP42" i="8"/>
  <c r="FO42" i="8"/>
  <c r="FP41" i="8"/>
  <c r="FO41" i="8"/>
  <c r="FP40" i="8"/>
  <c r="FO40" i="8"/>
  <c r="FP39" i="8"/>
  <c r="FO39" i="8"/>
  <c r="FN83" i="8"/>
  <c r="FM83" i="8"/>
  <c r="FN82" i="8"/>
  <c r="FM82" i="8"/>
  <c r="FN81" i="8"/>
  <c r="FM81" i="8"/>
  <c r="FN80" i="8"/>
  <c r="FM80" i="8"/>
  <c r="FN79" i="8"/>
  <c r="FM79" i="8"/>
  <c r="FN78" i="8"/>
  <c r="FM78" i="8"/>
  <c r="FN77" i="8"/>
  <c r="FM77" i="8"/>
  <c r="FN76" i="8"/>
  <c r="FM76" i="8"/>
  <c r="FN75" i="8"/>
  <c r="FM75" i="8"/>
  <c r="FN71" i="8"/>
  <c r="FM71" i="8"/>
  <c r="FN70" i="8"/>
  <c r="FM70" i="8"/>
  <c r="FN69" i="8"/>
  <c r="FM69" i="8"/>
  <c r="FN68" i="8"/>
  <c r="FM68" i="8"/>
  <c r="FN67" i="8"/>
  <c r="FM67" i="8"/>
  <c r="FN66" i="8"/>
  <c r="FM66" i="8"/>
  <c r="FN65" i="8"/>
  <c r="FM65" i="8"/>
  <c r="FN64" i="8"/>
  <c r="FM64" i="8"/>
  <c r="FN63" i="8"/>
  <c r="FM63" i="8"/>
  <c r="FN59" i="8"/>
  <c r="FM59" i="8"/>
  <c r="FN58" i="8"/>
  <c r="FM58" i="8"/>
  <c r="FN57" i="8"/>
  <c r="FM57" i="8"/>
  <c r="FN56" i="8"/>
  <c r="FM56" i="8"/>
  <c r="FN55" i="8"/>
  <c r="FM55" i="8"/>
  <c r="FN54" i="8"/>
  <c r="FM54" i="8"/>
  <c r="FN53" i="8"/>
  <c r="FM53" i="8"/>
  <c r="FN52" i="8"/>
  <c r="FM52" i="8"/>
  <c r="FN51" i="8"/>
  <c r="FM51" i="8"/>
  <c r="FN47" i="8"/>
  <c r="FM47" i="8"/>
  <c r="FN46" i="8"/>
  <c r="FM46" i="8"/>
  <c r="FN45" i="8"/>
  <c r="FM45" i="8"/>
  <c r="FN44" i="8"/>
  <c r="FM44" i="8"/>
  <c r="FN43" i="8"/>
  <c r="FM43" i="8"/>
  <c r="FN42" i="8"/>
  <c r="FM42" i="8"/>
  <c r="FN41" i="8"/>
  <c r="FM41" i="8"/>
  <c r="FN40" i="8"/>
  <c r="FM40" i="8"/>
  <c r="FN39" i="8"/>
  <c r="FM39" i="8"/>
  <c r="FL83" i="8"/>
  <c r="FK83" i="8"/>
  <c r="FL82" i="8"/>
  <c r="FK82" i="8"/>
  <c r="FL81" i="8"/>
  <c r="FK81" i="8"/>
  <c r="FL80" i="8"/>
  <c r="FK80" i="8"/>
  <c r="FL79" i="8"/>
  <c r="FK79" i="8"/>
  <c r="FL78" i="8"/>
  <c r="FK78" i="8"/>
  <c r="FL77" i="8"/>
  <c r="FK77" i="8"/>
  <c r="FL76" i="8"/>
  <c r="FK76" i="8"/>
  <c r="FL75" i="8"/>
  <c r="FK75" i="8"/>
  <c r="FL71" i="8"/>
  <c r="FK71" i="8"/>
  <c r="FL70" i="8"/>
  <c r="FK70" i="8"/>
  <c r="FL69" i="8"/>
  <c r="FK69" i="8"/>
  <c r="FL68" i="8"/>
  <c r="FK68" i="8"/>
  <c r="FL67" i="8"/>
  <c r="FK67" i="8"/>
  <c r="FL66" i="8"/>
  <c r="FK66" i="8"/>
  <c r="FL65" i="8"/>
  <c r="FK65" i="8"/>
  <c r="FL64" i="8"/>
  <c r="FK64" i="8"/>
  <c r="FL63" i="8"/>
  <c r="FK63" i="8"/>
  <c r="FL59" i="8"/>
  <c r="FK59" i="8"/>
  <c r="FL58" i="8"/>
  <c r="FK58" i="8"/>
  <c r="FL57" i="8"/>
  <c r="FK57" i="8"/>
  <c r="FL56" i="8"/>
  <c r="FK56" i="8"/>
  <c r="FL55" i="8"/>
  <c r="FK55" i="8"/>
  <c r="FL54" i="8"/>
  <c r="FK54" i="8"/>
  <c r="FL53" i="8"/>
  <c r="FK53" i="8"/>
  <c r="FL52" i="8"/>
  <c r="FK52" i="8"/>
  <c r="FL51" i="8"/>
  <c r="FK51" i="8"/>
  <c r="FL47" i="8"/>
  <c r="FK47" i="8"/>
  <c r="FL46" i="8"/>
  <c r="FK46" i="8"/>
  <c r="FL45" i="8"/>
  <c r="FK45" i="8"/>
  <c r="FL44" i="8"/>
  <c r="FK44" i="8"/>
  <c r="FL43" i="8"/>
  <c r="FK43" i="8"/>
  <c r="FL42" i="8"/>
  <c r="FK42" i="8"/>
  <c r="FL41" i="8"/>
  <c r="FK41" i="8"/>
  <c r="FL40" i="8"/>
  <c r="FK40" i="8"/>
  <c r="FL39" i="8"/>
  <c r="FK39" i="8"/>
  <c r="FJ83" i="8"/>
  <c r="FI83" i="8"/>
  <c r="FJ82" i="8"/>
  <c r="FI82" i="8"/>
  <c r="FJ81" i="8"/>
  <c r="FI81" i="8"/>
  <c r="FJ80" i="8"/>
  <c r="FI80" i="8"/>
  <c r="FJ79" i="8"/>
  <c r="FI79" i="8"/>
  <c r="FJ78" i="8"/>
  <c r="FI78" i="8"/>
  <c r="FJ77" i="8"/>
  <c r="FI77" i="8"/>
  <c r="FJ76" i="8"/>
  <c r="FI76" i="8"/>
  <c r="FJ75" i="8"/>
  <c r="FI75" i="8"/>
  <c r="FJ71" i="8"/>
  <c r="FI71" i="8"/>
  <c r="FJ70" i="8"/>
  <c r="FI70" i="8"/>
  <c r="FJ69" i="8"/>
  <c r="FI69" i="8"/>
  <c r="FJ68" i="8"/>
  <c r="FI68" i="8"/>
  <c r="FJ67" i="8"/>
  <c r="FI67" i="8"/>
  <c r="FJ66" i="8"/>
  <c r="FI66" i="8"/>
  <c r="FJ65" i="8"/>
  <c r="FI65" i="8"/>
  <c r="FJ64" i="8"/>
  <c r="FI64" i="8"/>
  <c r="FJ63" i="8"/>
  <c r="FI63" i="8"/>
  <c r="FJ59" i="8"/>
  <c r="FI59" i="8"/>
  <c r="FJ58" i="8"/>
  <c r="FI58" i="8"/>
  <c r="FJ57" i="8"/>
  <c r="FI57" i="8"/>
  <c r="FJ56" i="8"/>
  <c r="FI56" i="8"/>
  <c r="FJ55" i="8"/>
  <c r="FI55" i="8"/>
  <c r="FJ54" i="8"/>
  <c r="FI54" i="8"/>
  <c r="FJ53" i="8"/>
  <c r="FI53" i="8"/>
  <c r="FJ52" i="8"/>
  <c r="FI52" i="8"/>
  <c r="FJ51" i="8"/>
  <c r="FI51" i="8"/>
  <c r="FJ47" i="8"/>
  <c r="FI47" i="8"/>
  <c r="FJ46" i="8"/>
  <c r="FI46" i="8"/>
  <c r="FJ45" i="8"/>
  <c r="FI45" i="8"/>
  <c r="FJ44" i="8"/>
  <c r="FI44" i="8"/>
  <c r="FJ43" i="8"/>
  <c r="FI43" i="8"/>
  <c r="FJ42" i="8"/>
  <c r="FI42" i="8"/>
  <c r="FJ39" i="8"/>
  <c r="FI39" i="8"/>
  <c r="FH83" i="8"/>
  <c r="FG83" i="8"/>
  <c r="FH82" i="8"/>
  <c r="FG82" i="8"/>
  <c r="FH81" i="8"/>
  <c r="FG81" i="8"/>
  <c r="FH80" i="8"/>
  <c r="FG80" i="8"/>
  <c r="FH79" i="8"/>
  <c r="FG79" i="8"/>
  <c r="FH78" i="8"/>
  <c r="FG78" i="8"/>
  <c r="FH77" i="8"/>
  <c r="FG77" i="8"/>
  <c r="FH76" i="8"/>
  <c r="FG76" i="8"/>
  <c r="FH75" i="8"/>
  <c r="FG75" i="8"/>
  <c r="FH71" i="8"/>
  <c r="FG71" i="8"/>
  <c r="FH70" i="8"/>
  <c r="FG70" i="8"/>
  <c r="FH69" i="8"/>
  <c r="FG69" i="8"/>
  <c r="FH68" i="8"/>
  <c r="FG68" i="8"/>
  <c r="FH67" i="8"/>
  <c r="FG67" i="8"/>
  <c r="FH66" i="8"/>
  <c r="FG66" i="8"/>
  <c r="FH65" i="8"/>
  <c r="FG65" i="8"/>
  <c r="FH64" i="8"/>
  <c r="FG64" i="8"/>
  <c r="FH63" i="8"/>
  <c r="FG63" i="8"/>
  <c r="FH59" i="8"/>
  <c r="FG59" i="8"/>
  <c r="FH58" i="8"/>
  <c r="FG58" i="8"/>
  <c r="FH57" i="8"/>
  <c r="FG57" i="8"/>
  <c r="FH56" i="8"/>
  <c r="FG56" i="8"/>
  <c r="FH55" i="8"/>
  <c r="FG55" i="8"/>
  <c r="FH54" i="8"/>
  <c r="FG54" i="8"/>
  <c r="FH53" i="8"/>
  <c r="FG53" i="8"/>
  <c r="FH52" i="8"/>
  <c r="FG52" i="8"/>
  <c r="FH51" i="8"/>
  <c r="FG51" i="8"/>
  <c r="FH47" i="8"/>
  <c r="G49" i="3" s="1"/>
  <c r="FG47" i="8"/>
  <c r="E49" i="3" s="1"/>
  <c r="FH46" i="8"/>
  <c r="F49" i="3" s="1"/>
  <c r="J8" i="27" s="1"/>
  <c r="FG46" i="8"/>
  <c r="C49" i="3" s="1"/>
  <c r="FH45" i="8"/>
  <c r="FG45" i="8"/>
  <c r="FH44" i="8"/>
  <c r="F31" i="3" s="1"/>
  <c r="Q31" i="3" s="1"/>
  <c r="FG44" i="8"/>
  <c r="D31" i="3" s="1"/>
  <c r="O31" i="3" s="1"/>
  <c r="FH43" i="8"/>
  <c r="FG43" i="8"/>
  <c r="FH42" i="8"/>
  <c r="FG42" i="8"/>
  <c r="FH39" i="8"/>
  <c r="FG39" i="8"/>
  <c r="FF83" i="8"/>
  <c r="FE83" i="8"/>
  <c r="FF82" i="8"/>
  <c r="FE82" i="8"/>
  <c r="FF81" i="8"/>
  <c r="FE81" i="8"/>
  <c r="FF80" i="8"/>
  <c r="FE80" i="8"/>
  <c r="FF79" i="8"/>
  <c r="FE79" i="8"/>
  <c r="FF78" i="8"/>
  <c r="FE78" i="8"/>
  <c r="FF77" i="8"/>
  <c r="FE77" i="8"/>
  <c r="FF76" i="8"/>
  <c r="FE76" i="8"/>
  <c r="FF75" i="8"/>
  <c r="FE75" i="8"/>
  <c r="FF71" i="8"/>
  <c r="FE71" i="8"/>
  <c r="FF70" i="8"/>
  <c r="FE70" i="8"/>
  <c r="FF69" i="8"/>
  <c r="FE69" i="8"/>
  <c r="FF68" i="8"/>
  <c r="FE68" i="8"/>
  <c r="FF67" i="8"/>
  <c r="FE67" i="8"/>
  <c r="FF66" i="8"/>
  <c r="FE66" i="8"/>
  <c r="FF65" i="8"/>
  <c r="FE65" i="8"/>
  <c r="FF64" i="8"/>
  <c r="FE64" i="8"/>
  <c r="FF63" i="8"/>
  <c r="FE63" i="8"/>
  <c r="FF59" i="8"/>
  <c r="FE59" i="8"/>
  <c r="FF58" i="8"/>
  <c r="FE58" i="8"/>
  <c r="FF57" i="8"/>
  <c r="FE57" i="8"/>
  <c r="FF56" i="8"/>
  <c r="FE56" i="8"/>
  <c r="FF55" i="8"/>
  <c r="FE55" i="8"/>
  <c r="FF54" i="8"/>
  <c r="FE54" i="8"/>
  <c r="FF53" i="8"/>
  <c r="FE53" i="8"/>
  <c r="FF52" i="8"/>
  <c r="FE52" i="8"/>
  <c r="FF51" i="8"/>
  <c r="FE51" i="8"/>
  <c r="FF47" i="8"/>
  <c r="G48" i="3" s="1"/>
  <c r="FE47" i="8"/>
  <c r="E48" i="3" s="1"/>
  <c r="Y48" i="3" s="1"/>
  <c r="FF46" i="8"/>
  <c r="F48" i="3" s="1"/>
  <c r="FE46" i="8"/>
  <c r="C48" i="3" s="1"/>
  <c r="FF45" i="8"/>
  <c r="FE45" i="8"/>
  <c r="FF44" i="8"/>
  <c r="FE44" i="8"/>
  <c r="FF43" i="8"/>
  <c r="FE43" i="8"/>
  <c r="FF42" i="8"/>
  <c r="FE42" i="8"/>
  <c r="FF39" i="8"/>
  <c r="FE39" i="8"/>
  <c r="FD83" i="8"/>
  <c r="FC83" i="8"/>
  <c r="FD82" i="8"/>
  <c r="FC82" i="8"/>
  <c r="FD81" i="8"/>
  <c r="FC81" i="8"/>
  <c r="FD80" i="8"/>
  <c r="FC80" i="8"/>
  <c r="FD79" i="8"/>
  <c r="FC79" i="8"/>
  <c r="FD78" i="8"/>
  <c r="FC78" i="8"/>
  <c r="FD77" i="8"/>
  <c r="FC77" i="8"/>
  <c r="FD76" i="8"/>
  <c r="FC76" i="8"/>
  <c r="FD75" i="8"/>
  <c r="FC75" i="8"/>
  <c r="FD71" i="8"/>
  <c r="FC71" i="8"/>
  <c r="FD70" i="8"/>
  <c r="FC70" i="8"/>
  <c r="FD69" i="8"/>
  <c r="FC69" i="8"/>
  <c r="FD68" i="8"/>
  <c r="FC68" i="8"/>
  <c r="FD67" i="8"/>
  <c r="FC67" i="8"/>
  <c r="FD66" i="8"/>
  <c r="FC66" i="8"/>
  <c r="FD65" i="8"/>
  <c r="FC65" i="8"/>
  <c r="FD64" i="8"/>
  <c r="FC64" i="8"/>
  <c r="FD63" i="8"/>
  <c r="FC63" i="8"/>
  <c r="FD59" i="8"/>
  <c r="FC59" i="8"/>
  <c r="FD58" i="8"/>
  <c r="FC58" i="8"/>
  <c r="FD57" i="8"/>
  <c r="FC57" i="8"/>
  <c r="FD56" i="8"/>
  <c r="FC56" i="8"/>
  <c r="FD55" i="8"/>
  <c r="FC55" i="8"/>
  <c r="FD54" i="8"/>
  <c r="FC54" i="8"/>
  <c r="FD53" i="8"/>
  <c r="FC53" i="8"/>
  <c r="FD52" i="8"/>
  <c r="FC52" i="8"/>
  <c r="FD51" i="8"/>
  <c r="FC51" i="8"/>
  <c r="FD47" i="8"/>
  <c r="G47" i="3" s="1"/>
  <c r="FC47" i="8"/>
  <c r="E47" i="3" s="1"/>
  <c r="Y47" i="3" s="1"/>
  <c r="FD46" i="8"/>
  <c r="F47" i="3" s="1"/>
  <c r="FC46" i="8"/>
  <c r="C47" i="3" s="1"/>
  <c r="FD45" i="8"/>
  <c r="FC45" i="8"/>
  <c r="FD44" i="8"/>
  <c r="F29" i="3" s="1"/>
  <c r="FD43" i="8"/>
  <c r="FC43" i="8"/>
  <c r="FD42" i="8"/>
  <c r="FC42" i="8"/>
  <c r="FD39" i="8"/>
  <c r="FC39" i="8"/>
  <c r="FB83" i="8"/>
  <c r="FA83" i="8"/>
  <c r="FB82" i="8"/>
  <c r="FA82" i="8"/>
  <c r="FB81" i="8"/>
  <c r="FA81" i="8"/>
  <c r="FB80" i="8"/>
  <c r="FA80" i="8"/>
  <c r="FB79" i="8"/>
  <c r="FA79" i="8"/>
  <c r="FB78" i="8"/>
  <c r="FA78" i="8"/>
  <c r="FB77" i="8"/>
  <c r="FA77" i="8"/>
  <c r="FB76" i="8"/>
  <c r="FA76" i="8"/>
  <c r="FB75" i="8"/>
  <c r="FA75" i="8"/>
  <c r="FB71" i="8"/>
  <c r="FA71" i="8"/>
  <c r="FB70" i="8"/>
  <c r="FA70" i="8"/>
  <c r="FB69" i="8"/>
  <c r="FA69" i="8"/>
  <c r="FB68" i="8"/>
  <c r="FA68" i="8"/>
  <c r="FB67" i="8"/>
  <c r="FA67" i="8"/>
  <c r="FB66" i="8"/>
  <c r="FA66" i="8"/>
  <c r="FB65" i="8"/>
  <c r="FA65" i="8"/>
  <c r="FB64" i="8"/>
  <c r="FA64" i="8"/>
  <c r="FB63" i="8"/>
  <c r="FA63" i="8"/>
  <c r="FB59" i="8"/>
  <c r="FA59" i="8"/>
  <c r="FB58" i="8"/>
  <c r="FA58" i="8"/>
  <c r="FB57" i="8"/>
  <c r="FA57" i="8"/>
  <c r="FB56" i="8"/>
  <c r="FA56" i="8"/>
  <c r="FB55" i="8"/>
  <c r="FA55" i="8"/>
  <c r="FB54" i="8"/>
  <c r="FA54" i="8"/>
  <c r="FB53" i="8"/>
  <c r="FA53" i="8"/>
  <c r="FB52" i="8"/>
  <c r="FA52" i="8"/>
  <c r="FB51" i="8"/>
  <c r="FA51" i="8"/>
  <c r="FB47" i="8"/>
  <c r="FA47" i="8"/>
  <c r="FB46" i="8"/>
  <c r="FA46" i="8"/>
  <c r="FB45" i="8"/>
  <c r="FA45" i="8"/>
  <c r="FB44" i="8"/>
  <c r="FA44" i="8"/>
  <c r="FB43" i="8"/>
  <c r="FA43" i="8"/>
  <c r="FB42" i="8"/>
  <c r="FA42" i="8"/>
  <c r="FB39" i="8"/>
  <c r="FA39" i="8"/>
  <c r="EZ83" i="8"/>
  <c r="EY83" i="8"/>
  <c r="EZ82" i="8"/>
  <c r="EY82" i="8"/>
  <c r="EZ81" i="8"/>
  <c r="EY81" i="8"/>
  <c r="EZ80" i="8"/>
  <c r="EY80" i="8"/>
  <c r="EZ79" i="8"/>
  <c r="EY79" i="8"/>
  <c r="EZ78" i="8"/>
  <c r="EY78" i="8"/>
  <c r="EZ77" i="8"/>
  <c r="EY77" i="8"/>
  <c r="EZ76" i="8"/>
  <c r="EY76" i="8"/>
  <c r="EZ75" i="8"/>
  <c r="EY75" i="8"/>
  <c r="EZ71" i="8"/>
  <c r="EY71" i="8"/>
  <c r="EZ70" i="8"/>
  <c r="EY70" i="8"/>
  <c r="EZ69" i="8"/>
  <c r="EY69" i="8"/>
  <c r="EZ68" i="8"/>
  <c r="EY68" i="8"/>
  <c r="EZ67" i="8"/>
  <c r="EY67" i="8"/>
  <c r="EZ66" i="8"/>
  <c r="EY66" i="8"/>
  <c r="EZ65" i="8"/>
  <c r="EY65" i="8"/>
  <c r="EZ64" i="8"/>
  <c r="EY64" i="8"/>
  <c r="EZ63" i="8"/>
  <c r="EY63" i="8"/>
  <c r="EZ59" i="8"/>
  <c r="EY59" i="8"/>
  <c r="EZ58" i="8"/>
  <c r="EY58" i="8"/>
  <c r="EZ57" i="8"/>
  <c r="EY57" i="8"/>
  <c r="EZ56" i="8"/>
  <c r="EY56" i="8"/>
  <c r="EZ55" i="8"/>
  <c r="EY55" i="8"/>
  <c r="EZ54" i="8"/>
  <c r="EY54" i="8"/>
  <c r="EZ53" i="8"/>
  <c r="EY53" i="8"/>
  <c r="EZ52" i="8"/>
  <c r="EY52" i="8"/>
  <c r="EZ51" i="8"/>
  <c r="EY51" i="8"/>
  <c r="EZ47" i="8"/>
  <c r="EY47" i="8"/>
  <c r="EZ46" i="8"/>
  <c r="EY46" i="8"/>
  <c r="EZ45" i="8"/>
  <c r="EY45" i="8"/>
  <c r="EZ44" i="8"/>
  <c r="EY44" i="8"/>
  <c r="EZ43" i="8"/>
  <c r="EY43" i="8"/>
  <c r="EZ42" i="8"/>
  <c r="EY42" i="8"/>
  <c r="EZ41" i="8"/>
  <c r="EY41" i="8"/>
  <c r="EZ40" i="8"/>
  <c r="EY40" i="8"/>
  <c r="EZ39" i="8"/>
  <c r="EY39" i="8"/>
  <c r="EV83" i="8"/>
  <c r="EU83" i="8"/>
  <c r="EV82" i="8"/>
  <c r="EU82" i="8"/>
  <c r="EV81" i="8"/>
  <c r="EU81" i="8"/>
  <c r="EV80" i="8"/>
  <c r="EU80" i="8"/>
  <c r="EV79" i="8"/>
  <c r="EU79" i="8"/>
  <c r="EV78" i="8"/>
  <c r="EU78" i="8"/>
  <c r="EV77" i="8"/>
  <c r="EU77" i="8"/>
  <c r="EV76" i="8"/>
  <c r="EU76" i="8"/>
  <c r="EV75" i="8"/>
  <c r="EU75" i="8"/>
  <c r="EV71" i="8"/>
  <c r="EU71" i="8"/>
  <c r="EV70" i="8"/>
  <c r="EU70" i="8"/>
  <c r="EV69" i="8"/>
  <c r="EU69" i="8"/>
  <c r="EV68" i="8"/>
  <c r="EU68" i="8"/>
  <c r="EV67" i="8"/>
  <c r="EU67" i="8"/>
  <c r="EV66" i="8"/>
  <c r="EU66" i="8"/>
  <c r="EV65" i="8"/>
  <c r="EU65" i="8"/>
  <c r="EV64" i="8"/>
  <c r="EU64" i="8"/>
  <c r="EV63" i="8"/>
  <c r="EU63" i="8"/>
  <c r="EV59" i="8"/>
  <c r="EU59" i="8"/>
  <c r="EV58" i="8"/>
  <c r="EU58" i="8"/>
  <c r="EV57" i="8"/>
  <c r="EU57" i="8"/>
  <c r="EV56" i="8"/>
  <c r="EU56" i="8"/>
  <c r="EV55" i="8"/>
  <c r="EU55" i="8"/>
  <c r="EV54" i="8"/>
  <c r="EU54" i="8"/>
  <c r="EV53" i="8"/>
  <c r="EU53" i="8"/>
  <c r="EV52" i="8"/>
  <c r="EU52" i="8"/>
  <c r="EV51" i="8"/>
  <c r="EU51" i="8"/>
  <c r="EV47" i="8"/>
  <c r="G46" i="3" s="1"/>
  <c r="EU47" i="8"/>
  <c r="E46" i="3" s="1"/>
  <c r="Y46" i="3" s="1"/>
  <c r="EV46" i="8"/>
  <c r="F46" i="3" s="1"/>
  <c r="EU46" i="8"/>
  <c r="C46" i="3" s="1"/>
  <c r="EV45" i="8"/>
  <c r="EU45" i="8"/>
  <c r="EV44" i="8"/>
  <c r="EU44" i="8"/>
  <c r="EV43" i="8"/>
  <c r="EU43" i="8"/>
  <c r="EV42" i="8"/>
  <c r="EU42" i="8"/>
  <c r="EV41" i="8"/>
  <c r="EU41" i="8"/>
  <c r="EV40" i="8"/>
  <c r="EU40" i="8"/>
  <c r="EV39" i="8"/>
  <c r="EU39" i="8"/>
  <c r="ER83" i="8"/>
  <c r="EQ83" i="8"/>
  <c r="ER82" i="8"/>
  <c r="EQ82" i="8"/>
  <c r="ER81" i="8"/>
  <c r="EQ81" i="8"/>
  <c r="ER80" i="8"/>
  <c r="EQ80" i="8"/>
  <c r="ER79" i="8"/>
  <c r="EQ79" i="8"/>
  <c r="ER78" i="8"/>
  <c r="EQ78" i="8"/>
  <c r="ER77" i="8"/>
  <c r="EQ77" i="8"/>
  <c r="ER76" i="8"/>
  <c r="EQ76" i="8"/>
  <c r="ER75" i="8"/>
  <c r="EQ75" i="8"/>
  <c r="ER71" i="8"/>
  <c r="EQ71" i="8"/>
  <c r="ER70" i="8"/>
  <c r="EQ70" i="8"/>
  <c r="ER69" i="8"/>
  <c r="EQ69" i="8"/>
  <c r="ER68" i="8"/>
  <c r="EQ68" i="8"/>
  <c r="ER67" i="8"/>
  <c r="EQ67" i="8"/>
  <c r="ER66" i="8"/>
  <c r="EQ66" i="8"/>
  <c r="ER65" i="8"/>
  <c r="EQ65" i="8"/>
  <c r="ER64" i="8"/>
  <c r="EQ64" i="8"/>
  <c r="ER63" i="8"/>
  <c r="EQ63" i="8"/>
  <c r="ER59" i="8"/>
  <c r="EQ59" i="8"/>
  <c r="ER58" i="8"/>
  <c r="EQ58" i="8"/>
  <c r="ER57" i="8"/>
  <c r="EQ57" i="8"/>
  <c r="ER56" i="8"/>
  <c r="EQ56" i="8"/>
  <c r="ER55" i="8"/>
  <c r="EQ55" i="8"/>
  <c r="ER54" i="8"/>
  <c r="EQ54" i="8"/>
  <c r="ER53" i="8"/>
  <c r="EQ53" i="8"/>
  <c r="ER52" i="8"/>
  <c r="EQ52" i="8"/>
  <c r="ER51" i="8"/>
  <c r="EQ51" i="8"/>
  <c r="ER47" i="8"/>
  <c r="EQ47" i="8"/>
  <c r="ER46" i="8"/>
  <c r="EQ46" i="8"/>
  <c r="ER45" i="8"/>
  <c r="EQ45" i="8"/>
  <c r="ER44" i="8"/>
  <c r="EQ44" i="8"/>
  <c r="ER43" i="8"/>
  <c r="EQ43" i="8"/>
  <c r="ER42" i="8"/>
  <c r="EQ42" i="8"/>
  <c r="ER39" i="8"/>
  <c r="EQ39" i="8"/>
  <c r="EP83" i="8"/>
  <c r="EO83" i="8"/>
  <c r="EP82" i="8"/>
  <c r="EO82" i="8"/>
  <c r="EP81" i="8"/>
  <c r="EO81" i="8"/>
  <c r="EP80" i="8"/>
  <c r="EO80" i="8"/>
  <c r="EP79" i="8"/>
  <c r="EO79" i="8"/>
  <c r="EP78" i="8"/>
  <c r="EO78" i="8"/>
  <c r="EP77" i="8"/>
  <c r="EO77" i="8"/>
  <c r="EP76" i="8"/>
  <c r="EO76" i="8"/>
  <c r="EP75" i="8"/>
  <c r="EO75" i="8"/>
  <c r="EP71" i="8"/>
  <c r="EO71" i="8"/>
  <c r="EP70" i="8"/>
  <c r="EO70" i="8"/>
  <c r="EP69" i="8"/>
  <c r="EO69" i="8"/>
  <c r="EP68" i="8"/>
  <c r="EO68" i="8"/>
  <c r="EP67" i="8"/>
  <c r="EO67" i="8"/>
  <c r="EP66" i="8"/>
  <c r="EO66" i="8"/>
  <c r="EP65" i="8"/>
  <c r="EO65" i="8"/>
  <c r="EP64" i="8"/>
  <c r="EO64" i="8"/>
  <c r="EP63" i="8"/>
  <c r="EO63" i="8"/>
  <c r="EP59" i="8"/>
  <c r="EO59" i="8"/>
  <c r="EP58" i="8"/>
  <c r="EO58" i="8"/>
  <c r="EP57" i="8"/>
  <c r="EO57" i="8"/>
  <c r="EP56" i="8"/>
  <c r="EO56" i="8"/>
  <c r="EP55" i="8"/>
  <c r="EO55" i="8"/>
  <c r="EP54" i="8"/>
  <c r="EO54" i="8"/>
  <c r="EP53" i="8"/>
  <c r="EO53" i="8"/>
  <c r="EP52" i="8"/>
  <c r="EO52" i="8"/>
  <c r="EP51" i="8"/>
  <c r="EO51" i="8"/>
  <c r="EP47" i="8"/>
  <c r="G44" i="3" s="1"/>
  <c r="EO47" i="8"/>
  <c r="E44" i="3" s="1"/>
  <c r="Y44" i="3" s="1"/>
  <c r="EP46" i="8"/>
  <c r="F44" i="3" s="1"/>
  <c r="EO46" i="8"/>
  <c r="C44" i="3" s="1"/>
  <c r="EP45" i="8"/>
  <c r="EO45" i="8"/>
  <c r="EP44" i="8"/>
  <c r="F26" i="3" s="1"/>
  <c r="Q26" i="3" s="1"/>
  <c r="EO44" i="8"/>
  <c r="D26" i="3" s="1"/>
  <c r="O26" i="3" s="1"/>
  <c r="EP43" i="8"/>
  <c r="EO43" i="8"/>
  <c r="EP42" i="8"/>
  <c r="EO42" i="8"/>
  <c r="EP39" i="8"/>
  <c r="EO39" i="8"/>
  <c r="EN83" i="8"/>
  <c r="EM83" i="8"/>
  <c r="EN82" i="8"/>
  <c r="EM82" i="8"/>
  <c r="EN81" i="8"/>
  <c r="EM81" i="8"/>
  <c r="EN80" i="8"/>
  <c r="EM80" i="8"/>
  <c r="EN79" i="8"/>
  <c r="EM79" i="8"/>
  <c r="EN78" i="8"/>
  <c r="EM78" i="8"/>
  <c r="EN77" i="8"/>
  <c r="EM77" i="8"/>
  <c r="EN76" i="8"/>
  <c r="EM76" i="8"/>
  <c r="EN75" i="8"/>
  <c r="EM75" i="8"/>
  <c r="EN71" i="8"/>
  <c r="EM71" i="8"/>
  <c r="EN70" i="8"/>
  <c r="EM70" i="8"/>
  <c r="EN69" i="8"/>
  <c r="EM69" i="8"/>
  <c r="EN68" i="8"/>
  <c r="EM68" i="8"/>
  <c r="EN67" i="8"/>
  <c r="EM67" i="8"/>
  <c r="EN66" i="8"/>
  <c r="EM66" i="8"/>
  <c r="EN65" i="8"/>
  <c r="EM65" i="8"/>
  <c r="EN64" i="8"/>
  <c r="EM64" i="8"/>
  <c r="EN63" i="8"/>
  <c r="EM63" i="8"/>
  <c r="EN59" i="8"/>
  <c r="EM59" i="8"/>
  <c r="EN58" i="8"/>
  <c r="EM58" i="8"/>
  <c r="EN57" i="8"/>
  <c r="EM57" i="8"/>
  <c r="EN56" i="8"/>
  <c r="EM56" i="8"/>
  <c r="EN55" i="8"/>
  <c r="EM55" i="8"/>
  <c r="EN54" i="8"/>
  <c r="EM54" i="8"/>
  <c r="EN53" i="8"/>
  <c r="EM53" i="8"/>
  <c r="EN52" i="8"/>
  <c r="EM52" i="8"/>
  <c r="EN51" i="8"/>
  <c r="EM51" i="8"/>
  <c r="EN47" i="8"/>
  <c r="EM47" i="8"/>
  <c r="EN46" i="8"/>
  <c r="EM46" i="8"/>
  <c r="EN45" i="8"/>
  <c r="EM45" i="8"/>
  <c r="EN44" i="8"/>
  <c r="EM44" i="8"/>
  <c r="EN43" i="8"/>
  <c r="EM43" i="8"/>
  <c r="EN42" i="8"/>
  <c r="EM42" i="8"/>
  <c r="EN41" i="8"/>
  <c r="EM41" i="8"/>
  <c r="EN40" i="8"/>
  <c r="EM40" i="8"/>
  <c r="EN39" i="8"/>
  <c r="EM39" i="8"/>
  <c r="EL83" i="8"/>
  <c r="EK83" i="8"/>
  <c r="EL82" i="8"/>
  <c r="EK82" i="8"/>
  <c r="EL81" i="8"/>
  <c r="EK81" i="8"/>
  <c r="EL80" i="8"/>
  <c r="EK80" i="8"/>
  <c r="EL79" i="8"/>
  <c r="EK79" i="8"/>
  <c r="EL78" i="8"/>
  <c r="EK78" i="8"/>
  <c r="EL77" i="8"/>
  <c r="EK77" i="8"/>
  <c r="EL76" i="8"/>
  <c r="EK76" i="8"/>
  <c r="EL75" i="8"/>
  <c r="EK75" i="8"/>
  <c r="EL71" i="8"/>
  <c r="EK71" i="8"/>
  <c r="EL70" i="8"/>
  <c r="EK70" i="8"/>
  <c r="EL69" i="8"/>
  <c r="EK69" i="8"/>
  <c r="EL68" i="8"/>
  <c r="EK68" i="8"/>
  <c r="EL67" i="8"/>
  <c r="EK67" i="8"/>
  <c r="EL66" i="8"/>
  <c r="EK66" i="8"/>
  <c r="EL65" i="8"/>
  <c r="EK65" i="8"/>
  <c r="EL64" i="8"/>
  <c r="EK64" i="8"/>
  <c r="EL63" i="8"/>
  <c r="EK63" i="8"/>
  <c r="EL59" i="8"/>
  <c r="EK59" i="8"/>
  <c r="EL58" i="8"/>
  <c r="EK58" i="8"/>
  <c r="EL57" i="8"/>
  <c r="EK57" i="8"/>
  <c r="EL56" i="8"/>
  <c r="EK56" i="8"/>
  <c r="EL55" i="8"/>
  <c r="EK55" i="8"/>
  <c r="EL54" i="8"/>
  <c r="EK54" i="8"/>
  <c r="EL53" i="8"/>
  <c r="EK53" i="8"/>
  <c r="EL52" i="8"/>
  <c r="EK52" i="8"/>
  <c r="EL51" i="8"/>
  <c r="EK51" i="8"/>
  <c r="EL47" i="8"/>
  <c r="EK47" i="8"/>
  <c r="EL46" i="8"/>
  <c r="EK46" i="8"/>
  <c r="EL45" i="8"/>
  <c r="EK45" i="8"/>
  <c r="EL44" i="8"/>
  <c r="EK44" i="8"/>
  <c r="EL43" i="8"/>
  <c r="EK43" i="8"/>
  <c r="EL42" i="8"/>
  <c r="EK42" i="8"/>
  <c r="EL41" i="8"/>
  <c r="EK41" i="8"/>
  <c r="EL40" i="8"/>
  <c r="EK40" i="8"/>
  <c r="EL39" i="8"/>
  <c r="EK39" i="8"/>
  <c r="EJ83" i="8"/>
  <c r="EI83" i="8"/>
  <c r="EJ82" i="8"/>
  <c r="EI82" i="8"/>
  <c r="EJ81" i="8"/>
  <c r="EI81" i="8"/>
  <c r="EJ80" i="8"/>
  <c r="EI80" i="8"/>
  <c r="EJ79" i="8"/>
  <c r="EI79" i="8"/>
  <c r="EJ78" i="8"/>
  <c r="EI78" i="8"/>
  <c r="EJ77" i="8"/>
  <c r="EI77" i="8"/>
  <c r="EJ76" i="8"/>
  <c r="EI76" i="8"/>
  <c r="EJ75" i="8"/>
  <c r="EI75" i="8"/>
  <c r="EJ71" i="8"/>
  <c r="EI71" i="8"/>
  <c r="EJ70" i="8"/>
  <c r="EI70" i="8"/>
  <c r="EJ69" i="8"/>
  <c r="EI69" i="8"/>
  <c r="EJ68" i="8"/>
  <c r="EI68" i="8"/>
  <c r="EJ67" i="8"/>
  <c r="EI67" i="8"/>
  <c r="EJ66" i="8"/>
  <c r="EI66" i="8"/>
  <c r="EJ65" i="8"/>
  <c r="EI65" i="8"/>
  <c r="EJ64" i="8"/>
  <c r="EI64" i="8"/>
  <c r="EJ63" i="8"/>
  <c r="EI63" i="8"/>
  <c r="EJ59" i="8"/>
  <c r="EI59" i="8"/>
  <c r="EJ58" i="8"/>
  <c r="EI58" i="8"/>
  <c r="EJ57" i="8"/>
  <c r="EI57" i="8"/>
  <c r="EJ56" i="8"/>
  <c r="EI56" i="8"/>
  <c r="EJ55" i="8"/>
  <c r="EI55" i="8"/>
  <c r="EJ54" i="8"/>
  <c r="EI54" i="8"/>
  <c r="EJ53" i="8"/>
  <c r="EI53" i="8"/>
  <c r="EJ52" i="8"/>
  <c r="EI52" i="8"/>
  <c r="EJ51" i="8"/>
  <c r="EI51" i="8"/>
  <c r="EJ47" i="8"/>
  <c r="EI47" i="8"/>
  <c r="EJ46" i="8"/>
  <c r="EI46" i="8"/>
  <c r="EJ45" i="8"/>
  <c r="EI45" i="8"/>
  <c r="EJ44" i="8"/>
  <c r="EI44" i="8"/>
  <c r="EJ43" i="8"/>
  <c r="EI43" i="8"/>
  <c r="EJ42" i="8"/>
  <c r="EI42" i="8"/>
  <c r="EJ41" i="8"/>
  <c r="EI41" i="8"/>
  <c r="EJ40" i="8"/>
  <c r="EI40" i="8"/>
  <c r="EJ39" i="8"/>
  <c r="EI39" i="8"/>
  <c r="EH83" i="8"/>
  <c r="EG83" i="8"/>
  <c r="EH82" i="8"/>
  <c r="EG82" i="8"/>
  <c r="EH81" i="8"/>
  <c r="EG81" i="8"/>
  <c r="EH80" i="8"/>
  <c r="EG80" i="8"/>
  <c r="EH79" i="8"/>
  <c r="EG79" i="8"/>
  <c r="EH78" i="8"/>
  <c r="EG78" i="8"/>
  <c r="EH77" i="8"/>
  <c r="EG77" i="8"/>
  <c r="EH76" i="8"/>
  <c r="EG76" i="8"/>
  <c r="EH75" i="8"/>
  <c r="EG75" i="8"/>
  <c r="EH71" i="8"/>
  <c r="EG71" i="8"/>
  <c r="EH70" i="8"/>
  <c r="EG70" i="8"/>
  <c r="EH69" i="8"/>
  <c r="EG69" i="8"/>
  <c r="EH68" i="8"/>
  <c r="EG68" i="8"/>
  <c r="EH67" i="8"/>
  <c r="EG67" i="8"/>
  <c r="EH66" i="8"/>
  <c r="EG66" i="8"/>
  <c r="EH65" i="8"/>
  <c r="EG65" i="8"/>
  <c r="EH64" i="8"/>
  <c r="EG64" i="8"/>
  <c r="EH63" i="8"/>
  <c r="EG63" i="8"/>
  <c r="EH59" i="8"/>
  <c r="EG59" i="8"/>
  <c r="EH58" i="8"/>
  <c r="EG58" i="8"/>
  <c r="EH57" i="8"/>
  <c r="EG57" i="8"/>
  <c r="EH56" i="8"/>
  <c r="EG56" i="8"/>
  <c r="EH55" i="8"/>
  <c r="EG55" i="8"/>
  <c r="EH54" i="8"/>
  <c r="EG54" i="8"/>
  <c r="EH53" i="8"/>
  <c r="EG53" i="8"/>
  <c r="EH52" i="8"/>
  <c r="EG52" i="8"/>
  <c r="EH51" i="8"/>
  <c r="EG51" i="8"/>
  <c r="EH47" i="8"/>
  <c r="EG47" i="8"/>
  <c r="EH46" i="8"/>
  <c r="EG46" i="8"/>
  <c r="EH45" i="8"/>
  <c r="EG45" i="8"/>
  <c r="EH44" i="8"/>
  <c r="EG44" i="8"/>
  <c r="EH43" i="8"/>
  <c r="EG43" i="8"/>
  <c r="EH42" i="8"/>
  <c r="EG42" i="8"/>
  <c r="EH41" i="8"/>
  <c r="EG41" i="8"/>
  <c r="EH40" i="8"/>
  <c r="EG40" i="8"/>
  <c r="EH39" i="8"/>
  <c r="EG39" i="8"/>
  <c r="EF83" i="8"/>
  <c r="EE83" i="8"/>
  <c r="EF82" i="8"/>
  <c r="EE82" i="8"/>
  <c r="EF81" i="8"/>
  <c r="EE81" i="8"/>
  <c r="EF80" i="8"/>
  <c r="EE80" i="8"/>
  <c r="EF79" i="8"/>
  <c r="EE79" i="8"/>
  <c r="EF78" i="8"/>
  <c r="EE78" i="8"/>
  <c r="EF77" i="8"/>
  <c r="EE77" i="8"/>
  <c r="EF76" i="8"/>
  <c r="EE76" i="8"/>
  <c r="EF75" i="8"/>
  <c r="EE75" i="8"/>
  <c r="EF71" i="8"/>
  <c r="EE71" i="8"/>
  <c r="EF70" i="8"/>
  <c r="EE70" i="8"/>
  <c r="EF69" i="8"/>
  <c r="EE69" i="8"/>
  <c r="EF68" i="8"/>
  <c r="EE68" i="8"/>
  <c r="EF67" i="8"/>
  <c r="EE67" i="8"/>
  <c r="EF66" i="8"/>
  <c r="EE66" i="8"/>
  <c r="EF65" i="8"/>
  <c r="EE65" i="8"/>
  <c r="EF64" i="8"/>
  <c r="EE64" i="8"/>
  <c r="EF63" i="8"/>
  <c r="EE63" i="8"/>
  <c r="EF59" i="8"/>
  <c r="EE59" i="8"/>
  <c r="EF58" i="8"/>
  <c r="EE58" i="8"/>
  <c r="EF57" i="8"/>
  <c r="EE57" i="8"/>
  <c r="EF56" i="8"/>
  <c r="EE56" i="8"/>
  <c r="EF55" i="8"/>
  <c r="EE55" i="8"/>
  <c r="EF54" i="8"/>
  <c r="EE54" i="8"/>
  <c r="EF53" i="8"/>
  <c r="EE53" i="8"/>
  <c r="EF52" i="8"/>
  <c r="EE52" i="8"/>
  <c r="EF51" i="8"/>
  <c r="EE51" i="8"/>
  <c r="EF47" i="8"/>
  <c r="EE47" i="8"/>
  <c r="EF46" i="8"/>
  <c r="EE46" i="8"/>
  <c r="EF45" i="8"/>
  <c r="EE45" i="8"/>
  <c r="EF44" i="8"/>
  <c r="EE44" i="8"/>
  <c r="EF43" i="8"/>
  <c r="EE43" i="8"/>
  <c r="EF42" i="8"/>
  <c r="EE42" i="8"/>
  <c r="EF41" i="8"/>
  <c r="EE41" i="8"/>
  <c r="EF40" i="8"/>
  <c r="EE40" i="8"/>
  <c r="EF39" i="8"/>
  <c r="EE39" i="8"/>
  <c r="ED83" i="8"/>
  <c r="EC83" i="8"/>
  <c r="ED82" i="8"/>
  <c r="EC82" i="8"/>
  <c r="ED81" i="8"/>
  <c r="EC81" i="8"/>
  <c r="ED80" i="8"/>
  <c r="EC80" i="8"/>
  <c r="ED79" i="8"/>
  <c r="EC79" i="8"/>
  <c r="ED78" i="8"/>
  <c r="EC78" i="8"/>
  <c r="ED77" i="8"/>
  <c r="EC77" i="8"/>
  <c r="ED76" i="8"/>
  <c r="EC76" i="8"/>
  <c r="ED75" i="8"/>
  <c r="EC75" i="8"/>
  <c r="ED71" i="8"/>
  <c r="EC71" i="8"/>
  <c r="ED70" i="8"/>
  <c r="EC70" i="8"/>
  <c r="ED69" i="8"/>
  <c r="EC69" i="8"/>
  <c r="ED68" i="8"/>
  <c r="EC68" i="8"/>
  <c r="ED67" i="8"/>
  <c r="EC67" i="8"/>
  <c r="ED66" i="8"/>
  <c r="EC66" i="8"/>
  <c r="ED65" i="8"/>
  <c r="EC65" i="8"/>
  <c r="ED64" i="8"/>
  <c r="EC64" i="8"/>
  <c r="ED63" i="8"/>
  <c r="EC63" i="8"/>
  <c r="ED59" i="8"/>
  <c r="EC59" i="8"/>
  <c r="ED58" i="8"/>
  <c r="EC58" i="8"/>
  <c r="ED57" i="8"/>
  <c r="EC57" i="8"/>
  <c r="ED56" i="8"/>
  <c r="EC56" i="8"/>
  <c r="ED55" i="8"/>
  <c r="EC55" i="8"/>
  <c r="ED54" i="8"/>
  <c r="EC54" i="8"/>
  <c r="ED53" i="8"/>
  <c r="EC53" i="8"/>
  <c r="ED52" i="8"/>
  <c r="EC52" i="8"/>
  <c r="ED51" i="8"/>
  <c r="EC51" i="8"/>
  <c r="ED47" i="8"/>
  <c r="EC47" i="8"/>
  <c r="ED46" i="8"/>
  <c r="EC46" i="8"/>
  <c r="ED45" i="8"/>
  <c r="EC45" i="8"/>
  <c r="ED44" i="8"/>
  <c r="EC44" i="8"/>
  <c r="ED43" i="8"/>
  <c r="EC43" i="8"/>
  <c r="ED42" i="8"/>
  <c r="EC42" i="8"/>
  <c r="ED41" i="8"/>
  <c r="EC41" i="8"/>
  <c r="ED40" i="8"/>
  <c r="EC40" i="8"/>
  <c r="ED39" i="8"/>
  <c r="EC39" i="8"/>
  <c r="EB83" i="8"/>
  <c r="EA83" i="8"/>
  <c r="EB82" i="8"/>
  <c r="EA82" i="8"/>
  <c r="EB81" i="8"/>
  <c r="EA81" i="8"/>
  <c r="EB80" i="8"/>
  <c r="EA80" i="8"/>
  <c r="EB79" i="8"/>
  <c r="EA79" i="8"/>
  <c r="EB78" i="8"/>
  <c r="EA78" i="8"/>
  <c r="EB77" i="8"/>
  <c r="EA77" i="8"/>
  <c r="EB76" i="8"/>
  <c r="EA76" i="8"/>
  <c r="EB75" i="8"/>
  <c r="EA75" i="8"/>
  <c r="EB71" i="8"/>
  <c r="EA71" i="8"/>
  <c r="EB70" i="8"/>
  <c r="EA70" i="8"/>
  <c r="EB69" i="8"/>
  <c r="EA69" i="8"/>
  <c r="EB68" i="8"/>
  <c r="EA68" i="8"/>
  <c r="EB67" i="8"/>
  <c r="EA67" i="8"/>
  <c r="EB66" i="8"/>
  <c r="EA66" i="8"/>
  <c r="EB65" i="8"/>
  <c r="EA65" i="8"/>
  <c r="EB64" i="8"/>
  <c r="EA64" i="8"/>
  <c r="EB63" i="8"/>
  <c r="EA63" i="8"/>
  <c r="EB59" i="8"/>
  <c r="EA59" i="8"/>
  <c r="EB58" i="8"/>
  <c r="EA58" i="8"/>
  <c r="EB57" i="8"/>
  <c r="EA57" i="8"/>
  <c r="EB56" i="8"/>
  <c r="EA56" i="8"/>
  <c r="EB55" i="8"/>
  <c r="EA55" i="8"/>
  <c r="EB54" i="8"/>
  <c r="EA54" i="8"/>
  <c r="EB53" i="8"/>
  <c r="EA53" i="8"/>
  <c r="EB52" i="8"/>
  <c r="EA52" i="8"/>
  <c r="EB51" i="8"/>
  <c r="EA51" i="8"/>
  <c r="EB47" i="8"/>
  <c r="EA47" i="8"/>
  <c r="EB46" i="8"/>
  <c r="EA46" i="8"/>
  <c r="EB45" i="8"/>
  <c r="EA45" i="8"/>
  <c r="EB44" i="8"/>
  <c r="EA44" i="8"/>
  <c r="EB43" i="8"/>
  <c r="EA43" i="8"/>
  <c r="EB42" i="8"/>
  <c r="EA42" i="8"/>
  <c r="EB41" i="8"/>
  <c r="EA41" i="8"/>
  <c r="EB40" i="8"/>
  <c r="EA40" i="8"/>
  <c r="EB39" i="8"/>
  <c r="EA39" i="8"/>
  <c r="DZ83" i="8"/>
  <c r="DY83" i="8"/>
  <c r="DZ82" i="8"/>
  <c r="DY82" i="8"/>
  <c r="DZ81" i="8"/>
  <c r="DY81" i="8"/>
  <c r="DZ80" i="8"/>
  <c r="DY80" i="8"/>
  <c r="DZ79" i="8"/>
  <c r="DY79" i="8"/>
  <c r="DZ78" i="8"/>
  <c r="DY78" i="8"/>
  <c r="DZ77" i="8"/>
  <c r="DY77" i="8"/>
  <c r="DZ76" i="8"/>
  <c r="DY76" i="8"/>
  <c r="DZ75" i="8"/>
  <c r="DY75" i="8"/>
  <c r="DZ71" i="8"/>
  <c r="DY71" i="8"/>
  <c r="DZ70" i="8"/>
  <c r="DY70" i="8"/>
  <c r="DZ69" i="8"/>
  <c r="DY69" i="8"/>
  <c r="DZ68" i="8"/>
  <c r="DY68" i="8"/>
  <c r="DZ67" i="8"/>
  <c r="DY67" i="8"/>
  <c r="DZ66" i="8"/>
  <c r="DY66" i="8"/>
  <c r="DZ65" i="8"/>
  <c r="DY65" i="8"/>
  <c r="DZ64" i="8"/>
  <c r="DY64" i="8"/>
  <c r="DZ63" i="8"/>
  <c r="DY63" i="8"/>
  <c r="DZ59" i="8"/>
  <c r="DY59" i="8"/>
  <c r="DZ58" i="8"/>
  <c r="DY58" i="8"/>
  <c r="DZ57" i="8"/>
  <c r="DY57" i="8"/>
  <c r="DZ56" i="8"/>
  <c r="DY56" i="8"/>
  <c r="DZ55" i="8"/>
  <c r="DY55" i="8"/>
  <c r="DZ54" i="8"/>
  <c r="DY54" i="8"/>
  <c r="DZ53" i="8"/>
  <c r="DY53" i="8"/>
  <c r="DZ52" i="8"/>
  <c r="DY52" i="8"/>
  <c r="DZ51" i="8"/>
  <c r="DY51" i="8"/>
  <c r="DZ47" i="8"/>
  <c r="DY47" i="8"/>
  <c r="DZ46" i="8"/>
  <c r="DY46" i="8"/>
  <c r="DZ45" i="8"/>
  <c r="DY45" i="8"/>
  <c r="DZ44" i="8"/>
  <c r="DY44" i="8"/>
  <c r="DZ43" i="8"/>
  <c r="DY43" i="8"/>
  <c r="DZ42" i="8"/>
  <c r="DY42" i="8"/>
  <c r="DZ41" i="8"/>
  <c r="DY41" i="8"/>
  <c r="DZ40" i="8"/>
  <c r="DY40" i="8"/>
  <c r="DZ39" i="8"/>
  <c r="DY39" i="8"/>
  <c r="DX83" i="8"/>
  <c r="DW83" i="8"/>
  <c r="DX82" i="8"/>
  <c r="DW82" i="8"/>
  <c r="DX81" i="8"/>
  <c r="DW81" i="8"/>
  <c r="DX80" i="8"/>
  <c r="DW80" i="8"/>
  <c r="DX79" i="8"/>
  <c r="DW79" i="8"/>
  <c r="DX78" i="8"/>
  <c r="DW78" i="8"/>
  <c r="DX77" i="8"/>
  <c r="DW77" i="8"/>
  <c r="DX76" i="8"/>
  <c r="DW76" i="8"/>
  <c r="DX75" i="8"/>
  <c r="DW75" i="8"/>
  <c r="DX71" i="8"/>
  <c r="DW71" i="8"/>
  <c r="DX70" i="8"/>
  <c r="DW70" i="8"/>
  <c r="DX69" i="8"/>
  <c r="DW69" i="8"/>
  <c r="DX68" i="8"/>
  <c r="DW68" i="8"/>
  <c r="DX67" i="8"/>
  <c r="DW67" i="8"/>
  <c r="DX66" i="8"/>
  <c r="DW66" i="8"/>
  <c r="DX65" i="8"/>
  <c r="DW65" i="8"/>
  <c r="DX64" i="8"/>
  <c r="DW64" i="8"/>
  <c r="DX63" i="8"/>
  <c r="DW63" i="8"/>
  <c r="DX59" i="8"/>
  <c r="DW59" i="8"/>
  <c r="DX58" i="8"/>
  <c r="DW58" i="8"/>
  <c r="DX57" i="8"/>
  <c r="DW57" i="8"/>
  <c r="DX56" i="8"/>
  <c r="DW56" i="8"/>
  <c r="DX55" i="8"/>
  <c r="DW55" i="8"/>
  <c r="DX54" i="8"/>
  <c r="DW54" i="8"/>
  <c r="DX53" i="8"/>
  <c r="DW53" i="8"/>
  <c r="DX52" i="8"/>
  <c r="DW52" i="8"/>
  <c r="DX51" i="8"/>
  <c r="DW51" i="8"/>
  <c r="DX47" i="8"/>
  <c r="DW47" i="8"/>
  <c r="DX46" i="8"/>
  <c r="DW46" i="8"/>
  <c r="DX45" i="8"/>
  <c r="DW45" i="8"/>
  <c r="DX44" i="8"/>
  <c r="DW44" i="8"/>
  <c r="DX43" i="8"/>
  <c r="DW43" i="8"/>
  <c r="DX42" i="8"/>
  <c r="DW42" i="8"/>
  <c r="DX41" i="8"/>
  <c r="DW41" i="8"/>
  <c r="DX40" i="8"/>
  <c r="DW40" i="8"/>
  <c r="DX39" i="8"/>
  <c r="DW39" i="8"/>
  <c r="DV83" i="8"/>
  <c r="DU83" i="8"/>
  <c r="DV82" i="8"/>
  <c r="DU82" i="8"/>
  <c r="DV81" i="8"/>
  <c r="DU81" i="8"/>
  <c r="DV80" i="8"/>
  <c r="DU80" i="8"/>
  <c r="DV79" i="8"/>
  <c r="DU79" i="8"/>
  <c r="DV78" i="8"/>
  <c r="DU78" i="8"/>
  <c r="DV77" i="8"/>
  <c r="DU77" i="8"/>
  <c r="DV76" i="8"/>
  <c r="DU76" i="8"/>
  <c r="DV75" i="8"/>
  <c r="DU75" i="8"/>
  <c r="DV71" i="8"/>
  <c r="DU71" i="8"/>
  <c r="DV70" i="8"/>
  <c r="DU70" i="8"/>
  <c r="DV69" i="8"/>
  <c r="DU69" i="8"/>
  <c r="DV68" i="8"/>
  <c r="DU68" i="8"/>
  <c r="DV67" i="8"/>
  <c r="DU67" i="8"/>
  <c r="DV66" i="8"/>
  <c r="DU66" i="8"/>
  <c r="DV65" i="8"/>
  <c r="DU65" i="8"/>
  <c r="DV64" i="8"/>
  <c r="DU64" i="8"/>
  <c r="DV63" i="8"/>
  <c r="DU63" i="8"/>
  <c r="DV59" i="8"/>
  <c r="DU59" i="8"/>
  <c r="DV58" i="8"/>
  <c r="DU58" i="8"/>
  <c r="DV57" i="8"/>
  <c r="DU57" i="8"/>
  <c r="DV56" i="8"/>
  <c r="DU56" i="8"/>
  <c r="DV55" i="8"/>
  <c r="DU55" i="8"/>
  <c r="DV54" i="8"/>
  <c r="DU54" i="8"/>
  <c r="DV53" i="8"/>
  <c r="DU53" i="8"/>
  <c r="DV52" i="8"/>
  <c r="DU52" i="8"/>
  <c r="DV51" i="8"/>
  <c r="DU51" i="8"/>
  <c r="DV47" i="8"/>
  <c r="DU47" i="8"/>
  <c r="DV46" i="8"/>
  <c r="DU46" i="8"/>
  <c r="DV45" i="8"/>
  <c r="DU45" i="8"/>
  <c r="DV44" i="8"/>
  <c r="F25" i="3" s="1"/>
  <c r="Q25" i="3" s="1"/>
  <c r="DU44" i="8"/>
  <c r="D25" i="3" s="1"/>
  <c r="O25" i="3" s="1"/>
  <c r="DV43" i="8"/>
  <c r="DU43" i="8"/>
  <c r="DV42" i="8"/>
  <c r="DU42" i="8"/>
  <c r="DV41" i="8"/>
  <c r="DU41" i="8"/>
  <c r="DV40" i="8"/>
  <c r="DU40" i="8"/>
  <c r="DV39" i="8"/>
  <c r="DU39" i="8"/>
  <c r="DT83" i="8"/>
  <c r="DS83" i="8"/>
  <c r="DT82" i="8"/>
  <c r="DS82" i="8"/>
  <c r="DT81" i="8"/>
  <c r="DS81" i="8"/>
  <c r="DT80" i="8"/>
  <c r="DS80" i="8"/>
  <c r="DT79" i="8"/>
  <c r="DS79" i="8"/>
  <c r="DT78" i="8"/>
  <c r="DS78" i="8"/>
  <c r="DT77" i="8"/>
  <c r="DS77" i="8"/>
  <c r="DT76" i="8"/>
  <c r="DS76" i="8"/>
  <c r="DT75" i="8"/>
  <c r="DS75" i="8"/>
  <c r="DT71" i="8"/>
  <c r="DS71" i="8"/>
  <c r="DT70" i="8"/>
  <c r="DS70" i="8"/>
  <c r="DT69" i="8"/>
  <c r="DS69" i="8"/>
  <c r="DT68" i="8"/>
  <c r="DS68" i="8"/>
  <c r="DT67" i="8"/>
  <c r="DS67" i="8"/>
  <c r="DT66" i="8"/>
  <c r="DS66" i="8"/>
  <c r="DT65" i="8"/>
  <c r="DS65" i="8"/>
  <c r="DT64" i="8"/>
  <c r="DS64" i="8"/>
  <c r="DT63" i="8"/>
  <c r="DS63" i="8"/>
  <c r="DT59" i="8"/>
  <c r="DS59" i="8"/>
  <c r="DT58" i="8"/>
  <c r="DS58" i="8"/>
  <c r="DT57" i="8"/>
  <c r="DS57" i="8"/>
  <c r="DT56" i="8"/>
  <c r="DS56" i="8"/>
  <c r="DT55" i="8"/>
  <c r="DS55" i="8"/>
  <c r="DT54" i="8"/>
  <c r="DS54" i="8"/>
  <c r="DT53" i="8"/>
  <c r="DS53" i="8"/>
  <c r="DT52" i="8"/>
  <c r="DS52" i="8"/>
  <c r="DT51" i="8"/>
  <c r="DS51" i="8"/>
  <c r="DT47" i="8"/>
  <c r="G43" i="3" s="1"/>
  <c r="DS47" i="8"/>
  <c r="E43" i="3" s="1"/>
  <c r="Y43" i="3" s="1"/>
  <c r="DT46" i="8"/>
  <c r="F43" i="3" s="1"/>
  <c r="DS46" i="8"/>
  <c r="C43" i="3" s="1"/>
  <c r="DT45" i="8"/>
  <c r="DS45" i="8"/>
  <c r="DT44" i="8"/>
  <c r="DS44" i="8"/>
  <c r="DT43" i="8"/>
  <c r="DS43" i="8"/>
  <c r="DT42" i="8"/>
  <c r="DS42" i="8"/>
  <c r="DT39" i="8"/>
  <c r="DS39" i="8"/>
  <c r="DR83" i="8"/>
  <c r="DQ83" i="8"/>
  <c r="DR82" i="8"/>
  <c r="DQ82" i="8"/>
  <c r="DR81" i="8"/>
  <c r="DQ81" i="8"/>
  <c r="DR80" i="8"/>
  <c r="DQ80" i="8"/>
  <c r="DR79" i="8"/>
  <c r="DQ79" i="8"/>
  <c r="DR78" i="8"/>
  <c r="DQ78" i="8"/>
  <c r="DR77" i="8"/>
  <c r="DQ77" i="8"/>
  <c r="DR76" i="8"/>
  <c r="DQ76" i="8"/>
  <c r="DR75" i="8"/>
  <c r="DQ75" i="8"/>
  <c r="DR71" i="8"/>
  <c r="DQ71" i="8"/>
  <c r="DR70" i="8"/>
  <c r="DQ70" i="8"/>
  <c r="DR69" i="8"/>
  <c r="DQ69" i="8"/>
  <c r="DR68" i="8"/>
  <c r="DQ68" i="8"/>
  <c r="DR67" i="8"/>
  <c r="DQ67" i="8"/>
  <c r="DR66" i="8"/>
  <c r="DQ66" i="8"/>
  <c r="DR65" i="8"/>
  <c r="DQ65" i="8"/>
  <c r="DR64" i="8"/>
  <c r="DQ64" i="8"/>
  <c r="DR63" i="8"/>
  <c r="DQ63" i="8"/>
  <c r="DR59" i="8"/>
  <c r="DQ59" i="8"/>
  <c r="DR58" i="8"/>
  <c r="DQ58" i="8"/>
  <c r="DR57" i="8"/>
  <c r="DQ57" i="8"/>
  <c r="DR56" i="8"/>
  <c r="DQ56" i="8"/>
  <c r="DR55" i="8"/>
  <c r="DQ55" i="8"/>
  <c r="DR54" i="8"/>
  <c r="DQ54" i="8"/>
  <c r="DR53" i="8"/>
  <c r="DQ53" i="8"/>
  <c r="DR52" i="8"/>
  <c r="DQ52" i="8"/>
  <c r="DR51" i="8"/>
  <c r="DQ51" i="8"/>
  <c r="DR47" i="8"/>
  <c r="G42" i="3" s="1"/>
  <c r="DQ47" i="8"/>
  <c r="E42" i="3" s="1"/>
  <c r="DR46" i="8"/>
  <c r="F42" i="3" s="1"/>
  <c r="DQ46" i="8"/>
  <c r="C42" i="3" s="1"/>
  <c r="DR45" i="8"/>
  <c r="DQ45" i="8"/>
  <c r="DR44" i="8"/>
  <c r="F24" i="3" s="1"/>
  <c r="Q24" i="3" s="1"/>
  <c r="DQ44" i="8"/>
  <c r="D24" i="3" s="1"/>
  <c r="O24" i="3" s="1"/>
  <c r="DR43" i="8"/>
  <c r="DQ43" i="8"/>
  <c r="DR42" i="8"/>
  <c r="DQ42" i="8"/>
  <c r="DR41" i="8"/>
  <c r="DQ41" i="8"/>
  <c r="DR40" i="8"/>
  <c r="DQ40" i="8"/>
  <c r="DR39" i="8"/>
  <c r="DQ39" i="8"/>
  <c r="DP83" i="8"/>
  <c r="DO83" i="8"/>
  <c r="DP82" i="8"/>
  <c r="DO82" i="8"/>
  <c r="DP81" i="8"/>
  <c r="DO81" i="8"/>
  <c r="DP80" i="8"/>
  <c r="DO80" i="8"/>
  <c r="DP79" i="8"/>
  <c r="DO79" i="8"/>
  <c r="DP78" i="8"/>
  <c r="DO78" i="8"/>
  <c r="DP77" i="8"/>
  <c r="DO77" i="8"/>
  <c r="DP76" i="8"/>
  <c r="DO76" i="8"/>
  <c r="DP75" i="8"/>
  <c r="DO75" i="8"/>
  <c r="DP71" i="8"/>
  <c r="DO71" i="8"/>
  <c r="DP70" i="8"/>
  <c r="DO70" i="8"/>
  <c r="DP69" i="8"/>
  <c r="DO69" i="8"/>
  <c r="DP68" i="8"/>
  <c r="DO68" i="8"/>
  <c r="DP67" i="8"/>
  <c r="DO67" i="8"/>
  <c r="DP66" i="8"/>
  <c r="DO66" i="8"/>
  <c r="DP65" i="8"/>
  <c r="DO65" i="8"/>
  <c r="DP64" i="8"/>
  <c r="DO64" i="8"/>
  <c r="DP63" i="8"/>
  <c r="DO63" i="8"/>
  <c r="DP59" i="8"/>
  <c r="DO59" i="8"/>
  <c r="DP58" i="8"/>
  <c r="DO58" i="8"/>
  <c r="DP57" i="8"/>
  <c r="DO57" i="8"/>
  <c r="DP56" i="8"/>
  <c r="DO56" i="8"/>
  <c r="DP55" i="8"/>
  <c r="DO55" i="8"/>
  <c r="DP54" i="8"/>
  <c r="DO54" i="8"/>
  <c r="DP53" i="8"/>
  <c r="DO53" i="8"/>
  <c r="DP52" i="8"/>
  <c r="DO52" i="8"/>
  <c r="DP51" i="8"/>
  <c r="DO51" i="8"/>
  <c r="DP47" i="8"/>
  <c r="DO47" i="8"/>
  <c r="DP46" i="8"/>
  <c r="DO46" i="8"/>
  <c r="DP45" i="8"/>
  <c r="DO45" i="8"/>
  <c r="DP44" i="8"/>
  <c r="DO44" i="8"/>
  <c r="DP43" i="8"/>
  <c r="DO43" i="8"/>
  <c r="DP42" i="8"/>
  <c r="DO42" i="8"/>
  <c r="DP39" i="8"/>
  <c r="DO39" i="8"/>
  <c r="DN83" i="8"/>
  <c r="DM83" i="8"/>
  <c r="DN82" i="8"/>
  <c r="DM82" i="8"/>
  <c r="DN81" i="8"/>
  <c r="DM81" i="8"/>
  <c r="DN80" i="8"/>
  <c r="DM80" i="8"/>
  <c r="DN79" i="8"/>
  <c r="DM79" i="8"/>
  <c r="DN78" i="8"/>
  <c r="DM78" i="8"/>
  <c r="DN77" i="8"/>
  <c r="DM77" i="8"/>
  <c r="DN76" i="8"/>
  <c r="DM76" i="8"/>
  <c r="DN75" i="8"/>
  <c r="DM75" i="8"/>
  <c r="DN71" i="8"/>
  <c r="DM71" i="8"/>
  <c r="DN70" i="8"/>
  <c r="DM70" i="8"/>
  <c r="DN69" i="8"/>
  <c r="DM69" i="8"/>
  <c r="DN68" i="8"/>
  <c r="DM68" i="8"/>
  <c r="DN67" i="8"/>
  <c r="DM67" i="8"/>
  <c r="DN66" i="8"/>
  <c r="DM66" i="8"/>
  <c r="DN65" i="8"/>
  <c r="DM65" i="8"/>
  <c r="DN64" i="8"/>
  <c r="DM64" i="8"/>
  <c r="DN63" i="8"/>
  <c r="DM63" i="8"/>
  <c r="DN59" i="8"/>
  <c r="DM59" i="8"/>
  <c r="DN58" i="8"/>
  <c r="DM58" i="8"/>
  <c r="DN57" i="8"/>
  <c r="DM57" i="8"/>
  <c r="DN56" i="8"/>
  <c r="DM56" i="8"/>
  <c r="DN55" i="8"/>
  <c r="DM55" i="8"/>
  <c r="DN54" i="8"/>
  <c r="DM54" i="8"/>
  <c r="DN53" i="8"/>
  <c r="DM53" i="8"/>
  <c r="DN52" i="8"/>
  <c r="DM52" i="8"/>
  <c r="DN51" i="8"/>
  <c r="DM51" i="8"/>
  <c r="DN47" i="8"/>
  <c r="DM47" i="8"/>
  <c r="DN46" i="8"/>
  <c r="DM46" i="8"/>
  <c r="DN45" i="8"/>
  <c r="DM45" i="8"/>
  <c r="DN44" i="8"/>
  <c r="DM44" i="8"/>
  <c r="DN43" i="8"/>
  <c r="DM43" i="8"/>
  <c r="DN42" i="8"/>
  <c r="DM42" i="8"/>
  <c r="DN41" i="8"/>
  <c r="DM41" i="8"/>
  <c r="DN40" i="8"/>
  <c r="DM40" i="8"/>
  <c r="DN39" i="8"/>
  <c r="DM39" i="8"/>
  <c r="DL83" i="8"/>
  <c r="DK83" i="8"/>
  <c r="DL82" i="8"/>
  <c r="DK82" i="8"/>
  <c r="DL81" i="8"/>
  <c r="DK81" i="8"/>
  <c r="DL80" i="8"/>
  <c r="DK80" i="8"/>
  <c r="DL79" i="8"/>
  <c r="DK79" i="8"/>
  <c r="DL78" i="8"/>
  <c r="DK78" i="8"/>
  <c r="DL77" i="8"/>
  <c r="DK77" i="8"/>
  <c r="DL76" i="8"/>
  <c r="DK76" i="8"/>
  <c r="DL75" i="8"/>
  <c r="DK75" i="8"/>
  <c r="DL71" i="8"/>
  <c r="DK71" i="8"/>
  <c r="DL70" i="8"/>
  <c r="DK70" i="8"/>
  <c r="DL69" i="8"/>
  <c r="DK69" i="8"/>
  <c r="DL68" i="8"/>
  <c r="DK68" i="8"/>
  <c r="DL67" i="8"/>
  <c r="DK67" i="8"/>
  <c r="DL66" i="8"/>
  <c r="DK66" i="8"/>
  <c r="DL65" i="8"/>
  <c r="DK65" i="8"/>
  <c r="DL64" i="8"/>
  <c r="DK64" i="8"/>
  <c r="DL63" i="8"/>
  <c r="DK63" i="8"/>
  <c r="DL59" i="8"/>
  <c r="DK59" i="8"/>
  <c r="DL58" i="8"/>
  <c r="DK58" i="8"/>
  <c r="DL57" i="8"/>
  <c r="DK57" i="8"/>
  <c r="DL56" i="8"/>
  <c r="DK56" i="8"/>
  <c r="DL55" i="8"/>
  <c r="DK55" i="8"/>
  <c r="DL54" i="8"/>
  <c r="DK54" i="8"/>
  <c r="DL53" i="8"/>
  <c r="DK53" i="8"/>
  <c r="DL52" i="8"/>
  <c r="DK52" i="8"/>
  <c r="DL51" i="8"/>
  <c r="DK51" i="8"/>
  <c r="DL47" i="8"/>
  <c r="DK47" i="8"/>
  <c r="DL46" i="8"/>
  <c r="DK46" i="8"/>
  <c r="DL45" i="8"/>
  <c r="DK45" i="8"/>
  <c r="DL44" i="8"/>
  <c r="DK44" i="8"/>
  <c r="DL43" i="8"/>
  <c r="DK43" i="8"/>
  <c r="DL42" i="8"/>
  <c r="DK42" i="8"/>
  <c r="DL41" i="8"/>
  <c r="DK41" i="8"/>
  <c r="DL40" i="8"/>
  <c r="DK40" i="8"/>
  <c r="DL39" i="8"/>
  <c r="DK39" i="8"/>
  <c r="DJ83" i="8"/>
  <c r="DI83" i="8"/>
  <c r="DJ82" i="8"/>
  <c r="DI82" i="8"/>
  <c r="DJ81" i="8"/>
  <c r="DI81" i="8"/>
  <c r="DJ80" i="8"/>
  <c r="DI80" i="8"/>
  <c r="DJ79" i="8"/>
  <c r="DI79" i="8"/>
  <c r="DJ78" i="8"/>
  <c r="DI78" i="8"/>
  <c r="DJ77" i="8"/>
  <c r="DI77" i="8"/>
  <c r="DJ76" i="8"/>
  <c r="DI76" i="8"/>
  <c r="DJ75" i="8"/>
  <c r="DI75" i="8"/>
  <c r="DJ71" i="8"/>
  <c r="DI71" i="8"/>
  <c r="DJ70" i="8"/>
  <c r="DI70" i="8"/>
  <c r="DJ69" i="8"/>
  <c r="DI69" i="8"/>
  <c r="DJ68" i="8"/>
  <c r="DI68" i="8"/>
  <c r="DJ67" i="8"/>
  <c r="DI67" i="8"/>
  <c r="DJ66" i="8"/>
  <c r="DI66" i="8"/>
  <c r="DJ65" i="8"/>
  <c r="DI65" i="8"/>
  <c r="DJ64" i="8"/>
  <c r="DI64" i="8"/>
  <c r="DJ63" i="8"/>
  <c r="DI63" i="8"/>
  <c r="DJ59" i="8"/>
  <c r="DI59" i="8"/>
  <c r="DJ58" i="8"/>
  <c r="DI58" i="8"/>
  <c r="DJ57" i="8"/>
  <c r="DI57" i="8"/>
  <c r="DJ56" i="8"/>
  <c r="DI56" i="8"/>
  <c r="DJ55" i="8"/>
  <c r="DI55" i="8"/>
  <c r="DJ54" i="8"/>
  <c r="DI54" i="8"/>
  <c r="DJ53" i="8"/>
  <c r="DI53" i="8"/>
  <c r="DJ52" i="8"/>
  <c r="DI52" i="8"/>
  <c r="DJ51" i="8"/>
  <c r="DI51" i="8"/>
  <c r="DJ47" i="8"/>
  <c r="DI47" i="8"/>
  <c r="DJ46" i="8"/>
  <c r="DI46" i="8"/>
  <c r="DJ45" i="8"/>
  <c r="DI45" i="8"/>
  <c r="DJ44" i="8"/>
  <c r="DI44" i="8"/>
  <c r="DJ43" i="8"/>
  <c r="DI43" i="8"/>
  <c r="DJ42" i="8"/>
  <c r="DI42" i="8"/>
  <c r="DJ41" i="8"/>
  <c r="DI41" i="8"/>
  <c r="DJ40" i="8"/>
  <c r="DI40" i="8"/>
  <c r="DJ39" i="8"/>
  <c r="DI39" i="8"/>
  <c r="DH83" i="8"/>
  <c r="DG83" i="8"/>
  <c r="DH82" i="8"/>
  <c r="DG82" i="8"/>
  <c r="DH81" i="8"/>
  <c r="DG81" i="8"/>
  <c r="DH80" i="8"/>
  <c r="DG80" i="8"/>
  <c r="DH79" i="8"/>
  <c r="DG79" i="8"/>
  <c r="DH78" i="8"/>
  <c r="DG78" i="8"/>
  <c r="DH77" i="8"/>
  <c r="DG77" i="8"/>
  <c r="DH76" i="8"/>
  <c r="DG76" i="8"/>
  <c r="DH75" i="8"/>
  <c r="DG75" i="8"/>
  <c r="DH71" i="8"/>
  <c r="DG71" i="8"/>
  <c r="DH70" i="8"/>
  <c r="DG70" i="8"/>
  <c r="DH69" i="8"/>
  <c r="DG69" i="8"/>
  <c r="DH68" i="8"/>
  <c r="DG68" i="8"/>
  <c r="DH67" i="8"/>
  <c r="DG67" i="8"/>
  <c r="DH66" i="8"/>
  <c r="DG66" i="8"/>
  <c r="DH65" i="8"/>
  <c r="DG65" i="8"/>
  <c r="DH64" i="8"/>
  <c r="DG64" i="8"/>
  <c r="DH63" i="8"/>
  <c r="DG63" i="8"/>
  <c r="DH59" i="8"/>
  <c r="DG59" i="8"/>
  <c r="DH58" i="8"/>
  <c r="DG58" i="8"/>
  <c r="DH57" i="8"/>
  <c r="DG57" i="8"/>
  <c r="DH56" i="8"/>
  <c r="DG56" i="8"/>
  <c r="DH55" i="8"/>
  <c r="DG55" i="8"/>
  <c r="DH54" i="8"/>
  <c r="DG54" i="8"/>
  <c r="DH53" i="8"/>
  <c r="DG53" i="8"/>
  <c r="DH52" i="8"/>
  <c r="DG52" i="8"/>
  <c r="DH51" i="8"/>
  <c r="DG51" i="8"/>
  <c r="DH47" i="8"/>
  <c r="DG47" i="8"/>
  <c r="DH46" i="8"/>
  <c r="DG46" i="8"/>
  <c r="DH45" i="8"/>
  <c r="DG45" i="8"/>
  <c r="DH44" i="8"/>
  <c r="DG44" i="8"/>
  <c r="DH43" i="8"/>
  <c r="DG43" i="8"/>
  <c r="DH42" i="8"/>
  <c r="DG42" i="8"/>
  <c r="DH41" i="8"/>
  <c r="DG41" i="8"/>
  <c r="DH40" i="8"/>
  <c r="DG40" i="8"/>
  <c r="DH39" i="8"/>
  <c r="DG39" i="8"/>
  <c r="DF83" i="8"/>
  <c r="DE83" i="8"/>
  <c r="DF82" i="8"/>
  <c r="DE82" i="8"/>
  <c r="DF81" i="8"/>
  <c r="DE81" i="8"/>
  <c r="DF80" i="8"/>
  <c r="DE80" i="8"/>
  <c r="DF79" i="8"/>
  <c r="DE79" i="8"/>
  <c r="DF78" i="8"/>
  <c r="DE78" i="8"/>
  <c r="DF77" i="8"/>
  <c r="DE77" i="8"/>
  <c r="DF76" i="8"/>
  <c r="DE76" i="8"/>
  <c r="DF75" i="8"/>
  <c r="DE75" i="8"/>
  <c r="DF71" i="8"/>
  <c r="DE71" i="8"/>
  <c r="DF70" i="8"/>
  <c r="DE70" i="8"/>
  <c r="DF69" i="8"/>
  <c r="DE69" i="8"/>
  <c r="DF68" i="8"/>
  <c r="DE68" i="8"/>
  <c r="DF67" i="8"/>
  <c r="DE67" i="8"/>
  <c r="DF66" i="8"/>
  <c r="DE66" i="8"/>
  <c r="DF65" i="8"/>
  <c r="DE65" i="8"/>
  <c r="DF64" i="8"/>
  <c r="DE64" i="8"/>
  <c r="DF63" i="8"/>
  <c r="DE63" i="8"/>
  <c r="DF59" i="8"/>
  <c r="DE59" i="8"/>
  <c r="DF58" i="8"/>
  <c r="DE58" i="8"/>
  <c r="DF57" i="8"/>
  <c r="DE57" i="8"/>
  <c r="DF56" i="8"/>
  <c r="DE56" i="8"/>
  <c r="DF55" i="8"/>
  <c r="DE55" i="8"/>
  <c r="DF54" i="8"/>
  <c r="DE54" i="8"/>
  <c r="DF53" i="8"/>
  <c r="DE53" i="8"/>
  <c r="DF52" i="8"/>
  <c r="DE52" i="8"/>
  <c r="DF51" i="8"/>
  <c r="DE51" i="8"/>
  <c r="DF47" i="8"/>
  <c r="DE47" i="8"/>
  <c r="DF46" i="8"/>
  <c r="DE46" i="8"/>
  <c r="DF45" i="8"/>
  <c r="DE45" i="8"/>
  <c r="DF44" i="8"/>
  <c r="DE44" i="8"/>
  <c r="DF43" i="8"/>
  <c r="DE43" i="8"/>
  <c r="DF42" i="8"/>
  <c r="DE42" i="8"/>
  <c r="DF39" i="8"/>
  <c r="DE39" i="8"/>
  <c r="DD83" i="8"/>
  <c r="DC83" i="8"/>
  <c r="DD82" i="8"/>
  <c r="DC82" i="8"/>
  <c r="DD81" i="8"/>
  <c r="DC81" i="8"/>
  <c r="DD80" i="8"/>
  <c r="DC80" i="8"/>
  <c r="DD79" i="8"/>
  <c r="DC79" i="8"/>
  <c r="DD78" i="8"/>
  <c r="DC78" i="8"/>
  <c r="DD77" i="8"/>
  <c r="DC77" i="8"/>
  <c r="DD76" i="8"/>
  <c r="DC76" i="8"/>
  <c r="DD75" i="8"/>
  <c r="DC75" i="8"/>
  <c r="DD71" i="8"/>
  <c r="DC71" i="8"/>
  <c r="DD70" i="8"/>
  <c r="DC70" i="8"/>
  <c r="DD69" i="8"/>
  <c r="DC69" i="8"/>
  <c r="DD68" i="8"/>
  <c r="DC68" i="8"/>
  <c r="DD67" i="8"/>
  <c r="DC67" i="8"/>
  <c r="DD66" i="8"/>
  <c r="DC66" i="8"/>
  <c r="DD65" i="8"/>
  <c r="DC65" i="8"/>
  <c r="DD64" i="8"/>
  <c r="DC64" i="8"/>
  <c r="DD63" i="8"/>
  <c r="DC63" i="8"/>
  <c r="DD59" i="8"/>
  <c r="DC59" i="8"/>
  <c r="DD58" i="8"/>
  <c r="DC58" i="8"/>
  <c r="DD57" i="8"/>
  <c r="DC57" i="8"/>
  <c r="DD56" i="8"/>
  <c r="DC56" i="8"/>
  <c r="DD55" i="8"/>
  <c r="DC55" i="8"/>
  <c r="DD54" i="8"/>
  <c r="DC54" i="8"/>
  <c r="DD53" i="8"/>
  <c r="DC53" i="8"/>
  <c r="DD52" i="8"/>
  <c r="DC52" i="8"/>
  <c r="DD51" i="8"/>
  <c r="DC51" i="8"/>
  <c r="DD47" i="8"/>
  <c r="DC47" i="8"/>
  <c r="DD46" i="8"/>
  <c r="DC46" i="8"/>
  <c r="DD45" i="8"/>
  <c r="DC45" i="8"/>
  <c r="DD44" i="8"/>
  <c r="DC44" i="8"/>
  <c r="DD43" i="8"/>
  <c r="DC43" i="8"/>
  <c r="DD42" i="8"/>
  <c r="DC42" i="8"/>
  <c r="DD41" i="8"/>
  <c r="DC41" i="8"/>
  <c r="DD40" i="8"/>
  <c r="DC40" i="8"/>
  <c r="DD39" i="8"/>
  <c r="DC39" i="8"/>
  <c r="DB83" i="8"/>
  <c r="DA83" i="8"/>
  <c r="DB82" i="8"/>
  <c r="DA82" i="8"/>
  <c r="DB81" i="8"/>
  <c r="DA81" i="8"/>
  <c r="DB80" i="8"/>
  <c r="DA80" i="8"/>
  <c r="DB79" i="8"/>
  <c r="DA79" i="8"/>
  <c r="DB78" i="8"/>
  <c r="DA78" i="8"/>
  <c r="DB77" i="8"/>
  <c r="DA77" i="8"/>
  <c r="DB76" i="8"/>
  <c r="DA76" i="8"/>
  <c r="DB75" i="8"/>
  <c r="DA75" i="8"/>
  <c r="DB71" i="8"/>
  <c r="DA71" i="8"/>
  <c r="DB70" i="8"/>
  <c r="DA70" i="8"/>
  <c r="DB69" i="8"/>
  <c r="DA69" i="8"/>
  <c r="DB68" i="8"/>
  <c r="DA68" i="8"/>
  <c r="DB67" i="8"/>
  <c r="DA67" i="8"/>
  <c r="DB66" i="8"/>
  <c r="DA66" i="8"/>
  <c r="DB65" i="8"/>
  <c r="DA65" i="8"/>
  <c r="DB64" i="8"/>
  <c r="DA64" i="8"/>
  <c r="DB63" i="8"/>
  <c r="DA63" i="8"/>
  <c r="DB59" i="8"/>
  <c r="DA59" i="8"/>
  <c r="DB58" i="8"/>
  <c r="DA58" i="8"/>
  <c r="DB57" i="8"/>
  <c r="DA57" i="8"/>
  <c r="DB56" i="8"/>
  <c r="DA56" i="8"/>
  <c r="DB55" i="8"/>
  <c r="DA55" i="8"/>
  <c r="DB54" i="8"/>
  <c r="DA54" i="8"/>
  <c r="DB53" i="8"/>
  <c r="DA53" i="8"/>
  <c r="DB52" i="8"/>
  <c r="DA52" i="8"/>
  <c r="DB51" i="8"/>
  <c r="DA51" i="8"/>
  <c r="DB47" i="8"/>
  <c r="DA47" i="8"/>
  <c r="DB46" i="8"/>
  <c r="DA46" i="8"/>
  <c r="DB45" i="8"/>
  <c r="DA45" i="8"/>
  <c r="DB44" i="8"/>
  <c r="DA44" i="8"/>
  <c r="DB43" i="8"/>
  <c r="DA43" i="8"/>
  <c r="DB42" i="8"/>
  <c r="DA42" i="8"/>
  <c r="DB41" i="8"/>
  <c r="DA41" i="8"/>
  <c r="DB40" i="8"/>
  <c r="DA40" i="8"/>
  <c r="DB39" i="8"/>
  <c r="DA39" i="8"/>
  <c r="CZ83" i="8"/>
  <c r="CY83" i="8"/>
  <c r="CZ82" i="8"/>
  <c r="CY82" i="8"/>
  <c r="CZ81" i="8"/>
  <c r="CY81" i="8"/>
  <c r="CZ80" i="8"/>
  <c r="CY80" i="8"/>
  <c r="CZ79" i="8"/>
  <c r="CY79" i="8"/>
  <c r="CZ78" i="8"/>
  <c r="CY78" i="8"/>
  <c r="CZ77" i="8"/>
  <c r="CY77" i="8"/>
  <c r="CZ76" i="8"/>
  <c r="CY76" i="8"/>
  <c r="CZ75" i="8"/>
  <c r="CY75" i="8"/>
  <c r="CZ71" i="8"/>
  <c r="CY71" i="8"/>
  <c r="CZ70" i="8"/>
  <c r="CY70" i="8"/>
  <c r="CZ69" i="8"/>
  <c r="CY69" i="8"/>
  <c r="CZ68" i="8"/>
  <c r="CY68" i="8"/>
  <c r="CZ67" i="8"/>
  <c r="CY67" i="8"/>
  <c r="CZ66" i="8"/>
  <c r="CY66" i="8"/>
  <c r="CZ65" i="8"/>
  <c r="CY65" i="8"/>
  <c r="CZ64" i="8"/>
  <c r="CY64" i="8"/>
  <c r="CZ63" i="8"/>
  <c r="CY63" i="8"/>
  <c r="CZ59" i="8"/>
  <c r="CY59" i="8"/>
  <c r="CZ58" i="8"/>
  <c r="CY58" i="8"/>
  <c r="CZ57" i="8"/>
  <c r="CY57" i="8"/>
  <c r="CZ56" i="8"/>
  <c r="CY56" i="8"/>
  <c r="CZ55" i="8"/>
  <c r="CY55" i="8"/>
  <c r="CZ54" i="8"/>
  <c r="CY54" i="8"/>
  <c r="CZ53" i="8"/>
  <c r="CY53" i="8"/>
  <c r="CZ52" i="8"/>
  <c r="CY52" i="8"/>
  <c r="CZ51" i="8"/>
  <c r="CY51" i="8"/>
  <c r="CZ47" i="8"/>
  <c r="G41" i="3" s="1"/>
  <c r="CY47" i="8"/>
  <c r="E41" i="3" s="1"/>
  <c r="Y41" i="3" s="1"/>
  <c r="CZ46" i="8"/>
  <c r="F41" i="3" s="1"/>
  <c r="CY46" i="8"/>
  <c r="C41" i="3" s="1"/>
  <c r="CZ45" i="8"/>
  <c r="CY45" i="8"/>
  <c r="CZ44" i="8"/>
  <c r="F23" i="3" s="1"/>
  <c r="Q23" i="3" s="1"/>
  <c r="CY44" i="8"/>
  <c r="D23" i="3" s="1"/>
  <c r="O23" i="3" s="1"/>
  <c r="CZ43" i="8"/>
  <c r="CY43" i="8"/>
  <c r="CZ42" i="8"/>
  <c r="CY42" i="8"/>
  <c r="CZ39" i="8"/>
  <c r="CY39" i="8"/>
  <c r="CR83" i="8"/>
  <c r="CQ83" i="8"/>
  <c r="CR82" i="8"/>
  <c r="CQ82" i="8"/>
  <c r="CR81" i="8"/>
  <c r="CQ81" i="8"/>
  <c r="CR80" i="8"/>
  <c r="CQ80" i="8"/>
  <c r="CR79" i="8"/>
  <c r="CQ79" i="8"/>
  <c r="CR78" i="8"/>
  <c r="CQ78" i="8"/>
  <c r="CR77" i="8"/>
  <c r="CQ77" i="8"/>
  <c r="CR76" i="8"/>
  <c r="CQ76" i="8"/>
  <c r="CR75" i="8"/>
  <c r="CQ75" i="8"/>
  <c r="CR71" i="8"/>
  <c r="CQ71" i="8"/>
  <c r="CR70" i="8"/>
  <c r="CQ70" i="8"/>
  <c r="CR69" i="8"/>
  <c r="CQ69" i="8"/>
  <c r="CR68" i="8"/>
  <c r="CQ68" i="8"/>
  <c r="CR67" i="8"/>
  <c r="CQ67" i="8"/>
  <c r="CR66" i="8"/>
  <c r="CQ66" i="8"/>
  <c r="CR65" i="8"/>
  <c r="CQ65" i="8"/>
  <c r="CR64" i="8"/>
  <c r="CQ64" i="8"/>
  <c r="CR63" i="8"/>
  <c r="CQ63" i="8"/>
  <c r="CR59" i="8"/>
  <c r="CQ59" i="8"/>
  <c r="CR58" i="8"/>
  <c r="CQ58" i="8"/>
  <c r="CR57" i="8"/>
  <c r="CQ57" i="8"/>
  <c r="CR56" i="8"/>
  <c r="CQ56" i="8"/>
  <c r="CR55" i="8"/>
  <c r="CQ55" i="8"/>
  <c r="CR54" i="8"/>
  <c r="CQ54" i="8"/>
  <c r="CR53" i="8"/>
  <c r="CQ53" i="8"/>
  <c r="CR52" i="8"/>
  <c r="CQ52" i="8"/>
  <c r="CR51" i="8"/>
  <c r="CQ51" i="8"/>
  <c r="CR47" i="8"/>
  <c r="G39" i="3" s="1"/>
  <c r="CQ47" i="8"/>
  <c r="E39" i="3" s="1"/>
  <c r="CR46" i="8"/>
  <c r="F39" i="3" s="1"/>
  <c r="CQ46" i="8"/>
  <c r="C39" i="3" s="1"/>
  <c r="CR45" i="8"/>
  <c r="CQ45" i="8"/>
  <c r="CR44" i="8"/>
  <c r="F22" i="3" s="1"/>
  <c r="Q22" i="3" s="1"/>
  <c r="CQ44" i="8"/>
  <c r="D22" i="3" s="1"/>
  <c r="O22" i="3" s="1"/>
  <c r="CR43" i="8"/>
  <c r="CQ43" i="8"/>
  <c r="CR42" i="8"/>
  <c r="CQ42" i="8"/>
  <c r="CR39" i="8"/>
  <c r="CQ39" i="8"/>
  <c r="CP83" i="8"/>
  <c r="CO83" i="8"/>
  <c r="CP82" i="8"/>
  <c r="CO82" i="8"/>
  <c r="CP81" i="8"/>
  <c r="CO81" i="8"/>
  <c r="CP80" i="8"/>
  <c r="CO80" i="8"/>
  <c r="CP79" i="8"/>
  <c r="CO79" i="8"/>
  <c r="CP78" i="8"/>
  <c r="CO78" i="8"/>
  <c r="CP77" i="8"/>
  <c r="CO77" i="8"/>
  <c r="CP76" i="8"/>
  <c r="CO76" i="8"/>
  <c r="CP75" i="8"/>
  <c r="CO75" i="8"/>
  <c r="CP71" i="8"/>
  <c r="CO71" i="8"/>
  <c r="CP70" i="8"/>
  <c r="CO70" i="8"/>
  <c r="CP69" i="8"/>
  <c r="CO69" i="8"/>
  <c r="CP68" i="8"/>
  <c r="CO68" i="8"/>
  <c r="CP67" i="8"/>
  <c r="CO67" i="8"/>
  <c r="CP66" i="8"/>
  <c r="CO66" i="8"/>
  <c r="CP65" i="8"/>
  <c r="CO65" i="8"/>
  <c r="CP64" i="8"/>
  <c r="CO64" i="8"/>
  <c r="CP63" i="8"/>
  <c r="CO63" i="8"/>
  <c r="CP59" i="8"/>
  <c r="CO59" i="8"/>
  <c r="CP58" i="8"/>
  <c r="CO58" i="8"/>
  <c r="CP57" i="8"/>
  <c r="CO57" i="8"/>
  <c r="CP56" i="8"/>
  <c r="CO56" i="8"/>
  <c r="CP55" i="8"/>
  <c r="CO55" i="8"/>
  <c r="CP54" i="8"/>
  <c r="CO54" i="8"/>
  <c r="CP53" i="8"/>
  <c r="CO53" i="8"/>
  <c r="CP52" i="8"/>
  <c r="CO52" i="8"/>
  <c r="CP51" i="8"/>
  <c r="CO51" i="8"/>
  <c r="CP47" i="8"/>
  <c r="CO47" i="8"/>
  <c r="CP46" i="8"/>
  <c r="CO46" i="8"/>
  <c r="CP45" i="8"/>
  <c r="CO45" i="8"/>
  <c r="CP44" i="8"/>
  <c r="CO44" i="8"/>
  <c r="CP43" i="8"/>
  <c r="CO43" i="8"/>
  <c r="CP42" i="8"/>
  <c r="CO42" i="8"/>
  <c r="CP41" i="8"/>
  <c r="CO41" i="8"/>
  <c r="CP40" i="8"/>
  <c r="CO40" i="8"/>
  <c r="CP39" i="8"/>
  <c r="CO39" i="8"/>
  <c r="CN83" i="8"/>
  <c r="CM83" i="8"/>
  <c r="CN82" i="8"/>
  <c r="CM82" i="8"/>
  <c r="CN81" i="8"/>
  <c r="CM81" i="8"/>
  <c r="CN80" i="8"/>
  <c r="CM80" i="8"/>
  <c r="CN79" i="8"/>
  <c r="CM79" i="8"/>
  <c r="CN78" i="8"/>
  <c r="CM78" i="8"/>
  <c r="CN77" i="8"/>
  <c r="CM77" i="8"/>
  <c r="CN76" i="8"/>
  <c r="CM76" i="8"/>
  <c r="CN75" i="8"/>
  <c r="CM75" i="8"/>
  <c r="CN71" i="8"/>
  <c r="CM71" i="8"/>
  <c r="CN70" i="8"/>
  <c r="CM70" i="8"/>
  <c r="CN69" i="8"/>
  <c r="CM69" i="8"/>
  <c r="CN68" i="8"/>
  <c r="CM68" i="8"/>
  <c r="CN67" i="8"/>
  <c r="CM67" i="8"/>
  <c r="CN66" i="8"/>
  <c r="CM66" i="8"/>
  <c r="CN65" i="8"/>
  <c r="CM65" i="8"/>
  <c r="CN64" i="8"/>
  <c r="CM64" i="8"/>
  <c r="CN63" i="8"/>
  <c r="CM63" i="8"/>
  <c r="CN59" i="8"/>
  <c r="CM59" i="8"/>
  <c r="CN58" i="8"/>
  <c r="CM58" i="8"/>
  <c r="CN57" i="8"/>
  <c r="CM57" i="8"/>
  <c r="CN56" i="8"/>
  <c r="CM56" i="8"/>
  <c r="CN55" i="8"/>
  <c r="CM55" i="8"/>
  <c r="CN54" i="8"/>
  <c r="CM54" i="8"/>
  <c r="CN53" i="8"/>
  <c r="CM53" i="8"/>
  <c r="CN52" i="8"/>
  <c r="CM52" i="8"/>
  <c r="CN51" i="8"/>
  <c r="CM51" i="8"/>
  <c r="CN47" i="8"/>
  <c r="CM47" i="8"/>
  <c r="CN46" i="8"/>
  <c r="CM46" i="8"/>
  <c r="CN45" i="8"/>
  <c r="CM45" i="8"/>
  <c r="CN44" i="8"/>
  <c r="CM44" i="8"/>
  <c r="CN43" i="8"/>
  <c r="CM43" i="8"/>
  <c r="CN42" i="8"/>
  <c r="CM42" i="8"/>
  <c r="CN41" i="8"/>
  <c r="CM41" i="8"/>
  <c r="CN40" i="8"/>
  <c r="CM40" i="8"/>
  <c r="CN39" i="8"/>
  <c r="CM39" i="8"/>
  <c r="CL83" i="8"/>
  <c r="CK83" i="8"/>
  <c r="CL82" i="8"/>
  <c r="CK82" i="8"/>
  <c r="CL81" i="8"/>
  <c r="CK81" i="8"/>
  <c r="CL80" i="8"/>
  <c r="CK80" i="8"/>
  <c r="CL79" i="8"/>
  <c r="CK79" i="8"/>
  <c r="CL78" i="8"/>
  <c r="CK78" i="8"/>
  <c r="CL77" i="8"/>
  <c r="CK77" i="8"/>
  <c r="CL76" i="8"/>
  <c r="CK76" i="8"/>
  <c r="CL75" i="8"/>
  <c r="CK75" i="8"/>
  <c r="CL71" i="8"/>
  <c r="CK71" i="8"/>
  <c r="CL70" i="8"/>
  <c r="CK70" i="8"/>
  <c r="CL69" i="8"/>
  <c r="CK69" i="8"/>
  <c r="CL68" i="8"/>
  <c r="CK68" i="8"/>
  <c r="CL67" i="8"/>
  <c r="CK67" i="8"/>
  <c r="CL66" i="8"/>
  <c r="CK66" i="8"/>
  <c r="CL65" i="8"/>
  <c r="CK65" i="8"/>
  <c r="CL64" i="8"/>
  <c r="CK64" i="8"/>
  <c r="CL63" i="8"/>
  <c r="CK63" i="8"/>
  <c r="CL59" i="8"/>
  <c r="CK59" i="8"/>
  <c r="CL58" i="8"/>
  <c r="CK58" i="8"/>
  <c r="CL57" i="8"/>
  <c r="CK57" i="8"/>
  <c r="CL56" i="8"/>
  <c r="CK56" i="8"/>
  <c r="CL55" i="8"/>
  <c r="CK55" i="8"/>
  <c r="CL54" i="8"/>
  <c r="CK54" i="8"/>
  <c r="CL53" i="8"/>
  <c r="CK53" i="8"/>
  <c r="CL52" i="8"/>
  <c r="CK52" i="8"/>
  <c r="CL51" i="8"/>
  <c r="CK51" i="8"/>
  <c r="CL47" i="8"/>
  <c r="CK47" i="8"/>
  <c r="CL46" i="8"/>
  <c r="CK46" i="8"/>
  <c r="CL45" i="8"/>
  <c r="CK45" i="8"/>
  <c r="CL44" i="8"/>
  <c r="CK44" i="8"/>
  <c r="CL43" i="8"/>
  <c r="CK43" i="8"/>
  <c r="CL42" i="8"/>
  <c r="CK42" i="8"/>
  <c r="CL41" i="8"/>
  <c r="CK41" i="8"/>
  <c r="CL40" i="8"/>
  <c r="CK40" i="8"/>
  <c r="CL39" i="8"/>
  <c r="CK39" i="8"/>
  <c r="CJ83" i="8"/>
  <c r="CI83" i="8"/>
  <c r="CJ82" i="8"/>
  <c r="CI82" i="8"/>
  <c r="CJ81" i="8"/>
  <c r="CI81" i="8"/>
  <c r="CJ80" i="8"/>
  <c r="CI80" i="8"/>
  <c r="CJ79" i="8"/>
  <c r="CI79" i="8"/>
  <c r="CJ78" i="8"/>
  <c r="CI78" i="8"/>
  <c r="CJ77" i="8"/>
  <c r="CI77" i="8"/>
  <c r="CJ76" i="8"/>
  <c r="CI76" i="8"/>
  <c r="CJ75" i="8"/>
  <c r="CI75" i="8"/>
  <c r="CJ71" i="8"/>
  <c r="CI71" i="8"/>
  <c r="CJ70" i="8"/>
  <c r="CI70" i="8"/>
  <c r="CJ69" i="8"/>
  <c r="CI69" i="8"/>
  <c r="CJ68" i="8"/>
  <c r="CI68" i="8"/>
  <c r="CJ67" i="8"/>
  <c r="CI67" i="8"/>
  <c r="CJ66" i="8"/>
  <c r="CI66" i="8"/>
  <c r="CJ65" i="8"/>
  <c r="CI65" i="8"/>
  <c r="CJ64" i="8"/>
  <c r="CI64" i="8"/>
  <c r="CJ63" i="8"/>
  <c r="CI63" i="8"/>
  <c r="CJ59" i="8"/>
  <c r="CI59" i="8"/>
  <c r="CJ58" i="8"/>
  <c r="CI58" i="8"/>
  <c r="CJ57" i="8"/>
  <c r="CI57" i="8"/>
  <c r="CJ56" i="8"/>
  <c r="CI56" i="8"/>
  <c r="CJ55" i="8"/>
  <c r="CI55" i="8"/>
  <c r="CJ54" i="8"/>
  <c r="CI54" i="8"/>
  <c r="CJ53" i="8"/>
  <c r="CI53" i="8"/>
  <c r="CJ52" i="8"/>
  <c r="CI52" i="8"/>
  <c r="CJ51" i="8"/>
  <c r="CI51" i="8"/>
  <c r="CJ47" i="8"/>
  <c r="CI47" i="8"/>
  <c r="CJ46" i="8"/>
  <c r="CI46" i="8"/>
  <c r="CJ45" i="8"/>
  <c r="CI45" i="8"/>
  <c r="CJ44" i="8"/>
  <c r="CI44" i="8"/>
  <c r="CJ43" i="8"/>
  <c r="CI43" i="8"/>
  <c r="CJ42" i="8"/>
  <c r="CI42" i="8"/>
  <c r="CJ41" i="8"/>
  <c r="CI41" i="8"/>
  <c r="CJ40" i="8"/>
  <c r="CI40" i="8"/>
  <c r="CJ39" i="8"/>
  <c r="CI39" i="8"/>
  <c r="CH83" i="8"/>
  <c r="CG83" i="8"/>
  <c r="CH82" i="8"/>
  <c r="CG82" i="8"/>
  <c r="CH81" i="8"/>
  <c r="CG81" i="8"/>
  <c r="CH80" i="8"/>
  <c r="CG80" i="8"/>
  <c r="CH79" i="8"/>
  <c r="CG79" i="8"/>
  <c r="CH78" i="8"/>
  <c r="CG78" i="8"/>
  <c r="CH77" i="8"/>
  <c r="CG77" i="8"/>
  <c r="CH76" i="8"/>
  <c r="CG76" i="8"/>
  <c r="CH75" i="8"/>
  <c r="CG75" i="8"/>
  <c r="CH71" i="8"/>
  <c r="CG71" i="8"/>
  <c r="CH70" i="8"/>
  <c r="CG70" i="8"/>
  <c r="CH69" i="8"/>
  <c r="CG69" i="8"/>
  <c r="CH68" i="8"/>
  <c r="CG68" i="8"/>
  <c r="CH67" i="8"/>
  <c r="CG67" i="8"/>
  <c r="CH66" i="8"/>
  <c r="CG66" i="8"/>
  <c r="CH65" i="8"/>
  <c r="CG65" i="8"/>
  <c r="CH64" i="8"/>
  <c r="CG64" i="8"/>
  <c r="CH63" i="8"/>
  <c r="CG63" i="8"/>
  <c r="CH59" i="8"/>
  <c r="CG59" i="8"/>
  <c r="CH58" i="8"/>
  <c r="CG58" i="8"/>
  <c r="CH57" i="8"/>
  <c r="CG57" i="8"/>
  <c r="CH56" i="8"/>
  <c r="CG56" i="8"/>
  <c r="CH55" i="8"/>
  <c r="CG55" i="8"/>
  <c r="CH54" i="8"/>
  <c r="CG54" i="8"/>
  <c r="CH53" i="8"/>
  <c r="CG53" i="8"/>
  <c r="CH52" i="8"/>
  <c r="CG52" i="8"/>
  <c r="CH51" i="8"/>
  <c r="CG51" i="8"/>
  <c r="CH47" i="8"/>
  <c r="CG47" i="8"/>
  <c r="CH46" i="8"/>
  <c r="CG46" i="8"/>
  <c r="CH45" i="8"/>
  <c r="CG45" i="8"/>
  <c r="CH44" i="8"/>
  <c r="CG44" i="8"/>
  <c r="CH43" i="8"/>
  <c r="CG43" i="8"/>
  <c r="CH42" i="8"/>
  <c r="CG42" i="8"/>
  <c r="CH41" i="8"/>
  <c r="CG41" i="8"/>
  <c r="CH40" i="8"/>
  <c r="CG40" i="8"/>
  <c r="CH39" i="8"/>
  <c r="CG39" i="8"/>
  <c r="CF83" i="8"/>
  <c r="CE83" i="8"/>
  <c r="CF82" i="8"/>
  <c r="CE82" i="8"/>
  <c r="CF81" i="8"/>
  <c r="CE81" i="8"/>
  <c r="CF80" i="8"/>
  <c r="CE80" i="8"/>
  <c r="CF79" i="8"/>
  <c r="CE79" i="8"/>
  <c r="CF78" i="8"/>
  <c r="CE78" i="8"/>
  <c r="CF77" i="8"/>
  <c r="CE77" i="8"/>
  <c r="CF76" i="8"/>
  <c r="CE76" i="8"/>
  <c r="CF75" i="8"/>
  <c r="CE75" i="8"/>
  <c r="CF71" i="8"/>
  <c r="CE71" i="8"/>
  <c r="CF70" i="8"/>
  <c r="CE70" i="8"/>
  <c r="CF69" i="8"/>
  <c r="CE69" i="8"/>
  <c r="CF68" i="8"/>
  <c r="CE68" i="8"/>
  <c r="CF67" i="8"/>
  <c r="CE67" i="8"/>
  <c r="CF66" i="8"/>
  <c r="CE66" i="8"/>
  <c r="CF65" i="8"/>
  <c r="CE65" i="8"/>
  <c r="CF64" i="8"/>
  <c r="CE64" i="8"/>
  <c r="CF63" i="8"/>
  <c r="CE63" i="8"/>
  <c r="CF59" i="8"/>
  <c r="CE59" i="8"/>
  <c r="CF58" i="8"/>
  <c r="CE58" i="8"/>
  <c r="CF57" i="8"/>
  <c r="CE57" i="8"/>
  <c r="CF56" i="8"/>
  <c r="CE56" i="8"/>
  <c r="CF55" i="8"/>
  <c r="CE55" i="8"/>
  <c r="CF54" i="8"/>
  <c r="CE54" i="8"/>
  <c r="CF53" i="8"/>
  <c r="CE53" i="8"/>
  <c r="CF52" i="8"/>
  <c r="CE52" i="8"/>
  <c r="CF51" i="8"/>
  <c r="CE51" i="8"/>
  <c r="CF47" i="8"/>
  <c r="CE47" i="8"/>
  <c r="CF46" i="8"/>
  <c r="CE46" i="8"/>
  <c r="CF45" i="8"/>
  <c r="CE45" i="8"/>
  <c r="CF44" i="8"/>
  <c r="CE44" i="8"/>
  <c r="CF43" i="8"/>
  <c r="CE43" i="8"/>
  <c r="CF42" i="8"/>
  <c r="CE42" i="8"/>
  <c r="CF41" i="8"/>
  <c r="CE41" i="8"/>
  <c r="CF40" i="8"/>
  <c r="CE40" i="8"/>
  <c r="CF39" i="8"/>
  <c r="CE39" i="8"/>
  <c r="CD83" i="8"/>
  <c r="CC83" i="8"/>
  <c r="CD82" i="8"/>
  <c r="CC82" i="8"/>
  <c r="CD81" i="8"/>
  <c r="CC81" i="8"/>
  <c r="CD80" i="8"/>
  <c r="CC80" i="8"/>
  <c r="CD79" i="8"/>
  <c r="CC79" i="8"/>
  <c r="CD78" i="8"/>
  <c r="CC78" i="8"/>
  <c r="CD77" i="8"/>
  <c r="CC77" i="8"/>
  <c r="CD76" i="8"/>
  <c r="CC76" i="8"/>
  <c r="CD75" i="8"/>
  <c r="CC75" i="8"/>
  <c r="CD71" i="8"/>
  <c r="CC71" i="8"/>
  <c r="CD70" i="8"/>
  <c r="CC70" i="8"/>
  <c r="CD69" i="8"/>
  <c r="CC69" i="8"/>
  <c r="CD68" i="8"/>
  <c r="CC68" i="8"/>
  <c r="CD67" i="8"/>
  <c r="CC67" i="8"/>
  <c r="CD66" i="8"/>
  <c r="CC66" i="8"/>
  <c r="CD65" i="8"/>
  <c r="CC65" i="8"/>
  <c r="CD64" i="8"/>
  <c r="CC64" i="8"/>
  <c r="CD63" i="8"/>
  <c r="CC63" i="8"/>
  <c r="CD59" i="8"/>
  <c r="CC59" i="8"/>
  <c r="CD58" i="8"/>
  <c r="CC58" i="8"/>
  <c r="CD57" i="8"/>
  <c r="CC57" i="8"/>
  <c r="CD56" i="8"/>
  <c r="CC56" i="8"/>
  <c r="CD55" i="8"/>
  <c r="CC55" i="8"/>
  <c r="CD54" i="8"/>
  <c r="CC54" i="8"/>
  <c r="CD53" i="8"/>
  <c r="CC53" i="8"/>
  <c r="CD52" i="8"/>
  <c r="CC52" i="8"/>
  <c r="CD51" i="8"/>
  <c r="CC51" i="8"/>
  <c r="CD47" i="8"/>
  <c r="CC47" i="8"/>
  <c r="CD46" i="8"/>
  <c r="CC46" i="8"/>
  <c r="CD45" i="8"/>
  <c r="CC45" i="8"/>
  <c r="CD44" i="8"/>
  <c r="CC44" i="8"/>
  <c r="CD43" i="8"/>
  <c r="CC43" i="8"/>
  <c r="CD42" i="8"/>
  <c r="CC42" i="8"/>
  <c r="CD41" i="8"/>
  <c r="CC41" i="8"/>
  <c r="CD40" i="8"/>
  <c r="CC40" i="8"/>
  <c r="CD39" i="8"/>
  <c r="CC39" i="8"/>
  <c r="CB83" i="8"/>
  <c r="CA83" i="8"/>
  <c r="CB82" i="8"/>
  <c r="CA82" i="8"/>
  <c r="CB81" i="8"/>
  <c r="CA81" i="8"/>
  <c r="CB80" i="8"/>
  <c r="CA80" i="8"/>
  <c r="CB79" i="8"/>
  <c r="CA79" i="8"/>
  <c r="CB78" i="8"/>
  <c r="CA78" i="8"/>
  <c r="CB77" i="8"/>
  <c r="CA77" i="8"/>
  <c r="CB76" i="8"/>
  <c r="CA76" i="8"/>
  <c r="CB75" i="8"/>
  <c r="CA75" i="8"/>
  <c r="CB71" i="8"/>
  <c r="CA71" i="8"/>
  <c r="CB70" i="8"/>
  <c r="CA70" i="8"/>
  <c r="CB69" i="8"/>
  <c r="CA69" i="8"/>
  <c r="CB68" i="8"/>
  <c r="CA68" i="8"/>
  <c r="CB67" i="8"/>
  <c r="CA67" i="8"/>
  <c r="CB66" i="8"/>
  <c r="CA66" i="8"/>
  <c r="CB65" i="8"/>
  <c r="CA65" i="8"/>
  <c r="CB64" i="8"/>
  <c r="CA64" i="8"/>
  <c r="CB63" i="8"/>
  <c r="CA63" i="8"/>
  <c r="CB59" i="8"/>
  <c r="CA59" i="8"/>
  <c r="CB58" i="8"/>
  <c r="CA58" i="8"/>
  <c r="CB57" i="8"/>
  <c r="CA57" i="8"/>
  <c r="CB56" i="8"/>
  <c r="CA56" i="8"/>
  <c r="CB55" i="8"/>
  <c r="CA55" i="8"/>
  <c r="CB54" i="8"/>
  <c r="CA54" i="8"/>
  <c r="CB53" i="8"/>
  <c r="CA53" i="8"/>
  <c r="CB52" i="8"/>
  <c r="CA52" i="8"/>
  <c r="CB51" i="8"/>
  <c r="CA51" i="8"/>
  <c r="CB47" i="8"/>
  <c r="CA47" i="8"/>
  <c r="CB46" i="8"/>
  <c r="CA46" i="8"/>
  <c r="CB45" i="8"/>
  <c r="CA45" i="8"/>
  <c r="CB44" i="8"/>
  <c r="CA44" i="8"/>
  <c r="CB43" i="8"/>
  <c r="CA43" i="8"/>
  <c r="CB42" i="8"/>
  <c r="CA42" i="8"/>
  <c r="CB41" i="8"/>
  <c r="CA41" i="8"/>
  <c r="CB40" i="8"/>
  <c r="CA40" i="8"/>
  <c r="CB39" i="8"/>
  <c r="CA39" i="8"/>
  <c r="BZ83" i="8"/>
  <c r="BY83" i="8"/>
  <c r="BZ82" i="8"/>
  <c r="BY82" i="8"/>
  <c r="BZ81" i="8"/>
  <c r="BY81" i="8"/>
  <c r="BZ80" i="8"/>
  <c r="BY80" i="8"/>
  <c r="BZ79" i="8"/>
  <c r="BY79" i="8"/>
  <c r="BZ78" i="8"/>
  <c r="BY78" i="8"/>
  <c r="BZ77" i="8"/>
  <c r="BY77" i="8"/>
  <c r="BZ76" i="8"/>
  <c r="BY76" i="8"/>
  <c r="BZ75" i="8"/>
  <c r="BY75" i="8"/>
  <c r="BZ71" i="8"/>
  <c r="BY71" i="8"/>
  <c r="BZ70" i="8"/>
  <c r="BY70" i="8"/>
  <c r="BZ69" i="8"/>
  <c r="BY69" i="8"/>
  <c r="BZ68" i="8"/>
  <c r="BY68" i="8"/>
  <c r="BZ67" i="8"/>
  <c r="BY67" i="8"/>
  <c r="BZ66" i="8"/>
  <c r="BY66" i="8"/>
  <c r="BZ65" i="8"/>
  <c r="BY65" i="8"/>
  <c r="BZ64" i="8"/>
  <c r="BY64" i="8"/>
  <c r="BZ63" i="8"/>
  <c r="BY63" i="8"/>
  <c r="BZ59" i="8"/>
  <c r="BY59" i="8"/>
  <c r="BZ58" i="8"/>
  <c r="BY58" i="8"/>
  <c r="BZ57" i="8"/>
  <c r="BY57" i="8"/>
  <c r="BZ56" i="8"/>
  <c r="BY56" i="8"/>
  <c r="BZ55" i="8"/>
  <c r="BY55" i="8"/>
  <c r="BZ54" i="8"/>
  <c r="BY54" i="8"/>
  <c r="BZ53" i="8"/>
  <c r="BY53" i="8"/>
  <c r="BZ52" i="8"/>
  <c r="BY52" i="8"/>
  <c r="BZ51" i="8"/>
  <c r="BY51" i="8"/>
  <c r="BZ47" i="8"/>
  <c r="BY47" i="8"/>
  <c r="BZ46" i="8"/>
  <c r="BY46" i="8"/>
  <c r="BZ45" i="8"/>
  <c r="BY45" i="8"/>
  <c r="BZ44" i="8"/>
  <c r="BY44" i="8"/>
  <c r="BZ43" i="8"/>
  <c r="BY43" i="8"/>
  <c r="BZ42" i="8"/>
  <c r="BY42" i="8"/>
  <c r="BZ41" i="8"/>
  <c r="BY41" i="8"/>
  <c r="BZ40" i="8"/>
  <c r="BY40" i="8"/>
  <c r="BZ39" i="8"/>
  <c r="BY39" i="8"/>
  <c r="BX83" i="8"/>
  <c r="BW83" i="8"/>
  <c r="BX82" i="8"/>
  <c r="BW82" i="8"/>
  <c r="BX81" i="8"/>
  <c r="BW81" i="8"/>
  <c r="BX80" i="8"/>
  <c r="BW80" i="8"/>
  <c r="BX79" i="8"/>
  <c r="BW79" i="8"/>
  <c r="BX78" i="8"/>
  <c r="BW78" i="8"/>
  <c r="BX77" i="8"/>
  <c r="BW77" i="8"/>
  <c r="BX76" i="8"/>
  <c r="BW76" i="8"/>
  <c r="BX75" i="8"/>
  <c r="BW75" i="8"/>
  <c r="BX71" i="8"/>
  <c r="BW71" i="8"/>
  <c r="BX70" i="8"/>
  <c r="BW70" i="8"/>
  <c r="BX69" i="8"/>
  <c r="BW69" i="8"/>
  <c r="BX68" i="8"/>
  <c r="BW68" i="8"/>
  <c r="BX67" i="8"/>
  <c r="BW67" i="8"/>
  <c r="BX66" i="8"/>
  <c r="BW66" i="8"/>
  <c r="BX65" i="8"/>
  <c r="BW65" i="8"/>
  <c r="BX64" i="8"/>
  <c r="BW64" i="8"/>
  <c r="BX63" i="8"/>
  <c r="BW63" i="8"/>
  <c r="BX59" i="8"/>
  <c r="BW59" i="8"/>
  <c r="BX58" i="8"/>
  <c r="BW58" i="8"/>
  <c r="BX57" i="8"/>
  <c r="BW57" i="8"/>
  <c r="BX56" i="8"/>
  <c r="BW56" i="8"/>
  <c r="BX55" i="8"/>
  <c r="BW55" i="8"/>
  <c r="BX54" i="8"/>
  <c r="BW54" i="8"/>
  <c r="BX53" i="8"/>
  <c r="BW53" i="8"/>
  <c r="BX52" i="8"/>
  <c r="BW52" i="8"/>
  <c r="BX51" i="8"/>
  <c r="BW51" i="8"/>
  <c r="BX47" i="8"/>
  <c r="BW47" i="8"/>
  <c r="BX46" i="8"/>
  <c r="BW46" i="8"/>
  <c r="BX45" i="8"/>
  <c r="BW45" i="8"/>
  <c r="BX44" i="8"/>
  <c r="BW44" i="8"/>
  <c r="BX43" i="8"/>
  <c r="BW43" i="8"/>
  <c r="BX42" i="8"/>
  <c r="BW42" i="8"/>
  <c r="BX41" i="8"/>
  <c r="BW41" i="8"/>
  <c r="BX40" i="8"/>
  <c r="BW40" i="8"/>
  <c r="BX39" i="8"/>
  <c r="BW39" i="8"/>
  <c r="BV83" i="8"/>
  <c r="BU83" i="8"/>
  <c r="BV82" i="8"/>
  <c r="BU82" i="8"/>
  <c r="BV81" i="8"/>
  <c r="BU81" i="8"/>
  <c r="BV80" i="8"/>
  <c r="BU80" i="8"/>
  <c r="BV79" i="8"/>
  <c r="BU79" i="8"/>
  <c r="BV78" i="8"/>
  <c r="BU78" i="8"/>
  <c r="BV77" i="8"/>
  <c r="BU77" i="8"/>
  <c r="BV76" i="8"/>
  <c r="BU76" i="8"/>
  <c r="BV75" i="8"/>
  <c r="BU75" i="8"/>
  <c r="BV71" i="8"/>
  <c r="BU71" i="8"/>
  <c r="BV70" i="8"/>
  <c r="BU70" i="8"/>
  <c r="BV69" i="8"/>
  <c r="BU69" i="8"/>
  <c r="BV68" i="8"/>
  <c r="BU68" i="8"/>
  <c r="BV67" i="8"/>
  <c r="BU67" i="8"/>
  <c r="BV66" i="8"/>
  <c r="BU66" i="8"/>
  <c r="BV65" i="8"/>
  <c r="BU65" i="8"/>
  <c r="BV64" i="8"/>
  <c r="BU64" i="8"/>
  <c r="BV63" i="8"/>
  <c r="BU63" i="8"/>
  <c r="BV59" i="8"/>
  <c r="BU59" i="8"/>
  <c r="BV58" i="8"/>
  <c r="BU58" i="8"/>
  <c r="BV57" i="8"/>
  <c r="BU57" i="8"/>
  <c r="BV56" i="8"/>
  <c r="BU56" i="8"/>
  <c r="BV55" i="8"/>
  <c r="BU55" i="8"/>
  <c r="BV54" i="8"/>
  <c r="BU54" i="8"/>
  <c r="BV53" i="8"/>
  <c r="BU53" i="8"/>
  <c r="BV52" i="8"/>
  <c r="BU52" i="8"/>
  <c r="BV51" i="8"/>
  <c r="BU51" i="8"/>
  <c r="BV47" i="8"/>
  <c r="BU47" i="8"/>
  <c r="BV46" i="8"/>
  <c r="BU46" i="8"/>
  <c r="BV45" i="8"/>
  <c r="BU45" i="8"/>
  <c r="BV44" i="8"/>
  <c r="BU44" i="8"/>
  <c r="BV43" i="8"/>
  <c r="BU43" i="8"/>
  <c r="BV42" i="8"/>
  <c r="BU42" i="8"/>
  <c r="BV41" i="8"/>
  <c r="BU41" i="8"/>
  <c r="BV40" i="8"/>
  <c r="BU40" i="8"/>
  <c r="BV39" i="8"/>
  <c r="BU39" i="8"/>
  <c r="BT83" i="8"/>
  <c r="BS83" i="8"/>
  <c r="BT82" i="8"/>
  <c r="BS82" i="8"/>
  <c r="BT81" i="8"/>
  <c r="BS81" i="8"/>
  <c r="BT80" i="8"/>
  <c r="BS80" i="8"/>
  <c r="BT79" i="8"/>
  <c r="BS79" i="8"/>
  <c r="BT78" i="8"/>
  <c r="BS78" i="8"/>
  <c r="BT77" i="8"/>
  <c r="BS77" i="8"/>
  <c r="BT76" i="8"/>
  <c r="BS76" i="8"/>
  <c r="BT75" i="8"/>
  <c r="BS75" i="8"/>
  <c r="BT71" i="8"/>
  <c r="BS71" i="8"/>
  <c r="BT70" i="8"/>
  <c r="BS70" i="8"/>
  <c r="BT69" i="8"/>
  <c r="BS69" i="8"/>
  <c r="BT68" i="8"/>
  <c r="BS68" i="8"/>
  <c r="BT67" i="8"/>
  <c r="BS67" i="8"/>
  <c r="BT66" i="8"/>
  <c r="BS66" i="8"/>
  <c r="BT65" i="8"/>
  <c r="BS65" i="8"/>
  <c r="BT64" i="8"/>
  <c r="BS64" i="8"/>
  <c r="BT63" i="8"/>
  <c r="BS63" i="8"/>
  <c r="BT59" i="8"/>
  <c r="BS59" i="8"/>
  <c r="BT58" i="8"/>
  <c r="BS58" i="8"/>
  <c r="BT57" i="8"/>
  <c r="BS57" i="8"/>
  <c r="BT56" i="8"/>
  <c r="BS56" i="8"/>
  <c r="BT55" i="8"/>
  <c r="BS55" i="8"/>
  <c r="BT54" i="8"/>
  <c r="BS54" i="8"/>
  <c r="BT53" i="8"/>
  <c r="BS53" i="8"/>
  <c r="BT52" i="8"/>
  <c r="BS52" i="8"/>
  <c r="BT51" i="8"/>
  <c r="BS51" i="8"/>
  <c r="BT47" i="8"/>
  <c r="BS47" i="8"/>
  <c r="BT46" i="8"/>
  <c r="BS46" i="8"/>
  <c r="BT45" i="8"/>
  <c r="BS45" i="8"/>
  <c r="BT44" i="8"/>
  <c r="BS44" i="8"/>
  <c r="BT43" i="8"/>
  <c r="BS43" i="8"/>
  <c r="BT42" i="8"/>
  <c r="BS42" i="8"/>
  <c r="BT41" i="8"/>
  <c r="BS41" i="8"/>
  <c r="BT40" i="8"/>
  <c r="BS40" i="8"/>
  <c r="BT39" i="8"/>
  <c r="BS39" i="8"/>
  <c r="BR83" i="8"/>
  <c r="BQ83" i="8"/>
  <c r="BR82" i="8"/>
  <c r="BQ82" i="8"/>
  <c r="BR81" i="8"/>
  <c r="BQ81" i="8"/>
  <c r="BR80" i="8"/>
  <c r="BQ80" i="8"/>
  <c r="BR79" i="8"/>
  <c r="BQ79" i="8"/>
  <c r="BR78" i="8"/>
  <c r="BQ78" i="8"/>
  <c r="BR77" i="8"/>
  <c r="BQ77" i="8"/>
  <c r="BR76" i="8"/>
  <c r="BQ76" i="8"/>
  <c r="BR75" i="8"/>
  <c r="BQ75" i="8"/>
  <c r="BR71" i="8"/>
  <c r="BQ71" i="8"/>
  <c r="BR70" i="8"/>
  <c r="BQ70" i="8"/>
  <c r="BR69" i="8"/>
  <c r="BQ69" i="8"/>
  <c r="BR68" i="8"/>
  <c r="BQ68" i="8"/>
  <c r="BR67" i="8"/>
  <c r="BQ67" i="8"/>
  <c r="BR66" i="8"/>
  <c r="BQ66" i="8"/>
  <c r="BR65" i="8"/>
  <c r="BQ65" i="8"/>
  <c r="BR64" i="8"/>
  <c r="BQ64" i="8"/>
  <c r="BR63" i="8"/>
  <c r="BQ63" i="8"/>
  <c r="BR59" i="8"/>
  <c r="BQ59" i="8"/>
  <c r="BR58" i="8"/>
  <c r="BQ58" i="8"/>
  <c r="BR57" i="8"/>
  <c r="BQ57" i="8"/>
  <c r="BR56" i="8"/>
  <c r="BQ56" i="8"/>
  <c r="BR55" i="8"/>
  <c r="BQ55" i="8"/>
  <c r="BR54" i="8"/>
  <c r="BQ54" i="8"/>
  <c r="BR53" i="8"/>
  <c r="BQ53" i="8"/>
  <c r="BR52" i="8"/>
  <c r="BQ52" i="8"/>
  <c r="BR51" i="8"/>
  <c r="BQ51" i="8"/>
  <c r="BR47" i="8"/>
  <c r="BQ47" i="8"/>
  <c r="BR46" i="8"/>
  <c r="BQ46" i="8"/>
  <c r="BR45" i="8"/>
  <c r="BQ45" i="8"/>
  <c r="BR44" i="8"/>
  <c r="BQ44" i="8"/>
  <c r="BR43" i="8"/>
  <c r="BQ43" i="8"/>
  <c r="BR42" i="8"/>
  <c r="BQ42" i="8"/>
  <c r="BR41" i="8"/>
  <c r="BQ41" i="8"/>
  <c r="BR40" i="8"/>
  <c r="BQ40" i="8"/>
  <c r="BR39" i="8"/>
  <c r="BQ39" i="8"/>
  <c r="BP83" i="8"/>
  <c r="BO83" i="8"/>
  <c r="BP82" i="8"/>
  <c r="BO82" i="8"/>
  <c r="BP81" i="8"/>
  <c r="BO81" i="8"/>
  <c r="BP80" i="8"/>
  <c r="BO80" i="8"/>
  <c r="BP79" i="8"/>
  <c r="BO79" i="8"/>
  <c r="BP78" i="8"/>
  <c r="BO78" i="8"/>
  <c r="BP77" i="8"/>
  <c r="BO77" i="8"/>
  <c r="BP76" i="8"/>
  <c r="BO76" i="8"/>
  <c r="BP75" i="8"/>
  <c r="BO75" i="8"/>
  <c r="BP71" i="8"/>
  <c r="BO71" i="8"/>
  <c r="BP70" i="8"/>
  <c r="BO70" i="8"/>
  <c r="BP69" i="8"/>
  <c r="BO69" i="8"/>
  <c r="BP68" i="8"/>
  <c r="BO68" i="8"/>
  <c r="BP67" i="8"/>
  <c r="BO67" i="8"/>
  <c r="BP66" i="8"/>
  <c r="BO66" i="8"/>
  <c r="BP65" i="8"/>
  <c r="BO65" i="8"/>
  <c r="BP64" i="8"/>
  <c r="BO64" i="8"/>
  <c r="BP63" i="8"/>
  <c r="BO63" i="8"/>
  <c r="BP59" i="8"/>
  <c r="BO59" i="8"/>
  <c r="BP58" i="8"/>
  <c r="BO58" i="8"/>
  <c r="BP57" i="8"/>
  <c r="BO57" i="8"/>
  <c r="BP56" i="8"/>
  <c r="BO56" i="8"/>
  <c r="BP55" i="8"/>
  <c r="BO55" i="8"/>
  <c r="BP54" i="8"/>
  <c r="BO54" i="8"/>
  <c r="BP53" i="8"/>
  <c r="BO53" i="8"/>
  <c r="BP52" i="8"/>
  <c r="BO52" i="8"/>
  <c r="BP51" i="8"/>
  <c r="BO51" i="8"/>
  <c r="BP47" i="8"/>
  <c r="BO47" i="8"/>
  <c r="BP46" i="8"/>
  <c r="BO46" i="8"/>
  <c r="BP45" i="8"/>
  <c r="BO45" i="8"/>
  <c r="BP44" i="8"/>
  <c r="BO44" i="8"/>
  <c r="BP43" i="8"/>
  <c r="BO43" i="8"/>
  <c r="BP42" i="8"/>
  <c r="BO42" i="8"/>
  <c r="BP41" i="8"/>
  <c r="BO41" i="8"/>
  <c r="BP40" i="8"/>
  <c r="BO40" i="8"/>
  <c r="BP39" i="8"/>
  <c r="BO39" i="8"/>
  <c r="BN83" i="8"/>
  <c r="BM83" i="8"/>
  <c r="BN82" i="8"/>
  <c r="BM82" i="8"/>
  <c r="BN81" i="8"/>
  <c r="BM81" i="8"/>
  <c r="BN80" i="8"/>
  <c r="BM80" i="8"/>
  <c r="BN79" i="8"/>
  <c r="BM79" i="8"/>
  <c r="BN78" i="8"/>
  <c r="BM78" i="8"/>
  <c r="BN77" i="8"/>
  <c r="BM77" i="8"/>
  <c r="BN76" i="8"/>
  <c r="BM76" i="8"/>
  <c r="BN75" i="8"/>
  <c r="BM75" i="8"/>
  <c r="BN71" i="8"/>
  <c r="BM71" i="8"/>
  <c r="BN70" i="8"/>
  <c r="BM70" i="8"/>
  <c r="BN69" i="8"/>
  <c r="BM69" i="8"/>
  <c r="BN68" i="8"/>
  <c r="BM68" i="8"/>
  <c r="BN67" i="8"/>
  <c r="BM67" i="8"/>
  <c r="BN66" i="8"/>
  <c r="BM66" i="8"/>
  <c r="BN65" i="8"/>
  <c r="BM65" i="8"/>
  <c r="BN64" i="8"/>
  <c r="BM64" i="8"/>
  <c r="BN63" i="8"/>
  <c r="BM63" i="8"/>
  <c r="BN59" i="8"/>
  <c r="BM59" i="8"/>
  <c r="BN58" i="8"/>
  <c r="BM58" i="8"/>
  <c r="BN57" i="8"/>
  <c r="BM57" i="8"/>
  <c r="BN56" i="8"/>
  <c r="BM56" i="8"/>
  <c r="BN55" i="8"/>
  <c r="BM55" i="8"/>
  <c r="BN54" i="8"/>
  <c r="BM54" i="8"/>
  <c r="BN53" i="8"/>
  <c r="BM53" i="8"/>
  <c r="BN52" i="8"/>
  <c r="BM52" i="8"/>
  <c r="BN51" i="8"/>
  <c r="BM51" i="8"/>
  <c r="BN47" i="8"/>
  <c r="BM47" i="8"/>
  <c r="BN46" i="8"/>
  <c r="BM46" i="8"/>
  <c r="BN45" i="8"/>
  <c r="BM45" i="8"/>
  <c r="BN44" i="8"/>
  <c r="BM44" i="8"/>
  <c r="BN43" i="8"/>
  <c r="BM43" i="8"/>
  <c r="BN42" i="8"/>
  <c r="BM42" i="8"/>
  <c r="BN41" i="8"/>
  <c r="BM41" i="8"/>
  <c r="BN40" i="8"/>
  <c r="BM40" i="8"/>
  <c r="BN39" i="8"/>
  <c r="BM39" i="8"/>
  <c r="BL83" i="8"/>
  <c r="BK83" i="8"/>
  <c r="BL82" i="8"/>
  <c r="BK82" i="8"/>
  <c r="BL81" i="8"/>
  <c r="BK81" i="8"/>
  <c r="BL80" i="8"/>
  <c r="BK80" i="8"/>
  <c r="BL79" i="8"/>
  <c r="BK79" i="8"/>
  <c r="BL78" i="8"/>
  <c r="BK78" i="8"/>
  <c r="BL77" i="8"/>
  <c r="BK77" i="8"/>
  <c r="BL76" i="8"/>
  <c r="BK76" i="8"/>
  <c r="BL75" i="8"/>
  <c r="BK75" i="8"/>
  <c r="BL71" i="8"/>
  <c r="BK71" i="8"/>
  <c r="BL70" i="8"/>
  <c r="BK70" i="8"/>
  <c r="BL69" i="8"/>
  <c r="BK69" i="8"/>
  <c r="BL68" i="8"/>
  <c r="BK68" i="8"/>
  <c r="BL67" i="8"/>
  <c r="BK67" i="8"/>
  <c r="BL66" i="8"/>
  <c r="BK66" i="8"/>
  <c r="BL65" i="8"/>
  <c r="BK65" i="8"/>
  <c r="BL64" i="8"/>
  <c r="BK64" i="8"/>
  <c r="BL63" i="8"/>
  <c r="BK63" i="8"/>
  <c r="BL59" i="8"/>
  <c r="BK59" i="8"/>
  <c r="BL58" i="8"/>
  <c r="BK58" i="8"/>
  <c r="BL57" i="8"/>
  <c r="BK57" i="8"/>
  <c r="BL56" i="8"/>
  <c r="BK56" i="8"/>
  <c r="BL55" i="8"/>
  <c r="BK55" i="8"/>
  <c r="BL54" i="8"/>
  <c r="BK54" i="8"/>
  <c r="BL53" i="8"/>
  <c r="BK53" i="8"/>
  <c r="BL52" i="8"/>
  <c r="BK52" i="8"/>
  <c r="BL51" i="8"/>
  <c r="BK51" i="8"/>
  <c r="BL47" i="8"/>
  <c r="BK47" i="8"/>
  <c r="BL46" i="8"/>
  <c r="BK46" i="8"/>
  <c r="BL45" i="8"/>
  <c r="BK45" i="8"/>
  <c r="BL44" i="8"/>
  <c r="BK44" i="8"/>
  <c r="BL43" i="8"/>
  <c r="BK43" i="8"/>
  <c r="BL42" i="8"/>
  <c r="BK42" i="8"/>
  <c r="BL41" i="8"/>
  <c r="BK41" i="8"/>
  <c r="BL40" i="8"/>
  <c r="BK40" i="8"/>
  <c r="BL39" i="8"/>
  <c r="BK39" i="8"/>
  <c r="BJ83" i="8"/>
  <c r="BI83" i="8"/>
  <c r="BJ82" i="8"/>
  <c r="BI82" i="8"/>
  <c r="BJ81" i="8"/>
  <c r="BI81" i="8"/>
  <c r="BJ80" i="8"/>
  <c r="BI80" i="8"/>
  <c r="BJ79" i="8"/>
  <c r="BI79" i="8"/>
  <c r="BJ78" i="8"/>
  <c r="BI78" i="8"/>
  <c r="BJ77" i="8"/>
  <c r="BI77" i="8"/>
  <c r="BJ76" i="8"/>
  <c r="BI76" i="8"/>
  <c r="BJ75" i="8"/>
  <c r="BI75" i="8"/>
  <c r="BJ71" i="8"/>
  <c r="BI71" i="8"/>
  <c r="BJ70" i="8"/>
  <c r="BI70" i="8"/>
  <c r="BJ69" i="8"/>
  <c r="BI69" i="8"/>
  <c r="BJ68" i="8"/>
  <c r="BI68" i="8"/>
  <c r="BJ67" i="8"/>
  <c r="BI67" i="8"/>
  <c r="BJ66" i="8"/>
  <c r="BI66" i="8"/>
  <c r="BJ65" i="8"/>
  <c r="BI65" i="8"/>
  <c r="BJ64" i="8"/>
  <c r="BI64" i="8"/>
  <c r="BJ63" i="8"/>
  <c r="BI63" i="8"/>
  <c r="BJ59" i="8"/>
  <c r="BI59" i="8"/>
  <c r="BJ58" i="8"/>
  <c r="BI58" i="8"/>
  <c r="BJ57" i="8"/>
  <c r="BI57" i="8"/>
  <c r="BJ56" i="8"/>
  <c r="BI56" i="8"/>
  <c r="BJ55" i="8"/>
  <c r="BI55" i="8"/>
  <c r="BJ54" i="8"/>
  <c r="BI54" i="8"/>
  <c r="BJ53" i="8"/>
  <c r="BI53" i="8"/>
  <c r="BJ52" i="8"/>
  <c r="BI52" i="8"/>
  <c r="BJ51" i="8"/>
  <c r="BI51" i="8"/>
  <c r="BJ47" i="8"/>
  <c r="BI47" i="8"/>
  <c r="BJ46" i="8"/>
  <c r="BI46" i="8"/>
  <c r="BJ45" i="8"/>
  <c r="BI45" i="8"/>
  <c r="BJ44" i="8"/>
  <c r="BI44" i="8"/>
  <c r="BJ43" i="8"/>
  <c r="BI43" i="8"/>
  <c r="BJ42" i="8"/>
  <c r="BI42" i="8"/>
  <c r="BJ41" i="8"/>
  <c r="BI41" i="8"/>
  <c r="BJ40" i="8"/>
  <c r="BI40" i="8"/>
  <c r="BJ39" i="8"/>
  <c r="BI39" i="8"/>
  <c r="BH83" i="8"/>
  <c r="BG83" i="8"/>
  <c r="BH82" i="8"/>
  <c r="BG82" i="8"/>
  <c r="BH81" i="8"/>
  <c r="BG81" i="8"/>
  <c r="BH80" i="8"/>
  <c r="BG80" i="8"/>
  <c r="BH79" i="8"/>
  <c r="BG79" i="8"/>
  <c r="BH78" i="8"/>
  <c r="BG78" i="8"/>
  <c r="BH77" i="8"/>
  <c r="BG77" i="8"/>
  <c r="BH76" i="8"/>
  <c r="BG76" i="8"/>
  <c r="BH75" i="8"/>
  <c r="BG75" i="8"/>
  <c r="BH71" i="8"/>
  <c r="BG71" i="8"/>
  <c r="BH70" i="8"/>
  <c r="BG70" i="8"/>
  <c r="BH69" i="8"/>
  <c r="BG69" i="8"/>
  <c r="BH68" i="8"/>
  <c r="BG68" i="8"/>
  <c r="BH67" i="8"/>
  <c r="BG67" i="8"/>
  <c r="BH66" i="8"/>
  <c r="BG66" i="8"/>
  <c r="BH65" i="8"/>
  <c r="BG65" i="8"/>
  <c r="BH64" i="8"/>
  <c r="BG64" i="8"/>
  <c r="BH63" i="8"/>
  <c r="BG63" i="8"/>
  <c r="BH59" i="8"/>
  <c r="BG59" i="8"/>
  <c r="BH58" i="8"/>
  <c r="BG58" i="8"/>
  <c r="BH57" i="8"/>
  <c r="BG57" i="8"/>
  <c r="BH56" i="8"/>
  <c r="BG56" i="8"/>
  <c r="BH55" i="8"/>
  <c r="BG55" i="8"/>
  <c r="BH54" i="8"/>
  <c r="BG54" i="8"/>
  <c r="BH53" i="8"/>
  <c r="BG53" i="8"/>
  <c r="BH52" i="8"/>
  <c r="BG52" i="8"/>
  <c r="BH51" i="8"/>
  <c r="BG51" i="8"/>
  <c r="BH47" i="8"/>
  <c r="BG47" i="8"/>
  <c r="BH46" i="8"/>
  <c r="BG46" i="8"/>
  <c r="BH45" i="8"/>
  <c r="BG45" i="8"/>
  <c r="BH44" i="8"/>
  <c r="BG44" i="8"/>
  <c r="BH43" i="8"/>
  <c r="BG43" i="8"/>
  <c r="BH42" i="8"/>
  <c r="BG42" i="8"/>
  <c r="BH41" i="8"/>
  <c r="BG41" i="8"/>
  <c r="BH40" i="8"/>
  <c r="BG40" i="8"/>
  <c r="BH39" i="8"/>
  <c r="BG39" i="8"/>
  <c r="BF83" i="8"/>
  <c r="BE83" i="8"/>
  <c r="BF82" i="8"/>
  <c r="BE82" i="8"/>
  <c r="BF81" i="8"/>
  <c r="BE81" i="8"/>
  <c r="BF80" i="8"/>
  <c r="BE80" i="8"/>
  <c r="BF79" i="8"/>
  <c r="BE79" i="8"/>
  <c r="BF78" i="8"/>
  <c r="BE78" i="8"/>
  <c r="BF77" i="8"/>
  <c r="BE77" i="8"/>
  <c r="BF76" i="8"/>
  <c r="BE76" i="8"/>
  <c r="BF75" i="8"/>
  <c r="BE75" i="8"/>
  <c r="BF71" i="8"/>
  <c r="BE71" i="8"/>
  <c r="BF70" i="8"/>
  <c r="BE70" i="8"/>
  <c r="BF69" i="8"/>
  <c r="BE69" i="8"/>
  <c r="BF68" i="8"/>
  <c r="BE68" i="8"/>
  <c r="BF67" i="8"/>
  <c r="BE67" i="8"/>
  <c r="BF66" i="8"/>
  <c r="BE66" i="8"/>
  <c r="BF65" i="8"/>
  <c r="BE65" i="8"/>
  <c r="BF64" i="8"/>
  <c r="BE64" i="8"/>
  <c r="BF63" i="8"/>
  <c r="BE63" i="8"/>
  <c r="BF59" i="8"/>
  <c r="BE59" i="8"/>
  <c r="BF58" i="8"/>
  <c r="BE58" i="8"/>
  <c r="BF57" i="8"/>
  <c r="BE57" i="8"/>
  <c r="BF56" i="8"/>
  <c r="BE56" i="8"/>
  <c r="BF55" i="8"/>
  <c r="BE55" i="8"/>
  <c r="BF54" i="8"/>
  <c r="BE54" i="8"/>
  <c r="BF53" i="8"/>
  <c r="BE53" i="8"/>
  <c r="BF52" i="8"/>
  <c r="BE52" i="8"/>
  <c r="BF51" i="8"/>
  <c r="BE51" i="8"/>
  <c r="BF47" i="8"/>
  <c r="BE47" i="8"/>
  <c r="BF46" i="8"/>
  <c r="BE46" i="8"/>
  <c r="BF45" i="8"/>
  <c r="BE45" i="8"/>
  <c r="BF44" i="8"/>
  <c r="BE44" i="8"/>
  <c r="BF43" i="8"/>
  <c r="BE43" i="8"/>
  <c r="BF42" i="8"/>
  <c r="BE42" i="8"/>
  <c r="BF41" i="8"/>
  <c r="BE41" i="8"/>
  <c r="BF40" i="8"/>
  <c r="BE40" i="8"/>
  <c r="BF39" i="8"/>
  <c r="BE39" i="8"/>
  <c r="BD83" i="8"/>
  <c r="BC83" i="8"/>
  <c r="BD82" i="8"/>
  <c r="BC82" i="8"/>
  <c r="BD81" i="8"/>
  <c r="BC81" i="8"/>
  <c r="BD80" i="8"/>
  <c r="BC80" i="8"/>
  <c r="BD79" i="8"/>
  <c r="BC79" i="8"/>
  <c r="BD78" i="8"/>
  <c r="BC78" i="8"/>
  <c r="BD77" i="8"/>
  <c r="BC77" i="8"/>
  <c r="BD76" i="8"/>
  <c r="BC76" i="8"/>
  <c r="BD75" i="8"/>
  <c r="BC75" i="8"/>
  <c r="BD71" i="8"/>
  <c r="BC71" i="8"/>
  <c r="BD70" i="8"/>
  <c r="BC70" i="8"/>
  <c r="BD69" i="8"/>
  <c r="BC69" i="8"/>
  <c r="BD68" i="8"/>
  <c r="BC68" i="8"/>
  <c r="BD67" i="8"/>
  <c r="BC67" i="8"/>
  <c r="BD66" i="8"/>
  <c r="BC66" i="8"/>
  <c r="BD65" i="8"/>
  <c r="BC65" i="8"/>
  <c r="BD64" i="8"/>
  <c r="BC64" i="8"/>
  <c r="BD63" i="8"/>
  <c r="BC63" i="8"/>
  <c r="BD59" i="8"/>
  <c r="BC59" i="8"/>
  <c r="BD58" i="8"/>
  <c r="BC58" i="8"/>
  <c r="BD57" i="8"/>
  <c r="BC57" i="8"/>
  <c r="BD56" i="8"/>
  <c r="BC56" i="8"/>
  <c r="BD55" i="8"/>
  <c r="BC55" i="8"/>
  <c r="BD54" i="8"/>
  <c r="BC54" i="8"/>
  <c r="BD53" i="8"/>
  <c r="BC53" i="8"/>
  <c r="BD52" i="8"/>
  <c r="BC52" i="8"/>
  <c r="BD51" i="8"/>
  <c r="BC51" i="8"/>
  <c r="BD47" i="8"/>
  <c r="BC47" i="8"/>
  <c r="BD46" i="8"/>
  <c r="BC46" i="8"/>
  <c r="BD45" i="8"/>
  <c r="BC45" i="8"/>
  <c r="BD44" i="8"/>
  <c r="BC44" i="8"/>
  <c r="BD43" i="8"/>
  <c r="BC43" i="8"/>
  <c r="BD42" i="8"/>
  <c r="BC42" i="8"/>
  <c r="BD41" i="8"/>
  <c r="BC41" i="8"/>
  <c r="BD40" i="8"/>
  <c r="BC40" i="8"/>
  <c r="BD39" i="8"/>
  <c r="BC39" i="8"/>
  <c r="BB83" i="8"/>
  <c r="BA83" i="8"/>
  <c r="BB82" i="8"/>
  <c r="BA82" i="8"/>
  <c r="BB81" i="8"/>
  <c r="BA81" i="8"/>
  <c r="BB80" i="8"/>
  <c r="BA80" i="8"/>
  <c r="BB79" i="8"/>
  <c r="BA79" i="8"/>
  <c r="BB78" i="8"/>
  <c r="BA78" i="8"/>
  <c r="BB77" i="8"/>
  <c r="BA77" i="8"/>
  <c r="BB76" i="8"/>
  <c r="BA76" i="8"/>
  <c r="BB75" i="8"/>
  <c r="BA75" i="8"/>
  <c r="BB71" i="8"/>
  <c r="BA71" i="8"/>
  <c r="BB70" i="8"/>
  <c r="BA70" i="8"/>
  <c r="BB69" i="8"/>
  <c r="BA69" i="8"/>
  <c r="BB68" i="8"/>
  <c r="BA68" i="8"/>
  <c r="BB67" i="8"/>
  <c r="BA67" i="8"/>
  <c r="BB66" i="8"/>
  <c r="BA66" i="8"/>
  <c r="BB65" i="8"/>
  <c r="BA65" i="8"/>
  <c r="BB64" i="8"/>
  <c r="BA64" i="8"/>
  <c r="BB63" i="8"/>
  <c r="BA63" i="8"/>
  <c r="BB59" i="8"/>
  <c r="BA59" i="8"/>
  <c r="BB58" i="8"/>
  <c r="BA58" i="8"/>
  <c r="BB57" i="8"/>
  <c r="BA57" i="8"/>
  <c r="BB56" i="8"/>
  <c r="BA56" i="8"/>
  <c r="BB55" i="8"/>
  <c r="BA55" i="8"/>
  <c r="BB54" i="8"/>
  <c r="BA54" i="8"/>
  <c r="BB53" i="8"/>
  <c r="BA53" i="8"/>
  <c r="BB52" i="8"/>
  <c r="BA52" i="8"/>
  <c r="BB51" i="8"/>
  <c r="BA51" i="8"/>
  <c r="BB47" i="8"/>
  <c r="BA47" i="8"/>
  <c r="BB46" i="8"/>
  <c r="BA46" i="8"/>
  <c r="BB45" i="8"/>
  <c r="BA45" i="8"/>
  <c r="BB44" i="8"/>
  <c r="BA44" i="8"/>
  <c r="BB43" i="8"/>
  <c r="BA43" i="8"/>
  <c r="BB42" i="8"/>
  <c r="BA42" i="8"/>
  <c r="BB41" i="8"/>
  <c r="BA41" i="8"/>
  <c r="BB40" i="8"/>
  <c r="BA40" i="8"/>
  <c r="BB39" i="8"/>
  <c r="BA39" i="8"/>
  <c r="AZ83" i="8"/>
  <c r="AY83" i="8"/>
  <c r="AZ82" i="8"/>
  <c r="AY82" i="8"/>
  <c r="AZ81" i="8"/>
  <c r="AY81" i="8"/>
  <c r="AZ80" i="8"/>
  <c r="AY80" i="8"/>
  <c r="AZ79" i="8"/>
  <c r="AY79" i="8"/>
  <c r="AZ78" i="8"/>
  <c r="AY78" i="8"/>
  <c r="AZ77" i="8"/>
  <c r="AY77" i="8"/>
  <c r="AZ76" i="8"/>
  <c r="AY76" i="8"/>
  <c r="AZ75" i="8"/>
  <c r="AY75" i="8"/>
  <c r="AZ71" i="8"/>
  <c r="AY71" i="8"/>
  <c r="AZ70" i="8"/>
  <c r="AY70" i="8"/>
  <c r="AZ69" i="8"/>
  <c r="AY69" i="8"/>
  <c r="AZ68" i="8"/>
  <c r="AY68" i="8"/>
  <c r="AZ67" i="8"/>
  <c r="AY67" i="8"/>
  <c r="AZ66" i="8"/>
  <c r="AY66" i="8"/>
  <c r="AZ65" i="8"/>
  <c r="AY65" i="8"/>
  <c r="AZ64" i="8"/>
  <c r="AY64" i="8"/>
  <c r="AZ63" i="8"/>
  <c r="AY63" i="8"/>
  <c r="AZ59" i="8"/>
  <c r="AY59" i="8"/>
  <c r="AZ58" i="8"/>
  <c r="AY58" i="8"/>
  <c r="AZ57" i="8"/>
  <c r="AY57" i="8"/>
  <c r="AZ56" i="8"/>
  <c r="AY56" i="8"/>
  <c r="AZ55" i="8"/>
  <c r="AY55" i="8"/>
  <c r="AZ54" i="8"/>
  <c r="AY54" i="8"/>
  <c r="AZ53" i="8"/>
  <c r="AY53" i="8"/>
  <c r="AZ52" i="8"/>
  <c r="AY52" i="8"/>
  <c r="AZ51" i="8"/>
  <c r="AY51" i="8"/>
  <c r="AZ47" i="8"/>
  <c r="AY47" i="8"/>
  <c r="AZ46" i="8"/>
  <c r="AY46" i="8"/>
  <c r="AZ45" i="8"/>
  <c r="AY45" i="8"/>
  <c r="AZ44" i="8"/>
  <c r="AY44" i="8"/>
  <c r="AZ43" i="8"/>
  <c r="AY43" i="8"/>
  <c r="AZ42" i="8"/>
  <c r="AY42" i="8"/>
  <c r="AZ41" i="8"/>
  <c r="AY41" i="8"/>
  <c r="AZ40" i="8"/>
  <c r="AY40" i="8"/>
  <c r="AZ39" i="8"/>
  <c r="AY39" i="8"/>
  <c r="AW39" i="8"/>
  <c r="AX83" i="8"/>
  <c r="AW83" i="8"/>
  <c r="AX82" i="8"/>
  <c r="AW82" i="8"/>
  <c r="AX81" i="8"/>
  <c r="AW81" i="8"/>
  <c r="AX80" i="8"/>
  <c r="AW80" i="8"/>
  <c r="AX79" i="8"/>
  <c r="AW79" i="8"/>
  <c r="AX78" i="8"/>
  <c r="AW78" i="8"/>
  <c r="AX77" i="8"/>
  <c r="AW77" i="8"/>
  <c r="AX76" i="8"/>
  <c r="AW76" i="8"/>
  <c r="AX75" i="8"/>
  <c r="AW75" i="8"/>
  <c r="AX71" i="8"/>
  <c r="AW71" i="8"/>
  <c r="AX70" i="8"/>
  <c r="AW70" i="8"/>
  <c r="AX69" i="8"/>
  <c r="AW69" i="8"/>
  <c r="AX68" i="8"/>
  <c r="AW68" i="8"/>
  <c r="AX67" i="8"/>
  <c r="AW67" i="8"/>
  <c r="AX66" i="8"/>
  <c r="AW66" i="8"/>
  <c r="AX65" i="8"/>
  <c r="AW65" i="8"/>
  <c r="AX64" i="8"/>
  <c r="AW64" i="8"/>
  <c r="AX63" i="8"/>
  <c r="AW63" i="8"/>
  <c r="AX59" i="8"/>
  <c r="AW59" i="8"/>
  <c r="AX58" i="8"/>
  <c r="AW58" i="8"/>
  <c r="AX57" i="8"/>
  <c r="AW57" i="8"/>
  <c r="AX56" i="8"/>
  <c r="AW56" i="8"/>
  <c r="AX55" i="8"/>
  <c r="AW55" i="8"/>
  <c r="AX54" i="8"/>
  <c r="AW54" i="8"/>
  <c r="AX53" i="8"/>
  <c r="AW53" i="8"/>
  <c r="AX52" i="8"/>
  <c r="AW52" i="8"/>
  <c r="AX51" i="8"/>
  <c r="AW51" i="8"/>
  <c r="AX47" i="8"/>
  <c r="AW47" i="8"/>
  <c r="AX46" i="8"/>
  <c r="AW46" i="8"/>
  <c r="AX45" i="8"/>
  <c r="AW45" i="8"/>
  <c r="AX44" i="8"/>
  <c r="AW44" i="8"/>
  <c r="AX43" i="8"/>
  <c r="AW43" i="8"/>
  <c r="AX42" i="8"/>
  <c r="AW42" i="8"/>
  <c r="AX41" i="8"/>
  <c r="AW41" i="8"/>
  <c r="AX40" i="8"/>
  <c r="AW40" i="8"/>
  <c r="AX39" i="8"/>
  <c r="AV83" i="8"/>
  <c r="AU83" i="8"/>
  <c r="AV82" i="8"/>
  <c r="AU82" i="8"/>
  <c r="AV81" i="8"/>
  <c r="AU81" i="8"/>
  <c r="AV80" i="8"/>
  <c r="AU80" i="8"/>
  <c r="AV79" i="8"/>
  <c r="AU79" i="8"/>
  <c r="AV78" i="8"/>
  <c r="AU78" i="8"/>
  <c r="AV77" i="8"/>
  <c r="AU77" i="8"/>
  <c r="AV76" i="8"/>
  <c r="AU76" i="8"/>
  <c r="AV75" i="8"/>
  <c r="AU75" i="8"/>
  <c r="AV71" i="8"/>
  <c r="AU71" i="8"/>
  <c r="AV70" i="8"/>
  <c r="AU70" i="8"/>
  <c r="AV69" i="8"/>
  <c r="AU69" i="8"/>
  <c r="AV68" i="8"/>
  <c r="AU68" i="8"/>
  <c r="AV67" i="8"/>
  <c r="AU67" i="8"/>
  <c r="AV66" i="8"/>
  <c r="AU66" i="8"/>
  <c r="AV65" i="8"/>
  <c r="AU65" i="8"/>
  <c r="AV64" i="8"/>
  <c r="AU64" i="8"/>
  <c r="AV63" i="8"/>
  <c r="AU63" i="8"/>
  <c r="AV59" i="8"/>
  <c r="AU59" i="8"/>
  <c r="AV58" i="8"/>
  <c r="AU58" i="8"/>
  <c r="AV57" i="8"/>
  <c r="AU57" i="8"/>
  <c r="AV56" i="8"/>
  <c r="AU56" i="8"/>
  <c r="AV55" i="8"/>
  <c r="AU55" i="8"/>
  <c r="AV54" i="8"/>
  <c r="AU54" i="8"/>
  <c r="AV53" i="8"/>
  <c r="AU53" i="8"/>
  <c r="AV52" i="8"/>
  <c r="AU52" i="8"/>
  <c r="AV51" i="8"/>
  <c r="AU51" i="8"/>
  <c r="AV47" i="8"/>
  <c r="AU47" i="8"/>
  <c r="AV46" i="8"/>
  <c r="AU46" i="8"/>
  <c r="AV45" i="8"/>
  <c r="AU45" i="8"/>
  <c r="AV44" i="8"/>
  <c r="AU44" i="8"/>
  <c r="AV43" i="8"/>
  <c r="AU43" i="8"/>
  <c r="AV42" i="8"/>
  <c r="AU42" i="8"/>
  <c r="AV41" i="8"/>
  <c r="AU41" i="8"/>
  <c r="AV40" i="8"/>
  <c r="AU40" i="8"/>
  <c r="AV39" i="8"/>
  <c r="AU39" i="8"/>
  <c r="AT83" i="8"/>
  <c r="AS83" i="8"/>
  <c r="AT82" i="8"/>
  <c r="AS82" i="8"/>
  <c r="AT81" i="8"/>
  <c r="AS81" i="8"/>
  <c r="AT80" i="8"/>
  <c r="AS80" i="8"/>
  <c r="AT79" i="8"/>
  <c r="AS79" i="8"/>
  <c r="AT78" i="8"/>
  <c r="AS78" i="8"/>
  <c r="AT77" i="8"/>
  <c r="AS77" i="8"/>
  <c r="AT76" i="8"/>
  <c r="AS76" i="8"/>
  <c r="AT75" i="8"/>
  <c r="AS75" i="8"/>
  <c r="AT71" i="8"/>
  <c r="AS71" i="8"/>
  <c r="AT70" i="8"/>
  <c r="AS70" i="8"/>
  <c r="AT69" i="8"/>
  <c r="AS69" i="8"/>
  <c r="AT68" i="8"/>
  <c r="AS68" i="8"/>
  <c r="AT67" i="8"/>
  <c r="AS67" i="8"/>
  <c r="AT66" i="8"/>
  <c r="AS66" i="8"/>
  <c r="AT65" i="8"/>
  <c r="AS65" i="8"/>
  <c r="AT64" i="8"/>
  <c r="AS64" i="8"/>
  <c r="AT63" i="8"/>
  <c r="AS63" i="8"/>
  <c r="AT59" i="8"/>
  <c r="AS59" i="8"/>
  <c r="AT58" i="8"/>
  <c r="AS58" i="8"/>
  <c r="AT57" i="8"/>
  <c r="AS57" i="8"/>
  <c r="AT56" i="8"/>
  <c r="AS56" i="8"/>
  <c r="AT55" i="8"/>
  <c r="AS55" i="8"/>
  <c r="AT54" i="8"/>
  <c r="AS54" i="8"/>
  <c r="AT53" i="8"/>
  <c r="AS53" i="8"/>
  <c r="AT52" i="8"/>
  <c r="AS52" i="8"/>
  <c r="AT51" i="8"/>
  <c r="AS51" i="8"/>
  <c r="AT47" i="8"/>
  <c r="AS47" i="8"/>
  <c r="AT46" i="8"/>
  <c r="AS46" i="8"/>
  <c r="AT45" i="8"/>
  <c r="AS45" i="8"/>
  <c r="AT44" i="8"/>
  <c r="AS44" i="8"/>
  <c r="AT43" i="8"/>
  <c r="AS43" i="8"/>
  <c r="AT42" i="8"/>
  <c r="AS42" i="8"/>
  <c r="AT41" i="8"/>
  <c r="AS41" i="8"/>
  <c r="AT40" i="8"/>
  <c r="AS40" i="8"/>
  <c r="AT39" i="8"/>
  <c r="AS39" i="8"/>
  <c r="AR83" i="8"/>
  <c r="AQ83" i="8"/>
  <c r="AR82" i="8"/>
  <c r="AQ82" i="8"/>
  <c r="AR81" i="8"/>
  <c r="AQ81" i="8"/>
  <c r="AR80" i="8"/>
  <c r="AQ80" i="8"/>
  <c r="AR79" i="8"/>
  <c r="AQ79" i="8"/>
  <c r="AR78" i="8"/>
  <c r="AQ78" i="8"/>
  <c r="AR77" i="8"/>
  <c r="AQ77" i="8"/>
  <c r="AR76" i="8"/>
  <c r="AQ76" i="8"/>
  <c r="AR75" i="8"/>
  <c r="AQ75" i="8"/>
  <c r="AR71" i="8"/>
  <c r="AQ71" i="8"/>
  <c r="AR70" i="8"/>
  <c r="AQ70" i="8"/>
  <c r="AR69" i="8"/>
  <c r="AQ69" i="8"/>
  <c r="AR68" i="8"/>
  <c r="AQ68" i="8"/>
  <c r="AR67" i="8"/>
  <c r="AQ67" i="8"/>
  <c r="AR66" i="8"/>
  <c r="AQ66" i="8"/>
  <c r="AR65" i="8"/>
  <c r="AQ65" i="8"/>
  <c r="AR64" i="8"/>
  <c r="AQ64" i="8"/>
  <c r="AR63" i="8"/>
  <c r="AQ63" i="8"/>
  <c r="AR59" i="8"/>
  <c r="AQ59" i="8"/>
  <c r="AR58" i="8"/>
  <c r="AQ58" i="8"/>
  <c r="AR57" i="8"/>
  <c r="AQ57" i="8"/>
  <c r="AR56" i="8"/>
  <c r="AQ56" i="8"/>
  <c r="AR55" i="8"/>
  <c r="AQ55" i="8"/>
  <c r="AR54" i="8"/>
  <c r="AQ54" i="8"/>
  <c r="AR53" i="8"/>
  <c r="AQ53" i="8"/>
  <c r="AR52" i="8"/>
  <c r="AQ52" i="8"/>
  <c r="AR51" i="8"/>
  <c r="AQ51" i="8"/>
  <c r="AR47" i="8"/>
  <c r="AQ47" i="8"/>
  <c r="AR46" i="8"/>
  <c r="AQ46" i="8"/>
  <c r="AR45" i="8"/>
  <c r="AQ45" i="8"/>
  <c r="AR44" i="8"/>
  <c r="AQ44" i="8"/>
  <c r="AR43" i="8"/>
  <c r="AQ43" i="8"/>
  <c r="AR42" i="8"/>
  <c r="AQ42" i="8"/>
  <c r="AR41" i="8"/>
  <c r="AQ41" i="8"/>
  <c r="AR40" i="8"/>
  <c r="AQ40" i="8"/>
  <c r="AR39" i="8"/>
  <c r="AQ39" i="8"/>
  <c r="AP83" i="8"/>
  <c r="AO83" i="8"/>
  <c r="AP82" i="8"/>
  <c r="AO82" i="8"/>
  <c r="AP81" i="8"/>
  <c r="AO81" i="8"/>
  <c r="AP80" i="8"/>
  <c r="AO80" i="8"/>
  <c r="AP79" i="8"/>
  <c r="AO79" i="8"/>
  <c r="AP78" i="8"/>
  <c r="AO78" i="8"/>
  <c r="AP77" i="8"/>
  <c r="AO77" i="8"/>
  <c r="AP76" i="8"/>
  <c r="AO76" i="8"/>
  <c r="AP75" i="8"/>
  <c r="AO75" i="8"/>
  <c r="AP71" i="8"/>
  <c r="AO71" i="8"/>
  <c r="AP70" i="8"/>
  <c r="AO70" i="8"/>
  <c r="AP69" i="8"/>
  <c r="AO69" i="8"/>
  <c r="AP68" i="8"/>
  <c r="AO68" i="8"/>
  <c r="AP67" i="8"/>
  <c r="AO67" i="8"/>
  <c r="AP66" i="8"/>
  <c r="AO66" i="8"/>
  <c r="AP65" i="8"/>
  <c r="AO65" i="8"/>
  <c r="AP64" i="8"/>
  <c r="AO64" i="8"/>
  <c r="AP63" i="8"/>
  <c r="AO63" i="8"/>
  <c r="AP59" i="8"/>
  <c r="AO59" i="8"/>
  <c r="AP58" i="8"/>
  <c r="AO58" i="8"/>
  <c r="AP57" i="8"/>
  <c r="AO57" i="8"/>
  <c r="AP56" i="8"/>
  <c r="AO56" i="8"/>
  <c r="AP55" i="8"/>
  <c r="AO55" i="8"/>
  <c r="AP54" i="8"/>
  <c r="AO54" i="8"/>
  <c r="AP53" i="8"/>
  <c r="AO53" i="8"/>
  <c r="AP52" i="8"/>
  <c r="AO52" i="8"/>
  <c r="AP51" i="8"/>
  <c r="AO51" i="8"/>
  <c r="AP47" i="8"/>
  <c r="AO47" i="8"/>
  <c r="AP46" i="8"/>
  <c r="AO46" i="8"/>
  <c r="AP45" i="8"/>
  <c r="AO45" i="8"/>
  <c r="AP44" i="8"/>
  <c r="AO44" i="8"/>
  <c r="AP43" i="8"/>
  <c r="AO43" i="8"/>
  <c r="AP42" i="8"/>
  <c r="AO42" i="8"/>
  <c r="AP41" i="8"/>
  <c r="AO41" i="8"/>
  <c r="AP40" i="8"/>
  <c r="AO40" i="8"/>
  <c r="AP39" i="8"/>
  <c r="AO39" i="8"/>
  <c r="AN83" i="8"/>
  <c r="AM83" i="8"/>
  <c r="AN82" i="8"/>
  <c r="AM82" i="8"/>
  <c r="AN81" i="8"/>
  <c r="AM81" i="8"/>
  <c r="AN80" i="8"/>
  <c r="AM80" i="8"/>
  <c r="AN79" i="8"/>
  <c r="AM79" i="8"/>
  <c r="AN78" i="8"/>
  <c r="AM78" i="8"/>
  <c r="AN77" i="8"/>
  <c r="AM77" i="8"/>
  <c r="AN76" i="8"/>
  <c r="AM76" i="8"/>
  <c r="AN75" i="8"/>
  <c r="AM75" i="8"/>
  <c r="AN71" i="8"/>
  <c r="AM71" i="8"/>
  <c r="AN70" i="8"/>
  <c r="AM70" i="8"/>
  <c r="AN69" i="8"/>
  <c r="AM69" i="8"/>
  <c r="AN68" i="8"/>
  <c r="AM68" i="8"/>
  <c r="AN67" i="8"/>
  <c r="AM67" i="8"/>
  <c r="AN66" i="8"/>
  <c r="AM66" i="8"/>
  <c r="AN65" i="8"/>
  <c r="AM65" i="8"/>
  <c r="AN64" i="8"/>
  <c r="AM64" i="8"/>
  <c r="AN63" i="8"/>
  <c r="AM63" i="8"/>
  <c r="AN59" i="8"/>
  <c r="AM59" i="8"/>
  <c r="AN58" i="8"/>
  <c r="AM58" i="8"/>
  <c r="AN57" i="8"/>
  <c r="AM57" i="8"/>
  <c r="AN56" i="8"/>
  <c r="AM56" i="8"/>
  <c r="AN55" i="8"/>
  <c r="AM55" i="8"/>
  <c r="AN54" i="8"/>
  <c r="AM54" i="8"/>
  <c r="AN53" i="8"/>
  <c r="AM53" i="8"/>
  <c r="AN52" i="8"/>
  <c r="AM52" i="8"/>
  <c r="AN51" i="8"/>
  <c r="AM51" i="8"/>
  <c r="AN47" i="8"/>
  <c r="AM47" i="8"/>
  <c r="AN46" i="8"/>
  <c r="AM46" i="8"/>
  <c r="AN45" i="8"/>
  <c r="AM45" i="8"/>
  <c r="AN44" i="8"/>
  <c r="AM44" i="8"/>
  <c r="AN43" i="8"/>
  <c r="AM43" i="8"/>
  <c r="AN42" i="8"/>
  <c r="AM42" i="8"/>
  <c r="AN41" i="8"/>
  <c r="AM41" i="8"/>
  <c r="AN40" i="8"/>
  <c r="AM40" i="8"/>
  <c r="AN39" i="8"/>
  <c r="AM39" i="8"/>
  <c r="AL83" i="8"/>
  <c r="AK83" i="8"/>
  <c r="AL82" i="8"/>
  <c r="AK82" i="8"/>
  <c r="AL81" i="8"/>
  <c r="AK81" i="8"/>
  <c r="AL80" i="8"/>
  <c r="AK80" i="8"/>
  <c r="AL79" i="8"/>
  <c r="AK79" i="8"/>
  <c r="AL78" i="8"/>
  <c r="AK78" i="8"/>
  <c r="AL77" i="8"/>
  <c r="AK77" i="8"/>
  <c r="AL76" i="8"/>
  <c r="AK76" i="8"/>
  <c r="AL75" i="8"/>
  <c r="AK75" i="8"/>
  <c r="AL71" i="8"/>
  <c r="AK71" i="8"/>
  <c r="AL70" i="8"/>
  <c r="AK70" i="8"/>
  <c r="AL69" i="8"/>
  <c r="AK69" i="8"/>
  <c r="AL68" i="8"/>
  <c r="AK68" i="8"/>
  <c r="AL67" i="8"/>
  <c r="AK67" i="8"/>
  <c r="AL66" i="8"/>
  <c r="AK66" i="8"/>
  <c r="AL65" i="8"/>
  <c r="AK65" i="8"/>
  <c r="AL64" i="8"/>
  <c r="AK64" i="8"/>
  <c r="AL63" i="8"/>
  <c r="AK63" i="8"/>
  <c r="AL59" i="8"/>
  <c r="AK59" i="8"/>
  <c r="AL58" i="8"/>
  <c r="AK58" i="8"/>
  <c r="AL57" i="8"/>
  <c r="AK57" i="8"/>
  <c r="AL56" i="8"/>
  <c r="AK56" i="8"/>
  <c r="AL55" i="8"/>
  <c r="AK55" i="8"/>
  <c r="AL54" i="8"/>
  <c r="AK54" i="8"/>
  <c r="AL53" i="8"/>
  <c r="AK53" i="8"/>
  <c r="AL52" i="8"/>
  <c r="AK52" i="8"/>
  <c r="AL51" i="8"/>
  <c r="AK51" i="8"/>
  <c r="AL47" i="8"/>
  <c r="AK47" i="8"/>
  <c r="AL46" i="8"/>
  <c r="AK46" i="8"/>
  <c r="AL45" i="8"/>
  <c r="AK45" i="8"/>
  <c r="AL44" i="8"/>
  <c r="AK44" i="8"/>
  <c r="AL43" i="8"/>
  <c r="AK43" i="8"/>
  <c r="AL42" i="8"/>
  <c r="AK42" i="8"/>
  <c r="AL41" i="8"/>
  <c r="AK41" i="8"/>
  <c r="AL40" i="8"/>
  <c r="AK40" i="8"/>
  <c r="AL39" i="8"/>
  <c r="AK39" i="8"/>
  <c r="AJ83" i="8"/>
  <c r="AI83" i="8"/>
  <c r="AJ82" i="8"/>
  <c r="AI82" i="8"/>
  <c r="AJ81" i="8"/>
  <c r="AI81" i="8"/>
  <c r="AJ80" i="8"/>
  <c r="AI80" i="8"/>
  <c r="AJ79" i="8"/>
  <c r="AI79" i="8"/>
  <c r="AJ78" i="8"/>
  <c r="AI78" i="8"/>
  <c r="AJ77" i="8"/>
  <c r="AI77" i="8"/>
  <c r="AJ76" i="8"/>
  <c r="AI76" i="8"/>
  <c r="AJ75" i="8"/>
  <c r="AI75" i="8"/>
  <c r="AJ71" i="8"/>
  <c r="AI71" i="8"/>
  <c r="AJ70" i="8"/>
  <c r="AI70" i="8"/>
  <c r="AJ69" i="8"/>
  <c r="AI69" i="8"/>
  <c r="AJ68" i="8"/>
  <c r="AI68" i="8"/>
  <c r="AJ67" i="8"/>
  <c r="AI67" i="8"/>
  <c r="AJ66" i="8"/>
  <c r="AI66" i="8"/>
  <c r="AJ65" i="8"/>
  <c r="AI65" i="8"/>
  <c r="AJ64" i="8"/>
  <c r="AI64" i="8"/>
  <c r="AJ63" i="8"/>
  <c r="AI63" i="8"/>
  <c r="AJ59" i="8"/>
  <c r="AI59" i="8"/>
  <c r="AJ58" i="8"/>
  <c r="AI58" i="8"/>
  <c r="AJ57" i="8"/>
  <c r="AI57" i="8"/>
  <c r="AJ56" i="8"/>
  <c r="AI56" i="8"/>
  <c r="AJ55" i="8"/>
  <c r="AI55" i="8"/>
  <c r="AJ54" i="8"/>
  <c r="AI54" i="8"/>
  <c r="AJ53" i="8"/>
  <c r="AI53" i="8"/>
  <c r="AJ52" i="8"/>
  <c r="AI52" i="8"/>
  <c r="AJ51" i="8"/>
  <c r="AI51" i="8"/>
  <c r="AJ47" i="8"/>
  <c r="AI47" i="8"/>
  <c r="AJ46" i="8"/>
  <c r="AI46" i="8"/>
  <c r="AJ45" i="8"/>
  <c r="AI45" i="8"/>
  <c r="AJ44" i="8"/>
  <c r="AI44" i="8"/>
  <c r="AJ43" i="8"/>
  <c r="AI43" i="8"/>
  <c r="AJ42" i="8"/>
  <c r="AI42" i="8"/>
  <c r="AJ41" i="8"/>
  <c r="AI41" i="8"/>
  <c r="AJ40" i="8"/>
  <c r="AI40" i="8"/>
  <c r="AJ39" i="8"/>
  <c r="AI39" i="8"/>
  <c r="AH83" i="8"/>
  <c r="AG83" i="8"/>
  <c r="AH82" i="8"/>
  <c r="AG82" i="8"/>
  <c r="AH81" i="8"/>
  <c r="AG81" i="8"/>
  <c r="AH80" i="8"/>
  <c r="AG80" i="8"/>
  <c r="AH79" i="8"/>
  <c r="AG79" i="8"/>
  <c r="AH78" i="8"/>
  <c r="AG78" i="8"/>
  <c r="AH77" i="8"/>
  <c r="AG77" i="8"/>
  <c r="AH76" i="8"/>
  <c r="AG76" i="8"/>
  <c r="AH75" i="8"/>
  <c r="AG75" i="8"/>
  <c r="AH71" i="8"/>
  <c r="AG71" i="8"/>
  <c r="AH70" i="8"/>
  <c r="AG70" i="8"/>
  <c r="AH69" i="8"/>
  <c r="AG69" i="8"/>
  <c r="AH68" i="8"/>
  <c r="AG68" i="8"/>
  <c r="AH67" i="8"/>
  <c r="AG67" i="8"/>
  <c r="AH66" i="8"/>
  <c r="AG66" i="8"/>
  <c r="AH65" i="8"/>
  <c r="AG65" i="8"/>
  <c r="AH64" i="8"/>
  <c r="AG64" i="8"/>
  <c r="AH63" i="8"/>
  <c r="AG63" i="8"/>
  <c r="AH59" i="8"/>
  <c r="AG59" i="8"/>
  <c r="AH58" i="8"/>
  <c r="AG58" i="8"/>
  <c r="AH57" i="8"/>
  <c r="AG57" i="8"/>
  <c r="AH56" i="8"/>
  <c r="AG56" i="8"/>
  <c r="AH55" i="8"/>
  <c r="AG55" i="8"/>
  <c r="AH54" i="8"/>
  <c r="AG54" i="8"/>
  <c r="AH53" i="8"/>
  <c r="AG53" i="8"/>
  <c r="AH52" i="8"/>
  <c r="AG52" i="8"/>
  <c r="AH51" i="8"/>
  <c r="AG51" i="8"/>
  <c r="AH47" i="8"/>
  <c r="AG47" i="8"/>
  <c r="AH46" i="8"/>
  <c r="AG46" i="8"/>
  <c r="AH45" i="8"/>
  <c r="AG45" i="8"/>
  <c r="AH44" i="8"/>
  <c r="AG44" i="8"/>
  <c r="AH43" i="8"/>
  <c r="AG43" i="8"/>
  <c r="AH42" i="8"/>
  <c r="AG42" i="8"/>
  <c r="AH41" i="8"/>
  <c r="AG41" i="8"/>
  <c r="AH40" i="8"/>
  <c r="AG40" i="8"/>
  <c r="AH39" i="8"/>
  <c r="AG39" i="8"/>
  <c r="AF83" i="8"/>
  <c r="AE83" i="8"/>
  <c r="AF82" i="8"/>
  <c r="AE82" i="8"/>
  <c r="AF81" i="8"/>
  <c r="AE81" i="8"/>
  <c r="AF80" i="8"/>
  <c r="AE80" i="8"/>
  <c r="AF79" i="8"/>
  <c r="AE79" i="8"/>
  <c r="AF78" i="8"/>
  <c r="AE78" i="8"/>
  <c r="AF77" i="8"/>
  <c r="AE77" i="8"/>
  <c r="AF76" i="8"/>
  <c r="AE76" i="8"/>
  <c r="AF75" i="8"/>
  <c r="AE75" i="8"/>
  <c r="AF71" i="8"/>
  <c r="AE71" i="8"/>
  <c r="AF70" i="8"/>
  <c r="AE70" i="8"/>
  <c r="AF69" i="8"/>
  <c r="AE69" i="8"/>
  <c r="AF68" i="8"/>
  <c r="AE68" i="8"/>
  <c r="AF67" i="8"/>
  <c r="AE67" i="8"/>
  <c r="AF66" i="8"/>
  <c r="AE66" i="8"/>
  <c r="AF65" i="8"/>
  <c r="AE65" i="8"/>
  <c r="AF64" i="8"/>
  <c r="AE64" i="8"/>
  <c r="AF63" i="8"/>
  <c r="AE63" i="8"/>
  <c r="AF59" i="8"/>
  <c r="AE59" i="8"/>
  <c r="AF58" i="8"/>
  <c r="AE58" i="8"/>
  <c r="AF57" i="8"/>
  <c r="AE57" i="8"/>
  <c r="AF56" i="8"/>
  <c r="AE56" i="8"/>
  <c r="AF55" i="8"/>
  <c r="AE55" i="8"/>
  <c r="AF54" i="8"/>
  <c r="AE54" i="8"/>
  <c r="AF53" i="8"/>
  <c r="AE53" i="8"/>
  <c r="AF52" i="8"/>
  <c r="AE52" i="8"/>
  <c r="AF51" i="8"/>
  <c r="AE51" i="8"/>
  <c r="AF47" i="8"/>
  <c r="AE47" i="8"/>
  <c r="AF46" i="8"/>
  <c r="AE46" i="8"/>
  <c r="AF45" i="8"/>
  <c r="AE45" i="8"/>
  <c r="AF44" i="8"/>
  <c r="AE44" i="8"/>
  <c r="AF43" i="8"/>
  <c r="AE43" i="8"/>
  <c r="AF42" i="8"/>
  <c r="AE42" i="8"/>
  <c r="AF41" i="8"/>
  <c r="AE41" i="8"/>
  <c r="AF40" i="8"/>
  <c r="AE40" i="8"/>
  <c r="AF39" i="8"/>
  <c r="AE39" i="8"/>
  <c r="AD83" i="8"/>
  <c r="AC83" i="8"/>
  <c r="AD82" i="8"/>
  <c r="AC82" i="8"/>
  <c r="AD81" i="8"/>
  <c r="AC81" i="8"/>
  <c r="AD80" i="8"/>
  <c r="AC80" i="8"/>
  <c r="AD79" i="8"/>
  <c r="AC79" i="8"/>
  <c r="AD78" i="8"/>
  <c r="AC78" i="8"/>
  <c r="AD77" i="8"/>
  <c r="AC77" i="8"/>
  <c r="AD76" i="8"/>
  <c r="AC76" i="8"/>
  <c r="AD75" i="8"/>
  <c r="AC75" i="8"/>
  <c r="AD71" i="8"/>
  <c r="AC71" i="8"/>
  <c r="AD70" i="8"/>
  <c r="AC70" i="8"/>
  <c r="AD69" i="8"/>
  <c r="AC69" i="8"/>
  <c r="AD68" i="8"/>
  <c r="AC68" i="8"/>
  <c r="AD67" i="8"/>
  <c r="AC67" i="8"/>
  <c r="AD66" i="8"/>
  <c r="AC66" i="8"/>
  <c r="AD65" i="8"/>
  <c r="AC65" i="8"/>
  <c r="AD64" i="8"/>
  <c r="AC64" i="8"/>
  <c r="AD63" i="8"/>
  <c r="AC63" i="8"/>
  <c r="AD59" i="8"/>
  <c r="AC59" i="8"/>
  <c r="AD58" i="8"/>
  <c r="AC58" i="8"/>
  <c r="AD57" i="8"/>
  <c r="AC57" i="8"/>
  <c r="AD56" i="8"/>
  <c r="AC56" i="8"/>
  <c r="AD55" i="8"/>
  <c r="AC55" i="8"/>
  <c r="AD54" i="8"/>
  <c r="AC54" i="8"/>
  <c r="AD53" i="8"/>
  <c r="AC53" i="8"/>
  <c r="AD52" i="8"/>
  <c r="AC52" i="8"/>
  <c r="AD51" i="8"/>
  <c r="AC51" i="8"/>
  <c r="AD47" i="8"/>
  <c r="AC47" i="8"/>
  <c r="AD46" i="8"/>
  <c r="AC46" i="8"/>
  <c r="AD45" i="8"/>
  <c r="AC45" i="8"/>
  <c r="AD44" i="8"/>
  <c r="AC44" i="8"/>
  <c r="AD43" i="8"/>
  <c r="AC43" i="8"/>
  <c r="AD42" i="8"/>
  <c r="AC42" i="8"/>
  <c r="AD41" i="8"/>
  <c r="AC41" i="8"/>
  <c r="AD40" i="8"/>
  <c r="AC40" i="8"/>
  <c r="AD39" i="8"/>
  <c r="AC39" i="8"/>
  <c r="AB83" i="8"/>
  <c r="AA83" i="8"/>
  <c r="AB82" i="8"/>
  <c r="AA82" i="8"/>
  <c r="AB81" i="8"/>
  <c r="AA81" i="8"/>
  <c r="AB80" i="8"/>
  <c r="AA80" i="8"/>
  <c r="AB79" i="8"/>
  <c r="AA79" i="8"/>
  <c r="AB78" i="8"/>
  <c r="AA78" i="8"/>
  <c r="AB77" i="8"/>
  <c r="AA77" i="8"/>
  <c r="AB76" i="8"/>
  <c r="AA76" i="8"/>
  <c r="AB75" i="8"/>
  <c r="AA75" i="8"/>
  <c r="AB71" i="8"/>
  <c r="AA71" i="8"/>
  <c r="AB70" i="8"/>
  <c r="AA70" i="8"/>
  <c r="AB69" i="8"/>
  <c r="AA69" i="8"/>
  <c r="AB68" i="8"/>
  <c r="AA68" i="8"/>
  <c r="AB67" i="8"/>
  <c r="AA67" i="8"/>
  <c r="AB66" i="8"/>
  <c r="AA66" i="8"/>
  <c r="AB65" i="8"/>
  <c r="AA65" i="8"/>
  <c r="AB64" i="8"/>
  <c r="AA64" i="8"/>
  <c r="AB63" i="8"/>
  <c r="AA63" i="8"/>
  <c r="AB59" i="8"/>
  <c r="AA59" i="8"/>
  <c r="AB58" i="8"/>
  <c r="AA58" i="8"/>
  <c r="AB57" i="8"/>
  <c r="AA57" i="8"/>
  <c r="AB56" i="8"/>
  <c r="AA56" i="8"/>
  <c r="AB55" i="8"/>
  <c r="AA55" i="8"/>
  <c r="AB54" i="8"/>
  <c r="AA54" i="8"/>
  <c r="AB53" i="8"/>
  <c r="AA53" i="8"/>
  <c r="AB52" i="8"/>
  <c r="AA52" i="8"/>
  <c r="AB51" i="8"/>
  <c r="AA51" i="8"/>
  <c r="AB47" i="8"/>
  <c r="AA47" i="8"/>
  <c r="AB46" i="8"/>
  <c r="AA46" i="8"/>
  <c r="AB45" i="8"/>
  <c r="AA45" i="8"/>
  <c r="AB44" i="8"/>
  <c r="F21" i="3" s="1"/>
  <c r="Q21" i="3" s="1"/>
  <c r="AA44" i="8"/>
  <c r="D21" i="3" s="1"/>
  <c r="O21" i="3" s="1"/>
  <c r="AB43" i="8"/>
  <c r="AA43" i="8"/>
  <c r="AB42" i="8"/>
  <c r="AA42" i="8"/>
  <c r="AB41" i="8"/>
  <c r="AA41" i="8"/>
  <c r="AB40" i="8"/>
  <c r="AA40" i="8"/>
  <c r="AB39" i="8"/>
  <c r="AA39" i="8"/>
  <c r="Z83" i="8"/>
  <c r="Y83" i="8"/>
  <c r="Z82" i="8"/>
  <c r="Y82" i="8"/>
  <c r="Z81" i="8"/>
  <c r="Y81" i="8"/>
  <c r="Z80" i="8"/>
  <c r="Y80" i="8"/>
  <c r="Z79" i="8"/>
  <c r="Y79" i="8"/>
  <c r="Z78" i="8"/>
  <c r="Y78" i="8"/>
  <c r="Z77" i="8"/>
  <c r="Y77" i="8"/>
  <c r="Z76" i="8"/>
  <c r="Y76" i="8"/>
  <c r="Z75" i="8"/>
  <c r="Y75" i="8"/>
  <c r="Z71" i="8"/>
  <c r="Y71" i="8"/>
  <c r="Z70" i="8"/>
  <c r="Y70" i="8"/>
  <c r="Z69" i="8"/>
  <c r="Y69" i="8"/>
  <c r="Z68" i="8"/>
  <c r="Y68" i="8"/>
  <c r="Z67" i="8"/>
  <c r="Y67" i="8"/>
  <c r="Z66" i="8"/>
  <c r="Y66" i="8"/>
  <c r="Z65" i="8"/>
  <c r="Y65" i="8"/>
  <c r="Z64" i="8"/>
  <c r="Y64" i="8"/>
  <c r="Z63" i="8"/>
  <c r="Y63" i="8"/>
  <c r="Z59" i="8"/>
  <c r="Y59" i="8"/>
  <c r="Z58" i="8"/>
  <c r="Y58" i="8"/>
  <c r="Z57" i="8"/>
  <c r="Y57" i="8"/>
  <c r="Z56" i="8"/>
  <c r="Y56" i="8"/>
  <c r="Z55" i="8"/>
  <c r="Y55" i="8"/>
  <c r="Z54" i="8"/>
  <c r="Y54" i="8"/>
  <c r="Z53" i="8"/>
  <c r="Y53" i="8"/>
  <c r="Z52" i="8"/>
  <c r="Y52" i="8"/>
  <c r="Z51" i="8"/>
  <c r="Y51" i="8"/>
  <c r="Z47" i="8"/>
  <c r="G38" i="3" s="1"/>
  <c r="Y47" i="8"/>
  <c r="E38" i="3" s="1"/>
  <c r="Z46" i="8"/>
  <c r="F38" i="3" s="1"/>
  <c r="J5" i="27" s="1"/>
  <c r="Y46" i="8"/>
  <c r="C38" i="3" s="1"/>
  <c r="Z45" i="8"/>
  <c r="Y45" i="8"/>
  <c r="Z44" i="8"/>
  <c r="F20" i="3" s="1"/>
  <c r="Q20" i="3" s="1"/>
  <c r="Y44" i="8"/>
  <c r="Z43" i="8"/>
  <c r="Y43" i="8"/>
  <c r="Z42" i="8"/>
  <c r="Y42" i="8"/>
  <c r="Z41" i="8"/>
  <c r="Y41" i="8"/>
  <c r="Z40" i="8"/>
  <c r="Y40" i="8"/>
  <c r="Z39" i="8"/>
  <c r="Y39" i="8"/>
  <c r="X83" i="8"/>
  <c r="W83" i="8"/>
  <c r="X82" i="8"/>
  <c r="W82" i="8"/>
  <c r="X81" i="8"/>
  <c r="W81" i="8"/>
  <c r="X80" i="8"/>
  <c r="W80" i="8"/>
  <c r="X79" i="8"/>
  <c r="W79" i="8"/>
  <c r="X78" i="8"/>
  <c r="W78" i="8"/>
  <c r="X77" i="8"/>
  <c r="W77" i="8"/>
  <c r="X76" i="8"/>
  <c r="W76" i="8"/>
  <c r="X75" i="8"/>
  <c r="W75" i="8"/>
  <c r="X71" i="8"/>
  <c r="W71" i="8"/>
  <c r="X70" i="8"/>
  <c r="W70" i="8"/>
  <c r="X69" i="8"/>
  <c r="W69" i="8"/>
  <c r="X68" i="8"/>
  <c r="W68" i="8"/>
  <c r="X67" i="8"/>
  <c r="W67" i="8"/>
  <c r="X66" i="8"/>
  <c r="W66" i="8"/>
  <c r="X65" i="8"/>
  <c r="W65" i="8"/>
  <c r="X64" i="8"/>
  <c r="W64" i="8"/>
  <c r="X63" i="8"/>
  <c r="W63" i="8"/>
  <c r="X59" i="8"/>
  <c r="W59" i="8"/>
  <c r="X58" i="8"/>
  <c r="W58" i="8"/>
  <c r="X57" i="8"/>
  <c r="W57" i="8"/>
  <c r="X56" i="8"/>
  <c r="W56" i="8"/>
  <c r="X55" i="8"/>
  <c r="W55" i="8"/>
  <c r="X54" i="8"/>
  <c r="W54" i="8"/>
  <c r="X53" i="8"/>
  <c r="W53" i="8"/>
  <c r="X52" i="8"/>
  <c r="W52" i="8"/>
  <c r="X51" i="8"/>
  <c r="W51" i="8"/>
  <c r="X47" i="8"/>
  <c r="W47" i="8"/>
  <c r="X46" i="8"/>
  <c r="W46" i="8"/>
  <c r="X45" i="8"/>
  <c r="W45" i="8"/>
  <c r="X44" i="8"/>
  <c r="W44" i="8"/>
  <c r="X43" i="8"/>
  <c r="W43" i="8"/>
  <c r="X42" i="8"/>
  <c r="W42" i="8"/>
  <c r="X41" i="8"/>
  <c r="W41" i="8"/>
  <c r="X40" i="8"/>
  <c r="W40" i="8"/>
  <c r="X39" i="8"/>
  <c r="W39" i="8"/>
  <c r="V83" i="8"/>
  <c r="U83" i="8"/>
  <c r="V82" i="8"/>
  <c r="U82" i="8"/>
  <c r="V81" i="8"/>
  <c r="U81" i="8"/>
  <c r="V80" i="8"/>
  <c r="U80" i="8"/>
  <c r="V79" i="8"/>
  <c r="U79" i="8"/>
  <c r="V78" i="8"/>
  <c r="U78" i="8"/>
  <c r="V77" i="8"/>
  <c r="U77" i="8"/>
  <c r="V76" i="8"/>
  <c r="U76" i="8"/>
  <c r="V75" i="8"/>
  <c r="U75" i="8"/>
  <c r="V71" i="8"/>
  <c r="U71" i="8"/>
  <c r="V70" i="8"/>
  <c r="U70" i="8"/>
  <c r="V69" i="8"/>
  <c r="U69" i="8"/>
  <c r="V68" i="8"/>
  <c r="U68" i="8"/>
  <c r="V67" i="8"/>
  <c r="U67" i="8"/>
  <c r="V66" i="8"/>
  <c r="U66" i="8"/>
  <c r="V65" i="8"/>
  <c r="U65" i="8"/>
  <c r="V64" i="8"/>
  <c r="U64" i="8"/>
  <c r="V63" i="8"/>
  <c r="U63" i="8"/>
  <c r="V59" i="8"/>
  <c r="U59" i="8"/>
  <c r="V58" i="8"/>
  <c r="U58" i="8"/>
  <c r="V57" i="8"/>
  <c r="U57" i="8"/>
  <c r="V56" i="8"/>
  <c r="U56" i="8"/>
  <c r="V55" i="8"/>
  <c r="U55" i="8"/>
  <c r="V54" i="8"/>
  <c r="U54" i="8"/>
  <c r="V53" i="8"/>
  <c r="U53" i="8"/>
  <c r="V52" i="8"/>
  <c r="U52" i="8"/>
  <c r="V51" i="8"/>
  <c r="U51" i="8"/>
  <c r="V47" i="8"/>
  <c r="U47" i="8"/>
  <c r="V46" i="8"/>
  <c r="U46" i="8"/>
  <c r="V45" i="8"/>
  <c r="U45" i="8"/>
  <c r="V44" i="8"/>
  <c r="U44" i="8"/>
  <c r="V43" i="8"/>
  <c r="U43" i="8"/>
  <c r="V42" i="8"/>
  <c r="U42" i="8"/>
  <c r="V41" i="8"/>
  <c r="U41" i="8"/>
  <c r="V40" i="8"/>
  <c r="U40" i="8"/>
  <c r="V39" i="8"/>
  <c r="U39" i="8"/>
  <c r="T83" i="8"/>
  <c r="S83" i="8"/>
  <c r="T82" i="8"/>
  <c r="S82" i="8"/>
  <c r="T81" i="8"/>
  <c r="S81" i="8"/>
  <c r="T80" i="8"/>
  <c r="S80" i="8"/>
  <c r="T79" i="8"/>
  <c r="S79" i="8"/>
  <c r="T78" i="8"/>
  <c r="S78" i="8"/>
  <c r="T77" i="8"/>
  <c r="S77" i="8"/>
  <c r="T76" i="8"/>
  <c r="S76" i="8"/>
  <c r="T75" i="8"/>
  <c r="S75" i="8"/>
  <c r="T71" i="8"/>
  <c r="S71" i="8"/>
  <c r="T70" i="8"/>
  <c r="S70" i="8"/>
  <c r="T69" i="8"/>
  <c r="S69" i="8"/>
  <c r="T68" i="8"/>
  <c r="S68" i="8"/>
  <c r="T67" i="8"/>
  <c r="S67" i="8"/>
  <c r="T66" i="8"/>
  <c r="S66" i="8"/>
  <c r="T65" i="8"/>
  <c r="S65" i="8"/>
  <c r="T64" i="8"/>
  <c r="S64" i="8"/>
  <c r="T63" i="8"/>
  <c r="S63" i="8"/>
  <c r="T59" i="8"/>
  <c r="S59" i="8"/>
  <c r="T58" i="8"/>
  <c r="S58" i="8"/>
  <c r="T57" i="8"/>
  <c r="S57" i="8"/>
  <c r="T56" i="8"/>
  <c r="S56" i="8"/>
  <c r="T55" i="8"/>
  <c r="S55" i="8"/>
  <c r="T54" i="8"/>
  <c r="S54" i="8"/>
  <c r="T53" i="8"/>
  <c r="S53" i="8"/>
  <c r="T52" i="8"/>
  <c r="S52" i="8"/>
  <c r="T51" i="8"/>
  <c r="S51" i="8"/>
  <c r="T47" i="8"/>
  <c r="S47" i="8"/>
  <c r="T46" i="8"/>
  <c r="S46" i="8"/>
  <c r="T45" i="8"/>
  <c r="S45" i="8"/>
  <c r="T44" i="8"/>
  <c r="S44" i="8"/>
  <c r="T43" i="8"/>
  <c r="S43" i="8"/>
  <c r="T42" i="8"/>
  <c r="S42" i="8"/>
  <c r="T41" i="8"/>
  <c r="S41" i="8"/>
  <c r="T40" i="8"/>
  <c r="S40" i="8"/>
  <c r="T39" i="8"/>
  <c r="S39" i="8"/>
  <c r="R83" i="8"/>
  <c r="Q83" i="8"/>
  <c r="R82" i="8"/>
  <c r="Q82" i="8"/>
  <c r="R81" i="8"/>
  <c r="Q81" i="8"/>
  <c r="R80" i="8"/>
  <c r="Q80" i="8"/>
  <c r="R79" i="8"/>
  <c r="Q79" i="8"/>
  <c r="R78" i="8"/>
  <c r="Q78" i="8"/>
  <c r="R77" i="8"/>
  <c r="Q77" i="8"/>
  <c r="R76" i="8"/>
  <c r="Q76" i="8"/>
  <c r="R75" i="8"/>
  <c r="Q75" i="8"/>
  <c r="R71" i="8"/>
  <c r="Q71" i="8"/>
  <c r="R70" i="8"/>
  <c r="Q70" i="8"/>
  <c r="R69" i="8"/>
  <c r="Q69" i="8"/>
  <c r="R68" i="8"/>
  <c r="Q68" i="8"/>
  <c r="R67" i="8"/>
  <c r="Q67" i="8"/>
  <c r="R66" i="8"/>
  <c r="Q66" i="8"/>
  <c r="R65" i="8"/>
  <c r="Q65" i="8"/>
  <c r="R64" i="8"/>
  <c r="Q64" i="8"/>
  <c r="R63" i="8"/>
  <c r="Q63" i="8"/>
  <c r="R59" i="8"/>
  <c r="Q59" i="8"/>
  <c r="R58" i="8"/>
  <c r="Q58" i="8"/>
  <c r="R57" i="8"/>
  <c r="Q57" i="8"/>
  <c r="R56" i="8"/>
  <c r="Q56" i="8"/>
  <c r="R55" i="8"/>
  <c r="Q55" i="8"/>
  <c r="R54" i="8"/>
  <c r="Q54" i="8"/>
  <c r="R53" i="8"/>
  <c r="Q53" i="8"/>
  <c r="R52" i="8"/>
  <c r="Q52" i="8"/>
  <c r="R51" i="8"/>
  <c r="Q51" i="8"/>
  <c r="R47" i="8"/>
  <c r="Q47" i="8"/>
  <c r="R46" i="8"/>
  <c r="Q46" i="8"/>
  <c r="R45" i="8"/>
  <c r="Q45" i="8"/>
  <c r="R44" i="8"/>
  <c r="Q44" i="8"/>
  <c r="R43" i="8"/>
  <c r="Q43" i="8"/>
  <c r="R42" i="8"/>
  <c r="Q42" i="8"/>
  <c r="R41" i="8"/>
  <c r="Q41" i="8"/>
  <c r="R40" i="8"/>
  <c r="Q40" i="8"/>
  <c r="R39" i="8"/>
  <c r="Q39" i="8"/>
  <c r="P83" i="8"/>
  <c r="O83" i="8"/>
  <c r="P82" i="8"/>
  <c r="O82" i="8"/>
  <c r="P81" i="8"/>
  <c r="O81" i="8"/>
  <c r="P80" i="8"/>
  <c r="O80" i="8"/>
  <c r="P79" i="8"/>
  <c r="O79" i="8"/>
  <c r="P78" i="8"/>
  <c r="O78" i="8"/>
  <c r="P77" i="8"/>
  <c r="O77" i="8"/>
  <c r="P76" i="8"/>
  <c r="O76" i="8"/>
  <c r="P75" i="8"/>
  <c r="O75" i="8"/>
  <c r="P71" i="8"/>
  <c r="O71" i="8"/>
  <c r="P70" i="8"/>
  <c r="O70" i="8"/>
  <c r="P69" i="8"/>
  <c r="O69" i="8"/>
  <c r="P68" i="8"/>
  <c r="O68" i="8"/>
  <c r="P67" i="8"/>
  <c r="O67" i="8"/>
  <c r="P66" i="8"/>
  <c r="O66" i="8"/>
  <c r="P65" i="8"/>
  <c r="O65" i="8"/>
  <c r="P64" i="8"/>
  <c r="O64" i="8"/>
  <c r="P63" i="8"/>
  <c r="O63" i="8"/>
  <c r="P59" i="8"/>
  <c r="O59" i="8"/>
  <c r="P58" i="8"/>
  <c r="O58" i="8"/>
  <c r="P57" i="8"/>
  <c r="O57" i="8"/>
  <c r="P56" i="8"/>
  <c r="O56" i="8"/>
  <c r="P55" i="8"/>
  <c r="O55" i="8"/>
  <c r="P54" i="8"/>
  <c r="O54" i="8"/>
  <c r="P53" i="8"/>
  <c r="O53" i="8"/>
  <c r="P52" i="8"/>
  <c r="O52" i="8"/>
  <c r="P51" i="8"/>
  <c r="O51" i="8"/>
  <c r="P47" i="8"/>
  <c r="O47" i="8"/>
  <c r="P46" i="8"/>
  <c r="O46" i="8"/>
  <c r="P45" i="8"/>
  <c r="O45" i="8"/>
  <c r="P44" i="8"/>
  <c r="O44" i="8"/>
  <c r="P43" i="8"/>
  <c r="O43" i="8"/>
  <c r="P42" i="8"/>
  <c r="O42" i="8"/>
  <c r="P41" i="8"/>
  <c r="O41" i="8"/>
  <c r="P40" i="8"/>
  <c r="O40" i="8"/>
  <c r="P39" i="8"/>
  <c r="O39" i="8"/>
  <c r="M82" i="8"/>
  <c r="N83" i="8"/>
  <c r="N82" i="8"/>
  <c r="N81" i="8"/>
  <c r="N80" i="8"/>
  <c r="N79" i="8"/>
  <c r="N78" i="8"/>
  <c r="N77" i="8"/>
  <c r="N76" i="8"/>
  <c r="N75" i="8"/>
  <c r="N71" i="8"/>
  <c r="N70" i="8"/>
  <c r="N69" i="8"/>
  <c r="N68" i="8"/>
  <c r="N67" i="8"/>
  <c r="N66" i="8"/>
  <c r="N65" i="8"/>
  <c r="N64" i="8"/>
  <c r="N63" i="8"/>
  <c r="N59" i="8"/>
  <c r="N58" i="8"/>
  <c r="N57" i="8"/>
  <c r="N56" i="8"/>
  <c r="N55" i="8"/>
  <c r="N54" i="8"/>
  <c r="N53" i="8"/>
  <c r="N52" i="8"/>
  <c r="N51" i="8"/>
  <c r="N47" i="8"/>
  <c r="N46" i="8"/>
  <c r="N45" i="8"/>
  <c r="N44" i="8"/>
  <c r="N43" i="8"/>
  <c r="N42" i="8"/>
  <c r="N41" i="8"/>
  <c r="N40" i="8"/>
  <c r="M83" i="8"/>
  <c r="M81" i="8"/>
  <c r="M80" i="8"/>
  <c r="M79" i="8"/>
  <c r="M78" i="8"/>
  <c r="M77" i="8"/>
  <c r="M76" i="8"/>
  <c r="M75" i="8"/>
  <c r="M71" i="8"/>
  <c r="M70" i="8"/>
  <c r="M69" i="8"/>
  <c r="M68" i="8"/>
  <c r="M67" i="8"/>
  <c r="M66" i="8"/>
  <c r="M65" i="8"/>
  <c r="M64" i="8"/>
  <c r="M63" i="8"/>
  <c r="M59" i="8"/>
  <c r="M58" i="8"/>
  <c r="M57" i="8"/>
  <c r="M56" i="8"/>
  <c r="M55" i="8"/>
  <c r="M54" i="8"/>
  <c r="M53" i="8"/>
  <c r="M52" i="8"/>
  <c r="M51" i="8"/>
  <c r="M47" i="8"/>
  <c r="M46" i="8"/>
  <c r="M45" i="8"/>
  <c r="M44" i="8"/>
  <c r="M43" i="8"/>
  <c r="M42" i="8"/>
  <c r="M41" i="8"/>
  <c r="M40" i="8"/>
  <c r="M39" i="8"/>
  <c r="N39" i="8"/>
  <c r="C39" i="8" l="1" a="1"/>
  <c r="C39" i="8" s="1"/>
  <c r="H37" i="3"/>
  <c r="H44" i="3"/>
  <c r="H49" i="3"/>
  <c r="K8" i="27" s="1"/>
  <c r="Q8" i="27" s="1"/>
  <c r="I8" i="27"/>
  <c r="O8" i="27" s="1"/>
  <c r="P8" i="27" s="1"/>
  <c r="F16" i="27"/>
  <c r="O15" i="27"/>
  <c r="H38" i="3"/>
  <c r="K5" i="27" s="1"/>
  <c r="I5" i="27"/>
  <c r="Y38" i="3"/>
  <c r="J38" i="3"/>
  <c r="H29" i="3"/>
  <c r="S29" i="3" s="1"/>
  <c r="Q29" i="3"/>
  <c r="H39" i="3"/>
  <c r="H47" i="3"/>
  <c r="H43" i="3"/>
  <c r="H46" i="3"/>
  <c r="D15" i="18"/>
  <c r="I44" i="3"/>
  <c r="AB44" i="3" s="1"/>
  <c r="C50" i="3"/>
  <c r="S18" i="23" s="1"/>
  <c r="S20" i="23" s="1"/>
  <c r="D20" i="18"/>
  <c r="I49" i="3"/>
  <c r="AB49" i="3" s="1"/>
  <c r="I37" i="3"/>
  <c r="D8" i="18"/>
  <c r="D10" i="18"/>
  <c r="I39" i="3"/>
  <c r="AB39" i="3" s="1"/>
  <c r="H41" i="3"/>
  <c r="H42" i="3"/>
  <c r="D9" i="18"/>
  <c r="I38" i="3"/>
  <c r="AB38" i="3" s="1"/>
  <c r="D13" i="18"/>
  <c r="I42" i="3"/>
  <c r="D12" i="18"/>
  <c r="I41" i="3"/>
  <c r="AB41" i="3" s="1"/>
  <c r="D18" i="18"/>
  <c r="I47" i="3"/>
  <c r="AB47" i="3" s="1"/>
  <c r="D14" i="18"/>
  <c r="I43" i="3"/>
  <c r="AB43" i="3" s="1"/>
  <c r="Q120" i="18"/>
  <c r="AD45" i="3"/>
  <c r="D17" i="18"/>
  <c r="I46" i="3"/>
  <c r="D19" i="18"/>
  <c r="I48" i="3"/>
  <c r="AB48" i="3" s="1"/>
  <c r="H48" i="3"/>
  <c r="J37" i="3"/>
  <c r="E50" i="3"/>
  <c r="I10" i="18"/>
  <c r="R75" i="18" s="1"/>
  <c r="Y39" i="3"/>
  <c r="I13" i="18"/>
  <c r="M13" i="18" s="1"/>
  <c r="Y42" i="3"/>
  <c r="J14" i="18"/>
  <c r="R104" i="18" s="1"/>
  <c r="AA43" i="3"/>
  <c r="AC43" i="3" s="1"/>
  <c r="J17" i="18"/>
  <c r="R125" i="18" s="1"/>
  <c r="AA46" i="3"/>
  <c r="AC46" i="3" s="1"/>
  <c r="J9" i="18"/>
  <c r="R69" i="18" s="1"/>
  <c r="AA38" i="3"/>
  <c r="I20" i="18"/>
  <c r="R145" i="18" s="1"/>
  <c r="Y49" i="3"/>
  <c r="J20" i="18"/>
  <c r="R146" i="18" s="1"/>
  <c r="AA49" i="3"/>
  <c r="J10" i="18"/>
  <c r="R76" i="18" s="1"/>
  <c r="AA39" i="3"/>
  <c r="J12" i="18"/>
  <c r="R90" i="18" s="1"/>
  <c r="AA41" i="3"/>
  <c r="AC41" i="3" s="1"/>
  <c r="J13" i="18"/>
  <c r="R97" i="18" s="1"/>
  <c r="AA42" i="3"/>
  <c r="J18" i="18"/>
  <c r="R132" i="18" s="1"/>
  <c r="AA47" i="3"/>
  <c r="AC47" i="3" s="1"/>
  <c r="J19" i="18"/>
  <c r="R139" i="18" s="1"/>
  <c r="AA48" i="3"/>
  <c r="AC48" i="3" s="1"/>
  <c r="J15" i="18"/>
  <c r="R111" i="18" s="1"/>
  <c r="AA44" i="3"/>
  <c r="AC44" i="3" s="1"/>
  <c r="I8" i="18"/>
  <c r="R61" i="18" s="1"/>
  <c r="Y37" i="3"/>
  <c r="J8" i="18"/>
  <c r="R62" i="18" s="1"/>
  <c r="AA37" i="3"/>
  <c r="Q47" i="3"/>
  <c r="I18" i="18"/>
  <c r="Q43" i="3"/>
  <c r="I14" i="18"/>
  <c r="Q46" i="3"/>
  <c r="I17" i="18"/>
  <c r="Q48" i="3"/>
  <c r="I19" i="18"/>
  <c r="Q38" i="3"/>
  <c r="I9" i="18"/>
  <c r="Q44" i="3"/>
  <c r="I15" i="18"/>
  <c r="S119" i="18"/>
  <c r="T119" i="18"/>
  <c r="Q41" i="3"/>
  <c r="I12" i="18"/>
  <c r="O16" i="18"/>
  <c r="R120" i="18"/>
  <c r="Q39" i="3"/>
  <c r="L39" i="3"/>
  <c r="Q37" i="3"/>
  <c r="L37" i="3"/>
  <c r="Q42" i="3"/>
  <c r="J42" i="3"/>
  <c r="P42" i="3" s="1"/>
  <c r="J47" i="3"/>
  <c r="P47" i="3" s="1"/>
  <c r="C44" i="8" a="1"/>
  <c r="C44" i="8" s="1"/>
  <c r="J41" i="3"/>
  <c r="L41" i="3"/>
  <c r="L42" i="3"/>
  <c r="L44" i="3"/>
  <c r="J44" i="3"/>
  <c r="J39" i="3"/>
  <c r="L43" i="3"/>
  <c r="J43" i="3"/>
  <c r="L46" i="3"/>
  <c r="J46" i="3"/>
  <c r="J48" i="3"/>
  <c r="L48" i="3"/>
  <c r="J49" i="3"/>
  <c r="L49" i="3"/>
  <c r="D20" i="3"/>
  <c r="F30" i="3"/>
  <c r="Q30" i="3" s="1"/>
  <c r="D30" i="3"/>
  <c r="O30" i="3" s="1"/>
  <c r="H22" i="3"/>
  <c r="S22" i="3" s="1"/>
  <c r="F27" i="3"/>
  <c r="Q27" i="3" s="1"/>
  <c r="ET50" i="8"/>
  <c r="ET90" i="8" s="1"/>
  <c r="H21" i="3"/>
  <c r="S21" i="3" s="1"/>
  <c r="IY84" i="8"/>
  <c r="IZ84" i="8" s="1"/>
  <c r="IU72" i="8"/>
  <c r="IV72" i="8" s="1"/>
  <c r="HY73" i="8"/>
  <c r="HZ73" i="8" s="1"/>
  <c r="IM73" i="8"/>
  <c r="IN73" i="8" s="1"/>
  <c r="M73" i="8"/>
  <c r="N73" i="8" s="1"/>
  <c r="Y72" i="8"/>
  <c r="Z72" i="8" s="1"/>
  <c r="AC72" i="8"/>
  <c r="AD72" i="8" s="1"/>
  <c r="AO61" i="8"/>
  <c r="AP61" i="8" s="1"/>
  <c r="BA72" i="8"/>
  <c r="BB72" i="8" s="1"/>
  <c r="BI72" i="8"/>
  <c r="BJ72" i="8" s="1"/>
  <c r="BM61" i="8"/>
  <c r="BN61" i="8" s="1"/>
  <c r="Q62" i="8"/>
  <c r="R62" i="8" s="1"/>
  <c r="U62" i="8"/>
  <c r="V62" i="8" s="1"/>
  <c r="Y73" i="8"/>
  <c r="Z73" i="8" s="1"/>
  <c r="AC73" i="8"/>
  <c r="AD73" i="8" s="1"/>
  <c r="AG62" i="8"/>
  <c r="AH62" i="8" s="1"/>
  <c r="AK62" i="8"/>
  <c r="AL62" i="8" s="1"/>
  <c r="AS73" i="8"/>
  <c r="AT73" i="8" s="1"/>
  <c r="BI73" i="8"/>
  <c r="BJ73" i="8" s="1"/>
  <c r="BQ84" i="8"/>
  <c r="BR84" i="8" s="1"/>
  <c r="BU62" i="8"/>
  <c r="BV62" i="8" s="1"/>
  <c r="BY84" i="8"/>
  <c r="BZ84" i="8" s="1"/>
  <c r="CC84" i="8"/>
  <c r="CD84" i="8" s="1"/>
  <c r="CK73" i="8"/>
  <c r="CL73" i="8" s="1"/>
  <c r="CO62" i="8"/>
  <c r="CP62" i="8" s="1"/>
  <c r="CO84" i="8"/>
  <c r="CP84" i="8" s="1"/>
  <c r="DE86" i="8"/>
  <c r="DF86" i="8" s="1"/>
  <c r="DG60" i="8"/>
  <c r="DH60" i="8" s="1"/>
  <c r="DK49" i="8"/>
  <c r="DL49" i="8" s="1"/>
  <c r="DO62" i="8"/>
  <c r="DP62" i="8" s="1"/>
  <c r="DU49" i="8"/>
  <c r="DV49" i="8" s="1"/>
  <c r="DW86" i="8"/>
  <c r="DX86" i="8" s="1"/>
  <c r="DY60" i="8"/>
  <c r="DZ60" i="8" s="1"/>
  <c r="EA86" i="8"/>
  <c r="EB86" i="8" s="1"/>
  <c r="EC60" i="8"/>
  <c r="ED60" i="8" s="1"/>
  <c r="EG49" i="8"/>
  <c r="EH49" i="8" s="1"/>
  <c r="EI86" i="8"/>
  <c r="EJ86" i="8" s="1"/>
  <c r="EK60" i="8"/>
  <c r="EL60" i="8" s="1"/>
  <c r="EM86" i="8"/>
  <c r="EN86" i="8" s="1"/>
  <c r="Q72" i="8"/>
  <c r="R72" i="8" s="1"/>
  <c r="AC61" i="8"/>
  <c r="AD61" i="8" s="1"/>
  <c r="Q73" i="8"/>
  <c r="R73" i="8" s="1"/>
  <c r="AO73" i="8"/>
  <c r="AP73" i="8" s="1"/>
  <c r="AS62" i="8"/>
  <c r="AT62" i="8" s="1"/>
  <c r="BE73" i="8"/>
  <c r="BF73" i="8" s="1"/>
  <c r="BI62" i="8"/>
  <c r="BJ62" i="8" s="1"/>
  <c r="BM84" i="8"/>
  <c r="BN84" i="8" s="1"/>
  <c r="BQ62" i="8"/>
  <c r="BR62" i="8" s="1"/>
  <c r="BY73" i="8"/>
  <c r="BZ73" i="8" s="1"/>
  <c r="CG84" i="8"/>
  <c r="CH84" i="8" s="1"/>
  <c r="CK62" i="8"/>
  <c r="CL62" i="8" s="1"/>
  <c r="CK84" i="8"/>
  <c r="CL84" i="8" s="1"/>
  <c r="CO73" i="8"/>
  <c r="CP73" i="8" s="1"/>
  <c r="CQ60" i="8"/>
  <c r="CR60" i="8" s="1"/>
  <c r="DA62" i="8"/>
  <c r="DB62" i="8" s="1"/>
  <c r="DG49" i="8"/>
  <c r="DH49" i="8" s="1"/>
  <c r="DI86" i="8"/>
  <c r="DJ86" i="8" s="1"/>
  <c r="DK60" i="8"/>
  <c r="DL60" i="8" s="1"/>
  <c r="DM86" i="8"/>
  <c r="DN86" i="8" s="1"/>
  <c r="DO73" i="8"/>
  <c r="DP73" i="8" s="1"/>
  <c r="DO84" i="8"/>
  <c r="DP84" i="8" s="1"/>
  <c r="DS86" i="8"/>
  <c r="DT86" i="8" s="1"/>
  <c r="DU60" i="8"/>
  <c r="DY49" i="8"/>
  <c r="DZ49" i="8" s="1"/>
  <c r="EC49" i="8"/>
  <c r="ED49" i="8" s="1"/>
  <c r="EE86" i="8"/>
  <c r="EF86" i="8" s="1"/>
  <c r="EG60" i="8"/>
  <c r="EH60" i="8" s="1"/>
  <c r="EK49" i="8"/>
  <c r="EL49" i="8" s="1"/>
  <c r="AK61" i="8"/>
  <c r="AL61" i="8" s="1"/>
  <c r="BA62" i="8"/>
  <c r="BB62" i="8" s="1"/>
  <c r="GM86" i="8"/>
  <c r="GN86" i="8" s="1"/>
  <c r="GO74" i="8"/>
  <c r="GP74" i="8" s="1"/>
  <c r="GO85" i="8"/>
  <c r="GP85" i="8" s="1"/>
  <c r="GQ48" i="8"/>
  <c r="GR48" i="8" s="1"/>
  <c r="GQ86" i="8"/>
  <c r="GR86" i="8" s="1"/>
  <c r="GS74" i="8"/>
  <c r="GT74" i="8" s="1"/>
  <c r="GS85" i="8"/>
  <c r="GT85" i="8" s="1"/>
  <c r="GU48" i="8"/>
  <c r="GV48" i="8" s="1"/>
  <c r="HA74" i="8"/>
  <c r="HB74" i="8" s="1"/>
  <c r="HA85" i="8"/>
  <c r="HB85" i="8" s="1"/>
  <c r="HC48" i="8"/>
  <c r="HD48" i="8" s="1"/>
  <c r="HE74" i="8"/>
  <c r="HF74" i="8" s="1"/>
  <c r="HE85" i="8"/>
  <c r="HF85" i="8" s="1"/>
  <c r="HG48" i="8"/>
  <c r="HH48" i="8" s="1"/>
  <c r="HI74" i="8"/>
  <c r="HJ74" i="8" s="1"/>
  <c r="HI85" i="8"/>
  <c r="HJ85" i="8" s="1"/>
  <c r="HK48" i="8"/>
  <c r="HL48" i="8" s="1"/>
  <c r="HM74" i="8"/>
  <c r="HN74" i="8" s="1"/>
  <c r="HM85" i="8"/>
  <c r="HN85" i="8" s="1"/>
  <c r="HO48" i="8"/>
  <c r="HP48" i="8" s="1"/>
  <c r="HQ74" i="8"/>
  <c r="HR74" i="8" s="1"/>
  <c r="HQ85" i="8"/>
  <c r="HR85" i="8" s="1"/>
  <c r="HS48" i="8"/>
  <c r="HT48" i="8" s="1"/>
  <c r="HU74" i="8"/>
  <c r="HV74" i="8" s="1"/>
  <c r="HU85" i="8"/>
  <c r="HV85" i="8" s="1"/>
  <c r="HW48" i="8"/>
  <c r="HX48" i="8" s="1"/>
  <c r="HY74" i="8"/>
  <c r="HZ74" i="8" s="1"/>
  <c r="HY85" i="8"/>
  <c r="HZ85" i="8" s="1"/>
  <c r="IA48" i="8"/>
  <c r="IB48" i="8" s="1"/>
  <c r="IC60" i="8"/>
  <c r="ID60" i="8" s="1"/>
  <c r="IC74" i="8"/>
  <c r="ID74" i="8" s="1"/>
  <c r="IC85" i="8"/>
  <c r="ID85" i="8" s="1"/>
  <c r="IE48" i="8"/>
  <c r="IF48" i="8" s="1"/>
  <c r="IG74" i="8"/>
  <c r="IH74" i="8" s="1"/>
  <c r="IG85" i="8"/>
  <c r="IH85" i="8" s="1"/>
  <c r="II48" i="8"/>
  <c r="IJ48" i="8" s="1"/>
  <c r="IK74" i="8"/>
  <c r="IL74" i="8" s="1"/>
  <c r="IK85" i="8"/>
  <c r="IL85" i="8" s="1"/>
  <c r="IM48" i="8"/>
  <c r="IN48" i="8" s="1"/>
  <c r="IO74" i="8"/>
  <c r="IP74" i="8" s="1"/>
  <c r="IO85" i="8"/>
  <c r="IP85" i="8" s="1"/>
  <c r="IQ48" i="8"/>
  <c r="IR48" i="8" s="1"/>
  <c r="IS74" i="8"/>
  <c r="IT74" i="8" s="1"/>
  <c r="IS85" i="8"/>
  <c r="IT85" i="8" s="1"/>
  <c r="IU48" i="8"/>
  <c r="IV48" i="8" s="1"/>
  <c r="IW74" i="8"/>
  <c r="IX74" i="8" s="1"/>
  <c r="IW85" i="8"/>
  <c r="IX85" i="8" s="1"/>
  <c r="IY48" i="8"/>
  <c r="IZ48" i="8" s="1"/>
  <c r="G61" i="8"/>
  <c r="H61" i="8" s="1"/>
  <c r="G72" i="8"/>
  <c r="H72" i="8" s="1"/>
  <c r="AS72" i="8"/>
  <c r="AT72" i="8" s="1"/>
  <c r="BA61" i="8"/>
  <c r="BB61" i="8" s="1"/>
  <c r="BE61" i="8"/>
  <c r="BF61" i="8" s="1"/>
  <c r="BI61" i="8"/>
  <c r="BJ61" i="8" s="1"/>
  <c r="Q84" i="8"/>
  <c r="R84" i="8" s="1"/>
  <c r="AG84" i="8"/>
  <c r="AH84" i="8" s="1"/>
  <c r="AO84" i="8"/>
  <c r="AP84" i="8" s="1"/>
  <c r="AS84" i="8"/>
  <c r="AT84" i="8" s="1"/>
  <c r="BA73" i="8"/>
  <c r="BB73" i="8" s="1"/>
  <c r="BE84" i="8"/>
  <c r="BF84" i="8" s="1"/>
  <c r="BQ73" i="8"/>
  <c r="BR73" i="8" s="1"/>
  <c r="CC62" i="8"/>
  <c r="CD62" i="8" s="1"/>
  <c r="CG73" i="8"/>
  <c r="CH73" i="8" s="1"/>
  <c r="Q61" i="8"/>
  <c r="R61" i="8" s="1"/>
  <c r="U72" i="8"/>
  <c r="V72" i="8" s="1"/>
  <c r="AG72" i="8"/>
  <c r="AH72" i="8" s="1"/>
  <c r="AO72" i="8"/>
  <c r="AP72" i="8" s="1"/>
  <c r="BM72" i="8"/>
  <c r="BN72" i="8" s="1"/>
  <c r="BQ72" i="8"/>
  <c r="BR72" i="8" s="1"/>
  <c r="U73" i="8"/>
  <c r="V73" i="8" s="1"/>
  <c r="BA84" i="8"/>
  <c r="BB84" i="8" s="1"/>
  <c r="BE62" i="8"/>
  <c r="BF62" i="8" s="1"/>
  <c r="BI84" i="8"/>
  <c r="BJ84" i="8" s="1"/>
  <c r="BU84" i="8"/>
  <c r="BV84" i="8" s="1"/>
  <c r="CC73" i="8"/>
  <c r="CD73" i="8" s="1"/>
  <c r="CG62" i="8"/>
  <c r="CH62" i="8" s="1"/>
  <c r="DA73" i="8"/>
  <c r="DB73" i="8" s="1"/>
  <c r="HW60" i="8"/>
  <c r="HX60" i="8" s="1"/>
  <c r="Y61" i="8"/>
  <c r="Z61" i="8" s="1"/>
  <c r="AG61" i="8"/>
  <c r="AH61" i="8" s="1"/>
  <c r="AK72" i="8"/>
  <c r="AL72" i="8" s="1"/>
  <c r="AS61" i="8"/>
  <c r="AT61" i="8" s="1"/>
  <c r="BQ61" i="8"/>
  <c r="BR61" i="8" s="1"/>
  <c r="U84" i="8"/>
  <c r="V84" i="8" s="1"/>
  <c r="Y62" i="8"/>
  <c r="Z62" i="8" s="1"/>
  <c r="AC62" i="8"/>
  <c r="AD62" i="8" s="1"/>
  <c r="AK84" i="8"/>
  <c r="AL84" i="8" s="1"/>
  <c r="AO62" i="8"/>
  <c r="AP62" i="8" s="1"/>
  <c r="BM73" i="8"/>
  <c r="BN73" i="8" s="1"/>
  <c r="BU73" i="8"/>
  <c r="BV73" i="8" s="1"/>
  <c r="BY62" i="8"/>
  <c r="BZ62" i="8" s="1"/>
  <c r="DA84" i="8"/>
  <c r="DB84" i="8" s="1"/>
  <c r="U61" i="8"/>
  <c r="V61" i="8" s="1"/>
  <c r="BE72" i="8"/>
  <c r="BF72" i="8" s="1"/>
  <c r="Y84" i="8"/>
  <c r="Z84" i="8" s="1"/>
  <c r="AC84" i="8"/>
  <c r="AD84" i="8" s="1"/>
  <c r="AG73" i="8"/>
  <c r="AH73" i="8" s="1"/>
  <c r="AK73" i="8"/>
  <c r="AL73" i="8" s="1"/>
  <c r="BM62" i="8"/>
  <c r="BN62" i="8" s="1"/>
  <c r="BK61" i="8"/>
  <c r="BL61" i="8" s="1"/>
  <c r="BK72" i="8"/>
  <c r="BL72" i="8" s="1"/>
  <c r="BO61" i="8"/>
  <c r="BP61" i="8" s="1"/>
  <c r="BO72" i="8"/>
  <c r="BP72" i="8" s="1"/>
  <c r="BS61" i="8"/>
  <c r="BT61" i="8" s="1"/>
  <c r="BS72" i="8"/>
  <c r="BT72" i="8" s="1"/>
  <c r="BW61" i="8"/>
  <c r="BX61" i="8" s="1"/>
  <c r="BW72" i="8"/>
  <c r="BX72" i="8" s="1"/>
  <c r="CA61" i="8"/>
  <c r="CB61" i="8" s="1"/>
  <c r="CA72" i="8"/>
  <c r="CB72" i="8" s="1"/>
  <c r="CE61" i="8"/>
  <c r="CF61" i="8" s="1"/>
  <c r="CE72" i="8"/>
  <c r="CF72" i="8" s="1"/>
  <c r="CI61" i="8"/>
  <c r="CJ61" i="8" s="1"/>
  <c r="CI72" i="8"/>
  <c r="CJ72" i="8" s="1"/>
  <c r="CM61" i="8"/>
  <c r="CN61" i="8" s="1"/>
  <c r="CM72" i="8"/>
  <c r="CN72" i="8" s="1"/>
  <c r="CQ74" i="8"/>
  <c r="CR74" i="8" s="1"/>
  <c r="CQ85" i="8"/>
  <c r="CR85" i="8" s="1"/>
  <c r="CY61" i="8"/>
  <c r="CZ61" i="8" s="1"/>
  <c r="CY72" i="8"/>
  <c r="CZ72" i="8" s="1"/>
  <c r="DC61" i="8"/>
  <c r="DD61" i="8" s="1"/>
  <c r="DC72" i="8"/>
  <c r="DD72" i="8" s="1"/>
  <c r="DG74" i="8"/>
  <c r="DH74" i="8" s="1"/>
  <c r="DG85" i="8"/>
  <c r="DH85" i="8" s="1"/>
  <c r="DI48" i="8"/>
  <c r="DJ48" i="8" s="1"/>
  <c r="GM61" i="8"/>
  <c r="GN61" i="8" s="1"/>
  <c r="IE61" i="8"/>
  <c r="IF61" i="8" s="1"/>
  <c r="IY61" i="8"/>
  <c r="IZ61" i="8" s="1"/>
  <c r="G85" i="8"/>
  <c r="H85" i="8" s="1"/>
  <c r="K74" i="8"/>
  <c r="L74" i="8" s="1"/>
  <c r="K85" i="8"/>
  <c r="L85" i="8" s="1"/>
  <c r="IG50" i="8"/>
  <c r="IH50" i="8" s="1"/>
  <c r="GY61" i="8"/>
  <c r="GZ61" i="8" s="1"/>
  <c r="AW48" i="8"/>
  <c r="AX48" i="8" s="1"/>
  <c r="EG86" i="8"/>
  <c r="EH86" i="8" s="1"/>
  <c r="EI49" i="8"/>
  <c r="EJ49" i="8" s="1"/>
  <c r="EI60" i="8"/>
  <c r="EJ60" i="8" s="1"/>
  <c r="EK86" i="8"/>
  <c r="EL86" i="8" s="1"/>
  <c r="EM60" i="8"/>
  <c r="EN60" i="8" s="1"/>
  <c r="EQ86" i="8"/>
  <c r="ER86" i="8" s="1"/>
  <c r="EU49" i="8"/>
  <c r="EV49" i="8" s="1"/>
  <c r="FA62" i="8"/>
  <c r="FB62" i="8" s="1"/>
  <c r="FA84" i="8"/>
  <c r="FB84" i="8" s="1"/>
  <c r="FC60" i="8"/>
  <c r="FD60" i="8" s="1"/>
  <c r="FG73" i="8"/>
  <c r="FH73" i="8" s="1"/>
  <c r="FK62" i="8"/>
  <c r="FL62" i="8" s="1"/>
  <c r="FK73" i="8"/>
  <c r="FL73" i="8" s="1"/>
  <c r="FO62" i="8"/>
  <c r="FP62" i="8" s="1"/>
  <c r="FO84" i="8"/>
  <c r="FP84" i="8" s="1"/>
  <c r="FS73" i="8"/>
  <c r="FT73" i="8" s="1"/>
  <c r="FW73" i="8"/>
  <c r="FX73" i="8" s="1"/>
  <c r="GA73" i="8"/>
  <c r="GB73" i="8" s="1"/>
  <c r="GE73" i="8"/>
  <c r="GF73" i="8" s="1"/>
  <c r="GI62" i="8"/>
  <c r="GJ62" i="8" s="1"/>
  <c r="GI84" i="8"/>
  <c r="GJ84" i="8" s="1"/>
  <c r="GM62" i="8"/>
  <c r="GN62" i="8" s="1"/>
  <c r="GM84" i="8"/>
  <c r="GN84" i="8" s="1"/>
  <c r="AQ62" i="8"/>
  <c r="AR62" i="8" s="1"/>
  <c r="EM49" i="8"/>
  <c r="EU60" i="8"/>
  <c r="EV60" i="8" s="1"/>
  <c r="EY86" i="8"/>
  <c r="EZ86" i="8" s="1"/>
  <c r="FA73" i="8"/>
  <c r="FB73" i="8" s="1"/>
  <c r="FG62" i="8"/>
  <c r="FH62" i="8" s="1"/>
  <c r="FG84" i="8"/>
  <c r="FH84" i="8" s="1"/>
  <c r="FK84" i="8"/>
  <c r="FL84" i="8" s="1"/>
  <c r="FO73" i="8"/>
  <c r="FP73" i="8" s="1"/>
  <c r="FS62" i="8"/>
  <c r="FT62" i="8" s="1"/>
  <c r="FS84" i="8"/>
  <c r="FT84" i="8" s="1"/>
  <c r="FW62" i="8"/>
  <c r="FX62" i="8" s="1"/>
  <c r="FW84" i="8"/>
  <c r="FX84" i="8" s="1"/>
  <c r="GA62" i="8"/>
  <c r="GB62" i="8" s="1"/>
  <c r="GA84" i="8"/>
  <c r="GB84" i="8" s="1"/>
  <c r="GE62" i="8"/>
  <c r="GE84" i="8"/>
  <c r="GF84" i="8" s="1"/>
  <c r="GI73" i="8"/>
  <c r="GJ73" i="8" s="1"/>
  <c r="GM73" i="8"/>
  <c r="IU62" i="8"/>
  <c r="IV62" i="8" s="1"/>
  <c r="K86" i="8"/>
  <c r="L86" i="8" s="1"/>
  <c r="II50" i="8"/>
  <c r="IJ50" i="8" s="1"/>
  <c r="II86" i="8"/>
  <c r="IJ86" i="8" s="1"/>
  <c r="IM86" i="8"/>
  <c r="IN86" i="8" s="1"/>
  <c r="IO60" i="8"/>
  <c r="IP60" i="8" s="1"/>
  <c r="M72" i="8"/>
  <c r="N72" i="8" s="1"/>
  <c r="AW61" i="8"/>
  <c r="AX61" i="8" s="1"/>
  <c r="AW72" i="8"/>
  <c r="AX72" i="8" s="1"/>
  <c r="BU61" i="8"/>
  <c r="BV61" i="8" s="1"/>
  <c r="BU72" i="8"/>
  <c r="BV72" i="8" s="1"/>
  <c r="BY61" i="8"/>
  <c r="BZ61" i="8" s="1"/>
  <c r="BY72" i="8"/>
  <c r="BZ72" i="8" s="1"/>
  <c r="CC61" i="8"/>
  <c r="CD61" i="8" s="1"/>
  <c r="CC72" i="8"/>
  <c r="CD72" i="8" s="1"/>
  <c r="CG61" i="8"/>
  <c r="CG72" i="8"/>
  <c r="CK61" i="8"/>
  <c r="CL61" i="8" s="1"/>
  <c r="CK72" i="8"/>
  <c r="CL72" i="8" s="1"/>
  <c r="CO61" i="8"/>
  <c r="CP61" i="8" s="1"/>
  <c r="CO72" i="8"/>
  <c r="CP72" i="8" s="1"/>
  <c r="DA61" i="8"/>
  <c r="DB61" i="8" s="1"/>
  <c r="DA72" i="8"/>
  <c r="DB72" i="8" s="1"/>
  <c r="DE74" i="8"/>
  <c r="DF74" i="8" s="1"/>
  <c r="DE85" i="8"/>
  <c r="DF85" i="8" s="1"/>
  <c r="DG48" i="8"/>
  <c r="DH48" i="8" s="1"/>
  <c r="DI74" i="8"/>
  <c r="DJ74" i="8" s="1"/>
  <c r="DI85" i="8"/>
  <c r="DJ85" i="8" s="1"/>
  <c r="DK48" i="8"/>
  <c r="DM74" i="8"/>
  <c r="DM85" i="8"/>
  <c r="DN85" i="8" s="1"/>
  <c r="DO48" i="8"/>
  <c r="DP48" i="8" s="1"/>
  <c r="DO61" i="8"/>
  <c r="DP61" i="8" s="1"/>
  <c r="DO72" i="8"/>
  <c r="DP72" i="8" s="1"/>
  <c r="DS74" i="8"/>
  <c r="DT74" i="8" s="1"/>
  <c r="DS85" i="8"/>
  <c r="DT85" i="8" s="1"/>
  <c r="DU48" i="8"/>
  <c r="DV48" i="8" s="1"/>
  <c r="DW74" i="8"/>
  <c r="DX74" i="8" s="1"/>
  <c r="DW85" i="8"/>
  <c r="DX85" i="8" s="1"/>
  <c r="DY48" i="8"/>
  <c r="DZ48" i="8" s="1"/>
  <c r="EA74" i="8"/>
  <c r="EB74" i="8" s="1"/>
  <c r="EA85" i="8"/>
  <c r="EB85" i="8" s="1"/>
  <c r="EC48" i="8"/>
  <c r="ED48" i="8" s="1"/>
  <c r="EE74" i="8"/>
  <c r="EF74" i="8" s="1"/>
  <c r="EE85" i="8"/>
  <c r="EF85" i="8" s="1"/>
  <c r="EG48" i="8"/>
  <c r="EH48" i="8" s="1"/>
  <c r="EI74" i="8"/>
  <c r="EJ74" i="8" s="1"/>
  <c r="EI85" i="8"/>
  <c r="EK48" i="8"/>
  <c r="EL48" i="8" s="1"/>
  <c r="EM74" i="8"/>
  <c r="EN74" i="8" s="1"/>
  <c r="EM85" i="8"/>
  <c r="EN85" i="8" s="1"/>
  <c r="EO61" i="8"/>
  <c r="EP61" i="8" s="1"/>
  <c r="EO72" i="8"/>
  <c r="EP72" i="8" s="1"/>
  <c r="EU74" i="8"/>
  <c r="EV74" i="8" s="1"/>
  <c r="EU85" i="8"/>
  <c r="EV85" i="8" s="1"/>
  <c r="EY48" i="8"/>
  <c r="EZ48" i="8" s="1"/>
  <c r="FC74" i="8"/>
  <c r="FD74" i="8" s="1"/>
  <c r="FC85" i="8"/>
  <c r="FD85" i="8" s="1"/>
  <c r="FE61" i="8"/>
  <c r="FF61" i="8" s="1"/>
  <c r="FE72" i="8"/>
  <c r="FF72" i="8" s="1"/>
  <c r="FI61" i="8"/>
  <c r="FJ61" i="8" s="1"/>
  <c r="FI72" i="8"/>
  <c r="FJ72" i="8" s="1"/>
  <c r="FM61" i="8"/>
  <c r="FM72" i="8"/>
  <c r="FN72" i="8" s="1"/>
  <c r="FQ61" i="8"/>
  <c r="FQ72" i="8"/>
  <c r="FR72" i="8" s="1"/>
  <c r="FU61" i="8"/>
  <c r="FV61" i="8" s="1"/>
  <c r="FU72" i="8"/>
  <c r="FV72" i="8" s="1"/>
  <c r="FY61" i="8"/>
  <c r="FZ61" i="8" s="1"/>
  <c r="FY72" i="8"/>
  <c r="FZ72" i="8" s="1"/>
  <c r="GC61" i="8"/>
  <c r="GD61" i="8" s="1"/>
  <c r="GC72" i="8"/>
  <c r="GD72" i="8" s="1"/>
  <c r="GG61" i="8"/>
  <c r="GH61" i="8" s="1"/>
  <c r="GG72" i="8"/>
  <c r="GH72" i="8" s="1"/>
  <c r="GK61" i="8"/>
  <c r="GL61" i="8" s="1"/>
  <c r="GK72" i="8"/>
  <c r="GL72" i="8" s="1"/>
  <c r="GO61" i="8"/>
  <c r="GO72" i="8"/>
  <c r="GS61" i="8"/>
  <c r="GT61" i="8" s="1"/>
  <c r="GS72" i="8"/>
  <c r="HA61" i="8"/>
  <c r="HM61" i="8"/>
  <c r="HN61" i="8" s="1"/>
  <c r="HM72" i="8"/>
  <c r="HN72" i="8" s="1"/>
  <c r="HQ61" i="8"/>
  <c r="HR61" i="8" s="1"/>
  <c r="HU61" i="8"/>
  <c r="HV61" i="8" s="1"/>
  <c r="IO72" i="8"/>
  <c r="IP72" i="8" s="1"/>
  <c r="IS61" i="8"/>
  <c r="IT61" i="8" s="1"/>
  <c r="IW61" i="8"/>
  <c r="IX61" i="8" s="1"/>
  <c r="IW72" i="8"/>
  <c r="IX72" i="8" s="1"/>
  <c r="EO62" i="8"/>
  <c r="EP62" i="8" s="1"/>
  <c r="EO73" i="8"/>
  <c r="EP73" i="8" s="1"/>
  <c r="EO84" i="8"/>
  <c r="EP84" i="8" s="1"/>
  <c r="EQ60" i="8"/>
  <c r="EU86" i="8"/>
  <c r="EV86" i="8" s="1"/>
  <c r="EY49" i="8"/>
  <c r="EZ49" i="8" s="1"/>
  <c r="EY60" i="8"/>
  <c r="FC86" i="8"/>
  <c r="FD86" i="8" s="1"/>
  <c r="FE62" i="8"/>
  <c r="FF62" i="8" s="1"/>
  <c r="FE73" i="8"/>
  <c r="FF73" i="8" s="1"/>
  <c r="FE84" i="8"/>
  <c r="FF84" i="8" s="1"/>
  <c r="FI62" i="8"/>
  <c r="FJ62" i="8" s="1"/>
  <c r="FI73" i="8"/>
  <c r="FJ73" i="8" s="1"/>
  <c r="FI84" i="8"/>
  <c r="FJ84" i="8" s="1"/>
  <c r="FM62" i="8"/>
  <c r="FN62" i="8" s="1"/>
  <c r="FM73" i="8"/>
  <c r="FN73" i="8" s="1"/>
  <c r="FM84" i="8"/>
  <c r="FN84" i="8" s="1"/>
  <c r="FQ62" i="8"/>
  <c r="FR62" i="8" s="1"/>
  <c r="FQ73" i="8"/>
  <c r="FR73" i="8" s="1"/>
  <c r="FQ84" i="8"/>
  <c r="FU62" i="8"/>
  <c r="FV62" i="8" s="1"/>
  <c r="FU73" i="8"/>
  <c r="FV73" i="8" s="1"/>
  <c r="FU84" i="8"/>
  <c r="FV84" i="8" s="1"/>
  <c r="FY62" i="8"/>
  <c r="FZ62" i="8" s="1"/>
  <c r="FY73" i="8"/>
  <c r="FZ73" i="8" s="1"/>
  <c r="FY84" i="8"/>
  <c r="FZ84" i="8" s="1"/>
  <c r="GC62" i="8"/>
  <c r="GD62" i="8" s="1"/>
  <c r="GC73" i="8"/>
  <c r="GD73" i="8" s="1"/>
  <c r="GC84" i="8"/>
  <c r="GD84" i="8" s="1"/>
  <c r="GG62" i="8"/>
  <c r="GH62" i="8" s="1"/>
  <c r="GG73" i="8"/>
  <c r="GH73" i="8" s="1"/>
  <c r="GG84" i="8"/>
  <c r="GH84" i="8" s="1"/>
  <c r="GK62" i="8"/>
  <c r="GL62" i="8" s="1"/>
  <c r="GK73" i="8"/>
  <c r="GL73" i="8" s="1"/>
  <c r="GK84" i="8"/>
  <c r="GL84" i="8" s="1"/>
  <c r="GO62" i="8"/>
  <c r="GP62" i="8" s="1"/>
  <c r="GO73" i="8"/>
  <c r="GP73" i="8" s="1"/>
  <c r="GO84" i="8"/>
  <c r="GP84" i="8" s="1"/>
  <c r="GS62" i="8"/>
  <c r="GT62" i="8" s="1"/>
  <c r="GS73" i="8"/>
  <c r="GT73" i="8" s="1"/>
  <c r="GS84" i="8"/>
  <c r="GT84" i="8" s="1"/>
  <c r="GW62" i="8"/>
  <c r="GX62" i="8" s="1"/>
  <c r="GW73" i="8"/>
  <c r="GX73" i="8" s="1"/>
  <c r="GW84" i="8"/>
  <c r="GX84" i="8" s="1"/>
  <c r="HA62" i="8"/>
  <c r="HB62" i="8" s="1"/>
  <c r="HA73" i="8"/>
  <c r="HB73" i="8" s="1"/>
  <c r="HA84" i="8"/>
  <c r="HB84" i="8" s="1"/>
  <c r="HE62" i="8"/>
  <c r="HF62" i="8" s="1"/>
  <c r="HE73" i="8"/>
  <c r="HF73" i="8" s="1"/>
  <c r="HE84" i="8"/>
  <c r="HF84" i="8" s="1"/>
  <c r="HI62" i="8"/>
  <c r="HJ62" i="8" s="1"/>
  <c r="HI73" i="8"/>
  <c r="HJ73" i="8" s="1"/>
  <c r="HI84" i="8"/>
  <c r="HJ84" i="8" s="1"/>
  <c r="HM62" i="8"/>
  <c r="HN62" i="8" s="1"/>
  <c r="HM73" i="8"/>
  <c r="HN73" i="8" s="1"/>
  <c r="HM84" i="8"/>
  <c r="HQ62" i="8"/>
  <c r="HR62" i="8" s="1"/>
  <c r="HQ73" i="8"/>
  <c r="HR73" i="8" s="1"/>
  <c r="HQ84" i="8"/>
  <c r="HR84" i="8" s="1"/>
  <c r="HU62" i="8"/>
  <c r="HV62" i="8" s="1"/>
  <c r="HU73" i="8"/>
  <c r="HV73" i="8" s="1"/>
  <c r="HU84" i="8"/>
  <c r="HV84" i="8" s="1"/>
  <c r="HY62" i="8"/>
  <c r="HZ62" i="8" s="1"/>
  <c r="HY84" i="8"/>
  <c r="HZ84" i="8" s="1"/>
  <c r="IC62" i="8"/>
  <c r="ID62" i="8" s="1"/>
  <c r="IC73" i="8"/>
  <c r="ID73" i="8" s="1"/>
  <c r="IC84" i="8"/>
  <c r="ID84" i="8" s="1"/>
  <c r="IG62" i="8"/>
  <c r="IH62" i="8" s="1"/>
  <c r="IG73" i="8"/>
  <c r="IH73" i="8" s="1"/>
  <c r="IG84" i="8"/>
  <c r="IH84" i="8" s="1"/>
  <c r="IK62" i="8"/>
  <c r="IL62" i="8" s="1"/>
  <c r="IK73" i="8"/>
  <c r="IL73" i="8" s="1"/>
  <c r="IK84" i="8"/>
  <c r="IL84" i="8" s="1"/>
  <c r="IO62" i="8"/>
  <c r="IP62" i="8" s="1"/>
  <c r="IO73" i="8"/>
  <c r="IP73" i="8" s="1"/>
  <c r="IO84" i="8"/>
  <c r="IP84" i="8" s="1"/>
  <c r="IS62" i="8"/>
  <c r="IT62" i="8" s="1"/>
  <c r="IS73" i="8"/>
  <c r="IT73" i="8" s="1"/>
  <c r="IS84" i="8"/>
  <c r="IT84" i="8" s="1"/>
  <c r="IW62" i="8"/>
  <c r="IX62" i="8" s="1"/>
  <c r="IW73" i="8"/>
  <c r="IW84" i="8"/>
  <c r="IX84" i="8" s="1"/>
  <c r="G49" i="8"/>
  <c r="H49" i="8" s="1"/>
  <c r="G60" i="8"/>
  <c r="H60" i="8" s="1"/>
  <c r="DE48" i="8"/>
  <c r="DF48" i="8" s="1"/>
  <c r="DS48" i="8"/>
  <c r="FC48" i="8"/>
  <c r="FD48" i="8" s="1"/>
  <c r="HW74" i="8"/>
  <c r="HX74" i="8" s="1"/>
  <c r="HW85" i="8"/>
  <c r="HX85" i="8" s="1"/>
  <c r="HY48" i="8"/>
  <c r="HZ48" i="8" s="1"/>
  <c r="IA74" i="8"/>
  <c r="IB74" i="8" s="1"/>
  <c r="IA85" i="8"/>
  <c r="IB85" i="8" s="1"/>
  <c r="IC48" i="8"/>
  <c r="ID48" i="8" s="1"/>
  <c r="IE74" i="8"/>
  <c r="IF74" i="8" s="1"/>
  <c r="IE85" i="8"/>
  <c r="IF85" i="8" s="1"/>
  <c r="IG48" i="8"/>
  <c r="IH48" i="8" s="1"/>
  <c r="II74" i="8"/>
  <c r="IJ74" i="8" s="1"/>
  <c r="II85" i="8"/>
  <c r="IJ85" i="8" s="1"/>
  <c r="IK48" i="8"/>
  <c r="IM74" i="8"/>
  <c r="IN74" i="8" s="1"/>
  <c r="IM85" i="8"/>
  <c r="IN85" i="8" s="1"/>
  <c r="IO48" i="8"/>
  <c r="IQ74" i="8"/>
  <c r="IR74" i="8" s="1"/>
  <c r="IQ85" i="8"/>
  <c r="IR85" i="8" s="1"/>
  <c r="IS48" i="8"/>
  <c r="IT48" i="8" s="1"/>
  <c r="IS72" i="8"/>
  <c r="IT72" i="8" s="1"/>
  <c r="IU74" i="8"/>
  <c r="IV74" i="8" s="1"/>
  <c r="IU85" i="8"/>
  <c r="IV85" i="8" s="1"/>
  <c r="IW48" i="8"/>
  <c r="IX48" i="8" s="1"/>
  <c r="IY49" i="8"/>
  <c r="IZ49" i="8" s="1"/>
  <c r="IY74" i="8"/>
  <c r="IZ74" i="8" s="1"/>
  <c r="IY85" i="8"/>
  <c r="IZ85" i="8" s="1"/>
  <c r="E49" i="8"/>
  <c r="F49" i="8" s="1"/>
  <c r="E60" i="8"/>
  <c r="F60" i="8" s="1"/>
  <c r="I61" i="8"/>
  <c r="J61" i="8" s="1"/>
  <c r="I72" i="8"/>
  <c r="J72" i="8" s="1"/>
  <c r="M48" i="8"/>
  <c r="AW49" i="8"/>
  <c r="AW60" i="8"/>
  <c r="Q50" i="8"/>
  <c r="R50" i="8" s="1"/>
  <c r="U50" i="8"/>
  <c r="V50" i="8" s="1"/>
  <c r="Y50" i="8"/>
  <c r="Z50" i="8" s="1"/>
  <c r="AC50" i="8"/>
  <c r="AD50" i="8" s="1"/>
  <c r="AG50" i="8"/>
  <c r="AH50" i="8" s="1"/>
  <c r="AK50" i="8"/>
  <c r="AL50" i="8" s="1"/>
  <c r="AO50" i="8"/>
  <c r="AP50" i="8" s="1"/>
  <c r="AS50" i="8"/>
  <c r="BA50" i="8"/>
  <c r="BB50" i="8" s="1"/>
  <c r="BE50" i="8"/>
  <c r="BF50" i="8" s="1"/>
  <c r="BI50" i="8"/>
  <c r="BM50" i="8"/>
  <c r="BN50" i="8" s="1"/>
  <c r="BQ50" i="8"/>
  <c r="BR50" i="8" s="1"/>
  <c r="BU50" i="8"/>
  <c r="BV50" i="8" s="1"/>
  <c r="BY50" i="8"/>
  <c r="BZ50" i="8" s="1"/>
  <c r="CC50" i="8"/>
  <c r="CD50" i="8" s="1"/>
  <c r="CG50" i="8"/>
  <c r="CH50" i="8" s="1"/>
  <c r="CK50" i="8"/>
  <c r="CL50" i="8" s="1"/>
  <c r="CO50" i="8"/>
  <c r="CP50" i="8" s="1"/>
  <c r="DA50" i="8"/>
  <c r="DB50" i="8" s="1"/>
  <c r="FM50" i="8"/>
  <c r="FQ50" i="8"/>
  <c r="FR50" i="8" s="1"/>
  <c r="FU50" i="8"/>
  <c r="FV50" i="8" s="1"/>
  <c r="FY50" i="8"/>
  <c r="FZ50" i="8" s="1"/>
  <c r="GC50" i="8"/>
  <c r="GG50" i="8"/>
  <c r="GK50" i="8"/>
  <c r="GL50" i="8" s="1"/>
  <c r="GO50" i="8"/>
  <c r="GS50" i="8"/>
  <c r="GT50" i="8" s="1"/>
  <c r="GW50" i="8"/>
  <c r="GX50" i="8" s="1"/>
  <c r="HA50" i="8"/>
  <c r="HM50" i="8"/>
  <c r="HN50" i="8" s="1"/>
  <c r="BK50" i="8"/>
  <c r="BL50" i="8" s="1"/>
  <c r="BO50" i="8"/>
  <c r="BP50" i="8" s="1"/>
  <c r="BS50" i="8"/>
  <c r="BT50" i="8" s="1"/>
  <c r="BW50" i="8"/>
  <c r="BX50" i="8" s="1"/>
  <c r="CA50" i="8"/>
  <c r="CB50" i="8" s="1"/>
  <c r="CE50" i="8"/>
  <c r="CF50" i="8" s="1"/>
  <c r="CI50" i="8"/>
  <c r="CM50" i="8"/>
  <c r="DC50" i="8"/>
  <c r="IE50" i="8"/>
  <c r="IF50" i="8" s="1"/>
  <c r="IU50" i="8"/>
  <c r="I50" i="8"/>
  <c r="J50" i="8" s="1"/>
  <c r="M50" i="8"/>
  <c r="AW50" i="8"/>
  <c r="AX50" i="8" s="1"/>
  <c r="M74" i="8"/>
  <c r="N74" i="8" s="1"/>
  <c r="AW62" i="8"/>
  <c r="AX62" i="8" s="1"/>
  <c r="AW73" i="8"/>
  <c r="AX73" i="8" s="1"/>
  <c r="AW84" i="8"/>
  <c r="AX84" i="8" s="1"/>
  <c r="AW74" i="8"/>
  <c r="AX74" i="8" s="1"/>
  <c r="AW85" i="8"/>
  <c r="AX85" i="8" s="1"/>
  <c r="O48" i="8"/>
  <c r="P48" i="8" s="1"/>
  <c r="Q74" i="8"/>
  <c r="R74" i="8" s="1"/>
  <c r="AC85" i="8"/>
  <c r="AD85" i="8" s="1"/>
  <c r="AG74" i="8"/>
  <c r="AH74" i="8" s="1"/>
  <c r="AI48" i="8"/>
  <c r="AJ48" i="8" s="1"/>
  <c r="AK74" i="8"/>
  <c r="AL74" i="8" s="1"/>
  <c r="AK85" i="8"/>
  <c r="AL85" i="8" s="1"/>
  <c r="AM48" i="8"/>
  <c r="AN48" i="8" s="1"/>
  <c r="AO74" i="8"/>
  <c r="AP74" i="8" s="1"/>
  <c r="AO85" i="8"/>
  <c r="AP85" i="8" s="1"/>
  <c r="AQ48" i="8"/>
  <c r="AR48" i="8" s="1"/>
  <c r="AS74" i="8"/>
  <c r="AT74" i="8" s="1"/>
  <c r="AS85" i="8"/>
  <c r="AT85" i="8" s="1"/>
  <c r="AU48" i="8"/>
  <c r="AY48" i="8"/>
  <c r="BA74" i="8"/>
  <c r="BA85" i="8"/>
  <c r="BB85" i="8" s="1"/>
  <c r="BC48" i="8"/>
  <c r="BD48" i="8" s="1"/>
  <c r="BE74" i="8"/>
  <c r="BF74" i="8" s="1"/>
  <c r="BE85" i="8"/>
  <c r="BF85" i="8" s="1"/>
  <c r="BG48" i="8"/>
  <c r="BI74" i="8"/>
  <c r="BJ74" i="8" s="1"/>
  <c r="BI85" i="8"/>
  <c r="BJ85" i="8" s="1"/>
  <c r="BK48" i="8"/>
  <c r="BL48" i="8" s="1"/>
  <c r="BM74" i="8"/>
  <c r="BN74" i="8" s="1"/>
  <c r="BM85" i="8"/>
  <c r="BN85" i="8" s="1"/>
  <c r="BO48" i="8"/>
  <c r="BP48" i="8" s="1"/>
  <c r="BQ74" i="8"/>
  <c r="BR74" i="8" s="1"/>
  <c r="BQ85" i="8"/>
  <c r="BR85" i="8" s="1"/>
  <c r="BS48" i="8"/>
  <c r="BT48" i="8" s="1"/>
  <c r="BU74" i="8"/>
  <c r="BV74" i="8" s="1"/>
  <c r="BU85" i="8"/>
  <c r="DM73" i="8"/>
  <c r="DN73" i="8" s="1"/>
  <c r="EM73" i="8"/>
  <c r="EN73" i="8" s="1"/>
  <c r="S48" i="8"/>
  <c r="U85" i="8"/>
  <c r="V85" i="8" s="1"/>
  <c r="AC74" i="8"/>
  <c r="AD74" i="8" s="1"/>
  <c r="Q85" i="8"/>
  <c r="R85" i="8" s="1"/>
  <c r="W48" i="8"/>
  <c r="X48" i="8" s="1"/>
  <c r="Y74" i="8"/>
  <c r="Z74" i="8" s="1"/>
  <c r="AW86" i="8"/>
  <c r="AX86" i="8" s="1"/>
  <c r="M60" i="8"/>
  <c r="N60" i="8" s="1"/>
  <c r="O49" i="8"/>
  <c r="P49" i="8" s="1"/>
  <c r="S49" i="8"/>
  <c r="T49" i="8" s="1"/>
  <c r="U86" i="8"/>
  <c r="V86" i="8" s="1"/>
  <c r="W60" i="8"/>
  <c r="X60" i="8" s="1"/>
  <c r="Y86" i="8"/>
  <c r="Z86" i="8" s="1"/>
  <c r="AA60" i="8"/>
  <c r="AB60" i="8" s="1"/>
  <c r="AE49" i="8"/>
  <c r="AF49" i="8" s="1"/>
  <c r="AI49" i="8"/>
  <c r="AJ49" i="8" s="1"/>
  <c r="AM49" i="8"/>
  <c r="AN49" i="8" s="1"/>
  <c r="AM60" i="8"/>
  <c r="AN60" i="8" s="1"/>
  <c r="AO86" i="8"/>
  <c r="AP86" i="8" s="1"/>
  <c r="AQ49" i="8"/>
  <c r="AQ60" i="8"/>
  <c r="AR60" i="8" s="1"/>
  <c r="AS86" i="8"/>
  <c r="AT86" i="8" s="1"/>
  <c r="AU49" i="8"/>
  <c r="AU60" i="8"/>
  <c r="AV60" i="8" s="1"/>
  <c r="AY49" i="8"/>
  <c r="AZ49" i="8" s="1"/>
  <c r="AY60" i="8"/>
  <c r="AZ60" i="8" s="1"/>
  <c r="BA86" i="8"/>
  <c r="BB86" i="8" s="1"/>
  <c r="BC49" i="8"/>
  <c r="BC60" i="8"/>
  <c r="BD60" i="8" s="1"/>
  <c r="BE86" i="8"/>
  <c r="BF86" i="8" s="1"/>
  <c r="BG49" i="8"/>
  <c r="BH49" i="8" s="1"/>
  <c r="BG60" i="8"/>
  <c r="BH60" i="8" s="1"/>
  <c r="O60" i="8"/>
  <c r="Q86" i="8"/>
  <c r="R86" i="8" s="1"/>
  <c r="S60" i="8"/>
  <c r="T60" i="8" s="1"/>
  <c r="W49" i="8"/>
  <c r="X49" i="8" s="1"/>
  <c r="AA49" i="8"/>
  <c r="AB49" i="8" s="1"/>
  <c r="AC86" i="8"/>
  <c r="AD86" i="8" s="1"/>
  <c r="AE60" i="8"/>
  <c r="AF60" i="8" s="1"/>
  <c r="AG86" i="8"/>
  <c r="AH86" i="8" s="1"/>
  <c r="AI60" i="8"/>
  <c r="AJ60" i="8" s="1"/>
  <c r="AK86" i="8"/>
  <c r="AL86" i="8" s="1"/>
  <c r="M61" i="8"/>
  <c r="N61" i="8" s="1"/>
  <c r="AA48" i="8"/>
  <c r="AB48" i="8" s="1"/>
  <c r="M62" i="8"/>
  <c r="N62" i="8" s="1"/>
  <c r="O72" i="8"/>
  <c r="P72" i="8" s="1"/>
  <c r="S72" i="8"/>
  <c r="T72" i="8" s="1"/>
  <c r="W61" i="8"/>
  <c r="X61" i="8" s="1"/>
  <c r="AA61" i="8"/>
  <c r="AB61" i="8" s="1"/>
  <c r="AE72" i="8"/>
  <c r="AF72" i="8" s="1"/>
  <c r="AI72" i="8"/>
  <c r="AJ72" i="8" s="1"/>
  <c r="AM72" i="8"/>
  <c r="AN72" i="8" s="1"/>
  <c r="AQ61" i="8"/>
  <c r="AR61" i="8" s="1"/>
  <c r="AU61" i="8"/>
  <c r="AV61" i="8" s="1"/>
  <c r="AY72" i="8"/>
  <c r="AZ72" i="8" s="1"/>
  <c r="BC72" i="8"/>
  <c r="BG61" i="8"/>
  <c r="BH61" i="8" s="1"/>
  <c r="U74" i="8"/>
  <c r="V74" i="8" s="1"/>
  <c r="Y85" i="8"/>
  <c r="Z85" i="8" s="1"/>
  <c r="AE48" i="8"/>
  <c r="AG85" i="8"/>
  <c r="AH85" i="8" s="1"/>
  <c r="M84" i="8"/>
  <c r="N84" i="8" s="1"/>
  <c r="O50" i="8"/>
  <c r="O61" i="8"/>
  <c r="P61" i="8" s="1"/>
  <c r="S50" i="8"/>
  <c r="T50" i="8" s="1"/>
  <c r="S61" i="8"/>
  <c r="T61" i="8" s="1"/>
  <c r="W50" i="8"/>
  <c r="X50" i="8" s="1"/>
  <c r="W72" i="8"/>
  <c r="X72" i="8" s="1"/>
  <c r="AA50" i="8"/>
  <c r="AB50" i="8" s="1"/>
  <c r="AA72" i="8"/>
  <c r="AB72" i="8" s="1"/>
  <c r="AE50" i="8"/>
  <c r="AF50" i="8" s="1"/>
  <c r="AE61" i="8"/>
  <c r="AF61" i="8" s="1"/>
  <c r="AI50" i="8"/>
  <c r="AJ50" i="8" s="1"/>
  <c r="AI61" i="8"/>
  <c r="AJ61" i="8" s="1"/>
  <c r="AM50" i="8"/>
  <c r="AM61" i="8"/>
  <c r="AN61" i="8" s="1"/>
  <c r="AQ50" i="8"/>
  <c r="AR50" i="8" s="1"/>
  <c r="AQ72" i="8"/>
  <c r="AR72" i="8" s="1"/>
  <c r="AU50" i="8"/>
  <c r="AU72" i="8"/>
  <c r="AV72" i="8" s="1"/>
  <c r="AY50" i="8"/>
  <c r="AZ50" i="8" s="1"/>
  <c r="AY61" i="8"/>
  <c r="AZ61" i="8" s="1"/>
  <c r="BC50" i="8"/>
  <c r="BD50" i="8" s="1"/>
  <c r="BC61" i="8"/>
  <c r="BD61" i="8" s="1"/>
  <c r="BG50" i="8"/>
  <c r="BH50" i="8" s="1"/>
  <c r="BG72" i="8"/>
  <c r="BH72" i="8" s="1"/>
  <c r="M86" i="8"/>
  <c r="N86" i="8" s="1"/>
  <c r="O73" i="8"/>
  <c r="P73" i="8" s="1"/>
  <c r="S84" i="8"/>
  <c r="T84" i="8" s="1"/>
  <c r="W62" i="8"/>
  <c r="X62" i="8" s="1"/>
  <c r="AA62" i="8"/>
  <c r="AB62" i="8" s="1"/>
  <c r="AE62" i="8"/>
  <c r="AF62" i="8" s="1"/>
  <c r="AI62" i="8"/>
  <c r="AJ62" i="8" s="1"/>
  <c r="AI84" i="8"/>
  <c r="AJ84" i="8" s="1"/>
  <c r="AM73" i="8"/>
  <c r="AN73" i="8" s="1"/>
  <c r="AQ73" i="8"/>
  <c r="AR73" i="8" s="1"/>
  <c r="AU84" i="8"/>
  <c r="AV84" i="8" s="1"/>
  <c r="AY62" i="8"/>
  <c r="AZ62" i="8" s="1"/>
  <c r="BC84" i="8"/>
  <c r="BD84" i="8" s="1"/>
  <c r="BG73" i="8"/>
  <c r="BH73" i="8" s="1"/>
  <c r="BK73" i="8"/>
  <c r="BL73" i="8" s="1"/>
  <c r="BO62" i="8"/>
  <c r="BP62" i="8" s="1"/>
  <c r="BO84" i="8"/>
  <c r="BP84" i="8" s="1"/>
  <c r="BS73" i="8"/>
  <c r="BT73" i="8" s="1"/>
  <c r="BW73" i="8"/>
  <c r="BX73" i="8" s="1"/>
  <c r="CA62" i="8"/>
  <c r="CB62" i="8" s="1"/>
  <c r="CA84" i="8"/>
  <c r="CB84" i="8" s="1"/>
  <c r="CE62" i="8"/>
  <c r="CF62" i="8" s="1"/>
  <c r="CE73" i="8"/>
  <c r="CF73" i="8" s="1"/>
  <c r="CE84" i="8"/>
  <c r="CF84" i="8" s="1"/>
  <c r="CI62" i="8"/>
  <c r="CJ62" i="8" s="1"/>
  <c r="CI73" i="8"/>
  <c r="CJ73" i="8" s="1"/>
  <c r="CI84" i="8"/>
  <c r="CJ84" i="8" s="1"/>
  <c r="CM73" i="8"/>
  <c r="CN73" i="8" s="1"/>
  <c r="CQ86" i="8"/>
  <c r="CR86" i="8" s="1"/>
  <c r="CY62" i="8"/>
  <c r="CZ62" i="8" s="1"/>
  <c r="CY73" i="8"/>
  <c r="CZ73" i="8" s="1"/>
  <c r="CY84" i="8"/>
  <c r="CZ84" i="8" s="1"/>
  <c r="DC62" i="8"/>
  <c r="DD62" i="8" s="1"/>
  <c r="DC73" i="8"/>
  <c r="DD73" i="8" s="1"/>
  <c r="DC84" i="8"/>
  <c r="DD84" i="8" s="1"/>
  <c r="DE60" i="8"/>
  <c r="DF60" i="8" s="1"/>
  <c r="DG86" i="8"/>
  <c r="DH86" i="8" s="1"/>
  <c r="DI49" i="8"/>
  <c r="DJ49" i="8" s="1"/>
  <c r="DI60" i="8"/>
  <c r="DJ60" i="8" s="1"/>
  <c r="DK86" i="8"/>
  <c r="DL86" i="8" s="1"/>
  <c r="DM49" i="8"/>
  <c r="DM60" i="8"/>
  <c r="DN60" i="8" s="1"/>
  <c r="DQ62" i="8"/>
  <c r="DR62" i="8" s="1"/>
  <c r="DQ73" i="8"/>
  <c r="DR73" i="8" s="1"/>
  <c r="DQ84" i="8"/>
  <c r="DR84" i="8" s="1"/>
  <c r="DS60" i="8"/>
  <c r="DT60" i="8" s="1"/>
  <c r="DU86" i="8"/>
  <c r="DV86" i="8" s="1"/>
  <c r="DW49" i="8"/>
  <c r="DX49" i="8" s="1"/>
  <c r="DW60" i="8"/>
  <c r="DX60" i="8" s="1"/>
  <c r="DY86" i="8"/>
  <c r="DZ86" i="8" s="1"/>
  <c r="EA49" i="8"/>
  <c r="EB49" i="8" s="1"/>
  <c r="EA60" i="8"/>
  <c r="EB60" i="8" s="1"/>
  <c r="EC86" i="8"/>
  <c r="ED86" i="8" s="1"/>
  <c r="EE49" i="8"/>
  <c r="EF49" i="8" s="1"/>
  <c r="EE60" i="8"/>
  <c r="EF60" i="8" s="1"/>
  <c r="S62" i="8"/>
  <c r="T62" i="8" s="1"/>
  <c r="W73" i="8"/>
  <c r="X73" i="8" s="1"/>
  <c r="AA73" i="8"/>
  <c r="AE73" i="8"/>
  <c r="AF73" i="8" s="1"/>
  <c r="AM62" i="8"/>
  <c r="AN62" i="8" s="1"/>
  <c r="AU62" i="8"/>
  <c r="AV62" i="8" s="1"/>
  <c r="AY84" i="8"/>
  <c r="AZ84" i="8" s="1"/>
  <c r="BC62" i="8"/>
  <c r="BD62" i="8" s="1"/>
  <c r="BK84" i="8"/>
  <c r="BL84" i="8" s="1"/>
  <c r="BS62" i="8"/>
  <c r="BT62" i="8" s="1"/>
  <c r="CM62" i="8"/>
  <c r="CN62" i="8" s="1"/>
  <c r="O62" i="8"/>
  <c r="P62" i="8" s="1"/>
  <c r="O84" i="8"/>
  <c r="P84" i="8" s="1"/>
  <c r="S73" i="8"/>
  <c r="T73" i="8" s="1"/>
  <c r="W84" i="8"/>
  <c r="X84" i="8" s="1"/>
  <c r="AA84" i="8"/>
  <c r="AE84" i="8"/>
  <c r="AF84" i="8" s="1"/>
  <c r="AI73" i="8"/>
  <c r="AJ73" i="8" s="1"/>
  <c r="AM84" i="8"/>
  <c r="AN84" i="8" s="1"/>
  <c r="AQ84" i="8"/>
  <c r="AR84" i="8" s="1"/>
  <c r="AU73" i="8"/>
  <c r="AV73" i="8" s="1"/>
  <c r="AY73" i="8"/>
  <c r="AZ73" i="8" s="1"/>
  <c r="BC73" i="8"/>
  <c r="BD73" i="8" s="1"/>
  <c r="BG62" i="8"/>
  <c r="BH62" i="8" s="1"/>
  <c r="BG84" i="8"/>
  <c r="BH84" i="8" s="1"/>
  <c r="BK62" i="8"/>
  <c r="BL62" i="8" s="1"/>
  <c r="BO73" i="8"/>
  <c r="BP73" i="8" s="1"/>
  <c r="BS84" i="8"/>
  <c r="BT84" i="8" s="1"/>
  <c r="BW62" i="8"/>
  <c r="BX62" i="8" s="1"/>
  <c r="BW84" i="8"/>
  <c r="BX84" i="8" s="1"/>
  <c r="CA73" i="8"/>
  <c r="CM84" i="8"/>
  <c r="CN84" i="8" s="1"/>
  <c r="O74" i="8"/>
  <c r="P74" i="8" s="1"/>
  <c r="O85" i="8"/>
  <c r="P85" i="8" s="1"/>
  <c r="Q48" i="8"/>
  <c r="R48" i="8" s="1"/>
  <c r="S74" i="8"/>
  <c r="T74" i="8" s="1"/>
  <c r="S85" i="8"/>
  <c r="T85" i="8" s="1"/>
  <c r="U48" i="8"/>
  <c r="V48" i="8" s="1"/>
  <c r="W74" i="8"/>
  <c r="X74" i="8" s="1"/>
  <c r="W85" i="8"/>
  <c r="X85" i="8" s="1"/>
  <c r="Y48" i="8"/>
  <c r="Z48" i="8" s="1"/>
  <c r="AA74" i="8"/>
  <c r="AB74" i="8" s="1"/>
  <c r="AA85" i="8"/>
  <c r="AB85" i="8" s="1"/>
  <c r="AC48" i="8"/>
  <c r="AD48" i="8" s="1"/>
  <c r="AE74" i="8"/>
  <c r="AF74" i="8" s="1"/>
  <c r="AE85" i="8"/>
  <c r="AF85" i="8" s="1"/>
  <c r="AG48" i="8"/>
  <c r="AH48" i="8" s="1"/>
  <c r="AI74" i="8"/>
  <c r="AJ74" i="8" s="1"/>
  <c r="AI85" i="8"/>
  <c r="AJ85" i="8" s="1"/>
  <c r="AK48" i="8"/>
  <c r="AL48" i="8" s="1"/>
  <c r="AM74" i="8"/>
  <c r="AN74" i="8" s="1"/>
  <c r="AM85" i="8"/>
  <c r="AN85" i="8" s="1"/>
  <c r="AO48" i="8"/>
  <c r="AP48" i="8" s="1"/>
  <c r="AQ74" i="8"/>
  <c r="AR74" i="8" s="1"/>
  <c r="AQ85" i="8"/>
  <c r="AR85" i="8" s="1"/>
  <c r="AS48" i="8"/>
  <c r="AT48" i="8" s="1"/>
  <c r="AU74" i="8"/>
  <c r="AV74" i="8" s="1"/>
  <c r="AU85" i="8"/>
  <c r="AV85" i="8" s="1"/>
  <c r="AY74" i="8"/>
  <c r="AZ74" i="8" s="1"/>
  <c r="AY85" i="8"/>
  <c r="AZ85" i="8" s="1"/>
  <c r="BA48" i="8"/>
  <c r="BC74" i="8"/>
  <c r="BD74" i="8" s="1"/>
  <c r="BC85" i="8"/>
  <c r="BD85" i="8" s="1"/>
  <c r="BE48" i="8"/>
  <c r="BG74" i="8"/>
  <c r="BH74" i="8" s="1"/>
  <c r="BG85" i="8"/>
  <c r="BH85" i="8" s="1"/>
  <c r="BI48" i="8"/>
  <c r="BJ48" i="8" s="1"/>
  <c r="BK74" i="8"/>
  <c r="BL74" i="8" s="1"/>
  <c r="BK85" i="8"/>
  <c r="BL85" i="8" s="1"/>
  <c r="BM48" i="8"/>
  <c r="BN48" i="8" s="1"/>
  <c r="BO74" i="8"/>
  <c r="BP74" i="8" s="1"/>
  <c r="BO85" i="8"/>
  <c r="BP85" i="8" s="1"/>
  <c r="BQ48" i="8"/>
  <c r="BR48" i="8" s="1"/>
  <c r="BS74" i="8"/>
  <c r="BT74" i="8" s="1"/>
  <c r="BS85" i="8"/>
  <c r="BT85" i="8" s="1"/>
  <c r="BU48" i="8"/>
  <c r="BV48" i="8" s="1"/>
  <c r="BW74" i="8"/>
  <c r="BX74" i="8" s="1"/>
  <c r="BW85" i="8"/>
  <c r="BX85" i="8" s="1"/>
  <c r="BY48" i="8"/>
  <c r="CA74" i="8"/>
  <c r="CB74" i="8" s="1"/>
  <c r="CA85" i="8"/>
  <c r="CB85" i="8" s="1"/>
  <c r="CC48" i="8"/>
  <c r="CD48" i="8" s="1"/>
  <c r="CE74" i="8"/>
  <c r="CF74" i="8" s="1"/>
  <c r="CE85" i="8"/>
  <c r="CF85" i="8" s="1"/>
  <c r="CG48" i="8"/>
  <c r="CH48" i="8" s="1"/>
  <c r="CI74" i="8"/>
  <c r="CJ74" i="8" s="1"/>
  <c r="CI85" i="8"/>
  <c r="CJ85" i="8" s="1"/>
  <c r="CK48" i="8"/>
  <c r="CM74" i="8"/>
  <c r="CN74" i="8" s="1"/>
  <c r="CM85" i="8"/>
  <c r="CN85" i="8" s="1"/>
  <c r="CO48" i="8"/>
  <c r="CP48" i="8" s="1"/>
  <c r="CY74" i="8"/>
  <c r="CZ74" i="8" s="1"/>
  <c r="CY85" i="8"/>
  <c r="CZ85" i="8" s="1"/>
  <c r="DA48" i="8"/>
  <c r="DB48" i="8" s="1"/>
  <c r="DC74" i="8"/>
  <c r="DD74" i="8" s="1"/>
  <c r="DC85" i="8"/>
  <c r="DE61" i="8"/>
  <c r="DF61" i="8" s="1"/>
  <c r="DE72" i="8"/>
  <c r="DF72" i="8" s="1"/>
  <c r="DI50" i="8"/>
  <c r="DJ50" i="8" s="1"/>
  <c r="DI61" i="8"/>
  <c r="DJ61" i="8" s="1"/>
  <c r="DI72" i="8"/>
  <c r="DJ72" i="8" s="1"/>
  <c r="DM50" i="8"/>
  <c r="DN50" i="8" s="1"/>
  <c r="DM61" i="8"/>
  <c r="DN61" i="8" s="1"/>
  <c r="DM72" i="8"/>
  <c r="DN72" i="8" s="1"/>
  <c r="DQ74" i="8"/>
  <c r="DR74" i="8" s="1"/>
  <c r="DQ85" i="8"/>
  <c r="DR85" i="8" s="1"/>
  <c r="DS61" i="8"/>
  <c r="DT61" i="8" s="1"/>
  <c r="DS72" i="8"/>
  <c r="DT72" i="8" s="1"/>
  <c r="EE50" i="8"/>
  <c r="EF50" i="8" s="1"/>
  <c r="EU50" i="8"/>
  <c r="EV50" i="8" s="1"/>
  <c r="CY48" i="8"/>
  <c r="CZ48" i="8" s="1"/>
  <c r="DK74" i="8"/>
  <c r="DL74" i="8" s="1"/>
  <c r="DK85" i="8"/>
  <c r="DL85" i="8" s="1"/>
  <c r="DM48" i="8"/>
  <c r="DN48" i="8" s="1"/>
  <c r="DQ50" i="8"/>
  <c r="DR50" i="8" s="1"/>
  <c r="DQ61" i="8"/>
  <c r="DR61" i="8" s="1"/>
  <c r="DQ72" i="8"/>
  <c r="DR72" i="8" s="1"/>
  <c r="DU74" i="8"/>
  <c r="DV74" i="8" s="1"/>
  <c r="DU85" i="8"/>
  <c r="DV85" i="8" s="1"/>
  <c r="DW48" i="8"/>
  <c r="DX48" i="8" s="1"/>
  <c r="DY74" i="8"/>
  <c r="DZ74" i="8" s="1"/>
  <c r="DY85" i="8"/>
  <c r="DZ85" i="8" s="1"/>
  <c r="EA48" i="8"/>
  <c r="EB48" i="8" s="1"/>
  <c r="EC74" i="8"/>
  <c r="ED74" i="8" s="1"/>
  <c r="EC85" i="8"/>
  <c r="ED85" i="8" s="1"/>
  <c r="EE48" i="8"/>
  <c r="EG74" i="8"/>
  <c r="EH74" i="8" s="1"/>
  <c r="EG85" i="8"/>
  <c r="EH85" i="8" s="1"/>
  <c r="EI48" i="8"/>
  <c r="EK74" i="8"/>
  <c r="EL74" i="8" s="1"/>
  <c r="EQ74" i="8"/>
  <c r="ER74" i="8" s="1"/>
  <c r="FA48" i="8"/>
  <c r="FB48" i="8" s="1"/>
  <c r="M85" i="8"/>
  <c r="N85" i="8" s="1"/>
  <c r="DW50" i="8"/>
  <c r="DX50" i="8" s="1"/>
  <c r="DW61" i="8"/>
  <c r="DX61" i="8" s="1"/>
  <c r="DW72" i="8"/>
  <c r="DX72" i="8" s="1"/>
  <c r="EA50" i="8"/>
  <c r="EB50" i="8" s="1"/>
  <c r="EA61" i="8"/>
  <c r="EB61" i="8" s="1"/>
  <c r="EA72" i="8"/>
  <c r="EB72" i="8" s="1"/>
  <c r="EE61" i="8"/>
  <c r="EF61" i="8" s="1"/>
  <c r="EE72" i="8"/>
  <c r="EF72" i="8" s="1"/>
  <c r="EI50" i="8"/>
  <c r="EJ50" i="8" s="1"/>
  <c r="EI61" i="8"/>
  <c r="EJ61" i="8" s="1"/>
  <c r="EI72" i="8"/>
  <c r="EJ72" i="8" s="1"/>
  <c r="EM50" i="8"/>
  <c r="EM61" i="8"/>
  <c r="EN61" i="8" s="1"/>
  <c r="EM72" i="8"/>
  <c r="EN72" i="8" s="1"/>
  <c r="EU61" i="8"/>
  <c r="EV61" i="8" s="1"/>
  <c r="EU72" i="8"/>
  <c r="EV72" i="8" s="1"/>
  <c r="FA74" i="8"/>
  <c r="FB74" i="8" s="1"/>
  <c r="FA85" i="8"/>
  <c r="FB85" i="8" s="1"/>
  <c r="FC61" i="8"/>
  <c r="FD61" i="8" s="1"/>
  <c r="FC72" i="8"/>
  <c r="FD72" i="8" s="1"/>
  <c r="FG74" i="8"/>
  <c r="FH74" i="8" s="1"/>
  <c r="FG85" i="8"/>
  <c r="FH85" i="8" s="1"/>
  <c r="FI48" i="8"/>
  <c r="FK74" i="8"/>
  <c r="FL74" i="8" s="1"/>
  <c r="FK85" i="8"/>
  <c r="FL85" i="8" s="1"/>
  <c r="FM48" i="8"/>
  <c r="FN48" i="8" s="1"/>
  <c r="FO74" i="8"/>
  <c r="FP74" i="8" s="1"/>
  <c r="FO85" i="8"/>
  <c r="FP85" i="8" s="1"/>
  <c r="FQ48" i="8"/>
  <c r="FR48" i="8" s="1"/>
  <c r="FS74" i="8"/>
  <c r="FT74" i="8" s="1"/>
  <c r="FS85" i="8"/>
  <c r="FT85" i="8" s="1"/>
  <c r="FU48" i="8"/>
  <c r="FV48" i="8" s="1"/>
  <c r="FW74" i="8"/>
  <c r="FX74" i="8" s="1"/>
  <c r="FW85" i="8"/>
  <c r="FX85" i="8" s="1"/>
  <c r="FY48" i="8"/>
  <c r="GA74" i="8"/>
  <c r="GB74" i="8" s="1"/>
  <c r="GA85" i="8"/>
  <c r="GB85" i="8" s="1"/>
  <c r="GC48" i="8"/>
  <c r="GD48" i="8" s="1"/>
  <c r="GE74" i="8"/>
  <c r="GF74" i="8" s="1"/>
  <c r="GE85" i="8"/>
  <c r="GF85" i="8" s="1"/>
  <c r="GG48" i="8"/>
  <c r="GH48" i="8" s="1"/>
  <c r="GI74" i="8"/>
  <c r="GJ74" i="8" s="1"/>
  <c r="GI85" i="8"/>
  <c r="GJ85" i="8" s="1"/>
  <c r="GK48" i="8"/>
  <c r="GL48" i="8" s="1"/>
  <c r="GM74" i="8"/>
  <c r="GN74" i="8" s="1"/>
  <c r="GM85" i="8"/>
  <c r="GN85" i="8" s="1"/>
  <c r="GO48" i="8"/>
  <c r="GP48" i="8" s="1"/>
  <c r="GQ74" i="8"/>
  <c r="GR74" i="8" s="1"/>
  <c r="GQ85" i="8"/>
  <c r="GR85" i="8" s="1"/>
  <c r="GS48" i="8"/>
  <c r="GT48" i="8" s="1"/>
  <c r="GU74" i="8"/>
  <c r="GV74" i="8" s="1"/>
  <c r="GU85" i="8"/>
  <c r="GV85" i="8" s="1"/>
  <c r="GW48" i="8"/>
  <c r="GX48" i="8" s="1"/>
  <c r="M49" i="8"/>
  <c r="O86" i="8"/>
  <c r="P86" i="8" s="1"/>
  <c r="Q49" i="8"/>
  <c r="Q60" i="8"/>
  <c r="S86" i="8"/>
  <c r="T86" i="8" s="1"/>
  <c r="U49" i="8"/>
  <c r="V49" i="8" s="1"/>
  <c r="U60" i="8"/>
  <c r="V60" i="8" s="1"/>
  <c r="W86" i="8"/>
  <c r="X86" i="8" s="1"/>
  <c r="Y49" i="8"/>
  <c r="Z49" i="8" s="1"/>
  <c r="Y60" i="8"/>
  <c r="Z60" i="8" s="1"/>
  <c r="AA86" i="8"/>
  <c r="AB86" i="8" s="1"/>
  <c r="AC49" i="8"/>
  <c r="AD49" i="8" s="1"/>
  <c r="AC60" i="8"/>
  <c r="AD60" i="8" s="1"/>
  <c r="AE86" i="8"/>
  <c r="AF86" i="8" s="1"/>
  <c r="AG49" i="8"/>
  <c r="AH49" i="8" s="1"/>
  <c r="AG60" i="8"/>
  <c r="AH60" i="8" s="1"/>
  <c r="AI86" i="8"/>
  <c r="AJ86" i="8" s="1"/>
  <c r="AK49" i="8"/>
  <c r="AK60" i="8"/>
  <c r="AL60" i="8" s="1"/>
  <c r="AM86" i="8"/>
  <c r="AN86" i="8" s="1"/>
  <c r="AO49" i="8"/>
  <c r="AO60" i="8"/>
  <c r="AP60" i="8" s="1"/>
  <c r="AQ86" i="8"/>
  <c r="AR86" i="8" s="1"/>
  <c r="AS49" i="8"/>
  <c r="AT49" i="8" s="1"/>
  <c r="AS60" i="8"/>
  <c r="AT60" i="8" s="1"/>
  <c r="AU86" i="8"/>
  <c r="AV86" i="8" s="1"/>
  <c r="AY86" i="8"/>
  <c r="AZ86" i="8" s="1"/>
  <c r="BA49" i="8"/>
  <c r="BB49" i="8" s="1"/>
  <c r="BA60" i="8"/>
  <c r="BB60" i="8" s="1"/>
  <c r="BC86" i="8"/>
  <c r="BD86" i="8" s="1"/>
  <c r="EI84" i="8"/>
  <c r="EJ84" i="8" s="1"/>
  <c r="EO48" i="8"/>
  <c r="FE48" i="8"/>
  <c r="FF48" i="8" s="1"/>
  <c r="GW61" i="8"/>
  <c r="GW72" i="8"/>
  <c r="GX72" i="8" s="1"/>
  <c r="BW48" i="8"/>
  <c r="BY74" i="8"/>
  <c r="BZ74" i="8" s="1"/>
  <c r="BY85" i="8"/>
  <c r="BZ85" i="8" s="1"/>
  <c r="CA48" i="8"/>
  <c r="CB48" i="8" s="1"/>
  <c r="CC74" i="8"/>
  <c r="CD74" i="8" s="1"/>
  <c r="CC85" i="8"/>
  <c r="CD85" i="8" s="1"/>
  <c r="CE48" i="8"/>
  <c r="CG74" i="8"/>
  <c r="CH74" i="8" s="1"/>
  <c r="CG85" i="8"/>
  <c r="CH85" i="8" s="1"/>
  <c r="CI48" i="8"/>
  <c r="CK74" i="8"/>
  <c r="CK85" i="8"/>
  <c r="CM48" i="8"/>
  <c r="CN48" i="8" s="1"/>
  <c r="CO74" i="8"/>
  <c r="CP74" i="8" s="1"/>
  <c r="CO85" i="8"/>
  <c r="CP85" i="8" s="1"/>
  <c r="CQ48" i="8"/>
  <c r="CR48" i="8" s="1"/>
  <c r="CQ61" i="8"/>
  <c r="CR61" i="8" s="1"/>
  <c r="CQ72" i="8"/>
  <c r="CR72" i="8" s="1"/>
  <c r="DA74" i="8"/>
  <c r="DB74" i="8" s="1"/>
  <c r="DA85" i="8"/>
  <c r="DB85" i="8" s="1"/>
  <c r="DC48" i="8"/>
  <c r="DD48" i="8" s="1"/>
  <c r="DG50" i="8"/>
  <c r="DH50" i="8" s="1"/>
  <c r="DG61" i="8"/>
  <c r="DH61" i="8" s="1"/>
  <c r="DG72" i="8"/>
  <c r="DH72" i="8" s="1"/>
  <c r="DK50" i="8"/>
  <c r="DL50" i="8" s="1"/>
  <c r="DK61" i="8"/>
  <c r="DK72" i="8"/>
  <c r="DL72" i="8" s="1"/>
  <c r="DO74" i="8"/>
  <c r="DP74" i="8" s="1"/>
  <c r="DO85" i="8"/>
  <c r="DP85" i="8" s="1"/>
  <c r="DQ48" i="8"/>
  <c r="DR48" i="8" s="1"/>
  <c r="DU50" i="8"/>
  <c r="DV50" i="8" s="1"/>
  <c r="DU61" i="8"/>
  <c r="DV61" i="8" s="1"/>
  <c r="DU72" i="8"/>
  <c r="DV72" i="8" s="1"/>
  <c r="DY50" i="8"/>
  <c r="DZ50" i="8" s="1"/>
  <c r="DY61" i="8"/>
  <c r="DZ61" i="8" s="1"/>
  <c r="DY72" i="8"/>
  <c r="DZ72" i="8" s="1"/>
  <c r="EC50" i="8"/>
  <c r="ED50" i="8" s="1"/>
  <c r="EC61" i="8"/>
  <c r="ED61" i="8" s="1"/>
  <c r="EC72" i="8"/>
  <c r="ED72" i="8" s="1"/>
  <c r="EG50" i="8"/>
  <c r="EG61" i="8"/>
  <c r="EH61" i="8" s="1"/>
  <c r="EG72" i="8"/>
  <c r="EH72" i="8" s="1"/>
  <c r="EK50" i="8"/>
  <c r="EL50" i="8" s="1"/>
  <c r="EK61" i="8"/>
  <c r="EK72" i="8"/>
  <c r="EL72" i="8" s="1"/>
  <c r="EO74" i="8"/>
  <c r="EP74" i="8" s="1"/>
  <c r="EO85" i="8"/>
  <c r="EP85" i="8" s="1"/>
  <c r="EQ48" i="8"/>
  <c r="ER48" i="8" s="1"/>
  <c r="EQ61" i="8"/>
  <c r="ER61" i="8" s="1"/>
  <c r="EQ72" i="8"/>
  <c r="ER72" i="8" s="1"/>
  <c r="EY50" i="8"/>
  <c r="EZ50" i="8" s="1"/>
  <c r="EY61" i="8"/>
  <c r="EZ61" i="8" s="1"/>
  <c r="EY72" i="8"/>
  <c r="EZ72" i="8" s="1"/>
  <c r="FE74" i="8"/>
  <c r="FF74" i="8" s="1"/>
  <c r="FE85" i="8"/>
  <c r="FF85" i="8" s="1"/>
  <c r="FG48" i="8"/>
  <c r="FH48" i="8" s="1"/>
  <c r="FI74" i="8"/>
  <c r="FJ74" i="8" s="1"/>
  <c r="FI85" i="8"/>
  <c r="FJ85" i="8" s="1"/>
  <c r="FK48" i="8"/>
  <c r="FM74" i="8"/>
  <c r="FN74" i="8" s="1"/>
  <c r="FM85" i="8"/>
  <c r="FN85" i="8" s="1"/>
  <c r="FO48" i="8"/>
  <c r="FP48" i="8" s="1"/>
  <c r="FQ74" i="8"/>
  <c r="FR74" i="8" s="1"/>
  <c r="FQ85" i="8"/>
  <c r="FR85" i="8" s="1"/>
  <c r="FS48" i="8"/>
  <c r="FT48" i="8" s="1"/>
  <c r="FU74" i="8"/>
  <c r="FV74" i="8" s="1"/>
  <c r="FU85" i="8"/>
  <c r="FV85" i="8" s="1"/>
  <c r="FW48" i="8"/>
  <c r="FX48" i="8" s="1"/>
  <c r="FY74" i="8"/>
  <c r="FZ74" i="8" s="1"/>
  <c r="FY85" i="8"/>
  <c r="FZ85" i="8" s="1"/>
  <c r="GA48" i="8"/>
  <c r="GC74" i="8"/>
  <c r="GD74" i="8" s="1"/>
  <c r="GC85" i="8"/>
  <c r="GD85" i="8" s="1"/>
  <c r="GE48" i="8"/>
  <c r="GF48" i="8" s="1"/>
  <c r="GG74" i="8"/>
  <c r="GH74" i="8" s="1"/>
  <c r="GG85" i="8"/>
  <c r="GH85" i="8" s="1"/>
  <c r="GI48" i="8"/>
  <c r="GJ48" i="8" s="1"/>
  <c r="GI86" i="8"/>
  <c r="GJ86" i="8" s="1"/>
  <c r="GK74" i="8"/>
  <c r="GL74" i="8" s="1"/>
  <c r="GK85" i="8"/>
  <c r="GL85" i="8" s="1"/>
  <c r="GM48" i="8"/>
  <c r="GN48" i="8" s="1"/>
  <c r="BI86" i="8"/>
  <c r="BJ86" i="8" s="1"/>
  <c r="BK49" i="8"/>
  <c r="BL49" i="8" s="1"/>
  <c r="BK60" i="8"/>
  <c r="BL60" i="8" s="1"/>
  <c r="BM86" i="8"/>
  <c r="BN86" i="8" s="1"/>
  <c r="BO49" i="8"/>
  <c r="BP49" i="8" s="1"/>
  <c r="BO60" i="8"/>
  <c r="BP60" i="8" s="1"/>
  <c r="BQ86" i="8"/>
  <c r="BR86" i="8" s="1"/>
  <c r="BS49" i="8"/>
  <c r="BS60" i="8"/>
  <c r="BT60" i="8" s="1"/>
  <c r="BU86" i="8"/>
  <c r="BV86" i="8" s="1"/>
  <c r="BW49" i="8"/>
  <c r="BX49" i="8" s="1"/>
  <c r="BW60" i="8"/>
  <c r="BX60" i="8" s="1"/>
  <c r="BY86" i="8"/>
  <c r="BZ86" i="8" s="1"/>
  <c r="CA49" i="8"/>
  <c r="CB49" i="8" s="1"/>
  <c r="CA60" i="8"/>
  <c r="CB60" i="8" s="1"/>
  <c r="CC86" i="8"/>
  <c r="CD86" i="8" s="1"/>
  <c r="CE49" i="8"/>
  <c r="CF49" i="8" s="1"/>
  <c r="CE60" i="8"/>
  <c r="CF60" i="8" s="1"/>
  <c r="CG86" i="8"/>
  <c r="CH86" i="8" s="1"/>
  <c r="CI49" i="8"/>
  <c r="CJ49" i="8" s="1"/>
  <c r="CI60" i="8"/>
  <c r="CJ60" i="8" s="1"/>
  <c r="CK86" i="8"/>
  <c r="CL86" i="8" s="1"/>
  <c r="CM49" i="8"/>
  <c r="CM60" i="8"/>
  <c r="CN60" i="8" s="1"/>
  <c r="CO86" i="8"/>
  <c r="CP86" i="8" s="1"/>
  <c r="CQ62" i="8"/>
  <c r="CR62" i="8" s="1"/>
  <c r="CQ73" i="8"/>
  <c r="CR73" i="8" s="1"/>
  <c r="CQ84" i="8"/>
  <c r="CR84" i="8" s="1"/>
  <c r="CY60" i="8"/>
  <c r="CZ60" i="8" s="1"/>
  <c r="DA86" i="8"/>
  <c r="DB86" i="8" s="1"/>
  <c r="DC49" i="8"/>
  <c r="DD49" i="8" s="1"/>
  <c r="DC60" i="8"/>
  <c r="DD60" i="8" s="1"/>
  <c r="DG62" i="8"/>
  <c r="DH62" i="8" s="1"/>
  <c r="DG73" i="8"/>
  <c r="DH73" i="8" s="1"/>
  <c r="DG84" i="8"/>
  <c r="DH84" i="8" s="1"/>
  <c r="DK62" i="8"/>
  <c r="DL62" i="8" s="1"/>
  <c r="DK73" i="8"/>
  <c r="DL73" i="8" s="1"/>
  <c r="DK84" i="8"/>
  <c r="DL84" i="8" s="1"/>
  <c r="DO86" i="8"/>
  <c r="DP86" i="8" s="1"/>
  <c r="DQ49" i="8"/>
  <c r="DR49" i="8" s="1"/>
  <c r="DQ60" i="8"/>
  <c r="DR60" i="8" s="1"/>
  <c r="DU62" i="8"/>
  <c r="DV62" i="8" s="1"/>
  <c r="DU73" i="8"/>
  <c r="DV73" i="8" s="1"/>
  <c r="DU84" i="8"/>
  <c r="DV84" i="8" s="1"/>
  <c r="DY62" i="8"/>
  <c r="DZ62" i="8" s="1"/>
  <c r="DY73" i="8"/>
  <c r="DZ73" i="8" s="1"/>
  <c r="DY84" i="8"/>
  <c r="DZ84" i="8" s="1"/>
  <c r="EC62" i="8"/>
  <c r="ED62" i="8" s="1"/>
  <c r="EC73" i="8"/>
  <c r="ED73" i="8" s="1"/>
  <c r="EC84" i="8"/>
  <c r="ED84" i="8" s="1"/>
  <c r="EG62" i="8"/>
  <c r="EH62" i="8" s="1"/>
  <c r="EG73" i="8"/>
  <c r="EH73" i="8" s="1"/>
  <c r="EG84" i="8"/>
  <c r="EH84" i="8" s="1"/>
  <c r="EK62" i="8"/>
  <c r="EL62" i="8" s="1"/>
  <c r="EK73" i="8"/>
  <c r="EL73" i="8" s="1"/>
  <c r="EK84" i="8"/>
  <c r="EL84" i="8" s="1"/>
  <c r="EO86" i="8"/>
  <c r="EP86" i="8" s="1"/>
  <c r="EQ62" i="8"/>
  <c r="ER62" i="8" s="1"/>
  <c r="EQ73" i="8"/>
  <c r="ER73" i="8" s="1"/>
  <c r="EQ84" i="8"/>
  <c r="ER84" i="8" s="1"/>
  <c r="EY62" i="8"/>
  <c r="EZ62" i="8" s="1"/>
  <c r="EY73" i="8"/>
  <c r="EZ73" i="8" s="1"/>
  <c r="EY84" i="8"/>
  <c r="EZ84" i="8" s="1"/>
  <c r="FA60" i="8"/>
  <c r="FB60" i="8" s="1"/>
  <c r="FE86" i="8"/>
  <c r="FF86" i="8" s="1"/>
  <c r="FG60" i="8"/>
  <c r="FH60" i="8" s="1"/>
  <c r="FI86" i="8"/>
  <c r="FJ86" i="8" s="1"/>
  <c r="FK49" i="8"/>
  <c r="FK60" i="8"/>
  <c r="FL60" i="8" s="1"/>
  <c r="FM86" i="8"/>
  <c r="FN86" i="8" s="1"/>
  <c r="FO49" i="8"/>
  <c r="FP49" i="8" s="1"/>
  <c r="FO60" i="8"/>
  <c r="FP60" i="8" s="1"/>
  <c r="FQ86" i="8"/>
  <c r="FR86" i="8" s="1"/>
  <c r="FS49" i="8"/>
  <c r="FT49" i="8" s="1"/>
  <c r="FS60" i="8"/>
  <c r="FT60" i="8" s="1"/>
  <c r="FU86" i="8"/>
  <c r="FV86" i="8" s="1"/>
  <c r="FW49" i="8"/>
  <c r="FW60" i="8"/>
  <c r="FX60" i="8" s="1"/>
  <c r="FY86" i="8"/>
  <c r="FZ86" i="8" s="1"/>
  <c r="GA49" i="8"/>
  <c r="GB49" i="8" s="1"/>
  <c r="GA60" i="8"/>
  <c r="GB60" i="8" s="1"/>
  <c r="GC86" i="8"/>
  <c r="GD86" i="8" s="1"/>
  <c r="GE49" i="8"/>
  <c r="GF49" i="8" s="1"/>
  <c r="GE60" i="8"/>
  <c r="GF60" i="8" s="1"/>
  <c r="GG86" i="8"/>
  <c r="GH86" i="8" s="1"/>
  <c r="GI49" i="8"/>
  <c r="GJ49" i="8" s="1"/>
  <c r="GI60" i="8"/>
  <c r="GJ60" i="8" s="1"/>
  <c r="GK86" i="8"/>
  <c r="GL86" i="8" s="1"/>
  <c r="GM49" i="8"/>
  <c r="GN49" i="8" s="1"/>
  <c r="GM60" i="8"/>
  <c r="GN60" i="8" s="1"/>
  <c r="GO86" i="8"/>
  <c r="GP86" i="8" s="1"/>
  <c r="GQ49" i="8"/>
  <c r="GR49" i="8" s="1"/>
  <c r="GQ60" i="8"/>
  <c r="GR60" i="8" s="1"/>
  <c r="GS86" i="8"/>
  <c r="GT86" i="8" s="1"/>
  <c r="GU49" i="8"/>
  <c r="GV49" i="8" s="1"/>
  <c r="GU60" i="8"/>
  <c r="GV60" i="8" s="1"/>
  <c r="GW86" i="8"/>
  <c r="GX86" i="8" s="1"/>
  <c r="GY49" i="8"/>
  <c r="GY60" i="8"/>
  <c r="GZ60" i="8" s="1"/>
  <c r="HG60" i="8"/>
  <c r="HH60" i="8" s="1"/>
  <c r="GW74" i="8"/>
  <c r="GX74" i="8" s="1"/>
  <c r="GW85" i="8"/>
  <c r="GX85" i="8" s="1"/>
  <c r="GY48" i="8"/>
  <c r="GZ48" i="8" s="1"/>
  <c r="HA86" i="8"/>
  <c r="HB86" i="8" s="1"/>
  <c r="HC49" i="8"/>
  <c r="HD49" i="8" s="1"/>
  <c r="HC60" i="8"/>
  <c r="HD60" i="8" s="1"/>
  <c r="HE86" i="8"/>
  <c r="HF86" i="8" s="1"/>
  <c r="HG49" i="8"/>
  <c r="HI86" i="8"/>
  <c r="HJ86" i="8" s="1"/>
  <c r="HK49" i="8"/>
  <c r="HL49" i="8" s="1"/>
  <c r="HK60" i="8"/>
  <c r="HM86" i="8"/>
  <c r="HN86" i="8" s="1"/>
  <c r="HO49" i="8"/>
  <c r="HO60" i="8"/>
  <c r="HP60" i="8" s="1"/>
  <c r="HQ86" i="8"/>
  <c r="HS49" i="8"/>
  <c r="HS60" i="8"/>
  <c r="HU86" i="8"/>
  <c r="HV86" i="8" s="1"/>
  <c r="HW49" i="8"/>
  <c r="HX49" i="8" s="1"/>
  <c r="HY86" i="8"/>
  <c r="HZ86" i="8" s="1"/>
  <c r="IA49" i="8"/>
  <c r="IB49" i="8" s="1"/>
  <c r="IA60" i="8"/>
  <c r="IB60" i="8" s="1"/>
  <c r="IC86" i="8"/>
  <c r="ID86" i="8" s="1"/>
  <c r="IE49" i="8"/>
  <c r="IF49" i="8" s="1"/>
  <c r="IE60" i="8"/>
  <c r="IF60" i="8" s="1"/>
  <c r="II49" i="8"/>
  <c r="IJ49" i="8" s="1"/>
  <c r="IK86" i="8"/>
  <c r="IL86" i="8" s="1"/>
  <c r="IW86" i="8"/>
  <c r="IX86" i="8" s="1"/>
  <c r="EK85" i="8"/>
  <c r="EL85" i="8" s="1"/>
  <c r="EM48" i="8"/>
  <c r="EN48" i="8" s="1"/>
  <c r="EQ85" i="8"/>
  <c r="ER85" i="8" s="1"/>
  <c r="EU48" i="8"/>
  <c r="EV48" i="8" s="1"/>
  <c r="EY74" i="8"/>
  <c r="EZ74" i="8" s="1"/>
  <c r="EY85" i="8"/>
  <c r="EZ85" i="8" s="1"/>
  <c r="FA61" i="8"/>
  <c r="FB61" i="8" s="1"/>
  <c r="FA72" i="8"/>
  <c r="FB72" i="8" s="1"/>
  <c r="FG61" i="8"/>
  <c r="FH61" i="8" s="1"/>
  <c r="FG72" i="8"/>
  <c r="FH72" i="8" s="1"/>
  <c r="FK50" i="8"/>
  <c r="FL50" i="8" s="1"/>
  <c r="FK61" i="8"/>
  <c r="FL61" i="8" s="1"/>
  <c r="FK72" i="8"/>
  <c r="FL72" i="8" s="1"/>
  <c r="FO50" i="8"/>
  <c r="FO61" i="8"/>
  <c r="FP61" i="8" s="1"/>
  <c r="FO72" i="8"/>
  <c r="FP72" i="8" s="1"/>
  <c r="FS50" i="8"/>
  <c r="FS61" i="8"/>
  <c r="FT61" i="8" s="1"/>
  <c r="FS72" i="8"/>
  <c r="FT72" i="8" s="1"/>
  <c r="FW50" i="8"/>
  <c r="FX50" i="8" s="1"/>
  <c r="FW61" i="8"/>
  <c r="FX61" i="8" s="1"/>
  <c r="FW72" i="8"/>
  <c r="FX72" i="8" s="1"/>
  <c r="GE72" i="8"/>
  <c r="GF72" i="8" s="1"/>
  <c r="GQ72" i="8"/>
  <c r="GR72" i="8" s="1"/>
  <c r="GU50" i="8"/>
  <c r="GV50" i="8" s="1"/>
  <c r="GY50" i="8"/>
  <c r="GZ50" i="8" s="1"/>
  <c r="HG72" i="8"/>
  <c r="HH72" i="8" s="1"/>
  <c r="HK72" i="8"/>
  <c r="HL72" i="8" s="1"/>
  <c r="HO72" i="8"/>
  <c r="HP72" i="8" s="1"/>
  <c r="HS61" i="8"/>
  <c r="HT61" i="8" s="1"/>
  <c r="IA50" i="8"/>
  <c r="IA72" i="8"/>
  <c r="GQ62" i="8"/>
  <c r="GR62" i="8" s="1"/>
  <c r="GQ73" i="8"/>
  <c r="GR73" i="8" s="1"/>
  <c r="GQ84" i="8"/>
  <c r="GR84" i="8" s="1"/>
  <c r="GU62" i="8"/>
  <c r="GV62" i="8" s="1"/>
  <c r="GU73" i="8"/>
  <c r="GV73" i="8" s="1"/>
  <c r="GU84" i="8"/>
  <c r="GV84" i="8" s="1"/>
  <c r="GY62" i="8"/>
  <c r="GZ62" i="8" s="1"/>
  <c r="GY73" i="8"/>
  <c r="GZ73" i="8" s="1"/>
  <c r="GY84" i="8"/>
  <c r="GZ84" i="8" s="1"/>
  <c r="HC62" i="8"/>
  <c r="HD62" i="8" s="1"/>
  <c r="HC73" i="8"/>
  <c r="HD73" i="8" s="1"/>
  <c r="HC84" i="8"/>
  <c r="HD84" i="8" s="1"/>
  <c r="HG62" i="8"/>
  <c r="HG73" i="8"/>
  <c r="HH73" i="8" s="1"/>
  <c r="HG84" i="8"/>
  <c r="HH84" i="8" s="1"/>
  <c r="HK62" i="8"/>
  <c r="HL62" i="8" s="1"/>
  <c r="HK73" i="8"/>
  <c r="HL73" i="8" s="1"/>
  <c r="HK84" i="8"/>
  <c r="HL84" i="8" s="1"/>
  <c r="HO62" i="8"/>
  <c r="HP62" i="8" s="1"/>
  <c r="HO73" i="8"/>
  <c r="HP73" i="8" s="1"/>
  <c r="HO84" i="8"/>
  <c r="HP84" i="8" s="1"/>
  <c r="HS62" i="8"/>
  <c r="HT62" i="8" s="1"/>
  <c r="HW73" i="8"/>
  <c r="HX73" i="8" s="1"/>
  <c r="GY74" i="8"/>
  <c r="GZ74" i="8" s="1"/>
  <c r="GY85" i="8"/>
  <c r="GZ85" i="8" s="1"/>
  <c r="HA48" i="8"/>
  <c r="HC74" i="8"/>
  <c r="HD74" i="8" s="1"/>
  <c r="HC85" i="8"/>
  <c r="HD85" i="8" s="1"/>
  <c r="HE48" i="8"/>
  <c r="HF48" i="8" s="1"/>
  <c r="HG74" i="8"/>
  <c r="HH74" i="8" s="1"/>
  <c r="HG85" i="8"/>
  <c r="HH85" i="8" s="1"/>
  <c r="HI48" i="8"/>
  <c r="HJ48" i="8" s="1"/>
  <c r="HK74" i="8"/>
  <c r="HL74" i="8" s="1"/>
  <c r="HK85" i="8"/>
  <c r="HL85" i="8" s="1"/>
  <c r="HM48" i="8"/>
  <c r="HN48" i="8" s="1"/>
  <c r="HO74" i="8"/>
  <c r="HP74" i="8" s="1"/>
  <c r="HO85" i="8"/>
  <c r="HP85" i="8" s="1"/>
  <c r="HQ48" i="8"/>
  <c r="HR48" i="8" s="1"/>
  <c r="HS74" i="8"/>
  <c r="HT74" i="8" s="1"/>
  <c r="HS85" i="8"/>
  <c r="HT85" i="8" s="1"/>
  <c r="HU48" i="8"/>
  <c r="C59" i="8" a="1"/>
  <c r="C59" i="8" s="1"/>
  <c r="D59" i="8" s="1" a="1"/>
  <c r="D59" i="8" s="1"/>
  <c r="BE49" i="8"/>
  <c r="BE60" i="8"/>
  <c r="BF60" i="8" s="1"/>
  <c r="BG86" i="8"/>
  <c r="BH86" i="8" s="1"/>
  <c r="BI49" i="8"/>
  <c r="BJ49" i="8" s="1"/>
  <c r="BI60" i="8"/>
  <c r="BJ60" i="8" s="1"/>
  <c r="BK86" i="8"/>
  <c r="BL86" i="8" s="1"/>
  <c r="BM49" i="8"/>
  <c r="BN49" i="8" s="1"/>
  <c r="BM60" i="8"/>
  <c r="BN60" i="8" s="1"/>
  <c r="BO86" i="8"/>
  <c r="BP86" i="8" s="1"/>
  <c r="BQ49" i="8"/>
  <c r="BR49" i="8" s="1"/>
  <c r="BQ60" i="8"/>
  <c r="BR60" i="8" s="1"/>
  <c r="BS86" i="8"/>
  <c r="BT86" i="8" s="1"/>
  <c r="BU49" i="8"/>
  <c r="BV49" i="8" s="1"/>
  <c r="BU60" i="8"/>
  <c r="BV60" i="8" s="1"/>
  <c r="BW86" i="8"/>
  <c r="BX86" i="8" s="1"/>
  <c r="BY49" i="8"/>
  <c r="BY60" i="8"/>
  <c r="BZ60" i="8" s="1"/>
  <c r="CA86" i="8"/>
  <c r="CB86" i="8" s="1"/>
  <c r="CC49" i="8"/>
  <c r="CD49" i="8" s="1"/>
  <c r="CC60" i="8"/>
  <c r="CD60" i="8" s="1"/>
  <c r="CE86" i="8"/>
  <c r="CF86" i="8" s="1"/>
  <c r="CG49" i="8"/>
  <c r="CH49" i="8" s="1"/>
  <c r="CG60" i="8"/>
  <c r="CH60" i="8" s="1"/>
  <c r="CI86" i="8"/>
  <c r="CJ86" i="8" s="1"/>
  <c r="CK49" i="8"/>
  <c r="CL49" i="8" s="1"/>
  <c r="CK60" i="8"/>
  <c r="CL60" i="8" s="1"/>
  <c r="CM86" i="8"/>
  <c r="CN86" i="8" s="1"/>
  <c r="CO49" i="8"/>
  <c r="CP49" i="8" s="1"/>
  <c r="CO60" i="8"/>
  <c r="CP60" i="8" s="1"/>
  <c r="CY86" i="8"/>
  <c r="CZ86" i="8" s="1"/>
  <c r="DA49" i="8"/>
  <c r="DA60" i="8"/>
  <c r="DB60" i="8" s="1"/>
  <c r="DC86" i="8"/>
  <c r="DD86" i="8" s="1"/>
  <c r="DE62" i="8"/>
  <c r="DF62" i="8" s="1"/>
  <c r="DE73" i="8"/>
  <c r="DF73" i="8" s="1"/>
  <c r="DE84" i="8"/>
  <c r="DF84" i="8" s="1"/>
  <c r="DI62" i="8"/>
  <c r="DJ62" i="8" s="1"/>
  <c r="DI73" i="8"/>
  <c r="DJ73" i="8" s="1"/>
  <c r="DI84" i="8"/>
  <c r="DJ84" i="8" s="1"/>
  <c r="DM62" i="8"/>
  <c r="DN62" i="8" s="1"/>
  <c r="DM84" i="8"/>
  <c r="DN84" i="8" s="1"/>
  <c r="DO60" i="8"/>
  <c r="DP60" i="8" s="1"/>
  <c r="DQ86" i="8"/>
  <c r="DR86" i="8" s="1"/>
  <c r="DS62" i="8"/>
  <c r="DT62" i="8" s="1"/>
  <c r="DS73" i="8"/>
  <c r="DT73" i="8" s="1"/>
  <c r="DS84" i="8"/>
  <c r="DT84" i="8" s="1"/>
  <c r="DW62" i="8"/>
  <c r="DW73" i="8"/>
  <c r="DX73" i="8" s="1"/>
  <c r="DW84" i="8"/>
  <c r="DX84" i="8" s="1"/>
  <c r="EA62" i="8"/>
  <c r="EB62" i="8" s="1"/>
  <c r="EA73" i="8"/>
  <c r="EB73" i="8" s="1"/>
  <c r="EA84" i="8"/>
  <c r="EB84" i="8" s="1"/>
  <c r="EE62" i="8"/>
  <c r="EF62" i="8" s="1"/>
  <c r="EE73" i="8"/>
  <c r="EF73" i="8" s="1"/>
  <c r="EE84" i="8"/>
  <c r="EF84" i="8" s="1"/>
  <c r="EI62" i="8"/>
  <c r="EJ62" i="8" s="1"/>
  <c r="EI73" i="8"/>
  <c r="EJ73" i="8" s="1"/>
  <c r="EM62" i="8"/>
  <c r="EN62" i="8" s="1"/>
  <c r="EM84" i="8"/>
  <c r="EN84" i="8" s="1"/>
  <c r="EO60" i="8"/>
  <c r="EP60" i="8" s="1"/>
  <c r="EU62" i="8"/>
  <c r="EV62" i="8" s="1"/>
  <c r="EU73" i="8"/>
  <c r="EV73" i="8" s="1"/>
  <c r="EU84" i="8"/>
  <c r="EV84" i="8" s="1"/>
  <c r="FA86" i="8"/>
  <c r="FB86" i="8" s="1"/>
  <c r="FC62" i="8"/>
  <c r="FD62" i="8" s="1"/>
  <c r="FE60" i="8"/>
  <c r="FF60" i="8" s="1"/>
  <c r="FM60" i="8"/>
  <c r="FN60" i="8" s="1"/>
  <c r="FS86" i="8"/>
  <c r="FT86" i="8" s="1"/>
  <c r="FY60" i="8"/>
  <c r="FZ60" i="8" s="1"/>
  <c r="GO49" i="8"/>
  <c r="GP49" i="8" s="1"/>
  <c r="GS60" i="8"/>
  <c r="GT60" i="8" s="1"/>
  <c r="GW60" i="8"/>
  <c r="GX60" i="8" s="1"/>
  <c r="HA49" i="8"/>
  <c r="HB49" i="8" s="1"/>
  <c r="HQ49" i="8"/>
  <c r="HR49" i="8" s="1"/>
  <c r="HU49" i="8"/>
  <c r="HW86" i="8"/>
  <c r="HX86" i="8" s="1"/>
  <c r="HY49" i="8"/>
  <c r="HZ49" i="8" s="1"/>
  <c r="HS73" i="8"/>
  <c r="HT73" i="8" s="1"/>
  <c r="HS84" i="8"/>
  <c r="HT84" i="8" s="1"/>
  <c r="HW62" i="8"/>
  <c r="HX62" i="8" s="1"/>
  <c r="HW84" i="8"/>
  <c r="HX84" i="8" s="1"/>
  <c r="IA62" i="8"/>
  <c r="IB62" i="8" s="1"/>
  <c r="IA73" i="8"/>
  <c r="IB73" i="8" s="1"/>
  <c r="IA84" i="8"/>
  <c r="IB84" i="8" s="1"/>
  <c r="IE62" i="8"/>
  <c r="IF62" i="8" s="1"/>
  <c r="IE73" i="8"/>
  <c r="IF73" i="8" s="1"/>
  <c r="IE84" i="8"/>
  <c r="IF84" i="8" s="1"/>
  <c r="II62" i="8"/>
  <c r="II73" i="8"/>
  <c r="IJ73" i="8" s="1"/>
  <c r="II84" i="8"/>
  <c r="IJ84" i="8" s="1"/>
  <c r="IM62" i="8"/>
  <c r="IN62" i="8" s="1"/>
  <c r="IM84" i="8"/>
  <c r="IN84" i="8" s="1"/>
  <c r="IQ62" i="8"/>
  <c r="IR62" i="8" s="1"/>
  <c r="IQ73" i="8"/>
  <c r="IR73" i="8" s="1"/>
  <c r="IQ84" i="8"/>
  <c r="IR84" i="8" s="1"/>
  <c r="IU73" i="8"/>
  <c r="IV73" i="8" s="1"/>
  <c r="IU84" i="8"/>
  <c r="IV84" i="8" s="1"/>
  <c r="IY62" i="8"/>
  <c r="IZ62" i="8" s="1"/>
  <c r="IY73" i="8"/>
  <c r="IZ73" i="8" s="1"/>
  <c r="C47" i="8" a="1"/>
  <c r="C47" i="8" s="1"/>
  <c r="C58" i="8" a="1"/>
  <c r="C58" i="8" s="1"/>
  <c r="D58" i="8" s="1" a="1"/>
  <c r="D58" i="8" s="1"/>
  <c r="C69" i="8" a="1"/>
  <c r="C69" i="8" s="1"/>
  <c r="D69" i="8" s="1" a="1"/>
  <c r="D69" i="8" s="1"/>
  <c r="C81" i="8" a="1"/>
  <c r="C81" i="8" s="1"/>
  <c r="D81" i="8" s="1" a="1"/>
  <c r="D81" i="8" s="1"/>
  <c r="G86" i="8"/>
  <c r="H86" i="8" s="1"/>
  <c r="I49" i="8"/>
  <c r="I60" i="8"/>
  <c r="J60" i="8" s="1"/>
  <c r="FC73" i="8"/>
  <c r="FD73" i="8" s="1"/>
  <c r="FC84" i="8"/>
  <c r="FD84" i="8" s="1"/>
  <c r="FG86" i="8"/>
  <c r="FH86" i="8" s="1"/>
  <c r="FI60" i="8"/>
  <c r="FJ60" i="8" s="1"/>
  <c r="FK86" i="8"/>
  <c r="FL86" i="8" s="1"/>
  <c r="FM49" i="8"/>
  <c r="FN49" i="8" s="1"/>
  <c r="FO86" i="8"/>
  <c r="FP86" i="8" s="1"/>
  <c r="FQ49" i="8"/>
  <c r="FR49" i="8" s="1"/>
  <c r="FQ60" i="8"/>
  <c r="FR60" i="8" s="1"/>
  <c r="FU49" i="8"/>
  <c r="FV49" i="8" s="1"/>
  <c r="FU60" i="8"/>
  <c r="FV60" i="8" s="1"/>
  <c r="FW86" i="8"/>
  <c r="FX86" i="8" s="1"/>
  <c r="FY49" i="8"/>
  <c r="FZ49" i="8" s="1"/>
  <c r="GA86" i="8"/>
  <c r="GB86" i="8" s="1"/>
  <c r="GC49" i="8"/>
  <c r="GD49" i="8" s="1"/>
  <c r="GC60" i="8"/>
  <c r="GD60" i="8" s="1"/>
  <c r="GE86" i="8"/>
  <c r="GF86" i="8" s="1"/>
  <c r="GG49" i="8"/>
  <c r="GH49" i="8" s="1"/>
  <c r="GG60" i="8"/>
  <c r="GH60" i="8" s="1"/>
  <c r="GK49" i="8"/>
  <c r="GL49" i="8" s="1"/>
  <c r="GK60" i="8"/>
  <c r="GL60" i="8" s="1"/>
  <c r="GO60" i="8"/>
  <c r="GP60" i="8" s="1"/>
  <c r="GS49" i="8"/>
  <c r="GT49" i="8" s="1"/>
  <c r="GU86" i="8"/>
  <c r="GV86" i="8" s="1"/>
  <c r="GW49" i="8"/>
  <c r="GX49" i="8" s="1"/>
  <c r="GY86" i="8"/>
  <c r="GZ86" i="8" s="1"/>
  <c r="HA60" i="8"/>
  <c r="HB60" i="8" s="1"/>
  <c r="HC86" i="8"/>
  <c r="HD86" i="8" s="1"/>
  <c r="HE49" i="8"/>
  <c r="HF49" i="8" s="1"/>
  <c r="HE60" i="8"/>
  <c r="HF60" i="8" s="1"/>
  <c r="HG86" i="8"/>
  <c r="HH86" i="8" s="1"/>
  <c r="HI49" i="8"/>
  <c r="HI60" i="8"/>
  <c r="HJ60" i="8" s="1"/>
  <c r="HK86" i="8"/>
  <c r="HL86" i="8" s="1"/>
  <c r="HM49" i="8"/>
  <c r="HN49" i="8" s="1"/>
  <c r="HM60" i="8"/>
  <c r="HN60" i="8" s="1"/>
  <c r="HO86" i="8"/>
  <c r="HP86" i="8" s="1"/>
  <c r="HQ60" i="8"/>
  <c r="HR60" i="8" s="1"/>
  <c r="HS86" i="8"/>
  <c r="HT86" i="8" s="1"/>
  <c r="HU60" i="8"/>
  <c r="HV60" i="8" s="1"/>
  <c r="HY60" i="8"/>
  <c r="HZ60" i="8" s="1"/>
  <c r="IA86" i="8"/>
  <c r="IB86" i="8" s="1"/>
  <c r="IC49" i="8"/>
  <c r="ID49" i="8" s="1"/>
  <c r="IE86" i="8"/>
  <c r="IF86" i="8" s="1"/>
  <c r="IG49" i="8"/>
  <c r="IH49" i="8" s="1"/>
  <c r="IG60" i="8"/>
  <c r="IK49" i="8"/>
  <c r="IL49" i="8" s="1"/>
  <c r="IK60" i="8"/>
  <c r="IL60" i="8" s="1"/>
  <c r="IO49" i="8"/>
  <c r="IP49" i="8" s="1"/>
  <c r="IQ86" i="8"/>
  <c r="IR86" i="8" s="1"/>
  <c r="IS49" i="8"/>
  <c r="IT49" i="8" s="1"/>
  <c r="IS60" i="8"/>
  <c r="IT60" i="8" s="1"/>
  <c r="IU86" i="8"/>
  <c r="IV86" i="8" s="1"/>
  <c r="IW49" i="8"/>
  <c r="IX49" i="8" s="1"/>
  <c r="IW60" i="8"/>
  <c r="IX60" i="8" s="1"/>
  <c r="IY86" i="8"/>
  <c r="IZ86" i="8" s="1"/>
  <c r="E50" i="8"/>
  <c r="F50" i="8" s="1"/>
  <c r="E61" i="8"/>
  <c r="F61" i="8" s="1"/>
  <c r="C63" i="8" a="1"/>
  <c r="C63" i="8" s="1"/>
  <c r="D63" i="8" s="1" a="1"/>
  <c r="D63" i="8" s="1"/>
  <c r="C71" i="8" a="1"/>
  <c r="C71" i="8" s="1"/>
  <c r="D71" i="8" s="1" a="1"/>
  <c r="D71" i="8" s="1"/>
  <c r="HA72" i="8"/>
  <c r="HB72" i="8" s="1"/>
  <c r="HE50" i="8"/>
  <c r="HE61" i="8"/>
  <c r="HF61" i="8" s="1"/>
  <c r="HE72" i="8"/>
  <c r="HF72" i="8" s="1"/>
  <c r="HI50" i="8"/>
  <c r="HI61" i="8"/>
  <c r="HJ61" i="8" s="1"/>
  <c r="HI72" i="8"/>
  <c r="HJ72" i="8" s="1"/>
  <c r="HQ50" i="8"/>
  <c r="HR50" i="8" s="1"/>
  <c r="HQ72" i="8"/>
  <c r="HR72" i="8" s="1"/>
  <c r="HU50" i="8"/>
  <c r="HV50" i="8" s="1"/>
  <c r="HU72" i="8"/>
  <c r="HV72" i="8" s="1"/>
  <c r="HY50" i="8"/>
  <c r="HZ50" i="8" s="1"/>
  <c r="HY61" i="8"/>
  <c r="HZ61" i="8" s="1"/>
  <c r="HY72" i="8"/>
  <c r="HZ72" i="8" s="1"/>
  <c r="IC50" i="8"/>
  <c r="ID50" i="8" s="1"/>
  <c r="IC61" i="8"/>
  <c r="IC72" i="8"/>
  <c r="ID72" i="8" s="1"/>
  <c r="IG61" i="8"/>
  <c r="IH61" i="8" s="1"/>
  <c r="IG72" i="8"/>
  <c r="IH72" i="8" s="1"/>
  <c r="IK50" i="8"/>
  <c r="IL50" i="8" s="1"/>
  <c r="IK61" i="8"/>
  <c r="IL61" i="8" s="1"/>
  <c r="IK72" i="8"/>
  <c r="IL72" i="8" s="1"/>
  <c r="IO50" i="8"/>
  <c r="IP50" i="8" s="1"/>
  <c r="IO61" i="8"/>
  <c r="IP61" i="8" s="1"/>
  <c r="IS50" i="8"/>
  <c r="IT50" i="8" s="1"/>
  <c r="IW50" i="8"/>
  <c r="IX50" i="8" s="1"/>
  <c r="E48" i="8"/>
  <c r="F48" i="8" s="1"/>
  <c r="E62" i="8"/>
  <c r="E73" i="8"/>
  <c r="F73" i="8" s="1"/>
  <c r="E85" i="8"/>
  <c r="F85" i="8" s="1"/>
  <c r="C76" i="8" a="1"/>
  <c r="C76" i="8" s="1"/>
  <c r="D76" i="8" s="1" a="1"/>
  <c r="D76" i="8" s="1"/>
  <c r="C43" i="8" a="1"/>
  <c r="C43" i="8" s="1"/>
  <c r="C54" i="8" a="1"/>
  <c r="C54" i="8" s="1"/>
  <c r="D54" i="8" s="1" a="1"/>
  <c r="D54" i="8" s="1"/>
  <c r="C65" i="8" a="1"/>
  <c r="C65" i="8" s="1"/>
  <c r="D65" i="8" s="1" a="1"/>
  <c r="D65" i="8" s="1"/>
  <c r="C77" i="8" a="1"/>
  <c r="C77" i="8" s="1"/>
  <c r="D77" i="8" s="1" a="1"/>
  <c r="D77" i="8" s="1"/>
  <c r="C70" i="8" a="1"/>
  <c r="C70" i="8" s="1"/>
  <c r="D70" i="8" s="1" a="1"/>
  <c r="D70" i="8" s="1"/>
  <c r="I86" i="8"/>
  <c r="J86" i="8" s="1"/>
  <c r="K49" i="8"/>
  <c r="L49" i="8" s="1"/>
  <c r="K60" i="8"/>
  <c r="L60" i="8" s="1"/>
  <c r="C55" i="8" a="1"/>
  <c r="C55" i="8" s="1"/>
  <c r="D55" i="8" s="1" a="1"/>
  <c r="D55" i="8" s="1"/>
  <c r="C66" i="8" a="1"/>
  <c r="C66" i="8" s="1"/>
  <c r="D66" i="8" s="1" a="1"/>
  <c r="D66" i="8" s="1"/>
  <c r="C78" i="8" a="1"/>
  <c r="C78" i="8" s="1"/>
  <c r="D78" i="8" s="1" a="1"/>
  <c r="D78" i="8" s="1"/>
  <c r="C82" i="8" a="1"/>
  <c r="C82" i="8" s="1"/>
  <c r="D82" i="8" s="1" a="1"/>
  <c r="D82" i="8" s="1"/>
  <c r="K50" i="8"/>
  <c r="L50" i="8" s="1"/>
  <c r="K61" i="8"/>
  <c r="L61" i="8" s="1"/>
  <c r="K72" i="8"/>
  <c r="L72" i="8" s="1"/>
  <c r="IG86" i="8"/>
  <c r="IH86" i="8" s="1"/>
  <c r="II60" i="8"/>
  <c r="IM49" i="8"/>
  <c r="IN49" i="8" s="1"/>
  <c r="IM60" i="8"/>
  <c r="IO86" i="8"/>
  <c r="IP86" i="8" s="1"/>
  <c r="IQ49" i="8"/>
  <c r="IR49" i="8" s="1"/>
  <c r="IQ60" i="8"/>
  <c r="IR60" i="8" s="1"/>
  <c r="IS86" i="8"/>
  <c r="IT86" i="8" s="1"/>
  <c r="IU49" i="8"/>
  <c r="IV49" i="8" s="1"/>
  <c r="IU60" i="8"/>
  <c r="IV60" i="8" s="1"/>
  <c r="IY60" i="8"/>
  <c r="IZ60" i="8" s="1"/>
  <c r="C45" i="8" a="1"/>
  <c r="C45" i="8" s="1"/>
  <c r="D45" i="8" s="1" a="1"/>
  <c r="D45" i="8" s="1"/>
  <c r="C56" i="8" a="1"/>
  <c r="C56" i="8" s="1"/>
  <c r="D56" i="8" s="1" a="1"/>
  <c r="D56" i="8" s="1"/>
  <c r="C67" i="8" a="1"/>
  <c r="C67" i="8" s="1"/>
  <c r="D67" i="8" s="1" a="1"/>
  <c r="D67" i="8" s="1"/>
  <c r="C79" i="8" a="1"/>
  <c r="C79" i="8" s="1"/>
  <c r="D79" i="8" s="1" a="1"/>
  <c r="D79" i="8" s="1"/>
  <c r="C42" i="8" a="1"/>
  <c r="C42" i="8" s="1"/>
  <c r="D42" i="8" s="1" a="1"/>
  <c r="D42" i="8" s="1"/>
  <c r="G62" i="8"/>
  <c r="H62" i="8" s="1"/>
  <c r="G73" i="8"/>
  <c r="H73" i="8" s="1"/>
  <c r="G84" i="8"/>
  <c r="H84" i="8" s="1"/>
  <c r="K62" i="8"/>
  <c r="L62" i="8" s="1"/>
  <c r="K73" i="8"/>
  <c r="L73" i="8" s="1"/>
  <c r="K84" i="8"/>
  <c r="L84" i="8" s="1"/>
  <c r="GA50" i="8"/>
  <c r="GA61" i="8"/>
  <c r="GB61" i="8" s="1"/>
  <c r="GA72" i="8"/>
  <c r="GB72" i="8" s="1"/>
  <c r="GE50" i="8"/>
  <c r="GF50" i="8" s="1"/>
  <c r="GE61" i="8"/>
  <c r="GF61" i="8" s="1"/>
  <c r="GI50" i="8"/>
  <c r="GJ50" i="8" s="1"/>
  <c r="GI61" i="8"/>
  <c r="GJ61" i="8" s="1"/>
  <c r="GI72" i="8"/>
  <c r="GJ72" i="8" s="1"/>
  <c r="GM50" i="8"/>
  <c r="GN50" i="8" s="1"/>
  <c r="GM72" i="8"/>
  <c r="GN72" i="8" s="1"/>
  <c r="GQ50" i="8"/>
  <c r="GR50" i="8" s="1"/>
  <c r="GQ61" i="8"/>
  <c r="GR61" i="8" s="1"/>
  <c r="GU61" i="8"/>
  <c r="GV61" i="8" s="1"/>
  <c r="GU72" i="8"/>
  <c r="GV72" i="8" s="1"/>
  <c r="GY72" i="8"/>
  <c r="GZ72" i="8" s="1"/>
  <c r="HC50" i="8"/>
  <c r="HC61" i="8"/>
  <c r="HC72" i="8"/>
  <c r="HD72" i="8" s="1"/>
  <c r="HG50" i="8"/>
  <c r="HH50" i="8" s="1"/>
  <c r="HG61" i="8"/>
  <c r="HH61" i="8" s="1"/>
  <c r="HK50" i="8"/>
  <c r="HL50" i="8" s="1"/>
  <c r="HK61" i="8"/>
  <c r="HL61" i="8" s="1"/>
  <c r="HO50" i="8"/>
  <c r="HO61" i="8"/>
  <c r="HP61" i="8" s="1"/>
  <c r="HS50" i="8"/>
  <c r="HT50" i="8" s="1"/>
  <c r="HS72" i="8"/>
  <c r="HT72" i="8" s="1"/>
  <c r="HW50" i="8"/>
  <c r="HX50" i="8" s="1"/>
  <c r="HW61" i="8"/>
  <c r="HW72" i="8"/>
  <c r="HX72" i="8" s="1"/>
  <c r="IA61" i="8"/>
  <c r="IB61" i="8" s="1"/>
  <c r="IE72" i="8"/>
  <c r="IF72" i="8" s="1"/>
  <c r="II61" i="8"/>
  <c r="IJ61" i="8" s="1"/>
  <c r="II72" i="8"/>
  <c r="IJ72" i="8" s="1"/>
  <c r="IM50" i="8"/>
  <c r="IN50" i="8" s="1"/>
  <c r="IM61" i="8"/>
  <c r="IN61" i="8" s="1"/>
  <c r="IM72" i="8"/>
  <c r="IN72" i="8" s="1"/>
  <c r="IQ50" i="8"/>
  <c r="IR50" i="8" s="1"/>
  <c r="IQ61" i="8"/>
  <c r="IR61" i="8" s="1"/>
  <c r="IQ72" i="8"/>
  <c r="IR72" i="8" s="1"/>
  <c r="IU61" i="8"/>
  <c r="IV61" i="8" s="1"/>
  <c r="IY50" i="8"/>
  <c r="IY72" i="8"/>
  <c r="IZ72" i="8" s="1"/>
  <c r="C46" i="8" a="1"/>
  <c r="C46" i="8" s="1"/>
  <c r="C57" i="8" a="1"/>
  <c r="C57" i="8" s="1"/>
  <c r="D57" i="8" s="1" a="1"/>
  <c r="D57" i="8" s="1"/>
  <c r="C68" i="8" a="1"/>
  <c r="C68" i="8" s="1"/>
  <c r="D68" i="8" s="1" a="1"/>
  <c r="D68" i="8" s="1"/>
  <c r="C80" i="8" a="1"/>
  <c r="C80" i="8" s="1"/>
  <c r="D80" i="8" s="1" a="1"/>
  <c r="D80" i="8" s="1"/>
  <c r="G74" i="8"/>
  <c r="H74" i="8" s="1"/>
  <c r="I48" i="8"/>
  <c r="C2" i="6"/>
  <c r="C83" i="8" a="1"/>
  <c r="C83" i="8" s="1"/>
  <c r="D83" i="8" s="1" a="1"/>
  <c r="D83" i="8" s="1"/>
  <c r="I62" i="8"/>
  <c r="J62" i="8" s="1"/>
  <c r="I73" i="8"/>
  <c r="J73" i="8" s="1"/>
  <c r="I84" i="8"/>
  <c r="J84" i="8" s="1"/>
  <c r="G48" i="8"/>
  <c r="I74" i="8"/>
  <c r="J74" i="8" s="1"/>
  <c r="I85" i="8"/>
  <c r="J85" i="8" s="1"/>
  <c r="K48" i="8"/>
  <c r="L48" i="8" s="1"/>
  <c r="E84" i="8"/>
  <c r="C64" i="8" a="1"/>
  <c r="C64" i="8" s="1"/>
  <c r="D64" i="8" s="1" a="1"/>
  <c r="D64" i="8" s="1"/>
  <c r="E74" i="8"/>
  <c r="C51" i="8" a="1"/>
  <c r="C51" i="8" s="1"/>
  <c r="D51" i="8" s="1" a="1"/>
  <c r="D51" i="8" s="1"/>
  <c r="C52" i="8" a="1"/>
  <c r="C52" i="8" s="1"/>
  <c r="D52" i="8" s="1" a="1"/>
  <c r="D52" i="8" s="1"/>
  <c r="C53" i="8" a="1"/>
  <c r="C53" i="8" s="1"/>
  <c r="C75" i="8" a="1"/>
  <c r="C75" i="8" s="1"/>
  <c r="D75" i="8" s="1" a="1"/>
  <c r="D75" i="8" s="1"/>
  <c r="E86" i="8"/>
  <c r="F86" i="8" s="1"/>
  <c r="G50" i="8"/>
  <c r="H50" i="8" s="1"/>
  <c r="E72" i="8"/>
  <c r="F72" i="8" s="1"/>
  <c r="K10" i="27" l="1"/>
  <c r="I10" i="27"/>
  <c r="J10" i="27" s="1"/>
  <c r="D43" i="8" a="1"/>
  <c r="D43" i="8" s="1"/>
  <c r="O16" i="27"/>
  <c r="D36" i="6"/>
  <c r="AA46" i="10"/>
  <c r="X46" i="10" s="1"/>
  <c r="G15" i="27"/>
  <c r="G16" i="27" s="1"/>
  <c r="Q5" i="27"/>
  <c r="E34" i="6"/>
  <c r="E14" i="6" s="1"/>
  <c r="AC38" i="3"/>
  <c r="O5" i="27"/>
  <c r="P5" i="27" s="1"/>
  <c r="D5" i="23"/>
  <c r="H5" i="23" s="1"/>
  <c r="J50" i="3"/>
  <c r="J20" i="3"/>
  <c r="O20" i="3"/>
  <c r="L37" i="10"/>
  <c r="H50" i="3"/>
  <c r="AI39" i="3" s="1"/>
  <c r="S39" i="3"/>
  <c r="U39" i="3" s="1"/>
  <c r="S43" i="3"/>
  <c r="U43" i="3" s="1"/>
  <c r="S48" i="3"/>
  <c r="U48" i="3" s="1"/>
  <c r="S38" i="3"/>
  <c r="U38" i="3" s="1"/>
  <c r="Q104" i="18"/>
  <c r="T104" i="18" s="1"/>
  <c r="E14" i="18"/>
  <c r="Q76" i="18"/>
  <c r="T76" i="18" s="1"/>
  <c r="E10" i="18"/>
  <c r="Q62" i="18"/>
  <c r="T62" i="18" s="1"/>
  <c r="E8" i="18"/>
  <c r="D21" i="18"/>
  <c r="Q132" i="18"/>
  <c r="T132" i="18" s="1"/>
  <c r="E18" i="18"/>
  <c r="AB37" i="3"/>
  <c r="I50" i="3"/>
  <c r="S37" i="3"/>
  <c r="U37" i="3" s="1"/>
  <c r="S47" i="3"/>
  <c r="U47" i="3" s="1"/>
  <c r="Q146" i="18"/>
  <c r="S146" i="18" s="1"/>
  <c r="E20" i="18"/>
  <c r="F20" i="18" s="1"/>
  <c r="Q125" i="18"/>
  <c r="T125" i="18" s="1"/>
  <c r="E17" i="18"/>
  <c r="Q90" i="18"/>
  <c r="S90" i="18" s="1"/>
  <c r="E12" i="18"/>
  <c r="F50" i="3"/>
  <c r="AI38" i="3" s="1"/>
  <c r="AI37" i="3"/>
  <c r="M10" i="18"/>
  <c r="S41" i="3"/>
  <c r="U41" i="3" s="1"/>
  <c r="S42" i="3"/>
  <c r="U42" i="3" s="1"/>
  <c r="AB42" i="3"/>
  <c r="AC37" i="3"/>
  <c r="Q139" i="18"/>
  <c r="S139" i="18" s="1"/>
  <c r="E19" i="18"/>
  <c r="Q97" i="18"/>
  <c r="S97" i="18" s="1"/>
  <c r="E13" i="18"/>
  <c r="Q111" i="18"/>
  <c r="S111" i="18" s="1"/>
  <c r="E15" i="18"/>
  <c r="AB46" i="3"/>
  <c r="S46" i="3"/>
  <c r="U46" i="3" s="1"/>
  <c r="Q69" i="18"/>
  <c r="S69" i="18" s="1"/>
  <c r="E9" i="18"/>
  <c r="S44" i="3"/>
  <c r="U44" i="3" s="1"/>
  <c r="R42" i="3"/>
  <c r="K13" i="18"/>
  <c r="L13" i="18" s="1"/>
  <c r="N13" i="18" s="1"/>
  <c r="AE42" i="3" s="1"/>
  <c r="M8" i="18"/>
  <c r="K8" i="18"/>
  <c r="R63" i="18" s="1"/>
  <c r="K10" i="18"/>
  <c r="L10" i="18" s="1"/>
  <c r="M20" i="18"/>
  <c r="K20" i="18"/>
  <c r="R147" i="18" s="1"/>
  <c r="AC42" i="3"/>
  <c r="Y50" i="3"/>
  <c r="AA50" i="3" s="1"/>
  <c r="R96" i="18"/>
  <c r="S96" i="18" s="1"/>
  <c r="AC39" i="3"/>
  <c r="K49" i="3"/>
  <c r="AC49" i="3"/>
  <c r="R47" i="3"/>
  <c r="R110" i="18"/>
  <c r="M15" i="18"/>
  <c r="K15" i="18"/>
  <c r="T145" i="18"/>
  <c r="S145" i="18"/>
  <c r="N42" i="3"/>
  <c r="R89" i="18"/>
  <c r="K12" i="18"/>
  <c r="M12" i="18"/>
  <c r="I21" i="18"/>
  <c r="J21" i="18" s="1"/>
  <c r="R68" i="18"/>
  <c r="R103" i="18"/>
  <c r="M14" i="18"/>
  <c r="K14" i="18"/>
  <c r="S75" i="18"/>
  <c r="T75" i="18"/>
  <c r="T120" i="18"/>
  <c r="S120" i="18"/>
  <c r="R138" i="18"/>
  <c r="M19" i="18"/>
  <c r="K19" i="18"/>
  <c r="T61" i="18"/>
  <c r="S61" i="18"/>
  <c r="R131" i="18"/>
  <c r="M18" i="18"/>
  <c r="K18" i="18"/>
  <c r="K17" i="18"/>
  <c r="R124" i="18"/>
  <c r="M17" i="18"/>
  <c r="N48" i="3"/>
  <c r="P48" i="3"/>
  <c r="R48" i="3" s="1"/>
  <c r="K47" i="3"/>
  <c r="N46" i="3"/>
  <c r="P46" i="3"/>
  <c r="R46" i="3" s="1"/>
  <c r="N47" i="3"/>
  <c r="N44" i="3"/>
  <c r="P44" i="3"/>
  <c r="R44" i="3" s="1"/>
  <c r="L50" i="3"/>
  <c r="N49" i="3"/>
  <c r="P49" i="3"/>
  <c r="N37" i="3"/>
  <c r="P37" i="3"/>
  <c r="R37" i="3" s="1"/>
  <c r="N43" i="3"/>
  <c r="P43" i="3"/>
  <c r="R43" i="3" s="1"/>
  <c r="N38" i="3"/>
  <c r="P38" i="3"/>
  <c r="R38" i="3" s="1"/>
  <c r="K39" i="3"/>
  <c r="G50" i="3"/>
  <c r="AL38" i="3" s="1"/>
  <c r="AL37" i="3"/>
  <c r="N39" i="3"/>
  <c r="P39" i="3"/>
  <c r="R39" i="3" s="1"/>
  <c r="K41" i="3"/>
  <c r="N41" i="3"/>
  <c r="P41" i="3"/>
  <c r="R41" i="3" s="1"/>
  <c r="K48" i="3"/>
  <c r="K37" i="3"/>
  <c r="K42" i="3"/>
  <c r="K46" i="3"/>
  <c r="K43" i="3"/>
  <c r="K38" i="3"/>
  <c r="K44" i="3"/>
  <c r="D46" i="8" a="1"/>
  <c r="D46" i="8" s="1"/>
  <c r="D47" i="8" a="1"/>
  <c r="D47" i="8" s="1"/>
  <c r="H20" i="3"/>
  <c r="H27" i="3"/>
  <c r="J46" i="10"/>
  <c r="D44" i="8" a="1"/>
  <c r="D44" i="8" s="1"/>
  <c r="BW88" i="8"/>
  <c r="FU89" i="8"/>
  <c r="FV89" i="8" s="1"/>
  <c r="D39" i="8" a="1"/>
  <c r="D39" i="8" s="1"/>
  <c r="C3" i="6" s="1"/>
  <c r="C4" i="6" s="1"/>
  <c r="DG89" i="8"/>
  <c r="DH89" i="8" s="1"/>
  <c r="AI88" i="8"/>
  <c r="AJ88" i="8" s="1"/>
  <c r="BG88" i="8"/>
  <c r="DU88" i="8"/>
  <c r="E88" i="8"/>
  <c r="DY89" i="8"/>
  <c r="DZ89" i="8" s="1"/>
  <c r="HG88" i="8"/>
  <c r="HH88" i="8" s="1"/>
  <c r="HO88" i="8"/>
  <c r="HP88" i="8" s="1"/>
  <c r="EC89" i="8"/>
  <c r="ED89" i="8" s="1"/>
  <c r="BH48" i="8"/>
  <c r="CI89" i="8"/>
  <c r="CJ89" i="8" s="1"/>
  <c r="EG89" i="8"/>
  <c r="EH89" i="8" s="1"/>
  <c r="HM90" i="8"/>
  <c r="HN90" i="8" s="1"/>
  <c r="AO88" i="8"/>
  <c r="AP88" i="8" s="1"/>
  <c r="BI88" i="8"/>
  <c r="BJ88" i="8" s="1"/>
  <c r="DK88" i="8"/>
  <c r="HQ89" i="8"/>
  <c r="HR89" i="8" s="1"/>
  <c r="FG88" i="8"/>
  <c r="FH88" i="8" s="1"/>
  <c r="IK88" i="8"/>
  <c r="U88" i="8"/>
  <c r="V88" i="8" s="1"/>
  <c r="BI90" i="8"/>
  <c r="CM89" i="8"/>
  <c r="FK88" i="8"/>
  <c r="GC90" i="8"/>
  <c r="CM90" i="8"/>
  <c r="AS90" i="8"/>
  <c r="BX48" i="8"/>
  <c r="EM88" i="8"/>
  <c r="EN88" i="8" s="1"/>
  <c r="GQ88" i="8"/>
  <c r="GR88" i="8" s="1"/>
  <c r="FM90" i="8"/>
  <c r="DU89" i="8"/>
  <c r="DV89" i="8" s="1"/>
  <c r="GW88" i="8"/>
  <c r="GX88" i="8" s="1"/>
  <c r="AG88" i="8"/>
  <c r="AH88" i="8" s="1"/>
  <c r="GA89" i="8"/>
  <c r="GB89" i="8" s="1"/>
  <c r="HU89" i="8"/>
  <c r="GY89" i="8"/>
  <c r="DV60" i="8"/>
  <c r="FL48" i="8"/>
  <c r="C72" i="8"/>
  <c r="D72" i="8" s="1"/>
  <c r="CN49" i="8"/>
  <c r="AK88" i="8"/>
  <c r="AL88" i="8" s="1"/>
  <c r="CY88" i="8"/>
  <c r="CZ88" i="8" s="1"/>
  <c r="C48" i="8"/>
  <c r="IL48" i="8"/>
  <c r="AK89" i="8"/>
  <c r="HA90" i="8"/>
  <c r="EI89" i="8"/>
  <c r="FY88" i="8"/>
  <c r="CQ88" i="8"/>
  <c r="CR88" i="8" s="1"/>
  <c r="AC88" i="8"/>
  <c r="AD88" i="8" s="1"/>
  <c r="BM88" i="8"/>
  <c r="BN88" i="8" s="1"/>
  <c r="BQ89" i="8"/>
  <c r="BR89" i="8" s="1"/>
  <c r="IS88" i="8"/>
  <c r="IT88" i="8" s="1"/>
  <c r="HG89" i="8"/>
  <c r="DS88" i="8"/>
  <c r="FW88" i="8"/>
  <c r="FX88" i="8" s="1"/>
  <c r="EC88" i="8"/>
  <c r="ED88" i="8" s="1"/>
  <c r="AS88" i="8"/>
  <c r="AT88" i="8" s="1"/>
  <c r="IC88" i="8"/>
  <c r="ID88" i="8" s="1"/>
  <c r="BK90" i="8"/>
  <c r="BL90" i="8" s="1"/>
  <c r="HQ88" i="8"/>
  <c r="HR88" i="8" s="1"/>
  <c r="DY88" i="8"/>
  <c r="DZ88" i="8" s="1"/>
  <c r="Y88" i="8"/>
  <c r="Z88" i="8" s="1"/>
  <c r="HW88" i="8"/>
  <c r="HX88" i="8" s="1"/>
  <c r="FW89" i="8"/>
  <c r="FZ48" i="8"/>
  <c r="BI89" i="8"/>
  <c r="BJ89" i="8" s="1"/>
  <c r="AL49" i="8"/>
  <c r="FX49" i="8"/>
  <c r="IW89" i="8"/>
  <c r="GO89" i="8"/>
  <c r="GK89" i="8"/>
  <c r="GL89" i="8" s="1"/>
  <c r="HY90" i="8"/>
  <c r="HZ90" i="8" s="1"/>
  <c r="FQ90" i="8"/>
  <c r="FR90" i="8" s="1"/>
  <c r="AK90" i="8"/>
  <c r="AL90" i="8" s="1"/>
  <c r="AO90" i="8"/>
  <c r="AP90" i="8" s="1"/>
  <c r="EA90" i="8"/>
  <c r="EB90" i="8" s="1"/>
  <c r="CE90" i="8"/>
  <c r="CF90" i="8" s="1"/>
  <c r="FN50" i="8"/>
  <c r="AE90" i="8"/>
  <c r="AF90" i="8" s="1"/>
  <c r="IW90" i="8"/>
  <c r="IX90" i="8" s="1"/>
  <c r="BM90" i="8"/>
  <c r="BN90" i="8" s="1"/>
  <c r="CN50" i="8"/>
  <c r="BC90" i="8"/>
  <c r="BD90" i="8" s="1"/>
  <c r="AT50" i="8"/>
  <c r="DU90" i="8"/>
  <c r="DV90" i="8" s="1"/>
  <c r="HU90" i="8"/>
  <c r="HV90" i="8" s="1"/>
  <c r="AC89" i="8"/>
  <c r="AD89" i="8" s="1"/>
  <c r="EU89" i="8"/>
  <c r="EV89" i="8" s="1"/>
  <c r="BO90" i="8"/>
  <c r="BP90" i="8" s="1"/>
  <c r="HY89" i="8"/>
  <c r="HZ89" i="8" s="1"/>
  <c r="BE90" i="8"/>
  <c r="BF90" i="8" s="1"/>
  <c r="G89" i="8"/>
  <c r="H89" i="8" s="1"/>
  <c r="IS90" i="8"/>
  <c r="IT90" i="8" s="1"/>
  <c r="BA89" i="8"/>
  <c r="BB89" i="8" s="1"/>
  <c r="HV49" i="8"/>
  <c r="DA90" i="8"/>
  <c r="DB90" i="8" s="1"/>
  <c r="AM89" i="8"/>
  <c r="AN89" i="8" s="1"/>
  <c r="DQ89" i="8"/>
  <c r="DR89" i="8" s="1"/>
  <c r="IE89" i="8"/>
  <c r="IF89" i="8" s="1"/>
  <c r="GZ49" i="8"/>
  <c r="IA89" i="8"/>
  <c r="IB89" i="8" s="1"/>
  <c r="IG89" i="8"/>
  <c r="IH89" i="8" s="1"/>
  <c r="GC89" i="8"/>
  <c r="GD89" i="8" s="1"/>
  <c r="K90" i="8"/>
  <c r="L90" i="8" s="1"/>
  <c r="O89" i="8"/>
  <c r="P89" i="8" s="1"/>
  <c r="HA89" i="8"/>
  <c r="FQ89" i="8"/>
  <c r="HV48" i="8"/>
  <c r="HU88" i="8"/>
  <c r="HN84" i="8"/>
  <c r="HM88" i="8"/>
  <c r="CH72" i="8"/>
  <c r="CG88" i="8"/>
  <c r="GS88" i="8"/>
  <c r="GT72" i="8"/>
  <c r="GN73" i="8"/>
  <c r="GM89" i="8"/>
  <c r="AV50" i="8"/>
  <c r="AU90" i="8"/>
  <c r="P50" i="8"/>
  <c r="O90" i="8"/>
  <c r="AV48" i="8"/>
  <c r="AU88" i="8"/>
  <c r="FR84" i="8"/>
  <c r="FQ88" i="8"/>
  <c r="GF62" i="8"/>
  <c r="GE90" i="8"/>
  <c r="EY89" i="8"/>
  <c r="EZ89" i="8" s="1"/>
  <c r="GE88" i="8"/>
  <c r="GF88" i="8" s="1"/>
  <c r="DO88" i="8"/>
  <c r="DP88" i="8" s="1"/>
  <c r="BF49" i="8"/>
  <c r="BE89" i="8"/>
  <c r="U89" i="8"/>
  <c r="V89" i="8" s="1"/>
  <c r="EN50" i="8"/>
  <c r="EM90" i="8"/>
  <c r="EJ48" i="8"/>
  <c r="EI88" i="8"/>
  <c r="DD85" i="8"/>
  <c r="DC89" i="8"/>
  <c r="BE88" i="8"/>
  <c r="BF48" i="8"/>
  <c r="AB84" i="8"/>
  <c r="AA88" i="8"/>
  <c r="J48" i="8"/>
  <c r="I88" i="8"/>
  <c r="HD61" i="8"/>
  <c r="HC89" i="8"/>
  <c r="GA90" i="8"/>
  <c r="GB50" i="8"/>
  <c r="HJ49" i="8"/>
  <c r="HI89" i="8"/>
  <c r="BY89" i="8"/>
  <c r="BZ49" i="8"/>
  <c r="AO89" i="8"/>
  <c r="AP49" i="8"/>
  <c r="BZ48" i="8"/>
  <c r="BY88" i="8"/>
  <c r="CB73" i="8"/>
  <c r="CA89" i="8"/>
  <c r="AN50" i="8"/>
  <c r="AM90" i="8"/>
  <c r="FY90" i="8"/>
  <c r="FZ90" i="8" s="1"/>
  <c r="DK90" i="8"/>
  <c r="DL90" i="8" s="1"/>
  <c r="Y89" i="8"/>
  <c r="Z89" i="8" s="1"/>
  <c r="HD50" i="8"/>
  <c r="HC90" i="8"/>
  <c r="J49" i="8"/>
  <c r="I89" i="8"/>
  <c r="DX62" i="8"/>
  <c r="DW90" i="8"/>
  <c r="DB49" i="8"/>
  <c r="DA89" i="8"/>
  <c r="HB61" i="8"/>
  <c r="R60" i="8"/>
  <c r="Q88" i="8"/>
  <c r="CI90" i="8"/>
  <c r="FU90" i="8"/>
  <c r="FV90" i="8" s="1"/>
  <c r="F84" i="8"/>
  <c r="CG90" i="8"/>
  <c r="CH90" i="8" s="1"/>
  <c r="DI88" i="8"/>
  <c r="DJ88" i="8" s="1"/>
  <c r="HF50" i="8"/>
  <c r="HE90" i="8"/>
  <c r="IH60" i="8"/>
  <c r="IG88" i="8"/>
  <c r="IJ62" i="8"/>
  <c r="II90" i="8"/>
  <c r="HT49" i="8"/>
  <c r="HS89" i="8"/>
  <c r="BT49" i="8"/>
  <c r="BS89" i="8"/>
  <c r="EK89" i="8"/>
  <c r="CL85" i="8"/>
  <c r="CK89" i="8"/>
  <c r="R49" i="8"/>
  <c r="Q89" i="8"/>
  <c r="EF48" i="8"/>
  <c r="EE88" i="8"/>
  <c r="BB48" i="8"/>
  <c r="BA88" i="8"/>
  <c r="AQ89" i="8"/>
  <c r="AX60" i="8"/>
  <c r="AW88" i="8"/>
  <c r="EZ60" i="8"/>
  <c r="EY88" i="8"/>
  <c r="BD49" i="8"/>
  <c r="BC89" i="8"/>
  <c r="FM89" i="8"/>
  <c r="FN61" i="8"/>
  <c r="FR61" i="8"/>
  <c r="AZ48" i="8"/>
  <c r="AY88" i="8"/>
  <c r="GO88" i="8"/>
  <c r="GO90" i="8"/>
  <c r="GP50" i="8"/>
  <c r="AB73" i="8"/>
  <c r="AA89" i="8"/>
  <c r="Q90" i="8"/>
  <c r="R90" i="8" s="1"/>
  <c r="HJ50" i="8"/>
  <c r="HI90" i="8"/>
  <c r="DN49" i="8"/>
  <c r="DM89" i="8"/>
  <c r="AF48" i="8"/>
  <c r="AE88" i="8"/>
  <c r="AU89" i="8"/>
  <c r="AV49" i="8"/>
  <c r="T48" i="8"/>
  <c r="S88" i="8"/>
  <c r="IO89" i="8"/>
  <c r="IP89" i="8" s="1"/>
  <c r="EG88" i="8"/>
  <c r="EH88" i="8" s="1"/>
  <c r="S89" i="8"/>
  <c r="T89" i="8" s="1"/>
  <c r="IN60" i="8"/>
  <c r="IM88" i="8"/>
  <c r="CJ48" i="8"/>
  <c r="CI88" i="8"/>
  <c r="N49" i="8"/>
  <c r="M89" i="8"/>
  <c r="CC88" i="8"/>
  <c r="CD88" i="8" s="1"/>
  <c r="GE89" i="8"/>
  <c r="GF89" i="8" s="1"/>
  <c r="AC90" i="8"/>
  <c r="AD90" i="8" s="1"/>
  <c r="FL49" i="8"/>
  <c r="FK89" i="8"/>
  <c r="GP72" i="8"/>
  <c r="EJ85" i="8"/>
  <c r="HW90" i="8"/>
  <c r="HX90" i="8" s="1"/>
  <c r="HH62" i="8"/>
  <c r="HG90" i="8"/>
  <c r="IB50" i="8"/>
  <c r="IA90" i="8"/>
  <c r="EH50" i="8"/>
  <c r="EG90" i="8"/>
  <c r="GP61" i="8"/>
  <c r="CH61" i="8"/>
  <c r="CG89" i="8"/>
  <c r="EU88" i="8"/>
  <c r="EV88" i="8" s="1"/>
  <c r="BV85" i="8"/>
  <c r="BU89" i="8"/>
  <c r="BB74" i="8"/>
  <c r="BA90" i="8"/>
  <c r="AX49" i="8"/>
  <c r="AW89" i="8"/>
  <c r="IP48" i="8"/>
  <c r="IO88" i="8"/>
  <c r="GS89" i="8"/>
  <c r="GT89" i="8" s="1"/>
  <c r="EN49" i="8"/>
  <c r="EM89" i="8"/>
  <c r="N50" i="8"/>
  <c r="M90" i="8"/>
  <c r="N48" i="8"/>
  <c r="M88" i="8"/>
  <c r="DN74" i="8"/>
  <c r="DM90" i="8"/>
  <c r="P60" i="8"/>
  <c r="O88" i="8"/>
  <c r="ER60" i="8"/>
  <c r="EQ88" i="8"/>
  <c r="IK89" i="8"/>
  <c r="IL89" i="8" s="1"/>
  <c r="DT48" i="8"/>
  <c r="BD72" i="8"/>
  <c r="BC88" i="8"/>
  <c r="HR86" i="8"/>
  <c r="HQ90" i="8"/>
  <c r="CL74" i="8"/>
  <c r="CK90" i="8"/>
  <c r="GX61" i="8"/>
  <c r="GW89" i="8"/>
  <c r="EP48" i="8"/>
  <c r="EO88" i="8"/>
  <c r="EE89" i="8"/>
  <c r="EF89" i="8" s="1"/>
  <c r="DL48" i="8"/>
  <c r="GK88" i="8"/>
  <c r="GL88" i="8" s="1"/>
  <c r="DA88" i="8"/>
  <c r="DB88" i="8" s="1"/>
  <c r="IM89" i="8"/>
  <c r="IN89" i="8" s="1"/>
  <c r="FS90" i="8"/>
  <c r="FT50" i="8"/>
  <c r="DL61" i="8"/>
  <c r="DK89" i="8"/>
  <c r="FJ48" i="8"/>
  <c r="FI88" i="8"/>
  <c r="AY89" i="8"/>
  <c r="AZ89" i="8" s="1"/>
  <c r="AS89" i="8"/>
  <c r="AT89" i="8" s="1"/>
  <c r="HX61" i="8"/>
  <c r="HW89" i="8"/>
  <c r="IJ60" i="8"/>
  <c r="II88" i="8"/>
  <c r="IB72" i="8"/>
  <c r="IA88" i="8"/>
  <c r="HO89" i="8"/>
  <c r="HP49" i="8"/>
  <c r="AG89" i="8"/>
  <c r="AH89" i="8" s="1"/>
  <c r="BG89" i="8"/>
  <c r="BH89" i="8" s="1"/>
  <c r="U90" i="8"/>
  <c r="V90" i="8" s="1"/>
  <c r="FS89" i="8"/>
  <c r="FT89" i="8" s="1"/>
  <c r="IM90" i="8"/>
  <c r="IN90" i="8" s="1"/>
  <c r="CC90" i="8"/>
  <c r="CD90" i="8" s="1"/>
  <c r="EL61" i="8"/>
  <c r="HB48" i="8"/>
  <c r="HA88" i="8"/>
  <c r="FP50" i="8"/>
  <c r="FO90" i="8"/>
  <c r="HL60" i="8"/>
  <c r="HK88" i="8"/>
  <c r="GB48" i="8"/>
  <c r="GA88" i="8"/>
  <c r="CF48" i="8"/>
  <c r="CE88" i="8"/>
  <c r="DC90" i="8"/>
  <c r="CO89" i="8"/>
  <c r="CP89" i="8" s="1"/>
  <c r="E89" i="8"/>
  <c r="F89" i="8" s="1"/>
  <c r="DG88" i="8"/>
  <c r="DH88" i="8" s="1"/>
  <c r="C86" i="8"/>
  <c r="D86" i="8" s="1"/>
  <c r="II89" i="8"/>
  <c r="IJ89" i="8" s="1"/>
  <c r="CE89" i="8"/>
  <c r="CF89" i="8" s="1"/>
  <c r="BK88" i="8"/>
  <c r="BL88" i="8" s="1"/>
  <c r="BW89" i="8"/>
  <c r="BX89" i="8" s="1"/>
  <c r="HO90" i="8"/>
  <c r="IX73" i="8"/>
  <c r="CK88" i="8"/>
  <c r="GG90" i="8"/>
  <c r="AI90" i="8"/>
  <c r="AJ90" i="8" s="1"/>
  <c r="HK89" i="8"/>
  <c r="HL89" i="8" s="1"/>
  <c r="G88" i="8"/>
  <c r="CA88" i="8"/>
  <c r="CB88" i="8" s="1"/>
  <c r="BM89" i="8"/>
  <c r="BN89" i="8" s="1"/>
  <c r="IW88" i="8"/>
  <c r="IX88" i="8" s="1"/>
  <c r="GD50" i="8"/>
  <c r="CJ50" i="8"/>
  <c r="BS90" i="8"/>
  <c r="BT90" i="8" s="1"/>
  <c r="GC88" i="8"/>
  <c r="GD88" i="8" s="1"/>
  <c r="C62" i="8"/>
  <c r="HK90" i="8"/>
  <c r="HL90" i="8" s="1"/>
  <c r="IY88" i="8"/>
  <c r="IZ88" i="8" s="1"/>
  <c r="BW90" i="8"/>
  <c r="BX90" i="8" s="1"/>
  <c r="CO88" i="8"/>
  <c r="CP88" i="8" s="1"/>
  <c r="FY89" i="8"/>
  <c r="FZ89" i="8" s="1"/>
  <c r="HH49" i="8"/>
  <c r="GU89" i="8"/>
  <c r="GV89" i="8" s="1"/>
  <c r="AR49" i="8"/>
  <c r="BU88" i="8"/>
  <c r="BV88" i="8" s="1"/>
  <c r="IU88" i="8"/>
  <c r="IV88" i="8" s="1"/>
  <c r="IY89" i="8"/>
  <c r="IZ89" i="8" s="1"/>
  <c r="HC88" i="8"/>
  <c r="HD88" i="8" s="1"/>
  <c r="IU90" i="8"/>
  <c r="DI89" i="8"/>
  <c r="DJ89" i="8" s="1"/>
  <c r="AI89" i="8"/>
  <c r="AJ89" i="8" s="1"/>
  <c r="IC89" i="8"/>
  <c r="DD50" i="8"/>
  <c r="BK89" i="8"/>
  <c r="BL89" i="8" s="1"/>
  <c r="FA88" i="8"/>
  <c r="FB88" i="8" s="1"/>
  <c r="FS88" i="8"/>
  <c r="FT88" i="8" s="1"/>
  <c r="GU88" i="8"/>
  <c r="GV88" i="8" s="1"/>
  <c r="BJ50" i="8"/>
  <c r="HS88" i="8"/>
  <c r="AW90" i="8"/>
  <c r="AX90" i="8" s="1"/>
  <c r="GS90" i="8"/>
  <c r="GT90" i="8" s="1"/>
  <c r="BQ90" i="8"/>
  <c r="BR90" i="8" s="1"/>
  <c r="EU90" i="8"/>
  <c r="EV90" i="8" s="1"/>
  <c r="FK90" i="8"/>
  <c r="FL90" i="8" s="1"/>
  <c r="DQ90" i="8"/>
  <c r="DR90" i="8" s="1"/>
  <c r="GH50" i="8"/>
  <c r="IV50" i="8"/>
  <c r="GW90" i="8"/>
  <c r="GX90" i="8" s="1"/>
  <c r="BU90" i="8"/>
  <c r="BV90" i="8" s="1"/>
  <c r="BY90" i="8"/>
  <c r="BZ90" i="8" s="1"/>
  <c r="GU90" i="8"/>
  <c r="GV90" i="8" s="1"/>
  <c r="GY90" i="8"/>
  <c r="GZ90" i="8" s="1"/>
  <c r="IK90" i="8"/>
  <c r="IL90" i="8" s="1"/>
  <c r="Y90" i="8"/>
  <c r="Z90" i="8" s="1"/>
  <c r="DG90" i="8"/>
  <c r="DH90" i="8" s="1"/>
  <c r="EI90" i="8"/>
  <c r="EJ90" i="8" s="1"/>
  <c r="S90" i="8"/>
  <c r="T90" i="8" s="1"/>
  <c r="AQ90" i="8"/>
  <c r="AR90" i="8" s="1"/>
  <c r="EK90" i="8"/>
  <c r="EL90" i="8" s="1"/>
  <c r="EC90" i="8"/>
  <c r="ED90" i="8" s="1"/>
  <c r="DI90" i="8"/>
  <c r="DJ90" i="8" s="1"/>
  <c r="EE90" i="8"/>
  <c r="EF90" i="8" s="1"/>
  <c r="HB50" i="8"/>
  <c r="DY90" i="8"/>
  <c r="DZ90" i="8" s="1"/>
  <c r="AG90" i="8"/>
  <c r="AH90" i="8" s="1"/>
  <c r="GI90" i="8"/>
  <c r="GJ90" i="8" s="1"/>
  <c r="DE88" i="8"/>
  <c r="DF88" i="8" s="1"/>
  <c r="IC90" i="8"/>
  <c r="ID90" i="8" s="1"/>
  <c r="DW88" i="8"/>
  <c r="DX88" i="8" s="1"/>
  <c r="HP50" i="8"/>
  <c r="HT60" i="8"/>
  <c r="BO88" i="8"/>
  <c r="BP88" i="8" s="1"/>
  <c r="K88" i="8"/>
  <c r="L88" i="8" s="1"/>
  <c r="HI88" i="8"/>
  <c r="HJ88" i="8" s="1"/>
  <c r="GI88" i="8"/>
  <c r="GJ88" i="8" s="1"/>
  <c r="CM88" i="8"/>
  <c r="CN88" i="8" s="1"/>
  <c r="FO88" i="8"/>
  <c r="FP88" i="8" s="1"/>
  <c r="EA88" i="8"/>
  <c r="EB88" i="8" s="1"/>
  <c r="CO90" i="8"/>
  <c r="CP90" i="8" s="1"/>
  <c r="IQ89" i="8"/>
  <c r="IR89" i="8" s="1"/>
  <c r="C85" i="8"/>
  <c r="D85" i="8" s="1"/>
  <c r="IE90" i="8"/>
  <c r="IF90" i="8" s="1"/>
  <c r="W90" i="8"/>
  <c r="X90" i="8" s="1"/>
  <c r="G90" i="8"/>
  <c r="H90" i="8" s="1"/>
  <c r="IS89" i="8"/>
  <c r="IT89" i="8" s="1"/>
  <c r="GQ89" i="8"/>
  <c r="GR89" i="8" s="1"/>
  <c r="CL48" i="8"/>
  <c r="H48" i="8"/>
  <c r="DW89" i="8"/>
  <c r="DX89" i="8" s="1"/>
  <c r="FC88" i="8"/>
  <c r="FD88" i="8" s="1"/>
  <c r="W89" i="8"/>
  <c r="X89" i="8" s="1"/>
  <c r="EY90" i="8"/>
  <c r="EZ90" i="8" s="1"/>
  <c r="IG90" i="8"/>
  <c r="IH90" i="8" s="1"/>
  <c r="GG89" i="8"/>
  <c r="GH89" i="8" s="1"/>
  <c r="HE89" i="8"/>
  <c r="HF89" i="8" s="1"/>
  <c r="GI89" i="8"/>
  <c r="GJ89" i="8" s="1"/>
  <c r="BQ88" i="8"/>
  <c r="BR88" i="8" s="1"/>
  <c r="AY90" i="8"/>
  <c r="AZ90" i="8" s="1"/>
  <c r="FU88" i="8"/>
  <c r="FV88" i="8" s="1"/>
  <c r="IO90" i="8"/>
  <c r="IP90" i="8" s="1"/>
  <c r="FM88" i="8"/>
  <c r="FN88" i="8" s="1"/>
  <c r="C60" i="8"/>
  <c r="D60" i="8" s="1"/>
  <c r="BG90" i="8"/>
  <c r="BH90" i="8" s="1"/>
  <c r="W88" i="8"/>
  <c r="X88" i="8" s="1"/>
  <c r="FO89" i="8"/>
  <c r="FP89" i="8" s="1"/>
  <c r="DM88" i="8"/>
  <c r="DN88" i="8" s="1"/>
  <c r="GY88" i="8"/>
  <c r="GZ88" i="8" s="1"/>
  <c r="GQ90" i="8"/>
  <c r="GR90" i="8" s="1"/>
  <c r="AQ88" i="8"/>
  <c r="AR88" i="8" s="1"/>
  <c r="ID61" i="8"/>
  <c r="BO89" i="8"/>
  <c r="BP89" i="8" s="1"/>
  <c r="GM88" i="8"/>
  <c r="GN88" i="8" s="1"/>
  <c r="I90" i="8"/>
  <c r="J90" i="8" s="1"/>
  <c r="FW90" i="8"/>
  <c r="FX90" i="8" s="1"/>
  <c r="BS88" i="8"/>
  <c r="BT88" i="8" s="1"/>
  <c r="K89" i="8"/>
  <c r="L89" i="8" s="1"/>
  <c r="CC89" i="8"/>
  <c r="CD89" i="8" s="1"/>
  <c r="HM89" i="8"/>
  <c r="HN89" i="8" s="1"/>
  <c r="GG88" i="8"/>
  <c r="GH88" i="8" s="1"/>
  <c r="IE88" i="8"/>
  <c r="IF88" i="8" s="1"/>
  <c r="DQ88" i="8"/>
  <c r="DR88" i="8" s="1"/>
  <c r="EA89" i="8"/>
  <c r="EB89" i="8" s="1"/>
  <c r="AE89" i="8"/>
  <c r="AF89" i="8" s="1"/>
  <c r="CA90" i="8"/>
  <c r="CB90" i="8" s="1"/>
  <c r="IZ50" i="8"/>
  <c r="IY90" i="8"/>
  <c r="HS90" i="8"/>
  <c r="HT90" i="8" s="1"/>
  <c r="C74" i="8"/>
  <c r="D74" i="8" s="1"/>
  <c r="FE88" i="8"/>
  <c r="FF88" i="8" s="1"/>
  <c r="IQ88" i="8"/>
  <c r="IR88" i="8" s="1"/>
  <c r="AA90" i="8"/>
  <c r="AB90" i="8" s="1"/>
  <c r="DC88" i="8"/>
  <c r="DD88" i="8" s="1"/>
  <c r="HY88" i="8"/>
  <c r="HZ88" i="8" s="1"/>
  <c r="GM90" i="8"/>
  <c r="GN90" i="8" s="1"/>
  <c r="IU89" i="8"/>
  <c r="IV89" i="8" s="1"/>
  <c r="IQ90" i="8"/>
  <c r="IR90" i="8" s="1"/>
  <c r="EK88" i="8"/>
  <c r="EL88" i="8" s="1"/>
  <c r="HE88" i="8"/>
  <c r="HF88" i="8" s="1"/>
  <c r="AM88" i="8"/>
  <c r="AN88" i="8" s="1"/>
  <c r="GK90" i="8"/>
  <c r="GL90" i="8" s="1"/>
  <c r="C73" i="8"/>
  <c r="D73" i="8" s="1"/>
  <c r="E90" i="8"/>
  <c r="C61" i="8"/>
  <c r="D61" i="8" s="1"/>
  <c r="C84" i="8"/>
  <c r="D84" i="8" s="1"/>
  <c r="F74" i="8"/>
  <c r="V36" i="6" l="1"/>
  <c r="S36" i="6" s="1"/>
  <c r="E33" i="6"/>
  <c r="E13" i="6" s="1"/>
  <c r="E32" i="6"/>
  <c r="E12" i="6" s="1"/>
  <c r="P16" i="27"/>
  <c r="D37" i="6"/>
  <c r="AC37" i="10"/>
  <c r="X37" i="10" s="1"/>
  <c r="T8" i="23"/>
  <c r="E19" i="10"/>
  <c r="P15" i="27"/>
  <c r="D7" i="23"/>
  <c r="H6" i="23"/>
  <c r="H7" i="23" s="1"/>
  <c r="I20" i="3"/>
  <c r="S20" i="3"/>
  <c r="O33" i="3"/>
  <c r="Q33" i="3" s="1"/>
  <c r="J47" i="10"/>
  <c r="S27" i="3"/>
  <c r="S132" i="18"/>
  <c r="R98" i="18"/>
  <c r="S76" i="18"/>
  <c r="T97" i="18"/>
  <c r="N10" i="18"/>
  <c r="AE39" i="3" s="1"/>
  <c r="T146" i="18"/>
  <c r="S104" i="18"/>
  <c r="T111" i="18"/>
  <c r="F19" i="18"/>
  <c r="H19" i="18" s="1"/>
  <c r="Q140" i="18"/>
  <c r="H20" i="18"/>
  <c r="Q147" i="18"/>
  <c r="S147" i="18" s="1"/>
  <c r="F8" i="18"/>
  <c r="Q63" i="18"/>
  <c r="S63" i="18" s="1"/>
  <c r="E21" i="18"/>
  <c r="F15" i="18"/>
  <c r="H15" i="18" s="1"/>
  <c r="Q112" i="18"/>
  <c r="S62" i="18"/>
  <c r="S125" i="18"/>
  <c r="T90" i="18"/>
  <c r="T139" i="18"/>
  <c r="F10" i="18"/>
  <c r="H10" i="18" s="1"/>
  <c r="Q77" i="18"/>
  <c r="F14" i="18"/>
  <c r="H14" i="18" s="1"/>
  <c r="Q105" i="18"/>
  <c r="F18" i="10"/>
  <c r="T69" i="18"/>
  <c r="F13" i="18"/>
  <c r="H13" i="18" s="1"/>
  <c r="O13" i="18" s="1"/>
  <c r="Q98" i="18"/>
  <c r="AB50" i="3"/>
  <c r="F12" i="18"/>
  <c r="H12" i="18" s="1"/>
  <c r="Q91" i="18"/>
  <c r="F18" i="18"/>
  <c r="H18" i="18" s="1"/>
  <c r="Q133" i="18"/>
  <c r="F17" i="18"/>
  <c r="H17" i="18" s="1"/>
  <c r="Q126" i="18"/>
  <c r="F9" i="18"/>
  <c r="H9" i="18" s="1"/>
  <c r="Q70" i="18"/>
  <c r="L8" i="18"/>
  <c r="N8" i="18" s="1"/>
  <c r="AE37" i="3" s="1"/>
  <c r="K21" i="18"/>
  <c r="R77" i="18"/>
  <c r="M21" i="18"/>
  <c r="L20" i="18"/>
  <c r="N20" i="18" s="1"/>
  <c r="AE49" i="3" s="1"/>
  <c r="AC50" i="3"/>
  <c r="T96" i="18"/>
  <c r="AM38" i="3"/>
  <c r="AN38" i="3"/>
  <c r="L12" i="18"/>
  <c r="N12" i="18" s="1"/>
  <c r="AE41" i="3" s="1"/>
  <c r="R91" i="18"/>
  <c r="T124" i="18"/>
  <c r="S124" i="18"/>
  <c r="L18" i="18"/>
  <c r="N18" i="18" s="1"/>
  <c r="AE47" i="3" s="1"/>
  <c r="R133" i="18"/>
  <c r="T110" i="18"/>
  <c r="S110" i="18"/>
  <c r="T131" i="18"/>
  <c r="S131" i="18"/>
  <c r="L14" i="18"/>
  <c r="N14" i="18" s="1"/>
  <c r="AE43" i="3" s="1"/>
  <c r="R105" i="18"/>
  <c r="T103" i="18"/>
  <c r="S103" i="18"/>
  <c r="R70" i="18"/>
  <c r="R99" i="18"/>
  <c r="T89" i="18"/>
  <c r="S89" i="18"/>
  <c r="S138" i="18"/>
  <c r="T138" i="18"/>
  <c r="T68" i="18"/>
  <c r="S68" i="18"/>
  <c r="L19" i="18"/>
  <c r="N19" i="18" s="1"/>
  <c r="AE48" i="3" s="1"/>
  <c r="R140" i="18"/>
  <c r="L17" i="18"/>
  <c r="N17" i="18" s="1"/>
  <c r="AE46" i="3" s="1"/>
  <c r="R126" i="18"/>
  <c r="L15" i="18"/>
  <c r="N15" i="18" s="1"/>
  <c r="AE44" i="3" s="1"/>
  <c r="R112" i="18"/>
  <c r="AM37" i="3"/>
  <c r="AN37" i="3"/>
  <c r="K50" i="3"/>
  <c r="J51" i="3" s="1"/>
  <c r="AL39" i="3"/>
  <c r="I27" i="3"/>
  <c r="BX88" i="8"/>
  <c r="IL88" i="8"/>
  <c r="BH88" i="8"/>
  <c r="CL88" i="8"/>
  <c r="HT88" i="8"/>
  <c r="IJ90" i="8"/>
  <c r="AR89" i="8"/>
  <c r="T88" i="8"/>
  <c r="FR88" i="8"/>
  <c r="D48" i="8"/>
  <c r="CN89" i="8"/>
  <c r="GN89" i="8"/>
  <c r="F88" i="8"/>
  <c r="ER88" i="8"/>
  <c r="AX89" i="8"/>
  <c r="HB89" i="8"/>
  <c r="EZ88" i="8"/>
  <c r="DB89" i="8"/>
  <c r="GD90" i="8"/>
  <c r="CL90" i="8"/>
  <c r="AP89" i="8"/>
  <c r="DD89" i="8"/>
  <c r="GT88" i="8"/>
  <c r="DL88" i="8"/>
  <c r="HN88" i="8"/>
  <c r="FL88" i="8"/>
  <c r="AT90" i="8"/>
  <c r="FX89" i="8"/>
  <c r="EP88" i="8"/>
  <c r="DN90" i="8"/>
  <c r="AF88" i="8"/>
  <c r="R88" i="8"/>
  <c r="IN88" i="8"/>
  <c r="HJ89" i="8"/>
  <c r="HB90" i="8"/>
  <c r="EJ89" i="8"/>
  <c r="AV88" i="8"/>
  <c r="IB88" i="8"/>
  <c r="BB90" i="8"/>
  <c r="GP88" i="8"/>
  <c r="HD89" i="8"/>
  <c r="IX89" i="8"/>
  <c r="GZ89" i="8"/>
  <c r="J88" i="8"/>
  <c r="AL89" i="8"/>
  <c r="DV88" i="8"/>
  <c r="EL89" i="8"/>
  <c r="CN90" i="8"/>
  <c r="CB89" i="8"/>
  <c r="AB88" i="8"/>
  <c r="CH88" i="8"/>
  <c r="H88" i="8"/>
  <c r="HB88" i="8"/>
  <c r="N88" i="8"/>
  <c r="CH89" i="8"/>
  <c r="FN89" i="8"/>
  <c r="ID89" i="8"/>
  <c r="BJ90" i="8"/>
  <c r="AB89" i="8"/>
  <c r="J89" i="8"/>
  <c r="IP88" i="8"/>
  <c r="HL88" i="8"/>
  <c r="FL89" i="8"/>
  <c r="AV89" i="8"/>
  <c r="DT88" i="8"/>
  <c r="FZ88" i="8"/>
  <c r="BD88" i="8"/>
  <c r="EJ88" i="8"/>
  <c r="FN90" i="8"/>
  <c r="HH89" i="8"/>
  <c r="FT90" i="8"/>
  <c r="HH90" i="8"/>
  <c r="BB88" i="8"/>
  <c r="AX88" i="8"/>
  <c r="BF88" i="8"/>
  <c r="HV89" i="8"/>
  <c r="CF88" i="8"/>
  <c r="EF88" i="8"/>
  <c r="GB88" i="8"/>
  <c r="AZ88" i="8"/>
  <c r="GP89" i="8"/>
  <c r="FJ88" i="8"/>
  <c r="P88" i="8"/>
  <c r="BV89" i="8"/>
  <c r="CL89" i="8"/>
  <c r="BF89" i="8"/>
  <c r="FR89" i="8"/>
  <c r="BD89" i="8"/>
  <c r="N89" i="8"/>
  <c r="HT89" i="8"/>
  <c r="HF90" i="8"/>
  <c r="HP90" i="8"/>
  <c r="IB90" i="8"/>
  <c r="AN90" i="8"/>
  <c r="EN90" i="8"/>
  <c r="HJ90" i="8"/>
  <c r="P90" i="8"/>
  <c r="IV90" i="8"/>
  <c r="HD90" i="8"/>
  <c r="EH90" i="8"/>
  <c r="BT89" i="8"/>
  <c r="N90" i="8"/>
  <c r="DL89" i="8"/>
  <c r="BZ89" i="8"/>
  <c r="GX89" i="8"/>
  <c r="DN89" i="8"/>
  <c r="GB90" i="8"/>
  <c r="AV90" i="8"/>
  <c r="FP90" i="8"/>
  <c r="CJ90" i="8"/>
  <c r="HX89" i="8"/>
  <c r="HR90" i="8"/>
  <c r="EN89" i="8"/>
  <c r="CJ88" i="8"/>
  <c r="BZ88" i="8"/>
  <c r="GF90" i="8"/>
  <c r="DD90" i="8"/>
  <c r="IH88" i="8"/>
  <c r="DX90" i="8"/>
  <c r="HV88" i="8"/>
  <c r="HP89" i="8"/>
  <c r="GP90" i="8"/>
  <c r="GH90" i="8"/>
  <c r="IJ88" i="8"/>
  <c r="R89" i="8"/>
  <c r="IZ90" i="8"/>
  <c r="C88" i="8"/>
  <c r="V37" i="6" l="1"/>
  <c r="S37" i="6" s="1"/>
  <c r="V7" i="10"/>
  <c r="F19" i="10"/>
  <c r="I15" i="10" s="1"/>
  <c r="E28" i="10"/>
  <c r="Y6" i="24"/>
  <c r="U5" i="24"/>
  <c r="T14" i="24"/>
  <c r="H15" i="27"/>
  <c r="AA47" i="10"/>
  <c r="X47" i="10" s="1"/>
  <c r="S98" i="18"/>
  <c r="T63" i="18"/>
  <c r="R148" i="18"/>
  <c r="T98" i="18"/>
  <c r="R78" i="18"/>
  <c r="T147" i="18"/>
  <c r="T77" i="18"/>
  <c r="O20" i="18"/>
  <c r="Q92" i="18"/>
  <c r="AD41" i="3"/>
  <c r="Q78" i="18"/>
  <c r="AD39" i="3"/>
  <c r="AD46" i="3"/>
  <c r="Q127" i="18"/>
  <c r="Q99" i="18"/>
  <c r="S99" i="18" s="1"/>
  <c r="AD42" i="3"/>
  <c r="H8" i="18"/>
  <c r="H21" i="18" s="1"/>
  <c r="F21" i="18"/>
  <c r="Q106" i="18"/>
  <c r="AD43" i="3"/>
  <c r="Q113" i="18"/>
  <c r="AD44" i="3"/>
  <c r="O10" i="18"/>
  <c r="S77" i="18"/>
  <c r="Q148" i="18"/>
  <c r="AD49" i="3"/>
  <c r="AD38" i="3"/>
  <c r="Q71" i="18"/>
  <c r="Q134" i="18"/>
  <c r="AD47" i="3"/>
  <c r="Q9" i="10"/>
  <c r="Q10" i="10" s="1"/>
  <c r="P10" i="10"/>
  <c r="Q141" i="18"/>
  <c r="AD48" i="3"/>
  <c r="AE50" i="3"/>
  <c r="AL40" i="3" s="1"/>
  <c r="AM39" i="3"/>
  <c r="AN39" i="3"/>
  <c r="N21" i="18"/>
  <c r="L21" i="18"/>
  <c r="R141" i="18"/>
  <c r="O19" i="18"/>
  <c r="R113" i="18"/>
  <c r="O15" i="18"/>
  <c r="O17" i="18"/>
  <c r="R127" i="18"/>
  <c r="R64" i="18"/>
  <c r="T126" i="18"/>
  <c r="S126" i="18"/>
  <c r="S140" i="18"/>
  <c r="T140" i="18"/>
  <c r="T70" i="18"/>
  <c r="S70" i="18"/>
  <c r="T91" i="18"/>
  <c r="S91" i="18"/>
  <c r="R92" i="18"/>
  <c r="O12" i="18"/>
  <c r="R134" i="18"/>
  <c r="O18" i="18"/>
  <c r="S112" i="18"/>
  <c r="T112" i="18"/>
  <c r="T105" i="18"/>
  <c r="S105" i="18"/>
  <c r="T133" i="18"/>
  <c r="S133" i="18"/>
  <c r="R71" i="18"/>
  <c r="R106" i="18"/>
  <c r="O14" i="18"/>
  <c r="D88" i="8"/>
  <c r="F8" i="3"/>
  <c r="X4" i="2"/>
  <c r="X3" i="2"/>
  <c r="S148" i="18" l="1"/>
  <c r="F28" i="10"/>
  <c r="I14" i="10" s="1"/>
  <c r="I16" i="10" s="1"/>
  <c r="W7" i="10"/>
  <c r="W16" i="10" s="1"/>
  <c r="V16" i="10"/>
  <c r="T148" i="18"/>
  <c r="S78" i="18"/>
  <c r="Z5" i="24"/>
  <c r="Z6" i="24" s="1"/>
  <c r="U14" i="24"/>
  <c r="H16" i="27"/>
  <c r="Q15" i="27"/>
  <c r="O8" i="18"/>
  <c r="AD37" i="3"/>
  <c r="AD50" i="3" s="1"/>
  <c r="AI40" i="3" s="1"/>
  <c r="T99" i="18"/>
  <c r="T78" i="18"/>
  <c r="O21" i="18"/>
  <c r="Q64" i="18"/>
  <c r="S64" i="18" s="1"/>
  <c r="S71" i="18"/>
  <c r="T71" i="18"/>
  <c r="T127" i="18"/>
  <c r="S127" i="18"/>
  <c r="S134" i="18"/>
  <c r="T134" i="18"/>
  <c r="T113" i="18"/>
  <c r="S113" i="18"/>
  <c r="T106" i="18"/>
  <c r="S106" i="18"/>
  <c r="T92" i="18"/>
  <c r="S92" i="18"/>
  <c r="S141" i="18"/>
  <c r="T141" i="18"/>
  <c r="C25" i="8"/>
  <c r="C26" i="8"/>
  <c r="C18" i="8"/>
  <c r="C34" i="8"/>
  <c r="C33" i="8"/>
  <c r="C17" i="8"/>
  <c r="C9" i="8"/>
  <c r="C10" i="8"/>
  <c r="D10" i="8" s="1"/>
  <c r="T64" i="18" l="1"/>
  <c r="Q16" i="27"/>
  <c r="D38" i="6"/>
  <c r="AN40" i="3"/>
  <c r="AM40" i="3"/>
  <c r="D9" i="8"/>
  <c r="C36" i="8"/>
  <c r="D33" i="8"/>
  <c r="D18" i="8"/>
  <c r="D25" i="8"/>
  <c r="D17" i="8"/>
  <c r="D34" i="8"/>
  <c r="C37" i="8"/>
  <c r="D26" i="8"/>
  <c r="V38" i="6" l="1"/>
  <c r="S38" i="6" s="1"/>
  <c r="D36" i="8"/>
  <c r="D37" i="8"/>
  <c r="AL83" i="2" l="1"/>
  <c r="N4" i="5"/>
  <c r="S4" i="5"/>
  <c r="N5" i="5"/>
  <c r="W5" i="5"/>
  <c r="S5" i="5"/>
  <c r="N6" i="5"/>
  <c r="S6" i="5"/>
  <c r="N7" i="5"/>
  <c r="S7" i="5"/>
  <c r="N8" i="5"/>
  <c r="W8" i="5"/>
  <c r="S8" i="5"/>
  <c r="N9" i="5"/>
  <c r="V9" i="5"/>
  <c r="S9" i="5"/>
  <c r="N10" i="5"/>
  <c r="S10" i="5"/>
  <c r="N11" i="5"/>
  <c r="W11" i="5"/>
  <c r="S11" i="5"/>
  <c r="N12" i="5"/>
  <c r="W12" i="5"/>
  <c r="S12" i="5"/>
  <c r="N13" i="5"/>
  <c r="S13" i="5"/>
  <c r="N14" i="5"/>
  <c r="S14" i="5"/>
  <c r="N15" i="5"/>
  <c r="V15" i="5"/>
  <c r="S15" i="5"/>
  <c r="N16" i="5"/>
  <c r="V16" i="5"/>
  <c r="S16" i="5"/>
  <c r="N17" i="5"/>
  <c r="V17" i="5"/>
  <c r="S17" i="5"/>
  <c r="N18" i="5"/>
  <c r="S18" i="5"/>
  <c r="N19" i="5"/>
  <c r="S19" i="5"/>
  <c r="N20" i="5"/>
  <c r="V20" i="5"/>
  <c r="S20" i="5"/>
  <c r="N21" i="5"/>
  <c r="S21" i="5"/>
  <c r="N22" i="5"/>
  <c r="S22" i="5"/>
  <c r="N23" i="5"/>
  <c r="S23" i="5"/>
  <c r="N24" i="5"/>
  <c r="S24" i="5"/>
  <c r="N25" i="5"/>
  <c r="S25" i="5"/>
  <c r="N26" i="5"/>
  <c r="S26" i="5"/>
  <c r="N27" i="5"/>
  <c r="W27" i="5"/>
  <c r="S27" i="5"/>
  <c r="N28" i="5"/>
  <c r="W28" i="5"/>
  <c r="S28" i="5"/>
  <c r="N29" i="5"/>
  <c r="S29" i="5"/>
  <c r="N30" i="5"/>
  <c r="S30" i="5"/>
  <c r="N31" i="5"/>
  <c r="S31" i="5"/>
  <c r="N32" i="5"/>
  <c r="S32" i="5"/>
  <c r="N33" i="5"/>
  <c r="S33" i="5"/>
  <c r="N34" i="5"/>
  <c r="S34" i="5"/>
  <c r="N35" i="5"/>
  <c r="S35" i="5"/>
  <c r="N36" i="5"/>
  <c r="V36" i="5"/>
  <c r="S36" i="5"/>
  <c r="N37" i="5"/>
  <c r="V37" i="5"/>
  <c r="S37" i="5"/>
  <c r="N38" i="5"/>
  <c r="S38" i="5"/>
  <c r="N39" i="5"/>
  <c r="S39" i="5"/>
  <c r="N40" i="5"/>
  <c r="V40" i="5"/>
  <c r="S40" i="5"/>
  <c r="N41" i="5"/>
  <c r="S41" i="5"/>
  <c r="N42" i="5"/>
  <c r="S42" i="5"/>
  <c r="N43" i="5"/>
  <c r="S43" i="5"/>
  <c r="N44" i="5"/>
  <c r="S44" i="5"/>
  <c r="N45" i="5"/>
  <c r="S45" i="5"/>
  <c r="N46" i="5"/>
  <c r="S46" i="5"/>
  <c r="N47" i="5"/>
  <c r="S47" i="5"/>
  <c r="N51" i="5"/>
  <c r="S51" i="5"/>
  <c r="N52" i="5"/>
  <c r="S52" i="5"/>
  <c r="N53" i="5"/>
  <c r="S53" i="5"/>
  <c r="N54" i="5"/>
  <c r="V54" i="5"/>
  <c r="S54" i="5"/>
  <c r="N55" i="5"/>
  <c r="V55" i="5"/>
  <c r="S55" i="5"/>
  <c r="N56" i="5"/>
  <c r="S56" i="5"/>
  <c r="N57" i="5"/>
  <c r="S57" i="5"/>
  <c r="N58" i="5"/>
  <c r="W58" i="5"/>
  <c r="S58" i="5"/>
  <c r="N59" i="5"/>
  <c r="W59" i="5"/>
  <c r="S59" i="5"/>
  <c r="N60" i="5"/>
  <c r="W60" i="5"/>
  <c r="S60" i="5"/>
  <c r="N61" i="5"/>
  <c r="S61" i="5"/>
  <c r="N62" i="5"/>
  <c r="V62" i="5"/>
  <c r="S62" i="5"/>
  <c r="N63" i="5"/>
  <c r="S63" i="5"/>
  <c r="N64" i="5"/>
  <c r="V64" i="5"/>
  <c r="S64" i="5"/>
  <c r="N65" i="5"/>
  <c r="S65" i="5"/>
  <c r="N66" i="5"/>
  <c r="W66" i="5"/>
  <c r="S66" i="5"/>
  <c r="N67" i="5"/>
  <c r="S67" i="5"/>
  <c r="N68" i="5"/>
  <c r="S68" i="5"/>
  <c r="N69" i="5"/>
  <c r="S69" i="5"/>
  <c r="N70" i="5"/>
  <c r="S70" i="5"/>
  <c r="N71" i="5"/>
  <c r="S71" i="5"/>
  <c r="N72" i="5"/>
  <c r="V72" i="5"/>
  <c r="S72" i="5"/>
  <c r="N73" i="5"/>
  <c r="S73" i="5"/>
  <c r="N75" i="5"/>
  <c r="S75" i="5"/>
  <c r="N77" i="5"/>
  <c r="S77" i="5"/>
  <c r="N78" i="5"/>
  <c r="S78" i="5"/>
  <c r="N79" i="5"/>
  <c r="S79" i="5"/>
  <c r="N80" i="5"/>
  <c r="S80" i="5"/>
  <c r="N81" i="5"/>
  <c r="V81" i="5"/>
  <c r="S81" i="5"/>
  <c r="N82" i="5"/>
  <c r="S82" i="5"/>
  <c r="N83" i="5"/>
  <c r="S83" i="5"/>
  <c r="N84" i="5"/>
  <c r="S84" i="5"/>
  <c r="N85" i="5"/>
  <c r="S85" i="5"/>
  <c r="N86" i="5"/>
  <c r="W86" i="5"/>
  <c r="S86" i="5"/>
  <c r="N87" i="5"/>
  <c r="S87" i="5"/>
  <c r="N88" i="5"/>
  <c r="S88" i="5"/>
  <c r="N89" i="5"/>
  <c r="S89" i="5"/>
  <c r="N90" i="5"/>
  <c r="S90" i="5"/>
  <c r="N91" i="5"/>
  <c r="S91" i="5"/>
  <c r="N92" i="5"/>
  <c r="S92" i="5"/>
  <c r="N93" i="5"/>
  <c r="V93" i="5"/>
  <c r="S93" i="5"/>
  <c r="N94" i="5"/>
  <c r="S94" i="5"/>
  <c r="N95" i="5"/>
  <c r="S95" i="5"/>
  <c r="N96" i="5"/>
  <c r="W96" i="5"/>
  <c r="S96" i="5"/>
  <c r="N97" i="5"/>
  <c r="S97" i="5"/>
  <c r="N98" i="5"/>
  <c r="V98" i="5"/>
  <c r="S98" i="5"/>
  <c r="N99" i="5"/>
  <c r="S99" i="5"/>
  <c r="N100" i="5"/>
  <c r="S100" i="5"/>
  <c r="N101" i="5"/>
  <c r="S101" i="5"/>
  <c r="N102" i="5"/>
  <c r="S102" i="5"/>
  <c r="N103" i="5"/>
  <c r="S103" i="5"/>
  <c r="N104" i="5"/>
  <c r="S104" i="5"/>
  <c r="N105" i="5"/>
  <c r="V105" i="5"/>
  <c r="S105" i="5"/>
  <c r="N106" i="5"/>
  <c r="S106" i="5"/>
  <c r="N107" i="5"/>
  <c r="S107" i="5"/>
  <c r="N108" i="5"/>
  <c r="S108" i="5"/>
  <c r="N109" i="5"/>
  <c r="S109" i="5"/>
  <c r="N110" i="5"/>
  <c r="V110" i="5"/>
  <c r="S110" i="5"/>
  <c r="N111" i="5"/>
  <c r="S111" i="5"/>
  <c r="N112" i="5"/>
  <c r="S112" i="5"/>
  <c r="N113" i="5"/>
  <c r="V113" i="5"/>
  <c r="S113" i="5"/>
  <c r="N114" i="5"/>
  <c r="W114" i="5"/>
  <c r="S114" i="5"/>
  <c r="N115" i="5"/>
  <c r="S115" i="5"/>
  <c r="N116" i="5"/>
  <c r="V116" i="5"/>
  <c r="S116" i="5"/>
  <c r="N117" i="5"/>
  <c r="S117" i="5"/>
  <c r="N118" i="5"/>
  <c r="V118" i="5"/>
  <c r="S118" i="5"/>
  <c r="N119" i="5"/>
  <c r="S119" i="5"/>
  <c r="N120" i="5"/>
  <c r="S120" i="5"/>
  <c r="N121" i="5"/>
  <c r="W121" i="5"/>
  <c r="S121" i="5"/>
  <c r="N122" i="5"/>
  <c r="V122" i="5"/>
  <c r="S122" i="5"/>
  <c r="N123" i="5"/>
  <c r="S123" i="5"/>
  <c r="N124" i="5"/>
  <c r="S124" i="5"/>
  <c r="N125" i="5"/>
  <c r="V125" i="5"/>
  <c r="S125" i="5"/>
  <c r="N126" i="5"/>
  <c r="S126" i="5"/>
  <c r="N127" i="5"/>
  <c r="S127" i="5"/>
  <c r="N128" i="5"/>
  <c r="S128" i="5"/>
  <c r="N129" i="5"/>
  <c r="S129" i="5"/>
  <c r="N130" i="5"/>
  <c r="V130" i="5"/>
  <c r="S130" i="5"/>
  <c r="N131" i="5"/>
  <c r="S131" i="5"/>
  <c r="N132" i="5"/>
  <c r="V132" i="5"/>
  <c r="S132" i="5"/>
  <c r="N133" i="5"/>
  <c r="V133" i="5"/>
  <c r="S133" i="5"/>
  <c r="N134" i="5"/>
  <c r="V134" i="5"/>
  <c r="S134" i="5"/>
  <c r="N135" i="5"/>
  <c r="S135" i="5"/>
  <c r="N136" i="5"/>
  <c r="S136" i="5"/>
  <c r="N137" i="5"/>
  <c r="V137" i="5"/>
  <c r="S137" i="5"/>
  <c r="N138" i="5"/>
  <c r="S138" i="5"/>
  <c r="N139" i="5"/>
  <c r="S139" i="5"/>
  <c r="N140" i="5"/>
  <c r="S140" i="5"/>
  <c r="N141" i="5"/>
  <c r="V141" i="5"/>
  <c r="S141" i="5"/>
  <c r="N142" i="5"/>
  <c r="S142" i="5"/>
  <c r="N143" i="5"/>
  <c r="S143" i="5"/>
  <c r="N144" i="5"/>
  <c r="S144" i="5"/>
  <c r="N145" i="5"/>
  <c r="V145" i="5"/>
  <c r="S145" i="5"/>
  <c r="N146" i="5"/>
  <c r="W146" i="5"/>
  <c r="S146" i="5"/>
  <c r="N147" i="5"/>
  <c r="S147" i="5"/>
  <c r="N148" i="5"/>
  <c r="S148" i="5"/>
  <c r="N149" i="5"/>
  <c r="S149" i="5"/>
  <c r="N150" i="5"/>
  <c r="V150" i="5"/>
  <c r="S150" i="5"/>
  <c r="N151" i="5"/>
  <c r="S151" i="5"/>
  <c r="N152" i="5"/>
  <c r="S152" i="5"/>
  <c r="N153" i="5"/>
  <c r="S153" i="5"/>
  <c r="N154" i="5"/>
  <c r="S154" i="5"/>
  <c r="N155" i="5"/>
  <c r="S155" i="5"/>
  <c r="N156" i="5"/>
  <c r="S156" i="5"/>
  <c r="N157" i="5"/>
  <c r="S157" i="5"/>
  <c r="N158" i="5"/>
  <c r="S158" i="5"/>
  <c r="N159" i="5"/>
  <c r="S159" i="5"/>
  <c r="N160" i="5"/>
  <c r="S160" i="5"/>
  <c r="N161" i="5"/>
  <c r="S161" i="5"/>
  <c r="N162" i="5"/>
  <c r="W162" i="5"/>
  <c r="S162" i="5"/>
  <c r="N163" i="5"/>
  <c r="S163" i="5"/>
  <c r="N164" i="5"/>
  <c r="S164" i="5"/>
  <c r="N165" i="5"/>
  <c r="S165" i="5"/>
  <c r="N166" i="5"/>
  <c r="S166" i="5"/>
  <c r="N167" i="5"/>
  <c r="S167" i="5"/>
  <c r="N168" i="5"/>
  <c r="W168" i="5"/>
  <c r="S168" i="5"/>
  <c r="N169" i="5"/>
  <c r="S169" i="5"/>
  <c r="N170" i="5"/>
  <c r="S170" i="5"/>
  <c r="N171" i="5"/>
  <c r="S171" i="5"/>
  <c r="N172" i="5"/>
  <c r="S172" i="5"/>
  <c r="N173" i="5"/>
  <c r="S173" i="5"/>
  <c r="N174" i="5"/>
  <c r="S174" i="5"/>
  <c r="N175" i="5"/>
  <c r="S175" i="5"/>
  <c r="N179" i="5"/>
  <c r="V179" i="5"/>
  <c r="S179" i="5"/>
  <c r="N180" i="5"/>
  <c r="W180" i="5"/>
  <c r="S180" i="5"/>
  <c r="N181" i="5"/>
  <c r="S181" i="5"/>
  <c r="N182" i="5"/>
  <c r="S182" i="5"/>
  <c r="N183" i="5"/>
  <c r="S183" i="5"/>
  <c r="N184" i="5"/>
  <c r="W184" i="5"/>
  <c r="S184" i="5"/>
  <c r="N185" i="5"/>
  <c r="W185" i="5"/>
  <c r="S185" i="5"/>
  <c r="N186" i="5"/>
  <c r="S186" i="5"/>
  <c r="N187" i="5"/>
  <c r="S187" i="5"/>
  <c r="N188" i="5"/>
  <c r="V188" i="5"/>
  <c r="S188" i="5"/>
  <c r="N189" i="5"/>
  <c r="S189" i="5"/>
  <c r="N190" i="5"/>
  <c r="S190" i="5"/>
  <c r="N191" i="5"/>
  <c r="S191" i="5"/>
  <c r="N192" i="5"/>
  <c r="S192" i="5"/>
  <c r="N193" i="5"/>
  <c r="S193" i="5"/>
  <c r="N194" i="5"/>
  <c r="S194" i="5"/>
  <c r="N195" i="5"/>
  <c r="W195" i="5"/>
  <c r="S195" i="5"/>
  <c r="N196" i="5"/>
  <c r="S196" i="5"/>
  <c r="N197" i="5"/>
  <c r="V197" i="5"/>
  <c r="S197" i="5"/>
  <c r="N198" i="5"/>
  <c r="S198" i="5"/>
  <c r="N199" i="5"/>
  <c r="V199" i="5"/>
  <c r="S199" i="5"/>
  <c r="N200" i="5"/>
  <c r="S200" i="5"/>
  <c r="N201" i="5"/>
  <c r="V201" i="5"/>
  <c r="S201" i="5"/>
  <c r="N205" i="5"/>
  <c r="S205" i="5"/>
  <c r="N207" i="5"/>
  <c r="V207" i="5"/>
  <c r="S207" i="5"/>
  <c r="N208" i="5"/>
  <c r="V208" i="5"/>
  <c r="S208" i="5"/>
  <c r="N209" i="5"/>
  <c r="S209" i="5"/>
  <c r="N210" i="5"/>
  <c r="S210" i="5"/>
  <c r="N211" i="5"/>
  <c r="S211" i="5"/>
  <c r="N212" i="5"/>
  <c r="V212" i="5"/>
  <c r="S212" i="5"/>
  <c r="N213" i="5"/>
  <c r="W213" i="5"/>
  <c r="S213" i="5"/>
  <c r="N214" i="5"/>
  <c r="S214" i="5"/>
  <c r="N215" i="5"/>
  <c r="S215" i="5"/>
  <c r="N216" i="5"/>
  <c r="S216" i="5"/>
  <c r="N217" i="5"/>
  <c r="S217" i="5"/>
  <c r="N218" i="5"/>
  <c r="S218" i="5"/>
  <c r="N219" i="5"/>
  <c r="S219" i="5"/>
  <c r="N220" i="5"/>
  <c r="S220" i="5"/>
  <c r="N221" i="5"/>
  <c r="S221" i="5"/>
  <c r="N222" i="5"/>
  <c r="W222" i="5"/>
  <c r="S222" i="5"/>
  <c r="N223" i="5"/>
  <c r="V223" i="5"/>
  <c r="S223" i="5"/>
  <c r="N224" i="5"/>
  <c r="S224" i="5"/>
  <c r="N225" i="5"/>
  <c r="W225" i="5"/>
  <c r="S225" i="5"/>
  <c r="N226" i="5"/>
  <c r="W226" i="5"/>
  <c r="S226" i="5"/>
  <c r="N227" i="5"/>
  <c r="S227" i="5"/>
  <c r="N228" i="5"/>
  <c r="S228" i="5"/>
  <c r="N229" i="5"/>
  <c r="S229" i="5"/>
  <c r="N230" i="5"/>
  <c r="S230" i="5"/>
  <c r="N231" i="5"/>
  <c r="S231" i="5"/>
  <c r="N232" i="5"/>
  <c r="S232" i="5"/>
  <c r="N233" i="5"/>
  <c r="S233" i="5"/>
  <c r="N234" i="5"/>
  <c r="W234" i="5"/>
  <c r="S234" i="5"/>
  <c r="N235" i="5"/>
  <c r="S235" i="5"/>
  <c r="N236" i="5"/>
  <c r="S236" i="5"/>
  <c r="N237" i="5"/>
  <c r="S237" i="5"/>
  <c r="N238" i="5"/>
  <c r="V238" i="5"/>
  <c r="S238" i="5"/>
  <c r="N239" i="5"/>
  <c r="V239" i="5"/>
  <c r="S239" i="5"/>
  <c r="N240" i="5"/>
  <c r="S240" i="5"/>
  <c r="N241" i="5"/>
  <c r="V241" i="5"/>
  <c r="S241" i="5"/>
  <c r="N242" i="5"/>
  <c r="S242" i="5"/>
  <c r="N243" i="5"/>
  <c r="V243" i="5"/>
  <c r="S243" i="5"/>
  <c r="N244" i="5"/>
  <c r="S244" i="5"/>
  <c r="N245" i="5"/>
  <c r="V245" i="5"/>
  <c r="S245" i="5"/>
  <c r="N246" i="5"/>
  <c r="V246" i="5"/>
  <c r="S246" i="5"/>
  <c r="N247" i="5"/>
  <c r="S247" i="5"/>
  <c r="N248" i="5"/>
  <c r="S248" i="5"/>
  <c r="N249" i="5"/>
  <c r="S249" i="5"/>
  <c r="N250" i="5"/>
  <c r="V250" i="5"/>
  <c r="S250" i="5"/>
  <c r="N251" i="5"/>
  <c r="S251" i="5"/>
  <c r="N252" i="5"/>
  <c r="S252" i="5"/>
  <c r="N253" i="5"/>
  <c r="V253" i="5"/>
  <c r="S253" i="5"/>
  <c r="N254" i="5"/>
  <c r="W254" i="5"/>
  <c r="S254" i="5"/>
  <c r="N255" i="5"/>
  <c r="V255" i="5"/>
  <c r="S255" i="5"/>
  <c r="N256" i="5"/>
  <c r="S256" i="5"/>
  <c r="N257" i="5"/>
  <c r="S257" i="5"/>
  <c r="N258" i="5"/>
  <c r="V258" i="5"/>
  <c r="S258" i="5"/>
  <c r="N259" i="5"/>
  <c r="S259" i="5"/>
  <c r="N260" i="5"/>
  <c r="S260" i="5"/>
  <c r="N261" i="5"/>
  <c r="S261" i="5"/>
  <c r="N262" i="5"/>
  <c r="V262" i="5"/>
  <c r="S262" i="5"/>
  <c r="N263" i="5"/>
  <c r="S263" i="5"/>
  <c r="N264" i="5"/>
  <c r="S264" i="5"/>
  <c r="N265" i="5"/>
  <c r="S265" i="5"/>
  <c r="N266" i="5"/>
  <c r="S266" i="5"/>
  <c r="N267" i="5"/>
  <c r="S267" i="5"/>
  <c r="N268" i="5"/>
  <c r="S268" i="5"/>
  <c r="N269" i="5"/>
  <c r="V269" i="5"/>
  <c r="S269" i="5"/>
  <c r="N270" i="5"/>
  <c r="V270" i="5"/>
  <c r="S270" i="5"/>
  <c r="N271" i="5"/>
  <c r="S271" i="5"/>
  <c r="N272" i="5"/>
  <c r="S272" i="5"/>
  <c r="N273" i="5"/>
  <c r="S273" i="5"/>
  <c r="N274" i="5"/>
  <c r="W274" i="5"/>
  <c r="S274" i="5"/>
  <c r="N275" i="5"/>
  <c r="W275" i="5"/>
  <c r="S275" i="5"/>
  <c r="N276" i="5"/>
  <c r="S276" i="5"/>
  <c r="N277" i="5"/>
  <c r="S277" i="5"/>
  <c r="N278" i="5"/>
  <c r="S278" i="5"/>
  <c r="N279" i="5"/>
  <c r="V279" i="5"/>
  <c r="S279" i="5"/>
  <c r="N280" i="5"/>
  <c r="S280" i="5"/>
  <c r="N281" i="5"/>
  <c r="S281" i="5"/>
  <c r="N282" i="5"/>
  <c r="S282" i="5"/>
  <c r="N283" i="5"/>
  <c r="S283" i="5"/>
  <c r="N284" i="5"/>
  <c r="S284" i="5"/>
  <c r="N285" i="5"/>
  <c r="V285" i="5"/>
  <c r="S285" i="5"/>
  <c r="N286" i="5"/>
  <c r="V286" i="5"/>
  <c r="S286" i="5"/>
  <c r="N287" i="5"/>
  <c r="V287" i="5"/>
  <c r="S287" i="5"/>
  <c r="N288" i="5"/>
  <c r="S288" i="5"/>
  <c r="N289" i="5"/>
  <c r="S289" i="5"/>
  <c r="N290" i="5"/>
  <c r="S290" i="5"/>
  <c r="N291" i="5"/>
  <c r="S291" i="5"/>
  <c r="N292" i="5"/>
  <c r="S292" i="5"/>
  <c r="N293" i="5"/>
  <c r="V293" i="5"/>
  <c r="S293" i="5"/>
  <c r="N294" i="5"/>
  <c r="W294" i="5"/>
  <c r="S294" i="5"/>
  <c r="N295" i="5"/>
  <c r="S295" i="5"/>
  <c r="N296" i="5"/>
  <c r="S296" i="5"/>
  <c r="N297" i="5"/>
  <c r="W297" i="5"/>
  <c r="S297" i="5"/>
  <c r="N298" i="5"/>
  <c r="S298" i="5"/>
  <c r="N299" i="5"/>
  <c r="S299" i="5"/>
  <c r="N300" i="5"/>
  <c r="S300" i="5"/>
  <c r="N301" i="5"/>
  <c r="W301" i="5"/>
  <c r="S301" i="5"/>
  <c r="N302" i="5"/>
  <c r="S302" i="5"/>
  <c r="N303" i="5"/>
  <c r="S303" i="5"/>
  <c r="N307" i="5"/>
  <c r="S307" i="5"/>
  <c r="N308" i="5"/>
  <c r="S308" i="5"/>
  <c r="N309" i="5"/>
  <c r="S309" i="5"/>
  <c r="N310" i="5"/>
  <c r="S310" i="5"/>
  <c r="N311" i="5"/>
  <c r="S311" i="5"/>
  <c r="N312" i="5"/>
  <c r="S312" i="5"/>
  <c r="N313" i="5"/>
  <c r="S313" i="5"/>
  <c r="N314" i="5"/>
  <c r="S314" i="5"/>
  <c r="N315" i="5"/>
  <c r="S315" i="5"/>
  <c r="N316" i="5"/>
  <c r="S316" i="5"/>
  <c r="N317" i="5"/>
  <c r="S317" i="5"/>
  <c r="N318" i="5"/>
  <c r="S318" i="5"/>
  <c r="N319" i="5"/>
  <c r="S319" i="5"/>
  <c r="N320" i="5"/>
  <c r="S320" i="5"/>
  <c r="N321" i="5"/>
  <c r="S321" i="5"/>
  <c r="N322" i="5"/>
  <c r="S322" i="5"/>
  <c r="N323" i="5"/>
  <c r="S323" i="5"/>
  <c r="N324" i="5"/>
  <c r="V324" i="5"/>
  <c r="S324" i="5"/>
  <c r="N325" i="5"/>
  <c r="S325" i="5"/>
  <c r="N326" i="5"/>
  <c r="S326" i="5"/>
  <c r="N327" i="5"/>
  <c r="S327" i="5"/>
  <c r="N328" i="5"/>
  <c r="S328" i="5"/>
  <c r="N329" i="5"/>
  <c r="S329" i="5"/>
  <c r="N333" i="5"/>
  <c r="V333" i="5"/>
  <c r="S333" i="5"/>
  <c r="N335" i="5"/>
  <c r="S335" i="5"/>
  <c r="N336" i="5"/>
  <c r="S336" i="5"/>
  <c r="N337" i="5"/>
  <c r="S337" i="5"/>
  <c r="N338" i="5"/>
  <c r="S338" i="5"/>
  <c r="N339" i="5"/>
  <c r="S339" i="5"/>
  <c r="N340" i="5"/>
  <c r="S340" i="5"/>
  <c r="N341" i="5"/>
  <c r="S341" i="5"/>
  <c r="N342" i="5"/>
  <c r="S342" i="5"/>
  <c r="N343" i="5"/>
  <c r="S343" i="5"/>
  <c r="N344" i="5"/>
  <c r="S344" i="5"/>
  <c r="N345" i="5"/>
  <c r="V345" i="5"/>
  <c r="S345" i="5"/>
  <c r="N346" i="5"/>
  <c r="S346" i="5"/>
  <c r="N347" i="5"/>
  <c r="S347" i="5"/>
  <c r="N348" i="5"/>
  <c r="S348" i="5"/>
  <c r="N349" i="5"/>
  <c r="W349" i="5"/>
  <c r="S349" i="5"/>
  <c r="N350" i="5"/>
  <c r="V350" i="5"/>
  <c r="S350" i="5"/>
  <c r="N351" i="5"/>
  <c r="S351" i="5"/>
  <c r="N352" i="5"/>
  <c r="V352" i="5"/>
  <c r="S352" i="5"/>
  <c r="N353" i="5"/>
  <c r="S353" i="5"/>
  <c r="N354" i="5"/>
  <c r="V354" i="5"/>
  <c r="S354" i="5"/>
  <c r="N355" i="5"/>
  <c r="S355" i="5"/>
  <c r="N356" i="5"/>
  <c r="W356" i="5"/>
  <c r="S356" i="5"/>
  <c r="N357" i="5"/>
  <c r="S357" i="5"/>
  <c r="N358" i="5"/>
  <c r="V358" i="5"/>
  <c r="S358" i="5"/>
  <c r="N359" i="5"/>
  <c r="V359" i="5"/>
  <c r="S359" i="5"/>
  <c r="N360" i="5"/>
  <c r="V360" i="5"/>
  <c r="S360" i="5"/>
  <c r="N361" i="5"/>
  <c r="S361" i="5"/>
  <c r="N362" i="5"/>
  <c r="S362" i="5"/>
  <c r="N363" i="5"/>
  <c r="V363" i="5"/>
  <c r="S363" i="5"/>
  <c r="N364" i="5"/>
  <c r="W364" i="5"/>
  <c r="S364" i="5"/>
  <c r="N365" i="5"/>
  <c r="W365" i="5"/>
  <c r="S365" i="5"/>
  <c r="N366" i="5"/>
  <c r="W366" i="5"/>
  <c r="S366" i="5"/>
  <c r="N367" i="5"/>
  <c r="S367" i="5"/>
  <c r="N368" i="5"/>
  <c r="S368" i="5"/>
  <c r="N369" i="5"/>
  <c r="S369" i="5"/>
  <c r="N370" i="5"/>
  <c r="W370" i="5"/>
  <c r="S370" i="5"/>
  <c r="N371" i="5"/>
  <c r="S371" i="5"/>
  <c r="N372" i="5"/>
  <c r="V372" i="5"/>
  <c r="S372" i="5"/>
  <c r="N373" i="5"/>
  <c r="S373" i="5"/>
  <c r="N374" i="5"/>
  <c r="S374" i="5"/>
  <c r="N375" i="5"/>
  <c r="S375" i="5"/>
  <c r="N376" i="5"/>
  <c r="S376" i="5"/>
  <c r="N377" i="5"/>
  <c r="V377" i="5"/>
  <c r="S377" i="5"/>
  <c r="N378" i="5"/>
  <c r="S378" i="5"/>
  <c r="N379" i="5"/>
  <c r="S379" i="5"/>
  <c r="N380" i="5"/>
  <c r="S380" i="5"/>
  <c r="N381" i="5"/>
  <c r="S381" i="5"/>
  <c r="N382" i="5"/>
  <c r="S382" i="5"/>
  <c r="N383" i="5"/>
  <c r="W383" i="5"/>
  <c r="S383" i="5"/>
  <c r="N384" i="5"/>
  <c r="W384" i="5"/>
  <c r="S384" i="5"/>
  <c r="N385" i="5"/>
  <c r="S385" i="5"/>
  <c r="N386" i="5"/>
  <c r="S386" i="5"/>
  <c r="N387" i="5"/>
  <c r="S387" i="5"/>
  <c r="N388" i="5"/>
  <c r="S388" i="5"/>
  <c r="N389" i="5"/>
  <c r="W389" i="5"/>
  <c r="S389" i="5"/>
  <c r="N390" i="5"/>
  <c r="V390" i="5"/>
  <c r="S390" i="5"/>
  <c r="N391" i="5"/>
  <c r="S391" i="5"/>
  <c r="N392" i="5"/>
  <c r="V392" i="5"/>
  <c r="S392" i="5"/>
  <c r="N393" i="5"/>
  <c r="S393" i="5"/>
  <c r="N394" i="5"/>
  <c r="V394" i="5"/>
  <c r="S394" i="5"/>
  <c r="N395" i="5"/>
  <c r="S395" i="5"/>
  <c r="N396" i="5"/>
  <c r="S396" i="5"/>
  <c r="N397" i="5"/>
  <c r="W397" i="5"/>
  <c r="S397" i="5"/>
  <c r="N398" i="5"/>
  <c r="S398" i="5"/>
  <c r="N399" i="5"/>
  <c r="W399" i="5"/>
  <c r="S399" i="5"/>
  <c r="N400" i="5"/>
  <c r="V400" i="5"/>
  <c r="S400" i="5"/>
  <c r="N401" i="5"/>
  <c r="V401" i="5"/>
  <c r="S401" i="5"/>
  <c r="N402" i="5"/>
  <c r="S402" i="5"/>
  <c r="N403" i="5"/>
  <c r="V403" i="5"/>
  <c r="S403" i="5"/>
  <c r="N404" i="5"/>
  <c r="V404" i="5"/>
  <c r="S404" i="5"/>
  <c r="N405" i="5"/>
  <c r="S405" i="5"/>
  <c r="N406" i="5"/>
  <c r="V406" i="5"/>
  <c r="S406" i="5"/>
  <c r="N407" i="5"/>
  <c r="S407" i="5"/>
  <c r="N408" i="5"/>
  <c r="S408" i="5"/>
  <c r="N409" i="5"/>
  <c r="S409" i="5"/>
  <c r="N410" i="5"/>
  <c r="V410" i="5"/>
  <c r="S410" i="5"/>
  <c r="N411" i="5"/>
  <c r="S411" i="5"/>
  <c r="N412" i="5"/>
  <c r="S412" i="5"/>
  <c r="N413" i="5"/>
  <c r="S413" i="5"/>
  <c r="N414" i="5"/>
  <c r="S414" i="5"/>
  <c r="N415" i="5"/>
  <c r="V415" i="5"/>
  <c r="S415" i="5"/>
  <c r="N416" i="5"/>
  <c r="S416" i="5"/>
  <c r="N417" i="5"/>
  <c r="S417" i="5"/>
  <c r="N418" i="5"/>
  <c r="S418" i="5"/>
  <c r="N419" i="5"/>
  <c r="S419" i="5"/>
  <c r="N420" i="5"/>
  <c r="S420" i="5"/>
  <c r="N421" i="5"/>
  <c r="S421" i="5"/>
  <c r="N422" i="5"/>
  <c r="S422" i="5"/>
  <c r="N423" i="5"/>
  <c r="V423" i="5"/>
  <c r="S423" i="5"/>
  <c r="N424" i="5"/>
  <c r="S424" i="5"/>
  <c r="N425" i="5"/>
  <c r="S425" i="5"/>
  <c r="N426" i="5"/>
  <c r="W426" i="5"/>
  <c r="S426" i="5"/>
  <c r="N427" i="5"/>
  <c r="S427" i="5"/>
  <c r="N428" i="5"/>
  <c r="S428" i="5"/>
  <c r="N429" i="5"/>
  <c r="S429" i="5"/>
  <c r="N430" i="5"/>
  <c r="W430" i="5"/>
  <c r="S430" i="5"/>
  <c r="N431" i="5"/>
  <c r="V431" i="5"/>
  <c r="S431" i="5"/>
  <c r="N435" i="5"/>
  <c r="S435" i="5"/>
  <c r="N436" i="5"/>
  <c r="S436" i="5"/>
  <c r="N437" i="5"/>
  <c r="S437" i="5"/>
  <c r="N438" i="5"/>
  <c r="S438" i="5"/>
  <c r="N439" i="5"/>
  <c r="V439" i="5"/>
  <c r="S439" i="5"/>
  <c r="N440" i="5"/>
  <c r="S440" i="5"/>
  <c r="N441" i="5"/>
  <c r="S441" i="5"/>
  <c r="N442" i="5"/>
  <c r="S442" i="5"/>
  <c r="N443" i="5"/>
  <c r="S443" i="5"/>
  <c r="N444" i="5"/>
  <c r="S444" i="5"/>
  <c r="N445" i="5"/>
  <c r="S445" i="5"/>
  <c r="N446" i="5"/>
  <c r="S446" i="5"/>
  <c r="N447" i="5"/>
  <c r="V447" i="5"/>
  <c r="S447" i="5"/>
  <c r="N448" i="5"/>
  <c r="S448" i="5"/>
  <c r="N449" i="5"/>
  <c r="V449" i="5"/>
  <c r="S449" i="5"/>
  <c r="N450" i="5"/>
  <c r="S450" i="5"/>
  <c r="N451" i="5"/>
  <c r="S451" i="5"/>
  <c r="N452" i="5"/>
  <c r="S452" i="5"/>
  <c r="N453" i="5"/>
  <c r="S453" i="5"/>
  <c r="N454" i="5"/>
  <c r="S454" i="5"/>
  <c r="N455" i="5"/>
  <c r="S455" i="5"/>
  <c r="N456" i="5"/>
  <c r="W456" i="5"/>
  <c r="S456" i="5"/>
  <c r="N457" i="5"/>
  <c r="V457" i="5"/>
  <c r="S457" i="5"/>
  <c r="N459" i="5"/>
  <c r="S459" i="5"/>
  <c r="N461" i="5"/>
  <c r="S461" i="5"/>
  <c r="N462" i="5"/>
  <c r="S462" i="5"/>
  <c r="N463" i="5"/>
  <c r="S463" i="5"/>
  <c r="N464" i="5"/>
  <c r="S464" i="5"/>
  <c r="N465" i="5"/>
  <c r="S465" i="5"/>
  <c r="N466" i="5"/>
  <c r="W466" i="5"/>
  <c r="S466" i="5"/>
  <c r="N467" i="5"/>
  <c r="S467" i="5"/>
  <c r="N468" i="5"/>
  <c r="V468" i="5"/>
  <c r="S468" i="5"/>
  <c r="N469" i="5"/>
  <c r="S469" i="5"/>
  <c r="N470" i="5"/>
  <c r="V470" i="5"/>
  <c r="S470" i="5"/>
  <c r="N471" i="5"/>
  <c r="S471" i="5"/>
  <c r="N472" i="5"/>
  <c r="V472" i="5"/>
  <c r="S472" i="5"/>
  <c r="N473" i="5"/>
  <c r="S473" i="5"/>
  <c r="N474" i="5"/>
  <c r="S474" i="5"/>
  <c r="N475" i="5"/>
  <c r="S475" i="5"/>
  <c r="N476" i="5"/>
  <c r="V476" i="5"/>
  <c r="S476" i="5"/>
  <c r="N477" i="5"/>
  <c r="S477" i="5"/>
  <c r="N478" i="5"/>
  <c r="S478" i="5"/>
  <c r="N479" i="5"/>
  <c r="S479" i="5"/>
  <c r="N480" i="5"/>
  <c r="S480" i="5"/>
  <c r="N481" i="5"/>
  <c r="S481" i="5"/>
  <c r="N482" i="5"/>
  <c r="S482" i="5"/>
  <c r="N483" i="5"/>
  <c r="S483" i="5"/>
  <c r="N484" i="5"/>
  <c r="V484" i="5"/>
  <c r="S484" i="5"/>
  <c r="N485" i="5"/>
  <c r="S485" i="5"/>
  <c r="N486" i="5"/>
  <c r="W486" i="5"/>
  <c r="S486" i="5"/>
  <c r="N487" i="5"/>
  <c r="S487" i="5"/>
  <c r="N488" i="5"/>
  <c r="S488" i="5"/>
  <c r="N489" i="5"/>
  <c r="V489" i="5"/>
  <c r="S489" i="5"/>
  <c r="N490" i="5"/>
  <c r="S490" i="5"/>
  <c r="N491" i="5"/>
  <c r="S491" i="5"/>
  <c r="N492" i="5"/>
  <c r="W492" i="5"/>
  <c r="S492" i="5"/>
  <c r="N493" i="5"/>
  <c r="S493" i="5"/>
  <c r="N494" i="5"/>
  <c r="S494" i="5"/>
  <c r="N495" i="5"/>
  <c r="S495" i="5"/>
  <c r="N496" i="5"/>
  <c r="S496" i="5"/>
  <c r="N497" i="5"/>
  <c r="S497" i="5"/>
  <c r="N498" i="5"/>
  <c r="S498" i="5"/>
  <c r="N499" i="5"/>
  <c r="W499" i="5"/>
  <c r="S499" i="5"/>
  <c r="N500" i="5"/>
  <c r="S500" i="5"/>
  <c r="N501" i="5"/>
  <c r="S501" i="5"/>
  <c r="N502" i="5"/>
  <c r="W502" i="5"/>
  <c r="S502" i="5"/>
  <c r="N503" i="5"/>
  <c r="S503" i="5"/>
  <c r="N504" i="5"/>
  <c r="S504" i="5"/>
  <c r="N505" i="5"/>
  <c r="S505" i="5"/>
  <c r="N506" i="5"/>
  <c r="S506" i="5"/>
  <c r="N507" i="5"/>
  <c r="W507" i="5"/>
  <c r="S507" i="5"/>
  <c r="N508" i="5"/>
  <c r="S508" i="5"/>
  <c r="N509" i="5"/>
  <c r="W509" i="5"/>
  <c r="S509" i="5"/>
  <c r="N510" i="5"/>
  <c r="S510" i="5"/>
  <c r="N511" i="5"/>
  <c r="S511" i="5"/>
  <c r="N512" i="5"/>
  <c r="S512" i="5"/>
  <c r="N513" i="5"/>
  <c r="S513" i="5"/>
  <c r="N514" i="5"/>
  <c r="V514" i="5"/>
  <c r="S514" i="5"/>
  <c r="N515" i="5"/>
  <c r="S515" i="5"/>
  <c r="N516" i="5"/>
  <c r="S516" i="5"/>
  <c r="N517" i="5"/>
  <c r="S517" i="5"/>
  <c r="N518" i="5"/>
  <c r="S518" i="5"/>
  <c r="N519" i="5"/>
  <c r="S519" i="5"/>
  <c r="N520" i="5"/>
  <c r="W520" i="5"/>
  <c r="S520" i="5"/>
  <c r="N521" i="5"/>
  <c r="S521" i="5"/>
  <c r="N522" i="5"/>
  <c r="S522" i="5"/>
  <c r="N523" i="5"/>
  <c r="S523" i="5"/>
  <c r="N524" i="5"/>
  <c r="S524" i="5"/>
  <c r="N525" i="5"/>
  <c r="V525" i="5"/>
  <c r="S525" i="5"/>
  <c r="N526" i="5"/>
  <c r="S526" i="5"/>
  <c r="N527" i="5"/>
  <c r="S527" i="5"/>
  <c r="N528" i="5"/>
  <c r="W528" i="5"/>
  <c r="S528" i="5"/>
  <c r="N529" i="5"/>
  <c r="W529" i="5"/>
  <c r="S529" i="5"/>
  <c r="N530" i="5"/>
  <c r="S530" i="5"/>
  <c r="N531" i="5"/>
  <c r="V531" i="5"/>
  <c r="S531" i="5"/>
  <c r="N532" i="5"/>
  <c r="S532" i="5"/>
  <c r="N533" i="5"/>
  <c r="S533" i="5"/>
  <c r="N534" i="5"/>
  <c r="S534" i="5"/>
  <c r="N535" i="5"/>
  <c r="S535" i="5"/>
  <c r="N536" i="5"/>
  <c r="S536" i="5"/>
  <c r="N537" i="5"/>
  <c r="W537" i="5"/>
  <c r="S537" i="5"/>
  <c r="N538" i="5"/>
  <c r="S538" i="5"/>
  <c r="N539" i="5"/>
  <c r="S539" i="5"/>
  <c r="N540" i="5"/>
  <c r="S540" i="5"/>
  <c r="N541" i="5"/>
  <c r="S541" i="5"/>
  <c r="N542" i="5"/>
  <c r="S542" i="5"/>
  <c r="N543" i="5"/>
  <c r="W543" i="5"/>
  <c r="S543" i="5"/>
  <c r="N544" i="5"/>
  <c r="S544" i="5"/>
  <c r="N545" i="5"/>
  <c r="S545" i="5"/>
  <c r="N546" i="5"/>
  <c r="S546" i="5"/>
  <c r="N547" i="5"/>
  <c r="S547" i="5"/>
  <c r="N548" i="5"/>
  <c r="S548" i="5"/>
  <c r="N549" i="5"/>
  <c r="V549" i="5"/>
  <c r="S549" i="5"/>
  <c r="N550" i="5"/>
  <c r="S550" i="5"/>
  <c r="N551" i="5"/>
  <c r="S551" i="5"/>
  <c r="N552" i="5"/>
  <c r="S552" i="5"/>
  <c r="N553" i="5"/>
  <c r="V553" i="5"/>
  <c r="S553" i="5"/>
  <c r="N554" i="5"/>
  <c r="W554" i="5"/>
  <c r="S554" i="5"/>
  <c r="N555" i="5"/>
  <c r="S555" i="5"/>
  <c r="N556" i="5"/>
  <c r="S556" i="5"/>
  <c r="N557" i="5"/>
  <c r="S557" i="5"/>
  <c r="N558" i="5"/>
  <c r="S558" i="5"/>
  <c r="N559" i="5"/>
  <c r="V559" i="5"/>
  <c r="S559" i="5"/>
  <c r="N563" i="5"/>
  <c r="S563" i="5"/>
  <c r="N564" i="5"/>
  <c r="S564" i="5"/>
  <c r="N565" i="5"/>
  <c r="W565" i="5"/>
  <c r="S565" i="5"/>
  <c r="N566" i="5"/>
  <c r="S566" i="5"/>
  <c r="N567" i="5"/>
  <c r="W567" i="5"/>
  <c r="S567" i="5"/>
  <c r="N568" i="5"/>
  <c r="W568" i="5"/>
  <c r="S568" i="5"/>
  <c r="N569" i="5"/>
  <c r="S569" i="5"/>
  <c r="N570" i="5"/>
  <c r="S570" i="5"/>
  <c r="N571" i="5"/>
  <c r="S571" i="5"/>
  <c r="N572" i="5"/>
  <c r="S572" i="5"/>
  <c r="N573" i="5"/>
  <c r="W573" i="5"/>
  <c r="S573" i="5"/>
  <c r="N574" i="5"/>
  <c r="V574" i="5"/>
  <c r="S574" i="5"/>
  <c r="N575" i="5"/>
  <c r="S575" i="5"/>
  <c r="N576" i="5"/>
  <c r="S576" i="5"/>
  <c r="N577" i="5"/>
  <c r="S577" i="5"/>
  <c r="N578" i="5"/>
  <c r="S578" i="5"/>
  <c r="N579" i="5"/>
  <c r="S579" i="5"/>
  <c r="N580" i="5"/>
  <c r="W580" i="5"/>
  <c r="S580" i="5"/>
  <c r="N581" i="5"/>
  <c r="S581" i="5"/>
  <c r="N582" i="5"/>
  <c r="V582" i="5"/>
  <c r="S582" i="5"/>
  <c r="N583" i="5"/>
  <c r="V583" i="5"/>
  <c r="S583" i="5"/>
  <c r="N584" i="5"/>
  <c r="S584" i="5"/>
  <c r="N585" i="5"/>
  <c r="S585" i="5"/>
  <c r="N589" i="5"/>
  <c r="S589" i="5"/>
  <c r="N591" i="5"/>
  <c r="S591" i="5"/>
  <c r="N592" i="5"/>
  <c r="V592" i="5"/>
  <c r="S592" i="5"/>
  <c r="N593" i="5"/>
  <c r="S593" i="5"/>
  <c r="N594" i="5"/>
  <c r="V594" i="5"/>
  <c r="S594" i="5"/>
  <c r="N595" i="5"/>
  <c r="S595" i="5"/>
  <c r="N596" i="5"/>
  <c r="S596" i="5"/>
  <c r="N597" i="5"/>
  <c r="S597" i="5"/>
  <c r="N598" i="5"/>
  <c r="S598" i="5"/>
  <c r="N599" i="5"/>
  <c r="V599" i="5"/>
  <c r="S599" i="5"/>
  <c r="N600" i="5"/>
  <c r="S600" i="5"/>
  <c r="N601" i="5"/>
  <c r="V601" i="5"/>
  <c r="S601" i="5"/>
  <c r="N602" i="5"/>
  <c r="S602" i="5"/>
  <c r="N603" i="5"/>
  <c r="S603" i="5"/>
  <c r="N604" i="5"/>
  <c r="V604" i="5"/>
  <c r="S604" i="5"/>
  <c r="N605" i="5"/>
  <c r="S605" i="5"/>
  <c r="N606" i="5"/>
  <c r="S606" i="5"/>
  <c r="N607" i="5"/>
  <c r="V607" i="5"/>
  <c r="S607" i="5"/>
  <c r="N608" i="5"/>
  <c r="S608" i="5"/>
  <c r="N609" i="5"/>
  <c r="V609" i="5"/>
  <c r="S609" i="5"/>
  <c r="N610" i="5"/>
  <c r="S610" i="5"/>
  <c r="N611" i="5"/>
  <c r="S611" i="5"/>
  <c r="N612" i="5"/>
  <c r="S612" i="5"/>
  <c r="N613" i="5"/>
  <c r="S613" i="5"/>
  <c r="N614" i="5"/>
  <c r="V614" i="5"/>
  <c r="S614" i="5"/>
  <c r="N615" i="5"/>
  <c r="S615" i="5"/>
  <c r="N616" i="5"/>
  <c r="S616" i="5"/>
  <c r="N617" i="5"/>
  <c r="V617" i="5"/>
  <c r="S617" i="5"/>
  <c r="N618" i="5"/>
  <c r="S618" i="5"/>
  <c r="N619" i="5"/>
  <c r="S619" i="5"/>
  <c r="N620" i="5"/>
  <c r="V620" i="5"/>
  <c r="S620" i="5"/>
  <c r="N621" i="5"/>
  <c r="S621" i="5"/>
  <c r="N622" i="5"/>
  <c r="S622" i="5"/>
  <c r="N623" i="5"/>
  <c r="S623" i="5"/>
  <c r="N624" i="5"/>
  <c r="S624" i="5"/>
  <c r="N625" i="5"/>
  <c r="S625" i="5"/>
  <c r="N626" i="5"/>
  <c r="S626" i="5"/>
  <c r="N627" i="5"/>
  <c r="V627" i="5"/>
  <c r="S627" i="5"/>
  <c r="N628" i="5"/>
  <c r="S628" i="5"/>
  <c r="N629" i="5"/>
  <c r="V629" i="5"/>
  <c r="S629" i="5"/>
  <c r="N630" i="5"/>
  <c r="V630" i="5"/>
  <c r="S630" i="5"/>
  <c r="N631" i="5"/>
  <c r="V631" i="5"/>
  <c r="S631" i="5"/>
  <c r="N632" i="5"/>
  <c r="S632" i="5"/>
  <c r="N633" i="5"/>
  <c r="S633" i="5"/>
  <c r="N634" i="5"/>
  <c r="V634" i="5"/>
  <c r="S634" i="5"/>
  <c r="N635" i="5"/>
  <c r="V635" i="5"/>
  <c r="S635" i="5"/>
  <c r="N636" i="5"/>
  <c r="S636" i="5"/>
  <c r="N637" i="5"/>
  <c r="S637" i="5"/>
  <c r="N638" i="5"/>
  <c r="V638" i="5"/>
  <c r="S638" i="5"/>
  <c r="N639" i="5"/>
  <c r="S639" i="5"/>
  <c r="N640" i="5"/>
  <c r="S640" i="5"/>
  <c r="N641" i="5"/>
  <c r="S641" i="5"/>
  <c r="N642" i="5"/>
  <c r="S642" i="5"/>
  <c r="N643" i="5"/>
  <c r="V643" i="5"/>
  <c r="S643" i="5"/>
  <c r="N644" i="5"/>
  <c r="S644" i="5"/>
  <c r="N645" i="5"/>
  <c r="W645" i="5"/>
  <c r="S645" i="5"/>
  <c r="N646" i="5"/>
  <c r="W646" i="5"/>
  <c r="S646" i="5"/>
  <c r="N647" i="5"/>
  <c r="W647" i="5"/>
  <c r="S647" i="5"/>
  <c r="N648" i="5"/>
  <c r="S648" i="5"/>
  <c r="N649" i="5"/>
  <c r="S649" i="5"/>
  <c r="N650" i="5"/>
  <c r="S650" i="5"/>
  <c r="N651" i="5"/>
  <c r="V651" i="5"/>
  <c r="S651" i="5"/>
  <c r="N652" i="5"/>
  <c r="S652" i="5"/>
  <c r="N653" i="5"/>
  <c r="S653" i="5"/>
  <c r="N654" i="5"/>
  <c r="S654" i="5"/>
  <c r="N655" i="5"/>
  <c r="S655" i="5"/>
  <c r="N656" i="5"/>
  <c r="S656" i="5"/>
  <c r="N657" i="5"/>
  <c r="V657" i="5"/>
  <c r="S657" i="5"/>
  <c r="N658" i="5"/>
  <c r="S658" i="5"/>
  <c r="N659" i="5"/>
  <c r="S659" i="5"/>
  <c r="N660" i="5"/>
  <c r="S660" i="5"/>
  <c r="N661" i="5"/>
  <c r="S661" i="5"/>
  <c r="N662" i="5"/>
  <c r="S662" i="5"/>
  <c r="N663" i="5"/>
  <c r="S663" i="5"/>
  <c r="N664" i="5"/>
  <c r="S664" i="5"/>
  <c r="N665" i="5"/>
  <c r="S665" i="5"/>
  <c r="N666" i="5"/>
  <c r="S666" i="5"/>
  <c r="N667" i="5"/>
  <c r="S667" i="5"/>
  <c r="N668" i="5"/>
  <c r="S668" i="5"/>
  <c r="N669" i="5"/>
  <c r="V669" i="5"/>
  <c r="S669" i="5"/>
  <c r="N670" i="5"/>
  <c r="S670" i="5"/>
  <c r="N671" i="5"/>
  <c r="S671" i="5"/>
  <c r="N672" i="5"/>
  <c r="W672" i="5"/>
  <c r="S672" i="5"/>
  <c r="N673" i="5"/>
  <c r="V673" i="5"/>
  <c r="S673" i="5"/>
  <c r="N674" i="5"/>
  <c r="S674" i="5"/>
  <c r="N675" i="5"/>
  <c r="V675" i="5"/>
  <c r="S675" i="5"/>
  <c r="N676" i="5"/>
  <c r="S676" i="5"/>
  <c r="N677" i="5"/>
  <c r="S677" i="5"/>
  <c r="N678" i="5"/>
  <c r="S678" i="5"/>
  <c r="N679" i="5"/>
  <c r="W679" i="5"/>
  <c r="S679" i="5"/>
  <c r="N680" i="5"/>
  <c r="W680" i="5"/>
  <c r="S680" i="5"/>
  <c r="N681" i="5"/>
  <c r="S681" i="5"/>
  <c r="N682" i="5"/>
  <c r="S682" i="5"/>
  <c r="N683" i="5"/>
  <c r="S683" i="5"/>
  <c r="N684" i="5"/>
  <c r="S684" i="5"/>
  <c r="N685" i="5"/>
  <c r="S685" i="5"/>
  <c r="N686" i="5"/>
  <c r="S686" i="5"/>
  <c r="N687" i="5"/>
  <c r="W687" i="5"/>
  <c r="S687" i="5"/>
  <c r="N691" i="5"/>
  <c r="S691" i="5"/>
  <c r="N692" i="5"/>
  <c r="S692" i="5"/>
  <c r="N693" i="5"/>
  <c r="V693" i="5"/>
  <c r="S693" i="5"/>
  <c r="N694" i="5"/>
  <c r="W694" i="5"/>
  <c r="S694" i="5"/>
  <c r="N695" i="5"/>
  <c r="W695" i="5"/>
  <c r="S695" i="5"/>
  <c r="N696" i="5"/>
  <c r="V696" i="5"/>
  <c r="S696" i="5"/>
  <c r="N697" i="5"/>
  <c r="S697" i="5"/>
  <c r="N698" i="5"/>
  <c r="V698" i="5"/>
  <c r="S698" i="5"/>
  <c r="N699" i="5"/>
  <c r="S699" i="5"/>
  <c r="N700" i="5"/>
  <c r="S700" i="5"/>
  <c r="N701" i="5"/>
  <c r="S701" i="5"/>
  <c r="N702" i="5"/>
  <c r="S702" i="5"/>
  <c r="N703" i="5"/>
  <c r="S703" i="5"/>
  <c r="N704" i="5"/>
  <c r="S704" i="5"/>
  <c r="N705" i="5"/>
  <c r="S705" i="5"/>
  <c r="N706" i="5"/>
  <c r="S706" i="5"/>
  <c r="N707" i="5"/>
  <c r="W707" i="5"/>
  <c r="S707" i="5"/>
  <c r="N708" i="5"/>
  <c r="V708" i="5"/>
  <c r="S708" i="5"/>
  <c r="N709" i="5"/>
  <c r="S709" i="5"/>
  <c r="N710" i="5"/>
  <c r="S710" i="5"/>
  <c r="N711" i="5"/>
  <c r="W711" i="5"/>
  <c r="S711" i="5"/>
  <c r="N712" i="5"/>
  <c r="S712" i="5"/>
  <c r="N713" i="5"/>
  <c r="S713" i="5"/>
  <c r="N717" i="5"/>
  <c r="S717" i="5"/>
  <c r="N719" i="5"/>
  <c r="W719" i="5"/>
  <c r="S719" i="5"/>
  <c r="N720" i="5"/>
  <c r="S720" i="5"/>
  <c r="N721" i="5"/>
  <c r="S721" i="5"/>
  <c r="N722" i="5"/>
  <c r="S722" i="5"/>
  <c r="N723" i="5"/>
  <c r="S723" i="5"/>
  <c r="N724" i="5"/>
  <c r="S724" i="5"/>
  <c r="N725" i="5"/>
  <c r="S725" i="5"/>
  <c r="N726" i="5"/>
  <c r="S726" i="5"/>
  <c r="N727" i="5"/>
  <c r="W727" i="5"/>
  <c r="S727" i="5"/>
  <c r="N728" i="5"/>
  <c r="S728" i="5"/>
  <c r="N729" i="5"/>
  <c r="S729" i="5"/>
  <c r="N730" i="5"/>
  <c r="V730" i="5"/>
  <c r="S730" i="5"/>
  <c r="N731" i="5"/>
  <c r="W731" i="5"/>
  <c r="S731" i="5"/>
  <c r="N732" i="5"/>
  <c r="V732" i="5"/>
  <c r="S732" i="5"/>
  <c r="N733" i="5"/>
  <c r="S733" i="5"/>
  <c r="N734" i="5"/>
  <c r="S734" i="5"/>
  <c r="N735" i="5"/>
  <c r="W735" i="5"/>
  <c r="S735" i="5"/>
  <c r="N736" i="5"/>
  <c r="V736" i="5"/>
  <c r="S736" i="5"/>
  <c r="N737" i="5"/>
  <c r="S737" i="5"/>
  <c r="N738" i="5"/>
  <c r="S738" i="5"/>
  <c r="N739" i="5"/>
  <c r="S739" i="5"/>
  <c r="N740" i="5"/>
  <c r="S740" i="5"/>
  <c r="N741" i="5"/>
  <c r="S741" i="5"/>
  <c r="N742" i="5"/>
  <c r="V742" i="5"/>
  <c r="S742" i="5"/>
  <c r="N743" i="5"/>
  <c r="S743" i="5"/>
  <c r="N744" i="5"/>
  <c r="W744" i="5"/>
  <c r="S744" i="5"/>
  <c r="N745" i="5"/>
  <c r="S745" i="5"/>
  <c r="N746" i="5"/>
  <c r="V746" i="5"/>
  <c r="S746" i="5"/>
  <c r="N747" i="5"/>
  <c r="S747" i="5"/>
  <c r="N748" i="5"/>
  <c r="S748" i="5"/>
  <c r="N749" i="5"/>
  <c r="S749" i="5"/>
  <c r="N750" i="5"/>
  <c r="S750" i="5"/>
  <c r="N751" i="5"/>
  <c r="S751" i="5"/>
  <c r="N752" i="5"/>
  <c r="S752" i="5"/>
  <c r="N753" i="5"/>
  <c r="S753" i="5"/>
  <c r="N754" i="5"/>
  <c r="S754" i="5"/>
  <c r="N755" i="5"/>
  <c r="S755" i="5"/>
  <c r="N756" i="5"/>
  <c r="S756" i="5"/>
  <c r="N757" i="5"/>
  <c r="S757" i="5"/>
  <c r="N758" i="5"/>
  <c r="S758" i="5"/>
  <c r="N759" i="5"/>
  <c r="S759" i="5"/>
  <c r="N760" i="5"/>
  <c r="S760" i="5"/>
  <c r="N761" i="5"/>
  <c r="S761" i="5"/>
  <c r="N762" i="5"/>
  <c r="S762" i="5"/>
  <c r="N763" i="5"/>
  <c r="S763" i="5"/>
  <c r="N764" i="5"/>
  <c r="S764" i="5"/>
  <c r="N765" i="5"/>
  <c r="W765" i="5"/>
  <c r="S765" i="5"/>
  <c r="N766" i="5"/>
  <c r="S766" i="5"/>
  <c r="N767" i="5"/>
  <c r="V767" i="5"/>
  <c r="S767" i="5"/>
  <c r="N768" i="5"/>
  <c r="S768" i="5"/>
  <c r="N769" i="5"/>
  <c r="S769" i="5"/>
  <c r="N770" i="5"/>
  <c r="V770" i="5"/>
  <c r="S770" i="5"/>
  <c r="N771" i="5"/>
  <c r="S771" i="5"/>
  <c r="N772" i="5"/>
  <c r="S772" i="5"/>
  <c r="N773" i="5"/>
  <c r="S773" i="5"/>
  <c r="N774" i="5"/>
  <c r="S774" i="5"/>
  <c r="N775" i="5"/>
  <c r="V775" i="5"/>
  <c r="S775" i="5"/>
  <c r="N776" i="5"/>
  <c r="S776" i="5"/>
  <c r="N777" i="5"/>
  <c r="S777" i="5"/>
  <c r="N778" i="5"/>
  <c r="S778" i="5"/>
  <c r="N779" i="5"/>
  <c r="W779" i="5"/>
  <c r="S779" i="5"/>
  <c r="N780" i="5"/>
  <c r="S780" i="5"/>
  <c r="N781" i="5"/>
  <c r="W781" i="5"/>
  <c r="S781" i="5"/>
  <c r="N782" i="5"/>
  <c r="S782" i="5"/>
  <c r="N783" i="5"/>
  <c r="W783" i="5"/>
  <c r="S783" i="5"/>
  <c r="N784" i="5"/>
  <c r="S784" i="5"/>
  <c r="N785" i="5"/>
  <c r="S785" i="5"/>
  <c r="N786" i="5"/>
  <c r="V786" i="5"/>
  <c r="S786" i="5"/>
  <c r="N787" i="5"/>
  <c r="S787" i="5"/>
  <c r="N788" i="5"/>
  <c r="W788" i="5"/>
  <c r="S788" i="5"/>
  <c r="N789" i="5"/>
  <c r="W789" i="5"/>
  <c r="S789" i="5"/>
  <c r="N790" i="5"/>
  <c r="S790" i="5"/>
  <c r="N791" i="5"/>
  <c r="V791" i="5"/>
  <c r="S791" i="5"/>
  <c r="N792" i="5"/>
  <c r="S792" i="5"/>
  <c r="N793" i="5"/>
  <c r="S793" i="5"/>
  <c r="N794" i="5"/>
  <c r="S794" i="5"/>
  <c r="N795" i="5"/>
  <c r="S795" i="5"/>
  <c r="N796" i="5"/>
  <c r="V796" i="5"/>
  <c r="S796" i="5"/>
  <c r="N797" i="5"/>
  <c r="S797" i="5"/>
  <c r="N798" i="5"/>
  <c r="S798" i="5"/>
  <c r="N799" i="5"/>
  <c r="V799" i="5"/>
  <c r="S799" i="5"/>
  <c r="N800" i="5"/>
  <c r="S800" i="5"/>
  <c r="N801" i="5"/>
  <c r="S801" i="5"/>
  <c r="N802" i="5"/>
  <c r="W802" i="5"/>
  <c r="S802" i="5"/>
  <c r="N803" i="5"/>
  <c r="S803" i="5"/>
  <c r="N804" i="5"/>
  <c r="S804" i="5"/>
  <c r="N805" i="5"/>
  <c r="S805" i="5"/>
  <c r="N806" i="5"/>
  <c r="S806" i="5"/>
  <c r="N807" i="5"/>
  <c r="S807" i="5"/>
  <c r="N808" i="5"/>
  <c r="V808" i="5"/>
  <c r="S808" i="5"/>
  <c r="N809" i="5"/>
  <c r="S809" i="5"/>
  <c r="N810" i="5"/>
  <c r="S810" i="5"/>
  <c r="N811" i="5"/>
  <c r="V811" i="5"/>
  <c r="S811" i="5"/>
  <c r="N812" i="5"/>
  <c r="S812" i="5"/>
  <c r="N813" i="5"/>
  <c r="S813" i="5"/>
  <c r="N814" i="5"/>
  <c r="S814" i="5"/>
  <c r="N815" i="5"/>
  <c r="S815" i="5"/>
  <c r="N819" i="5"/>
  <c r="S819" i="5"/>
  <c r="N820" i="5"/>
  <c r="S820" i="5"/>
  <c r="N821" i="5"/>
  <c r="S821" i="5"/>
  <c r="N822" i="5"/>
  <c r="S822" i="5"/>
  <c r="N823" i="5"/>
  <c r="S823" i="5"/>
  <c r="N824" i="5"/>
  <c r="S824" i="5"/>
  <c r="N825" i="5"/>
  <c r="S825" i="5"/>
  <c r="N826" i="5"/>
  <c r="S826" i="5"/>
  <c r="N827" i="5"/>
  <c r="S827" i="5"/>
  <c r="N828" i="5"/>
  <c r="S828" i="5"/>
  <c r="N829" i="5"/>
  <c r="V829" i="5"/>
  <c r="S829" i="5"/>
  <c r="N830" i="5"/>
  <c r="S830" i="5"/>
  <c r="N831" i="5"/>
  <c r="S831" i="5"/>
  <c r="N832" i="5"/>
  <c r="S832" i="5"/>
  <c r="N833" i="5"/>
  <c r="V833" i="5"/>
  <c r="S833" i="5"/>
  <c r="N834" i="5"/>
  <c r="S834" i="5"/>
  <c r="N835" i="5"/>
  <c r="S835" i="5"/>
  <c r="N836" i="5"/>
  <c r="S836" i="5"/>
  <c r="N837" i="5"/>
  <c r="W837" i="5"/>
  <c r="S837" i="5"/>
  <c r="N838" i="5"/>
  <c r="S838" i="5"/>
  <c r="N839" i="5"/>
  <c r="S839" i="5"/>
  <c r="N840" i="5"/>
  <c r="S840" i="5"/>
  <c r="N841" i="5"/>
  <c r="S841" i="5"/>
  <c r="N845" i="5"/>
  <c r="V845" i="5"/>
  <c r="S845" i="5"/>
  <c r="N847" i="5"/>
  <c r="S847" i="5"/>
  <c r="N848" i="5"/>
  <c r="S848" i="5"/>
  <c r="N849" i="5"/>
  <c r="S849" i="5"/>
  <c r="N850" i="5"/>
  <c r="W850" i="5"/>
  <c r="S850" i="5"/>
  <c r="N851" i="5"/>
  <c r="S851" i="5"/>
  <c r="N852" i="5"/>
  <c r="S852" i="5"/>
  <c r="N853" i="5"/>
  <c r="S853" i="5"/>
  <c r="N854" i="5"/>
  <c r="S854" i="5"/>
  <c r="N855" i="5"/>
  <c r="V855" i="5"/>
  <c r="S855" i="5"/>
  <c r="N856" i="5"/>
  <c r="S856" i="5"/>
  <c r="N857" i="5"/>
  <c r="W857" i="5"/>
  <c r="S857" i="5"/>
  <c r="N858" i="5"/>
  <c r="S858" i="5"/>
  <c r="N859" i="5"/>
  <c r="V859" i="5"/>
  <c r="S859" i="5"/>
  <c r="N860" i="5"/>
  <c r="S860" i="5"/>
  <c r="N861" i="5"/>
  <c r="S861" i="5"/>
  <c r="N862" i="5"/>
  <c r="S862" i="5"/>
  <c r="N863" i="5"/>
  <c r="S863" i="5"/>
  <c r="N864" i="5"/>
  <c r="W864" i="5"/>
  <c r="S864" i="5"/>
  <c r="N865" i="5"/>
  <c r="S865" i="5"/>
  <c r="N866" i="5"/>
  <c r="S866" i="5"/>
  <c r="N867" i="5"/>
  <c r="S867" i="5"/>
  <c r="N868" i="5"/>
  <c r="S868" i="5"/>
  <c r="N869" i="5"/>
  <c r="S869" i="5"/>
  <c r="N870" i="5"/>
  <c r="S870" i="5"/>
  <c r="N871" i="5"/>
  <c r="S871" i="5"/>
  <c r="N872" i="5"/>
  <c r="S872" i="5"/>
  <c r="N873" i="5"/>
  <c r="S873" i="5"/>
  <c r="N874" i="5"/>
  <c r="V874" i="5"/>
  <c r="S874" i="5"/>
  <c r="N875" i="5"/>
  <c r="S875" i="5"/>
  <c r="N876" i="5"/>
  <c r="S876" i="5"/>
  <c r="N877" i="5"/>
  <c r="V877" i="5"/>
  <c r="S877" i="5"/>
  <c r="N878" i="5"/>
  <c r="S878" i="5"/>
  <c r="N879" i="5"/>
  <c r="S879" i="5"/>
  <c r="N880" i="5"/>
  <c r="S880" i="5"/>
  <c r="N881" i="5"/>
  <c r="W881" i="5"/>
  <c r="S881" i="5"/>
  <c r="N882" i="5"/>
  <c r="W882" i="5"/>
  <c r="S882" i="5"/>
  <c r="N883" i="5"/>
  <c r="S883" i="5"/>
  <c r="N884" i="5"/>
  <c r="S884" i="5"/>
  <c r="N885" i="5"/>
  <c r="S885" i="5"/>
  <c r="N886" i="5"/>
  <c r="S886" i="5"/>
  <c r="N887" i="5"/>
  <c r="V887" i="5"/>
  <c r="S887" i="5"/>
  <c r="N888" i="5"/>
  <c r="S888" i="5"/>
  <c r="N889" i="5"/>
  <c r="S889" i="5"/>
  <c r="N890" i="5"/>
  <c r="W890" i="5"/>
  <c r="S890" i="5"/>
  <c r="N891" i="5"/>
  <c r="W891" i="5"/>
  <c r="S891" i="5"/>
  <c r="N892" i="5"/>
  <c r="S892" i="5"/>
  <c r="N893" i="5"/>
  <c r="V893" i="5"/>
  <c r="S893" i="5"/>
  <c r="N894" i="5"/>
  <c r="V894" i="5"/>
  <c r="S894" i="5"/>
  <c r="N895" i="5"/>
  <c r="S895" i="5"/>
  <c r="N896" i="5"/>
  <c r="S896" i="5"/>
  <c r="N897" i="5"/>
  <c r="W897" i="5"/>
  <c r="S897" i="5"/>
  <c r="N898" i="5"/>
  <c r="V898" i="5"/>
  <c r="S898" i="5"/>
  <c r="N899" i="5"/>
  <c r="W899" i="5"/>
  <c r="S899" i="5"/>
  <c r="N900" i="5"/>
  <c r="S900" i="5"/>
  <c r="N901" i="5"/>
  <c r="S901" i="5"/>
  <c r="N902" i="5"/>
  <c r="W902" i="5"/>
  <c r="S902" i="5"/>
  <c r="N903" i="5"/>
  <c r="S903" i="5"/>
  <c r="N904" i="5"/>
  <c r="S904" i="5"/>
  <c r="N905" i="5"/>
  <c r="W905" i="5"/>
  <c r="S905" i="5"/>
  <c r="N906" i="5"/>
  <c r="V906" i="5"/>
  <c r="S906" i="5"/>
  <c r="N907" i="5"/>
  <c r="S907" i="5"/>
  <c r="N908" i="5"/>
  <c r="S908" i="5"/>
  <c r="N909" i="5"/>
  <c r="S909" i="5"/>
  <c r="N910" i="5"/>
  <c r="S910" i="5"/>
  <c r="N911" i="5"/>
  <c r="V911" i="5"/>
  <c r="S911" i="5"/>
  <c r="N912" i="5"/>
  <c r="S912" i="5"/>
  <c r="N913" i="5"/>
  <c r="V913" i="5"/>
  <c r="S913" i="5"/>
  <c r="N914" i="5"/>
  <c r="S914" i="5"/>
  <c r="N915" i="5"/>
  <c r="V915" i="5"/>
  <c r="S915" i="5"/>
  <c r="N916" i="5"/>
  <c r="S916" i="5"/>
  <c r="N917" i="5"/>
  <c r="S917" i="5"/>
  <c r="N918" i="5"/>
  <c r="S918" i="5"/>
  <c r="N919" i="5"/>
  <c r="S919" i="5"/>
  <c r="N920" i="5"/>
  <c r="S920" i="5"/>
  <c r="N921" i="5"/>
  <c r="W921" i="5"/>
  <c r="S921" i="5"/>
  <c r="N922" i="5"/>
  <c r="S922" i="5"/>
  <c r="N923" i="5"/>
  <c r="V923" i="5"/>
  <c r="S923" i="5"/>
  <c r="N924" i="5"/>
  <c r="V924" i="5"/>
  <c r="S924" i="5"/>
  <c r="N925" i="5"/>
  <c r="S925" i="5"/>
  <c r="N926" i="5"/>
  <c r="S926" i="5"/>
  <c r="N927" i="5"/>
  <c r="V927" i="5"/>
  <c r="S927" i="5"/>
  <c r="N928" i="5"/>
  <c r="V928" i="5"/>
  <c r="S928" i="5"/>
  <c r="N929" i="5"/>
  <c r="S929" i="5"/>
  <c r="N930" i="5"/>
  <c r="V930" i="5"/>
  <c r="S930" i="5"/>
  <c r="N931" i="5"/>
  <c r="S931" i="5"/>
  <c r="N932" i="5"/>
  <c r="S932" i="5"/>
  <c r="N933" i="5"/>
  <c r="S933" i="5"/>
  <c r="N934" i="5"/>
  <c r="S934" i="5"/>
  <c r="N935" i="5"/>
  <c r="V935" i="5"/>
  <c r="S935" i="5"/>
  <c r="N936" i="5"/>
  <c r="S936" i="5"/>
  <c r="N937" i="5"/>
  <c r="S937" i="5"/>
  <c r="N938" i="5"/>
  <c r="V938" i="5"/>
  <c r="S938" i="5"/>
  <c r="N939" i="5"/>
  <c r="V939" i="5"/>
  <c r="S939" i="5"/>
  <c r="N940" i="5"/>
  <c r="V940" i="5"/>
  <c r="S940" i="5"/>
  <c r="N941" i="5"/>
  <c r="S941" i="5"/>
  <c r="N942" i="5"/>
  <c r="S942" i="5"/>
  <c r="N943" i="5"/>
  <c r="V943" i="5"/>
  <c r="S943" i="5"/>
  <c r="N947" i="5"/>
  <c r="S947" i="5"/>
  <c r="N948" i="5"/>
  <c r="S948" i="5"/>
  <c r="N949" i="5"/>
  <c r="S949" i="5"/>
  <c r="N950" i="5"/>
  <c r="S950" i="5"/>
  <c r="N951" i="5"/>
  <c r="S951" i="5"/>
  <c r="N952" i="5"/>
  <c r="S952" i="5"/>
  <c r="N953" i="5"/>
  <c r="S953" i="5"/>
  <c r="N954" i="5"/>
  <c r="S954" i="5"/>
  <c r="N955" i="5"/>
  <c r="S955" i="5"/>
  <c r="N956" i="5"/>
  <c r="S956" i="5"/>
  <c r="N957" i="5"/>
  <c r="S957" i="5"/>
  <c r="N958" i="5"/>
  <c r="S958" i="5"/>
  <c r="N959" i="5"/>
  <c r="V959" i="5"/>
  <c r="S959" i="5"/>
  <c r="N960" i="5"/>
  <c r="V960" i="5"/>
  <c r="S960" i="5"/>
  <c r="N961" i="5"/>
  <c r="W961" i="5"/>
  <c r="S961" i="5"/>
  <c r="N962" i="5"/>
  <c r="S962" i="5"/>
  <c r="N963" i="5"/>
  <c r="S963" i="5"/>
  <c r="N964" i="5"/>
  <c r="S964" i="5"/>
  <c r="N965" i="5"/>
  <c r="V965" i="5"/>
  <c r="S965" i="5"/>
  <c r="N966" i="5"/>
  <c r="S966" i="5"/>
  <c r="N967" i="5"/>
  <c r="S967" i="5"/>
  <c r="N968" i="5"/>
  <c r="W968" i="5"/>
  <c r="S968" i="5"/>
  <c r="N969" i="5"/>
  <c r="S969" i="5"/>
  <c r="N971" i="5"/>
  <c r="S971" i="5"/>
  <c r="N973" i="5"/>
  <c r="S973" i="5"/>
  <c r="N974" i="5"/>
  <c r="S974" i="5"/>
  <c r="N975" i="5"/>
  <c r="V975" i="5"/>
  <c r="S975" i="5"/>
  <c r="N976" i="5"/>
  <c r="S976" i="5"/>
  <c r="N977" i="5"/>
  <c r="V977" i="5"/>
  <c r="S977" i="5"/>
  <c r="N978" i="5"/>
  <c r="S978" i="5"/>
  <c r="N979" i="5"/>
  <c r="W979" i="5"/>
  <c r="S979" i="5"/>
  <c r="N980" i="5"/>
  <c r="S980" i="5"/>
  <c r="N981" i="5"/>
  <c r="S981" i="5"/>
  <c r="N982" i="5"/>
  <c r="S982" i="5"/>
  <c r="N983" i="5"/>
  <c r="S983" i="5"/>
  <c r="N984" i="5"/>
  <c r="W984" i="5"/>
  <c r="S984" i="5"/>
  <c r="N985" i="5"/>
  <c r="S985" i="5"/>
  <c r="N986" i="5"/>
  <c r="S986" i="5"/>
  <c r="N987" i="5"/>
  <c r="W987" i="5"/>
  <c r="S987" i="5"/>
  <c r="N988" i="5"/>
  <c r="W988" i="5"/>
  <c r="S988" i="5"/>
  <c r="N989" i="5"/>
  <c r="S989" i="5"/>
  <c r="N990" i="5"/>
  <c r="S990" i="5"/>
  <c r="N991" i="5"/>
  <c r="V991" i="5"/>
  <c r="S991" i="5"/>
  <c r="N992" i="5"/>
  <c r="S992" i="5"/>
  <c r="N993" i="5"/>
  <c r="S993" i="5"/>
  <c r="N994" i="5"/>
  <c r="V994" i="5"/>
  <c r="S994" i="5"/>
  <c r="N995" i="5"/>
  <c r="W995" i="5"/>
  <c r="S995" i="5"/>
  <c r="N996" i="5"/>
  <c r="W996" i="5"/>
  <c r="S996" i="5"/>
  <c r="N997" i="5"/>
  <c r="S997" i="5"/>
  <c r="N998" i="5"/>
  <c r="S998" i="5"/>
  <c r="N999" i="5"/>
  <c r="S999" i="5"/>
  <c r="N1000" i="5"/>
  <c r="V1000" i="5"/>
  <c r="S1000" i="5"/>
  <c r="N1001" i="5"/>
  <c r="S1001" i="5"/>
  <c r="N1002" i="5"/>
  <c r="V1002" i="5"/>
  <c r="S1002" i="5"/>
  <c r="N1003" i="5"/>
  <c r="W1003" i="5"/>
  <c r="S1003" i="5"/>
  <c r="N1004" i="5"/>
  <c r="S1004" i="5"/>
  <c r="N1005" i="5"/>
  <c r="S1005" i="5"/>
  <c r="N1006" i="5"/>
  <c r="S1006" i="5"/>
  <c r="N1007" i="5"/>
  <c r="V1007" i="5"/>
  <c r="S1007" i="5"/>
  <c r="N1008" i="5"/>
  <c r="S1008" i="5"/>
  <c r="N1009" i="5"/>
  <c r="S1009" i="5"/>
  <c r="N1010" i="5"/>
  <c r="S1010" i="5"/>
  <c r="N1011" i="5"/>
  <c r="S1011" i="5"/>
  <c r="N1012" i="5"/>
  <c r="W1012" i="5"/>
  <c r="S1012" i="5"/>
  <c r="N1013" i="5"/>
  <c r="S1013" i="5"/>
  <c r="N1014" i="5"/>
  <c r="S1014" i="5"/>
  <c r="N1015" i="5"/>
  <c r="S1015" i="5"/>
  <c r="N1016" i="5"/>
  <c r="S1016" i="5"/>
  <c r="N1017" i="5"/>
  <c r="S1017" i="5"/>
  <c r="N1018" i="5"/>
  <c r="S1018" i="5"/>
  <c r="N1019" i="5"/>
  <c r="V1019" i="5"/>
  <c r="S1019" i="5"/>
  <c r="N1020" i="5"/>
  <c r="S1020" i="5"/>
  <c r="N1021" i="5"/>
  <c r="V1021" i="5"/>
  <c r="S1021" i="5"/>
  <c r="N1022" i="5"/>
  <c r="W1022" i="5"/>
  <c r="S1022" i="5"/>
  <c r="N1023" i="5"/>
  <c r="S1023" i="5"/>
  <c r="N1024" i="5"/>
  <c r="S1024" i="5"/>
  <c r="N1025" i="5"/>
  <c r="V1025" i="5"/>
  <c r="S1025" i="5"/>
  <c r="N1026" i="5"/>
  <c r="S1026" i="5"/>
  <c r="N1027" i="5"/>
  <c r="S1027" i="5"/>
  <c r="N1028" i="5"/>
  <c r="S1028" i="5"/>
  <c r="N1029" i="5"/>
  <c r="S1029" i="5"/>
  <c r="N1030" i="5"/>
  <c r="S1030" i="5"/>
  <c r="N1031" i="5"/>
  <c r="S1031" i="5"/>
  <c r="N1032" i="5"/>
  <c r="S1032" i="5"/>
  <c r="N1033" i="5"/>
  <c r="S1033" i="5"/>
  <c r="N1034" i="5"/>
  <c r="S1034" i="5"/>
  <c r="N1035" i="5"/>
  <c r="V1035" i="5"/>
  <c r="S1035" i="5"/>
  <c r="N1036" i="5"/>
  <c r="V1036" i="5"/>
  <c r="S1036" i="5"/>
  <c r="N1037" i="5"/>
  <c r="S1037" i="5"/>
  <c r="N1038" i="5"/>
  <c r="S1038" i="5"/>
  <c r="N1039" i="5"/>
  <c r="V1039" i="5"/>
  <c r="S1039" i="5"/>
  <c r="N1040" i="5"/>
  <c r="S1040" i="5"/>
  <c r="N1041" i="5"/>
  <c r="S1041" i="5"/>
  <c r="N1042" i="5"/>
  <c r="S1042" i="5"/>
  <c r="N1043" i="5"/>
  <c r="S1043" i="5"/>
  <c r="N1044" i="5"/>
  <c r="S1044" i="5"/>
  <c r="N1045" i="5"/>
  <c r="V1045" i="5"/>
  <c r="S1045" i="5"/>
  <c r="N1046" i="5"/>
  <c r="S1046" i="5"/>
  <c r="N1047" i="5"/>
  <c r="S1047" i="5"/>
  <c r="N1048" i="5"/>
  <c r="W1048" i="5"/>
  <c r="S1048" i="5"/>
  <c r="N1049" i="5"/>
  <c r="S1049" i="5"/>
  <c r="N1050" i="5"/>
  <c r="W1050" i="5"/>
  <c r="S1050" i="5"/>
  <c r="N1051" i="5"/>
  <c r="S1051" i="5"/>
  <c r="N1052" i="5"/>
  <c r="S1052" i="5"/>
  <c r="N1053" i="5"/>
  <c r="S1053" i="5"/>
  <c r="N1054" i="5"/>
  <c r="W1054" i="5"/>
  <c r="S1054" i="5"/>
  <c r="N1055" i="5"/>
  <c r="S1055" i="5"/>
  <c r="N1056" i="5"/>
  <c r="W1056" i="5"/>
  <c r="S1056" i="5"/>
  <c r="N1057" i="5"/>
  <c r="S1057" i="5"/>
  <c r="N1058" i="5"/>
  <c r="V1058" i="5"/>
  <c r="S1058" i="5"/>
  <c r="N1059" i="5"/>
  <c r="S1059" i="5"/>
  <c r="N1060" i="5"/>
  <c r="S1060" i="5"/>
  <c r="N1061" i="5"/>
  <c r="V1061" i="5"/>
  <c r="S1061" i="5"/>
  <c r="N1062" i="5"/>
  <c r="S1062" i="5"/>
  <c r="N1063" i="5"/>
  <c r="W1063" i="5"/>
  <c r="S1063" i="5"/>
  <c r="N1064" i="5"/>
  <c r="S1064" i="5"/>
  <c r="N1065" i="5"/>
  <c r="S1065" i="5"/>
  <c r="N1066" i="5"/>
  <c r="S1066" i="5"/>
  <c r="N1067" i="5"/>
  <c r="S1067" i="5"/>
  <c r="N1068" i="5"/>
  <c r="V1068" i="5"/>
  <c r="S1068" i="5"/>
  <c r="N1069" i="5"/>
  <c r="S1069" i="5"/>
  <c r="N1070" i="5"/>
  <c r="W1070" i="5"/>
  <c r="S1070" i="5"/>
  <c r="N1071" i="5"/>
  <c r="S1071" i="5"/>
  <c r="N1075" i="5"/>
  <c r="S1075" i="5"/>
  <c r="N1076" i="5"/>
  <c r="V1076" i="5"/>
  <c r="S1076" i="5"/>
  <c r="N1077" i="5"/>
  <c r="S1077" i="5"/>
  <c r="N1078" i="5"/>
  <c r="S1078" i="5"/>
  <c r="N1079" i="5"/>
  <c r="S1079" i="5"/>
  <c r="N1080" i="5"/>
  <c r="S1080" i="5"/>
  <c r="N1081" i="5"/>
  <c r="V1081" i="5"/>
  <c r="S1081" i="5"/>
  <c r="N1082" i="5"/>
  <c r="S1082" i="5"/>
  <c r="N1083" i="5"/>
  <c r="S1083" i="5"/>
  <c r="N1084" i="5"/>
  <c r="S1084" i="5"/>
  <c r="N1085" i="5"/>
  <c r="V1085" i="5"/>
  <c r="S1085" i="5"/>
  <c r="N1086" i="5"/>
  <c r="S1086" i="5"/>
  <c r="N1087" i="5"/>
  <c r="W1087" i="5"/>
  <c r="S1087" i="5"/>
  <c r="N1088" i="5"/>
  <c r="V1088" i="5"/>
  <c r="S1088" i="5"/>
  <c r="N1089" i="5"/>
  <c r="S1089" i="5"/>
  <c r="N1090" i="5"/>
  <c r="V1090" i="5"/>
  <c r="S1090" i="5"/>
  <c r="N1091" i="5"/>
  <c r="S1091" i="5"/>
  <c r="N1092" i="5"/>
  <c r="S1092" i="5"/>
  <c r="N1093" i="5"/>
  <c r="V1093" i="5"/>
  <c r="S1093" i="5"/>
  <c r="N1094" i="5"/>
  <c r="S1094" i="5"/>
  <c r="N1095" i="5"/>
  <c r="W1095" i="5"/>
  <c r="S1095" i="5"/>
  <c r="N1096" i="5"/>
  <c r="W1096" i="5"/>
  <c r="S1096" i="5"/>
  <c r="N1097" i="5"/>
  <c r="W1097" i="5"/>
  <c r="S1097" i="5"/>
  <c r="N1101" i="5"/>
  <c r="S1101" i="5"/>
  <c r="N1103" i="5"/>
  <c r="S1103" i="5"/>
  <c r="N1104" i="5"/>
  <c r="V1104" i="5"/>
  <c r="S1104" i="5"/>
  <c r="N1105" i="5"/>
  <c r="S1105" i="5"/>
  <c r="N1106" i="5"/>
  <c r="V1106" i="5"/>
  <c r="S1106" i="5"/>
  <c r="N1107" i="5"/>
  <c r="S1107" i="5"/>
  <c r="N1108" i="5"/>
  <c r="W1108" i="5"/>
  <c r="S1108" i="5"/>
  <c r="N1109" i="5"/>
  <c r="W1109" i="5"/>
  <c r="S1109" i="5"/>
  <c r="N1110" i="5"/>
  <c r="S1110" i="5"/>
  <c r="N1111" i="5"/>
  <c r="S1111" i="5"/>
  <c r="N1112" i="5"/>
  <c r="V1112" i="5"/>
  <c r="S1112" i="5"/>
  <c r="N1113" i="5"/>
  <c r="S1113" i="5"/>
  <c r="N1114" i="5"/>
  <c r="W1114" i="5"/>
  <c r="S1114" i="5"/>
  <c r="N1115" i="5"/>
  <c r="S1115" i="5"/>
  <c r="N1116" i="5"/>
  <c r="V1116" i="5"/>
  <c r="S1116" i="5"/>
  <c r="N1117" i="5"/>
  <c r="V1117" i="5"/>
  <c r="S1117" i="5"/>
  <c r="N1118" i="5"/>
  <c r="S1118" i="5"/>
  <c r="N1119" i="5"/>
  <c r="V1119" i="5"/>
  <c r="S1119" i="5"/>
  <c r="N1120" i="5"/>
  <c r="V1120" i="5"/>
  <c r="S1120" i="5"/>
  <c r="N1121" i="5"/>
  <c r="S1121" i="5"/>
  <c r="N1122" i="5"/>
  <c r="S1122" i="5"/>
  <c r="N1123" i="5"/>
  <c r="S1123" i="5"/>
  <c r="N1124" i="5"/>
  <c r="W1124" i="5"/>
  <c r="S1124" i="5"/>
  <c r="N1125" i="5"/>
  <c r="W1125" i="5"/>
  <c r="S1125" i="5"/>
  <c r="N1126" i="5"/>
  <c r="S1126" i="5"/>
  <c r="N1127" i="5"/>
  <c r="V1127" i="5"/>
  <c r="S1127" i="5"/>
  <c r="N1128" i="5"/>
  <c r="S1128" i="5"/>
  <c r="N1129" i="5"/>
  <c r="S1129" i="5"/>
  <c r="N1130" i="5"/>
  <c r="W1130" i="5"/>
  <c r="S1130" i="5"/>
  <c r="N1131" i="5"/>
  <c r="S1131" i="5"/>
  <c r="N1132" i="5"/>
  <c r="V1132" i="5"/>
  <c r="S1132" i="5"/>
  <c r="N1133" i="5"/>
  <c r="S1133" i="5"/>
  <c r="N1134" i="5"/>
  <c r="S1134" i="5"/>
  <c r="N1135" i="5"/>
  <c r="S1135" i="5"/>
  <c r="N1136" i="5"/>
  <c r="S1136" i="5"/>
  <c r="N1137" i="5"/>
  <c r="W1137" i="5"/>
  <c r="S1137" i="5"/>
  <c r="N1138" i="5"/>
  <c r="S1138" i="5"/>
  <c r="N1139" i="5"/>
  <c r="S1139" i="5"/>
  <c r="N1140" i="5"/>
  <c r="V1140" i="5"/>
  <c r="S1140" i="5"/>
  <c r="N1141" i="5"/>
  <c r="S1141" i="5"/>
  <c r="N1142" i="5"/>
  <c r="S1142" i="5"/>
  <c r="N1143" i="5"/>
  <c r="S1143" i="5"/>
  <c r="N1144" i="5"/>
  <c r="V1144" i="5"/>
  <c r="S1144" i="5"/>
  <c r="N1145" i="5"/>
  <c r="S1145" i="5"/>
  <c r="N1146" i="5"/>
  <c r="W1146" i="5"/>
  <c r="S1146" i="5"/>
  <c r="N1147" i="5"/>
  <c r="V1147" i="5"/>
  <c r="S1147" i="5"/>
  <c r="N1148" i="5"/>
  <c r="S1148" i="5"/>
  <c r="N1149" i="5"/>
  <c r="S1149" i="5"/>
  <c r="N1150" i="5"/>
  <c r="W1150" i="5"/>
  <c r="S1150" i="5"/>
  <c r="N1151" i="5"/>
  <c r="S1151" i="5"/>
  <c r="N1152" i="5"/>
  <c r="S1152" i="5"/>
  <c r="N1153" i="5"/>
  <c r="V1153" i="5"/>
  <c r="S1153" i="5"/>
  <c r="N1154" i="5"/>
  <c r="W1154" i="5"/>
  <c r="S1154" i="5"/>
  <c r="N1155" i="5"/>
  <c r="S1155" i="5"/>
  <c r="N1156" i="5"/>
  <c r="W1156" i="5"/>
  <c r="S1156" i="5"/>
  <c r="N1157" i="5"/>
  <c r="S1157" i="5"/>
  <c r="N1158" i="5"/>
  <c r="S1158" i="5"/>
  <c r="N1159" i="5"/>
  <c r="S1159" i="5"/>
  <c r="N1160" i="5"/>
  <c r="W1160" i="5"/>
  <c r="S1160" i="5"/>
  <c r="N1161" i="5"/>
  <c r="S1161" i="5"/>
  <c r="N1162" i="5"/>
  <c r="S1162" i="5"/>
  <c r="N1163" i="5"/>
  <c r="W1163" i="5"/>
  <c r="S1163" i="5"/>
  <c r="N1164" i="5"/>
  <c r="S1164" i="5"/>
  <c r="N1165" i="5"/>
  <c r="S1165" i="5"/>
  <c r="N1166" i="5"/>
  <c r="W1166" i="5"/>
  <c r="S1166" i="5"/>
  <c r="N1167" i="5"/>
  <c r="V1167" i="5"/>
  <c r="S1167" i="5"/>
  <c r="N1168" i="5"/>
  <c r="S1168" i="5"/>
  <c r="N1169" i="5"/>
  <c r="S1169" i="5"/>
  <c r="N1170" i="5"/>
  <c r="S1170" i="5"/>
  <c r="N1171" i="5"/>
  <c r="W1171" i="5"/>
  <c r="S1171" i="5"/>
  <c r="N1172" i="5"/>
  <c r="S1172" i="5"/>
  <c r="N1173" i="5"/>
  <c r="S1173" i="5"/>
  <c r="N1174" i="5"/>
  <c r="S1174" i="5"/>
  <c r="N1175" i="5"/>
  <c r="S1175" i="5"/>
  <c r="N1176" i="5"/>
  <c r="W1176" i="5"/>
  <c r="S1176" i="5"/>
  <c r="N1177" i="5"/>
  <c r="V1177" i="5"/>
  <c r="S1177" i="5"/>
  <c r="N1178" i="5"/>
  <c r="V1178" i="5"/>
  <c r="S1178" i="5"/>
  <c r="N1179" i="5"/>
  <c r="W1179" i="5"/>
  <c r="S1179" i="5"/>
  <c r="N1180" i="5"/>
  <c r="S1180" i="5"/>
  <c r="N1181" i="5"/>
  <c r="S1181" i="5"/>
  <c r="N1182" i="5"/>
  <c r="S1182" i="5"/>
  <c r="N1183" i="5"/>
  <c r="W1183" i="5"/>
  <c r="S1183" i="5"/>
  <c r="N1184" i="5"/>
  <c r="W1184" i="5"/>
  <c r="S1184" i="5"/>
  <c r="N1185" i="5"/>
  <c r="S1185" i="5"/>
  <c r="N1186" i="5"/>
  <c r="S1186" i="5"/>
  <c r="N1187" i="5"/>
  <c r="S1187" i="5"/>
  <c r="N1188" i="5"/>
  <c r="V1188" i="5"/>
  <c r="S1188" i="5"/>
  <c r="N1189" i="5"/>
  <c r="S1189" i="5"/>
  <c r="N1190" i="5"/>
  <c r="S1190" i="5"/>
  <c r="N1191" i="5"/>
  <c r="S1191" i="5"/>
  <c r="N1192" i="5"/>
  <c r="S1192" i="5"/>
  <c r="N1193" i="5"/>
  <c r="S1193" i="5"/>
  <c r="N1194" i="5"/>
  <c r="V1194" i="5"/>
  <c r="S1194" i="5"/>
  <c r="N1195" i="5"/>
  <c r="S1195" i="5"/>
  <c r="N1196" i="5"/>
  <c r="S1196" i="5"/>
  <c r="N1197" i="5"/>
  <c r="S1197" i="5"/>
  <c r="N1198" i="5"/>
  <c r="S1198" i="5"/>
  <c r="N1199" i="5"/>
  <c r="S1199" i="5"/>
  <c r="N1203" i="5"/>
  <c r="S1203" i="5"/>
  <c r="N1204" i="5"/>
  <c r="W1204" i="5"/>
  <c r="S1204" i="5"/>
  <c r="N1205" i="5"/>
  <c r="S1205" i="5"/>
  <c r="N1206" i="5"/>
  <c r="W1206" i="5"/>
  <c r="S1206" i="5"/>
  <c r="N1207" i="5"/>
  <c r="V1207" i="5"/>
  <c r="S1207" i="5"/>
  <c r="N1208" i="5"/>
  <c r="V1208" i="5"/>
  <c r="S1208" i="5"/>
  <c r="N1209" i="5"/>
  <c r="S1209" i="5"/>
  <c r="N1210" i="5"/>
  <c r="S1210" i="5"/>
  <c r="N1211" i="5"/>
  <c r="S1211" i="5"/>
  <c r="N1212" i="5"/>
  <c r="V1212" i="5"/>
  <c r="S1212" i="5"/>
  <c r="N1213" i="5"/>
  <c r="S1213" i="5"/>
  <c r="N1214" i="5"/>
  <c r="W1214" i="5"/>
  <c r="S1214" i="5"/>
  <c r="N1215" i="5"/>
  <c r="V1215" i="5"/>
  <c r="S1215" i="5"/>
  <c r="N1216" i="5"/>
  <c r="S1216" i="5"/>
  <c r="N1217" i="5"/>
  <c r="W1217" i="5"/>
  <c r="S1217" i="5"/>
  <c r="N1218" i="5"/>
  <c r="S1218" i="5"/>
  <c r="N1219" i="5"/>
  <c r="S1219" i="5"/>
  <c r="N1220" i="5"/>
  <c r="S1220" i="5"/>
  <c r="N1221" i="5"/>
  <c r="S1221" i="5"/>
  <c r="N1222" i="5"/>
  <c r="V1222" i="5"/>
  <c r="S1222" i="5"/>
  <c r="N1223" i="5"/>
  <c r="S1223" i="5"/>
  <c r="N1224" i="5"/>
  <c r="V1224" i="5"/>
  <c r="S1224" i="5"/>
  <c r="N1225" i="5"/>
  <c r="S1225" i="5"/>
  <c r="N1229" i="5"/>
  <c r="S1229" i="5"/>
  <c r="N1231" i="5"/>
  <c r="V1231" i="5"/>
  <c r="S1231" i="5"/>
  <c r="N1232" i="5"/>
  <c r="V1232" i="5"/>
  <c r="S1232" i="5"/>
  <c r="N1233" i="5"/>
  <c r="S1233" i="5"/>
  <c r="N1234" i="5"/>
  <c r="W1234" i="5"/>
  <c r="S1234" i="5"/>
  <c r="N1235" i="5"/>
  <c r="S1235" i="5"/>
  <c r="N1236" i="5"/>
  <c r="S1236" i="5"/>
  <c r="N1237" i="5"/>
  <c r="S1237" i="5"/>
  <c r="N1238" i="5"/>
  <c r="S1238" i="5"/>
  <c r="N1239" i="5"/>
  <c r="S1239" i="5"/>
  <c r="N1240" i="5"/>
  <c r="S1240" i="5"/>
  <c r="N1241" i="5"/>
  <c r="S1241" i="5"/>
  <c r="N1242" i="5"/>
  <c r="W1242" i="5"/>
  <c r="S1242" i="5"/>
  <c r="N1243" i="5"/>
  <c r="S1243" i="5"/>
  <c r="N1244" i="5"/>
  <c r="S1244" i="5"/>
  <c r="N1245" i="5"/>
  <c r="S1245" i="5"/>
  <c r="N1246" i="5"/>
  <c r="S1246" i="5"/>
  <c r="N1247" i="5"/>
  <c r="S1247" i="5"/>
  <c r="N1248" i="5"/>
  <c r="S1248" i="5"/>
  <c r="N1249" i="5"/>
  <c r="S1249" i="5"/>
  <c r="N1250" i="5"/>
  <c r="S1250" i="5"/>
  <c r="N1251" i="5"/>
  <c r="S1251" i="5"/>
  <c r="N1252" i="5"/>
  <c r="S1252" i="5"/>
  <c r="N1253" i="5"/>
  <c r="W1253" i="5"/>
  <c r="S1253" i="5"/>
  <c r="N1254" i="5"/>
  <c r="S1254" i="5"/>
  <c r="N1255" i="5"/>
  <c r="S1255" i="5"/>
  <c r="N1256" i="5"/>
  <c r="S1256" i="5"/>
  <c r="N1257" i="5"/>
  <c r="S1257" i="5"/>
  <c r="N1258" i="5"/>
  <c r="S1258" i="5"/>
  <c r="N1259" i="5"/>
  <c r="W1259" i="5"/>
  <c r="S1259" i="5"/>
  <c r="N1260" i="5"/>
  <c r="S1260" i="5"/>
  <c r="N1261" i="5"/>
  <c r="S1261" i="5"/>
  <c r="N1262" i="5"/>
  <c r="S1262" i="5"/>
  <c r="N1263" i="5"/>
  <c r="S1263" i="5"/>
  <c r="N1264" i="5"/>
  <c r="S1264" i="5"/>
  <c r="N1265" i="5"/>
  <c r="V1265" i="5"/>
  <c r="S1265" i="5"/>
  <c r="N1266" i="5"/>
  <c r="S1266" i="5"/>
  <c r="N1267" i="5"/>
  <c r="S1267" i="5"/>
  <c r="N1268" i="5"/>
  <c r="S1268" i="5"/>
  <c r="N1269" i="5"/>
  <c r="S1269" i="5"/>
  <c r="N1270" i="5"/>
  <c r="S1270" i="5"/>
  <c r="N1271" i="5"/>
  <c r="W1271" i="5"/>
  <c r="S1271" i="5"/>
  <c r="N1272" i="5"/>
  <c r="S1272" i="5"/>
  <c r="N1273" i="5"/>
  <c r="W1273" i="5"/>
  <c r="S1273" i="5"/>
  <c r="N1274" i="5"/>
  <c r="S1274" i="5"/>
  <c r="N1275" i="5"/>
  <c r="S1275" i="5"/>
  <c r="N1276" i="5"/>
  <c r="V1276" i="5"/>
  <c r="S1276" i="5"/>
  <c r="N1277" i="5"/>
  <c r="V1277" i="5"/>
  <c r="S1277" i="5"/>
  <c r="N1278" i="5"/>
  <c r="S1278" i="5"/>
  <c r="N1279" i="5"/>
  <c r="W1279" i="5"/>
  <c r="S1279" i="5"/>
  <c r="N1280" i="5"/>
  <c r="S1280" i="5"/>
  <c r="N1281" i="5"/>
  <c r="V1281" i="5"/>
  <c r="S1281" i="5"/>
  <c r="N1282" i="5"/>
  <c r="S1282" i="5"/>
  <c r="N1283" i="5"/>
  <c r="W1283" i="5"/>
  <c r="S1283" i="5"/>
  <c r="N1284" i="5"/>
  <c r="S1284" i="5"/>
  <c r="N1285" i="5"/>
  <c r="V1285" i="5"/>
  <c r="S1285" i="5"/>
  <c r="N1286" i="5"/>
  <c r="V1286" i="5"/>
  <c r="S1286" i="5"/>
  <c r="N1287" i="5"/>
  <c r="S1287" i="5"/>
  <c r="N1288" i="5"/>
  <c r="S1288" i="5"/>
  <c r="N1289" i="5"/>
  <c r="S1289" i="5"/>
  <c r="N1290" i="5"/>
  <c r="S1290" i="5"/>
  <c r="N1291" i="5"/>
  <c r="S1291" i="5"/>
  <c r="N1292" i="5"/>
  <c r="W1292" i="5"/>
  <c r="S1292" i="5"/>
  <c r="N1293" i="5"/>
  <c r="S1293" i="5"/>
  <c r="N1294" i="5"/>
  <c r="S1294" i="5"/>
  <c r="N1295" i="5"/>
  <c r="W1295" i="5"/>
  <c r="S1295" i="5"/>
  <c r="N1296" i="5"/>
  <c r="V1296" i="5"/>
  <c r="S1296" i="5"/>
  <c r="N1297" i="5"/>
  <c r="S1297" i="5"/>
  <c r="N1298" i="5"/>
  <c r="S1298" i="5"/>
  <c r="N1299" i="5"/>
  <c r="S1299" i="5"/>
  <c r="N1300" i="5"/>
  <c r="S1300" i="5"/>
  <c r="N1301" i="5"/>
  <c r="S1301" i="5"/>
  <c r="N1302" i="5"/>
  <c r="S1302" i="5"/>
  <c r="N1303" i="5"/>
  <c r="S1303" i="5"/>
  <c r="N1304" i="5"/>
  <c r="S1304" i="5"/>
  <c r="N1305" i="5"/>
  <c r="S1305" i="5"/>
  <c r="N1306" i="5"/>
  <c r="S1306" i="5"/>
  <c r="N1307" i="5"/>
  <c r="S1307" i="5"/>
  <c r="N1308" i="5"/>
  <c r="V1308" i="5"/>
  <c r="S1308" i="5"/>
  <c r="N1309" i="5"/>
  <c r="S1309" i="5"/>
  <c r="N1310" i="5"/>
  <c r="V1310" i="5"/>
  <c r="S1310" i="5"/>
  <c r="N1311" i="5"/>
  <c r="W1311" i="5"/>
  <c r="S1311" i="5"/>
  <c r="N1312" i="5"/>
  <c r="S1312" i="5"/>
  <c r="N1313" i="5"/>
  <c r="V1313" i="5"/>
  <c r="S1313" i="5"/>
  <c r="N1314" i="5"/>
  <c r="S1314" i="5"/>
  <c r="N1315" i="5"/>
  <c r="S1315" i="5"/>
  <c r="N1316" i="5"/>
  <c r="S1316" i="5"/>
  <c r="N1317" i="5"/>
  <c r="S1317" i="5"/>
  <c r="N1318" i="5"/>
  <c r="S1318" i="5"/>
  <c r="N1319" i="5"/>
  <c r="S1319" i="5"/>
  <c r="N1320" i="5"/>
  <c r="W1320" i="5"/>
  <c r="S1320" i="5"/>
  <c r="N1321" i="5"/>
  <c r="S1321" i="5"/>
  <c r="N1322" i="5"/>
  <c r="S1322" i="5"/>
  <c r="N1323" i="5"/>
  <c r="W1323" i="5"/>
  <c r="S1323" i="5"/>
  <c r="N1324" i="5"/>
  <c r="W1324" i="5"/>
  <c r="S1324" i="5"/>
  <c r="N1325" i="5"/>
  <c r="S1325" i="5"/>
  <c r="N1326" i="5"/>
  <c r="W1326" i="5"/>
  <c r="S1326" i="5"/>
  <c r="N1327" i="5"/>
  <c r="S1327" i="5"/>
  <c r="N1331" i="5"/>
  <c r="S1331" i="5"/>
  <c r="N1332" i="5"/>
  <c r="V1332" i="5"/>
  <c r="S1332" i="5"/>
  <c r="N1333" i="5"/>
  <c r="S1333" i="5"/>
  <c r="N1334" i="5"/>
  <c r="S1334" i="5"/>
  <c r="N1335" i="5"/>
  <c r="W1335" i="5"/>
  <c r="S1335" i="5"/>
  <c r="N1336" i="5"/>
  <c r="S1336" i="5"/>
  <c r="N1337" i="5"/>
  <c r="S1337" i="5"/>
  <c r="N1338" i="5"/>
  <c r="W1338" i="5"/>
  <c r="S1338" i="5"/>
  <c r="N1339" i="5"/>
  <c r="S1339" i="5"/>
  <c r="N1340" i="5"/>
  <c r="S1340" i="5"/>
  <c r="N1341" i="5"/>
  <c r="S1341" i="5"/>
  <c r="N1342" i="5"/>
  <c r="S1342" i="5"/>
  <c r="N1343" i="5"/>
  <c r="V1343" i="5"/>
  <c r="S1343" i="5"/>
  <c r="N1344" i="5"/>
  <c r="S1344" i="5"/>
  <c r="N1345" i="5"/>
  <c r="S1345" i="5"/>
  <c r="N1346" i="5"/>
  <c r="S1346" i="5"/>
  <c r="N1347" i="5"/>
  <c r="S1347" i="5"/>
  <c r="N1348" i="5"/>
  <c r="S1348" i="5"/>
  <c r="N1349" i="5"/>
  <c r="S1349" i="5"/>
  <c r="N1350" i="5"/>
  <c r="W1350" i="5"/>
  <c r="S1350" i="5"/>
  <c r="N1351" i="5"/>
  <c r="V1351" i="5"/>
  <c r="S1351" i="5"/>
  <c r="N1352" i="5"/>
  <c r="W1352" i="5"/>
  <c r="S1352" i="5"/>
  <c r="N1353" i="5"/>
  <c r="V1353" i="5"/>
  <c r="S1353" i="5"/>
  <c r="N1357" i="5"/>
  <c r="W1357" i="5"/>
  <c r="S1357" i="5"/>
  <c r="N1359" i="5"/>
  <c r="V1359" i="5"/>
  <c r="S1359" i="5"/>
  <c r="N1360" i="5"/>
  <c r="V1360" i="5"/>
  <c r="S1360" i="5"/>
  <c r="N1361" i="5"/>
  <c r="S1361" i="5"/>
  <c r="N1362" i="5"/>
  <c r="S1362" i="5"/>
  <c r="N1363" i="5"/>
  <c r="W1363" i="5"/>
  <c r="S1363" i="5"/>
  <c r="N1364" i="5"/>
  <c r="S1364" i="5"/>
  <c r="N1365" i="5"/>
  <c r="V1365" i="5"/>
  <c r="S1365" i="5"/>
  <c r="N1366" i="5"/>
  <c r="S1366" i="5"/>
  <c r="N1367" i="5"/>
  <c r="V1367" i="5"/>
  <c r="S1367" i="5"/>
  <c r="N1368" i="5"/>
  <c r="S1368" i="5"/>
  <c r="N1369" i="5"/>
  <c r="S1369" i="5"/>
  <c r="N1370" i="5"/>
  <c r="S1370" i="5"/>
  <c r="N1371" i="5"/>
  <c r="V1371" i="5"/>
  <c r="S1371" i="5"/>
  <c r="N1372" i="5"/>
  <c r="S1372" i="5"/>
  <c r="N1373" i="5"/>
  <c r="S1373" i="5"/>
  <c r="N1374" i="5"/>
  <c r="V1374" i="5"/>
  <c r="S1374" i="5"/>
  <c r="N1375" i="5"/>
  <c r="S1375" i="5"/>
  <c r="N1376" i="5"/>
  <c r="S1376" i="5"/>
  <c r="N1377" i="5"/>
  <c r="S1377" i="5"/>
  <c r="N1378" i="5"/>
  <c r="S1378" i="5"/>
  <c r="N1379" i="5"/>
  <c r="W1379" i="5"/>
  <c r="S1379" i="5"/>
  <c r="N1380" i="5"/>
  <c r="W1380" i="5"/>
  <c r="S1380" i="5"/>
  <c r="N1381" i="5"/>
  <c r="V1381" i="5"/>
  <c r="S1381" i="5"/>
  <c r="N1382" i="5"/>
  <c r="S1382" i="5"/>
  <c r="N1383" i="5"/>
  <c r="V1383" i="5"/>
  <c r="S1383" i="5"/>
  <c r="N1384" i="5"/>
  <c r="S1384" i="5"/>
  <c r="N1385" i="5"/>
  <c r="S1385" i="5"/>
  <c r="N1386" i="5"/>
  <c r="S1386" i="5"/>
  <c r="N1387" i="5"/>
  <c r="S1387" i="5"/>
  <c r="N1388" i="5"/>
  <c r="W1388" i="5"/>
  <c r="S1388" i="5"/>
  <c r="N1389" i="5"/>
  <c r="S1389" i="5"/>
  <c r="N1390" i="5"/>
  <c r="S1390" i="5"/>
  <c r="N1391" i="5"/>
  <c r="V1391" i="5"/>
  <c r="S1391" i="5"/>
  <c r="N1392" i="5"/>
  <c r="S1392" i="5"/>
  <c r="N1393" i="5"/>
  <c r="W1393" i="5"/>
  <c r="S1393" i="5"/>
  <c r="N1394" i="5"/>
  <c r="S1394" i="5"/>
  <c r="N1395" i="5"/>
  <c r="S1395" i="5"/>
  <c r="N1396" i="5"/>
  <c r="S1396" i="5"/>
  <c r="N1397" i="5"/>
  <c r="S1397" i="5"/>
  <c r="N1398" i="5"/>
  <c r="W1398" i="5"/>
  <c r="S1398" i="5"/>
  <c r="N1399" i="5"/>
  <c r="S1399" i="5"/>
  <c r="N1400" i="5"/>
  <c r="S1400" i="5"/>
  <c r="N1401" i="5"/>
  <c r="S1401" i="5"/>
  <c r="N1402" i="5"/>
  <c r="S1402" i="5"/>
  <c r="N1403" i="5"/>
  <c r="S1403" i="5"/>
  <c r="N1404" i="5"/>
  <c r="W1404" i="5"/>
  <c r="S1404" i="5"/>
  <c r="N1405" i="5"/>
  <c r="S1405" i="5"/>
  <c r="N1406" i="5"/>
  <c r="W1406" i="5"/>
  <c r="S1406" i="5"/>
  <c r="N1407" i="5"/>
  <c r="S1407" i="5"/>
  <c r="N1408" i="5"/>
  <c r="S1408" i="5"/>
  <c r="N1409" i="5"/>
  <c r="S1409" i="5"/>
  <c r="N1410" i="5"/>
  <c r="V1410" i="5"/>
  <c r="S1410" i="5"/>
  <c r="N1411" i="5"/>
  <c r="V1411" i="5"/>
  <c r="S1411" i="5"/>
  <c r="N1412" i="5"/>
  <c r="W1412" i="5"/>
  <c r="S1412" i="5"/>
  <c r="N1413" i="5"/>
  <c r="S1413" i="5"/>
  <c r="N1414" i="5"/>
  <c r="V1414" i="5"/>
  <c r="S1414" i="5"/>
  <c r="N1415" i="5"/>
  <c r="S1415" i="5"/>
  <c r="N1416" i="5"/>
  <c r="W1416" i="5"/>
  <c r="S1416" i="5"/>
  <c r="N1417" i="5"/>
  <c r="S1417" i="5"/>
  <c r="N1418" i="5"/>
  <c r="S1418" i="5"/>
  <c r="N1419" i="5"/>
  <c r="V1419" i="5"/>
  <c r="S1419" i="5"/>
  <c r="N1420" i="5"/>
  <c r="S1420" i="5"/>
  <c r="N1421" i="5"/>
  <c r="S1421" i="5"/>
  <c r="N1422" i="5"/>
  <c r="W1422" i="5"/>
  <c r="S1422" i="5"/>
  <c r="N1423" i="5"/>
  <c r="W1423" i="5"/>
  <c r="S1423" i="5"/>
  <c r="N1424" i="5"/>
  <c r="S1424" i="5"/>
  <c r="N1425" i="5"/>
  <c r="V1425" i="5"/>
  <c r="S1425" i="5"/>
  <c r="N1426" i="5"/>
  <c r="S1426" i="5"/>
  <c r="N1427" i="5"/>
  <c r="V1427" i="5"/>
  <c r="S1427" i="5"/>
  <c r="N1428" i="5"/>
  <c r="S1428" i="5"/>
  <c r="N1429" i="5"/>
  <c r="S1429" i="5"/>
  <c r="N1430" i="5"/>
  <c r="V1430" i="5"/>
  <c r="S1430" i="5"/>
  <c r="N1431" i="5"/>
  <c r="V1431" i="5"/>
  <c r="S1431" i="5"/>
  <c r="N1432" i="5"/>
  <c r="S1432" i="5"/>
  <c r="N1433" i="5"/>
  <c r="S1433" i="5"/>
  <c r="N1434" i="5"/>
  <c r="V1434" i="5"/>
  <c r="S1434" i="5"/>
  <c r="N1435" i="5"/>
  <c r="W1435" i="5"/>
  <c r="S1435" i="5"/>
  <c r="N1436" i="5"/>
  <c r="S1436" i="5"/>
  <c r="N1437" i="5"/>
  <c r="S1437" i="5"/>
  <c r="N1438" i="5"/>
  <c r="S1438" i="5"/>
  <c r="N1439" i="5"/>
  <c r="S1439" i="5"/>
  <c r="N1440" i="5"/>
  <c r="S1440" i="5"/>
  <c r="N1441" i="5"/>
  <c r="V1441" i="5"/>
  <c r="S1441" i="5"/>
  <c r="N1442" i="5"/>
  <c r="W1442" i="5"/>
  <c r="S1442" i="5"/>
  <c r="N1443" i="5"/>
  <c r="W1443" i="5"/>
  <c r="S1443" i="5"/>
  <c r="N1444" i="5"/>
  <c r="W1444" i="5"/>
  <c r="S1444" i="5"/>
  <c r="N1445" i="5"/>
  <c r="S1445" i="5"/>
  <c r="N1446" i="5"/>
  <c r="S1446" i="5"/>
  <c r="N1447" i="5"/>
  <c r="S1447" i="5"/>
  <c r="N1448" i="5"/>
  <c r="S1448" i="5"/>
  <c r="N1449" i="5"/>
  <c r="W1449" i="5"/>
  <c r="S1449" i="5"/>
  <c r="N1450" i="5"/>
  <c r="W1450" i="5"/>
  <c r="S1450" i="5"/>
  <c r="N1451" i="5"/>
  <c r="S1451" i="5"/>
  <c r="N1452" i="5"/>
  <c r="S1452" i="5"/>
  <c r="N1453" i="5"/>
  <c r="V1453" i="5"/>
  <c r="S1453" i="5"/>
  <c r="N1454" i="5"/>
  <c r="S1454" i="5"/>
  <c r="N1455" i="5"/>
  <c r="S1455" i="5"/>
  <c r="N1459" i="5"/>
  <c r="S1459" i="5"/>
  <c r="N1460" i="5"/>
  <c r="S1460" i="5"/>
  <c r="N1461" i="5"/>
  <c r="V1461" i="5"/>
  <c r="S1461" i="5"/>
  <c r="N1462" i="5"/>
  <c r="S1462" i="5"/>
  <c r="N1463" i="5"/>
  <c r="W1463" i="5"/>
  <c r="S1463" i="5"/>
  <c r="N1464" i="5"/>
  <c r="S1464" i="5"/>
  <c r="N1465" i="5"/>
  <c r="V1465" i="5"/>
  <c r="S1465" i="5"/>
  <c r="N1466" i="5"/>
  <c r="S1466" i="5"/>
  <c r="N1467" i="5"/>
  <c r="W1467" i="5"/>
  <c r="S1467" i="5"/>
  <c r="N1468" i="5"/>
  <c r="S1468" i="5"/>
  <c r="N1469" i="5"/>
  <c r="S1469" i="5"/>
  <c r="N1470" i="5"/>
  <c r="W1470" i="5"/>
  <c r="S1470" i="5"/>
  <c r="N1471" i="5"/>
  <c r="S1471" i="5"/>
  <c r="N1472" i="5"/>
  <c r="S1472" i="5"/>
  <c r="N1473" i="5"/>
  <c r="S1473" i="5"/>
  <c r="N1474" i="5"/>
  <c r="W1474" i="5"/>
  <c r="S1474" i="5"/>
  <c r="N1475" i="5"/>
  <c r="S1475" i="5"/>
  <c r="N1476" i="5"/>
  <c r="V1476" i="5"/>
  <c r="S1476" i="5"/>
  <c r="N1477" i="5"/>
  <c r="S1477" i="5"/>
  <c r="N1478" i="5"/>
  <c r="V1478" i="5"/>
  <c r="S1478" i="5"/>
  <c r="N1479" i="5"/>
  <c r="W1479" i="5"/>
  <c r="S1479" i="5"/>
  <c r="N1480" i="5"/>
  <c r="W1480" i="5"/>
  <c r="S1480" i="5"/>
  <c r="N1481" i="5"/>
  <c r="S1481" i="5"/>
  <c r="N1485" i="5"/>
  <c r="S1485" i="5"/>
  <c r="N1487" i="5"/>
  <c r="V1487" i="5"/>
  <c r="S1487" i="5"/>
  <c r="N1488" i="5"/>
  <c r="W1488" i="5"/>
  <c r="S1488" i="5"/>
  <c r="N1489" i="5"/>
  <c r="V1489" i="5"/>
  <c r="S1489" i="5"/>
  <c r="N1490" i="5"/>
  <c r="V1490" i="5"/>
  <c r="S1490" i="5"/>
  <c r="N1491" i="5"/>
  <c r="W1491" i="5"/>
  <c r="S1491" i="5"/>
  <c r="N1492" i="5"/>
  <c r="S1492" i="5"/>
  <c r="N1493" i="5"/>
  <c r="S1493" i="5"/>
  <c r="N1494" i="5"/>
  <c r="S1494" i="5"/>
  <c r="N1495" i="5"/>
  <c r="W1495" i="5"/>
  <c r="S1495" i="5"/>
  <c r="N1496" i="5"/>
  <c r="S1496" i="5"/>
  <c r="N1497" i="5"/>
  <c r="S1497" i="5"/>
  <c r="N1498" i="5"/>
  <c r="V1498" i="5"/>
  <c r="S1498" i="5"/>
  <c r="N1499" i="5"/>
  <c r="W1499" i="5"/>
  <c r="S1499" i="5"/>
  <c r="N1500" i="5"/>
  <c r="S1500" i="5"/>
  <c r="N1501" i="5"/>
  <c r="W1501" i="5"/>
  <c r="S1501" i="5"/>
  <c r="N1502" i="5"/>
  <c r="S1502" i="5"/>
  <c r="N1503" i="5"/>
  <c r="V1503" i="5"/>
  <c r="S1503" i="5"/>
  <c r="N1504" i="5"/>
  <c r="S1504" i="5"/>
  <c r="N1505" i="5"/>
  <c r="S1505" i="5"/>
  <c r="N1506" i="5"/>
  <c r="S1506" i="5"/>
  <c r="N1507" i="5"/>
  <c r="S1507" i="5"/>
  <c r="N1508" i="5"/>
  <c r="V1508" i="5"/>
  <c r="S1508" i="5"/>
  <c r="N1509" i="5"/>
  <c r="V1509" i="5"/>
  <c r="S1509" i="5"/>
  <c r="N1510" i="5"/>
  <c r="S1510" i="5"/>
  <c r="N1511" i="5"/>
  <c r="S1511" i="5"/>
  <c r="N1512" i="5"/>
  <c r="W1512" i="5"/>
  <c r="S1512" i="5"/>
  <c r="N1513" i="5"/>
  <c r="S1513" i="5"/>
  <c r="N1514" i="5"/>
  <c r="S1514" i="5"/>
  <c r="N1515" i="5"/>
  <c r="V1515" i="5"/>
  <c r="S1515" i="5"/>
  <c r="N1516" i="5"/>
  <c r="S1516" i="5"/>
  <c r="N1517" i="5"/>
  <c r="W1517" i="5"/>
  <c r="S1517" i="5"/>
  <c r="N1518" i="5"/>
  <c r="V1518" i="5"/>
  <c r="S1518" i="5"/>
  <c r="N1519" i="5"/>
  <c r="S1519" i="5"/>
  <c r="N1520" i="5"/>
  <c r="W1520" i="5"/>
  <c r="S1520" i="5"/>
  <c r="N1521" i="5"/>
  <c r="S1521" i="5"/>
  <c r="N1522" i="5"/>
  <c r="S1522" i="5"/>
  <c r="N1523" i="5"/>
  <c r="S1523" i="5"/>
  <c r="N1524" i="5"/>
  <c r="S1524" i="5"/>
  <c r="N1525" i="5"/>
  <c r="S1525" i="5"/>
  <c r="N1526" i="5"/>
  <c r="V1526" i="5"/>
  <c r="S1526" i="5"/>
  <c r="N1527" i="5"/>
  <c r="V1527" i="5"/>
  <c r="S1527" i="5"/>
  <c r="N1528" i="5"/>
  <c r="S1528" i="5"/>
  <c r="N1529" i="5"/>
  <c r="S1529" i="5"/>
  <c r="N1530" i="5"/>
  <c r="S1530" i="5"/>
  <c r="N1531" i="5"/>
  <c r="S1531" i="5"/>
  <c r="N1532" i="5"/>
  <c r="S1532" i="5"/>
  <c r="N1533" i="5"/>
  <c r="S1533" i="5"/>
  <c r="N1534" i="5"/>
  <c r="V1534" i="5"/>
  <c r="S1534" i="5"/>
  <c r="N1535" i="5"/>
  <c r="S1535" i="5"/>
  <c r="N1536" i="5"/>
  <c r="S1536" i="5"/>
  <c r="N1537" i="5"/>
  <c r="W1537" i="5"/>
  <c r="S1537" i="5"/>
  <c r="N1538" i="5"/>
  <c r="V1538" i="5"/>
  <c r="S1538" i="5"/>
  <c r="N1539" i="5"/>
  <c r="S1539" i="5"/>
  <c r="N1540" i="5"/>
  <c r="S1540" i="5"/>
  <c r="N1541" i="5"/>
  <c r="V1541" i="5"/>
  <c r="S1541" i="5"/>
  <c r="N1542" i="5"/>
  <c r="S1542" i="5"/>
  <c r="N1543" i="5"/>
  <c r="W1543" i="5"/>
  <c r="S1543" i="5"/>
  <c r="N1544" i="5"/>
  <c r="V1544" i="5"/>
  <c r="S1544" i="5"/>
  <c r="N1545" i="5"/>
  <c r="S1545" i="5"/>
  <c r="N1546" i="5"/>
  <c r="S1546" i="5"/>
  <c r="N1547" i="5"/>
  <c r="S1547" i="5"/>
  <c r="N1548" i="5"/>
  <c r="S1548" i="5"/>
  <c r="N1549" i="5"/>
  <c r="V1549" i="5"/>
  <c r="S1549" i="5"/>
  <c r="N1550" i="5"/>
  <c r="S1550" i="5"/>
  <c r="N1551" i="5"/>
  <c r="V1551" i="5"/>
  <c r="S1551" i="5"/>
  <c r="N1552" i="5"/>
  <c r="S1552" i="5"/>
  <c r="N1553" i="5"/>
  <c r="S1553" i="5"/>
  <c r="N1554" i="5"/>
  <c r="W1554" i="5"/>
  <c r="S1554" i="5"/>
  <c r="N1555" i="5"/>
  <c r="S1555" i="5"/>
  <c r="N1556" i="5"/>
  <c r="W1556" i="5"/>
  <c r="S1556" i="5"/>
  <c r="N1557" i="5"/>
  <c r="V1557" i="5"/>
  <c r="S1557" i="5"/>
  <c r="N1558" i="5"/>
  <c r="V1558" i="5"/>
  <c r="S1558" i="5"/>
  <c r="N1559" i="5"/>
  <c r="S1559" i="5"/>
  <c r="N1560" i="5"/>
  <c r="S1560" i="5"/>
  <c r="N1561" i="5"/>
  <c r="W1561" i="5"/>
  <c r="S1561" i="5"/>
  <c r="N1562" i="5"/>
  <c r="S1562" i="5"/>
  <c r="N1563" i="5"/>
  <c r="V1563" i="5"/>
  <c r="S1563" i="5"/>
  <c r="N1564" i="5"/>
  <c r="S1564" i="5"/>
  <c r="N1565" i="5"/>
  <c r="S1565" i="5"/>
  <c r="N1566" i="5"/>
  <c r="S1566" i="5"/>
  <c r="N1567" i="5"/>
  <c r="S1567" i="5"/>
  <c r="N1568" i="5"/>
  <c r="S1568" i="5"/>
  <c r="N1569" i="5"/>
  <c r="S1569" i="5"/>
  <c r="N1570" i="5"/>
  <c r="S1570" i="5"/>
  <c r="N1571" i="5"/>
  <c r="W1571" i="5"/>
  <c r="S1571" i="5"/>
  <c r="N1572" i="5"/>
  <c r="S1572" i="5"/>
  <c r="N1573" i="5"/>
  <c r="S1573" i="5"/>
  <c r="N1574" i="5"/>
  <c r="S1574" i="5"/>
  <c r="N1575" i="5"/>
  <c r="V1575" i="5"/>
  <c r="S1575" i="5"/>
  <c r="N1576" i="5"/>
  <c r="V1576" i="5"/>
  <c r="S1576" i="5"/>
  <c r="N1577" i="5"/>
  <c r="S1577" i="5"/>
  <c r="N1578" i="5"/>
  <c r="S1578" i="5"/>
  <c r="N1579" i="5"/>
  <c r="S1579" i="5"/>
  <c r="N1580" i="5"/>
  <c r="S1580" i="5"/>
  <c r="N1581" i="5"/>
  <c r="W1581" i="5"/>
  <c r="S1581" i="5"/>
  <c r="N1582" i="5"/>
  <c r="S1582" i="5"/>
  <c r="S1583" i="5"/>
  <c r="S1587" i="5"/>
  <c r="N1588" i="5"/>
  <c r="V1588" i="5"/>
  <c r="S1588" i="5"/>
  <c r="N1589" i="5"/>
  <c r="S1589" i="5"/>
  <c r="S1590" i="5"/>
  <c r="N1591" i="5"/>
  <c r="W1591" i="5"/>
  <c r="S1591" i="5"/>
  <c r="N1592" i="5"/>
  <c r="S1592" i="5"/>
  <c r="N1593" i="5"/>
  <c r="S1593" i="5"/>
  <c r="N1594" i="5"/>
  <c r="S1594" i="5"/>
  <c r="S1595" i="5"/>
  <c r="N1596" i="5"/>
  <c r="V1596" i="5"/>
  <c r="S1596" i="5"/>
  <c r="S1597" i="5"/>
  <c r="N1598" i="5"/>
  <c r="S1598" i="5"/>
  <c r="N1599" i="5"/>
  <c r="S1599" i="5"/>
  <c r="N1600" i="5"/>
  <c r="S1600" i="5"/>
  <c r="N1601" i="5"/>
  <c r="V1601" i="5"/>
  <c r="S1601" i="5"/>
  <c r="N1602" i="5"/>
  <c r="S1602" i="5"/>
  <c r="N1603" i="5"/>
  <c r="S1603" i="5"/>
  <c r="N1604" i="5"/>
  <c r="W1604" i="5"/>
  <c r="S1604" i="5"/>
  <c r="N1605" i="5"/>
  <c r="V1605" i="5"/>
  <c r="S1605" i="5"/>
  <c r="N1606" i="5"/>
  <c r="V1606" i="5"/>
  <c r="S1606" i="5"/>
  <c r="N1607" i="5"/>
  <c r="S1607" i="5"/>
  <c r="S1608" i="5"/>
  <c r="S1609" i="5"/>
  <c r="N1613" i="5"/>
  <c r="S1613" i="5"/>
  <c r="N1615" i="5"/>
  <c r="V1615" i="5"/>
  <c r="S1615" i="5"/>
  <c r="S1616" i="5"/>
  <c r="S1617" i="5"/>
  <c r="S1618" i="5"/>
  <c r="N1619" i="5"/>
  <c r="S1619" i="5"/>
  <c r="N1620" i="5"/>
  <c r="S1620" i="5"/>
  <c r="N1621" i="5"/>
  <c r="S1621" i="5"/>
  <c r="N1622" i="5"/>
  <c r="S1622" i="5"/>
  <c r="N1623" i="5"/>
  <c r="V1623" i="5"/>
  <c r="S1623" i="5"/>
  <c r="N1624" i="5"/>
  <c r="S1624" i="5"/>
  <c r="N1625" i="5"/>
  <c r="V1625" i="5"/>
  <c r="S1625" i="5"/>
  <c r="N1626" i="5"/>
  <c r="S1626" i="5"/>
  <c r="N1627" i="5"/>
  <c r="V1627" i="5"/>
  <c r="S1627" i="5"/>
  <c r="N1628" i="5"/>
  <c r="V1628" i="5"/>
  <c r="S1628" i="5"/>
  <c r="N1629" i="5"/>
  <c r="S1629" i="5"/>
  <c r="N1630" i="5"/>
  <c r="S1630" i="5"/>
  <c r="N1631" i="5"/>
  <c r="S1631" i="5"/>
  <c r="N1632" i="5"/>
  <c r="V1632" i="5"/>
  <c r="S1632" i="5"/>
  <c r="N1633" i="5"/>
  <c r="S1633" i="5"/>
  <c r="N1634" i="5"/>
  <c r="S1634" i="5"/>
  <c r="N1635" i="5"/>
  <c r="S1635" i="5"/>
  <c r="N1636" i="5"/>
  <c r="W1636" i="5"/>
  <c r="S1636" i="5"/>
  <c r="N1637" i="5"/>
  <c r="W1637" i="5"/>
  <c r="S1637" i="5"/>
  <c r="N1638" i="5"/>
  <c r="S1638" i="5"/>
  <c r="N1639" i="5"/>
  <c r="V1639" i="5"/>
  <c r="S1639" i="5"/>
  <c r="N1640" i="5"/>
  <c r="S1640" i="5"/>
  <c r="N1641" i="5"/>
  <c r="W1641" i="5"/>
  <c r="S1641" i="5"/>
  <c r="N1642" i="5"/>
  <c r="V1642" i="5"/>
  <c r="S1642" i="5"/>
  <c r="N1643" i="5"/>
  <c r="S1643" i="5"/>
  <c r="N1644" i="5"/>
  <c r="S1644" i="5"/>
  <c r="N1645" i="5"/>
  <c r="S1645" i="5"/>
  <c r="N1646" i="5"/>
  <c r="S1646" i="5"/>
  <c r="N1647" i="5"/>
  <c r="W1647" i="5"/>
  <c r="S1647" i="5"/>
  <c r="N1648" i="5"/>
  <c r="V1648" i="5"/>
  <c r="S1648" i="5"/>
  <c r="N1649" i="5"/>
  <c r="S1649" i="5"/>
  <c r="N1650" i="5"/>
  <c r="S1650" i="5"/>
  <c r="N1651" i="5"/>
  <c r="S1651" i="5"/>
  <c r="N1652" i="5"/>
  <c r="S1652" i="5"/>
  <c r="N1653" i="5"/>
  <c r="S1653" i="5"/>
  <c r="N1654" i="5"/>
  <c r="S1654" i="5"/>
  <c r="N1655" i="5"/>
  <c r="S1655" i="5"/>
  <c r="N1656" i="5"/>
  <c r="S1656" i="5"/>
  <c r="N1657" i="5"/>
  <c r="S1657" i="5"/>
  <c r="N1658" i="5"/>
  <c r="V1658" i="5"/>
  <c r="S1658" i="5"/>
  <c r="N1659" i="5"/>
  <c r="V1659" i="5"/>
  <c r="S1659" i="5"/>
  <c r="N1660" i="5"/>
  <c r="S1660" i="5"/>
  <c r="N1661" i="5"/>
  <c r="S1661" i="5"/>
  <c r="N1662" i="5"/>
  <c r="V1662" i="5"/>
  <c r="S1662" i="5"/>
  <c r="N1663" i="5"/>
  <c r="S1663" i="5"/>
  <c r="N1664" i="5"/>
  <c r="S1664" i="5"/>
  <c r="N1665" i="5"/>
  <c r="S1665" i="5"/>
  <c r="N1666" i="5"/>
  <c r="W1666" i="5"/>
  <c r="S1666" i="5"/>
  <c r="N1667" i="5"/>
  <c r="S1667" i="5"/>
  <c r="N1668" i="5"/>
  <c r="S1668" i="5"/>
  <c r="N1669" i="5"/>
  <c r="W1669" i="5"/>
  <c r="S1669" i="5"/>
  <c r="N1670" i="5"/>
  <c r="S1670" i="5"/>
  <c r="N1671" i="5"/>
  <c r="W1671" i="5"/>
  <c r="S1671" i="5"/>
  <c r="N1672" i="5"/>
  <c r="S1672" i="5"/>
  <c r="N1673" i="5"/>
  <c r="S1673" i="5"/>
  <c r="N1674" i="5"/>
  <c r="S1674" i="5"/>
  <c r="N1675" i="5"/>
  <c r="S1675" i="5"/>
  <c r="N1676" i="5"/>
  <c r="S1676" i="5"/>
  <c r="N1677" i="5"/>
  <c r="S1677" i="5"/>
  <c r="N1678" i="5"/>
  <c r="V1678" i="5"/>
  <c r="S1678" i="5"/>
  <c r="N1679" i="5"/>
  <c r="W1679" i="5"/>
  <c r="S1679" i="5"/>
  <c r="N1680" i="5"/>
  <c r="W1680" i="5"/>
  <c r="S1680" i="5"/>
  <c r="N1681" i="5"/>
  <c r="S1681" i="5"/>
  <c r="N1682" i="5"/>
  <c r="V1682" i="5"/>
  <c r="S1682" i="5"/>
  <c r="N1683" i="5"/>
  <c r="S1683" i="5"/>
  <c r="N1684" i="5"/>
  <c r="S1684" i="5"/>
  <c r="N1685" i="5"/>
  <c r="V1685" i="5"/>
  <c r="S1685" i="5"/>
  <c r="N1686" i="5"/>
  <c r="S1686" i="5"/>
  <c r="N1687" i="5"/>
  <c r="S1687" i="5"/>
  <c r="N1688" i="5"/>
  <c r="V1688" i="5"/>
  <c r="S1688" i="5"/>
  <c r="N1689" i="5"/>
  <c r="V1689" i="5"/>
  <c r="S1689" i="5"/>
  <c r="N1690" i="5"/>
  <c r="V1690" i="5"/>
  <c r="S1690" i="5"/>
  <c r="N1691" i="5"/>
  <c r="V1691" i="5"/>
  <c r="S1691" i="5"/>
  <c r="N1692" i="5"/>
  <c r="S1692" i="5"/>
  <c r="N1693" i="5"/>
  <c r="S1693" i="5"/>
  <c r="N1694" i="5"/>
  <c r="V1694" i="5"/>
  <c r="S1694" i="5"/>
  <c r="N1695" i="5"/>
  <c r="S1695" i="5"/>
  <c r="N1696" i="5"/>
  <c r="V1696" i="5"/>
  <c r="S1696" i="5"/>
  <c r="N1697" i="5"/>
  <c r="S1697" i="5"/>
  <c r="N1698" i="5"/>
  <c r="S1698" i="5"/>
  <c r="N1699" i="5"/>
  <c r="S1699" i="5"/>
  <c r="N1700" i="5"/>
  <c r="V1700" i="5"/>
  <c r="S1700" i="5"/>
  <c r="N1701" i="5"/>
  <c r="W1701" i="5"/>
  <c r="S1701" i="5"/>
  <c r="N1702" i="5"/>
  <c r="V1702" i="5"/>
  <c r="S1702" i="5"/>
  <c r="N1703" i="5"/>
  <c r="S1703" i="5"/>
  <c r="N1704" i="5"/>
  <c r="S1704" i="5"/>
  <c r="N1705" i="5"/>
  <c r="V1705" i="5"/>
  <c r="S1705" i="5"/>
  <c r="N1706" i="5"/>
  <c r="S1706" i="5"/>
  <c r="N1707" i="5"/>
  <c r="W1707" i="5"/>
  <c r="S1707" i="5"/>
  <c r="N1708" i="5"/>
  <c r="S1708" i="5"/>
  <c r="N1709" i="5"/>
  <c r="S1709" i="5"/>
  <c r="N1710" i="5"/>
  <c r="S1710" i="5"/>
  <c r="S1711" i="5"/>
  <c r="U1711" i="5" s="1"/>
  <c r="N1715" i="5"/>
  <c r="S1715" i="5"/>
  <c r="N1716" i="5"/>
  <c r="S1716" i="5"/>
  <c r="N1717" i="5"/>
  <c r="V1717" i="5"/>
  <c r="S1717" i="5"/>
  <c r="N1718" i="5"/>
  <c r="W1718" i="5"/>
  <c r="S1718" i="5"/>
  <c r="N1719" i="5"/>
  <c r="S1719" i="5"/>
  <c r="N1720" i="5"/>
  <c r="V1720" i="5"/>
  <c r="S1720" i="5"/>
  <c r="N1721" i="5"/>
  <c r="S1721" i="5"/>
  <c r="N1722" i="5"/>
  <c r="S1722" i="5"/>
  <c r="N1723" i="5"/>
  <c r="S1723" i="5"/>
  <c r="V1724" i="5"/>
  <c r="S1724" i="5"/>
  <c r="V1725" i="5"/>
  <c r="S1725" i="5"/>
  <c r="S1726" i="5"/>
  <c r="N1727" i="5"/>
  <c r="S1727" i="5"/>
  <c r="N1728" i="5"/>
  <c r="S1728" i="5"/>
  <c r="N1729" i="5"/>
  <c r="V1729" i="5"/>
  <c r="S1729" i="5"/>
  <c r="N1730" i="5"/>
  <c r="V1730" i="5"/>
  <c r="S1730" i="5"/>
  <c r="N1731" i="5"/>
  <c r="S1731" i="5"/>
  <c r="N1732" i="5"/>
  <c r="S1732" i="5"/>
  <c r="N1733" i="5"/>
  <c r="S1733" i="5"/>
  <c r="N1734" i="5"/>
  <c r="V1734" i="5"/>
  <c r="S1734" i="5"/>
  <c r="N1735" i="5"/>
  <c r="V1735" i="5"/>
  <c r="S1735" i="5"/>
  <c r="N1736" i="5"/>
  <c r="V1736" i="5"/>
  <c r="S1736" i="5"/>
  <c r="S1737" i="5"/>
  <c r="V1741" i="5"/>
  <c r="S1741" i="5"/>
  <c r="S1743" i="5"/>
  <c r="S1744" i="5"/>
  <c r="N1745" i="5"/>
  <c r="S1745" i="5"/>
  <c r="N1746" i="5"/>
  <c r="S1746" i="5"/>
  <c r="N1747" i="5"/>
  <c r="S1747" i="5"/>
  <c r="N1748" i="5"/>
  <c r="S1748" i="5"/>
  <c r="N1749" i="5"/>
  <c r="S1749" i="5"/>
  <c r="N1750" i="5"/>
  <c r="W1750" i="5"/>
  <c r="S1750" i="5"/>
  <c r="N1751" i="5"/>
  <c r="S1751" i="5"/>
  <c r="N1752" i="5"/>
  <c r="S1752" i="5"/>
  <c r="N1753" i="5"/>
  <c r="S1753" i="5"/>
  <c r="N1754" i="5"/>
  <c r="S1754" i="5"/>
  <c r="N1755" i="5"/>
  <c r="S1755" i="5"/>
  <c r="N1756" i="5"/>
  <c r="S1756" i="5"/>
  <c r="N1757" i="5"/>
  <c r="S1757" i="5"/>
  <c r="N1758" i="5"/>
  <c r="V1758" i="5"/>
  <c r="S1758" i="5"/>
  <c r="N1759" i="5"/>
  <c r="S1759" i="5"/>
  <c r="N1760" i="5"/>
  <c r="W1760" i="5"/>
  <c r="S1760" i="5"/>
  <c r="N1761" i="5"/>
  <c r="S1761" i="5"/>
  <c r="N1762" i="5"/>
  <c r="S1762" i="5"/>
  <c r="N1763" i="5"/>
  <c r="S1763" i="5"/>
  <c r="N1764" i="5"/>
  <c r="V1764" i="5"/>
  <c r="S1764" i="5"/>
  <c r="N1765" i="5"/>
  <c r="S1765" i="5"/>
  <c r="N1766" i="5"/>
  <c r="S1766" i="5"/>
  <c r="N1767" i="5"/>
  <c r="W1767" i="5"/>
  <c r="S1767" i="5"/>
  <c r="N1768" i="5"/>
  <c r="S1768" i="5"/>
  <c r="N1769" i="5"/>
  <c r="S1769" i="5"/>
  <c r="N1770" i="5"/>
  <c r="V1770" i="5"/>
  <c r="S1770" i="5"/>
  <c r="N1771" i="5"/>
  <c r="S1771" i="5"/>
  <c r="N1772" i="5"/>
  <c r="S1772" i="5"/>
  <c r="N1773" i="5"/>
  <c r="W1773" i="5"/>
  <c r="S1773" i="5"/>
  <c r="N1774" i="5"/>
  <c r="S1774" i="5"/>
  <c r="N1775" i="5"/>
  <c r="S1775" i="5"/>
  <c r="N1776" i="5"/>
  <c r="V1776" i="5"/>
  <c r="S1776" i="5"/>
  <c r="N1777" i="5"/>
  <c r="S1777" i="5"/>
  <c r="N1778" i="5"/>
  <c r="S1778" i="5"/>
  <c r="N1779" i="5"/>
  <c r="S1779" i="5"/>
  <c r="N1780" i="5"/>
  <c r="W1780" i="5"/>
  <c r="S1780" i="5"/>
  <c r="N1781" i="5"/>
  <c r="V1781" i="5"/>
  <c r="S1781" i="5"/>
  <c r="N1782" i="5"/>
  <c r="W1782" i="5"/>
  <c r="S1782" i="5"/>
  <c r="N1783" i="5"/>
  <c r="S1783" i="5"/>
  <c r="N1784" i="5"/>
  <c r="S1784" i="5"/>
  <c r="N1785" i="5"/>
  <c r="S1785" i="5"/>
  <c r="N1786" i="5"/>
  <c r="V1786" i="5"/>
  <c r="S1786" i="5"/>
  <c r="N1787" i="5"/>
  <c r="S1787" i="5"/>
  <c r="N1788" i="5"/>
  <c r="S1788" i="5"/>
  <c r="N1789" i="5"/>
  <c r="S1789" i="5"/>
  <c r="N1790" i="5"/>
  <c r="V1790" i="5"/>
  <c r="S1790" i="5"/>
  <c r="N1791" i="5"/>
  <c r="S1791" i="5"/>
  <c r="N1792" i="5"/>
  <c r="V1792" i="5"/>
  <c r="S1792" i="5"/>
  <c r="N1793" i="5"/>
  <c r="V1793" i="5"/>
  <c r="S1793" i="5"/>
  <c r="N1794" i="5"/>
  <c r="S1794" i="5"/>
  <c r="N1795" i="5"/>
  <c r="S1795" i="5"/>
  <c r="N1796" i="5"/>
  <c r="W1796" i="5"/>
  <c r="S1796" i="5"/>
  <c r="N1797" i="5"/>
  <c r="V1797" i="5"/>
  <c r="S1797" i="5"/>
  <c r="N1798" i="5"/>
  <c r="S1798" i="5"/>
  <c r="N1799" i="5"/>
  <c r="V1799" i="5"/>
  <c r="S1799" i="5"/>
  <c r="N1800" i="5"/>
  <c r="V1800" i="5"/>
  <c r="S1800" i="5"/>
  <c r="N1801" i="5"/>
  <c r="S1801" i="5"/>
  <c r="N1802" i="5"/>
  <c r="S1802" i="5"/>
  <c r="N1803" i="5"/>
  <c r="S1803" i="5"/>
  <c r="N1804" i="5"/>
  <c r="S1804" i="5"/>
  <c r="N1805" i="5"/>
  <c r="S1805" i="5"/>
  <c r="N1806" i="5"/>
  <c r="S1806" i="5"/>
  <c r="N1807" i="5"/>
  <c r="S1807" i="5"/>
  <c r="N1808" i="5"/>
  <c r="S1808" i="5"/>
  <c r="N1809" i="5"/>
  <c r="S1809" i="5"/>
  <c r="N1810" i="5"/>
  <c r="V1810" i="5"/>
  <c r="S1810" i="5"/>
  <c r="N1811" i="5"/>
  <c r="S1811" i="5"/>
  <c r="N1812" i="5"/>
  <c r="S1812" i="5"/>
  <c r="N1813" i="5"/>
  <c r="S1813" i="5"/>
  <c r="N1814" i="5"/>
  <c r="S1814" i="5"/>
  <c r="N1815" i="5"/>
  <c r="S1815" i="5"/>
  <c r="N1816" i="5"/>
  <c r="S1816" i="5"/>
  <c r="N1817" i="5"/>
  <c r="V1817" i="5"/>
  <c r="S1817" i="5"/>
  <c r="N1818" i="5"/>
  <c r="W1818" i="5"/>
  <c r="S1818" i="5"/>
  <c r="N1819" i="5"/>
  <c r="S1819" i="5"/>
  <c r="N1820" i="5"/>
  <c r="V1820" i="5"/>
  <c r="S1820" i="5"/>
  <c r="N1821" i="5"/>
  <c r="S1821" i="5"/>
  <c r="N1822" i="5"/>
  <c r="S1822" i="5"/>
  <c r="N1823" i="5"/>
  <c r="V1823" i="5"/>
  <c r="S1823" i="5"/>
  <c r="N1824" i="5"/>
  <c r="S1824" i="5"/>
  <c r="N1825" i="5"/>
  <c r="W1825" i="5"/>
  <c r="S1825" i="5"/>
  <c r="N1826" i="5"/>
  <c r="S1826" i="5"/>
  <c r="N1827" i="5"/>
  <c r="S1827" i="5"/>
  <c r="N1828" i="5"/>
  <c r="S1828" i="5"/>
  <c r="N1829" i="5"/>
  <c r="S1829" i="5"/>
  <c r="N1830" i="5"/>
  <c r="S1830" i="5"/>
  <c r="N1831" i="5"/>
  <c r="V1831" i="5"/>
  <c r="S1831" i="5"/>
  <c r="N1832" i="5"/>
  <c r="S1832" i="5"/>
  <c r="N1833" i="5"/>
  <c r="V1833" i="5"/>
  <c r="S1833" i="5"/>
  <c r="N1834" i="5"/>
  <c r="V1834" i="5"/>
  <c r="S1834" i="5"/>
  <c r="N1835" i="5"/>
  <c r="S1835" i="5"/>
  <c r="N1836" i="5"/>
  <c r="S1836" i="5"/>
  <c r="N1837" i="5"/>
  <c r="S1837" i="5"/>
  <c r="N1838" i="5"/>
  <c r="V1838" i="5"/>
  <c r="S1838" i="5"/>
  <c r="N1839" i="5"/>
  <c r="S1839" i="5"/>
  <c r="N1843" i="5"/>
  <c r="S1843" i="5"/>
  <c r="N1844" i="5"/>
  <c r="S1844" i="5"/>
  <c r="N1845" i="5"/>
  <c r="V1845" i="5"/>
  <c r="S1845" i="5"/>
  <c r="N1846" i="5"/>
  <c r="S1846" i="5"/>
  <c r="N1847" i="5"/>
  <c r="S1847" i="5"/>
  <c r="N1848" i="5"/>
  <c r="V1848" i="5"/>
  <c r="S1848" i="5"/>
  <c r="N1849" i="5"/>
  <c r="S1849" i="5"/>
  <c r="N1850" i="5"/>
  <c r="S1850" i="5"/>
  <c r="N1851" i="5"/>
  <c r="W1851" i="5"/>
  <c r="S1851" i="5"/>
  <c r="N1852" i="5"/>
  <c r="W1852" i="5"/>
  <c r="S1852" i="5"/>
  <c r="N1853" i="5"/>
  <c r="V1853" i="5"/>
  <c r="S1853" i="5"/>
  <c r="N1854" i="5"/>
  <c r="S1854" i="5"/>
  <c r="N1855" i="5"/>
  <c r="S1855" i="5"/>
  <c r="N1856" i="5"/>
  <c r="V1856" i="5"/>
  <c r="S1856" i="5"/>
  <c r="N1857" i="5"/>
  <c r="S1857" i="5"/>
  <c r="N1858" i="5"/>
  <c r="V1858" i="5"/>
  <c r="S1858" i="5"/>
  <c r="N1859" i="5"/>
  <c r="S1859" i="5"/>
  <c r="N1860" i="5"/>
  <c r="V1860" i="5"/>
  <c r="S1860" i="5"/>
  <c r="N1861" i="5"/>
  <c r="S1861" i="5"/>
  <c r="N1862" i="5"/>
  <c r="V1862" i="5"/>
  <c r="S1862" i="5"/>
  <c r="N1863" i="5"/>
  <c r="S1863" i="5"/>
  <c r="N1864" i="5"/>
  <c r="S1864" i="5"/>
  <c r="N1865" i="5"/>
  <c r="V1865" i="5"/>
  <c r="S1865" i="5"/>
  <c r="N1869" i="5"/>
  <c r="V1869" i="5"/>
  <c r="S1869" i="5"/>
  <c r="N1871" i="5"/>
  <c r="V1871" i="5"/>
  <c r="S1871" i="5"/>
  <c r="N1872" i="5"/>
  <c r="S1872" i="5"/>
  <c r="N1873" i="5"/>
  <c r="W1873" i="5"/>
  <c r="S1873" i="5"/>
  <c r="N1874" i="5"/>
  <c r="V1874" i="5"/>
  <c r="S1874" i="5"/>
  <c r="N1875" i="5"/>
  <c r="W1875" i="5"/>
  <c r="S1875" i="5"/>
  <c r="N1876" i="5"/>
  <c r="S1876" i="5"/>
  <c r="N1877" i="5"/>
  <c r="S1877" i="5"/>
  <c r="N1878" i="5"/>
  <c r="S1878" i="5"/>
  <c r="N1879" i="5"/>
  <c r="V1879" i="5"/>
  <c r="S1879" i="5"/>
  <c r="N1880" i="5"/>
  <c r="S1880" i="5"/>
  <c r="N1881" i="5"/>
  <c r="W1881" i="5"/>
  <c r="S1881" i="5"/>
  <c r="N1882" i="5"/>
  <c r="S1882" i="5"/>
  <c r="N1883" i="5"/>
  <c r="V1883" i="5"/>
  <c r="S1883" i="5"/>
  <c r="N1884" i="5"/>
  <c r="V1884" i="5"/>
  <c r="S1884" i="5"/>
  <c r="N1885" i="5"/>
  <c r="S1885" i="5"/>
  <c r="N1886" i="5"/>
  <c r="S1886" i="5"/>
  <c r="N1887" i="5"/>
  <c r="S1887" i="5"/>
  <c r="N1888" i="5"/>
  <c r="W1888" i="5"/>
  <c r="S1888" i="5"/>
  <c r="N1889" i="5"/>
  <c r="S1889" i="5"/>
  <c r="N1890" i="5"/>
  <c r="V1890" i="5"/>
  <c r="S1890" i="5"/>
  <c r="N1891" i="5"/>
  <c r="W1891" i="5"/>
  <c r="S1891" i="5"/>
  <c r="N1892" i="5"/>
  <c r="S1892" i="5"/>
  <c r="N1893" i="5"/>
  <c r="V1893" i="5"/>
  <c r="S1893" i="5"/>
  <c r="N1894" i="5"/>
  <c r="S1894" i="5"/>
  <c r="N1895" i="5"/>
  <c r="S1895" i="5"/>
  <c r="N1896" i="5"/>
  <c r="W1896" i="5"/>
  <c r="S1896" i="5"/>
  <c r="N1897" i="5"/>
  <c r="S1897" i="5"/>
  <c r="N1898" i="5"/>
  <c r="V1898" i="5"/>
  <c r="S1898" i="5"/>
  <c r="N1899" i="5"/>
  <c r="S1899" i="5"/>
  <c r="N1900" i="5"/>
  <c r="S1900" i="5"/>
  <c r="N1901" i="5"/>
  <c r="S1901" i="5"/>
  <c r="N1902" i="5"/>
  <c r="S1902" i="5"/>
  <c r="N1903" i="5"/>
  <c r="S1903" i="5"/>
  <c r="N1904" i="5"/>
  <c r="S1904" i="5"/>
  <c r="N1905" i="5"/>
  <c r="S1905" i="5"/>
  <c r="N1906" i="5"/>
  <c r="S1906" i="5"/>
  <c r="N1907" i="5"/>
  <c r="S1907" i="5"/>
  <c r="N1908" i="5"/>
  <c r="W1908" i="5"/>
  <c r="S1908" i="5"/>
  <c r="N1909" i="5"/>
  <c r="V1909" i="5"/>
  <c r="S1909" i="5"/>
  <c r="N1910" i="5"/>
  <c r="S1910" i="5"/>
  <c r="N1911" i="5"/>
  <c r="S1911" i="5"/>
  <c r="N1912" i="5"/>
  <c r="W1912" i="5"/>
  <c r="S1912" i="5"/>
  <c r="N1913" i="5"/>
  <c r="W1913" i="5"/>
  <c r="S1913" i="5"/>
  <c r="N1914" i="5"/>
  <c r="V1914" i="5"/>
  <c r="S1914" i="5"/>
  <c r="N1915" i="5"/>
  <c r="S1915" i="5"/>
  <c r="N1916" i="5"/>
  <c r="W1916" i="5"/>
  <c r="S1916" i="5"/>
  <c r="N1917" i="5"/>
  <c r="S1917" i="5"/>
  <c r="N1918" i="5"/>
  <c r="S1918" i="5"/>
  <c r="N1919" i="5"/>
  <c r="S1919" i="5"/>
  <c r="N1920" i="5"/>
  <c r="S1920" i="5"/>
  <c r="N1921" i="5"/>
  <c r="S1921" i="5"/>
  <c r="N1922" i="5"/>
  <c r="S1922" i="5"/>
  <c r="N1923" i="5"/>
  <c r="S1923" i="5"/>
  <c r="N1924" i="5"/>
  <c r="W1924" i="5"/>
  <c r="S1924" i="5"/>
  <c r="N1925" i="5"/>
  <c r="S1925" i="5"/>
  <c r="N1926" i="5"/>
  <c r="V1926" i="5"/>
  <c r="S1926" i="5"/>
  <c r="N1927" i="5"/>
  <c r="S1927" i="5"/>
  <c r="N1928" i="5"/>
  <c r="W1928" i="5"/>
  <c r="S1928" i="5"/>
  <c r="N1929" i="5"/>
  <c r="S1929" i="5"/>
  <c r="N1930" i="5"/>
  <c r="V1930" i="5"/>
  <c r="S1930" i="5"/>
  <c r="N1931" i="5"/>
  <c r="S1931" i="5"/>
  <c r="N1932" i="5"/>
  <c r="S1932" i="5"/>
  <c r="N1933" i="5"/>
  <c r="S1933" i="5"/>
  <c r="N1934" i="5"/>
  <c r="V1934" i="5"/>
  <c r="S1934" i="5"/>
  <c r="N1935" i="5"/>
  <c r="S1935" i="5"/>
  <c r="N1936" i="5"/>
  <c r="W1936" i="5"/>
  <c r="S1936" i="5"/>
  <c r="N1937" i="5"/>
  <c r="W1937" i="5"/>
  <c r="S1937" i="5"/>
  <c r="N1938" i="5"/>
  <c r="V1938" i="5"/>
  <c r="S1938" i="5"/>
  <c r="N1939" i="5"/>
  <c r="S1939" i="5"/>
  <c r="N1940" i="5"/>
  <c r="S1940" i="5"/>
  <c r="N1941" i="5"/>
  <c r="V1941" i="5"/>
  <c r="S1941" i="5"/>
  <c r="N1942" i="5"/>
  <c r="V1942" i="5"/>
  <c r="S1942" i="5"/>
  <c r="N1943" i="5"/>
  <c r="S1943" i="5"/>
  <c r="N1944" i="5"/>
  <c r="S1944" i="5"/>
  <c r="N1945" i="5"/>
  <c r="V1945" i="5"/>
  <c r="S1945" i="5"/>
  <c r="N1946" i="5"/>
  <c r="V1946" i="5"/>
  <c r="S1946" i="5"/>
  <c r="N1947" i="5"/>
  <c r="S1947" i="5"/>
  <c r="N1948" i="5"/>
  <c r="S1948" i="5"/>
  <c r="N1949" i="5"/>
  <c r="S1949" i="5"/>
  <c r="N1950" i="5"/>
  <c r="S1950" i="5"/>
  <c r="N1951" i="5"/>
  <c r="S1951" i="5"/>
  <c r="N1952" i="5"/>
  <c r="S1952" i="5"/>
  <c r="N1953" i="5"/>
  <c r="S1953" i="5"/>
  <c r="N1954" i="5"/>
  <c r="S1954" i="5"/>
  <c r="N1955" i="5"/>
  <c r="S1955" i="5"/>
  <c r="N1956" i="5"/>
  <c r="S1956" i="5"/>
  <c r="N1957" i="5"/>
  <c r="V1957" i="5"/>
  <c r="S1957" i="5"/>
  <c r="N1958" i="5"/>
  <c r="S1958" i="5"/>
  <c r="N1959" i="5"/>
  <c r="S1959" i="5"/>
  <c r="N1960" i="5"/>
  <c r="S1960" i="5"/>
  <c r="N1961" i="5"/>
  <c r="W1961" i="5"/>
  <c r="S1961" i="5"/>
  <c r="N1962" i="5"/>
  <c r="S1962" i="5"/>
  <c r="N1963" i="5"/>
  <c r="S1963" i="5"/>
  <c r="N1964" i="5"/>
  <c r="S1964" i="5"/>
  <c r="N1965" i="5"/>
  <c r="S1965" i="5"/>
  <c r="N1966" i="5"/>
  <c r="S1966" i="5"/>
  <c r="N1967" i="5"/>
  <c r="N1972" i="5"/>
  <c r="S1972" i="5"/>
  <c r="N1973" i="5"/>
  <c r="V1973" i="5"/>
  <c r="S1973" i="5"/>
  <c r="N1974" i="5"/>
  <c r="S1974" i="5"/>
  <c r="N1975" i="5"/>
  <c r="W1975" i="5"/>
  <c r="S1975" i="5"/>
  <c r="N1976" i="5"/>
  <c r="S1976" i="5"/>
  <c r="N1977" i="5"/>
  <c r="S1977" i="5"/>
  <c r="N1978" i="5"/>
  <c r="S1978" i="5"/>
  <c r="N1979" i="5"/>
  <c r="W1979" i="5"/>
  <c r="S1979" i="5"/>
  <c r="N1980" i="5"/>
  <c r="S1980" i="5"/>
  <c r="N1981" i="5"/>
  <c r="S1981" i="5"/>
  <c r="N1982" i="5"/>
  <c r="S1982" i="5"/>
  <c r="N1983" i="5"/>
  <c r="W1983" i="5"/>
  <c r="S1983" i="5"/>
  <c r="N1984" i="5"/>
  <c r="W1984" i="5"/>
  <c r="S1984" i="5"/>
  <c r="N1985" i="5"/>
  <c r="S1985" i="5"/>
  <c r="N1986" i="5"/>
  <c r="S1986" i="5"/>
  <c r="N1987" i="5"/>
  <c r="W1987" i="5"/>
  <c r="S1987" i="5"/>
  <c r="N1988" i="5"/>
  <c r="S1988" i="5"/>
  <c r="N1989" i="5"/>
  <c r="S1989" i="5"/>
  <c r="N1990" i="5"/>
  <c r="S1990" i="5"/>
  <c r="N1991" i="5"/>
  <c r="S1991" i="5"/>
  <c r="N1992" i="5"/>
  <c r="S1992" i="5"/>
  <c r="N1993" i="5"/>
  <c r="V1993" i="5"/>
  <c r="S1993" i="5"/>
  <c r="N1997" i="5"/>
  <c r="S1997" i="5"/>
  <c r="N1999" i="5"/>
  <c r="W1999" i="5"/>
  <c r="S1999" i="5"/>
  <c r="N2000" i="5"/>
  <c r="W2000" i="5"/>
  <c r="S2000" i="5"/>
  <c r="N2001" i="5"/>
  <c r="S2001" i="5"/>
  <c r="N2002" i="5"/>
  <c r="S2002" i="5"/>
  <c r="N2003" i="5"/>
  <c r="S2003" i="5"/>
  <c r="N2004" i="5"/>
  <c r="S2004" i="5"/>
  <c r="N2005" i="5"/>
  <c r="S2005" i="5"/>
  <c r="N2006" i="5"/>
  <c r="S2006" i="5"/>
  <c r="N2007" i="5"/>
  <c r="S2007" i="5"/>
  <c r="N2008" i="5"/>
  <c r="W2008" i="5"/>
  <c r="S2008" i="5"/>
  <c r="N2009" i="5"/>
  <c r="W2009" i="5"/>
  <c r="S2009" i="5"/>
  <c r="N2010" i="5"/>
  <c r="S2010" i="5"/>
  <c r="N2011" i="5"/>
  <c r="V2011" i="5"/>
  <c r="S2011" i="5"/>
  <c r="N2012" i="5"/>
  <c r="S2012" i="5"/>
  <c r="N2013" i="5"/>
  <c r="S2013" i="5"/>
  <c r="N2014" i="5"/>
  <c r="V2014" i="5"/>
  <c r="S2014" i="5"/>
  <c r="N2015" i="5"/>
  <c r="V2015" i="5"/>
  <c r="S2015" i="5"/>
  <c r="N2016" i="5"/>
  <c r="S2016" i="5"/>
  <c r="N2017" i="5"/>
  <c r="W2017" i="5"/>
  <c r="S2017" i="5"/>
  <c r="N2018" i="5"/>
  <c r="V2018" i="5"/>
  <c r="S2018" i="5"/>
  <c r="N2019" i="5"/>
  <c r="W2019" i="5"/>
  <c r="S2019" i="5"/>
  <c r="N2020" i="5"/>
  <c r="S2020" i="5"/>
  <c r="N2021" i="5"/>
  <c r="S2021" i="5"/>
  <c r="N2022" i="5"/>
  <c r="S2022" i="5"/>
  <c r="N2023" i="5"/>
  <c r="V2023" i="5"/>
  <c r="S2023" i="5"/>
  <c r="N2024" i="5"/>
  <c r="S2024" i="5"/>
  <c r="N2025" i="5"/>
  <c r="W2025" i="5"/>
  <c r="S2025" i="5"/>
  <c r="N2026" i="5"/>
  <c r="S2026" i="5"/>
  <c r="N2027" i="5"/>
  <c r="S2027" i="5"/>
  <c r="N2028" i="5"/>
  <c r="S2028" i="5"/>
  <c r="N2029" i="5"/>
  <c r="W2029" i="5"/>
  <c r="S2029" i="5"/>
  <c r="N2030" i="5"/>
  <c r="S2030" i="5"/>
  <c r="N2031" i="5"/>
  <c r="S2031" i="5"/>
  <c r="N2032" i="5"/>
  <c r="S2032" i="5"/>
  <c r="N2033" i="5"/>
  <c r="S2033" i="5"/>
  <c r="N2034" i="5"/>
  <c r="S2034" i="5"/>
  <c r="N2035" i="5"/>
  <c r="S2035" i="5"/>
  <c r="N2036" i="5"/>
  <c r="S2036" i="5"/>
  <c r="N2037" i="5"/>
  <c r="S2037" i="5"/>
  <c r="N2038" i="5"/>
  <c r="V2038" i="5"/>
  <c r="S2038" i="5"/>
  <c r="N2039" i="5"/>
  <c r="V2039" i="5"/>
  <c r="S2039" i="5"/>
  <c r="N2040" i="5"/>
  <c r="S2040" i="5"/>
  <c r="N2041" i="5"/>
  <c r="W2041" i="5"/>
  <c r="S2041" i="5"/>
  <c r="N2042" i="5"/>
  <c r="S2042" i="5"/>
  <c r="N2043" i="5"/>
  <c r="W2043" i="5"/>
  <c r="S2043" i="5"/>
  <c r="N2044" i="5"/>
  <c r="S2044" i="5"/>
  <c r="N2045" i="5"/>
  <c r="W2045" i="5"/>
  <c r="S2045" i="5"/>
  <c r="N2046" i="5"/>
  <c r="S2046" i="5"/>
  <c r="N2047" i="5"/>
  <c r="S2047" i="5"/>
  <c r="N2048" i="5"/>
  <c r="S2048" i="5"/>
  <c r="N2049" i="5"/>
  <c r="S2049" i="5"/>
  <c r="N2050" i="5"/>
  <c r="W2050" i="5"/>
  <c r="S2050" i="5"/>
  <c r="N2051" i="5"/>
  <c r="S2051" i="5"/>
  <c r="N2052" i="5"/>
  <c r="S2052" i="5"/>
  <c r="N2053" i="5"/>
  <c r="W2053" i="5"/>
  <c r="S2053" i="5"/>
  <c r="N2054" i="5"/>
  <c r="S2054" i="5"/>
  <c r="N2055" i="5"/>
  <c r="S2055" i="5"/>
  <c r="N2056" i="5"/>
  <c r="S2056" i="5"/>
  <c r="N2057" i="5"/>
  <c r="S2057" i="5"/>
  <c r="N2058" i="5"/>
  <c r="V2058" i="5"/>
  <c r="S2058" i="5"/>
  <c r="N2059" i="5"/>
  <c r="S2059" i="5"/>
  <c r="N2060" i="5"/>
  <c r="S2060" i="5"/>
  <c r="N2061" i="5"/>
  <c r="W2061" i="5"/>
  <c r="S2061" i="5"/>
  <c r="N2062" i="5"/>
  <c r="W2062" i="5"/>
  <c r="S2062" i="5"/>
  <c r="N2063" i="5"/>
  <c r="V2063" i="5"/>
  <c r="S2063" i="5"/>
  <c r="N2064" i="5"/>
  <c r="S2064" i="5"/>
  <c r="N2065" i="5"/>
  <c r="W2065" i="5"/>
  <c r="S2065" i="5"/>
  <c r="N2066" i="5"/>
  <c r="V2066" i="5"/>
  <c r="S2066" i="5"/>
  <c r="N2067" i="5"/>
  <c r="W2067" i="5"/>
  <c r="S2067" i="5"/>
  <c r="N2068" i="5"/>
  <c r="S2068" i="5"/>
  <c r="N2069" i="5"/>
  <c r="W2069" i="5"/>
  <c r="S2069" i="5"/>
  <c r="N2070" i="5"/>
  <c r="S2070" i="5"/>
  <c r="N2071" i="5"/>
  <c r="W2071" i="5"/>
  <c r="S2071" i="5"/>
  <c r="N2072" i="5"/>
  <c r="S2072" i="5"/>
  <c r="N2073" i="5"/>
  <c r="S2073" i="5"/>
  <c r="N2074" i="5"/>
  <c r="S2074" i="5"/>
  <c r="N2075" i="5"/>
  <c r="W2075" i="5"/>
  <c r="S2075" i="5"/>
  <c r="N2076" i="5"/>
  <c r="S2076" i="5"/>
  <c r="N2077" i="5"/>
  <c r="S2077" i="5"/>
  <c r="N2078" i="5"/>
  <c r="S2078" i="5"/>
  <c r="N2079" i="5"/>
  <c r="V2079" i="5"/>
  <c r="S2079" i="5"/>
  <c r="N2080" i="5"/>
  <c r="S2080" i="5"/>
  <c r="N2081" i="5"/>
  <c r="W2081" i="5"/>
  <c r="S2081" i="5"/>
  <c r="N2082" i="5"/>
  <c r="S2082" i="5"/>
  <c r="N2083" i="5"/>
  <c r="V2083" i="5"/>
  <c r="S2083" i="5"/>
  <c r="N2084" i="5"/>
  <c r="S2084" i="5"/>
  <c r="N2085" i="5"/>
  <c r="S2085" i="5"/>
  <c r="N2086" i="5"/>
  <c r="V2086" i="5"/>
  <c r="S2086" i="5"/>
  <c r="N2087" i="5"/>
  <c r="S2087" i="5"/>
  <c r="N2088" i="5"/>
  <c r="S2088" i="5"/>
  <c r="N2089" i="5"/>
  <c r="W2089" i="5"/>
  <c r="S2089" i="5"/>
  <c r="N2090" i="5"/>
  <c r="S2090" i="5"/>
  <c r="N2091" i="5"/>
  <c r="W2091" i="5"/>
  <c r="S2091" i="5"/>
  <c r="N2092" i="5"/>
  <c r="S2092" i="5"/>
  <c r="N2093" i="5"/>
  <c r="S2093" i="5"/>
  <c r="N2094" i="5"/>
  <c r="S2094" i="5"/>
  <c r="N2095" i="5"/>
  <c r="V2095" i="5"/>
  <c r="S2095" i="5"/>
  <c r="N2099" i="5"/>
  <c r="S2099" i="5"/>
  <c r="N2100" i="5"/>
  <c r="W2100" i="5"/>
  <c r="S2100" i="5"/>
  <c r="N2101" i="5"/>
  <c r="W2101" i="5"/>
  <c r="S2101" i="5"/>
  <c r="N2102" i="5"/>
  <c r="V2102" i="5"/>
  <c r="S2102" i="5"/>
  <c r="N2103" i="5"/>
  <c r="S2103" i="5"/>
  <c r="N2104" i="5"/>
  <c r="S2104" i="5"/>
  <c r="N2105" i="5"/>
  <c r="W2105" i="5"/>
  <c r="S2105" i="5"/>
  <c r="N2106" i="5"/>
  <c r="S2106" i="5"/>
  <c r="N2107" i="5"/>
  <c r="S2107" i="5"/>
  <c r="N2108" i="5"/>
  <c r="S2108" i="5"/>
  <c r="N2109" i="5"/>
  <c r="S2109" i="5"/>
  <c r="N2110" i="5"/>
  <c r="S2110" i="5"/>
  <c r="N2111" i="5"/>
  <c r="S2111" i="5"/>
  <c r="N2112" i="5"/>
  <c r="W2112" i="5"/>
  <c r="S2112" i="5"/>
  <c r="N2113" i="5"/>
  <c r="S2113" i="5"/>
  <c r="N2114" i="5"/>
  <c r="S2114" i="5"/>
  <c r="N2115" i="5"/>
  <c r="S2115" i="5"/>
  <c r="N2116" i="5"/>
  <c r="W2116" i="5"/>
  <c r="S2116" i="5"/>
  <c r="N2117" i="5"/>
  <c r="V2117" i="5"/>
  <c r="S2117" i="5"/>
  <c r="N2118" i="5"/>
  <c r="S2118" i="5"/>
  <c r="N2119" i="5"/>
  <c r="S2119" i="5"/>
  <c r="N2120" i="5"/>
  <c r="S2120" i="5"/>
  <c r="N2121" i="5"/>
  <c r="V2121" i="5"/>
  <c r="S2121" i="5"/>
  <c r="N2125" i="5"/>
  <c r="S2125" i="5"/>
  <c r="N2127" i="5"/>
  <c r="S2127" i="5"/>
  <c r="N2128" i="5"/>
  <c r="S2128" i="5"/>
  <c r="N2129" i="5"/>
  <c r="W2129" i="5"/>
  <c r="S2129" i="5"/>
  <c r="N2130" i="5"/>
  <c r="S2130" i="5"/>
  <c r="N2131" i="5"/>
  <c r="S2131" i="5"/>
  <c r="N2132" i="5"/>
  <c r="S2132" i="5"/>
  <c r="N2133" i="5"/>
  <c r="S2133" i="5"/>
  <c r="N2134" i="5"/>
  <c r="S2134" i="5"/>
  <c r="N2135" i="5"/>
  <c r="S2135" i="5"/>
  <c r="N2136" i="5"/>
  <c r="W2136" i="5"/>
  <c r="S2136" i="5"/>
  <c r="N2137" i="5"/>
  <c r="S2137" i="5"/>
  <c r="N2138" i="5"/>
  <c r="W2138" i="5"/>
  <c r="S2138" i="5"/>
  <c r="N2139" i="5"/>
  <c r="S2139" i="5"/>
  <c r="N2140" i="5"/>
  <c r="S2140" i="5"/>
  <c r="N2141" i="5"/>
  <c r="S2141" i="5"/>
  <c r="N2142" i="5"/>
  <c r="S2142" i="5"/>
  <c r="N2143" i="5"/>
  <c r="S2143" i="5"/>
  <c r="N2144" i="5"/>
  <c r="V2144" i="5"/>
  <c r="S2144" i="5"/>
  <c r="N2145" i="5"/>
  <c r="S2145" i="5"/>
  <c r="N2146" i="5"/>
  <c r="S2146" i="5"/>
  <c r="N2147" i="5"/>
  <c r="V2147" i="5"/>
  <c r="S2147" i="5"/>
  <c r="N2148" i="5"/>
  <c r="S2148" i="5"/>
  <c r="N2149" i="5"/>
  <c r="S2149" i="5"/>
  <c r="N2150" i="5"/>
  <c r="W2150" i="5"/>
  <c r="S2150" i="5"/>
  <c r="N2151" i="5"/>
  <c r="S2151" i="5"/>
  <c r="N2152" i="5"/>
  <c r="S2152" i="5"/>
  <c r="N2153" i="5"/>
  <c r="S2153" i="5"/>
  <c r="N2154" i="5"/>
  <c r="W2154" i="5"/>
  <c r="S2154" i="5"/>
  <c r="N2155" i="5"/>
  <c r="S2155" i="5"/>
  <c r="N2156" i="5"/>
  <c r="S2156" i="5"/>
  <c r="N2157" i="5"/>
  <c r="S2157" i="5"/>
  <c r="N2158" i="5"/>
  <c r="S2158" i="5"/>
  <c r="N2159" i="5"/>
  <c r="S2159" i="5"/>
  <c r="N2160" i="5"/>
  <c r="S2160" i="5"/>
  <c r="N2161" i="5"/>
  <c r="S2161" i="5"/>
  <c r="N2162" i="5"/>
  <c r="S2162" i="5"/>
  <c r="N2163" i="5"/>
  <c r="V2163" i="5"/>
  <c r="S2163" i="5"/>
  <c r="N2164" i="5"/>
  <c r="V2164" i="5"/>
  <c r="S2164" i="5"/>
  <c r="N2165" i="5"/>
  <c r="S2165" i="5"/>
  <c r="N2166" i="5"/>
  <c r="S2166" i="5"/>
  <c r="N2167" i="5"/>
  <c r="S2167" i="5"/>
  <c r="N2168" i="5"/>
  <c r="W2168" i="5"/>
  <c r="S2168" i="5"/>
  <c r="N2169" i="5"/>
  <c r="S2169" i="5"/>
  <c r="N2170" i="5"/>
  <c r="W2170" i="5"/>
  <c r="S2170" i="5"/>
  <c r="N2171" i="5"/>
  <c r="V2171" i="5"/>
  <c r="S2171" i="5"/>
  <c r="N2172" i="5"/>
  <c r="S2172" i="5"/>
  <c r="N2173" i="5"/>
  <c r="S2173" i="5"/>
  <c r="N2174" i="5"/>
  <c r="W2174" i="5"/>
  <c r="S2174" i="5"/>
  <c r="N2175" i="5"/>
  <c r="S2175" i="5"/>
  <c r="N2176" i="5"/>
  <c r="S2176" i="5"/>
  <c r="N2177" i="5"/>
  <c r="S2177" i="5"/>
  <c r="N2178" i="5"/>
  <c r="S2178" i="5"/>
  <c r="N2179" i="5"/>
  <c r="W2179" i="5"/>
  <c r="S2179" i="5"/>
  <c r="N2180" i="5"/>
  <c r="W2180" i="5"/>
  <c r="S2180" i="5"/>
  <c r="N2181" i="5"/>
  <c r="S2181" i="5"/>
  <c r="N2182" i="5"/>
  <c r="W2182" i="5"/>
  <c r="S2182" i="5"/>
  <c r="N2183" i="5"/>
  <c r="S2183" i="5"/>
  <c r="N2184" i="5"/>
  <c r="S2184" i="5"/>
  <c r="N2185" i="5"/>
  <c r="S2185" i="5"/>
  <c r="N2186" i="5"/>
  <c r="W2186" i="5"/>
  <c r="S2186" i="5"/>
  <c r="N2187" i="5"/>
  <c r="S2187" i="5"/>
  <c r="N2188" i="5"/>
  <c r="S2188" i="5"/>
  <c r="N2189" i="5"/>
  <c r="S2189" i="5"/>
  <c r="N2190" i="5"/>
  <c r="S2190" i="5"/>
  <c r="N2191" i="5"/>
  <c r="S2191" i="5"/>
  <c r="N2192" i="5"/>
  <c r="W2192" i="5"/>
  <c r="S2192" i="5"/>
  <c r="N2193" i="5"/>
  <c r="S2193" i="5"/>
  <c r="N2194" i="5"/>
  <c r="S2194" i="5"/>
  <c r="N2195" i="5"/>
  <c r="V2195" i="5"/>
  <c r="S2195" i="5"/>
  <c r="N2196" i="5"/>
  <c r="V2196" i="5"/>
  <c r="S2196" i="5"/>
  <c r="N2197" i="5"/>
  <c r="S2197" i="5"/>
  <c r="N2198" i="5"/>
  <c r="S2198" i="5"/>
  <c r="N2199" i="5"/>
  <c r="W2199" i="5"/>
  <c r="S2199" i="5"/>
  <c r="N2200" i="5"/>
  <c r="V2200" i="5"/>
  <c r="S2200" i="5"/>
  <c r="N2201" i="5"/>
  <c r="V2201" i="5"/>
  <c r="S2201" i="5"/>
  <c r="N2202" i="5"/>
  <c r="S2202" i="5"/>
  <c r="N2203" i="5"/>
  <c r="S2203" i="5"/>
  <c r="N2204" i="5"/>
  <c r="V2204" i="5"/>
  <c r="S2204" i="5"/>
  <c r="N2205" i="5"/>
  <c r="V2205" i="5"/>
  <c r="S2205" i="5"/>
  <c r="N2206" i="5"/>
  <c r="W2206" i="5"/>
  <c r="S2206" i="5"/>
  <c r="N2207" i="5"/>
  <c r="S2207" i="5"/>
  <c r="N2208" i="5"/>
  <c r="S2208" i="5"/>
  <c r="N2209" i="5"/>
  <c r="V2209" i="5"/>
  <c r="S2209" i="5"/>
  <c r="N2210" i="5"/>
  <c r="W2210" i="5"/>
  <c r="S2210" i="5"/>
  <c r="N2211" i="5"/>
  <c r="S2211" i="5"/>
  <c r="N2212" i="5"/>
  <c r="S2212" i="5"/>
  <c r="N2213" i="5"/>
  <c r="S2213" i="5"/>
  <c r="N2214" i="5"/>
  <c r="W2214" i="5"/>
  <c r="S2214" i="5"/>
  <c r="N2215" i="5"/>
  <c r="W2215" i="5"/>
  <c r="S2215" i="5"/>
  <c r="N2216" i="5"/>
  <c r="V2216" i="5"/>
  <c r="S2216" i="5"/>
  <c r="N2217" i="5"/>
  <c r="S2217" i="5"/>
  <c r="N2218" i="5"/>
  <c r="W2218" i="5"/>
  <c r="S2218" i="5"/>
  <c r="N2219" i="5"/>
  <c r="S2219" i="5"/>
  <c r="N2220" i="5"/>
  <c r="S2220" i="5"/>
  <c r="N2221" i="5"/>
  <c r="S2221" i="5"/>
  <c r="N2222" i="5"/>
  <c r="S2222" i="5"/>
  <c r="N2223" i="5"/>
  <c r="V2223" i="5"/>
  <c r="S2223" i="5"/>
  <c r="N2227" i="5"/>
  <c r="W2227" i="5"/>
  <c r="S2227" i="5"/>
  <c r="N2228" i="5"/>
  <c r="V2228" i="5"/>
  <c r="S2228" i="5"/>
  <c r="N2229" i="5"/>
  <c r="S2229" i="5"/>
  <c r="N2230" i="5"/>
  <c r="S2230" i="5"/>
  <c r="N2231" i="5"/>
  <c r="S2231" i="5"/>
  <c r="N2232" i="5"/>
  <c r="S2232" i="5"/>
  <c r="N2233" i="5"/>
  <c r="S2233" i="5"/>
  <c r="N2234" i="5"/>
  <c r="S2234" i="5"/>
  <c r="N2235" i="5"/>
  <c r="S2235" i="5"/>
  <c r="N2236" i="5"/>
  <c r="S2236" i="5"/>
  <c r="N2237" i="5"/>
  <c r="S2237" i="5"/>
  <c r="N2238" i="5"/>
  <c r="S2238" i="5"/>
  <c r="N2239" i="5"/>
  <c r="S2239" i="5"/>
  <c r="N2240" i="5"/>
  <c r="S2240" i="5"/>
  <c r="N2241" i="5"/>
  <c r="W2241" i="5"/>
  <c r="S2241" i="5"/>
  <c r="N2242" i="5"/>
  <c r="S2242" i="5"/>
  <c r="N2243" i="5"/>
  <c r="S2243" i="5"/>
  <c r="N2244" i="5"/>
  <c r="V2244" i="5"/>
  <c r="S2244" i="5"/>
  <c r="N2245" i="5"/>
  <c r="S2245" i="5"/>
  <c r="N2246" i="5"/>
  <c r="S2246" i="5"/>
  <c r="N2247" i="5"/>
  <c r="S2247" i="5"/>
  <c r="N2248" i="5"/>
  <c r="S2248" i="5"/>
  <c r="N2249" i="5"/>
  <c r="S2249" i="5"/>
  <c r="N2253" i="5"/>
  <c r="W2253" i="5"/>
  <c r="S2253" i="5"/>
  <c r="N2255" i="5"/>
  <c r="W2255" i="5"/>
  <c r="S2255" i="5"/>
  <c r="N2256" i="5"/>
  <c r="S2256" i="5"/>
  <c r="N2257" i="5"/>
  <c r="W2257" i="5"/>
  <c r="S2257" i="5"/>
  <c r="N2258" i="5"/>
  <c r="S2258" i="5"/>
  <c r="N2259" i="5"/>
  <c r="S2259" i="5"/>
  <c r="N2260" i="5"/>
  <c r="V2260" i="5"/>
  <c r="S2260" i="5"/>
  <c r="N2261" i="5"/>
  <c r="S2261" i="5"/>
  <c r="N2262" i="5"/>
  <c r="W2262" i="5"/>
  <c r="S2262" i="5"/>
  <c r="N2263" i="5"/>
  <c r="V2263" i="5"/>
  <c r="S2263" i="5"/>
  <c r="N2264" i="5"/>
  <c r="V2264" i="5"/>
  <c r="S2264" i="5"/>
  <c r="N2265" i="5"/>
  <c r="S2265" i="5"/>
  <c r="N2266" i="5"/>
  <c r="V2266" i="5"/>
  <c r="S2266" i="5"/>
  <c r="N2267" i="5"/>
  <c r="S2267" i="5"/>
  <c r="N2268" i="5"/>
  <c r="S2268" i="5"/>
  <c r="N2269" i="5"/>
  <c r="W2269" i="5"/>
  <c r="S2269" i="5"/>
  <c r="N2270" i="5"/>
  <c r="V2270" i="5"/>
  <c r="S2270" i="5"/>
  <c r="N2271" i="5"/>
  <c r="S2271" i="5"/>
  <c r="N2272" i="5"/>
  <c r="W2272" i="5"/>
  <c r="S2272" i="5"/>
  <c r="N2273" i="5"/>
  <c r="W2273" i="5"/>
  <c r="S2273" i="5"/>
  <c r="N2274" i="5"/>
  <c r="V2274" i="5"/>
  <c r="S2274" i="5"/>
  <c r="N2275" i="5"/>
  <c r="S2275" i="5"/>
  <c r="N2276" i="5"/>
  <c r="W2276" i="5"/>
  <c r="S2276" i="5"/>
  <c r="N2277" i="5"/>
  <c r="S2277" i="5"/>
  <c r="N2278" i="5"/>
  <c r="V2278" i="5"/>
  <c r="S2278" i="5"/>
  <c r="N2279" i="5"/>
  <c r="S2279" i="5"/>
  <c r="N2280" i="5"/>
  <c r="V2280" i="5"/>
  <c r="S2280" i="5"/>
  <c r="N2281" i="5"/>
  <c r="V2281" i="5"/>
  <c r="S2281" i="5"/>
  <c r="N2282" i="5"/>
  <c r="S2282" i="5"/>
  <c r="N2283" i="5"/>
  <c r="S2283" i="5"/>
  <c r="N2284" i="5"/>
  <c r="S2284" i="5"/>
  <c r="N2285" i="5"/>
  <c r="V2285" i="5"/>
  <c r="S2285" i="5"/>
  <c r="N2286" i="5"/>
  <c r="S2286" i="5"/>
  <c r="N2287" i="5"/>
  <c r="S2287" i="5"/>
  <c r="N2288" i="5"/>
  <c r="S2288" i="5"/>
  <c r="N2289" i="5"/>
  <c r="S2289" i="5"/>
  <c r="N2290" i="5"/>
  <c r="V2290" i="5"/>
  <c r="S2290" i="5"/>
  <c r="N2291" i="5"/>
  <c r="S2291" i="5"/>
  <c r="N2292" i="5"/>
  <c r="V2292" i="5"/>
  <c r="S2292" i="5"/>
  <c r="N2293" i="5"/>
  <c r="S2293" i="5"/>
  <c r="N2294" i="5"/>
  <c r="V2294" i="5"/>
  <c r="S2294" i="5"/>
  <c r="N2295" i="5"/>
  <c r="S2295" i="5"/>
  <c r="N2296" i="5"/>
  <c r="S2296" i="5"/>
  <c r="N2297" i="5"/>
  <c r="W2297" i="5"/>
  <c r="S2297" i="5"/>
  <c r="N2298" i="5"/>
  <c r="S2298" i="5"/>
  <c r="N2299" i="5"/>
  <c r="W2299" i="5"/>
  <c r="S2299" i="5"/>
  <c r="N2300" i="5"/>
  <c r="W2300" i="5"/>
  <c r="S2300" i="5"/>
  <c r="N2301" i="5"/>
  <c r="W2301" i="5"/>
  <c r="S2301" i="5"/>
  <c r="N2302" i="5"/>
  <c r="V2302" i="5"/>
  <c r="S2302" i="5"/>
  <c r="N2303" i="5"/>
  <c r="S2303" i="5"/>
  <c r="N2304" i="5"/>
  <c r="S2304" i="5"/>
  <c r="N2305" i="5"/>
  <c r="W2305" i="5"/>
  <c r="S2305" i="5"/>
  <c r="N2306" i="5"/>
  <c r="S2306" i="5"/>
  <c r="N2307" i="5"/>
  <c r="S2307" i="5"/>
  <c r="N2308" i="5"/>
  <c r="S2308" i="5"/>
  <c r="N2309" i="5"/>
  <c r="V2309" i="5"/>
  <c r="S2309" i="5"/>
  <c r="N2310" i="5"/>
  <c r="V2310" i="5"/>
  <c r="S2310" i="5"/>
  <c r="N2311" i="5"/>
  <c r="W2311" i="5"/>
  <c r="S2311" i="5"/>
  <c r="N2312" i="5"/>
  <c r="W2312" i="5"/>
  <c r="S2312" i="5"/>
  <c r="N2313" i="5"/>
  <c r="W2313" i="5"/>
  <c r="S2313" i="5"/>
  <c r="N2314" i="5"/>
  <c r="S2314" i="5"/>
  <c r="N2315" i="5"/>
  <c r="S2315" i="5"/>
  <c r="N2316" i="5"/>
  <c r="S2316" i="5"/>
  <c r="N2317" i="5"/>
  <c r="W2317" i="5"/>
  <c r="S2317" i="5"/>
  <c r="N2318" i="5"/>
  <c r="S2318" i="5"/>
  <c r="N2319" i="5"/>
  <c r="S2319" i="5"/>
  <c r="N2320" i="5"/>
  <c r="S2320" i="5"/>
  <c r="N2321" i="5"/>
  <c r="S2321" i="5"/>
  <c r="N2322" i="5"/>
  <c r="V2322" i="5"/>
  <c r="S2322" i="5"/>
  <c r="N2323" i="5"/>
  <c r="W2323" i="5"/>
  <c r="S2323" i="5"/>
  <c r="N2324" i="5"/>
  <c r="V2324" i="5"/>
  <c r="S2324" i="5"/>
  <c r="N2325" i="5"/>
  <c r="V2325" i="5"/>
  <c r="S2325" i="5"/>
  <c r="N2326" i="5"/>
  <c r="S2326" i="5"/>
  <c r="N2327" i="5"/>
  <c r="S2327" i="5"/>
  <c r="N2328" i="5"/>
  <c r="V2328" i="5"/>
  <c r="S2328" i="5"/>
  <c r="N2329" i="5"/>
  <c r="W2329" i="5"/>
  <c r="S2329" i="5"/>
  <c r="N2330" i="5"/>
  <c r="S2330" i="5"/>
  <c r="N2331" i="5"/>
  <c r="W2331" i="5"/>
  <c r="S2331" i="5"/>
  <c r="N2332" i="5"/>
  <c r="W2332" i="5"/>
  <c r="S2332" i="5"/>
  <c r="N2333" i="5"/>
  <c r="W2333" i="5"/>
  <c r="S2333" i="5"/>
  <c r="N2334" i="5"/>
  <c r="V2334" i="5"/>
  <c r="S2334" i="5"/>
  <c r="N2335" i="5"/>
  <c r="S2335" i="5"/>
  <c r="N2336" i="5"/>
  <c r="W2336" i="5"/>
  <c r="S2336" i="5"/>
  <c r="N2337" i="5"/>
  <c r="S2337" i="5"/>
  <c r="N2338" i="5"/>
  <c r="S2338" i="5"/>
  <c r="N2339" i="5"/>
  <c r="S2339" i="5"/>
  <c r="N2340" i="5"/>
  <c r="S2340" i="5"/>
  <c r="N2341" i="5"/>
  <c r="S2341" i="5"/>
  <c r="N2342" i="5"/>
  <c r="S2342" i="5"/>
  <c r="N2343" i="5"/>
  <c r="S2343" i="5"/>
  <c r="N2344" i="5"/>
  <c r="V2344" i="5"/>
  <c r="S2344" i="5"/>
  <c r="N2345" i="5"/>
  <c r="S2345" i="5"/>
  <c r="N2346" i="5"/>
  <c r="S2346" i="5"/>
  <c r="N2347" i="5"/>
  <c r="S2347" i="5"/>
  <c r="N2348" i="5"/>
  <c r="S2348" i="5"/>
  <c r="N2349" i="5"/>
  <c r="S2349" i="5"/>
  <c r="N2350" i="5"/>
  <c r="S2350" i="5"/>
  <c r="N2351" i="5"/>
  <c r="W2351" i="5"/>
  <c r="S2351" i="5"/>
  <c r="N2355" i="5"/>
  <c r="S2355" i="5"/>
  <c r="N2356" i="5"/>
  <c r="S2356" i="5"/>
  <c r="N2357" i="5"/>
  <c r="S2357" i="5"/>
  <c r="N2358" i="5"/>
  <c r="S2358" i="5"/>
  <c r="N2359" i="5"/>
  <c r="S2359" i="5"/>
  <c r="N2360" i="5"/>
  <c r="S2360" i="5"/>
  <c r="N2361" i="5"/>
  <c r="W2361" i="5"/>
  <c r="S2361" i="5"/>
  <c r="N2362" i="5"/>
  <c r="S2362" i="5"/>
  <c r="N2363" i="5"/>
  <c r="V2363" i="5"/>
  <c r="S2363" i="5"/>
  <c r="N2364" i="5"/>
  <c r="S2364" i="5"/>
  <c r="N2365" i="5"/>
  <c r="S2365" i="5"/>
  <c r="N2366" i="5"/>
  <c r="W2366" i="5"/>
  <c r="S2366" i="5"/>
  <c r="N2367" i="5"/>
  <c r="V2367" i="5"/>
  <c r="S2367" i="5"/>
  <c r="N2368" i="5"/>
  <c r="S2368" i="5"/>
  <c r="N2369" i="5"/>
  <c r="S2369" i="5"/>
  <c r="N2370" i="5"/>
  <c r="S2370" i="5"/>
  <c r="N2371" i="5"/>
  <c r="S2371" i="5"/>
  <c r="N2372" i="5"/>
  <c r="S2372" i="5"/>
  <c r="N2373" i="5"/>
  <c r="S2373" i="5"/>
  <c r="N2374" i="5"/>
  <c r="S2374" i="5"/>
  <c r="N2375" i="5"/>
  <c r="W2375" i="5"/>
  <c r="S2375" i="5"/>
  <c r="N2376" i="5"/>
  <c r="S2376" i="5"/>
  <c r="N2377" i="5"/>
  <c r="S2377" i="5"/>
  <c r="N2381" i="5"/>
  <c r="S2381" i="5"/>
  <c r="N2383" i="5"/>
  <c r="V2383" i="5"/>
  <c r="S2383" i="5"/>
  <c r="N2384" i="5"/>
  <c r="S2384" i="5"/>
  <c r="N2385" i="5"/>
  <c r="S2385" i="5"/>
  <c r="N2386" i="5"/>
  <c r="S2386" i="5"/>
  <c r="N2387" i="5"/>
  <c r="S2387" i="5"/>
  <c r="N2388" i="5"/>
  <c r="S2388" i="5"/>
  <c r="N2389" i="5"/>
  <c r="S2389" i="5"/>
  <c r="N2390" i="5"/>
  <c r="V2390" i="5"/>
  <c r="S2390" i="5"/>
  <c r="N2391" i="5"/>
  <c r="S2391" i="5"/>
  <c r="N2392" i="5"/>
  <c r="S2392" i="5"/>
  <c r="N2393" i="5"/>
  <c r="W2393" i="5"/>
  <c r="S2393" i="5"/>
  <c r="N2394" i="5"/>
  <c r="S2394" i="5"/>
  <c r="N2395" i="5"/>
  <c r="S2395" i="5"/>
  <c r="N2396" i="5"/>
  <c r="S2396" i="5"/>
  <c r="N2397" i="5"/>
  <c r="V2397" i="5"/>
  <c r="S2397" i="5"/>
  <c r="N2398" i="5"/>
  <c r="S2398" i="5"/>
  <c r="N2399" i="5"/>
  <c r="V2399" i="5"/>
  <c r="S2399" i="5"/>
  <c r="N2400" i="5"/>
  <c r="W2400" i="5"/>
  <c r="S2400" i="5"/>
  <c r="N2401" i="5"/>
  <c r="W2401" i="5"/>
  <c r="S2401" i="5"/>
  <c r="N2402" i="5"/>
  <c r="S2402" i="5"/>
  <c r="N2403" i="5"/>
  <c r="S2403" i="5"/>
  <c r="N2404" i="5"/>
  <c r="V2404" i="5"/>
  <c r="S2404" i="5"/>
  <c r="N2405" i="5"/>
  <c r="S2405" i="5"/>
  <c r="N2406" i="5"/>
  <c r="S2406" i="5"/>
  <c r="N2407" i="5"/>
  <c r="S2407" i="5"/>
  <c r="N2408" i="5"/>
  <c r="S2408" i="5"/>
  <c r="N2409" i="5"/>
  <c r="W2409" i="5"/>
  <c r="S2409" i="5"/>
  <c r="N2410" i="5"/>
  <c r="S2410" i="5"/>
  <c r="N2411" i="5"/>
  <c r="S2411" i="5"/>
  <c r="N2412" i="5"/>
  <c r="W2412" i="5"/>
  <c r="S2412" i="5"/>
  <c r="N2413" i="5"/>
  <c r="V2413" i="5"/>
  <c r="S2413" i="5"/>
  <c r="N2414" i="5"/>
  <c r="S2414" i="5"/>
  <c r="N2415" i="5"/>
  <c r="V2415" i="5"/>
  <c r="S2415" i="5"/>
  <c r="N2416" i="5"/>
  <c r="S2416" i="5"/>
  <c r="N2417" i="5"/>
  <c r="W2417" i="5"/>
  <c r="S2417" i="5"/>
  <c r="N2418" i="5"/>
  <c r="S2418" i="5"/>
  <c r="N2419" i="5"/>
  <c r="W2419" i="5"/>
  <c r="S2419" i="5"/>
  <c r="N2420" i="5"/>
  <c r="S2420" i="5"/>
  <c r="N2421" i="5"/>
  <c r="W2421" i="5"/>
  <c r="S2421" i="5"/>
  <c r="N2422" i="5"/>
  <c r="S2422" i="5"/>
  <c r="N2423" i="5"/>
  <c r="V2423" i="5"/>
  <c r="S2423" i="5"/>
  <c r="N2424" i="5"/>
  <c r="V2424" i="5"/>
  <c r="S2424" i="5"/>
  <c r="N2425" i="5"/>
  <c r="S2425" i="5"/>
  <c r="N2426" i="5"/>
  <c r="S2426" i="5"/>
  <c r="N2427" i="5"/>
  <c r="W2427" i="5"/>
  <c r="S2427" i="5"/>
  <c r="N2428" i="5"/>
  <c r="V2428" i="5"/>
  <c r="S2428" i="5"/>
  <c r="N2429" i="5"/>
  <c r="V2429" i="5"/>
  <c r="S2429" i="5"/>
  <c r="N2430" i="5"/>
  <c r="S2430" i="5"/>
  <c r="N2431" i="5"/>
  <c r="S2431" i="5"/>
  <c r="N2432" i="5"/>
  <c r="S2432" i="5"/>
  <c r="N2433" i="5"/>
  <c r="S2433" i="5"/>
  <c r="N2434" i="5"/>
  <c r="S2434" i="5"/>
  <c r="N2435" i="5"/>
  <c r="S2435" i="5"/>
  <c r="N2436" i="5"/>
  <c r="S2436" i="5"/>
  <c r="N2437" i="5"/>
  <c r="V2437" i="5"/>
  <c r="S2437" i="5"/>
  <c r="N2438" i="5"/>
  <c r="S2438" i="5"/>
  <c r="N2439" i="5"/>
  <c r="S2439" i="5"/>
  <c r="N2440" i="5"/>
  <c r="S2440" i="5"/>
  <c r="N2441" i="5"/>
  <c r="S2441" i="5"/>
  <c r="N2442" i="5"/>
  <c r="S2442" i="5"/>
  <c r="N2443" i="5"/>
  <c r="S2443" i="5"/>
  <c r="N2444" i="5"/>
  <c r="S2444" i="5"/>
  <c r="N2445" i="5"/>
  <c r="S2445" i="5"/>
  <c r="N2446" i="5"/>
  <c r="S2446" i="5"/>
  <c r="N2447" i="5"/>
  <c r="S2447" i="5"/>
  <c r="N2448" i="5"/>
  <c r="S2448" i="5"/>
  <c r="N2449" i="5"/>
  <c r="W2449" i="5"/>
  <c r="S2449" i="5"/>
  <c r="N2450" i="5"/>
  <c r="S2450" i="5"/>
  <c r="N2451" i="5"/>
  <c r="S2451" i="5"/>
  <c r="N2452" i="5"/>
  <c r="S2452" i="5"/>
  <c r="N2453" i="5"/>
  <c r="S2453" i="5"/>
  <c r="N2454" i="5"/>
  <c r="S2454" i="5"/>
  <c r="N2455" i="5"/>
  <c r="V2455" i="5"/>
  <c r="S2455" i="5"/>
  <c r="N2456" i="5"/>
  <c r="S2456" i="5"/>
  <c r="N2457" i="5"/>
  <c r="S2457" i="5"/>
  <c r="N2458" i="5"/>
  <c r="W2458" i="5"/>
  <c r="S2458" i="5"/>
  <c r="N2459" i="5"/>
  <c r="S2459" i="5"/>
  <c r="N2460" i="5"/>
  <c r="S2460" i="5"/>
  <c r="N2461" i="5"/>
  <c r="S2461" i="5"/>
  <c r="N2462" i="5"/>
  <c r="W2462" i="5"/>
  <c r="S2462" i="5"/>
  <c r="N2463" i="5"/>
  <c r="S2463" i="5"/>
  <c r="N2464" i="5"/>
  <c r="W2464" i="5"/>
  <c r="S2464" i="5"/>
  <c r="N2465" i="5"/>
  <c r="S2465" i="5"/>
  <c r="N2466" i="5"/>
  <c r="V2466" i="5"/>
  <c r="S2466" i="5"/>
  <c r="N2467" i="5"/>
  <c r="S2467" i="5"/>
  <c r="N2468" i="5"/>
  <c r="S2468" i="5"/>
  <c r="N2469" i="5"/>
  <c r="V2469" i="5"/>
  <c r="S2469" i="5"/>
  <c r="N2470" i="5"/>
  <c r="S2470" i="5"/>
  <c r="N2471" i="5"/>
  <c r="V2471" i="5"/>
  <c r="S2471" i="5"/>
  <c r="N2472" i="5"/>
  <c r="W2472" i="5"/>
  <c r="S2472" i="5"/>
  <c r="N2473" i="5"/>
  <c r="S2473" i="5"/>
  <c r="N2474" i="5"/>
  <c r="W2474" i="5"/>
  <c r="S2474" i="5"/>
  <c r="N2475" i="5"/>
  <c r="V2475" i="5"/>
  <c r="S2475" i="5"/>
  <c r="N2476" i="5"/>
  <c r="V2476" i="5"/>
  <c r="S2476" i="5"/>
  <c r="N2477" i="5"/>
  <c r="S2477" i="5"/>
  <c r="N2478" i="5"/>
  <c r="S2478" i="5"/>
  <c r="N2479" i="5"/>
  <c r="V2479" i="5"/>
  <c r="S2479" i="5"/>
  <c r="N2483" i="5"/>
  <c r="V2483" i="5"/>
  <c r="S2483" i="5"/>
  <c r="N2484" i="5"/>
  <c r="S2484" i="5"/>
  <c r="N2485" i="5"/>
  <c r="S2485" i="5"/>
  <c r="N2486" i="5"/>
  <c r="S2486" i="5"/>
  <c r="N2487" i="5"/>
  <c r="V2487" i="5"/>
  <c r="S2487" i="5"/>
  <c r="N2488" i="5"/>
  <c r="S2488" i="5"/>
  <c r="N2489" i="5"/>
  <c r="V2489" i="5"/>
  <c r="S2489" i="5"/>
  <c r="N2490" i="5"/>
  <c r="W2490" i="5"/>
  <c r="S2490" i="5"/>
  <c r="N2491" i="5"/>
  <c r="V2491" i="5"/>
  <c r="S2491" i="5"/>
  <c r="N2492" i="5"/>
  <c r="S2492" i="5"/>
  <c r="N2493" i="5"/>
  <c r="S2493" i="5"/>
  <c r="N2494" i="5"/>
  <c r="W2494" i="5"/>
  <c r="S2494" i="5"/>
  <c r="N2495" i="5"/>
  <c r="W2495" i="5"/>
  <c r="S2495" i="5"/>
  <c r="N2496" i="5"/>
  <c r="S2496" i="5"/>
  <c r="N2497" i="5"/>
  <c r="S2497" i="5"/>
  <c r="N2498" i="5"/>
  <c r="S2498" i="5"/>
  <c r="N2499" i="5"/>
  <c r="V2499" i="5"/>
  <c r="S2499" i="5"/>
  <c r="N2500" i="5"/>
  <c r="V2500" i="5"/>
  <c r="S2500" i="5"/>
  <c r="N2501" i="5"/>
  <c r="V2501" i="5"/>
  <c r="S2501" i="5"/>
  <c r="N2502" i="5"/>
  <c r="S2502" i="5"/>
  <c r="N2503" i="5"/>
  <c r="V2503" i="5"/>
  <c r="S2503" i="5"/>
  <c r="N2504" i="5"/>
  <c r="S2504" i="5"/>
  <c r="N2505" i="5"/>
  <c r="W2505" i="5"/>
  <c r="S2505" i="5"/>
  <c r="N2509" i="5"/>
  <c r="S2509" i="5"/>
  <c r="N2511" i="5"/>
  <c r="S2511" i="5"/>
  <c r="N2512" i="5"/>
  <c r="S2512" i="5"/>
  <c r="N2513" i="5"/>
  <c r="S2513" i="5"/>
  <c r="N2514" i="5"/>
  <c r="S2514" i="5"/>
  <c r="N2515" i="5"/>
  <c r="S2515" i="5"/>
  <c r="N2516" i="5"/>
  <c r="S2516" i="5"/>
  <c r="N2517" i="5"/>
  <c r="S2517" i="5"/>
  <c r="N2518" i="5"/>
  <c r="W2518" i="5"/>
  <c r="S2518" i="5"/>
  <c r="N2519" i="5"/>
  <c r="S2519" i="5"/>
  <c r="N2520" i="5"/>
  <c r="S2520" i="5"/>
  <c r="N2521" i="5"/>
  <c r="V2521" i="5"/>
  <c r="S2521" i="5"/>
  <c r="N2522" i="5"/>
  <c r="S2522" i="5"/>
  <c r="N2523" i="5"/>
  <c r="W2523" i="5"/>
  <c r="S2523" i="5"/>
  <c r="N2524" i="5"/>
  <c r="V2524" i="5"/>
  <c r="S2524" i="5"/>
  <c r="N2525" i="5"/>
  <c r="S2525" i="5"/>
  <c r="N2526" i="5"/>
  <c r="V2526" i="5"/>
  <c r="S2526" i="5"/>
  <c r="N2527" i="5"/>
  <c r="S2527" i="5"/>
  <c r="N2528" i="5"/>
  <c r="S2528" i="5"/>
  <c r="N2529" i="5"/>
  <c r="W2529" i="5"/>
  <c r="S2529" i="5"/>
  <c r="N2530" i="5"/>
  <c r="S2530" i="5"/>
  <c r="N2531" i="5"/>
  <c r="S2531" i="5"/>
  <c r="N2532" i="5"/>
  <c r="W2532" i="5"/>
  <c r="S2532" i="5"/>
  <c r="N2533" i="5"/>
  <c r="S2533" i="5"/>
  <c r="N2534" i="5"/>
  <c r="S2534" i="5"/>
  <c r="N2535" i="5"/>
  <c r="S2535" i="5"/>
  <c r="N2536" i="5"/>
  <c r="S2536" i="5"/>
  <c r="N2537" i="5"/>
  <c r="S2537" i="5"/>
  <c r="N2538" i="5"/>
  <c r="S2538" i="5"/>
  <c r="N2539" i="5"/>
  <c r="S2539" i="5"/>
  <c r="N2540" i="5"/>
  <c r="V2540" i="5"/>
  <c r="S2540" i="5"/>
  <c r="N2541" i="5"/>
  <c r="S2541" i="5"/>
  <c r="N2542" i="5"/>
  <c r="W2542" i="5"/>
  <c r="S2542" i="5"/>
  <c r="N2543" i="5"/>
  <c r="S2543" i="5"/>
  <c r="N2544" i="5"/>
  <c r="S2544" i="5"/>
  <c r="N2545" i="5"/>
  <c r="W2545" i="5"/>
  <c r="S2545" i="5"/>
  <c r="N2546" i="5"/>
  <c r="S2546" i="5"/>
  <c r="N2547" i="5"/>
  <c r="S2547" i="5"/>
  <c r="N2548" i="5"/>
  <c r="S2548" i="5"/>
  <c r="N2549" i="5"/>
  <c r="S2549" i="5"/>
  <c r="N2550" i="5"/>
  <c r="S2550" i="5"/>
  <c r="N2551" i="5"/>
  <c r="S2551" i="5"/>
  <c r="N2552" i="5"/>
  <c r="S2552" i="5"/>
  <c r="N2553" i="5"/>
  <c r="W2553" i="5"/>
  <c r="S2553" i="5"/>
  <c r="N2554" i="5"/>
  <c r="S2554" i="5"/>
  <c r="N2555" i="5"/>
  <c r="S2555" i="5"/>
  <c r="N2556" i="5"/>
  <c r="S2556" i="5"/>
  <c r="N2557" i="5"/>
  <c r="S2557" i="5"/>
  <c r="N2558" i="5"/>
  <c r="S2558" i="5"/>
  <c r="N2559" i="5"/>
  <c r="S2559" i="5"/>
  <c r="N2560" i="5"/>
  <c r="S2560" i="5"/>
  <c r="N2561" i="5"/>
  <c r="W2561" i="5"/>
  <c r="S2561" i="5"/>
  <c r="N2562" i="5"/>
  <c r="S2562" i="5"/>
  <c r="N2563" i="5"/>
  <c r="S2563" i="5"/>
  <c r="N2564" i="5"/>
  <c r="S2564" i="5"/>
  <c r="N2565" i="5"/>
  <c r="W2565" i="5"/>
  <c r="S2565" i="5"/>
  <c r="N2566" i="5"/>
  <c r="V2566" i="5"/>
  <c r="S2566" i="5"/>
  <c r="N2567" i="5"/>
  <c r="S2567" i="5"/>
  <c r="N2568" i="5"/>
  <c r="V2568" i="5"/>
  <c r="S2568" i="5"/>
  <c r="N2569" i="5"/>
  <c r="W2569" i="5"/>
  <c r="S2569" i="5"/>
  <c r="N2570" i="5"/>
  <c r="V2570" i="5"/>
  <c r="S2570" i="5"/>
  <c r="N2571" i="5"/>
  <c r="S2571" i="5"/>
  <c r="N2572" i="5"/>
  <c r="S2572" i="5"/>
  <c r="N2573" i="5"/>
  <c r="W2573" i="5"/>
  <c r="S2573" i="5"/>
  <c r="N2574" i="5"/>
  <c r="S2574" i="5"/>
  <c r="N2575" i="5"/>
  <c r="S2575" i="5"/>
  <c r="N2576" i="5"/>
  <c r="S2576" i="5"/>
  <c r="N2577" i="5"/>
  <c r="S2577" i="5"/>
  <c r="N2578" i="5"/>
  <c r="S2578" i="5"/>
  <c r="N2579" i="5"/>
  <c r="S2579" i="5"/>
  <c r="N2580" i="5"/>
  <c r="S2580" i="5"/>
  <c r="N2581" i="5"/>
  <c r="W2581" i="5"/>
  <c r="S2581" i="5"/>
  <c r="N2582" i="5"/>
  <c r="S2582" i="5"/>
  <c r="N2583" i="5"/>
  <c r="S2583" i="5"/>
  <c r="N2584" i="5"/>
  <c r="S2584" i="5"/>
  <c r="N2585" i="5"/>
  <c r="S2585" i="5"/>
  <c r="N2586" i="5"/>
  <c r="V2586" i="5"/>
  <c r="S2586" i="5"/>
  <c r="N2587" i="5"/>
  <c r="S2587" i="5"/>
  <c r="N2588" i="5"/>
  <c r="S2588" i="5"/>
  <c r="N2589" i="5"/>
  <c r="S2589" i="5"/>
  <c r="N2590" i="5"/>
  <c r="S2590" i="5"/>
  <c r="N2591" i="5"/>
  <c r="S2591" i="5"/>
  <c r="N2592" i="5"/>
  <c r="V2592" i="5"/>
  <c r="S2592" i="5"/>
  <c r="N2593" i="5"/>
  <c r="W2593" i="5"/>
  <c r="S2593" i="5"/>
  <c r="N2594" i="5"/>
  <c r="V2594" i="5"/>
  <c r="S2594" i="5"/>
  <c r="N2595" i="5"/>
  <c r="S2595" i="5"/>
  <c r="N2596" i="5"/>
  <c r="S2596" i="5"/>
  <c r="N2597" i="5"/>
  <c r="S2597" i="5"/>
  <c r="N2598" i="5"/>
  <c r="V2598" i="5"/>
  <c r="S2598" i="5"/>
  <c r="N2599" i="5"/>
  <c r="S2599" i="5"/>
  <c r="N2600" i="5"/>
  <c r="W2600" i="5"/>
  <c r="S2600" i="5"/>
  <c r="N2601" i="5"/>
  <c r="S2601" i="5"/>
  <c r="N2602" i="5"/>
  <c r="V2602" i="5"/>
  <c r="S2602" i="5"/>
  <c r="N2603" i="5"/>
  <c r="S2603" i="5"/>
  <c r="N2604" i="5"/>
  <c r="S2604" i="5"/>
  <c r="N2605" i="5"/>
  <c r="W2605" i="5"/>
  <c r="S2605" i="5"/>
  <c r="N2606" i="5"/>
  <c r="W2606" i="5"/>
  <c r="S2606" i="5"/>
  <c r="N2607" i="5"/>
  <c r="S2607" i="5"/>
  <c r="N2611" i="5"/>
  <c r="V2611" i="5"/>
  <c r="S2611" i="5"/>
  <c r="N2612" i="5"/>
  <c r="S2612" i="5"/>
  <c r="N2613" i="5"/>
  <c r="V2613" i="5"/>
  <c r="S2613" i="5"/>
  <c r="N2614" i="5"/>
  <c r="S2614" i="5"/>
  <c r="N2615" i="5"/>
  <c r="V2615" i="5"/>
  <c r="S2615" i="5"/>
  <c r="N2616" i="5"/>
  <c r="S2616" i="5"/>
  <c r="N2617" i="5"/>
  <c r="V2617" i="5"/>
  <c r="S2617" i="5"/>
  <c r="N2618" i="5"/>
  <c r="S2618" i="5"/>
  <c r="N2619" i="5"/>
  <c r="S2619" i="5"/>
  <c r="N2620" i="5"/>
  <c r="W2620" i="5"/>
  <c r="S2620" i="5"/>
  <c r="N2621" i="5"/>
  <c r="S2621" i="5"/>
  <c r="N2622" i="5"/>
  <c r="S2622" i="5"/>
  <c r="N2623" i="5"/>
  <c r="W2623" i="5"/>
  <c r="S2623" i="5"/>
  <c r="N2624" i="5"/>
  <c r="S2624" i="5"/>
  <c r="N2625" i="5"/>
  <c r="S2625" i="5"/>
  <c r="N2626" i="5"/>
  <c r="S2626" i="5"/>
  <c r="N2627" i="5"/>
  <c r="S2627" i="5"/>
  <c r="N2628" i="5"/>
  <c r="W2628" i="5"/>
  <c r="S2628" i="5"/>
  <c r="N2629" i="5"/>
  <c r="S2629" i="5"/>
  <c r="N2630" i="5"/>
  <c r="S2630" i="5"/>
  <c r="N2631" i="5"/>
  <c r="V2631" i="5"/>
  <c r="S2631" i="5"/>
  <c r="N2632" i="5"/>
  <c r="W2632" i="5"/>
  <c r="S2632" i="5"/>
  <c r="N2633" i="5"/>
  <c r="S2633" i="5"/>
  <c r="N2637" i="5"/>
  <c r="S2637" i="5"/>
  <c r="N2639" i="5"/>
  <c r="S2639" i="5"/>
  <c r="N2640" i="5"/>
  <c r="W2640" i="5"/>
  <c r="S2640" i="5"/>
  <c r="N2641" i="5"/>
  <c r="W2641" i="5"/>
  <c r="S2641" i="5"/>
  <c r="N2642" i="5"/>
  <c r="S2642" i="5"/>
  <c r="N2643" i="5"/>
  <c r="S2643" i="5"/>
  <c r="N2644" i="5"/>
  <c r="W2644" i="5"/>
  <c r="S2644" i="5"/>
  <c r="N2645" i="5"/>
  <c r="W2645" i="5"/>
  <c r="S2645" i="5"/>
  <c r="N2646" i="5"/>
  <c r="S2646" i="5"/>
  <c r="N2647" i="5"/>
  <c r="S2647" i="5"/>
  <c r="N2648" i="5"/>
  <c r="S2648" i="5"/>
  <c r="N2649" i="5"/>
  <c r="S2649" i="5"/>
  <c r="N2650" i="5"/>
  <c r="S2650" i="5"/>
  <c r="N2651" i="5"/>
  <c r="S2651" i="5"/>
  <c r="N2652" i="5"/>
  <c r="S2652" i="5"/>
  <c r="N2653" i="5"/>
  <c r="V2653" i="5"/>
  <c r="S2653" i="5"/>
  <c r="N2654" i="5"/>
  <c r="S2654" i="5"/>
  <c r="N2655" i="5"/>
  <c r="S2655" i="5"/>
  <c r="N2656" i="5"/>
  <c r="S2656" i="5"/>
  <c r="N2657" i="5"/>
  <c r="S2657" i="5"/>
  <c r="N2658" i="5"/>
  <c r="W2658" i="5"/>
  <c r="S2658" i="5"/>
  <c r="N2659" i="5"/>
  <c r="V2659" i="5"/>
  <c r="S2659" i="5"/>
  <c r="N2660" i="5"/>
  <c r="S2660" i="5"/>
  <c r="N2661" i="5"/>
  <c r="V2661" i="5"/>
  <c r="S2661" i="5"/>
  <c r="N2662" i="5"/>
  <c r="S2662" i="5"/>
  <c r="N2663" i="5"/>
  <c r="S2663" i="5"/>
  <c r="N2664" i="5"/>
  <c r="S2664" i="5"/>
  <c r="N2665" i="5"/>
  <c r="S2665" i="5"/>
  <c r="N2666" i="5"/>
  <c r="S2666" i="5"/>
  <c r="N2667" i="5"/>
  <c r="S2667" i="5"/>
  <c r="N2668" i="5"/>
  <c r="S2668" i="5"/>
  <c r="N2669" i="5"/>
  <c r="V2669" i="5"/>
  <c r="S2669" i="5"/>
  <c r="N2670" i="5"/>
  <c r="S2670" i="5"/>
  <c r="N2671" i="5"/>
  <c r="W2671" i="5"/>
  <c r="S2671" i="5"/>
  <c r="N2672" i="5"/>
  <c r="S2672" i="5"/>
  <c r="N2673" i="5"/>
  <c r="S2673" i="5"/>
  <c r="N2674" i="5"/>
  <c r="W2674" i="5"/>
  <c r="S2674" i="5"/>
  <c r="N2675" i="5"/>
  <c r="W2675" i="5"/>
  <c r="S2675" i="5"/>
  <c r="N2676" i="5"/>
  <c r="S2676" i="5"/>
  <c r="N2677" i="5"/>
  <c r="W2677" i="5"/>
  <c r="S2677" i="5"/>
  <c r="N2678" i="5"/>
  <c r="S2678" i="5"/>
  <c r="N2679" i="5"/>
  <c r="V2679" i="5"/>
  <c r="S2679" i="5"/>
  <c r="N2680" i="5"/>
  <c r="S2680" i="5"/>
  <c r="N2681" i="5"/>
  <c r="V2681" i="5"/>
  <c r="S2681" i="5"/>
  <c r="N2682" i="5"/>
  <c r="W2682" i="5"/>
  <c r="S2682" i="5"/>
  <c r="N2683" i="5"/>
  <c r="W2683" i="5"/>
  <c r="S2683" i="5"/>
  <c r="N2684" i="5"/>
  <c r="S2684" i="5"/>
  <c r="N2685" i="5"/>
  <c r="V2685" i="5"/>
  <c r="S2685" i="5"/>
  <c r="N2686" i="5"/>
  <c r="W2686" i="5"/>
  <c r="S2686" i="5"/>
  <c r="N2687" i="5"/>
  <c r="S2687" i="5"/>
  <c r="N2688" i="5"/>
  <c r="S2688" i="5"/>
  <c r="N2689" i="5"/>
  <c r="S2689" i="5"/>
  <c r="N2690" i="5"/>
  <c r="S2690" i="5"/>
  <c r="N2691" i="5"/>
  <c r="S2691" i="5"/>
  <c r="N2692" i="5"/>
  <c r="S2692" i="5"/>
  <c r="N2693" i="5"/>
  <c r="W2693" i="5"/>
  <c r="S2693" i="5"/>
  <c r="N2694" i="5"/>
  <c r="S2694" i="5"/>
  <c r="N2695" i="5"/>
  <c r="S2695" i="5"/>
  <c r="N2696" i="5"/>
  <c r="S2696" i="5"/>
  <c r="N2697" i="5"/>
  <c r="S2697" i="5"/>
  <c r="N2698" i="5"/>
  <c r="S2698" i="5"/>
  <c r="N2699" i="5"/>
  <c r="V2699" i="5"/>
  <c r="S2699" i="5"/>
  <c r="N2700" i="5"/>
  <c r="S2700" i="5"/>
  <c r="N2701" i="5"/>
  <c r="S2701" i="5"/>
  <c r="N2702" i="5"/>
  <c r="S2702" i="5"/>
  <c r="N2703" i="5"/>
  <c r="W2703" i="5"/>
  <c r="S2703" i="5"/>
  <c r="N2704" i="5"/>
  <c r="S2704" i="5"/>
  <c r="N2705" i="5"/>
  <c r="S2705" i="5"/>
  <c r="N2706" i="5"/>
  <c r="W2706" i="5"/>
  <c r="S2706" i="5"/>
  <c r="N2707" i="5"/>
  <c r="S2707" i="5"/>
  <c r="N2708" i="5"/>
  <c r="S2708" i="5"/>
  <c r="N2709" i="5"/>
  <c r="S2709" i="5"/>
  <c r="N2710" i="5"/>
  <c r="S2710" i="5"/>
  <c r="N2711" i="5"/>
  <c r="S2711" i="5"/>
  <c r="N2712" i="5"/>
  <c r="S2712" i="5"/>
  <c r="N2713" i="5"/>
  <c r="S2713" i="5"/>
  <c r="N2714" i="5"/>
  <c r="W2714" i="5"/>
  <c r="S2714" i="5"/>
  <c r="N2715" i="5"/>
  <c r="S2715" i="5"/>
  <c r="N2716" i="5"/>
  <c r="S2716" i="5"/>
  <c r="N2717" i="5"/>
  <c r="S2717" i="5"/>
  <c r="N2718" i="5"/>
  <c r="S2718" i="5"/>
  <c r="N2719" i="5"/>
  <c r="S2719" i="5"/>
  <c r="N2720" i="5"/>
  <c r="S2720" i="5"/>
  <c r="N2721" i="5"/>
  <c r="S2721" i="5"/>
  <c r="N2722" i="5"/>
  <c r="S2722" i="5"/>
  <c r="N2723" i="5"/>
  <c r="W2723" i="5"/>
  <c r="S2723" i="5"/>
  <c r="N2724" i="5"/>
  <c r="S2724" i="5"/>
  <c r="N2725" i="5"/>
  <c r="V2725" i="5"/>
  <c r="S2725" i="5"/>
  <c r="N2726" i="5"/>
  <c r="S2726" i="5"/>
  <c r="N2727" i="5"/>
  <c r="S2727" i="5"/>
  <c r="N2728" i="5"/>
  <c r="S2728" i="5"/>
  <c r="N2729" i="5"/>
  <c r="S2729" i="5"/>
  <c r="N2730" i="5"/>
  <c r="W2730" i="5"/>
  <c r="S2730" i="5"/>
  <c r="N2731" i="5"/>
  <c r="W2731" i="5"/>
  <c r="S2731" i="5"/>
  <c r="N2732" i="5"/>
  <c r="S2732" i="5"/>
  <c r="N2733" i="5"/>
  <c r="V2733" i="5"/>
  <c r="S2733" i="5"/>
  <c r="N2734" i="5"/>
  <c r="W2734" i="5"/>
  <c r="S2734" i="5"/>
  <c r="N2735" i="5"/>
  <c r="S2735" i="5"/>
  <c r="N2741" i="5"/>
  <c r="W2741" i="5"/>
  <c r="S2741" i="5"/>
  <c r="N2742" i="5"/>
  <c r="V2742" i="5"/>
  <c r="S2742" i="5"/>
  <c r="N2743" i="5"/>
  <c r="S2743" i="5"/>
  <c r="N2744" i="5"/>
  <c r="V2744" i="5"/>
  <c r="S2744" i="5"/>
  <c r="N2745" i="5"/>
  <c r="S2745" i="5"/>
  <c r="N2746" i="5"/>
  <c r="W2746" i="5"/>
  <c r="S2746" i="5"/>
  <c r="N2747" i="5"/>
  <c r="S2747" i="5"/>
  <c r="N2748" i="5"/>
  <c r="S2748" i="5"/>
  <c r="N2749" i="5"/>
  <c r="S2749" i="5"/>
  <c r="N2750" i="5"/>
  <c r="W2750" i="5"/>
  <c r="S2750" i="5"/>
  <c r="N2751" i="5"/>
  <c r="S2751" i="5"/>
  <c r="N2752" i="5"/>
  <c r="S2752" i="5"/>
  <c r="N2753" i="5"/>
  <c r="S2753" i="5"/>
  <c r="N2754" i="5"/>
  <c r="S2754" i="5"/>
  <c r="N2755" i="5"/>
  <c r="S2755" i="5"/>
  <c r="N2756" i="5"/>
  <c r="V2756" i="5"/>
  <c r="S2756" i="5"/>
  <c r="N2757" i="5"/>
  <c r="W2757" i="5"/>
  <c r="S2757" i="5"/>
  <c r="N2758" i="5"/>
  <c r="S2758" i="5"/>
  <c r="N2759" i="5"/>
  <c r="S2759" i="5"/>
  <c r="N2760" i="5"/>
  <c r="S2760" i="5"/>
  <c r="N2761" i="5"/>
  <c r="S2761" i="5"/>
  <c r="N2765" i="5"/>
  <c r="W2765" i="5"/>
  <c r="S2765" i="5"/>
  <c r="N2767" i="5"/>
  <c r="S2767" i="5"/>
  <c r="N2768" i="5"/>
  <c r="S2768" i="5"/>
  <c r="N2769" i="5"/>
  <c r="S2769" i="5"/>
  <c r="N2770" i="5"/>
  <c r="S2770" i="5"/>
  <c r="N2771" i="5"/>
  <c r="S2771" i="5"/>
  <c r="N2772" i="5"/>
  <c r="V2772" i="5"/>
  <c r="S2772" i="5"/>
  <c r="N2773" i="5"/>
  <c r="W2773" i="5"/>
  <c r="S2773" i="5"/>
  <c r="N2774" i="5"/>
  <c r="S2774" i="5"/>
  <c r="N2775" i="5"/>
  <c r="S2775" i="5"/>
  <c r="N2776" i="5"/>
  <c r="V2776" i="5"/>
  <c r="S2776" i="5"/>
  <c r="N2777" i="5"/>
  <c r="W2777" i="5"/>
  <c r="S2777" i="5"/>
  <c r="N2778" i="5"/>
  <c r="S2778" i="5"/>
  <c r="N2779" i="5"/>
  <c r="V2779" i="5"/>
  <c r="S2779" i="5"/>
  <c r="N2780" i="5"/>
  <c r="V2780" i="5"/>
  <c r="S2780" i="5"/>
  <c r="N2781" i="5"/>
  <c r="S2781" i="5"/>
  <c r="N2782" i="5"/>
  <c r="S2782" i="5"/>
  <c r="N2783" i="5"/>
  <c r="S2783" i="5"/>
  <c r="N2784" i="5"/>
  <c r="S2784" i="5"/>
  <c r="N2785" i="5"/>
  <c r="S2785" i="5"/>
  <c r="N2786" i="5"/>
  <c r="S2786" i="5"/>
  <c r="N2787" i="5"/>
  <c r="S2787" i="5"/>
  <c r="N2788" i="5"/>
  <c r="V2788" i="5"/>
  <c r="S2788" i="5"/>
  <c r="N2789" i="5"/>
  <c r="S2789" i="5"/>
  <c r="N2790" i="5"/>
  <c r="S2790" i="5"/>
  <c r="N2791" i="5"/>
  <c r="S2791" i="5"/>
  <c r="N2792" i="5"/>
  <c r="W2792" i="5"/>
  <c r="S2792" i="5"/>
  <c r="N2793" i="5"/>
  <c r="S2793" i="5"/>
  <c r="N2794" i="5"/>
  <c r="V2794" i="5"/>
  <c r="S2794" i="5"/>
  <c r="N2795" i="5"/>
  <c r="S2795" i="5"/>
  <c r="N2796" i="5"/>
  <c r="S2796" i="5"/>
  <c r="N2797" i="5"/>
  <c r="S2797" i="5"/>
  <c r="N2798" i="5"/>
  <c r="S2798" i="5"/>
  <c r="N2799" i="5"/>
  <c r="S2799" i="5"/>
  <c r="N2800" i="5"/>
  <c r="S2800" i="5"/>
  <c r="N2801" i="5"/>
  <c r="S2801" i="5"/>
  <c r="N2802" i="5"/>
  <c r="S2802" i="5"/>
  <c r="N2803" i="5"/>
  <c r="W2803" i="5"/>
  <c r="S2803" i="5"/>
  <c r="N2804" i="5"/>
  <c r="W2804" i="5"/>
  <c r="S2804" i="5"/>
  <c r="N2805" i="5"/>
  <c r="S2805" i="5"/>
  <c r="N2806" i="5"/>
  <c r="S2806" i="5"/>
  <c r="N2807" i="5"/>
  <c r="S2807" i="5"/>
  <c r="N2808" i="5"/>
  <c r="S2808" i="5"/>
  <c r="N2809" i="5"/>
  <c r="S2809" i="5"/>
  <c r="N2810" i="5"/>
  <c r="S2810" i="5"/>
  <c r="N2811" i="5"/>
  <c r="W2811" i="5"/>
  <c r="S2811" i="5"/>
  <c r="N2812" i="5"/>
  <c r="V2812" i="5"/>
  <c r="S2812" i="5"/>
  <c r="N2813" i="5"/>
  <c r="S2813" i="5"/>
  <c r="N2814" i="5"/>
  <c r="W2814" i="5"/>
  <c r="S2814" i="5"/>
  <c r="N2815" i="5"/>
  <c r="S2815" i="5"/>
  <c r="N2816" i="5"/>
  <c r="W2816" i="5"/>
  <c r="S2816" i="5"/>
  <c r="N2817" i="5"/>
  <c r="S2817" i="5"/>
  <c r="N2818" i="5"/>
  <c r="S2818" i="5"/>
  <c r="N2819" i="5"/>
  <c r="S2819" i="5"/>
  <c r="N2820" i="5"/>
  <c r="V2820" i="5"/>
  <c r="S2820" i="5"/>
  <c r="N2821" i="5"/>
  <c r="S2821" i="5"/>
  <c r="N2822" i="5"/>
  <c r="W2822" i="5"/>
  <c r="S2822" i="5"/>
  <c r="N2823" i="5"/>
  <c r="W2823" i="5"/>
  <c r="S2823" i="5"/>
  <c r="N2824" i="5"/>
  <c r="W2824" i="5"/>
  <c r="S2824" i="5"/>
  <c r="N2825" i="5"/>
  <c r="S2825" i="5"/>
  <c r="N2826" i="5"/>
  <c r="S2826" i="5"/>
  <c r="N2827" i="5"/>
  <c r="S2827" i="5"/>
  <c r="N2828" i="5"/>
  <c r="S2828" i="5"/>
  <c r="N2829" i="5"/>
  <c r="S2829" i="5"/>
  <c r="N2830" i="5"/>
  <c r="W2830" i="5"/>
  <c r="S2830" i="5"/>
  <c r="N2831" i="5"/>
  <c r="S2831" i="5"/>
  <c r="N2832" i="5"/>
  <c r="S2832" i="5"/>
  <c r="N2833" i="5"/>
  <c r="S2833" i="5"/>
  <c r="N2834" i="5"/>
  <c r="V2834" i="5"/>
  <c r="S2834" i="5"/>
  <c r="N2835" i="5"/>
  <c r="S2835" i="5"/>
  <c r="N2836" i="5"/>
  <c r="V2836" i="5"/>
  <c r="S2836" i="5"/>
  <c r="N2837" i="5"/>
  <c r="S2837" i="5"/>
  <c r="N2838" i="5"/>
  <c r="S2838" i="5"/>
  <c r="N2839" i="5"/>
  <c r="S2839" i="5"/>
  <c r="N2840" i="5"/>
  <c r="S2840" i="5"/>
  <c r="N2841" i="5"/>
  <c r="S2841" i="5"/>
  <c r="N2842" i="5"/>
  <c r="S2842" i="5"/>
  <c r="N2843" i="5"/>
  <c r="S2843" i="5"/>
  <c r="N2844" i="5"/>
  <c r="W2844" i="5"/>
  <c r="S2844" i="5"/>
  <c r="N2845" i="5"/>
  <c r="S2845" i="5"/>
  <c r="N2846" i="5"/>
  <c r="S2846" i="5"/>
  <c r="N2847" i="5"/>
  <c r="S2847" i="5"/>
  <c r="N2848" i="5"/>
  <c r="S2848" i="5"/>
  <c r="N2849" i="5"/>
  <c r="S2849" i="5"/>
  <c r="N2850" i="5"/>
  <c r="V2850" i="5"/>
  <c r="S2850" i="5"/>
  <c r="N2851" i="5"/>
  <c r="V2851" i="5"/>
  <c r="S2851" i="5"/>
  <c r="N2852" i="5"/>
  <c r="V2852" i="5"/>
  <c r="S2852" i="5"/>
  <c r="N2853" i="5"/>
  <c r="S2853" i="5"/>
  <c r="N2854" i="5"/>
  <c r="V2854" i="5"/>
  <c r="S2854" i="5"/>
  <c r="N2855" i="5"/>
  <c r="S2855" i="5"/>
  <c r="N2856" i="5"/>
  <c r="V2856" i="5"/>
  <c r="S2856" i="5"/>
  <c r="N2857" i="5"/>
  <c r="S2857" i="5"/>
  <c r="N2858" i="5"/>
  <c r="S2858" i="5"/>
  <c r="N2859" i="5"/>
  <c r="V2859" i="5"/>
  <c r="S2859" i="5"/>
  <c r="N2860" i="5"/>
  <c r="S2860" i="5"/>
  <c r="N2861" i="5"/>
  <c r="S2861" i="5"/>
  <c r="N2862" i="5"/>
  <c r="S2862" i="5"/>
  <c r="N2863" i="5"/>
  <c r="W2863" i="5"/>
  <c r="S2863" i="5"/>
  <c r="N2867" i="5"/>
  <c r="S2867" i="5"/>
  <c r="N2868" i="5"/>
  <c r="S2868" i="5"/>
  <c r="N2869" i="5"/>
  <c r="V2869" i="5"/>
  <c r="S2869" i="5"/>
  <c r="N2870" i="5"/>
  <c r="V2870" i="5"/>
  <c r="S2870" i="5"/>
  <c r="N2871" i="5"/>
  <c r="W2871" i="5"/>
  <c r="S2871" i="5"/>
  <c r="N2872" i="5"/>
  <c r="S2872" i="5"/>
  <c r="N2873" i="5"/>
  <c r="S2873" i="5"/>
  <c r="N2874" i="5"/>
  <c r="S2874" i="5"/>
  <c r="N2875" i="5"/>
  <c r="S2875" i="5"/>
  <c r="N2876" i="5"/>
  <c r="S2876" i="5"/>
  <c r="N2877" i="5"/>
  <c r="S2877" i="5"/>
  <c r="N2878" i="5"/>
  <c r="S2878" i="5"/>
  <c r="N2879" i="5"/>
  <c r="S2879" i="5"/>
  <c r="N2880" i="5"/>
  <c r="S2880" i="5"/>
  <c r="N2881" i="5"/>
  <c r="S2881" i="5"/>
  <c r="N2882" i="5"/>
  <c r="S2882" i="5"/>
  <c r="N2883" i="5"/>
  <c r="V2883" i="5"/>
  <c r="S2883" i="5"/>
  <c r="N2884" i="5"/>
  <c r="S2884" i="5"/>
  <c r="N2885" i="5"/>
  <c r="S2885" i="5"/>
  <c r="N2886" i="5"/>
  <c r="S2886" i="5"/>
  <c r="N2887" i="5"/>
  <c r="V2887" i="5"/>
  <c r="S2887" i="5"/>
  <c r="N2888" i="5"/>
  <c r="S2888" i="5"/>
  <c r="N2889" i="5"/>
  <c r="S2889" i="5"/>
  <c r="N2893" i="5"/>
  <c r="V2893" i="5"/>
  <c r="S2893" i="5"/>
  <c r="N2895" i="5"/>
  <c r="W2895" i="5"/>
  <c r="S2895" i="5"/>
  <c r="N2896" i="5"/>
  <c r="S2896" i="5"/>
  <c r="N2897" i="5"/>
  <c r="S2897" i="5"/>
  <c r="N2898" i="5"/>
  <c r="S2898" i="5"/>
  <c r="N2899" i="5"/>
  <c r="V2899" i="5"/>
  <c r="S2899" i="5"/>
  <c r="N2900" i="5"/>
  <c r="S2900" i="5"/>
  <c r="N2901" i="5"/>
  <c r="V2901" i="5"/>
  <c r="S2901" i="5"/>
  <c r="N2902" i="5"/>
  <c r="S2902" i="5"/>
  <c r="N2903" i="5"/>
  <c r="S2903" i="5"/>
  <c r="N2904" i="5"/>
  <c r="S2904" i="5"/>
  <c r="N2905" i="5"/>
  <c r="S2905" i="5"/>
  <c r="N2906" i="5"/>
  <c r="V2906" i="5"/>
  <c r="S2906" i="5"/>
  <c r="N2907" i="5"/>
  <c r="S2907" i="5"/>
  <c r="N2908" i="5"/>
  <c r="S2908" i="5"/>
  <c r="N2909" i="5"/>
  <c r="W2909" i="5"/>
  <c r="S2909" i="5"/>
  <c r="N2910" i="5"/>
  <c r="V2910" i="5"/>
  <c r="S2910" i="5"/>
  <c r="N2911" i="5"/>
  <c r="S2911" i="5"/>
  <c r="N2912" i="5"/>
  <c r="W2912" i="5"/>
  <c r="S2912" i="5"/>
  <c r="N2913" i="5"/>
  <c r="W2913" i="5"/>
  <c r="S2913" i="5"/>
  <c r="N2914" i="5"/>
  <c r="S2914" i="5"/>
  <c r="N2915" i="5"/>
  <c r="W2915" i="5"/>
  <c r="S2915" i="5"/>
  <c r="N2916" i="5"/>
  <c r="S2916" i="5"/>
  <c r="N2917" i="5"/>
  <c r="V2917" i="5"/>
  <c r="S2917" i="5"/>
  <c r="N2918" i="5"/>
  <c r="V2918" i="5"/>
  <c r="S2918" i="5"/>
  <c r="N2919" i="5"/>
  <c r="W2919" i="5"/>
  <c r="S2919" i="5"/>
  <c r="N2920" i="5"/>
  <c r="S2920" i="5"/>
  <c r="N2921" i="5"/>
  <c r="V2921" i="5"/>
  <c r="S2921" i="5"/>
  <c r="N2922" i="5"/>
  <c r="V2922" i="5"/>
  <c r="S2922" i="5"/>
  <c r="N2923" i="5"/>
  <c r="W2923" i="5"/>
  <c r="S2923" i="5"/>
  <c r="N2924" i="5"/>
  <c r="S2924" i="5"/>
  <c r="N2925" i="5"/>
  <c r="S2925" i="5"/>
  <c r="N2926" i="5"/>
  <c r="V2926" i="5"/>
  <c r="S2926" i="5"/>
  <c r="N2927" i="5"/>
  <c r="V2927" i="5"/>
  <c r="S2927" i="5"/>
  <c r="N2928" i="5"/>
  <c r="S2928" i="5"/>
  <c r="N2929" i="5"/>
  <c r="S2929" i="5"/>
  <c r="N2930" i="5"/>
  <c r="V2930" i="5"/>
  <c r="S2930" i="5"/>
  <c r="N2931" i="5"/>
  <c r="S2931" i="5"/>
  <c r="N2932" i="5"/>
  <c r="S2932" i="5"/>
  <c r="N2933" i="5"/>
  <c r="S2933" i="5"/>
  <c r="N2934" i="5"/>
  <c r="S2934" i="5"/>
  <c r="N2935" i="5"/>
  <c r="W2935" i="5"/>
  <c r="S2935" i="5"/>
  <c r="N2936" i="5"/>
  <c r="S2936" i="5"/>
  <c r="N2937" i="5"/>
  <c r="V2937" i="5"/>
  <c r="S2937" i="5"/>
  <c r="N2938" i="5"/>
  <c r="V2938" i="5"/>
  <c r="S2938" i="5"/>
  <c r="N2939" i="5"/>
  <c r="S2939" i="5"/>
  <c r="N2940" i="5"/>
  <c r="W2940" i="5"/>
  <c r="S2940" i="5"/>
  <c r="N2941" i="5"/>
  <c r="V2941" i="5"/>
  <c r="S2941" i="5"/>
  <c r="N2942" i="5"/>
  <c r="S2942" i="5"/>
  <c r="N2943" i="5"/>
  <c r="S2943" i="5"/>
  <c r="N2944" i="5"/>
  <c r="V2944" i="5"/>
  <c r="S2944" i="5"/>
  <c r="N2945" i="5"/>
  <c r="W2945" i="5"/>
  <c r="S2945" i="5"/>
  <c r="N2946" i="5"/>
  <c r="S2946" i="5"/>
  <c r="N2947" i="5"/>
  <c r="S2947" i="5"/>
  <c r="N2948" i="5"/>
  <c r="S2948" i="5"/>
  <c r="N2949" i="5"/>
  <c r="W2949" i="5"/>
  <c r="S2949" i="5"/>
  <c r="N2950" i="5"/>
  <c r="V2950" i="5"/>
  <c r="S2950" i="5"/>
  <c r="N2951" i="5"/>
  <c r="S2951" i="5"/>
  <c r="N2952" i="5"/>
  <c r="S2952" i="5"/>
  <c r="N2953" i="5"/>
  <c r="W2953" i="5"/>
  <c r="S2953" i="5"/>
  <c r="N2954" i="5"/>
  <c r="V2954" i="5"/>
  <c r="S2954" i="5"/>
  <c r="N2955" i="5"/>
  <c r="S2955" i="5"/>
  <c r="N2956" i="5"/>
  <c r="S2956" i="5"/>
  <c r="N2957" i="5"/>
  <c r="V2957" i="5"/>
  <c r="S2957" i="5"/>
  <c r="N2958" i="5"/>
  <c r="S2958" i="5"/>
  <c r="N2959" i="5"/>
  <c r="V2959" i="5"/>
  <c r="S2959" i="5"/>
  <c r="N2960" i="5"/>
  <c r="V2960" i="5"/>
  <c r="S2960" i="5"/>
  <c r="N2961" i="5"/>
  <c r="W2961" i="5"/>
  <c r="S2961" i="5"/>
  <c r="N2962" i="5"/>
  <c r="S2962" i="5"/>
  <c r="N2963" i="5"/>
  <c r="V2963" i="5"/>
  <c r="S2963" i="5"/>
  <c r="N2964" i="5"/>
  <c r="W2964" i="5"/>
  <c r="S2964" i="5"/>
  <c r="N2965" i="5"/>
  <c r="V2965" i="5"/>
  <c r="S2965" i="5"/>
  <c r="N2966" i="5"/>
  <c r="S2966" i="5"/>
  <c r="N2967" i="5"/>
  <c r="V2967" i="5"/>
  <c r="S2967" i="5"/>
  <c r="N2968" i="5"/>
  <c r="V2968" i="5"/>
  <c r="S2968" i="5"/>
  <c r="N2969" i="5"/>
  <c r="S2969" i="5"/>
  <c r="N2970" i="5"/>
  <c r="S2970" i="5"/>
  <c r="N2971" i="5"/>
  <c r="W2971" i="5"/>
  <c r="S2971" i="5"/>
  <c r="N2972" i="5"/>
  <c r="S2972" i="5"/>
  <c r="N2973" i="5"/>
  <c r="V2973" i="5"/>
  <c r="S2973" i="5"/>
  <c r="N2974" i="5"/>
  <c r="V2974" i="5"/>
  <c r="S2974" i="5"/>
  <c r="N2975" i="5"/>
  <c r="S2975" i="5"/>
  <c r="N2976" i="5"/>
  <c r="V2976" i="5"/>
  <c r="S2976" i="5"/>
  <c r="N2977" i="5"/>
  <c r="V2977" i="5"/>
  <c r="S2977" i="5"/>
  <c r="N2978" i="5"/>
  <c r="S2978" i="5"/>
  <c r="N2979" i="5"/>
  <c r="V2979" i="5"/>
  <c r="S2979" i="5"/>
  <c r="N2980" i="5"/>
  <c r="S2980" i="5"/>
  <c r="N2981" i="5"/>
  <c r="S2981" i="5"/>
  <c r="N2982" i="5"/>
  <c r="V2982" i="5"/>
  <c r="S2982" i="5"/>
  <c r="N2983" i="5"/>
  <c r="V2983" i="5"/>
  <c r="S2983" i="5"/>
  <c r="N2984" i="5"/>
  <c r="V2984" i="5"/>
  <c r="S2984" i="5"/>
  <c r="N2985" i="5"/>
  <c r="W2985" i="5"/>
  <c r="S2985" i="5"/>
  <c r="N2986" i="5"/>
  <c r="V2986" i="5"/>
  <c r="S2986" i="5"/>
  <c r="N2987" i="5"/>
  <c r="V2987" i="5"/>
  <c r="S2987" i="5"/>
  <c r="N2988" i="5"/>
  <c r="S2988" i="5"/>
  <c r="N2989" i="5"/>
  <c r="S2989" i="5"/>
  <c r="N2990" i="5"/>
  <c r="V2990" i="5"/>
  <c r="S2990" i="5"/>
  <c r="N2991" i="5"/>
  <c r="S2991" i="5"/>
  <c r="N2995" i="5"/>
  <c r="S2995" i="5"/>
  <c r="N2996" i="5"/>
  <c r="W2996" i="5"/>
  <c r="S2996" i="5"/>
  <c r="N2997" i="5"/>
  <c r="V2997" i="5"/>
  <c r="S2997" i="5"/>
  <c r="N2998" i="5"/>
  <c r="V2998" i="5"/>
  <c r="S2998" i="5"/>
  <c r="N2999" i="5"/>
  <c r="S2999" i="5"/>
  <c r="N3000" i="5"/>
  <c r="S3000" i="5"/>
  <c r="N3001" i="5"/>
  <c r="V3001" i="5"/>
  <c r="S3001" i="5"/>
  <c r="N3002" i="5"/>
  <c r="V3002" i="5"/>
  <c r="S3002" i="5"/>
  <c r="N3003" i="5"/>
  <c r="S3003" i="5"/>
  <c r="N3004" i="5"/>
  <c r="V3004" i="5"/>
  <c r="S3004" i="5"/>
  <c r="N3005" i="5"/>
  <c r="S3005" i="5"/>
  <c r="N3006" i="5"/>
  <c r="V3006" i="5"/>
  <c r="S3006" i="5"/>
  <c r="N3007" i="5"/>
  <c r="S3007" i="5"/>
  <c r="N3008" i="5"/>
  <c r="V3008" i="5"/>
  <c r="S3008" i="5"/>
  <c r="N3009" i="5"/>
  <c r="V3009" i="5"/>
  <c r="S3009" i="5"/>
  <c r="N3010" i="5"/>
  <c r="S3010" i="5"/>
  <c r="N3011" i="5"/>
  <c r="S3011" i="5"/>
  <c r="N3012" i="5"/>
  <c r="W3012" i="5"/>
  <c r="S3012" i="5"/>
  <c r="N3013" i="5"/>
  <c r="W3013" i="5"/>
  <c r="S3013" i="5"/>
  <c r="N3014" i="5"/>
  <c r="V3014" i="5"/>
  <c r="S3014" i="5"/>
  <c r="N3015" i="5"/>
  <c r="S3015" i="5"/>
  <c r="N3016" i="5"/>
  <c r="V3016" i="5"/>
  <c r="S3016" i="5"/>
  <c r="N3017" i="5"/>
  <c r="S3017" i="5"/>
  <c r="N3019" i="5"/>
  <c r="S3019" i="5"/>
  <c r="N3021" i="5"/>
  <c r="W3021" i="5"/>
  <c r="S3021" i="5"/>
  <c r="N3022" i="5"/>
  <c r="S3022" i="5"/>
  <c r="N3023" i="5"/>
  <c r="W3023" i="5"/>
  <c r="S3023" i="5"/>
  <c r="N3024" i="5"/>
  <c r="V3024" i="5"/>
  <c r="S3024" i="5"/>
  <c r="N3025" i="5"/>
  <c r="S3025" i="5"/>
  <c r="N3026" i="5"/>
  <c r="S3026" i="5"/>
  <c r="N3027" i="5"/>
  <c r="V3027" i="5"/>
  <c r="S3027" i="5"/>
  <c r="N3028" i="5"/>
  <c r="V3028" i="5"/>
  <c r="S3028" i="5"/>
  <c r="N3029" i="5"/>
  <c r="S3029" i="5"/>
  <c r="N3030" i="5"/>
  <c r="V3030" i="5"/>
  <c r="S3030" i="5"/>
  <c r="N3031" i="5"/>
  <c r="W3031" i="5"/>
  <c r="S3031" i="5"/>
  <c r="N3032" i="5"/>
  <c r="S3032" i="5"/>
  <c r="N3033" i="5"/>
  <c r="W3033" i="5"/>
  <c r="S3033" i="5"/>
  <c r="N3034" i="5"/>
  <c r="S3034" i="5"/>
  <c r="N3035" i="5"/>
  <c r="S3035" i="5"/>
  <c r="N3036" i="5"/>
  <c r="S3036" i="5"/>
  <c r="N3037" i="5"/>
  <c r="S3037" i="5"/>
  <c r="N3038" i="5"/>
  <c r="S3038" i="5"/>
  <c r="N3039" i="5"/>
  <c r="V3039" i="5"/>
  <c r="S3039" i="5"/>
  <c r="N3040" i="5"/>
  <c r="S3040" i="5"/>
  <c r="N3041" i="5"/>
  <c r="S3041" i="5"/>
  <c r="N3042" i="5"/>
  <c r="S3042" i="5"/>
  <c r="N3043" i="5"/>
  <c r="W3043" i="5"/>
  <c r="S3043" i="5"/>
  <c r="N3044" i="5"/>
  <c r="S3044" i="5"/>
  <c r="N3045" i="5"/>
  <c r="W3045" i="5"/>
  <c r="S3045" i="5"/>
  <c r="N3046" i="5"/>
  <c r="V3046" i="5"/>
  <c r="S3046" i="5"/>
  <c r="N3047" i="5"/>
  <c r="S3047" i="5"/>
  <c r="N3048" i="5"/>
  <c r="V3048" i="5"/>
  <c r="S3048" i="5"/>
  <c r="N3049" i="5"/>
  <c r="W3049" i="5"/>
  <c r="S3049" i="5"/>
  <c r="N3050" i="5"/>
  <c r="V3050" i="5"/>
  <c r="S3050" i="5"/>
  <c r="N3051" i="5"/>
  <c r="V3051" i="5"/>
  <c r="S3051" i="5"/>
  <c r="N3052" i="5"/>
  <c r="S3052" i="5"/>
  <c r="N3053" i="5"/>
  <c r="W3053" i="5"/>
  <c r="S3053" i="5"/>
  <c r="N3054" i="5"/>
  <c r="W3054" i="5"/>
  <c r="S3054" i="5"/>
  <c r="N3055" i="5"/>
  <c r="V3055" i="5"/>
  <c r="S3055" i="5"/>
  <c r="N3056" i="5"/>
  <c r="S3056" i="5"/>
  <c r="N3057" i="5"/>
  <c r="W3057" i="5"/>
  <c r="S3057" i="5"/>
  <c r="N3058" i="5"/>
  <c r="S3058" i="5"/>
  <c r="N3059" i="5"/>
  <c r="V3059" i="5"/>
  <c r="S3059" i="5"/>
  <c r="N3060" i="5"/>
  <c r="V3060" i="5"/>
  <c r="S3060" i="5"/>
  <c r="N3061" i="5"/>
  <c r="W3061" i="5"/>
  <c r="S3061" i="5"/>
  <c r="N3062" i="5"/>
  <c r="S3062" i="5"/>
  <c r="N3063" i="5"/>
  <c r="S3063" i="5"/>
  <c r="N3064" i="5"/>
  <c r="V3064" i="5"/>
  <c r="S3064" i="5"/>
  <c r="N3065" i="5"/>
  <c r="S3065" i="5"/>
  <c r="N3066" i="5"/>
  <c r="V3066" i="5"/>
  <c r="S3066" i="5"/>
  <c r="N3067" i="5"/>
  <c r="W3067" i="5"/>
  <c r="S3067" i="5"/>
  <c r="N3068" i="5"/>
  <c r="V3068" i="5"/>
  <c r="S3068" i="5"/>
  <c r="N3069" i="5"/>
  <c r="S3069" i="5"/>
  <c r="N3070" i="5"/>
  <c r="S3070" i="5"/>
  <c r="N3071" i="5"/>
  <c r="W3071" i="5"/>
  <c r="S3071" i="5"/>
  <c r="N3072" i="5"/>
  <c r="V3072" i="5"/>
  <c r="S3072" i="5"/>
  <c r="N3073" i="5"/>
  <c r="W3073" i="5"/>
  <c r="S3073" i="5"/>
  <c r="N3074" i="5"/>
  <c r="W3074" i="5"/>
  <c r="S3074" i="5"/>
  <c r="N3075" i="5"/>
  <c r="S3075" i="5"/>
  <c r="N3076" i="5"/>
  <c r="S3076" i="5"/>
  <c r="N3077" i="5"/>
  <c r="W3077" i="5"/>
  <c r="S3077" i="5"/>
  <c r="N3078" i="5"/>
  <c r="V3078" i="5"/>
  <c r="S3078" i="5"/>
  <c r="N3079" i="5"/>
  <c r="S3079" i="5"/>
  <c r="N3080" i="5"/>
  <c r="V3080" i="5"/>
  <c r="S3080" i="5"/>
  <c r="N3081" i="5"/>
  <c r="W3081" i="5"/>
  <c r="S3081" i="5"/>
  <c r="N3082" i="5"/>
  <c r="W3082" i="5"/>
  <c r="S3082" i="5"/>
  <c r="N3083" i="5"/>
  <c r="V3083" i="5"/>
  <c r="S3083" i="5"/>
  <c r="N3084" i="5"/>
  <c r="S3084" i="5"/>
  <c r="N3085" i="5"/>
  <c r="W3085" i="5"/>
  <c r="S3085" i="5"/>
  <c r="N3086" i="5"/>
  <c r="S3086" i="5"/>
  <c r="N3087" i="5"/>
  <c r="V3087" i="5"/>
  <c r="S3087" i="5"/>
  <c r="N3088" i="5"/>
  <c r="S3088" i="5"/>
  <c r="N3089" i="5"/>
  <c r="W3089" i="5"/>
  <c r="S3089" i="5"/>
  <c r="N3090" i="5"/>
  <c r="S3090" i="5"/>
  <c r="N3091" i="5"/>
  <c r="W3091" i="5"/>
  <c r="S3091" i="5"/>
  <c r="N3092" i="5"/>
  <c r="V3092" i="5"/>
  <c r="S3092" i="5"/>
  <c r="N3093" i="5"/>
  <c r="W3093" i="5"/>
  <c r="S3093" i="5"/>
  <c r="N3094" i="5"/>
  <c r="V3094" i="5"/>
  <c r="S3094" i="5"/>
  <c r="N3095" i="5"/>
  <c r="V3095" i="5"/>
  <c r="S3095" i="5"/>
  <c r="N3096" i="5"/>
  <c r="S3096" i="5"/>
  <c r="N3097" i="5"/>
  <c r="S3097" i="5"/>
  <c r="N3098" i="5"/>
  <c r="V3098" i="5"/>
  <c r="S3098" i="5"/>
  <c r="N3099" i="5"/>
  <c r="S3099" i="5"/>
  <c r="N3100" i="5"/>
  <c r="W3100" i="5"/>
  <c r="S3100" i="5"/>
  <c r="N3101" i="5"/>
  <c r="S3101" i="5"/>
  <c r="N3102" i="5"/>
  <c r="V3102" i="5"/>
  <c r="S3102" i="5"/>
  <c r="N3103" i="5"/>
  <c r="W3103" i="5"/>
  <c r="S3103" i="5"/>
  <c r="N3104" i="5"/>
  <c r="S3104" i="5"/>
  <c r="N3105" i="5"/>
  <c r="S3105" i="5"/>
  <c r="N3106" i="5"/>
  <c r="V3106" i="5"/>
  <c r="S3106" i="5"/>
  <c r="N3107" i="5"/>
  <c r="V3107" i="5"/>
  <c r="S3107" i="5"/>
  <c r="N3108" i="5"/>
  <c r="V3108" i="5"/>
  <c r="S3108" i="5"/>
  <c r="N3109" i="5"/>
  <c r="W3109" i="5"/>
  <c r="S3109" i="5"/>
  <c r="N3110" i="5"/>
  <c r="V3110" i="5"/>
  <c r="S3110" i="5"/>
  <c r="N3111" i="5"/>
  <c r="S3111" i="5"/>
  <c r="N3112" i="5"/>
  <c r="V3112" i="5"/>
  <c r="S3112" i="5"/>
  <c r="N3113" i="5"/>
  <c r="W3113" i="5"/>
  <c r="S3113" i="5"/>
  <c r="N3114" i="5"/>
  <c r="W3114" i="5"/>
  <c r="S3114" i="5"/>
  <c r="N3115" i="5"/>
  <c r="V3115" i="5"/>
  <c r="S3115" i="5"/>
  <c r="N3116" i="5"/>
  <c r="W3116" i="5"/>
  <c r="S3116" i="5"/>
  <c r="N3117" i="5"/>
  <c r="W3117" i="5"/>
  <c r="S3117" i="5"/>
  <c r="N3118" i="5"/>
  <c r="V3118" i="5"/>
  <c r="S3118" i="5"/>
  <c r="N3119" i="5"/>
  <c r="S3119" i="5"/>
  <c r="N3123" i="5"/>
  <c r="V3123" i="5"/>
  <c r="S3123" i="5"/>
  <c r="N3124" i="5"/>
  <c r="W3124" i="5"/>
  <c r="S3124" i="5"/>
  <c r="N3125" i="5"/>
  <c r="V3125" i="5"/>
  <c r="S3125" i="5"/>
  <c r="N3126" i="5"/>
  <c r="V3126" i="5"/>
  <c r="S3126" i="5"/>
  <c r="N3127" i="5"/>
  <c r="V3127" i="5"/>
  <c r="S3127" i="5"/>
  <c r="N3128" i="5"/>
  <c r="W3128" i="5"/>
  <c r="S3128" i="5"/>
  <c r="N3129" i="5"/>
  <c r="V3129" i="5"/>
  <c r="S3129" i="5"/>
  <c r="N3130" i="5"/>
  <c r="V3130" i="5"/>
  <c r="S3130" i="5"/>
  <c r="N3131" i="5"/>
  <c r="V3131" i="5"/>
  <c r="S3131" i="5"/>
  <c r="N3132" i="5"/>
  <c r="W3132" i="5"/>
  <c r="S3132" i="5"/>
  <c r="N3133" i="5"/>
  <c r="V3133" i="5"/>
  <c r="S3133" i="5"/>
  <c r="N3134" i="5"/>
  <c r="V3134" i="5"/>
  <c r="S3134" i="5"/>
  <c r="N3135" i="5"/>
  <c r="V3135" i="5"/>
  <c r="S3135" i="5"/>
  <c r="N3136" i="5"/>
  <c r="W3136" i="5"/>
  <c r="S3136" i="5"/>
  <c r="N3137" i="5"/>
  <c r="S3137" i="5"/>
  <c r="N3138" i="5"/>
  <c r="W3138" i="5"/>
  <c r="S3138" i="5"/>
  <c r="N3139" i="5"/>
  <c r="S3139" i="5"/>
  <c r="N3140" i="5"/>
  <c r="S3140" i="5"/>
  <c r="N3141" i="5"/>
  <c r="V3141" i="5"/>
  <c r="S3141" i="5"/>
  <c r="N3142" i="5"/>
  <c r="V3142" i="5"/>
  <c r="S3142" i="5"/>
  <c r="N3143" i="5"/>
  <c r="S3143" i="5"/>
  <c r="N3144" i="5"/>
  <c r="W3144" i="5"/>
  <c r="S3144" i="5"/>
  <c r="N3145" i="5"/>
  <c r="S3145" i="5"/>
  <c r="N3149" i="5"/>
  <c r="S3149" i="5"/>
  <c r="N3151" i="5"/>
  <c r="V3151" i="5"/>
  <c r="S3151" i="5"/>
  <c r="N3152" i="5"/>
  <c r="S3152" i="5"/>
  <c r="N3153" i="5"/>
  <c r="S3153" i="5"/>
  <c r="N3154" i="5"/>
  <c r="V3154" i="5"/>
  <c r="S3154" i="5"/>
  <c r="N3155" i="5"/>
  <c r="V3155" i="5"/>
  <c r="S3155" i="5"/>
  <c r="N3156" i="5"/>
  <c r="S3156" i="5"/>
  <c r="N3157" i="5"/>
  <c r="V3157" i="5"/>
  <c r="S3157" i="5"/>
  <c r="N3158" i="5"/>
  <c r="S3158" i="5"/>
  <c r="N3159" i="5"/>
  <c r="S3159" i="5"/>
  <c r="N3160" i="5"/>
  <c r="W3160" i="5"/>
  <c r="S3160" i="5"/>
  <c r="N3161" i="5"/>
  <c r="S3161" i="5"/>
  <c r="N3162" i="5"/>
  <c r="S3162" i="5"/>
  <c r="N3163" i="5"/>
  <c r="W3163" i="5"/>
  <c r="S3163" i="5"/>
  <c r="N3164" i="5"/>
  <c r="W3164" i="5"/>
  <c r="S3164" i="5"/>
  <c r="N3165" i="5"/>
  <c r="S3165" i="5"/>
  <c r="N3166" i="5"/>
  <c r="W3166" i="5"/>
  <c r="S3166" i="5"/>
  <c r="N3167" i="5"/>
  <c r="V3167" i="5"/>
  <c r="S3167" i="5"/>
  <c r="N3168" i="5"/>
  <c r="V3168" i="5"/>
  <c r="S3168" i="5"/>
  <c r="N3169" i="5"/>
  <c r="V3169" i="5"/>
  <c r="S3169" i="5"/>
  <c r="N3170" i="5"/>
  <c r="W3170" i="5"/>
  <c r="S3170" i="5"/>
  <c r="N3171" i="5"/>
  <c r="S3171" i="5"/>
  <c r="N3172" i="5"/>
  <c r="W3172" i="5"/>
  <c r="S3172" i="5"/>
  <c r="N3173" i="5"/>
  <c r="V3173" i="5"/>
  <c r="S3173" i="5"/>
  <c r="N3174" i="5"/>
  <c r="S3174" i="5"/>
  <c r="N3175" i="5"/>
  <c r="V3175" i="5"/>
  <c r="S3175" i="5"/>
  <c r="N3176" i="5"/>
  <c r="V3176" i="5"/>
  <c r="S3176" i="5"/>
  <c r="N3177" i="5"/>
  <c r="S3177" i="5"/>
  <c r="N3178" i="5"/>
  <c r="W3178" i="5"/>
  <c r="S3178" i="5"/>
  <c r="N3179" i="5"/>
  <c r="V3179" i="5"/>
  <c r="S3179" i="5"/>
  <c r="N3180" i="5"/>
  <c r="S3180" i="5"/>
  <c r="N3181" i="5"/>
  <c r="W3181" i="5"/>
  <c r="S3181" i="5"/>
  <c r="N3182" i="5"/>
  <c r="V3182" i="5"/>
  <c r="S3182" i="5"/>
  <c r="N3183" i="5"/>
  <c r="S3183" i="5"/>
  <c r="N3184" i="5"/>
  <c r="S3184" i="5"/>
  <c r="N3185" i="5"/>
  <c r="W3185" i="5"/>
  <c r="S3185" i="5"/>
  <c r="N3186" i="5"/>
  <c r="V3186" i="5"/>
  <c r="S3186" i="5"/>
  <c r="N3187" i="5"/>
  <c r="S3187" i="5"/>
  <c r="N3188" i="5"/>
  <c r="V3188" i="5"/>
  <c r="S3188" i="5"/>
  <c r="N3189" i="5"/>
  <c r="V3189" i="5"/>
  <c r="S3189" i="5"/>
  <c r="N3190" i="5"/>
  <c r="S3190" i="5"/>
  <c r="N3191" i="5"/>
  <c r="V3191" i="5"/>
  <c r="S3191" i="5"/>
  <c r="N3192" i="5"/>
  <c r="V3192" i="5"/>
  <c r="S3192" i="5"/>
  <c r="N3193" i="5"/>
  <c r="S3193" i="5"/>
  <c r="N3194" i="5"/>
  <c r="V3194" i="5"/>
  <c r="S3194" i="5"/>
  <c r="N3195" i="5"/>
  <c r="W3195" i="5"/>
  <c r="S3195" i="5"/>
  <c r="N3196" i="5"/>
  <c r="S3196" i="5"/>
  <c r="N3197" i="5"/>
  <c r="W3197" i="5"/>
  <c r="S3197" i="5"/>
  <c r="N3198" i="5"/>
  <c r="V3198" i="5"/>
  <c r="S3198" i="5"/>
  <c r="N3199" i="5"/>
  <c r="S3199" i="5"/>
  <c r="N3200" i="5"/>
  <c r="S3200" i="5"/>
  <c r="N3201" i="5"/>
  <c r="V3201" i="5"/>
  <c r="S3201" i="5"/>
  <c r="N3202" i="5"/>
  <c r="S3202" i="5"/>
  <c r="N3203" i="5"/>
  <c r="V3203" i="5"/>
  <c r="S3203" i="5"/>
  <c r="N3204" i="5"/>
  <c r="V3204" i="5"/>
  <c r="S3204" i="5"/>
  <c r="N3205" i="5"/>
  <c r="S3205" i="5"/>
  <c r="N3206" i="5"/>
  <c r="S3206" i="5"/>
  <c r="N3207" i="5"/>
  <c r="W3207" i="5"/>
  <c r="S3207" i="5"/>
  <c r="N3208" i="5"/>
  <c r="S3208" i="5"/>
  <c r="N3209" i="5"/>
  <c r="V3209" i="5"/>
  <c r="S3209" i="5"/>
  <c r="N3210" i="5"/>
  <c r="W3210" i="5"/>
  <c r="S3210" i="5"/>
  <c r="N3211" i="5"/>
  <c r="V3211" i="5"/>
  <c r="S3211" i="5"/>
  <c r="N3212" i="5"/>
  <c r="W3212" i="5"/>
  <c r="S3212" i="5"/>
  <c r="N3213" i="5"/>
  <c r="S3213" i="5"/>
  <c r="N3214" i="5"/>
  <c r="V3214" i="5"/>
  <c r="S3214" i="5"/>
  <c r="N3215" i="5"/>
  <c r="V3215" i="5"/>
  <c r="S3215" i="5"/>
  <c r="N3216" i="5"/>
  <c r="S3216" i="5"/>
  <c r="N3217" i="5"/>
  <c r="V3217" i="5"/>
  <c r="S3217" i="5"/>
  <c r="N3218" i="5"/>
  <c r="V3218" i="5"/>
  <c r="S3218" i="5"/>
  <c r="N3219" i="5"/>
  <c r="V3219" i="5"/>
  <c r="S3219" i="5"/>
  <c r="N3220" i="5"/>
  <c r="V3220" i="5"/>
  <c r="S3220" i="5"/>
  <c r="N3221" i="5"/>
  <c r="V3221" i="5"/>
  <c r="S3221" i="5"/>
  <c r="N3222" i="5"/>
  <c r="V3222" i="5"/>
  <c r="S3222" i="5"/>
  <c r="N3223" i="5"/>
  <c r="V3223" i="5"/>
  <c r="S3223" i="5"/>
  <c r="N3224" i="5"/>
  <c r="V3224" i="5"/>
  <c r="S3224" i="5"/>
  <c r="N3225" i="5"/>
  <c r="V3225" i="5"/>
  <c r="S3225" i="5"/>
  <c r="N3226" i="5"/>
  <c r="V3226" i="5"/>
  <c r="S3226" i="5"/>
  <c r="N3227" i="5"/>
  <c r="W3227" i="5"/>
  <c r="S3227" i="5"/>
  <c r="N3228" i="5"/>
  <c r="V3228" i="5"/>
  <c r="S3228" i="5"/>
  <c r="N3229" i="5"/>
  <c r="V3229" i="5"/>
  <c r="S3229" i="5"/>
  <c r="N3230" i="5"/>
  <c r="V3230" i="5"/>
  <c r="S3230" i="5"/>
  <c r="N3231" i="5"/>
  <c r="V3231" i="5"/>
  <c r="S3231" i="5"/>
  <c r="N3232" i="5"/>
  <c r="V3232" i="5"/>
  <c r="S3232" i="5"/>
  <c r="N3233" i="5"/>
  <c r="S3233" i="5"/>
  <c r="N3234" i="5"/>
  <c r="W3234" i="5"/>
  <c r="S3234" i="5"/>
  <c r="N3235" i="5"/>
  <c r="V3235" i="5"/>
  <c r="S3235" i="5"/>
  <c r="N3236" i="5"/>
  <c r="W3236" i="5"/>
  <c r="S3236" i="5"/>
  <c r="N3237" i="5"/>
  <c r="S3237" i="5"/>
  <c r="N3238" i="5"/>
  <c r="S3238" i="5"/>
  <c r="N3239" i="5"/>
  <c r="W3239" i="5"/>
  <c r="S3239" i="5"/>
  <c r="N3240" i="5"/>
  <c r="S3240" i="5"/>
  <c r="N3241" i="5"/>
  <c r="W3241" i="5"/>
  <c r="S3241" i="5"/>
  <c r="N3242" i="5"/>
  <c r="W3242" i="5"/>
  <c r="S3242" i="5"/>
  <c r="N3243" i="5"/>
  <c r="W3243" i="5"/>
  <c r="S3243" i="5"/>
  <c r="N3244" i="5"/>
  <c r="S3244" i="5"/>
  <c r="N3245" i="5"/>
  <c r="W3245" i="5"/>
  <c r="S3245" i="5"/>
  <c r="N3246" i="5"/>
  <c r="V3246" i="5"/>
  <c r="S3246" i="5"/>
  <c r="N3247" i="5"/>
  <c r="S3247" i="5"/>
  <c r="N3251" i="5"/>
  <c r="S3251" i="5"/>
  <c r="N3252" i="5"/>
  <c r="W3252" i="5"/>
  <c r="S3252" i="5"/>
  <c r="N3253" i="5"/>
  <c r="W3253" i="5"/>
  <c r="S3253" i="5"/>
  <c r="N3254" i="5"/>
  <c r="S3254" i="5"/>
  <c r="N3255" i="5"/>
  <c r="V3255" i="5"/>
  <c r="S3255" i="5"/>
  <c r="N3256" i="5"/>
  <c r="W3256" i="5"/>
  <c r="S3256" i="5"/>
  <c r="N3257" i="5"/>
  <c r="S3257" i="5"/>
  <c r="N3258" i="5"/>
  <c r="S3258" i="5"/>
  <c r="N3259" i="5"/>
  <c r="V3259" i="5"/>
  <c r="S3259" i="5"/>
  <c r="N3260" i="5"/>
  <c r="S3260" i="5"/>
  <c r="N3261" i="5"/>
  <c r="S3261" i="5"/>
  <c r="N3262" i="5"/>
  <c r="V3262" i="5"/>
  <c r="S3262" i="5"/>
  <c r="N3263" i="5"/>
  <c r="S3263" i="5"/>
  <c r="N3264" i="5"/>
  <c r="V3264" i="5"/>
  <c r="S3264" i="5"/>
  <c r="N3265" i="5"/>
  <c r="W3265" i="5"/>
  <c r="S3265" i="5"/>
  <c r="N3266" i="5"/>
  <c r="S3266" i="5"/>
  <c r="N3267" i="5"/>
  <c r="V3267" i="5"/>
  <c r="S3267" i="5"/>
  <c r="N3268" i="5"/>
  <c r="S3268" i="5"/>
  <c r="N3269" i="5"/>
  <c r="V3269" i="5"/>
  <c r="S3269" i="5"/>
  <c r="N3270" i="5"/>
  <c r="V3270" i="5"/>
  <c r="S3270" i="5"/>
  <c r="N3271" i="5"/>
  <c r="S3271" i="5"/>
  <c r="N3272" i="5"/>
  <c r="V3272" i="5"/>
  <c r="S3272" i="5"/>
  <c r="N3273" i="5"/>
  <c r="W3273" i="5"/>
  <c r="S3273" i="5"/>
  <c r="N3277" i="5"/>
  <c r="V3277" i="5"/>
  <c r="S3277" i="5"/>
  <c r="N3279" i="5"/>
  <c r="V3279" i="5"/>
  <c r="S3279" i="5"/>
  <c r="N3280" i="5"/>
  <c r="S3280" i="5"/>
  <c r="N3281" i="5"/>
  <c r="S3281" i="5"/>
  <c r="N3282" i="5"/>
  <c r="W3282" i="5"/>
  <c r="S3282" i="5"/>
  <c r="N3283" i="5"/>
  <c r="V3283" i="5"/>
  <c r="S3283" i="5"/>
  <c r="N3284" i="5"/>
  <c r="V3284" i="5"/>
  <c r="S3284" i="5"/>
  <c r="N3285" i="5"/>
  <c r="S3285" i="5"/>
  <c r="N3286" i="5"/>
  <c r="V3286" i="5"/>
  <c r="S3286" i="5"/>
  <c r="N3287" i="5"/>
  <c r="S3287" i="5"/>
  <c r="N3288" i="5"/>
  <c r="V3288" i="5"/>
  <c r="S3288" i="5"/>
  <c r="N3289" i="5"/>
  <c r="V3289" i="5"/>
  <c r="S3289" i="5"/>
  <c r="N3290" i="5"/>
  <c r="V3290" i="5"/>
  <c r="S3290" i="5"/>
  <c r="N3291" i="5"/>
  <c r="V3291" i="5"/>
  <c r="S3291" i="5"/>
  <c r="N3292" i="5"/>
  <c r="W3292" i="5"/>
  <c r="S3292" i="5"/>
  <c r="N3293" i="5"/>
  <c r="V3293" i="5"/>
  <c r="S3293" i="5"/>
  <c r="N3294" i="5"/>
  <c r="V3294" i="5"/>
  <c r="S3294" i="5"/>
  <c r="N3295" i="5"/>
  <c r="W3295" i="5"/>
  <c r="S3295" i="5"/>
  <c r="N3296" i="5"/>
  <c r="S3296" i="5"/>
  <c r="N3297" i="5"/>
  <c r="V3297" i="5"/>
  <c r="S3297" i="5"/>
  <c r="N3298" i="5"/>
  <c r="S3298" i="5"/>
  <c r="N3299" i="5"/>
  <c r="S3299" i="5"/>
  <c r="N3300" i="5"/>
  <c r="W3300" i="5"/>
  <c r="S3300" i="5"/>
  <c r="N3301" i="5"/>
  <c r="S3301" i="5"/>
  <c r="N3302" i="5"/>
  <c r="V3302" i="5"/>
  <c r="S3302" i="5"/>
  <c r="N3303" i="5"/>
  <c r="W3303" i="5"/>
  <c r="S3303" i="5"/>
  <c r="N3304" i="5"/>
  <c r="V3304" i="5"/>
  <c r="S3304" i="5"/>
  <c r="N3305" i="5"/>
  <c r="V3305" i="5"/>
  <c r="S3305" i="5"/>
  <c r="N3306" i="5"/>
  <c r="V3306" i="5"/>
  <c r="S3306" i="5"/>
  <c r="N3307" i="5"/>
  <c r="W3307" i="5"/>
  <c r="S3307" i="5"/>
  <c r="N3308" i="5"/>
  <c r="V3308" i="5"/>
  <c r="S3308" i="5"/>
  <c r="N3309" i="5"/>
  <c r="V3309" i="5"/>
  <c r="S3309" i="5"/>
  <c r="N3310" i="5"/>
  <c r="V3310" i="5"/>
  <c r="S3310" i="5"/>
  <c r="N3311" i="5"/>
  <c r="W3311" i="5"/>
  <c r="S3311" i="5"/>
  <c r="N3312" i="5"/>
  <c r="S3312" i="5"/>
  <c r="N3313" i="5"/>
  <c r="V3313" i="5"/>
  <c r="S3313" i="5"/>
  <c r="N3314" i="5"/>
  <c r="S3314" i="5"/>
  <c r="N3315" i="5"/>
  <c r="W3315" i="5"/>
  <c r="S3315" i="5"/>
  <c r="N3316" i="5"/>
  <c r="V3316" i="5"/>
  <c r="S3316" i="5"/>
  <c r="N3317" i="5"/>
  <c r="S3317" i="5"/>
  <c r="N3318" i="5"/>
  <c r="S3318" i="5"/>
  <c r="N3319" i="5"/>
  <c r="V3319" i="5"/>
  <c r="S3319" i="5"/>
  <c r="N3320" i="5"/>
  <c r="V3320" i="5"/>
  <c r="S3320" i="5"/>
  <c r="N3321" i="5"/>
  <c r="V3321" i="5"/>
  <c r="S3321" i="5"/>
  <c r="N3322" i="5"/>
  <c r="V3322" i="5"/>
  <c r="S3322" i="5"/>
  <c r="N3323" i="5"/>
  <c r="V3323" i="5"/>
  <c r="S3323" i="5"/>
  <c r="N3324" i="5"/>
  <c r="V3324" i="5"/>
  <c r="S3324" i="5"/>
  <c r="N3325" i="5"/>
  <c r="S3325" i="5"/>
  <c r="N3326" i="5"/>
  <c r="V3326" i="5"/>
  <c r="S3326" i="5"/>
  <c r="N3327" i="5"/>
  <c r="W3327" i="5"/>
  <c r="S3327" i="5"/>
  <c r="N3328" i="5"/>
  <c r="V3328" i="5"/>
  <c r="S3328" i="5"/>
  <c r="N3329" i="5"/>
  <c r="V3329" i="5"/>
  <c r="S3329" i="5"/>
  <c r="S2" i="5"/>
  <c r="V3" i="5"/>
  <c r="S3" i="5"/>
  <c r="N2" i="5"/>
  <c r="N3"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51" i="5"/>
  <c r="L52" i="5"/>
  <c r="L53" i="5"/>
  <c r="L54" i="5"/>
  <c r="L55" i="5"/>
  <c r="L56" i="5"/>
  <c r="L57" i="5"/>
  <c r="L58" i="5"/>
  <c r="L59" i="5"/>
  <c r="L60" i="5"/>
  <c r="L61" i="5"/>
  <c r="L62" i="5"/>
  <c r="L63" i="5"/>
  <c r="L64" i="5"/>
  <c r="L65" i="5"/>
  <c r="L66" i="5"/>
  <c r="L67" i="5"/>
  <c r="L68" i="5"/>
  <c r="L69" i="5"/>
  <c r="L70" i="5"/>
  <c r="L71" i="5"/>
  <c r="L72" i="5"/>
  <c r="L73" i="5"/>
  <c r="L75"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9" i="5"/>
  <c r="L180" i="5"/>
  <c r="L181" i="5"/>
  <c r="L182" i="5"/>
  <c r="L183" i="5"/>
  <c r="L184" i="5"/>
  <c r="L185" i="5"/>
  <c r="L186" i="5"/>
  <c r="L187" i="5"/>
  <c r="L188" i="5"/>
  <c r="L189" i="5"/>
  <c r="L190" i="5"/>
  <c r="L191" i="5"/>
  <c r="L192" i="5"/>
  <c r="L193" i="5"/>
  <c r="L194" i="5"/>
  <c r="L195" i="5"/>
  <c r="L196" i="5"/>
  <c r="L197" i="5"/>
  <c r="L198" i="5"/>
  <c r="L199" i="5"/>
  <c r="L200" i="5"/>
  <c r="L201" i="5"/>
  <c r="L205"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7" i="5"/>
  <c r="L308" i="5"/>
  <c r="L309" i="5"/>
  <c r="L310" i="5"/>
  <c r="L311" i="5"/>
  <c r="L312" i="5"/>
  <c r="L313" i="5"/>
  <c r="L314" i="5"/>
  <c r="L315" i="5"/>
  <c r="L316" i="5"/>
  <c r="L317" i="5"/>
  <c r="L318" i="5"/>
  <c r="L319" i="5"/>
  <c r="L320" i="5"/>
  <c r="L321" i="5"/>
  <c r="L322" i="5"/>
  <c r="L323" i="5"/>
  <c r="L324" i="5"/>
  <c r="L325" i="5"/>
  <c r="L326" i="5"/>
  <c r="L327" i="5"/>
  <c r="L328" i="5"/>
  <c r="L329" i="5"/>
  <c r="L333"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5" i="5"/>
  <c r="L436" i="5"/>
  <c r="L437" i="5"/>
  <c r="L438" i="5"/>
  <c r="L439" i="5"/>
  <c r="L440" i="5"/>
  <c r="L441" i="5"/>
  <c r="L442" i="5"/>
  <c r="L443" i="5"/>
  <c r="L444" i="5"/>
  <c r="L445" i="5"/>
  <c r="L446" i="5"/>
  <c r="L447" i="5"/>
  <c r="L448" i="5"/>
  <c r="L449" i="5"/>
  <c r="L450" i="5"/>
  <c r="L451" i="5"/>
  <c r="L452" i="5"/>
  <c r="L453" i="5"/>
  <c r="L454" i="5"/>
  <c r="L455" i="5"/>
  <c r="L456" i="5"/>
  <c r="L457" i="5"/>
  <c r="L459"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3" i="5"/>
  <c r="L564" i="5"/>
  <c r="L565" i="5"/>
  <c r="L566" i="5"/>
  <c r="L567" i="5"/>
  <c r="L568" i="5"/>
  <c r="L569" i="5"/>
  <c r="L570" i="5"/>
  <c r="L571" i="5"/>
  <c r="L572" i="5"/>
  <c r="L573" i="5"/>
  <c r="L574" i="5"/>
  <c r="L575" i="5"/>
  <c r="L576" i="5"/>
  <c r="L577" i="5"/>
  <c r="L578" i="5"/>
  <c r="L579" i="5"/>
  <c r="L580" i="5"/>
  <c r="L581" i="5"/>
  <c r="L582" i="5"/>
  <c r="L583" i="5"/>
  <c r="L584" i="5"/>
  <c r="L585" i="5"/>
  <c r="L589"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91" i="5"/>
  <c r="L692" i="5"/>
  <c r="L693" i="5"/>
  <c r="L694" i="5"/>
  <c r="L695" i="5"/>
  <c r="L696" i="5"/>
  <c r="L697" i="5"/>
  <c r="L698" i="5"/>
  <c r="L699" i="5"/>
  <c r="L700" i="5"/>
  <c r="L701" i="5"/>
  <c r="L702" i="5"/>
  <c r="L703" i="5"/>
  <c r="L704" i="5"/>
  <c r="L705" i="5"/>
  <c r="L706" i="5"/>
  <c r="L707" i="5"/>
  <c r="L708" i="5"/>
  <c r="L709" i="5"/>
  <c r="L710" i="5"/>
  <c r="L711" i="5"/>
  <c r="L712" i="5"/>
  <c r="L713" i="5"/>
  <c r="L717"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9" i="5"/>
  <c r="L820" i="5"/>
  <c r="L821" i="5"/>
  <c r="L822" i="5"/>
  <c r="L823" i="5"/>
  <c r="L824" i="5"/>
  <c r="L825" i="5"/>
  <c r="L826" i="5"/>
  <c r="L827" i="5"/>
  <c r="L828" i="5"/>
  <c r="L829" i="5"/>
  <c r="L830" i="5"/>
  <c r="L831" i="5"/>
  <c r="L832" i="5"/>
  <c r="L833" i="5"/>
  <c r="L834" i="5"/>
  <c r="L835" i="5"/>
  <c r="L836" i="5"/>
  <c r="L837" i="5"/>
  <c r="L838" i="5"/>
  <c r="L839" i="5"/>
  <c r="L840" i="5"/>
  <c r="L841" i="5"/>
  <c r="L845"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7" i="5"/>
  <c r="L948" i="5"/>
  <c r="L949" i="5"/>
  <c r="L950" i="5"/>
  <c r="L951" i="5"/>
  <c r="L952" i="5"/>
  <c r="L953" i="5"/>
  <c r="L954" i="5"/>
  <c r="L955" i="5"/>
  <c r="L956" i="5"/>
  <c r="L957" i="5"/>
  <c r="L958" i="5"/>
  <c r="L959" i="5"/>
  <c r="L960" i="5"/>
  <c r="L961" i="5"/>
  <c r="L962" i="5"/>
  <c r="L963" i="5"/>
  <c r="L964" i="5"/>
  <c r="L965" i="5"/>
  <c r="L966" i="5"/>
  <c r="L967" i="5"/>
  <c r="L968" i="5"/>
  <c r="L969" i="5"/>
  <c r="L971"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101"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9"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7"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5"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8" i="5"/>
  <c r="L1589" i="5"/>
  <c r="L1591" i="5"/>
  <c r="L1592" i="5"/>
  <c r="L1593" i="5"/>
  <c r="L1594" i="5"/>
  <c r="L1596" i="5"/>
  <c r="L1598" i="5"/>
  <c r="L1599" i="5"/>
  <c r="L1600" i="5"/>
  <c r="L1601" i="5"/>
  <c r="L1602" i="5"/>
  <c r="L1603" i="5"/>
  <c r="L1604" i="5"/>
  <c r="L1605" i="5"/>
  <c r="L1606" i="5"/>
  <c r="L1607" i="5"/>
  <c r="L1613" i="5"/>
  <c r="L1615"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8" i="5"/>
  <c r="L1679" i="5"/>
  <c r="L1680" i="5"/>
  <c r="L1681" i="5"/>
  <c r="L1682" i="5"/>
  <c r="L1683" i="5"/>
  <c r="L1684" i="5"/>
  <c r="L1685" i="5"/>
  <c r="L1686" i="5"/>
  <c r="L1687" i="5"/>
  <c r="L1688" i="5"/>
  <c r="L1689" i="5"/>
  <c r="L1690" i="5"/>
  <c r="L1691" i="5"/>
  <c r="O1726"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9"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O1965" i="5" s="1"/>
  <c r="L1966" i="5"/>
  <c r="O1966" i="5" s="1"/>
  <c r="L1972" i="5"/>
  <c r="L1973" i="5"/>
  <c r="L1974" i="5"/>
  <c r="L1975" i="5"/>
  <c r="L1976" i="5"/>
  <c r="L1977" i="5"/>
  <c r="L1978" i="5"/>
  <c r="L1979" i="5"/>
  <c r="L1980" i="5"/>
  <c r="L1981" i="5"/>
  <c r="L1982" i="5"/>
  <c r="L1983" i="5"/>
  <c r="L1984" i="5"/>
  <c r="L1985" i="5"/>
  <c r="L1986" i="5"/>
  <c r="L1987" i="5"/>
  <c r="L1988" i="5"/>
  <c r="L1989" i="5"/>
  <c r="L1990" i="5"/>
  <c r="L1991" i="5"/>
  <c r="L1992" i="5"/>
  <c r="L1993" i="5"/>
  <c r="L1997"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5"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3"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81" i="5"/>
  <c r="L2383" i="5"/>
  <c r="L2384" i="5"/>
  <c r="L2385" i="5"/>
  <c r="L2386" i="5"/>
  <c r="L2387" i="5"/>
  <c r="L2388" i="5"/>
  <c r="L2389" i="5"/>
  <c r="L2390" i="5"/>
  <c r="L2391" i="5"/>
  <c r="L2392" i="5"/>
  <c r="L2393" i="5"/>
  <c r="L2394" i="5"/>
  <c r="L2395" i="5"/>
  <c r="L2396" i="5"/>
  <c r="L2397" i="5"/>
  <c r="L2398" i="5"/>
  <c r="L2399" i="5"/>
  <c r="L2400" i="5"/>
  <c r="L2401" i="5"/>
  <c r="L2402" i="5"/>
  <c r="L2403" i="5"/>
  <c r="L2404"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9" i="5"/>
  <c r="L2511" i="5"/>
  <c r="L2512" i="5"/>
  <c r="L2513" i="5"/>
  <c r="L2514" i="5"/>
  <c r="L2515" i="5"/>
  <c r="L2516" i="5"/>
  <c r="L2517" i="5"/>
  <c r="L2518" i="5"/>
  <c r="L2519" i="5"/>
  <c r="L2520" i="5"/>
  <c r="L2521" i="5"/>
  <c r="L2522" i="5"/>
  <c r="L2523" i="5"/>
  <c r="L2524" i="5"/>
  <c r="L2525" i="5"/>
  <c r="L2526" i="5"/>
  <c r="L2527" i="5"/>
  <c r="L2528" i="5"/>
  <c r="L2529" i="5"/>
  <c r="L2530" i="5"/>
  <c r="L2531" i="5"/>
  <c r="L2532" i="5"/>
  <c r="L2533" i="5"/>
  <c r="L2534" i="5"/>
  <c r="L2535" i="5"/>
  <c r="L2536" i="5"/>
  <c r="L2537" i="5"/>
  <c r="L2538" i="5"/>
  <c r="L2539" i="5"/>
  <c r="L2540" i="5"/>
  <c r="L2541" i="5"/>
  <c r="L2542" i="5"/>
  <c r="L2543" i="5"/>
  <c r="L2544" i="5"/>
  <c r="L2545" i="5"/>
  <c r="L2546" i="5"/>
  <c r="L2547" i="5"/>
  <c r="L2548" i="5"/>
  <c r="L2549" i="5"/>
  <c r="L2550" i="5"/>
  <c r="L2551" i="5"/>
  <c r="L2552" i="5"/>
  <c r="L2553" i="5"/>
  <c r="L2554" i="5"/>
  <c r="L2555" i="5"/>
  <c r="L2556" i="5"/>
  <c r="L2557" i="5"/>
  <c r="L2558" i="5"/>
  <c r="L2559" i="5"/>
  <c r="L2560" i="5"/>
  <c r="L2561" i="5"/>
  <c r="L2562" i="5"/>
  <c r="L2563" i="5"/>
  <c r="L2564" i="5"/>
  <c r="L2565" i="5"/>
  <c r="L2566" i="5"/>
  <c r="L2567" i="5"/>
  <c r="L2568" i="5"/>
  <c r="L2569" i="5"/>
  <c r="L2570" i="5"/>
  <c r="L2571"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1" i="5"/>
  <c r="L2602" i="5"/>
  <c r="L2603" i="5"/>
  <c r="L2604" i="5"/>
  <c r="L2605" i="5"/>
  <c r="L2606" i="5"/>
  <c r="L2607"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7"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5"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41" i="5"/>
  <c r="L2742" i="5"/>
  <c r="L2743" i="5"/>
  <c r="L2744" i="5"/>
  <c r="L2745" i="5"/>
  <c r="L2746" i="5"/>
  <c r="L2747" i="5"/>
  <c r="L2748" i="5"/>
  <c r="L2749" i="5"/>
  <c r="L2750" i="5"/>
  <c r="L2751" i="5"/>
  <c r="L2752" i="5"/>
  <c r="L2753" i="5"/>
  <c r="L2754" i="5"/>
  <c r="L2755" i="5"/>
  <c r="L2756" i="5"/>
  <c r="L2757" i="5"/>
  <c r="L2758" i="5"/>
  <c r="L2759" i="5"/>
  <c r="L2760" i="5"/>
  <c r="L2761" i="5"/>
  <c r="L2765" i="5"/>
  <c r="L2767" i="5"/>
  <c r="L2768" i="5"/>
  <c r="L2769" i="5"/>
  <c r="L2770" i="5"/>
  <c r="L2771" i="5"/>
  <c r="L2772" i="5"/>
  <c r="L2773" i="5"/>
  <c r="L2774" i="5"/>
  <c r="L2775" i="5"/>
  <c r="L2776" i="5"/>
  <c r="L2777" i="5"/>
  <c r="L2778" i="5"/>
  <c r="L2779" i="5"/>
  <c r="L2780" i="5"/>
  <c r="L2781" i="5"/>
  <c r="L2782" i="5"/>
  <c r="L2783" i="5"/>
  <c r="L2784" i="5"/>
  <c r="L2785" i="5"/>
  <c r="L2786" i="5"/>
  <c r="L2787" i="5"/>
  <c r="L2788" i="5"/>
  <c r="L2789" i="5"/>
  <c r="L2790" i="5"/>
  <c r="L2791" i="5"/>
  <c r="L2792" i="5"/>
  <c r="L2793" i="5"/>
  <c r="L2794" i="5"/>
  <c r="L2795" i="5"/>
  <c r="L2796" i="5"/>
  <c r="L2797" i="5"/>
  <c r="L2798" i="5"/>
  <c r="L2799" i="5"/>
  <c r="L2800" i="5"/>
  <c r="L2801" i="5"/>
  <c r="L2802" i="5"/>
  <c r="L2803" i="5"/>
  <c r="L2804" i="5"/>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3"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9"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3110" i="5"/>
  <c r="L3111" i="5"/>
  <c r="L3112" i="5"/>
  <c r="L3113" i="5"/>
  <c r="L3114" i="5"/>
  <c r="L3115" i="5"/>
  <c r="L3116" i="5"/>
  <c r="L3117" i="5"/>
  <c r="L3118" i="5"/>
  <c r="L3119" i="5"/>
  <c r="L3123" i="5"/>
  <c r="L3124" i="5"/>
  <c r="L3125" i="5"/>
  <c r="L3126" i="5"/>
  <c r="L3127" i="5"/>
  <c r="L3128" i="5"/>
  <c r="L3129" i="5"/>
  <c r="L3130" i="5"/>
  <c r="L3131" i="5"/>
  <c r="L3132" i="5"/>
  <c r="L3133" i="5"/>
  <c r="L3134" i="5"/>
  <c r="L3135" i="5"/>
  <c r="L3136" i="5"/>
  <c r="L3137" i="5"/>
  <c r="L3138" i="5"/>
  <c r="L3139" i="5"/>
  <c r="L3140" i="5"/>
  <c r="L3141" i="5"/>
  <c r="L3142" i="5"/>
  <c r="L3143" i="5"/>
  <c r="L3144" i="5"/>
  <c r="L3145" i="5"/>
  <c r="L3149" i="5"/>
  <c r="L3151" i="5"/>
  <c r="L3152" i="5"/>
  <c r="L3153" i="5"/>
  <c r="L3154" i="5"/>
  <c r="L3155" i="5"/>
  <c r="L3156" i="5"/>
  <c r="L3157" i="5"/>
  <c r="L3158" i="5"/>
  <c r="L3159" i="5"/>
  <c r="L3160" i="5"/>
  <c r="L3161" i="5"/>
  <c r="L3162" i="5"/>
  <c r="L3163" i="5"/>
  <c r="L3164" i="5"/>
  <c r="L3165" i="5"/>
  <c r="L3166" i="5"/>
  <c r="L3167" i="5"/>
  <c r="L3168" i="5"/>
  <c r="L3169" i="5"/>
  <c r="L3170" i="5"/>
  <c r="L3171" i="5"/>
  <c r="L3172" i="5"/>
  <c r="L3173" i="5"/>
  <c r="L3174" i="5"/>
  <c r="L3175" i="5"/>
  <c r="L3176" i="5"/>
  <c r="L3177" i="5"/>
  <c r="L3178" i="5"/>
  <c r="L3179" i="5"/>
  <c r="L3180" i="5"/>
  <c r="L3181" i="5"/>
  <c r="L3182" i="5"/>
  <c r="L3183" i="5"/>
  <c r="L3184" i="5"/>
  <c r="L3185" i="5"/>
  <c r="L3186" i="5"/>
  <c r="L3187" i="5"/>
  <c r="L3188" i="5"/>
  <c r="L3189" i="5"/>
  <c r="L3190" i="5"/>
  <c r="L3191" i="5"/>
  <c r="L3192" i="5"/>
  <c r="L3193" i="5"/>
  <c r="L3194" i="5"/>
  <c r="L3195" i="5"/>
  <c r="L3196" i="5"/>
  <c r="L3197" i="5"/>
  <c r="L3198" i="5"/>
  <c r="L3199" i="5"/>
  <c r="L3200" i="5"/>
  <c r="L3201" i="5"/>
  <c r="L3202" i="5"/>
  <c r="L3203" i="5"/>
  <c r="L3204" i="5"/>
  <c r="L3205" i="5"/>
  <c r="L3206" i="5"/>
  <c r="L3207" i="5"/>
  <c r="L3208" i="5"/>
  <c r="L3209" i="5"/>
  <c r="L3210" i="5"/>
  <c r="L3211" i="5"/>
  <c r="L3212" i="5"/>
  <c r="L3213" i="5"/>
  <c r="L3214" i="5"/>
  <c r="L3215" i="5"/>
  <c r="L3216" i="5"/>
  <c r="L3217" i="5"/>
  <c r="L3218" i="5"/>
  <c r="L3219" i="5"/>
  <c r="L3220" i="5"/>
  <c r="L3221" i="5"/>
  <c r="L3222" i="5"/>
  <c r="L3223" i="5"/>
  <c r="L3224" i="5"/>
  <c r="L3225" i="5"/>
  <c r="L3226" i="5"/>
  <c r="L3227" i="5"/>
  <c r="L3228" i="5"/>
  <c r="L3229" i="5"/>
  <c r="L3230" i="5"/>
  <c r="L3231" i="5"/>
  <c r="L3232" i="5"/>
  <c r="L3233" i="5"/>
  <c r="L3234" i="5"/>
  <c r="L3235" i="5"/>
  <c r="L3236" i="5"/>
  <c r="L3237" i="5"/>
  <c r="L3238" i="5"/>
  <c r="L3239" i="5"/>
  <c r="L3240" i="5"/>
  <c r="L3241" i="5"/>
  <c r="L3242" i="5"/>
  <c r="L3243" i="5"/>
  <c r="L3244" i="5"/>
  <c r="L3245" i="5"/>
  <c r="L3246" i="5"/>
  <c r="L3247" i="5"/>
  <c r="L3251" i="5"/>
  <c r="L3252" i="5"/>
  <c r="L3253" i="5"/>
  <c r="L3254" i="5"/>
  <c r="L3255" i="5"/>
  <c r="L3256" i="5"/>
  <c r="L3257" i="5"/>
  <c r="L3258" i="5"/>
  <c r="L3259" i="5"/>
  <c r="L3260" i="5"/>
  <c r="L3261" i="5"/>
  <c r="L3262" i="5"/>
  <c r="L3263" i="5"/>
  <c r="L3264" i="5"/>
  <c r="L3265" i="5"/>
  <c r="L3266" i="5"/>
  <c r="L3267" i="5"/>
  <c r="L3268" i="5"/>
  <c r="L3269" i="5"/>
  <c r="L3270" i="5"/>
  <c r="L3271" i="5"/>
  <c r="L3272" i="5"/>
  <c r="L3273" i="5"/>
  <c r="L3277" i="5"/>
  <c r="L3279" i="5"/>
  <c r="L3280" i="5"/>
  <c r="L3281" i="5"/>
  <c r="L3282" i="5"/>
  <c r="L3283" i="5"/>
  <c r="L3284" i="5"/>
  <c r="L3285" i="5"/>
  <c r="L3286" i="5"/>
  <c r="L3287" i="5"/>
  <c r="L3288" i="5"/>
  <c r="L3289" i="5"/>
  <c r="L3290" i="5"/>
  <c r="L3291" i="5"/>
  <c r="L3292" i="5"/>
  <c r="L3293" i="5"/>
  <c r="L3294" i="5"/>
  <c r="L3295" i="5"/>
  <c r="L3296" i="5"/>
  <c r="L3297" i="5"/>
  <c r="L3298" i="5"/>
  <c r="L3299" i="5"/>
  <c r="L3300" i="5"/>
  <c r="L3301" i="5"/>
  <c r="L3302" i="5"/>
  <c r="L3303" i="5"/>
  <c r="L3304" i="5"/>
  <c r="L3305" i="5"/>
  <c r="L3306" i="5"/>
  <c r="L3307" i="5"/>
  <c r="L3308" i="5"/>
  <c r="L3309" i="5"/>
  <c r="L3310" i="5"/>
  <c r="L3311" i="5"/>
  <c r="L3312" i="5"/>
  <c r="L3313" i="5"/>
  <c r="L3314" i="5"/>
  <c r="L3315" i="5"/>
  <c r="L3316" i="5"/>
  <c r="L3317" i="5"/>
  <c r="L3318" i="5"/>
  <c r="L3319" i="5"/>
  <c r="L3320" i="5"/>
  <c r="L3321" i="5"/>
  <c r="L3322" i="5"/>
  <c r="L3323" i="5"/>
  <c r="L3324" i="5"/>
  <c r="L3325" i="5"/>
  <c r="L3326" i="5"/>
  <c r="L3327" i="5"/>
  <c r="L3328" i="5"/>
  <c r="L3329" i="5"/>
  <c r="L2" i="5"/>
  <c r="L3" i="5"/>
  <c r="L4" i="5"/>
  <c r="L5"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51" i="5"/>
  <c r="I52" i="5"/>
  <c r="I53" i="5"/>
  <c r="I54" i="5"/>
  <c r="I55" i="5"/>
  <c r="I56" i="5"/>
  <c r="I57" i="5"/>
  <c r="I58" i="5"/>
  <c r="I59" i="5"/>
  <c r="I60" i="5"/>
  <c r="I61" i="5"/>
  <c r="I62" i="5"/>
  <c r="I63" i="5"/>
  <c r="I64" i="5"/>
  <c r="I65" i="5"/>
  <c r="I66" i="5"/>
  <c r="I67" i="5"/>
  <c r="I68" i="5"/>
  <c r="I69" i="5"/>
  <c r="I70" i="5"/>
  <c r="I71" i="5"/>
  <c r="I72" i="5"/>
  <c r="I73" i="5"/>
  <c r="I75"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9" i="5"/>
  <c r="I180" i="5"/>
  <c r="I181" i="5"/>
  <c r="I182" i="5"/>
  <c r="I183" i="5"/>
  <c r="I184" i="5"/>
  <c r="I185" i="5"/>
  <c r="I186" i="5"/>
  <c r="I187" i="5"/>
  <c r="I188" i="5"/>
  <c r="I189" i="5"/>
  <c r="I190" i="5"/>
  <c r="I191" i="5"/>
  <c r="I192" i="5"/>
  <c r="I193" i="5"/>
  <c r="I194" i="5"/>
  <c r="I195" i="5"/>
  <c r="I196" i="5"/>
  <c r="I197" i="5"/>
  <c r="I198" i="5"/>
  <c r="I199" i="5"/>
  <c r="I200" i="5"/>
  <c r="I201" i="5"/>
  <c r="I205"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7" i="5"/>
  <c r="I308" i="5"/>
  <c r="I309" i="5"/>
  <c r="I310" i="5"/>
  <c r="I311" i="5"/>
  <c r="I312" i="5"/>
  <c r="I313" i="5"/>
  <c r="I314" i="5"/>
  <c r="I315" i="5"/>
  <c r="I316" i="5"/>
  <c r="I317" i="5"/>
  <c r="I318" i="5"/>
  <c r="I319" i="5"/>
  <c r="I320" i="5"/>
  <c r="I321" i="5"/>
  <c r="I322" i="5"/>
  <c r="I323" i="5"/>
  <c r="I324" i="5"/>
  <c r="I325" i="5"/>
  <c r="I326" i="5"/>
  <c r="I327" i="5"/>
  <c r="I328" i="5"/>
  <c r="I329" i="5"/>
  <c r="I333"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5" i="5"/>
  <c r="I436" i="5"/>
  <c r="I437" i="5"/>
  <c r="I438" i="5"/>
  <c r="I439" i="5"/>
  <c r="I440" i="5"/>
  <c r="I441" i="5"/>
  <c r="I442" i="5"/>
  <c r="I443" i="5"/>
  <c r="I444" i="5"/>
  <c r="I445" i="5"/>
  <c r="I446" i="5"/>
  <c r="I447" i="5"/>
  <c r="I448" i="5"/>
  <c r="I449" i="5"/>
  <c r="I450" i="5"/>
  <c r="I451" i="5"/>
  <c r="I452" i="5"/>
  <c r="I453" i="5"/>
  <c r="I454" i="5"/>
  <c r="I455" i="5"/>
  <c r="I456" i="5"/>
  <c r="I457" i="5"/>
  <c r="I459"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3" i="5"/>
  <c r="I564" i="5"/>
  <c r="I565" i="5"/>
  <c r="I566" i="5"/>
  <c r="I567" i="5"/>
  <c r="I568" i="5"/>
  <c r="I569" i="5"/>
  <c r="I570" i="5"/>
  <c r="I571" i="5"/>
  <c r="I572" i="5"/>
  <c r="I573" i="5"/>
  <c r="I574" i="5"/>
  <c r="I575" i="5"/>
  <c r="I576" i="5"/>
  <c r="I577" i="5"/>
  <c r="I578" i="5"/>
  <c r="I579" i="5"/>
  <c r="I580" i="5"/>
  <c r="I581" i="5"/>
  <c r="I582" i="5"/>
  <c r="I583" i="5"/>
  <c r="I584" i="5"/>
  <c r="I585"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91" i="5"/>
  <c r="I692" i="5"/>
  <c r="I693" i="5"/>
  <c r="I694" i="5"/>
  <c r="I695" i="5"/>
  <c r="I696" i="5"/>
  <c r="I697" i="5"/>
  <c r="I698" i="5"/>
  <c r="I699" i="5"/>
  <c r="I700" i="5"/>
  <c r="I701" i="5"/>
  <c r="I702" i="5"/>
  <c r="I703" i="5"/>
  <c r="I704" i="5"/>
  <c r="I705" i="5"/>
  <c r="I706" i="5"/>
  <c r="I707" i="5"/>
  <c r="I708" i="5"/>
  <c r="I709" i="5"/>
  <c r="I710" i="5"/>
  <c r="I711" i="5"/>
  <c r="I712" i="5"/>
  <c r="I713" i="5"/>
  <c r="I717"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9" i="5"/>
  <c r="I820" i="5"/>
  <c r="I821" i="5"/>
  <c r="I822" i="5"/>
  <c r="I823" i="5"/>
  <c r="I824" i="5"/>
  <c r="I825" i="5"/>
  <c r="I826" i="5"/>
  <c r="I827" i="5"/>
  <c r="I828" i="5"/>
  <c r="I829" i="5"/>
  <c r="I830" i="5"/>
  <c r="I831" i="5"/>
  <c r="I832" i="5"/>
  <c r="I833" i="5"/>
  <c r="I834" i="5"/>
  <c r="I835" i="5"/>
  <c r="I836" i="5"/>
  <c r="I837" i="5"/>
  <c r="I838" i="5"/>
  <c r="I839" i="5"/>
  <c r="I840" i="5"/>
  <c r="I841" i="5"/>
  <c r="I845"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7" i="5"/>
  <c r="I948" i="5"/>
  <c r="I949" i="5"/>
  <c r="I950" i="5"/>
  <c r="I951" i="5"/>
  <c r="I952" i="5"/>
  <c r="I953" i="5"/>
  <c r="I954" i="5"/>
  <c r="I955" i="5"/>
  <c r="I956" i="5"/>
  <c r="I957" i="5"/>
  <c r="I958" i="5"/>
  <c r="I959" i="5"/>
  <c r="I960" i="5"/>
  <c r="I961" i="5"/>
  <c r="I962" i="5"/>
  <c r="I963" i="5"/>
  <c r="I964" i="5"/>
  <c r="I965" i="5"/>
  <c r="I966" i="5"/>
  <c r="I967" i="5"/>
  <c r="I968" i="5"/>
  <c r="I969" i="5"/>
  <c r="I971"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101"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9"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7" i="5"/>
  <c r="I1359" i="5"/>
  <c r="I1360" i="5"/>
  <c r="I1361" i="5"/>
  <c r="I1362" i="5"/>
  <c r="I1363" i="5"/>
  <c r="I1364" i="5"/>
  <c r="I1365" i="5"/>
  <c r="I1366" i="5"/>
  <c r="I1367" i="5"/>
  <c r="I1368" i="5"/>
  <c r="I1369" i="5"/>
  <c r="I1370" i="5"/>
  <c r="I1371" i="5"/>
  <c r="I1372" i="5"/>
  <c r="I1373" i="5"/>
  <c r="I1374" i="5"/>
  <c r="I1375" i="5"/>
  <c r="I1376" i="5"/>
  <c r="I1377" i="5"/>
  <c r="I1378" i="5"/>
  <c r="O1711" i="5"/>
  <c r="M1744" i="5"/>
  <c r="M1745" i="5"/>
  <c r="O1747" i="5"/>
  <c r="I3325" i="5"/>
  <c r="I3326" i="5"/>
  <c r="I3327" i="5"/>
  <c r="I3328" i="5"/>
  <c r="I3329" i="5"/>
  <c r="I2" i="5"/>
  <c r="I3" i="5"/>
  <c r="I4" i="5"/>
  <c r="I5" i="5"/>
  <c r="C2" i="5"/>
  <c r="AL114" i="2"/>
  <c r="AL113" i="2"/>
  <c r="AL112" i="2"/>
  <c r="AL111" i="2"/>
  <c r="AL108" i="2"/>
  <c r="AL107" i="2"/>
  <c r="AL106" i="2"/>
  <c r="AL105" i="2"/>
  <c r="AL104" i="2"/>
  <c r="AL103" i="2"/>
  <c r="AL100" i="2"/>
  <c r="AL99" i="2"/>
  <c r="AL92" i="2"/>
  <c r="AL91" i="2"/>
  <c r="AL90" i="2"/>
  <c r="AL89" i="2"/>
  <c r="AL84" i="2"/>
  <c r="AL74" i="2"/>
  <c r="AL73" i="2"/>
  <c r="AL60" i="2"/>
  <c r="AL59" i="2"/>
  <c r="AL56" i="2"/>
  <c r="AL55" i="2"/>
  <c r="AL54" i="2"/>
  <c r="AL53" i="2"/>
  <c r="AL20" i="2"/>
  <c r="AL19" i="2"/>
  <c r="AL16" i="2"/>
  <c r="AL15" i="2"/>
  <c r="AO3" i="2" a="1"/>
  <c r="AO3" i="2" s="1"/>
  <c r="AO4" i="2" s="1" a="1"/>
  <c r="AO4" i="2" s="1"/>
  <c r="F1538" i="5"/>
  <c r="T68" i="5" l="1"/>
  <c r="T52" i="5"/>
  <c r="T33" i="5"/>
  <c r="T69" i="5"/>
  <c r="T1262" i="5"/>
  <c r="T1246" i="5"/>
  <c r="T283" i="5"/>
  <c r="T235" i="5"/>
  <c r="M1737" i="5"/>
  <c r="T1232" i="5"/>
  <c r="X1232" i="5" s="1"/>
  <c r="T1193" i="5"/>
  <c r="O1736" i="5"/>
  <c r="M1736" i="5"/>
  <c r="M1743" i="5"/>
  <c r="O1743" i="5"/>
  <c r="M1741" i="5"/>
  <c r="T5" i="5"/>
  <c r="O1744" i="5"/>
  <c r="T3313" i="5"/>
  <c r="X3313" i="5" s="1"/>
  <c r="T2297" i="5"/>
  <c r="T58" i="5"/>
  <c r="T2615" i="5"/>
  <c r="X2615" i="5" s="1"/>
  <c r="T2596" i="5"/>
  <c r="T2580" i="5"/>
  <c r="T2564" i="5"/>
  <c r="T45" i="5"/>
  <c r="V727" i="5"/>
  <c r="T522" i="5"/>
  <c r="T474" i="5"/>
  <c r="T456" i="5"/>
  <c r="T440" i="5"/>
  <c r="T357" i="5"/>
  <c r="V225" i="5"/>
  <c r="T378" i="5"/>
  <c r="W199" i="5"/>
  <c r="V3241" i="5"/>
  <c r="V565" i="5"/>
  <c r="T654" i="5"/>
  <c r="T572" i="5"/>
  <c r="T54" i="5"/>
  <c r="X54" i="5" s="1"/>
  <c r="T2966" i="5"/>
  <c r="T298" i="5"/>
  <c r="T282" i="5"/>
  <c r="V3256" i="5"/>
  <c r="V2150" i="5"/>
  <c r="W197" i="5"/>
  <c r="T1635" i="5"/>
  <c r="T155" i="5"/>
  <c r="T139" i="5"/>
  <c r="T1137" i="5"/>
  <c r="T1087" i="5"/>
  <c r="T2159" i="5"/>
  <c r="T550" i="5"/>
  <c r="T14" i="5"/>
  <c r="T3255" i="5"/>
  <c r="X3255" i="5" s="1"/>
  <c r="V1184" i="5"/>
  <c r="T2130" i="5"/>
  <c r="T2075" i="5"/>
  <c r="T2059" i="5"/>
  <c r="T2043" i="5"/>
  <c r="W651" i="5"/>
  <c r="V3300" i="5"/>
  <c r="T1805" i="5"/>
  <c r="T1743" i="5"/>
  <c r="T2202" i="5"/>
  <c r="W3215" i="5"/>
  <c r="T1112" i="5"/>
  <c r="X1112" i="5" s="1"/>
  <c r="V781" i="5"/>
  <c r="W2023" i="5"/>
  <c r="W1945" i="5"/>
  <c r="W1691" i="5"/>
  <c r="T3224" i="5"/>
  <c r="X3224" i="5" s="1"/>
  <c r="T3192" i="5"/>
  <c r="X3192" i="5" s="1"/>
  <c r="T3176" i="5"/>
  <c r="X3176" i="5" s="1"/>
  <c r="T3126" i="5"/>
  <c r="X3126" i="5" s="1"/>
  <c r="T3107" i="5"/>
  <c r="X3107" i="5" s="1"/>
  <c r="U3328" i="5"/>
  <c r="T669" i="5"/>
  <c r="X669" i="5" s="1"/>
  <c r="T748" i="5"/>
  <c r="T1146" i="5"/>
  <c r="T830" i="5"/>
  <c r="W1724" i="5"/>
  <c r="T2556" i="5"/>
  <c r="T764" i="5"/>
  <c r="V2895" i="5"/>
  <c r="W2870" i="5"/>
  <c r="W1871" i="5"/>
  <c r="T704" i="5"/>
  <c r="T648" i="5"/>
  <c r="V3067" i="5"/>
  <c r="V2961" i="5"/>
  <c r="V2940" i="5"/>
  <c r="V2935" i="5"/>
  <c r="T2466" i="5"/>
  <c r="X2466" i="5" s="1"/>
  <c r="W3225" i="5"/>
  <c r="V234" i="5"/>
  <c r="T3166" i="5"/>
  <c r="T3152" i="5"/>
  <c r="T3113" i="5"/>
  <c r="T709" i="5"/>
  <c r="V1160" i="5"/>
  <c r="T2651" i="5"/>
  <c r="T2519" i="5"/>
  <c r="T2483" i="5"/>
  <c r="X2483" i="5" s="1"/>
  <c r="T1374" i="5"/>
  <c r="X1374" i="5" s="1"/>
  <c r="T1305" i="5"/>
  <c r="T1172" i="5"/>
  <c r="T3169" i="5"/>
  <c r="X3169" i="5" s="1"/>
  <c r="T1157" i="5"/>
  <c r="T1797" i="5"/>
  <c r="X1797" i="5" s="1"/>
  <c r="T1765" i="5"/>
  <c r="V1108" i="5"/>
  <c r="W98" i="5"/>
  <c r="T806" i="5"/>
  <c r="T1268" i="5"/>
  <c r="T1167" i="5"/>
  <c r="X1167" i="5" s="1"/>
  <c r="T1135" i="5"/>
  <c r="T2607" i="5"/>
  <c r="T2575" i="5"/>
  <c r="T2527" i="5"/>
  <c r="T2160" i="5"/>
  <c r="T1370" i="5"/>
  <c r="T1198" i="5"/>
  <c r="U1724" i="5"/>
  <c r="T2973" i="5"/>
  <c r="X2973" i="5" s="1"/>
  <c r="T165" i="5"/>
  <c r="W3107" i="5"/>
  <c r="O3190" i="5"/>
  <c r="T3124" i="5"/>
  <c r="T1991" i="5"/>
  <c r="T1975" i="5"/>
  <c r="T1956" i="5"/>
  <c r="T350" i="5"/>
  <c r="X350" i="5" s="1"/>
  <c r="V3243" i="5"/>
  <c r="V3117" i="5"/>
  <c r="V2255" i="5"/>
  <c r="T2625" i="5"/>
  <c r="T1601" i="5"/>
  <c r="X1601" i="5" s="1"/>
  <c r="T747" i="5"/>
  <c r="W2613" i="5"/>
  <c r="V2472" i="5"/>
  <c r="W1215" i="5"/>
  <c r="T1699" i="5"/>
  <c r="T673" i="5"/>
  <c r="X673" i="5" s="1"/>
  <c r="T657" i="5"/>
  <c r="X657" i="5" s="1"/>
  <c r="T359" i="5"/>
  <c r="X359" i="5" s="1"/>
  <c r="T325" i="5"/>
  <c r="T290" i="5"/>
  <c r="T242" i="5"/>
  <c r="U3173" i="5"/>
  <c r="U3123" i="5"/>
  <c r="W93" i="5"/>
  <c r="U3254" i="5"/>
  <c r="T1636" i="5"/>
  <c r="T3286" i="5"/>
  <c r="X3286" i="5" s="1"/>
  <c r="T890" i="5"/>
  <c r="T507" i="5"/>
  <c r="T3131" i="5"/>
  <c r="X3131" i="5" s="1"/>
  <c r="T2232" i="5"/>
  <c r="T2197" i="5"/>
  <c r="T2181" i="5"/>
  <c r="T2165" i="5"/>
  <c r="T1522" i="5"/>
  <c r="T1506" i="5"/>
  <c r="T1492" i="5"/>
  <c r="T1437" i="5"/>
  <c r="T1389" i="5"/>
  <c r="T1304" i="5"/>
  <c r="T1288" i="5"/>
  <c r="T1272" i="5"/>
  <c r="T1256" i="5"/>
  <c r="T1242" i="5"/>
  <c r="T1222" i="5"/>
  <c r="X1222" i="5" s="1"/>
  <c r="T1089" i="5"/>
  <c r="T1038" i="5"/>
  <c r="T1006" i="5"/>
  <c r="T921" i="5"/>
  <c r="T905" i="5"/>
  <c r="T839" i="5"/>
  <c r="T823" i="5"/>
  <c r="T38" i="5"/>
  <c r="W770" i="5"/>
  <c r="T1497" i="5"/>
  <c r="T1245" i="5"/>
  <c r="T3265" i="5"/>
  <c r="T1964" i="5"/>
  <c r="T1666" i="5"/>
  <c r="T824" i="5"/>
  <c r="T2813" i="5"/>
  <c r="T2747" i="5"/>
  <c r="T2664" i="5"/>
  <c r="T2630" i="5"/>
  <c r="T1521" i="5"/>
  <c r="T1452" i="5"/>
  <c r="T1388" i="5"/>
  <c r="T1372" i="5"/>
  <c r="T1338" i="5"/>
  <c r="T1319" i="5"/>
  <c r="T1303" i="5"/>
  <c r="T1021" i="5"/>
  <c r="X1021" i="5" s="1"/>
  <c r="T1005" i="5"/>
  <c r="T973" i="5"/>
  <c r="T936" i="5"/>
  <c r="U3300" i="5"/>
  <c r="P3300" i="5" s="1"/>
  <c r="T2659" i="5"/>
  <c r="X2659" i="5" s="1"/>
  <c r="T2017" i="5"/>
  <c r="T840" i="5"/>
  <c r="T789" i="5"/>
  <c r="T475" i="5"/>
  <c r="T358" i="5"/>
  <c r="X358" i="5" s="1"/>
  <c r="T3243" i="5"/>
  <c r="T2727" i="5"/>
  <c r="T2033" i="5"/>
  <c r="T1717" i="5"/>
  <c r="X1717" i="5" s="1"/>
  <c r="T1055" i="5"/>
  <c r="T491" i="5"/>
  <c r="T2827" i="5"/>
  <c r="T1912" i="5"/>
  <c r="U3131" i="5"/>
  <c r="U3323" i="5"/>
  <c r="T1364" i="5"/>
  <c r="T2166" i="5"/>
  <c r="T1948" i="5"/>
  <c r="T1620" i="5"/>
  <c r="T3280" i="5"/>
  <c r="T2877" i="5"/>
  <c r="T1606" i="5"/>
  <c r="X1606" i="5" s="1"/>
  <c r="T885" i="5"/>
  <c r="U3164" i="5"/>
  <c r="Y3164" i="5" s="1"/>
  <c r="V3023" i="5"/>
  <c r="W3016" i="5"/>
  <c r="V2675" i="5"/>
  <c r="V2336" i="5"/>
  <c r="V2071" i="5"/>
  <c r="W1538" i="5"/>
  <c r="T154" i="5"/>
  <c r="V1253" i="5"/>
  <c r="T138" i="5"/>
  <c r="T2326" i="5"/>
  <c r="T2310" i="5"/>
  <c r="X2310" i="5" s="1"/>
  <c r="T2264" i="5"/>
  <c r="X2264" i="5" s="1"/>
  <c r="W1848" i="5"/>
  <c r="T604" i="5"/>
  <c r="X604" i="5" s="1"/>
  <c r="T868" i="5"/>
  <c r="T2988" i="5"/>
  <c r="T2261" i="5"/>
  <c r="T1132" i="5"/>
  <c r="X1132" i="5" s="1"/>
  <c r="T1101" i="5"/>
  <c r="T199" i="5"/>
  <c r="X199" i="5" s="1"/>
  <c r="T164" i="5"/>
  <c r="T132" i="5"/>
  <c r="X132" i="5" s="1"/>
  <c r="T100" i="5"/>
  <c r="T2939" i="5"/>
  <c r="T2290" i="5"/>
  <c r="X2290" i="5" s="1"/>
  <c r="T2274" i="5"/>
  <c r="X2274" i="5" s="1"/>
  <c r="T482" i="5"/>
  <c r="T448" i="5"/>
  <c r="T218" i="5"/>
  <c r="W2171" i="5"/>
  <c r="T966" i="5"/>
  <c r="T2539" i="5"/>
  <c r="T2505" i="5"/>
  <c r="T2489" i="5"/>
  <c r="X2489" i="5" s="1"/>
  <c r="T1213" i="5"/>
  <c r="T564" i="5"/>
  <c r="T481" i="5"/>
  <c r="T428" i="5"/>
  <c r="V2375" i="5"/>
  <c r="T91" i="5"/>
  <c r="T2296" i="5"/>
  <c r="T208" i="5"/>
  <c r="X208" i="5" s="1"/>
  <c r="T301" i="5"/>
  <c r="T2841" i="5"/>
  <c r="T799" i="5"/>
  <c r="X799" i="5" s="1"/>
  <c r="T3239" i="5"/>
  <c r="T2909" i="5"/>
  <c r="T2895" i="5"/>
  <c r="T1909" i="5"/>
  <c r="X1909" i="5" s="1"/>
  <c r="T1893" i="5"/>
  <c r="X1893" i="5" s="1"/>
  <c r="T1879" i="5"/>
  <c r="X1879" i="5" s="1"/>
  <c r="T899" i="5"/>
  <c r="T2621" i="5"/>
  <c r="T2602" i="5"/>
  <c r="X2602" i="5" s="1"/>
  <c r="T2538" i="5"/>
  <c r="T2504" i="5"/>
  <c r="T1855" i="5"/>
  <c r="T895" i="5"/>
  <c r="T2996" i="5"/>
  <c r="T222" i="5"/>
  <c r="T320" i="5"/>
  <c r="T2626" i="5"/>
  <c r="T1926" i="5"/>
  <c r="X1926" i="5" s="1"/>
  <c r="T1860" i="5"/>
  <c r="X1860" i="5" s="1"/>
  <c r="T834" i="5"/>
  <c r="T2870" i="5"/>
  <c r="X2870" i="5" s="1"/>
  <c r="T2835" i="5"/>
  <c r="T1094" i="5"/>
  <c r="T1078" i="5"/>
  <c r="T894" i="5"/>
  <c r="X894" i="5" s="1"/>
  <c r="T878" i="5"/>
  <c r="W2927" i="5"/>
  <c r="V679" i="5"/>
  <c r="T2896" i="5"/>
  <c r="T1894" i="5"/>
  <c r="T1809" i="5"/>
  <c r="T1065" i="5"/>
  <c r="T884" i="5"/>
  <c r="T2983" i="5"/>
  <c r="X2983" i="5" s="1"/>
  <c r="T2217" i="5"/>
  <c r="T1026" i="5"/>
  <c r="T1010" i="5"/>
  <c r="T994" i="5"/>
  <c r="X994" i="5" s="1"/>
  <c r="T960" i="5"/>
  <c r="X960" i="5" s="1"/>
  <c r="T175" i="5"/>
  <c r="T143" i="5"/>
  <c r="W1558" i="5"/>
  <c r="T106" i="5"/>
  <c r="T3012" i="5"/>
  <c r="T2280" i="5"/>
  <c r="X2280" i="5" s="1"/>
  <c r="T984" i="5"/>
  <c r="T950" i="5"/>
  <c r="T915" i="5"/>
  <c r="X915" i="5" s="1"/>
  <c r="T3051" i="5"/>
  <c r="X3051" i="5" s="1"/>
  <c r="V1150" i="5"/>
  <c r="T1960" i="5"/>
  <c r="T1567" i="5"/>
  <c r="T1551" i="5"/>
  <c r="X1551" i="5" s="1"/>
  <c r="T856" i="5"/>
  <c r="M2" i="5"/>
  <c r="W2413" i="5"/>
  <c r="W1508" i="5"/>
  <c r="W1296" i="5"/>
  <c r="V1070" i="5"/>
  <c r="V60" i="5"/>
  <c r="W55" i="5"/>
  <c r="T2826" i="5"/>
  <c r="T2794" i="5"/>
  <c r="X2794" i="5" s="1"/>
  <c r="T2779" i="5"/>
  <c r="X2779" i="5" s="1"/>
  <c r="T2725" i="5"/>
  <c r="X2725" i="5" s="1"/>
  <c r="T2709" i="5"/>
  <c r="T2560" i="5"/>
  <c r="T2544" i="5"/>
  <c r="T2514" i="5"/>
  <c r="T2494" i="5"/>
  <c r="T2475" i="5"/>
  <c r="X2475" i="5" s="1"/>
  <c r="T2177" i="5"/>
  <c r="T2145" i="5"/>
  <c r="T2131" i="5"/>
  <c r="T2111" i="5"/>
  <c r="T2092" i="5"/>
  <c r="T2060" i="5"/>
  <c r="T2044" i="5"/>
  <c r="T1050" i="5"/>
  <c r="T1034" i="5"/>
  <c r="T1018" i="5"/>
  <c r="T1002" i="5"/>
  <c r="X1002" i="5" s="1"/>
  <c r="T986" i="5"/>
  <c r="T855" i="5"/>
  <c r="X855" i="5" s="1"/>
  <c r="T835" i="5"/>
  <c r="T819" i="5"/>
  <c r="T486" i="5"/>
  <c r="T452" i="5"/>
  <c r="M3313" i="5"/>
  <c r="O3283" i="5"/>
  <c r="U2997" i="5"/>
  <c r="V2075" i="5"/>
  <c r="V1204" i="5"/>
  <c r="W811" i="5"/>
  <c r="W20" i="5"/>
  <c r="T2746" i="5"/>
  <c r="T3279" i="5"/>
  <c r="X3279" i="5" s="1"/>
  <c r="T1692" i="5"/>
  <c r="T568" i="5"/>
  <c r="T384" i="5"/>
  <c r="M3145" i="5"/>
  <c r="T3041" i="5"/>
  <c r="T2674" i="5"/>
  <c r="T2222" i="5"/>
  <c r="T1940" i="5"/>
  <c r="T1908" i="5"/>
  <c r="T1878" i="5"/>
  <c r="T1690" i="5"/>
  <c r="X1690" i="5" s="1"/>
  <c r="T1481" i="5"/>
  <c r="T1446" i="5"/>
  <c r="T765" i="5"/>
  <c r="T733" i="5"/>
  <c r="T699" i="5"/>
  <c r="T680" i="5"/>
  <c r="U3177" i="5"/>
  <c r="W2987" i="5"/>
  <c r="W2982" i="5"/>
  <c r="U2876" i="5"/>
  <c r="W1993" i="5"/>
  <c r="V1881" i="5"/>
  <c r="V1647" i="5"/>
  <c r="V899" i="5"/>
  <c r="W894" i="5"/>
  <c r="V499" i="5"/>
  <c r="V185" i="5"/>
  <c r="T137" i="5"/>
  <c r="X137" i="5" s="1"/>
  <c r="T3173" i="5"/>
  <c r="X3173" i="5" s="1"/>
  <c r="T717" i="5"/>
  <c r="T72" i="5"/>
  <c r="X72" i="5" s="1"/>
  <c r="T1913" i="5"/>
  <c r="T169" i="5"/>
  <c r="T121" i="5"/>
  <c r="T1166" i="5"/>
  <c r="T517" i="5"/>
  <c r="T338" i="5"/>
  <c r="T2191" i="5"/>
  <c r="T3188" i="5"/>
  <c r="X3188" i="5" s="1"/>
  <c r="T3158" i="5"/>
  <c r="T2470" i="5"/>
  <c r="T2071" i="5"/>
  <c r="T2055" i="5"/>
  <c r="T2039" i="5"/>
  <c r="X2039" i="5" s="1"/>
  <c r="T2023" i="5"/>
  <c r="X2023" i="5" s="1"/>
  <c r="T2009" i="5"/>
  <c r="T1938" i="5"/>
  <c r="X1938" i="5" s="1"/>
  <c r="T811" i="5"/>
  <c r="X811" i="5" s="1"/>
  <c r="T279" i="5"/>
  <c r="X279" i="5" s="1"/>
  <c r="T263" i="5"/>
  <c r="T247" i="5"/>
  <c r="T231" i="5"/>
  <c r="T217" i="5"/>
  <c r="U3305" i="5"/>
  <c r="T2455" i="5"/>
  <c r="X2455" i="5" s="1"/>
  <c r="T3203" i="5"/>
  <c r="X3203" i="5" s="1"/>
  <c r="T2121" i="5"/>
  <c r="X2121" i="5" s="1"/>
  <c r="T2105" i="5"/>
  <c r="T2086" i="5"/>
  <c r="X2086" i="5" s="1"/>
  <c r="T2070" i="5"/>
  <c r="T2054" i="5"/>
  <c r="T2038" i="5"/>
  <c r="X2038" i="5" s="1"/>
  <c r="T2022" i="5"/>
  <c r="T2008" i="5"/>
  <c r="T996" i="5"/>
  <c r="T962" i="5"/>
  <c r="T943" i="5"/>
  <c r="X943" i="5" s="1"/>
  <c r="T911" i="5"/>
  <c r="X911" i="5" s="1"/>
  <c r="T512" i="5"/>
  <c r="W3059" i="5"/>
  <c r="T2176" i="5"/>
  <c r="T1083" i="5"/>
  <c r="T1923" i="5"/>
  <c r="T3234" i="5"/>
  <c r="T2968" i="5"/>
  <c r="X2968" i="5" s="1"/>
  <c r="T2139" i="5"/>
  <c r="T1043" i="5"/>
  <c r="T995" i="5"/>
  <c r="T942" i="5"/>
  <c r="T628" i="5"/>
  <c r="T612" i="5"/>
  <c r="T598" i="5"/>
  <c r="T90" i="5"/>
  <c r="T1945" i="5"/>
  <c r="X1945" i="5" s="1"/>
  <c r="T153" i="5"/>
  <c r="T352" i="5"/>
  <c r="X352" i="5" s="1"/>
  <c r="T720" i="5"/>
  <c r="T2010" i="5"/>
  <c r="T2653" i="5"/>
  <c r="X2653" i="5" s="1"/>
  <c r="T2619" i="5"/>
  <c r="T1873" i="5"/>
  <c r="T1496" i="5"/>
  <c r="T1460" i="5"/>
  <c r="T1441" i="5"/>
  <c r="X1441" i="5" s="1"/>
  <c r="T1324" i="5"/>
  <c r="T627" i="5"/>
  <c r="X627" i="5" s="1"/>
  <c r="T597" i="5"/>
  <c r="T1103" i="5"/>
  <c r="T3024" i="5"/>
  <c r="X3024" i="5" s="1"/>
  <c r="T3067" i="5"/>
  <c r="T3001" i="5"/>
  <c r="X3001" i="5" s="1"/>
  <c r="T2501" i="5"/>
  <c r="X2501" i="5" s="1"/>
  <c r="T2005" i="5"/>
  <c r="T1985" i="5"/>
  <c r="T1966" i="5"/>
  <c r="T1950" i="5"/>
  <c r="T1934" i="5"/>
  <c r="X1934" i="5" s="1"/>
  <c r="T1902" i="5"/>
  <c r="T1557" i="5"/>
  <c r="X1557" i="5" s="1"/>
  <c r="T142" i="5"/>
  <c r="T126" i="5"/>
  <c r="T9" i="5"/>
  <c r="X9" i="5" s="1"/>
  <c r="U3116" i="5"/>
  <c r="Y3116" i="5" s="1"/>
  <c r="W2918" i="5"/>
  <c r="W887" i="5"/>
  <c r="T3062" i="5"/>
  <c r="T2812" i="5"/>
  <c r="X2812" i="5" s="1"/>
  <c r="T2780" i="5"/>
  <c r="X2780" i="5" s="1"/>
  <c r="T2765" i="5"/>
  <c r="T2175" i="5"/>
  <c r="O3077" i="5"/>
  <c r="M3316" i="5"/>
  <c r="T3133" i="5"/>
  <c r="X3133" i="5" s="1"/>
  <c r="T2500" i="5"/>
  <c r="X2500" i="5" s="1"/>
  <c r="T2137" i="5"/>
  <c r="T2117" i="5"/>
  <c r="X2117" i="5" s="1"/>
  <c r="T2101" i="5"/>
  <c r="T2050" i="5"/>
  <c r="T1933" i="5"/>
  <c r="T1917" i="5"/>
  <c r="T875" i="5"/>
  <c r="T742" i="5"/>
  <c r="X742" i="5" s="1"/>
  <c r="V1056" i="5"/>
  <c r="V857" i="5"/>
  <c r="V568" i="5"/>
  <c r="W333" i="5"/>
  <c r="T1015" i="5"/>
  <c r="T3141" i="5"/>
  <c r="X3141" i="5" s="1"/>
  <c r="T2074" i="5"/>
  <c r="T3269" i="5"/>
  <c r="X3269" i="5" s="1"/>
  <c r="T3117" i="5"/>
  <c r="M1543" i="5"/>
  <c r="T1192" i="5"/>
  <c r="U3139" i="5"/>
  <c r="W2566" i="5"/>
  <c r="V2561" i="5"/>
  <c r="V2214" i="5"/>
  <c r="W2209" i="5"/>
  <c r="W1930" i="5"/>
  <c r="W791" i="5"/>
  <c r="V507" i="5"/>
  <c r="V502" i="5"/>
  <c r="T1265" i="5"/>
  <c r="X1265" i="5" s="1"/>
  <c r="T965" i="5"/>
  <c r="X965" i="5" s="1"/>
  <c r="T414" i="5"/>
  <c r="T147" i="5"/>
  <c r="T2836" i="5"/>
  <c r="X2836" i="5" s="1"/>
  <c r="T2820" i="5"/>
  <c r="X2820" i="5" s="1"/>
  <c r="T2336" i="5"/>
  <c r="T2320" i="5"/>
  <c r="T2304" i="5"/>
  <c r="T695" i="5"/>
  <c r="O3072" i="5"/>
  <c r="M3283" i="5"/>
  <c r="T3302" i="5"/>
  <c r="X3302" i="5" s="1"/>
  <c r="T2919" i="5"/>
  <c r="T2451" i="5"/>
  <c r="T2403" i="5"/>
  <c r="T2201" i="5"/>
  <c r="X2201" i="5" s="1"/>
  <c r="T2185" i="5"/>
  <c r="T2169" i="5"/>
  <c r="T2153" i="5"/>
  <c r="T2103" i="5"/>
  <c r="T1276" i="5"/>
  <c r="X1276" i="5" s="1"/>
  <c r="T1127" i="5"/>
  <c r="X1127" i="5" s="1"/>
  <c r="T659" i="5"/>
  <c r="T393" i="5"/>
  <c r="T361" i="5"/>
  <c r="T327" i="5"/>
  <c r="T79" i="5"/>
  <c r="O3255" i="5"/>
  <c r="O3220" i="5"/>
  <c r="O3087" i="5"/>
  <c r="V3239" i="5"/>
  <c r="V3234" i="5"/>
  <c r="W3229" i="5"/>
  <c r="T3153" i="5"/>
  <c r="W2611" i="5"/>
  <c r="T2129" i="5"/>
  <c r="T1297" i="5"/>
  <c r="T2221" i="5"/>
  <c r="T1445" i="5"/>
  <c r="T1707" i="5"/>
  <c r="T2174" i="5"/>
  <c r="T1398" i="5"/>
  <c r="T1313" i="5"/>
  <c r="X1313" i="5" s="1"/>
  <c r="T1031" i="5"/>
  <c r="T930" i="5"/>
  <c r="X930" i="5" s="1"/>
  <c r="T430" i="5"/>
  <c r="T2721" i="5"/>
  <c r="O1544" i="5"/>
  <c r="T1161" i="5"/>
  <c r="T677" i="5"/>
  <c r="T613" i="5"/>
  <c r="T579" i="5"/>
  <c r="T262" i="5"/>
  <c r="X262" i="5" s="1"/>
  <c r="T230" i="5"/>
  <c r="T3231" i="5"/>
  <c r="X3231" i="5" s="1"/>
  <c r="T3183" i="5"/>
  <c r="T3016" i="5"/>
  <c r="X3016" i="5" s="1"/>
  <c r="T2867" i="5"/>
  <c r="T2816" i="5"/>
  <c r="T2800" i="5"/>
  <c r="T2750" i="5"/>
  <c r="T2715" i="5"/>
  <c r="T2683" i="5"/>
  <c r="T2667" i="5"/>
  <c r="T2633" i="5"/>
  <c r="T2617" i="5"/>
  <c r="X2617" i="5" s="1"/>
  <c r="T2300" i="5"/>
  <c r="T2215" i="5"/>
  <c r="T2151" i="5"/>
  <c r="T1871" i="5"/>
  <c r="X1871" i="5" s="1"/>
  <c r="T1189" i="5"/>
  <c r="T1040" i="5"/>
  <c r="T1008" i="5"/>
  <c r="T992" i="5"/>
  <c r="T976" i="5"/>
  <c r="T958" i="5"/>
  <c r="T907" i="5"/>
  <c r="T508" i="5"/>
  <c r="T192" i="5"/>
  <c r="T125" i="5"/>
  <c r="X125" i="5" s="1"/>
  <c r="M3303" i="5"/>
  <c r="O3289" i="5"/>
  <c r="O3156" i="5"/>
  <c r="T3320" i="5"/>
  <c r="X3320" i="5" s="1"/>
  <c r="V86" i="5"/>
  <c r="V58" i="5"/>
  <c r="T2240" i="5"/>
  <c r="T3301" i="5"/>
  <c r="T3134" i="5"/>
  <c r="X3134" i="5" s="1"/>
  <c r="T1719" i="5"/>
  <c r="T1596" i="5"/>
  <c r="X1596" i="5" s="1"/>
  <c r="T477" i="5"/>
  <c r="T3214" i="5"/>
  <c r="X3214" i="5" s="1"/>
  <c r="T2831" i="5"/>
  <c r="T2815" i="5"/>
  <c r="T2799" i="5"/>
  <c r="T2769" i="5"/>
  <c r="T2749" i="5"/>
  <c r="T2730" i="5"/>
  <c r="T2666" i="5"/>
  <c r="T2315" i="5"/>
  <c r="T2283" i="5"/>
  <c r="T1869" i="5"/>
  <c r="X1869" i="5" s="1"/>
  <c r="T1493" i="5"/>
  <c r="T1140" i="5"/>
  <c r="X1140" i="5" s="1"/>
  <c r="T1124" i="5"/>
  <c r="T1110" i="5"/>
  <c r="T707" i="5"/>
  <c r="T608" i="5"/>
  <c r="T574" i="5"/>
  <c r="X574" i="5" s="1"/>
  <c r="T523" i="5"/>
  <c r="T225" i="5"/>
  <c r="T211" i="5"/>
  <c r="T156" i="5"/>
  <c r="T108" i="5"/>
  <c r="O3318" i="5"/>
  <c r="U3288" i="5"/>
  <c r="M3233" i="5"/>
  <c r="M3201" i="5"/>
  <c r="T2818" i="5"/>
  <c r="W582" i="5"/>
  <c r="T2673" i="5"/>
  <c r="T2260" i="5"/>
  <c r="X2260" i="5" s="1"/>
  <c r="T1514" i="5"/>
  <c r="T1397" i="5"/>
  <c r="T565" i="5"/>
  <c r="T2837" i="5"/>
  <c r="T1561" i="5"/>
  <c r="T3106" i="5"/>
  <c r="X3106" i="5" s="1"/>
  <c r="T2716" i="5"/>
  <c r="T2652" i="5"/>
  <c r="T2200" i="5"/>
  <c r="X2200" i="5" s="1"/>
  <c r="T1668" i="5"/>
  <c r="T1362" i="5"/>
  <c r="T493" i="5"/>
  <c r="T3284" i="5"/>
  <c r="X3284" i="5" s="1"/>
  <c r="T3032" i="5"/>
  <c r="T2915" i="5"/>
  <c r="T2881" i="5"/>
  <c r="T2846" i="5"/>
  <c r="T2782" i="5"/>
  <c r="T2768" i="5"/>
  <c r="T2748" i="5"/>
  <c r="T2713" i="5"/>
  <c r="T2697" i="5"/>
  <c r="T2681" i="5"/>
  <c r="X2681" i="5" s="1"/>
  <c r="T2479" i="5"/>
  <c r="X2479" i="5" s="1"/>
  <c r="T2463" i="5"/>
  <c r="T2385" i="5"/>
  <c r="T2330" i="5"/>
  <c r="T2064" i="5"/>
  <c r="T1982" i="5"/>
  <c r="T1963" i="5"/>
  <c r="T1947" i="5"/>
  <c r="T1915" i="5"/>
  <c r="T1139" i="5"/>
  <c r="T804" i="5"/>
  <c r="T726" i="5"/>
  <c r="T706" i="5"/>
  <c r="T671" i="5"/>
  <c r="T655" i="5"/>
  <c r="T639" i="5"/>
  <c r="T240" i="5"/>
  <c r="T190" i="5"/>
  <c r="M3251" i="5"/>
  <c r="M2918" i="5"/>
  <c r="U2828" i="5"/>
  <c r="W2659" i="5"/>
  <c r="W188" i="5"/>
  <c r="T2821" i="5"/>
  <c r="T2720" i="5"/>
  <c r="T2259" i="5"/>
  <c r="T2684" i="5"/>
  <c r="T2235" i="5"/>
  <c r="T2184" i="5"/>
  <c r="T1376" i="5"/>
  <c r="T3297" i="5"/>
  <c r="X3297" i="5" s="1"/>
  <c r="T3244" i="5"/>
  <c r="T3149" i="5"/>
  <c r="T3063" i="5"/>
  <c r="T3047" i="5"/>
  <c r="T3031" i="5"/>
  <c r="T2497" i="5"/>
  <c r="T2164" i="5"/>
  <c r="X2164" i="5" s="1"/>
  <c r="T2148" i="5"/>
  <c r="T2095" i="5"/>
  <c r="X2095" i="5" s="1"/>
  <c r="T2031" i="5"/>
  <c r="T2015" i="5"/>
  <c r="X2015" i="5" s="1"/>
  <c r="T1632" i="5"/>
  <c r="X1632" i="5" s="1"/>
  <c r="T1221" i="5"/>
  <c r="T1154" i="5"/>
  <c r="T1122" i="5"/>
  <c r="T787" i="5"/>
  <c r="T739" i="5"/>
  <c r="T638" i="5"/>
  <c r="X638" i="5" s="1"/>
  <c r="T592" i="5"/>
  <c r="X592" i="5" s="1"/>
  <c r="T420" i="5"/>
  <c r="T388" i="5"/>
  <c r="T372" i="5"/>
  <c r="X372" i="5" s="1"/>
  <c r="T356" i="5"/>
  <c r="T342" i="5"/>
  <c r="T223" i="5"/>
  <c r="X223" i="5" s="1"/>
  <c r="T209" i="5"/>
  <c r="T21" i="5"/>
  <c r="O3316" i="5"/>
  <c r="O3266" i="5"/>
  <c r="U2715" i="5"/>
  <c r="W3126" i="5"/>
  <c r="W2812" i="5"/>
  <c r="W2266" i="5"/>
  <c r="W1167" i="5"/>
  <c r="W352" i="5"/>
  <c r="T2158" i="5"/>
  <c r="T949" i="5"/>
  <c r="T1413" i="5"/>
  <c r="T530" i="5"/>
  <c r="T3039" i="5"/>
  <c r="X3039" i="5" s="1"/>
  <c r="T1856" i="5"/>
  <c r="X1856" i="5" s="1"/>
  <c r="U3111" i="5"/>
  <c r="T278" i="5"/>
  <c r="T3328" i="5"/>
  <c r="X3328" i="5" s="1"/>
  <c r="T3145" i="5"/>
  <c r="T3129" i="5"/>
  <c r="X3129" i="5" s="1"/>
  <c r="M3078" i="5"/>
  <c r="T2961" i="5"/>
  <c r="T2629" i="5"/>
  <c r="T2496" i="5"/>
  <c r="T2477" i="5"/>
  <c r="T2461" i="5"/>
  <c r="T2445" i="5"/>
  <c r="T2429" i="5"/>
  <c r="X2429" i="5" s="1"/>
  <c r="T2230" i="5"/>
  <c r="T2211" i="5"/>
  <c r="T2179" i="5"/>
  <c r="T2163" i="5"/>
  <c r="X2163" i="5" s="1"/>
  <c r="T2046" i="5"/>
  <c r="T2014" i="5"/>
  <c r="X2014" i="5" s="1"/>
  <c r="T1847" i="5"/>
  <c r="T1828" i="5"/>
  <c r="T1812" i="5"/>
  <c r="T1750" i="5"/>
  <c r="T1647" i="5"/>
  <c r="T1337" i="5"/>
  <c r="T1169" i="5"/>
  <c r="T857" i="5"/>
  <c r="T786" i="5"/>
  <c r="X786" i="5" s="1"/>
  <c r="T536" i="5"/>
  <c r="T520" i="5"/>
  <c r="T419" i="5"/>
  <c r="T387" i="5"/>
  <c r="T371" i="5"/>
  <c r="T36" i="5"/>
  <c r="X36" i="5" s="1"/>
  <c r="M3182" i="5"/>
  <c r="U2815" i="5"/>
  <c r="T3308" i="5"/>
  <c r="X3308" i="5" s="1"/>
  <c r="W3284" i="5"/>
  <c r="V2996" i="5"/>
  <c r="V2822" i="5"/>
  <c r="W1834" i="5"/>
  <c r="W1797" i="5"/>
  <c r="V1760" i="5"/>
  <c r="V1063" i="5"/>
  <c r="T867" i="5"/>
  <c r="T2756" i="5"/>
  <c r="X2756" i="5" s="1"/>
  <c r="T1530" i="5"/>
  <c r="T3317" i="5"/>
  <c r="T1700" i="5"/>
  <c r="X1700" i="5" s="1"/>
  <c r="T2515" i="5"/>
  <c r="T2476" i="5"/>
  <c r="X2476" i="5" s="1"/>
  <c r="T2279" i="5"/>
  <c r="T2045" i="5"/>
  <c r="T1846" i="5"/>
  <c r="T1827" i="5"/>
  <c r="T1811" i="5"/>
  <c r="T1749" i="5"/>
  <c r="T1729" i="5"/>
  <c r="X1729" i="5" s="1"/>
  <c r="T1694" i="5"/>
  <c r="X1694" i="5" s="1"/>
  <c r="T1503" i="5"/>
  <c r="X1503" i="5" s="1"/>
  <c r="T437" i="5"/>
  <c r="T370" i="5"/>
  <c r="T120" i="5"/>
  <c r="T70" i="5"/>
  <c r="U3080" i="5"/>
  <c r="W2967" i="5"/>
  <c r="V2518" i="5"/>
  <c r="W2367" i="5"/>
  <c r="V1852" i="5"/>
  <c r="V1398" i="5"/>
  <c r="V1130" i="5"/>
  <c r="V1125" i="5"/>
  <c r="W1120" i="5"/>
  <c r="V383" i="5"/>
  <c r="V294" i="5"/>
  <c r="T2828" i="5"/>
  <c r="T2397" i="5"/>
  <c r="X2397" i="5" s="1"/>
  <c r="T2147" i="5"/>
  <c r="X2147" i="5" s="1"/>
  <c r="T302" i="5"/>
  <c r="O3198" i="5"/>
  <c r="M2932" i="5"/>
  <c r="V2400" i="5"/>
  <c r="V2257" i="5"/>
  <c r="V2067" i="5"/>
  <c r="V2062" i="5"/>
  <c r="W1786" i="5"/>
  <c r="V1671" i="5"/>
  <c r="V1335" i="5"/>
  <c r="V426" i="5"/>
  <c r="W363" i="5"/>
  <c r="W358" i="5"/>
  <c r="V301" i="5"/>
  <c r="V275" i="5"/>
  <c r="V254" i="5"/>
  <c r="W113" i="5"/>
  <c r="T2518" i="5"/>
  <c r="T2267" i="5"/>
  <c r="T2032" i="5"/>
  <c r="T2411" i="5"/>
  <c r="T2228" i="5"/>
  <c r="X2228" i="5" s="1"/>
  <c r="T1943" i="5"/>
  <c r="T201" i="5"/>
  <c r="X201" i="5" s="1"/>
  <c r="T166" i="5"/>
  <c r="T150" i="5"/>
  <c r="X150" i="5" s="1"/>
  <c r="T102" i="5"/>
  <c r="U3282" i="5"/>
  <c r="P3282" i="5" s="1"/>
  <c r="U3262" i="5"/>
  <c r="M3243" i="5"/>
  <c r="U3179" i="5"/>
  <c r="U3078" i="5"/>
  <c r="O2977" i="5"/>
  <c r="M2899" i="5"/>
  <c r="U3313" i="5"/>
  <c r="T3011" i="5"/>
  <c r="T2648" i="5"/>
  <c r="T1386" i="5"/>
  <c r="T902" i="5"/>
  <c r="T104" i="5"/>
  <c r="O3181" i="5"/>
  <c r="O3131" i="5"/>
  <c r="O3048" i="5"/>
  <c r="T2647" i="5"/>
  <c r="T1895" i="5"/>
  <c r="T1468" i="5"/>
  <c r="T752" i="5"/>
  <c r="T135" i="5"/>
  <c r="T103" i="5"/>
  <c r="M3329" i="5"/>
  <c r="O3212" i="5"/>
  <c r="M3164" i="5"/>
  <c r="M3111" i="5"/>
  <c r="M3047" i="5"/>
  <c r="T3162" i="5"/>
  <c r="T2958" i="5"/>
  <c r="T2910" i="5"/>
  <c r="X2910" i="5" s="1"/>
  <c r="T2793" i="5"/>
  <c r="T2759" i="5"/>
  <c r="T2708" i="5"/>
  <c r="T2692" i="5"/>
  <c r="T2676" i="5"/>
  <c r="T2646" i="5"/>
  <c r="T2493" i="5"/>
  <c r="T1977" i="5"/>
  <c r="T1880" i="5"/>
  <c r="M1676" i="5"/>
  <c r="T1400" i="5"/>
  <c r="T1150" i="5"/>
  <c r="T1134" i="5"/>
  <c r="T701" i="5"/>
  <c r="T400" i="5"/>
  <c r="X400" i="5" s="1"/>
  <c r="T3207" i="5"/>
  <c r="T3090" i="5"/>
  <c r="T2941" i="5"/>
  <c r="X2941" i="5" s="1"/>
  <c r="T2792" i="5"/>
  <c r="T2778" i="5"/>
  <c r="T2742" i="5"/>
  <c r="X2742" i="5" s="1"/>
  <c r="T2691" i="5"/>
  <c r="T2526" i="5"/>
  <c r="X2526" i="5" s="1"/>
  <c r="T2512" i="5"/>
  <c r="T2262" i="5"/>
  <c r="T2058" i="5"/>
  <c r="X2058" i="5" s="1"/>
  <c r="T2011" i="5"/>
  <c r="X2011" i="5" s="1"/>
  <c r="T1976" i="5"/>
  <c r="T1941" i="5"/>
  <c r="X1941" i="5" s="1"/>
  <c r="T1843" i="5"/>
  <c r="T1776" i="5"/>
  <c r="X1776" i="5" s="1"/>
  <c r="T1726" i="5"/>
  <c r="T1181" i="5"/>
  <c r="T853" i="5"/>
  <c r="T814" i="5"/>
  <c r="T516" i="5"/>
  <c r="T500" i="5"/>
  <c r="T415" i="5"/>
  <c r="X415" i="5" s="1"/>
  <c r="T399" i="5"/>
  <c r="T266" i="5"/>
  <c r="M3295" i="5"/>
  <c r="M3261" i="5"/>
  <c r="O3242" i="5"/>
  <c r="M3045" i="5"/>
  <c r="M3029" i="5"/>
  <c r="O2976" i="5"/>
  <c r="V2816" i="5"/>
  <c r="W1879" i="5"/>
  <c r="V1750" i="5"/>
  <c r="T441" i="5"/>
  <c r="T2860" i="5"/>
  <c r="T2113" i="5"/>
  <c r="T1589" i="5"/>
  <c r="T903" i="5"/>
  <c r="O3315" i="5"/>
  <c r="M3285" i="5"/>
  <c r="O3214" i="5"/>
  <c r="M3033" i="5"/>
  <c r="T2912" i="5"/>
  <c r="T3174" i="5"/>
  <c r="T2839" i="5"/>
  <c r="T2807" i="5"/>
  <c r="T2791" i="5"/>
  <c r="T2605" i="5"/>
  <c r="T2541" i="5"/>
  <c r="T2511" i="5"/>
  <c r="T2307" i="5"/>
  <c r="T2275" i="5"/>
  <c r="T2089" i="5"/>
  <c r="T2073" i="5"/>
  <c r="T2041" i="5"/>
  <c r="T1858" i="5"/>
  <c r="X1858" i="5" s="1"/>
  <c r="T1215" i="5"/>
  <c r="X1215" i="5" s="1"/>
  <c r="T1196" i="5"/>
  <c r="T1180" i="5"/>
  <c r="T866" i="5"/>
  <c r="T852" i="5"/>
  <c r="T813" i="5"/>
  <c r="T281" i="5"/>
  <c r="T265" i="5"/>
  <c r="T233" i="5"/>
  <c r="T31" i="5"/>
  <c r="M3326" i="5"/>
  <c r="M3310" i="5"/>
  <c r="M3280" i="5"/>
  <c r="M3260" i="5"/>
  <c r="M3209" i="5"/>
  <c r="M3193" i="5"/>
  <c r="M3127" i="5"/>
  <c r="M2897" i="5"/>
  <c r="W2965" i="5"/>
  <c r="T2871" i="5"/>
  <c r="V2645" i="5"/>
  <c r="V2640" i="5"/>
  <c r="W2615" i="5"/>
  <c r="V2311" i="5"/>
  <c r="V2091" i="5"/>
  <c r="V2050" i="5"/>
  <c r="W1860" i="5"/>
  <c r="W775" i="5"/>
  <c r="T2048" i="5"/>
  <c r="T2016" i="5"/>
  <c r="T224" i="5"/>
  <c r="T3212" i="5"/>
  <c r="T2063" i="5"/>
  <c r="X2063" i="5" s="1"/>
  <c r="T838" i="5"/>
  <c r="T537" i="5"/>
  <c r="T287" i="5"/>
  <c r="X287" i="5" s="1"/>
  <c r="T255" i="5"/>
  <c r="X255" i="5" s="1"/>
  <c r="T56" i="5"/>
  <c r="O3066" i="5"/>
  <c r="T88" i="5"/>
  <c r="T1927" i="5"/>
  <c r="T2971" i="5"/>
  <c r="T2854" i="5"/>
  <c r="X2854" i="5" s="1"/>
  <c r="T2838" i="5"/>
  <c r="T2604" i="5"/>
  <c r="T2572" i="5"/>
  <c r="T2393" i="5"/>
  <c r="T2157" i="5"/>
  <c r="T2107" i="5"/>
  <c r="T2088" i="5"/>
  <c r="T2072" i="5"/>
  <c r="T1578" i="5"/>
  <c r="T1381" i="5"/>
  <c r="X1381" i="5" s="1"/>
  <c r="T1367" i="5"/>
  <c r="X1367" i="5" s="1"/>
  <c r="T1296" i="5"/>
  <c r="X1296" i="5" s="1"/>
  <c r="T1248" i="5"/>
  <c r="T1234" i="5"/>
  <c r="T998" i="5"/>
  <c r="T964" i="5"/>
  <c r="T929" i="5"/>
  <c r="T897" i="5"/>
  <c r="T865" i="5"/>
  <c r="T851" i="5"/>
  <c r="T831" i="5"/>
  <c r="T679" i="5"/>
  <c r="T647" i="5"/>
  <c r="T601" i="5"/>
  <c r="X601" i="5" s="1"/>
  <c r="T315" i="5"/>
  <c r="O3293" i="5"/>
  <c r="M3142" i="5"/>
  <c r="M3293" i="5"/>
  <c r="T3219" i="5"/>
  <c r="X3219" i="5" s="1"/>
  <c r="W3214" i="5"/>
  <c r="W3154" i="5"/>
  <c r="U3135" i="5"/>
  <c r="W3030" i="5"/>
  <c r="W2944" i="5"/>
  <c r="W2653" i="5"/>
  <c r="V2581" i="5"/>
  <c r="W2466" i="5"/>
  <c r="V2366" i="5"/>
  <c r="W2196" i="5"/>
  <c r="V466" i="5"/>
  <c r="T191" i="5"/>
  <c r="T3263" i="5"/>
  <c r="T2329" i="5"/>
  <c r="T521" i="5"/>
  <c r="T271" i="5"/>
  <c r="M3266" i="5"/>
  <c r="U3133" i="5"/>
  <c r="T3220" i="5"/>
  <c r="X3220" i="5" s="1"/>
  <c r="T3138" i="5"/>
  <c r="T3023" i="5"/>
  <c r="T2986" i="5"/>
  <c r="X2986" i="5" s="1"/>
  <c r="T2656" i="5"/>
  <c r="T2220" i="5"/>
  <c r="T2156" i="5"/>
  <c r="T2106" i="5"/>
  <c r="T2087" i="5"/>
  <c r="T1922" i="5"/>
  <c r="T1890" i="5"/>
  <c r="X1890" i="5" s="1"/>
  <c r="T1723" i="5"/>
  <c r="T1688" i="5"/>
  <c r="X1688" i="5" s="1"/>
  <c r="T1479" i="5"/>
  <c r="T1366" i="5"/>
  <c r="T1247" i="5"/>
  <c r="T1096" i="5"/>
  <c r="T1080" i="5"/>
  <c r="T1045" i="5"/>
  <c r="X1045" i="5" s="1"/>
  <c r="T1029" i="5"/>
  <c r="T997" i="5"/>
  <c r="T981" i="5"/>
  <c r="T928" i="5"/>
  <c r="X928" i="5" s="1"/>
  <c r="T600" i="5"/>
  <c r="T380" i="5"/>
  <c r="T348" i="5"/>
  <c r="T130" i="5"/>
  <c r="X130" i="5" s="1"/>
  <c r="T114" i="5"/>
  <c r="O3308" i="5"/>
  <c r="M3277" i="5"/>
  <c r="M3258" i="5"/>
  <c r="M3223" i="5"/>
  <c r="M3207" i="5"/>
  <c r="O3161" i="5"/>
  <c r="M3026" i="5"/>
  <c r="U3030" i="5"/>
  <c r="W392" i="5"/>
  <c r="T2078" i="5"/>
  <c r="T2146" i="5"/>
  <c r="U3318" i="5"/>
  <c r="T3304" i="5"/>
  <c r="X3304" i="5" s="1"/>
  <c r="T2804" i="5"/>
  <c r="T2788" i="5"/>
  <c r="X2788" i="5" s="1"/>
  <c r="T2774" i="5"/>
  <c r="T2719" i="5"/>
  <c r="T2687" i="5"/>
  <c r="T2641" i="5"/>
  <c r="T2469" i="5"/>
  <c r="X2469" i="5" s="1"/>
  <c r="T2437" i="5"/>
  <c r="X2437" i="5" s="1"/>
  <c r="T2258" i="5"/>
  <c r="T2203" i="5"/>
  <c r="T2187" i="5"/>
  <c r="T1988" i="5"/>
  <c r="T1972" i="5"/>
  <c r="T1953" i="5"/>
  <c r="T1756" i="5"/>
  <c r="T1722" i="5"/>
  <c r="T1703" i="5"/>
  <c r="T1655" i="5"/>
  <c r="T1639" i="5"/>
  <c r="X1639" i="5" s="1"/>
  <c r="T1462" i="5"/>
  <c r="T746" i="5"/>
  <c r="X746" i="5" s="1"/>
  <c r="T427" i="5"/>
  <c r="T196" i="5"/>
  <c r="M2988" i="5"/>
  <c r="T3177" i="5"/>
  <c r="T2002" i="5"/>
  <c r="T1186" i="5"/>
  <c r="T3170" i="5"/>
  <c r="T3136" i="5"/>
  <c r="T2803" i="5"/>
  <c r="T2773" i="5"/>
  <c r="T2734" i="5"/>
  <c r="T2686" i="5"/>
  <c r="T2287" i="5"/>
  <c r="T2037" i="5"/>
  <c r="T1721" i="5"/>
  <c r="T1702" i="5"/>
  <c r="X1702" i="5" s="1"/>
  <c r="T1176" i="5"/>
  <c r="T1160" i="5"/>
  <c r="T1144" i="5"/>
  <c r="X1144" i="5" s="1"/>
  <c r="T809" i="5"/>
  <c r="T777" i="5"/>
  <c r="T426" i="5"/>
  <c r="T195" i="5"/>
  <c r="T43" i="5"/>
  <c r="T11" i="5"/>
  <c r="U3247" i="5"/>
  <c r="O3182" i="5"/>
  <c r="T3091" i="5"/>
  <c r="W2983" i="5"/>
  <c r="W2899" i="5"/>
  <c r="V2683" i="5"/>
  <c r="V2494" i="5"/>
  <c r="W1503" i="5"/>
  <c r="O3300" i="5"/>
  <c r="T3282" i="5"/>
  <c r="T637" i="5"/>
  <c r="O3230" i="5"/>
  <c r="O2902" i="5"/>
  <c r="T3310" i="5"/>
  <c r="X3310" i="5" s="1"/>
  <c r="T3294" i="5"/>
  <c r="X3294" i="5" s="1"/>
  <c r="T2991" i="5"/>
  <c r="T2927" i="5"/>
  <c r="X2927" i="5" s="1"/>
  <c r="T1085" i="5"/>
  <c r="X1085" i="5" s="1"/>
  <c r="T3068" i="5"/>
  <c r="X3068" i="5" s="1"/>
  <c r="T2967" i="5"/>
  <c r="X2967" i="5" s="1"/>
  <c r="T2786" i="5"/>
  <c r="T2772" i="5"/>
  <c r="X2772" i="5" s="1"/>
  <c r="T2752" i="5"/>
  <c r="T2701" i="5"/>
  <c r="T2522" i="5"/>
  <c r="T2486" i="5"/>
  <c r="T2302" i="5"/>
  <c r="X2302" i="5" s="1"/>
  <c r="T2052" i="5"/>
  <c r="T2036" i="5"/>
  <c r="T2020" i="5"/>
  <c r="T2006" i="5"/>
  <c r="T1986" i="5"/>
  <c r="T1574" i="5"/>
  <c r="T1210" i="5"/>
  <c r="T1191" i="5"/>
  <c r="T1143" i="5"/>
  <c r="T827" i="5"/>
  <c r="T776" i="5"/>
  <c r="T542" i="5"/>
  <c r="T526" i="5"/>
  <c r="T494" i="5"/>
  <c r="T478" i="5"/>
  <c r="T244" i="5"/>
  <c r="T228" i="5"/>
  <c r="T42" i="5"/>
  <c r="M3321" i="5"/>
  <c r="M3271" i="5"/>
  <c r="M2922" i="5"/>
  <c r="W3269" i="5"/>
  <c r="V3227" i="5"/>
  <c r="W2973" i="5"/>
  <c r="W2725" i="5"/>
  <c r="V2606" i="5"/>
  <c r="V2449" i="5"/>
  <c r="W2397" i="5"/>
  <c r="W2325" i="5"/>
  <c r="W1601" i="5"/>
  <c r="W698" i="5"/>
  <c r="W693" i="5"/>
  <c r="W627" i="5"/>
  <c r="V168" i="5"/>
  <c r="T2814" i="5"/>
  <c r="M3231" i="5"/>
  <c r="T2612" i="5"/>
  <c r="T2112" i="5"/>
  <c r="T1352" i="5"/>
  <c r="T1019" i="5"/>
  <c r="X1019" i="5" s="1"/>
  <c r="T918" i="5"/>
  <c r="O2" i="5"/>
  <c r="M3245" i="5"/>
  <c r="M3014" i="5"/>
  <c r="T2627" i="5"/>
  <c r="T2209" i="5"/>
  <c r="X2209" i="5" s="1"/>
  <c r="T1911" i="5"/>
  <c r="T1433" i="5"/>
  <c r="T1401" i="5"/>
  <c r="T1119" i="5"/>
  <c r="X1119" i="5" s="1"/>
  <c r="T401" i="5"/>
  <c r="X401" i="5" s="1"/>
  <c r="T3325" i="5"/>
  <c r="T3200" i="5"/>
  <c r="T3115" i="5"/>
  <c r="X3115" i="5" s="1"/>
  <c r="T3083" i="5"/>
  <c r="X3083" i="5" s="1"/>
  <c r="T2868" i="5"/>
  <c r="T2599" i="5"/>
  <c r="T2551" i="5"/>
  <c r="T2535" i="5"/>
  <c r="T2168" i="5"/>
  <c r="T2152" i="5"/>
  <c r="T2138" i="5"/>
  <c r="T2067" i="5"/>
  <c r="T2051" i="5"/>
  <c r="T1801" i="5"/>
  <c r="T1291" i="5"/>
  <c r="T1225" i="5"/>
  <c r="T1041" i="5"/>
  <c r="T993" i="5"/>
  <c r="T977" i="5"/>
  <c r="X977" i="5" s="1"/>
  <c r="T959" i="5"/>
  <c r="X959" i="5" s="1"/>
  <c r="T892" i="5"/>
  <c r="T860" i="5"/>
  <c r="T807" i="5"/>
  <c r="T658" i="5"/>
  <c r="T243" i="5"/>
  <c r="X243" i="5" s="1"/>
  <c r="T60" i="5"/>
  <c r="T41" i="5"/>
  <c r="T25" i="5"/>
  <c r="O3235" i="5"/>
  <c r="O3203" i="5"/>
  <c r="V2814" i="5"/>
  <c r="V1718" i="5"/>
  <c r="W1575" i="5"/>
  <c r="W1381" i="5"/>
  <c r="W1106" i="5"/>
  <c r="V783" i="5"/>
  <c r="W708" i="5"/>
  <c r="W1690" i="5"/>
  <c r="W767" i="5"/>
  <c r="W141" i="5"/>
  <c r="V2542" i="5"/>
  <c r="V2464" i="5"/>
  <c r="V2168" i="5"/>
  <c r="W1476" i="5"/>
  <c r="V1163" i="5"/>
  <c r="W17" i="5"/>
  <c r="V2089" i="5"/>
  <c r="W1694" i="5"/>
  <c r="V1137" i="5"/>
  <c r="W1132" i="5"/>
  <c r="V891" i="5"/>
  <c r="W2836" i="5"/>
  <c r="W1869" i="5"/>
  <c r="W1441" i="5"/>
  <c r="V2682" i="5"/>
  <c r="W457" i="5"/>
  <c r="V3315" i="5"/>
  <c r="W3232" i="5"/>
  <c r="W2869" i="5"/>
  <c r="V2765" i="5"/>
  <c r="V2757" i="5"/>
  <c r="V2677" i="5"/>
  <c r="W2415" i="5"/>
  <c r="V2393" i="5"/>
  <c r="W2309" i="5"/>
  <c r="V2186" i="5"/>
  <c r="V2101" i="5"/>
  <c r="V2053" i="5"/>
  <c r="V1912" i="5"/>
  <c r="V1474" i="5"/>
  <c r="V1450" i="5"/>
  <c r="V1048" i="5"/>
  <c r="W898" i="5"/>
  <c r="W874" i="5"/>
  <c r="W583" i="5"/>
  <c r="W514" i="5"/>
  <c r="V509" i="5"/>
  <c r="W489" i="5"/>
  <c r="W484" i="5"/>
  <c r="W1194" i="5"/>
  <c r="W928" i="5"/>
  <c r="W855" i="5"/>
  <c r="W468" i="5"/>
  <c r="V222" i="5"/>
  <c r="W130" i="5"/>
  <c r="W110" i="5"/>
  <c r="W62" i="5"/>
  <c r="W40" i="5"/>
  <c r="W2883" i="5"/>
  <c r="W2681" i="5"/>
  <c r="V2600" i="5"/>
  <c r="W2499" i="5"/>
  <c r="V2253" i="5"/>
  <c r="V2136" i="5"/>
  <c r="W1689" i="5"/>
  <c r="V1679" i="5"/>
  <c r="W1625" i="5"/>
  <c r="V1324" i="5"/>
  <c r="W975" i="5"/>
  <c r="V850" i="5"/>
  <c r="W696" i="5"/>
  <c r="W406" i="5"/>
  <c r="W401" i="5"/>
  <c r="W150" i="5"/>
  <c r="W3286" i="5"/>
  <c r="V2746" i="5"/>
  <c r="V1937" i="5"/>
  <c r="V1271" i="5"/>
  <c r="W1231" i="5"/>
  <c r="W1222" i="5"/>
  <c r="V554" i="5"/>
  <c r="W549" i="5"/>
  <c r="V528" i="5"/>
  <c r="V370" i="5"/>
  <c r="V365" i="5"/>
  <c r="V114" i="5"/>
  <c r="W3186" i="5"/>
  <c r="W1642" i="5"/>
  <c r="W1153" i="5"/>
  <c r="W1000" i="5"/>
  <c r="W2960" i="5"/>
  <c r="V2823" i="5"/>
  <c r="W2788" i="5"/>
  <c r="V2409" i="5"/>
  <c r="V2333" i="5"/>
  <c r="W2244" i="5"/>
  <c r="W1799" i="5"/>
  <c r="V1637" i="5"/>
  <c r="W1632" i="5"/>
  <c r="W1551" i="5"/>
  <c r="V1183" i="5"/>
  <c r="W1178" i="5"/>
  <c r="W1036" i="5"/>
  <c r="V995" i="5"/>
  <c r="W927" i="5"/>
  <c r="V897" i="5"/>
  <c r="W635" i="5"/>
  <c r="W350" i="5"/>
  <c r="W246" i="5"/>
  <c r="V3116" i="5"/>
  <c r="V3045" i="5"/>
  <c r="W2859" i="5"/>
  <c r="V2750" i="5"/>
  <c r="W2423" i="5"/>
  <c r="W2302" i="5"/>
  <c r="V2179" i="5"/>
  <c r="V1825" i="5"/>
  <c r="W1735" i="5"/>
  <c r="W1730" i="5"/>
  <c r="W1725" i="5"/>
  <c r="W1702" i="5"/>
  <c r="W1688" i="5"/>
  <c r="V1109" i="5"/>
  <c r="W1090" i="5"/>
  <c r="W1085" i="5"/>
  <c r="W906" i="5"/>
  <c r="W877" i="5"/>
  <c r="W829" i="5"/>
  <c r="V687" i="5"/>
  <c r="W609" i="5"/>
  <c r="W415" i="5"/>
  <c r="W400" i="5"/>
  <c r="V8" i="5"/>
  <c r="W1874" i="5"/>
  <c r="V3265" i="5"/>
  <c r="W3188" i="5"/>
  <c r="W3068" i="5"/>
  <c r="V2912" i="5"/>
  <c r="V2703" i="5"/>
  <c r="V2421" i="5"/>
  <c r="V2351" i="5"/>
  <c r="V2300" i="5"/>
  <c r="V2192" i="5"/>
  <c r="W1833" i="5"/>
  <c r="W1776" i="5"/>
  <c r="V1512" i="5"/>
  <c r="W1383" i="5"/>
  <c r="W1002" i="5"/>
  <c r="V890" i="5"/>
  <c r="W607" i="5"/>
  <c r="W525" i="5"/>
  <c r="V520" i="5"/>
  <c r="W447" i="5"/>
  <c r="W285" i="5"/>
  <c r="V162" i="5"/>
  <c r="V121" i="5"/>
  <c r="V59" i="5"/>
  <c r="V11" i="5"/>
  <c r="M1711" i="5"/>
  <c r="M3325" i="5"/>
  <c r="O3325" i="5"/>
  <c r="M3309" i="5"/>
  <c r="O3309" i="5"/>
  <c r="M3279" i="5"/>
  <c r="O3279" i="5"/>
  <c r="O3259" i="5"/>
  <c r="M3259" i="5"/>
  <c r="O3240" i="5"/>
  <c r="M3224" i="5"/>
  <c r="O3224" i="5"/>
  <c r="M3208" i="5"/>
  <c r="O3208" i="5"/>
  <c r="M3192" i="5"/>
  <c r="O3192" i="5"/>
  <c r="M3176" i="5"/>
  <c r="U3162" i="5"/>
  <c r="O3162" i="5"/>
  <c r="M3126" i="5"/>
  <c r="U3107" i="5"/>
  <c r="M3107" i="5"/>
  <c r="O3107" i="5"/>
  <c r="O3091" i="5"/>
  <c r="M3075" i="5"/>
  <c r="O3075" i="5"/>
  <c r="O3059" i="5"/>
  <c r="M3059" i="5"/>
  <c r="M3043" i="5"/>
  <c r="O3043" i="5"/>
  <c r="O3027" i="5"/>
  <c r="M3027" i="5"/>
  <c r="O3009" i="5"/>
  <c r="M2990" i="5"/>
  <c r="O2974" i="5"/>
  <c r="M2974" i="5"/>
  <c r="M2958" i="5"/>
  <c r="O2958" i="5"/>
  <c r="O2942" i="5"/>
  <c r="U2942" i="5"/>
  <c r="M2942" i="5"/>
  <c r="M2926" i="5"/>
  <c r="O2926" i="5"/>
  <c r="M2910" i="5"/>
  <c r="O2910" i="5"/>
  <c r="U2896" i="5"/>
  <c r="M2896" i="5"/>
  <c r="O2896" i="5"/>
  <c r="M2876" i="5"/>
  <c r="O2876" i="5"/>
  <c r="M2857" i="5"/>
  <c r="O2857" i="5"/>
  <c r="M2841" i="5"/>
  <c r="O2841" i="5"/>
  <c r="M2825" i="5"/>
  <c r="O2825" i="5"/>
  <c r="M2809" i="5"/>
  <c r="O2809" i="5"/>
  <c r="M2793" i="5"/>
  <c r="O2793" i="5"/>
  <c r="U2759" i="5"/>
  <c r="M2759" i="5"/>
  <c r="O2759" i="5"/>
  <c r="M2743" i="5"/>
  <c r="O2743" i="5"/>
  <c r="M2724" i="5"/>
  <c r="O2724" i="5"/>
  <c r="O2708" i="5"/>
  <c r="M2708" i="5"/>
  <c r="U2708" i="5"/>
  <c r="U2692" i="5"/>
  <c r="M2692" i="5"/>
  <c r="O2692" i="5"/>
  <c r="M2676" i="5"/>
  <c r="M2660" i="5"/>
  <c r="O2660" i="5"/>
  <c r="M2646" i="5"/>
  <c r="O2646" i="5"/>
  <c r="O2626" i="5"/>
  <c r="M2626" i="5"/>
  <c r="M2607" i="5"/>
  <c r="O2607" i="5"/>
  <c r="O2591" i="5"/>
  <c r="M2591" i="5"/>
  <c r="O2575" i="5"/>
  <c r="M2575" i="5"/>
  <c r="M2559" i="5"/>
  <c r="O2559" i="5"/>
  <c r="M2543" i="5"/>
  <c r="O2543" i="5"/>
  <c r="M2527" i="5"/>
  <c r="O2527" i="5"/>
  <c r="U2527" i="5"/>
  <c r="M2513" i="5"/>
  <c r="O2513" i="5"/>
  <c r="M2493" i="5"/>
  <c r="O2493" i="5"/>
  <c r="M2474" i="5"/>
  <c r="O2474" i="5"/>
  <c r="M2458" i="5"/>
  <c r="O2458" i="5"/>
  <c r="M2442" i="5"/>
  <c r="O2442" i="5"/>
  <c r="M2426" i="5"/>
  <c r="O2426" i="5"/>
  <c r="U2426" i="5"/>
  <c r="O2410" i="5"/>
  <c r="M2410" i="5"/>
  <c r="U2395" i="5"/>
  <c r="M2395" i="5"/>
  <c r="O2395" i="5"/>
  <c r="M2376" i="5"/>
  <c r="O2376" i="5"/>
  <c r="U2360" i="5"/>
  <c r="O2360" i="5"/>
  <c r="M2360" i="5"/>
  <c r="M2341" i="5"/>
  <c r="O2341" i="5"/>
  <c r="O2325" i="5"/>
  <c r="U2325" i="5"/>
  <c r="M2325" i="5"/>
  <c r="M2309" i="5"/>
  <c r="O2309" i="5"/>
  <c r="M2293" i="5"/>
  <c r="O2293" i="5"/>
  <c r="U2293" i="5"/>
  <c r="M2277" i="5"/>
  <c r="O2277" i="5"/>
  <c r="U2277" i="5"/>
  <c r="M2263" i="5"/>
  <c r="O2263" i="5"/>
  <c r="U2263" i="5"/>
  <c r="M2243" i="5"/>
  <c r="O2243" i="5"/>
  <c r="M2227" i="5"/>
  <c r="O2227" i="5"/>
  <c r="M2208" i="5"/>
  <c r="O2208" i="5"/>
  <c r="M2192" i="5"/>
  <c r="O2192" i="5"/>
  <c r="M2176" i="5"/>
  <c r="O2176" i="5"/>
  <c r="M2160" i="5"/>
  <c r="O2160" i="5"/>
  <c r="M2144" i="5"/>
  <c r="O2144" i="5"/>
  <c r="O2130" i="5"/>
  <c r="U2130" i="5"/>
  <c r="M2130" i="5"/>
  <c r="M2110" i="5"/>
  <c r="O2110" i="5"/>
  <c r="U2110" i="5"/>
  <c r="M2091" i="5"/>
  <c r="O2091" i="5"/>
  <c r="M2075" i="5"/>
  <c r="O2075" i="5"/>
  <c r="U2075" i="5"/>
  <c r="P2075" i="5" s="1"/>
  <c r="M2059" i="5"/>
  <c r="O2059" i="5"/>
  <c r="U2059" i="5"/>
  <c r="M2043" i="5"/>
  <c r="O2043" i="5"/>
  <c r="U2043" i="5"/>
  <c r="P2043" i="5" s="1"/>
  <c r="O2027" i="5"/>
  <c r="M2027" i="5"/>
  <c r="M1993" i="5"/>
  <c r="O1993" i="5"/>
  <c r="M1977" i="5"/>
  <c r="O1977" i="5"/>
  <c r="M1958" i="5"/>
  <c r="O1958" i="5"/>
  <c r="O1942" i="5"/>
  <c r="M1942" i="5"/>
  <c r="M1926" i="5"/>
  <c r="O1926" i="5"/>
  <c r="O1910" i="5"/>
  <c r="M1910" i="5"/>
  <c r="O1894" i="5"/>
  <c r="M1894" i="5"/>
  <c r="O1880" i="5"/>
  <c r="U1880" i="5"/>
  <c r="M1880" i="5"/>
  <c r="O1860" i="5"/>
  <c r="U1860" i="5"/>
  <c r="M1860" i="5"/>
  <c r="M1844" i="5"/>
  <c r="O1844" i="5"/>
  <c r="M1825" i="5"/>
  <c r="O1825" i="5"/>
  <c r="M1809" i="5"/>
  <c r="O1809" i="5"/>
  <c r="O1793" i="5"/>
  <c r="M1793" i="5"/>
  <c r="O1777" i="5"/>
  <c r="M1777" i="5"/>
  <c r="O1761" i="5"/>
  <c r="M1761" i="5"/>
  <c r="M1747" i="5"/>
  <c r="O1727" i="5"/>
  <c r="M1727" i="5"/>
  <c r="O1708" i="5"/>
  <c r="M1708" i="5"/>
  <c r="M1692" i="5"/>
  <c r="O1692" i="5"/>
  <c r="O1660" i="5"/>
  <c r="M1660" i="5"/>
  <c r="M1644" i="5"/>
  <c r="O1644" i="5"/>
  <c r="U1644" i="5"/>
  <c r="O1628" i="5"/>
  <c r="U1628" i="5"/>
  <c r="M1628" i="5"/>
  <c r="M1605" i="5"/>
  <c r="O1605" i="5"/>
  <c r="O1581" i="5"/>
  <c r="M1581" i="5"/>
  <c r="M1565" i="5"/>
  <c r="U1565" i="5"/>
  <c r="O1565" i="5"/>
  <c r="M1549" i="5"/>
  <c r="O1549" i="5"/>
  <c r="U1549" i="5"/>
  <c r="O1533" i="5"/>
  <c r="M1533" i="5"/>
  <c r="M1517" i="5"/>
  <c r="O1517" i="5"/>
  <c r="M1501" i="5"/>
  <c r="O1501" i="5"/>
  <c r="M1487" i="5"/>
  <c r="O1487" i="5"/>
  <c r="O1467" i="5"/>
  <c r="M1467" i="5"/>
  <c r="M1448" i="5"/>
  <c r="O1448" i="5"/>
  <c r="O1432" i="5"/>
  <c r="M1432" i="5"/>
  <c r="O1416" i="5"/>
  <c r="M1416" i="5"/>
  <c r="M1400" i="5"/>
  <c r="O1400" i="5"/>
  <c r="O1384" i="5"/>
  <c r="M1384" i="5"/>
  <c r="M1370" i="5"/>
  <c r="O1370" i="5"/>
  <c r="M1350" i="5"/>
  <c r="O1350" i="5"/>
  <c r="M1334" i="5"/>
  <c r="U1334" i="5"/>
  <c r="O1334" i="5"/>
  <c r="M1315" i="5"/>
  <c r="O1315" i="5"/>
  <c r="M1299" i="5"/>
  <c r="O1299" i="5"/>
  <c r="M1283" i="5"/>
  <c r="O1283" i="5"/>
  <c r="M1267" i="5"/>
  <c r="O1267" i="5"/>
  <c r="M1251" i="5"/>
  <c r="O1251" i="5"/>
  <c r="M1237" i="5"/>
  <c r="O1237" i="5"/>
  <c r="O1217" i="5"/>
  <c r="M1217" i="5"/>
  <c r="M1198" i="5"/>
  <c r="O1198" i="5"/>
  <c r="M1182" i="5"/>
  <c r="O1182" i="5"/>
  <c r="M1166" i="5"/>
  <c r="O1166" i="5"/>
  <c r="M1150" i="5"/>
  <c r="O1150" i="5"/>
  <c r="O1134" i="5"/>
  <c r="M1134" i="5"/>
  <c r="O1118" i="5"/>
  <c r="M1118" i="5"/>
  <c r="O1104" i="5"/>
  <c r="M1104" i="5"/>
  <c r="M1084" i="5"/>
  <c r="O1084" i="5"/>
  <c r="O1065" i="5"/>
  <c r="M1065" i="5"/>
  <c r="M1049" i="5"/>
  <c r="O1049" i="5"/>
  <c r="M1033" i="5"/>
  <c r="O1033" i="5"/>
  <c r="M1017" i="5"/>
  <c r="O1017" i="5"/>
  <c r="O1001" i="5"/>
  <c r="M1001" i="5"/>
  <c r="M985" i="5"/>
  <c r="O985" i="5"/>
  <c r="M967" i="5"/>
  <c r="O967" i="5"/>
  <c r="M951" i="5"/>
  <c r="O951" i="5"/>
  <c r="M932" i="5"/>
  <c r="O932" i="5"/>
  <c r="M916" i="5"/>
  <c r="O916" i="5"/>
  <c r="O900" i="5"/>
  <c r="M900" i="5"/>
  <c r="O884" i="5"/>
  <c r="M884" i="5"/>
  <c r="M868" i="5"/>
  <c r="O868" i="5"/>
  <c r="M854" i="5"/>
  <c r="O854" i="5"/>
  <c r="M834" i="5"/>
  <c r="O834" i="5"/>
  <c r="O815" i="5"/>
  <c r="U815" i="5"/>
  <c r="M815" i="5"/>
  <c r="M799" i="5"/>
  <c r="O799" i="5"/>
  <c r="U783" i="5"/>
  <c r="Y783" i="5" s="1"/>
  <c r="O783" i="5"/>
  <c r="M783" i="5"/>
  <c r="M767" i="5"/>
  <c r="O767" i="5"/>
  <c r="O751" i="5"/>
  <c r="M751" i="5"/>
  <c r="M735" i="5"/>
  <c r="O735" i="5"/>
  <c r="M721" i="5"/>
  <c r="O721" i="5"/>
  <c r="U721" i="5"/>
  <c r="M701" i="5"/>
  <c r="O701" i="5"/>
  <c r="O682" i="5"/>
  <c r="M682" i="5"/>
  <c r="O666" i="5"/>
  <c r="M666" i="5"/>
  <c r="M650" i="5"/>
  <c r="O650" i="5"/>
  <c r="U650" i="5"/>
  <c r="O634" i="5"/>
  <c r="M634" i="5"/>
  <c r="M618" i="5"/>
  <c r="O618" i="5"/>
  <c r="M603" i="5"/>
  <c r="O603" i="5"/>
  <c r="M584" i="5"/>
  <c r="O584" i="5"/>
  <c r="M568" i="5"/>
  <c r="O568" i="5"/>
  <c r="M549" i="5"/>
  <c r="O549" i="5"/>
  <c r="O533" i="5"/>
  <c r="M533" i="5"/>
  <c r="O517" i="5"/>
  <c r="M517" i="5"/>
  <c r="U517" i="5"/>
  <c r="M501" i="5"/>
  <c r="O501" i="5"/>
  <c r="M485" i="5"/>
  <c r="O485" i="5"/>
  <c r="M469" i="5"/>
  <c r="O469" i="5"/>
  <c r="U469" i="5"/>
  <c r="M451" i="5"/>
  <c r="O451" i="5"/>
  <c r="U451" i="5"/>
  <c r="M435" i="5"/>
  <c r="O435" i="5"/>
  <c r="O416" i="5"/>
  <c r="M416" i="5"/>
  <c r="O400" i="5"/>
  <c r="M400" i="5"/>
  <c r="U400" i="5"/>
  <c r="U384" i="5"/>
  <c r="M384" i="5"/>
  <c r="O384" i="5"/>
  <c r="O368" i="5"/>
  <c r="M368" i="5"/>
  <c r="U368" i="5"/>
  <c r="U352" i="5"/>
  <c r="O352" i="5"/>
  <c r="M352" i="5"/>
  <c r="M338" i="5"/>
  <c r="O338" i="5"/>
  <c r="M318" i="5"/>
  <c r="O318" i="5"/>
  <c r="O299" i="5"/>
  <c r="M299" i="5"/>
  <c r="M283" i="5"/>
  <c r="O283" i="5"/>
  <c r="U283" i="5"/>
  <c r="M267" i="5"/>
  <c r="O267" i="5"/>
  <c r="U267" i="5"/>
  <c r="O251" i="5"/>
  <c r="U251" i="5"/>
  <c r="M251" i="5"/>
  <c r="U235" i="5"/>
  <c r="M235" i="5"/>
  <c r="O235" i="5"/>
  <c r="O201" i="5"/>
  <c r="U201" i="5"/>
  <c r="M201" i="5"/>
  <c r="M185" i="5"/>
  <c r="O185" i="5"/>
  <c r="M166" i="5"/>
  <c r="O166" i="5"/>
  <c r="M150" i="5"/>
  <c r="O150" i="5"/>
  <c r="U150" i="5"/>
  <c r="M134" i="5"/>
  <c r="O134" i="5"/>
  <c r="M118" i="5"/>
  <c r="O118" i="5"/>
  <c r="O102" i="5"/>
  <c r="U102" i="5"/>
  <c r="M102" i="5"/>
  <c r="M86" i="5"/>
  <c r="O86" i="5"/>
  <c r="O68" i="5"/>
  <c r="M68" i="5"/>
  <c r="M52" i="5"/>
  <c r="O52" i="5"/>
  <c r="M33" i="5"/>
  <c r="O33" i="5"/>
  <c r="U33" i="5"/>
  <c r="M17" i="5"/>
  <c r="O17" i="5"/>
  <c r="U3" i="5"/>
  <c r="T3" i="5"/>
  <c r="X3" i="5" s="1"/>
  <c r="T3292" i="5"/>
  <c r="T3247" i="5"/>
  <c r="M3240" i="5"/>
  <c r="U3235" i="5"/>
  <c r="U3169" i="5"/>
  <c r="T3164" i="5"/>
  <c r="M3162" i="5"/>
  <c r="T3157" i="5"/>
  <c r="X3157" i="5" s="1"/>
  <c r="T3111" i="5"/>
  <c r="U3096" i="5"/>
  <c r="T2936" i="5"/>
  <c r="T2859" i="5"/>
  <c r="X2859" i="5" s="1"/>
  <c r="T2783" i="5"/>
  <c r="U3324" i="5"/>
  <c r="O3324" i="5"/>
  <c r="M3292" i="5"/>
  <c r="O3292" i="5"/>
  <c r="M3239" i="5"/>
  <c r="O3239" i="5"/>
  <c r="M3191" i="5"/>
  <c r="O3191" i="5"/>
  <c r="O3175" i="5"/>
  <c r="M3175" i="5"/>
  <c r="M3141" i="5"/>
  <c r="O3141" i="5"/>
  <c r="U3141" i="5"/>
  <c r="O3125" i="5"/>
  <c r="M3125" i="5"/>
  <c r="U3090" i="5"/>
  <c r="M3090" i="5"/>
  <c r="O3090" i="5"/>
  <c r="U3074" i="5"/>
  <c r="Y3074" i="5" s="1"/>
  <c r="O3074" i="5"/>
  <c r="M3074" i="5"/>
  <c r="O3058" i="5"/>
  <c r="M3058" i="5"/>
  <c r="U3058" i="5"/>
  <c r="M3042" i="5"/>
  <c r="O3042" i="5"/>
  <c r="M3008" i="5"/>
  <c r="O3008" i="5"/>
  <c r="M2989" i="5"/>
  <c r="O2989" i="5"/>
  <c r="M2973" i="5"/>
  <c r="O2973" i="5"/>
  <c r="U2973" i="5"/>
  <c r="M2957" i="5"/>
  <c r="O2957" i="5"/>
  <c r="M2941" i="5"/>
  <c r="O2941" i="5"/>
  <c r="U2941" i="5"/>
  <c r="M2925" i="5"/>
  <c r="O2925" i="5"/>
  <c r="U2909" i="5"/>
  <c r="M2909" i="5"/>
  <c r="O2909" i="5"/>
  <c r="M2895" i="5"/>
  <c r="O2895" i="5"/>
  <c r="U2895" i="5"/>
  <c r="M2875" i="5"/>
  <c r="O2875" i="5"/>
  <c r="M2856" i="5"/>
  <c r="O2856" i="5"/>
  <c r="O2840" i="5"/>
  <c r="M2840" i="5"/>
  <c r="O2824" i="5"/>
  <c r="M2824" i="5"/>
  <c r="U2808" i="5"/>
  <c r="M2808" i="5"/>
  <c r="O2808" i="5"/>
  <c r="M2792" i="5"/>
  <c r="O2792" i="5"/>
  <c r="M2778" i="5"/>
  <c r="O2778" i="5"/>
  <c r="M2758" i="5"/>
  <c r="O2758" i="5"/>
  <c r="U2758" i="5"/>
  <c r="M2742" i="5"/>
  <c r="O2742" i="5"/>
  <c r="M2723" i="5"/>
  <c r="O2723" i="5"/>
  <c r="M2707" i="5"/>
  <c r="O2707" i="5"/>
  <c r="M2691" i="5"/>
  <c r="O2691" i="5"/>
  <c r="U2691" i="5"/>
  <c r="M2675" i="5"/>
  <c r="O2675" i="5"/>
  <c r="U2675" i="5"/>
  <c r="P2675" i="5" s="1"/>
  <c r="O2659" i="5"/>
  <c r="U2659" i="5"/>
  <c r="M2659" i="5"/>
  <c r="O2645" i="5"/>
  <c r="M2645" i="5"/>
  <c r="O2625" i="5"/>
  <c r="U2625" i="5"/>
  <c r="M2625" i="5"/>
  <c r="O2606" i="5"/>
  <c r="U2606" i="5"/>
  <c r="P2606" i="5" s="1"/>
  <c r="M2606" i="5"/>
  <c r="M2590" i="5"/>
  <c r="O2590" i="5"/>
  <c r="U2590" i="5"/>
  <c r="M2574" i="5"/>
  <c r="O2574" i="5"/>
  <c r="U2574" i="5"/>
  <c r="M2558" i="5"/>
  <c r="O2558" i="5"/>
  <c r="U2542" i="5"/>
  <c r="M2542" i="5"/>
  <c r="O2542" i="5"/>
  <c r="M2526" i="5"/>
  <c r="O2526" i="5"/>
  <c r="U2526" i="5"/>
  <c r="U2512" i="5"/>
  <c r="M2512" i="5"/>
  <c r="O2512" i="5"/>
  <c r="M2492" i="5"/>
  <c r="O2492" i="5"/>
  <c r="U2492" i="5"/>
  <c r="M2473" i="5"/>
  <c r="O2473" i="5"/>
  <c r="M2457" i="5"/>
  <c r="O2457" i="5"/>
  <c r="O2441" i="5"/>
  <c r="M2441" i="5"/>
  <c r="M2425" i="5"/>
  <c r="O2425" i="5"/>
  <c r="M2409" i="5"/>
  <c r="O2409" i="5"/>
  <c r="M2375" i="5"/>
  <c r="O2375" i="5"/>
  <c r="M2359" i="5"/>
  <c r="O2359" i="5"/>
  <c r="M2340" i="5"/>
  <c r="O2340" i="5"/>
  <c r="M2324" i="5"/>
  <c r="O2324" i="5"/>
  <c r="O2308" i="5"/>
  <c r="M2308" i="5"/>
  <c r="M2292" i="5"/>
  <c r="O2292" i="5"/>
  <c r="M2276" i="5"/>
  <c r="O2276" i="5"/>
  <c r="M2262" i="5"/>
  <c r="O2262" i="5"/>
  <c r="M2242" i="5"/>
  <c r="O2242" i="5"/>
  <c r="O2223" i="5"/>
  <c r="M2223" i="5"/>
  <c r="M2207" i="5"/>
  <c r="O2207" i="5"/>
  <c r="U2207" i="5"/>
  <c r="M2191" i="5"/>
  <c r="O2191" i="5"/>
  <c r="M2175" i="5"/>
  <c r="O2175" i="5"/>
  <c r="U2175" i="5"/>
  <c r="M2159" i="5"/>
  <c r="O2159" i="5"/>
  <c r="M2129" i="5"/>
  <c r="O2129" i="5"/>
  <c r="U2129" i="5"/>
  <c r="Y2129" i="5" s="1"/>
  <c r="M2109" i="5"/>
  <c r="O2109" i="5"/>
  <c r="M2090" i="5"/>
  <c r="O2090" i="5"/>
  <c r="M2074" i="5"/>
  <c r="O2074" i="5"/>
  <c r="M2058" i="5"/>
  <c r="O2058" i="5"/>
  <c r="M2042" i="5"/>
  <c r="O2042" i="5"/>
  <c r="O2026" i="5"/>
  <c r="M2026" i="5"/>
  <c r="U2011" i="5"/>
  <c r="M2011" i="5"/>
  <c r="O2011" i="5"/>
  <c r="M1992" i="5"/>
  <c r="O1992" i="5"/>
  <c r="U1992" i="5"/>
  <c r="M1976" i="5"/>
  <c r="O1976" i="5"/>
  <c r="U1976" i="5"/>
  <c r="M1957" i="5"/>
  <c r="O1957" i="5"/>
  <c r="U1957" i="5"/>
  <c r="M1941" i="5"/>
  <c r="O1941" i="5"/>
  <c r="M1925" i="5"/>
  <c r="O1925" i="5"/>
  <c r="M1909" i="5"/>
  <c r="O1909" i="5"/>
  <c r="M1893" i="5"/>
  <c r="O1893" i="5"/>
  <c r="M1879" i="5"/>
  <c r="O1879" i="5"/>
  <c r="U1879" i="5"/>
  <c r="M1859" i="5"/>
  <c r="O1859" i="5"/>
  <c r="U1859" i="5"/>
  <c r="M1843" i="5"/>
  <c r="O1843" i="5"/>
  <c r="M1824" i="5"/>
  <c r="O1824" i="5"/>
  <c r="M1808" i="5"/>
  <c r="O1808" i="5"/>
  <c r="M1792" i="5"/>
  <c r="O1792" i="5"/>
  <c r="M1760" i="5"/>
  <c r="O1760" i="5"/>
  <c r="U1726" i="5"/>
  <c r="M1726" i="5"/>
  <c r="M1707" i="5"/>
  <c r="O1707" i="5"/>
  <c r="U1707" i="5"/>
  <c r="P1707" i="5" s="1"/>
  <c r="O1691" i="5"/>
  <c r="M1691" i="5"/>
  <c r="U1691" i="5"/>
  <c r="M1675" i="5"/>
  <c r="O1675" i="5"/>
  <c r="U1659" i="5"/>
  <c r="O1659" i="5"/>
  <c r="M1659" i="5"/>
  <c r="O1643" i="5"/>
  <c r="M1643" i="5"/>
  <c r="O1604" i="5"/>
  <c r="M1604" i="5"/>
  <c r="M1580" i="5"/>
  <c r="O1580" i="5"/>
  <c r="M1564" i="5"/>
  <c r="O1564" i="5"/>
  <c r="M1548" i="5"/>
  <c r="O1548" i="5"/>
  <c r="M1532" i="5"/>
  <c r="O1532" i="5"/>
  <c r="M1516" i="5"/>
  <c r="O1516" i="5"/>
  <c r="O1500" i="5"/>
  <c r="M1500" i="5"/>
  <c r="O1485" i="5"/>
  <c r="M1485" i="5"/>
  <c r="O1466" i="5"/>
  <c r="M1466" i="5"/>
  <c r="O1447" i="5"/>
  <c r="M1447" i="5"/>
  <c r="M1431" i="5"/>
  <c r="O1431" i="5"/>
  <c r="M1415" i="5"/>
  <c r="O1415" i="5"/>
  <c r="M1399" i="5"/>
  <c r="O1399" i="5"/>
  <c r="M1383" i="5"/>
  <c r="O1383" i="5"/>
  <c r="O1369" i="5"/>
  <c r="M1369" i="5"/>
  <c r="O1349" i="5"/>
  <c r="M1349" i="5"/>
  <c r="O1333" i="5"/>
  <c r="U1333" i="5"/>
  <c r="M1333" i="5"/>
  <c r="M1314" i="5"/>
  <c r="O1314" i="5"/>
  <c r="M1298" i="5"/>
  <c r="O1298" i="5"/>
  <c r="M1282" i="5"/>
  <c r="O1282" i="5"/>
  <c r="M1266" i="5"/>
  <c r="O1266" i="5"/>
  <c r="M1250" i="5"/>
  <c r="O1250" i="5"/>
  <c r="M1236" i="5"/>
  <c r="O1236" i="5"/>
  <c r="M1216" i="5"/>
  <c r="O1216" i="5"/>
  <c r="M1197" i="5"/>
  <c r="O1197" i="5"/>
  <c r="M1181" i="5"/>
  <c r="O1181" i="5"/>
  <c r="M1165" i="5"/>
  <c r="O1165" i="5"/>
  <c r="M1149" i="5"/>
  <c r="O1149" i="5"/>
  <c r="M1133" i="5"/>
  <c r="O1133" i="5"/>
  <c r="M1117" i="5"/>
  <c r="O1117" i="5"/>
  <c r="O1103" i="5"/>
  <c r="M1103" i="5"/>
  <c r="M1083" i="5"/>
  <c r="O1083" i="5"/>
  <c r="M1064" i="5"/>
  <c r="O1064" i="5"/>
  <c r="O1048" i="5"/>
  <c r="M1048" i="5"/>
  <c r="M1032" i="5"/>
  <c r="O1032" i="5"/>
  <c r="M1016" i="5"/>
  <c r="O1016" i="5"/>
  <c r="M1000" i="5"/>
  <c r="O1000" i="5"/>
  <c r="U1000" i="5"/>
  <c r="M984" i="5"/>
  <c r="O984" i="5"/>
  <c r="U984" i="5"/>
  <c r="Y984" i="5" s="1"/>
  <c r="U966" i="5"/>
  <c r="M966" i="5"/>
  <c r="O966" i="5"/>
  <c r="U950" i="5"/>
  <c r="M950" i="5"/>
  <c r="O950" i="5"/>
  <c r="M931" i="5"/>
  <c r="O931" i="5"/>
  <c r="M915" i="5"/>
  <c r="O915" i="5"/>
  <c r="O899" i="5"/>
  <c r="M899" i="5"/>
  <c r="M883" i="5"/>
  <c r="O883" i="5"/>
  <c r="M867" i="5"/>
  <c r="O867" i="5"/>
  <c r="M853" i="5"/>
  <c r="O853" i="5"/>
  <c r="M833" i="5"/>
  <c r="O833" i="5"/>
  <c r="O814" i="5"/>
  <c r="M814" i="5"/>
  <c r="U814" i="5"/>
  <c r="O798" i="5"/>
  <c r="M798" i="5"/>
  <c r="M782" i="5"/>
  <c r="O782" i="5"/>
  <c r="U782" i="5"/>
  <c r="M766" i="5"/>
  <c r="O766" i="5"/>
  <c r="U766" i="5"/>
  <c r="M750" i="5"/>
  <c r="O750" i="5"/>
  <c r="O734" i="5"/>
  <c r="M734" i="5"/>
  <c r="M720" i="5"/>
  <c r="O720" i="5"/>
  <c r="U720" i="5"/>
  <c r="O700" i="5"/>
  <c r="M700" i="5"/>
  <c r="M681" i="5"/>
  <c r="O681" i="5"/>
  <c r="M665" i="5"/>
  <c r="O665" i="5"/>
  <c r="M649" i="5"/>
  <c r="O649" i="5"/>
  <c r="M633" i="5"/>
  <c r="O633" i="5"/>
  <c r="M617" i="5"/>
  <c r="O617" i="5"/>
  <c r="O567" i="5"/>
  <c r="M567" i="5"/>
  <c r="M500" i="5"/>
  <c r="O500" i="5"/>
  <c r="O450" i="5"/>
  <c r="M450" i="5"/>
  <c r="M431" i="5"/>
  <c r="O431" i="5"/>
  <c r="U415" i="5"/>
  <c r="M415" i="5"/>
  <c r="O415" i="5"/>
  <c r="O399" i="5"/>
  <c r="M399" i="5"/>
  <c r="U399" i="5"/>
  <c r="Y399" i="5" s="1"/>
  <c r="O383" i="5"/>
  <c r="U383" i="5"/>
  <c r="M383" i="5"/>
  <c r="O367" i="5"/>
  <c r="M367" i="5"/>
  <c r="U367" i="5"/>
  <c r="O351" i="5"/>
  <c r="M351" i="5"/>
  <c r="M337" i="5"/>
  <c r="O337" i="5"/>
  <c r="M317" i="5"/>
  <c r="O317" i="5"/>
  <c r="M298" i="5"/>
  <c r="O298" i="5"/>
  <c r="U298" i="5"/>
  <c r="M282" i="5"/>
  <c r="O282" i="5"/>
  <c r="M266" i="5"/>
  <c r="O266" i="5"/>
  <c r="M250" i="5"/>
  <c r="O250" i="5"/>
  <c r="O234" i="5"/>
  <c r="M234" i="5"/>
  <c r="O219" i="5"/>
  <c r="M219" i="5"/>
  <c r="O200" i="5"/>
  <c r="M200" i="5"/>
  <c r="O184" i="5"/>
  <c r="M184" i="5"/>
  <c r="O165" i="5"/>
  <c r="M165" i="5"/>
  <c r="M149" i="5"/>
  <c r="O149" i="5"/>
  <c r="M133" i="5"/>
  <c r="O133" i="5"/>
  <c r="M117" i="5"/>
  <c r="O117" i="5"/>
  <c r="M101" i="5"/>
  <c r="O101" i="5"/>
  <c r="M85" i="5"/>
  <c r="O85" i="5"/>
  <c r="M67" i="5"/>
  <c r="O67" i="5"/>
  <c r="M51" i="5"/>
  <c r="O51" i="5"/>
  <c r="U51" i="5"/>
  <c r="M32" i="5"/>
  <c r="O32" i="5"/>
  <c r="M16" i="5"/>
  <c r="O16" i="5"/>
  <c r="T3326" i="5"/>
  <c r="X3326" i="5" s="1"/>
  <c r="U3326" i="5"/>
  <c r="T3270" i="5"/>
  <c r="X3270" i="5" s="1"/>
  <c r="U3270" i="5"/>
  <c r="O3258" i="5"/>
  <c r="U3198" i="5"/>
  <c r="T3198" i="5"/>
  <c r="X3198" i="5" s="1"/>
  <c r="M3190" i="5"/>
  <c r="T3161" i="5"/>
  <c r="U3161" i="5"/>
  <c r="T3044" i="5"/>
  <c r="U3044" i="5"/>
  <c r="M3225" i="5"/>
  <c r="O3225" i="5"/>
  <c r="M3108" i="5"/>
  <c r="O3108" i="5"/>
  <c r="U3108" i="5"/>
  <c r="O2975" i="5"/>
  <c r="U2975" i="5"/>
  <c r="M2975" i="5"/>
  <c r="M2826" i="5"/>
  <c r="O2826" i="5"/>
  <c r="O2693" i="5"/>
  <c r="M2693" i="5"/>
  <c r="U2544" i="5"/>
  <c r="M2544" i="5"/>
  <c r="O2544" i="5"/>
  <c r="M2427" i="5"/>
  <c r="O2427" i="5"/>
  <c r="U2427" i="5"/>
  <c r="Y2427" i="5" s="1"/>
  <c r="M2294" i="5"/>
  <c r="O2294" i="5"/>
  <c r="M2177" i="5"/>
  <c r="O2177" i="5"/>
  <c r="O2044" i="5"/>
  <c r="U2044" i="5"/>
  <c r="M2044" i="5"/>
  <c r="M1927" i="5"/>
  <c r="O1927" i="5"/>
  <c r="M1810" i="5"/>
  <c r="O1810" i="5"/>
  <c r="U1810" i="5"/>
  <c r="O1693" i="5"/>
  <c r="M1693" i="5"/>
  <c r="M1582" i="5"/>
  <c r="O1582" i="5"/>
  <c r="M1468" i="5"/>
  <c r="O1468" i="5"/>
  <c r="U1468" i="5"/>
  <c r="O1385" i="5"/>
  <c r="M1385" i="5"/>
  <c r="O1284" i="5"/>
  <c r="M1284" i="5"/>
  <c r="M1167" i="5"/>
  <c r="O1167" i="5"/>
  <c r="U1066" i="5"/>
  <c r="M1066" i="5"/>
  <c r="O1066" i="5"/>
  <c r="M968" i="5"/>
  <c r="O968" i="5"/>
  <c r="M869" i="5"/>
  <c r="O869" i="5"/>
  <c r="U869" i="5"/>
  <c r="O768" i="5"/>
  <c r="M768" i="5"/>
  <c r="U768" i="5"/>
  <c r="M619" i="5"/>
  <c r="O619" i="5"/>
  <c r="M470" i="5"/>
  <c r="O470" i="5"/>
  <c r="M268" i="5"/>
  <c r="O268" i="5"/>
  <c r="O18" i="5"/>
  <c r="M18" i="5"/>
  <c r="T3258" i="5"/>
  <c r="U3258" i="5"/>
  <c r="M3106" i="5"/>
  <c r="O3106" i="5"/>
  <c r="U3289" i="5"/>
  <c r="T3289" i="5"/>
  <c r="X3289" i="5" s="1"/>
  <c r="O3323" i="5"/>
  <c r="M3307" i="5"/>
  <c r="M3273" i="5"/>
  <c r="O3273" i="5"/>
  <c r="M3257" i="5"/>
  <c r="O3257" i="5"/>
  <c r="O3238" i="5"/>
  <c r="M3222" i="5"/>
  <c r="O3222" i="5"/>
  <c r="O3206" i="5"/>
  <c r="M3174" i="5"/>
  <c r="O3174" i="5"/>
  <c r="M3160" i="5"/>
  <c r="O3160" i="5"/>
  <c r="O3140" i="5"/>
  <c r="M3140" i="5"/>
  <c r="M3124" i="5"/>
  <c r="O3124" i="5"/>
  <c r="O3105" i="5"/>
  <c r="M3105" i="5"/>
  <c r="M3089" i="5"/>
  <c r="O3089" i="5"/>
  <c r="M3073" i="5"/>
  <c r="O3073" i="5"/>
  <c r="M3057" i="5"/>
  <c r="O3057" i="5"/>
  <c r="M3041" i="5"/>
  <c r="O3041" i="5"/>
  <c r="M3025" i="5"/>
  <c r="O3007" i="5"/>
  <c r="M3007" i="5"/>
  <c r="U2988" i="5"/>
  <c r="O2988" i="5"/>
  <c r="M2972" i="5"/>
  <c r="O2972" i="5"/>
  <c r="M2956" i="5"/>
  <c r="O2956" i="5"/>
  <c r="M2940" i="5"/>
  <c r="O2940" i="5"/>
  <c r="M2924" i="5"/>
  <c r="O2924" i="5"/>
  <c r="M2908" i="5"/>
  <c r="O2908" i="5"/>
  <c r="U2908" i="5"/>
  <c r="O2893" i="5"/>
  <c r="M2893" i="5"/>
  <c r="M2874" i="5"/>
  <c r="O2874" i="5"/>
  <c r="O2855" i="5"/>
  <c r="M2855" i="5"/>
  <c r="M2839" i="5"/>
  <c r="O2839" i="5"/>
  <c r="U2839" i="5"/>
  <c r="O2823" i="5"/>
  <c r="U2823" i="5"/>
  <c r="Y2823" i="5" s="1"/>
  <c r="M2823" i="5"/>
  <c r="M2807" i="5"/>
  <c r="O2807" i="5"/>
  <c r="U2807" i="5"/>
  <c r="M2791" i="5"/>
  <c r="O2791" i="5"/>
  <c r="M2777" i="5"/>
  <c r="O2777" i="5"/>
  <c r="O2757" i="5"/>
  <c r="M2757" i="5"/>
  <c r="O2741" i="5"/>
  <c r="M2741" i="5"/>
  <c r="M2722" i="5"/>
  <c r="O2722" i="5"/>
  <c r="O2706" i="5"/>
  <c r="M2706" i="5"/>
  <c r="M2690" i="5"/>
  <c r="O2690" i="5"/>
  <c r="M2674" i="5"/>
  <c r="O2674" i="5"/>
  <c r="M2658" i="5"/>
  <c r="O2658" i="5"/>
  <c r="U2644" i="5"/>
  <c r="Y2644" i="5" s="1"/>
  <c r="M2644" i="5"/>
  <c r="O2644" i="5"/>
  <c r="M2624" i="5"/>
  <c r="O2624" i="5"/>
  <c r="M2605" i="5"/>
  <c r="O2605" i="5"/>
  <c r="M2589" i="5"/>
  <c r="O2589" i="5"/>
  <c r="M2573" i="5"/>
  <c r="O2573" i="5"/>
  <c r="U2573" i="5"/>
  <c r="O2557" i="5"/>
  <c r="U2557" i="5"/>
  <c r="M2557" i="5"/>
  <c r="M2541" i="5"/>
  <c r="O2541" i="5"/>
  <c r="M2525" i="5"/>
  <c r="O2525" i="5"/>
  <c r="M2511" i="5"/>
  <c r="O2511" i="5"/>
  <c r="O2491" i="5"/>
  <c r="M2491" i="5"/>
  <c r="M2472" i="5"/>
  <c r="O2472" i="5"/>
  <c r="O2456" i="5"/>
  <c r="M2456" i="5"/>
  <c r="M2440" i="5"/>
  <c r="O2440" i="5"/>
  <c r="M2424" i="5"/>
  <c r="O2424" i="5"/>
  <c r="M2408" i="5"/>
  <c r="O2408" i="5"/>
  <c r="O2394" i="5"/>
  <c r="M2394" i="5"/>
  <c r="M2374" i="5"/>
  <c r="O2374" i="5"/>
  <c r="U2374" i="5"/>
  <c r="M2358" i="5"/>
  <c r="O2358" i="5"/>
  <c r="M2339" i="5"/>
  <c r="O2339" i="5"/>
  <c r="M2323" i="5"/>
  <c r="O2323" i="5"/>
  <c r="M2307" i="5"/>
  <c r="O2307" i="5"/>
  <c r="M2291" i="5"/>
  <c r="O2291" i="5"/>
  <c r="U2291" i="5"/>
  <c r="U2275" i="5"/>
  <c r="O2275" i="5"/>
  <c r="M2275" i="5"/>
  <c r="M2261" i="5"/>
  <c r="O2261" i="5"/>
  <c r="M2241" i="5"/>
  <c r="O2241" i="5"/>
  <c r="M2222" i="5"/>
  <c r="O2222" i="5"/>
  <c r="U2222" i="5"/>
  <c r="M2206" i="5"/>
  <c r="O2206" i="5"/>
  <c r="M2190" i="5"/>
  <c r="O2190" i="5"/>
  <c r="O2174" i="5"/>
  <c r="U2174" i="5"/>
  <c r="Y2174" i="5" s="1"/>
  <c r="M2174" i="5"/>
  <c r="M2158" i="5"/>
  <c r="O2158" i="5"/>
  <c r="M2142" i="5"/>
  <c r="O2142" i="5"/>
  <c r="M2128" i="5"/>
  <c r="O2128" i="5"/>
  <c r="M2108" i="5"/>
  <c r="O2108" i="5"/>
  <c r="M2089" i="5"/>
  <c r="O2089" i="5"/>
  <c r="M2073" i="5"/>
  <c r="O2073" i="5"/>
  <c r="M2057" i="5"/>
  <c r="O2057" i="5"/>
  <c r="M2041" i="5"/>
  <c r="O2041" i="5"/>
  <c r="M2025" i="5"/>
  <c r="O2025" i="5"/>
  <c r="O1991" i="5"/>
  <c r="M1991" i="5"/>
  <c r="O1975" i="5"/>
  <c r="U1975" i="5"/>
  <c r="M1975" i="5"/>
  <c r="O1956" i="5"/>
  <c r="M1956" i="5"/>
  <c r="O1940" i="5"/>
  <c r="M1940" i="5"/>
  <c r="M1924" i="5"/>
  <c r="O1924" i="5"/>
  <c r="O1908" i="5"/>
  <c r="M1908" i="5"/>
  <c r="M1892" i="5"/>
  <c r="O1892" i="5"/>
  <c r="O1878" i="5"/>
  <c r="U1878" i="5"/>
  <c r="M1878" i="5"/>
  <c r="M1858" i="5"/>
  <c r="O1858" i="5"/>
  <c r="M1839" i="5"/>
  <c r="O1839" i="5"/>
  <c r="M1823" i="5"/>
  <c r="O1823" i="5"/>
  <c r="M1807" i="5"/>
  <c r="O1807" i="5"/>
  <c r="U1807" i="5"/>
  <c r="M1791" i="5"/>
  <c r="O1791" i="5"/>
  <c r="U1791" i="5"/>
  <c r="M1775" i="5"/>
  <c r="O1775" i="5"/>
  <c r="M1759" i="5"/>
  <c r="O1759" i="5"/>
  <c r="M1725" i="5"/>
  <c r="U1725" i="5"/>
  <c r="M1706" i="5"/>
  <c r="O1706" i="5"/>
  <c r="M1690" i="5"/>
  <c r="O1690" i="5"/>
  <c r="M1674" i="5"/>
  <c r="O1674" i="5"/>
  <c r="M1658" i="5"/>
  <c r="O1658" i="5"/>
  <c r="M1642" i="5"/>
  <c r="O1642" i="5"/>
  <c r="U1642" i="5"/>
  <c r="M1627" i="5"/>
  <c r="O1627" i="5"/>
  <c r="M1603" i="5"/>
  <c r="O1603" i="5"/>
  <c r="M1579" i="5"/>
  <c r="O1579" i="5"/>
  <c r="M1563" i="5"/>
  <c r="O1563" i="5"/>
  <c r="M1547" i="5"/>
  <c r="O1547" i="5"/>
  <c r="M1531" i="5"/>
  <c r="O1531" i="5"/>
  <c r="M1515" i="5"/>
  <c r="O1515" i="5"/>
  <c r="M1481" i="5"/>
  <c r="O1481" i="5"/>
  <c r="M1465" i="5"/>
  <c r="O1465" i="5"/>
  <c r="M1446" i="5"/>
  <c r="O1446" i="5"/>
  <c r="M1430" i="5"/>
  <c r="O1430" i="5"/>
  <c r="M1414" i="5"/>
  <c r="O1414" i="5"/>
  <c r="U1398" i="5"/>
  <c r="O1398" i="5"/>
  <c r="M1398" i="5"/>
  <c r="M1382" i="5"/>
  <c r="O1382" i="5"/>
  <c r="M1368" i="5"/>
  <c r="O1368" i="5"/>
  <c r="O1348" i="5"/>
  <c r="M1348" i="5"/>
  <c r="U1348" i="5"/>
  <c r="U1332" i="5"/>
  <c r="M1332" i="5"/>
  <c r="O1332" i="5"/>
  <c r="U1313" i="5"/>
  <c r="M1313" i="5"/>
  <c r="O1313" i="5"/>
  <c r="O1297" i="5"/>
  <c r="M1297" i="5"/>
  <c r="M1281" i="5"/>
  <c r="O1281" i="5"/>
  <c r="M1265" i="5"/>
  <c r="O1265" i="5"/>
  <c r="U1265" i="5"/>
  <c r="M1249" i="5"/>
  <c r="O1249" i="5"/>
  <c r="M1235" i="5"/>
  <c r="O1235" i="5"/>
  <c r="M1215" i="5"/>
  <c r="O1215" i="5"/>
  <c r="O1196" i="5"/>
  <c r="M1196" i="5"/>
  <c r="M1180" i="5"/>
  <c r="O1180" i="5"/>
  <c r="O1164" i="5"/>
  <c r="M1164" i="5"/>
  <c r="M1148" i="5"/>
  <c r="O1148" i="5"/>
  <c r="O1132" i="5"/>
  <c r="M1132" i="5"/>
  <c r="O1116" i="5"/>
  <c r="M1116" i="5"/>
  <c r="M1101" i="5"/>
  <c r="O1101" i="5"/>
  <c r="O1082" i="5"/>
  <c r="M1082" i="5"/>
  <c r="M1063" i="5"/>
  <c r="O1063" i="5"/>
  <c r="M1047" i="5"/>
  <c r="O1047" i="5"/>
  <c r="M1031" i="5"/>
  <c r="O1031" i="5"/>
  <c r="U1031" i="5"/>
  <c r="M1015" i="5"/>
  <c r="O1015" i="5"/>
  <c r="U1015" i="5"/>
  <c r="M999" i="5"/>
  <c r="O999" i="5"/>
  <c r="M983" i="5"/>
  <c r="O983" i="5"/>
  <c r="M965" i="5"/>
  <c r="O965" i="5"/>
  <c r="M949" i="5"/>
  <c r="O949" i="5"/>
  <c r="U949" i="5"/>
  <c r="M930" i="5"/>
  <c r="O930" i="5"/>
  <c r="U930" i="5"/>
  <c r="M914" i="5"/>
  <c r="O914" i="5"/>
  <c r="U2" i="5"/>
  <c r="T2" i="5"/>
  <c r="M3323" i="5"/>
  <c r="M3308" i="5"/>
  <c r="T3223" i="5"/>
  <c r="X3223" i="5" s="1"/>
  <c r="U3223" i="5"/>
  <c r="M3091" i="5"/>
  <c r="O3025" i="5"/>
  <c r="U2881" i="5"/>
  <c r="U2827" i="5"/>
  <c r="M3143" i="5"/>
  <c r="O3143" i="5"/>
  <c r="U3028" i="5"/>
  <c r="M3028" i="5"/>
  <c r="O3028" i="5"/>
  <c r="M2877" i="5"/>
  <c r="O2877" i="5"/>
  <c r="U2877" i="5"/>
  <c r="M2725" i="5"/>
  <c r="O2725" i="5"/>
  <c r="U2725" i="5"/>
  <c r="M2560" i="5"/>
  <c r="O2560" i="5"/>
  <c r="U2560" i="5"/>
  <c r="M2411" i="5"/>
  <c r="O2411" i="5"/>
  <c r="U2411" i="5"/>
  <c r="M2264" i="5"/>
  <c r="O2264" i="5"/>
  <c r="O2111" i="5"/>
  <c r="U2111" i="5"/>
  <c r="M2111" i="5"/>
  <c r="M1959" i="5"/>
  <c r="O1959" i="5"/>
  <c r="M1762" i="5"/>
  <c r="O1762" i="5"/>
  <c r="U1762" i="5"/>
  <c r="O1550" i="5"/>
  <c r="M1550" i="5"/>
  <c r="O1316" i="5"/>
  <c r="M1316" i="5"/>
  <c r="M1034" i="5"/>
  <c r="U1034" i="5"/>
  <c r="O1034" i="5"/>
  <c r="O702" i="5"/>
  <c r="U702" i="5"/>
  <c r="M702" i="5"/>
  <c r="O284" i="5"/>
  <c r="M284" i="5"/>
  <c r="O532" i="5"/>
  <c r="M532" i="5"/>
  <c r="M3322" i="5"/>
  <c r="O3322" i="5"/>
  <c r="O3306" i="5"/>
  <c r="M3306" i="5"/>
  <c r="O3291" i="5"/>
  <c r="M3272" i="5"/>
  <c r="O3272" i="5"/>
  <c r="U3272" i="5"/>
  <c r="M3256" i="5"/>
  <c r="O3256" i="5"/>
  <c r="M3237" i="5"/>
  <c r="O3237" i="5"/>
  <c r="U3237" i="5"/>
  <c r="O3221" i="5"/>
  <c r="M3221" i="5"/>
  <c r="M3205" i="5"/>
  <c r="O3205" i="5"/>
  <c r="M3189" i="5"/>
  <c r="U3189" i="5"/>
  <c r="M3173" i="5"/>
  <c r="O3173" i="5"/>
  <c r="U3159" i="5"/>
  <c r="M3159" i="5"/>
  <c r="O3159" i="5"/>
  <c r="M3139" i="5"/>
  <c r="O3139" i="5"/>
  <c r="M3123" i="5"/>
  <c r="O3123" i="5"/>
  <c r="M3104" i="5"/>
  <c r="O3104" i="5"/>
  <c r="M3088" i="5"/>
  <c r="O3088" i="5"/>
  <c r="M3072" i="5"/>
  <c r="U3072" i="5"/>
  <c r="M3056" i="5"/>
  <c r="O3056" i="5"/>
  <c r="O3040" i="5"/>
  <c r="M3040" i="5"/>
  <c r="O3024" i="5"/>
  <c r="M3024" i="5"/>
  <c r="O3006" i="5"/>
  <c r="M3006" i="5"/>
  <c r="U2987" i="5"/>
  <c r="O2987" i="5"/>
  <c r="M2971" i="5"/>
  <c r="O2971" i="5"/>
  <c r="O2955" i="5"/>
  <c r="U2955" i="5"/>
  <c r="M2955" i="5"/>
  <c r="M2939" i="5"/>
  <c r="O2939" i="5"/>
  <c r="M2923" i="5"/>
  <c r="O2923" i="5"/>
  <c r="U2923" i="5"/>
  <c r="M2889" i="5"/>
  <c r="O2889" i="5"/>
  <c r="O2873" i="5"/>
  <c r="M2873" i="5"/>
  <c r="M2854" i="5"/>
  <c r="O2854" i="5"/>
  <c r="U2854" i="5"/>
  <c r="M2838" i="5"/>
  <c r="O2838" i="5"/>
  <c r="O2822" i="5"/>
  <c r="M2822" i="5"/>
  <c r="O2806" i="5"/>
  <c r="M2806" i="5"/>
  <c r="M2790" i="5"/>
  <c r="O2790" i="5"/>
  <c r="M2776" i="5"/>
  <c r="O2776" i="5"/>
  <c r="M2756" i="5"/>
  <c r="O2756" i="5"/>
  <c r="U2756" i="5"/>
  <c r="O2721" i="5"/>
  <c r="U2721" i="5"/>
  <c r="M2705" i="5"/>
  <c r="O2705" i="5"/>
  <c r="U2705" i="5"/>
  <c r="M2689" i="5"/>
  <c r="O2689" i="5"/>
  <c r="O2673" i="5"/>
  <c r="M2673" i="5"/>
  <c r="M2657" i="5"/>
  <c r="O2657" i="5"/>
  <c r="M2643" i="5"/>
  <c r="O2643" i="5"/>
  <c r="U2643" i="5"/>
  <c r="M2623" i="5"/>
  <c r="O2623" i="5"/>
  <c r="M2604" i="5"/>
  <c r="O2604" i="5"/>
  <c r="U2604" i="5"/>
  <c r="U2588" i="5"/>
  <c r="M2588" i="5"/>
  <c r="O2588" i="5"/>
  <c r="U2572" i="5"/>
  <c r="M2572" i="5"/>
  <c r="O2572" i="5"/>
  <c r="M2556" i="5"/>
  <c r="O2556" i="5"/>
  <c r="O2540" i="5"/>
  <c r="M2540" i="5"/>
  <c r="M2524" i="5"/>
  <c r="O2524" i="5"/>
  <c r="O2509" i="5"/>
  <c r="M2509" i="5"/>
  <c r="M2490" i="5"/>
  <c r="O2490" i="5"/>
  <c r="U2490" i="5"/>
  <c r="P2490" i="5" s="1"/>
  <c r="M2471" i="5"/>
  <c r="O2471" i="5"/>
  <c r="M2455" i="5"/>
  <c r="O2455" i="5"/>
  <c r="M2439" i="5"/>
  <c r="O2439" i="5"/>
  <c r="O2423" i="5"/>
  <c r="M2423" i="5"/>
  <c r="O2407" i="5"/>
  <c r="M2407" i="5"/>
  <c r="M2393" i="5"/>
  <c r="O2393" i="5"/>
  <c r="M2373" i="5"/>
  <c r="O2373" i="5"/>
  <c r="M2357" i="5"/>
  <c r="O2357" i="5"/>
  <c r="U2357" i="5"/>
  <c r="M2338" i="5"/>
  <c r="O2338" i="5"/>
  <c r="U2338" i="5"/>
  <c r="M2322" i="5"/>
  <c r="O2322" i="5"/>
  <c r="U2322" i="5"/>
  <c r="M2306" i="5"/>
  <c r="O2306" i="5"/>
  <c r="U2306" i="5"/>
  <c r="M2290" i="5"/>
  <c r="O2290" i="5"/>
  <c r="U2290" i="5"/>
  <c r="M2274" i="5"/>
  <c r="O2274" i="5"/>
  <c r="U2274" i="5"/>
  <c r="U2260" i="5"/>
  <c r="O2260" i="5"/>
  <c r="M2260" i="5"/>
  <c r="M2240" i="5"/>
  <c r="O2240" i="5"/>
  <c r="U2240" i="5"/>
  <c r="O2221" i="5"/>
  <c r="M2221" i="5"/>
  <c r="M2205" i="5"/>
  <c r="O2205" i="5"/>
  <c r="M2189" i="5"/>
  <c r="O2189" i="5"/>
  <c r="M2173" i="5"/>
  <c r="O2173" i="5"/>
  <c r="U2173" i="5"/>
  <c r="M2157" i="5"/>
  <c r="O2157" i="5"/>
  <c r="U2157" i="5"/>
  <c r="M2141" i="5"/>
  <c r="O2141" i="5"/>
  <c r="M2127" i="5"/>
  <c r="O2127" i="5"/>
  <c r="M2107" i="5"/>
  <c r="O2107" i="5"/>
  <c r="M2088" i="5"/>
  <c r="O2088" i="5"/>
  <c r="M2072" i="5"/>
  <c r="O2072" i="5"/>
  <c r="M2056" i="5"/>
  <c r="O2056" i="5"/>
  <c r="M2040" i="5"/>
  <c r="O2040" i="5"/>
  <c r="U2024" i="5"/>
  <c r="M2024" i="5"/>
  <c r="O2024" i="5"/>
  <c r="M2010" i="5"/>
  <c r="O2010" i="5"/>
  <c r="U2010" i="5"/>
  <c r="M1990" i="5"/>
  <c r="O1990" i="5"/>
  <c r="M1974" i="5"/>
  <c r="O1974" i="5"/>
  <c r="M1955" i="5"/>
  <c r="O1955" i="5"/>
  <c r="U1955" i="5"/>
  <c r="M1939" i="5"/>
  <c r="O1939" i="5"/>
  <c r="M1923" i="5"/>
  <c r="O1923" i="5"/>
  <c r="U1923" i="5"/>
  <c r="M1907" i="5"/>
  <c r="O1907" i="5"/>
  <c r="M1891" i="5"/>
  <c r="O1891" i="5"/>
  <c r="M1877" i="5"/>
  <c r="O1877" i="5"/>
  <c r="M1857" i="5"/>
  <c r="O1857" i="5"/>
  <c r="M1838" i="5"/>
  <c r="O1838" i="5"/>
  <c r="M1822" i="5"/>
  <c r="O1822" i="5"/>
  <c r="O1806" i="5"/>
  <c r="U1806" i="5"/>
  <c r="M1806" i="5"/>
  <c r="O1790" i="5"/>
  <c r="M1790" i="5"/>
  <c r="M1774" i="5"/>
  <c r="O1774" i="5"/>
  <c r="M1758" i="5"/>
  <c r="O1758" i="5"/>
  <c r="U1744" i="5"/>
  <c r="M1705" i="5"/>
  <c r="O1705" i="5"/>
  <c r="O1689" i="5"/>
  <c r="M1689" i="5"/>
  <c r="M1673" i="5"/>
  <c r="O1673" i="5"/>
  <c r="O1657" i="5"/>
  <c r="M1657" i="5"/>
  <c r="M1641" i="5"/>
  <c r="O1641" i="5"/>
  <c r="M1602" i="5"/>
  <c r="O1602" i="5"/>
  <c r="M1578" i="5"/>
  <c r="O1578" i="5"/>
  <c r="M1562" i="5"/>
  <c r="O1562" i="5"/>
  <c r="M1546" i="5"/>
  <c r="O1546" i="5"/>
  <c r="U1530" i="5"/>
  <c r="O1530" i="5"/>
  <c r="M1530" i="5"/>
  <c r="M1514" i="5"/>
  <c r="O1514" i="5"/>
  <c r="M1499" i="5"/>
  <c r="O1499" i="5"/>
  <c r="M1480" i="5"/>
  <c r="O1480" i="5"/>
  <c r="O1464" i="5"/>
  <c r="M1464" i="5"/>
  <c r="M1445" i="5"/>
  <c r="U1445" i="5"/>
  <c r="O1445" i="5"/>
  <c r="O1429" i="5"/>
  <c r="M1429" i="5"/>
  <c r="M1413" i="5"/>
  <c r="O1413" i="5"/>
  <c r="M1397" i="5"/>
  <c r="O1397" i="5"/>
  <c r="U1397" i="5"/>
  <c r="M1381" i="5"/>
  <c r="O1381" i="5"/>
  <c r="M1367" i="5"/>
  <c r="O1367" i="5"/>
  <c r="M1347" i="5"/>
  <c r="O1347" i="5"/>
  <c r="M1331" i="5"/>
  <c r="O1331" i="5"/>
  <c r="M1312" i="5"/>
  <c r="O1312" i="5"/>
  <c r="M1296" i="5"/>
  <c r="O1296" i="5"/>
  <c r="M1280" i="5"/>
  <c r="O1280" i="5"/>
  <c r="O1264" i="5"/>
  <c r="M1264" i="5"/>
  <c r="M1248" i="5"/>
  <c r="O1248" i="5"/>
  <c r="U1248" i="5"/>
  <c r="O1234" i="5"/>
  <c r="M1234" i="5"/>
  <c r="O1214" i="5"/>
  <c r="M1214" i="5"/>
  <c r="M1195" i="5"/>
  <c r="O1195" i="5"/>
  <c r="M1179" i="5"/>
  <c r="O1179" i="5"/>
  <c r="M1163" i="5"/>
  <c r="O1163" i="5"/>
  <c r="U1163" i="5"/>
  <c r="M1147" i="5"/>
  <c r="O1147" i="5"/>
  <c r="M1131" i="5"/>
  <c r="O1131" i="5"/>
  <c r="M1097" i="5"/>
  <c r="O1097" i="5"/>
  <c r="M1081" i="5"/>
  <c r="O1081" i="5"/>
  <c r="M1062" i="5"/>
  <c r="O1062" i="5"/>
  <c r="M1046" i="5"/>
  <c r="O1046" i="5"/>
  <c r="U1046" i="5"/>
  <c r="O1030" i="5"/>
  <c r="M1030" i="5"/>
  <c r="O1014" i="5"/>
  <c r="M1014" i="5"/>
  <c r="M998" i="5"/>
  <c r="O998" i="5"/>
  <c r="U998" i="5"/>
  <c r="M982" i="5"/>
  <c r="O982" i="5"/>
  <c r="M964" i="5"/>
  <c r="O964" i="5"/>
  <c r="M948" i="5"/>
  <c r="O948" i="5"/>
  <c r="U929" i="5"/>
  <c r="M929" i="5"/>
  <c r="O929" i="5"/>
  <c r="M913" i="5"/>
  <c r="O913" i="5"/>
  <c r="O897" i="5"/>
  <c r="M897" i="5"/>
  <c r="O881" i="5"/>
  <c r="M881" i="5"/>
  <c r="M865" i="5"/>
  <c r="O865" i="5"/>
  <c r="U851" i="5"/>
  <c r="O851" i="5"/>
  <c r="M851" i="5"/>
  <c r="O831" i="5"/>
  <c r="M831" i="5"/>
  <c r="U831" i="5"/>
  <c r="M812" i="5"/>
  <c r="O812" i="5"/>
  <c r="U812" i="5"/>
  <c r="M796" i="5"/>
  <c r="O796" i="5"/>
  <c r="U796" i="5"/>
  <c r="M780" i="5"/>
  <c r="O780" i="5"/>
  <c r="M764" i="5"/>
  <c r="O764" i="5"/>
  <c r="O748" i="5"/>
  <c r="M748" i="5"/>
  <c r="M732" i="5"/>
  <c r="O732" i="5"/>
  <c r="U732" i="5"/>
  <c r="O717" i="5"/>
  <c r="M717" i="5"/>
  <c r="U717" i="5"/>
  <c r="O698" i="5"/>
  <c r="M698" i="5"/>
  <c r="M679" i="5"/>
  <c r="O679" i="5"/>
  <c r="U679" i="5"/>
  <c r="Y679" i="5" s="1"/>
  <c r="M663" i="5"/>
  <c r="O663" i="5"/>
  <c r="M647" i="5"/>
  <c r="O647" i="5"/>
  <c r="U647" i="5"/>
  <c r="Y647" i="5" s="1"/>
  <c r="M631" i="5"/>
  <c r="O631" i="5"/>
  <c r="O615" i="5"/>
  <c r="M615" i="5"/>
  <c r="U601" i="5"/>
  <c r="M601" i="5"/>
  <c r="O601" i="5"/>
  <c r="M581" i="5"/>
  <c r="O581" i="5"/>
  <c r="O565" i="5"/>
  <c r="M565" i="5"/>
  <c r="O546" i="5"/>
  <c r="M546" i="5"/>
  <c r="M530" i="5"/>
  <c r="O530" i="5"/>
  <c r="U530" i="5"/>
  <c r="M514" i="5"/>
  <c r="O514" i="5"/>
  <c r="O498" i="5"/>
  <c r="M498" i="5"/>
  <c r="M482" i="5"/>
  <c r="O482" i="5"/>
  <c r="M466" i="5"/>
  <c r="O466" i="5"/>
  <c r="O448" i="5"/>
  <c r="M448" i="5"/>
  <c r="O429" i="5"/>
  <c r="M429" i="5"/>
  <c r="M413" i="5"/>
  <c r="O413" i="5"/>
  <c r="U397" i="5"/>
  <c r="Y397" i="5" s="1"/>
  <c r="O397" i="5"/>
  <c r="M397" i="5"/>
  <c r="M381" i="5"/>
  <c r="O381" i="5"/>
  <c r="M365" i="5"/>
  <c r="O365" i="5"/>
  <c r="M349" i="5"/>
  <c r="O349" i="5"/>
  <c r="O335" i="5"/>
  <c r="M335" i="5"/>
  <c r="M315" i="5"/>
  <c r="O315" i="5"/>
  <c r="O296" i="5"/>
  <c r="M296" i="5"/>
  <c r="M280" i="5"/>
  <c r="O280" i="5"/>
  <c r="U280" i="5"/>
  <c r="M264" i="5"/>
  <c r="O264" i="5"/>
  <c r="O248" i="5"/>
  <c r="M248" i="5"/>
  <c r="M232" i="5"/>
  <c r="O232" i="5"/>
  <c r="M218" i="5"/>
  <c r="O218" i="5"/>
  <c r="U218" i="5"/>
  <c r="M198" i="5"/>
  <c r="O198" i="5"/>
  <c r="M182" i="5"/>
  <c r="O182" i="5"/>
  <c r="O163" i="5"/>
  <c r="M163" i="5"/>
  <c r="O147" i="5"/>
  <c r="M147" i="5"/>
  <c r="O131" i="5"/>
  <c r="U131" i="5"/>
  <c r="M131" i="5"/>
  <c r="M115" i="5"/>
  <c r="O115" i="5"/>
  <c r="O99" i="5"/>
  <c r="M99" i="5"/>
  <c r="M83" i="5"/>
  <c r="O83" i="5"/>
  <c r="M65" i="5"/>
  <c r="O65" i="5"/>
  <c r="M46" i="5"/>
  <c r="O46" i="5"/>
  <c r="M30" i="5"/>
  <c r="O30" i="5"/>
  <c r="M14" i="5"/>
  <c r="O14" i="5"/>
  <c r="O3326" i="5"/>
  <c r="U3315" i="5"/>
  <c r="P3315" i="5" s="1"/>
  <c r="U3257" i="5"/>
  <c r="T3257" i="5"/>
  <c r="U3239" i="5"/>
  <c r="T3227" i="5"/>
  <c r="U3227" i="5"/>
  <c r="P3227" i="5" s="1"/>
  <c r="U3206" i="5"/>
  <c r="O3177" i="5"/>
  <c r="T3168" i="5"/>
  <c r="X3168" i="5" s="1"/>
  <c r="U3156" i="5"/>
  <c r="U3143" i="5"/>
  <c r="U3119" i="5"/>
  <c r="U3076" i="5"/>
  <c r="U2926" i="5"/>
  <c r="T2832" i="5"/>
  <c r="U2792" i="5"/>
  <c r="T2600" i="5"/>
  <c r="M3044" i="5"/>
  <c r="O3044" i="5"/>
  <c r="M2943" i="5"/>
  <c r="O2943" i="5"/>
  <c r="O2794" i="5"/>
  <c r="U2794" i="5"/>
  <c r="M2794" i="5"/>
  <c r="M2627" i="5"/>
  <c r="O2627" i="5"/>
  <c r="M2514" i="5"/>
  <c r="O2514" i="5"/>
  <c r="M2361" i="5"/>
  <c r="O2361" i="5"/>
  <c r="O2209" i="5"/>
  <c r="M2209" i="5"/>
  <c r="O2060" i="5"/>
  <c r="U2060" i="5"/>
  <c r="M2060" i="5"/>
  <c r="M1895" i="5"/>
  <c r="O1895" i="5"/>
  <c r="U1895" i="5"/>
  <c r="M1709" i="5"/>
  <c r="O1709" i="5"/>
  <c r="M1502" i="5"/>
  <c r="O1502" i="5"/>
  <c r="M1252" i="5"/>
  <c r="O1252" i="5"/>
  <c r="M917" i="5"/>
  <c r="O917" i="5"/>
  <c r="M452" i="5"/>
  <c r="O452" i="5"/>
  <c r="M583" i="5"/>
  <c r="O583" i="5"/>
  <c r="U583" i="5"/>
  <c r="O3305" i="5"/>
  <c r="O3271" i="5"/>
  <c r="M3255" i="5"/>
  <c r="O3236" i="5"/>
  <c r="M3236" i="5"/>
  <c r="M3220" i="5"/>
  <c r="U3204" i="5"/>
  <c r="M3204" i="5"/>
  <c r="O3204" i="5"/>
  <c r="U3188" i="5"/>
  <c r="O3188" i="5"/>
  <c r="M3172" i="5"/>
  <c r="O3172" i="5"/>
  <c r="M3158" i="5"/>
  <c r="M3138" i="5"/>
  <c r="O3138" i="5"/>
  <c r="M3119" i="5"/>
  <c r="O3119" i="5"/>
  <c r="M3103" i="5"/>
  <c r="O3103" i="5"/>
  <c r="M3087" i="5"/>
  <c r="M3071" i="5"/>
  <c r="O3071" i="5"/>
  <c r="M3055" i="5"/>
  <c r="O3055" i="5"/>
  <c r="M3039" i="5"/>
  <c r="O3039" i="5"/>
  <c r="O3023" i="5"/>
  <c r="M3023" i="5"/>
  <c r="M3005" i="5"/>
  <c r="O3005" i="5"/>
  <c r="U2986" i="5"/>
  <c r="M2986" i="5"/>
  <c r="O2986" i="5"/>
  <c r="M2970" i="5"/>
  <c r="O2970" i="5"/>
  <c r="M2954" i="5"/>
  <c r="O2954" i="5"/>
  <c r="M2938" i="5"/>
  <c r="O2938" i="5"/>
  <c r="O2922" i="5"/>
  <c r="M2907" i="5"/>
  <c r="O2907" i="5"/>
  <c r="U2907" i="5"/>
  <c r="M2888" i="5"/>
  <c r="O2888" i="5"/>
  <c r="M2872" i="5"/>
  <c r="O2872" i="5"/>
  <c r="M2853" i="5"/>
  <c r="O2853" i="5"/>
  <c r="M2837" i="5"/>
  <c r="O2837" i="5"/>
  <c r="M2821" i="5"/>
  <c r="O2821" i="5"/>
  <c r="U2821" i="5"/>
  <c r="M2805" i="5"/>
  <c r="O2805" i="5"/>
  <c r="U2805" i="5"/>
  <c r="O2789" i="5"/>
  <c r="M2789" i="5"/>
  <c r="O2775" i="5"/>
  <c r="M2775" i="5"/>
  <c r="M2755" i="5"/>
  <c r="O2755" i="5"/>
  <c r="M2720" i="5"/>
  <c r="O2720" i="5"/>
  <c r="U2720" i="5"/>
  <c r="O2704" i="5"/>
  <c r="M2704" i="5"/>
  <c r="O2688" i="5"/>
  <c r="M2688" i="5"/>
  <c r="U2672" i="5"/>
  <c r="M2672" i="5"/>
  <c r="O2672" i="5"/>
  <c r="M2656" i="5"/>
  <c r="O2656" i="5"/>
  <c r="U2656" i="5"/>
  <c r="O2642" i="5"/>
  <c r="M2642" i="5"/>
  <c r="M2622" i="5"/>
  <c r="O2622" i="5"/>
  <c r="M2603" i="5"/>
  <c r="O2603" i="5"/>
  <c r="M2587" i="5"/>
  <c r="O2587" i="5"/>
  <c r="M2571" i="5"/>
  <c r="O2571" i="5"/>
  <c r="M2555" i="5"/>
  <c r="O2555" i="5"/>
  <c r="M2539" i="5"/>
  <c r="O2539" i="5"/>
  <c r="U2539" i="5"/>
  <c r="M2505" i="5"/>
  <c r="O2505" i="5"/>
  <c r="M2489" i="5"/>
  <c r="O2489" i="5"/>
  <c r="O2470" i="5"/>
  <c r="M2470" i="5"/>
  <c r="M2454" i="5"/>
  <c r="O2454" i="5"/>
  <c r="O2438" i="5"/>
  <c r="M2438" i="5"/>
  <c r="M2422" i="5"/>
  <c r="O2422" i="5"/>
  <c r="U2422" i="5"/>
  <c r="M2406" i="5"/>
  <c r="O2406" i="5"/>
  <c r="M2392" i="5"/>
  <c r="O2392" i="5"/>
  <c r="M2372" i="5"/>
  <c r="O2372" i="5"/>
  <c r="M2356" i="5"/>
  <c r="O2356" i="5"/>
  <c r="U2337" i="5"/>
  <c r="O2337" i="5"/>
  <c r="M2337" i="5"/>
  <c r="M2321" i="5"/>
  <c r="O2321" i="5"/>
  <c r="O2305" i="5"/>
  <c r="M2305" i="5"/>
  <c r="M2289" i="5"/>
  <c r="O2289" i="5"/>
  <c r="O2273" i="5"/>
  <c r="M2273" i="5"/>
  <c r="M2259" i="5"/>
  <c r="O2259" i="5"/>
  <c r="U2259" i="5"/>
  <c r="M2239" i="5"/>
  <c r="O2239" i="5"/>
  <c r="M2220" i="5"/>
  <c r="O2220" i="5"/>
  <c r="M2204" i="5"/>
  <c r="O2204" i="5"/>
  <c r="U2188" i="5"/>
  <c r="M2188" i="5"/>
  <c r="O2188" i="5"/>
  <c r="M2172" i="5"/>
  <c r="O2172" i="5"/>
  <c r="O2156" i="5"/>
  <c r="U2156" i="5"/>
  <c r="M2156" i="5"/>
  <c r="M2140" i="5"/>
  <c r="O2140" i="5"/>
  <c r="O2125" i="5"/>
  <c r="M2125" i="5"/>
  <c r="M2106" i="5"/>
  <c r="O2106" i="5"/>
  <c r="M2087" i="5"/>
  <c r="O2087" i="5"/>
  <c r="U2087" i="5"/>
  <c r="M2071" i="5"/>
  <c r="O2071" i="5"/>
  <c r="M2055" i="5"/>
  <c r="U2055" i="5"/>
  <c r="O2055" i="5"/>
  <c r="M2039" i="5"/>
  <c r="O2039" i="5"/>
  <c r="U2039" i="5"/>
  <c r="M2023" i="5"/>
  <c r="O2023" i="5"/>
  <c r="U2023" i="5"/>
  <c r="M2009" i="5"/>
  <c r="O2009" i="5"/>
  <c r="U1989" i="5"/>
  <c r="M1989" i="5"/>
  <c r="O1989" i="5"/>
  <c r="M1973" i="5"/>
  <c r="O1973" i="5"/>
  <c r="U1973" i="5"/>
  <c r="M1954" i="5"/>
  <c r="O1954" i="5"/>
  <c r="U1954" i="5"/>
  <c r="U1938" i="5"/>
  <c r="M1938" i="5"/>
  <c r="O1938" i="5"/>
  <c r="O1906" i="5"/>
  <c r="M1906" i="5"/>
  <c r="M1890" i="5"/>
  <c r="O1890" i="5"/>
  <c r="M1876" i="5"/>
  <c r="O1876" i="5"/>
  <c r="M1856" i="5"/>
  <c r="O1856" i="5"/>
  <c r="U1856" i="5"/>
  <c r="M1837" i="5"/>
  <c r="O1837" i="5"/>
  <c r="M1821" i="5"/>
  <c r="O1821" i="5"/>
  <c r="M1805" i="5"/>
  <c r="O1805" i="5"/>
  <c r="M1789" i="5"/>
  <c r="O1789" i="5"/>
  <c r="M1773" i="5"/>
  <c r="O1773" i="5"/>
  <c r="M1757" i="5"/>
  <c r="O1757" i="5"/>
  <c r="M1723" i="5"/>
  <c r="O1723" i="5"/>
  <c r="M1704" i="5"/>
  <c r="O1704" i="5"/>
  <c r="M1688" i="5"/>
  <c r="O1688" i="5"/>
  <c r="U1688" i="5"/>
  <c r="M1672" i="5"/>
  <c r="O1672" i="5"/>
  <c r="O1656" i="5"/>
  <c r="M1656" i="5"/>
  <c r="M1640" i="5"/>
  <c r="O1640" i="5"/>
  <c r="M1626" i="5"/>
  <c r="O1626" i="5"/>
  <c r="O1601" i="5"/>
  <c r="M1601" i="5"/>
  <c r="O1577" i="5"/>
  <c r="U1577" i="5"/>
  <c r="M1577" i="5"/>
  <c r="M1561" i="5"/>
  <c r="O1561" i="5"/>
  <c r="U1561" i="5"/>
  <c r="M1545" i="5"/>
  <c r="O1545" i="5"/>
  <c r="M1529" i="5"/>
  <c r="O1529" i="5"/>
  <c r="U1529" i="5"/>
  <c r="M1513" i="5"/>
  <c r="O1513" i="5"/>
  <c r="M1479" i="5"/>
  <c r="U1479" i="5"/>
  <c r="P1479" i="5" s="1"/>
  <c r="O1479" i="5"/>
  <c r="M1463" i="5"/>
  <c r="O1463" i="5"/>
  <c r="M1444" i="5"/>
  <c r="O1444" i="5"/>
  <c r="M1428" i="5"/>
  <c r="O1428" i="5"/>
  <c r="M1412" i="5"/>
  <c r="O1412" i="5"/>
  <c r="O1396" i="5"/>
  <c r="M1396" i="5"/>
  <c r="O1380" i="5"/>
  <c r="M1380" i="5"/>
  <c r="U1366" i="5"/>
  <c r="O1366" i="5"/>
  <c r="M1366" i="5"/>
  <c r="O1346" i="5"/>
  <c r="M1346" i="5"/>
  <c r="M1327" i="5"/>
  <c r="O1327" i="5"/>
  <c r="M1311" i="5"/>
  <c r="O1311" i="5"/>
  <c r="U1311" i="5"/>
  <c r="M1295" i="5"/>
  <c r="O1295" i="5"/>
  <c r="M1279" i="5"/>
  <c r="O1279" i="5"/>
  <c r="U1263" i="5"/>
  <c r="O1263" i="5"/>
  <c r="M1263" i="5"/>
  <c r="M1247" i="5"/>
  <c r="O1247" i="5"/>
  <c r="M1233" i="5"/>
  <c r="O1233" i="5"/>
  <c r="M1213" i="5"/>
  <c r="O1213" i="5"/>
  <c r="U1213" i="5"/>
  <c r="M1194" i="5"/>
  <c r="O1194" i="5"/>
  <c r="O1178" i="5"/>
  <c r="M1178" i="5"/>
  <c r="O1162" i="5"/>
  <c r="M1162" i="5"/>
  <c r="M1146" i="5"/>
  <c r="O1146" i="5"/>
  <c r="M1130" i="5"/>
  <c r="O1130" i="5"/>
  <c r="O1115" i="5"/>
  <c r="M1115" i="5"/>
  <c r="M1096" i="5"/>
  <c r="O1096" i="5"/>
  <c r="M1080" i="5"/>
  <c r="O1080" i="5"/>
  <c r="O1061" i="5"/>
  <c r="M1061" i="5"/>
  <c r="M1045" i="5"/>
  <c r="O1045" i="5"/>
  <c r="M1029" i="5"/>
  <c r="O1029" i="5"/>
  <c r="M1013" i="5"/>
  <c r="O1013" i="5"/>
  <c r="M997" i="5"/>
  <c r="O997" i="5"/>
  <c r="M981" i="5"/>
  <c r="O981" i="5"/>
  <c r="M963" i="5"/>
  <c r="O963" i="5"/>
  <c r="M947" i="5"/>
  <c r="O947" i="5"/>
  <c r="M928" i="5"/>
  <c r="O928" i="5"/>
  <c r="M912" i="5"/>
  <c r="O912" i="5"/>
  <c r="M896" i="5"/>
  <c r="O896" i="5"/>
  <c r="M880" i="5"/>
  <c r="O880" i="5"/>
  <c r="M864" i="5"/>
  <c r="O864" i="5"/>
  <c r="U864" i="5"/>
  <c r="U850" i="5"/>
  <c r="Y850" i="5" s="1"/>
  <c r="M850" i="5"/>
  <c r="O850" i="5"/>
  <c r="M830" i="5"/>
  <c r="O830" i="5"/>
  <c r="M811" i="5"/>
  <c r="O811" i="5"/>
  <c r="U811" i="5"/>
  <c r="M795" i="5"/>
  <c r="O795" i="5"/>
  <c r="O779" i="5"/>
  <c r="M779" i="5"/>
  <c r="M763" i="5"/>
  <c r="O763" i="5"/>
  <c r="M747" i="5"/>
  <c r="O747" i="5"/>
  <c r="M713" i="5"/>
  <c r="O713" i="5"/>
  <c r="M697" i="5"/>
  <c r="O697" i="5"/>
  <c r="M678" i="5"/>
  <c r="O678" i="5"/>
  <c r="M662" i="5"/>
  <c r="O662" i="5"/>
  <c r="M646" i="5"/>
  <c r="O646" i="5"/>
  <c r="M630" i="5"/>
  <c r="O630" i="5"/>
  <c r="M614" i="5"/>
  <c r="O614" i="5"/>
  <c r="O600" i="5"/>
  <c r="M600" i="5"/>
  <c r="O580" i="5"/>
  <c r="M580" i="5"/>
  <c r="M564" i="5"/>
  <c r="O564" i="5"/>
  <c r="M545" i="5"/>
  <c r="O545" i="5"/>
  <c r="U545" i="5"/>
  <c r="M529" i="5"/>
  <c r="O529" i="5"/>
  <c r="M513" i="5"/>
  <c r="O513" i="5"/>
  <c r="M497" i="5"/>
  <c r="O497" i="5"/>
  <c r="M481" i="5"/>
  <c r="U481" i="5"/>
  <c r="O481" i="5"/>
  <c r="M465" i="5"/>
  <c r="O465" i="5"/>
  <c r="O447" i="5"/>
  <c r="M447" i="5"/>
  <c r="U428" i="5"/>
  <c r="O428" i="5"/>
  <c r="M428" i="5"/>
  <c r="M412" i="5"/>
  <c r="O412" i="5"/>
  <c r="M396" i="5"/>
  <c r="O396" i="5"/>
  <c r="M380" i="5"/>
  <c r="O380" i="5"/>
  <c r="O364" i="5"/>
  <c r="M364" i="5"/>
  <c r="M348" i="5"/>
  <c r="O348" i="5"/>
  <c r="U348" i="5"/>
  <c r="O333" i="5"/>
  <c r="M333" i="5"/>
  <c r="U333" i="5"/>
  <c r="M314" i="5"/>
  <c r="O314" i="5"/>
  <c r="M295" i="5"/>
  <c r="O295" i="5"/>
  <c r="U295" i="5"/>
  <c r="U279" i="5"/>
  <c r="M279" i="5"/>
  <c r="O279" i="5"/>
  <c r="O263" i="5"/>
  <c r="M263" i="5"/>
  <c r="U263" i="5"/>
  <c r="M247" i="5"/>
  <c r="O247" i="5"/>
  <c r="U247" i="5"/>
  <c r="O231" i="5"/>
  <c r="M231" i="5"/>
  <c r="U231" i="5"/>
  <c r="M217" i="5"/>
  <c r="O217" i="5"/>
  <c r="M197" i="5"/>
  <c r="O197" i="5"/>
  <c r="U197" i="5"/>
  <c r="M181" i="5"/>
  <c r="O181" i="5"/>
  <c r="M162" i="5"/>
  <c r="O162" i="5"/>
  <c r="U162" i="5"/>
  <c r="P162" i="5" s="1"/>
  <c r="U146" i="5"/>
  <c r="Y146" i="5" s="1"/>
  <c r="M146" i="5"/>
  <c r="O146" i="5"/>
  <c r="O130" i="5"/>
  <c r="M130" i="5"/>
  <c r="U130" i="5"/>
  <c r="O114" i="5"/>
  <c r="U114" i="5"/>
  <c r="P114" i="5" s="1"/>
  <c r="M114" i="5"/>
  <c r="M98" i="5"/>
  <c r="O98" i="5"/>
  <c r="U98" i="5"/>
  <c r="M82" i="5"/>
  <c r="O82" i="5"/>
  <c r="M64" i="5"/>
  <c r="O64" i="5"/>
  <c r="M45" i="5"/>
  <c r="O45" i="5"/>
  <c r="O29" i="5"/>
  <c r="M29" i="5"/>
  <c r="M13" i="5"/>
  <c r="O13" i="5"/>
  <c r="T3318" i="5"/>
  <c r="O3303" i="5"/>
  <c r="U3295" i="5"/>
  <c r="O3285" i="5"/>
  <c r="O3277" i="5"/>
  <c r="T3261" i="5"/>
  <c r="U3253" i="5"/>
  <c r="T3253" i="5"/>
  <c r="O3223" i="5"/>
  <c r="W3206" i="5"/>
  <c r="V3206" i="5"/>
  <c r="O3189" i="5"/>
  <c r="M3161" i="5"/>
  <c r="U3130" i="5"/>
  <c r="V3119" i="5"/>
  <c r="W3119" i="5"/>
  <c r="T3110" i="5"/>
  <c r="X3110" i="5" s="1"/>
  <c r="M3009" i="5"/>
  <c r="V2991" i="5"/>
  <c r="W2991" i="5"/>
  <c r="T2797" i="5"/>
  <c r="T2695" i="5"/>
  <c r="M2677" i="5"/>
  <c r="O2677" i="5"/>
  <c r="U2677" i="5"/>
  <c r="P2677" i="5" s="1"/>
  <c r="O1183" i="5"/>
  <c r="M1183" i="5"/>
  <c r="O468" i="5"/>
  <c r="U468" i="5"/>
  <c r="M468" i="5"/>
  <c r="M3320" i="5"/>
  <c r="M3304" i="5"/>
  <c r="O3304" i="5"/>
  <c r="U3304" i="5"/>
  <c r="O3290" i="5"/>
  <c r="M3290" i="5"/>
  <c r="M3270" i="5"/>
  <c r="O3270" i="5"/>
  <c r="O3254" i="5"/>
  <c r="M3254" i="5"/>
  <c r="M3235" i="5"/>
  <c r="M3219" i="5"/>
  <c r="O3219" i="5"/>
  <c r="M3203" i="5"/>
  <c r="M3187" i="5"/>
  <c r="O3187" i="5"/>
  <c r="M3171" i="5"/>
  <c r="O3171" i="5"/>
  <c r="O3157" i="5"/>
  <c r="M3157" i="5"/>
  <c r="M3137" i="5"/>
  <c r="O3137" i="5"/>
  <c r="M3118" i="5"/>
  <c r="O3118" i="5"/>
  <c r="U3118" i="5"/>
  <c r="M3102" i="5"/>
  <c r="O3102" i="5"/>
  <c r="M3086" i="5"/>
  <c r="O3086" i="5"/>
  <c r="O3070" i="5"/>
  <c r="M3054" i="5"/>
  <c r="O3054" i="5"/>
  <c r="M3038" i="5"/>
  <c r="O3038" i="5"/>
  <c r="M3022" i="5"/>
  <c r="O3022" i="5"/>
  <c r="M3004" i="5"/>
  <c r="O3004" i="5"/>
  <c r="O2985" i="5"/>
  <c r="U2985" i="5"/>
  <c r="O2969" i="5"/>
  <c r="M2953" i="5"/>
  <c r="O2953" i="5"/>
  <c r="U2937" i="5"/>
  <c r="M2937" i="5"/>
  <c r="O2937" i="5"/>
  <c r="M2921" i="5"/>
  <c r="O2921" i="5"/>
  <c r="M2887" i="5"/>
  <c r="O2887" i="5"/>
  <c r="M2871" i="5"/>
  <c r="O2871" i="5"/>
  <c r="U2871" i="5"/>
  <c r="M2852" i="5"/>
  <c r="O2852" i="5"/>
  <c r="M2836" i="5"/>
  <c r="O2836" i="5"/>
  <c r="U2836" i="5"/>
  <c r="M2820" i="5"/>
  <c r="O2820" i="5"/>
  <c r="U2820" i="5"/>
  <c r="M2804" i="5"/>
  <c r="O2804" i="5"/>
  <c r="M2788" i="5"/>
  <c r="O2788" i="5"/>
  <c r="U2788" i="5"/>
  <c r="M2774" i="5"/>
  <c r="O2774" i="5"/>
  <c r="U2774" i="5"/>
  <c r="M2754" i="5"/>
  <c r="O2754" i="5"/>
  <c r="M2735" i="5"/>
  <c r="O2735" i="5"/>
  <c r="M2719" i="5"/>
  <c r="O2719" i="5"/>
  <c r="O2703" i="5"/>
  <c r="M2703" i="5"/>
  <c r="M2687" i="5"/>
  <c r="U2687" i="5"/>
  <c r="O2687" i="5"/>
  <c r="U2671" i="5"/>
  <c r="M2671" i="5"/>
  <c r="O2671" i="5"/>
  <c r="M2655" i="5"/>
  <c r="O2655" i="5"/>
  <c r="M2641" i="5"/>
  <c r="U2641" i="5"/>
  <c r="Y2641" i="5" s="1"/>
  <c r="O2641" i="5"/>
  <c r="M2621" i="5"/>
  <c r="O2621" i="5"/>
  <c r="M2602" i="5"/>
  <c r="O2602" i="5"/>
  <c r="O2586" i="5"/>
  <c r="M2586" i="5"/>
  <c r="O2570" i="5"/>
  <c r="M2570" i="5"/>
  <c r="M2554" i="5"/>
  <c r="O2554" i="5"/>
  <c r="U2554" i="5"/>
  <c r="O2538" i="5"/>
  <c r="U2538" i="5"/>
  <c r="M2538" i="5"/>
  <c r="M2523" i="5"/>
  <c r="O2523" i="5"/>
  <c r="U2523" i="5"/>
  <c r="P2523" i="5" s="1"/>
  <c r="M2504" i="5"/>
  <c r="O2504" i="5"/>
  <c r="M2488" i="5"/>
  <c r="O2488" i="5"/>
  <c r="M2469" i="5"/>
  <c r="O2469" i="5"/>
  <c r="M2453" i="5"/>
  <c r="O2453" i="5"/>
  <c r="M2437" i="5"/>
  <c r="O2437" i="5"/>
  <c r="U2437" i="5"/>
  <c r="M2421" i="5"/>
  <c r="O2421" i="5"/>
  <c r="M2405" i="5"/>
  <c r="O2405" i="5"/>
  <c r="M2391" i="5"/>
  <c r="O2391" i="5"/>
  <c r="M2371" i="5"/>
  <c r="O2371" i="5"/>
  <c r="M2355" i="5"/>
  <c r="O2355" i="5"/>
  <c r="M2336" i="5"/>
  <c r="O2336" i="5"/>
  <c r="M2320" i="5"/>
  <c r="O2320" i="5"/>
  <c r="M2304" i="5"/>
  <c r="O2304" i="5"/>
  <c r="U2304" i="5"/>
  <c r="M2288" i="5"/>
  <c r="O2288" i="5"/>
  <c r="U2288" i="5"/>
  <c r="M2272" i="5"/>
  <c r="O2272" i="5"/>
  <c r="O2258" i="5"/>
  <c r="M2258" i="5"/>
  <c r="M2238" i="5"/>
  <c r="O2238" i="5"/>
  <c r="M2219" i="5"/>
  <c r="O2219" i="5"/>
  <c r="U2219" i="5"/>
  <c r="M2203" i="5"/>
  <c r="O2203" i="5"/>
  <c r="U2203" i="5"/>
  <c r="M2187" i="5"/>
  <c r="O2187" i="5"/>
  <c r="U2187" i="5"/>
  <c r="M2171" i="5"/>
  <c r="O2171" i="5"/>
  <c r="U2171" i="5"/>
  <c r="M2155" i="5"/>
  <c r="O2155" i="5"/>
  <c r="U2155" i="5"/>
  <c r="M2121" i="5"/>
  <c r="U2121" i="5"/>
  <c r="O2121" i="5"/>
  <c r="M2105" i="5"/>
  <c r="O2105" i="5"/>
  <c r="U2105" i="5"/>
  <c r="Y2105" i="5" s="1"/>
  <c r="O2086" i="5"/>
  <c r="U2086" i="5"/>
  <c r="M2086" i="5"/>
  <c r="M2070" i="5"/>
  <c r="O2070" i="5"/>
  <c r="O2054" i="5"/>
  <c r="M2054" i="5"/>
  <c r="O2038" i="5"/>
  <c r="U2038" i="5"/>
  <c r="M2038" i="5"/>
  <c r="O2022" i="5"/>
  <c r="M2022" i="5"/>
  <c r="U2022" i="5"/>
  <c r="M2008" i="5"/>
  <c r="O2008" i="5"/>
  <c r="U2008" i="5"/>
  <c r="Y2008" i="5" s="1"/>
  <c r="M1988" i="5"/>
  <c r="O1988" i="5"/>
  <c r="U1988" i="5"/>
  <c r="M1972" i="5"/>
  <c r="O1972" i="5"/>
  <c r="U1972" i="5"/>
  <c r="M1953" i="5"/>
  <c r="O1953" i="5"/>
  <c r="U1953" i="5"/>
  <c r="M1937" i="5"/>
  <c r="O1937" i="5"/>
  <c r="M1921" i="5"/>
  <c r="O1921" i="5"/>
  <c r="U1921" i="5"/>
  <c r="M1905" i="5"/>
  <c r="O1905" i="5"/>
  <c r="O1889" i="5"/>
  <c r="M1889" i="5"/>
  <c r="O1875" i="5"/>
  <c r="M1875" i="5"/>
  <c r="O1855" i="5"/>
  <c r="U1855" i="5"/>
  <c r="M1855" i="5"/>
  <c r="M1836" i="5"/>
  <c r="O1836" i="5"/>
  <c r="M1820" i="5"/>
  <c r="O1820" i="5"/>
  <c r="M1804" i="5"/>
  <c r="O1804" i="5"/>
  <c r="M1788" i="5"/>
  <c r="O1788" i="5"/>
  <c r="O1772" i="5"/>
  <c r="M1772" i="5"/>
  <c r="O1756" i="5"/>
  <c r="U1756" i="5"/>
  <c r="M1756" i="5"/>
  <c r="U1741" i="5"/>
  <c r="M1722" i="5"/>
  <c r="U1722" i="5"/>
  <c r="O1722" i="5"/>
  <c r="O1703" i="5"/>
  <c r="U1703" i="5"/>
  <c r="M1703" i="5"/>
  <c r="M1687" i="5"/>
  <c r="O1687" i="5"/>
  <c r="M1671" i="5"/>
  <c r="O1671" i="5"/>
  <c r="M1655" i="5"/>
  <c r="O1655" i="5"/>
  <c r="U1655" i="5"/>
  <c r="O1639" i="5"/>
  <c r="U1639" i="5"/>
  <c r="M1639" i="5"/>
  <c r="O1625" i="5"/>
  <c r="M1625" i="5"/>
  <c r="M1600" i="5"/>
  <c r="O1600" i="5"/>
  <c r="O1576" i="5"/>
  <c r="M1576" i="5"/>
  <c r="O1560" i="5"/>
  <c r="M1560" i="5"/>
  <c r="M1544" i="5"/>
  <c r="M1528" i="5"/>
  <c r="O1528" i="5"/>
  <c r="M1512" i="5"/>
  <c r="O1512" i="5"/>
  <c r="M1498" i="5"/>
  <c r="O1498" i="5"/>
  <c r="M1478" i="5"/>
  <c r="O1478" i="5"/>
  <c r="M1462" i="5"/>
  <c r="O1462" i="5"/>
  <c r="M1443" i="5"/>
  <c r="O1443" i="5"/>
  <c r="O1427" i="5"/>
  <c r="U1427" i="5"/>
  <c r="M1427" i="5"/>
  <c r="O1411" i="5"/>
  <c r="M1411" i="5"/>
  <c r="M1395" i="5"/>
  <c r="O1395" i="5"/>
  <c r="M1379" i="5"/>
  <c r="O1379" i="5"/>
  <c r="M1365" i="5"/>
  <c r="O1365" i="5"/>
  <c r="M1345" i="5"/>
  <c r="O1345" i="5"/>
  <c r="M1326" i="5"/>
  <c r="O1326" i="5"/>
  <c r="M1310" i="5"/>
  <c r="O1310" i="5"/>
  <c r="M1294" i="5"/>
  <c r="O1294" i="5"/>
  <c r="M1278" i="5"/>
  <c r="O1278" i="5"/>
  <c r="M1262" i="5"/>
  <c r="O1262" i="5"/>
  <c r="O1246" i="5"/>
  <c r="M1246" i="5"/>
  <c r="O1232" i="5"/>
  <c r="M1232" i="5"/>
  <c r="M1212" i="5"/>
  <c r="O1212" i="5"/>
  <c r="U1193" i="5"/>
  <c r="M1193" i="5"/>
  <c r="O1193" i="5"/>
  <c r="M1177" i="5"/>
  <c r="O1177" i="5"/>
  <c r="U1161" i="5"/>
  <c r="O1161" i="5"/>
  <c r="M1161" i="5"/>
  <c r="M1145" i="5"/>
  <c r="O1145" i="5"/>
  <c r="U1129" i="5"/>
  <c r="M1129" i="5"/>
  <c r="O1129" i="5"/>
  <c r="M1095" i="5"/>
  <c r="O1095" i="5"/>
  <c r="O1079" i="5"/>
  <c r="M1079" i="5"/>
  <c r="M1060" i="5"/>
  <c r="O1060" i="5"/>
  <c r="M1044" i="5"/>
  <c r="O1044" i="5"/>
  <c r="M1028" i="5"/>
  <c r="O1028" i="5"/>
  <c r="M1012" i="5"/>
  <c r="O1012" i="5"/>
  <c r="U996" i="5"/>
  <c r="M996" i="5"/>
  <c r="O996" i="5"/>
  <c r="M980" i="5"/>
  <c r="O980" i="5"/>
  <c r="U980" i="5"/>
  <c r="M962" i="5"/>
  <c r="O962" i="5"/>
  <c r="U962" i="5"/>
  <c r="M943" i="5"/>
  <c r="O943" i="5"/>
  <c r="U943" i="5"/>
  <c r="M927" i="5"/>
  <c r="O927" i="5"/>
  <c r="M911" i="5"/>
  <c r="O911" i="5"/>
  <c r="O895" i="5"/>
  <c r="M895" i="5"/>
  <c r="M879" i="5"/>
  <c r="O879" i="5"/>
  <c r="M863" i="5"/>
  <c r="O863" i="5"/>
  <c r="U863" i="5"/>
  <c r="M849" i="5"/>
  <c r="O849" i="5"/>
  <c r="M829" i="5"/>
  <c r="O829" i="5"/>
  <c r="O810" i="5"/>
  <c r="M810" i="5"/>
  <c r="M794" i="5"/>
  <c r="O794" i="5"/>
  <c r="U794" i="5"/>
  <c r="M778" i="5"/>
  <c r="O778" i="5"/>
  <c r="U778" i="5"/>
  <c r="O762" i="5"/>
  <c r="M762" i="5"/>
  <c r="U746" i="5"/>
  <c r="O746" i="5"/>
  <c r="M746" i="5"/>
  <c r="M731" i="5"/>
  <c r="O731" i="5"/>
  <c r="U731" i="5"/>
  <c r="O712" i="5"/>
  <c r="M712" i="5"/>
  <c r="O696" i="5"/>
  <c r="M696" i="5"/>
  <c r="M677" i="5"/>
  <c r="U677" i="5"/>
  <c r="O677" i="5"/>
  <c r="O661" i="5"/>
  <c r="M661" i="5"/>
  <c r="O645" i="5"/>
  <c r="U645" i="5"/>
  <c r="M645" i="5"/>
  <c r="M629" i="5"/>
  <c r="O629" i="5"/>
  <c r="O613" i="5"/>
  <c r="M613" i="5"/>
  <c r="O599" i="5"/>
  <c r="M599" i="5"/>
  <c r="M579" i="5"/>
  <c r="O579" i="5"/>
  <c r="W3318" i="5"/>
  <c r="V3318" i="5"/>
  <c r="O3307" i="5"/>
  <c r="V3261" i="5"/>
  <c r="W3261" i="5"/>
  <c r="T3197" i="5"/>
  <c r="U3197" i="5"/>
  <c r="M3177" i="5"/>
  <c r="U3172" i="5"/>
  <c r="V3062" i="5"/>
  <c r="W3062" i="5"/>
  <c r="T3057" i="5"/>
  <c r="M2987" i="5"/>
  <c r="T2885" i="5"/>
  <c r="T2802" i="5"/>
  <c r="M2721" i="5"/>
  <c r="O2676" i="5"/>
  <c r="O3319" i="5"/>
  <c r="M3319" i="5"/>
  <c r="M3289" i="5"/>
  <c r="M3269" i="5"/>
  <c r="O3269" i="5"/>
  <c r="M3253" i="5"/>
  <c r="M3234" i="5"/>
  <c r="O3234" i="5"/>
  <c r="O3218" i="5"/>
  <c r="M3218" i="5"/>
  <c r="M3202" i="5"/>
  <c r="O3202" i="5"/>
  <c r="M3186" i="5"/>
  <c r="O3186" i="5"/>
  <c r="O3170" i="5"/>
  <c r="M3156" i="5"/>
  <c r="M3136" i="5"/>
  <c r="O3136" i="5"/>
  <c r="O3117" i="5"/>
  <c r="O3101" i="5"/>
  <c r="M3101" i="5"/>
  <c r="O3085" i="5"/>
  <c r="M3069" i="5"/>
  <c r="O3069" i="5"/>
  <c r="M3053" i="5"/>
  <c r="O3053" i="5"/>
  <c r="O3037" i="5"/>
  <c r="M3037" i="5"/>
  <c r="M3021" i="5"/>
  <c r="O3021" i="5"/>
  <c r="O3003" i="5"/>
  <c r="M3003" i="5"/>
  <c r="M2984" i="5"/>
  <c r="O2984" i="5"/>
  <c r="M2968" i="5"/>
  <c r="O2968" i="5"/>
  <c r="M2952" i="5"/>
  <c r="O2952" i="5"/>
  <c r="O2936" i="5"/>
  <c r="U2936" i="5"/>
  <c r="M2936" i="5"/>
  <c r="M2920" i="5"/>
  <c r="O2920" i="5"/>
  <c r="M2906" i="5"/>
  <c r="O2906" i="5"/>
  <c r="M2886" i="5"/>
  <c r="O2886" i="5"/>
  <c r="O2870" i="5"/>
  <c r="U2870" i="5"/>
  <c r="M2870" i="5"/>
  <c r="O2851" i="5"/>
  <c r="M2851" i="5"/>
  <c r="M2835" i="5"/>
  <c r="O2835" i="5"/>
  <c r="M2819" i="5"/>
  <c r="O2819" i="5"/>
  <c r="M2803" i="5"/>
  <c r="O2803" i="5"/>
  <c r="O2787" i="5"/>
  <c r="M2787" i="5"/>
  <c r="M2773" i="5"/>
  <c r="O2773" i="5"/>
  <c r="M2753" i="5"/>
  <c r="O2753" i="5"/>
  <c r="M2734" i="5"/>
  <c r="O2734" i="5"/>
  <c r="M2718" i="5"/>
  <c r="O2718" i="5"/>
  <c r="M2702" i="5"/>
  <c r="O2702" i="5"/>
  <c r="O2686" i="5"/>
  <c r="M2686" i="5"/>
  <c r="M2670" i="5"/>
  <c r="O2670" i="5"/>
  <c r="M2654" i="5"/>
  <c r="O2654" i="5"/>
  <c r="M2640" i="5"/>
  <c r="U2640" i="5"/>
  <c r="O2640" i="5"/>
  <c r="M2620" i="5"/>
  <c r="O2620" i="5"/>
  <c r="U2620" i="5"/>
  <c r="O2601" i="5"/>
  <c r="M2601" i="5"/>
  <c r="M2585" i="5"/>
  <c r="O2585" i="5"/>
  <c r="M2569" i="5"/>
  <c r="O2569" i="5"/>
  <c r="M2553" i="5"/>
  <c r="O2553" i="5"/>
  <c r="M2537" i="5"/>
  <c r="O2537" i="5"/>
  <c r="M2503" i="5"/>
  <c r="O2503" i="5"/>
  <c r="M2487" i="5"/>
  <c r="O2487" i="5"/>
  <c r="M2468" i="5"/>
  <c r="O2468" i="5"/>
  <c r="M2452" i="5"/>
  <c r="O2452" i="5"/>
  <c r="M2436" i="5"/>
  <c r="O2436" i="5"/>
  <c r="M2420" i="5"/>
  <c r="O2420" i="5"/>
  <c r="M2404" i="5"/>
  <c r="O2404" i="5"/>
  <c r="M2390" i="5"/>
  <c r="O2390" i="5"/>
  <c r="U2390" i="5"/>
  <c r="M2370" i="5"/>
  <c r="O2370" i="5"/>
  <c r="M2351" i="5"/>
  <c r="O2351" i="5"/>
  <c r="M2335" i="5"/>
  <c r="O2335" i="5"/>
  <c r="M2319" i="5"/>
  <c r="O2319" i="5"/>
  <c r="U2319" i="5"/>
  <c r="M2303" i="5"/>
  <c r="O2303" i="5"/>
  <c r="U2287" i="5"/>
  <c r="M2287" i="5"/>
  <c r="O2287" i="5"/>
  <c r="M2271" i="5"/>
  <c r="O2271" i="5"/>
  <c r="U2271" i="5"/>
  <c r="O2257" i="5"/>
  <c r="M2257" i="5"/>
  <c r="U2257" i="5"/>
  <c r="M2237" i="5"/>
  <c r="O2237" i="5"/>
  <c r="M2218" i="5"/>
  <c r="O2218" i="5"/>
  <c r="O2202" i="5"/>
  <c r="M2202" i="5"/>
  <c r="O2186" i="5"/>
  <c r="M2186" i="5"/>
  <c r="M2170" i="5"/>
  <c r="O2170" i="5"/>
  <c r="M2154" i="5"/>
  <c r="O2154" i="5"/>
  <c r="M2139" i="5"/>
  <c r="O2139" i="5"/>
  <c r="M2120" i="5"/>
  <c r="O2120" i="5"/>
  <c r="O2104" i="5"/>
  <c r="U2104" i="5"/>
  <c r="M2104" i="5"/>
  <c r="M2085" i="5"/>
  <c r="O2085" i="5"/>
  <c r="M2069" i="5"/>
  <c r="O2069" i="5"/>
  <c r="M2053" i="5"/>
  <c r="O2053" i="5"/>
  <c r="O2037" i="5"/>
  <c r="M2037" i="5"/>
  <c r="M2021" i="5"/>
  <c r="O2021" i="5"/>
  <c r="M2007" i="5"/>
  <c r="O2007" i="5"/>
  <c r="O1987" i="5"/>
  <c r="U1987" i="5"/>
  <c r="M1987" i="5"/>
  <c r="M1971" i="5"/>
  <c r="O1971" i="5"/>
  <c r="M1952" i="5"/>
  <c r="O1952" i="5"/>
  <c r="O1936" i="5"/>
  <c r="M1936" i="5"/>
  <c r="M1920" i="5"/>
  <c r="O1920" i="5"/>
  <c r="U1920" i="5"/>
  <c r="O1904" i="5"/>
  <c r="M1904" i="5"/>
  <c r="M1888" i="5"/>
  <c r="O1888" i="5"/>
  <c r="M1874" i="5"/>
  <c r="O1874" i="5"/>
  <c r="U1874" i="5"/>
  <c r="M1854" i="5"/>
  <c r="O1854" i="5"/>
  <c r="M1835" i="5"/>
  <c r="O1835" i="5"/>
  <c r="U1835" i="5"/>
  <c r="M1819" i="5"/>
  <c r="O1819" i="5"/>
  <c r="U1819" i="5"/>
  <c r="M1803" i="5"/>
  <c r="O1803" i="5"/>
  <c r="O1787" i="5"/>
  <c r="M1787" i="5"/>
  <c r="M1771" i="5"/>
  <c r="O1771" i="5"/>
  <c r="U1721" i="5"/>
  <c r="M1721" i="5"/>
  <c r="O1721" i="5"/>
  <c r="M1702" i="5"/>
  <c r="O1702" i="5"/>
  <c r="U1702" i="5"/>
  <c r="M1686" i="5"/>
  <c r="O1686" i="5"/>
  <c r="O1670" i="5"/>
  <c r="M1670" i="5"/>
  <c r="O1654" i="5"/>
  <c r="M1654" i="5"/>
  <c r="O1638" i="5"/>
  <c r="M1638" i="5"/>
  <c r="M1624" i="5"/>
  <c r="O1624" i="5"/>
  <c r="M1599" i="5"/>
  <c r="O1599" i="5"/>
  <c r="M1575" i="5"/>
  <c r="O1575" i="5"/>
  <c r="M1559" i="5"/>
  <c r="O1559" i="5"/>
  <c r="M1527" i="5"/>
  <c r="O1527" i="5"/>
  <c r="M1511" i="5"/>
  <c r="O1511" i="5"/>
  <c r="M1497" i="5"/>
  <c r="O1497" i="5"/>
  <c r="M1477" i="5"/>
  <c r="U1477" i="5"/>
  <c r="O1477" i="5"/>
  <c r="O1461" i="5"/>
  <c r="M1461" i="5"/>
  <c r="O1442" i="5"/>
  <c r="M1442" i="5"/>
  <c r="M1426" i="5"/>
  <c r="O1426" i="5"/>
  <c r="M1410" i="5"/>
  <c r="O1410" i="5"/>
  <c r="M1394" i="5"/>
  <c r="O1394" i="5"/>
  <c r="M1378" i="5"/>
  <c r="O1378" i="5"/>
  <c r="M1364" i="5"/>
  <c r="O1364" i="5"/>
  <c r="M1344" i="5"/>
  <c r="O1344" i="5"/>
  <c r="O1325" i="5"/>
  <c r="M1325" i="5"/>
  <c r="O1309" i="5"/>
  <c r="M1309" i="5"/>
  <c r="M1293" i="5"/>
  <c r="O1293" i="5"/>
  <c r="M1277" i="5"/>
  <c r="O1277" i="5"/>
  <c r="M1261" i="5"/>
  <c r="O1261" i="5"/>
  <c r="U1245" i="5"/>
  <c r="O1245" i="5"/>
  <c r="M1245" i="5"/>
  <c r="O1231" i="5"/>
  <c r="M1231" i="5"/>
  <c r="M1211" i="5"/>
  <c r="O1211" i="5"/>
  <c r="M1192" i="5"/>
  <c r="O1192" i="5"/>
  <c r="M1176" i="5"/>
  <c r="O1176" i="5"/>
  <c r="O1160" i="5"/>
  <c r="M1160" i="5"/>
  <c r="O1144" i="5"/>
  <c r="U1144" i="5"/>
  <c r="M1144" i="5"/>
  <c r="M1128" i="5"/>
  <c r="O1128" i="5"/>
  <c r="O1114" i="5"/>
  <c r="M1114" i="5"/>
  <c r="U1114" i="5"/>
  <c r="Y1114" i="5" s="1"/>
  <c r="O1094" i="5"/>
  <c r="M1094" i="5"/>
  <c r="U1094" i="5"/>
  <c r="O1078" i="5"/>
  <c r="U1078" i="5"/>
  <c r="M1078" i="5"/>
  <c r="M1059" i="5"/>
  <c r="O1059" i="5"/>
  <c r="M1043" i="5"/>
  <c r="O1043" i="5"/>
  <c r="O1027" i="5"/>
  <c r="M1027" i="5"/>
  <c r="O1011" i="5"/>
  <c r="M1011" i="5"/>
  <c r="M995" i="5"/>
  <c r="O995" i="5"/>
  <c r="U995" i="5"/>
  <c r="P995" i="5" s="1"/>
  <c r="O979" i="5"/>
  <c r="M979" i="5"/>
  <c r="O961" i="5"/>
  <c r="M961" i="5"/>
  <c r="U942" i="5"/>
  <c r="O942" i="5"/>
  <c r="M942" i="5"/>
  <c r="O926" i="5"/>
  <c r="M926" i="5"/>
  <c r="M910" i="5"/>
  <c r="O910" i="5"/>
  <c r="U910" i="5"/>
  <c r="M894" i="5"/>
  <c r="O894" i="5"/>
  <c r="U878" i="5"/>
  <c r="O878" i="5"/>
  <c r="M878" i="5"/>
  <c r="M862" i="5"/>
  <c r="O862" i="5"/>
  <c r="O848" i="5"/>
  <c r="M848" i="5"/>
  <c r="M828" i="5"/>
  <c r="O828" i="5"/>
  <c r="M809" i="5"/>
  <c r="O809" i="5"/>
  <c r="U809" i="5"/>
  <c r="O793" i="5"/>
  <c r="M793" i="5"/>
  <c r="U3310" i="5"/>
  <c r="T3281" i="5"/>
  <c r="O3253" i="5"/>
  <c r="T3238" i="5"/>
  <c r="M3206" i="5"/>
  <c r="T3184" i="5"/>
  <c r="T3180" i="5"/>
  <c r="U3151" i="5"/>
  <c r="U3138" i="5"/>
  <c r="P3138" i="5" s="1"/>
  <c r="O3126" i="5"/>
  <c r="U3114" i="5"/>
  <c r="Y3114" i="5" s="1"/>
  <c r="T3094" i="5"/>
  <c r="X3094" i="5" s="1"/>
  <c r="T3075" i="5"/>
  <c r="T3066" i="5"/>
  <c r="X3066" i="5" s="1"/>
  <c r="U3066" i="5"/>
  <c r="M2969" i="5"/>
  <c r="T2893" i="5"/>
  <c r="X2893" i="5" s="1"/>
  <c r="U2791" i="5"/>
  <c r="M3294" i="5"/>
  <c r="O3294" i="5"/>
  <c r="U3294" i="5"/>
  <c r="U3193" i="5"/>
  <c r="O3193" i="5"/>
  <c r="M3092" i="5"/>
  <c r="O3092" i="5"/>
  <c r="M2959" i="5"/>
  <c r="O2959" i="5"/>
  <c r="M2810" i="5"/>
  <c r="O2810" i="5"/>
  <c r="M2647" i="5"/>
  <c r="O2647" i="5"/>
  <c r="U2647" i="5"/>
  <c r="M2494" i="5"/>
  <c r="O2494" i="5"/>
  <c r="U2494" i="5"/>
  <c r="P2494" i="5" s="1"/>
  <c r="O2342" i="5"/>
  <c r="U2342" i="5"/>
  <c r="M2342" i="5"/>
  <c r="M2193" i="5"/>
  <c r="O2193" i="5"/>
  <c r="O2028" i="5"/>
  <c r="M2028" i="5"/>
  <c r="M1845" i="5"/>
  <c r="O1845" i="5"/>
  <c r="U1845" i="5"/>
  <c r="O1645" i="5"/>
  <c r="M1645" i="5"/>
  <c r="O1417" i="5"/>
  <c r="M1417" i="5"/>
  <c r="M1105" i="5"/>
  <c r="O1105" i="5"/>
  <c r="M722" i="5"/>
  <c r="O722" i="5"/>
  <c r="U722" i="5"/>
  <c r="M548" i="5"/>
  <c r="O548" i="5"/>
  <c r="M3318" i="5"/>
  <c r="M3302" i="5"/>
  <c r="O3302" i="5"/>
  <c r="M3288" i="5"/>
  <c r="O3288" i="5"/>
  <c r="M3268" i="5"/>
  <c r="O3268" i="5"/>
  <c r="M3252" i="5"/>
  <c r="O3252" i="5"/>
  <c r="M3217" i="5"/>
  <c r="M3185" i="5"/>
  <c r="O3185" i="5"/>
  <c r="M3169" i="5"/>
  <c r="O3169" i="5"/>
  <c r="M3155" i="5"/>
  <c r="O3155" i="5"/>
  <c r="O3135" i="5"/>
  <c r="M3135" i="5"/>
  <c r="M3116" i="5"/>
  <c r="O3116" i="5"/>
  <c r="M3100" i="5"/>
  <c r="O3100" i="5"/>
  <c r="U3100" i="5"/>
  <c r="M3084" i="5"/>
  <c r="O3084" i="5"/>
  <c r="U3084" i="5"/>
  <c r="M3068" i="5"/>
  <c r="O3068" i="5"/>
  <c r="U3052" i="5"/>
  <c r="M3052" i="5"/>
  <c r="O3052" i="5"/>
  <c r="M3036" i="5"/>
  <c r="O3036" i="5"/>
  <c r="U3019" i="5"/>
  <c r="O3019" i="5"/>
  <c r="M3019" i="5"/>
  <c r="O3002" i="5"/>
  <c r="O2983" i="5"/>
  <c r="M2983" i="5"/>
  <c r="U2983" i="5"/>
  <c r="O2967" i="5"/>
  <c r="M2967" i="5"/>
  <c r="M2951" i="5"/>
  <c r="O2951" i="5"/>
  <c r="U2951" i="5"/>
  <c r="M2935" i="5"/>
  <c r="O2935" i="5"/>
  <c r="U2919" i="5"/>
  <c r="M2919" i="5"/>
  <c r="M2905" i="5"/>
  <c r="O2905" i="5"/>
  <c r="U2905" i="5"/>
  <c r="M2885" i="5"/>
  <c r="O2885" i="5"/>
  <c r="M2869" i="5"/>
  <c r="O2869" i="5"/>
  <c r="U2869" i="5"/>
  <c r="O2850" i="5"/>
  <c r="U2850" i="5"/>
  <c r="M2850" i="5"/>
  <c r="M2834" i="5"/>
  <c r="O2834" i="5"/>
  <c r="M2818" i="5"/>
  <c r="U2818" i="5"/>
  <c r="O2818" i="5"/>
  <c r="M2802" i="5"/>
  <c r="O2802" i="5"/>
  <c r="M2786" i="5"/>
  <c r="O2786" i="5"/>
  <c r="U2786" i="5"/>
  <c r="M2772" i="5"/>
  <c r="O2772" i="5"/>
  <c r="U2752" i="5"/>
  <c r="M2752" i="5"/>
  <c r="O2752" i="5"/>
  <c r="O2733" i="5"/>
  <c r="M2733" i="5"/>
  <c r="M2717" i="5"/>
  <c r="O2717" i="5"/>
  <c r="O2701" i="5"/>
  <c r="M2701" i="5"/>
  <c r="U2701" i="5"/>
  <c r="O2685" i="5"/>
  <c r="U2685" i="5"/>
  <c r="M2685" i="5"/>
  <c r="M2669" i="5"/>
  <c r="O2669" i="5"/>
  <c r="M2653" i="5"/>
  <c r="O2653" i="5"/>
  <c r="O2639" i="5"/>
  <c r="M2639" i="5"/>
  <c r="U2619" i="5"/>
  <c r="M2619" i="5"/>
  <c r="O2619" i="5"/>
  <c r="M2600" i="5"/>
  <c r="O2600" i="5"/>
  <c r="U2600" i="5"/>
  <c r="P2600" i="5" s="1"/>
  <c r="M2584" i="5"/>
  <c r="O2584" i="5"/>
  <c r="U2584" i="5"/>
  <c r="M2568" i="5"/>
  <c r="O2568" i="5"/>
  <c r="O2552" i="5"/>
  <c r="M2552" i="5"/>
  <c r="M2536" i="5"/>
  <c r="O2536" i="5"/>
  <c r="U2536" i="5"/>
  <c r="M2522" i="5"/>
  <c r="O2522" i="5"/>
  <c r="M2502" i="5"/>
  <c r="O2502" i="5"/>
  <c r="M2486" i="5"/>
  <c r="O2486" i="5"/>
  <c r="U2486" i="5"/>
  <c r="O2467" i="5"/>
  <c r="M2467" i="5"/>
  <c r="O2451" i="5"/>
  <c r="U2451" i="5"/>
  <c r="M2451" i="5"/>
  <c r="M2435" i="5"/>
  <c r="O2435" i="5"/>
  <c r="M2419" i="5"/>
  <c r="O2419" i="5"/>
  <c r="M2403" i="5"/>
  <c r="O2403" i="5"/>
  <c r="M2389" i="5"/>
  <c r="O2389" i="5"/>
  <c r="M2369" i="5"/>
  <c r="O2369" i="5"/>
  <c r="U2369" i="5"/>
  <c r="O2350" i="5"/>
  <c r="M2350" i="5"/>
  <c r="M2334" i="5"/>
  <c r="O2334" i="5"/>
  <c r="O2318" i="5"/>
  <c r="M2318" i="5"/>
  <c r="M2302" i="5"/>
  <c r="O2302" i="5"/>
  <c r="M2286" i="5"/>
  <c r="O2286" i="5"/>
  <c r="U2286" i="5"/>
  <c r="M2270" i="5"/>
  <c r="O2270" i="5"/>
  <c r="M2256" i="5"/>
  <c r="O2256" i="5"/>
  <c r="U2236" i="5"/>
  <c r="M2236" i="5"/>
  <c r="O2236" i="5"/>
  <c r="M2217" i="5"/>
  <c r="O2217" i="5"/>
  <c r="U2217" i="5"/>
  <c r="O2201" i="5"/>
  <c r="U2201" i="5"/>
  <c r="M2201" i="5"/>
  <c r="O2185" i="5"/>
  <c r="U2185" i="5"/>
  <c r="M2185" i="5"/>
  <c r="M2169" i="5"/>
  <c r="O2169" i="5"/>
  <c r="M2153" i="5"/>
  <c r="O2153" i="5"/>
  <c r="M2119" i="5"/>
  <c r="O2119" i="5"/>
  <c r="O2103" i="5"/>
  <c r="M2103" i="5"/>
  <c r="U2103" i="5"/>
  <c r="M2084" i="5"/>
  <c r="O2084" i="5"/>
  <c r="U2084" i="5"/>
  <c r="M2068" i="5"/>
  <c r="O2068" i="5"/>
  <c r="M2052" i="5"/>
  <c r="O2052" i="5"/>
  <c r="U2052" i="5"/>
  <c r="M2036" i="5"/>
  <c r="O2036" i="5"/>
  <c r="U2036" i="5"/>
  <c r="M2020" i="5"/>
  <c r="O2020" i="5"/>
  <c r="M2006" i="5"/>
  <c r="O2006" i="5"/>
  <c r="U2006" i="5"/>
  <c r="M1986" i="5"/>
  <c r="O1986" i="5"/>
  <c r="U1986" i="5"/>
  <c r="M1967" i="5"/>
  <c r="M1951" i="5"/>
  <c r="O1951" i="5"/>
  <c r="M1935" i="5"/>
  <c r="O1935" i="5"/>
  <c r="U1935" i="5"/>
  <c r="O1919" i="5"/>
  <c r="M1919" i="5"/>
  <c r="M1903" i="5"/>
  <c r="O1903" i="5"/>
  <c r="U1903" i="5"/>
  <c r="M1887" i="5"/>
  <c r="O1887" i="5"/>
  <c r="U1873" i="5"/>
  <c r="P1873" i="5" s="1"/>
  <c r="M1873" i="5"/>
  <c r="O1873" i="5"/>
  <c r="M1853" i="5"/>
  <c r="O1853" i="5"/>
  <c r="O1834" i="5"/>
  <c r="M1834" i="5"/>
  <c r="M1818" i="5"/>
  <c r="O1818" i="5"/>
  <c r="U1818" i="5"/>
  <c r="P1818" i="5" s="1"/>
  <c r="M1802" i="5"/>
  <c r="O1802" i="5"/>
  <c r="M1786" i="5"/>
  <c r="O1786" i="5"/>
  <c r="M1770" i="5"/>
  <c r="O1770" i="5"/>
  <c r="M1755" i="5"/>
  <c r="O1755" i="5"/>
  <c r="M1720" i="5"/>
  <c r="O1720" i="5"/>
  <c r="M1701" i="5"/>
  <c r="O1701" i="5"/>
  <c r="O1685" i="5"/>
  <c r="M1685" i="5"/>
  <c r="M1669" i="5"/>
  <c r="O1669" i="5"/>
  <c r="M1653" i="5"/>
  <c r="O1653" i="5"/>
  <c r="M1637" i="5"/>
  <c r="O1637" i="5"/>
  <c r="O1623" i="5"/>
  <c r="M1623" i="5"/>
  <c r="O1598" i="5"/>
  <c r="M1598" i="5"/>
  <c r="M1574" i="5"/>
  <c r="O1574" i="5"/>
  <c r="O1558" i="5"/>
  <c r="M1558" i="5"/>
  <c r="M1542" i="5"/>
  <c r="M1526" i="5"/>
  <c r="O1526" i="5"/>
  <c r="M1510" i="5"/>
  <c r="O1510" i="5"/>
  <c r="U1496" i="5"/>
  <c r="M1496" i="5"/>
  <c r="O1496" i="5"/>
  <c r="U1476" i="5"/>
  <c r="M1476" i="5"/>
  <c r="O1476" i="5"/>
  <c r="M1460" i="5"/>
  <c r="O1460" i="5"/>
  <c r="O1441" i="5"/>
  <c r="M1441" i="5"/>
  <c r="U1441" i="5"/>
  <c r="M1425" i="5"/>
  <c r="O1425" i="5"/>
  <c r="O1409" i="5"/>
  <c r="M1409" i="5"/>
  <c r="O1393" i="5"/>
  <c r="M1393" i="5"/>
  <c r="O1377" i="5"/>
  <c r="M1377" i="5"/>
  <c r="O1363" i="5"/>
  <c r="M1363" i="5"/>
  <c r="O1343" i="5"/>
  <c r="M1343" i="5"/>
  <c r="O1324" i="5"/>
  <c r="U1324" i="5"/>
  <c r="Y1324" i="5" s="1"/>
  <c r="M1324" i="5"/>
  <c r="M1308" i="5"/>
  <c r="O1308" i="5"/>
  <c r="M1292" i="5"/>
  <c r="O1292" i="5"/>
  <c r="O1276" i="5"/>
  <c r="M1276" i="5"/>
  <c r="U1276" i="5"/>
  <c r="O1260" i="5"/>
  <c r="M1260" i="5"/>
  <c r="M1244" i="5"/>
  <c r="O1244" i="5"/>
  <c r="M1229" i="5"/>
  <c r="O1229" i="5"/>
  <c r="O1210" i="5"/>
  <c r="M1210" i="5"/>
  <c r="O1191" i="5"/>
  <c r="M1191" i="5"/>
  <c r="O1175" i="5"/>
  <c r="M1175" i="5"/>
  <c r="M1159" i="5"/>
  <c r="O1159" i="5"/>
  <c r="M1143" i="5"/>
  <c r="O1143" i="5"/>
  <c r="U1143" i="5"/>
  <c r="M1127" i="5"/>
  <c r="O1127" i="5"/>
  <c r="U1127" i="5"/>
  <c r="M1113" i="5"/>
  <c r="O1113" i="5"/>
  <c r="M1093" i="5"/>
  <c r="O1093" i="5"/>
  <c r="O1077" i="5"/>
  <c r="M1077" i="5"/>
  <c r="U1058" i="5"/>
  <c r="M1058" i="5"/>
  <c r="O1058" i="5"/>
  <c r="M1042" i="5"/>
  <c r="O1042" i="5"/>
  <c r="M1026" i="5"/>
  <c r="O1026" i="5"/>
  <c r="U1026" i="5"/>
  <c r="M1010" i="5"/>
  <c r="O1010" i="5"/>
  <c r="U1010" i="5"/>
  <c r="U994" i="5"/>
  <c r="O994" i="5"/>
  <c r="M994" i="5"/>
  <c r="M978" i="5"/>
  <c r="O978" i="5"/>
  <c r="M960" i="5"/>
  <c r="O960" i="5"/>
  <c r="M941" i="5"/>
  <c r="O941" i="5"/>
  <c r="M925" i="5"/>
  <c r="O925" i="5"/>
  <c r="M909" i="5"/>
  <c r="O909" i="5"/>
  <c r="O893" i="5"/>
  <c r="M893" i="5"/>
  <c r="M877" i="5"/>
  <c r="O877" i="5"/>
  <c r="M861" i="5"/>
  <c r="O861" i="5"/>
  <c r="M847" i="5"/>
  <c r="O847" i="5"/>
  <c r="M827" i="5"/>
  <c r="O827" i="5"/>
  <c r="O808" i="5"/>
  <c r="U808" i="5"/>
  <c r="M808" i="5"/>
  <c r="M792" i="5"/>
  <c r="O792" i="5"/>
  <c r="M776" i="5"/>
  <c r="O776" i="5"/>
  <c r="M760" i="5"/>
  <c r="O760" i="5"/>
  <c r="U760" i="5"/>
  <c r="O744" i="5"/>
  <c r="M744" i="5"/>
  <c r="M730" i="5"/>
  <c r="O730" i="5"/>
  <c r="O710" i="5"/>
  <c r="M710" i="5"/>
  <c r="M694" i="5"/>
  <c r="O694" i="5"/>
  <c r="U694" i="5"/>
  <c r="M675" i="5"/>
  <c r="O675" i="5"/>
  <c r="M659" i="5"/>
  <c r="O659" i="5"/>
  <c r="U659" i="5"/>
  <c r="M643" i="5"/>
  <c r="O643" i="5"/>
  <c r="M627" i="5"/>
  <c r="O627" i="5"/>
  <c r="M611" i="5"/>
  <c r="O611" i="5"/>
  <c r="M597" i="5"/>
  <c r="O597" i="5"/>
  <c r="U597" i="5"/>
  <c r="M577" i="5"/>
  <c r="O577" i="5"/>
  <c r="U3325" i="5"/>
  <c r="T3314" i="5"/>
  <c r="T3306" i="5"/>
  <c r="X3306" i="5" s="1"/>
  <c r="U3302" i="5"/>
  <c r="U3273" i="5"/>
  <c r="P3273" i="5" s="1"/>
  <c r="V3238" i="5"/>
  <c r="W3238" i="5"/>
  <c r="U3217" i="5"/>
  <c r="O3201" i="5"/>
  <c r="T3163" i="5"/>
  <c r="T3155" i="5"/>
  <c r="X3155" i="5" s="1"/>
  <c r="U3155" i="5"/>
  <c r="T3142" i="5"/>
  <c r="X3142" i="5" s="1"/>
  <c r="U3104" i="5"/>
  <c r="M3085" i="5"/>
  <c r="U2939" i="5"/>
  <c r="U2748" i="5"/>
  <c r="T2536" i="5"/>
  <c r="O484" i="5"/>
  <c r="U484" i="5"/>
  <c r="M484" i="5"/>
  <c r="U5" i="5"/>
  <c r="M5" i="5"/>
  <c r="O5" i="5"/>
  <c r="M3317" i="5"/>
  <c r="O3317" i="5"/>
  <c r="U3301" i="5"/>
  <c r="O3301" i="5"/>
  <c r="O3287" i="5"/>
  <c r="M3267" i="5"/>
  <c r="O3267" i="5"/>
  <c r="O3251" i="5"/>
  <c r="M3232" i="5"/>
  <c r="O3232" i="5"/>
  <c r="M3216" i="5"/>
  <c r="O3216" i="5"/>
  <c r="M3200" i="5"/>
  <c r="O3184" i="5"/>
  <c r="O3168" i="5"/>
  <c r="M3168" i="5"/>
  <c r="O3154" i="5"/>
  <c r="M3134" i="5"/>
  <c r="O3134" i="5"/>
  <c r="U3134" i="5"/>
  <c r="M3115" i="5"/>
  <c r="O3115" i="5"/>
  <c r="M3099" i="5"/>
  <c r="M3083" i="5"/>
  <c r="O3083" i="5"/>
  <c r="M3067" i="5"/>
  <c r="O3067" i="5"/>
  <c r="O3051" i="5"/>
  <c r="M3035" i="5"/>
  <c r="O3035" i="5"/>
  <c r="O3017" i="5"/>
  <c r="M3001" i="5"/>
  <c r="O3001" i="5"/>
  <c r="O2982" i="5"/>
  <c r="U2982" i="5"/>
  <c r="M2966" i="5"/>
  <c r="O2966" i="5"/>
  <c r="O2950" i="5"/>
  <c r="M2950" i="5"/>
  <c r="M2934" i="5"/>
  <c r="O2934" i="5"/>
  <c r="O2918" i="5"/>
  <c r="M2904" i="5"/>
  <c r="O2904" i="5"/>
  <c r="M2884" i="5"/>
  <c r="O2884" i="5"/>
  <c r="M2868" i="5"/>
  <c r="O2868" i="5"/>
  <c r="M2849" i="5"/>
  <c r="O2849" i="5"/>
  <c r="M2833" i="5"/>
  <c r="O2833" i="5"/>
  <c r="O2817" i="5"/>
  <c r="M2817" i="5"/>
  <c r="O2801" i="5"/>
  <c r="M2801" i="5"/>
  <c r="M2785" i="5"/>
  <c r="O2785" i="5"/>
  <c r="M2771" i="5"/>
  <c r="O2771" i="5"/>
  <c r="M2751" i="5"/>
  <c r="O2751" i="5"/>
  <c r="U2751" i="5"/>
  <c r="M2732" i="5"/>
  <c r="O2732" i="5"/>
  <c r="M2716" i="5"/>
  <c r="O2716" i="5"/>
  <c r="U2716" i="5"/>
  <c r="O2700" i="5"/>
  <c r="M2700" i="5"/>
  <c r="U2684" i="5"/>
  <c r="M2684" i="5"/>
  <c r="O2684" i="5"/>
  <c r="O2668" i="5"/>
  <c r="M2668" i="5"/>
  <c r="M2652" i="5"/>
  <c r="O2652" i="5"/>
  <c r="U2652" i="5"/>
  <c r="M2637" i="5"/>
  <c r="O2637" i="5"/>
  <c r="M2618" i="5"/>
  <c r="O2618" i="5"/>
  <c r="M2599" i="5"/>
  <c r="O2599" i="5"/>
  <c r="O2583" i="5"/>
  <c r="M2583" i="5"/>
  <c r="O2567" i="5"/>
  <c r="M2567" i="5"/>
  <c r="M2551" i="5"/>
  <c r="O2551" i="5"/>
  <c r="U2535" i="5"/>
  <c r="M2535" i="5"/>
  <c r="O2535" i="5"/>
  <c r="M2521" i="5"/>
  <c r="O2521" i="5"/>
  <c r="O2501" i="5"/>
  <c r="M2501" i="5"/>
  <c r="M2485" i="5"/>
  <c r="O2485" i="5"/>
  <c r="M2466" i="5"/>
  <c r="O2466" i="5"/>
  <c r="M2450" i="5"/>
  <c r="O2450" i="5"/>
  <c r="U2450" i="5"/>
  <c r="M2434" i="5"/>
  <c r="O2434" i="5"/>
  <c r="U2434" i="5"/>
  <c r="M2418" i="5"/>
  <c r="O2418" i="5"/>
  <c r="U2418" i="5"/>
  <c r="O2402" i="5"/>
  <c r="M2402" i="5"/>
  <c r="M2388" i="5"/>
  <c r="O2388" i="5"/>
  <c r="U2388" i="5"/>
  <c r="O2368" i="5"/>
  <c r="U2368" i="5"/>
  <c r="M2368" i="5"/>
  <c r="M2349" i="5"/>
  <c r="O2349" i="5"/>
  <c r="M2333" i="5"/>
  <c r="O2333" i="5"/>
  <c r="U2333" i="5"/>
  <c r="P2333" i="5" s="1"/>
  <c r="M2317" i="5"/>
  <c r="O2317" i="5"/>
  <c r="M2301" i="5"/>
  <c r="O2301" i="5"/>
  <c r="M2285" i="5"/>
  <c r="O2285" i="5"/>
  <c r="M2269" i="5"/>
  <c r="O2269" i="5"/>
  <c r="M2255" i="5"/>
  <c r="O2255" i="5"/>
  <c r="M2235" i="5"/>
  <c r="O2235" i="5"/>
  <c r="U2235" i="5"/>
  <c r="M2216" i="5"/>
  <c r="O2216" i="5"/>
  <c r="M2200" i="5"/>
  <c r="O2200" i="5"/>
  <c r="M2184" i="5"/>
  <c r="O2184" i="5"/>
  <c r="M2168" i="5"/>
  <c r="O2168" i="5"/>
  <c r="M2152" i="5"/>
  <c r="O2152" i="5"/>
  <c r="O2138" i="5"/>
  <c r="U2138" i="5"/>
  <c r="Y2138" i="5" s="1"/>
  <c r="M2138" i="5"/>
  <c r="M2118" i="5"/>
  <c r="O2118" i="5"/>
  <c r="U2118" i="5"/>
  <c r="M2102" i="5"/>
  <c r="O2102" i="5"/>
  <c r="M2083" i="5"/>
  <c r="O2083" i="5"/>
  <c r="O2067" i="5"/>
  <c r="M2067" i="5"/>
  <c r="U2067" i="5"/>
  <c r="M2051" i="5"/>
  <c r="O2051" i="5"/>
  <c r="O2035" i="5"/>
  <c r="M2035" i="5"/>
  <c r="M2019" i="5"/>
  <c r="O2019" i="5"/>
  <c r="O2005" i="5"/>
  <c r="U2005" i="5"/>
  <c r="M2005" i="5"/>
  <c r="M1985" i="5"/>
  <c r="O1985" i="5"/>
  <c r="U1985" i="5"/>
  <c r="M1966" i="5"/>
  <c r="U1966" i="5"/>
  <c r="P1966" i="5" s="1"/>
  <c r="M1950" i="5"/>
  <c r="O1950" i="5"/>
  <c r="U1950" i="5"/>
  <c r="M1934" i="5"/>
  <c r="O1934" i="5"/>
  <c r="U1934" i="5"/>
  <c r="M1918" i="5"/>
  <c r="O1918" i="5"/>
  <c r="M1902" i="5"/>
  <c r="O1902" i="5"/>
  <c r="U1902" i="5"/>
  <c r="M1886" i="5"/>
  <c r="O1886" i="5"/>
  <c r="U1886" i="5"/>
  <c r="M1872" i="5"/>
  <c r="O1872" i="5"/>
  <c r="M1852" i="5"/>
  <c r="O1852" i="5"/>
  <c r="M1833" i="5"/>
  <c r="O1833" i="5"/>
  <c r="M1817" i="5"/>
  <c r="O1817" i="5"/>
  <c r="M1801" i="5"/>
  <c r="O1801" i="5"/>
  <c r="M1785" i="5"/>
  <c r="O1785" i="5"/>
  <c r="O1769" i="5"/>
  <c r="M1769" i="5"/>
  <c r="M1735" i="5"/>
  <c r="O1735" i="5"/>
  <c r="O1719" i="5"/>
  <c r="U1719" i="5"/>
  <c r="M1719" i="5"/>
  <c r="U1700" i="5"/>
  <c r="M1700" i="5"/>
  <c r="O1700" i="5"/>
  <c r="O1684" i="5"/>
  <c r="M1684" i="5"/>
  <c r="M1668" i="5"/>
  <c r="U1668" i="5"/>
  <c r="O1668" i="5"/>
  <c r="M1652" i="5"/>
  <c r="O1652" i="5"/>
  <c r="M1636" i="5"/>
  <c r="O1636" i="5"/>
  <c r="O1622" i="5"/>
  <c r="M1622" i="5"/>
  <c r="M1596" i="5"/>
  <c r="O1596" i="5"/>
  <c r="U1596" i="5"/>
  <c r="M1573" i="5"/>
  <c r="O1573" i="5"/>
  <c r="M1557" i="5"/>
  <c r="O1557" i="5"/>
  <c r="O1541" i="5"/>
  <c r="M1541" i="5"/>
  <c r="O1525" i="5"/>
  <c r="M1525" i="5"/>
  <c r="M1509" i="5"/>
  <c r="O1509" i="5"/>
  <c r="M1495" i="5"/>
  <c r="O1495" i="5"/>
  <c r="M1475" i="5"/>
  <c r="O1475" i="5"/>
  <c r="M1459" i="5"/>
  <c r="O1459" i="5"/>
  <c r="M1440" i="5"/>
  <c r="U1440" i="5"/>
  <c r="O1440" i="5"/>
  <c r="O1424" i="5"/>
  <c r="M1424" i="5"/>
  <c r="U1424" i="5"/>
  <c r="M1408" i="5"/>
  <c r="O1408" i="5"/>
  <c r="M1392" i="5"/>
  <c r="O1392" i="5"/>
  <c r="M1376" i="5"/>
  <c r="O1376" i="5"/>
  <c r="M1362" i="5"/>
  <c r="O1362" i="5"/>
  <c r="U1362" i="5"/>
  <c r="M1342" i="5"/>
  <c r="O1342" i="5"/>
  <c r="M1323" i="5"/>
  <c r="O1323" i="5"/>
  <c r="O1307" i="5"/>
  <c r="M1307" i="5"/>
  <c r="M1291" i="5"/>
  <c r="O1291" i="5"/>
  <c r="M1275" i="5"/>
  <c r="O1275" i="5"/>
  <c r="M1259" i="5"/>
  <c r="O1259" i="5"/>
  <c r="U1259" i="5"/>
  <c r="Y1259" i="5" s="1"/>
  <c r="M1225" i="5"/>
  <c r="O1225" i="5"/>
  <c r="U1225" i="5"/>
  <c r="O1209" i="5"/>
  <c r="U1209" i="5"/>
  <c r="M1209" i="5"/>
  <c r="M1190" i="5"/>
  <c r="O1190" i="5"/>
  <c r="M1174" i="5"/>
  <c r="O1174" i="5"/>
  <c r="M1158" i="5"/>
  <c r="O1158" i="5"/>
  <c r="M1142" i="5"/>
  <c r="O1142" i="5"/>
  <c r="M1126" i="5"/>
  <c r="O1126" i="5"/>
  <c r="O1112" i="5"/>
  <c r="M1112" i="5"/>
  <c r="O1092" i="5"/>
  <c r="M1092" i="5"/>
  <c r="M1076" i="5"/>
  <c r="O1076" i="5"/>
  <c r="M1057" i="5"/>
  <c r="O1057" i="5"/>
  <c r="M1041" i="5"/>
  <c r="O1041" i="5"/>
  <c r="M1025" i="5"/>
  <c r="O1025" i="5"/>
  <c r="M1009" i="5"/>
  <c r="O1009" i="5"/>
  <c r="M993" i="5"/>
  <c r="O993" i="5"/>
  <c r="M977" i="5"/>
  <c r="O977" i="5"/>
  <c r="M959" i="5"/>
  <c r="O959" i="5"/>
  <c r="M940" i="5"/>
  <c r="O940" i="5"/>
  <c r="M924" i="5"/>
  <c r="O924" i="5"/>
  <c r="O908" i="5"/>
  <c r="M908" i="5"/>
  <c r="M892" i="5"/>
  <c r="O892" i="5"/>
  <c r="M876" i="5"/>
  <c r="O876" i="5"/>
  <c r="M860" i="5"/>
  <c r="O860" i="5"/>
  <c r="M845" i="5"/>
  <c r="O845" i="5"/>
  <c r="M826" i="5"/>
  <c r="O826" i="5"/>
  <c r="O807" i="5"/>
  <c r="U807" i="5"/>
  <c r="M807" i="5"/>
  <c r="O791" i="5"/>
  <c r="U791" i="5"/>
  <c r="M791" i="5"/>
  <c r="M775" i="5"/>
  <c r="O775" i="5"/>
  <c r="O759" i="5"/>
  <c r="M759" i="5"/>
  <c r="O743" i="5"/>
  <c r="M743" i="5"/>
  <c r="O729" i="5"/>
  <c r="M729" i="5"/>
  <c r="M709" i="5"/>
  <c r="O709" i="5"/>
  <c r="U709" i="5"/>
  <c r="M693" i="5"/>
  <c r="O693" i="5"/>
  <c r="M674" i="5"/>
  <c r="O674" i="5"/>
  <c r="U674" i="5"/>
  <c r="M658" i="5"/>
  <c r="O658" i="5"/>
  <c r="M642" i="5"/>
  <c r="O642" i="5"/>
  <c r="M626" i="5"/>
  <c r="O626" i="5"/>
  <c r="O610" i="5"/>
  <c r="M610" i="5"/>
  <c r="M596" i="5"/>
  <c r="O596" i="5"/>
  <c r="M576" i="5"/>
  <c r="O576" i="5"/>
  <c r="O557" i="5"/>
  <c r="M557" i="5"/>
  <c r="O541" i="5"/>
  <c r="M541" i="5"/>
  <c r="M525" i="5"/>
  <c r="O525" i="5"/>
  <c r="M509" i="5"/>
  <c r="O509" i="5"/>
  <c r="M493" i="5"/>
  <c r="O493" i="5"/>
  <c r="M477" i="5"/>
  <c r="O477" i="5"/>
  <c r="U477" i="5"/>
  <c r="M461" i="5"/>
  <c r="O461" i="5"/>
  <c r="O443" i="5"/>
  <c r="M443" i="5"/>
  <c r="O424" i="5"/>
  <c r="M424" i="5"/>
  <c r="M408" i="5"/>
  <c r="O408" i="5"/>
  <c r="O392" i="5"/>
  <c r="M392" i="5"/>
  <c r="U392" i="5"/>
  <c r="M376" i="5"/>
  <c r="O376" i="5"/>
  <c r="M360" i="5"/>
  <c r="O360" i="5"/>
  <c r="U346" i="5"/>
  <c r="M346" i="5"/>
  <c r="O346" i="5"/>
  <c r="M326" i="5"/>
  <c r="O326" i="5"/>
  <c r="M310" i="5"/>
  <c r="O310" i="5"/>
  <c r="M291" i="5"/>
  <c r="O291" i="5"/>
  <c r="M275" i="5"/>
  <c r="O275" i="5"/>
  <c r="U259" i="5"/>
  <c r="M259" i="5"/>
  <c r="O259" i="5"/>
  <c r="M243" i="5"/>
  <c r="O243" i="5"/>
  <c r="U227" i="5"/>
  <c r="M227" i="5"/>
  <c r="O227" i="5"/>
  <c r="M213" i="5"/>
  <c r="O213" i="5"/>
  <c r="U213" i="5"/>
  <c r="O3321" i="5"/>
  <c r="U3317" i="5"/>
  <c r="U3268" i="5"/>
  <c r="U3264" i="5"/>
  <c r="U3252" i="5"/>
  <c r="P3252" i="5" s="1"/>
  <c r="T3209" i="5"/>
  <c r="X3209" i="5" s="1"/>
  <c r="O3176" i="5"/>
  <c r="T3171" i="5"/>
  <c r="U3171" i="5"/>
  <c r="T3125" i="5"/>
  <c r="X3125" i="5" s="1"/>
  <c r="O3099" i="5"/>
  <c r="M3017" i="5"/>
  <c r="O2990" i="5"/>
  <c r="T2879" i="5"/>
  <c r="M3241" i="5"/>
  <c r="O3241" i="5"/>
  <c r="U3241" i="5"/>
  <c r="M2744" i="5"/>
  <c r="O2744" i="5"/>
  <c r="M2592" i="5"/>
  <c r="O2592" i="5"/>
  <c r="U2592" i="5"/>
  <c r="M2443" i="5"/>
  <c r="O2443" i="5"/>
  <c r="M2278" i="5"/>
  <c r="O2278" i="5"/>
  <c r="M2145" i="5"/>
  <c r="O2145" i="5"/>
  <c r="U2145" i="5"/>
  <c r="M1978" i="5"/>
  <c r="O1978" i="5"/>
  <c r="M1748" i="5"/>
  <c r="O1748" i="5"/>
  <c r="M1534" i="5"/>
  <c r="O1534" i="5"/>
  <c r="M1300" i="5"/>
  <c r="O1300" i="5"/>
  <c r="M1002" i="5"/>
  <c r="O1002" i="5"/>
  <c r="U1002" i="5"/>
  <c r="M667" i="5"/>
  <c r="O667" i="5"/>
  <c r="U667" i="5"/>
  <c r="M205" i="5"/>
  <c r="O205" i="5"/>
  <c r="U205" i="5"/>
  <c r="M516" i="5"/>
  <c r="O516" i="5"/>
  <c r="M4" i="5"/>
  <c r="O4" i="5"/>
  <c r="M3300" i="5"/>
  <c r="M3286" i="5"/>
  <c r="O3286" i="5"/>
  <c r="M3247" i="5"/>
  <c r="O3247" i="5"/>
  <c r="O3231" i="5"/>
  <c r="M3215" i="5"/>
  <c r="O3215" i="5"/>
  <c r="O3199" i="5"/>
  <c r="M3199" i="5"/>
  <c r="M3183" i="5"/>
  <c r="O3183" i="5"/>
  <c r="U3183" i="5"/>
  <c r="M3167" i="5"/>
  <c r="O3167" i="5"/>
  <c r="M3153" i="5"/>
  <c r="O3153" i="5"/>
  <c r="U3153" i="5"/>
  <c r="M3133" i="5"/>
  <c r="O3133" i="5"/>
  <c r="M3114" i="5"/>
  <c r="O3114" i="5"/>
  <c r="M3098" i="5"/>
  <c r="O3098" i="5"/>
  <c r="M3082" i="5"/>
  <c r="O3082" i="5"/>
  <c r="M3066" i="5"/>
  <c r="O3050" i="5"/>
  <c r="M3050" i="5"/>
  <c r="O3034" i="5"/>
  <c r="M3034" i="5"/>
  <c r="O3016" i="5"/>
  <c r="M3016" i="5"/>
  <c r="U3016" i="5"/>
  <c r="M3000" i="5"/>
  <c r="O3000" i="5"/>
  <c r="U3000" i="5"/>
  <c r="M2981" i="5"/>
  <c r="O2981" i="5"/>
  <c r="M2965" i="5"/>
  <c r="O2965" i="5"/>
  <c r="U2965" i="5"/>
  <c r="M2949" i="5"/>
  <c r="O2949" i="5"/>
  <c r="M2933" i="5"/>
  <c r="O2933" i="5"/>
  <c r="M2917" i="5"/>
  <c r="O2917" i="5"/>
  <c r="M2903" i="5"/>
  <c r="O2903" i="5"/>
  <c r="U2903" i="5"/>
  <c r="M2883" i="5"/>
  <c r="O2883" i="5"/>
  <c r="M2867" i="5"/>
  <c r="O2867" i="5"/>
  <c r="M2848" i="5"/>
  <c r="O2848" i="5"/>
  <c r="M2832" i="5"/>
  <c r="O2832" i="5"/>
  <c r="M2816" i="5"/>
  <c r="O2816" i="5"/>
  <c r="U2816" i="5"/>
  <c r="M2800" i="5"/>
  <c r="O2800" i="5"/>
  <c r="U2800" i="5"/>
  <c r="M2784" i="5"/>
  <c r="O2784" i="5"/>
  <c r="O2770" i="5"/>
  <c r="M2770" i="5"/>
  <c r="O2750" i="5"/>
  <c r="U2750" i="5"/>
  <c r="M2750" i="5"/>
  <c r="M2731" i="5"/>
  <c r="O2731" i="5"/>
  <c r="M2715" i="5"/>
  <c r="O2715" i="5"/>
  <c r="O2699" i="5"/>
  <c r="M2683" i="5"/>
  <c r="O2683" i="5"/>
  <c r="U2683" i="5"/>
  <c r="P2683" i="5" s="1"/>
  <c r="M2667" i="5"/>
  <c r="O2667" i="5"/>
  <c r="U2667" i="5"/>
  <c r="O2633" i="5"/>
  <c r="M2633" i="5"/>
  <c r="O2617" i="5"/>
  <c r="M2617" i="5"/>
  <c r="M2598" i="5"/>
  <c r="O2598" i="5"/>
  <c r="M2582" i="5"/>
  <c r="O2582" i="5"/>
  <c r="U2582" i="5"/>
  <c r="M2566" i="5"/>
  <c r="O2566" i="5"/>
  <c r="M2550" i="5"/>
  <c r="O2550" i="5"/>
  <c r="M2534" i="5"/>
  <c r="O2534" i="5"/>
  <c r="U2534" i="5"/>
  <c r="M2520" i="5"/>
  <c r="O2520" i="5"/>
  <c r="M2500" i="5"/>
  <c r="O2500" i="5"/>
  <c r="M2484" i="5"/>
  <c r="O2484" i="5"/>
  <c r="M2465" i="5"/>
  <c r="O2465" i="5"/>
  <c r="M2449" i="5"/>
  <c r="O2449" i="5"/>
  <c r="O2433" i="5"/>
  <c r="M2433" i="5"/>
  <c r="M2417" i="5"/>
  <c r="O2417" i="5"/>
  <c r="M2401" i="5"/>
  <c r="O2401" i="5"/>
  <c r="M2387" i="5"/>
  <c r="O2387" i="5"/>
  <c r="M2367" i="5"/>
  <c r="O2367" i="5"/>
  <c r="U2367" i="5"/>
  <c r="M2348" i="5"/>
  <c r="O2348" i="5"/>
  <c r="M2332" i="5"/>
  <c r="O2332" i="5"/>
  <c r="M2316" i="5"/>
  <c r="O2316" i="5"/>
  <c r="M2300" i="5"/>
  <c r="O2300" i="5"/>
  <c r="M2284" i="5"/>
  <c r="O2284" i="5"/>
  <c r="O2268" i="5"/>
  <c r="M2268" i="5"/>
  <c r="O2253" i="5"/>
  <c r="M2253" i="5"/>
  <c r="U2253" i="5"/>
  <c r="Y2253" i="5" s="1"/>
  <c r="O2234" i="5"/>
  <c r="M2234" i="5"/>
  <c r="M2215" i="5"/>
  <c r="O2215" i="5"/>
  <c r="M2199" i="5"/>
  <c r="O2199" i="5"/>
  <c r="U2199" i="5"/>
  <c r="Y2199" i="5" s="1"/>
  <c r="M2183" i="5"/>
  <c r="O2183" i="5"/>
  <c r="M2167" i="5"/>
  <c r="O2167" i="5"/>
  <c r="M2151" i="5"/>
  <c r="O2151" i="5"/>
  <c r="M2137" i="5"/>
  <c r="O2137" i="5"/>
  <c r="U2137" i="5"/>
  <c r="M2117" i="5"/>
  <c r="O2117" i="5"/>
  <c r="U2117" i="5"/>
  <c r="O2101" i="5"/>
  <c r="M2101" i="5"/>
  <c r="U2101" i="5"/>
  <c r="M2082" i="5"/>
  <c r="O2082" i="5"/>
  <c r="U2082" i="5"/>
  <c r="M2066" i="5"/>
  <c r="O2066" i="5"/>
  <c r="M2050" i="5"/>
  <c r="O2050" i="5"/>
  <c r="U2050" i="5"/>
  <c r="P2050" i="5" s="1"/>
  <c r="O2034" i="5"/>
  <c r="M2034" i="5"/>
  <c r="M2018" i="5"/>
  <c r="O2018" i="5"/>
  <c r="U2018" i="5"/>
  <c r="M2004" i="5"/>
  <c r="O2004" i="5"/>
  <c r="U2004" i="5"/>
  <c r="O1984" i="5"/>
  <c r="M1984" i="5"/>
  <c r="M1965" i="5"/>
  <c r="M1949" i="5"/>
  <c r="O1949" i="5"/>
  <c r="M1933" i="5"/>
  <c r="O1933" i="5"/>
  <c r="U1933" i="5"/>
  <c r="O1917" i="5"/>
  <c r="M1917" i="5"/>
  <c r="M1901" i="5"/>
  <c r="O1901" i="5"/>
  <c r="U1901" i="5"/>
  <c r="U1885" i="5"/>
  <c r="M1885" i="5"/>
  <c r="O1885" i="5"/>
  <c r="O1871" i="5"/>
  <c r="U1871" i="5"/>
  <c r="M1871" i="5"/>
  <c r="M1851" i="5"/>
  <c r="O1851" i="5"/>
  <c r="M1832" i="5"/>
  <c r="O1832" i="5"/>
  <c r="U1832" i="5"/>
  <c r="U1816" i="5"/>
  <c r="M1816" i="5"/>
  <c r="O1816" i="5"/>
  <c r="M1800" i="5"/>
  <c r="O1800" i="5"/>
  <c r="M1784" i="5"/>
  <c r="O1784" i="5"/>
  <c r="M1768" i="5"/>
  <c r="O1768" i="5"/>
  <c r="M1754" i="5"/>
  <c r="O1754" i="5"/>
  <c r="O1734" i="5"/>
  <c r="M1734" i="5"/>
  <c r="M1718" i="5"/>
  <c r="O1718" i="5"/>
  <c r="O1699" i="5"/>
  <c r="U1699" i="5"/>
  <c r="M1699" i="5"/>
  <c r="M1683" i="5"/>
  <c r="O1683" i="5"/>
  <c r="U1683" i="5"/>
  <c r="O1667" i="5"/>
  <c r="M1667" i="5"/>
  <c r="M1651" i="5"/>
  <c r="O1651" i="5"/>
  <c r="M1635" i="5"/>
  <c r="O1635" i="5"/>
  <c r="M1621" i="5"/>
  <c r="O1621" i="5"/>
  <c r="O1594" i="5"/>
  <c r="M1594" i="5"/>
  <c r="U1594" i="5"/>
  <c r="M1572" i="5"/>
  <c r="O1572" i="5"/>
  <c r="M1556" i="5"/>
  <c r="O1556" i="5"/>
  <c r="M1540" i="5"/>
  <c r="O1540" i="5"/>
  <c r="M1524" i="5"/>
  <c r="O1524" i="5"/>
  <c r="O1508" i="5"/>
  <c r="M1508" i="5"/>
  <c r="O1494" i="5"/>
  <c r="M1494" i="5"/>
  <c r="M1474" i="5"/>
  <c r="O1474" i="5"/>
  <c r="O1455" i="5"/>
  <c r="M1455" i="5"/>
  <c r="O1439" i="5"/>
  <c r="M1439" i="5"/>
  <c r="M1423" i="5"/>
  <c r="O1423" i="5"/>
  <c r="O1407" i="5"/>
  <c r="M1407" i="5"/>
  <c r="M1391" i="5"/>
  <c r="O1391" i="5"/>
  <c r="M1375" i="5"/>
  <c r="O1375" i="5"/>
  <c r="M1361" i="5"/>
  <c r="O1361" i="5"/>
  <c r="M1341" i="5"/>
  <c r="O1341" i="5"/>
  <c r="M1322" i="5"/>
  <c r="O1322" i="5"/>
  <c r="O1306" i="5"/>
  <c r="M1306" i="5"/>
  <c r="O1290" i="5"/>
  <c r="U1290" i="5"/>
  <c r="M1290" i="5"/>
  <c r="M1274" i="5"/>
  <c r="O1274" i="5"/>
  <c r="M1258" i="5"/>
  <c r="O1258" i="5"/>
  <c r="M1243" i="5"/>
  <c r="O1243" i="5"/>
  <c r="M1224" i="5"/>
  <c r="O1224" i="5"/>
  <c r="M1208" i="5"/>
  <c r="O1208" i="5"/>
  <c r="M1189" i="5"/>
  <c r="O1189" i="5"/>
  <c r="M1173" i="5"/>
  <c r="O1173" i="5"/>
  <c r="O1157" i="5"/>
  <c r="M1157" i="5"/>
  <c r="U1157" i="5"/>
  <c r="O1141" i="5"/>
  <c r="M1141" i="5"/>
  <c r="M1125" i="5"/>
  <c r="O1125" i="5"/>
  <c r="U1125" i="5"/>
  <c r="P1125" i="5" s="1"/>
  <c r="O1111" i="5"/>
  <c r="M1111" i="5"/>
  <c r="O1091" i="5"/>
  <c r="M1091" i="5"/>
  <c r="M1075" i="5"/>
  <c r="O1075" i="5"/>
  <c r="M1056" i="5"/>
  <c r="O1056" i="5"/>
  <c r="U1040" i="5"/>
  <c r="M1040" i="5"/>
  <c r="O1040" i="5"/>
  <c r="M1024" i="5"/>
  <c r="O1024" i="5"/>
  <c r="O1008" i="5"/>
  <c r="M1008" i="5"/>
  <c r="U1008" i="5"/>
  <c r="M992" i="5"/>
  <c r="O992" i="5"/>
  <c r="U992" i="5"/>
  <c r="M976" i="5"/>
  <c r="O976" i="5"/>
  <c r="M958" i="5"/>
  <c r="O958" i="5"/>
  <c r="M939" i="5"/>
  <c r="O939" i="5"/>
  <c r="U939" i="5"/>
  <c r="M923" i="5"/>
  <c r="O923" i="5"/>
  <c r="M907" i="5"/>
  <c r="O907" i="5"/>
  <c r="M891" i="5"/>
  <c r="O891" i="5"/>
  <c r="O875" i="5"/>
  <c r="M875" i="5"/>
  <c r="M841" i="5"/>
  <c r="O841" i="5"/>
  <c r="O825" i="5"/>
  <c r="U825" i="5"/>
  <c r="M825" i="5"/>
  <c r="M806" i="5"/>
  <c r="O806" i="5"/>
  <c r="U806" i="5"/>
  <c r="M790" i="5"/>
  <c r="O790" i="5"/>
  <c r="O774" i="5"/>
  <c r="M774" i="5"/>
  <c r="M758" i="5"/>
  <c r="O758" i="5"/>
  <c r="U758" i="5"/>
  <c r="M742" i="5"/>
  <c r="O742" i="5"/>
  <c r="M728" i="5"/>
  <c r="O728" i="5"/>
  <c r="U728" i="5"/>
  <c r="O708" i="5"/>
  <c r="M708" i="5"/>
  <c r="M692" i="5"/>
  <c r="O692" i="5"/>
  <c r="M673" i="5"/>
  <c r="O673" i="5"/>
  <c r="M657" i="5"/>
  <c r="O657" i="5"/>
  <c r="U657" i="5"/>
  <c r="M641" i="5"/>
  <c r="O641" i="5"/>
  <c r="T3298" i="5"/>
  <c r="U3298" i="5"/>
  <c r="M3291" i="5"/>
  <c r="U3287" i="5"/>
  <c r="T3268" i="5"/>
  <c r="O3245" i="5"/>
  <c r="M3238" i="5"/>
  <c r="M3184" i="5"/>
  <c r="O3142" i="5"/>
  <c r="U3088" i="5"/>
  <c r="M3070" i="5"/>
  <c r="M2982" i="5"/>
  <c r="U2972" i="5"/>
  <c r="T2959" i="5"/>
  <c r="X2959" i="5" s="1"/>
  <c r="U2959" i="5"/>
  <c r="U2688" i="5"/>
  <c r="U2679" i="5"/>
  <c r="M2143" i="5"/>
  <c r="O2143" i="5"/>
  <c r="U2143" i="5"/>
  <c r="O3" i="5"/>
  <c r="M3315" i="5"/>
  <c r="M3299" i="5"/>
  <c r="O3299" i="5"/>
  <c r="M3265" i="5"/>
  <c r="O3265" i="5"/>
  <c r="M3246" i="5"/>
  <c r="O3246" i="5"/>
  <c r="M3230" i="5"/>
  <c r="M3214" i="5"/>
  <c r="M3198" i="5"/>
  <c r="M3166" i="5"/>
  <c r="O3166" i="5"/>
  <c r="M3152" i="5"/>
  <c r="O3152" i="5"/>
  <c r="M3132" i="5"/>
  <c r="O3132" i="5"/>
  <c r="M3113" i="5"/>
  <c r="O3113" i="5"/>
  <c r="O3097" i="5"/>
  <c r="M3097" i="5"/>
  <c r="O3081" i="5"/>
  <c r="M3081" i="5"/>
  <c r="O3065" i="5"/>
  <c r="M3065" i="5"/>
  <c r="M3049" i="5"/>
  <c r="O3049" i="5"/>
  <c r="O3033" i="5"/>
  <c r="M3015" i="5"/>
  <c r="O3015" i="5"/>
  <c r="M2999" i="5"/>
  <c r="O2999" i="5"/>
  <c r="M2980" i="5"/>
  <c r="O2980" i="5"/>
  <c r="M2964" i="5"/>
  <c r="O2964" i="5"/>
  <c r="M2948" i="5"/>
  <c r="O2948" i="5"/>
  <c r="O2932" i="5"/>
  <c r="M2916" i="5"/>
  <c r="O2916" i="5"/>
  <c r="M2902" i="5"/>
  <c r="O2882" i="5"/>
  <c r="M2882" i="5"/>
  <c r="M2863" i="5"/>
  <c r="O2863" i="5"/>
  <c r="M2847" i="5"/>
  <c r="O2847" i="5"/>
  <c r="U2831" i="5"/>
  <c r="M2831" i="5"/>
  <c r="O2831" i="5"/>
  <c r="M2815" i="5"/>
  <c r="O2815" i="5"/>
  <c r="M2799" i="5"/>
  <c r="O2799" i="5"/>
  <c r="U2799" i="5"/>
  <c r="M2783" i="5"/>
  <c r="O2783" i="5"/>
  <c r="M2769" i="5"/>
  <c r="O2769" i="5"/>
  <c r="U2769" i="5"/>
  <c r="M2749" i="5"/>
  <c r="O2749" i="5"/>
  <c r="U2749" i="5"/>
  <c r="M2730" i="5"/>
  <c r="O2730" i="5"/>
  <c r="O2714" i="5"/>
  <c r="M2714" i="5"/>
  <c r="O2698" i="5"/>
  <c r="M2698" i="5"/>
  <c r="M2682" i="5"/>
  <c r="U2682" i="5"/>
  <c r="O2682" i="5"/>
  <c r="M2666" i="5"/>
  <c r="O2666" i="5"/>
  <c r="U2666" i="5"/>
  <c r="O2651" i="5"/>
  <c r="M2651" i="5"/>
  <c r="O2632" i="5"/>
  <c r="U2632" i="5"/>
  <c r="Y2632" i="5" s="1"/>
  <c r="M2632" i="5"/>
  <c r="O2616" i="5"/>
  <c r="U2616" i="5"/>
  <c r="M2616" i="5"/>
  <c r="M2597" i="5"/>
  <c r="O2597" i="5"/>
  <c r="M2581" i="5"/>
  <c r="O2581" i="5"/>
  <c r="U2581" i="5"/>
  <c r="P2581" i="5" s="1"/>
  <c r="O2565" i="5"/>
  <c r="M2565" i="5"/>
  <c r="U2549" i="5"/>
  <c r="M2549" i="5"/>
  <c r="O2549" i="5"/>
  <c r="M2533" i="5"/>
  <c r="O2533" i="5"/>
  <c r="M2519" i="5"/>
  <c r="O2519" i="5"/>
  <c r="M2499" i="5"/>
  <c r="O2499" i="5"/>
  <c r="O2483" i="5"/>
  <c r="M2483" i="5"/>
  <c r="O2464" i="5"/>
  <c r="M2464" i="5"/>
  <c r="M2448" i="5"/>
  <c r="O2448" i="5"/>
  <c r="M2432" i="5"/>
  <c r="O2432" i="5"/>
  <c r="U2432" i="5"/>
  <c r="M2416" i="5"/>
  <c r="O2416" i="5"/>
  <c r="M2400" i="5"/>
  <c r="O2400" i="5"/>
  <c r="O2386" i="5"/>
  <c r="M2386" i="5"/>
  <c r="M2366" i="5"/>
  <c r="O2366" i="5"/>
  <c r="M2347" i="5"/>
  <c r="O2347" i="5"/>
  <c r="M2331" i="5"/>
  <c r="O2331" i="5"/>
  <c r="U2331" i="5"/>
  <c r="M2315" i="5"/>
  <c r="O2315" i="5"/>
  <c r="M2299" i="5"/>
  <c r="O2299" i="5"/>
  <c r="M2283" i="5"/>
  <c r="O2283" i="5"/>
  <c r="U2283" i="5"/>
  <c r="M2249" i="5"/>
  <c r="O2249" i="5"/>
  <c r="M2233" i="5"/>
  <c r="O2233" i="5"/>
  <c r="M2214" i="5"/>
  <c r="O2214" i="5"/>
  <c r="U2214" i="5"/>
  <c r="Y2214" i="5" s="1"/>
  <c r="M2198" i="5"/>
  <c r="O2198" i="5"/>
  <c r="U2198" i="5"/>
  <c r="M2182" i="5"/>
  <c r="O2182" i="5"/>
  <c r="M2166" i="5"/>
  <c r="O2166" i="5"/>
  <c r="M2150" i="5"/>
  <c r="O2150" i="5"/>
  <c r="M2136" i="5"/>
  <c r="O2136" i="5"/>
  <c r="M2116" i="5"/>
  <c r="O2116" i="5"/>
  <c r="U2116" i="5"/>
  <c r="M2100" i="5"/>
  <c r="O2100" i="5"/>
  <c r="M2081" i="5"/>
  <c r="O2081" i="5"/>
  <c r="M2065" i="5"/>
  <c r="O2065" i="5"/>
  <c r="M2049" i="5"/>
  <c r="O2049" i="5"/>
  <c r="U2033" i="5"/>
  <c r="M2033" i="5"/>
  <c r="O2033" i="5"/>
  <c r="U2017" i="5"/>
  <c r="Y2017" i="5" s="1"/>
  <c r="M2017" i="5"/>
  <c r="O2017" i="5"/>
  <c r="M2003" i="5"/>
  <c r="O2003" i="5"/>
  <c r="U2003" i="5"/>
  <c r="M1983" i="5"/>
  <c r="O1983" i="5"/>
  <c r="M1964" i="5"/>
  <c r="O1964" i="5"/>
  <c r="U1964" i="5"/>
  <c r="M1948" i="5"/>
  <c r="O1948" i="5"/>
  <c r="U1948" i="5"/>
  <c r="M1932" i="5"/>
  <c r="O1932" i="5"/>
  <c r="M1916" i="5"/>
  <c r="O1916" i="5"/>
  <c r="M1900" i="5"/>
  <c r="O1900" i="5"/>
  <c r="M1884" i="5"/>
  <c r="O1884" i="5"/>
  <c r="M1869" i="5"/>
  <c r="O1869" i="5"/>
  <c r="U1869" i="5"/>
  <c r="M1850" i="5"/>
  <c r="O1850" i="5"/>
  <c r="M1831" i="5"/>
  <c r="O1831" i="5"/>
  <c r="M1815" i="5"/>
  <c r="O1815" i="5"/>
  <c r="M1799" i="5"/>
  <c r="O1799" i="5"/>
  <c r="U1799" i="5"/>
  <c r="M1783" i="5"/>
  <c r="O1783" i="5"/>
  <c r="M1767" i="5"/>
  <c r="O1767" i="5"/>
  <c r="M1753" i="5"/>
  <c r="O1753" i="5"/>
  <c r="M1733" i="5"/>
  <c r="O1733" i="5"/>
  <c r="O1717" i="5"/>
  <c r="M1717" i="5"/>
  <c r="O1698" i="5"/>
  <c r="M1698" i="5"/>
  <c r="M1682" i="5"/>
  <c r="O1682" i="5"/>
  <c r="U1682" i="5"/>
  <c r="M1666" i="5"/>
  <c r="O1666" i="5"/>
  <c r="M1650" i="5"/>
  <c r="O1650" i="5"/>
  <c r="M1634" i="5"/>
  <c r="O1634" i="5"/>
  <c r="M1620" i="5"/>
  <c r="O1620" i="5"/>
  <c r="M1593" i="5"/>
  <c r="O1593" i="5"/>
  <c r="O1571" i="5"/>
  <c r="M1571" i="5"/>
  <c r="U1555" i="5"/>
  <c r="O1555" i="5"/>
  <c r="M1555" i="5"/>
  <c r="M1539" i="5"/>
  <c r="O1539" i="5"/>
  <c r="M1523" i="5"/>
  <c r="O1523" i="5"/>
  <c r="M1507" i="5"/>
  <c r="O1507" i="5"/>
  <c r="M1493" i="5"/>
  <c r="O1493" i="5"/>
  <c r="U1493" i="5"/>
  <c r="M1473" i="5"/>
  <c r="O1473" i="5"/>
  <c r="M1454" i="5"/>
  <c r="O1454" i="5"/>
  <c r="M1438" i="5"/>
  <c r="U1438" i="5"/>
  <c r="O1438" i="5"/>
  <c r="M1422" i="5"/>
  <c r="O1422" i="5"/>
  <c r="U1422" i="5"/>
  <c r="P1422" i="5" s="1"/>
  <c r="M1406" i="5"/>
  <c r="O1406" i="5"/>
  <c r="M1390" i="5"/>
  <c r="O1390" i="5"/>
  <c r="M1374" i="5"/>
  <c r="O1374" i="5"/>
  <c r="M1360" i="5"/>
  <c r="O1360" i="5"/>
  <c r="M1340" i="5"/>
  <c r="O1340" i="5"/>
  <c r="O1321" i="5"/>
  <c r="M1321" i="5"/>
  <c r="O1305" i="5"/>
  <c r="M1305" i="5"/>
  <c r="U1289" i="5"/>
  <c r="M1289" i="5"/>
  <c r="O1289" i="5"/>
  <c r="M1273" i="5"/>
  <c r="O1273" i="5"/>
  <c r="M1257" i="5"/>
  <c r="O1257" i="5"/>
  <c r="O1223" i="5"/>
  <c r="M1223" i="5"/>
  <c r="M1207" i="5"/>
  <c r="O1207" i="5"/>
  <c r="U1188" i="5"/>
  <c r="M1188" i="5"/>
  <c r="O1188" i="5"/>
  <c r="U1172" i="5"/>
  <c r="M1172" i="5"/>
  <c r="O1172" i="5"/>
  <c r="M1156" i="5"/>
  <c r="O1156" i="5"/>
  <c r="M1140" i="5"/>
  <c r="O1140" i="5"/>
  <c r="U1140" i="5"/>
  <c r="U1124" i="5"/>
  <c r="P1124" i="5" s="1"/>
  <c r="M1124" i="5"/>
  <c r="O1124" i="5"/>
  <c r="M1110" i="5"/>
  <c r="O1110" i="5"/>
  <c r="U1110" i="5"/>
  <c r="M1090" i="5"/>
  <c r="O1090" i="5"/>
  <c r="O1071" i="5"/>
  <c r="M1071" i="5"/>
  <c r="O1055" i="5"/>
  <c r="U1055" i="5"/>
  <c r="M1055" i="5"/>
  <c r="M1039" i="5"/>
  <c r="O1039" i="5"/>
  <c r="M1023" i="5"/>
  <c r="O1023" i="5"/>
  <c r="M1007" i="5"/>
  <c r="O1007" i="5"/>
  <c r="M991" i="5"/>
  <c r="O991" i="5"/>
  <c r="M975" i="5"/>
  <c r="O975" i="5"/>
  <c r="M957" i="5"/>
  <c r="O957" i="5"/>
  <c r="M938" i="5"/>
  <c r="O938" i="5"/>
  <c r="M922" i="5"/>
  <c r="O922" i="5"/>
  <c r="M906" i="5"/>
  <c r="O906" i="5"/>
  <c r="U906" i="5"/>
  <c r="O3310" i="5"/>
  <c r="V3287" i="5"/>
  <c r="W3287" i="5"/>
  <c r="U3284" i="5"/>
  <c r="O3260" i="5"/>
  <c r="O3217" i="5"/>
  <c r="U3213" i="5"/>
  <c r="O3209" i="5"/>
  <c r="M3188" i="5"/>
  <c r="T3179" i="5"/>
  <c r="X3179" i="5" s="1"/>
  <c r="T3175" i="5"/>
  <c r="X3175" i="5" s="1"/>
  <c r="T3103" i="5"/>
  <c r="U3103" i="5"/>
  <c r="P3103" i="5" s="1"/>
  <c r="U3069" i="5"/>
  <c r="T3069" i="5"/>
  <c r="M3051" i="5"/>
  <c r="U3036" i="5"/>
  <c r="M3002" i="5"/>
  <c r="M2699" i="5"/>
  <c r="O3314" i="5"/>
  <c r="M3314" i="5"/>
  <c r="M3298" i="5"/>
  <c r="M3284" i="5"/>
  <c r="O3284" i="5"/>
  <c r="O3264" i="5"/>
  <c r="M3264" i="5"/>
  <c r="M3229" i="5"/>
  <c r="O3229" i="5"/>
  <c r="O3213" i="5"/>
  <c r="M3213" i="5"/>
  <c r="M3197" i="5"/>
  <c r="O3197" i="5"/>
  <c r="M3181" i="5"/>
  <c r="U3181" i="5"/>
  <c r="P3181" i="5" s="1"/>
  <c r="O3165" i="5"/>
  <c r="M3165" i="5"/>
  <c r="M3151" i="5"/>
  <c r="O3151" i="5"/>
  <c r="M3131" i="5"/>
  <c r="O3112" i="5"/>
  <c r="M3112" i="5"/>
  <c r="M3096" i="5"/>
  <c r="O3096" i="5"/>
  <c r="M3080" i="5"/>
  <c r="O3080" i="5"/>
  <c r="M3064" i="5"/>
  <c r="O3064" i="5"/>
  <c r="U3064" i="5"/>
  <c r="M3048" i="5"/>
  <c r="O3032" i="5"/>
  <c r="M3032" i="5"/>
  <c r="U3032" i="5"/>
  <c r="O3014" i="5"/>
  <c r="O2998" i="5"/>
  <c r="U2998" i="5"/>
  <c r="M2998" i="5"/>
  <c r="O2979" i="5"/>
  <c r="M2979" i="5"/>
  <c r="M2963" i="5"/>
  <c r="O2963" i="5"/>
  <c r="M2947" i="5"/>
  <c r="O2947" i="5"/>
  <c r="M2931" i="5"/>
  <c r="O2931" i="5"/>
  <c r="M2915" i="5"/>
  <c r="O2915" i="5"/>
  <c r="M2901" i="5"/>
  <c r="M2881" i="5"/>
  <c r="O2881" i="5"/>
  <c r="M2862" i="5"/>
  <c r="O2862" i="5"/>
  <c r="M2846" i="5"/>
  <c r="O2846" i="5"/>
  <c r="O2830" i="5"/>
  <c r="U2830" i="5"/>
  <c r="P2830" i="5" s="1"/>
  <c r="M2830" i="5"/>
  <c r="M2814" i="5"/>
  <c r="O2814" i="5"/>
  <c r="U2814" i="5"/>
  <c r="Y2814" i="5" s="1"/>
  <c r="M2798" i="5"/>
  <c r="O2798" i="5"/>
  <c r="U2798" i="5"/>
  <c r="U2782" i="5"/>
  <c r="M2782" i="5"/>
  <c r="O2782" i="5"/>
  <c r="M2768" i="5"/>
  <c r="O2768" i="5"/>
  <c r="U2768" i="5"/>
  <c r="M2748" i="5"/>
  <c r="O2748" i="5"/>
  <c r="M2729" i="5"/>
  <c r="O2729" i="5"/>
  <c r="O2713" i="5"/>
  <c r="M2713" i="5"/>
  <c r="M2697" i="5"/>
  <c r="O2697" i="5"/>
  <c r="U2697" i="5"/>
  <c r="M2681" i="5"/>
  <c r="O2681" i="5"/>
  <c r="U2681" i="5"/>
  <c r="O2665" i="5"/>
  <c r="M2665" i="5"/>
  <c r="O2631" i="5"/>
  <c r="U2631" i="5"/>
  <c r="M2631" i="5"/>
  <c r="O2615" i="5"/>
  <c r="M2615" i="5"/>
  <c r="U2596" i="5"/>
  <c r="M2596" i="5"/>
  <c r="O2596" i="5"/>
  <c r="M2580" i="5"/>
  <c r="O2580" i="5"/>
  <c r="M2564" i="5"/>
  <c r="O2564" i="5"/>
  <c r="M2548" i="5"/>
  <c r="O2548" i="5"/>
  <c r="M2532" i="5"/>
  <c r="O2532" i="5"/>
  <c r="M2518" i="5"/>
  <c r="O2518" i="5"/>
  <c r="M2498" i="5"/>
  <c r="O2498" i="5"/>
  <c r="M2479" i="5"/>
  <c r="O2479" i="5"/>
  <c r="U2479" i="5"/>
  <c r="M2463" i="5"/>
  <c r="O2463" i="5"/>
  <c r="M2447" i="5"/>
  <c r="O2447" i="5"/>
  <c r="U2447" i="5"/>
  <c r="M2431" i="5"/>
  <c r="O2431" i="5"/>
  <c r="O2415" i="5"/>
  <c r="M2415" i="5"/>
  <c r="O2399" i="5"/>
  <c r="M2399" i="5"/>
  <c r="M2385" i="5"/>
  <c r="O2385" i="5"/>
  <c r="U2385" i="5"/>
  <c r="M2365" i="5"/>
  <c r="O2365" i="5"/>
  <c r="M2346" i="5"/>
  <c r="O2346" i="5"/>
  <c r="U2346" i="5"/>
  <c r="U2330" i="5"/>
  <c r="M2330" i="5"/>
  <c r="O2330" i="5"/>
  <c r="M2314" i="5"/>
  <c r="O2314" i="5"/>
  <c r="U2314" i="5"/>
  <c r="U2298" i="5"/>
  <c r="O2298" i="5"/>
  <c r="M2298" i="5"/>
  <c r="M2282" i="5"/>
  <c r="O2282" i="5"/>
  <c r="M2267" i="5"/>
  <c r="O2267" i="5"/>
  <c r="U2267" i="5"/>
  <c r="O2248" i="5"/>
  <c r="M2248" i="5"/>
  <c r="M2232" i="5"/>
  <c r="O2232" i="5"/>
  <c r="M2213" i="5"/>
  <c r="O2213" i="5"/>
  <c r="M2197" i="5"/>
  <c r="O2197" i="5"/>
  <c r="O2181" i="5"/>
  <c r="U2181" i="5"/>
  <c r="M2181" i="5"/>
  <c r="M2165" i="5"/>
  <c r="O2165" i="5"/>
  <c r="M2149" i="5"/>
  <c r="O2149" i="5"/>
  <c r="M2135" i="5"/>
  <c r="O2135" i="5"/>
  <c r="U2135" i="5"/>
  <c r="M2115" i="5"/>
  <c r="O2115" i="5"/>
  <c r="M2099" i="5"/>
  <c r="O2099" i="5"/>
  <c r="M2080" i="5"/>
  <c r="O2080" i="5"/>
  <c r="M2064" i="5"/>
  <c r="O2064" i="5"/>
  <c r="M2048" i="5"/>
  <c r="O2048" i="5"/>
  <c r="U2048" i="5"/>
  <c r="M2032" i="5"/>
  <c r="O2032" i="5"/>
  <c r="U2032" i="5"/>
  <c r="O2016" i="5"/>
  <c r="M2016" i="5"/>
  <c r="O2002" i="5"/>
  <c r="M2002" i="5"/>
  <c r="O1982" i="5"/>
  <c r="U1982" i="5"/>
  <c r="M1982" i="5"/>
  <c r="O1963" i="5"/>
  <c r="U1963" i="5"/>
  <c r="M1963" i="5"/>
  <c r="O1947" i="5"/>
  <c r="U1947" i="5"/>
  <c r="M1947" i="5"/>
  <c r="M1931" i="5"/>
  <c r="O1931" i="5"/>
  <c r="O1915" i="5"/>
  <c r="U1915" i="5"/>
  <c r="M1915" i="5"/>
  <c r="M1899" i="5"/>
  <c r="O1899" i="5"/>
  <c r="M1865" i="5"/>
  <c r="O1865" i="5"/>
  <c r="M1849" i="5"/>
  <c r="O1849" i="5"/>
  <c r="M1830" i="5"/>
  <c r="O1830" i="5"/>
  <c r="U1830" i="5"/>
  <c r="M1814" i="5"/>
  <c r="O1814" i="5"/>
  <c r="M1798" i="5"/>
  <c r="O1798" i="5"/>
  <c r="O1782" i="5"/>
  <c r="M1782" i="5"/>
  <c r="O1766" i="5"/>
  <c r="M1766" i="5"/>
  <c r="M1752" i="5"/>
  <c r="O1752" i="5"/>
  <c r="M1732" i="5"/>
  <c r="O1732" i="5"/>
  <c r="U1732" i="5"/>
  <c r="M1716" i="5"/>
  <c r="O1716" i="5"/>
  <c r="M1697" i="5"/>
  <c r="O1697" i="5"/>
  <c r="M1681" i="5"/>
  <c r="O1681" i="5"/>
  <c r="M1665" i="5"/>
  <c r="O1665" i="5"/>
  <c r="M1649" i="5"/>
  <c r="O1649" i="5"/>
  <c r="O1633" i="5"/>
  <c r="M1633" i="5"/>
  <c r="M1619" i="5"/>
  <c r="O1619" i="5"/>
  <c r="M1592" i="5"/>
  <c r="O1592" i="5"/>
  <c r="M1570" i="5"/>
  <c r="O1570" i="5"/>
  <c r="M1554" i="5"/>
  <c r="O1554" i="5"/>
  <c r="U1554" i="5"/>
  <c r="P1554" i="5" s="1"/>
  <c r="M1538" i="5"/>
  <c r="O1538" i="5"/>
  <c r="U1522" i="5"/>
  <c r="O1522" i="5"/>
  <c r="M1522" i="5"/>
  <c r="M1506" i="5"/>
  <c r="O1506" i="5"/>
  <c r="M1492" i="5"/>
  <c r="O1492" i="5"/>
  <c r="M1472" i="5"/>
  <c r="O1472" i="5"/>
  <c r="M1453" i="5"/>
  <c r="O1453" i="5"/>
  <c r="U1437" i="5"/>
  <c r="O1437" i="5"/>
  <c r="M1437" i="5"/>
  <c r="M1421" i="5"/>
  <c r="O1421" i="5"/>
  <c r="M1405" i="5"/>
  <c r="O1405" i="5"/>
  <c r="M1389" i="5"/>
  <c r="U1389" i="5"/>
  <c r="O1389" i="5"/>
  <c r="M1373" i="5"/>
  <c r="U1373" i="5"/>
  <c r="O1373" i="5"/>
  <c r="M1359" i="5"/>
  <c r="O1359" i="5"/>
  <c r="O1339" i="5"/>
  <c r="M1339" i="5"/>
  <c r="M1320" i="5"/>
  <c r="O1320" i="5"/>
  <c r="M1304" i="5"/>
  <c r="U1304" i="5"/>
  <c r="O1304" i="5"/>
  <c r="M1288" i="5"/>
  <c r="O1288" i="5"/>
  <c r="O1272" i="5"/>
  <c r="M1272" i="5"/>
  <c r="U1272" i="5"/>
  <c r="O1256" i="5"/>
  <c r="U1256" i="5"/>
  <c r="M1256" i="5"/>
  <c r="U1242" i="5"/>
  <c r="P1242" i="5" s="1"/>
  <c r="O1242" i="5"/>
  <c r="M1242" i="5"/>
  <c r="O1222" i="5"/>
  <c r="M1222" i="5"/>
  <c r="U1222" i="5"/>
  <c r="O1206" i="5"/>
  <c r="M1206" i="5"/>
  <c r="O1187" i="5"/>
  <c r="M1187" i="5"/>
  <c r="M1171" i="5"/>
  <c r="O1171" i="5"/>
  <c r="O1155" i="5"/>
  <c r="M1155" i="5"/>
  <c r="O1139" i="5"/>
  <c r="M1139" i="5"/>
  <c r="M1123" i="5"/>
  <c r="U1123" i="5"/>
  <c r="O1123" i="5"/>
  <c r="M1109" i="5"/>
  <c r="O1109" i="5"/>
  <c r="M1089" i="5"/>
  <c r="O1089" i="5"/>
  <c r="M1070" i="5"/>
  <c r="O1070" i="5"/>
  <c r="U1070" i="5"/>
  <c r="M1054" i="5"/>
  <c r="O1054" i="5"/>
  <c r="M1038" i="5"/>
  <c r="O1038" i="5"/>
  <c r="M1022" i="5"/>
  <c r="O1022" i="5"/>
  <c r="U1022" i="5"/>
  <c r="Y1022" i="5" s="1"/>
  <c r="U1006" i="5"/>
  <c r="M1006" i="5"/>
  <c r="O1006" i="5"/>
  <c r="M990" i="5"/>
  <c r="O990" i="5"/>
  <c r="O974" i="5"/>
  <c r="M974" i="5"/>
  <c r="O956" i="5"/>
  <c r="M956" i="5"/>
  <c r="U937" i="5"/>
  <c r="O937" i="5"/>
  <c r="M937" i="5"/>
  <c r="O921" i="5"/>
  <c r="M921" i="5"/>
  <c r="M905" i="5"/>
  <c r="O905" i="5"/>
  <c r="M889" i="5"/>
  <c r="O889" i="5"/>
  <c r="M873" i="5"/>
  <c r="O873" i="5"/>
  <c r="O839" i="5"/>
  <c r="M839" i="5"/>
  <c r="M823" i="5"/>
  <c r="O823" i="5"/>
  <c r="U823" i="5"/>
  <c r="M804" i="5"/>
  <c r="O804" i="5"/>
  <c r="O788" i="5"/>
  <c r="M788" i="5"/>
  <c r="O772" i="5"/>
  <c r="M772" i="5"/>
  <c r="O756" i="5"/>
  <c r="U756" i="5"/>
  <c r="M756" i="5"/>
  <c r="M740" i="5"/>
  <c r="O740" i="5"/>
  <c r="O726" i="5"/>
  <c r="M726" i="5"/>
  <c r="U726" i="5"/>
  <c r="M706" i="5"/>
  <c r="O706" i="5"/>
  <c r="U706" i="5"/>
  <c r="M687" i="5"/>
  <c r="O687" i="5"/>
  <c r="M671" i="5"/>
  <c r="O671" i="5"/>
  <c r="U671" i="5"/>
  <c r="M655" i="5"/>
  <c r="O655" i="5"/>
  <c r="M639" i="5"/>
  <c r="O639" i="5"/>
  <c r="U639" i="5"/>
  <c r="T3305" i="5"/>
  <c r="X3305" i="5" s="1"/>
  <c r="O3298" i="5"/>
  <c r="U3255" i="5"/>
  <c r="O3233" i="5"/>
  <c r="U3225" i="5"/>
  <c r="T3195" i="5"/>
  <c r="U3158" i="5"/>
  <c r="U3128" i="5"/>
  <c r="Y3128" i="5" s="1"/>
  <c r="V3088" i="5"/>
  <c r="W3088" i="5"/>
  <c r="U3022" i="5"/>
  <c r="U3006" i="5"/>
  <c r="T2824" i="5"/>
  <c r="T2757" i="5"/>
  <c r="M3076" i="5"/>
  <c r="O3076" i="5"/>
  <c r="M3010" i="5"/>
  <c r="O3010" i="5"/>
  <c r="M2927" i="5"/>
  <c r="O2927" i="5"/>
  <c r="O2858" i="5"/>
  <c r="M2858" i="5"/>
  <c r="O2779" i="5"/>
  <c r="U2779" i="5"/>
  <c r="M2779" i="5"/>
  <c r="M2709" i="5"/>
  <c r="O2709" i="5"/>
  <c r="O2611" i="5"/>
  <c r="U2611" i="5"/>
  <c r="M2611" i="5"/>
  <c r="O2528" i="5"/>
  <c r="M2528" i="5"/>
  <c r="M2459" i="5"/>
  <c r="O2459" i="5"/>
  <c r="M2326" i="5"/>
  <c r="O2326" i="5"/>
  <c r="U2326" i="5"/>
  <c r="M2244" i="5"/>
  <c r="O2244" i="5"/>
  <c r="U2244" i="5"/>
  <c r="M2161" i="5"/>
  <c r="O2161" i="5"/>
  <c r="U2161" i="5"/>
  <c r="O2092" i="5"/>
  <c r="U2092" i="5"/>
  <c r="M2092" i="5"/>
  <c r="M2012" i="5"/>
  <c r="O2012" i="5"/>
  <c r="M1943" i="5"/>
  <c r="O1943" i="5"/>
  <c r="M1881" i="5"/>
  <c r="O1881" i="5"/>
  <c r="U1881" i="5"/>
  <c r="P1881" i="5" s="1"/>
  <c r="M1826" i="5"/>
  <c r="O1826" i="5"/>
  <c r="M1778" i="5"/>
  <c r="O1778" i="5"/>
  <c r="M1629" i="5"/>
  <c r="O1629" i="5"/>
  <c r="M1566" i="5"/>
  <c r="O1566" i="5"/>
  <c r="U1566" i="5"/>
  <c r="O1488" i="5"/>
  <c r="M1488" i="5"/>
  <c r="M1433" i="5"/>
  <c r="O1433" i="5"/>
  <c r="M1335" i="5"/>
  <c r="O1335" i="5"/>
  <c r="U1335" i="5"/>
  <c r="M1238" i="5"/>
  <c r="O1238" i="5"/>
  <c r="M1199" i="5"/>
  <c r="O1199" i="5"/>
  <c r="U1199" i="5"/>
  <c r="O1135" i="5"/>
  <c r="U1135" i="5"/>
  <c r="M1135" i="5"/>
  <c r="M1085" i="5"/>
  <c r="O1085" i="5"/>
  <c r="M1018" i="5"/>
  <c r="O1018" i="5"/>
  <c r="U1018" i="5"/>
  <c r="O952" i="5"/>
  <c r="M952" i="5"/>
  <c r="M901" i="5"/>
  <c r="O901" i="5"/>
  <c r="O855" i="5"/>
  <c r="U855" i="5"/>
  <c r="M855" i="5"/>
  <c r="M819" i="5"/>
  <c r="O819" i="5"/>
  <c r="U819" i="5"/>
  <c r="M784" i="5"/>
  <c r="O784" i="5"/>
  <c r="U784" i="5"/>
  <c r="M736" i="5"/>
  <c r="O736" i="5"/>
  <c r="O651" i="5"/>
  <c r="M651" i="5"/>
  <c r="M569" i="5"/>
  <c r="O569" i="5"/>
  <c r="M534" i="5"/>
  <c r="O534" i="5"/>
  <c r="M502" i="5"/>
  <c r="O502" i="5"/>
  <c r="O436" i="5"/>
  <c r="M436" i="5"/>
  <c r="O401" i="5"/>
  <c r="M401" i="5"/>
  <c r="U401" i="5"/>
  <c r="O369" i="5"/>
  <c r="M369" i="5"/>
  <c r="M339" i="5"/>
  <c r="O339" i="5"/>
  <c r="U339" i="5"/>
  <c r="M300" i="5"/>
  <c r="O300" i="5"/>
  <c r="M236" i="5"/>
  <c r="O236" i="5"/>
  <c r="M186" i="5"/>
  <c r="O186" i="5"/>
  <c r="O151" i="5"/>
  <c r="M151" i="5"/>
  <c r="U151" i="5"/>
  <c r="M119" i="5"/>
  <c r="O119" i="5"/>
  <c r="U119" i="5"/>
  <c r="M87" i="5"/>
  <c r="O87" i="5"/>
  <c r="M53" i="5"/>
  <c r="O53" i="5"/>
  <c r="U3194" i="5"/>
  <c r="T3194" i="5"/>
  <c r="X3194" i="5" s="1"/>
  <c r="U2927" i="5"/>
  <c r="M1677" i="5"/>
  <c r="O3329" i="5"/>
  <c r="O3313" i="5"/>
  <c r="M3297" i="5"/>
  <c r="O3297" i="5"/>
  <c r="M3263" i="5"/>
  <c r="M3244" i="5"/>
  <c r="O3244" i="5"/>
  <c r="U3228" i="5"/>
  <c r="M3228" i="5"/>
  <c r="O3228" i="5"/>
  <c r="M3212" i="5"/>
  <c r="O3196" i="5"/>
  <c r="M3196" i="5"/>
  <c r="O3180" i="5"/>
  <c r="M3180" i="5"/>
  <c r="O3164" i="5"/>
  <c r="M3149" i="5"/>
  <c r="O3149" i="5"/>
  <c r="O3130" i="5"/>
  <c r="M3130" i="5"/>
  <c r="O3111" i="5"/>
  <c r="M3095" i="5"/>
  <c r="O3095" i="5"/>
  <c r="M3079" i="5"/>
  <c r="O3079" i="5"/>
  <c r="M3063" i="5"/>
  <c r="O3063" i="5"/>
  <c r="O3047" i="5"/>
  <c r="M3031" i="5"/>
  <c r="O3031" i="5"/>
  <c r="O3013" i="5"/>
  <c r="M3013" i="5"/>
  <c r="M2997" i="5"/>
  <c r="O2997" i="5"/>
  <c r="M2978" i="5"/>
  <c r="O2978" i="5"/>
  <c r="M2962" i="5"/>
  <c r="O2962" i="5"/>
  <c r="O2946" i="5"/>
  <c r="U2946" i="5"/>
  <c r="M2946" i="5"/>
  <c r="M2930" i="5"/>
  <c r="O2930" i="5"/>
  <c r="O2914" i="5"/>
  <c r="U2914" i="5"/>
  <c r="M2914" i="5"/>
  <c r="M2900" i="5"/>
  <c r="O2900" i="5"/>
  <c r="M2880" i="5"/>
  <c r="O2880" i="5"/>
  <c r="M2861" i="5"/>
  <c r="U2861" i="5"/>
  <c r="O2861" i="5"/>
  <c r="M2845" i="5"/>
  <c r="O2845" i="5"/>
  <c r="O2829" i="5"/>
  <c r="U2829" i="5"/>
  <c r="M2829" i="5"/>
  <c r="M2813" i="5"/>
  <c r="O2813" i="5"/>
  <c r="U2813" i="5"/>
  <c r="M2797" i="5"/>
  <c r="O2797" i="5"/>
  <c r="M2781" i="5"/>
  <c r="O2781" i="5"/>
  <c r="U2781" i="5"/>
  <c r="M2767" i="5"/>
  <c r="O2767" i="5"/>
  <c r="U2767" i="5"/>
  <c r="M2747" i="5"/>
  <c r="O2747" i="5"/>
  <c r="M2728" i="5"/>
  <c r="O2728" i="5"/>
  <c r="O2712" i="5"/>
  <c r="M2712" i="5"/>
  <c r="O2696" i="5"/>
  <c r="M2696" i="5"/>
  <c r="O2680" i="5"/>
  <c r="M2680" i="5"/>
  <c r="U2680" i="5"/>
  <c r="O2664" i="5"/>
  <c r="M2664" i="5"/>
  <c r="O2650" i="5"/>
  <c r="M2650" i="5"/>
  <c r="M2630" i="5"/>
  <c r="O2630" i="5"/>
  <c r="M2614" i="5"/>
  <c r="O2614" i="5"/>
  <c r="U2614" i="5"/>
  <c r="M2595" i="5"/>
  <c r="O2595" i="5"/>
  <c r="M2579" i="5"/>
  <c r="O2579" i="5"/>
  <c r="M2563" i="5"/>
  <c r="O2563" i="5"/>
  <c r="M2547" i="5"/>
  <c r="O2547" i="5"/>
  <c r="M2531" i="5"/>
  <c r="O2531" i="5"/>
  <c r="M2517" i="5"/>
  <c r="O2517" i="5"/>
  <c r="M2497" i="5"/>
  <c r="O2497" i="5"/>
  <c r="M2478" i="5"/>
  <c r="O2478" i="5"/>
  <c r="M2462" i="5"/>
  <c r="O2462" i="5"/>
  <c r="O2446" i="5"/>
  <c r="M2446" i="5"/>
  <c r="M2430" i="5"/>
  <c r="O2430" i="5"/>
  <c r="M2414" i="5"/>
  <c r="O2414" i="5"/>
  <c r="M2398" i="5"/>
  <c r="O2398" i="5"/>
  <c r="M2384" i="5"/>
  <c r="O2384" i="5"/>
  <c r="M2364" i="5"/>
  <c r="O2364" i="5"/>
  <c r="M2345" i="5"/>
  <c r="O2345" i="5"/>
  <c r="M2329" i="5"/>
  <c r="O2329" i="5"/>
  <c r="M2313" i="5"/>
  <c r="O2313" i="5"/>
  <c r="M2297" i="5"/>
  <c r="O2297" i="5"/>
  <c r="U2297" i="5"/>
  <c r="M2281" i="5"/>
  <c r="O2281" i="5"/>
  <c r="U2281" i="5"/>
  <c r="M2247" i="5"/>
  <c r="O2247" i="5"/>
  <c r="U2247" i="5"/>
  <c r="O2231" i="5"/>
  <c r="M2231" i="5"/>
  <c r="M2212" i="5"/>
  <c r="O2212" i="5"/>
  <c r="M2196" i="5"/>
  <c r="O2196" i="5"/>
  <c r="M2180" i="5"/>
  <c r="O2180" i="5"/>
  <c r="U2180" i="5"/>
  <c r="P2180" i="5" s="1"/>
  <c r="M2164" i="5"/>
  <c r="O2164" i="5"/>
  <c r="U2164" i="5"/>
  <c r="M2148" i="5"/>
  <c r="U2148" i="5"/>
  <c r="O2148" i="5"/>
  <c r="M2134" i="5"/>
  <c r="O2134" i="5"/>
  <c r="U2134" i="5"/>
  <c r="M2114" i="5"/>
  <c r="O2114" i="5"/>
  <c r="M2095" i="5"/>
  <c r="O2095" i="5"/>
  <c r="M2079" i="5"/>
  <c r="O2079" i="5"/>
  <c r="M2063" i="5"/>
  <c r="O2063" i="5"/>
  <c r="M2047" i="5"/>
  <c r="O2047" i="5"/>
  <c r="O2031" i="5"/>
  <c r="M2031" i="5"/>
  <c r="U2031" i="5"/>
  <c r="O2015" i="5"/>
  <c r="M2015" i="5"/>
  <c r="M2001" i="5"/>
  <c r="O2001" i="5"/>
  <c r="M1981" i="5"/>
  <c r="O1981" i="5"/>
  <c r="U1981" i="5"/>
  <c r="M1962" i="5"/>
  <c r="O1962" i="5"/>
  <c r="U1962" i="5"/>
  <c r="M1946" i="5"/>
  <c r="O1946" i="5"/>
  <c r="U1946" i="5"/>
  <c r="M1930" i="5"/>
  <c r="O1930" i="5"/>
  <c r="U1930" i="5"/>
  <c r="M1914" i="5"/>
  <c r="O1914" i="5"/>
  <c r="U1914" i="5"/>
  <c r="M1898" i="5"/>
  <c r="O1898" i="5"/>
  <c r="U1898" i="5"/>
  <c r="M1883" i="5"/>
  <c r="O1883" i="5"/>
  <c r="M1864" i="5"/>
  <c r="O1864" i="5"/>
  <c r="U1864" i="5"/>
  <c r="M1848" i="5"/>
  <c r="O1848" i="5"/>
  <c r="O1829" i="5"/>
  <c r="M1829" i="5"/>
  <c r="M1813" i="5"/>
  <c r="O1813" i="5"/>
  <c r="M1797" i="5"/>
  <c r="O1797" i="5"/>
  <c r="U1797" i="5"/>
  <c r="M1781" i="5"/>
  <c r="O1781" i="5"/>
  <c r="U1781" i="5"/>
  <c r="M1765" i="5"/>
  <c r="O1765" i="5"/>
  <c r="M1751" i="5"/>
  <c r="O1751" i="5"/>
  <c r="U1751" i="5"/>
  <c r="O1731" i="5"/>
  <c r="M1731" i="5"/>
  <c r="M1715" i="5"/>
  <c r="O1715" i="5"/>
  <c r="M1696" i="5"/>
  <c r="O1696" i="5"/>
  <c r="M1680" i="5"/>
  <c r="O1680" i="5"/>
  <c r="M1664" i="5"/>
  <c r="O1664" i="5"/>
  <c r="O1648" i="5"/>
  <c r="M1648" i="5"/>
  <c r="M1632" i="5"/>
  <c r="O1632" i="5"/>
  <c r="U1632" i="5"/>
  <c r="O1615" i="5"/>
  <c r="M1615" i="5"/>
  <c r="O1591" i="5"/>
  <c r="M1591" i="5"/>
  <c r="M1569" i="5"/>
  <c r="O1569" i="5"/>
  <c r="M1553" i="5"/>
  <c r="O1553" i="5"/>
  <c r="M1537" i="5"/>
  <c r="O1537" i="5"/>
  <c r="M1521" i="5"/>
  <c r="O1521" i="5"/>
  <c r="U1521" i="5"/>
  <c r="O1505" i="5"/>
  <c r="M1505" i="5"/>
  <c r="O1491" i="5"/>
  <c r="M1491" i="5"/>
  <c r="M1471" i="5"/>
  <c r="O1471" i="5"/>
  <c r="U1471" i="5"/>
  <c r="U1452" i="5"/>
  <c r="O1452" i="5"/>
  <c r="M1452" i="5"/>
  <c r="M1436" i="5"/>
  <c r="O1436" i="5"/>
  <c r="M1420" i="5"/>
  <c r="O1420" i="5"/>
  <c r="M1404" i="5"/>
  <c r="O1404" i="5"/>
  <c r="U1404" i="5"/>
  <c r="P1404" i="5" s="1"/>
  <c r="U1388" i="5"/>
  <c r="Y1388" i="5" s="1"/>
  <c r="O1388" i="5"/>
  <c r="M1388" i="5"/>
  <c r="U1372" i="5"/>
  <c r="O1372" i="5"/>
  <c r="M1372" i="5"/>
  <c r="U1357" i="5"/>
  <c r="Y1357" i="5" s="1"/>
  <c r="O1357" i="5"/>
  <c r="M1357" i="5"/>
  <c r="M1338" i="5"/>
  <c r="O1338" i="5"/>
  <c r="U1338" i="5"/>
  <c r="Y1338" i="5" s="1"/>
  <c r="M1319" i="5"/>
  <c r="O1319" i="5"/>
  <c r="U1319" i="5"/>
  <c r="M1303" i="5"/>
  <c r="O1303" i="5"/>
  <c r="U1303" i="5"/>
  <c r="M1287" i="5"/>
  <c r="O1287" i="5"/>
  <c r="U1271" i="5"/>
  <c r="P1271" i="5" s="1"/>
  <c r="M1271" i="5"/>
  <c r="O1271" i="5"/>
  <c r="O1255" i="5"/>
  <c r="U1255" i="5"/>
  <c r="M1255" i="5"/>
  <c r="M1241" i="5"/>
  <c r="O1241" i="5"/>
  <c r="M1221" i="5"/>
  <c r="O1221" i="5"/>
  <c r="M1205" i="5"/>
  <c r="O1205" i="5"/>
  <c r="M1186" i="5"/>
  <c r="O1186" i="5"/>
  <c r="M1170" i="5"/>
  <c r="O1170" i="5"/>
  <c r="O1154" i="5"/>
  <c r="M1154" i="5"/>
  <c r="M1138" i="5"/>
  <c r="O1138" i="5"/>
  <c r="O1122" i="5"/>
  <c r="M1122" i="5"/>
  <c r="M1108" i="5"/>
  <c r="O1108" i="5"/>
  <c r="O1088" i="5"/>
  <c r="M1088" i="5"/>
  <c r="M1069" i="5"/>
  <c r="O1069" i="5"/>
  <c r="M1053" i="5"/>
  <c r="O1053" i="5"/>
  <c r="M1037" i="5"/>
  <c r="O1037" i="5"/>
  <c r="M1021" i="5"/>
  <c r="O1021" i="5"/>
  <c r="M1005" i="5"/>
  <c r="O1005" i="5"/>
  <c r="O989" i="5"/>
  <c r="M989" i="5"/>
  <c r="M973" i="5"/>
  <c r="O973" i="5"/>
  <c r="M955" i="5"/>
  <c r="O955" i="5"/>
  <c r="M936" i="5"/>
  <c r="O936" i="5"/>
  <c r="O920" i="5"/>
  <c r="M920" i="5"/>
  <c r="O904" i="5"/>
  <c r="M904" i="5"/>
  <c r="M888" i="5"/>
  <c r="O888" i="5"/>
  <c r="M872" i="5"/>
  <c r="O872" i="5"/>
  <c r="O858" i="5"/>
  <c r="U858" i="5"/>
  <c r="M858" i="5"/>
  <c r="M838" i="5"/>
  <c r="O838" i="5"/>
  <c r="M822" i="5"/>
  <c r="O822" i="5"/>
  <c r="M803" i="5"/>
  <c r="O803" i="5"/>
  <c r="M787" i="5"/>
  <c r="O787" i="5"/>
  <c r="U787" i="5"/>
  <c r="M771" i="5"/>
  <c r="O771" i="5"/>
  <c r="M755" i="5"/>
  <c r="O755" i="5"/>
  <c r="U739" i="5"/>
  <c r="M739" i="5"/>
  <c r="O739" i="5"/>
  <c r="M725" i="5"/>
  <c r="O725" i="5"/>
  <c r="M705" i="5"/>
  <c r="O705" i="5"/>
  <c r="O686" i="5"/>
  <c r="M686" i="5"/>
  <c r="M670" i="5"/>
  <c r="O670" i="5"/>
  <c r="M654" i="5"/>
  <c r="O654" i="5"/>
  <c r="O638" i="5"/>
  <c r="M638" i="5"/>
  <c r="M622" i="5"/>
  <c r="O622" i="5"/>
  <c r="M606" i="5"/>
  <c r="O606" i="5"/>
  <c r="O592" i="5"/>
  <c r="M592" i="5"/>
  <c r="O572" i="5"/>
  <c r="M572" i="5"/>
  <c r="M553" i="5"/>
  <c r="O553" i="5"/>
  <c r="U553" i="5"/>
  <c r="O537" i="5"/>
  <c r="U537" i="5"/>
  <c r="M537" i="5"/>
  <c r="M521" i="5"/>
  <c r="O521" i="5"/>
  <c r="M505" i="5"/>
  <c r="O505" i="5"/>
  <c r="O489" i="5"/>
  <c r="M489" i="5"/>
  <c r="U489" i="5"/>
  <c r="M473" i="5"/>
  <c r="O473" i="5"/>
  <c r="O455" i="5"/>
  <c r="M455" i="5"/>
  <c r="M439" i="5"/>
  <c r="O439" i="5"/>
  <c r="U420" i="5"/>
  <c r="M420" i="5"/>
  <c r="O420" i="5"/>
  <c r="M404" i="5"/>
  <c r="O404" i="5"/>
  <c r="U404" i="5"/>
  <c r="M388" i="5"/>
  <c r="O388" i="5"/>
  <c r="U388" i="5"/>
  <c r="O372" i="5"/>
  <c r="M372" i="5"/>
  <c r="U372" i="5"/>
  <c r="M356" i="5"/>
  <c r="O356" i="5"/>
  <c r="U356" i="5"/>
  <c r="O342" i="5"/>
  <c r="U342" i="5"/>
  <c r="M342" i="5"/>
  <c r="M322" i="5"/>
  <c r="O322" i="5"/>
  <c r="M303" i="5"/>
  <c r="O303" i="5"/>
  <c r="M287" i="5"/>
  <c r="O287" i="5"/>
  <c r="U271" i="5"/>
  <c r="O271" i="5"/>
  <c r="M271" i="5"/>
  <c r="O255" i="5"/>
  <c r="U255" i="5"/>
  <c r="M255" i="5"/>
  <c r="O239" i="5"/>
  <c r="M239" i="5"/>
  <c r="U239" i="5"/>
  <c r="O223" i="5"/>
  <c r="U223" i="5"/>
  <c r="M223" i="5"/>
  <c r="M209" i="5"/>
  <c r="O209" i="5"/>
  <c r="M189" i="5"/>
  <c r="O189" i="5"/>
  <c r="M3" i="5"/>
  <c r="U3320" i="5"/>
  <c r="M3287" i="5"/>
  <c r="O3280" i="5"/>
  <c r="U3244" i="5"/>
  <c r="T3225" i="5"/>
  <c r="X3225" i="5" s="1"/>
  <c r="U3216" i="5"/>
  <c r="O3200" i="5"/>
  <c r="U3165" i="5"/>
  <c r="U3112" i="5"/>
  <c r="U3092" i="5"/>
  <c r="M2985" i="5"/>
  <c r="O2919" i="5"/>
  <c r="T2914" i="5"/>
  <c r="M1776" i="5"/>
  <c r="O1776" i="5"/>
  <c r="U1776" i="5"/>
  <c r="O3328" i="5"/>
  <c r="M3312" i="5"/>
  <c r="O3312" i="5"/>
  <c r="U3312" i="5"/>
  <c r="U3296" i="5"/>
  <c r="M3296" i="5"/>
  <c r="O3296" i="5"/>
  <c r="M3282" i="5"/>
  <c r="O3282" i="5"/>
  <c r="M3262" i="5"/>
  <c r="O3262" i="5"/>
  <c r="O3243" i="5"/>
  <c r="M3227" i="5"/>
  <c r="O3227" i="5"/>
  <c r="M3211" i="5"/>
  <c r="O3211" i="5"/>
  <c r="M3195" i="5"/>
  <c r="O3179" i="5"/>
  <c r="U3145" i="5"/>
  <c r="O3145" i="5"/>
  <c r="M3129" i="5"/>
  <c r="O3129" i="5"/>
  <c r="U3129" i="5"/>
  <c r="O3110" i="5"/>
  <c r="M3110" i="5"/>
  <c r="M3094" i="5"/>
  <c r="O3094" i="5"/>
  <c r="M3062" i="5"/>
  <c r="O3062" i="5"/>
  <c r="O3046" i="5"/>
  <c r="M3046" i="5"/>
  <c r="U3046" i="5"/>
  <c r="M3030" i="5"/>
  <c r="O3030" i="5"/>
  <c r="M3012" i="5"/>
  <c r="O3012" i="5"/>
  <c r="U3012" i="5"/>
  <c r="Y3012" i="5" s="1"/>
  <c r="M2996" i="5"/>
  <c r="O2996" i="5"/>
  <c r="U2996" i="5"/>
  <c r="Y2996" i="5" s="1"/>
  <c r="M2977" i="5"/>
  <c r="M2961" i="5"/>
  <c r="O2961" i="5"/>
  <c r="M2945" i="5"/>
  <c r="O2945" i="5"/>
  <c r="U2945" i="5"/>
  <c r="O2929" i="5"/>
  <c r="M2929" i="5"/>
  <c r="M2913" i="5"/>
  <c r="O2913" i="5"/>
  <c r="O2899" i="5"/>
  <c r="U2899" i="5"/>
  <c r="M2879" i="5"/>
  <c r="O2879" i="5"/>
  <c r="U2860" i="5"/>
  <c r="M2860" i="5"/>
  <c r="O2860" i="5"/>
  <c r="M2844" i="5"/>
  <c r="O2844" i="5"/>
  <c r="U2844" i="5"/>
  <c r="M2828" i="5"/>
  <c r="O2828" i="5"/>
  <c r="M2812" i="5"/>
  <c r="O2812" i="5"/>
  <c r="U2812" i="5"/>
  <c r="M2796" i="5"/>
  <c r="O2796" i="5"/>
  <c r="U2780" i="5"/>
  <c r="M2780" i="5"/>
  <c r="O2780" i="5"/>
  <c r="M2765" i="5"/>
  <c r="O2765" i="5"/>
  <c r="M2746" i="5"/>
  <c r="O2746" i="5"/>
  <c r="M2727" i="5"/>
  <c r="O2727" i="5"/>
  <c r="O2711" i="5"/>
  <c r="M2711" i="5"/>
  <c r="U2711" i="5"/>
  <c r="M2695" i="5"/>
  <c r="U2695" i="5"/>
  <c r="O2695" i="5"/>
  <c r="M2679" i="5"/>
  <c r="O2679" i="5"/>
  <c r="M2663" i="5"/>
  <c r="O2663" i="5"/>
  <c r="U2663" i="5"/>
  <c r="O2649" i="5"/>
  <c r="U2649" i="5"/>
  <c r="M2649" i="5"/>
  <c r="M2629" i="5"/>
  <c r="O2629" i="5"/>
  <c r="U2629" i="5"/>
  <c r="O2613" i="5"/>
  <c r="M2613" i="5"/>
  <c r="M2594" i="5"/>
  <c r="O2594" i="5"/>
  <c r="U2594" i="5"/>
  <c r="O2578" i="5"/>
  <c r="M2578" i="5"/>
  <c r="O2562" i="5"/>
  <c r="M2562" i="5"/>
  <c r="M2546" i="5"/>
  <c r="O2546" i="5"/>
  <c r="U2546" i="5"/>
  <c r="M2530" i="5"/>
  <c r="O2530" i="5"/>
  <c r="U2530" i="5"/>
  <c r="M2516" i="5"/>
  <c r="O2516" i="5"/>
  <c r="O2496" i="5"/>
  <c r="U2496" i="5"/>
  <c r="M2496" i="5"/>
  <c r="U2477" i="5"/>
  <c r="M2477" i="5"/>
  <c r="O2477" i="5"/>
  <c r="M2461" i="5"/>
  <c r="O2461" i="5"/>
  <c r="M2445" i="5"/>
  <c r="O2445" i="5"/>
  <c r="M2429" i="5"/>
  <c r="O2429" i="5"/>
  <c r="M2413" i="5"/>
  <c r="O2413" i="5"/>
  <c r="O2397" i="5"/>
  <c r="M2397" i="5"/>
  <c r="M2383" i="5"/>
  <c r="O2383" i="5"/>
  <c r="O2363" i="5"/>
  <c r="M2363" i="5"/>
  <c r="M2344" i="5"/>
  <c r="O2344" i="5"/>
  <c r="M2328" i="5"/>
  <c r="O2328" i="5"/>
  <c r="M2312" i="5"/>
  <c r="O2312" i="5"/>
  <c r="O2296" i="5"/>
  <c r="M2296" i="5"/>
  <c r="O2280" i="5"/>
  <c r="M2280" i="5"/>
  <c r="M2266" i="5"/>
  <c r="O2266" i="5"/>
  <c r="U2266" i="5"/>
  <c r="O2246" i="5"/>
  <c r="M2246" i="5"/>
  <c r="M2230" i="5"/>
  <c r="O2230" i="5"/>
  <c r="U2230" i="5"/>
  <c r="O2211" i="5"/>
  <c r="U2211" i="5"/>
  <c r="M2211" i="5"/>
  <c r="M2195" i="5"/>
  <c r="O2195" i="5"/>
  <c r="O2179" i="5"/>
  <c r="M2179" i="5"/>
  <c r="O2163" i="5"/>
  <c r="U2163" i="5"/>
  <c r="M2163" i="5"/>
  <c r="O2147" i="5"/>
  <c r="M2147" i="5"/>
  <c r="M2133" i="5"/>
  <c r="O2133" i="5"/>
  <c r="M2113" i="5"/>
  <c r="O2113" i="5"/>
  <c r="M2094" i="5"/>
  <c r="O2094" i="5"/>
  <c r="M2078" i="5"/>
  <c r="U2078" i="5"/>
  <c r="O2078" i="5"/>
  <c r="M2062" i="5"/>
  <c r="O2062" i="5"/>
  <c r="M2046" i="5"/>
  <c r="O2046" i="5"/>
  <c r="U2046" i="5"/>
  <c r="O2030" i="5"/>
  <c r="M2030" i="5"/>
  <c r="U2030" i="5"/>
  <c r="M2014" i="5"/>
  <c r="O2014" i="5"/>
  <c r="U2014" i="5"/>
  <c r="M2000" i="5"/>
  <c r="O2000" i="5"/>
  <c r="M1980" i="5"/>
  <c r="O1980" i="5"/>
  <c r="U1980" i="5"/>
  <c r="M1961" i="5"/>
  <c r="O1961" i="5"/>
  <c r="U1961" i="5"/>
  <c r="O1945" i="5"/>
  <c r="U1945" i="5"/>
  <c r="M1945" i="5"/>
  <c r="U1929" i="5"/>
  <c r="M1929" i="5"/>
  <c r="O1929" i="5"/>
  <c r="M1913" i="5"/>
  <c r="O1913" i="5"/>
  <c r="U1913" i="5"/>
  <c r="Y1913" i="5" s="1"/>
  <c r="U1897" i="5"/>
  <c r="M1897" i="5"/>
  <c r="O1897" i="5"/>
  <c r="M1863" i="5"/>
  <c r="O1863" i="5"/>
  <c r="M1847" i="5"/>
  <c r="O1847" i="5"/>
  <c r="M1828" i="5"/>
  <c r="O1828" i="5"/>
  <c r="U1828" i="5"/>
  <c r="M1812" i="5"/>
  <c r="O1812" i="5"/>
  <c r="M1796" i="5"/>
  <c r="O1796" i="5"/>
  <c r="M1780" i="5"/>
  <c r="O1780" i="5"/>
  <c r="M1764" i="5"/>
  <c r="O1764" i="5"/>
  <c r="O1750" i="5"/>
  <c r="M1750" i="5"/>
  <c r="M1730" i="5"/>
  <c r="O1730" i="5"/>
  <c r="M1695" i="5"/>
  <c r="O1695" i="5"/>
  <c r="O1679" i="5"/>
  <c r="M1679" i="5"/>
  <c r="M1663" i="5"/>
  <c r="O1663" i="5"/>
  <c r="M1647" i="5"/>
  <c r="O1647" i="5"/>
  <c r="U1647" i="5"/>
  <c r="M1631" i="5"/>
  <c r="O1631" i="5"/>
  <c r="M1613" i="5"/>
  <c r="O1613" i="5"/>
  <c r="O1589" i="5"/>
  <c r="U1589" i="5"/>
  <c r="M1589" i="5"/>
  <c r="O1568" i="5"/>
  <c r="M1568" i="5"/>
  <c r="M1552" i="5"/>
  <c r="O1552" i="5"/>
  <c r="M1536" i="5"/>
  <c r="O1536" i="5"/>
  <c r="M1520" i="5"/>
  <c r="O1520" i="5"/>
  <c r="M1504" i="5"/>
  <c r="O1504" i="5"/>
  <c r="M1490" i="5"/>
  <c r="O1490" i="5"/>
  <c r="M1470" i="5"/>
  <c r="O1470" i="5"/>
  <c r="M1451" i="5"/>
  <c r="O1451" i="5"/>
  <c r="O1435" i="5"/>
  <c r="M1435" i="5"/>
  <c r="O1419" i="5"/>
  <c r="M1419" i="5"/>
  <c r="O1403" i="5"/>
  <c r="M1403" i="5"/>
  <c r="M1387" i="5"/>
  <c r="O1387" i="5"/>
  <c r="M1353" i="5"/>
  <c r="O1353" i="5"/>
  <c r="O1337" i="5"/>
  <c r="M1337" i="5"/>
  <c r="M1318" i="5"/>
  <c r="O1318" i="5"/>
  <c r="M1302" i="5"/>
  <c r="O1302" i="5"/>
  <c r="M1286" i="5"/>
  <c r="U1286" i="5"/>
  <c r="O1286" i="5"/>
  <c r="M1270" i="5"/>
  <c r="O1270" i="5"/>
  <c r="M1254" i="5"/>
  <c r="O1254" i="5"/>
  <c r="M1240" i="5"/>
  <c r="O1240" i="5"/>
  <c r="M1220" i="5"/>
  <c r="O1220" i="5"/>
  <c r="M1204" i="5"/>
  <c r="O1204" i="5"/>
  <c r="M1185" i="5"/>
  <c r="O1185" i="5"/>
  <c r="M1169" i="5"/>
  <c r="O1169" i="5"/>
  <c r="U1169" i="5"/>
  <c r="M1153" i="5"/>
  <c r="O1153" i="5"/>
  <c r="M1137" i="5"/>
  <c r="O1137" i="5"/>
  <c r="M1121" i="5"/>
  <c r="O1121" i="5"/>
  <c r="O1107" i="5"/>
  <c r="M1107" i="5"/>
  <c r="O1087" i="5"/>
  <c r="M1087" i="5"/>
  <c r="O1068" i="5"/>
  <c r="M1068" i="5"/>
  <c r="M1052" i="5"/>
  <c r="O1052" i="5"/>
  <c r="M1036" i="5"/>
  <c r="O1036" i="5"/>
  <c r="M1020" i="5"/>
  <c r="O1020" i="5"/>
  <c r="M1004" i="5"/>
  <c r="O1004" i="5"/>
  <c r="M988" i="5"/>
  <c r="O988" i="5"/>
  <c r="M971" i="5"/>
  <c r="O971" i="5"/>
  <c r="M954" i="5"/>
  <c r="O954" i="5"/>
  <c r="M935" i="5"/>
  <c r="O935" i="5"/>
  <c r="O919" i="5"/>
  <c r="M919" i="5"/>
  <c r="O903" i="5"/>
  <c r="M903" i="5"/>
  <c r="M887" i="5"/>
  <c r="O887" i="5"/>
  <c r="O871" i="5"/>
  <c r="M871" i="5"/>
  <c r="U857" i="5"/>
  <c r="Y857" i="5" s="1"/>
  <c r="O857" i="5"/>
  <c r="M857" i="5"/>
  <c r="U837" i="5"/>
  <c r="O837" i="5"/>
  <c r="M837" i="5"/>
  <c r="M821" i="5"/>
  <c r="O821" i="5"/>
  <c r="M802" i="5"/>
  <c r="O802" i="5"/>
  <c r="U786" i="5"/>
  <c r="M786" i="5"/>
  <c r="O786" i="5"/>
  <c r="M770" i="5"/>
  <c r="O770" i="5"/>
  <c r="M754" i="5"/>
  <c r="O754" i="5"/>
  <c r="M738" i="5"/>
  <c r="O738" i="5"/>
  <c r="U724" i="5"/>
  <c r="O724" i="5"/>
  <c r="M724" i="5"/>
  <c r="M704" i="5"/>
  <c r="O704" i="5"/>
  <c r="U704" i="5"/>
  <c r="M685" i="5"/>
  <c r="O685" i="5"/>
  <c r="M669" i="5"/>
  <c r="O669" i="5"/>
  <c r="U669" i="5"/>
  <c r="M653" i="5"/>
  <c r="O653" i="5"/>
  <c r="M637" i="5"/>
  <c r="O637" i="5"/>
  <c r="U637" i="5"/>
  <c r="M621" i="5"/>
  <c r="O621" i="5"/>
  <c r="M605" i="5"/>
  <c r="O605" i="5"/>
  <c r="M591" i="5"/>
  <c r="O591" i="5"/>
  <c r="M571" i="5"/>
  <c r="O571" i="5"/>
  <c r="M552" i="5"/>
  <c r="O552" i="5"/>
  <c r="M536" i="5"/>
  <c r="O536" i="5"/>
  <c r="M520" i="5"/>
  <c r="O520" i="5"/>
  <c r="M504" i="5"/>
  <c r="O504" i="5"/>
  <c r="M488" i="5"/>
  <c r="O488" i="5"/>
  <c r="U488" i="5"/>
  <c r="O472" i="5"/>
  <c r="M472" i="5"/>
  <c r="M454" i="5"/>
  <c r="O454" i="5"/>
  <c r="M438" i="5"/>
  <c r="O438" i="5"/>
  <c r="M419" i="5"/>
  <c r="O419" i="5"/>
  <c r="U419" i="5"/>
  <c r="O403" i="5"/>
  <c r="M403" i="5"/>
  <c r="O387" i="5"/>
  <c r="M387" i="5"/>
  <c r="U387" i="5"/>
  <c r="M371" i="5"/>
  <c r="O371" i="5"/>
  <c r="M355" i="5"/>
  <c r="O355" i="5"/>
  <c r="M341" i="5"/>
  <c r="O341" i="5"/>
  <c r="O321" i="5"/>
  <c r="M321" i="5"/>
  <c r="M302" i="5"/>
  <c r="O302" i="5"/>
  <c r="M286" i="5"/>
  <c r="O286" i="5"/>
  <c r="O270" i="5"/>
  <c r="M270" i="5"/>
  <c r="U270" i="5"/>
  <c r="O254" i="5"/>
  <c r="M254" i="5"/>
  <c r="U254" i="5"/>
  <c r="P254" i="5" s="1"/>
  <c r="M238" i="5"/>
  <c r="O238" i="5"/>
  <c r="U238" i="5"/>
  <c r="M222" i="5"/>
  <c r="O222" i="5"/>
  <c r="M208" i="5"/>
  <c r="O208" i="5"/>
  <c r="U208" i="5"/>
  <c r="O188" i="5"/>
  <c r="M188" i="5"/>
  <c r="U169" i="5"/>
  <c r="M169" i="5"/>
  <c r="O169" i="5"/>
  <c r="O153" i="5"/>
  <c r="M153" i="5"/>
  <c r="M137" i="5"/>
  <c r="O137" i="5"/>
  <c r="O121" i="5"/>
  <c r="U121" i="5"/>
  <c r="M121" i="5"/>
  <c r="M105" i="5"/>
  <c r="O105" i="5"/>
  <c r="M89" i="5"/>
  <c r="O89" i="5"/>
  <c r="O71" i="5"/>
  <c r="M71" i="5"/>
  <c r="O55" i="5"/>
  <c r="M55" i="5"/>
  <c r="U55" i="5"/>
  <c r="M36" i="5"/>
  <c r="O36" i="5"/>
  <c r="M20" i="5"/>
  <c r="O20" i="5"/>
  <c r="M3328" i="5"/>
  <c r="M3324" i="5"/>
  <c r="T3283" i="5"/>
  <c r="X3283" i="5" s="1"/>
  <c r="U3271" i="5"/>
  <c r="U3240" i="5"/>
  <c r="U3236" i="5"/>
  <c r="Y3236" i="5" s="1"/>
  <c r="U3220" i="5"/>
  <c r="U3203" i="5"/>
  <c r="O3195" i="5"/>
  <c r="M3179" i="5"/>
  <c r="M3117" i="5"/>
  <c r="U3040" i="5"/>
  <c r="T2980" i="5"/>
  <c r="O2901" i="5"/>
  <c r="O2897" i="5"/>
  <c r="U2868" i="5"/>
  <c r="U3127" i="5"/>
  <c r="O3127" i="5"/>
  <c r="M3060" i="5"/>
  <c r="O3060" i="5"/>
  <c r="M2991" i="5"/>
  <c r="O2991" i="5"/>
  <c r="M2911" i="5"/>
  <c r="O2911" i="5"/>
  <c r="M2842" i="5"/>
  <c r="O2842" i="5"/>
  <c r="M2760" i="5"/>
  <c r="O2760" i="5"/>
  <c r="U2760" i="5"/>
  <c r="U2661" i="5"/>
  <c r="M2661" i="5"/>
  <c r="O2661" i="5"/>
  <c r="M2576" i="5"/>
  <c r="O2576" i="5"/>
  <c r="U2576" i="5"/>
  <c r="U2475" i="5"/>
  <c r="M2475" i="5"/>
  <c r="O2475" i="5"/>
  <c r="M2377" i="5"/>
  <c r="O2377" i="5"/>
  <c r="U2310" i="5"/>
  <c r="O2310" i="5"/>
  <c r="M2310" i="5"/>
  <c r="M2228" i="5"/>
  <c r="O2228" i="5"/>
  <c r="U2228" i="5"/>
  <c r="O2131" i="5"/>
  <c r="M2131" i="5"/>
  <c r="M2076" i="5"/>
  <c r="O2076" i="5"/>
  <c r="M1997" i="5"/>
  <c r="O1997" i="5"/>
  <c r="U1997" i="5"/>
  <c r="M1911" i="5"/>
  <c r="O1911" i="5"/>
  <c r="M1861" i="5"/>
  <c r="O1861" i="5"/>
  <c r="M1794" i="5"/>
  <c r="O1794" i="5"/>
  <c r="U1794" i="5"/>
  <c r="M1728" i="5"/>
  <c r="O1728" i="5"/>
  <c r="U1728" i="5"/>
  <c r="M1661" i="5"/>
  <c r="O1661" i="5"/>
  <c r="U1606" i="5"/>
  <c r="M1606" i="5"/>
  <c r="O1606" i="5"/>
  <c r="M1518" i="5"/>
  <c r="O1518" i="5"/>
  <c r="U1518" i="5"/>
  <c r="M1449" i="5"/>
  <c r="O1449" i="5"/>
  <c r="M1401" i="5"/>
  <c r="O1401" i="5"/>
  <c r="M1351" i="5"/>
  <c r="O1351" i="5"/>
  <c r="M1268" i="5"/>
  <c r="O1268" i="5"/>
  <c r="M1218" i="5"/>
  <c r="O1218" i="5"/>
  <c r="O1151" i="5"/>
  <c r="M1151" i="5"/>
  <c r="U1119" i="5"/>
  <c r="M1119" i="5"/>
  <c r="O1119" i="5"/>
  <c r="M1050" i="5"/>
  <c r="O1050" i="5"/>
  <c r="U986" i="5"/>
  <c r="O986" i="5"/>
  <c r="M986" i="5"/>
  <c r="M933" i="5"/>
  <c r="O933" i="5"/>
  <c r="M885" i="5"/>
  <c r="O885" i="5"/>
  <c r="U885" i="5"/>
  <c r="M835" i="5"/>
  <c r="O835" i="5"/>
  <c r="U835" i="5"/>
  <c r="O800" i="5"/>
  <c r="M800" i="5"/>
  <c r="M752" i="5"/>
  <c r="O752" i="5"/>
  <c r="M683" i="5"/>
  <c r="O683" i="5"/>
  <c r="M635" i="5"/>
  <c r="O635" i="5"/>
  <c r="M585" i="5"/>
  <c r="O585" i="5"/>
  <c r="O550" i="5"/>
  <c r="M550" i="5"/>
  <c r="M518" i="5"/>
  <c r="O518" i="5"/>
  <c r="M486" i="5"/>
  <c r="U486" i="5"/>
  <c r="P486" i="5" s="1"/>
  <c r="O486" i="5"/>
  <c r="M417" i="5"/>
  <c r="O417" i="5"/>
  <c r="O385" i="5"/>
  <c r="M385" i="5"/>
  <c r="M353" i="5"/>
  <c r="O353" i="5"/>
  <c r="M319" i="5"/>
  <c r="O319" i="5"/>
  <c r="U319" i="5"/>
  <c r="M252" i="5"/>
  <c r="O252" i="5"/>
  <c r="O220" i="5"/>
  <c r="M220" i="5"/>
  <c r="M167" i="5"/>
  <c r="O167" i="5"/>
  <c r="M135" i="5"/>
  <c r="O135" i="5"/>
  <c r="M103" i="5"/>
  <c r="O103" i="5"/>
  <c r="U103" i="5"/>
  <c r="M69" i="5"/>
  <c r="O69" i="5"/>
  <c r="O34" i="5"/>
  <c r="M34" i="5"/>
  <c r="T3232" i="5"/>
  <c r="X3232" i="5" s="1"/>
  <c r="U3232" i="5"/>
  <c r="T3140" i="5"/>
  <c r="U3021" i="5"/>
  <c r="Y3021" i="5" s="1"/>
  <c r="T3021" i="5"/>
  <c r="U3207" i="5"/>
  <c r="Y3207" i="5" s="1"/>
  <c r="O3207" i="5"/>
  <c r="M1746" i="5"/>
  <c r="O3327" i="5"/>
  <c r="M3327" i="5"/>
  <c r="M3311" i="5"/>
  <c r="O3311" i="5"/>
  <c r="O3295" i="5"/>
  <c r="O3281" i="5"/>
  <c r="M3281" i="5"/>
  <c r="O3261" i="5"/>
  <c r="M3242" i="5"/>
  <c r="O3226" i="5"/>
  <c r="M3226" i="5"/>
  <c r="O3210" i="5"/>
  <c r="M3210" i="5"/>
  <c r="M3194" i="5"/>
  <c r="O3194" i="5"/>
  <c r="M3178" i="5"/>
  <c r="O3178" i="5"/>
  <c r="M3163" i="5"/>
  <c r="O3163" i="5"/>
  <c r="M3144" i="5"/>
  <c r="O3144" i="5"/>
  <c r="M3128" i="5"/>
  <c r="O3128" i="5"/>
  <c r="M3109" i="5"/>
  <c r="O3109" i="5"/>
  <c r="M3093" i="5"/>
  <c r="O3093" i="5"/>
  <c r="M3077" i="5"/>
  <c r="M3061" i="5"/>
  <c r="O3061" i="5"/>
  <c r="O3045" i="5"/>
  <c r="O3029" i="5"/>
  <c r="M3011" i="5"/>
  <c r="O3011" i="5"/>
  <c r="M2995" i="5"/>
  <c r="O2995" i="5"/>
  <c r="M2976" i="5"/>
  <c r="O2960" i="5"/>
  <c r="M2960" i="5"/>
  <c r="M2944" i="5"/>
  <c r="O2944" i="5"/>
  <c r="M2928" i="5"/>
  <c r="O2928" i="5"/>
  <c r="M2912" i="5"/>
  <c r="O2912" i="5"/>
  <c r="M2898" i="5"/>
  <c r="O2898" i="5"/>
  <c r="M2878" i="5"/>
  <c r="O2878" i="5"/>
  <c r="M2859" i="5"/>
  <c r="U2859" i="5"/>
  <c r="O2859" i="5"/>
  <c r="M2843" i="5"/>
  <c r="O2843" i="5"/>
  <c r="M2827" i="5"/>
  <c r="O2827" i="5"/>
  <c r="M2811" i="5"/>
  <c r="O2811" i="5"/>
  <c r="M2795" i="5"/>
  <c r="O2795" i="5"/>
  <c r="M2761" i="5"/>
  <c r="O2761" i="5"/>
  <c r="M2745" i="5"/>
  <c r="O2745" i="5"/>
  <c r="M2726" i="5"/>
  <c r="O2726" i="5"/>
  <c r="M2710" i="5"/>
  <c r="O2710" i="5"/>
  <c r="U2710" i="5"/>
  <c r="M2694" i="5"/>
  <c r="O2694" i="5"/>
  <c r="M2678" i="5"/>
  <c r="O2678" i="5"/>
  <c r="U2678" i="5"/>
  <c r="O2662" i="5"/>
  <c r="M2662" i="5"/>
  <c r="M2648" i="5"/>
  <c r="O2648" i="5"/>
  <c r="M2628" i="5"/>
  <c r="O2628" i="5"/>
  <c r="M2612" i="5"/>
  <c r="O2612" i="5"/>
  <c r="U2612" i="5"/>
  <c r="M2593" i="5"/>
  <c r="O2593" i="5"/>
  <c r="M2577" i="5"/>
  <c r="O2577" i="5"/>
  <c r="M2561" i="5"/>
  <c r="O2561" i="5"/>
  <c r="M2545" i="5"/>
  <c r="O2545" i="5"/>
  <c r="M2529" i="5"/>
  <c r="O2529" i="5"/>
  <c r="O2515" i="5"/>
  <c r="M2515" i="5"/>
  <c r="M2495" i="5"/>
  <c r="O2495" i="5"/>
  <c r="M2476" i="5"/>
  <c r="O2476" i="5"/>
  <c r="M2460" i="5"/>
  <c r="O2460" i="5"/>
  <c r="M2444" i="5"/>
  <c r="O2444" i="5"/>
  <c r="O2428" i="5"/>
  <c r="M2428" i="5"/>
  <c r="M2412" i="5"/>
  <c r="O2412" i="5"/>
  <c r="M2396" i="5"/>
  <c r="O2396" i="5"/>
  <c r="U2396" i="5"/>
  <c r="M2381" i="5"/>
  <c r="O2381" i="5"/>
  <c r="U2381" i="5"/>
  <c r="M2362" i="5"/>
  <c r="O2362" i="5"/>
  <c r="M2343" i="5"/>
  <c r="O2343" i="5"/>
  <c r="O2327" i="5"/>
  <c r="M2327" i="5"/>
  <c r="M2311" i="5"/>
  <c r="O2311" i="5"/>
  <c r="M2295" i="5"/>
  <c r="O2295" i="5"/>
  <c r="U2295" i="5"/>
  <c r="M2279" i="5"/>
  <c r="O2279" i="5"/>
  <c r="U2279" i="5"/>
  <c r="O2265" i="5"/>
  <c r="M2265" i="5"/>
  <c r="M2245" i="5"/>
  <c r="O2245" i="5"/>
  <c r="M2229" i="5"/>
  <c r="O2229" i="5"/>
  <c r="M2210" i="5"/>
  <c r="O2210" i="5"/>
  <c r="U2210" i="5"/>
  <c r="P2210" i="5" s="1"/>
  <c r="M2194" i="5"/>
  <c r="O2194" i="5"/>
  <c r="M2178" i="5"/>
  <c r="O2178" i="5"/>
  <c r="M2162" i="5"/>
  <c r="O2162" i="5"/>
  <c r="O2146" i="5"/>
  <c r="M2146" i="5"/>
  <c r="U2146" i="5"/>
  <c r="M2132" i="5"/>
  <c r="O2132" i="5"/>
  <c r="M2112" i="5"/>
  <c r="O2112" i="5"/>
  <c r="U2112" i="5"/>
  <c r="M2093" i="5"/>
  <c r="O2093" i="5"/>
  <c r="U2093" i="5"/>
  <c r="M2077" i="5"/>
  <c r="O2077" i="5"/>
  <c r="O2061" i="5"/>
  <c r="M2061" i="5"/>
  <c r="O2045" i="5"/>
  <c r="M2045" i="5"/>
  <c r="M2029" i="5"/>
  <c r="O2029" i="5"/>
  <c r="U2029" i="5"/>
  <c r="M2013" i="5"/>
  <c r="O2013" i="5"/>
  <c r="M1999" i="5"/>
  <c r="O1999" i="5"/>
  <c r="O1979" i="5"/>
  <c r="M1979" i="5"/>
  <c r="M1960" i="5"/>
  <c r="O1960" i="5"/>
  <c r="M1944" i="5"/>
  <c r="O1944" i="5"/>
  <c r="U1944" i="5"/>
  <c r="M1928" i="5"/>
  <c r="O1928" i="5"/>
  <c r="M1912" i="5"/>
  <c r="O1912" i="5"/>
  <c r="U1912" i="5"/>
  <c r="M1896" i="5"/>
  <c r="O1896" i="5"/>
  <c r="M1882" i="5"/>
  <c r="O1882" i="5"/>
  <c r="M1862" i="5"/>
  <c r="O1862" i="5"/>
  <c r="M1846" i="5"/>
  <c r="O1846" i="5"/>
  <c r="U1846" i="5"/>
  <c r="M1827" i="5"/>
  <c r="O1827" i="5"/>
  <c r="O1811" i="5"/>
  <c r="U1811" i="5"/>
  <c r="M1811" i="5"/>
  <c r="M1795" i="5"/>
  <c r="O1795" i="5"/>
  <c r="M1779" i="5"/>
  <c r="O1779" i="5"/>
  <c r="O1763" i="5"/>
  <c r="M1763" i="5"/>
  <c r="M1749" i="5"/>
  <c r="O1749" i="5"/>
  <c r="U1749" i="5"/>
  <c r="O1729" i="5"/>
  <c r="M1729" i="5"/>
  <c r="M1710" i="5"/>
  <c r="O1710" i="5"/>
  <c r="M1694" i="5"/>
  <c r="O1694" i="5"/>
  <c r="M1678" i="5"/>
  <c r="O1678" i="5"/>
  <c r="U1678" i="5"/>
  <c r="O1662" i="5"/>
  <c r="M1662" i="5"/>
  <c r="M1646" i="5"/>
  <c r="O1646" i="5"/>
  <c r="M1630" i="5"/>
  <c r="O1630" i="5"/>
  <c r="M1607" i="5"/>
  <c r="O1607" i="5"/>
  <c r="O1588" i="5"/>
  <c r="M1588" i="5"/>
  <c r="M1567" i="5"/>
  <c r="O1567" i="5"/>
  <c r="U1567" i="5"/>
  <c r="M1551" i="5"/>
  <c r="O1551" i="5"/>
  <c r="U1551" i="5"/>
  <c r="M1535" i="5"/>
  <c r="O1535" i="5"/>
  <c r="M1519" i="5"/>
  <c r="O1519" i="5"/>
  <c r="O1503" i="5"/>
  <c r="M1503" i="5"/>
  <c r="M1489" i="5"/>
  <c r="O1489" i="5"/>
  <c r="O1469" i="5"/>
  <c r="M1469" i="5"/>
  <c r="U1469" i="5"/>
  <c r="O1450" i="5"/>
  <c r="M1450" i="5"/>
  <c r="M1434" i="5"/>
  <c r="O1434" i="5"/>
  <c r="M1418" i="5"/>
  <c r="O1418" i="5"/>
  <c r="M1402" i="5"/>
  <c r="O1402" i="5"/>
  <c r="M1386" i="5"/>
  <c r="O1386" i="5"/>
  <c r="M1371" i="5"/>
  <c r="O1371" i="5"/>
  <c r="M1352" i="5"/>
  <c r="O1352" i="5"/>
  <c r="U1352" i="5"/>
  <c r="P1352" i="5" s="1"/>
  <c r="O1336" i="5"/>
  <c r="M1336" i="5"/>
  <c r="M1317" i="5"/>
  <c r="O1317" i="5"/>
  <c r="M1301" i="5"/>
  <c r="O1301" i="5"/>
  <c r="O1285" i="5"/>
  <c r="M1285" i="5"/>
  <c r="M1269" i="5"/>
  <c r="U1269" i="5"/>
  <c r="O1269" i="5"/>
  <c r="M1253" i="5"/>
  <c r="O1253" i="5"/>
  <c r="O1239" i="5"/>
  <c r="M1239" i="5"/>
  <c r="M1219" i="5"/>
  <c r="O1219" i="5"/>
  <c r="M1203" i="5"/>
  <c r="O1203" i="5"/>
  <c r="M1184" i="5"/>
  <c r="O1184" i="5"/>
  <c r="O1168" i="5"/>
  <c r="M1168" i="5"/>
  <c r="M1152" i="5"/>
  <c r="O1152" i="5"/>
  <c r="M1136" i="5"/>
  <c r="O1136" i="5"/>
  <c r="M1120" i="5"/>
  <c r="O1120" i="5"/>
  <c r="O1106" i="5"/>
  <c r="M1106" i="5"/>
  <c r="M1086" i="5"/>
  <c r="O1086" i="5"/>
  <c r="M1067" i="5"/>
  <c r="O1067" i="5"/>
  <c r="U1067" i="5"/>
  <c r="M1051" i="5"/>
  <c r="O1051" i="5"/>
  <c r="O1035" i="5"/>
  <c r="M1035" i="5"/>
  <c r="O1019" i="5"/>
  <c r="M1019" i="5"/>
  <c r="M1003" i="5"/>
  <c r="O1003" i="5"/>
  <c r="M987" i="5"/>
  <c r="O987" i="5"/>
  <c r="O969" i="5"/>
  <c r="M969" i="5"/>
  <c r="M953" i="5"/>
  <c r="O953" i="5"/>
  <c r="O934" i="5"/>
  <c r="M934" i="5"/>
  <c r="M918" i="5"/>
  <c r="O918" i="5"/>
  <c r="M902" i="5"/>
  <c r="O902" i="5"/>
  <c r="O886" i="5"/>
  <c r="M886" i="5"/>
  <c r="O870" i="5"/>
  <c r="M870" i="5"/>
  <c r="O856" i="5"/>
  <c r="M856" i="5"/>
  <c r="U856" i="5"/>
  <c r="O836" i="5"/>
  <c r="M836" i="5"/>
  <c r="U820" i="5"/>
  <c r="O820" i="5"/>
  <c r="M820" i="5"/>
  <c r="M801" i="5"/>
  <c r="O801" i="5"/>
  <c r="M785" i="5"/>
  <c r="O785" i="5"/>
  <c r="O769" i="5"/>
  <c r="M769" i="5"/>
  <c r="M753" i="5"/>
  <c r="O753" i="5"/>
  <c r="M737" i="5"/>
  <c r="O737" i="5"/>
  <c r="M723" i="5"/>
  <c r="O723" i="5"/>
  <c r="M703" i="5"/>
  <c r="O703" i="5"/>
  <c r="M684" i="5"/>
  <c r="O684" i="5"/>
  <c r="M668" i="5"/>
  <c r="O668" i="5"/>
  <c r="M652" i="5"/>
  <c r="O652" i="5"/>
  <c r="M636" i="5"/>
  <c r="O636" i="5"/>
  <c r="M620" i="5"/>
  <c r="O620" i="5"/>
  <c r="M604" i="5"/>
  <c r="O604" i="5"/>
  <c r="M589" i="5"/>
  <c r="O589" i="5"/>
  <c r="O570" i="5"/>
  <c r="U570" i="5"/>
  <c r="M570" i="5"/>
  <c r="U551" i="5"/>
  <c r="M551" i="5"/>
  <c r="O551" i="5"/>
  <c r="M535" i="5"/>
  <c r="O535" i="5"/>
  <c r="U535" i="5"/>
  <c r="M519" i="5"/>
  <c r="O519" i="5"/>
  <c r="O503" i="5"/>
  <c r="M503" i="5"/>
  <c r="M487" i="5"/>
  <c r="O487" i="5"/>
  <c r="M471" i="5"/>
  <c r="O471" i="5"/>
  <c r="M453" i="5"/>
  <c r="O453" i="5"/>
  <c r="M437" i="5"/>
  <c r="O437" i="5"/>
  <c r="M418" i="5"/>
  <c r="O418" i="5"/>
  <c r="M402" i="5"/>
  <c r="O402" i="5"/>
  <c r="M386" i="5"/>
  <c r="O386" i="5"/>
  <c r="M370" i="5"/>
  <c r="O370" i="5"/>
  <c r="M354" i="5"/>
  <c r="O354" i="5"/>
  <c r="O340" i="5"/>
  <c r="U340" i="5"/>
  <c r="M340" i="5"/>
  <c r="O320" i="5"/>
  <c r="U320" i="5"/>
  <c r="M320" i="5"/>
  <c r="M301" i="5"/>
  <c r="O301" i="5"/>
  <c r="M285" i="5"/>
  <c r="O285" i="5"/>
  <c r="U285" i="5"/>
  <c r="M269" i="5"/>
  <c r="O269" i="5"/>
  <c r="O253" i="5"/>
  <c r="M253" i="5"/>
  <c r="M237" i="5"/>
  <c r="O237" i="5"/>
  <c r="M221" i="5"/>
  <c r="O221" i="5"/>
  <c r="U221" i="5"/>
  <c r="O207" i="5"/>
  <c r="M207" i="5"/>
  <c r="M187" i="5"/>
  <c r="O187" i="5"/>
  <c r="M168" i="5"/>
  <c r="O168" i="5"/>
  <c r="M152" i="5"/>
  <c r="O152" i="5"/>
  <c r="O136" i="5"/>
  <c r="M136" i="5"/>
  <c r="M120" i="5"/>
  <c r="O120" i="5"/>
  <c r="U120" i="5"/>
  <c r="M104" i="5"/>
  <c r="O104" i="5"/>
  <c r="M88" i="5"/>
  <c r="O88" i="5"/>
  <c r="M70" i="5"/>
  <c r="O70" i="5"/>
  <c r="M54" i="5"/>
  <c r="U54" i="5"/>
  <c r="O54" i="5"/>
  <c r="M35" i="5"/>
  <c r="O35" i="5"/>
  <c r="O19" i="5"/>
  <c r="M19" i="5"/>
  <c r="T3327" i="5"/>
  <c r="T3323" i="5"/>
  <c r="X3323" i="5" s="1"/>
  <c r="O3320" i="5"/>
  <c r="M3305" i="5"/>
  <c r="M3301" i="5"/>
  <c r="U3297" i="5"/>
  <c r="U3286" i="5"/>
  <c r="U3279" i="5"/>
  <c r="O3263" i="5"/>
  <c r="V3240" i="5"/>
  <c r="W3240" i="5"/>
  <c r="U3212" i="5"/>
  <c r="P3212" i="5" s="1"/>
  <c r="T3199" i="5"/>
  <c r="M3170" i="5"/>
  <c r="O3158" i="5"/>
  <c r="M3154" i="5"/>
  <c r="U3068" i="5"/>
  <c r="T3054" i="5"/>
  <c r="U3035" i="5"/>
  <c r="T3035" i="5"/>
  <c r="O3026" i="5"/>
  <c r="M623" i="5"/>
  <c r="O623" i="5"/>
  <c r="O607" i="5"/>
  <c r="U607" i="5"/>
  <c r="M607" i="5"/>
  <c r="M593" i="5"/>
  <c r="O593" i="5"/>
  <c r="U593" i="5"/>
  <c r="M573" i="5"/>
  <c r="O573" i="5"/>
  <c r="U554" i="5"/>
  <c r="M554" i="5"/>
  <c r="O554" i="5"/>
  <c r="M538" i="5"/>
  <c r="O538" i="5"/>
  <c r="O522" i="5"/>
  <c r="M522" i="5"/>
  <c r="M506" i="5"/>
  <c r="O506" i="5"/>
  <c r="U506" i="5"/>
  <c r="M490" i="5"/>
  <c r="O490" i="5"/>
  <c r="M474" i="5"/>
  <c r="O474" i="5"/>
  <c r="O456" i="5"/>
  <c r="M456" i="5"/>
  <c r="M440" i="5"/>
  <c r="O440" i="5"/>
  <c r="U440" i="5"/>
  <c r="O421" i="5"/>
  <c r="M421" i="5"/>
  <c r="M405" i="5"/>
  <c r="O405" i="5"/>
  <c r="U389" i="5"/>
  <c r="Y389" i="5" s="1"/>
  <c r="O389" i="5"/>
  <c r="M389" i="5"/>
  <c r="M373" i="5"/>
  <c r="O373" i="5"/>
  <c r="U373" i="5"/>
  <c r="O357" i="5"/>
  <c r="U357" i="5"/>
  <c r="M357" i="5"/>
  <c r="O343" i="5"/>
  <c r="M343" i="5"/>
  <c r="M323" i="5"/>
  <c r="O323" i="5"/>
  <c r="M307" i="5"/>
  <c r="O307" i="5"/>
  <c r="M288" i="5"/>
  <c r="O288" i="5"/>
  <c r="U288" i="5"/>
  <c r="M272" i="5"/>
  <c r="O272" i="5"/>
  <c r="U256" i="5"/>
  <c r="O256" i="5"/>
  <c r="M256" i="5"/>
  <c r="M240" i="5"/>
  <c r="O240" i="5"/>
  <c r="O224" i="5"/>
  <c r="M224" i="5"/>
  <c r="U224" i="5"/>
  <c r="M210" i="5"/>
  <c r="O210" i="5"/>
  <c r="M190" i="5"/>
  <c r="O190" i="5"/>
  <c r="U190" i="5"/>
  <c r="M171" i="5"/>
  <c r="O171" i="5"/>
  <c r="M155" i="5"/>
  <c r="O155" i="5"/>
  <c r="U155" i="5"/>
  <c r="M139" i="5"/>
  <c r="O139" i="5"/>
  <c r="O123" i="5"/>
  <c r="M123" i="5"/>
  <c r="O107" i="5"/>
  <c r="U107" i="5"/>
  <c r="M107" i="5"/>
  <c r="O91" i="5"/>
  <c r="M91" i="5"/>
  <c r="U91" i="5"/>
  <c r="M73" i="5"/>
  <c r="O73" i="5"/>
  <c r="O57" i="5"/>
  <c r="M57" i="5"/>
  <c r="U57" i="5"/>
  <c r="M38" i="5"/>
  <c r="O38" i="5"/>
  <c r="O22" i="5"/>
  <c r="U22" i="5"/>
  <c r="M22" i="5"/>
  <c r="U3321" i="5"/>
  <c r="T3316" i="5"/>
  <c r="X3316" i="5" s="1"/>
  <c r="U3303" i="5"/>
  <c r="P3303" i="5" s="1"/>
  <c r="T3293" i="5"/>
  <c r="X3293" i="5" s="1"/>
  <c r="T3287" i="5"/>
  <c r="U3285" i="5"/>
  <c r="T3277" i="5"/>
  <c r="X3277" i="5" s="1"/>
  <c r="U3266" i="5"/>
  <c r="T3245" i="5"/>
  <c r="T3233" i="5"/>
  <c r="T3201" i="5"/>
  <c r="X3201" i="5" s="1"/>
  <c r="U3190" i="5"/>
  <c r="U3182" i="5"/>
  <c r="T3172" i="5"/>
  <c r="T3081" i="5"/>
  <c r="U3077" i="5"/>
  <c r="V3052" i="5"/>
  <c r="W3052" i="5"/>
  <c r="T3048" i="5"/>
  <c r="X3048" i="5" s="1"/>
  <c r="U3048" i="5"/>
  <c r="T3030" i="5"/>
  <c r="X3030" i="5" s="1"/>
  <c r="U2963" i="5"/>
  <c r="T2963" i="5"/>
  <c r="X2963" i="5" s="1"/>
  <c r="U2950" i="5"/>
  <c r="U2847" i="5"/>
  <c r="T2829" i="5"/>
  <c r="T2808" i="5"/>
  <c r="T2758" i="5"/>
  <c r="T2753" i="5"/>
  <c r="T2744" i="5"/>
  <c r="X2744" i="5" s="1"/>
  <c r="M170" i="5"/>
  <c r="O170" i="5"/>
  <c r="M154" i="5"/>
  <c r="O154" i="5"/>
  <c r="M138" i="5"/>
  <c r="O138" i="5"/>
  <c r="O122" i="5"/>
  <c r="M122" i="5"/>
  <c r="M106" i="5"/>
  <c r="O106" i="5"/>
  <c r="U106" i="5"/>
  <c r="O90" i="5"/>
  <c r="U90" i="5"/>
  <c r="M90" i="5"/>
  <c r="M72" i="5"/>
  <c r="O72" i="5"/>
  <c r="U72" i="5"/>
  <c r="M56" i="5"/>
  <c r="O56" i="5"/>
  <c r="U56" i="5"/>
  <c r="O37" i="5"/>
  <c r="M37" i="5"/>
  <c r="M21" i="5"/>
  <c r="U21" i="5"/>
  <c r="O21" i="5"/>
  <c r="U3308" i="5"/>
  <c r="T3291" i="5"/>
  <c r="X3291" i="5" s="1"/>
  <c r="T3271" i="5"/>
  <c r="U3261" i="5"/>
  <c r="T3240" i="5"/>
  <c r="U3238" i="5"/>
  <c r="T3167" i="5"/>
  <c r="X3167" i="5" s="1"/>
  <c r="U3163" i="5"/>
  <c r="T3151" i="5"/>
  <c r="X3151" i="5" s="1"/>
  <c r="T3119" i="5"/>
  <c r="T3114" i="5"/>
  <c r="U3109" i="5"/>
  <c r="T3096" i="5"/>
  <c r="T3092" i="5"/>
  <c r="X3092" i="5" s="1"/>
  <c r="T3017" i="5"/>
  <c r="U3010" i="5"/>
  <c r="U3002" i="5"/>
  <c r="T2982" i="5"/>
  <c r="X2982" i="5" s="1"/>
  <c r="U2970" i="5"/>
  <c r="V2847" i="5"/>
  <c r="W2847" i="5"/>
  <c r="V2842" i="5"/>
  <c r="W2842" i="5"/>
  <c r="U2837" i="5"/>
  <c r="T2833" i="5"/>
  <c r="U2833" i="5"/>
  <c r="W2808" i="5"/>
  <c r="V2808" i="5"/>
  <c r="U2803" i="5"/>
  <c r="Y2803" i="5" s="1"/>
  <c r="T2798" i="5"/>
  <c r="U2793" i="5"/>
  <c r="T2776" i="5"/>
  <c r="X2776" i="5" s="1"/>
  <c r="U2580" i="5"/>
  <c r="U3280" i="5"/>
  <c r="U3263" i="5"/>
  <c r="U3242" i="5"/>
  <c r="P3242" i="5" s="1"/>
  <c r="T3235" i="5"/>
  <c r="X3235" i="5" s="1"/>
  <c r="U3230" i="5"/>
  <c r="T3217" i="5"/>
  <c r="X3217" i="5" s="1"/>
  <c r="W3192" i="5"/>
  <c r="T3187" i="5"/>
  <c r="U3174" i="5"/>
  <c r="U3144" i="5"/>
  <c r="P3144" i="5" s="1"/>
  <c r="T3139" i="5"/>
  <c r="U3124" i="5"/>
  <c r="T3088" i="5"/>
  <c r="U3062" i="5"/>
  <c r="T3055" i="5"/>
  <c r="X3055" i="5" s="1"/>
  <c r="U2991" i="5"/>
  <c r="U2966" i="5"/>
  <c r="U2898" i="5"/>
  <c r="T2876" i="5"/>
  <c r="T2856" i="5"/>
  <c r="X2856" i="5" s="1"/>
  <c r="U2846" i="5"/>
  <c r="U2841" i="5"/>
  <c r="U2765" i="5"/>
  <c r="T2743" i="5"/>
  <c r="T2735" i="5"/>
  <c r="U2730" i="5"/>
  <c r="Y2730" i="5" s="1"/>
  <c r="U3192" i="5"/>
  <c r="U3136" i="5"/>
  <c r="Y3136" i="5" s="1"/>
  <c r="T3116" i="5"/>
  <c r="T3080" i="5"/>
  <c r="X3080" i="5" s="1"/>
  <c r="T3036" i="5"/>
  <c r="T3022" i="5"/>
  <c r="T2997" i="5"/>
  <c r="X2997" i="5" s="1"/>
  <c r="U2981" i="5"/>
  <c r="T2981" i="5"/>
  <c r="U2931" i="5"/>
  <c r="T2922" i="5"/>
  <c r="X2922" i="5" s="1"/>
  <c r="T2918" i="5"/>
  <c r="X2918" i="5" s="1"/>
  <c r="T2906" i="5"/>
  <c r="X2906" i="5" s="1"/>
  <c r="U2906" i="5"/>
  <c r="T2770" i="5"/>
  <c r="U2689" i="5"/>
  <c r="U3307" i="5"/>
  <c r="T3300" i="5"/>
  <c r="W3270" i="5"/>
  <c r="T3260" i="5"/>
  <c r="U3214" i="5"/>
  <c r="U3200" i="5"/>
  <c r="T3189" i="5"/>
  <c r="X3189" i="5" s="1"/>
  <c r="T3181" i="5"/>
  <c r="U3176" i="5"/>
  <c r="U3126" i="5"/>
  <c r="T3087" i="5"/>
  <c r="X3087" i="5" s="1"/>
  <c r="U3087" i="5"/>
  <c r="T3072" i="5"/>
  <c r="X3072" i="5" s="1"/>
  <c r="U3005" i="5"/>
  <c r="T3005" i="5"/>
  <c r="T2990" i="5"/>
  <c r="X2990" i="5" s="1"/>
  <c r="U2990" i="5"/>
  <c r="T2976" i="5"/>
  <c r="X2976" i="5" s="1"/>
  <c r="U2976" i="5"/>
  <c r="U2958" i="5"/>
  <c r="U2944" i="5"/>
  <c r="T2875" i="5"/>
  <c r="U2875" i="5"/>
  <c r="U2867" i="5"/>
  <c r="T2850" i="5"/>
  <c r="X2850" i="5" s="1"/>
  <c r="T2840" i="5"/>
  <c r="T2823" i="5"/>
  <c r="U2811" i="5"/>
  <c r="T2806" i="5"/>
  <c r="T2787" i="5"/>
  <c r="U2761" i="5"/>
  <c r="T2761" i="5"/>
  <c r="U2747" i="5"/>
  <c r="U2742" i="5"/>
  <c r="U2734" i="5"/>
  <c r="Y2734" i="5" s="1"/>
  <c r="T2729" i="5"/>
  <c r="U2719" i="5"/>
  <c r="O898" i="5"/>
  <c r="M898" i="5"/>
  <c r="U898" i="5"/>
  <c r="M882" i="5"/>
  <c r="O882" i="5"/>
  <c r="U866" i="5"/>
  <c r="O866" i="5"/>
  <c r="M866" i="5"/>
  <c r="M852" i="5"/>
  <c r="O852" i="5"/>
  <c r="M832" i="5"/>
  <c r="O832" i="5"/>
  <c r="M813" i="5"/>
  <c r="O813" i="5"/>
  <c r="U813" i="5"/>
  <c r="O797" i="5"/>
  <c r="M797" i="5"/>
  <c r="M781" i="5"/>
  <c r="O781" i="5"/>
  <c r="M765" i="5"/>
  <c r="O765" i="5"/>
  <c r="M749" i="5"/>
  <c r="O749" i="5"/>
  <c r="M733" i="5"/>
  <c r="O733" i="5"/>
  <c r="O719" i="5"/>
  <c r="M719" i="5"/>
  <c r="M699" i="5"/>
  <c r="O699" i="5"/>
  <c r="O680" i="5"/>
  <c r="M680" i="5"/>
  <c r="M664" i="5"/>
  <c r="O664" i="5"/>
  <c r="M648" i="5"/>
  <c r="O648" i="5"/>
  <c r="O632" i="5"/>
  <c r="M632" i="5"/>
  <c r="M616" i="5"/>
  <c r="O616" i="5"/>
  <c r="M602" i="5"/>
  <c r="O602" i="5"/>
  <c r="M582" i="5"/>
  <c r="O582" i="5"/>
  <c r="M566" i="5"/>
  <c r="O566" i="5"/>
  <c r="O547" i="5"/>
  <c r="M547" i="5"/>
  <c r="M531" i="5"/>
  <c r="O531" i="5"/>
  <c r="U531" i="5"/>
  <c r="M515" i="5"/>
  <c r="O515" i="5"/>
  <c r="M499" i="5"/>
  <c r="O499" i="5"/>
  <c r="O483" i="5"/>
  <c r="M483" i="5"/>
  <c r="O467" i="5"/>
  <c r="M467" i="5"/>
  <c r="O449" i="5"/>
  <c r="M449" i="5"/>
  <c r="M430" i="5"/>
  <c r="O430" i="5"/>
  <c r="M414" i="5"/>
  <c r="O414" i="5"/>
  <c r="M398" i="5"/>
  <c r="O398" i="5"/>
  <c r="M382" i="5"/>
  <c r="O382" i="5"/>
  <c r="M366" i="5"/>
  <c r="O366" i="5"/>
  <c r="O350" i="5"/>
  <c r="U350" i="5"/>
  <c r="M350" i="5"/>
  <c r="M336" i="5"/>
  <c r="O336" i="5"/>
  <c r="M316" i="5"/>
  <c r="O316" i="5"/>
  <c r="O297" i="5"/>
  <c r="M297" i="5"/>
  <c r="M281" i="5"/>
  <c r="O281" i="5"/>
  <c r="M265" i="5"/>
  <c r="O265" i="5"/>
  <c r="M249" i="5"/>
  <c r="O249" i="5"/>
  <c r="M233" i="5"/>
  <c r="O233" i="5"/>
  <c r="M199" i="5"/>
  <c r="O199" i="5"/>
  <c r="M183" i="5"/>
  <c r="O183" i="5"/>
  <c r="M164" i="5"/>
  <c r="O164" i="5"/>
  <c r="O148" i="5"/>
  <c r="U148" i="5"/>
  <c r="M148" i="5"/>
  <c r="M132" i="5"/>
  <c r="U132" i="5"/>
  <c r="O132" i="5"/>
  <c r="M116" i="5"/>
  <c r="O116" i="5"/>
  <c r="M100" i="5"/>
  <c r="O100" i="5"/>
  <c r="O84" i="5"/>
  <c r="M84" i="5"/>
  <c r="O66" i="5"/>
  <c r="M66" i="5"/>
  <c r="U66" i="5"/>
  <c r="P66" i="5" s="1"/>
  <c r="O47" i="5"/>
  <c r="M47" i="5"/>
  <c r="O31" i="5"/>
  <c r="U31" i="5"/>
  <c r="M31" i="5"/>
  <c r="M15" i="5"/>
  <c r="O15" i="5"/>
  <c r="U15" i="5"/>
  <c r="W3288" i="5"/>
  <c r="U3265" i="5"/>
  <c r="V3252" i="5"/>
  <c r="T3237" i="5"/>
  <c r="U3222" i="5"/>
  <c r="U3166" i="5"/>
  <c r="Y3166" i="5" s="1"/>
  <c r="U3149" i="5"/>
  <c r="T3118" i="5"/>
  <c r="X3118" i="5" s="1"/>
  <c r="U3113" i="5"/>
  <c r="Y3113" i="5" s="1"/>
  <c r="T3108" i="5"/>
  <c r="X3108" i="5" s="1"/>
  <c r="T3098" i="5"/>
  <c r="X3098" i="5" s="1"/>
  <c r="W3083" i="5"/>
  <c r="T3061" i="5"/>
  <c r="T3058" i="5"/>
  <c r="V3043" i="5"/>
  <c r="T2953" i="5"/>
  <c r="U2953" i="5"/>
  <c r="T2948" i="5"/>
  <c r="U2948" i="5"/>
  <c r="T2796" i="5"/>
  <c r="U2796" i="5"/>
  <c r="T3288" i="5"/>
  <c r="X3288" i="5" s="1"/>
  <c r="T3262" i="5"/>
  <c r="X3262" i="5" s="1"/>
  <c r="T3252" i="5"/>
  <c r="T3229" i="5"/>
  <c r="X3229" i="5" s="1"/>
  <c r="T3216" i="5"/>
  <c r="U3178" i="5"/>
  <c r="U3160" i="5"/>
  <c r="P3160" i="5" s="1"/>
  <c r="T3143" i="5"/>
  <c r="T3123" i="5"/>
  <c r="X3123" i="5" s="1"/>
  <c r="W3110" i="5"/>
  <c r="U3083" i="5"/>
  <c r="V3075" i="5"/>
  <c r="W3075" i="5"/>
  <c r="U3050" i="5"/>
  <c r="U3039" i="5"/>
  <c r="T3004" i="5"/>
  <c r="X3004" i="5" s="1"/>
  <c r="U3004" i="5"/>
  <c r="T2972" i="5"/>
  <c r="U2961" i="5"/>
  <c r="P2961" i="5" s="1"/>
  <c r="T2957" i="5"/>
  <c r="X2957" i="5" s="1"/>
  <c r="U2957" i="5"/>
  <c r="T2926" i="5"/>
  <c r="X2926" i="5" s="1"/>
  <c r="T2921" i="5"/>
  <c r="X2921" i="5" s="1"/>
  <c r="T2888" i="5"/>
  <c r="T2874" i="5"/>
  <c r="U2874" i="5"/>
  <c r="T2863" i="5"/>
  <c r="U2863" i="5"/>
  <c r="T2810" i="5"/>
  <c r="U2810" i="5"/>
  <c r="T2781" i="5"/>
  <c r="T2760" i="5"/>
  <c r="T2733" i="5"/>
  <c r="X2733" i="5" s="1"/>
  <c r="T2728" i="5"/>
  <c r="T2723" i="5"/>
  <c r="U2723" i="5"/>
  <c r="P2723" i="5" s="1"/>
  <c r="T2669" i="5"/>
  <c r="X2669" i="5" s="1"/>
  <c r="U2669" i="5"/>
  <c r="U2541" i="5"/>
  <c r="O563" i="5"/>
  <c r="M563" i="5"/>
  <c r="M544" i="5"/>
  <c r="O544" i="5"/>
  <c r="M528" i="5"/>
  <c r="O528" i="5"/>
  <c r="M512" i="5"/>
  <c r="O512" i="5"/>
  <c r="M496" i="5"/>
  <c r="O496" i="5"/>
  <c r="O480" i="5"/>
  <c r="M480" i="5"/>
  <c r="O464" i="5"/>
  <c r="M464" i="5"/>
  <c r="M446" i="5"/>
  <c r="O446" i="5"/>
  <c r="M427" i="5"/>
  <c r="O427" i="5"/>
  <c r="U427" i="5"/>
  <c r="O411" i="5"/>
  <c r="M411" i="5"/>
  <c r="M395" i="5"/>
  <c r="O395" i="5"/>
  <c r="U379" i="5"/>
  <c r="M379" i="5"/>
  <c r="O379" i="5"/>
  <c r="O363" i="5"/>
  <c r="M363" i="5"/>
  <c r="M329" i="5"/>
  <c r="O329" i="5"/>
  <c r="U329" i="5"/>
  <c r="M313" i="5"/>
  <c r="O313" i="5"/>
  <c r="O294" i="5"/>
  <c r="M294" i="5"/>
  <c r="O278" i="5"/>
  <c r="M278" i="5"/>
  <c r="O262" i="5"/>
  <c r="U262" i="5"/>
  <c r="M262" i="5"/>
  <c r="M246" i="5"/>
  <c r="O246" i="5"/>
  <c r="M230" i="5"/>
  <c r="O230" i="5"/>
  <c r="M216" i="5"/>
  <c r="O216" i="5"/>
  <c r="M196" i="5"/>
  <c r="O196" i="5"/>
  <c r="M180" i="5"/>
  <c r="O180" i="5"/>
  <c r="O161" i="5"/>
  <c r="M161" i="5"/>
  <c r="M145" i="5"/>
  <c r="O145" i="5"/>
  <c r="M129" i="5"/>
  <c r="O129" i="5"/>
  <c r="M113" i="5"/>
  <c r="O113" i="5"/>
  <c r="M97" i="5"/>
  <c r="O97" i="5"/>
  <c r="M81" i="5"/>
  <c r="O81" i="5"/>
  <c r="M63" i="5"/>
  <c r="O63" i="5"/>
  <c r="M44" i="5"/>
  <c r="O44" i="5"/>
  <c r="M28" i="5"/>
  <c r="O28" i="5"/>
  <c r="U12" i="5"/>
  <c r="P12" i="5" s="1"/>
  <c r="M12" i="5"/>
  <c r="O12" i="5"/>
  <c r="V3327" i="5"/>
  <c r="T3322" i="5"/>
  <c r="X3322" i="5" s="1"/>
  <c r="T3312" i="5"/>
  <c r="T3267" i="5"/>
  <c r="X3267" i="5" s="1"/>
  <c r="U3246" i="5"/>
  <c r="T3241" i="5"/>
  <c r="U3234" i="5"/>
  <c r="T3191" i="5"/>
  <c r="X3191" i="5" s="1"/>
  <c r="U3186" i="5"/>
  <c r="U3168" i="5"/>
  <c r="W3135" i="5"/>
  <c r="U3110" i="5"/>
  <c r="T3086" i="5"/>
  <c r="T3046" i="5"/>
  <c r="X3046" i="5" s="1"/>
  <c r="T3000" i="5"/>
  <c r="T2989" i="5"/>
  <c r="U2968" i="5"/>
  <c r="T2952" i="5"/>
  <c r="U2952" i="5"/>
  <c r="U2912" i="5"/>
  <c r="Y2912" i="5" s="1"/>
  <c r="T2883" i="5"/>
  <c r="X2883" i="5" s="1"/>
  <c r="T2844" i="5"/>
  <c r="U2746" i="5"/>
  <c r="P2746" i="5" s="1"/>
  <c r="M777" i="5"/>
  <c r="O777" i="5"/>
  <c r="M761" i="5"/>
  <c r="O761" i="5"/>
  <c r="M745" i="5"/>
  <c r="O745" i="5"/>
  <c r="M711" i="5"/>
  <c r="O711" i="5"/>
  <c r="M695" i="5"/>
  <c r="O695" i="5"/>
  <c r="M676" i="5"/>
  <c r="O676" i="5"/>
  <c r="O660" i="5"/>
  <c r="M660" i="5"/>
  <c r="M644" i="5"/>
  <c r="O644" i="5"/>
  <c r="M628" i="5"/>
  <c r="O628" i="5"/>
  <c r="M612" i="5"/>
  <c r="O612" i="5"/>
  <c r="M598" i="5"/>
  <c r="O598" i="5"/>
  <c r="U598" i="5"/>
  <c r="M578" i="5"/>
  <c r="O578" i="5"/>
  <c r="M559" i="5"/>
  <c r="O559" i="5"/>
  <c r="M543" i="5"/>
  <c r="O543" i="5"/>
  <c r="M527" i="5"/>
  <c r="O527" i="5"/>
  <c r="M511" i="5"/>
  <c r="O511" i="5"/>
  <c r="M495" i="5"/>
  <c r="O495" i="5"/>
  <c r="M479" i="5"/>
  <c r="O479" i="5"/>
  <c r="U479" i="5"/>
  <c r="O463" i="5"/>
  <c r="M463" i="5"/>
  <c r="O445" i="5"/>
  <c r="M445" i="5"/>
  <c r="O426" i="5"/>
  <c r="M426" i="5"/>
  <c r="O410" i="5"/>
  <c r="M410" i="5"/>
  <c r="O394" i="5"/>
  <c r="M394" i="5"/>
  <c r="M378" i="5"/>
  <c r="O378" i="5"/>
  <c r="O362" i="5"/>
  <c r="M362" i="5"/>
  <c r="M347" i="5"/>
  <c r="O347" i="5"/>
  <c r="M328" i="5"/>
  <c r="O328" i="5"/>
  <c r="O312" i="5"/>
  <c r="M312" i="5"/>
  <c r="M293" i="5"/>
  <c r="O293" i="5"/>
  <c r="M277" i="5"/>
  <c r="O277" i="5"/>
  <c r="M261" i="5"/>
  <c r="O261" i="5"/>
  <c r="M245" i="5"/>
  <c r="O245" i="5"/>
  <c r="M229" i="5"/>
  <c r="O229" i="5"/>
  <c r="M215" i="5"/>
  <c r="O215" i="5"/>
  <c r="O195" i="5"/>
  <c r="M195" i="5"/>
  <c r="M179" i="5"/>
  <c r="O179" i="5"/>
  <c r="M160" i="5"/>
  <c r="O160" i="5"/>
  <c r="U160" i="5"/>
  <c r="M144" i="5"/>
  <c r="O144" i="5"/>
  <c r="M128" i="5"/>
  <c r="O128" i="5"/>
  <c r="M112" i="5"/>
  <c r="O112" i="5"/>
  <c r="M96" i="5"/>
  <c r="O96" i="5"/>
  <c r="M80" i="5"/>
  <c r="O80" i="5"/>
  <c r="M62" i="5"/>
  <c r="O62" i="5"/>
  <c r="O43" i="5"/>
  <c r="M43" i="5"/>
  <c r="M27" i="5"/>
  <c r="O27" i="5"/>
  <c r="M11" i="5"/>
  <c r="O11" i="5"/>
  <c r="U11" i="5"/>
  <c r="W3319" i="5"/>
  <c r="U3314" i="5"/>
  <c r="T3309" i="5"/>
  <c r="X3309" i="5" s="1"/>
  <c r="U3306" i="5"/>
  <c r="U3299" i="5"/>
  <c r="W3290" i="5"/>
  <c r="T3272" i="5"/>
  <c r="X3272" i="5" s="1"/>
  <c r="W3259" i="5"/>
  <c r="U3224" i="5"/>
  <c r="U3180" i="5"/>
  <c r="W3175" i="5"/>
  <c r="U3157" i="5"/>
  <c r="U3152" i="5"/>
  <c r="U3125" i="5"/>
  <c r="U3115" i="5"/>
  <c r="T3064" i="5"/>
  <c r="X3064" i="5" s="1"/>
  <c r="U3060" i="5"/>
  <c r="T3042" i="5"/>
  <c r="U3042" i="5"/>
  <c r="U3031" i="5"/>
  <c r="P3031" i="5" s="1"/>
  <c r="U3024" i="5"/>
  <c r="V2989" i="5"/>
  <c r="W2989" i="5"/>
  <c r="V2964" i="5"/>
  <c r="T2938" i="5"/>
  <c r="X2938" i="5" s="1"/>
  <c r="T2822" i="5"/>
  <c r="T2790" i="5"/>
  <c r="U2778" i="5"/>
  <c r="U2773" i="5"/>
  <c r="Y2773" i="5" s="1"/>
  <c r="U2645" i="5"/>
  <c r="P2645" i="5" s="1"/>
  <c r="T2645" i="5"/>
  <c r="U2556" i="5"/>
  <c r="M558" i="5"/>
  <c r="O558" i="5"/>
  <c r="O542" i="5"/>
  <c r="M542" i="5"/>
  <c r="U542" i="5"/>
  <c r="M526" i="5"/>
  <c r="O526" i="5"/>
  <c r="U526" i="5"/>
  <c r="M510" i="5"/>
  <c r="O510" i="5"/>
  <c r="U510" i="5"/>
  <c r="O494" i="5"/>
  <c r="U494" i="5"/>
  <c r="M494" i="5"/>
  <c r="M478" i="5"/>
  <c r="O478" i="5"/>
  <c r="O462" i="5"/>
  <c r="M462" i="5"/>
  <c r="M444" i="5"/>
  <c r="O444" i="5"/>
  <c r="M425" i="5"/>
  <c r="O425" i="5"/>
  <c r="M409" i="5"/>
  <c r="O409" i="5"/>
  <c r="M393" i="5"/>
  <c r="O393" i="5"/>
  <c r="M377" i="5"/>
  <c r="O377" i="5"/>
  <c r="M361" i="5"/>
  <c r="O361" i="5"/>
  <c r="U361" i="5"/>
  <c r="M327" i="5"/>
  <c r="O327" i="5"/>
  <c r="M311" i="5"/>
  <c r="O311" i="5"/>
  <c r="M292" i="5"/>
  <c r="O292" i="5"/>
  <c r="O276" i="5"/>
  <c r="U276" i="5"/>
  <c r="M276" i="5"/>
  <c r="M260" i="5"/>
  <c r="O260" i="5"/>
  <c r="M244" i="5"/>
  <c r="O244" i="5"/>
  <c r="M228" i="5"/>
  <c r="O228" i="5"/>
  <c r="O214" i="5"/>
  <c r="M214" i="5"/>
  <c r="M194" i="5"/>
  <c r="O194" i="5"/>
  <c r="M175" i="5"/>
  <c r="O175" i="5"/>
  <c r="M159" i="5"/>
  <c r="O159" i="5"/>
  <c r="U143" i="5"/>
  <c r="O143" i="5"/>
  <c r="M143" i="5"/>
  <c r="M127" i="5"/>
  <c r="O127" i="5"/>
  <c r="U127" i="5"/>
  <c r="M111" i="5"/>
  <c r="O111" i="5"/>
  <c r="M95" i="5"/>
  <c r="O95" i="5"/>
  <c r="M79" i="5"/>
  <c r="U79" i="5"/>
  <c r="O79" i="5"/>
  <c r="M61" i="5"/>
  <c r="O61" i="5"/>
  <c r="O42" i="5"/>
  <c r="U42" i="5"/>
  <c r="M42" i="5"/>
  <c r="M26" i="5"/>
  <c r="O26" i="5"/>
  <c r="O10" i="5"/>
  <c r="M10" i="5"/>
  <c r="U3327" i="5"/>
  <c r="Y3327" i="5" s="1"/>
  <c r="U3319" i="5"/>
  <c r="T3290" i="5"/>
  <c r="X3290" i="5" s="1"/>
  <c r="T3259" i="5"/>
  <c r="X3259" i="5" s="1"/>
  <c r="T3254" i="5"/>
  <c r="T3221" i="5"/>
  <c r="X3221" i="5" s="1"/>
  <c r="T3213" i="5"/>
  <c r="U3199" i="5"/>
  <c r="T3135" i="5"/>
  <c r="X3135" i="5" s="1"/>
  <c r="T3130" i="5"/>
  <c r="X3130" i="5" s="1"/>
  <c r="T3097" i="5"/>
  <c r="U3057" i="5"/>
  <c r="Y3057" i="5" s="1"/>
  <c r="U3034" i="5"/>
  <c r="U2929" i="5"/>
  <c r="T2916" i="5"/>
  <c r="U2916" i="5"/>
  <c r="T2887" i="5"/>
  <c r="X2887" i="5" s="1"/>
  <c r="T2862" i="5"/>
  <c r="U2862" i="5"/>
  <c r="T2830" i="5"/>
  <c r="U2826" i="5"/>
  <c r="T2809" i="5"/>
  <c r="U2727" i="5"/>
  <c r="U2717" i="5"/>
  <c r="U2702" i="5"/>
  <c r="T2468" i="5"/>
  <c r="M193" i="5"/>
  <c r="O193" i="5"/>
  <c r="M174" i="5"/>
  <c r="O174" i="5"/>
  <c r="O158" i="5"/>
  <c r="M158" i="5"/>
  <c r="M142" i="5"/>
  <c r="O142" i="5"/>
  <c r="U142" i="5"/>
  <c r="O126" i="5"/>
  <c r="M126" i="5"/>
  <c r="U126" i="5"/>
  <c r="M110" i="5"/>
  <c r="O110" i="5"/>
  <c r="M94" i="5"/>
  <c r="O94" i="5"/>
  <c r="O78" i="5"/>
  <c r="M78" i="5"/>
  <c r="M60" i="5"/>
  <c r="O60" i="5"/>
  <c r="U60" i="5"/>
  <c r="M41" i="5"/>
  <c r="U41" i="5"/>
  <c r="O41" i="5"/>
  <c r="M25" i="5"/>
  <c r="U25" i="5"/>
  <c r="O25" i="5"/>
  <c r="O9" i="5"/>
  <c r="U9" i="5"/>
  <c r="M9" i="5"/>
  <c r="U3281" i="5"/>
  <c r="T3264" i="5"/>
  <c r="X3264" i="5" s="1"/>
  <c r="T3236" i="5"/>
  <c r="U3226" i="5"/>
  <c r="U3218" i="5"/>
  <c r="U3210" i="5"/>
  <c r="P3210" i="5" s="1"/>
  <c r="U3196" i="5"/>
  <c r="U3175" i="5"/>
  <c r="T3165" i="5"/>
  <c r="U3140" i="5"/>
  <c r="T3112" i="5"/>
  <c r="X3112" i="5" s="1"/>
  <c r="T3104" i="5"/>
  <c r="U3093" i="5"/>
  <c r="U3049" i="5"/>
  <c r="P3049" i="5" s="1"/>
  <c r="V3034" i="5"/>
  <c r="W3034" i="5"/>
  <c r="T3003" i="5"/>
  <c r="U2971" i="5"/>
  <c r="Y2971" i="5" s="1"/>
  <c r="T2956" i="5"/>
  <c r="T2933" i="5"/>
  <c r="W2925" i="5"/>
  <c r="V2925" i="5"/>
  <c r="T2911" i="5"/>
  <c r="U2911" i="5"/>
  <c r="T2848" i="5"/>
  <c r="U2804" i="5"/>
  <c r="T2754" i="5"/>
  <c r="U2754" i="5"/>
  <c r="U2745" i="5"/>
  <c r="T2745" i="5"/>
  <c r="M625" i="5"/>
  <c r="U625" i="5"/>
  <c r="O625" i="5"/>
  <c r="O609" i="5"/>
  <c r="M609" i="5"/>
  <c r="O595" i="5"/>
  <c r="M595" i="5"/>
  <c r="M575" i="5"/>
  <c r="O575" i="5"/>
  <c r="M556" i="5"/>
  <c r="O556" i="5"/>
  <c r="M540" i="5"/>
  <c r="O540" i="5"/>
  <c r="M524" i="5"/>
  <c r="O524" i="5"/>
  <c r="O508" i="5"/>
  <c r="M508" i="5"/>
  <c r="M492" i="5"/>
  <c r="O492" i="5"/>
  <c r="U492" i="5"/>
  <c r="P492" i="5" s="1"/>
  <c r="M476" i="5"/>
  <c r="O476" i="5"/>
  <c r="M459" i="5"/>
  <c r="O459" i="5"/>
  <c r="O442" i="5"/>
  <c r="M442" i="5"/>
  <c r="O423" i="5"/>
  <c r="M423" i="5"/>
  <c r="M407" i="5"/>
  <c r="O407" i="5"/>
  <c r="O391" i="5"/>
  <c r="M391" i="5"/>
  <c r="O375" i="5"/>
  <c r="M375" i="5"/>
  <c r="M359" i="5"/>
  <c r="O359" i="5"/>
  <c r="O345" i="5"/>
  <c r="M345" i="5"/>
  <c r="M325" i="5"/>
  <c r="O325" i="5"/>
  <c r="M309" i="5"/>
  <c r="O309" i="5"/>
  <c r="M290" i="5"/>
  <c r="U290" i="5"/>
  <c r="O290" i="5"/>
  <c r="M274" i="5"/>
  <c r="O274" i="5"/>
  <c r="M258" i="5"/>
  <c r="O258" i="5"/>
  <c r="M242" i="5"/>
  <c r="O242" i="5"/>
  <c r="O226" i="5"/>
  <c r="M226" i="5"/>
  <c r="O212" i="5"/>
  <c r="M212" i="5"/>
  <c r="M192" i="5"/>
  <c r="O192" i="5"/>
  <c r="M173" i="5"/>
  <c r="O173" i="5"/>
  <c r="M157" i="5"/>
  <c r="O157" i="5"/>
  <c r="O141" i="5"/>
  <c r="M141" i="5"/>
  <c r="M125" i="5"/>
  <c r="O125" i="5"/>
  <c r="O109" i="5"/>
  <c r="M109" i="5"/>
  <c r="M93" i="5"/>
  <c r="O93" i="5"/>
  <c r="U93" i="5"/>
  <c r="O77" i="5"/>
  <c r="M77" i="5"/>
  <c r="M59" i="5"/>
  <c r="O59" i="5"/>
  <c r="M40" i="5"/>
  <c r="O40" i="5"/>
  <c r="M24" i="5"/>
  <c r="O24" i="5"/>
  <c r="O8" i="5"/>
  <c r="M8" i="5"/>
  <c r="U8" i="5"/>
  <c r="P8" i="5" s="1"/>
  <c r="T3329" i="5"/>
  <c r="X3329" i="5" s="1"/>
  <c r="U3283" i="5"/>
  <c r="T3251" i="5"/>
  <c r="U3243" i="5"/>
  <c r="U3231" i="5"/>
  <c r="T3193" i="5"/>
  <c r="U3170" i="5"/>
  <c r="P3170" i="5" s="1"/>
  <c r="T3154" i="5"/>
  <c r="X3154" i="5" s="1"/>
  <c r="U3142" i="5"/>
  <c r="T3127" i="5"/>
  <c r="X3127" i="5" s="1"/>
  <c r="U3117" i="5"/>
  <c r="P3117" i="5" s="1"/>
  <c r="T3027" i="5"/>
  <c r="X3027" i="5" s="1"/>
  <c r="W3003" i="5"/>
  <c r="V3003" i="5"/>
  <c r="U2974" i="5"/>
  <c r="T2946" i="5"/>
  <c r="V2843" i="5"/>
  <c r="W2843" i="5"/>
  <c r="T2834" i="5"/>
  <c r="X2834" i="5" s="1"/>
  <c r="T2777" i="5"/>
  <c r="U2777" i="5"/>
  <c r="T2706" i="5"/>
  <c r="M890" i="5"/>
  <c r="O890" i="5"/>
  <c r="M874" i="5"/>
  <c r="O874" i="5"/>
  <c r="U874" i="5"/>
  <c r="M859" i="5"/>
  <c r="U859" i="5"/>
  <c r="O859" i="5"/>
  <c r="O840" i="5"/>
  <c r="U840" i="5"/>
  <c r="M840" i="5"/>
  <c r="O824" i="5"/>
  <c r="M824" i="5"/>
  <c r="M805" i="5"/>
  <c r="O805" i="5"/>
  <c r="U805" i="5"/>
  <c r="M789" i="5"/>
  <c r="O789" i="5"/>
  <c r="M773" i="5"/>
  <c r="O773" i="5"/>
  <c r="M757" i="5"/>
  <c r="O757" i="5"/>
  <c r="M741" i="5"/>
  <c r="O741" i="5"/>
  <c r="M727" i="5"/>
  <c r="O727" i="5"/>
  <c r="O707" i="5"/>
  <c r="M707" i="5"/>
  <c r="O691" i="5"/>
  <c r="M691" i="5"/>
  <c r="M672" i="5"/>
  <c r="O672" i="5"/>
  <c r="O656" i="5"/>
  <c r="M656" i="5"/>
  <c r="O640" i="5"/>
  <c r="M640" i="5"/>
  <c r="M624" i="5"/>
  <c r="O624" i="5"/>
  <c r="M608" i="5"/>
  <c r="O608" i="5"/>
  <c r="U608" i="5"/>
  <c r="M594" i="5"/>
  <c r="O594" i="5"/>
  <c r="O574" i="5"/>
  <c r="M574" i="5"/>
  <c r="M555" i="5"/>
  <c r="O555" i="5"/>
  <c r="M539" i="5"/>
  <c r="U539" i="5"/>
  <c r="O539" i="5"/>
  <c r="M523" i="5"/>
  <c r="O523" i="5"/>
  <c r="O507" i="5"/>
  <c r="M507" i="5"/>
  <c r="U507" i="5"/>
  <c r="M491" i="5"/>
  <c r="U491" i="5"/>
  <c r="O491" i="5"/>
  <c r="M475" i="5"/>
  <c r="O475" i="5"/>
  <c r="M457" i="5"/>
  <c r="O457" i="5"/>
  <c r="M441" i="5"/>
  <c r="O441" i="5"/>
  <c r="M422" i="5"/>
  <c r="O422" i="5"/>
  <c r="M406" i="5"/>
  <c r="O406" i="5"/>
  <c r="M390" i="5"/>
  <c r="O390" i="5"/>
  <c r="O374" i="5"/>
  <c r="M374" i="5"/>
  <c r="O358" i="5"/>
  <c r="M358" i="5"/>
  <c r="M344" i="5"/>
  <c r="O344" i="5"/>
  <c r="M324" i="5"/>
  <c r="O324" i="5"/>
  <c r="O308" i="5"/>
  <c r="M308" i="5"/>
  <c r="O289" i="5"/>
  <c r="M289" i="5"/>
  <c r="M273" i="5"/>
  <c r="O273" i="5"/>
  <c r="M257" i="5"/>
  <c r="O257" i="5"/>
  <c r="M241" i="5"/>
  <c r="O241" i="5"/>
  <c r="M225" i="5"/>
  <c r="O225" i="5"/>
  <c r="M211" i="5"/>
  <c r="O211" i="5"/>
  <c r="M191" i="5"/>
  <c r="O191" i="5"/>
  <c r="M172" i="5"/>
  <c r="O172" i="5"/>
  <c r="O156" i="5"/>
  <c r="M156" i="5"/>
  <c r="M140" i="5"/>
  <c r="U140" i="5"/>
  <c r="O140" i="5"/>
  <c r="M124" i="5"/>
  <c r="O124" i="5"/>
  <c r="M108" i="5"/>
  <c r="O108" i="5"/>
  <c r="U108" i="5"/>
  <c r="O92" i="5"/>
  <c r="M92" i="5"/>
  <c r="M75" i="5"/>
  <c r="O75" i="5"/>
  <c r="M58" i="5"/>
  <c r="O58" i="5"/>
  <c r="U58" i="5"/>
  <c r="M39" i="5"/>
  <c r="O39" i="5"/>
  <c r="M23" i="5"/>
  <c r="O23" i="5"/>
  <c r="M7" i="5"/>
  <c r="O7" i="5"/>
  <c r="T3324" i="5"/>
  <c r="X3324" i="5" s="1"/>
  <c r="T3321" i="5"/>
  <c r="X3321" i="5" s="1"/>
  <c r="U3316" i="5"/>
  <c r="U3311" i="5"/>
  <c r="T3296" i="5"/>
  <c r="T3285" i="5"/>
  <c r="W3277" i="5"/>
  <c r="U3269" i="5"/>
  <c r="T3266" i="5"/>
  <c r="T3256" i="5"/>
  <c r="U3245" i="5"/>
  <c r="U3233" i="5"/>
  <c r="T3228" i="5"/>
  <c r="X3228" i="5" s="1"/>
  <c r="T3215" i="5"/>
  <c r="X3215" i="5" s="1"/>
  <c r="T3204" i="5"/>
  <c r="X3204" i="5" s="1"/>
  <c r="T3190" i="5"/>
  <c r="T3185" i="5"/>
  <c r="T3159" i="5"/>
  <c r="T3100" i="5"/>
  <c r="T3085" i="5"/>
  <c r="T3077" i="5"/>
  <c r="T3070" i="5"/>
  <c r="U3067" i="5"/>
  <c r="U3063" i="5"/>
  <c r="T3056" i="5"/>
  <c r="U3056" i="5"/>
  <c r="T3045" i="5"/>
  <c r="U3014" i="5"/>
  <c r="T2985" i="5"/>
  <c r="U2967" i="5"/>
  <c r="T2924" i="5"/>
  <c r="T2907" i="5"/>
  <c r="T2903" i="5"/>
  <c r="T2899" i="5"/>
  <c r="X2899" i="5" s="1"/>
  <c r="T2861" i="5"/>
  <c r="T2852" i="5"/>
  <c r="X2852" i="5" s="1"/>
  <c r="U2852" i="5"/>
  <c r="T2784" i="5"/>
  <c r="U2784" i="5"/>
  <c r="U2772" i="5"/>
  <c r="T2767" i="5"/>
  <c r="T2731" i="5"/>
  <c r="U2657" i="5"/>
  <c r="U2565" i="5"/>
  <c r="Y2565" i="5" s="1"/>
  <c r="U3011" i="5"/>
  <c r="U3008" i="5"/>
  <c r="U2964" i="5"/>
  <c r="V2949" i="5"/>
  <c r="U2857" i="5"/>
  <c r="U2835" i="5"/>
  <c r="T2698" i="5"/>
  <c r="U2698" i="5"/>
  <c r="T2688" i="5"/>
  <c r="T2665" i="5"/>
  <c r="U2665" i="5"/>
  <c r="T2620" i="5"/>
  <c r="U2518" i="5"/>
  <c r="P2518" i="5" s="1"/>
  <c r="U2312" i="5"/>
  <c r="Y2312" i="5" s="1"/>
  <c r="T2180" i="5"/>
  <c r="T2954" i="5"/>
  <c r="X2954" i="5" s="1"/>
  <c r="T2944" i="5"/>
  <c r="X2944" i="5" s="1"/>
  <c r="T2931" i="5"/>
  <c r="U2921" i="5"/>
  <c r="T2898" i="5"/>
  <c r="T2705" i="5"/>
  <c r="U2633" i="5"/>
  <c r="U2589" i="5"/>
  <c r="T2584" i="5"/>
  <c r="T2569" i="5"/>
  <c r="U2504" i="5"/>
  <c r="U2458" i="5"/>
  <c r="P2458" i="5" s="1"/>
  <c r="T2427" i="5"/>
  <c r="T2900" i="5"/>
  <c r="T2869" i="5"/>
  <c r="X2869" i="5" s="1"/>
  <c r="T2805" i="5"/>
  <c r="U2668" i="5"/>
  <c r="T2661" i="5"/>
  <c r="X2661" i="5" s="1"/>
  <c r="U2651" i="5"/>
  <c r="U2648" i="5"/>
  <c r="U2615" i="5"/>
  <c r="T2611" i="5"/>
  <c r="X2611" i="5" s="1"/>
  <c r="U2550" i="5"/>
  <c r="T2540" i="5"/>
  <c r="X2540" i="5" s="1"/>
  <c r="V2530" i="5"/>
  <c r="W2530" i="5"/>
  <c r="V2477" i="5"/>
  <c r="W2477" i="5"/>
  <c r="T2417" i="5"/>
  <c r="T2263" i="5"/>
  <c r="X2263" i="5" s="1"/>
  <c r="U3098" i="5"/>
  <c r="V3074" i="5"/>
  <c r="W3051" i="5"/>
  <c r="V3033" i="5"/>
  <c r="W3028" i="5"/>
  <c r="U3023" i="5"/>
  <c r="Y3023" i="5" s="1"/>
  <c r="V2923" i="5"/>
  <c r="T2908" i="5"/>
  <c r="T2886" i="5"/>
  <c r="T2878" i="5"/>
  <c r="T2751" i="5"/>
  <c r="T2711" i="5"/>
  <c r="T2694" i="5"/>
  <c r="U2694" i="5"/>
  <c r="T2678" i="5"/>
  <c r="T2675" i="5"/>
  <c r="T2644" i="5"/>
  <c r="U2564" i="5"/>
  <c r="U3085" i="5"/>
  <c r="P3085" i="5" s="1"/>
  <c r="U3059" i="5"/>
  <c r="U3033" i="5"/>
  <c r="T3002" i="5"/>
  <c r="X3002" i="5" s="1"/>
  <c r="U2956" i="5"/>
  <c r="U2933" i="5"/>
  <c r="U2918" i="5"/>
  <c r="U2883" i="5"/>
  <c r="T2873" i="5"/>
  <c r="T2851" i="5"/>
  <c r="X2851" i="5" s="1"/>
  <c r="U2832" i="5"/>
  <c r="U2809" i="5"/>
  <c r="U2795" i="5"/>
  <c r="U2783" i="5"/>
  <c r="U2776" i="5"/>
  <c r="U2753" i="5"/>
  <c r="W2744" i="5"/>
  <c r="T2717" i="5"/>
  <c r="T2657" i="5"/>
  <c r="T2588" i="5"/>
  <c r="T2568" i="5"/>
  <c r="X2568" i="5" s="1"/>
  <c r="T2484" i="5"/>
  <c r="T3074" i="5"/>
  <c r="U3051" i="5"/>
  <c r="U3041" i="5"/>
  <c r="T3028" i="5"/>
  <c r="X3028" i="5" s="1"/>
  <c r="U3025" i="5"/>
  <c r="T3019" i="5"/>
  <c r="T2987" i="5"/>
  <c r="X2987" i="5" s="1"/>
  <c r="T2975" i="5"/>
  <c r="W2963" i="5"/>
  <c r="T2951" i="5"/>
  <c r="U2938" i="5"/>
  <c r="T2923" i="5"/>
  <c r="U2915" i="5"/>
  <c r="U2910" i="5"/>
  <c r="T2905" i="5"/>
  <c r="U2888" i="5"/>
  <c r="V2863" i="5"/>
  <c r="U2856" i="5"/>
  <c r="U2848" i="5"/>
  <c r="U2802" i="5"/>
  <c r="U2790" i="5"/>
  <c r="U2744" i="5"/>
  <c r="U2729" i="5"/>
  <c r="T2714" i="5"/>
  <c r="U2714" i="5"/>
  <c r="U2664" i="5"/>
  <c r="V2657" i="5"/>
  <c r="W2657" i="5"/>
  <c r="U2653" i="5"/>
  <c r="T2632" i="5"/>
  <c r="T2598" i="5"/>
  <c r="X2598" i="5" s="1"/>
  <c r="U2598" i="5"/>
  <c r="U2578" i="5"/>
  <c r="V2544" i="5"/>
  <c r="W2544" i="5"/>
  <c r="T2521" i="5"/>
  <c r="X2521" i="5" s="1"/>
  <c r="V2512" i="5"/>
  <c r="W2512" i="5"/>
  <c r="T2471" i="5"/>
  <c r="X2471" i="5" s="1"/>
  <c r="T2365" i="5"/>
  <c r="U2321" i="5"/>
  <c r="T3095" i="5"/>
  <c r="X3095" i="5" s="1"/>
  <c r="T3082" i="5"/>
  <c r="T3076" i="5"/>
  <c r="U3061" i="5"/>
  <c r="P3061" i="5" s="1"/>
  <c r="T3038" i="5"/>
  <c r="T3010" i="5"/>
  <c r="U2989" i="5"/>
  <c r="U2980" i="5"/>
  <c r="T2970" i="5"/>
  <c r="T2920" i="5"/>
  <c r="T2902" i="5"/>
  <c r="T2897" i="5"/>
  <c r="W2834" i="5"/>
  <c r="U2797" i="5"/>
  <c r="U2731" i="5"/>
  <c r="U2707" i="5"/>
  <c r="V2687" i="5"/>
  <c r="W2687" i="5"/>
  <c r="V2671" i="5"/>
  <c r="T2618" i="5"/>
  <c r="U2607" i="5"/>
  <c r="V2554" i="5"/>
  <c r="W2554" i="5"/>
  <c r="T2925" i="5"/>
  <c r="T2880" i="5"/>
  <c r="T2843" i="5"/>
  <c r="T2724" i="5"/>
  <c r="T2671" i="5"/>
  <c r="T2623" i="5"/>
  <c r="U2623" i="5"/>
  <c r="P2623" i="5" s="1"/>
  <c r="T2592" i="5"/>
  <c r="X2592" i="5" s="1"/>
  <c r="T2528" i="5"/>
  <c r="T2516" i="5"/>
  <c r="T2502" i="5"/>
  <c r="T2401" i="5"/>
  <c r="T2785" i="5"/>
  <c r="T2755" i="5"/>
  <c r="T2710" i="5"/>
  <c r="T2693" i="5"/>
  <c r="U2693" i="5"/>
  <c r="Y2693" i="5" s="1"/>
  <c r="T2690" i="5"/>
  <c r="T2677" i="5"/>
  <c r="U2674" i="5"/>
  <c r="T2643" i="5"/>
  <c r="T2639" i="5"/>
  <c r="U2639" i="5"/>
  <c r="U2627" i="5"/>
  <c r="U2602" i="5"/>
  <c r="U2597" i="5"/>
  <c r="U2558" i="5"/>
  <c r="T2548" i="5"/>
  <c r="T2119" i="5"/>
  <c r="T2965" i="5"/>
  <c r="X2965" i="5" s="1"/>
  <c r="T2872" i="5"/>
  <c r="U2838" i="5"/>
  <c r="V2643" i="5"/>
  <c r="W2643" i="5"/>
  <c r="T2631" i="5"/>
  <c r="X2631" i="5" s="1"/>
  <c r="U2617" i="5"/>
  <c r="U2562" i="5"/>
  <c r="U3089" i="5"/>
  <c r="Y3089" i="5" s="1"/>
  <c r="T3084" i="5"/>
  <c r="U3073" i="5"/>
  <c r="Y3073" i="5" s="1"/>
  <c r="U3070" i="5"/>
  <c r="W3050" i="5"/>
  <c r="U3001" i="5"/>
  <c r="W2986" i="5"/>
  <c r="T2984" i="5"/>
  <c r="X2984" i="5" s="1"/>
  <c r="T2945" i="5"/>
  <c r="T2935" i="5"/>
  <c r="V2909" i="5"/>
  <c r="U2840" i="5"/>
  <c r="U2824" i="5"/>
  <c r="U2822" i="5"/>
  <c r="U2806" i="5"/>
  <c r="U2787" i="5"/>
  <c r="W2780" i="5"/>
  <c r="U2770" i="5"/>
  <c r="U2757" i="5"/>
  <c r="V2741" i="5"/>
  <c r="U2733" i="5"/>
  <c r="U2713" i="5"/>
  <c r="T2703" i="5"/>
  <c r="U2703" i="5"/>
  <c r="P2703" i="5" s="1"/>
  <c r="U2686" i="5"/>
  <c r="T2663" i="5"/>
  <c r="U2646" i="5"/>
  <c r="T2622" i="5"/>
  <c r="U2622" i="5"/>
  <c r="T2613" i="5"/>
  <c r="X2613" i="5" s="1"/>
  <c r="T2606" i="5"/>
  <c r="T2492" i="5"/>
  <c r="U2440" i="5"/>
  <c r="U2410" i="5"/>
  <c r="U2284" i="5"/>
  <c r="U3097" i="5"/>
  <c r="U3094" i="5"/>
  <c r="W3060" i="5"/>
  <c r="U3045" i="5"/>
  <c r="P3045" i="5" s="1"/>
  <c r="T3040" i="5"/>
  <c r="U3037" i="5"/>
  <c r="U3027" i="5"/>
  <c r="U3017" i="5"/>
  <c r="U3009" i="5"/>
  <c r="T3006" i="5"/>
  <c r="X3006" i="5" s="1"/>
  <c r="W2976" i="5"/>
  <c r="T2974" i="5"/>
  <c r="X2974" i="5" s="1"/>
  <c r="T2969" i="5"/>
  <c r="T2950" i="5"/>
  <c r="X2950" i="5" s="1"/>
  <c r="U2922" i="5"/>
  <c r="W2901" i="5"/>
  <c r="U2893" i="5"/>
  <c r="T2817" i="5"/>
  <c r="T2775" i="5"/>
  <c r="T2699" i="5"/>
  <c r="X2699" i="5" s="1"/>
  <c r="U2699" i="5"/>
  <c r="T2655" i="5"/>
  <c r="U2655" i="5"/>
  <c r="U2586" i="5"/>
  <c r="T2576" i="5"/>
  <c r="T2552" i="5"/>
  <c r="T2542" i="5"/>
  <c r="T2532" i="5"/>
  <c r="U2532" i="5"/>
  <c r="Y2532" i="5" s="1"/>
  <c r="U2445" i="5"/>
  <c r="T2334" i="5"/>
  <c r="X2334" i="5" s="1"/>
  <c r="U2334" i="5"/>
  <c r="U3086" i="5"/>
  <c r="U3081" i="5"/>
  <c r="Y3081" i="5" s="1"/>
  <c r="U3065" i="5"/>
  <c r="T3050" i="5"/>
  <c r="X3050" i="5" s="1"/>
  <c r="T2998" i="5"/>
  <c r="X2998" i="5" s="1"/>
  <c r="U2979" i="5"/>
  <c r="T2960" i="5"/>
  <c r="X2960" i="5" s="1"/>
  <c r="T2955" i="5"/>
  <c r="T2942" i="5"/>
  <c r="T2929" i="5"/>
  <c r="U2924" i="5"/>
  <c r="U2887" i="5"/>
  <c r="U2879" i="5"/>
  <c r="U2855" i="5"/>
  <c r="T2789" i="5"/>
  <c r="U2743" i="5"/>
  <c r="U2735" i="5"/>
  <c r="U2728" i="5"/>
  <c r="V2723" i="5"/>
  <c r="U2706" i="5"/>
  <c r="T2689" i="5"/>
  <c r="U2626" i="5"/>
  <c r="U2566" i="5"/>
  <c r="U2469" i="5"/>
  <c r="T2324" i="5"/>
  <c r="X2324" i="5" s="1"/>
  <c r="T2278" i="5"/>
  <c r="X2278" i="5" s="1"/>
  <c r="T3060" i="5"/>
  <c r="X3060" i="5" s="1"/>
  <c r="U3055" i="5"/>
  <c r="U3047" i="5"/>
  <c r="T2937" i="5"/>
  <c r="X2937" i="5" s="1"/>
  <c r="V2730" i="5"/>
  <c r="U2709" i="5"/>
  <c r="U2676" i="5"/>
  <c r="U2673" i="5"/>
  <c r="U2630" i="5"/>
  <c r="U2621" i="5"/>
  <c r="T2616" i="5"/>
  <c r="T2491" i="5"/>
  <c r="X2491" i="5" s="1"/>
  <c r="U2313" i="5"/>
  <c r="U3102" i="5"/>
  <c r="U3091" i="5"/>
  <c r="U3075" i="5"/>
  <c r="T3052" i="5"/>
  <c r="T3034" i="5"/>
  <c r="T3014" i="5"/>
  <c r="X3014" i="5" s="1"/>
  <c r="U3003" i="5"/>
  <c r="V2871" i="5"/>
  <c r="T2847" i="5"/>
  <c r="T2842" i="5"/>
  <c r="T2712" i="5"/>
  <c r="T2702" i="5"/>
  <c r="T2685" i="5"/>
  <c r="X2685" i="5" s="1"/>
  <c r="T2649" i="5"/>
  <c r="W2621" i="5"/>
  <c r="V2621" i="5"/>
  <c r="U2605" i="5"/>
  <c r="U2570" i="5"/>
  <c r="T2531" i="5"/>
  <c r="U2514" i="5"/>
  <c r="U2500" i="5"/>
  <c r="T2409" i="5"/>
  <c r="T2272" i="5"/>
  <c r="T2707" i="5"/>
  <c r="T2679" i="5"/>
  <c r="X2679" i="5" s="1"/>
  <c r="T2628" i="5"/>
  <c r="T2603" i="5"/>
  <c r="W2598" i="5"/>
  <c r="U2559" i="5"/>
  <c r="U2525" i="5"/>
  <c r="U2517" i="5"/>
  <c r="U2472" i="5"/>
  <c r="U2439" i="5"/>
  <c r="T2389" i="5"/>
  <c r="T2360" i="5"/>
  <c r="T2219" i="5"/>
  <c r="U2151" i="5"/>
  <c r="U2690" i="5"/>
  <c r="T2670" i="5"/>
  <c r="U2660" i="5"/>
  <c r="T2585" i="5"/>
  <c r="T2577" i="5"/>
  <c r="V2569" i="5"/>
  <c r="T2554" i="5"/>
  <c r="T2546" i="5"/>
  <c r="T2530" i="5"/>
  <c r="V2523" i="5"/>
  <c r="U2519" i="5"/>
  <c r="V2505" i="5"/>
  <c r="V2495" i="5"/>
  <c r="U2493" i="5"/>
  <c r="W2479" i="5"/>
  <c r="T2459" i="5"/>
  <c r="T2447" i="5"/>
  <c r="T2443" i="5"/>
  <c r="U2443" i="5"/>
  <c r="U2402" i="5"/>
  <c r="T2355" i="5"/>
  <c r="U2355" i="5"/>
  <c r="U2296" i="5"/>
  <c r="T2204" i="5"/>
  <c r="X2204" i="5" s="1"/>
  <c r="T2199" i="5"/>
  <c r="T2590" i="5"/>
  <c r="T2582" i="5"/>
  <c r="U2551" i="5"/>
  <c r="T2523" i="5"/>
  <c r="U2505" i="5"/>
  <c r="P2505" i="5" s="1"/>
  <c r="T2422" i="5"/>
  <c r="T2338" i="5"/>
  <c r="T2291" i="5"/>
  <c r="T2282" i="5"/>
  <c r="U2282" i="5"/>
  <c r="T2091" i="5"/>
  <c r="U2091" i="5"/>
  <c r="Y2091" i="5" s="1"/>
  <c r="U2058" i="5"/>
  <c r="W1889" i="5"/>
  <c r="V1889" i="5"/>
  <c r="T2672" i="5"/>
  <c r="U2618" i="5"/>
  <c r="T2614" i="5"/>
  <c r="T2595" i="5"/>
  <c r="W2592" i="5"/>
  <c r="T2574" i="5"/>
  <c r="T2561" i="5"/>
  <c r="U2548" i="5"/>
  <c r="U2521" i="5"/>
  <c r="U2502" i="5"/>
  <c r="T2490" i="5"/>
  <c r="U2474" i="5"/>
  <c r="V2458" i="5"/>
  <c r="T2450" i="5"/>
  <c r="T2388" i="5"/>
  <c r="U2384" i="5"/>
  <c r="U2300" i="5"/>
  <c r="P2300" i="5" s="1"/>
  <c r="U2258" i="5"/>
  <c r="W2160" i="5"/>
  <c r="V2160" i="5"/>
  <c r="T2155" i="5"/>
  <c r="T2076" i="5"/>
  <c r="T1392" i="5"/>
  <c r="U1392" i="5"/>
  <c r="T2650" i="5"/>
  <c r="T2587" i="5"/>
  <c r="T2534" i="5"/>
  <c r="U2497" i="5"/>
  <c r="U2466" i="5"/>
  <c r="U2363" i="5"/>
  <c r="T2342" i="5"/>
  <c r="T2308" i="5"/>
  <c r="T2295" i="5"/>
  <c r="T2253" i="5"/>
  <c r="T2208" i="5"/>
  <c r="U2208" i="5"/>
  <c r="U2184" i="5"/>
  <c r="T2108" i="5"/>
  <c r="T2028" i="5"/>
  <c r="T2579" i="5"/>
  <c r="T2571" i="5"/>
  <c r="T2566" i="5"/>
  <c r="X2566" i="5" s="1"/>
  <c r="T2558" i="5"/>
  <c r="T2553" i="5"/>
  <c r="T2545" i="5"/>
  <c r="U2516" i="5"/>
  <c r="U2484" i="5"/>
  <c r="U2471" i="5"/>
  <c r="T2458" i="5"/>
  <c r="T2433" i="5"/>
  <c r="U2425" i="5"/>
  <c r="T2425" i="5"/>
  <c r="U2417" i="5"/>
  <c r="Y2417" i="5" s="1"/>
  <c r="T2405" i="5"/>
  <c r="U2401" i="5"/>
  <c r="T2333" i="5"/>
  <c r="T2316" i="5"/>
  <c r="T2312" i="5"/>
  <c r="T2286" i="5"/>
  <c r="T2268" i="5"/>
  <c r="U2262" i="5"/>
  <c r="P2262" i="5" s="1"/>
  <c r="U2113" i="5"/>
  <c r="T2090" i="5"/>
  <c r="U2090" i="5"/>
  <c r="T2637" i="5"/>
  <c r="U2568" i="5"/>
  <c r="U2531" i="5"/>
  <c r="U2511" i="5"/>
  <c r="U2476" i="5"/>
  <c r="V2425" i="5"/>
  <c r="W2425" i="5"/>
  <c r="T2421" i="5"/>
  <c r="T2413" i="5"/>
  <c r="X2413" i="5" s="1"/>
  <c r="T2358" i="5"/>
  <c r="V2337" i="5"/>
  <c r="W2337" i="5"/>
  <c r="T2266" i="5"/>
  <c r="X2266" i="5" s="1"/>
  <c r="V2188" i="5"/>
  <c r="W2188" i="5"/>
  <c r="U2159" i="5"/>
  <c r="T2144" i="5"/>
  <c r="X2144" i="5" s="1"/>
  <c r="U2144" i="5"/>
  <c r="W2113" i="5"/>
  <c r="V2113" i="5"/>
  <c r="U2071" i="5"/>
  <c r="P2071" i="5" s="1"/>
  <c r="T2597" i="5"/>
  <c r="T2563" i="5"/>
  <c r="T2555" i="5"/>
  <c r="U2453" i="5"/>
  <c r="T2453" i="5"/>
  <c r="T2441" i="5"/>
  <c r="U2409" i="5"/>
  <c r="P2409" i="5" s="1"/>
  <c r="T2346" i="5"/>
  <c r="U2324" i="5"/>
  <c r="T2294" i="5"/>
  <c r="X2294" i="5" s="1"/>
  <c r="W2212" i="5"/>
  <c r="V2212" i="5"/>
  <c r="T2183" i="5"/>
  <c r="T2094" i="5"/>
  <c r="U2094" i="5"/>
  <c r="T1984" i="5"/>
  <c r="T2589" i="5"/>
  <c r="T2550" i="5"/>
  <c r="T2473" i="5"/>
  <c r="U2468" i="5"/>
  <c r="U2465" i="5"/>
  <c r="T2457" i="5"/>
  <c r="W2453" i="5"/>
  <c r="V2453" i="5"/>
  <c r="T2449" i="5"/>
  <c r="U2404" i="5"/>
  <c r="T2370" i="5"/>
  <c r="U2370" i="5"/>
  <c r="T2350" i="5"/>
  <c r="U2341" i="5"/>
  <c r="T2341" i="5"/>
  <c r="U2328" i="5"/>
  <c r="T2289" i="5"/>
  <c r="U2289" i="5"/>
  <c r="U2272" i="5"/>
  <c r="Y2272" i="5" s="1"/>
  <c r="T2257" i="5"/>
  <c r="T2244" i="5"/>
  <c r="X2244" i="5" s="1"/>
  <c r="W2094" i="5"/>
  <c r="V2094" i="5"/>
  <c r="T2047" i="5"/>
  <c r="T2042" i="5"/>
  <c r="T1949" i="5"/>
  <c r="T2680" i="5"/>
  <c r="U2624" i="5"/>
  <c r="T2594" i="5"/>
  <c r="X2594" i="5" s="1"/>
  <c r="W2586" i="5"/>
  <c r="T2581" i="5"/>
  <c r="T2573" i="5"/>
  <c r="T2533" i="5"/>
  <c r="U2489" i="5"/>
  <c r="U2428" i="5"/>
  <c r="U2416" i="5"/>
  <c r="U2400" i="5"/>
  <c r="P2400" i="5" s="1"/>
  <c r="U2307" i="5"/>
  <c r="T2298" i="5"/>
  <c r="U2280" i="5"/>
  <c r="T2276" i="5"/>
  <c r="U2261" i="5"/>
  <c r="V2047" i="5"/>
  <c r="W2047" i="5"/>
  <c r="V1949" i="5"/>
  <c r="W1949" i="5"/>
  <c r="U1808" i="5"/>
  <c r="T1808" i="5"/>
  <c r="T2682" i="5"/>
  <c r="T2640" i="5"/>
  <c r="W2617" i="5"/>
  <c r="U2613" i="5"/>
  <c r="U2599" i="5"/>
  <c r="U2552" i="5"/>
  <c r="T2547" i="5"/>
  <c r="U2528" i="5"/>
  <c r="T2432" i="5"/>
  <c r="U2408" i="5"/>
  <c r="U2394" i="5"/>
  <c r="U2386" i="5"/>
  <c r="T2357" i="5"/>
  <c r="T2323" i="5"/>
  <c r="T2319" i="5"/>
  <c r="T2065" i="5"/>
  <c r="T2601" i="5"/>
  <c r="T2586" i="5"/>
  <c r="X2586" i="5" s="1"/>
  <c r="T2578" i="5"/>
  <c r="T2570" i="5"/>
  <c r="X2570" i="5" s="1"/>
  <c r="T2565" i="5"/>
  <c r="T2557" i="5"/>
  <c r="U2540" i="5"/>
  <c r="U2515" i="5"/>
  <c r="U2501" i="5"/>
  <c r="U2483" i="5"/>
  <c r="W2475" i="5"/>
  <c r="U2470" i="5"/>
  <c r="U2456" i="5"/>
  <c r="T2448" i="5"/>
  <c r="U2448" i="5"/>
  <c r="T2396" i="5"/>
  <c r="T2340" i="5"/>
  <c r="U2302" i="5"/>
  <c r="T2293" i="5"/>
  <c r="T2256" i="5"/>
  <c r="T2243" i="5"/>
  <c r="U2243" i="5"/>
  <c r="T2238" i="5"/>
  <c r="T2172" i="5"/>
  <c r="T2135" i="5"/>
  <c r="T2083" i="5"/>
  <c r="X2083" i="5" s="1"/>
  <c r="U2083" i="5"/>
  <c r="U2591" i="5"/>
  <c r="U2583" i="5"/>
  <c r="T2440" i="5"/>
  <c r="T2399" i="5"/>
  <c r="X2399" i="5" s="1"/>
  <c r="T2369" i="5"/>
  <c r="T2361" i="5"/>
  <c r="T2331" i="5"/>
  <c r="T2306" i="5"/>
  <c r="T2288" i="5"/>
  <c r="T2284" i="5"/>
  <c r="U2575" i="5"/>
  <c r="U2567" i="5"/>
  <c r="T2562" i="5"/>
  <c r="U2491" i="5"/>
  <c r="U2444" i="5"/>
  <c r="T2431" i="5"/>
  <c r="T2423" i="5"/>
  <c r="X2423" i="5" s="1"/>
  <c r="U2403" i="5"/>
  <c r="U2365" i="5"/>
  <c r="T2356" i="5"/>
  <c r="T2344" i="5"/>
  <c r="X2344" i="5" s="1"/>
  <c r="T2318" i="5"/>
  <c r="W2284" i="5"/>
  <c r="V2284" i="5"/>
  <c r="U2200" i="5"/>
  <c r="T2167" i="5"/>
  <c r="T2658" i="5"/>
  <c r="U2628" i="5"/>
  <c r="Y2628" i="5" s="1"/>
  <c r="V2623" i="5"/>
  <c r="U2603" i="5"/>
  <c r="T2593" i="5"/>
  <c r="T2549" i="5"/>
  <c r="V2532" i="5"/>
  <c r="U2522" i="5"/>
  <c r="T2517" i="5"/>
  <c r="U2503" i="5"/>
  <c r="T2498" i="5"/>
  <c r="U2488" i="5"/>
  <c r="T2472" i="5"/>
  <c r="T2435" i="5"/>
  <c r="U2435" i="5"/>
  <c r="U2419" i="5"/>
  <c r="Y2419" i="5" s="1"/>
  <c r="U2373" i="5"/>
  <c r="T2373" i="5"/>
  <c r="T2348" i="5"/>
  <c r="T2339" i="5"/>
  <c r="U2339" i="5"/>
  <c r="T2322" i="5"/>
  <c r="X2322" i="5" s="1"/>
  <c r="T2314" i="5"/>
  <c r="T2301" i="5"/>
  <c r="T2292" i="5"/>
  <c r="X2292" i="5" s="1"/>
  <c r="T2270" i="5"/>
  <c r="X2270" i="5" s="1"/>
  <c r="U2270" i="5"/>
  <c r="U2264" i="5"/>
  <c r="T2277" i="5"/>
  <c r="T2236" i="5"/>
  <c r="T2229" i="5"/>
  <c r="U2176" i="5"/>
  <c r="U2168" i="5"/>
  <c r="U2147" i="5"/>
  <c r="T2133" i="5"/>
  <c r="U2133" i="5"/>
  <c r="T2109" i="5"/>
  <c r="U2063" i="5"/>
  <c r="T2035" i="5"/>
  <c r="T2026" i="5"/>
  <c r="T1930" i="5"/>
  <c r="X1930" i="5" s="1"/>
  <c r="U1910" i="5"/>
  <c r="T1910" i="5"/>
  <c r="U919" i="5"/>
  <c r="T919" i="5"/>
  <c r="U2463" i="5"/>
  <c r="U2455" i="5"/>
  <c r="U2429" i="5"/>
  <c r="U2393" i="5"/>
  <c r="T2390" i="5"/>
  <c r="X2390" i="5" s="1"/>
  <c r="T2381" i="5"/>
  <c r="T2375" i="5"/>
  <c r="T2367" i="5"/>
  <c r="X2367" i="5" s="1"/>
  <c r="U2329" i="5"/>
  <c r="U2215" i="5"/>
  <c r="T2196" i="5"/>
  <c r="X2196" i="5" s="1"/>
  <c r="U2196" i="5"/>
  <c r="T2143" i="5"/>
  <c r="V2090" i="5"/>
  <c r="W2090" i="5"/>
  <c r="T2082" i="5"/>
  <c r="U2074" i="5"/>
  <c r="U2051" i="5"/>
  <c r="T1919" i="5"/>
  <c r="T1817" i="5"/>
  <c r="X1817" i="5" s="1"/>
  <c r="T2419" i="5"/>
  <c r="T2269" i="5"/>
  <c r="U2232" i="5"/>
  <c r="U2167" i="5"/>
  <c r="T2150" i="5"/>
  <c r="U2150" i="5"/>
  <c r="P2150" i="5" s="1"/>
  <c r="U2139" i="5"/>
  <c r="T2136" i="5"/>
  <c r="U2108" i="5"/>
  <c r="U2070" i="5"/>
  <c r="W2051" i="5"/>
  <c r="V2051" i="5"/>
  <c r="T1863" i="5"/>
  <c r="T1781" i="5"/>
  <c r="X1781" i="5" s="1"/>
  <c r="T1428" i="5"/>
  <c r="T2434" i="5"/>
  <c r="T2387" i="5"/>
  <c r="T2364" i="5"/>
  <c r="U2361" i="5"/>
  <c r="P2361" i="5" s="1"/>
  <c r="T2351" i="5"/>
  <c r="U2336" i="5"/>
  <c r="P2336" i="5" s="1"/>
  <c r="U2316" i="5"/>
  <c r="T2281" i="5"/>
  <c r="X2281" i="5" s="1"/>
  <c r="U2276" i="5"/>
  <c r="P2276" i="5" s="1"/>
  <c r="T2246" i="5"/>
  <c r="T2207" i="5"/>
  <c r="W2203" i="5"/>
  <c r="V2203" i="5"/>
  <c r="U2179" i="5"/>
  <c r="P2179" i="5" s="1"/>
  <c r="T2171" i="5"/>
  <c r="X2171" i="5" s="1"/>
  <c r="U2158" i="5"/>
  <c r="W2139" i="5"/>
  <c r="V2139" i="5"/>
  <c r="U2128" i="5"/>
  <c r="T2128" i="5"/>
  <c r="U2120" i="5"/>
  <c r="T2066" i="5"/>
  <c r="X2066" i="5" s="1"/>
  <c r="T2062" i="5"/>
  <c r="U2062" i="5"/>
  <c r="Y2062" i="5" s="1"/>
  <c r="U2009" i="5"/>
  <c r="P2009" i="5" s="1"/>
  <c r="U1893" i="5"/>
  <c r="T1771" i="5"/>
  <c r="T2465" i="5"/>
  <c r="T2416" i="5"/>
  <c r="U2356" i="5"/>
  <c r="U2348" i="5"/>
  <c r="U2340" i="5"/>
  <c r="W2292" i="5"/>
  <c r="T2195" i="5"/>
  <c r="X2195" i="5" s="1"/>
  <c r="U2191" i="5"/>
  <c r="U2183" i="5"/>
  <c r="T2162" i="5"/>
  <c r="T2142" i="5"/>
  <c r="U2142" i="5"/>
  <c r="U2100" i="5"/>
  <c r="Y2100" i="5" s="1"/>
  <c r="T2081" i="5"/>
  <c r="U2081" i="5"/>
  <c r="P2081" i="5" s="1"/>
  <c r="U2077" i="5"/>
  <c r="U2054" i="5"/>
  <c r="U2042" i="5"/>
  <c r="T1980" i="5"/>
  <c r="T1962" i="5"/>
  <c r="U2457" i="5"/>
  <c r="T2439" i="5"/>
  <c r="V2323" i="5"/>
  <c r="T2321" i="5"/>
  <c r="T2311" i="5"/>
  <c r="V2301" i="5"/>
  <c r="W2294" i="5"/>
  <c r="T2242" i="5"/>
  <c r="U2242" i="5"/>
  <c r="U2221" i="5"/>
  <c r="T2149" i="5"/>
  <c r="T2116" i="5"/>
  <c r="U2073" i="5"/>
  <c r="T1883" i="5"/>
  <c r="X1883" i="5" s="1"/>
  <c r="T1826" i="5"/>
  <c r="U1826" i="5"/>
  <c r="U1570" i="5"/>
  <c r="T1570" i="5"/>
  <c r="U2459" i="5"/>
  <c r="T2444" i="5"/>
  <c r="U2431" i="5"/>
  <c r="W2428" i="5"/>
  <c r="T2426" i="5"/>
  <c r="T2408" i="5"/>
  <c r="U2405" i="5"/>
  <c r="T2400" i="5"/>
  <c r="T2392" i="5"/>
  <c r="U2389" i="5"/>
  <c r="T2384" i="5"/>
  <c r="T2377" i="5"/>
  <c r="U2358" i="5"/>
  <c r="U2323" i="5"/>
  <c r="U2301" i="5"/>
  <c r="P2301" i="5" s="1"/>
  <c r="U2294" i="5"/>
  <c r="U2292" i="5"/>
  <c r="U2278" i="5"/>
  <c r="T2271" i="5"/>
  <c r="U2256" i="5"/>
  <c r="T2210" i="5"/>
  <c r="T2206" i="5"/>
  <c r="U2206" i="5"/>
  <c r="P2206" i="5" s="1"/>
  <c r="U2166" i="5"/>
  <c r="U2153" i="5"/>
  <c r="U2131" i="5"/>
  <c r="U2119" i="5"/>
  <c r="U2107" i="5"/>
  <c r="U2089" i="5"/>
  <c r="P2089" i="5" s="1"/>
  <c r="U2015" i="5"/>
  <c r="U1942" i="5"/>
  <c r="T1942" i="5"/>
  <c r="X1942" i="5" s="1"/>
  <c r="T1897" i="5"/>
  <c r="U2449" i="5"/>
  <c r="U2441" i="5"/>
  <c r="U2421" i="5"/>
  <c r="U2413" i="5"/>
  <c r="T2374" i="5"/>
  <c r="T2371" i="5"/>
  <c r="T2328" i="5"/>
  <c r="X2328" i="5" s="1"/>
  <c r="U2318" i="5"/>
  <c r="U2308" i="5"/>
  <c r="T2285" i="5"/>
  <c r="X2285" i="5" s="1"/>
  <c r="U2268" i="5"/>
  <c r="T2245" i="5"/>
  <c r="U2238" i="5"/>
  <c r="T2214" i="5"/>
  <c r="T2190" i="5"/>
  <c r="U2190" i="5"/>
  <c r="T2127" i="5"/>
  <c r="U2127" i="5"/>
  <c r="T2099" i="5"/>
  <c r="U2099" i="5"/>
  <c r="U2076" i="5"/>
  <c r="U2065" i="5"/>
  <c r="Y2065" i="5" s="1"/>
  <c r="U1984" i="5"/>
  <c r="P1984" i="5" s="1"/>
  <c r="U2433" i="5"/>
  <c r="U2423" i="5"/>
  <c r="T2418" i="5"/>
  <c r="U2350" i="5"/>
  <c r="T2335" i="5"/>
  <c r="T2313" i="5"/>
  <c r="T2303" i="5"/>
  <c r="V2273" i="5"/>
  <c r="T2241" i="5"/>
  <c r="W2190" i="5"/>
  <c r="V2190" i="5"/>
  <c r="T2161" i="5"/>
  <c r="T2141" i="5"/>
  <c r="U2141" i="5"/>
  <c r="T2115" i="5"/>
  <c r="U2115" i="5"/>
  <c r="T2084" i="5"/>
  <c r="T2080" i="5"/>
  <c r="U2080" i="5"/>
  <c r="U2072" i="5"/>
  <c r="T2057" i="5"/>
  <c r="U2041" i="5"/>
  <c r="P2041" i="5" s="1"/>
  <c r="U2028" i="5"/>
  <c r="U1974" i="5"/>
  <c r="T1626" i="5"/>
  <c r="T2446" i="5"/>
  <c r="T2428" i="5"/>
  <c r="X2428" i="5" s="1"/>
  <c r="T2410" i="5"/>
  <c r="T2402" i="5"/>
  <c r="U2397" i="5"/>
  <c r="T2386" i="5"/>
  <c r="T2363" i="5"/>
  <c r="X2363" i="5" s="1"/>
  <c r="T2273" i="5"/>
  <c r="T2248" i="5"/>
  <c r="T2234" i="5"/>
  <c r="U2194" i="5"/>
  <c r="U2165" i="5"/>
  <c r="U2106" i="5"/>
  <c r="U2088" i="5"/>
  <c r="T2068" i="5"/>
  <c r="U1804" i="5"/>
  <c r="T2394" i="5"/>
  <c r="T2368" i="5"/>
  <c r="T2325" i="5"/>
  <c r="X2325" i="5" s="1"/>
  <c r="T2223" i="5"/>
  <c r="X2223" i="5" s="1"/>
  <c r="U2220" i="5"/>
  <c r="T2213" i="5"/>
  <c r="U2213" i="5"/>
  <c r="U2209" i="5"/>
  <c r="T2205" i="5"/>
  <c r="X2205" i="5" s="1"/>
  <c r="U2205" i="5"/>
  <c r="T2173" i="5"/>
  <c r="U2169" i="5"/>
  <c r="U2152" i="5"/>
  <c r="T2125" i="5"/>
  <c r="T2102" i="5"/>
  <c r="X2102" i="5" s="1"/>
  <c r="U1993" i="5"/>
  <c r="U1960" i="5"/>
  <c r="U1906" i="5"/>
  <c r="T1906" i="5"/>
  <c r="T1901" i="5"/>
  <c r="T1839" i="5"/>
  <c r="T2456" i="5"/>
  <c r="T2407" i="5"/>
  <c r="T2391" i="5"/>
  <c r="T2383" i="5"/>
  <c r="X2383" i="5" s="1"/>
  <c r="T2347" i="5"/>
  <c r="U2320" i="5"/>
  <c r="U2315" i="5"/>
  <c r="T2237" i="5"/>
  <c r="U2237" i="5"/>
  <c r="U2197" i="5"/>
  <c r="T2189" i="5"/>
  <c r="U2189" i="5"/>
  <c r="U2177" i="5"/>
  <c r="T2140" i="5"/>
  <c r="U2140" i="5"/>
  <c r="T2134" i="5"/>
  <c r="T2110" i="5"/>
  <c r="T2079" i="5"/>
  <c r="X2079" i="5" s="1"/>
  <c r="U2064" i="5"/>
  <c r="T2056" i="5"/>
  <c r="T2040" i="5"/>
  <c r="U1926" i="5"/>
  <c r="V1906" i="5"/>
  <c r="W1906" i="5"/>
  <c r="T1882" i="5"/>
  <c r="V1839" i="5"/>
  <c r="W1839" i="5"/>
  <c r="U2461" i="5"/>
  <c r="T2412" i="5"/>
  <c r="T2404" i="5"/>
  <c r="X2404" i="5" s="1"/>
  <c r="U2399" i="5"/>
  <c r="T2395" i="5"/>
  <c r="W2344" i="5"/>
  <c r="T2337" i="5"/>
  <c r="V2332" i="5"/>
  <c r="U2327" i="5"/>
  <c r="T2193" i="5"/>
  <c r="U2160" i="5"/>
  <c r="V2140" i="5"/>
  <c r="W2140" i="5"/>
  <c r="T2118" i="5"/>
  <c r="T2114" i="5"/>
  <c r="U2114" i="5"/>
  <c r="U2095" i="5"/>
  <c r="U2037" i="5"/>
  <c r="T2034" i="5"/>
  <c r="U2034" i="5"/>
  <c r="U1991" i="5"/>
  <c r="T1965" i="5"/>
  <c r="T1961" i="5"/>
  <c r="T1957" i="5"/>
  <c r="X1957" i="5" s="1"/>
  <c r="T1929" i="5"/>
  <c r="U1917" i="5"/>
  <c r="T1874" i="5"/>
  <c r="X1874" i="5" s="1"/>
  <c r="U1862" i="5"/>
  <c r="T1854" i="5"/>
  <c r="T1780" i="5"/>
  <c r="T1663" i="5"/>
  <c r="U1658" i="5"/>
  <c r="T2194" i="5"/>
  <c r="T2024" i="5"/>
  <c r="T2018" i="5"/>
  <c r="X2018" i="5" s="1"/>
  <c r="V1965" i="5"/>
  <c r="W1965" i="5"/>
  <c r="U1941" i="5"/>
  <c r="T1937" i="5"/>
  <c r="T1925" i="5"/>
  <c r="T1921" i="5"/>
  <c r="V1917" i="5"/>
  <c r="W1917" i="5"/>
  <c r="U1909" i="5"/>
  <c r="T1905" i="5"/>
  <c r="T1888" i="5"/>
  <c r="T1884" i="5"/>
  <c r="X1884" i="5" s="1"/>
  <c r="U1838" i="5"/>
  <c r="W1821" i="5"/>
  <c r="V1821" i="5"/>
  <c r="T1816" i="5"/>
  <c r="T1696" i="5"/>
  <c r="X1696" i="5" s="1"/>
  <c r="U1574" i="5"/>
  <c r="U1523" i="5"/>
  <c r="T2247" i="5"/>
  <c r="W2095" i="5"/>
  <c r="U2021" i="5"/>
  <c r="T1997" i="5"/>
  <c r="V1979" i="5"/>
  <c r="U1858" i="5"/>
  <c r="U1849" i="5"/>
  <c r="U1829" i="5"/>
  <c r="T1807" i="5"/>
  <c r="T1728" i="5"/>
  <c r="U1533" i="5"/>
  <c r="T2093" i="5"/>
  <c r="T2027" i="5"/>
  <c r="U2027" i="5"/>
  <c r="U2002" i="5"/>
  <c r="T1979" i="5"/>
  <c r="U1952" i="5"/>
  <c r="T1825" i="5"/>
  <c r="U1798" i="5"/>
  <c r="T1789" i="5"/>
  <c r="U1784" i="5"/>
  <c r="U1779" i="5"/>
  <c r="T1990" i="5"/>
  <c r="T1932" i="5"/>
  <c r="U1924" i="5"/>
  <c r="Y1924" i="5" s="1"/>
  <c r="T1900" i="5"/>
  <c r="U1896" i="5"/>
  <c r="P1896" i="5" s="1"/>
  <c r="T1887" i="5"/>
  <c r="U1887" i="5"/>
  <c r="T2249" i="5"/>
  <c r="T2198" i="5"/>
  <c r="W2102" i="5"/>
  <c r="W2066" i="5"/>
  <c r="T2030" i="5"/>
  <c r="U1971" i="5"/>
  <c r="U1940" i="5"/>
  <c r="U1908" i="5"/>
  <c r="Y1908" i="5" s="1"/>
  <c r="U1861" i="5"/>
  <c r="T1833" i="5"/>
  <c r="X1833" i="5" s="1"/>
  <c r="U1802" i="5"/>
  <c r="T1592" i="5"/>
  <c r="W1547" i="5"/>
  <c r="V1547" i="5"/>
  <c r="U2229" i="5"/>
  <c r="U2193" i="5"/>
  <c r="U2172" i="5"/>
  <c r="V2170" i="5"/>
  <c r="V2154" i="5"/>
  <c r="U2109" i="5"/>
  <c r="U2102" i="5"/>
  <c r="T2100" i="5"/>
  <c r="U2068" i="5"/>
  <c r="U2066" i="5"/>
  <c r="T1951" i="5"/>
  <c r="T1876" i="5"/>
  <c r="T1844" i="5"/>
  <c r="U1844" i="5"/>
  <c r="T1824" i="5"/>
  <c r="U1824" i="5"/>
  <c r="U1793" i="5"/>
  <c r="T1788" i="5"/>
  <c r="U1636" i="5"/>
  <c r="U2246" i="5"/>
  <c r="U2234" i="5"/>
  <c r="U2216" i="5"/>
  <c r="T2170" i="5"/>
  <c r="U2020" i="5"/>
  <c r="T2001" i="5"/>
  <c r="T1989" i="5"/>
  <c r="T1978" i="5"/>
  <c r="T1931" i="5"/>
  <c r="T1899" i="5"/>
  <c r="U1899" i="5"/>
  <c r="W1844" i="5"/>
  <c r="V1844" i="5"/>
  <c r="T1836" i="5"/>
  <c r="U1836" i="5"/>
  <c r="V1824" i="5"/>
  <c r="W1824" i="5"/>
  <c r="U2136" i="5"/>
  <c r="T2120" i="5"/>
  <c r="T2077" i="5"/>
  <c r="U2026" i="5"/>
  <c r="T1993" i="5"/>
  <c r="X1993" i="5" s="1"/>
  <c r="T1974" i="5"/>
  <c r="T1967" i="5"/>
  <c r="T1959" i="5"/>
  <c r="T1955" i="5"/>
  <c r="U1919" i="5"/>
  <c r="U1883" i="5"/>
  <c r="T1872" i="5"/>
  <c r="U1848" i="5"/>
  <c r="U1745" i="5"/>
  <c r="U2241" i="5"/>
  <c r="P2241" i="5" s="1"/>
  <c r="U2223" i="5"/>
  <c r="U2204" i="5"/>
  <c r="U2202" i="5"/>
  <c r="U2195" i="5"/>
  <c r="U2149" i="5"/>
  <c r="U2125" i="5"/>
  <c r="T2104" i="5"/>
  <c r="U2079" i="5"/>
  <c r="T2061" i="5"/>
  <c r="U2056" i="5"/>
  <c r="U2045" i="5"/>
  <c r="Y2045" i="5" s="1"/>
  <c r="V2026" i="5"/>
  <c r="W2026" i="5"/>
  <c r="T2013" i="5"/>
  <c r="U2013" i="5"/>
  <c r="U1943" i="5"/>
  <c r="T1939" i="5"/>
  <c r="T1935" i="5"/>
  <c r="U1927" i="5"/>
  <c r="U1911" i="5"/>
  <c r="T1907" i="5"/>
  <c r="T1903" i="5"/>
  <c r="T1886" i="5"/>
  <c r="U1814" i="5"/>
  <c r="U1750" i="5"/>
  <c r="P1750" i="5" s="1"/>
  <c r="U1501" i="5"/>
  <c r="U2248" i="5"/>
  <c r="U2047" i="5"/>
  <c r="U2040" i="5"/>
  <c r="T2000" i="5"/>
  <c r="U1977" i="5"/>
  <c r="T1864" i="5"/>
  <c r="U1680" i="5"/>
  <c r="T1325" i="5"/>
  <c r="U2218" i="5"/>
  <c r="Y2218" i="5" s="1"/>
  <c r="W2117" i="5"/>
  <c r="W2083" i="5"/>
  <c r="T2019" i="5"/>
  <c r="U2019" i="5"/>
  <c r="U2016" i="5"/>
  <c r="T2004" i="5"/>
  <c r="T1981" i="5"/>
  <c r="T1958" i="5"/>
  <c r="U1958" i="5"/>
  <c r="T1954" i="5"/>
  <c r="T1946" i="5"/>
  <c r="X1946" i="5" s="1"/>
  <c r="U1894" i="5"/>
  <c r="T1831" i="5"/>
  <c r="X1831" i="5" s="1"/>
  <c r="U1831" i="5"/>
  <c r="U1827" i="5"/>
  <c r="T1818" i="5"/>
  <c r="U1809" i="5"/>
  <c r="T1800" i="5"/>
  <c r="X1800" i="5" s="1"/>
  <c r="U1800" i="5"/>
  <c r="V2199" i="5"/>
  <c r="T2188" i="5"/>
  <c r="W2144" i="5"/>
  <c r="W2058" i="5"/>
  <c r="U2049" i="5"/>
  <c r="U2035" i="5"/>
  <c r="T2025" i="5"/>
  <c r="T2012" i="5"/>
  <c r="U2012" i="5"/>
  <c r="T1992" i="5"/>
  <c r="T1973" i="5"/>
  <c r="X1973" i="5" s="1"/>
  <c r="T1918" i="5"/>
  <c r="T1914" i="5"/>
  <c r="X1914" i="5" s="1"/>
  <c r="T1898" i="5"/>
  <c r="X1898" i="5" s="1"/>
  <c r="T1885" i="5"/>
  <c r="T1813" i="5"/>
  <c r="U1813" i="5"/>
  <c r="T1654" i="5"/>
  <c r="U1654" i="5"/>
  <c r="T1408" i="5"/>
  <c r="T1944" i="5"/>
  <c r="U1884" i="5"/>
  <c r="T1859" i="5"/>
  <c r="T1851" i="5"/>
  <c r="T1815" i="5"/>
  <c r="T1810" i="5"/>
  <c r="X1810" i="5" s="1"/>
  <c r="U1805" i="5"/>
  <c r="U1753" i="5"/>
  <c r="T1708" i="5"/>
  <c r="U1708" i="5"/>
  <c r="T1704" i="5"/>
  <c r="U1684" i="5"/>
  <c r="T1675" i="5"/>
  <c r="T1671" i="5"/>
  <c r="U1662" i="5"/>
  <c r="T1640" i="5"/>
  <c r="U1578" i="5"/>
  <c r="T1555" i="5"/>
  <c r="T1541" i="5"/>
  <c r="X1541" i="5" s="1"/>
  <c r="U1497" i="5"/>
  <c r="T1402" i="5"/>
  <c r="T1896" i="5"/>
  <c r="U1872" i="5"/>
  <c r="T1861" i="5"/>
  <c r="U1833" i="5"/>
  <c r="T1802" i="5"/>
  <c r="U1759" i="5"/>
  <c r="T1731" i="5"/>
  <c r="T1648" i="5"/>
  <c r="X1648" i="5" s="1"/>
  <c r="V1578" i="5"/>
  <c r="W1578" i="5"/>
  <c r="V1532" i="5"/>
  <c r="W1532" i="5"/>
  <c r="T1527" i="5"/>
  <c r="X1527" i="5" s="1"/>
  <c r="T1848" i="5"/>
  <c r="X1848" i="5" s="1"/>
  <c r="T1838" i="5"/>
  <c r="X1838" i="5" s="1"/>
  <c r="T1823" i="5"/>
  <c r="X1823" i="5" s="1"/>
  <c r="T1820" i="5"/>
  <c r="X1820" i="5" s="1"/>
  <c r="T1779" i="5"/>
  <c r="U1767" i="5"/>
  <c r="Y1767" i="5" s="1"/>
  <c r="T1695" i="5"/>
  <c r="U1695" i="5"/>
  <c r="U1631" i="5"/>
  <c r="U1620" i="5"/>
  <c r="T1487" i="5"/>
  <c r="X1487" i="5" s="1"/>
  <c r="U1446" i="5"/>
  <c r="U2001" i="5"/>
  <c r="U1990" i="5"/>
  <c r="U1983" i="5"/>
  <c r="P1983" i="5" s="1"/>
  <c r="U1978" i="5"/>
  <c r="W1941" i="5"/>
  <c r="U1939" i="5"/>
  <c r="U1937" i="5"/>
  <c r="Y1937" i="5" s="1"/>
  <c r="U1918" i="5"/>
  <c r="W1909" i="5"/>
  <c r="U1907" i="5"/>
  <c r="U1905" i="5"/>
  <c r="W1893" i="5"/>
  <c r="V1888" i="5"/>
  <c r="T1881" i="5"/>
  <c r="U1863" i="5"/>
  <c r="U1843" i="5"/>
  <c r="T1835" i="5"/>
  <c r="T1830" i="5"/>
  <c r="U1812" i="5"/>
  <c r="T1794" i="5"/>
  <c r="T1791" i="5"/>
  <c r="U1775" i="5"/>
  <c r="U1723" i="5"/>
  <c r="T1691" i="5"/>
  <c r="X1691" i="5" s="1"/>
  <c r="U1635" i="5"/>
  <c r="U1605" i="5"/>
  <c r="U1582" i="5"/>
  <c r="W1573" i="5"/>
  <c r="V1573" i="5"/>
  <c r="W1469" i="5"/>
  <c r="V1469" i="5"/>
  <c r="T1396" i="5"/>
  <c r="U2025" i="5"/>
  <c r="P2025" i="5" s="1"/>
  <c r="V2008" i="5"/>
  <c r="U1959" i="5"/>
  <c r="U1925" i="5"/>
  <c r="U1900" i="5"/>
  <c r="U1888" i="5"/>
  <c r="U1876" i="5"/>
  <c r="W1853" i="5"/>
  <c r="U1825" i="5"/>
  <c r="Y1825" i="5" s="1"/>
  <c r="U1817" i="5"/>
  <c r="U1771" i="5"/>
  <c r="T1758" i="5"/>
  <c r="X1758" i="5" s="1"/>
  <c r="U1758" i="5"/>
  <c r="T1735" i="5"/>
  <c r="X1735" i="5" s="1"/>
  <c r="T1643" i="5"/>
  <c r="U1643" i="5"/>
  <c r="T1577" i="5"/>
  <c r="U1421" i="5"/>
  <c r="T1090" i="5"/>
  <c r="X1090" i="5" s="1"/>
  <c r="U1090" i="5"/>
  <c r="T730" i="5"/>
  <c r="X730" i="5" s="1"/>
  <c r="T1971" i="5"/>
  <c r="T1952" i="5"/>
  <c r="U1932" i="5"/>
  <c r="T1845" i="5"/>
  <c r="X1845" i="5" s="1"/>
  <c r="T1799" i="5"/>
  <c r="X1799" i="5" s="1"/>
  <c r="T1782" i="5"/>
  <c r="U1782" i="5"/>
  <c r="U1766" i="5"/>
  <c r="U1743" i="5"/>
  <c r="T1630" i="5"/>
  <c r="U1630" i="5"/>
  <c r="T1323" i="5"/>
  <c r="T1814" i="5"/>
  <c r="T1804" i="5"/>
  <c r="T1790" i="5"/>
  <c r="X1790" i="5" s="1"/>
  <c r="U1748" i="5"/>
  <c r="W1743" i="5"/>
  <c r="V1743" i="5"/>
  <c r="U1730" i="5"/>
  <c r="U1694" i="5"/>
  <c r="U1656" i="5"/>
  <c r="T1558" i="5"/>
  <c r="X1558" i="5" s="1"/>
  <c r="T1549" i="5"/>
  <c r="X1549" i="5" s="1"/>
  <c r="T1410" i="5"/>
  <c r="X1410" i="5" s="1"/>
  <c r="U1400" i="5"/>
  <c r="T989" i="5"/>
  <c r="T2029" i="5"/>
  <c r="T2003" i="5"/>
  <c r="T1920" i="5"/>
  <c r="U1890" i="5"/>
  <c r="U1837" i="5"/>
  <c r="T1832" i="5"/>
  <c r="T1822" i="5"/>
  <c r="U1801" i="5"/>
  <c r="T1774" i="5"/>
  <c r="U1774" i="5"/>
  <c r="T1678" i="5"/>
  <c r="X1678" i="5" s="1"/>
  <c r="T1660" i="5"/>
  <c r="T1634" i="5"/>
  <c r="W1619" i="5"/>
  <c r="V1619" i="5"/>
  <c r="T1594" i="5"/>
  <c r="U1539" i="5"/>
  <c r="U1503" i="5"/>
  <c r="T1495" i="5"/>
  <c r="U1108" i="5"/>
  <c r="Y1108" i="5" s="1"/>
  <c r="T1108" i="5"/>
  <c r="T1865" i="5"/>
  <c r="X1865" i="5" s="1"/>
  <c r="U1847" i="5"/>
  <c r="T1819" i="5"/>
  <c r="T1796" i="5"/>
  <c r="U1718" i="5"/>
  <c r="U1706" i="5"/>
  <c r="T1698" i="5"/>
  <c r="T1682" i="5"/>
  <c r="X1682" i="5" s="1"/>
  <c r="T1562" i="5"/>
  <c r="U1562" i="5"/>
  <c r="T1507" i="5"/>
  <c r="T1425" i="5"/>
  <c r="X1425" i="5" s="1"/>
  <c r="U1296" i="5"/>
  <c r="T1987" i="5"/>
  <c r="T1834" i="5"/>
  <c r="X1834" i="5" s="1"/>
  <c r="T1829" i="5"/>
  <c r="T1793" i="5"/>
  <c r="X1793" i="5" s="1"/>
  <c r="T1761" i="5"/>
  <c r="U1761" i="5"/>
  <c r="T1757" i="5"/>
  <c r="T1751" i="5"/>
  <c r="T1741" i="5"/>
  <c r="X1741" i="5" s="1"/>
  <c r="U1690" i="5"/>
  <c r="T1686" i="5"/>
  <c r="U1686" i="5"/>
  <c r="U1571" i="5"/>
  <c r="T1360" i="5"/>
  <c r="X1360" i="5" s="1"/>
  <c r="U1360" i="5"/>
  <c r="U2000" i="5"/>
  <c r="U1967" i="5"/>
  <c r="U1965" i="5"/>
  <c r="U1956" i="5"/>
  <c r="U1951" i="5"/>
  <c r="U1949" i="5"/>
  <c r="T1936" i="5"/>
  <c r="U1931" i="5"/>
  <c r="T1904" i="5"/>
  <c r="U1882" i="5"/>
  <c r="U1839" i="5"/>
  <c r="T1806" i="5"/>
  <c r="T1725" i="5"/>
  <c r="X1725" i="5" s="1"/>
  <c r="V1686" i="5"/>
  <c r="W1686" i="5"/>
  <c r="U1557" i="5"/>
  <c r="T1534" i="5"/>
  <c r="X1534" i="5" s="1"/>
  <c r="T1502" i="5"/>
  <c r="T1862" i="5"/>
  <c r="X1862" i="5" s="1"/>
  <c r="U1852" i="5"/>
  <c r="T1849" i="5"/>
  <c r="T1798" i="5"/>
  <c r="U1789" i="5"/>
  <c r="T1650" i="5"/>
  <c r="U1650" i="5"/>
  <c r="U1622" i="5"/>
  <c r="T1588" i="5"/>
  <c r="X1588" i="5" s="1"/>
  <c r="T1566" i="5"/>
  <c r="W1552" i="5"/>
  <c r="V1552" i="5"/>
  <c r="U1506" i="5"/>
  <c r="T1216" i="5"/>
  <c r="V2009" i="5"/>
  <c r="T2007" i="5"/>
  <c r="W1926" i="5"/>
  <c r="T1924" i="5"/>
  <c r="T1857" i="5"/>
  <c r="T1773" i="5"/>
  <c r="W1672" i="5"/>
  <c r="V1672" i="5"/>
  <c r="T1628" i="5"/>
  <c r="X1628" i="5" s="1"/>
  <c r="U1575" i="5"/>
  <c r="T1538" i="5"/>
  <c r="X1538" i="5" s="1"/>
  <c r="T1510" i="5"/>
  <c r="U1510" i="5"/>
  <c r="T1429" i="5"/>
  <c r="T1710" i="5"/>
  <c r="U1664" i="5"/>
  <c r="T1535" i="5"/>
  <c r="T1519" i="5"/>
  <c r="T1513" i="5"/>
  <c r="T1461" i="5"/>
  <c r="X1461" i="5" s="1"/>
  <c r="T1430" i="5"/>
  <c r="X1430" i="5" s="1"/>
  <c r="U1413" i="5"/>
  <c r="U1401" i="5"/>
  <c r="T1365" i="5"/>
  <c r="X1365" i="5" s="1"/>
  <c r="T1317" i="5"/>
  <c r="T1275" i="5"/>
  <c r="U1275" i="5"/>
  <c r="U1177" i="5"/>
  <c r="T1177" i="5"/>
  <c r="X1177" i="5" s="1"/>
  <c r="T1133" i="5"/>
  <c r="U891" i="5"/>
  <c r="T891" i="5"/>
  <c r="W1781" i="5"/>
  <c r="V1707" i="5"/>
  <c r="U1672" i="5"/>
  <c r="T1573" i="5"/>
  <c r="T1565" i="5"/>
  <c r="T1547" i="5"/>
  <c r="T1472" i="5"/>
  <c r="T1469" i="5"/>
  <c r="T1438" i="5"/>
  <c r="T1417" i="5"/>
  <c r="U1417" i="5"/>
  <c r="W1413" i="5"/>
  <c r="V1413" i="5"/>
  <c r="V1317" i="5"/>
  <c r="W1317" i="5"/>
  <c r="U1280" i="5"/>
  <c r="T770" i="5"/>
  <c r="X770" i="5" s="1"/>
  <c r="U770" i="5"/>
  <c r="T1683" i="5"/>
  <c r="T1642" i="5"/>
  <c r="X1642" i="5" s="1"/>
  <c r="T1529" i="5"/>
  <c r="W1485" i="5"/>
  <c r="V1485" i="5"/>
  <c r="U1464" i="5"/>
  <c r="T1464" i="5"/>
  <c r="U1460" i="5"/>
  <c r="T1412" i="5"/>
  <c r="U1364" i="5"/>
  <c r="T1351" i="5"/>
  <c r="X1351" i="5" s="1"/>
  <c r="U1351" i="5"/>
  <c r="T1211" i="5"/>
  <c r="U1171" i="5"/>
  <c r="Y1171" i="5" s="1"/>
  <c r="U1137" i="5"/>
  <c r="V24" i="5"/>
  <c r="W24" i="5"/>
  <c r="T1783" i="5"/>
  <c r="U1773" i="5"/>
  <c r="P1773" i="5" s="1"/>
  <c r="U1765" i="5"/>
  <c r="T1762" i="5"/>
  <c r="U1692" i="5"/>
  <c r="V1680" i="5"/>
  <c r="U1666" i="5"/>
  <c r="P1666" i="5" s="1"/>
  <c r="U1663" i="5"/>
  <c r="T1644" i="5"/>
  <c r="W1639" i="5"/>
  <c r="U1626" i="5"/>
  <c r="T1554" i="5"/>
  <c r="W1526" i="5"/>
  <c r="T1475" i="5"/>
  <c r="T1448" i="5"/>
  <c r="T1444" i="5"/>
  <c r="U1444" i="5"/>
  <c r="T1391" i="5"/>
  <c r="X1391" i="5" s="1"/>
  <c r="T1387" i="5"/>
  <c r="U1341" i="5"/>
  <c r="T1341" i="5"/>
  <c r="T1332" i="5"/>
  <c r="X1332" i="5" s="1"/>
  <c r="T1220" i="5"/>
  <c r="U933" i="5"/>
  <c r="T822" i="5"/>
  <c r="U822" i="5"/>
  <c r="T1786" i="5"/>
  <c r="X1786" i="5" s="1"/>
  <c r="U1757" i="5"/>
  <c r="T1718" i="5"/>
  <c r="U1704" i="5"/>
  <c r="U1660" i="5"/>
  <c r="T1602" i="5"/>
  <c r="U1534" i="5"/>
  <c r="T1518" i="5"/>
  <c r="X1518" i="5" s="1"/>
  <c r="U1495" i="5"/>
  <c r="Y1495" i="5" s="1"/>
  <c r="U1428" i="5"/>
  <c r="T1420" i="5"/>
  <c r="T1395" i="5"/>
  <c r="T1379" i="5"/>
  <c r="U1371" i="5"/>
  <c r="T1371" i="5"/>
  <c r="X1371" i="5" s="1"/>
  <c r="T1359" i="5"/>
  <c r="X1359" i="5" s="1"/>
  <c r="U1359" i="5"/>
  <c r="W1341" i="5"/>
  <c r="V1341" i="5"/>
  <c r="U1101" i="5"/>
  <c r="U1042" i="5"/>
  <c r="T1042" i="5"/>
  <c r="T978" i="5"/>
  <c r="U748" i="5"/>
  <c r="T1778" i="5"/>
  <c r="U1735" i="5"/>
  <c r="T1730" i="5"/>
  <c r="X1730" i="5" s="1"/>
  <c r="W1685" i="5"/>
  <c r="T1680" i="5"/>
  <c r="U1671" i="5"/>
  <c r="Y1671" i="5" s="1"/>
  <c r="U1634" i="5"/>
  <c r="W1623" i="5"/>
  <c r="T1605" i="5"/>
  <c r="X1605" i="5" s="1"/>
  <c r="V1561" i="5"/>
  <c r="T1539" i="5"/>
  <c r="U1531" i="5"/>
  <c r="T1523" i="5"/>
  <c r="T1509" i="5"/>
  <c r="X1509" i="5" s="1"/>
  <c r="T1471" i="5"/>
  <c r="T1424" i="5"/>
  <c r="T1411" i="5"/>
  <c r="X1411" i="5" s="1"/>
  <c r="T1278" i="5"/>
  <c r="U1084" i="5"/>
  <c r="T1084" i="5"/>
  <c r="U1788" i="5"/>
  <c r="W1770" i="5"/>
  <c r="U1727" i="5"/>
  <c r="T1501" i="5"/>
  <c r="T1463" i="5"/>
  <c r="T1447" i="5"/>
  <c r="T1403" i="5"/>
  <c r="U1403" i="5"/>
  <c r="T1390" i="5"/>
  <c r="U1350" i="5"/>
  <c r="P1350" i="5" s="1"/>
  <c r="T1306" i="5"/>
  <c r="U1249" i="5"/>
  <c r="T1219" i="5"/>
  <c r="T1131" i="5"/>
  <c r="U1780" i="5"/>
  <c r="T1767" i="5"/>
  <c r="T1759" i="5"/>
  <c r="T1753" i="5"/>
  <c r="T1748" i="5"/>
  <c r="T1732" i="5"/>
  <c r="U1696" i="5"/>
  <c r="U1592" i="5"/>
  <c r="T1582" i="5"/>
  <c r="T1579" i="5"/>
  <c r="T1432" i="5"/>
  <c r="T1415" i="5"/>
  <c r="U1386" i="5"/>
  <c r="T1382" i="5"/>
  <c r="U1382" i="5"/>
  <c r="T1378" i="5"/>
  <c r="T1340" i="5"/>
  <c r="U1331" i="5"/>
  <c r="V1219" i="5"/>
  <c r="W1219" i="5"/>
  <c r="U1179" i="5"/>
  <c r="Y1179" i="5" s="1"/>
  <c r="V1782" i="5"/>
  <c r="T1775" i="5"/>
  <c r="T1764" i="5"/>
  <c r="X1764" i="5" s="1"/>
  <c r="T1706" i="5"/>
  <c r="U1627" i="5"/>
  <c r="U1558" i="5"/>
  <c r="U1541" i="5"/>
  <c r="U1492" i="5"/>
  <c r="T1477" i="5"/>
  <c r="T1455" i="5"/>
  <c r="T1451" i="5"/>
  <c r="U1410" i="5"/>
  <c r="U1394" i="5"/>
  <c r="U1323" i="5"/>
  <c r="T1282" i="5"/>
  <c r="T1117" i="5"/>
  <c r="X1117" i="5" s="1"/>
  <c r="U1117" i="5"/>
  <c r="W1717" i="5"/>
  <c r="T1631" i="5"/>
  <c r="T1563" i="5"/>
  <c r="X1563" i="5" s="1"/>
  <c r="T1517" i="5"/>
  <c r="U1514" i="5"/>
  <c r="T1488" i="5"/>
  <c r="W1427" i="5"/>
  <c r="T1423" i="5"/>
  <c r="T1335" i="5"/>
  <c r="U1218" i="5"/>
  <c r="V1078" i="5"/>
  <c r="W1078" i="5"/>
  <c r="U960" i="5"/>
  <c r="T515" i="5"/>
  <c r="T1571" i="5"/>
  <c r="T1533" i="5"/>
  <c r="T1427" i="5"/>
  <c r="X1427" i="5" s="1"/>
  <c r="U1402" i="5"/>
  <c r="T1377" i="5"/>
  <c r="V1248" i="5"/>
  <c r="W1248" i="5"/>
  <c r="T1064" i="5"/>
  <c r="T941" i="5"/>
  <c r="U941" i="5"/>
  <c r="U1729" i="5"/>
  <c r="U1717" i="5"/>
  <c r="T1711" i="5"/>
  <c r="U1698" i="5"/>
  <c r="U1601" i="5"/>
  <c r="U1588" i="5"/>
  <c r="U1473" i="5"/>
  <c r="T1473" i="5"/>
  <c r="U1454" i="5"/>
  <c r="T1435" i="5"/>
  <c r="T1418" i="5"/>
  <c r="T1353" i="5"/>
  <c r="X1353" i="5" s="1"/>
  <c r="T1173" i="5"/>
  <c r="T882" i="5"/>
  <c r="U882" i="5"/>
  <c r="Y882" i="5" s="1"/>
  <c r="W1758" i="5"/>
  <c r="T1684" i="5"/>
  <c r="U1675" i="5"/>
  <c r="T1659" i="5"/>
  <c r="X1659" i="5" s="1"/>
  <c r="T1656" i="5"/>
  <c r="U1640" i="5"/>
  <c r="T1622" i="5"/>
  <c r="V1591" i="5"/>
  <c r="V1581" i="5"/>
  <c r="U1538" i="5"/>
  <c r="U1527" i="5"/>
  <c r="U1487" i="5"/>
  <c r="T1450" i="5"/>
  <c r="V1418" i="5"/>
  <c r="W1418" i="5"/>
  <c r="T1299" i="5"/>
  <c r="W1235" i="5"/>
  <c r="V1235" i="5"/>
  <c r="T1203" i="5"/>
  <c r="U1203" i="5"/>
  <c r="T1151" i="5"/>
  <c r="T1147" i="5"/>
  <c r="X1147" i="5" s="1"/>
  <c r="T1766" i="5"/>
  <c r="U1731" i="5"/>
  <c r="W1705" i="5"/>
  <c r="T1664" i="5"/>
  <c r="T1581" i="5"/>
  <c r="U1535" i="5"/>
  <c r="U1519" i="5"/>
  <c r="T1505" i="5"/>
  <c r="T1491" i="5"/>
  <c r="T1409" i="5"/>
  <c r="U1381" i="5"/>
  <c r="T1348" i="5"/>
  <c r="U1343" i="5"/>
  <c r="T1343" i="5"/>
  <c r="X1343" i="5" s="1"/>
  <c r="T1322" i="5"/>
  <c r="U1317" i="5"/>
  <c r="U1262" i="5"/>
  <c r="V1203" i="5"/>
  <c r="W1203" i="5"/>
  <c r="T1195" i="5"/>
  <c r="T1182" i="5"/>
  <c r="U616" i="5"/>
  <c r="T616" i="5"/>
  <c r="T1439" i="5"/>
  <c r="T1434" i="5"/>
  <c r="X1434" i="5" s="1"/>
  <c r="T1421" i="5"/>
  <c r="U1385" i="5"/>
  <c r="W1314" i="5"/>
  <c r="V1314" i="5"/>
  <c r="T1300" i="5"/>
  <c r="U1300" i="5"/>
  <c r="T1293" i="5"/>
  <c r="T1283" i="5"/>
  <c r="U1279" i="5"/>
  <c r="Y1279" i="5" s="1"/>
  <c r="T1279" i="5"/>
  <c r="T1252" i="5"/>
  <c r="T1239" i="5"/>
  <c r="U1239" i="5"/>
  <c r="T1197" i="5"/>
  <c r="U1190" i="5"/>
  <c r="V1115" i="5"/>
  <c r="W1115" i="5"/>
  <c r="T1095" i="5"/>
  <c r="U1060" i="5"/>
  <c r="T1060" i="5"/>
  <c r="U956" i="5"/>
  <c r="T1431" i="5"/>
  <c r="X1431" i="5" s="1"/>
  <c r="U1374" i="5"/>
  <c r="T1368" i="5"/>
  <c r="T1289" i="5"/>
  <c r="T1286" i="5"/>
  <c r="X1286" i="5" s="1"/>
  <c r="V1239" i="5"/>
  <c r="W1239" i="5"/>
  <c r="U1221" i="5"/>
  <c r="U1170" i="5"/>
  <c r="U1088" i="5"/>
  <c r="T1088" i="5"/>
  <c r="X1088" i="5" s="1"/>
  <c r="U1029" i="5"/>
  <c r="U790" i="5"/>
  <c r="T1407" i="5"/>
  <c r="T1384" i="5"/>
  <c r="U1234" i="5"/>
  <c r="P1234" i="5" s="1"/>
  <c r="T1223" i="5"/>
  <c r="U1120" i="5"/>
  <c r="T1120" i="5"/>
  <c r="X1120" i="5" s="1"/>
  <c r="T872" i="5"/>
  <c r="T821" i="5"/>
  <c r="U89" i="5"/>
  <c r="T89" i="5"/>
  <c r="U1472" i="5"/>
  <c r="U1462" i="5"/>
  <c r="U1448" i="5"/>
  <c r="U1433" i="5"/>
  <c r="U1430" i="5"/>
  <c r="U1425" i="5"/>
  <c r="U1412" i="5"/>
  <c r="P1412" i="5" s="1"/>
  <c r="T1404" i="5"/>
  <c r="T1399" i="5"/>
  <c r="U1376" i="5"/>
  <c r="U1325" i="5"/>
  <c r="U1268" i="5"/>
  <c r="T1254" i="5"/>
  <c r="U1247" i="5"/>
  <c r="U1189" i="5"/>
  <c r="U1166" i="5"/>
  <c r="T1163" i="5"/>
  <c r="U1160" i="5"/>
  <c r="P1160" i="5" s="1"/>
  <c r="U1133" i="5"/>
  <c r="U993" i="5"/>
  <c r="V937" i="5"/>
  <c r="W937" i="5"/>
  <c r="T798" i="5"/>
  <c r="T1443" i="5"/>
  <c r="U1420" i="5"/>
  <c r="T1373" i="5"/>
  <c r="U1370" i="5"/>
  <c r="U1367" i="5"/>
  <c r="T1347" i="5"/>
  <c r="U1347" i="5"/>
  <c r="T1334" i="5"/>
  <c r="U1291" i="5"/>
  <c r="U1288" i="5"/>
  <c r="T1281" i="5"/>
  <c r="X1281" i="5" s="1"/>
  <c r="W1268" i="5"/>
  <c r="V1268" i="5"/>
  <c r="U1146" i="5"/>
  <c r="Y1146" i="5" s="1"/>
  <c r="U1126" i="5"/>
  <c r="T1126" i="5"/>
  <c r="T1123" i="5"/>
  <c r="U1083" i="5"/>
  <c r="T1067" i="5"/>
  <c r="T1027" i="5"/>
  <c r="U1013" i="5"/>
  <c r="T1013" i="5"/>
  <c r="T968" i="5"/>
  <c r="T738" i="5"/>
  <c r="U738" i="5"/>
  <c r="W733" i="5"/>
  <c r="V733" i="5"/>
  <c r="U730" i="5"/>
  <c r="V1467" i="5"/>
  <c r="T1459" i="5"/>
  <c r="V1435" i="5"/>
  <c r="U1414" i="5"/>
  <c r="T1394" i="5"/>
  <c r="T1350" i="5"/>
  <c r="W1347" i="5"/>
  <c r="V1347" i="5"/>
  <c r="U1340" i="5"/>
  <c r="T1331" i="5"/>
  <c r="U1305" i="5"/>
  <c r="T1298" i="5"/>
  <c r="T1277" i="5"/>
  <c r="X1277" i="5" s="1"/>
  <c r="U1257" i="5"/>
  <c r="T1257" i="5"/>
  <c r="T1250" i="5"/>
  <c r="U1219" i="5"/>
  <c r="U1182" i="5"/>
  <c r="T1179" i="5"/>
  <c r="U1176" i="5"/>
  <c r="T1136" i="5"/>
  <c r="U1136" i="5"/>
  <c r="U1130" i="5"/>
  <c r="Y1130" i="5" s="1"/>
  <c r="T1130" i="5"/>
  <c r="W1067" i="5"/>
  <c r="V1067" i="5"/>
  <c r="T1058" i="5"/>
  <c r="X1058" i="5" s="1"/>
  <c r="T1022" i="5"/>
  <c r="V988" i="5"/>
  <c r="U923" i="5"/>
  <c r="T923" i="5"/>
  <c r="X923" i="5" s="1"/>
  <c r="T768" i="5"/>
  <c r="U1450" i="5"/>
  <c r="T1422" i="5"/>
  <c r="V1406" i="5"/>
  <c r="T1308" i="5"/>
  <c r="X1308" i="5" s="1"/>
  <c r="T1241" i="5"/>
  <c r="T1208" i="5"/>
  <c r="X1208" i="5" s="1"/>
  <c r="U1139" i="5"/>
  <c r="T1066" i="5"/>
  <c r="T1062" i="5"/>
  <c r="T1000" i="5"/>
  <c r="X1000" i="5" s="1"/>
  <c r="T983" i="5"/>
  <c r="U983" i="5"/>
  <c r="U978" i="5"/>
  <c r="U974" i="5"/>
  <c r="T931" i="5"/>
  <c r="U931" i="5"/>
  <c r="V885" i="5"/>
  <c r="W885" i="5"/>
  <c r="W621" i="5"/>
  <c r="V621" i="5"/>
  <c r="T1440" i="5"/>
  <c r="T1406" i="5"/>
  <c r="U1396" i="5"/>
  <c r="T1383" i="5"/>
  <c r="X1383" i="5" s="1"/>
  <c r="T1375" i="5"/>
  <c r="T1361" i="5"/>
  <c r="T1273" i="5"/>
  <c r="U1273" i="5"/>
  <c r="Y1273" i="5" s="1"/>
  <c r="U1267" i="5"/>
  <c r="T1243" i="5"/>
  <c r="U1191" i="5"/>
  <c r="T1152" i="5"/>
  <c r="U1152" i="5"/>
  <c r="T1149" i="5"/>
  <c r="U1149" i="5"/>
  <c r="T1145" i="5"/>
  <c r="T1070" i="5"/>
  <c r="T1039" i="5"/>
  <c r="X1039" i="5" s="1"/>
  <c r="T1035" i="5"/>
  <c r="X1035" i="5" s="1"/>
  <c r="T1012" i="5"/>
  <c r="W958" i="5"/>
  <c r="V958" i="5"/>
  <c r="T922" i="5"/>
  <c r="U922" i="5"/>
  <c r="T889" i="5"/>
  <c r="T540" i="5"/>
  <c r="U1461" i="5"/>
  <c r="T1442" i="5"/>
  <c r="U1432" i="5"/>
  <c r="T1419" i="5"/>
  <c r="X1419" i="5" s="1"/>
  <c r="T1369" i="5"/>
  <c r="T1339" i="5"/>
  <c r="U1339" i="5"/>
  <c r="U1297" i="5"/>
  <c r="T1287" i="5"/>
  <c r="U1287" i="5"/>
  <c r="T1270" i="5"/>
  <c r="T1253" i="5"/>
  <c r="U1253" i="5"/>
  <c r="Y1253" i="5" s="1"/>
  <c r="T1249" i="5"/>
  <c r="V1243" i="5"/>
  <c r="W1243" i="5"/>
  <c r="T1204" i="5"/>
  <c r="U1204" i="5"/>
  <c r="T1077" i="5"/>
  <c r="T1048" i="5"/>
  <c r="T1349" i="5"/>
  <c r="T1280" i="5"/>
  <c r="T1263" i="5"/>
  <c r="W1260" i="5"/>
  <c r="V1260" i="5"/>
  <c r="T1240" i="5"/>
  <c r="T1218" i="5"/>
  <c r="U1211" i="5"/>
  <c r="T1171" i="5"/>
  <c r="V1026" i="5"/>
  <c r="W1026" i="5"/>
  <c r="T1016" i="5"/>
  <c r="U1016" i="5"/>
  <c r="T982" i="5"/>
  <c r="T952" i="5"/>
  <c r="U952" i="5"/>
  <c r="T1466" i="5"/>
  <c r="U1463" i="5"/>
  <c r="P1463" i="5" s="1"/>
  <c r="W1434" i="5"/>
  <c r="T1416" i="5"/>
  <c r="U1408" i="5"/>
  <c r="U1390" i="5"/>
  <c r="U1377" i="5"/>
  <c r="T1307" i="5"/>
  <c r="U1307" i="5"/>
  <c r="V1283" i="5"/>
  <c r="W1225" i="5"/>
  <c r="V1225" i="5"/>
  <c r="U1194" i="5"/>
  <c r="T1194" i="5"/>
  <c r="X1194" i="5" s="1"/>
  <c r="T1184" i="5"/>
  <c r="U1181" i="5"/>
  <c r="U1158" i="5"/>
  <c r="U1151" i="5"/>
  <c r="T1125" i="5"/>
  <c r="U1038" i="5"/>
  <c r="U916" i="5"/>
  <c r="T869" i="5"/>
  <c r="U655" i="5"/>
  <c r="U1481" i="5"/>
  <c r="T1476" i="5"/>
  <c r="X1476" i="5" s="1"/>
  <c r="U1434" i="5"/>
  <c r="T1385" i="5"/>
  <c r="T1357" i="5"/>
  <c r="T1314" i="5"/>
  <c r="U1293" i="5"/>
  <c r="U1283" i="5"/>
  <c r="T1266" i="5"/>
  <c r="U1252" i="5"/>
  <c r="T1207" i="5"/>
  <c r="X1207" i="5" s="1"/>
  <c r="U1197" i="5"/>
  <c r="T1190" i="5"/>
  <c r="T1164" i="5"/>
  <c r="U1164" i="5"/>
  <c r="U1132" i="5"/>
  <c r="U1115" i="5"/>
  <c r="T1115" i="5"/>
  <c r="T1109" i="5"/>
  <c r="U1109" i="5"/>
  <c r="U1095" i="5"/>
  <c r="Y1095" i="5" s="1"/>
  <c r="U1056" i="5"/>
  <c r="U670" i="5"/>
  <c r="U665" i="5"/>
  <c r="T1259" i="5"/>
  <c r="U1192" i="5"/>
  <c r="U1087" i="5"/>
  <c r="P1087" i="5" s="1"/>
  <c r="T1059" i="5"/>
  <c r="T1032" i="5"/>
  <c r="U1032" i="5"/>
  <c r="U1021" i="5"/>
  <c r="U963" i="5"/>
  <c r="T963" i="5"/>
  <c r="U947" i="5"/>
  <c r="T947" i="5"/>
  <c r="T925" i="5"/>
  <c r="U925" i="5"/>
  <c r="U868" i="5"/>
  <c r="T762" i="5"/>
  <c r="T635" i="5"/>
  <c r="X635" i="5" s="1"/>
  <c r="U635" i="5"/>
  <c r="T625" i="5"/>
  <c r="T573" i="5"/>
  <c r="T1333" i="5"/>
  <c r="T1290" i="5"/>
  <c r="T1285" i="5"/>
  <c r="X1285" i="5" s="1"/>
  <c r="U1246" i="5"/>
  <c r="U1232" i="5"/>
  <c r="U1210" i="5"/>
  <c r="W1207" i="5"/>
  <c r="T1168" i="5"/>
  <c r="U1155" i="5"/>
  <c r="U1112" i="5"/>
  <c r="U1107" i="5"/>
  <c r="U1092" i="5"/>
  <c r="U1043" i="5"/>
  <c r="U973" i="5"/>
  <c r="U591" i="5"/>
  <c r="T591" i="5"/>
  <c r="T790" i="5"/>
  <c r="T663" i="5"/>
  <c r="U663" i="5"/>
  <c r="T1274" i="5"/>
  <c r="T1269" i="5"/>
  <c r="U1215" i="5"/>
  <c r="T1199" i="5"/>
  <c r="U1150" i="5"/>
  <c r="U1142" i="5"/>
  <c r="T1079" i="5"/>
  <c r="W1016" i="5"/>
  <c r="V1016" i="5"/>
  <c r="T991" i="5"/>
  <c r="X991" i="5" s="1"/>
  <c r="T980" i="5"/>
  <c r="U894" i="5"/>
  <c r="U824" i="5"/>
  <c r="T803" i="5"/>
  <c r="U803" i="5"/>
  <c r="T794" i="5"/>
  <c r="T1345" i="5"/>
  <c r="U1342" i="5"/>
  <c r="T1311" i="5"/>
  <c r="V1292" i="5"/>
  <c r="W1276" i="5"/>
  <c r="T1258" i="5"/>
  <c r="T1212" i="5"/>
  <c r="X1212" i="5" s="1"/>
  <c r="U1186" i="5"/>
  <c r="W1147" i="5"/>
  <c r="V1114" i="5"/>
  <c r="U1089" i="5"/>
  <c r="U976" i="5"/>
  <c r="T939" i="5"/>
  <c r="X939" i="5" s="1"/>
  <c r="T1284" i="5"/>
  <c r="U1196" i="5"/>
  <c r="T1183" i="5"/>
  <c r="U1178" i="5"/>
  <c r="U1122" i="5"/>
  <c r="T1114" i="5"/>
  <c r="T1075" i="5"/>
  <c r="T1054" i="5"/>
  <c r="U1054" i="5"/>
  <c r="Y1054" i="5" s="1"/>
  <c r="T1046" i="5"/>
  <c r="T979" i="5"/>
  <c r="V910" i="5"/>
  <c r="W910" i="5"/>
  <c r="T906" i="5"/>
  <c r="X906" i="5" s="1"/>
  <c r="T862" i="5"/>
  <c r="T745" i="5"/>
  <c r="T667" i="5"/>
  <c r="U1337" i="5"/>
  <c r="U1281" i="5"/>
  <c r="T1255" i="5"/>
  <c r="T1231" i="5"/>
  <c r="X1231" i="5" s="1"/>
  <c r="T1209" i="5"/>
  <c r="U1154" i="5"/>
  <c r="U1134" i="5"/>
  <c r="T1106" i="5"/>
  <c r="X1106" i="5" s="1"/>
  <c r="U1103" i="5"/>
  <c r="T1068" i="5"/>
  <c r="X1068" i="5" s="1"/>
  <c r="U1068" i="5"/>
  <c r="T1023" i="5"/>
  <c r="T927" i="5"/>
  <c r="X927" i="5" s="1"/>
  <c r="T914" i="5"/>
  <c r="W875" i="5"/>
  <c r="V875" i="5"/>
  <c r="U750" i="5"/>
  <c r="T750" i="5"/>
  <c r="T1326" i="5"/>
  <c r="T1271" i="5"/>
  <c r="U1167" i="5"/>
  <c r="T1141" i="5"/>
  <c r="T1129" i="5"/>
  <c r="V1008" i="5"/>
  <c r="W1008" i="5"/>
  <c r="T990" i="5"/>
  <c r="U990" i="5"/>
  <c r="U965" i="5"/>
  <c r="T957" i="5"/>
  <c r="U897" i="5"/>
  <c r="T879" i="5"/>
  <c r="U832" i="5"/>
  <c r="U642" i="5"/>
  <c r="T1318" i="5"/>
  <c r="T1310" i="5"/>
  <c r="X1310" i="5" s="1"/>
  <c r="T1302" i="5"/>
  <c r="T1294" i="5"/>
  <c r="T1260" i="5"/>
  <c r="T1236" i="5"/>
  <c r="T1224" i="5"/>
  <c r="X1224" i="5" s="1"/>
  <c r="U1198" i="5"/>
  <c r="T1188" i="5"/>
  <c r="X1188" i="5" s="1"/>
  <c r="U1180" i="5"/>
  <c r="U1096" i="5"/>
  <c r="P1096" i="5" s="1"/>
  <c r="U1085" i="5"/>
  <c r="T1071" i="5"/>
  <c r="U870" i="5"/>
  <c r="U958" i="5"/>
  <c r="T913" i="5"/>
  <c r="X913" i="5" s="1"/>
  <c r="T910" i="5"/>
  <c r="U888" i="5"/>
  <c r="T888" i="5"/>
  <c r="T861" i="5"/>
  <c r="U861" i="5"/>
  <c r="T847" i="5"/>
  <c r="U847" i="5"/>
  <c r="T775" i="5"/>
  <c r="X775" i="5" s="1"/>
  <c r="U775" i="5"/>
  <c r="U676" i="5"/>
  <c r="U557" i="5"/>
  <c r="T557" i="5"/>
  <c r="V497" i="5"/>
  <c r="W497" i="5"/>
  <c r="T487" i="5"/>
  <c r="U487" i="5"/>
  <c r="T467" i="5"/>
  <c r="U467" i="5"/>
  <c r="T181" i="5"/>
  <c r="U1065" i="5"/>
  <c r="U1005" i="5"/>
  <c r="W943" i="5"/>
  <c r="U936" i="5"/>
  <c r="U928" i="5"/>
  <c r="T874" i="5"/>
  <c r="X874" i="5" s="1"/>
  <c r="U867" i="5"/>
  <c r="T845" i="5"/>
  <c r="X845" i="5" s="1"/>
  <c r="U845" i="5"/>
  <c r="U839" i="5"/>
  <c r="T825" i="5"/>
  <c r="T812" i="5"/>
  <c r="T802" i="5"/>
  <c r="W790" i="5"/>
  <c r="V790" i="5"/>
  <c r="T778" i="5"/>
  <c r="T732" i="5"/>
  <c r="X732" i="5" s="1"/>
  <c r="T702" i="5"/>
  <c r="U658" i="5"/>
  <c r="T589" i="5"/>
  <c r="U582" i="5"/>
  <c r="W533" i="5"/>
  <c r="V533" i="5"/>
  <c r="U449" i="5"/>
  <c r="U226" i="5"/>
  <c r="P226" i="5" s="1"/>
  <c r="T185" i="5"/>
  <c r="U185" i="5"/>
  <c r="P185" i="5" s="1"/>
  <c r="T870" i="5"/>
  <c r="U853" i="5"/>
  <c r="T815" i="5"/>
  <c r="U745" i="5"/>
  <c r="T736" i="5"/>
  <c r="X736" i="5" s="1"/>
  <c r="U736" i="5"/>
  <c r="T683" i="5"/>
  <c r="T662" i="5"/>
  <c r="U662" i="5"/>
  <c r="T615" i="5"/>
  <c r="T444" i="5"/>
  <c r="U82" i="5"/>
  <c r="T82" i="5"/>
  <c r="U1080" i="5"/>
  <c r="U1041" i="5"/>
  <c r="U1012" i="5"/>
  <c r="P1012" i="5" s="1"/>
  <c r="W1007" i="5"/>
  <c r="U982" i="5"/>
  <c r="T975" i="5"/>
  <c r="X975" i="5" s="1"/>
  <c r="T938" i="5"/>
  <c r="X938" i="5" s="1"/>
  <c r="U890" i="5"/>
  <c r="P890" i="5" s="1"/>
  <c r="U887" i="5"/>
  <c r="T887" i="5"/>
  <c r="X887" i="5" s="1"/>
  <c r="T828" i="5"/>
  <c r="U828" i="5"/>
  <c r="T721" i="5"/>
  <c r="U619" i="5"/>
  <c r="T567" i="5"/>
  <c r="U1059" i="5"/>
  <c r="T1007" i="5"/>
  <c r="X1007" i="5" s="1"/>
  <c r="U997" i="5"/>
  <c r="W959" i="5"/>
  <c r="U899" i="5"/>
  <c r="Y899" i="5" s="1"/>
  <c r="U896" i="5"/>
  <c r="T873" i="5"/>
  <c r="U873" i="5"/>
  <c r="T863" i="5"/>
  <c r="T805" i="5"/>
  <c r="T687" i="5"/>
  <c r="U649" i="5"/>
  <c r="T645" i="5"/>
  <c r="U918" i="5"/>
  <c r="U821" i="5"/>
  <c r="T808" i="5"/>
  <c r="X808" i="5" s="1"/>
  <c r="T744" i="5"/>
  <c r="T740" i="5"/>
  <c r="T697" i="5"/>
  <c r="T674" i="5"/>
  <c r="T670" i="5"/>
  <c r="T527" i="5"/>
  <c r="T291" i="5"/>
  <c r="U291" i="5"/>
  <c r="U1077" i="5"/>
  <c r="U1048" i="5"/>
  <c r="P1048" i="5" s="1"/>
  <c r="U977" i="5"/>
  <c r="U964" i="5"/>
  <c r="U959" i="5"/>
  <c r="T908" i="5"/>
  <c r="U902" i="5"/>
  <c r="Y902" i="5" s="1"/>
  <c r="U838" i="5"/>
  <c r="T792" i="5"/>
  <c r="T756" i="5"/>
  <c r="W670" i="5"/>
  <c r="V670" i="5"/>
  <c r="T636" i="5"/>
  <c r="U609" i="5"/>
  <c r="T566" i="5"/>
  <c r="U193" i="5"/>
  <c r="T193" i="5"/>
  <c r="U1064" i="5"/>
  <c r="W1061" i="5"/>
  <c r="T1056" i="5"/>
  <c r="U1035" i="5"/>
  <c r="T999" i="5"/>
  <c r="U979" i="5"/>
  <c r="Y979" i="5" s="1"/>
  <c r="U940" i="5"/>
  <c r="U892" i="5"/>
  <c r="T886" i="5"/>
  <c r="U883" i="5"/>
  <c r="T883" i="5"/>
  <c r="U852" i="5"/>
  <c r="T796" i="5"/>
  <c r="X796" i="5" s="1"/>
  <c r="T788" i="5"/>
  <c r="T728" i="5"/>
  <c r="T712" i="5"/>
  <c r="T708" i="5"/>
  <c r="X708" i="5" s="1"/>
  <c r="T693" i="5"/>
  <c r="X693" i="5" s="1"/>
  <c r="T644" i="5"/>
  <c r="T17" i="5"/>
  <c r="X17" i="5" s="1"/>
  <c r="U1071" i="5"/>
  <c r="T1030" i="5"/>
  <c r="U1019" i="5"/>
  <c r="U989" i="5"/>
  <c r="T961" i="5"/>
  <c r="T956" i="5"/>
  <c r="U911" i="5"/>
  <c r="U889" i="5"/>
  <c r="U879" i="5"/>
  <c r="U862" i="5"/>
  <c r="U827" i="5"/>
  <c r="T800" i="5"/>
  <c r="U800" i="5"/>
  <c r="T743" i="5"/>
  <c r="T665" i="5"/>
  <c r="U660" i="5"/>
  <c r="T660" i="5"/>
  <c r="T584" i="5"/>
  <c r="U584" i="5"/>
  <c r="U376" i="5"/>
  <c r="T376" i="5"/>
  <c r="U149" i="5"/>
  <c r="U1079" i="5"/>
  <c r="U1027" i="5"/>
  <c r="T974" i="5"/>
  <c r="U927" i="5"/>
  <c r="U914" i="5"/>
  <c r="V827" i="5"/>
  <c r="W827" i="5"/>
  <c r="U804" i="5"/>
  <c r="T780" i="5"/>
  <c r="V739" i="5"/>
  <c r="W739" i="5"/>
  <c r="U540" i="5"/>
  <c r="T67" i="5"/>
  <c r="U1050" i="5"/>
  <c r="Y1050" i="5" s="1"/>
  <c r="U1045" i="5"/>
  <c r="T1011" i="5"/>
  <c r="U907" i="5"/>
  <c r="U872" i="5"/>
  <c r="U764" i="5"/>
  <c r="U711" i="5"/>
  <c r="V647" i="5"/>
  <c r="T643" i="5"/>
  <c r="X643" i="5" s="1"/>
  <c r="T329" i="5"/>
  <c r="T118" i="5"/>
  <c r="X118" i="5" s="1"/>
  <c r="U118" i="5"/>
  <c r="T62" i="5"/>
  <c r="X62" i="5" s="1"/>
  <c r="U62" i="5"/>
  <c r="T1003" i="5"/>
  <c r="U981" i="5"/>
  <c r="T937" i="5"/>
  <c r="T898" i="5"/>
  <c r="X898" i="5" s="1"/>
  <c r="U875" i="5"/>
  <c r="W872" i="5"/>
  <c r="V872" i="5"/>
  <c r="T833" i="5"/>
  <c r="X833" i="5" s="1"/>
  <c r="U833" i="5"/>
  <c r="U692" i="5"/>
  <c r="T685" i="5"/>
  <c r="V677" i="5"/>
  <c r="W677" i="5"/>
  <c r="T569" i="5"/>
  <c r="U289" i="5"/>
  <c r="U128" i="5"/>
  <c r="T128" i="5"/>
  <c r="U915" i="5"/>
  <c r="U905" i="5"/>
  <c r="T859" i="5"/>
  <c r="X859" i="5" s="1"/>
  <c r="U834" i="5"/>
  <c r="T784" i="5"/>
  <c r="T766" i="5"/>
  <c r="U752" i="5"/>
  <c r="T698" i="5"/>
  <c r="X698" i="5" s="1"/>
  <c r="U695" i="5"/>
  <c r="P695" i="5" s="1"/>
  <c r="U673" i="5"/>
  <c r="T650" i="5"/>
  <c r="T631" i="5"/>
  <c r="X631" i="5" s="1"/>
  <c r="U596" i="5"/>
  <c r="T553" i="5"/>
  <c r="X553" i="5" s="1"/>
  <c r="U525" i="5"/>
  <c r="T505" i="5"/>
  <c r="U347" i="5"/>
  <c r="U277" i="5"/>
  <c r="T277" i="5"/>
  <c r="U865" i="5"/>
  <c r="U802" i="5"/>
  <c r="Y802" i="5" s="1"/>
  <c r="U792" i="5"/>
  <c r="U780" i="5"/>
  <c r="T774" i="5"/>
  <c r="U774" i="5"/>
  <c r="T758" i="5"/>
  <c r="V735" i="5"/>
  <c r="T710" i="5"/>
  <c r="U707" i="5"/>
  <c r="U697" i="5"/>
  <c r="T666" i="5"/>
  <c r="U643" i="5"/>
  <c r="U640" i="5"/>
  <c r="T548" i="5"/>
  <c r="U520" i="5"/>
  <c r="V464" i="5"/>
  <c r="W464" i="5"/>
  <c r="U313" i="5"/>
  <c r="U860" i="5"/>
  <c r="T850" i="5"/>
  <c r="U799" i="5"/>
  <c r="T795" i="5"/>
  <c r="U795" i="5"/>
  <c r="T783" i="5"/>
  <c r="U761" i="5"/>
  <c r="T754" i="5"/>
  <c r="V724" i="5"/>
  <c r="W724" i="5"/>
  <c r="U700" i="5"/>
  <c r="T675" i="5"/>
  <c r="X675" i="5" s="1"/>
  <c r="U675" i="5"/>
  <c r="T646" i="5"/>
  <c r="V543" i="5"/>
  <c r="T363" i="5"/>
  <c r="X363" i="5" s="1"/>
  <c r="U363" i="5"/>
  <c r="T349" i="5"/>
  <c r="T318" i="5"/>
  <c r="U318" i="5"/>
  <c r="V313" i="5"/>
  <c r="W313" i="5"/>
  <c r="T122" i="5"/>
  <c r="X122" i="5" s="1"/>
  <c r="U122" i="5"/>
  <c r="T727" i="5"/>
  <c r="T694" i="5"/>
  <c r="U685" i="5"/>
  <c r="T649" i="5"/>
  <c r="V605" i="5"/>
  <c r="W605" i="5"/>
  <c r="U566" i="5"/>
  <c r="U490" i="5"/>
  <c r="T490" i="5"/>
  <c r="T457" i="5"/>
  <c r="X457" i="5" s="1"/>
  <c r="T439" i="5"/>
  <c r="X439" i="5" s="1"/>
  <c r="U439" i="5"/>
  <c r="U232" i="5"/>
  <c r="U559" i="5"/>
  <c r="T535" i="5"/>
  <c r="U527" i="5"/>
  <c r="U503" i="5"/>
  <c r="U412" i="5"/>
  <c r="T412" i="5"/>
  <c r="T864" i="5"/>
  <c r="U849" i="5"/>
  <c r="U830" i="5"/>
  <c r="U776" i="5"/>
  <c r="T767" i="5"/>
  <c r="X767" i="5" s="1"/>
  <c r="T661" i="5"/>
  <c r="T554" i="5"/>
  <c r="T462" i="5"/>
  <c r="T303" i="5"/>
  <c r="U303" i="5"/>
  <c r="U924" i="5"/>
  <c r="U903" i="5"/>
  <c r="U884" i="5"/>
  <c r="T858" i="5"/>
  <c r="W845" i="5"/>
  <c r="T779" i="5"/>
  <c r="T760" i="5"/>
  <c r="U743" i="5"/>
  <c r="U740" i="5"/>
  <c r="T729" i="5"/>
  <c r="U699" i="5"/>
  <c r="T696" i="5"/>
  <c r="X696" i="5" s="1"/>
  <c r="U693" i="5"/>
  <c r="U687" i="5"/>
  <c r="T651" i="5"/>
  <c r="X651" i="5" s="1"/>
  <c r="T624" i="5"/>
  <c r="U624" i="5"/>
  <c r="T611" i="5"/>
  <c r="T593" i="5"/>
  <c r="T558" i="5"/>
  <c r="T546" i="5"/>
  <c r="T502" i="5"/>
  <c r="T480" i="5"/>
  <c r="U480" i="5"/>
  <c r="U380" i="5"/>
  <c r="U908" i="5"/>
  <c r="T893" i="5"/>
  <c r="X893" i="5" s="1"/>
  <c r="U886" i="5"/>
  <c r="T881" i="5"/>
  <c r="U871" i="5"/>
  <c r="U788" i="5"/>
  <c r="T719" i="5"/>
  <c r="U712" i="5"/>
  <c r="T642" i="5"/>
  <c r="V581" i="5"/>
  <c r="W581" i="5"/>
  <c r="T293" i="5"/>
  <c r="X293" i="5" s="1"/>
  <c r="U181" i="5"/>
  <c r="T149" i="5"/>
  <c r="U913" i="5"/>
  <c r="T832" i="5"/>
  <c r="T619" i="5"/>
  <c r="U615" i="5"/>
  <c r="U572" i="5"/>
  <c r="U437" i="5"/>
  <c r="U429" i="5"/>
  <c r="T339" i="5"/>
  <c r="U921" i="5"/>
  <c r="Y921" i="5" s="1"/>
  <c r="U895" i="5"/>
  <c r="T837" i="5"/>
  <c r="T820" i="5"/>
  <c r="T772" i="5"/>
  <c r="T759" i="5"/>
  <c r="U759" i="5"/>
  <c r="T749" i="5"/>
  <c r="U733" i="5"/>
  <c r="T731" i="5"/>
  <c r="T722" i="5"/>
  <c r="U664" i="5"/>
  <c r="T664" i="5"/>
  <c r="U638" i="5"/>
  <c r="V619" i="5"/>
  <c r="W619" i="5"/>
  <c r="T576" i="5"/>
  <c r="T533" i="5"/>
  <c r="U533" i="5"/>
  <c r="W52" i="5"/>
  <c r="V52" i="5"/>
  <c r="X52" i="5" s="1"/>
  <c r="W625" i="5"/>
  <c r="V625" i="5"/>
  <c r="T618" i="5"/>
  <c r="T605" i="5"/>
  <c r="U605" i="5"/>
  <c r="T479" i="5"/>
  <c r="T470" i="5"/>
  <c r="X470" i="5" s="1"/>
  <c r="T391" i="5"/>
  <c r="V326" i="5"/>
  <c r="W326" i="5"/>
  <c r="U316" i="5"/>
  <c r="U244" i="5"/>
  <c r="T78" i="5"/>
  <c r="U78" i="5"/>
  <c r="V789" i="5"/>
  <c r="T782" i="5"/>
  <c r="U747" i="5"/>
  <c r="W742" i="5"/>
  <c r="U701" i="5"/>
  <c r="V694" i="5"/>
  <c r="U628" i="5"/>
  <c r="U579" i="5"/>
  <c r="V519" i="5"/>
  <c r="W519" i="5"/>
  <c r="T509" i="5"/>
  <c r="T499" i="5"/>
  <c r="T495" i="5"/>
  <c r="U495" i="5"/>
  <c r="T492" i="5"/>
  <c r="T485" i="5"/>
  <c r="U485" i="5"/>
  <c r="U482" i="5"/>
  <c r="T424" i="5"/>
  <c r="U424" i="5"/>
  <c r="T162" i="5"/>
  <c r="T157" i="5"/>
  <c r="U157" i="5"/>
  <c r="U87" i="5"/>
  <c r="T87" i="5"/>
  <c r="U52" i="5"/>
  <c r="U789" i="5"/>
  <c r="V779" i="5"/>
  <c r="U777" i="5"/>
  <c r="U772" i="5"/>
  <c r="U765" i="5"/>
  <c r="U744" i="5"/>
  <c r="P744" i="5" s="1"/>
  <c r="U742" i="5"/>
  <c r="U654" i="5"/>
  <c r="U651" i="5"/>
  <c r="U631" i="5"/>
  <c r="U568" i="5"/>
  <c r="Y568" i="5" s="1"/>
  <c r="U565" i="5"/>
  <c r="U552" i="5"/>
  <c r="T552" i="5"/>
  <c r="T545" i="5"/>
  <c r="U538" i="5"/>
  <c r="T538" i="5"/>
  <c r="U512" i="5"/>
  <c r="T451" i="5"/>
  <c r="T447" i="5"/>
  <c r="X447" i="5" s="1"/>
  <c r="U798" i="5"/>
  <c r="U779" i="5"/>
  <c r="P779" i="5" s="1"/>
  <c r="U762" i="5"/>
  <c r="U749" i="5"/>
  <c r="U729" i="5"/>
  <c r="U727" i="5"/>
  <c r="P727" i="5" s="1"/>
  <c r="U710" i="5"/>
  <c r="U708" i="5"/>
  <c r="U698" i="5"/>
  <c r="U696" i="5"/>
  <c r="U666" i="5"/>
  <c r="U661" i="5"/>
  <c r="U644" i="5"/>
  <c r="W620" i="5"/>
  <c r="U585" i="5"/>
  <c r="T585" i="5"/>
  <c r="T582" i="5"/>
  <c r="X582" i="5" s="1"/>
  <c r="U555" i="5"/>
  <c r="U528" i="5"/>
  <c r="T528" i="5"/>
  <c r="T518" i="5"/>
  <c r="U518" i="5"/>
  <c r="U515" i="5"/>
  <c r="U505" i="5"/>
  <c r="U502" i="5"/>
  <c r="Y502" i="5" s="1"/>
  <c r="T473" i="5"/>
  <c r="U461" i="5"/>
  <c r="T455" i="5"/>
  <c r="U455" i="5"/>
  <c r="U431" i="5"/>
  <c r="T431" i="5"/>
  <c r="X431" i="5" s="1"/>
  <c r="T410" i="5"/>
  <c r="X410" i="5" s="1"/>
  <c r="T365" i="5"/>
  <c r="U365" i="5"/>
  <c r="U793" i="5"/>
  <c r="T791" i="5"/>
  <c r="X791" i="5" s="1"/>
  <c r="U767" i="5"/>
  <c r="U754" i="5"/>
  <c r="U683" i="5"/>
  <c r="T620" i="5"/>
  <c r="X620" i="5" s="1"/>
  <c r="W599" i="5"/>
  <c r="T596" i="5"/>
  <c r="U574" i="5"/>
  <c r="U558" i="5"/>
  <c r="T541" i="5"/>
  <c r="T525" i="5"/>
  <c r="X525" i="5" s="1"/>
  <c r="T469" i="5"/>
  <c r="T465" i="5"/>
  <c r="U465" i="5"/>
  <c r="U293" i="5"/>
  <c r="T133" i="5"/>
  <c r="X133" i="5" s="1"/>
  <c r="U133" i="5"/>
  <c r="T75" i="5"/>
  <c r="U75" i="5"/>
  <c r="W39" i="5"/>
  <c r="V39" i="5"/>
  <c r="T607" i="5"/>
  <c r="X607" i="5" s="1"/>
  <c r="T602" i="5"/>
  <c r="T599" i="5"/>
  <c r="X599" i="5" s="1"/>
  <c r="U548" i="5"/>
  <c r="V498" i="5"/>
  <c r="W498" i="5"/>
  <c r="T418" i="5"/>
  <c r="T397" i="5"/>
  <c r="T377" i="5"/>
  <c r="X377" i="5" s="1"/>
  <c r="U377" i="5"/>
  <c r="T309" i="5"/>
  <c r="U309" i="5"/>
  <c r="U195" i="5"/>
  <c r="U16" i="5"/>
  <c r="U719" i="5"/>
  <c r="P719" i="5" s="1"/>
  <c r="T700" i="5"/>
  <c r="U691" i="5"/>
  <c r="U680" i="5"/>
  <c r="Y680" i="5" s="1"/>
  <c r="U646" i="5"/>
  <c r="U636" i="5"/>
  <c r="U592" i="5"/>
  <c r="U567" i="5"/>
  <c r="T511" i="5"/>
  <c r="U511" i="5"/>
  <c r="U405" i="5"/>
  <c r="T405" i="5"/>
  <c r="T381" i="5"/>
  <c r="U165" i="5"/>
  <c r="T29" i="5"/>
  <c r="U751" i="5"/>
  <c r="T724" i="5"/>
  <c r="U653" i="5"/>
  <c r="U648" i="5"/>
  <c r="T630" i="5"/>
  <c r="X630" i="5" s="1"/>
  <c r="U630" i="5"/>
  <c r="U577" i="5"/>
  <c r="T577" i="5"/>
  <c r="T570" i="5"/>
  <c r="U564" i="5"/>
  <c r="T534" i="5"/>
  <c r="U534" i="5"/>
  <c r="U524" i="5"/>
  <c r="T524" i="5"/>
  <c r="T454" i="5"/>
  <c r="U454" i="5"/>
  <c r="T409" i="5"/>
  <c r="U301" i="5"/>
  <c r="T85" i="5"/>
  <c r="U85" i="5"/>
  <c r="T80" i="5"/>
  <c r="U80" i="5"/>
  <c r="V63" i="5"/>
  <c r="W63" i="5"/>
  <c r="T59" i="5"/>
  <c r="T24" i="5"/>
  <c r="U618" i="5"/>
  <c r="U613" i="5"/>
  <c r="T610" i="5"/>
  <c r="U600" i="5"/>
  <c r="U550" i="5"/>
  <c r="U522" i="5"/>
  <c r="U509" i="5"/>
  <c r="U499" i="5"/>
  <c r="T489" i="5"/>
  <c r="X489" i="5" s="1"/>
  <c r="T484" i="5"/>
  <c r="X484" i="5" s="1"/>
  <c r="U466" i="5"/>
  <c r="Y466" i="5" s="1"/>
  <c r="U462" i="5"/>
  <c r="U430" i="5"/>
  <c r="Y430" i="5" s="1"/>
  <c r="U409" i="5"/>
  <c r="U402" i="5"/>
  <c r="U336" i="5"/>
  <c r="T336" i="5"/>
  <c r="T268" i="5"/>
  <c r="U268" i="5"/>
  <c r="T216" i="5"/>
  <c r="U216" i="5"/>
  <c r="U192" i="5"/>
  <c r="U152" i="5"/>
  <c r="T140" i="5"/>
  <c r="U125" i="5"/>
  <c r="T86" i="5"/>
  <c r="U86" i="5"/>
  <c r="P86" i="5" s="1"/>
  <c r="U620" i="5"/>
  <c r="U595" i="5"/>
  <c r="U589" i="5"/>
  <c r="U457" i="5"/>
  <c r="U447" i="5"/>
  <c r="U416" i="5"/>
  <c r="T383" i="5"/>
  <c r="T369" i="5"/>
  <c r="U349" i="5"/>
  <c r="P349" i="5" s="1"/>
  <c r="V336" i="5"/>
  <c r="W336" i="5"/>
  <c r="U222" i="5"/>
  <c r="P222" i="5" s="1"/>
  <c r="V192" i="5"/>
  <c r="W192" i="5"/>
  <c r="T55" i="5"/>
  <c r="X55" i="5" s="1"/>
  <c r="U36" i="5"/>
  <c r="W592" i="5"/>
  <c r="T514" i="5"/>
  <c r="X514" i="5" s="1"/>
  <c r="T362" i="5"/>
  <c r="T328" i="5"/>
  <c r="U328" i="5"/>
  <c r="T316" i="5"/>
  <c r="U307" i="5"/>
  <c r="T251" i="5"/>
  <c r="T232" i="5"/>
  <c r="U172" i="5"/>
  <c r="T172" i="5"/>
  <c r="U164" i="5"/>
  <c r="T81" i="5"/>
  <c r="X81" i="5" s="1"/>
  <c r="U81" i="5"/>
  <c r="T8" i="5"/>
  <c r="U602" i="5"/>
  <c r="V567" i="5"/>
  <c r="T539" i="5"/>
  <c r="U475" i="5"/>
  <c r="U375" i="5"/>
  <c r="T375" i="5"/>
  <c r="U355" i="5"/>
  <c r="T355" i="5"/>
  <c r="T267" i="5"/>
  <c r="T259" i="5"/>
  <c r="T207" i="5"/>
  <c r="X207" i="5" s="1"/>
  <c r="V164" i="5"/>
  <c r="W164" i="5"/>
  <c r="U70" i="5"/>
  <c r="U627" i="5"/>
  <c r="U612" i="5"/>
  <c r="T594" i="5"/>
  <c r="X594" i="5" s="1"/>
  <c r="T583" i="5"/>
  <c r="X583" i="5" s="1"/>
  <c r="U546" i="5"/>
  <c r="U536" i="5"/>
  <c r="T531" i="5"/>
  <c r="X531" i="5" s="1"/>
  <c r="U521" i="5"/>
  <c r="U516" i="5"/>
  <c r="T506" i="5"/>
  <c r="U493" i="5"/>
  <c r="T488" i="5"/>
  <c r="T385" i="5"/>
  <c r="U385" i="5"/>
  <c r="U327" i="5"/>
  <c r="V303" i="5"/>
  <c r="W303" i="5"/>
  <c r="T299" i="5"/>
  <c r="U299" i="5"/>
  <c r="U287" i="5"/>
  <c r="U250" i="5"/>
  <c r="U214" i="5"/>
  <c r="T214" i="5"/>
  <c r="T171" i="5"/>
  <c r="U100" i="5"/>
  <c r="U46" i="5"/>
  <c r="T46" i="5"/>
  <c r="T26" i="5"/>
  <c r="T609" i="5"/>
  <c r="X609" i="5" s="1"/>
  <c r="U569" i="5"/>
  <c r="T559" i="5"/>
  <c r="X559" i="5" s="1"/>
  <c r="U541" i="5"/>
  <c r="T461" i="5"/>
  <c r="T394" i="5"/>
  <c r="X394" i="5" s="1"/>
  <c r="U391" i="5"/>
  <c r="T374" i="5"/>
  <c r="T368" i="5"/>
  <c r="T319" i="5"/>
  <c r="U266" i="5"/>
  <c r="U246" i="5"/>
  <c r="T238" i="5"/>
  <c r="X238" i="5" s="1"/>
  <c r="U198" i="5"/>
  <c r="T198" i="5"/>
  <c r="T111" i="5"/>
  <c r="U111" i="5"/>
  <c r="W100" i="5"/>
  <c r="V100" i="5"/>
  <c r="U14" i="5"/>
  <c r="U599" i="5"/>
  <c r="U508" i="5"/>
  <c r="T503" i="5"/>
  <c r="U474" i="5"/>
  <c r="T464" i="5"/>
  <c r="T411" i="5"/>
  <c r="U411" i="5"/>
  <c r="T404" i="5"/>
  <c r="X404" i="5" s="1"/>
  <c r="U378" i="5"/>
  <c r="V374" i="5"/>
  <c r="W374" i="5"/>
  <c r="U371" i="5"/>
  <c r="V242" i="5"/>
  <c r="W242" i="5"/>
  <c r="V227" i="5"/>
  <c r="W227" i="5"/>
  <c r="U175" i="5"/>
  <c r="T146" i="5"/>
  <c r="T127" i="5"/>
  <c r="T119" i="5"/>
  <c r="T421" i="5"/>
  <c r="U421" i="5"/>
  <c r="U418" i="5"/>
  <c r="U381" i="5"/>
  <c r="U338" i="5"/>
  <c r="T322" i="5"/>
  <c r="U322" i="5"/>
  <c r="U314" i="5"/>
  <c r="T314" i="5"/>
  <c r="U286" i="5"/>
  <c r="T286" i="5"/>
  <c r="X286" i="5" s="1"/>
  <c r="T158" i="5"/>
  <c r="U604" i="5"/>
  <c r="U556" i="5"/>
  <c r="T551" i="5"/>
  <c r="U523" i="5"/>
  <c r="T510" i="5"/>
  <c r="U500" i="5"/>
  <c r="T459" i="5"/>
  <c r="U459" i="5"/>
  <c r="U441" i="5"/>
  <c r="V407" i="5"/>
  <c r="W407" i="5"/>
  <c r="T326" i="5"/>
  <c r="U326" i="5"/>
  <c r="U282" i="5"/>
  <c r="T270" i="5"/>
  <c r="X270" i="5" s="1"/>
  <c r="U261" i="5"/>
  <c r="T261" i="5"/>
  <c r="U241" i="5"/>
  <c r="T241" i="5"/>
  <c r="X241" i="5" s="1"/>
  <c r="T95" i="5"/>
  <c r="U63" i="5"/>
  <c r="T63" i="5"/>
  <c r="U452" i="5"/>
  <c r="U414" i="5"/>
  <c r="U393" i="5"/>
  <c r="T373" i="5"/>
  <c r="U302" i="5"/>
  <c r="T280" i="5"/>
  <c r="V266" i="5"/>
  <c r="W266" i="5"/>
  <c r="T237" i="5"/>
  <c r="U237" i="5"/>
  <c r="U228" i="5"/>
  <c r="U225" i="5"/>
  <c r="P225" i="5" s="1"/>
  <c r="U211" i="5"/>
  <c r="U191" i="5"/>
  <c r="V181" i="5"/>
  <c r="W181" i="5"/>
  <c r="T168" i="5"/>
  <c r="U117" i="5"/>
  <c r="T98" i="5"/>
  <c r="X98" i="5" s="1"/>
  <c r="T94" i="5"/>
  <c r="U94" i="5"/>
  <c r="U45" i="5"/>
  <c r="U4" i="5"/>
  <c r="T449" i="5"/>
  <c r="X449" i="5" s="1"/>
  <c r="T416" i="5"/>
  <c r="U358" i="5"/>
  <c r="U315" i="5"/>
  <c r="T276" i="5"/>
  <c r="T269" i="5"/>
  <c r="X269" i="5" s="1"/>
  <c r="U269" i="5"/>
  <c r="U234" i="5"/>
  <c r="T194" i="5"/>
  <c r="U194" i="5"/>
  <c r="T174" i="5"/>
  <c r="U174" i="5"/>
  <c r="T148" i="5"/>
  <c r="U88" i="5"/>
  <c r="T66" i="5"/>
  <c r="T57" i="5"/>
  <c r="T19" i="5"/>
  <c r="U19" i="5"/>
  <c r="T13" i="5"/>
  <c r="U13" i="5"/>
  <c r="U29" i="5"/>
  <c r="T16" i="5"/>
  <c r="X16" i="5" s="1"/>
  <c r="T10" i="5"/>
  <c r="U398" i="5"/>
  <c r="T344" i="5"/>
  <c r="U344" i="5"/>
  <c r="T341" i="5"/>
  <c r="U243" i="5"/>
  <c r="U240" i="5"/>
  <c r="T197" i="5"/>
  <c r="X197" i="5" s="1"/>
  <c r="U187" i="5"/>
  <c r="T187" i="5"/>
  <c r="T170" i="5"/>
  <c r="U170" i="5"/>
  <c r="U138" i="5"/>
  <c r="U135" i="5"/>
  <c r="U116" i="5"/>
  <c r="U113" i="5"/>
  <c r="T110" i="5"/>
  <c r="X110" i="5" s="1"/>
  <c r="U110" i="5"/>
  <c r="V78" i="5"/>
  <c r="W78" i="5"/>
  <c r="T51" i="5"/>
  <c r="T32" i="5"/>
  <c r="T22" i="5"/>
  <c r="U395" i="5"/>
  <c r="U370" i="5"/>
  <c r="Y370" i="5" s="1"/>
  <c r="V341" i="5"/>
  <c r="W341" i="5"/>
  <c r="T295" i="5"/>
  <c r="T249" i="5"/>
  <c r="U249" i="5"/>
  <c r="T236" i="5"/>
  <c r="U236" i="5"/>
  <c r="T227" i="5"/>
  <c r="U217" i="5"/>
  <c r="T210" i="5"/>
  <c r="U210" i="5"/>
  <c r="U154" i="5"/>
  <c r="V97" i="5"/>
  <c r="W97" i="5"/>
  <c r="U69" i="5"/>
  <c r="U448" i="5"/>
  <c r="U426" i="5"/>
  <c r="U423" i="5"/>
  <c r="T392" i="5"/>
  <c r="X392" i="5" s="1"/>
  <c r="T367" i="5"/>
  <c r="T343" i="5"/>
  <c r="U343" i="5"/>
  <c r="T333" i="5"/>
  <c r="X333" i="5" s="1"/>
  <c r="T288" i="5"/>
  <c r="T275" i="5"/>
  <c r="U275" i="5"/>
  <c r="P275" i="5" s="1"/>
  <c r="U252" i="5"/>
  <c r="T239" i="5"/>
  <c r="X239" i="5" s="1"/>
  <c r="U233" i="5"/>
  <c r="U230" i="5"/>
  <c r="T160" i="5"/>
  <c r="U109" i="5"/>
  <c r="T93" i="5"/>
  <c r="X93" i="5" s="1"/>
  <c r="V80" i="5"/>
  <c r="W80" i="5"/>
  <c r="T34" i="5"/>
  <c r="U34" i="5"/>
  <c r="U28" i="5"/>
  <c r="P28" i="5" s="1"/>
  <c r="T15" i="5"/>
  <c r="X15" i="5" s="1"/>
  <c r="U473" i="5"/>
  <c r="T468" i="5"/>
  <c r="X468" i="5" s="1"/>
  <c r="U410" i="5"/>
  <c r="U362" i="5"/>
  <c r="W343" i="5"/>
  <c r="V343" i="5"/>
  <c r="T337" i="5"/>
  <c r="U337" i="5"/>
  <c r="T310" i="5"/>
  <c r="U310" i="5"/>
  <c r="T248" i="5"/>
  <c r="U248" i="5"/>
  <c r="V230" i="5"/>
  <c r="W230" i="5"/>
  <c r="T221" i="5"/>
  <c r="T213" i="5"/>
  <c r="T205" i="5"/>
  <c r="T163" i="5"/>
  <c r="U163" i="5"/>
  <c r="U153" i="5"/>
  <c r="T134" i="5"/>
  <c r="X134" i="5" s="1"/>
  <c r="U134" i="5"/>
  <c r="T112" i="5"/>
  <c r="U112" i="5"/>
  <c r="U68" i="5"/>
  <c r="U478" i="5"/>
  <c r="U456" i="5"/>
  <c r="Y456" i="5" s="1"/>
  <c r="T389" i="5"/>
  <c r="T379" i="5"/>
  <c r="T346" i="5"/>
  <c r="T340" i="5"/>
  <c r="U278" i="5"/>
  <c r="U209" i="5"/>
  <c r="U199" i="5"/>
  <c r="T189" i="5"/>
  <c r="U43" i="5"/>
  <c r="T37" i="5"/>
  <c r="X37" i="5" s="1"/>
  <c r="U470" i="5"/>
  <c r="T453" i="5"/>
  <c r="U394" i="5"/>
  <c r="U374" i="5"/>
  <c r="U369" i="5"/>
  <c r="T364" i="5"/>
  <c r="U359" i="5"/>
  <c r="U300" i="5"/>
  <c r="T300" i="5"/>
  <c r="U281" i="5"/>
  <c r="T264" i="5"/>
  <c r="T245" i="5"/>
  <c r="X245" i="5" s="1"/>
  <c r="U242" i="5"/>
  <c r="T229" i="5"/>
  <c r="U229" i="5"/>
  <c r="T226" i="5"/>
  <c r="V209" i="5"/>
  <c r="W209" i="5"/>
  <c r="U182" i="5"/>
  <c r="T182" i="5"/>
  <c r="U166" i="5"/>
  <c r="T92" i="5"/>
  <c r="U71" i="5"/>
  <c r="T64" i="5"/>
  <c r="X64" i="5" s="1"/>
  <c r="U64" i="5"/>
  <c r="T40" i="5"/>
  <c r="X40" i="5" s="1"/>
  <c r="U40" i="5"/>
  <c r="U24" i="5"/>
  <c r="T285" i="5"/>
  <c r="X285" i="5" s="1"/>
  <c r="U265" i="5"/>
  <c r="U147" i="5"/>
  <c r="U137" i="5"/>
  <c r="W81" i="5"/>
  <c r="U38" i="5"/>
  <c r="T313" i="5"/>
  <c r="T159" i="5"/>
  <c r="T117" i="5"/>
  <c r="W105" i="5"/>
  <c r="U139" i="5"/>
  <c r="U129" i="5"/>
  <c r="U83" i="5"/>
  <c r="U264" i="5"/>
  <c r="T254" i="5"/>
  <c r="U156" i="5"/>
  <c r="T151" i="5"/>
  <c r="T107" i="5"/>
  <c r="U59" i="5"/>
  <c r="U37" i="5"/>
  <c r="U32" i="5"/>
  <c r="U17" i="5"/>
  <c r="U10" i="5"/>
  <c r="U341" i="5"/>
  <c r="T289" i="5"/>
  <c r="U189" i="5"/>
  <c r="U158" i="5"/>
  <c r="T131" i="5"/>
  <c r="T71" i="5"/>
  <c r="T256" i="5"/>
  <c r="T246" i="5"/>
  <c r="X246" i="5" s="1"/>
  <c r="T234" i="5"/>
  <c r="U207" i="5"/>
  <c r="U196" i="5"/>
  <c r="U168" i="5"/>
  <c r="P168" i="5" s="1"/>
  <c r="T116" i="5"/>
  <c r="X116" i="5" s="1"/>
  <c r="U92" i="5"/>
  <c r="U325" i="5"/>
  <c r="T109" i="5"/>
  <c r="U104" i="5"/>
  <c r="T44" i="5"/>
  <c r="T12" i="5"/>
  <c r="O1543" i="5"/>
  <c r="O1542" i="5"/>
  <c r="T1542" i="5"/>
  <c r="T3078" i="5"/>
  <c r="X3078" i="5" s="1"/>
  <c r="O3078" i="5"/>
  <c r="W3009" i="5"/>
  <c r="W2968" i="5"/>
  <c r="W2794" i="5"/>
  <c r="W2776" i="5"/>
  <c r="W2756" i="5"/>
  <c r="V2658" i="5"/>
  <c r="W2631" i="5"/>
  <c r="W2602" i="5"/>
  <c r="W2521" i="5"/>
  <c r="V2305" i="5"/>
  <c r="W2285" i="5"/>
  <c r="V2269" i="5"/>
  <c r="W2147" i="5"/>
  <c r="W2018" i="5"/>
  <c r="W2014" i="5"/>
  <c r="W2011" i="5"/>
  <c r="V1891" i="5"/>
  <c r="W1823" i="5"/>
  <c r="V1701" i="5"/>
  <c r="W1696" i="5"/>
  <c r="V1669" i="5"/>
  <c r="W1628" i="5"/>
  <c r="V1520" i="5"/>
  <c r="V1442" i="5"/>
  <c r="W1117" i="5"/>
  <c r="V881" i="5"/>
  <c r="W673" i="5"/>
  <c r="W574" i="5"/>
  <c r="W208" i="5"/>
  <c r="W64" i="5"/>
  <c r="W9" i="5"/>
  <c r="V3181" i="5"/>
  <c r="V3164" i="5"/>
  <c r="W3066" i="5"/>
  <c r="W3039" i="5"/>
  <c r="W3001" i="5"/>
  <c r="W2937" i="5"/>
  <c r="W2699" i="5"/>
  <c r="W2500" i="5"/>
  <c r="V2129" i="5"/>
  <c r="V2061" i="5"/>
  <c r="V1913" i="5"/>
  <c r="W1884" i="5"/>
  <c r="W1820" i="5"/>
  <c r="W1736" i="5"/>
  <c r="V1499" i="5"/>
  <c r="V1495" i="5"/>
  <c r="W1490" i="5"/>
  <c r="W1353" i="5"/>
  <c r="V1320" i="5"/>
  <c r="V1273" i="5"/>
  <c r="V1234" i="5"/>
  <c r="V1087" i="5"/>
  <c r="V979" i="5"/>
  <c r="W675" i="5"/>
  <c r="V146" i="5"/>
  <c r="W54" i="5"/>
  <c r="V27" i="5"/>
  <c r="W3176" i="5"/>
  <c r="V3061" i="5"/>
  <c r="V3021" i="5"/>
  <c r="W2977" i="5"/>
  <c r="W2922" i="5"/>
  <c r="V2565" i="5"/>
  <c r="V2029" i="5"/>
  <c r="W1764" i="5"/>
  <c r="W1615" i="5"/>
  <c r="V1554" i="5"/>
  <c r="V1166" i="5"/>
  <c r="W1021" i="5"/>
  <c r="V707" i="5"/>
  <c r="V492" i="5"/>
  <c r="W423" i="5"/>
  <c r="W354" i="5"/>
  <c r="W3226" i="5"/>
  <c r="W2851" i="5"/>
  <c r="W2779" i="5"/>
  <c r="V2227" i="5"/>
  <c r="W2201" i="5"/>
  <c r="W1419" i="5"/>
  <c r="W940" i="5"/>
  <c r="W324" i="5"/>
  <c r="V3253" i="5"/>
  <c r="V3073" i="5"/>
  <c r="W2954" i="5"/>
  <c r="W2742" i="5"/>
  <c r="W2205" i="5"/>
  <c r="W1682" i="5"/>
  <c r="W1465" i="5"/>
  <c r="W559" i="5"/>
  <c r="V356" i="5"/>
  <c r="W3279" i="5"/>
  <c r="V3053" i="5"/>
  <c r="W1856" i="5"/>
  <c r="V1416" i="5"/>
  <c r="W2263" i="5"/>
  <c r="W2216" i="5"/>
  <c r="V2069" i="5"/>
  <c r="W1588" i="5"/>
  <c r="W1489" i="5"/>
  <c r="W372" i="5"/>
  <c r="W201" i="5"/>
  <c r="V3212" i="5"/>
  <c r="V3093" i="5"/>
  <c r="V2297" i="5"/>
  <c r="V2019" i="5"/>
  <c r="W2015" i="5"/>
  <c r="W1914" i="5"/>
  <c r="W1720" i="5"/>
  <c r="W1332" i="5"/>
  <c r="V1206" i="5"/>
  <c r="V646" i="5"/>
  <c r="W531" i="5"/>
  <c r="W449" i="5"/>
  <c r="W404" i="5"/>
  <c r="V397" i="5"/>
  <c r="V349" i="5"/>
  <c r="V226" i="5"/>
  <c r="V180" i="5"/>
  <c r="V96" i="5"/>
  <c r="W36" i="5"/>
  <c r="W3272" i="5"/>
  <c r="V3138" i="5"/>
  <c r="W2086" i="5"/>
  <c r="V2017" i="5"/>
  <c r="W1858" i="5"/>
  <c r="V1443" i="5"/>
  <c r="W360" i="5"/>
  <c r="W258" i="5"/>
  <c r="W207" i="5"/>
  <c r="V12" i="5"/>
  <c r="W3308" i="5"/>
  <c r="W3198" i="5"/>
  <c r="W3118" i="5"/>
  <c r="V2953" i="5"/>
  <c r="W2852" i="5"/>
  <c r="V2824" i="5"/>
  <c r="W2820" i="5"/>
  <c r="V2605" i="5"/>
  <c r="W1662" i="5"/>
  <c r="W1081" i="5"/>
  <c r="W1068" i="5"/>
  <c r="W965" i="5"/>
  <c r="V719" i="5"/>
  <c r="V3303" i="5"/>
  <c r="V3103" i="5"/>
  <c r="W3095" i="5"/>
  <c r="V2299" i="5"/>
  <c r="W2200" i="5"/>
  <c r="W2039" i="5"/>
  <c r="V1916" i="5"/>
  <c r="V1796" i="5"/>
  <c r="V1773" i="5"/>
  <c r="W1430" i="5"/>
  <c r="W1374" i="5"/>
  <c r="W1058" i="5"/>
  <c r="W786" i="5"/>
  <c r="W631" i="5"/>
  <c r="W553" i="5"/>
  <c r="W255" i="5"/>
  <c r="W243" i="5"/>
  <c r="W239" i="5"/>
  <c r="W125" i="5"/>
  <c r="W3203" i="5"/>
  <c r="W2854" i="5"/>
  <c r="V2804" i="5"/>
  <c r="W2772" i="5"/>
  <c r="W2568" i="5"/>
  <c r="W2489" i="5"/>
  <c r="V2361" i="5"/>
  <c r="W2322" i="5"/>
  <c r="W2310" i="5"/>
  <c r="W2290" i="5"/>
  <c r="W2281" i="5"/>
  <c r="W2204" i="5"/>
  <c r="W1934" i="5"/>
  <c r="V1873" i="5"/>
  <c r="W1845" i="5"/>
  <c r="W1793" i="5"/>
  <c r="W1659" i="5"/>
  <c r="W1518" i="5"/>
  <c r="W1208" i="5"/>
  <c r="W1127" i="5"/>
  <c r="W1076" i="5"/>
  <c r="W1035" i="5"/>
  <c r="V1012" i="5"/>
  <c r="W913" i="5"/>
  <c r="V788" i="5"/>
  <c r="V744" i="5"/>
  <c r="W594" i="5"/>
  <c r="W269" i="5"/>
  <c r="W132" i="5"/>
  <c r="W72" i="5"/>
  <c r="W16" i="5"/>
  <c r="V5" i="5"/>
  <c r="V2915" i="5"/>
  <c r="V2593" i="5"/>
  <c r="W2437" i="5"/>
  <c r="V2417" i="5"/>
  <c r="V2412" i="5"/>
  <c r="W2404" i="5"/>
  <c r="V2329" i="5"/>
  <c r="W2324" i="5"/>
  <c r="W2264" i="5"/>
  <c r="W2079" i="5"/>
  <c r="W1942" i="5"/>
  <c r="W1838" i="5"/>
  <c r="V1818" i="5"/>
  <c r="W1800" i="5"/>
  <c r="W1648" i="5"/>
  <c r="W1515" i="5"/>
  <c r="V1154" i="5"/>
  <c r="W1045" i="5"/>
  <c r="W833" i="5"/>
  <c r="W746" i="5"/>
  <c r="W732" i="5"/>
  <c r="W730" i="5"/>
  <c r="W643" i="5"/>
  <c r="W601" i="5"/>
  <c r="W470" i="5"/>
  <c r="W245" i="5"/>
  <c r="W241" i="5"/>
  <c r="W134" i="5"/>
  <c r="W116" i="5"/>
  <c r="W3289" i="5"/>
  <c r="W2679" i="5"/>
  <c r="V2620" i="5"/>
  <c r="V2553" i="5"/>
  <c r="W2503" i="5"/>
  <c r="W2491" i="5"/>
  <c r="W2399" i="5"/>
  <c r="W2363" i="5"/>
  <c r="V2331" i="5"/>
  <c r="V2317" i="5"/>
  <c r="V2312" i="5"/>
  <c r="W2274" i="5"/>
  <c r="W2260" i="5"/>
  <c r="W2121" i="5"/>
  <c r="V2081" i="5"/>
  <c r="V2043" i="5"/>
  <c r="W1957" i="5"/>
  <c r="W1946" i="5"/>
  <c r="W1938" i="5"/>
  <c r="W1898" i="5"/>
  <c r="V1896" i="5"/>
  <c r="W1883" i="5"/>
  <c r="V1780" i="5"/>
  <c r="W1734" i="5"/>
  <c r="W1605" i="5"/>
  <c r="W1557" i="5"/>
  <c r="W1541" i="5"/>
  <c r="W1351" i="5"/>
  <c r="W1281" i="5"/>
  <c r="V1095" i="5"/>
  <c r="W1019" i="5"/>
  <c r="W923" i="5"/>
  <c r="W893" i="5"/>
  <c r="V802" i="5"/>
  <c r="W669" i="5"/>
  <c r="W638" i="5"/>
  <c r="W431" i="5"/>
  <c r="V364" i="5"/>
  <c r="W279" i="5"/>
  <c r="V184" i="5"/>
  <c r="W179" i="5"/>
  <c r="W122" i="5"/>
  <c r="W118" i="5"/>
  <c r="W37" i="5"/>
  <c r="W2856" i="5"/>
  <c r="W2570" i="5"/>
  <c r="V2545" i="5"/>
  <c r="W1973" i="5"/>
  <c r="V1767" i="5"/>
  <c r="V1412" i="5"/>
  <c r="W1177" i="5"/>
  <c r="W930" i="5"/>
  <c r="V864" i="5"/>
  <c r="V731" i="5"/>
  <c r="V680" i="5"/>
  <c r="W657" i="5"/>
  <c r="V645" i="5"/>
  <c r="V537" i="5"/>
  <c r="V456" i="5"/>
  <c r="W403" i="5"/>
  <c r="V366" i="5"/>
  <c r="W359" i="5"/>
  <c r="W345" i="5"/>
  <c r="W286" i="5"/>
  <c r="W262" i="5"/>
  <c r="W223" i="5"/>
  <c r="V213" i="5"/>
  <c r="V2485" i="5"/>
  <c r="W2485" i="5"/>
  <c r="V2468" i="5"/>
  <c r="W2468" i="5"/>
  <c r="V2386" i="5"/>
  <c r="W2386" i="5"/>
  <c r="V2239" i="5"/>
  <c r="W2239" i="5"/>
  <c r="W2172" i="5"/>
  <c r="V2172" i="5"/>
  <c r="V1859" i="5"/>
  <c r="W1859" i="5"/>
  <c r="W1849" i="5"/>
  <c r="V1849" i="5"/>
  <c r="W1708" i="5"/>
  <c r="V1708" i="5"/>
  <c r="V1699" i="5"/>
  <c r="W1699" i="5"/>
  <c r="V1289" i="5"/>
  <c r="W1289" i="5"/>
  <c r="V1195" i="5"/>
  <c r="W1195" i="5"/>
  <c r="V794" i="5"/>
  <c r="W794" i="5"/>
  <c r="V778" i="5"/>
  <c r="W778" i="5"/>
  <c r="V622" i="5"/>
  <c r="W622" i="5"/>
  <c r="V459" i="5"/>
  <c r="W459" i="5"/>
  <c r="V267" i="5"/>
  <c r="W267" i="5"/>
  <c r="V128" i="5"/>
  <c r="W128" i="5"/>
  <c r="V2695" i="5"/>
  <c r="W2695" i="5"/>
  <c r="V2433" i="5"/>
  <c r="W2433" i="5"/>
  <c r="V2387" i="5"/>
  <c r="W2387" i="5"/>
  <c r="V2247" i="5"/>
  <c r="W2247" i="5"/>
  <c r="V2220" i="5"/>
  <c r="W2220" i="5"/>
  <c r="W2005" i="5"/>
  <c r="V2005" i="5"/>
  <c r="V1828" i="5"/>
  <c r="W1828" i="5"/>
  <c r="W1816" i="5"/>
  <c r="V1816" i="5"/>
  <c r="V1665" i="5"/>
  <c r="W1665" i="5"/>
  <c r="V1044" i="5"/>
  <c r="W1044" i="5"/>
  <c r="W1011" i="5"/>
  <c r="V1011" i="5"/>
  <c r="W650" i="5"/>
  <c r="V650" i="5"/>
  <c r="W344" i="5"/>
  <c r="V344" i="5"/>
  <c r="V2486" i="5"/>
  <c r="W2486" i="5"/>
  <c r="V2130" i="5"/>
  <c r="W2130" i="5"/>
  <c r="V1715" i="5"/>
  <c r="W1715" i="5"/>
  <c r="V1472" i="5"/>
  <c r="W1472" i="5"/>
  <c r="W662" i="5"/>
  <c r="V662" i="5"/>
  <c r="V446" i="5"/>
  <c r="W446" i="5"/>
  <c r="W2651" i="5"/>
  <c r="V2651" i="5"/>
  <c r="W2369" i="5"/>
  <c r="V2369" i="5"/>
  <c r="V2341" i="5"/>
  <c r="W2341" i="5"/>
  <c r="V1697" i="5"/>
  <c r="W1697" i="5"/>
  <c r="W454" i="5"/>
  <c r="V454" i="5"/>
  <c r="V261" i="5"/>
  <c r="W261" i="5"/>
  <c r="V217" i="5"/>
  <c r="W217" i="5"/>
  <c r="V2903" i="5"/>
  <c r="W2903" i="5"/>
  <c r="V1788" i="5"/>
  <c r="W1788" i="5"/>
  <c r="W1428" i="5"/>
  <c r="V1428" i="5"/>
  <c r="V1272" i="5"/>
  <c r="W1272" i="5"/>
  <c r="V1013" i="5"/>
  <c r="W1013" i="5"/>
  <c r="V2867" i="5"/>
  <c r="W2867" i="5"/>
  <c r="W2589" i="5"/>
  <c r="V2589" i="5"/>
  <c r="V2445" i="5"/>
  <c r="W2445" i="5"/>
  <c r="W2343" i="5"/>
  <c r="V2343" i="5"/>
  <c r="W1064" i="5"/>
  <c r="V1064" i="5"/>
  <c r="V43" i="5"/>
  <c r="W43" i="5"/>
  <c r="W2374" i="5"/>
  <c r="V2374" i="5"/>
  <c r="V1933" i="5"/>
  <c r="W1933" i="5"/>
  <c r="W1086" i="5"/>
  <c r="V1086" i="5"/>
  <c r="W840" i="5"/>
  <c r="V840" i="5"/>
  <c r="V717" i="5"/>
  <c r="W717" i="5"/>
  <c r="W500" i="5"/>
  <c r="V500" i="5"/>
  <c r="V265" i="5"/>
  <c r="W265" i="5"/>
  <c r="V117" i="5"/>
  <c r="W117" i="5"/>
  <c r="V3166" i="5"/>
  <c r="W3087" i="5"/>
  <c r="V3049" i="5"/>
  <c r="V2971" i="5"/>
  <c r="W2941" i="5"/>
  <c r="W2917" i="5"/>
  <c r="V2878" i="5"/>
  <c r="W2878" i="5"/>
  <c r="W2791" i="5"/>
  <c r="V2791" i="5"/>
  <c r="V2713" i="5"/>
  <c r="W2713" i="5"/>
  <c r="V2674" i="5"/>
  <c r="W2627" i="5"/>
  <c r="V2627" i="5"/>
  <c r="V2576" i="5"/>
  <c r="W2576" i="5"/>
  <c r="V2497" i="5"/>
  <c r="W2497" i="5"/>
  <c r="W2383" i="5"/>
  <c r="V2338" i="5"/>
  <c r="W2338" i="5"/>
  <c r="W2270" i="5"/>
  <c r="W2229" i="5"/>
  <c r="V2229" i="5"/>
  <c r="V2112" i="5"/>
  <c r="V2055" i="5"/>
  <c r="W2055" i="5"/>
  <c r="W1792" i="5"/>
  <c r="V1711" i="5"/>
  <c r="W1711" i="5"/>
  <c r="V1683" i="5"/>
  <c r="W1683" i="5"/>
  <c r="V1562" i="5"/>
  <c r="W1562" i="5"/>
  <c r="V861" i="5"/>
  <c r="W861" i="5"/>
  <c r="W859" i="5"/>
  <c r="W140" i="5"/>
  <c r="V140" i="5"/>
  <c r="W84" i="5"/>
  <c r="V84" i="5"/>
  <c r="V2848" i="5"/>
  <c r="W2848" i="5"/>
  <c r="W2754" i="5"/>
  <c r="V2754" i="5"/>
  <c r="W2601" i="5"/>
  <c r="V2601" i="5"/>
  <c r="W2550" i="5"/>
  <c r="V2550" i="5"/>
  <c r="V2536" i="5"/>
  <c r="W2536" i="5"/>
  <c r="V2443" i="5"/>
  <c r="W2443" i="5"/>
  <c r="W2295" i="5"/>
  <c r="V2295" i="5"/>
  <c r="W2078" i="5"/>
  <c r="V2078" i="5"/>
  <c r="V1922" i="5"/>
  <c r="W1922" i="5"/>
  <c r="W1505" i="5"/>
  <c r="V1505" i="5"/>
  <c r="V1191" i="5"/>
  <c r="W1191" i="5"/>
  <c r="V895" i="5"/>
  <c r="W895" i="5"/>
  <c r="V251" i="5"/>
  <c r="W251" i="5"/>
  <c r="V4" i="5"/>
  <c r="W4" i="5"/>
  <c r="W2191" i="5"/>
  <c r="V2191" i="5"/>
  <c r="W1929" i="5"/>
  <c r="V1929" i="5"/>
  <c r="W1695" i="5"/>
  <c r="V1695" i="5"/>
  <c r="V1211" i="5"/>
  <c r="W1211" i="5"/>
  <c r="W424" i="5"/>
  <c r="V424" i="5"/>
  <c r="W2862" i="5"/>
  <c r="V2862" i="5"/>
  <c r="V2758" i="5"/>
  <c r="W2758" i="5"/>
  <c r="V2711" i="5"/>
  <c r="W2711" i="5"/>
  <c r="W2557" i="5"/>
  <c r="V2557" i="5"/>
  <c r="V2031" i="5"/>
  <c r="W2031" i="5"/>
  <c r="W1835" i="5"/>
  <c r="V1835" i="5"/>
  <c r="V1521" i="5"/>
  <c r="W1521" i="5"/>
  <c r="V1264" i="5"/>
  <c r="W1264" i="5"/>
  <c r="W953" i="5"/>
  <c r="V953" i="5"/>
  <c r="W683" i="5"/>
  <c r="V683" i="5"/>
  <c r="W473" i="5"/>
  <c r="V473" i="5"/>
  <c r="V1651" i="5"/>
  <c r="W1651" i="5"/>
  <c r="W1600" i="5"/>
  <c r="V1600" i="5"/>
  <c r="W1560" i="5"/>
  <c r="V1560" i="5"/>
  <c r="V1071" i="5"/>
  <c r="W1071" i="5"/>
  <c r="V1018" i="5"/>
  <c r="W1018" i="5"/>
  <c r="V2920" i="5"/>
  <c r="W2920" i="5"/>
  <c r="W2670" i="5"/>
  <c r="V2670" i="5"/>
  <c r="W2562" i="5"/>
  <c r="V2562" i="5"/>
  <c r="V2193" i="5"/>
  <c r="W2193" i="5"/>
  <c r="V1815" i="5"/>
  <c r="W1815" i="5"/>
  <c r="V1555" i="5"/>
  <c r="W1555" i="5"/>
  <c r="W1445" i="5"/>
  <c r="V1445" i="5"/>
  <c r="W1084" i="5"/>
  <c r="V1084" i="5"/>
  <c r="W725" i="5"/>
  <c r="V725" i="5"/>
  <c r="W3224" i="5"/>
  <c r="V3195" i="5"/>
  <c r="V3128" i="5"/>
  <c r="W3072" i="5"/>
  <c r="V3013" i="5"/>
  <c r="V2873" i="5"/>
  <c r="W2873" i="5"/>
  <c r="V2573" i="5"/>
  <c r="V2272" i="5"/>
  <c r="V2234" i="5"/>
  <c r="W2234" i="5"/>
  <c r="V2116" i="5"/>
  <c r="V2105" i="5"/>
  <c r="W1960" i="5"/>
  <c r="V1960" i="5"/>
  <c r="V1633" i="5"/>
  <c r="W1633" i="5"/>
  <c r="V1620" i="5"/>
  <c r="W1620" i="5"/>
  <c r="W1307" i="5"/>
  <c r="V1307" i="5"/>
  <c r="W1152" i="5"/>
  <c r="V1152" i="5"/>
  <c r="V870" i="5"/>
  <c r="W870" i="5"/>
  <c r="V512" i="5"/>
  <c r="W512" i="5"/>
  <c r="V505" i="5"/>
  <c r="W505" i="5"/>
  <c r="V274" i="5"/>
  <c r="V169" i="5"/>
  <c r="W169" i="5"/>
  <c r="W3329" i="5"/>
  <c r="W2546" i="5"/>
  <c r="V2546" i="5"/>
  <c r="W2283" i="5"/>
  <c r="V2283" i="5"/>
  <c r="W2279" i="5"/>
  <c r="V2279" i="5"/>
  <c r="V1981" i="5"/>
  <c r="W1981" i="5"/>
  <c r="V1851" i="5"/>
  <c r="V1807" i="5"/>
  <c r="W1807" i="5"/>
  <c r="W1567" i="5"/>
  <c r="V1567" i="5"/>
  <c r="W1237" i="5"/>
  <c r="V1237" i="5"/>
  <c r="V1157" i="5"/>
  <c r="W1157" i="5"/>
  <c r="W919" i="5"/>
  <c r="V919" i="5"/>
  <c r="V571" i="5"/>
  <c r="W571" i="5"/>
  <c r="V527" i="5"/>
  <c r="W527" i="5"/>
  <c r="V322" i="5"/>
  <c r="W322" i="5"/>
  <c r="V309" i="5"/>
  <c r="W309" i="5"/>
  <c r="V299" i="5"/>
  <c r="W299" i="5"/>
  <c r="V142" i="5"/>
  <c r="W142" i="5"/>
  <c r="V2717" i="5"/>
  <c r="W2717" i="5"/>
  <c r="W2578" i="5"/>
  <c r="V2578" i="5"/>
  <c r="V2236" i="5"/>
  <c r="W2236" i="5"/>
  <c r="V2176" i="5"/>
  <c r="W2176" i="5"/>
  <c r="V2114" i="5"/>
  <c r="W2114" i="5"/>
  <c r="V1876" i="5"/>
  <c r="W1876" i="5"/>
  <c r="V1389" i="5"/>
  <c r="W1389" i="5"/>
  <c r="V314" i="5"/>
  <c r="W314" i="5"/>
  <c r="V174" i="5"/>
  <c r="W174" i="5"/>
  <c r="W3302" i="5"/>
  <c r="W3283" i="5"/>
  <c r="W3046" i="5"/>
  <c r="V2633" i="5"/>
  <c r="W2633" i="5"/>
  <c r="W2373" i="5"/>
  <c r="V2373" i="5"/>
  <c r="V2342" i="5"/>
  <c r="W2342" i="5"/>
  <c r="V2207" i="5"/>
  <c r="W2207" i="5"/>
  <c r="V2118" i="5"/>
  <c r="W2118" i="5"/>
  <c r="W2070" i="5"/>
  <c r="V2070" i="5"/>
  <c r="W2063" i="5"/>
  <c r="W1976" i="5"/>
  <c r="V1976" i="5"/>
  <c r="V1650" i="5"/>
  <c r="W1650" i="5"/>
  <c r="W1645" i="5"/>
  <c r="V1645" i="5"/>
  <c r="V1564" i="5"/>
  <c r="W1564" i="5"/>
  <c r="W1437" i="5"/>
  <c r="V1437" i="5"/>
  <c r="W1394" i="5"/>
  <c r="V1394" i="5"/>
  <c r="V534" i="5"/>
  <c r="W534" i="5"/>
  <c r="V25" i="5"/>
  <c r="W25" i="5"/>
  <c r="W3324" i="5"/>
  <c r="W3235" i="5"/>
  <c r="V3197" i="5"/>
  <c r="W3155" i="5"/>
  <c r="W3027" i="5"/>
  <c r="W2875" i="5"/>
  <c r="V2875" i="5"/>
  <c r="V2714" i="5"/>
  <c r="V2686" i="5"/>
  <c r="W2648" i="5"/>
  <c r="V2648" i="5"/>
  <c r="W2515" i="5"/>
  <c r="V2515" i="5"/>
  <c r="W2469" i="5"/>
  <c r="V2350" i="5"/>
  <c r="W2350" i="5"/>
  <c r="V1901" i="5"/>
  <c r="W1901" i="5"/>
  <c r="W1809" i="5"/>
  <c r="V1809" i="5"/>
  <c r="V1761" i="5"/>
  <c r="W1761" i="5"/>
  <c r="W1640" i="5"/>
  <c r="V1640" i="5"/>
  <c r="W1301" i="5"/>
  <c r="V1301" i="5"/>
  <c r="V1171" i="5"/>
  <c r="W1169" i="5"/>
  <c r="V1169" i="5"/>
  <c r="V1164" i="5"/>
  <c r="W1164" i="5"/>
  <c r="V1124" i="5"/>
  <c r="W604" i="5"/>
  <c r="V595" i="5"/>
  <c r="W595" i="5"/>
  <c r="W377" i="5"/>
  <c r="V340" i="5"/>
  <c r="W340" i="5"/>
  <c r="V195" i="5"/>
  <c r="V88" i="5"/>
  <c r="W88" i="5"/>
  <c r="W3326" i="5"/>
  <c r="W3306" i="5"/>
  <c r="W3304" i="5"/>
  <c r="W3262" i="5"/>
  <c r="V3207" i="5"/>
  <c r="V3113" i="5"/>
  <c r="W3098" i="5"/>
  <c r="V3091" i="5"/>
  <c r="W3055" i="5"/>
  <c r="W3002" i="5"/>
  <c r="W2979" i="5"/>
  <c r="W2957" i="5"/>
  <c r="W2938" i="5"/>
  <c r="W2921" i="5"/>
  <c r="V2830" i="5"/>
  <c r="V2826" i="5"/>
  <c r="W2826" i="5"/>
  <c r="W2476" i="5"/>
  <c r="W2280" i="5"/>
  <c r="W2278" i="5"/>
  <c r="W2238" i="5"/>
  <c r="V2238" i="5"/>
  <c r="V2185" i="5"/>
  <c r="W2185" i="5"/>
  <c r="W2162" i="5"/>
  <c r="V2162" i="5"/>
  <c r="W2120" i="5"/>
  <c r="V2120" i="5"/>
  <c r="V2074" i="5"/>
  <c r="W2074" i="5"/>
  <c r="V2065" i="5"/>
  <c r="V1766" i="5"/>
  <c r="W1766" i="5"/>
  <c r="V1582" i="5"/>
  <c r="W1582" i="5"/>
  <c r="V1460" i="5"/>
  <c r="W1460" i="5"/>
  <c r="W1451" i="5"/>
  <c r="V1451" i="5"/>
  <c r="V1401" i="5"/>
  <c r="W1401" i="5"/>
  <c r="V1107" i="5"/>
  <c r="W1107" i="5"/>
  <c r="V984" i="5"/>
  <c r="W949" i="5"/>
  <c r="V949" i="5"/>
  <c r="W749" i="5"/>
  <c r="V749" i="5"/>
  <c r="W375" i="5"/>
  <c r="V375" i="5"/>
  <c r="V249" i="5"/>
  <c r="W249" i="5"/>
  <c r="W193" i="5"/>
  <c r="V193" i="5"/>
  <c r="V191" i="5"/>
  <c r="W191" i="5"/>
  <c r="W3316" i="5"/>
  <c r="W3267" i="5"/>
  <c r="W3194" i="5"/>
  <c r="W3189" i="5"/>
  <c r="V3172" i="5"/>
  <c r="W3157" i="5"/>
  <c r="V3136" i="5"/>
  <c r="W3125" i="5"/>
  <c r="V3081" i="5"/>
  <c r="W3048" i="5"/>
  <c r="V3031" i="5"/>
  <c r="V3012" i="5"/>
  <c r="V2877" i="5"/>
  <c r="W2877" i="5"/>
  <c r="W2597" i="5"/>
  <c r="V2597" i="5"/>
  <c r="W2594" i="5"/>
  <c r="V2529" i="5"/>
  <c r="V2474" i="5"/>
  <c r="V2125" i="5"/>
  <c r="W2125" i="5"/>
  <c r="V1987" i="5"/>
  <c r="W1920" i="5"/>
  <c r="V1920" i="5"/>
  <c r="W1862" i="5"/>
  <c r="W1424" i="5"/>
  <c r="V1424" i="5"/>
  <c r="W1345" i="5"/>
  <c r="V1345" i="5"/>
  <c r="V1176" i="5"/>
  <c r="V996" i="5"/>
  <c r="W994" i="5"/>
  <c r="V954" i="5"/>
  <c r="W954" i="5"/>
  <c r="V422" i="5"/>
  <c r="W422" i="5"/>
  <c r="V389" i="5"/>
  <c r="V384" i="5"/>
  <c r="V19" i="5"/>
  <c r="W19" i="5"/>
  <c r="W3129" i="5"/>
  <c r="V3057" i="5"/>
  <c r="W3004" i="5"/>
  <c r="W2524" i="5"/>
  <c r="V2355" i="5"/>
  <c r="W2355" i="5"/>
  <c r="V2289" i="5"/>
  <c r="W2289" i="5"/>
  <c r="V2215" i="5"/>
  <c r="W2211" i="5"/>
  <c r="V2211" i="5"/>
  <c r="V2182" i="5"/>
  <c r="V2000" i="5"/>
  <c r="V1985" i="5"/>
  <c r="W1985" i="5"/>
  <c r="W1709" i="5"/>
  <c r="V1709" i="5"/>
  <c r="V1186" i="5"/>
  <c r="W1186" i="5"/>
  <c r="W1181" i="5"/>
  <c r="V1181" i="5"/>
  <c r="V962" i="5"/>
  <c r="W962" i="5"/>
  <c r="V387" i="5"/>
  <c r="W387" i="5"/>
  <c r="W2669" i="5"/>
  <c r="W2526" i="5"/>
  <c r="W1122" i="5"/>
  <c r="V1122" i="5"/>
  <c r="V1020" i="5"/>
  <c r="W1020" i="5"/>
  <c r="V879" i="5"/>
  <c r="W879" i="5"/>
  <c r="V633" i="5"/>
  <c r="W633" i="5"/>
  <c r="V556" i="5"/>
  <c r="W556" i="5"/>
  <c r="V546" i="5"/>
  <c r="W546" i="5"/>
  <c r="V281" i="5"/>
  <c r="W281" i="5"/>
  <c r="V235" i="5"/>
  <c r="X235" i="5" s="1"/>
  <c r="W235" i="5"/>
  <c r="V2632" i="5"/>
  <c r="W2487" i="5"/>
  <c r="W2471" i="5"/>
  <c r="W2429" i="5"/>
  <c r="W2328" i="5"/>
  <c r="V2241" i="5"/>
  <c r="W2228" i="5"/>
  <c r="W2223" i="5"/>
  <c r="V2210" i="5"/>
  <c r="V2206" i="5"/>
  <c r="V2045" i="5"/>
  <c r="V1984" i="5"/>
  <c r="V1975" i="5"/>
  <c r="W1678" i="5"/>
  <c r="V1675" i="5"/>
  <c r="W1675" i="5"/>
  <c r="V1352" i="5"/>
  <c r="V1242" i="5"/>
  <c r="W1232" i="5"/>
  <c r="V1151" i="5"/>
  <c r="W1151" i="5"/>
  <c r="W1140" i="5"/>
  <c r="W1119" i="5"/>
  <c r="W462" i="5"/>
  <c r="V462" i="5"/>
  <c r="V154" i="5"/>
  <c r="W154" i="5"/>
  <c r="V21" i="5"/>
  <c r="W21" i="5"/>
  <c r="W2685" i="5"/>
  <c r="V2628" i="5"/>
  <c r="W2334" i="5"/>
  <c r="V2100" i="5"/>
  <c r="V1999" i="5"/>
  <c r="W1831" i="5"/>
  <c r="W1810" i="5"/>
  <c r="V1364" i="5"/>
  <c r="W1364" i="5"/>
  <c r="W1340" i="5"/>
  <c r="V1340" i="5"/>
  <c r="V1038" i="5"/>
  <c r="W1038" i="5"/>
  <c r="V969" i="5"/>
  <c r="W969" i="5"/>
  <c r="W805" i="5"/>
  <c r="V805" i="5"/>
  <c r="V752" i="5"/>
  <c r="W752" i="5"/>
  <c r="V467" i="5"/>
  <c r="W467" i="5"/>
  <c r="W346" i="5"/>
  <c r="V346" i="5"/>
  <c r="V283" i="5"/>
  <c r="W283" i="5"/>
  <c r="V1369" i="5"/>
  <c r="W1369" i="5"/>
  <c r="V1245" i="5"/>
  <c r="W1245" i="5"/>
  <c r="V847" i="5"/>
  <c r="W847" i="5"/>
  <c r="V814" i="5"/>
  <c r="W814" i="5"/>
  <c r="V418" i="5"/>
  <c r="W418" i="5"/>
  <c r="V298" i="5"/>
  <c r="W298" i="5"/>
  <c r="W1447" i="5"/>
  <c r="V1447" i="5"/>
  <c r="W1040" i="5"/>
  <c r="V1040" i="5"/>
  <c r="V762" i="5"/>
  <c r="W762" i="5"/>
  <c r="W577" i="5"/>
  <c r="V577" i="5"/>
  <c r="V425" i="5"/>
  <c r="W425" i="5"/>
  <c r="V355" i="5"/>
  <c r="W355" i="5"/>
  <c r="W290" i="5"/>
  <c r="V290" i="5"/>
  <c r="V102" i="5"/>
  <c r="W102" i="5"/>
  <c r="V1629" i="5"/>
  <c r="W1629" i="5"/>
  <c r="V1594" i="5"/>
  <c r="W1594" i="5"/>
  <c r="V1385" i="5"/>
  <c r="W1385" i="5"/>
  <c r="V1270" i="5"/>
  <c r="W1270" i="5"/>
  <c r="V1249" i="5"/>
  <c r="W1249" i="5"/>
  <c r="V976" i="5"/>
  <c r="W976" i="5"/>
  <c r="V968" i="5"/>
  <c r="W165" i="5"/>
  <c r="V165" i="5"/>
  <c r="V158" i="5"/>
  <c r="W158" i="5"/>
  <c r="W644" i="5"/>
  <c r="V644" i="5"/>
  <c r="V642" i="5"/>
  <c r="W642" i="5"/>
  <c r="V438" i="5"/>
  <c r="W438" i="5"/>
  <c r="V187" i="5"/>
  <c r="W187" i="5"/>
  <c r="W1492" i="5"/>
  <c r="V1492" i="5"/>
  <c r="W1392" i="5"/>
  <c r="V1392" i="5"/>
  <c r="V1057" i="5"/>
  <c r="W1057" i="5"/>
  <c r="V1042" i="5"/>
  <c r="W1042" i="5"/>
  <c r="W978" i="5"/>
  <c r="V978" i="5"/>
  <c r="V922" i="5"/>
  <c r="W922" i="5"/>
  <c r="V914" i="5"/>
  <c r="W914" i="5"/>
  <c r="W676" i="5"/>
  <c r="V676" i="5"/>
  <c r="V591" i="5"/>
  <c r="W591" i="5"/>
  <c r="V515" i="5"/>
  <c r="W515" i="5"/>
  <c r="V371" i="5"/>
  <c r="W371" i="5"/>
  <c r="V126" i="5"/>
  <c r="W126" i="5"/>
  <c r="V1399" i="5"/>
  <c r="W1399" i="5"/>
  <c r="V1397" i="5"/>
  <c r="W1397" i="5"/>
  <c r="V1174" i="5"/>
  <c r="W1174" i="5"/>
  <c r="V980" i="5"/>
  <c r="W980" i="5"/>
  <c r="W856" i="5"/>
  <c r="V856" i="5"/>
  <c r="W776" i="5"/>
  <c r="V776" i="5"/>
  <c r="W380" i="5"/>
  <c r="V380" i="5"/>
  <c r="V338" i="5"/>
  <c r="W338" i="5"/>
  <c r="V32" i="5"/>
  <c r="W32" i="5"/>
  <c r="V1311" i="5"/>
  <c r="W808" i="5"/>
  <c r="W629" i="5"/>
  <c r="W1431" i="5"/>
  <c r="V1422" i="5"/>
  <c r="W799" i="5"/>
  <c r="V765" i="5"/>
  <c r="V399" i="5"/>
  <c r="V882" i="5"/>
  <c r="W736" i="5"/>
  <c r="W617" i="5"/>
  <c r="W472" i="5"/>
  <c r="W133" i="5"/>
  <c r="V1641" i="5"/>
  <c r="W1277" i="5"/>
  <c r="W250" i="5"/>
  <c r="V672" i="5"/>
  <c r="V430" i="5"/>
  <c r="W394" i="5"/>
  <c r="W293" i="5"/>
  <c r="W924" i="5"/>
  <c r="V580" i="5"/>
  <c r="W2158" i="5"/>
  <c r="V2158" i="5"/>
  <c r="V1832" i="5"/>
  <c r="W1832" i="5"/>
  <c r="V263" i="5"/>
  <c r="W263" i="5"/>
  <c r="V173" i="5"/>
  <c r="W173" i="5"/>
  <c r="V44" i="5"/>
  <c r="W44" i="5"/>
  <c r="V41" i="5"/>
  <c r="W41" i="5"/>
  <c r="V3325" i="5"/>
  <c r="W3325" i="5"/>
  <c r="W3321" i="5"/>
  <c r="V3054" i="5"/>
  <c r="W2616" i="5"/>
  <c r="V2616" i="5"/>
  <c r="W2441" i="5"/>
  <c r="V2441" i="5"/>
  <c r="W2245" i="5"/>
  <c r="V2245" i="5"/>
  <c r="W390" i="5"/>
  <c r="V2293" i="5"/>
  <c r="W2293" i="5"/>
  <c r="W2142" i="5"/>
  <c r="V2142" i="5"/>
  <c r="V1925" i="5"/>
  <c r="W1925" i="5"/>
  <c r="V1302" i="5"/>
  <c r="W1302" i="5"/>
  <c r="W1257" i="5"/>
  <c r="V1257" i="5"/>
  <c r="V3312" i="5"/>
  <c r="W3312" i="5"/>
  <c r="V2810" i="5"/>
  <c r="W2810" i="5"/>
  <c r="W2448" i="5"/>
  <c r="V2448" i="5"/>
  <c r="V3258" i="5"/>
  <c r="W3258" i="5"/>
  <c r="V3200" i="5"/>
  <c r="W3200" i="5"/>
  <c r="V2155" i="5"/>
  <c r="W2155" i="5"/>
  <c r="W1966" i="5"/>
  <c r="V1966" i="5"/>
  <c r="W1887" i="5"/>
  <c r="V1887" i="5"/>
  <c r="W1506" i="5"/>
  <c r="V1506" i="5"/>
  <c r="V3268" i="5"/>
  <c r="W3268" i="5"/>
  <c r="V3183" i="5"/>
  <c r="W3183" i="5"/>
  <c r="V3010" i="5"/>
  <c r="W3010" i="5"/>
  <c r="V2431" i="5"/>
  <c r="W2431" i="5"/>
  <c r="V2721" i="5"/>
  <c r="W2721" i="5"/>
  <c r="V2625" i="5"/>
  <c r="W2625" i="5"/>
  <c r="W2444" i="5"/>
  <c r="V2444" i="5"/>
  <c r="W2261" i="5"/>
  <c r="V2261" i="5"/>
  <c r="V990" i="5"/>
  <c r="W990" i="5"/>
  <c r="W393" i="5"/>
  <c r="V393" i="5"/>
  <c r="V157" i="5"/>
  <c r="W157" i="5"/>
  <c r="V3063" i="5"/>
  <c r="W3063" i="5"/>
  <c r="V2975" i="5"/>
  <c r="W2975" i="5"/>
  <c r="V2321" i="5"/>
  <c r="W2321" i="5"/>
  <c r="W1847" i="5"/>
  <c r="V1847" i="5"/>
  <c r="V402" i="5"/>
  <c r="W402" i="5"/>
  <c r="V71" i="5"/>
  <c r="W71" i="5"/>
  <c r="V1706" i="5"/>
  <c r="W1706" i="5"/>
  <c r="V1236" i="5"/>
  <c r="W1236" i="5"/>
  <c r="V56" i="5"/>
  <c r="W56" i="5"/>
  <c r="V2881" i="5"/>
  <c r="W2881" i="5"/>
  <c r="W2727" i="5"/>
  <c r="V2727" i="5"/>
  <c r="V2447" i="5"/>
  <c r="W2447" i="5"/>
  <c r="V409" i="5"/>
  <c r="W409" i="5"/>
  <c r="W3301" i="5"/>
  <c r="V3301" i="5"/>
  <c r="V3005" i="5"/>
  <c r="W3005" i="5"/>
  <c r="V2981" i="5"/>
  <c r="W2981" i="5"/>
  <c r="V2898" i="5"/>
  <c r="W2898" i="5"/>
  <c r="W2624" i="5"/>
  <c r="V2624" i="5"/>
  <c r="W2511" i="5"/>
  <c r="V2511" i="5"/>
  <c r="W2166" i="5"/>
  <c r="V2166" i="5"/>
  <c r="V1349" i="5"/>
  <c r="W1349" i="5"/>
  <c r="V1732" i="5"/>
  <c r="W1732" i="5"/>
  <c r="V1288" i="5"/>
  <c r="W1288" i="5"/>
  <c r="W3317" i="5"/>
  <c r="V3317" i="5"/>
  <c r="V3163" i="5"/>
  <c r="W3161" i="5"/>
  <c r="V3161" i="5"/>
  <c r="V3086" i="5"/>
  <c r="W3086" i="5"/>
  <c r="W2887" i="5"/>
  <c r="W2745" i="5"/>
  <c r="V2745" i="5"/>
  <c r="V2528" i="5"/>
  <c r="W2528" i="5"/>
  <c r="V2460" i="5"/>
  <c r="W2460" i="5"/>
  <c r="V1950" i="5"/>
  <c r="W1950" i="5"/>
  <c r="V1936" i="5"/>
  <c r="V1378" i="5"/>
  <c r="W1378" i="5"/>
  <c r="W1308" i="5"/>
  <c r="V2574" i="5"/>
  <c r="W2574" i="5"/>
  <c r="W1387" i="5"/>
  <c r="V1387" i="5"/>
  <c r="W3299" i="5"/>
  <c r="V3299" i="5"/>
  <c r="W3017" i="5"/>
  <c r="V3017" i="5"/>
  <c r="W2" i="5"/>
  <c r="V2" i="5"/>
  <c r="W2893" i="5"/>
  <c r="W2778" i="5"/>
  <c r="V2778" i="5"/>
  <c r="V2534" i="5"/>
  <c r="W2534" i="5"/>
  <c r="V2514" i="5"/>
  <c r="W2514" i="5"/>
  <c r="V2473" i="5"/>
  <c r="W2473" i="5"/>
  <c r="V2326" i="5"/>
  <c r="W2326" i="5"/>
  <c r="W2198" i="5"/>
  <c r="V2198" i="5"/>
  <c r="V1910" i="5"/>
  <c r="W1910" i="5"/>
  <c r="V1404" i="5"/>
  <c r="W1319" i="5"/>
  <c r="V1319" i="5"/>
  <c r="V1312" i="5"/>
  <c r="W1312" i="5"/>
  <c r="V3180" i="5"/>
  <c r="W3180" i="5"/>
  <c r="V2828" i="5"/>
  <c r="W2828" i="5"/>
  <c r="V2152" i="5"/>
  <c r="W2152" i="5"/>
  <c r="W3078" i="5"/>
  <c r="W3037" i="5"/>
  <c r="V3037" i="5"/>
  <c r="W2467" i="5"/>
  <c r="V2467" i="5"/>
  <c r="V2370" i="5"/>
  <c r="W2370" i="5"/>
  <c r="V1953" i="5"/>
  <c r="W1953" i="5"/>
  <c r="V1846" i="5"/>
  <c r="W1846" i="5"/>
  <c r="W3165" i="5"/>
  <c r="V3165" i="5"/>
  <c r="V2908" i="5"/>
  <c r="W2908" i="5"/>
  <c r="V2784" i="5"/>
  <c r="W2784" i="5"/>
  <c r="V2667" i="5"/>
  <c r="W2667" i="5"/>
  <c r="V2520" i="5"/>
  <c r="W2520" i="5"/>
  <c r="V2377" i="5"/>
  <c r="W2377" i="5"/>
  <c r="V2217" i="5"/>
  <c r="W2217" i="5"/>
  <c r="V1961" i="5"/>
  <c r="W1656" i="5"/>
  <c r="V1656" i="5"/>
  <c r="V1636" i="5"/>
  <c r="V1471" i="5"/>
  <c r="W1471" i="5"/>
  <c r="W1411" i="5"/>
  <c r="V1294" i="5"/>
  <c r="W1294" i="5"/>
  <c r="V2911" i="5"/>
  <c r="W2911" i="5"/>
  <c r="W2038" i="5"/>
  <c r="V1666" i="5"/>
  <c r="V1673" i="5"/>
  <c r="W1673" i="5"/>
  <c r="V3233" i="5"/>
  <c r="W3233" i="5"/>
  <c r="W3174" i="5"/>
  <c r="V3174" i="5"/>
  <c r="V2874" i="5"/>
  <c r="W2874" i="5"/>
  <c r="W2787" i="5"/>
  <c r="V2787" i="5"/>
  <c r="W2093" i="5"/>
  <c r="V2093" i="5"/>
  <c r="V2035" i="5"/>
  <c r="W2035" i="5"/>
  <c r="W1988" i="5"/>
  <c r="V1988" i="5"/>
  <c r="V1677" i="5"/>
  <c r="W1677" i="5"/>
  <c r="V1529" i="5"/>
  <c r="W1529" i="5"/>
  <c r="W1477" i="5"/>
  <c r="V1477" i="5"/>
  <c r="W3285" i="5"/>
  <c r="V3285" i="5"/>
  <c r="V3171" i="5"/>
  <c r="W3171" i="5"/>
  <c r="W3142" i="5"/>
  <c r="V2929" i="5"/>
  <c r="W2929" i="5"/>
  <c r="W2906" i="5"/>
  <c r="V2802" i="5"/>
  <c r="W2802" i="5"/>
  <c r="V2792" i="5"/>
  <c r="W2774" i="5"/>
  <c r="V2774" i="5"/>
  <c r="V2001" i="5"/>
  <c r="W2001" i="5"/>
  <c r="V1958" i="5"/>
  <c r="W1958" i="5"/>
  <c r="V1783" i="5"/>
  <c r="W1783" i="5"/>
  <c r="W3029" i="5"/>
  <c r="V3029" i="5"/>
  <c r="V2916" i="5"/>
  <c r="W2916" i="5"/>
  <c r="W2219" i="5"/>
  <c r="V2219" i="5"/>
  <c r="V2715" i="5"/>
  <c r="W2715" i="5"/>
  <c r="V2590" i="5"/>
  <c r="W2590" i="5"/>
  <c r="V2969" i="5"/>
  <c r="W2969" i="5"/>
  <c r="V1902" i="5"/>
  <c r="W1902" i="5"/>
  <c r="W3025" i="5"/>
  <c r="V3025" i="5"/>
  <c r="V2972" i="5"/>
  <c r="W2972" i="5"/>
  <c r="W2233" i="5"/>
  <c r="V2233" i="5"/>
  <c r="W1863" i="5"/>
  <c r="V1863" i="5"/>
  <c r="W3244" i="5"/>
  <c r="V3244" i="5"/>
  <c r="V2109" i="5"/>
  <c r="W2109" i="5"/>
  <c r="W1850" i="5"/>
  <c r="V1850" i="5"/>
  <c r="V320" i="5"/>
  <c r="W320" i="5"/>
  <c r="W2689" i="5"/>
  <c r="V2689" i="5"/>
  <c r="W2678" i="5"/>
  <c r="V2678" i="5"/>
  <c r="W2549" i="5"/>
  <c r="V2549" i="5"/>
  <c r="V2391" i="5"/>
  <c r="W2391" i="5"/>
  <c r="V2059" i="5"/>
  <c r="W2059" i="5"/>
  <c r="V3282" i="5"/>
  <c r="V3245" i="5"/>
  <c r="V3208" i="5"/>
  <c r="W3208" i="5"/>
  <c r="W3177" i="5"/>
  <c r="V3177" i="5"/>
  <c r="V2942" i="5"/>
  <c r="W2942" i="5"/>
  <c r="V2552" i="5"/>
  <c r="W2552" i="5"/>
  <c r="W2104" i="5"/>
  <c r="V2104" i="5"/>
  <c r="W3167" i="5"/>
  <c r="W3101" i="5"/>
  <c r="V3101" i="5"/>
  <c r="W3007" i="5"/>
  <c r="V3007" i="5"/>
  <c r="V2985" i="5"/>
  <c r="V2945" i="5"/>
  <c r="W2840" i="5"/>
  <c r="V2840" i="5"/>
  <c r="W2719" i="5"/>
  <c r="V2719" i="5"/>
  <c r="W2707" i="5"/>
  <c r="V2707" i="5"/>
  <c r="V2401" i="5"/>
  <c r="V2394" i="5"/>
  <c r="W2394" i="5"/>
  <c r="V2356" i="5"/>
  <c r="W2356" i="5"/>
  <c r="V2340" i="5"/>
  <c r="W2340" i="5"/>
  <c r="W2007" i="5"/>
  <c r="V2007" i="5"/>
  <c r="W2004" i="5"/>
  <c r="V2004" i="5"/>
  <c r="V1745" i="5"/>
  <c r="W1745" i="5"/>
  <c r="V2022" i="5"/>
  <c r="W2022" i="5"/>
  <c r="V3296" i="5"/>
  <c r="W3296" i="5"/>
  <c r="W3173" i="5"/>
  <c r="W2952" i="5"/>
  <c r="V2952" i="5"/>
  <c r="V2919" i="5"/>
  <c r="V2913" i="5"/>
  <c r="W2710" i="5"/>
  <c r="V2710" i="5"/>
  <c r="V2558" i="5"/>
  <c r="W2558" i="5"/>
  <c r="V2359" i="5"/>
  <c r="W2359" i="5"/>
  <c r="W2164" i="5"/>
  <c r="W2110" i="5"/>
  <c r="V2110" i="5"/>
  <c r="W2347" i="5"/>
  <c r="V2347" i="5"/>
  <c r="W2184" i="5"/>
  <c r="V2184" i="5"/>
  <c r="W1698" i="5"/>
  <c r="V1698" i="5"/>
  <c r="V1377" i="5"/>
  <c r="W1377" i="5"/>
  <c r="W839" i="5"/>
  <c r="V839" i="5"/>
  <c r="W810" i="5"/>
  <c r="V810" i="5"/>
  <c r="W419" i="5"/>
  <c r="V419" i="5"/>
  <c r="V82" i="5"/>
  <c r="W82" i="5"/>
  <c r="V3271" i="5"/>
  <c r="W3271" i="5"/>
  <c r="W3179" i="5"/>
  <c r="V3139" i="5"/>
  <c r="W3139" i="5"/>
  <c r="V3047" i="5"/>
  <c r="W3047" i="5"/>
  <c r="V3044" i="5"/>
  <c r="W3044" i="5"/>
  <c r="W2850" i="5"/>
  <c r="W2827" i="5"/>
  <c r="V2827" i="5"/>
  <c r="W2175" i="5"/>
  <c r="V2175" i="5"/>
  <c r="V2106" i="5"/>
  <c r="W2106" i="5"/>
  <c r="V1921" i="5"/>
  <c r="W1921" i="5"/>
  <c r="V1918" i="5"/>
  <c r="W1918" i="5"/>
  <c r="W1700" i="5"/>
  <c r="V1491" i="5"/>
  <c r="V3298" i="5"/>
  <c r="W3298" i="5"/>
  <c r="W3281" i="5"/>
  <c r="V3281" i="5"/>
  <c r="V3114" i="5"/>
  <c r="W3094" i="5"/>
  <c r="V2844" i="5"/>
  <c r="V2641" i="5"/>
  <c r="V2629" i="5"/>
  <c r="W2629" i="5"/>
  <c r="W2582" i="5"/>
  <c r="V2582" i="5"/>
  <c r="V2490" i="5"/>
  <c r="V2427" i="5"/>
  <c r="V2407" i="5"/>
  <c r="W2407" i="5"/>
  <c r="W2307" i="5"/>
  <c r="V2307" i="5"/>
  <c r="V2235" i="5"/>
  <c r="W2235" i="5"/>
  <c r="V2180" i="5"/>
  <c r="V2138" i="5"/>
  <c r="W2132" i="5"/>
  <c r="V2132" i="5"/>
  <c r="V2034" i="5"/>
  <c r="W2034" i="5"/>
  <c r="V1703" i="5"/>
  <c r="W1703" i="5"/>
  <c r="W1487" i="5"/>
  <c r="V1280" i="5"/>
  <c r="W1280" i="5"/>
  <c r="V1024" i="5"/>
  <c r="W1024" i="5"/>
  <c r="W852" i="5"/>
  <c r="V852" i="5"/>
  <c r="V94" i="5"/>
  <c r="W94" i="5"/>
  <c r="V1446" i="5"/>
  <c r="W1446" i="5"/>
  <c r="V1368" i="5"/>
  <c r="W1368" i="5"/>
  <c r="V1361" i="5"/>
  <c r="W1361" i="5"/>
  <c r="V1293" i="5"/>
  <c r="W1293" i="5"/>
  <c r="V216" i="5"/>
  <c r="W216" i="5"/>
  <c r="W3145" i="5"/>
  <c r="V3145" i="5"/>
  <c r="V3132" i="5"/>
  <c r="V3071" i="5"/>
  <c r="W2879" i="5"/>
  <c r="V2879" i="5"/>
  <c r="W2806" i="5"/>
  <c r="V2806" i="5"/>
  <c r="W2800" i="5"/>
  <c r="V2800" i="5"/>
  <c r="V2770" i="5"/>
  <c r="W2770" i="5"/>
  <c r="V2735" i="5"/>
  <c r="W2735" i="5"/>
  <c r="W2612" i="5"/>
  <c r="V2612" i="5"/>
  <c r="V2493" i="5"/>
  <c r="W2493" i="5"/>
  <c r="W1837" i="5"/>
  <c r="V1837" i="5"/>
  <c r="V1795" i="5"/>
  <c r="W1795" i="5"/>
  <c r="V1779" i="5"/>
  <c r="W1779" i="5"/>
  <c r="V1754" i="5"/>
  <c r="W1754" i="5"/>
  <c r="W1509" i="5"/>
  <c r="V997" i="5"/>
  <c r="W997" i="5"/>
  <c r="W3152" i="5"/>
  <c r="V3152" i="5"/>
  <c r="W2541" i="5"/>
  <c r="V2541" i="5"/>
  <c r="W2439" i="5"/>
  <c r="V2439" i="5"/>
  <c r="W2365" i="5"/>
  <c r="V2365" i="5"/>
  <c r="W2237" i="5"/>
  <c r="V2237" i="5"/>
  <c r="W2054" i="5"/>
  <c r="V2054" i="5"/>
  <c r="V1814" i="5"/>
  <c r="W1814" i="5"/>
  <c r="V624" i="5"/>
  <c r="W624" i="5"/>
  <c r="V3104" i="5"/>
  <c r="W3104" i="5"/>
  <c r="V1161" i="5"/>
  <c r="W1161" i="5"/>
  <c r="W3" i="5"/>
  <c r="V3019" i="5"/>
  <c r="W3019" i="5"/>
  <c r="V2538" i="5"/>
  <c r="W2538" i="5"/>
  <c r="V2231" i="5"/>
  <c r="W2231" i="5"/>
  <c r="W3237" i="5"/>
  <c r="V3237" i="5"/>
  <c r="V3036" i="5"/>
  <c r="W3036" i="5"/>
  <c r="V2980" i="5"/>
  <c r="W2980" i="5"/>
  <c r="V2956" i="5"/>
  <c r="W2956" i="5"/>
  <c r="V2905" i="5"/>
  <c r="W2905" i="5"/>
  <c r="V2731" i="5"/>
  <c r="W2702" i="5"/>
  <c r="V2702" i="5"/>
  <c r="W2661" i="5"/>
  <c r="V2560" i="5"/>
  <c r="W2560" i="5"/>
  <c r="W2501" i="5"/>
  <c r="W2483" i="5"/>
  <c r="W2452" i="5"/>
  <c r="V2452" i="5"/>
  <c r="W2259" i="5"/>
  <c r="V2259" i="5"/>
  <c r="W2246" i="5"/>
  <c r="V2246" i="5"/>
  <c r="W2243" i="5"/>
  <c r="V2243" i="5"/>
  <c r="W2194" i="5"/>
  <c r="V2194" i="5"/>
  <c r="V2042" i="5"/>
  <c r="W2042" i="5"/>
  <c r="V2027" i="5"/>
  <c r="W2027" i="5"/>
  <c r="V1897" i="5"/>
  <c r="W1897" i="5"/>
  <c r="W1741" i="5"/>
  <c r="V1523" i="5"/>
  <c r="W1523" i="5"/>
  <c r="W1516" i="5"/>
  <c r="V1516" i="5"/>
  <c r="W1190" i="5"/>
  <c r="V1190" i="5"/>
  <c r="V1170" i="5"/>
  <c r="W1170" i="5"/>
  <c r="W532" i="5"/>
  <c r="V532" i="5"/>
  <c r="V3213" i="5"/>
  <c r="W3213" i="5"/>
  <c r="V3084" i="5"/>
  <c r="W3084" i="5"/>
  <c r="V2462" i="5"/>
  <c r="V2396" i="5"/>
  <c r="W2396" i="5"/>
  <c r="W2030" i="5"/>
  <c r="V2030" i="5"/>
  <c r="W1890" i="5"/>
  <c r="V1083" i="5"/>
  <c r="W1083" i="5"/>
  <c r="V584" i="5"/>
  <c r="W584" i="5"/>
  <c r="V2832" i="5"/>
  <c r="W2832" i="5"/>
  <c r="W2585" i="5"/>
  <c r="V2585" i="5"/>
  <c r="W2316" i="5"/>
  <c r="V2316" i="5"/>
  <c r="W1972" i="5"/>
  <c r="V1972" i="5"/>
  <c r="V3247" i="5"/>
  <c r="W3247" i="5"/>
  <c r="V2371" i="5"/>
  <c r="W2371" i="5"/>
  <c r="V2346" i="5"/>
  <c r="W2346" i="5"/>
  <c r="V2208" i="5"/>
  <c r="W2208" i="5"/>
  <c r="V1775" i="5"/>
  <c r="W1775" i="5"/>
  <c r="W598" i="5"/>
  <c r="V598" i="5"/>
  <c r="V463" i="5"/>
  <c r="W463" i="5"/>
  <c r="V3158" i="5"/>
  <c r="W3158" i="5"/>
  <c r="V2705" i="5"/>
  <c r="W2705" i="5"/>
  <c r="V1928" i="5"/>
  <c r="V1804" i="5"/>
  <c r="W1804" i="5"/>
  <c r="W1721" i="5"/>
  <c r="V1721" i="5"/>
  <c r="W1285" i="5"/>
  <c r="W1193" i="5"/>
  <c r="V1193" i="5"/>
  <c r="V2760" i="5"/>
  <c r="W2760" i="5"/>
  <c r="V2286" i="5"/>
  <c r="W2286" i="5"/>
  <c r="W1497" i="5"/>
  <c r="V1497" i="5"/>
  <c r="V2885" i="5"/>
  <c r="W2885" i="5"/>
  <c r="V3216" i="5"/>
  <c r="W3216" i="5"/>
  <c r="V2933" i="5"/>
  <c r="W2933" i="5"/>
  <c r="V2796" i="5"/>
  <c r="W2796" i="5"/>
  <c r="W2577" i="5"/>
  <c r="V2577" i="5"/>
  <c r="W2537" i="5"/>
  <c r="V2537" i="5"/>
  <c r="V2277" i="5"/>
  <c r="W2277" i="5"/>
  <c r="W2271" i="5"/>
  <c r="V2271" i="5"/>
  <c r="V2134" i="5"/>
  <c r="W2134" i="5"/>
  <c r="V1962" i="5"/>
  <c r="W1962" i="5"/>
  <c r="W2799" i="5"/>
  <c r="V2799" i="5"/>
  <c r="V2655" i="5"/>
  <c r="W2655" i="5"/>
  <c r="W2584" i="5"/>
  <c r="V2584" i="5"/>
  <c r="V2405" i="5"/>
  <c r="W2405" i="5"/>
  <c r="W2137" i="5"/>
  <c r="V2137" i="5"/>
  <c r="V925" i="5"/>
  <c r="W925" i="5"/>
  <c r="W867" i="5"/>
  <c r="V867" i="5"/>
  <c r="W3065" i="5"/>
  <c r="V3065" i="5"/>
  <c r="W3041" i="5"/>
  <c r="V3041" i="5"/>
  <c r="V3022" i="5"/>
  <c r="W3022" i="5"/>
  <c r="V2748" i="5"/>
  <c r="W2748" i="5"/>
  <c r="V2649" i="5"/>
  <c r="W2649" i="5"/>
  <c r="V2504" i="5"/>
  <c r="W2504" i="5"/>
  <c r="V2304" i="5"/>
  <c r="W2304" i="5"/>
  <c r="W2230" i="5"/>
  <c r="V2230" i="5"/>
  <c r="W2087" i="5"/>
  <c r="V2087" i="5"/>
  <c r="W2003" i="5"/>
  <c r="V2003" i="5"/>
  <c r="V1531" i="5"/>
  <c r="W1531" i="5"/>
  <c r="V1480" i="5"/>
  <c r="V1357" i="5"/>
  <c r="V347" i="5"/>
  <c r="W347" i="5"/>
  <c r="W75" i="5"/>
  <c r="V75" i="5"/>
  <c r="V67" i="5"/>
  <c r="W67" i="5"/>
  <c r="V1731" i="5"/>
  <c r="W1731" i="5"/>
  <c r="V1593" i="5"/>
  <c r="W1593" i="5"/>
  <c r="V1494" i="5"/>
  <c r="W1494" i="5"/>
  <c r="W1384" i="5"/>
  <c r="V1384" i="5"/>
  <c r="V883" i="5"/>
  <c r="W883" i="5"/>
  <c r="V821" i="5"/>
  <c r="W821" i="5"/>
  <c r="V428" i="5"/>
  <c r="W428" i="5"/>
  <c r="W395" i="5"/>
  <c r="V395" i="5"/>
  <c r="V367" i="5"/>
  <c r="W367" i="5"/>
  <c r="V31" i="5"/>
  <c r="W31" i="5"/>
  <c r="W1440" i="5"/>
  <c r="V1440" i="5"/>
  <c r="V1344" i="5"/>
  <c r="W1344" i="5"/>
  <c r="W535" i="5"/>
  <c r="V535" i="5"/>
  <c r="V445" i="5"/>
  <c r="W445" i="5"/>
  <c r="W398" i="5"/>
  <c r="V398" i="5"/>
  <c r="W3159" i="5"/>
  <c r="V3159" i="5"/>
  <c r="V3000" i="5"/>
  <c r="W3000" i="5"/>
  <c r="V2934" i="5"/>
  <c r="W2934" i="5"/>
  <c r="V2931" i="5"/>
  <c r="W2931" i="5"/>
  <c r="V2691" i="5"/>
  <c r="W2691" i="5"/>
  <c r="V2357" i="5"/>
  <c r="W2357" i="5"/>
  <c r="W2319" i="5"/>
  <c r="V2319" i="5"/>
  <c r="V2159" i="5"/>
  <c r="W2159" i="5"/>
  <c r="W2156" i="5"/>
  <c r="V2156" i="5"/>
  <c r="W2049" i="5"/>
  <c r="V2049" i="5"/>
  <c r="V1875" i="5"/>
  <c r="V1644" i="5"/>
  <c r="W1644" i="5"/>
  <c r="V1390" i="5"/>
  <c r="W1390" i="5"/>
  <c r="V712" i="5"/>
  <c r="W712" i="5"/>
  <c r="V496" i="5"/>
  <c r="W496" i="5"/>
  <c r="W2722" i="5"/>
  <c r="V2722" i="5"/>
  <c r="W2533" i="5"/>
  <c r="V2533" i="5"/>
  <c r="V2360" i="5"/>
  <c r="W2360" i="5"/>
  <c r="W2046" i="5"/>
  <c r="V2046" i="5"/>
  <c r="V1123" i="5"/>
  <c r="W1123" i="5"/>
  <c r="V106" i="5"/>
  <c r="W106" i="5"/>
  <c r="V90" i="5"/>
  <c r="W90" i="5"/>
  <c r="W1032" i="5"/>
  <c r="V1032" i="5"/>
  <c r="W986" i="5"/>
  <c r="V986" i="5"/>
  <c r="V325" i="5"/>
  <c r="W325" i="5"/>
  <c r="W2451" i="5"/>
  <c r="V2451" i="5"/>
  <c r="V1954" i="5"/>
  <c r="W1954" i="5"/>
  <c r="V1055" i="5"/>
  <c r="W1055" i="5"/>
  <c r="V1028" i="5"/>
  <c r="W1028" i="5"/>
  <c r="V3089" i="5"/>
  <c r="W2984" i="5"/>
  <c r="W2955" i="5"/>
  <c r="V2955" i="5"/>
  <c r="W2930" i="5"/>
  <c r="V2663" i="5"/>
  <c r="W2663" i="5"/>
  <c r="W2381" i="5"/>
  <c r="V2381" i="5"/>
  <c r="V1992" i="5"/>
  <c r="W1992" i="5"/>
  <c r="V1885" i="5"/>
  <c r="W1885" i="5"/>
  <c r="W1563" i="5"/>
  <c r="V1282" i="5"/>
  <c r="W1282" i="5"/>
  <c r="W1252" i="5"/>
  <c r="V1252" i="5"/>
  <c r="W1149" i="5"/>
  <c r="V1149" i="5"/>
  <c r="V1051" i="5"/>
  <c r="W1051" i="5"/>
  <c r="V934" i="5"/>
  <c r="W934" i="5"/>
  <c r="W823" i="5"/>
  <c r="V823" i="5"/>
  <c r="V2860" i="5"/>
  <c r="W2860" i="5"/>
  <c r="W2819" i="5"/>
  <c r="V2819" i="5"/>
  <c r="W2666" i="5"/>
  <c r="V2666" i="5"/>
  <c r="W2335" i="5"/>
  <c r="V2335" i="5"/>
  <c r="V2167" i="5"/>
  <c r="W2167" i="5"/>
  <c r="W1971" i="5"/>
  <c r="V1971" i="5"/>
  <c r="W1948" i="5"/>
  <c r="V1948" i="5"/>
  <c r="V1748" i="5"/>
  <c r="W1748" i="5"/>
  <c r="V1726" i="5"/>
  <c r="W1726" i="5"/>
  <c r="W1670" i="5"/>
  <c r="V1670" i="5"/>
  <c r="V1570" i="5"/>
  <c r="W1570" i="5"/>
  <c r="V1533" i="5"/>
  <c r="W1533" i="5"/>
  <c r="W1255" i="5"/>
  <c r="V1255" i="5"/>
  <c r="V1187" i="5"/>
  <c r="W1187" i="5"/>
  <c r="W941" i="5"/>
  <c r="V941" i="5"/>
  <c r="V826" i="5"/>
  <c r="W826" i="5"/>
  <c r="V3076" i="5"/>
  <c r="W3076" i="5"/>
  <c r="V2902" i="5"/>
  <c r="W2902" i="5"/>
  <c r="V2782" i="5"/>
  <c r="W2782" i="5"/>
  <c r="V2619" i="5"/>
  <c r="W2619" i="5"/>
  <c r="W2057" i="5"/>
  <c r="V2057" i="5"/>
  <c r="V1511" i="5"/>
  <c r="W1511" i="5"/>
  <c r="V1504" i="5"/>
  <c r="W1504" i="5"/>
  <c r="W1299" i="5"/>
  <c r="V1299" i="5"/>
  <c r="V1269" i="5"/>
  <c r="W1269" i="5"/>
  <c r="W1111" i="5"/>
  <c r="V1111" i="5"/>
  <c r="V1041" i="5"/>
  <c r="W1041" i="5"/>
  <c r="V705" i="5"/>
  <c r="W705" i="5"/>
  <c r="V686" i="5"/>
  <c r="W686" i="5"/>
  <c r="V153" i="5"/>
  <c r="W153" i="5"/>
  <c r="W1031" i="5"/>
  <c r="V1031" i="5"/>
  <c r="V849" i="5"/>
  <c r="W849" i="5"/>
  <c r="W795" i="5"/>
  <c r="V795" i="5"/>
  <c r="W792" i="5"/>
  <c r="V792" i="5"/>
  <c r="V661" i="5"/>
  <c r="W661" i="5"/>
  <c r="W648" i="5"/>
  <c r="V648" i="5"/>
  <c r="W639" i="5"/>
  <c r="V639" i="5"/>
  <c r="V564" i="5"/>
  <c r="W564" i="5"/>
  <c r="V196" i="5"/>
  <c r="W196" i="5"/>
  <c r="W664" i="5"/>
  <c r="V664" i="5"/>
  <c r="V576" i="5"/>
  <c r="W576" i="5"/>
  <c r="W1789" i="5"/>
  <c r="V1789" i="5"/>
  <c r="W1536" i="5"/>
  <c r="V1536" i="5"/>
  <c r="V1375" i="5"/>
  <c r="W1375" i="5"/>
  <c r="W1372" i="5"/>
  <c r="V1372" i="5"/>
  <c r="W1336" i="5"/>
  <c r="V1336" i="5"/>
  <c r="V1306" i="5"/>
  <c r="W1306" i="5"/>
  <c r="V1136" i="5"/>
  <c r="W1136" i="5"/>
  <c r="W1088" i="5"/>
  <c r="V865" i="5"/>
  <c r="W865" i="5"/>
  <c r="V1905" i="5"/>
  <c r="W1905" i="5"/>
  <c r="V1657" i="5"/>
  <c r="W1657" i="5"/>
  <c r="V1654" i="5"/>
  <c r="W1654" i="5"/>
  <c r="W1569" i="5"/>
  <c r="V1569" i="5"/>
  <c r="V804" i="5"/>
  <c r="W804" i="5"/>
  <c r="W740" i="5"/>
  <c r="V740" i="5"/>
  <c r="V721" i="5"/>
  <c r="W721" i="5"/>
  <c r="V654" i="5"/>
  <c r="W654" i="5"/>
  <c r="V109" i="5"/>
  <c r="W109" i="5"/>
  <c r="V3032" i="5"/>
  <c r="W3032" i="5"/>
  <c r="V2461" i="5"/>
  <c r="W2461" i="5"/>
  <c r="W2349" i="5"/>
  <c r="V2349" i="5"/>
  <c r="V2313" i="5"/>
  <c r="V1989" i="5"/>
  <c r="W1989" i="5"/>
  <c r="V1977" i="5"/>
  <c r="W1977" i="5"/>
  <c r="V1924" i="5"/>
  <c r="W1817" i="5"/>
  <c r="V1811" i="5"/>
  <c r="W1811" i="5"/>
  <c r="W1744" i="5"/>
  <c r="V1744" i="5"/>
  <c r="V1674" i="5"/>
  <c r="W1674" i="5"/>
  <c r="V1539" i="5"/>
  <c r="W1539" i="5"/>
  <c r="V1139" i="5"/>
  <c r="W1139" i="5"/>
  <c r="V3314" i="5"/>
  <c r="W3314" i="5"/>
  <c r="W3162" i="5"/>
  <c r="V3162" i="5"/>
  <c r="V3035" i="5"/>
  <c r="W3035" i="5"/>
  <c r="V2790" i="5"/>
  <c r="W2790" i="5"/>
  <c r="V1980" i="5"/>
  <c r="W1980" i="5"/>
  <c r="V1830" i="5"/>
  <c r="W1830" i="5"/>
  <c r="V1827" i="5"/>
  <c r="W1827" i="5"/>
  <c r="V1579" i="5"/>
  <c r="W1579" i="5"/>
  <c r="V1454" i="5"/>
  <c r="W1454" i="5"/>
  <c r="W1339" i="5"/>
  <c r="V1339" i="5"/>
  <c r="V1198" i="5"/>
  <c r="W1198" i="5"/>
  <c r="W1126" i="5"/>
  <c r="V1126" i="5"/>
  <c r="V956" i="5"/>
  <c r="W956" i="5"/>
  <c r="V231" i="5"/>
  <c r="W231" i="5"/>
  <c r="W170" i="5"/>
  <c r="V170" i="5"/>
  <c r="W1142" i="5"/>
  <c r="V1142" i="5"/>
  <c r="V161" i="5"/>
  <c r="W161" i="5"/>
  <c r="W3038" i="5"/>
  <c r="V3038" i="5"/>
  <c r="V2946" i="5"/>
  <c r="W2946" i="5"/>
  <c r="V2697" i="5"/>
  <c r="W2697" i="5"/>
  <c r="V1660" i="5"/>
  <c r="W1660" i="5"/>
  <c r="V1524" i="5"/>
  <c r="W1524" i="5"/>
  <c r="W1316" i="5"/>
  <c r="V1316" i="5"/>
  <c r="V1129" i="5"/>
  <c r="W1129" i="5"/>
  <c r="V291" i="5"/>
  <c r="W291" i="5"/>
  <c r="W931" i="5"/>
  <c r="V931" i="5"/>
  <c r="V667" i="5"/>
  <c r="W667" i="5"/>
  <c r="V219" i="5"/>
  <c r="W219" i="5"/>
  <c r="V85" i="5"/>
  <c r="W85" i="5"/>
  <c r="V1325" i="5"/>
  <c r="W1325" i="5"/>
  <c r="W1291" i="5"/>
  <c r="V1291" i="5"/>
  <c r="V1004" i="5"/>
  <c r="W1004" i="5"/>
  <c r="V815" i="5"/>
  <c r="W815" i="5"/>
  <c r="V632" i="5"/>
  <c r="W632" i="5"/>
  <c r="V259" i="5"/>
  <c r="W259" i="5"/>
  <c r="W189" i="5"/>
  <c r="V189" i="5"/>
  <c r="V152" i="5"/>
  <c r="W152" i="5"/>
  <c r="V149" i="5"/>
  <c r="W149" i="5"/>
  <c r="V1855" i="5"/>
  <c r="W1855" i="5"/>
  <c r="V1134" i="5"/>
  <c r="W1134" i="5"/>
  <c r="V1053" i="5"/>
  <c r="W1053" i="5"/>
  <c r="W992" i="5"/>
  <c r="V992" i="5"/>
  <c r="V947" i="5"/>
  <c r="W947" i="5"/>
  <c r="V596" i="5"/>
  <c r="W596" i="5"/>
  <c r="W508" i="5"/>
  <c r="V508" i="5"/>
  <c r="W2143" i="5"/>
  <c r="V2143" i="5"/>
  <c r="V1778" i="5"/>
  <c r="W1778" i="5"/>
  <c r="V1455" i="5"/>
  <c r="W1455" i="5"/>
  <c r="V1003" i="5"/>
  <c r="V950" i="5"/>
  <c r="W950" i="5"/>
  <c r="W612" i="5"/>
  <c r="V612" i="5"/>
  <c r="W471" i="5"/>
  <c r="V471" i="5"/>
  <c r="W1940" i="5"/>
  <c r="V1940" i="5"/>
  <c r="V1542" i="5"/>
  <c r="W1542" i="5"/>
  <c r="V1258" i="5"/>
  <c r="W1258" i="5"/>
  <c r="V1210" i="5"/>
  <c r="W1210" i="5"/>
  <c r="V1065" i="5"/>
  <c r="W1065" i="5"/>
  <c r="V971" i="5"/>
  <c r="W971" i="5"/>
  <c r="V755" i="5"/>
  <c r="W755" i="5"/>
  <c r="W697" i="5"/>
  <c r="V697" i="5"/>
  <c r="V481" i="5"/>
  <c r="W481" i="5"/>
  <c r="V388" i="5"/>
  <c r="W388" i="5"/>
  <c r="W1507" i="5"/>
  <c r="V1507" i="5"/>
  <c r="V1500" i="5"/>
  <c r="W1500" i="5"/>
  <c r="V1402" i="5"/>
  <c r="W1402" i="5"/>
  <c r="V1297" i="5"/>
  <c r="W1297" i="5"/>
  <c r="W1010" i="5"/>
  <c r="V1010" i="5"/>
  <c r="V907" i="5"/>
  <c r="W907" i="5"/>
  <c r="W745" i="5"/>
  <c r="V745" i="5"/>
  <c r="W491" i="5"/>
  <c r="V491" i="5"/>
  <c r="V321" i="5"/>
  <c r="W321" i="5"/>
  <c r="V295" i="5"/>
  <c r="W295" i="5"/>
  <c r="V2811" i="5"/>
  <c r="W2151" i="5"/>
  <c r="V2151" i="5"/>
  <c r="V2148" i="5"/>
  <c r="W2148" i="5"/>
  <c r="V1664" i="5"/>
  <c r="W1664" i="5"/>
  <c r="W1546" i="5"/>
  <c r="V1546" i="5"/>
  <c r="W1409" i="5"/>
  <c r="V1409" i="5"/>
  <c r="V1337" i="5"/>
  <c r="W1337" i="5"/>
  <c r="W1077" i="5"/>
  <c r="V1077" i="5"/>
  <c r="V981" i="5"/>
  <c r="W981" i="5"/>
  <c r="V963" i="5"/>
  <c r="W963" i="5"/>
  <c r="W787" i="5"/>
  <c r="V787" i="5"/>
  <c r="W1684" i="5"/>
  <c r="V1684" i="5"/>
  <c r="V1626" i="5"/>
  <c r="W1626" i="5"/>
  <c r="W1514" i="5"/>
  <c r="V1514" i="5"/>
  <c r="V1254" i="5"/>
  <c r="W1254" i="5"/>
  <c r="W1213" i="5"/>
  <c r="V1213" i="5"/>
  <c r="V1080" i="5"/>
  <c r="W1080" i="5"/>
  <c r="W494" i="5"/>
  <c r="V494" i="5"/>
  <c r="W237" i="5"/>
  <c r="V237" i="5"/>
  <c r="V1687" i="5"/>
  <c r="W1687" i="5"/>
  <c r="V1630" i="5"/>
  <c r="W1630" i="5"/>
  <c r="V1599" i="5"/>
  <c r="W1599" i="5"/>
  <c r="V1415" i="5"/>
  <c r="W1415" i="5"/>
  <c r="V1240" i="5"/>
  <c r="W1240" i="5"/>
  <c r="V966" i="5"/>
  <c r="W966" i="5"/>
  <c r="V709" i="5"/>
  <c r="W709" i="5"/>
  <c r="V317" i="5"/>
  <c r="W317" i="5"/>
  <c r="V310" i="5"/>
  <c r="W310" i="5"/>
  <c r="V13" i="5"/>
  <c r="W13" i="5"/>
  <c r="W7" i="5"/>
  <c r="V7" i="5"/>
  <c r="V215" i="5"/>
  <c r="W215" i="5"/>
  <c r="V144" i="5"/>
  <c r="W144" i="5"/>
  <c r="V45" i="5"/>
  <c r="W45" i="5"/>
  <c r="V33" i="5"/>
  <c r="X33" i="5" s="1"/>
  <c r="W33" i="5"/>
  <c r="V1091" i="5"/>
  <c r="W1091" i="5"/>
  <c r="V993" i="5"/>
  <c r="W993" i="5"/>
  <c r="V983" i="5"/>
  <c r="W983" i="5"/>
  <c r="V812" i="5"/>
  <c r="W812" i="5"/>
  <c r="V756" i="5"/>
  <c r="W756" i="5"/>
  <c r="W475" i="5"/>
  <c r="V475" i="5"/>
  <c r="V1983" i="5"/>
  <c r="W1658" i="5"/>
  <c r="V1517" i="5"/>
  <c r="V1284" i="5"/>
  <c r="W1284" i="5"/>
  <c r="V1217" i="5"/>
  <c r="V903" i="5"/>
  <c r="W903" i="5"/>
  <c r="W478" i="5"/>
  <c r="V478" i="5"/>
  <c r="V376" i="5"/>
  <c r="W376" i="5"/>
  <c r="V373" i="5"/>
  <c r="W373" i="5"/>
  <c r="V278" i="5"/>
  <c r="W278" i="5"/>
  <c r="V271" i="5"/>
  <c r="W271" i="5"/>
  <c r="V1300" i="5"/>
  <c r="W1300" i="5"/>
  <c r="V1223" i="5"/>
  <c r="W1223" i="5"/>
  <c r="V1101" i="5"/>
  <c r="W1101" i="5"/>
  <c r="V772" i="5"/>
  <c r="W772" i="5"/>
  <c r="V658" i="5"/>
  <c r="W658" i="5"/>
  <c r="V382" i="5"/>
  <c r="W382" i="5"/>
  <c r="V247" i="5"/>
  <c r="W247" i="5"/>
  <c r="V68" i="5"/>
  <c r="X68" i="5" s="1"/>
  <c r="W68" i="5"/>
  <c r="V51" i="5"/>
  <c r="W51" i="5"/>
  <c r="W1475" i="5"/>
  <c r="V1475" i="5"/>
  <c r="W1303" i="5"/>
  <c r="V1303" i="5"/>
  <c r="V1261" i="5"/>
  <c r="W1261" i="5"/>
  <c r="W793" i="5"/>
  <c r="V793" i="5"/>
  <c r="V759" i="5"/>
  <c r="W759" i="5"/>
  <c r="V615" i="5"/>
  <c r="W615" i="5"/>
  <c r="W357" i="5"/>
  <c r="V357" i="5"/>
  <c r="V101" i="5"/>
  <c r="W101" i="5"/>
  <c r="V999" i="5"/>
  <c r="W999" i="5"/>
  <c r="V503" i="5"/>
  <c r="W503" i="5"/>
  <c r="W465" i="5"/>
  <c r="V465" i="5"/>
  <c r="V282" i="5"/>
  <c r="W282" i="5"/>
  <c r="V166" i="5"/>
  <c r="W166" i="5"/>
  <c r="W1534" i="5"/>
  <c r="W1410" i="5"/>
  <c r="V1338" i="5"/>
  <c r="W1144" i="5"/>
  <c r="W832" i="5"/>
  <c r="V832" i="5"/>
  <c r="V480" i="5"/>
  <c r="W480" i="5"/>
  <c r="V444" i="5"/>
  <c r="W444" i="5"/>
  <c r="V1350" i="5"/>
  <c r="V1326" i="5"/>
  <c r="V1259" i="5"/>
  <c r="V1054" i="5"/>
  <c r="V987" i="5"/>
  <c r="V921" i="5"/>
  <c r="V902" i="5"/>
  <c r="W796" i="5"/>
  <c r="V506" i="5"/>
  <c r="W506" i="5"/>
  <c r="V440" i="5"/>
  <c r="W440" i="5"/>
  <c r="W287" i="5"/>
  <c r="V66" i="5"/>
  <c r="W15" i="5"/>
  <c r="W1265" i="5"/>
  <c r="W1188" i="5"/>
  <c r="V1179" i="5"/>
  <c r="V961" i="5"/>
  <c r="V936" i="5"/>
  <c r="W936" i="5"/>
  <c r="W911" i="5"/>
  <c r="W476" i="5"/>
  <c r="V29" i="5"/>
  <c r="W29" i="5"/>
  <c r="W1606" i="5"/>
  <c r="W1596" i="5"/>
  <c r="W1527" i="5"/>
  <c r="W1425" i="5"/>
  <c r="W1359" i="5"/>
  <c r="V1323" i="5"/>
  <c r="W1116" i="5"/>
  <c r="W1112" i="5"/>
  <c r="V1029" i="5"/>
  <c r="W1029" i="5"/>
  <c r="V905" i="5"/>
  <c r="V695" i="5"/>
  <c r="V536" i="5"/>
  <c r="W536" i="5"/>
  <c r="W410" i="5"/>
  <c r="V318" i="5"/>
  <c r="W318" i="5"/>
  <c r="W308" i="5"/>
  <c r="V308" i="5"/>
  <c r="V104" i="5"/>
  <c r="W104" i="5"/>
  <c r="W1313" i="5"/>
  <c r="V701" i="5"/>
  <c r="W701" i="5"/>
  <c r="V613" i="5"/>
  <c r="W613" i="5"/>
  <c r="W597" i="5"/>
  <c r="V597" i="5"/>
  <c r="V302" i="5"/>
  <c r="W302" i="5"/>
  <c r="V89" i="5"/>
  <c r="W89" i="5"/>
  <c r="W1365" i="5"/>
  <c r="W1286" i="5"/>
  <c r="W935" i="5"/>
  <c r="V837" i="5"/>
  <c r="V542" i="5"/>
  <c r="W542" i="5"/>
  <c r="W1025" i="5"/>
  <c r="V868" i="5"/>
  <c r="W868" i="5"/>
  <c r="V530" i="5"/>
  <c r="W530" i="5"/>
  <c r="V28" i="5"/>
  <c r="V616" i="5"/>
  <c r="W616" i="5"/>
  <c r="W552" i="5"/>
  <c r="V552" i="5"/>
  <c r="V429" i="5"/>
  <c r="W429" i="5"/>
  <c r="V129" i="5"/>
  <c r="W129" i="5"/>
  <c r="V112" i="5"/>
  <c r="W112" i="5"/>
  <c r="V77" i="5"/>
  <c r="W77" i="5"/>
  <c r="V1062" i="5"/>
  <c r="W1062" i="5"/>
  <c r="V379" i="5"/>
  <c r="W379" i="5"/>
  <c r="V200" i="5"/>
  <c r="W200" i="5"/>
  <c r="V138" i="5"/>
  <c r="W138" i="5"/>
  <c r="W960" i="5"/>
  <c r="W939" i="5"/>
  <c r="W614" i="5"/>
  <c r="V529" i="5"/>
  <c r="W439" i="5"/>
  <c r="W270" i="5"/>
  <c r="W238" i="5"/>
  <c r="W137" i="5"/>
  <c r="W915" i="5"/>
  <c r="V486" i="5"/>
  <c r="W212" i="5"/>
  <c r="W145" i="5"/>
  <c r="W977" i="5"/>
  <c r="O1746" i="5"/>
  <c r="T1745" i="5"/>
  <c r="O1745" i="5"/>
  <c r="T1744" i="5"/>
  <c r="M1724" i="5"/>
  <c r="T1724" i="5"/>
  <c r="X1724" i="5" s="1"/>
  <c r="T1715" i="5"/>
  <c r="O1677" i="5"/>
  <c r="O1676" i="5"/>
  <c r="V3311" i="5"/>
  <c r="V3185" i="5"/>
  <c r="V3085" i="5"/>
  <c r="U3053" i="5"/>
  <c r="T3053" i="5"/>
  <c r="U3007" i="5"/>
  <c r="T3007" i="5"/>
  <c r="U2932" i="5"/>
  <c r="T2932" i="5"/>
  <c r="T2930" i="5"/>
  <c r="X2930" i="5" s="1"/>
  <c r="U2930" i="5"/>
  <c r="V2858" i="5"/>
  <c r="W2858" i="5"/>
  <c r="V2798" i="5"/>
  <c r="W2798" i="5"/>
  <c r="V2768" i="5"/>
  <c r="W2768" i="5"/>
  <c r="V2420" i="5"/>
  <c r="W2420" i="5"/>
  <c r="V3202" i="5"/>
  <c r="W3202" i="5"/>
  <c r="V3187" i="5"/>
  <c r="W3187" i="5"/>
  <c r="V3096" i="5"/>
  <c r="W3096" i="5"/>
  <c r="U2415" i="5"/>
  <c r="T2415" i="5"/>
  <c r="X2415" i="5" s="1"/>
  <c r="V3295" i="5"/>
  <c r="V3292" i="5"/>
  <c r="V3273" i="5"/>
  <c r="V3257" i="5"/>
  <c r="W3257" i="5"/>
  <c r="W3221" i="5"/>
  <c r="W3218" i="5"/>
  <c r="W3328" i="5"/>
  <c r="T3311" i="5"/>
  <c r="W3305" i="5"/>
  <c r="T3295" i="5"/>
  <c r="U3292" i="5"/>
  <c r="T3273" i="5"/>
  <c r="U3267" i="5"/>
  <c r="W3255" i="5"/>
  <c r="T3242" i="5"/>
  <c r="U3215" i="5"/>
  <c r="V3210" i="5"/>
  <c r="U3195" i="5"/>
  <c r="V3190" i="5"/>
  <c r="W3190" i="5"/>
  <c r="U3185" i="5"/>
  <c r="V3178" i="5"/>
  <c r="U3167" i="5"/>
  <c r="U3154" i="5"/>
  <c r="V3143" i="5"/>
  <c r="W3143" i="5"/>
  <c r="W3141" i="5"/>
  <c r="V3111" i="5"/>
  <c r="W3111" i="5"/>
  <c r="V3109" i="5"/>
  <c r="W3092" i="5"/>
  <c r="V2958" i="5"/>
  <c r="W2958" i="5"/>
  <c r="V2936" i="5"/>
  <c r="W2936" i="5"/>
  <c r="U2934" i="5"/>
  <c r="T2934" i="5"/>
  <c r="U2897" i="5"/>
  <c r="V2846" i="5"/>
  <c r="W2846" i="5"/>
  <c r="T2819" i="5"/>
  <c r="U2819" i="5"/>
  <c r="V3254" i="5"/>
  <c r="W3254" i="5"/>
  <c r="U3202" i="5"/>
  <c r="T3202" i="5"/>
  <c r="W3156" i="5"/>
  <c r="V3156" i="5"/>
  <c r="U3029" i="5"/>
  <c r="T3029" i="5"/>
  <c r="V2825" i="5"/>
  <c r="W2825" i="5"/>
  <c r="V2817" i="5"/>
  <c r="W2817" i="5"/>
  <c r="W3131" i="5"/>
  <c r="T2940" i="5"/>
  <c r="U2940" i="5"/>
  <c r="V2928" i="5"/>
  <c r="W2928" i="5"/>
  <c r="V3242" i="5"/>
  <c r="U3260" i="5"/>
  <c r="U3221" i="5"/>
  <c r="T3218" i="5"/>
  <c r="X3218" i="5" s="1"/>
  <c r="T3210" i="5"/>
  <c r="T3205" i="5"/>
  <c r="U3205" i="5"/>
  <c r="T3178" i="5"/>
  <c r="V3170" i="5"/>
  <c r="W3134" i="5"/>
  <c r="V3124" i="5"/>
  <c r="T3109" i="5"/>
  <c r="T3073" i="5"/>
  <c r="W3069" i="5"/>
  <c r="V3069" i="5"/>
  <c r="T3059" i="5"/>
  <c r="X3059" i="5" s="1"/>
  <c r="U3043" i="5"/>
  <c r="T3043" i="5"/>
  <c r="T2977" i="5"/>
  <c r="X2977" i="5" s="1"/>
  <c r="U2977" i="5"/>
  <c r="W2910" i="5"/>
  <c r="T2853" i="5"/>
  <c r="U2853" i="5"/>
  <c r="T2741" i="5"/>
  <c r="U2741" i="5"/>
  <c r="U2724" i="5"/>
  <c r="V2575" i="5"/>
  <c r="W2575" i="5"/>
  <c r="U3105" i="5"/>
  <c r="T3105" i="5"/>
  <c r="V2914" i="5"/>
  <c r="W2914" i="5"/>
  <c r="W3105" i="5"/>
  <c r="V3105" i="5"/>
  <c r="V3079" i="5"/>
  <c r="W3079" i="5"/>
  <c r="U3071" i="5"/>
  <c r="T3071" i="5"/>
  <c r="U3013" i="5"/>
  <c r="T3013" i="5"/>
  <c r="T2849" i="5"/>
  <c r="U2849" i="5"/>
  <c r="W2807" i="5"/>
  <c r="V2807" i="5"/>
  <c r="W2726" i="5"/>
  <c r="V2726" i="5"/>
  <c r="V2673" i="5"/>
  <c r="W2673" i="5"/>
  <c r="V2889" i="5"/>
  <c r="W2889" i="5"/>
  <c r="V2709" i="5"/>
  <c r="W2709" i="5"/>
  <c r="V3260" i="5"/>
  <c r="W3260" i="5"/>
  <c r="W3322" i="5"/>
  <c r="T3315" i="5"/>
  <c r="W3309" i="5"/>
  <c r="T3299" i="5"/>
  <c r="W3293" i="5"/>
  <c r="W3291" i="5"/>
  <c r="W3230" i="5"/>
  <c r="W3219" i="5"/>
  <c r="V3193" i="5"/>
  <c r="W3193" i="5"/>
  <c r="W3191" i="5"/>
  <c r="W3168" i="5"/>
  <c r="T3099" i="5"/>
  <c r="U3099" i="5"/>
  <c r="T3026" i="5"/>
  <c r="U3026" i="5"/>
  <c r="W3011" i="5"/>
  <c r="V3011" i="5"/>
  <c r="V2849" i="5"/>
  <c r="W2849" i="5"/>
  <c r="T2801" i="5"/>
  <c r="U2801" i="5"/>
  <c r="T2722" i="5"/>
  <c r="U2722" i="5"/>
  <c r="V2583" i="5"/>
  <c r="W2583" i="5"/>
  <c r="V3280" i="5"/>
  <c r="W3280" i="5"/>
  <c r="W3222" i="5"/>
  <c r="T3208" i="5"/>
  <c r="U3208" i="5"/>
  <c r="W3201" i="5"/>
  <c r="V3149" i="5"/>
  <c r="W3149" i="5"/>
  <c r="V3144" i="5"/>
  <c r="W3127" i="5"/>
  <c r="W3112" i="5"/>
  <c r="U3101" i="5"/>
  <c r="T3101" i="5"/>
  <c r="V3099" i="5"/>
  <c r="W3099" i="5"/>
  <c r="V3090" i="5"/>
  <c r="W3090" i="5"/>
  <c r="V3026" i="5"/>
  <c r="W3026" i="5"/>
  <c r="V2855" i="5"/>
  <c r="W2855" i="5"/>
  <c r="T2718" i="5"/>
  <c r="U2718" i="5"/>
  <c r="V2716" i="5"/>
  <c r="W2716" i="5"/>
  <c r="U2478" i="5"/>
  <c r="T2478" i="5"/>
  <c r="V2948" i="5"/>
  <c r="W2948" i="5"/>
  <c r="V2330" i="5"/>
  <c r="W2330" i="5"/>
  <c r="U3322" i="5"/>
  <c r="U3309" i="5"/>
  <c r="U3293" i="5"/>
  <c r="U3291" i="5"/>
  <c r="U3251" i="5"/>
  <c r="T3230" i="5"/>
  <c r="X3230" i="5" s="1"/>
  <c r="U3219" i="5"/>
  <c r="T3196" i="5"/>
  <c r="U3191" i="5"/>
  <c r="T3186" i="5"/>
  <c r="X3186" i="5" s="1"/>
  <c r="V3160" i="5"/>
  <c r="T3144" i="5"/>
  <c r="U3132" i="5"/>
  <c r="T3132" i="5"/>
  <c r="W3097" i="5"/>
  <c r="V3097" i="5"/>
  <c r="U3095" i="5"/>
  <c r="W3064" i="5"/>
  <c r="U3038" i="5"/>
  <c r="U3015" i="5"/>
  <c r="T3015" i="5"/>
  <c r="W2997" i="5"/>
  <c r="T2995" i="5"/>
  <c r="U2995" i="5"/>
  <c r="W2959" i="5"/>
  <c r="U2947" i="5"/>
  <c r="T2947" i="5"/>
  <c r="U2925" i="5"/>
  <c r="T2901" i="5"/>
  <c r="X2901" i="5" s="1"/>
  <c r="U2901" i="5"/>
  <c r="U3329" i="5"/>
  <c r="U3277" i="5"/>
  <c r="V3263" i="5"/>
  <c r="W3263" i="5"/>
  <c r="T3222" i="5"/>
  <c r="X3222" i="5" s="1"/>
  <c r="W3211" i="5"/>
  <c r="U3201" i="5"/>
  <c r="U3184" i="5"/>
  <c r="T3160" i="5"/>
  <c r="T3137" i="5"/>
  <c r="U3137" i="5"/>
  <c r="V3040" i="5"/>
  <c r="W3040" i="5"/>
  <c r="W3015" i="5"/>
  <c r="V3015" i="5"/>
  <c r="U2886" i="5"/>
  <c r="T2884" i="5"/>
  <c r="U2884" i="5"/>
  <c r="V2882" i="5"/>
  <c r="W2882" i="5"/>
  <c r="T2660" i="5"/>
  <c r="T3319" i="5"/>
  <c r="X3319" i="5" s="1"/>
  <c r="W3313" i="5"/>
  <c r="T3303" i="5"/>
  <c r="W3297" i="5"/>
  <c r="U3256" i="5"/>
  <c r="W3228" i="5"/>
  <c r="T3211" i="5"/>
  <c r="X3211" i="5" s="1"/>
  <c r="U3211" i="5"/>
  <c r="T3206" i="5"/>
  <c r="W3204" i="5"/>
  <c r="V3196" i="5"/>
  <c r="W3196" i="5"/>
  <c r="V3137" i="5"/>
  <c r="W3137" i="5"/>
  <c r="W3130" i="5"/>
  <c r="U3054" i="5"/>
  <c r="T3008" i="5"/>
  <c r="X3008" i="5" s="1"/>
  <c r="U2917" i="5"/>
  <c r="T2917" i="5"/>
  <c r="X2917" i="5" s="1"/>
  <c r="V2839" i="5"/>
  <c r="W2839" i="5"/>
  <c r="V2833" i="5"/>
  <c r="W2833" i="5"/>
  <c r="V2818" i="5"/>
  <c r="W2818" i="5"/>
  <c r="W2769" i="5"/>
  <c r="V2769" i="5"/>
  <c r="T2662" i="5"/>
  <c r="U2662" i="5"/>
  <c r="W3323" i="5"/>
  <c r="W3310" i="5"/>
  <c r="W3294" i="5"/>
  <c r="V3251" i="5"/>
  <c r="W3251" i="5"/>
  <c r="W3246" i="5"/>
  <c r="V3236" i="5"/>
  <c r="W3220" i="5"/>
  <c r="W3169" i="5"/>
  <c r="W3123" i="5"/>
  <c r="W3106" i="5"/>
  <c r="V3056" i="5"/>
  <c r="W3056" i="5"/>
  <c r="V3042" i="5"/>
  <c r="W3042" i="5"/>
  <c r="T2696" i="5"/>
  <c r="U2696" i="5"/>
  <c r="W2662" i="5"/>
  <c r="V2662" i="5"/>
  <c r="T2442" i="5"/>
  <c r="U2442" i="5"/>
  <c r="V3205" i="5"/>
  <c r="W3205" i="5"/>
  <c r="W3320" i="5"/>
  <c r="U3290" i="5"/>
  <c r="W3231" i="5"/>
  <c r="W3223" i="5"/>
  <c r="W3217" i="5"/>
  <c r="W3209" i="5"/>
  <c r="V3184" i="5"/>
  <c r="W3184" i="5"/>
  <c r="W3182" i="5"/>
  <c r="W3151" i="5"/>
  <c r="W3115" i="5"/>
  <c r="V3082" i="5"/>
  <c r="W3080" i="5"/>
  <c r="T2978" i="5"/>
  <c r="U2978" i="5"/>
  <c r="U2949" i="5"/>
  <c r="T2949" i="5"/>
  <c r="T2904" i="5"/>
  <c r="U2904" i="5"/>
  <c r="T2654" i="5"/>
  <c r="U2654" i="5"/>
  <c r="U3079" i="5"/>
  <c r="T3079" i="5"/>
  <c r="U2543" i="5"/>
  <c r="T2543" i="5"/>
  <c r="V3307" i="5"/>
  <c r="V3266" i="5"/>
  <c r="W3266" i="5"/>
  <c r="W3264" i="5"/>
  <c r="U3259" i="5"/>
  <c r="T3246" i="5"/>
  <c r="X3246" i="5" s="1"/>
  <c r="U3187" i="5"/>
  <c r="T3156" i="5"/>
  <c r="V3153" i="5"/>
  <c r="W3153" i="5"/>
  <c r="W3133" i="5"/>
  <c r="U3106" i="5"/>
  <c r="U3082" i="5"/>
  <c r="V3070" i="5"/>
  <c r="W3070" i="5"/>
  <c r="V3058" i="5"/>
  <c r="W3058" i="5"/>
  <c r="U2999" i="5"/>
  <c r="T2999" i="5"/>
  <c r="V2978" i="5"/>
  <c r="W2978" i="5"/>
  <c r="U2872" i="5"/>
  <c r="T3307" i="5"/>
  <c r="U3209" i="5"/>
  <c r="V3199" i="5"/>
  <c r="W3199" i="5"/>
  <c r="T3182" i="5"/>
  <c r="X3182" i="5" s="1"/>
  <c r="W3140" i="5"/>
  <c r="V3140" i="5"/>
  <c r="T3102" i="5"/>
  <c r="X3102" i="5" s="1"/>
  <c r="V3100" i="5"/>
  <c r="T3089" i="5"/>
  <c r="W2999" i="5"/>
  <c r="V2999" i="5"/>
  <c r="U2842" i="5"/>
  <c r="W2753" i="5"/>
  <c r="V2753" i="5"/>
  <c r="V2747" i="5"/>
  <c r="W2747" i="5"/>
  <c r="V2580" i="5"/>
  <c r="W2580" i="5"/>
  <c r="T2567" i="5"/>
  <c r="W2974" i="5"/>
  <c r="V2939" i="5"/>
  <c r="W2939" i="5"/>
  <c r="V2835" i="5"/>
  <c r="W2835" i="5"/>
  <c r="V2777" i="5"/>
  <c r="W2761" i="5"/>
  <c r="V2761" i="5"/>
  <c r="T2726" i="5"/>
  <c r="U2726" i="5"/>
  <c r="T2704" i="5"/>
  <c r="U2704" i="5"/>
  <c r="T2700" i="5"/>
  <c r="U2700" i="5"/>
  <c r="V2567" i="5"/>
  <c r="W2567" i="5"/>
  <c r="U2487" i="5"/>
  <c r="T2487" i="5"/>
  <c r="X2487" i="5" s="1"/>
  <c r="V2704" i="5"/>
  <c r="W2704" i="5"/>
  <c r="V2630" i="5"/>
  <c r="W2630" i="5"/>
  <c r="V2588" i="5"/>
  <c r="W2588" i="5"/>
  <c r="V2995" i="5"/>
  <c r="W2995" i="5"/>
  <c r="V2932" i="5"/>
  <c r="W2932" i="5"/>
  <c r="T2928" i="5"/>
  <c r="U2928" i="5"/>
  <c r="V2904" i="5"/>
  <c r="W2904" i="5"/>
  <c r="V2897" i="5"/>
  <c r="W2897" i="5"/>
  <c r="V2886" i="5"/>
  <c r="W2886" i="5"/>
  <c r="T2882" i="5"/>
  <c r="U2882" i="5"/>
  <c r="V2786" i="5"/>
  <c r="W2786" i="5"/>
  <c r="V2724" i="5"/>
  <c r="W2724" i="5"/>
  <c r="W2698" i="5"/>
  <c r="V2698" i="5"/>
  <c r="V2647" i="5"/>
  <c r="W2647" i="5"/>
  <c r="V2548" i="5"/>
  <c r="W2548" i="5"/>
  <c r="V2513" i="5"/>
  <c r="W2513" i="5"/>
  <c r="W2432" i="5"/>
  <c r="V2432" i="5"/>
  <c r="T3025" i="5"/>
  <c r="T3009" i="5"/>
  <c r="X3009" i="5" s="1"/>
  <c r="W2990" i="5"/>
  <c r="T2979" i="5"/>
  <c r="X2979" i="5" s="1"/>
  <c r="V2951" i="5"/>
  <c r="W2951" i="5"/>
  <c r="W2926" i="5"/>
  <c r="U2902" i="5"/>
  <c r="V2884" i="5"/>
  <c r="W2884" i="5"/>
  <c r="U2880" i="5"/>
  <c r="V2872" i="5"/>
  <c r="W2872" i="5"/>
  <c r="T2857" i="5"/>
  <c r="T2855" i="5"/>
  <c r="T2845" i="5"/>
  <c r="U2845" i="5"/>
  <c r="U2817" i="5"/>
  <c r="U2775" i="5"/>
  <c r="W2733" i="5"/>
  <c r="V2696" i="5"/>
  <c r="W2696" i="5"/>
  <c r="W2654" i="5"/>
  <c r="V2654" i="5"/>
  <c r="T2624" i="5"/>
  <c r="V2604" i="5"/>
  <c r="W2604" i="5"/>
  <c r="V2596" i="5"/>
  <c r="W2596" i="5"/>
  <c r="T2583" i="5"/>
  <c r="V2517" i="5"/>
  <c r="W2517" i="5"/>
  <c r="T2436" i="5"/>
  <c r="U2436" i="5"/>
  <c r="W3014" i="5"/>
  <c r="W2998" i="5"/>
  <c r="V2966" i="5"/>
  <c r="W2966" i="5"/>
  <c r="T2913" i="5"/>
  <c r="U2913" i="5"/>
  <c r="T2889" i="5"/>
  <c r="U2889" i="5"/>
  <c r="V2845" i="5"/>
  <c r="W2845" i="5"/>
  <c r="V2838" i="5"/>
  <c r="W2838" i="5"/>
  <c r="V2831" i="5"/>
  <c r="W2831" i="5"/>
  <c r="V2752" i="5"/>
  <c r="W2752" i="5"/>
  <c r="V2556" i="5"/>
  <c r="W2556" i="5"/>
  <c r="V2465" i="5"/>
  <c r="W2465" i="5"/>
  <c r="T2438" i="5"/>
  <c r="U2438" i="5"/>
  <c r="V2436" i="5"/>
  <c r="W2436" i="5"/>
  <c r="T3037" i="5"/>
  <c r="T2964" i="5"/>
  <c r="T2962" i="5"/>
  <c r="U2962" i="5"/>
  <c r="V2947" i="5"/>
  <c r="W2947" i="5"/>
  <c r="U2843" i="5"/>
  <c r="W2815" i="5"/>
  <c r="V2815" i="5"/>
  <c r="V2801" i="5"/>
  <c r="W2801" i="5"/>
  <c r="U2785" i="5"/>
  <c r="W2718" i="5"/>
  <c r="V2718" i="5"/>
  <c r="V2639" i="5"/>
  <c r="W2639" i="5"/>
  <c r="T2591" i="5"/>
  <c r="V2543" i="5"/>
  <c r="W2543" i="5"/>
  <c r="T2529" i="5"/>
  <c r="U2529" i="5"/>
  <c r="U2446" i="5"/>
  <c r="V2442" i="5"/>
  <c r="W2442" i="5"/>
  <c r="V2962" i="5"/>
  <c r="W2962" i="5"/>
  <c r="V2813" i="5"/>
  <c r="W2813" i="5"/>
  <c r="W2694" i="5"/>
  <c r="V2694" i="5"/>
  <c r="W2690" i="5"/>
  <c r="V2690" i="5"/>
  <c r="V2665" i="5"/>
  <c r="W2665" i="5"/>
  <c r="V2607" i="5"/>
  <c r="W2607" i="5"/>
  <c r="V2564" i="5"/>
  <c r="W2564" i="5"/>
  <c r="T2537" i="5"/>
  <c r="U2537" i="5"/>
  <c r="T2943" i="5"/>
  <c r="U2943" i="5"/>
  <c r="V2785" i="5"/>
  <c r="W2785" i="5"/>
  <c r="T2771" i="5"/>
  <c r="U2771" i="5"/>
  <c r="V2729" i="5"/>
  <c r="W2729" i="5"/>
  <c r="V2591" i="5"/>
  <c r="W2591" i="5"/>
  <c r="V2496" i="5"/>
  <c r="W2496" i="5"/>
  <c r="V2446" i="5"/>
  <c r="W2446" i="5"/>
  <c r="V2943" i="5"/>
  <c r="W2943" i="5"/>
  <c r="W2783" i="5"/>
  <c r="V2783" i="5"/>
  <c r="V2771" i="5"/>
  <c r="W2771" i="5"/>
  <c r="V2676" i="5"/>
  <c r="W2676" i="5"/>
  <c r="V2551" i="5"/>
  <c r="W2551" i="5"/>
  <c r="U3229" i="5"/>
  <c r="T3226" i="5"/>
  <c r="X3226" i="5" s="1"/>
  <c r="T3128" i="5"/>
  <c r="W3102" i="5"/>
  <c r="T3093" i="5"/>
  <c r="T3065" i="5"/>
  <c r="T3049" i="5"/>
  <c r="T3033" i="5"/>
  <c r="W3008" i="5"/>
  <c r="U2960" i="5"/>
  <c r="V2924" i="5"/>
  <c r="W2924" i="5"/>
  <c r="V2907" i="5"/>
  <c r="W2907" i="5"/>
  <c r="U2873" i="5"/>
  <c r="T2811" i="5"/>
  <c r="T2795" i="5"/>
  <c r="V2781" i="5"/>
  <c r="W2781" i="5"/>
  <c r="V2701" i="5"/>
  <c r="W2701" i="5"/>
  <c r="T2668" i="5"/>
  <c r="T2642" i="5"/>
  <c r="U2642" i="5"/>
  <c r="V2572" i="5"/>
  <c r="W2572" i="5"/>
  <c r="T2559" i="5"/>
  <c r="T2452" i="5"/>
  <c r="U2452" i="5"/>
  <c r="W3108" i="5"/>
  <c r="W3024" i="5"/>
  <c r="V2988" i="5"/>
  <c r="W2988" i="5"/>
  <c r="V2751" i="5"/>
  <c r="W2751" i="5"/>
  <c r="T2732" i="5"/>
  <c r="U2732" i="5"/>
  <c r="V2693" i="5"/>
  <c r="V2642" i="5"/>
  <c r="W2642" i="5"/>
  <c r="V2599" i="5"/>
  <c r="W2599" i="5"/>
  <c r="V2457" i="5"/>
  <c r="W2457" i="5"/>
  <c r="V3077" i="5"/>
  <c r="W3006" i="5"/>
  <c r="V2970" i="5"/>
  <c r="W2970" i="5"/>
  <c r="V2868" i="5"/>
  <c r="W2868" i="5"/>
  <c r="T2858" i="5"/>
  <c r="U2858" i="5"/>
  <c r="T2825" i="5"/>
  <c r="U2825" i="5"/>
  <c r="W2795" i="5"/>
  <c r="V2795" i="5"/>
  <c r="W2749" i="5"/>
  <c r="V2749" i="5"/>
  <c r="V2732" i="5"/>
  <c r="W2732" i="5"/>
  <c r="V2668" i="5"/>
  <c r="W2668" i="5"/>
  <c r="V2559" i="5"/>
  <c r="W2559" i="5"/>
  <c r="T2524" i="5"/>
  <c r="X2524" i="5" s="1"/>
  <c r="U2524" i="5"/>
  <c r="V2408" i="5"/>
  <c r="W2408" i="5"/>
  <c r="U2485" i="5"/>
  <c r="T2485" i="5"/>
  <c r="V2478" i="5"/>
  <c r="W2478" i="5"/>
  <c r="T2467" i="5"/>
  <c r="U2467" i="5"/>
  <c r="V2463" i="5"/>
  <c r="W2463" i="5"/>
  <c r="T2343" i="5"/>
  <c r="U2343" i="5"/>
  <c r="V2660" i="5"/>
  <c r="W2660" i="5"/>
  <c r="V2535" i="5"/>
  <c r="W2535" i="5"/>
  <c r="V2527" i="5"/>
  <c r="W2527" i="5"/>
  <c r="V2522" i="5"/>
  <c r="W2522" i="5"/>
  <c r="V2440" i="5"/>
  <c r="W2440" i="5"/>
  <c r="V2876" i="5"/>
  <c r="W2876" i="5"/>
  <c r="V2829" i="5"/>
  <c r="W2829" i="5"/>
  <c r="V2793" i="5"/>
  <c r="W2793" i="5"/>
  <c r="V2759" i="5"/>
  <c r="W2759" i="5"/>
  <c r="V2688" i="5"/>
  <c r="W2688" i="5"/>
  <c r="V2622" i="5"/>
  <c r="W2622" i="5"/>
  <c r="T2525" i="5"/>
  <c r="T2520" i="5"/>
  <c r="U2520" i="5"/>
  <c r="V2492" i="5"/>
  <c r="W2492" i="5"/>
  <c r="T2474" i="5"/>
  <c r="W2403" i="5"/>
  <c r="V2403" i="5"/>
  <c r="W2390" i="5"/>
  <c r="V2652" i="5"/>
  <c r="W2652" i="5"/>
  <c r="U2533" i="5"/>
  <c r="U2499" i="5"/>
  <c r="T2499" i="5"/>
  <c r="X2499" i="5" s="1"/>
  <c r="W2303" i="5"/>
  <c r="V2303" i="5"/>
  <c r="T2069" i="5"/>
  <c r="U2069" i="5"/>
  <c r="V2880" i="5"/>
  <c r="W2880" i="5"/>
  <c r="V2853" i="5"/>
  <c r="W2853" i="5"/>
  <c r="V2805" i="5"/>
  <c r="W2805" i="5"/>
  <c r="V2775" i="5"/>
  <c r="W2775" i="5"/>
  <c r="V2680" i="5"/>
  <c r="W2680" i="5"/>
  <c r="U2658" i="5"/>
  <c r="U2637" i="5"/>
  <c r="V2614" i="5"/>
  <c r="W2614" i="5"/>
  <c r="U2595" i="5"/>
  <c r="U2587" i="5"/>
  <c r="U2579" i="5"/>
  <c r="U2571" i="5"/>
  <c r="U2563" i="5"/>
  <c r="U2555" i="5"/>
  <c r="U2547" i="5"/>
  <c r="V2525" i="5"/>
  <c r="W2525" i="5"/>
  <c r="T2488" i="5"/>
  <c r="U2407" i="5"/>
  <c r="W2345" i="5"/>
  <c r="V2345" i="5"/>
  <c r="V2708" i="5"/>
  <c r="W2708" i="5"/>
  <c r="V2646" i="5"/>
  <c r="W2646" i="5"/>
  <c r="V2516" i="5"/>
  <c r="W2516" i="5"/>
  <c r="U2495" i="5"/>
  <c r="T2495" i="5"/>
  <c r="V2470" i="5"/>
  <c r="W2470" i="5"/>
  <c r="V2456" i="5"/>
  <c r="W2456" i="5"/>
  <c r="V2435" i="5"/>
  <c r="W2435" i="5"/>
  <c r="T2398" i="5"/>
  <c r="U2398" i="5"/>
  <c r="U2392" i="5"/>
  <c r="U2377" i="5"/>
  <c r="V2672" i="5"/>
  <c r="W2672" i="5"/>
  <c r="V2603" i="5"/>
  <c r="W2603" i="5"/>
  <c r="T2509" i="5"/>
  <c r="U2509" i="5"/>
  <c r="V2488" i="5"/>
  <c r="W2488" i="5"/>
  <c r="V2398" i="5"/>
  <c r="W2398" i="5"/>
  <c r="T2309" i="5"/>
  <c r="X2309" i="5" s="1"/>
  <c r="U2309" i="5"/>
  <c r="W2950" i="5"/>
  <c r="V2857" i="5"/>
  <c r="W2857" i="5"/>
  <c r="V2803" i="5"/>
  <c r="V2773" i="5"/>
  <c r="V2734" i="5"/>
  <c r="V2706" i="5"/>
  <c r="V2700" i="5"/>
  <c r="W2700" i="5"/>
  <c r="V2644" i="5"/>
  <c r="V2637" i="5"/>
  <c r="W2637" i="5"/>
  <c r="V2595" i="5"/>
  <c r="W2595" i="5"/>
  <c r="V2587" i="5"/>
  <c r="W2587" i="5"/>
  <c r="V2579" i="5"/>
  <c r="W2579" i="5"/>
  <c r="V2571" i="5"/>
  <c r="W2571" i="5"/>
  <c r="V2563" i="5"/>
  <c r="W2563" i="5"/>
  <c r="V2555" i="5"/>
  <c r="W2555" i="5"/>
  <c r="V2547" i="5"/>
  <c r="W2547" i="5"/>
  <c r="V2509" i="5"/>
  <c r="W2509" i="5"/>
  <c r="T2349" i="5"/>
  <c r="U2349" i="5"/>
  <c r="V2888" i="5"/>
  <c r="W2888" i="5"/>
  <c r="V2837" i="5"/>
  <c r="W2837" i="5"/>
  <c r="V2797" i="5"/>
  <c r="W2797" i="5"/>
  <c r="V2767" i="5"/>
  <c r="W2767" i="5"/>
  <c r="V2728" i="5"/>
  <c r="W2728" i="5"/>
  <c r="V2664" i="5"/>
  <c r="W2664" i="5"/>
  <c r="V2539" i="5"/>
  <c r="W2539" i="5"/>
  <c r="V2484" i="5"/>
  <c r="W2484" i="5"/>
  <c r="V2402" i="5"/>
  <c r="W2402" i="5"/>
  <c r="U2984" i="5"/>
  <c r="U2969" i="5"/>
  <c r="U2954" i="5"/>
  <c r="U2935" i="5"/>
  <c r="U2920" i="5"/>
  <c r="U2900" i="5"/>
  <c r="U2885" i="5"/>
  <c r="U2878" i="5"/>
  <c r="U2851" i="5"/>
  <c r="U2834" i="5"/>
  <c r="U2789" i="5"/>
  <c r="U2755" i="5"/>
  <c r="U2712" i="5"/>
  <c r="V2692" i="5"/>
  <c r="W2692" i="5"/>
  <c r="U2670" i="5"/>
  <c r="U2650" i="5"/>
  <c r="V2626" i="5"/>
  <c r="W2626" i="5"/>
  <c r="U2601" i="5"/>
  <c r="U2593" i="5"/>
  <c r="U2585" i="5"/>
  <c r="U2577" i="5"/>
  <c r="U2569" i="5"/>
  <c r="U2561" i="5"/>
  <c r="U2553" i="5"/>
  <c r="U2545" i="5"/>
  <c r="V2531" i="5"/>
  <c r="W2531" i="5"/>
  <c r="V2519" i="5"/>
  <c r="W2519" i="5"/>
  <c r="U2498" i="5"/>
  <c r="U2473" i="5"/>
  <c r="V2416" i="5"/>
  <c r="W2416" i="5"/>
  <c r="V2896" i="5"/>
  <c r="W2896" i="5"/>
  <c r="V2861" i="5"/>
  <c r="W2861" i="5"/>
  <c r="V2821" i="5"/>
  <c r="W2821" i="5"/>
  <c r="V2809" i="5"/>
  <c r="W2809" i="5"/>
  <c r="V2743" i="5"/>
  <c r="W2743" i="5"/>
  <c r="V2720" i="5"/>
  <c r="W2720" i="5"/>
  <c r="V2656" i="5"/>
  <c r="W2656" i="5"/>
  <c r="V2502" i="5"/>
  <c r="W2502" i="5"/>
  <c r="T2430" i="5"/>
  <c r="U2430" i="5"/>
  <c r="W2411" i="5"/>
  <c r="V2411" i="5"/>
  <c r="V2385" i="5"/>
  <c r="W2385" i="5"/>
  <c r="V2841" i="5"/>
  <c r="W2841" i="5"/>
  <c r="V2684" i="5"/>
  <c r="W2684" i="5"/>
  <c r="V2618" i="5"/>
  <c r="W2618" i="5"/>
  <c r="W2540" i="5"/>
  <c r="V2900" i="5"/>
  <c r="W2900" i="5"/>
  <c r="V2789" i="5"/>
  <c r="W2789" i="5"/>
  <c r="V2755" i="5"/>
  <c r="W2755" i="5"/>
  <c r="V2712" i="5"/>
  <c r="W2712" i="5"/>
  <c r="V2650" i="5"/>
  <c r="W2650" i="5"/>
  <c r="U2513" i="5"/>
  <c r="T2513" i="5"/>
  <c r="V2498" i="5"/>
  <c r="W2498" i="5"/>
  <c r="T2420" i="5"/>
  <c r="U2420" i="5"/>
  <c r="V2389" i="5"/>
  <c r="W2389" i="5"/>
  <c r="V2197" i="5"/>
  <c r="W2197" i="5"/>
  <c r="W2187" i="5"/>
  <c r="V2187" i="5"/>
  <c r="W2073" i="5"/>
  <c r="V2073" i="5"/>
  <c r="V2036" i="5"/>
  <c r="W2036" i="5"/>
  <c r="V2028" i="5"/>
  <c r="W2028" i="5"/>
  <c r="V2438" i="5"/>
  <c r="W2438" i="5"/>
  <c r="W2339" i="5"/>
  <c r="V2339" i="5"/>
  <c r="T2265" i="5"/>
  <c r="U2265" i="5"/>
  <c r="V2256" i="5"/>
  <c r="W2256" i="5"/>
  <c r="V2459" i="5"/>
  <c r="W2459" i="5"/>
  <c r="W2455" i="5"/>
  <c r="V2419" i="5"/>
  <c r="T2359" i="5"/>
  <c r="U2359" i="5"/>
  <c r="V2288" i="5"/>
  <c r="W2288" i="5"/>
  <c r="V2282" i="5"/>
  <c r="W2282" i="5"/>
  <c r="V2430" i="5"/>
  <c r="W2430" i="5"/>
  <c r="V2392" i="5"/>
  <c r="W2392" i="5"/>
  <c r="V2388" i="5"/>
  <c r="W2388" i="5"/>
  <c r="T2376" i="5"/>
  <c r="U2376" i="5"/>
  <c r="T2327" i="5"/>
  <c r="W2291" i="5"/>
  <c r="V2291" i="5"/>
  <c r="U2269" i="5"/>
  <c r="V2376" i="5"/>
  <c r="W2376" i="5"/>
  <c r="T2372" i="5"/>
  <c r="U2372" i="5"/>
  <c r="T2362" i="5"/>
  <c r="U2362" i="5"/>
  <c r="T2239" i="5"/>
  <c r="U2239" i="5"/>
  <c r="T2464" i="5"/>
  <c r="U2464" i="5"/>
  <c r="T2462" i="5"/>
  <c r="U2462" i="5"/>
  <c r="V2372" i="5"/>
  <c r="W2372" i="5"/>
  <c r="W2327" i="5"/>
  <c r="V2327" i="5"/>
  <c r="V2221" i="5"/>
  <c r="W2221" i="5"/>
  <c r="T2366" i="5"/>
  <c r="U2366" i="5"/>
  <c r="V2276" i="5"/>
  <c r="V2060" i="5"/>
  <c r="W2060" i="5"/>
  <c r="T2503" i="5"/>
  <c r="X2503" i="5" s="1"/>
  <c r="T2460" i="5"/>
  <c r="U2460" i="5"/>
  <c r="W2424" i="5"/>
  <c r="W2287" i="5"/>
  <c r="V2287" i="5"/>
  <c r="U1916" i="5"/>
  <c r="T1916" i="5"/>
  <c r="T1752" i="5"/>
  <c r="U1752" i="5"/>
  <c r="T2454" i="5"/>
  <c r="U2454" i="5"/>
  <c r="W2358" i="5"/>
  <c r="V2358" i="5"/>
  <c r="T2231" i="5"/>
  <c r="U2231" i="5"/>
  <c r="W2108" i="5"/>
  <c r="V2108" i="5"/>
  <c r="W1733" i="5"/>
  <c r="V1733" i="5"/>
  <c r="V2454" i="5"/>
  <c r="W2454" i="5"/>
  <c r="T2424" i="5"/>
  <c r="X2424" i="5" s="1"/>
  <c r="U2424" i="5"/>
  <c r="T2414" i="5"/>
  <c r="U2414" i="5"/>
  <c r="U2412" i="5"/>
  <c r="T2406" i="5"/>
  <c r="U2406" i="5"/>
  <c r="V2422" i="5"/>
  <c r="W2422" i="5"/>
  <c r="V2418" i="5"/>
  <c r="W2418" i="5"/>
  <c r="V2406" i="5"/>
  <c r="W2406" i="5"/>
  <c r="U2303" i="5"/>
  <c r="U2345" i="5"/>
  <c r="T2345" i="5"/>
  <c r="T2332" i="5"/>
  <c r="U2332" i="5"/>
  <c r="T2305" i="5"/>
  <c r="U2305" i="5"/>
  <c r="W2275" i="5"/>
  <c r="V2275" i="5"/>
  <c r="V2268" i="5"/>
  <c r="W2268" i="5"/>
  <c r="V2267" i="5"/>
  <c r="W2267" i="5"/>
  <c r="T2233" i="5"/>
  <c r="U2233" i="5"/>
  <c r="T2182" i="5"/>
  <c r="U2182" i="5"/>
  <c r="V2169" i="5"/>
  <c r="W2169" i="5"/>
  <c r="U2132" i="5"/>
  <c r="T2132" i="5"/>
  <c r="T1821" i="5"/>
  <c r="U1821" i="5"/>
  <c r="U1733" i="5"/>
  <c r="T1733" i="5"/>
  <c r="T1569" i="5"/>
  <c r="U1569" i="5"/>
  <c r="V2320" i="5"/>
  <c r="W2320" i="5"/>
  <c r="U2285" i="5"/>
  <c r="T2255" i="5"/>
  <c r="U2255" i="5"/>
  <c r="U2249" i="5"/>
  <c r="V2242" i="5"/>
  <c r="W2242" i="5"/>
  <c r="T2178" i="5"/>
  <c r="U2178" i="5"/>
  <c r="V2149" i="5"/>
  <c r="W2149" i="5"/>
  <c r="W2128" i="5"/>
  <c r="V2128" i="5"/>
  <c r="V2450" i="5"/>
  <c r="W2450" i="5"/>
  <c r="V2410" i="5"/>
  <c r="W2410" i="5"/>
  <c r="V2318" i="5"/>
  <c r="W2318" i="5"/>
  <c r="U2273" i="5"/>
  <c r="V2240" i="5"/>
  <c r="W2240" i="5"/>
  <c r="V2174" i="5"/>
  <c r="W2163" i="5"/>
  <c r="V2024" i="5"/>
  <c r="W2024" i="5"/>
  <c r="U2007" i="5"/>
  <c r="U1979" i="5"/>
  <c r="W1944" i="5"/>
  <c r="V1944" i="5"/>
  <c r="V1899" i="5"/>
  <c r="W1899" i="5"/>
  <c r="V2262" i="5"/>
  <c r="V2189" i="5"/>
  <c r="W2189" i="5"/>
  <c r="V2165" i="5"/>
  <c r="W2165" i="5"/>
  <c r="V2088" i="5"/>
  <c r="W2088" i="5"/>
  <c r="W2249" i="5"/>
  <c r="V2249" i="5"/>
  <c r="T2227" i="5"/>
  <c r="U2227" i="5"/>
  <c r="W2202" i="5"/>
  <c r="V2202" i="5"/>
  <c r="T2154" i="5"/>
  <c r="U2154" i="5"/>
  <c r="V1895" i="5"/>
  <c r="W1895" i="5"/>
  <c r="T1649" i="5"/>
  <c r="U1649" i="5"/>
  <c r="V2111" i="5"/>
  <c r="W2111" i="5"/>
  <c r="T1681" i="5"/>
  <c r="U1681" i="5"/>
  <c r="V1667" i="5"/>
  <c r="W1667" i="5"/>
  <c r="W1649" i="5"/>
  <c r="V1649" i="5"/>
  <c r="V2348" i="5"/>
  <c r="W2348" i="5"/>
  <c r="T2216" i="5"/>
  <c r="X2216" i="5" s="1"/>
  <c r="V2141" i="5"/>
  <c r="W2141" i="5"/>
  <c r="V2082" i="5"/>
  <c r="W2082" i="5"/>
  <c r="V2076" i="5"/>
  <c r="W2076" i="5"/>
  <c r="U2057" i="5"/>
  <c r="W2037" i="5"/>
  <c r="V2037" i="5"/>
  <c r="V1986" i="5"/>
  <c r="W1986" i="5"/>
  <c r="V1955" i="5"/>
  <c r="W1955" i="5"/>
  <c r="U1904" i="5"/>
  <c r="T1674" i="5"/>
  <c r="U1674" i="5"/>
  <c r="T1651" i="5"/>
  <c r="U1651" i="5"/>
  <c r="T1346" i="5"/>
  <c r="U1346" i="5"/>
  <c r="W2222" i="5"/>
  <c r="V2222" i="5"/>
  <c r="T2192" i="5"/>
  <c r="U2192" i="5"/>
  <c r="V2131" i="5"/>
  <c r="W2131" i="5"/>
  <c r="T2053" i="5"/>
  <c r="U2053" i="5"/>
  <c r="W2033" i="5"/>
  <c r="V2033" i="5"/>
  <c r="V1798" i="5"/>
  <c r="W1798" i="5"/>
  <c r="V1785" i="5"/>
  <c r="W1785" i="5"/>
  <c r="T1669" i="5"/>
  <c r="U1669" i="5"/>
  <c r="V2368" i="5"/>
  <c r="W2368" i="5"/>
  <c r="T2317" i="5"/>
  <c r="U2317" i="5"/>
  <c r="V2296" i="5"/>
  <c r="W2296" i="5"/>
  <c r="W2265" i="5"/>
  <c r="V2265" i="5"/>
  <c r="T2212" i="5"/>
  <c r="U2212" i="5"/>
  <c r="W2183" i="5"/>
  <c r="V2183" i="5"/>
  <c r="T2021" i="5"/>
  <c r="W1904" i="5"/>
  <c r="V1904" i="5"/>
  <c r="T1877" i="5"/>
  <c r="U1877" i="5"/>
  <c r="T1572" i="5"/>
  <c r="U1572" i="5"/>
  <c r="V2426" i="5"/>
  <c r="W2426" i="5"/>
  <c r="V2395" i="5"/>
  <c r="W2395" i="5"/>
  <c r="V2384" i="5"/>
  <c r="W2384" i="5"/>
  <c r="V2364" i="5"/>
  <c r="W2364" i="5"/>
  <c r="V2258" i="5"/>
  <c r="W2258" i="5"/>
  <c r="V2157" i="5"/>
  <c r="W2157" i="5"/>
  <c r="V2133" i="5"/>
  <c r="W2133" i="5"/>
  <c r="W1964" i="5"/>
  <c r="V1964" i="5"/>
  <c r="W1932" i="5"/>
  <c r="V1932" i="5"/>
  <c r="V1911" i="5"/>
  <c r="W1911" i="5"/>
  <c r="T1727" i="5"/>
  <c r="W1572" i="5"/>
  <c r="V1572" i="5"/>
  <c r="T1550" i="5"/>
  <c r="U1550" i="5"/>
  <c r="W2146" i="5"/>
  <c r="V2146" i="5"/>
  <c r="W2021" i="5"/>
  <c r="V2021" i="5"/>
  <c r="V2414" i="5"/>
  <c r="W2414" i="5"/>
  <c r="W2362" i="5"/>
  <c r="V2362" i="5"/>
  <c r="V2308" i="5"/>
  <c r="W2308" i="5"/>
  <c r="T2085" i="5"/>
  <c r="U2085" i="5"/>
  <c r="V1939" i="5"/>
  <c r="W1939" i="5"/>
  <c r="W1727" i="5"/>
  <c r="V1727" i="5"/>
  <c r="V2434" i="5"/>
  <c r="W2434" i="5"/>
  <c r="W2315" i="5"/>
  <c r="V2315" i="5"/>
  <c r="V2306" i="5"/>
  <c r="W2306" i="5"/>
  <c r="T2299" i="5"/>
  <c r="U2299" i="5"/>
  <c r="W2195" i="5"/>
  <c r="U2186" i="5"/>
  <c r="T2186" i="5"/>
  <c r="V2119" i="5"/>
  <c r="W2119" i="5"/>
  <c r="V2099" i="5"/>
  <c r="W2099" i="5"/>
  <c r="W1991" i="5"/>
  <c r="V1991" i="5"/>
  <c r="T1105" i="5"/>
  <c r="U1105" i="5"/>
  <c r="V408" i="5"/>
  <c r="W408" i="5"/>
  <c r="V2041" i="5"/>
  <c r="V1967" i="5"/>
  <c r="W1967" i="5"/>
  <c r="P1967" i="5" s="1"/>
  <c r="V1951" i="5"/>
  <c r="W1951" i="5"/>
  <c r="T1928" i="5"/>
  <c r="U1928" i="5"/>
  <c r="V1757" i="5"/>
  <c r="W1757" i="5"/>
  <c r="U1687" i="5"/>
  <c r="T1687" i="5"/>
  <c r="T1662" i="5"/>
  <c r="X1662" i="5" s="1"/>
  <c r="U1426" i="5"/>
  <c r="T1426" i="5"/>
  <c r="V1290" i="5"/>
  <c r="W1290" i="5"/>
  <c r="V1997" i="5"/>
  <c r="W1997" i="5"/>
  <c r="V1777" i="5"/>
  <c r="W1777" i="5"/>
  <c r="U2347" i="5"/>
  <c r="V2127" i="5"/>
  <c r="W2127" i="5"/>
  <c r="V2107" i="5"/>
  <c r="W2107" i="5"/>
  <c r="V2010" i="5"/>
  <c r="W2010" i="5"/>
  <c r="W1956" i="5"/>
  <c r="V1956" i="5"/>
  <c r="W1900" i="5"/>
  <c r="V1900" i="5"/>
  <c r="T1892" i="5"/>
  <c r="U1892" i="5"/>
  <c r="V1886" i="5"/>
  <c r="W1886" i="5"/>
  <c r="T1852" i="5"/>
  <c r="U1646" i="5"/>
  <c r="T1646" i="5"/>
  <c r="T1603" i="5"/>
  <c r="U1603" i="5"/>
  <c r="W1346" i="5"/>
  <c r="V1346" i="5"/>
  <c r="V1049" i="5"/>
  <c r="W1049" i="5"/>
  <c r="V2072" i="5"/>
  <c r="W2072" i="5"/>
  <c r="V1947" i="5"/>
  <c r="W1947" i="5"/>
  <c r="V1919" i="5"/>
  <c r="W1919" i="5"/>
  <c r="V1892" i="5"/>
  <c r="W1892" i="5"/>
  <c r="T1755" i="5"/>
  <c r="U1755" i="5"/>
  <c r="V1603" i="5"/>
  <c r="W1603" i="5"/>
  <c r="W1452" i="5"/>
  <c r="V1452" i="5"/>
  <c r="V2298" i="5"/>
  <c r="W2298" i="5"/>
  <c r="V2232" i="5"/>
  <c r="W2232" i="5"/>
  <c r="V2115" i="5"/>
  <c r="W2115" i="5"/>
  <c r="V2084" i="5"/>
  <c r="W2084" i="5"/>
  <c r="V1978" i="5"/>
  <c r="W1978" i="5"/>
  <c r="V1963" i="5"/>
  <c r="W1963" i="5"/>
  <c r="V1894" i="5"/>
  <c r="W1894" i="5"/>
  <c r="V1829" i="5"/>
  <c r="W1829" i="5"/>
  <c r="V1755" i="5"/>
  <c r="W1755" i="5"/>
  <c r="T1499" i="5"/>
  <c r="U1499" i="5"/>
  <c r="V1496" i="5"/>
  <c r="W1496" i="5"/>
  <c r="T1044" i="5"/>
  <c r="U1044" i="5"/>
  <c r="U2391" i="5"/>
  <c r="U2387" i="5"/>
  <c r="U2383" i="5"/>
  <c r="U2375" i="5"/>
  <c r="U2371" i="5"/>
  <c r="U2351" i="5"/>
  <c r="U2344" i="5"/>
  <c r="U2335" i="5"/>
  <c r="U2311" i="5"/>
  <c r="U2245" i="5"/>
  <c r="V2218" i="5"/>
  <c r="U2170" i="5"/>
  <c r="U2162" i="5"/>
  <c r="V2145" i="5"/>
  <c r="W2145" i="5"/>
  <c r="V2135" i="5"/>
  <c r="W2135" i="5"/>
  <c r="W2077" i="5"/>
  <c r="V2077" i="5"/>
  <c r="T2049" i="5"/>
  <c r="V2044" i="5"/>
  <c r="W2044" i="5"/>
  <c r="V2025" i="5"/>
  <c r="W2013" i="5"/>
  <c r="V2013" i="5"/>
  <c r="T1983" i="5"/>
  <c r="U1936" i="5"/>
  <c r="V1908" i="5"/>
  <c r="V1864" i="5"/>
  <c r="W1864" i="5"/>
  <c r="T1784" i="5"/>
  <c r="V1737" i="5"/>
  <c r="W1737" i="5"/>
  <c r="V1631" i="5"/>
  <c r="W1631" i="5"/>
  <c r="V1607" i="5"/>
  <c r="W1607" i="5"/>
  <c r="T1600" i="5"/>
  <c r="U1600" i="5"/>
  <c r="U2364" i="5"/>
  <c r="T2218" i="5"/>
  <c r="U2061" i="5"/>
  <c r="V2020" i="5"/>
  <c r="W2020" i="5"/>
  <c r="T1999" i="5"/>
  <c r="U1999" i="5"/>
  <c r="V1903" i="5"/>
  <c r="W1903" i="5"/>
  <c r="W1882" i="5"/>
  <c r="V1882" i="5"/>
  <c r="V1872" i="5"/>
  <c r="W1872" i="5"/>
  <c r="U1795" i="5"/>
  <c r="T1795" i="5"/>
  <c r="V1772" i="5"/>
  <c r="W1772" i="5"/>
  <c r="V1753" i="5"/>
  <c r="W1753" i="5"/>
  <c r="V1407" i="5"/>
  <c r="W1407" i="5"/>
  <c r="V2032" i="5"/>
  <c r="W2032" i="5"/>
  <c r="V2006" i="5"/>
  <c r="W2006" i="5"/>
  <c r="V1959" i="5"/>
  <c r="W1959" i="5"/>
  <c r="W1952" i="5"/>
  <c r="V1952" i="5"/>
  <c r="V1878" i="5"/>
  <c r="W1878" i="5"/>
  <c r="V1806" i="5"/>
  <c r="W1806" i="5"/>
  <c r="W1784" i="5"/>
  <c r="V1784" i="5"/>
  <c r="U1652" i="5"/>
  <c r="T1652" i="5"/>
  <c r="V1635" i="5"/>
  <c r="W1635" i="5"/>
  <c r="T1559" i="5"/>
  <c r="U1559" i="5"/>
  <c r="T1436" i="5"/>
  <c r="U1436" i="5"/>
  <c r="V2314" i="5"/>
  <c r="W2314" i="5"/>
  <c r="V2248" i="5"/>
  <c r="W2248" i="5"/>
  <c r="V2213" i="5"/>
  <c r="W2213" i="5"/>
  <c r="V2103" i="5"/>
  <c r="W2103" i="5"/>
  <c r="V2068" i="5"/>
  <c r="W2068" i="5"/>
  <c r="U1734" i="5"/>
  <c r="T1734" i="5"/>
  <c r="X1734" i="5" s="1"/>
  <c r="V1652" i="5"/>
  <c r="W1652" i="5"/>
  <c r="T1593" i="5"/>
  <c r="U1593" i="5"/>
  <c r="V1559" i="5"/>
  <c r="W1559" i="5"/>
  <c r="V1927" i="5"/>
  <c r="W1927" i="5"/>
  <c r="U1891" i="5"/>
  <c r="T1891" i="5"/>
  <c r="T1803" i="5"/>
  <c r="U1803" i="5"/>
  <c r="W1762" i="5"/>
  <c r="V1762" i="5"/>
  <c r="V1746" i="5"/>
  <c r="W1746" i="5"/>
  <c r="W1548" i="5"/>
  <c r="V1548" i="5"/>
  <c r="V2181" i="5"/>
  <c r="W2181" i="5"/>
  <c r="W2178" i="5"/>
  <c r="V2178" i="5"/>
  <c r="V2173" i="5"/>
  <c r="W2173" i="5"/>
  <c r="W2085" i="5"/>
  <c r="V2085" i="5"/>
  <c r="V2080" i="5"/>
  <c r="W2080" i="5"/>
  <c r="V2052" i="5"/>
  <c r="W2052" i="5"/>
  <c r="V2016" i="5"/>
  <c r="W2016" i="5"/>
  <c r="V1803" i="5"/>
  <c r="W1803" i="5"/>
  <c r="T1520" i="5"/>
  <c r="U1520" i="5"/>
  <c r="V1005" i="5"/>
  <c r="W1005" i="5"/>
  <c r="V1935" i="5"/>
  <c r="W1935" i="5"/>
  <c r="W1877" i="5"/>
  <c r="V1877" i="5"/>
  <c r="T1875" i="5"/>
  <c r="U1875" i="5"/>
  <c r="V1857" i="5"/>
  <c r="W1857" i="5"/>
  <c r="T1853" i="5"/>
  <c r="X1853" i="5" s="1"/>
  <c r="U1853" i="5"/>
  <c r="V1813" i="5"/>
  <c r="W1813" i="5"/>
  <c r="V1794" i="5"/>
  <c r="W1794" i="5"/>
  <c r="T1769" i="5"/>
  <c r="U1769" i="5"/>
  <c r="W1436" i="5"/>
  <c r="V1436" i="5"/>
  <c r="V2161" i="5"/>
  <c r="W2161" i="5"/>
  <c r="V2092" i="5"/>
  <c r="W2092" i="5"/>
  <c r="V2040" i="5"/>
  <c r="W2040" i="5"/>
  <c r="V1974" i="5"/>
  <c r="W1974" i="5"/>
  <c r="V1907" i="5"/>
  <c r="W1907" i="5"/>
  <c r="V1802" i="5"/>
  <c r="W1802" i="5"/>
  <c r="V1769" i="5"/>
  <c r="W1769" i="5"/>
  <c r="T1615" i="5"/>
  <c r="X1615" i="5" s="1"/>
  <c r="U1615" i="5"/>
  <c r="V1602" i="5"/>
  <c r="W1602" i="5"/>
  <c r="V1318" i="5"/>
  <c r="W1318" i="5"/>
  <c r="T1316" i="5"/>
  <c r="U1316" i="5"/>
  <c r="V2012" i="5"/>
  <c r="W2012" i="5"/>
  <c r="V1943" i="5"/>
  <c r="W1943" i="5"/>
  <c r="V1747" i="5"/>
  <c r="W1747" i="5"/>
  <c r="V1622" i="5"/>
  <c r="W1622" i="5"/>
  <c r="V1429" i="5"/>
  <c r="W1429" i="5"/>
  <c r="T1320" i="5"/>
  <c r="U1320" i="5"/>
  <c r="T771" i="5"/>
  <c r="U771" i="5"/>
  <c r="V2048" i="5"/>
  <c r="W2048" i="5"/>
  <c r="V1982" i="5"/>
  <c r="W1982" i="5"/>
  <c r="V1915" i="5"/>
  <c r="W1915" i="5"/>
  <c r="T1760" i="5"/>
  <c r="U1760" i="5"/>
  <c r="U1737" i="5"/>
  <c r="T1737" i="5"/>
  <c r="T1716" i="5"/>
  <c r="U1716" i="5"/>
  <c r="V1668" i="5"/>
  <c r="W1668" i="5"/>
  <c r="W1256" i="5"/>
  <c r="V1256" i="5"/>
  <c r="V2177" i="5"/>
  <c r="W2177" i="5"/>
  <c r="V2056" i="5"/>
  <c r="W2056" i="5"/>
  <c r="V1990" i="5"/>
  <c r="W1990" i="5"/>
  <c r="V1923" i="5"/>
  <c r="W1923" i="5"/>
  <c r="T1889" i="5"/>
  <c r="U1889" i="5"/>
  <c r="V1843" i="5"/>
  <c r="W1843" i="5"/>
  <c r="T1777" i="5"/>
  <c r="U1777" i="5"/>
  <c r="T1768" i="5"/>
  <c r="U1768" i="5"/>
  <c r="T1672" i="5"/>
  <c r="V1646" i="5"/>
  <c r="W1646" i="5"/>
  <c r="V1568" i="5"/>
  <c r="W1568" i="5"/>
  <c r="V1566" i="5"/>
  <c r="W1566" i="5"/>
  <c r="U1205" i="5"/>
  <c r="T1205" i="5"/>
  <c r="V1768" i="5"/>
  <c r="W1768" i="5"/>
  <c r="W1676" i="5"/>
  <c r="V1676" i="5"/>
  <c r="T1621" i="5"/>
  <c r="U1621" i="5"/>
  <c r="T1494" i="5"/>
  <c r="U1494" i="5"/>
  <c r="V2153" i="5"/>
  <c r="W2153" i="5"/>
  <c r="V2064" i="5"/>
  <c r="W2064" i="5"/>
  <c r="V2002" i="5"/>
  <c r="W2002" i="5"/>
  <c r="V1931" i="5"/>
  <c r="W1931" i="5"/>
  <c r="V1880" i="5"/>
  <c r="W1880" i="5"/>
  <c r="V1836" i="5"/>
  <c r="W1836" i="5"/>
  <c r="V1822" i="5"/>
  <c r="W1822" i="5"/>
  <c r="V1801" i="5"/>
  <c r="W1801" i="5"/>
  <c r="V1791" i="5"/>
  <c r="W1791" i="5"/>
  <c r="T1746" i="5"/>
  <c r="U1746" i="5"/>
  <c r="W1613" i="5"/>
  <c r="V1613" i="5"/>
  <c r="T1553" i="5"/>
  <c r="U1553" i="5"/>
  <c r="V1481" i="5"/>
  <c r="W1481" i="5"/>
  <c r="V1723" i="5"/>
  <c r="W1723" i="5"/>
  <c r="W1704" i="5"/>
  <c r="V1704" i="5"/>
  <c r="T1693" i="5"/>
  <c r="U1693" i="5"/>
  <c r="V1621" i="5"/>
  <c r="W1621" i="5"/>
  <c r="T1619" i="5"/>
  <c r="U1619" i="5"/>
  <c r="V1589" i="5"/>
  <c r="W1589" i="5"/>
  <c r="V1535" i="5"/>
  <c r="W1535" i="5"/>
  <c r="T1515" i="5"/>
  <c r="X1515" i="5" s="1"/>
  <c r="U1515" i="5"/>
  <c r="V1502" i="5"/>
  <c r="W1502" i="5"/>
  <c r="V1468" i="5"/>
  <c r="W1468" i="5"/>
  <c r="U1796" i="5"/>
  <c r="T1787" i="5"/>
  <c r="U1787" i="5"/>
  <c r="T1736" i="5"/>
  <c r="X1736" i="5" s="1"/>
  <c r="U1736" i="5"/>
  <c r="V1693" i="5"/>
  <c r="W1693" i="5"/>
  <c r="U1602" i="5"/>
  <c r="W1580" i="5"/>
  <c r="V1580" i="5"/>
  <c r="W1574" i="5"/>
  <c r="V1574" i="5"/>
  <c r="V1543" i="5"/>
  <c r="V1528" i="5"/>
  <c r="W1528" i="5"/>
  <c r="V734" i="5"/>
  <c r="W734" i="5"/>
  <c r="V1861" i="5"/>
  <c r="W1861" i="5"/>
  <c r="T1850" i="5"/>
  <c r="U1850" i="5"/>
  <c r="V1819" i="5"/>
  <c r="W1819" i="5"/>
  <c r="V1805" i="5"/>
  <c r="W1805" i="5"/>
  <c r="V1787" i="5"/>
  <c r="W1787" i="5"/>
  <c r="V1756" i="5"/>
  <c r="W1756" i="5"/>
  <c r="V1749" i="5"/>
  <c r="W1749" i="5"/>
  <c r="T1638" i="5"/>
  <c r="U1638" i="5"/>
  <c r="W1634" i="5"/>
  <c r="V1634" i="5"/>
  <c r="T1625" i="5"/>
  <c r="X1625" i="5" s="1"/>
  <c r="U1625" i="5"/>
  <c r="U1598" i="5"/>
  <c r="T1598" i="5"/>
  <c r="W1565" i="5"/>
  <c r="V1565" i="5"/>
  <c r="T1543" i="5"/>
  <c r="U1543" i="5"/>
  <c r="W1396" i="5"/>
  <c r="V1396" i="5"/>
  <c r="U1264" i="5"/>
  <c r="T1264" i="5"/>
  <c r="W1221" i="5"/>
  <c r="V1221" i="5"/>
  <c r="V1009" i="5"/>
  <c r="W1009" i="5"/>
  <c r="U769" i="5"/>
  <c r="T769" i="5"/>
  <c r="V758" i="5"/>
  <c r="W758" i="5"/>
  <c r="V751" i="5"/>
  <c r="W751" i="5"/>
  <c r="V1812" i="5"/>
  <c r="W1812" i="5"/>
  <c r="T1785" i="5"/>
  <c r="U1785" i="5"/>
  <c r="V1771" i="5"/>
  <c r="W1771" i="5"/>
  <c r="U1667" i="5"/>
  <c r="T1667" i="5"/>
  <c r="V1661" i="5"/>
  <c r="W1661" i="5"/>
  <c r="V1638" i="5"/>
  <c r="W1638" i="5"/>
  <c r="T1613" i="5"/>
  <c r="U1613" i="5"/>
  <c r="V1598" i="5"/>
  <c r="W1598" i="5"/>
  <c r="T1548" i="5"/>
  <c r="U1548" i="5"/>
  <c r="V1266" i="5"/>
  <c r="W1266" i="5"/>
  <c r="W1244" i="5"/>
  <c r="V1244" i="5"/>
  <c r="W1865" i="5"/>
  <c r="T1792" i="5"/>
  <c r="X1792" i="5" s="1"/>
  <c r="U1792" i="5"/>
  <c r="V1765" i="5"/>
  <c r="W1765" i="5"/>
  <c r="U1763" i="5"/>
  <c r="T1763" i="5"/>
  <c r="V1752" i="5"/>
  <c r="W1752" i="5"/>
  <c r="W1716" i="5"/>
  <c r="V1716" i="5"/>
  <c r="V1681" i="5"/>
  <c r="W1681" i="5"/>
  <c r="T1679" i="5"/>
  <c r="U1679" i="5"/>
  <c r="T1657" i="5"/>
  <c r="U1657" i="5"/>
  <c r="V1653" i="5"/>
  <c r="W1653" i="5"/>
  <c r="W1627" i="5"/>
  <c r="V1592" i="5"/>
  <c r="W1592" i="5"/>
  <c r="V1550" i="5"/>
  <c r="W1550" i="5"/>
  <c r="V1462" i="5"/>
  <c r="W1462" i="5"/>
  <c r="V1439" i="5"/>
  <c r="W1439" i="5"/>
  <c r="W1426" i="5"/>
  <c r="V1426" i="5"/>
  <c r="T1336" i="5"/>
  <c r="U1336" i="5"/>
  <c r="T1116" i="5"/>
  <c r="X1116" i="5" s="1"/>
  <c r="U1116" i="5"/>
  <c r="W1105" i="5"/>
  <c r="V1105" i="5"/>
  <c r="U1865" i="5"/>
  <c r="U1851" i="5"/>
  <c r="U1834" i="5"/>
  <c r="U1823" i="5"/>
  <c r="U1820" i="5"/>
  <c r="V1808" i="5"/>
  <c r="W1808" i="5"/>
  <c r="V1763" i="5"/>
  <c r="W1763" i="5"/>
  <c r="V1759" i="5"/>
  <c r="W1759" i="5"/>
  <c r="V1728" i="5"/>
  <c r="W1728" i="5"/>
  <c r="V1663" i="5"/>
  <c r="W1663" i="5"/>
  <c r="T1641" i="5"/>
  <c r="U1641" i="5"/>
  <c r="T1627" i="5"/>
  <c r="X1627" i="5" s="1"/>
  <c r="T1624" i="5"/>
  <c r="U1624" i="5"/>
  <c r="V1556" i="5"/>
  <c r="V1545" i="5"/>
  <c r="W1545" i="5"/>
  <c r="V1488" i="5"/>
  <c r="U1854" i="5"/>
  <c r="T1837" i="5"/>
  <c r="W1774" i="5"/>
  <c r="V1774" i="5"/>
  <c r="V1692" i="5"/>
  <c r="W1692" i="5"/>
  <c r="T1633" i="5"/>
  <c r="U1633" i="5"/>
  <c r="V1624" i="5"/>
  <c r="W1624" i="5"/>
  <c r="U1579" i="5"/>
  <c r="T1575" i="5"/>
  <c r="X1575" i="5" s="1"/>
  <c r="T1556" i="5"/>
  <c r="U1556" i="5"/>
  <c r="U1525" i="5"/>
  <c r="T1525" i="5"/>
  <c r="V1464" i="5"/>
  <c r="W1464" i="5"/>
  <c r="V1386" i="5"/>
  <c r="W1386" i="5"/>
  <c r="U1159" i="5"/>
  <c r="T1159" i="5"/>
  <c r="T1107" i="5"/>
  <c r="W1643" i="5"/>
  <c r="V1643" i="5"/>
  <c r="T1637" i="5"/>
  <c r="U1637" i="5"/>
  <c r="V1525" i="5"/>
  <c r="W1525" i="5"/>
  <c r="V1159" i="5"/>
  <c r="W1159" i="5"/>
  <c r="V889" i="5"/>
  <c r="W889" i="5"/>
  <c r="V1854" i="5"/>
  <c r="W1854" i="5"/>
  <c r="V1826" i="5"/>
  <c r="W1826" i="5"/>
  <c r="T1772" i="5"/>
  <c r="U1772" i="5"/>
  <c r="U1778" i="5"/>
  <c r="T1701" i="5"/>
  <c r="U1701" i="5"/>
  <c r="V1577" i="5"/>
  <c r="W1577" i="5"/>
  <c r="W1510" i="5"/>
  <c r="V1510" i="5"/>
  <c r="T1508" i="5"/>
  <c r="X1508" i="5" s="1"/>
  <c r="U1508" i="5"/>
  <c r="U1502" i="5"/>
  <c r="U1488" i="5"/>
  <c r="T1480" i="5"/>
  <c r="U1480" i="5"/>
  <c r="T1454" i="5"/>
  <c r="U1429" i="5"/>
  <c r="V1373" i="5"/>
  <c r="W1373" i="5"/>
  <c r="W1304" i="5"/>
  <c r="V1304" i="5"/>
  <c r="U1231" i="5"/>
  <c r="U999" i="5"/>
  <c r="T1747" i="5"/>
  <c r="U1747" i="5"/>
  <c r="V1719" i="5"/>
  <c r="W1719" i="5"/>
  <c r="T1677" i="5"/>
  <c r="U1677" i="5"/>
  <c r="T1580" i="5"/>
  <c r="U1580" i="5"/>
  <c r="T1545" i="5"/>
  <c r="U1545" i="5"/>
  <c r="T1528" i="5"/>
  <c r="U1528" i="5"/>
  <c r="V1322" i="5"/>
  <c r="W1322" i="5"/>
  <c r="V1262" i="5"/>
  <c r="X1262" i="5" s="1"/>
  <c r="W1262" i="5"/>
  <c r="U1207" i="5"/>
  <c r="V1059" i="5"/>
  <c r="W1059" i="5"/>
  <c r="U1057" i="5"/>
  <c r="T1057" i="5"/>
  <c r="U854" i="5"/>
  <c r="T854" i="5"/>
  <c r="V831" i="5"/>
  <c r="W831" i="5"/>
  <c r="T543" i="5"/>
  <c r="U543" i="5"/>
  <c r="T1500" i="5"/>
  <c r="U1500" i="5"/>
  <c r="V1433" i="5"/>
  <c r="W1433" i="5"/>
  <c r="W1209" i="5"/>
  <c r="V1209" i="5"/>
  <c r="U1162" i="5"/>
  <c r="T1162" i="5"/>
  <c r="U1009" i="5"/>
  <c r="T1009" i="5"/>
  <c r="V989" i="5"/>
  <c r="W989" i="5"/>
  <c r="W835" i="5"/>
  <c r="V835" i="5"/>
  <c r="W820" i="5"/>
  <c r="V820" i="5"/>
  <c r="T1465" i="5"/>
  <c r="X1465" i="5" s="1"/>
  <c r="U1465" i="5"/>
  <c r="V1331" i="5"/>
  <c r="W1331" i="5"/>
  <c r="U1138" i="5"/>
  <c r="T1138" i="5"/>
  <c r="W493" i="5"/>
  <c r="V493" i="5"/>
  <c r="W1790" i="5"/>
  <c r="U1786" i="5"/>
  <c r="V1722" i="5"/>
  <c r="W1722" i="5"/>
  <c r="U1715" i="5"/>
  <c r="T1670" i="5"/>
  <c r="U1670" i="5"/>
  <c r="T1629" i="5"/>
  <c r="U1629" i="5"/>
  <c r="V1553" i="5"/>
  <c r="W1553" i="5"/>
  <c r="V1540" i="5"/>
  <c r="W1540" i="5"/>
  <c r="V1530" i="5"/>
  <c r="W1530" i="5"/>
  <c r="T1526" i="5"/>
  <c r="X1526" i="5" s="1"/>
  <c r="U1526" i="5"/>
  <c r="V1522" i="5"/>
  <c r="W1522" i="5"/>
  <c r="V1479" i="5"/>
  <c r="U1378" i="5"/>
  <c r="V1185" i="5"/>
  <c r="W1185" i="5"/>
  <c r="T1770" i="5"/>
  <c r="X1770" i="5" s="1"/>
  <c r="U1770" i="5"/>
  <c r="T1754" i="5"/>
  <c r="U1754" i="5"/>
  <c r="W1729" i="5"/>
  <c r="T1665" i="5"/>
  <c r="U1665" i="5"/>
  <c r="T1591" i="5"/>
  <c r="U1591" i="5"/>
  <c r="W1576" i="5"/>
  <c r="U1453" i="5"/>
  <c r="T1453" i="5"/>
  <c r="X1453" i="5" s="1"/>
  <c r="W1376" i="5"/>
  <c r="V1376" i="5"/>
  <c r="W1367" i="5"/>
  <c r="T1187" i="5"/>
  <c r="U1187" i="5"/>
  <c r="U1076" i="5"/>
  <c r="T1076" i="5"/>
  <c r="X1076" i="5" s="1"/>
  <c r="V1015" i="5"/>
  <c r="W1015" i="5"/>
  <c r="T901" i="5"/>
  <c r="U901" i="5"/>
  <c r="U880" i="5"/>
  <c r="T880" i="5"/>
  <c r="U1857" i="5"/>
  <c r="U1822" i="5"/>
  <c r="U1815" i="5"/>
  <c r="U1790" i="5"/>
  <c r="U1783" i="5"/>
  <c r="U1764" i="5"/>
  <c r="V1751" i="5"/>
  <c r="W1751" i="5"/>
  <c r="T1720" i="5"/>
  <c r="X1720" i="5" s="1"/>
  <c r="U1720" i="5"/>
  <c r="U1710" i="5"/>
  <c r="V1604" i="5"/>
  <c r="U1581" i="5"/>
  <c r="T1544" i="5"/>
  <c r="X1544" i="5" s="1"/>
  <c r="U1544" i="5"/>
  <c r="U1513" i="5"/>
  <c r="U1505" i="5"/>
  <c r="V1493" i="5"/>
  <c r="W1493" i="5"/>
  <c r="U1491" i="5"/>
  <c r="V1473" i="5"/>
  <c r="W1473" i="5"/>
  <c r="V1421" i="5"/>
  <c r="W1421" i="5"/>
  <c r="V1380" i="5"/>
  <c r="T1363" i="5"/>
  <c r="U1363" i="5"/>
  <c r="U1312" i="5"/>
  <c r="T1312" i="5"/>
  <c r="V901" i="5"/>
  <c r="W901" i="5"/>
  <c r="T1658" i="5"/>
  <c r="X1658" i="5" s="1"/>
  <c r="V1655" i="5"/>
  <c r="W1655" i="5"/>
  <c r="U1648" i="5"/>
  <c r="T1604" i="5"/>
  <c r="U1604" i="5"/>
  <c r="T1511" i="5"/>
  <c r="U1511" i="5"/>
  <c r="W1403" i="5"/>
  <c r="V1403" i="5"/>
  <c r="W1382" i="5"/>
  <c r="V1382" i="5"/>
  <c r="T1380" i="5"/>
  <c r="U1380" i="5"/>
  <c r="V1274" i="5"/>
  <c r="W1274" i="5"/>
  <c r="T924" i="5"/>
  <c r="X924" i="5" s="1"/>
  <c r="U920" i="5"/>
  <c r="T920" i="5"/>
  <c r="T691" i="5"/>
  <c r="T1705" i="5"/>
  <c r="X1705" i="5" s="1"/>
  <c r="U1705" i="5"/>
  <c r="T1689" i="5"/>
  <c r="X1689" i="5" s="1"/>
  <c r="U1689" i="5"/>
  <c r="T1599" i="5"/>
  <c r="U1599" i="5"/>
  <c r="W1405" i="5"/>
  <c r="V1405" i="5"/>
  <c r="V1246" i="5"/>
  <c r="X1246" i="5" s="1"/>
  <c r="W1246" i="5"/>
  <c r="T1217" i="5"/>
  <c r="U1217" i="5"/>
  <c r="V918" i="5"/>
  <c r="W918" i="5"/>
  <c r="T909" i="5"/>
  <c r="U909" i="5"/>
  <c r="V743" i="5"/>
  <c r="W743" i="5"/>
  <c r="V1710" i="5"/>
  <c r="W1710" i="5"/>
  <c r="T1697" i="5"/>
  <c r="U1697" i="5"/>
  <c r="T1676" i="5"/>
  <c r="U1676" i="5"/>
  <c r="T1661" i="5"/>
  <c r="U1661" i="5"/>
  <c r="T1653" i="5"/>
  <c r="U1653" i="5"/>
  <c r="T1564" i="5"/>
  <c r="U1564" i="5"/>
  <c r="V1513" i="5"/>
  <c r="W1513" i="5"/>
  <c r="T1489" i="5"/>
  <c r="X1489" i="5" s="1"/>
  <c r="U1489" i="5"/>
  <c r="W1438" i="5"/>
  <c r="V1438" i="5"/>
  <c r="T1344" i="5"/>
  <c r="U1344" i="5"/>
  <c r="W1309" i="5"/>
  <c r="V1309" i="5"/>
  <c r="V1278" i="5"/>
  <c r="W1278" i="5"/>
  <c r="T1244" i="5"/>
  <c r="U1244" i="5"/>
  <c r="V1197" i="5"/>
  <c r="W1197" i="5"/>
  <c r="V952" i="5"/>
  <c r="W952" i="5"/>
  <c r="V1168" i="5"/>
  <c r="W1168" i="5"/>
  <c r="V1069" i="5"/>
  <c r="W1069" i="5"/>
  <c r="T1063" i="5"/>
  <c r="U1063" i="5"/>
  <c r="U1061" i="5"/>
  <c r="T1061" i="5"/>
  <c r="X1061" i="5" s="1"/>
  <c r="V1046" i="5"/>
  <c r="W1046" i="5"/>
  <c r="V784" i="5"/>
  <c r="W784" i="5"/>
  <c r="U773" i="5"/>
  <c r="T773" i="5"/>
  <c r="V771" i="5"/>
  <c r="W771" i="5"/>
  <c r="W623" i="5"/>
  <c r="V623" i="5"/>
  <c r="V570" i="5"/>
  <c r="W570" i="5"/>
  <c r="W1549" i="5"/>
  <c r="T1546" i="5"/>
  <c r="U1546" i="5"/>
  <c r="T1531" i="5"/>
  <c r="T1516" i="5"/>
  <c r="U1516" i="5"/>
  <c r="T1485" i="5"/>
  <c r="U1485" i="5"/>
  <c r="W1448" i="5"/>
  <c r="V1448" i="5"/>
  <c r="V1417" i="5"/>
  <c r="W1417" i="5"/>
  <c r="W1408" i="5"/>
  <c r="V1408" i="5"/>
  <c r="W1343" i="5"/>
  <c r="T1238" i="5"/>
  <c r="U1238" i="5"/>
  <c r="V1192" i="5"/>
  <c r="W1192" i="5"/>
  <c r="V1180" i="5"/>
  <c r="W1180" i="5"/>
  <c r="V1172" i="5"/>
  <c r="W1172" i="5"/>
  <c r="V1146" i="5"/>
  <c r="U1128" i="5"/>
  <c r="T1128" i="5"/>
  <c r="V964" i="5"/>
  <c r="W964" i="5"/>
  <c r="U900" i="5"/>
  <c r="T900" i="5"/>
  <c r="W773" i="5"/>
  <c r="V773" i="5"/>
  <c r="W726" i="5"/>
  <c r="V726" i="5"/>
  <c r="U1573" i="5"/>
  <c r="W1544" i="5"/>
  <c r="T1536" i="5"/>
  <c r="U1536" i="5"/>
  <c r="T1467" i="5"/>
  <c r="U1467" i="5"/>
  <c r="V1463" i="5"/>
  <c r="W1453" i="5"/>
  <c r="V1444" i="5"/>
  <c r="W1432" i="5"/>
  <c r="V1432" i="5"/>
  <c r="U1406" i="5"/>
  <c r="V1388" i="5"/>
  <c r="W1371" i="5"/>
  <c r="W1360" i="5"/>
  <c r="T1327" i="5"/>
  <c r="U1327" i="5"/>
  <c r="T1315" i="5"/>
  <c r="U1315" i="5"/>
  <c r="T1251" i="5"/>
  <c r="U1251" i="5"/>
  <c r="V1238" i="5"/>
  <c r="W1238" i="5"/>
  <c r="V1214" i="5"/>
  <c r="W1212" i="5"/>
  <c r="V1128" i="5"/>
  <c r="W1128" i="5"/>
  <c r="W1104" i="5"/>
  <c r="V1082" i="5"/>
  <c r="W1082" i="5"/>
  <c r="V1050" i="5"/>
  <c r="V1022" i="5"/>
  <c r="T871" i="5"/>
  <c r="U443" i="5"/>
  <c r="T443" i="5"/>
  <c r="V1571" i="5"/>
  <c r="T1568" i="5"/>
  <c r="U1568" i="5"/>
  <c r="V1501" i="5"/>
  <c r="V1379" i="5"/>
  <c r="W1334" i="5"/>
  <c r="V1334" i="5"/>
  <c r="W1327" i="5"/>
  <c r="V1327" i="5"/>
  <c r="T1321" i="5"/>
  <c r="U1321" i="5"/>
  <c r="W1315" i="5"/>
  <c r="V1315" i="5"/>
  <c r="V1305" i="5"/>
  <c r="W1305" i="5"/>
  <c r="T1301" i="5"/>
  <c r="U1301" i="5"/>
  <c r="V1295" i="5"/>
  <c r="T1267" i="5"/>
  <c r="W1251" i="5"/>
  <c r="V1251" i="5"/>
  <c r="T1229" i="5"/>
  <c r="U1229" i="5"/>
  <c r="W1224" i="5"/>
  <c r="T1214" i="5"/>
  <c r="U1214" i="5"/>
  <c r="V1196" i="5"/>
  <c r="W1196" i="5"/>
  <c r="U1104" i="5"/>
  <c r="T1104" i="5"/>
  <c r="X1104" i="5" s="1"/>
  <c r="U1037" i="5"/>
  <c r="T1037" i="5"/>
  <c r="T933" i="5"/>
  <c r="V869" i="5"/>
  <c r="W869" i="5"/>
  <c r="T793" i="5"/>
  <c r="V443" i="5"/>
  <c r="W443" i="5"/>
  <c r="V1321" i="5"/>
  <c r="W1321" i="5"/>
  <c r="T1295" i="5"/>
  <c r="U1295" i="5"/>
  <c r="T1261" i="5"/>
  <c r="U1261" i="5"/>
  <c r="V1229" i="5"/>
  <c r="W1229" i="5"/>
  <c r="V1216" i="5"/>
  <c r="W1216" i="5"/>
  <c r="T1148" i="5"/>
  <c r="U1148" i="5"/>
  <c r="V1037" i="5"/>
  <c r="W1037" i="5"/>
  <c r="T971" i="5"/>
  <c r="U971" i="5"/>
  <c r="W871" i="5"/>
  <c r="V871" i="5"/>
  <c r="U836" i="5"/>
  <c r="T836" i="5"/>
  <c r="W803" i="5"/>
  <c r="V803" i="5"/>
  <c r="T1560" i="5"/>
  <c r="U1560" i="5"/>
  <c r="U1509" i="5"/>
  <c r="W1478" i="5"/>
  <c r="U1475" i="5"/>
  <c r="W1461" i="5"/>
  <c r="V1395" i="5"/>
  <c r="W1395" i="5"/>
  <c r="U1368" i="5"/>
  <c r="W1263" i="5"/>
  <c r="V1263" i="5"/>
  <c r="V1220" i="5"/>
  <c r="W1220" i="5"/>
  <c r="V1014" i="5"/>
  <c r="W1014" i="5"/>
  <c r="U955" i="5"/>
  <c r="T955" i="5"/>
  <c r="W488" i="5"/>
  <c r="V488" i="5"/>
  <c r="U1563" i="5"/>
  <c r="U1542" i="5"/>
  <c r="T1524" i="5"/>
  <c r="U1524" i="5"/>
  <c r="T1504" i="5"/>
  <c r="U1504" i="5"/>
  <c r="W1498" i="5"/>
  <c r="V1470" i="5"/>
  <c r="V1423" i="5"/>
  <c r="U1418" i="5"/>
  <c r="U1416" i="5"/>
  <c r="V1393" i="5"/>
  <c r="W1391" i="5"/>
  <c r="W1370" i="5"/>
  <c r="V1370" i="5"/>
  <c r="W1366" i="5"/>
  <c r="V1366" i="5"/>
  <c r="W1362" i="5"/>
  <c r="V1362" i="5"/>
  <c r="U1165" i="5"/>
  <c r="T1165" i="5"/>
  <c r="T1091" i="5"/>
  <c r="U1091" i="5"/>
  <c r="W1043" i="5"/>
  <c r="V1043" i="5"/>
  <c r="T1020" i="5"/>
  <c r="U1020" i="5"/>
  <c r="V982" i="5"/>
  <c r="W982" i="5"/>
  <c r="V955" i="5"/>
  <c r="W955" i="5"/>
  <c r="U848" i="5"/>
  <c r="T848" i="5"/>
  <c r="U1547" i="5"/>
  <c r="V1537" i="5"/>
  <c r="V1519" i="5"/>
  <c r="W1519" i="5"/>
  <c r="U1517" i="5"/>
  <c r="U1507" i="5"/>
  <c r="T1478" i="5"/>
  <c r="X1478" i="5" s="1"/>
  <c r="U1478" i="5"/>
  <c r="T1470" i="5"/>
  <c r="U1470" i="5"/>
  <c r="U1459" i="5"/>
  <c r="V1449" i="5"/>
  <c r="U1442" i="5"/>
  <c r="W1414" i="5"/>
  <c r="U1409" i="5"/>
  <c r="T1393" i="5"/>
  <c r="U1393" i="5"/>
  <c r="W1310" i="5"/>
  <c r="U1308" i="5"/>
  <c r="U1285" i="5"/>
  <c r="W1275" i="5"/>
  <c r="V1275" i="5"/>
  <c r="U1241" i="5"/>
  <c r="U1173" i="5"/>
  <c r="V1165" i="5"/>
  <c r="W1165" i="5"/>
  <c r="T1155" i="5"/>
  <c r="V1141" i="5"/>
  <c r="W1141" i="5"/>
  <c r="U1118" i="5"/>
  <c r="T1118" i="5"/>
  <c r="W1093" i="5"/>
  <c r="V1060" i="5"/>
  <c r="W1060" i="5"/>
  <c r="U1030" i="5"/>
  <c r="T1024" i="5"/>
  <c r="U1024" i="5"/>
  <c r="V957" i="5"/>
  <c r="W957" i="5"/>
  <c r="T948" i="5"/>
  <c r="U948" i="5"/>
  <c r="T829" i="5"/>
  <c r="X829" i="5" s="1"/>
  <c r="U829" i="5"/>
  <c r="T1537" i="5"/>
  <c r="U1537" i="5"/>
  <c r="T1498" i="5"/>
  <c r="X1498" i="5" s="1"/>
  <c r="U1498" i="5"/>
  <c r="T1449" i="5"/>
  <c r="U1449" i="5"/>
  <c r="T1414" i="5"/>
  <c r="X1414" i="5" s="1"/>
  <c r="W1400" i="5"/>
  <c r="V1400" i="5"/>
  <c r="U1384" i="5"/>
  <c r="W1287" i="5"/>
  <c r="V1287" i="5"/>
  <c r="T1237" i="5"/>
  <c r="U1237" i="5"/>
  <c r="V1218" i="5"/>
  <c r="W1218" i="5"/>
  <c r="V1199" i="5"/>
  <c r="W1199" i="5"/>
  <c r="U1183" i="5"/>
  <c r="V1118" i="5"/>
  <c r="W1118" i="5"/>
  <c r="V1097" i="5"/>
  <c r="T1081" i="5"/>
  <c r="X1081" i="5" s="1"/>
  <c r="U1081" i="5"/>
  <c r="T1047" i="5"/>
  <c r="U1047" i="5"/>
  <c r="V974" i="5"/>
  <c r="W974" i="5"/>
  <c r="V948" i="5"/>
  <c r="W948" i="5"/>
  <c r="T735" i="5"/>
  <c r="U735" i="5"/>
  <c r="W641" i="5"/>
  <c r="V641" i="5"/>
  <c r="V523" i="5"/>
  <c r="W523" i="5"/>
  <c r="T1532" i="5"/>
  <c r="U1532" i="5"/>
  <c r="T1233" i="5"/>
  <c r="U1233" i="5"/>
  <c r="V1155" i="5"/>
  <c r="W1155" i="5"/>
  <c r="V1131" i="5"/>
  <c r="W1131" i="5"/>
  <c r="T1097" i="5"/>
  <c r="U1097" i="5"/>
  <c r="W1047" i="5"/>
  <c r="V1047" i="5"/>
  <c r="V1466" i="5"/>
  <c r="W1466" i="5"/>
  <c r="W1459" i="5"/>
  <c r="V1459" i="5"/>
  <c r="W1348" i="5"/>
  <c r="V1348" i="5"/>
  <c r="W1342" i="5"/>
  <c r="V1342" i="5"/>
  <c r="W1333" i="5"/>
  <c r="V1333" i="5"/>
  <c r="W1241" i="5"/>
  <c r="V1241" i="5"/>
  <c r="W1233" i="5"/>
  <c r="V1233" i="5"/>
  <c r="W1189" i="5"/>
  <c r="V1189" i="5"/>
  <c r="V1173" i="5"/>
  <c r="W1173" i="5"/>
  <c r="T1153" i="5"/>
  <c r="X1153" i="5" s="1"/>
  <c r="U1153" i="5"/>
  <c r="V1143" i="5"/>
  <c r="W1143" i="5"/>
  <c r="V1133" i="5"/>
  <c r="W1133" i="5"/>
  <c r="T1036" i="5"/>
  <c r="X1036" i="5" s="1"/>
  <c r="U1036" i="5"/>
  <c r="U985" i="5"/>
  <c r="T985" i="5"/>
  <c r="U876" i="5"/>
  <c r="T876" i="5"/>
  <c r="T810" i="5"/>
  <c r="U810" i="5"/>
  <c r="V729" i="5"/>
  <c r="W729" i="5"/>
  <c r="U575" i="5"/>
  <c r="T575" i="5"/>
  <c r="U408" i="5"/>
  <c r="T408" i="5"/>
  <c r="V1363" i="5"/>
  <c r="V1298" i="5"/>
  <c r="W1298" i="5"/>
  <c r="V1205" i="5"/>
  <c r="W1205" i="5"/>
  <c r="W1162" i="5"/>
  <c r="V1162" i="5"/>
  <c r="T1093" i="5"/>
  <c r="X1093" i="5" s="1"/>
  <c r="U1093" i="5"/>
  <c r="V1089" i="5"/>
  <c r="W1089" i="5"/>
  <c r="V1034" i="5"/>
  <c r="W1034" i="5"/>
  <c r="T1028" i="5"/>
  <c r="U1028" i="5"/>
  <c r="T1014" i="5"/>
  <c r="U1014" i="5"/>
  <c r="V933" i="5"/>
  <c r="W933" i="5"/>
  <c r="V909" i="5"/>
  <c r="W909" i="5"/>
  <c r="T734" i="5"/>
  <c r="U734" i="5"/>
  <c r="W699" i="5"/>
  <c r="V699" i="5"/>
  <c r="U621" i="5"/>
  <c r="T621" i="5"/>
  <c r="U580" i="5"/>
  <c r="T580" i="5"/>
  <c r="W518" i="5"/>
  <c r="V518" i="5"/>
  <c r="T1342" i="5"/>
  <c r="V1279" i="5"/>
  <c r="W1247" i="5"/>
  <c r="V1247" i="5"/>
  <c r="U1174" i="5"/>
  <c r="T1174" i="5"/>
  <c r="T1142" i="5"/>
  <c r="V1135" i="5"/>
  <c r="W1135" i="5"/>
  <c r="T1121" i="5"/>
  <c r="U1121" i="5"/>
  <c r="T987" i="5"/>
  <c r="U987" i="5"/>
  <c r="V985" i="5"/>
  <c r="W985" i="5"/>
  <c r="U967" i="5"/>
  <c r="T967" i="5"/>
  <c r="V876" i="5"/>
  <c r="W876" i="5"/>
  <c r="V748" i="5"/>
  <c r="W748" i="5"/>
  <c r="W706" i="5"/>
  <c r="V706" i="5"/>
  <c r="U606" i="5"/>
  <c r="T606" i="5"/>
  <c r="T1309" i="5"/>
  <c r="U1309" i="5"/>
  <c r="V1250" i="5"/>
  <c r="W1250" i="5"/>
  <c r="V1121" i="5"/>
  <c r="W1121" i="5"/>
  <c r="V1096" i="5"/>
  <c r="U1049" i="5"/>
  <c r="T1049" i="5"/>
  <c r="V967" i="5"/>
  <c r="W967" i="5"/>
  <c r="V917" i="5"/>
  <c r="W917" i="5"/>
  <c r="W858" i="5"/>
  <c r="V858" i="5"/>
  <c r="V764" i="5"/>
  <c r="W764" i="5"/>
  <c r="V435" i="5"/>
  <c r="W435" i="5"/>
  <c r="U1299" i="5"/>
  <c r="U1284" i="5"/>
  <c r="U1277" i="5"/>
  <c r="W1267" i="5"/>
  <c r="V1267" i="5"/>
  <c r="U1260" i="5"/>
  <c r="U1223" i="5"/>
  <c r="U1184" i="5"/>
  <c r="V1156" i="5"/>
  <c r="U1147" i="5"/>
  <c r="U1145" i="5"/>
  <c r="V1079" i="5"/>
  <c r="W1079" i="5"/>
  <c r="T1051" i="5"/>
  <c r="U1051" i="5"/>
  <c r="V1033" i="5"/>
  <c r="W1033" i="5"/>
  <c r="V1023" i="5"/>
  <c r="W1023" i="5"/>
  <c r="U1017" i="5"/>
  <c r="T1017" i="5"/>
  <c r="T1004" i="5"/>
  <c r="U1004" i="5"/>
  <c r="T969" i="5"/>
  <c r="U969" i="5"/>
  <c r="W942" i="5"/>
  <c r="V942" i="5"/>
  <c r="W938" i="5"/>
  <c r="V904" i="5"/>
  <c r="W904" i="5"/>
  <c r="W886" i="5"/>
  <c r="V886" i="5"/>
  <c r="V884" i="5"/>
  <c r="W884" i="5"/>
  <c r="V854" i="5"/>
  <c r="W854" i="5"/>
  <c r="W836" i="5"/>
  <c r="V836" i="5"/>
  <c r="V780" i="5"/>
  <c r="W780" i="5"/>
  <c r="U713" i="5"/>
  <c r="T713" i="5"/>
  <c r="V417" i="5"/>
  <c r="W417" i="5"/>
  <c r="T1709" i="5"/>
  <c r="U1709" i="5"/>
  <c r="T1645" i="5"/>
  <c r="U1645" i="5"/>
  <c r="T1576" i="5"/>
  <c r="X1576" i="5" s="1"/>
  <c r="U1576" i="5"/>
  <c r="T1512" i="5"/>
  <c r="U1512" i="5"/>
  <c r="T1235" i="5"/>
  <c r="U1235" i="5"/>
  <c r="T1170" i="5"/>
  <c r="V1158" i="5"/>
  <c r="W1158" i="5"/>
  <c r="T1156" i="5"/>
  <c r="U1156" i="5"/>
  <c r="V1092" i="5"/>
  <c r="W1092" i="5"/>
  <c r="V1075" i="5"/>
  <c r="W1075" i="5"/>
  <c r="U1053" i="5"/>
  <c r="T1053" i="5"/>
  <c r="W1027" i="5"/>
  <c r="V1027" i="5"/>
  <c r="V1017" i="5"/>
  <c r="W1017" i="5"/>
  <c r="V1006" i="5"/>
  <c r="W1006" i="5"/>
  <c r="V973" i="5"/>
  <c r="W973" i="5"/>
  <c r="T940" i="5"/>
  <c r="X940" i="5" s="1"/>
  <c r="W860" i="5"/>
  <c r="V860" i="5"/>
  <c r="V517" i="5"/>
  <c r="W517" i="5"/>
  <c r="V495" i="5"/>
  <c r="W495" i="5"/>
  <c r="W108" i="5"/>
  <c r="V108" i="5"/>
  <c r="T1206" i="5"/>
  <c r="U1206" i="5"/>
  <c r="T1175" i="5"/>
  <c r="U1175" i="5"/>
  <c r="T1113" i="5"/>
  <c r="U1113" i="5"/>
  <c r="U1025" i="5"/>
  <c r="T1025" i="5"/>
  <c r="X1025" i="5" s="1"/>
  <c r="T926" i="5"/>
  <c r="U926" i="5"/>
  <c r="W747" i="5"/>
  <c r="V747" i="5"/>
  <c r="T705" i="5"/>
  <c r="U705" i="5"/>
  <c r="W510" i="5"/>
  <c r="V510" i="5"/>
  <c r="U161" i="5"/>
  <c r="T161" i="5"/>
  <c r="V139" i="5"/>
  <c r="W139" i="5"/>
  <c r="T1685" i="5"/>
  <c r="X1685" i="5" s="1"/>
  <c r="U1685" i="5"/>
  <c r="T1623" i="5"/>
  <c r="X1623" i="5" s="1"/>
  <c r="U1623" i="5"/>
  <c r="T1552" i="5"/>
  <c r="U1552" i="5"/>
  <c r="T1490" i="5"/>
  <c r="X1490" i="5" s="1"/>
  <c r="U1490" i="5"/>
  <c r="T1474" i="5"/>
  <c r="U1474" i="5"/>
  <c r="T1292" i="5"/>
  <c r="U1292" i="5"/>
  <c r="V1175" i="5"/>
  <c r="W1175" i="5"/>
  <c r="T1111" i="5"/>
  <c r="U1111" i="5"/>
  <c r="V1094" i="5"/>
  <c r="W1094" i="5"/>
  <c r="W926" i="5"/>
  <c r="V926" i="5"/>
  <c r="W666" i="5"/>
  <c r="V666" i="5"/>
  <c r="U614" i="5"/>
  <c r="T614" i="5"/>
  <c r="X614" i="5" s="1"/>
  <c r="T1673" i="5"/>
  <c r="U1673" i="5"/>
  <c r="T1607" i="5"/>
  <c r="U1607" i="5"/>
  <c r="T1540" i="5"/>
  <c r="U1540" i="5"/>
  <c r="W1420" i="5"/>
  <c r="V1420" i="5"/>
  <c r="T1405" i="5"/>
  <c r="U1405" i="5"/>
  <c r="T1086" i="5"/>
  <c r="U1086" i="5"/>
  <c r="U741" i="5"/>
  <c r="T741" i="5"/>
  <c r="U737" i="5"/>
  <c r="T737" i="5"/>
  <c r="U626" i="5"/>
  <c r="T626" i="5"/>
  <c r="V558" i="5"/>
  <c r="W558" i="5"/>
  <c r="U549" i="5"/>
  <c r="T549" i="5"/>
  <c r="X549" i="5" s="1"/>
  <c r="W526" i="5"/>
  <c r="V526" i="5"/>
  <c r="T1082" i="5"/>
  <c r="U1082" i="5"/>
  <c r="U1069" i="5"/>
  <c r="T1069" i="5"/>
  <c r="V1066" i="5"/>
  <c r="W1066" i="5"/>
  <c r="U1033" i="5"/>
  <c r="T1033" i="5"/>
  <c r="V1030" i="5"/>
  <c r="W1030" i="5"/>
  <c r="T953" i="5"/>
  <c r="U953" i="5"/>
  <c r="U951" i="5"/>
  <c r="T951" i="5"/>
  <c r="V920" i="5"/>
  <c r="W920" i="5"/>
  <c r="T916" i="5"/>
  <c r="V878" i="5"/>
  <c r="W878" i="5"/>
  <c r="W757" i="5"/>
  <c r="V757" i="5"/>
  <c r="U723" i="5"/>
  <c r="T723" i="5"/>
  <c r="V653" i="5"/>
  <c r="W653" i="5"/>
  <c r="V606" i="5"/>
  <c r="W606" i="5"/>
  <c r="V951" i="5"/>
  <c r="W951" i="5"/>
  <c r="V929" i="5"/>
  <c r="W929" i="5"/>
  <c r="U912" i="5"/>
  <c r="T912" i="5"/>
  <c r="W863" i="5"/>
  <c r="V863" i="5"/>
  <c r="W813" i="5"/>
  <c r="V813" i="5"/>
  <c r="W703" i="5"/>
  <c r="V703" i="5"/>
  <c r="T681" i="5"/>
  <c r="U681" i="5"/>
  <c r="V610" i="5"/>
  <c r="W610" i="5"/>
  <c r="W551" i="5"/>
  <c r="V551" i="5"/>
  <c r="W450" i="5"/>
  <c r="V450" i="5"/>
  <c r="V257" i="5"/>
  <c r="W257" i="5"/>
  <c r="T934" i="5"/>
  <c r="U934" i="5"/>
  <c r="U932" i="5"/>
  <c r="T932" i="5"/>
  <c r="V912" i="5"/>
  <c r="W912" i="5"/>
  <c r="U763" i="5"/>
  <c r="T763" i="5"/>
  <c r="W761" i="5"/>
  <c r="V761" i="5"/>
  <c r="V681" i="5"/>
  <c r="W681" i="5"/>
  <c r="V649" i="5"/>
  <c r="W649" i="5"/>
  <c r="V600" i="5"/>
  <c r="W600" i="5"/>
  <c r="V516" i="5"/>
  <c r="W516" i="5"/>
  <c r="V1110" i="5"/>
  <c r="W1110" i="5"/>
  <c r="T988" i="5"/>
  <c r="U988" i="5"/>
  <c r="V932" i="5"/>
  <c r="W932" i="5"/>
  <c r="U904" i="5"/>
  <c r="T904" i="5"/>
  <c r="V819" i="5"/>
  <c r="W819" i="5"/>
  <c r="U725" i="5"/>
  <c r="T725" i="5"/>
  <c r="U501" i="5"/>
  <c r="T501" i="5"/>
  <c r="V1145" i="5"/>
  <c r="W1145" i="5"/>
  <c r="V1113" i="5"/>
  <c r="W1113" i="5"/>
  <c r="W1039" i="5"/>
  <c r="U1011" i="5"/>
  <c r="U1003" i="5"/>
  <c r="W991" i="5"/>
  <c r="U968" i="5"/>
  <c r="U961" i="5"/>
  <c r="V896" i="5"/>
  <c r="W896" i="5"/>
  <c r="U881" i="5"/>
  <c r="T877" i="5"/>
  <c r="X877" i="5" s="1"/>
  <c r="U877" i="5"/>
  <c r="V800" i="5"/>
  <c r="W800" i="5"/>
  <c r="W769" i="5"/>
  <c r="V769" i="5"/>
  <c r="V452" i="5"/>
  <c r="W452" i="5"/>
  <c r="V272" i="5"/>
  <c r="W272" i="5"/>
  <c r="V1182" i="5"/>
  <c r="W1182" i="5"/>
  <c r="V1103" i="5"/>
  <c r="W1103" i="5"/>
  <c r="V998" i="5"/>
  <c r="W998" i="5"/>
  <c r="T954" i="5"/>
  <c r="U954" i="5"/>
  <c r="V892" i="5"/>
  <c r="W892" i="5"/>
  <c r="V866" i="5"/>
  <c r="W866" i="5"/>
  <c r="V830" i="5"/>
  <c r="W830" i="5"/>
  <c r="V798" i="5"/>
  <c r="W798" i="5"/>
  <c r="V700" i="5"/>
  <c r="W700" i="5"/>
  <c r="V692" i="5"/>
  <c r="W692" i="5"/>
  <c r="V685" i="5"/>
  <c r="W685" i="5"/>
  <c r="V550" i="5"/>
  <c r="W550" i="5"/>
  <c r="V411" i="5"/>
  <c r="W411" i="5"/>
  <c r="T354" i="5"/>
  <c r="X354" i="5" s="1"/>
  <c r="U354" i="5"/>
  <c r="U1001" i="5"/>
  <c r="T1001" i="5"/>
  <c r="W824" i="5"/>
  <c r="V824" i="5"/>
  <c r="V722" i="5"/>
  <c r="W722" i="5"/>
  <c r="V720" i="5"/>
  <c r="W720" i="5"/>
  <c r="V710" i="5"/>
  <c r="W710" i="5"/>
  <c r="U656" i="5"/>
  <c r="T656" i="5"/>
  <c r="U312" i="5"/>
  <c r="T312" i="5"/>
  <c r="V1148" i="5"/>
  <c r="W1148" i="5"/>
  <c r="V1138" i="5"/>
  <c r="W1138" i="5"/>
  <c r="T1052" i="5"/>
  <c r="U1052" i="5"/>
  <c r="V1001" i="5"/>
  <c r="W1001" i="5"/>
  <c r="T935" i="5"/>
  <c r="X935" i="5" s="1"/>
  <c r="U935" i="5"/>
  <c r="V822" i="5"/>
  <c r="W822" i="5"/>
  <c r="V760" i="5"/>
  <c r="W760" i="5"/>
  <c r="V754" i="5"/>
  <c r="W754" i="5"/>
  <c r="W678" i="5"/>
  <c r="V678" i="5"/>
  <c r="U672" i="5"/>
  <c r="T672" i="5"/>
  <c r="W660" i="5"/>
  <c r="V660" i="5"/>
  <c r="V545" i="5"/>
  <c r="W545" i="5"/>
  <c r="T1185" i="5"/>
  <c r="U1185" i="5"/>
  <c r="V1052" i="5"/>
  <c r="W1052" i="5"/>
  <c r="T917" i="5"/>
  <c r="U917" i="5"/>
  <c r="V841" i="5"/>
  <c r="W841" i="5"/>
  <c r="V807" i="5"/>
  <c r="W807" i="5"/>
  <c r="V738" i="5"/>
  <c r="W738" i="5"/>
  <c r="W487" i="5"/>
  <c r="V487" i="5"/>
  <c r="W396" i="5"/>
  <c r="V396" i="5"/>
  <c r="T99" i="5"/>
  <c r="U99" i="5"/>
  <c r="T472" i="5"/>
  <c r="X472" i="5" s="1"/>
  <c r="U472" i="5"/>
  <c r="U445" i="5"/>
  <c r="T445" i="5"/>
  <c r="V412" i="5"/>
  <c r="W412" i="5"/>
  <c r="U308" i="5"/>
  <c r="T308" i="5"/>
  <c r="T273" i="5"/>
  <c r="U273" i="5"/>
  <c r="W848" i="5"/>
  <c r="V848" i="5"/>
  <c r="W741" i="5"/>
  <c r="V741" i="5"/>
  <c r="W691" i="5"/>
  <c r="V691" i="5"/>
  <c r="W656" i="5"/>
  <c r="V656" i="5"/>
  <c r="W652" i="5"/>
  <c r="V652" i="5"/>
  <c r="T641" i="5"/>
  <c r="U641" i="5"/>
  <c r="U633" i="5"/>
  <c r="T633" i="5"/>
  <c r="U629" i="5"/>
  <c r="T629" i="5"/>
  <c r="X629" i="5" s="1"/>
  <c r="T623" i="5"/>
  <c r="U623" i="5"/>
  <c r="T497" i="5"/>
  <c r="U497" i="5"/>
  <c r="U425" i="5"/>
  <c r="T425" i="5"/>
  <c r="V273" i="5"/>
  <c r="W273" i="5"/>
  <c r="U257" i="5"/>
  <c r="T257" i="5"/>
  <c r="U253" i="5"/>
  <c r="T253" i="5"/>
  <c r="X253" i="5" s="1"/>
  <c r="W763" i="5"/>
  <c r="V763" i="5"/>
  <c r="W737" i="5"/>
  <c r="V737" i="5"/>
  <c r="W723" i="5"/>
  <c r="V723" i="5"/>
  <c r="U684" i="5"/>
  <c r="T684" i="5"/>
  <c r="T682" i="5"/>
  <c r="U682" i="5"/>
  <c r="V589" i="5"/>
  <c r="W589" i="5"/>
  <c r="U532" i="5"/>
  <c r="T532" i="5"/>
  <c r="V522" i="5"/>
  <c r="W522" i="5"/>
  <c r="V501" i="5"/>
  <c r="W501" i="5"/>
  <c r="V405" i="5"/>
  <c r="W405" i="5"/>
  <c r="V391" i="5"/>
  <c r="W391" i="5"/>
  <c r="V339" i="5"/>
  <c r="W339" i="5"/>
  <c r="V312" i="5"/>
  <c r="W312" i="5"/>
  <c r="T183" i="5"/>
  <c r="U183" i="5"/>
  <c r="V916" i="5"/>
  <c r="W916" i="5"/>
  <c r="V908" i="5"/>
  <c r="W908" i="5"/>
  <c r="V900" i="5"/>
  <c r="W900" i="5"/>
  <c r="V825" i="5"/>
  <c r="W825" i="5"/>
  <c r="U801" i="5"/>
  <c r="T801" i="5"/>
  <c r="U797" i="5"/>
  <c r="T797" i="5"/>
  <c r="T686" i="5"/>
  <c r="U686" i="5"/>
  <c r="W684" i="5"/>
  <c r="V684" i="5"/>
  <c r="V682" i="5"/>
  <c r="W682" i="5"/>
  <c r="W671" i="5"/>
  <c r="V671" i="5"/>
  <c r="V555" i="5"/>
  <c r="W555" i="5"/>
  <c r="V544" i="5"/>
  <c r="W544" i="5"/>
  <c r="V540" i="5"/>
  <c r="W540" i="5"/>
  <c r="T463" i="5"/>
  <c r="U463" i="5"/>
  <c r="V183" i="5"/>
  <c r="W183" i="5"/>
  <c r="V806" i="5"/>
  <c r="W806" i="5"/>
  <c r="W801" i="5"/>
  <c r="V801" i="5"/>
  <c r="W797" i="5"/>
  <c r="V797" i="5"/>
  <c r="V774" i="5"/>
  <c r="W774" i="5"/>
  <c r="U757" i="5"/>
  <c r="T757" i="5"/>
  <c r="V702" i="5"/>
  <c r="W702" i="5"/>
  <c r="T678" i="5"/>
  <c r="U678" i="5"/>
  <c r="V566" i="5"/>
  <c r="W566" i="5"/>
  <c r="W524" i="5"/>
  <c r="V524" i="5"/>
  <c r="V511" i="5"/>
  <c r="W511" i="5"/>
  <c r="U435" i="5"/>
  <c r="T435" i="5"/>
  <c r="W420" i="5"/>
  <c r="V420" i="5"/>
  <c r="V880" i="5"/>
  <c r="W880" i="5"/>
  <c r="V851" i="5"/>
  <c r="W851" i="5"/>
  <c r="W809" i="5"/>
  <c r="V809" i="5"/>
  <c r="W713" i="5"/>
  <c r="V713" i="5"/>
  <c r="V704" i="5"/>
  <c r="W704" i="5"/>
  <c r="V663" i="5"/>
  <c r="W663" i="5"/>
  <c r="V640" i="5"/>
  <c r="W640" i="5"/>
  <c r="V626" i="5"/>
  <c r="W626" i="5"/>
  <c r="T622" i="5"/>
  <c r="U622" i="5"/>
  <c r="V572" i="5"/>
  <c r="W572" i="5"/>
  <c r="U496" i="5"/>
  <c r="T496" i="5"/>
  <c r="T483" i="5"/>
  <c r="U483" i="5"/>
  <c r="V469" i="5"/>
  <c r="W469" i="5"/>
  <c r="T219" i="5"/>
  <c r="U219" i="5"/>
  <c r="T101" i="5"/>
  <c r="U101" i="5"/>
  <c r="V99" i="5"/>
  <c r="W99" i="5"/>
  <c r="U1466" i="5"/>
  <c r="U1455" i="5"/>
  <c r="U1451" i="5"/>
  <c r="U1447" i="5"/>
  <c r="U1443" i="5"/>
  <c r="U1439" i="5"/>
  <c r="U1435" i="5"/>
  <c r="U1431" i="5"/>
  <c r="U1423" i="5"/>
  <c r="U1419" i="5"/>
  <c r="U1415" i="5"/>
  <c r="U1411" i="5"/>
  <c r="U1407" i="5"/>
  <c r="U1399" i="5"/>
  <c r="U1395" i="5"/>
  <c r="U1391" i="5"/>
  <c r="U1387" i="5"/>
  <c r="U1383" i="5"/>
  <c r="U1379" i="5"/>
  <c r="U1375" i="5"/>
  <c r="U1369" i="5"/>
  <c r="U1365" i="5"/>
  <c r="U1361" i="5"/>
  <c r="U1353" i="5"/>
  <c r="U1349" i="5"/>
  <c r="U1345" i="5"/>
  <c r="U1326" i="5"/>
  <c r="U1322" i="5"/>
  <c r="U1318" i="5"/>
  <c r="U1314" i="5"/>
  <c r="U1310" i="5"/>
  <c r="U1306" i="5"/>
  <c r="U1302" i="5"/>
  <c r="U1298" i="5"/>
  <c r="U1294" i="5"/>
  <c r="U1282" i="5"/>
  <c r="U1278" i="5"/>
  <c r="U1274" i="5"/>
  <c r="U1270" i="5"/>
  <c r="U1266" i="5"/>
  <c r="U1258" i="5"/>
  <c r="U1254" i="5"/>
  <c r="U1250" i="5"/>
  <c r="U1243" i="5"/>
  <c r="U1240" i="5"/>
  <c r="U1236" i="5"/>
  <c r="U1224" i="5"/>
  <c r="U1220" i="5"/>
  <c r="U1216" i="5"/>
  <c r="U1212" i="5"/>
  <c r="U1208" i="5"/>
  <c r="U1195" i="5"/>
  <c r="T1178" i="5"/>
  <c r="X1178" i="5" s="1"/>
  <c r="U1168" i="5"/>
  <c r="U1141" i="5"/>
  <c r="U1131" i="5"/>
  <c r="U1106" i="5"/>
  <c r="U1075" i="5"/>
  <c r="U1062" i="5"/>
  <c r="U1039" i="5"/>
  <c r="U1023" i="5"/>
  <c r="U1007" i="5"/>
  <c r="U991" i="5"/>
  <c r="U975" i="5"/>
  <c r="U957" i="5"/>
  <c r="U938" i="5"/>
  <c r="U893" i="5"/>
  <c r="V862" i="5"/>
  <c r="W862" i="5"/>
  <c r="T849" i="5"/>
  <c r="W838" i="5"/>
  <c r="V838" i="5"/>
  <c r="W828" i="5"/>
  <c r="V828" i="5"/>
  <c r="U781" i="5"/>
  <c r="T781" i="5"/>
  <c r="V768" i="5"/>
  <c r="W768" i="5"/>
  <c r="V728" i="5"/>
  <c r="W728" i="5"/>
  <c r="V711" i="5"/>
  <c r="V659" i="5"/>
  <c r="W659" i="5"/>
  <c r="T519" i="5"/>
  <c r="U519" i="5"/>
  <c r="V490" i="5"/>
  <c r="W490" i="5"/>
  <c r="V483" i="5"/>
  <c r="W483" i="5"/>
  <c r="V280" i="5"/>
  <c r="W280" i="5"/>
  <c r="T1158" i="5"/>
  <c r="T1092" i="5"/>
  <c r="T896" i="5"/>
  <c r="V888" i="5"/>
  <c r="W888" i="5"/>
  <c r="T826" i="5"/>
  <c r="U826" i="5"/>
  <c r="T755" i="5"/>
  <c r="U755" i="5"/>
  <c r="U753" i="5"/>
  <c r="T753" i="5"/>
  <c r="T751" i="5"/>
  <c r="T692" i="5"/>
  <c r="V674" i="5"/>
  <c r="W674" i="5"/>
  <c r="W655" i="5"/>
  <c r="V655" i="5"/>
  <c r="T653" i="5"/>
  <c r="V628" i="5"/>
  <c r="W628" i="5"/>
  <c r="U610" i="5"/>
  <c r="V585" i="5"/>
  <c r="W585" i="5"/>
  <c r="V548" i="5"/>
  <c r="W548" i="5"/>
  <c r="W521" i="5"/>
  <c r="V521" i="5"/>
  <c r="W328" i="5"/>
  <c r="V328" i="5"/>
  <c r="T324" i="5"/>
  <c r="X324" i="5" s="1"/>
  <c r="U324" i="5"/>
  <c r="U260" i="5"/>
  <c r="T260" i="5"/>
  <c r="V248" i="5"/>
  <c r="W248" i="5"/>
  <c r="V873" i="5"/>
  <c r="W873" i="5"/>
  <c r="T841" i="5"/>
  <c r="U841" i="5"/>
  <c r="W777" i="5"/>
  <c r="V777" i="5"/>
  <c r="V766" i="5"/>
  <c r="W766" i="5"/>
  <c r="W539" i="5"/>
  <c r="V539" i="5"/>
  <c r="T450" i="5"/>
  <c r="U450" i="5"/>
  <c r="V441" i="5"/>
  <c r="W441" i="5"/>
  <c r="V437" i="5"/>
  <c r="W437" i="5"/>
  <c r="V386" i="5"/>
  <c r="W386" i="5"/>
  <c r="T761" i="5"/>
  <c r="T711" i="5"/>
  <c r="T640" i="5"/>
  <c r="V637" i="5"/>
  <c r="W637" i="5"/>
  <c r="V608" i="5"/>
  <c r="W608" i="5"/>
  <c r="U594" i="5"/>
  <c r="U578" i="5"/>
  <c r="T578" i="5"/>
  <c r="T555" i="5"/>
  <c r="U403" i="5"/>
  <c r="T403" i="5"/>
  <c r="X403" i="5" s="1"/>
  <c r="T292" i="5"/>
  <c r="U292" i="5"/>
  <c r="V214" i="5"/>
  <c r="W214" i="5"/>
  <c r="T179" i="5"/>
  <c r="X179" i="5" s="1"/>
  <c r="U179" i="5"/>
  <c r="U703" i="5"/>
  <c r="T703" i="5"/>
  <c r="T617" i="5"/>
  <c r="X617" i="5" s="1"/>
  <c r="U617" i="5"/>
  <c r="V578" i="5"/>
  <c r="W578" i="5"/>
  <c r="W485" i="5"/>
  <c r="V485" i="5"/>
  <c r="V477" i="5"/>
  <c r="W477" i="5"/>
  <c r="V414" i="5"/>
  <c r="W414" i="5"/>
  <c r="W385" i="5"/>
  <c r="V385" i="5"/>
  <c r="V316" i="5"/>
  <c r="W316" i="5"/>
  <c r="T296" i="5"/>
  <c r="U296" i="5"/>
  <c r="T294" i="5"/>
  <c r="U294" i="5"/>
  <c r="T141" i="5"/>
  <c r="X141" i="5" s="1"/>
  <c r="U141" i="5"/>
  <c r="T27" i="5"/>
  <c r="U27" i="5"/>
  <c r="U23" i="5"/>
  <c r="T23" i="5"/>
  <c r="W753" i="5"/>
  <c r="V753" i="5"/>
  <c r="V750" i="5"/>
  <c r="W750" i="5"/>
  <c r="T676" i="5"/>
  <c r="W634" i="5"/>
  <c r="T632" i="5"/>
  <c r="U632" i="5"/>
  <c r="U611" i="5"/>
  <c r="T595" i="5"/>
  <c r="U573" i="5"/>
  <c r="U571" i="5"/>
  <c r="T571" i="5"/>
  <c r="U514" i="5"/>
  <c r="U504" i="5"/>
  <c r="T504" i="5"/>
  <c r="W482" i="5"/>
  <c r="V482" i="5"/>
  <c r="U453" i="5"/>
  <c r="V451" i="5"/>
  <c r="W451" i="5"/>
  <c r="V436" i="5"/>
  <c r="W436" i="5"/>
  <c r="V276" i="5"/>
  <c r="W276" i="5"/>
  <c r="V264" i="5"/>
  <c r="W264" i="5"/>
  <c r="V260" i="5"/>
  <c r="W260" i="5"/>
  <c r="U171" i="5"/>
  <c r="T73" i="5"/>
  <c r="U73" i="5"/>
  <c r="V69" i="5"/>
  <c r="X69" i="5" s="1"/>
  <c r="W69" i="5"/>
  <c r="U26" i="5"/>
  <c r="V853" i="5"/>
  <c r="W853" i="5"/>
  <c r="U785" i="5"/>
  <c r="T785" i="5"/>
  <c r="U668" i="5"/>
  <c r="T668" i="5"/>
  <c r="T634" i="5"/>
  <c r="X634" i="5" s="1"/>
  <c r="U634" i="5"/>
  <c r="V563" i="5"/>
  <c r="W563" i="5"/>
  <c r="V504" i="5"/>
  <c r="W504" i="5"/>
  <c r="V421" i="5"/>
  <c r="W421" i="5"/>
  <c r="V160" i="5"/>
  <c r="W160" i="5"/>
  <c r="V115" i="5"/>
  <c r="W115" i="5"/>
  <c r="V73" i="5"/>
  <c r="W73" i="5"/>
  <c r="T65" i="5"/>
  <c r="U65" i="5"/>
  <c r="W785" i="5"/>
  <c r="V785" i="5"/>
  <c r="V782" i="5"/>
  <c r="W782" i="5"/>
  <c r="W668" i="5"/>
  <c r="V668" i="5"/>
  <c r="V665" i="5"/>
  <c r="W665" i="5"/>
  <c r="V611" i="5"/>
  <c r="W611" i="5"/>
  <c r="V453" i="5"/>
  <c r="W453" i="5"/>
  <c r="U442" i="5"/>
  <c r="T442" i="5"/>
  <c r="V427" i="5"/>
  <c r="W427" i="5"/>
  <c r="V351" i="5"/>
  <c r="W351" i="5"/>
  <c r="T77" i="5"/>
  <c r="U77" i="5"/>
  <c r="U30" i="5"/>
  <c r="T30" i="5"/>
  <c r="V834" i="5"/>
  <c r="W834" i="5"/>
  <c r="V602" i="5"/>
  <c r="W602" i="5"/>
  <c r="V593" i="5"/>
  <c r="W593" i="5"/>
  <c r="U529" i="5"/>
  <c r="T529" i="5"/>
  <c r="V474" i="5"/>
  <c r="W474" i="5"/>
  <c r="V442" i="5"/>
  <c r="W442" i="5"/>
  <c r="U652" i="5"/>
  <c r="T652" i="5"/>
  <c r="V618" i="5"/>
  <c r="W618" i="5"/>
  <c r="V579" i="5"/>
  <c r="W579" i="5"/>
  <c r="T417" i="5"/>
  <c r="U417" i="5"/>
  <c r="U396" i="5"/>
  <c r="T396" i="5"/>
  <c r="U321" i="5"/>
  <c r="T321" i="5"/>
  <c r="V289" i="5"/>
  <c r="W289" i="5"/>
  <c r="W630" i="5"/>
  <c r="V575" i="5"/>
  <c r="W575" i="5"/>
  <c r="V573" i="5"/>
  <c r="U498" i="5"/>
  <c r="T498" i="5"/>
  <c r="V479" i="5"/>
  <c r="W479" i="5"/>
  <c r="W368" i="5"/>
  <c r="V368" i="5"/>
  <c r="W362" i="5"/>
  <c r="V362" i="5"/>
  <c r="T360" i="5"/>
  <c r="X360" i="5" s="1"/>
  <c r="U360" i="5"/>
  <c r="V232" i="5"/>
  <c r="W232" i="5"/>
  <c r="U544" i="5"/>
  <c r="T544" i="5"/>
  <c r="W461" i="5"/>
  <c r="V461" i="5"/>
  <c r="U390" i="5"/>
  <c r="T390" i="5"/>
  <c r="X390" i="5" s="1"/>
  <c r="U386" i="5"/>
  <c r="T386" i="5"/>
  <c r="T335" i="5"/>
  <c r="U335" i="5"/>
  <c r="T180" i="5"/>
  <c r="U180" i="5"/>
  <c r="V124" i="5"/>
  <c r="W124" i="5"/>
  <c r="V65" i="5"/>
  <c r="W65" i="5"/>
  <c r="V636" i="5"/>
  <c r="W636" i="5"/>
  <c r="U576" i="5"/>
  <c r="V569" i="5"/>
  <c r="W569" i="5"/>
  <c r="T438" i="5"/>
  <c r="U438" i="5"/>
  <c r="U258" i="5"/>
  <c r="T258" i="5"/>
  <c r="X258" i="5" s="1"/>
  <c r="T84" i="5"/>
  <c r="U84" i="5"/>
  <c r="V47" i="5"/>
  <c r="W47" i="5"/>
  <c r="U513" i="5"/>
  <c r="T513" i="5"/>
  <c r="T466" i="5"/>
  <c r="U464" i="5"/>
  <c r="W448" i="5"/>
  <c r="V448" i="5"/>
  <c r="T446" i="5"/>
  <c r="U446" i="5"/>
  <c r="T429" i="5"/>
  <c r="T347" i="5"/>
  <c r="T317" i="5"/>
  <c r="U317" i="5"/>
  <c r="V277" i="5"/>
  <c r="W277" i="5"/>
  <c r="V167" i="5"/>
  <c r="W167" i="5"/>
  <c r="T152" i="5"/>
  <c r="U97" i="5"/>
  <c r="T97" i="5"/>
  <c r="T28" i="5"/>
  <c r="T603" i="5"/>
  <c r="U603" i="5"/>
  <c r="T547" i="5"/>
  <c r="U547" i="5"/>
  <c r="V513" i="5"/>
  <c r="W513" i="5"/>
  <c r="U471" i="5"/>
  <c r="T471" i="5"/>
  <c r="V416" i="5"/>
  <c r="W416" i="5"/>
  <c r="V369" i="5"/>
  <c r="W369" i="5"/>
  <c r="V342" i="5"/>
  <c r="W342" i="5"/>
  <c r="T39" i="5"/>
  <c r="U39" i="5"/>
  <c r="U35" i="5"/>
  <c r="T35" i="5"/>
  <c r="V603" i="5"/>
  <c r="W603" i="5"/>
  <c r="T581" i="5"/>
  <c r="U581" i="5"/>
  <c r="V557" i="5"/>
  <c r="W557" i="5"/>
  <c r="W547" i="5"/>
  <c r="V547" i="5"/>
  <c r="V229" i="5"/>
  <c r="W229" i="5"/>
  <c r="U200" i="5"/>
  <c r="T200" i="5"/>
  <c r="V35" i="5"/>
  <c r="W35" i="5"/>
  <c r="U563" i="5"/>
  <c r="T563" i="5"/>
  <c r="V455" i="5"/>
  <c r="W455" i="5"/>
  <c r="W353" i="5"/>
  <c r="V353" i="5"/>
  <c r="U351" i="5"/>
  <c r="T351" i="5"/>
  <c r="T272" i="5"/>
  <c r="U272" i="5"/>
  <c r="V538" i="5"/>
  <c r="W538" i="5"/>
  <c r="U406" i="5"/>
  <c r="T406" i="5"/>
  <c r="X406" i="5" s="1"/>
  <c r="W348" i="5"/>
  <c r="V348" i="5"/>
  <c r="T323" i="5"/>
  <c r="U323" i="5"/>
  <c r="V26" i="5"/>
  <c r="W26" i="5"/>
  <c r="T18" i="5"/>
  <c r="U18" i="5"/>
  <c r="V541" i="5"/>
  <c r="W541" i="5"/>
  <c r="U422" i="5"/>
  <c r="T422" i="5"/>
  <c r="V381" i="5"/>
  <c r="W381" i="5"/>
  <c r="V210" i="5"/>
  <c r="W210" i="5"/>
  <c r="V151" i="5"/>
  <c r="W151" i="5"/>
  <c r="U44" i="5"/>
  <c r="U436" i="5"/>
  <c r="T436" i="5"/>
  <c r="T423" i="5"/>
  <c r="X423" i="5" s="1"/>
  <c r="U407" i="5"/>
  <c r="T407" i="5"/>
  <c r="T402" i="5"/>
  <c r="T395" i="5"/>
  <c r="T311" i="5"/>
  <c r="U311" i="5"/>
  <c r="T307" i="5"/>
  <c r="V292" i="5"/>
  <c r="W292" i="5"/>
  <c r="U274" i="5"/>
  <c r="T274" i="5"/>
  <c r="T252" i="5"/>
  <c r="T113" i="5"/>
  <c r="X113" i="5" s="1"/>
  <c r="U20" i="5"/>
  <c r="T20" i="5"/>
  <c r="X20" i="5" s="1"/>
  <c r="T4" i="5"/>
  <c r="W378" i="5"/>
  <c r="V378" i="5"/>
  <c r="V361" i="5"/>
  <c r="W361" i="5"/>
  <c r="V311" i="5"/>
  <c r="W311" i="5"/>
  <c r="W156" i="5"/>
  <c r="V156" i="5"/>
  <c r="T186" i="5"/>
  <c r="U186" i="5"/>
  <c r="V120" i="5"/>
  <c r="W120" i="5"/>
  <c r="T61" i="5"/>
  <c r="U61" i="5"/>
  <c r="T556" i="5"/>
  <c r="T476" i="5"/>
  <c r="X476" i="5" s="1"/>
  <c r="U476" i="5"/>
  <c r="U444" i="5"/>
  <c r="T413" i="5"/>
  <c r="U413" i="5"/>
  <c r="T398" i="5"/>
  <c r="U364" i="5"/>
  <c r="V297" i="5"/>
  <c r="T250" i="5"/>
  <c r="X250" i="5" s="1"/>
  <c r="U245" i="5"/>
  <c r="V240" i="5"/>
  <c r="W240" i="5"/>
  <c r="V233" i="5"/>
  <c r="W233" i="5"/>
  <c r="U159" i="5"/>
  <c r="V147" i="5"/>
  <c r="W147" i="5"/>
  <c r="T96" i="5"/>
  <c r="U96" i="5"/>
  <c r="T83" i="5"/>
  <c r="V413" i="5"/>
  <c r="W413" i="5"/>
  <c r="V329" i="5"/>
  <c r="W329" i="5"/>
  <c r="U297" i="5"/>
  <c r="T297" i="5"/>
  <c r="V268" i="5"/>
  <c r="W268" i="5"/>
  <c r="U136" i="5"/>
  <c r="T136" i="5"/>
  <c r="T353" i="5"/>
  <c r="U353" i="5"/>
  <c r="U284" i="5"/>
  <c r="T284" i="5"/>
  <c r="V218" i="5"/>
  <c r="W218" i="5"/>
  <c r="U184" i="5"/>
  <c r="T184" i="5"/>
  <c r="W136" i="5"/>
  <c r="V136" i="5"/>
  <c r="V92" i="5"/>
  <c r="W92" i="5"/>
  <c r="V83" i="5"/>
  <c r="W83" i="5"/>
  <c r="T47" i="5"/>
  <c r="U47" i="5"/>
  <c r="U67" i="5"/>
  <c r="U53" i="5"/>
  <c r="T53" i="5"/>
  <c r="U145" i="5"/>
  <c r="T145" i="5"/>
  <c r="X145" i="5" s="1"/>
  <c r="U105" i="5"/>
  <c r="T105" i="5"/>
  <c r="X105" i="5" s="1"/>
  <c r="U382" i="5"/>
  <c r="T382" i="5"/>
  <c r="V337" i="5"/>
  <c r="W337" i="5"/>
  <c r="V335" i="5"/>
  <c r="W335" i="5"/>
  <c r="V319" i="5"/>
  <c r="W319" i="5"/>
  <c r="W253" i="5"/>
  <c r="V224" i="5"/>
  <c r="W224" i="5"/>
  <c r="V220" i="5"/>
  <c r="W220" i="5"/>
  <c r="W211" i="5"/>
  <c r="V211" i="5"/>
  <c r="T167" i="5"/>
  <c r="U167" i="5"/>
  <c r="V70" i="5"/>
  <c r="W70" i="5"/>
  <c r="W23" i="5"/>
  <c r="V23" i="5"/>
  <c r="T144" i="5"/>
  <c r="U144" i="5"/>
  <c r="T123" i="5"/>
  <c r="U123" i="5"/>
  <c r="V61" i="5"/>
  <c r="W61" i="5"/>
  <c r="T7" i="5"/>
  <c r="U7" i="5"/>
  <c r="V6" i="5"/>
  <c r="W6" i="5"/>
  <c r="V315" i="5"/>
  <c r="W315" i="5"/>
  <c r="V228" i="5"/>
  <c r="W228" i="5"/>
  <c r="T188" i="5"/>
  <c r="X188" i="5" s="1"/>
  <c r="U188" i="5"/>
  <c r="V186" i="5"/>
  <c r="W186" i="5"/>
  <c r="V143" i="5"/>
  <c r="W143" i="5"/>
  <c r="V95" i="5"/>
  <c r="W95" i="5"/>
  <c r="U366" i="5"/>
  <c r="T366" i="5"/>
  <c r="T345" i="5"/>
  <c r="X345" i="5" s="1"/>
  <c r="U345" i="5"/>
  <c r="V296" i="5"/>
  <c r="W296" i="5"/>
  <c r="V221" i="5"/>
  <c r="W221" i="5"/>
  <c r="W172" i="5"/>
  <c r="V172" i="5"/>
  <c r="T124" i="5"/>
  <c r="U124" i="5"/>
  <c r="V34" i="5"/>
  <c r="W34" i="5"/>
  <c r="V131" i="5"/>
  <c r="W131" i="5"/>
  <c r="V103" i="5"/>
  <c r="W103" i="5"/>
  <c r="V244" i="5"/>
  <c r="W244" i="5"/>
  <c r="T220" i="5"/>
  <c r="U220" i="5"/>
  <c r="T215" i="5"/>
  <c r="U215" i="5"/>
  <c r="V198" i="5"/>
  <c r="W198" i="5"/>
  <c r="V175" i="5"/>
  <c r="W175" i="5"/>
  <c r="V46" i="5"/>
  <c r="W46" i="5"/>
  <c r="V171" i="5"/>
  <c r="W171" i="5"/>
  <c r="U115" i="5"/>
  <c r="T115" i="5"/>
  <c r="V135" i="5"/>
  <c r="W135" i="5"/>
  <c r="V127" i="5"/>
  <c r="W127" i="5"/>
  <c r="V14" i="5"/>
  <c r="W14" i="5"/>
  <c r="V307" i="5"/>
  <c r="W307" i="5"/>
  <c r="V284" i="5"/>
  <c r="W284" i="5"/>
  <c r="T173" i="5"/>
  <c r="U173" i="5"/>
  <c r="V148" i="5"/>
  <c r="W148" i="5"/>
  <c r="V119" i="5"/>
  <c r="W119" i="5"/>
  <c r="V111" i="5"/>
  <c r="W111" i="5"/>
  <c r="V323" i="5"/>
  <c r="W323" i="5"/>
  <c r="V288" i="5"/>
  <c r="W288" i="5"/>
  <c r="T212" i="5"/>
  <c r="X212" i="5" s="1"/>
  <c r="U212" i="5"/>
  <c r="V205" i="5"/>
  <c r="W205" i="5"/>
  <c r="V194" i="5"/>
  <c r="W194" i="5"/>
  <c r="V53" i="5"/>
  <c r="W53" i="5"/>
  <c r="V159" i="5"/>
  <c r="W159" i="5"/>
  <c r="V87" i="5"/>
  <c r="W87" i="5"/>
  <c r="V42" i="5"/>
  <c r="W42" i="5"/>
  <c r="V30" i="5"/>
  <c r="W30" i="5"/>
  <c r="V18" i="5"/>
  <c r="W18" i="5"/>
  <c r="V163" i="5"/>
  <c r="W163" i="5"/>
  <c r="T129" i="5"/>
  <c r="V107" i="5"/>
  <c r="W107" i="5"/>
  <c r="U95" i="5"/>
  <c r="V256" i="5"/>
  <c r="W256" i="5"/>
  <c r="V236" i="5"/>
  <c r="W236" i="5"/>
  <c r="V182" i="5"/>
  <c r="W182" i="5"/>
  <c r="V79" i="5"/>
  <c r="W79" i="5"/>
  <c r="V10" i="5"/>
  <c r="W10" i="5"/>
  <c r="V38" i="5"/>
  <c r="W38" i="5"/>
  <c r="V327" i="5"/>
  <c r="W327" i="5"/>
  <c r="V300" i="5"/>
  <c r="W300" i="5"/>
  <c r="V252" i="5"/>
  <c r="W252" i="5"/>
  <c r="V190" i="5"/>
  <c r="W190" i="5"/>
  <c r="V155" i="5"/>
  <c r="W155" i="5"/>
  <c r="V123" i="5"/>
  <c r="W123" i="5"/>
  <c r="V91" i="5"/>
  <c r="W91" i="5"/>
  <c r="V57" i="5"/>
  <c r="W57" i="5"/>
  <c r="V22" i="5"/>
  <c r="W22" i="5"/>
  <c r="AL3" i="2" a="1"/>
  <c r="AL3" i="2" s="1"/>
  <c r="X1193" i="5" l="1"/>
  <c r="P1724" i="5"/>
  <c r="P1725" i="5"/>
  <c r="P1726" i="5"/>
  <c r="X522" i="5"/>
  <c r="X283" i="5"/>
  <c r="X474" i="5"/>
  <c r="X2159" i="5"/>
  <c r="X58" i="5"/>
  <c r="X378" i="5"/>
  <c r="P3257" i="5"/>
  <c r="X5" i="5"/>
  <c r="X572" i="5"/>
  <c r="X2596" i="5"/>
  <c r="X654" i="5"/>
  <c r="P1743" i="5"/>
  <c r="P1741" i="5"/>
  <c r="X2580" i="5"/>
  <c r="X2297" i="5"/>
  <c r="X2564" i="5"/>
  <c r="X298" i="5"/>
  <c r="X440" i="5"/>
  <c r="X727" i="5"/>
  <c r="X1005" i="5"/>
  <c r="X2966" i="5"/>
  <c r="Y651" i="5"/>
  <c r="X1806" i="5"/>
  <c r="Y3226" i="5"/>
  <c r="X155" i="5"/>
  <c r="X45" i="5"/>
  <c r="P3287" i="5"/>
  <c r="P322" i="5"/>
  <c r="P984" i="5"/>
  <c r="X747" i="5"/>
  <c r="X456" i="5"/>
  <c r="X381" i="5"/>
  <c r="X3256" i="5"/>
  <c r="X565" i="5"/>
  <c r="X282" i="5"/>
  <c r="X648" i="5"/>
  <c r="X3241" i="5"/>
  <c r="X2075" i="5"/>
  <c r="X1635" i="5"/>
  <c r="X14" i="5"/>
  <c r="X550" i="5"/>
  <c r="X803" i="5"/>
  <c r="X2202" i="5"/>
  <c r="X357" i="5"/>
  <c r="X1972" i="5"/>
  <c r="Y3090" i="5"/>
  <c r="X3280" i="5"/>
  <c r="X830" i="5"/>
  <c r="X1108" i="5"/>
  <c r="X726" i="5"/>
  <c r="X139" i="5"/>
  <c r="X781" i="5"/>
  <c r="P424" i="5"/>
  <c r="X1290" i="5"/>
  <c r="X2814" i="5"/>
  <c r="X1196" i="5"/>
  <c r="X1015" i="5"/>
  <c r="Y492" i="5"/>
  <c r="X2044" i="5"/>
  <c r="X2130" i="5"/>
  <c r="X1221" i="5"/>
  <c r="X187" i="5"/>
  <c r="P1464" i="5"/>
  <c r="X1522" i="5"/>
  <c r="X195" i="5"/>
  <c r="Y197" i="5"/>
  <c r="X1063" i="5"/>
  <c r="X1218" i="5"/>
  <c r="X225" i="5"/>
  <c r="X2651" i="5"/>
  <c r="P319" i="5"/>
  <c r="Y1390" i="5"/>
  <c r="X984" i="5"/>
  <c r="X748" i="5"/>
  <c r="X2831" i="5"/>
  <c r="X981" i="5"/>
  <c r="X2519" i="5"/>
  <c r="P3225" i="5"/>
  <c r="X658" i="5"/>
  <c r="X2336" i="5"/>
  <c r="X2088" i="5"/>
  <c r="X2721" i="5"/>
  <c r="X1707" i="5"/>
  <c r="P887" i="5"/>
  <c r="X1589" i="5"/>
  <c r="X1103" i="5"/>
  <c r="X100" i="5"/>
  <c r="Y664" i="5"/>
  <c r="X512" i="5"/>
  <c r="X1505" i="5"/>
  <c r="X1413" i="5"/>
  <c r="X1272" i="5"/>
  <c r="X2627" i="5"/>
  <c r="X2561" i="5"/>
  <c r="X2674" i="5"/>
  <c r="P958" i="5"/>
  <c r="X875" i="5"/>
  <c r="Y2512" i="5"/>
  <c r="X2813" i="5"/>
  <c r="X2435" i="5"/>
  <c r="Y3305" i="5"/>
  <c r="X1778" i="5"/>
  <c r="Y3117" i="5"/>
  <c r="P1245" i="5"/>
  <c r="X2160" i="5"/>
  <c r="X1089" i="5"/>
  <c r="X526" i="5"/>
  <c r="X361" i="5"/>
  <c r="X1895" i="5"/>
  <c r="X2465" i="5"/>
  <c r="X2277" i="5"/>
  <c r="X3166" i="5"/>
  <c r="Y1773" i="5"/>
  <c r="X1805" i="5"/>
  <c r="X2222" i="5"/>
  <c r="X486" i="5"/>
  <c r="X530" i="5"/>
  <c r="Y3300" i="5"/>
  <c r="X2059" i="5"/>
  <c r="X2828" i="5"/>
  <c r="X1176" i="5"/>
  <c r="Y1860" i="5"/>
  <c r="P1079" i="5"/>
  <c r="X2676" i="5"/>
  <c r="X536" i="5"/>
  <c r="X1253" i="5"/>
  <c r="X1765" i="5"/>
  <c r="X695" i="5"/>
  <c r="X2152" i="5"/>
  <c r="X2043" i="5"/>
  <c r="X1087" i="5"/>
  <c r="X2150" i="5"/>
  <c r="Y1724" i="5"/>
  <c r="X2538" i="5"/>
  <c r="Y2166" i="5"/>
  <c r="X1982" i="5"/>
  <c r="X3152" i="5"/>
  <c r="X2514" i="5"/>
  <c r="X2142" i="5"/>
  <c r="X1040" i="5"/>
  <c r="X2961" i="5"/>
  <c r="X2556" i="5"/>
  <c r="P701" i="5"/>
  <c r="X481" i="5"/>
  <c r="X3032" i="5"/>
  <c r="X1364" i="5"/>
  <c r="X2191" i="5"/>
  <c r="X1078" i="5"/>
  <c r="Y1858" i="5"/>
  <c r="X175" i="5"/>
  <c r="X1146" i="5"/>
  <c r="X2490" i="5"/>
  <c r="X234" i="5"/>
  <c r="X2214" i="5"/>
  <c r="X2621" i="5"/>
  <c r="X3243" i="5"/>
  <c r="X1249" i="5"/>
  <c r="Y922" i="5"/>
  <c r="X1881" i="5"/>
  <c r="X2708" i="5"/>
  <c r="Y3273" i="5"/>
  <c r="P1650" i="5"/>
  <c r="X1137" i="5"/>
  <c r="X1172" i="5"/>
  <c r="X2395" i="5"/>
  <c r="X1955" i="5"/>
  <c r="P2673" i="5"/>
  <c r="X338" i="5"/>
  <c r="X1242" i="5"/>
  <c r="Y457" i="5"/>
  <c r="Y775" i="5"/>
  <c r="X610" i="5"/>
  <c r="X782" i="5"/>
  <c r="X992" i="5"/>
  <c r="X1816" i="5"/>
  <c r="Y582" i="5"/>
  <c r="X1743" i="5"/>
  <c r="X1917" i="5"/>
  <c r="Y1305" i="5"/>
  <c r="Y493" i="5"/>
  <c r="X1510" i="5"/>
  <c r="X2426" i="5"/>
  <c r="X2692" i="5"/>
  <c r="X1198" i="5"/>
  <c r="Y2137" i="5"/>
  <c r="Y2110" i="5"/>
  <c r="X929" i="5"/>
  <c r="X2177" i="5"/>
  <c r="X2012" i="5"/>
  <c r="X452" i="5"/>
  <c r="X1247" i="5"/>
  <c r="X1493" i="5"/>
  <c r="Y1983" i="5"/>
  <c r="X1474" i="5"/>
  <c r="X1370" i="5"/>
  <c r="X1908" i="5"/>
  <c r="X1964" i="5"/>
  <c r="X90" i="5"/>
  <c r="X821" i="5"/>
  <c r="X2472" i="5"/>
  <c r="X2935" i="5"/>
  <c r="Y2490" i="5"/>
  <c r="Y3189" i="5"/>
  <c r="P1225" i="5"/>
  <c r="Y1864" i="5"/>
  <c r="Y1666" i="5"/>
  <c r="P227" i="5"/>
  <c r="Y2598" i="5"/>
  <c r="X2590" i="5"/>
  <c r="Y1871" i="5"/>
  <c r="X3117" i="5"/>
  <c r="P517" i="5"/>
  <c r="X1173" i="5"/>
  <c r="X2527" i="5"/>
  <c r="X2980" i="5"/>
  <c r="X2236" i="5"/>
  <c r="X2081" i="5"/>
  <c r="P1860" i="5"/>
  <c r="X1305" i="5"/>
  <c r="X2765" i="5"/>
  <c r="P886" i="5"/>
  <c r="X2248" i="5"/>
  <c r="X2578" i="5"/>
  <c r="Y764" i="5"/>
  <c r="Y1189" i="5"/>
  <c r="X2964" i="5"/>
  <c r="X2678" i="5"/>
  <c r="X1319" i="5"/>
  <c r="P3113" i="5"/>
  <c r="X159" i="5"/>
  <c r="X764" i="5"/>
  <c r="X2575" i="5"/>
  <c r="X1182" i="5"/>
  <c r="X1135" i="5"/>
  <c r="X1338" i="5"/>
  <c r="Y1085" i="5"/>
  <c r="P2094" i="5"/>
  <c r="P2479" i="5"/>
  <c r="P9" i="5"/>
  <c r="Y1422" i="5"/>
  <c r="Y616" i="5"/>
  <c r="P526" i="5"/>
  <c r="X1672" i="5"/>
  <c r="Y1984" i="5"/>
  <c r="X616" i="5"/>
  <c r="X1055" i="5"/>
  <c r="P339" i="5"/>
  <c r="X1256" i="5"/>
  <c r="X936" i="5"/>
  <c r="X1666" i="5"/>
  <c r="Y1594" i="5"/>
  <c r="Y1140" i="5"/>
  <c r="X192" i="5"/>
  <c r="X2449" i="5"/>
  <c r="P850" i="5"/>
  <c r="Y2043" i="5"/>
  <c r="X2255" i="5"/>
  <c r="X2535" i="5"/>
  <c r="X2496" i="5"/>
  <c r="X2607" i="5"/>
  <c r="Y3181" i="5"/>
  <c r="Y3242" i="5"/>
  <c r="P978" i="5"/>
  <c r="X242" i="5"/>
  <c r="X1759" i="5"/>
  <c r="X1213" i="5"/>
  <c r="P808" i="5"/>
  <c r="Y1938" i="5"/>
  <c r="P882" i="5"/>
  <c r="X164" i="5"/>
  <c r="P1273" i="5"/>
  <c r="Y1729" i="5"/>
  <c r="Y1554" i="5"/>
  <c r="P2530" i="5"/>
  <c r="P2138" i="5"/>
  <c r="P2253" i="5"/>
  <c r="P2734" i="5"/>
  <c r="Y2829" i="5"/>
  <c r="X3199" i="5"/>
  <c r="Y2769" i="5"/>
  <c r="X2914" i="5"/>
  <c r="P3254" i="5"/>
  <c r="X112" i="5"/>
  <c r="X983" i="5"/>
  <c r="X2827" i="5"/>
  <c r="Y2093" i="5"/>
  <c r="P651" i="5"/>
  <c r="P1893" i="5"/>
  <c r="X2257" i="5"/>
  <c r="X3300" i="5"/>
  <c r="X507" i="5"/>
  <c r="X2071" i="5"/>
  <c r="X679" i="5"/>
  <c r="Y2570" i="5"/>
  <c r="X414" i="5"/>
  <c r="X2033" i="5"/>
  <c r="X2729" i="5"/>
  <c r="Y2439" i="5"/>
  <c r="X3031" i="5"/>
  <c r="X1169" i="5"/>
  <c r="X1157" i="5"/>
  <c r="X383" i="5"/>
  <c r="P1874" i="5"/>
  <c r="P218" i="5"/>
  <c r="Y2300" i="5"/>
  <c r="X1101" i="5"/>
  <c r="Y591" i="5"/>
  <c r="P1341" i="5"/>
  <c r="X2020" i="5"/>
  <c r="P3123" i="5"/>
  <c r="P2814" i="5"/>
  <c r="Y1255" i="5"/>
  <c r="X325" i="5"/>
  <c r="X2360" i="5"/>
  <c r="Y2050" i="5"/>
  <c r="X1471" i="5"/>
  <c r="X1171" i="5"/>
  <c r="P1933" i="5"/>
  <c r="X2468" i="5"/>
  <c r="X3075" i="5"/>
  <c r="X3067" i="5"/>
  <c r="X1912" i="5"/>
  <c r="P809" i="5"/>
  <c r="X1307" i="5"/>
  <c r="X1923" i="5"/>
  <c r="X1967" i="5"/>
  <c r="X2308" i="5"/>
  <c r="P2716" i="5"/>
  <c r="X2940" i="5"/>
  <c r="Y3104" i="5"/>
  <c r="P3298" i="5"/>
  <c r="X1636" i="5"/>
  <c r="X2625" i="5"/>
  <c r="P1913" i="5"/>
  <c r="X384" i="5"/>
  <c r="X2826" i="5"/>
  <c r="Y1479" i="5"/>
  <c r="X1464" i="5"/>
  <c r="P2432" i="5"/>
  <c r="Y3064" i="5"/>
  <c r="X1288" i="5"/>
  <c r="P1832" i="5"/>
  <c r="Y346" i="5"/>
  <c r="P1934" i="5"/>
  <c r="P477" i="5"/>
  <c r="X973" i="5"/>
  <c r="X942" i="5"/>
  <c r="X1388" i="5"/>
  <c r="X1304" i="5"/>
  <c r="P3021" i="5"/>
  <c r="X2330" i="5"/>
  <c r="Y983" i="5"/>
  <c r="X1424" i="5"/>
  <c r="X448" i="5"/>
  <c r="P568" i="5"/>
  <c r="X198" i="5"/>
  <c r="X807" i="5"/>
  <c r="X1751" i="5"/>
  <c r="X674" i="5"/>
  <c r="X828" i="5"/>
  <c r="X232" i="5"/>
  <c r="X838" i="5"/>
  <c r="X704" i="5"/>
  <c r="P916" i="5"/>
  <c r="P1338" i="5"/>
  <c r="P1253" i="5"/>
  <c r="X1197" i="5"/>
  <c r="X2366" i="5"/>
  <c r="P2465" i="5"/>
  <c r="P832" i="5"/>
  <c r="Y709" i="5"/>
  <c r="X1497" i="5"/>
  <c r="X3298" i="5"/>
  <c r="X1975" i="5"/>
  <c r="X3136" i="5"/>
  <c r="X1389" i="5"/>
  <c r="Y110" i="5"/>
  <c r="X1184" i="5"/>
  <c r="X218" i="5"/>
  <c r="X2181" i="5"/>
  <c r="X1956" i="5"/>
  <c r="X2317" i="5"/>
  <c r="P3073" i="5"/>
  <c r="X823" i="5"/>
  <c r="P1428" i="5"/>
  <c r="Y592" i="5"/>
  <c r="X499" i="5"/>
  <c r="Y1893" i="5"/>
  <c r="X885" i="5"/>
  <c r="X2618" i="5"/>
  <c r="Y227" i="5"/>
  <c r="X806" i="5"/>
  <c r="P582" i="5"/>
  <c r="P2888" i="5"/>
  <c r="X3040" i="5"/>
  <c r="Y2461" i="5"/>
  <c r="X2034" i="5"/>
  <c r="X1521" i="5"/>
  <c r="Y2294" i="5"/>
  <c r="Y2870" i="5"/>
  <c r="P2325" i="5"/>
  <c r="X2213" i="5"/>
  <c r="P2065" i="5"/>
  <c r="Y1510" i="5"/>
  <c r="P1945" i="5"/>
  <c r="Y333" i="5"/>
  <c r="P973" i="5"/>
  <c r="X2005" i="5"/>
  <c r="X3022" i="5"/>
  <c r="X2689" i="5"/>
  <c r="X1931" i="5"/>
  <c r="P1871" i="5"/>
  <c r="X2484" i="5"/>
  <c r="X1451" i="5"/>
  <c r="P164" i="5"/>
  <c r="Y66" i="5"/>
  <c r="X1417" i="5"/>
  <c r="P1050" i="5"/>
  <c r="X2092" i="5"/>
  <c r="X1894" i="5"/>
  <c r="X2841" i="5"/>
  <c r="P2419" i="5"/>
  <c r="P3012" i="5"/>
  <c r="X3053" i="5"/>
  <c r="X1446" i="5"/>
  <c r="P2565" i="5"/>
  <c r="X3113" i="5"/>
  <c r="X919" i="5"/>
  <c r="X2078" i="5"/>
  <c r="Y2172" i="5"/>
  <c r="P243" i="5"/>
  <c r="Y2206" i="5"/>
  <c r="X1372" i="5"/>
  <c r="X2242" i="5"/>
  <c r="Y275" i="5"/>
  <c r="X2318" i="5"/>
  <c r="Y2455" i="5"/>
  <c r="Y2830" i="5"/>
  <c r="X3011" i="5"/>
  <c r="P2417" i="5"/>
  <c r="X2070" i="5"/>
  <c r="Y3049" i="5"/>
  <c r="Y381" i="5"/>
  <c r="Y2626" i="5"/>
  <c r="P3199" i="5"/>
  <c r="X3088" i="5"/>
  <c r="Y2242" i="5"/>
  <c r="X1863" i="5"/>
  <c r="X210" i="5"/>
  <c r="X42" i="5"/>
  <c r="Y2276" i="5"/>
  <c r="X2796" i="5"/>
  <c r="X1991" i="5"/>
  <c r="Y659" i="5"/>
  <c r="X1566" i="5"/>
  <c r="X2408" i="5"/>
  <c r="X1257" i="5"/>
  <c r="X482" i="5"/>
  <c r="X1663" i="5"/>
  <c r="X2411" i="5"/>
  <c r="X709" i="5"/>
  <c r="X931" i="5"/>
  <c r="X2790" i="5"/>
  <c r="X2156" i="5"/>
  <c r="X2235" i="5"/>
  <c r="Y2850" i="5"/>
  <c r="X839" i="5"/>
  <c r="P3299" i="5"/>
  <c r="P1582" i="5"/>
  <c r="X314" i="5"/>
  <c r="X1472" i="5"/>
  <c r="P2079" i="5"/>
  <c r="X2996" i="5"/>
  <c r="X1083" i="5"/>
  <c r="X2745" i="5"/>
  <c r="Y2717" i="5"/>
  <c r="X720" i="5"/>
  <c r="P1802" i="5"/>
  <c r="X2135" i="5"/>
  <c r="X1978" i="5"/>
  <c r="X2134" i="5"/>
  <c r="X2710" i="5"/>
  <c r="X1966" i="5"/>
  <c r="X2386" i="5"/>
  <c r="Y643" i="5"/>
  <c r="X1697" i="5"/>
  <c r="P2702" i="5"/>
  <c r="P1275" i="5"/>
  <c r="Y1417" i="5"/>
  <c r="X2161" i="5"/>
  <c r="X2456" i="5"/>
  <c r="X274" i="5"/>
  <c r="Y1634" i="5"/>
  <c r="X1951" i="5"/>
  <c r="X2781" i="5"/>
  <c r="X2768" i="5"/>
  <c r="X921" i="5"/>
  <c r="X475" i="5"/>
  <c r="Y2683" i="5"/>
  <c r="X185" i="5"/>
  <c r="Y894" i="5"/>
  <c r="X899" i="5"/>
  <c r="P898" i="5"/>
  <c r="X60" i="5"/>
  <c r="Y1215" i="5"/>
  <c r="X1481" i="5"/>
  <c r="X905" i="5"/>
  <c r="X2055" i="5"/>
  <c r="P2602" i="5"/>
  <c r="X619" i="5"/>
  <c r="P949" i="5"/>
  <c r="X1160" i="5"/>
  <c r="P585" i="5"/>
  <c r="X1331" i="5"/>
  <c r="X556" i="5"/>
  <c r="X998" i="5"/>
  <c r="X1379" i="5"/>
  <c r="P2199" i="5"/>
  <c r="P2427" i="5"/>
  <c r="Y3227" i="5"/>
  <c r="Y2494" i="5"/>
  <c r="P1077" i="5"/>
  <c r="X2874" i="5"/>
  <c r="Y2908" i="5"/>
  <c r="Y2334" i="5"/>
  <c r="X2877" i="5"/>
  <c r="Y1164" i="5"/>
  <c r="X2445" i="5"/>
  <c r="X217" i="5"/>
  <c r="Y662" i="5"/>
  <c r="X2658" i="5"/>
  <c r="X3265" i="5"/>
  <c r="X2108" i="5"/>
  <c r="Y728" i="5"/>
  <c r="Y1103" i="5"/>
  <c r="X2060" i="5"/>
  <c r="Y3014" i="5"/>
  <c r="Y3264" i="5"/>
  <c r="X295" i="5"/>
  <c r="P2828" i="5"/>
  <c r="X3012" i="5"/>
  <c r="Y744" i="5"/>
  <c r="Y424" i="5"/>
  <c r="Y2781" i="5"/>
  <c r="X1291" i="5"/>
  <c r="X1985" i="5"/>
  <c r="X890" i="5"/>
  <c r="X1333" i="5"/>
  <c r="Y2081" i="5"/>
  <c r="Y2623" i="5"/>
  <c r="X1268" i="5"/>
  <c r="X557" i="5"/>
  <c r="X471" i="5"/>
  <c r="X427" i="5"/>
  <c r="X774" i="5"/>
  <c r="P1172" i="5"/>
  <c r="Y784" i="5"/>
  <c r="Y1873" i="5"/>
  <c r="X2296" i="5"/>
  <c r="X2752" i="5"/>
  <c r="X3124" i="5"/>
  <c r="X3096" i="5"/>
  <c r="X1855" i="5"/>
  <c r="X2860" i="5"/>
  <c r="X2188" i="5"/>
  <c r="X2895" i="5"/>
  <c r="P709" i="5"/>
  <c r="Y164" i="5"/>
  <c r="X2403" i="5"/>
  <c r="P2532" i="5"/>
  <c r="P1630" i="5"/>
  <c r="X598" i="5"/>
  <c r="X989" i="5"/>
  <c r="X1634" i="5"/>
  <c r="Y2025" i="5"/>
  <c r="X1452" i="5"/>
  <c r="Y2540" i="5"/>
  <c r="X2555" i="5"/>
  <c r="Y2523" i="5"/>
  <c r="X13" i="5"/>
  <c r="X2381" i="5"/>
  <c r="X2792" i="5"/>
  <c r="P894" i="5"/>
  <c r="Y3097" i="5"/>
  <c r="Y139" i="5"/>
  <c r="Y2241" i="5"/>
  <c r="X1366" i="5"/>
  <c r="P389" i="5"/>
  <c r="X987" i="5"/>
  <c r="X1046" i="5"/>
  <c r="P2618" i="5"/>
  <c r="X2416" i="5"/>
  <c r="P3070" i="5"/>
  <c r="Y481" i="5"/>
  <c r="X508" i="5"/>
  <c r="X564" i="5"/>
  <c r="Y1385" i="5"/>
  <c r="X168" i="5"/>
  <c r="Y790" i="5"/>
  <c r="X1429" i="5"/>
  <c r="X1204" i="5"/>
  <c r="Y2397" i="5"/>
  <c r="X2064" i="5"/>
  <c r="Y226" i="5"/>
  <c r="P399" i="5"/>
  <c r="Y322" i="5"/>
  <c r="X511" i="5"/>
  <c r="X2010" i="5"/>
  <c r="X2165" i="5"/>
  <c r="P2803" i="5"/>
  <c r="X1368" i="5"/>
  <c r="X2641" i="5"/>
  <c r="X393" i="5"/>
  <c r="X154" i="5"/>
  <c r="X2105" i="5"/>
  <c r="X2497" i="5"/>
  <c r="X2374" i="5"/>
  <c r="X502" i="5"/>
  <c r="P3088" i="5"/>
  <c r="X2754" i="5"/>
  <c r="X1402" i="5"/>
  <c r="X824" i="5"/>
  <c r="X2389" i="5"/>
  <c r="X2896" i="5"/>
  <c r="X91" i="5"/>
  <c r="P824" i="5"/>
  <c r="P151" i="5"/>
  <c r="P455" i="5"/>
  <c r="Y28" i="5"/>
  <c r="X1094" i="5"/>
  <c r="X493" i="5"/>
  <c r="X2240" i="5"/>
  <c r="Y3061" i="5"/>
  <c r="P2879" i="5"/>
  <c r="X2175" i="5"/>
  <c r="X3183" i="5"/>
  <c r="X895" i="5"/>
  <c r="X181" i="5"/>
  <c r="P3119" i="5"/>
  <c r="X1006" i="5"/>
  <c r="X1622" i="5"/>
  <c r="P2411" i="5"/>
  <c r="X2664" i="5"/>
  <c r="X3097" i="5"/>
  <c r="Y2583" i="5"/>
  <c r="P1340" i="5"/>
  <c r="Y2338" i="5"/>
  <c r="P1858" i="5"/>
  <c r="P2927" i="5"/>
  <c r="Y721" i="5"/>
  <c r="Y2541" i="5"/>
  <c r="Y3025" i="5"/>
  <c r="X2867" i="5"/>
  <c r="X2017" i="5"/>
  <c r="Y2325" i="5"/>
  <c r="X2375" i="5"/>
  <c r="P263" i="5"/>
  <c r="X135" i="5"/>
  <c r="X1719" i="5"/>
  <c r="X2747" i="5"/>
  <c r="X138" i="5"/>
  <c r="Y2386" i="5"/>
  <c r="X2443" i="5"/>
  <c r="X111" i="5"/>
  <c r="P653" i="5"/>
  <c r="X1263" i="5"/>
  <c r="X1829" i="5"/>
  <c r="P2093" i="5"/>
  <c r="X2197" i="5"/>
  <c r="X2470" i="5"/>
  <c r="P2870" i="5"/>
  <c r="Y1234" i="5"/>
  <c r="X903" i="5"/>
  <c r="X1626" i="5"/>
  <c r="X3138" i="5"/>
  <c r="X254" i="5"/>
  <c r="Y2083" i="5"/>
  <c r="X2522" i="5"/>
  <c r="X2604" i="5"/>
  <c r="Y1096" i="5"/>
  <c r="X1657" i="5"/>
  <c r="X479" i="5"/>
  <c r="P1130" i="5"/>
  <c r="X1903" i="5"/>
  <c r="P1894" i="5"/>
  <c r="X506" i="5"/>
  <c r="Y1855" i="5"/>
  <c r="X428" i="5"/>
  <c r="X2166" i="5"/>
  <c r="X1699" i="5"/>
  <c r="P872" i="5"/>
  <c r="P1430" i="5"/>
  <c r="P1364" i="5"/>
  <c r="X3034" i="5"/>
  <c r="X1647" i="5"/>
  <c r="X568" i="5"/>
  <c r="X79" i="5"/>
  <c r="P221" i="5"/>
  <c r="X2073" i="5"/>
  <c r="X1038" i="5"/>
  <c r="X1056" i="5"/>
  <c r="X1070" i="5"/>
  <c r="Y111" i="5"/>
  <c r="P148" i="5"/>
  <c r="P510" i="5"/>
  <c r="X1096" i="5"/>
  <c r="Y949" i="5"/>
  <c r="X2900" i="5"/>
  <c r="X3111" i="5"/>
  <c r="P796" i="5"/>
  <c r="X2504" i="5"/>
  <c r="X3158" i="5"/>
  <c r="Y1741" i="5"/>
  <c r="X3282" i="5"/>
  <c r="X165" i="5"/>
  <c r="X1311" i="5"/>
  <c r="P1215" i="5"/>
  <c r="Y2049" i="5"/>
  <c r="Y2209" i="5"/>
  <c r="Y2176" i="5"/>
  <c r="P1930" i="5"/>
  <c r="P1908" i="5"/>
  <c r="X2230" i="5"/>
  <c r="Y2675" i="5"/>
  <c r="P348" i="5"/>
  <c r="X1861" i="5"/>
  <c r="X2693" i="5"/>
  <c r="P1108" i="5"/>
  <c r="P2218" i="5"/>
  <c r="X2111" i="5"/>
  <c r="P2773" i="5"/>
  <c r="X3236" i="5"/>
  <c r="Y3141" i="5"/>
  <c r="X302" i="5"/>
  <c r="X237" i="5"/>
  <c r="X106" i="5"/>
  <c r="X2919" i="5"/>
  <c r="X2326" i="5"/>
  <c r="X3061" i="5"/>
  <c r="P343" i="5"/>
  <c r="Y1758" i="5"/>
  <c r="X1398" i="5"/>
  <c r="X3239" i="5"/>
  <c r="X3023" i="5"/>
  <c r="Y327" i="5"/>
  <c r="X573" i="5"/>
  <c r="X1023" i="5"/>
  <c r="Y1463" i="5"/>
  <c r="Y1048" i="5"/>
  <c r="X1963" i="5"/>
  <c r="X2706" i="5"/>
  <c r="X2001" i="5"/>
  <c r="X789" i="5"/>
  <c r="Y1650" i="5"/>
  <c r="P2171" i="5"/>
  <c r="X1403" i="5"/>
  <c r="Y143" i="5"/>
  <c r="X342" i="5"/>
  <c r="X2048" i="5"/>
  <c r="P2720" i="5"/>
  <c r="X2630" i="5"/>
  <c r="X1940" i="5"/>
  <c r="X1948" i="5"/>
  <c r="P1918" i="5"/>
  <c r="X752" i="5"/>
  <c r="X2176" i="5"/>
  <c r="X1711" i="5"/>
  <c r="P286" i="5"/>
  <c r="Y959" i="5"/>
  <c r="P2631" i="5"/>
  <c r="X647" i="5"/>
  <c r="X3234" i="5"/>
  <c r="X2232" i="5"/>
  <c r="Y222" i="5"/>
  <c r="X143" i="5"/>
  <c r="X1520" i="5"/>
  <c r="X1878" i="5"/>
  <c r="P2492" i="5"/>
  <c r="P2693" i="5"/>
  <c r="X3251" i="5"/>
  <c r="X153" i="5"/>
  <c r="X805" i="5"/>
  <c r="P359" i="5"/>
  <c r="P643" i="5"/>
  <c r="Y290" i="5"/>
  <c r="X2863" i="5"/>
  <c r="X2953" i="5"/>
  <c r="X2131" i="5"/>
  <c r="Y162" i="5"/>
  <c r="X589" i="5"/>
  <c r="X878" i="5"/>
  <c r="P1034" i="5"/>
  <c r="X2145" i="5"/>
  <c r="Y966" i="5"/>
  <c r="X2148" i="5"/>
  <c r="X1971" i="5"/>
  <c r="X980" i="5"/>
  <c r="P3098" i="5"/>
  <c r="P1976" i="5"/>
  <c r="P1152" i="5"/>
  <c r="X2873" i="5"/>
  <c r="X1815" i="5"/>
  <c r="X500" i="5"/>
  <c r="Y125" i="5"/>
  <c r="P940" i="5"/>
  <c r="X2844" i="5"/>
  <c r="X1620" i="5"/>
  <c r="X840" i="5"/>
  <c r="X1254" i="5"/>
  <c r="P902" i="5"/>
  <c r="X327" i="5"/>
  <c r="P307" i="5"/>
  <c r="X1535" i="5"/>
  <c r="X2939" i="5"/>
  <c r="Y3310" i="5"/>
  <c r="Y3170" i="5"/>
  <c r="X3187" i="5"/>
  <c r="Y3032" i="5"/>
  <c r="Y2617" i="5"/>
  <c r="X3074" i="5"/>
  <c r="P1272" i="5"/>
  <c r="Y567" i="5"/>
  <c r="P567" i="5"/>
  <c r="Y3040" i="5"/>
  <c r="Y2964" i="5"/>
  <c r="P2964" i="5"/>
  <c r="X2949" i="5"/>
  <c r="P2953" i="5"/>
  <c r="Y2953" i="5"/>
  <c r="X577" i="5"/>
  <c r="Y1946" i="5"/>
  <c r="P2116" i="5"/>
  <c r="Y2116" i="5"/>
  <c r="X2805" i="5"/>
  <c r="X1223" i="5"/>
  <c r="P2164" i="5"/>
  <c r="Y2215" i="5"/>
  <c r="P2215" i="5"/>
  <c r="P3110" i="5"/>
  <c r="P3164" i="5"/>
  <c r="X2626" i="5"/>
  <c r="Y3093" i="5"/>
  <c r="P3093" i="5"/>
  <c r="P2991" i="5"/>
  <c r="P592" i="5"/>
  <c r="P1938" i="5"/>
  <c r="P507" i="5"/>
  <c r="Y507" i="5"/>
  <c r="X2988" i="5"/>
  <c r="Y2857" i="5"/>
  <c r="Y3138" i="5"/>
  <c r="P1194" i="5"/>
  <c r="X1561" i="5"/>
  <c r="P1296" i="5"/>
  <c r="Y1296" i="5"/>
  <c r="P2136" i="5"/>
  <c r="Y2136" i="5"/>
  <c r="X1791" i="5"/>
  <c r="P1937" i="5"/>
  <c r="P1150" i="5"/>
  <c r="Y1150" i="5"/>
  <c r="Y1571" i="5"/>
  <c r="P1571" i="5"/>
  <c r="Y2990" i="5"/>
  <c r="P1888" i="5"/>
  <c r="Y1888" i="5"/>
  <c r="X1992" i="5"/>
  <c r="Y2041" i="5"/>
  <c r="P528" i="5"/>
  <c r="Y528" i="5"/>
  <c r="P802" i="5"/>
  <c r="X2761" i="5"/>
  <c r="Y2449" i="5"/>
  <c r="P2449" i="5"/>
  <c r="X3104" i="5"/>
  <c r="X2675" i="5"/>
  <c r="P2000" i="5"/>
  <c r="Y2000" i="5"/>
  <c r="P1680" i="5"/>
  <c r="Y1680" i="5"/>
  <c r="Y1421" i="5"/>
  <c r="X485" i="5"/>
  <c r="X566" i="5"/>
  <c r="P589" i="5"/>
  <c r="X1022" i="5"/>
  <c r="Y1331" i="5"/>
  <c r="X1577" i="5"/>
  <c r="X1488" i="5"/>
  <c r="Y1622" i="5"/>
  <c r="Y1753" i="5"/>
  <c r="Y2202" i="5"/>
  <c r="X2743" i="5"/>
  <c r="X310" i="5"/>
  <c r="X1684" i="5"/>
  <c r="X2945" i="5"/>
  <c r="X1506" i="5"/>
  <c r="X922" i="5"/>
  <c r="Y642" i="5"/>
  <c r="X1385" i="5"/>
  <c r="X1245" i="5"/>
  <c r="X1164" i="5"/>
  <c r="P1385" i="5"/>
  <c r="Y2180" i="5"/>
  <c r="Y2292" i="5"/>
  <c r="X2387" i="5"/>
  <c r="P333" i="5"/>
  <c r="P3268" i="5"/>
  <c r="Y2316" i="5"/>
  <c r="X2444" i="5"/>
  <c r="Y2121" i="5"/>
  <c r="P251" i="5"/>
  <c r="X2003" i="5"/>
  <c r="Y2109" i="5"/>
  <c r="Y2152" i="5"/>
  <c r="X2727" i="5"/>
  <c r="X1437" i="5"/>
  <c r="X2711" i="5"/>
  <c r="P1557" i="5"/>
  <c r="X1220" i="5"/>
  <c r="X868" i="5"/>
  <c r="Y291" i="5"/>
  <c r="X888" i="5"/>
  <c r="X600" i="5"/>
  <c r="X2539" i="5"/>
  <c r="P1394" i="5"/>
  <c r="X784" i="5"/>
  <c r="Y1360" i="5"/>
  <c r="X2133" i="5"/>
  <c r="X1745" i="5"/>
  <c r="Y1029" i="5"/>
  <c r="X491" i="5"/>
  <c r="Y2745" i="5"/>
  <c r="X2215" i="5"/>
  <c r="Y140" i="5"/>
  <c r="P2026" i="5"/>
  <c r="X1643" i="5"/>
  <c r="X1789" i="5"/>
  <c r="X38" i="5"/>
  <c r="P91" i="5"/>
  <c r="P541" i="5"/>
  <c r="P569" i="5"/>
  <c r="Y602" i="5"/>
  <c r="Y655" i="5"/>
  <c r="P391" i="5"/>
  <c r="X649" i="5"/>
  <c r="X1400" i="5"/>
  <c r="X1024" i="5"/>
  <c r="P1382" i="5"/>
  <c r="X1943" i="5"/>
  <c r="X1907" i="5"/>
  <c r="Y2728" i="5"/>
  <c r="X2622" i="5"/>
  <c r="X2907" i="5"/>
  <c r="X3303" i="5"/>
  <c r="X966" i="5"/>
  <c r="P1080" i="5"/>
  <c r="X1129" i="5"/>
  <c r="X1656" i="5"/>
  <c r="P677" i="5"/>
  <c r="X1435" i="5"/>
  <c r="Y1534" i="5"/>
  <c r="X822" i="5"/>
  <c r="X884" i="5"/>
  <c r="P1400" i="5"/>
  <c r="X1546" i="5"/>
  <c r="P1495" i="5"/>
  <c r="P1805" i="5"/>
  <c r="X1794" i="5"/>
  <c r="X2082" i="5"/>
  <c r="P2628" i="5"/>
  <c r="X1032" i="5"/>
  <c r="X1361" i="5"/>
  <c r="X2391" i="5"/>
  <c r="X2574" i="5"/>
  <c r="P293" i="5"/>
  <c r="X2241" i="5"/>
  <c r="X2120" i="5"/>
  <c r="X2862" i="5"/>
  <c r="X2029" i="5"/>
  <c r="X881" i="5"/>
  <c r="X795" i="5"/>
  <c r="Y2852" i="5"/>
  <c r="X301" i="5"/>
  <c r="X2985" i="5"/>
  <c r="X1873" i="5"/>
  <c r="P1281" i="5"/>
  <c r="P2491" i="5"/>
  <c r="X172" i="5"/>
  <c r="Y555" i="5"/>
  <c r="P405" i="5"/>
  <c r="X497" i="5"/>
  <c r="X1532" i="5"/>
  <c r="P1549" i="5"/>
  <c r="X1762" i="5"/>
  <c r="X2025" i="5"/>
  <c r="P2312" i="5"/>
  <c r="X2239" i="5"/>
  <c r="P2470" i="5"/>
  <c r="Y2652" i="5"/>
  <c r="P2795" i="5"/>
  <c r="X2924" i="5"/>
  <c r="P2690" i="5"/>
  <c r="Y3294" i="5"/>
  <c r="P960" i="5"/>
  <c r="Y1032" i="5"/>
  <c r="P2034" i="5"/>
  <c r="X1961" i="5"/>
  <c r="X1562" i="5"/>
  <c r="Y1272" i="5"/>
  <c r="X1780" i="5"/>
  <c r="Y75" i="5"/>
  <c r="P515" i="5"/>
  <c r="X1347" i="5"/>
  <c r="X1706" i="5"/>
  <c r="P24" i="5"/>
  <c r="P2922" i="5"/>
  <c r="P625" i="5"/>
  <c r="X2989" i="5"/>
  <c r="X2050" i="5"/>
  <c r="Y358" i="5"/>
  <c r="X857" i="5"/>
  <c r="X2494" i="5"/>
  <c r="X2056" i="5"/>
  <c r="Y288" i="5"/>
  <c r="Y172" i="5"/>
  <c r="Y233" i="5"/>
  <c r="X665" i="5"/>
  <c r="X385" i="5"/>
  <c r="Y539" i="5"/>
  <c r="X405" i="5"/>
  <c r="X1552" i="5"/>
  <c r="P523" i="5"/>
  <c r="X1501" i="5"/>
  <c r="X1438" i="5"/>
  <c r="X1935" i="5"/>
  <c r="X1651" i="5"/>
  <c r="P2045" i="5"/>
  <c r="X2694" i="5"/>
  <c r="X2548" i="5"/>
  <c r="Y3045" i="5"/>
  <c r="X1325" i="5"/>
  <c r="Y82" i="5"/>
  <c r="X2110" i="5"/>
  <c r="P3296" i="5"/>
  <c r="X1492" i="5"/>
  <c r="X290" i="5"/>
  <c r="P1177" i="5"/>
  <c r="Y2703" i="5"/>
  <c r="P78" i="5"/>
  <c r="X24" i="5"/>
  <c r="Y1909" i="5"/>
  <c r="Y130" i="5"/>
  <c r="P1797" i="5"/>
  <c r="Y2948" i="5"/>
  <c r="P3193" i="5"/>
  <c r="X3190" i="5"/>
  <c r="P911" i="5"/>
  <c r="Y281" i="5"/>
  <c r="X1818" i="5"/>
  <c r="P675" i="5"/>
  <c r="P921" i="5"/>
  <c r="P760" i="5"/>
  <c r="P933" i="5"/>
  <c r="X1275" i="5"/>
  <c r="X57" i="5"/>
  <c r="X96" i="5"/>
  <c r="Y448" i="5"/>
  <c r="X655" i="5"/>
  <c r="X622" i="5"/>
  <c r="X425" i="5"/>
  <c r="Y1267" i="5"/>
  <c r="Y820" i="5"/>
  <c r="X2146" i="5"/>
  <c r="Y2518" i="5"/>
  <c r="X2517" i="5"/>
  <c r="X3266" i="5"/>
  <c r="X3185" i="5"/>
  <c r="X1542" i="5"/>
  <c r="P792" i="5"/>
  <c r="Y2832" i="5"/>
  <c r="X2184" i="5"/>
  <c r="X2109" i="5"/>
  <c r="P924" i="5"/>
  <c r="Y385" i="5"/>
  <c r="Y663" i="5"/>
  <c r="X1420" i="5"/>
  <c r="X869" i="5"/>
  <c r="X1939" i="5"/>
  <c r="P1798" i="5"/>
  <c r="X2502" i="5"/>
  <c r="Y3008" i="5"/>
  <c r="Y2694" i="5"/>
  <c r="X3184" i="5"/>
  <c r="Y138" i="5"/>
  <c r="X66" i="5"/>
  <c r="X1303" i="5"/>
  <c r="X2106" i="5"/>
  <c r="X1378" i="5"/>
  <c r="P290" i="5"/>
  <c r="X418" i="5"/>
  <c r="X1809" i="5"/>
  <c r="X2272" i="5"/>
  <c r="X2369" i="5"/>
  <c r="X1412" i="5"/>
  <c r="X1896" i="5"/>
  <c r="X2417" i="5"/>
  <c r="X515" i="5"/>
  <c r="X1341" i="5"/>
  <c r="X3159" i="5"/>
  <c r="X222" i="5"/>
  <c r="X86" i="5"/>
  <c r="X819" i="5"/>
  <c r="X1027" i="5"/>
  <c r="Y2409" i="5"/>
  <c r="X2652" i="5"/>
  <c r="X2835" i="5"/>
  <c r="X3161" i="5"/>
  <c r="P2624" i="5"/>
  <c r="X2975" i="5"/>
  <c r="X2129" i="5"/>
  <c r="P2863" i="5"/>
  <c r="Y2863" i="5"/>
  <c r="P1647" i="5"/>
  <c r="Y1647" i="5"/>
  <c r="Y3265" i="5"/>
  <c r="P3265" i="5"/>
  <c r="Y3307" i="5"/>
  <c r="P3307" i="5"/>
  <c r="Y537" i="5"/>
  <c r="P537" i="5"/>
  <c r="Y2682" i="5"/>
  <c r="P2682" i="5"/>
  <c r="Y3016" i="5"/>
  <c r="P3016" i="5"/>
  <c r="P2067" i="5"/>
  <c r="Y2067" i="5"/>
  <c r="Y2671" i="5"/>
  <c r="P2671" i="5"/>
  <c r="X1150" i="5"/>
  <c r="Y2313" i="5"/>
  <c r="P2313" i="5"/>
  <c r="P158" i="5"/>
  <c r="Y731" i="5"/>
  <c r="P731" i="5"/>
  <c r="X1760" i="5"/>
  <c r="P1912" i="5"/>
  <c r="Y1912" i="5"/>
  <c r="Y2029" i="5"/>
  <c r="P2029" i="5"/>
  <c r="P5" i="5"/>
  <c r="Y5" i="5"/>
  <c r="Y1691" i="5"/>
  <c r="P1691" i="5"/>
  <c r="P1879" i="5"/>
  <c r="Y1879" i="5"/>
  <c r="Y2974" i="5"/>
  <c r="X2304" i="5"/>
  <c r="Y1161" i="5"/>
  <c r="P1446" i="5"/>
  <c r="X2217" i="5"/>
  <c r="X2534" i="5"/>
  <c r="X1445" i="5"/>
  <c r="X1933" i="5"/>
  <c r="Y1656" i="5"/>
  <c r="P2058" i="5"/>
  <c r="P209" i="5"/>
  <c r="Y209" i="5"/>
  <c r="X126" i="5"/>
  <c r="Y2262" i="5"/>
  <c r="P55" i="5"/>
  <c r="Y55" i="5"/>
  <c r="P1975" i="5"/>
  <c r="Y1975" i="5"/>
  <c r="X230" i="5"/>
  <c r="P2323" i="5"/>
  <c r="Y2323" i="5"/>
  <c r="Y1934" i="5"/>
  <c r="Y2797" i="5"/>
  <c r="P2168" i="5"/>
  <c r="Y2168" i="5"/>
  <c r="P11" i="5"/>
  <c r="Y11" i="5"/>
  <c r="P3109" i="5"/>
  <c r="Y3109" i="5"/>
  <c r="Y1828" i="5"/>
  <c r="P1157" i="5"/>
  <c r="Y2987" i="5"/>
  <c r="Y352" i="5"/>
  <c r="X121" i="5"/>
  <c r="X2314" i="5"/>
  <c r="X2101" i="5"/>
  <c r="P2331" i="5"/>
  <c r="Y2331" i="5"/>
  <c r="Y1848" i="5"/>
  <c r="P1848" i="5"/>
  <c r="Y1530" i="5"/>
  <c r="X2629" i="5"/>
  <c r="P1942" i="5"/>
  <c r="P1558" i="5"/>
  <c r="Y1558" i="5"/>
  <c r="Y2393" i="5"/>
  <c r="P2393" i="5"/>
  <c r="P2401" i="5"/>
  <c r="Y2401" i="5"/>
  <c r="X221" i="5"/>
  <c r="X2563" i="5"/>
  <c r="Y905" i="5"/>
  <c r="P905" i="5"/>
  <c r="P1844" i="5"/>
  <c r="P277" i="5"/>
  <c r="X886" i="5"/>
  <c r="Y1271" i="5"/>
  <c r="Y1881" i="5"/>
  <c r="Y2179" i="5"/>
  <c r="P2209" i="5"/>
  <c r="X2837" i="5"/>
  <c r="X2571" i="5"/>
  <c r="X2803" i="5"/>
  <c r="P3074" i="5"/>
  <c r="X956" i="5"/>
  <c r="Y1654" i="5"/>
  <c r="Y2277" i="5"/>
  <c r="X1523" i="5"/>
  <c r="X2279" i="5"/>
  <c r="X2573" i="5"/>
  <c r="Y43" i="5"/>
  <c r="X1428" i="5"/>
  <c r="Y2746" i="5"/>
  <c r="P1317" i="5"/>
  <c r="Y2918" i="5"/>
  <c r="P2918" i="5"/>
  <c r="P2777" i="5"/>
  <c r="Y2777" i="5"/>
  <c r="P3234" i="5"/>
  <c r="Y3234" i="5"/>
  <c r="P414" i="5"/>
  <c r="P358" i="5"/>
  <c r="Y1350" i="5"/>
  <c r="P1348" i="5"/>
  <c r="P1357" i="5"/>
  <c r="Y1808" i="5"/>
  <c r="Y1242" i="5"/>
  <c r="Y2089" i="5"/>
  <c r="P2386" i="5"/>
  <c r="P2823" i="5"/>
  <c r="Y270" i="5"/>
  <c r="X1654" i="5"/>
  <c r="X2357" i="5"/>
  <c r="Y883" i="5"/>
  <c r="X2286" i="5"/>
  <c r="X2185" i="5"/>
  <c r="X117" i="5"/>
  <c r="X43" i="5"/>
  <c r="Y2645" i="5"/>
  <c r="Y128" i="5"/>
  <c r="Y1109" i="5"/>
  <c r="P1109" i="5"/>
  <c r="Y1965" i="5"/>
  <c r="Y3067" i="5"/>
  <c r="P3067" i="5"/>
  <c r="P3236" i="5"/>
  <c r="P2731" i="5"/>
  <c r="Y2731" i="5"/>
  <c r="P2721" i="5"/>
  <c r="P2566" i="5"/>
  <c r="X288" i="5"/>
  <c r="Y8" i="5"/>
  <c r="X628" i="5"/>
  <c r="X108" i="5"/>
  <c r="Y3151" i="5"/>
  <c r="P3069" i="5"/>
  <c r="Y3315" i="5"/>
  <c r="X1921" i="5"/>
  <c r="X3271" i="5"/>
  <c r="X144" i="5"/>
  <c r="X233" i="5"/>
  <c r="X231" i="5"/>
  <c r="Y1167" i="5"/>
  <c r="P3241" i="5"/>
  <c r="Y3241" i="5"/>
  <c r="P1279" i="5"/>
  <c r="Y2094" i="5"/>
  <c r="X2268" i="5"/>
  <c r="P3116" i="5"/>
  <c r="Y349" i="5"/>
  <c r="X247" i="5"/>
  <c r="X2283" i="5"/>
  <c r="X344" i="5"/>
  <c r="Y1883" i="5"/>
  <c r="Y719" i="5"/>
  <c r="P789" i="5"/>
  <c r="Y789" i="5"/>
  <c r="P1450" i="5"/>
  <c r="Y1450" i="5"/>
  <c r="X2822" i="5"/>
  <c r="Y2329" i="5"/>
  <c r="P2329" i="5"/>
  <c r="Y2474" i="5"/>
  <c r="P2474" i="5"/>
  <c r="Y2919" i="5"/>
  <c r="P2919" i="5"/>
  <c r="X1324" i="5"/>
  <c r="Y83" i="5"/>
  <c r="P3288" i="5"/>
  <c r="Y3103" i="5"/>
  <c r="X2461" i="5"/>
  <c r="P1117" i="5"/>
  <c r="Y1949" i="5"/>
  <c r="Y2101" i="5"/>
  <c r="P2101" i="5"/>
  <c r="X2434" i="5"/>
  <c r="X523" i="5"/>
  <c r="X2149" i="5"/>
  <c r="X2951" i="5"/>
  <c r="X961" i="5"/>
  <c r="X1811" i="5"/>
  <c r="X109" i="5"/>
  <c r="P2063" i="5"/>
  <c r="X783" i="5"/>
  <c r="P1388" i="5"/>
  <c r="P2472" i="5"/>
  <c r="Y2472" i="5"/>
  <c r="P2605" i="5"/>
  <c r="Y2605" i="5"/>
  <c r="Y2757" i="5"/>
  <c r="P2757" i="5"/>
  <c r="P2657" i="5"/>
  <c r="Y2657" i="5"/>
  <c r="P2522" i="5"/>
  <c r="Y3139" i="5"/>
  <c r="X1754" i="5"/>
  <c r="Y2566" i="5"/>
  <c r="X3063" i="5"/>
  <c r="Y608" i="5"/>
  <c r="P1054" i="5"/>
  <c r="X190" i="5"/>
  <c r="X2234" i="5"/>
  <c r="Y1068" i="5"/>
  <c r="P1068" i="5"/>
  <c r="P3175" i="5"/>
  <c r="Y3175" i="5"/>
  <c r="Y2477" i="5"/>
  <c r="P2477" i="5"/>
  <c r="Y356" i="5"/>
  <c r="P356" i="5"/>
  <c r="X834" i="5"/>
  <c r="P637" i="5"/>
  <c r="X420" i="5"/>
  <c r="X1279" i="5"/>
  <c r="P2128" i="5"/>
  <c r="X2418" i="5"/>
  <c r="X2829" i="5"/>
  <c r="X597" i="5"/>
  <c r="X2057" i="5"/>
  <c r="P1056" i="5"/>
  <c r="Y1056" i="5"/>
  <c r="X289" i="5"/>
  <c r="X1079" i="5"/>
  <c r="X1602" i="5"/>
  <c r="P2077" i="5"/>
  <c r="X2815" i="5"/>
  <c r="P494" i="5"/>
  <c r="P491" i="5"/>
  <c r="X388" i="5"/>
  <c r="X2619" i="5"/>
  <c r="Y2526" i="5"/>
  <c r="X2350" i="5"/>
  <c r="X2546" i="5"/>
  <c r="Y199" i="5"/>
  <c r="P199" i="5"/>
  <c r="P696" i="5"/>
  <c r="Y696" i="5"/>
  <c r="X2923" i="5"/>
  <c r="P1575" i="5"/>
  <c r="X3162" i="5"/>
  <c r="X1953" i="5"/>
  <c r="P2289" i="5"/>
  <c r="X1394" i="5"/>
  <c r="X1929" i="5"/>
  <c r="X1166" i="5"/>
  <c r="Y2631" i="5"/>
  <c r="P80" i="5"/>
  <c r="Y2203" i="5"/>
  <c r="P2175" i="5"/>
  <c r="X827" i="5"/>
  <c r="X1026" i="5"/>
  <c r="P3057" i="5"/>
  <c r="X2912" i="5"/>
  <c r="X1950" i="5"/>
  <c r="X3005" i="5"/>
  <c r="X765" i="5"/>
  <c r="X962" i="5"/>
  <c r="X2648" i="5"/>
  <c r="X142" i="5"/>
  <c r="X2247" i="5"/>
  <c r="Y2491" i="5"/>
  <c r="Y423" i="5"/>
  <c r="X374" i="5"/>
  <c r="P534" i="5"/>
  <c r="X119" i="5"/>
  <c r="X240" i="5"/>
  <c r="X39" i="5"/>
  <c r="P276" i="5"/>
  <c r="Y1364" i="5"/>
  <c r="X706" i="5"/>
  <c r="X1189" i="5"/>
  <c r="P1362" i="5"/>
  <c r="X835" i="5"/>
  <c r="P831" i="5"/>
  <c r="P1771" i="5"/>
  <c r="X1264" i="5"/>
  <c r="X1974" i="5"/>
  <c r="X1932" i="5"/>
  <c r="Y2082" i="5"/>
  <c r="Y2664" i="5"/>
  <c r="X2587" i="5"/>
  <c r="Y3217" i="5"/>
  <c r="X3085" i="5"/>
  <c r="X2748" i="5"/>
  <c r="X2316" i="5"/>
  <c r="X1897" i="5"/>
  <c r="P2558" i="5"/>
  <c r="P320" i="5"/>
  <c r="X2035" i="5"/>
  <c r="Y3268" i="5"/>
  <c r="X856" i="5"/>
  <c r="X102" i="5"/>
  <c r="Y2355" i="5"/>
  <c r="X1567" i="5"/>
  <c r="X3195" i="5"/>
  <c r="X140" i="5"/>
  <c r="P217" i="5"/>
  <c r="P2437" i="5"/>
  <c r="Y241" i="5"/>
  <c r="Y363" i="5"/>
  <c r="P959" i="5"/>
  <c r="X2284" i="5"/>
  <c r="X2557" i="5"/>
  <c r="Y2171" i="5"/>
  <c r="X300" i="5"/>
  <c r="Y342" i="5"/>
  <c r="X276" i="5"/>
  <c r="X294" i="5"/>
  <c r="X671" i="5"/>
  <c r="Y1094" i="5"/>
  <c r="X1141" i="5"/>
  <c r="P1334" i="5"/>
  <c r="X1266" i="5"/>
  <c r="X1771" i="5"/>
  <c r="X1749" i="5"/>
  <c r="X1822" i="5"/>
  <c r="X1668" i="5"/>
  <c r="X2080" i="5"/>
  <c r="X1919" i="5"/>
  <c r="Y2665" i="5"/>
  <c r="X2588" i="5"/>
  <c r="Y2855" i="5"/>
  <c r="X3149" i="5"/>
  <c r="Y2768" i="5"/>
  <c r="Y278" i="5"/>
  <c r="Y1297" i="5"/>
  <c r="P152" i="5"/>
  <c r="P3314" i="5"/>
  <c r="X576" i="5"/>
  <c r="X1282" i="5"/>
  <c r="P2027" i="5"/>
  <c r="X3036" i="5"/>
  <c r="Y1814" i="5"/>
  <c r="X3145" i="5"/>
  <c r="X2558" i="5"/>
  <c r="X320" i="5"/>
  <c r="X2093" i="5"/>
  <c r="X263" i="5"/>
  <c r="P467" i="5"/>
  <c r="Y3157" i="5"/>
  <c r="X949" i="5"/>
  <c r="Y2921" i="5"/>
  <c r="Y88" i="5"/>
  <c r="Y2342" i="5"/>
  <c r="Y1567" i="5"/>
  <c r="X2562" i="5"/>
  <c r="P1946" i="5"/>
  <c r="P37" i="5"/>
  <c r="Y380" i="5"/>
  <c r="P919" i="5"/>
  <c r="X2909" i="5"/>
  <c r="P3200" i="5"/>
  <c r="P1776" i="5"/>
  <c r="Y2965" i="5"/>
  <c r="P427" i="5"/>
  <c r="X825" i="5"/>
  <c r="X1808" i="5"/>
  <c r="X2579" i="5"/>
  <c r="P2733" i="5"/>
  <c r="X2724" i="5"/>
  <c r="X2151" i="5"/>
  <c r="X1252" i="5"/>
  <c r="Y94" i="5"/>
  <c r="P119" i="5"/>
  <c r="X1362" i="5"/>
  <c r="X1050" i="5"/>
  <c r="Y1256" i="5"/>
  <c r="X2006" i="5"/>
  <c r="X2385" i="5"/>
  <c r="X3292" i="5"/>
  <c r="X1077" i="5"/>
  <c r="X1010" i="5"/>
  <c r="Y149" i="5"/>
  <c r="X2666" i="5"/>
  <c r="Y503" i="5"/>
  <c r="P721" i="5"/>
  <c r="X1337" i="5"/>
  <c r="X1297" i="5"/>
  <c r="X612" i="5"/>
  <c r="X1989" i="5"/>
  <c r="X986" i="5"/>
  <c r="X2585" i="5"/>
  <c r="X1814" i="5"/>
  <c r="X2667" i="5"/>
  <c r="X2261" i="5"/>
  <c r="P2328" i="5"/>
  <c r="X996" i="5"/>
  <c r="X169" i="5"/>
  <c r="X1960" i="5"/>
  <c r="Y2562" i="5"/>
  <c r="P473" i="5"/>
  <c r="P2570" i="5"/>
  <c r="X1154" i="5"/>
  <c r="P2854" i="5"/>
  <c r="X8" i="5"/>
  <c r="P402" i="5"/>
  <c r="X424" i="5"/>
  <c r="Y2453" i="5"/>
  <c r="P2554" i="5"/>
  <c r="P2544" i="5"/>
  <c r="Y2976" i="5"/>
  <c r="Y1797" i="5"/>
  <c r="X148" i="5"/>
  <c r="X229" i="5"/>
  <c r="X487" i="5"/>
  <c r="X517" i="5"/>
  <c r="X1826" i="5"/>
  <c r="P1762" i="5"/>
  <c r="X2364" i="5"/>
  <c r="Y3231" i="5"/>
  <c r="Y3160" i="5"/>
  <c r="X22" i="5"/>
  <c r="X194" i="5"/>
  <c r="X26" i="5"/>
  <c r="X593" i="5"/>
  <c r="X908" i="5"/>
  <c r="P551" i="5"/>
  <c r="X1174" i="5"/>
  <c r="X1180" i="5"/>
  <c r="P2100" i="5"/>
  <c r="X2182" i="5"/>
  <c r="X2221" i="5"/>
  <c r="X2463" i="5"/>
  <c r="Y2961" i="5"/>
  <c r="X3143" i="5"/>
  <c r="P370" i="5"/>
  <c r="X596" i="5"/>
  <c r="X189" i="5"/>
  <c r="P1139" i="5"/>
  <c r="X2313" i="5"/>
  <c r="X1136" i="5"/>
  <c r="X3076" i="5"/>
  <c r="X3041" i="5"/>
  <c r="X2799" i="5"/>
  <c r="X2560" i="5"/>
  <c r="X2054" i="5"/>
  <c r="X1349" i="5"/>
  <c r="P2261" i="5"/>
  <c r="P1506" i="5"/>
  <c r="X3312" i="5"/>
  <c r="Y133" i="5"/>
  <c r="P2429" i="5"/>
  <c r="Y2594" i="5"/>
  <c r="X2875" i="5"/>
  <c r="Y620" i="5"/>
  <c r="Y625" i="5"/>
  <c r="P1960" i="5"/>
  <c r="Y2190" i="5"/>
  <c r="Y2324" i="5"/>
  <c r="X2458" i="5"/>
  <c r="X2730" i="5"/>
  <c r="X2544" i="5"/>
  <c r="X995" i="5"/>
  <c r="Y1592" i="5"/>
  <c r="X2315" i="5"/>
  <c r="Y2751" i="5"/>
  <c r="X129" i="5"/>
  <c r="P57" i="5"/>
  <c r="X131" i="5"/>
  <c r="X579" i="5"/>
  <c r="X545" i="5"/>
  <c r="Y722" i="5"/>
  <c r="Y929" i="5"/>
  <c r="Y1370" i="5"/>
  <c r="X1886" i="5"/>
  <c r="X2384" i="5"/>
  <c r="X2024" i="5"/>
  <c r="Y2456" i="5"/>
  <c r="P2761" i="5"/>
  <c r="X2817" i="5"/>
  <c r="X1065" i="5"/>
  <c r="Y2799" i="5"/>
  <c r="Y1775" i="5"/>
  <c r="X1847" i="5"/>
  <c r="X1887" i="5"/>
  <c r="X2616" i="5"/>
  <c r="X2158" i="5"/>
  <c r="X1345" i="5"/>
  <c r="X2597" i="5"/>
  <c r="P2373" i="5"/>
  <c r="Y251" i="5"/>
  <c r="X861" i="5"/>
  <c r="X3181" i="5"/>
  <c r="Y1067" i="5"/>
  <c r="X1824" i="5"/>
  <c r="Y1917" i="5"/>
  <c r="X2505" i="5"/>
  <c r="X1373" i="5"/>
  <c r="X2084" i="5"/>
  <c r="P240" i="5"/>
  <c r="X264" i="5"/>
  <c r="X1466" i="5"/>
  <c r="X163" i="5"/>
  <c r="X205" i="5"/>
  <c r="X659" i="5"/>
  <c r="X1512" i="5"/>
  <c r="X1192" i="5"/>
  <c r="X1990" i="5"/>
  <c r="X2173" i="5"/>
  <c r="X2103" i="5"/>
  <c r="Y1829" i="5"/>
  <c r="X2072" i="5"/>
  <c r="X2320" i="5"/>
  <c r="Y2339" i="5"/>
  <c r="P2767" i="5"/>
  <c r="X2639" i="5"/>
  <c r="X2777" i="5"/>
  <c r="P410" i="5"/>
  <c r="P1303" i="5"/>
  <c r="Y1101" i="5"/>
  <c r="X373" i="5"/>
  <c r="Y295" i="5"/>
  <c r="X950" i="5"/>
  <c r="Y259" i="5"/>
  <c r="P1962" i="5"/>
  <c r="P3216" i="5"/>
  <c r="X2832" i="5"/>
  <c r="X2407" i="5"/>
  <c r="X3047" i="5"/>
  <c r="X2969" i="5"/>
  <c r="X1958" i="5"/>
  <c r="P2444" i="5"/>
  <c r="Y1887" i="5"/>
  <c r="X3057" i="5"/>
  <c r="X340" i="5"/>
  <c r="X251" i="5"/>
  <c r="Y2497" i="5"/>
  <c r="Y1289" i="5"/>
  <c r="X537" i="5"/>
  <c r="X1125" i="5"/>
  <c r="X2273" i="5"/>
  <c r="P2292" i="5"/>
  <c r="X2477" i="5"/>
  <c r="P3056" i="5"/>
  <c r="Y2982" i="5"/>
  <c r="P3230" i="5"/>
  <c r="P1146" i="5"/>
  <c r="X389" i="5"/>
  <c r="P767" i="5"/>
  <c r="Y767" i="5"/>
  <c r="Y565" i="5"/>
  <c r="P565" i="5"/>
  <c r="Y897" i="5"/>
  <c r="P897" i="5"/>
  <c r="P1119" i="5"/>
  <c r="P1561" i="5"/>
  <c r="Y1561" i="5"/>
  <c r="Y2674" i="5"/>
  <c r="P2674" i="5"/>
  <c r="P2812" i="5"/>
  <c r="Y2812" i="5"/>
  <c r="P2297" i="5"/>
  <c r="Y2297" i="5"/>
  <c r="Y2816" i="5"/>
  <c r="P2816" i="5"/>
  <c r="Y768" i="5"/>
  <c r="X1722" i="5"/>
  <c r="Y2680" i="5"/>
  <c r="X624" i="5"/>
  <c r="X852" i="5"/>
  <c r="Y3001" i="5"/>
  <c r="P3001" i="5"/>
  <c r="Y2706" i="5"/>
  <c r="P2706" i="5"/>
  <c r="Y1323" i="5"/>
  <c r="P1323" i="5"/>
  <c r="X147" i="5"/>
  <c r="P739" i="5"/>
  <c r="Y739" i="5"/>
  <c r="P2019" i="5"/>
  <c r="Y2019" i="5"/>
  <c r="X664" i="5"/>
  <c r="P110" i="5"/>
  <c r="X1827" i="5"/>
  <c r="Y687" i="5"/>
  <c r="P687" i="5"/>
  <c r="P1885" i="5"/>
  <c r="P3077" i="5"/>
  <c r="Y3077" i="5"/>
  <c r="X391" i="5"/>
  <c r="P1343" i="5"/>
  <c r="X29" i="5"/>
  <c r="X1091" i="5"/>
  <c r="X2288" i="5"/>
  <c r="P2039" i="5"/>
  <c r="Y2039" i="5"/>
  <c r="Y2223" i="5"/>
  <c r="P2223" i="5"/>
  <c r="Y1824" i="5"/>
  <c r="P1824" i="5"/>
  <c r="Y3204" i="5"/>
  <c r="P511" i="5"/>
  <c r="Y1157" i="5"/>
  <c r="Y1139" i="5"/>
  <c r="Y1404" i="5"/>
  <c r="X2833" i="5"/>
  <c r="X2447" i="5"/>
  <c r="P3245" i="5"/>
  <c r="Y3245" i="5"/>
  <c r="P365" i="5"/>
  <c r="Y365" i="5"/>
  <c r="Y1839" i="5"/>
  <c r="P1839" i="5"/>
  <c r="Y2421" i="5"/>
  <c r="P2421" i="5"/>
  <c r="Y2804" i="5"/>
  <c r="P2804" i="5"/>
  <c r="X1060" i="5"/>
  <c r="X1997" i="5"/>
  <c r="P2017" i="5"/>
  <c r="X902" i="5"/>
  <c r="X667" i="5"/>
  <c r="Y1562" i="5"/>
  <c r="P1562" i="5"/>
  <c r="P1782" i="5"/>
  <c r="Y1782" i="5"/>
  <c r="P2001" i="5"/>
  <c r="P58" i="5"/>
  <c r="Y58" i="5"/>
  <c r="P2196" i="5"/>
  <c r="Y2196" i="5"/>
  <c r="Y919" i="5"/>
  <c r="X2839" i="5"/>
  <c r="X613" i="5"/>
  <c r="X639" i="5"/>
  <c r="P1578" i="5"/>
  <c r="P788" i="5"/>
  <c r="Y788" i="5"/>
  <c r="X315" i="5"/>
  <c r="X461" i="5"/>
  <c r="X570" i="5"/>
  <c r="X3244" i="5"/>
  <c r="X191" i="5"/>
  <c r="Y1717" i="5"/>
  <c r="P1444" i="5"/>
  <c r="Y1444" i="5"/>
  <c r="X1578" i="5"/>
  <c r="X2645" i="5"/>
  <c r="Y411" i="5"/>
  <c r="X1832" i="5"/>
  <c r="P899" i="5"/>
  <c r="P2582" i="5"/>
  <c r="Y3173" i="5"/>
  <c r="P3173" i="5"/>
  <c r="Y1283" i="5"/>
  <c r="P1283" i="5"/>
  <c r="X1440" i="5"/>
  <c r="Y1120" i="5"/>
  <c r="P1120" i="5"/>
  <c r="X2139" i="5"/>
  <c r="Y2915" i="5"/>
  <c r="P2915" i="5"/>
  <c r="Y93" i="5"/>
  <c r="P93" i="5"/>
  <c r="Y1501" i="5"/>
  <c r="P1501" i="5"/>
  <c r="P1151" i="5"/>
  <c r="Y1151" i="5"/>
  <c r="P2208" i="5"/>
  <c r="Y2208" i="5"/>
  <c r="Y572" i="5"/>
  <c r="Y467" i="5"/>
  <c r="P1176" i="5"/>
  <c r="Y1176" i="5"/>
  <c r="X1387" i="5"/>
  <c r="P2321" i="5"/>
  <c r="X1460" i="5"/>
  <c r="Y2278" i="5"/>
  <c r="X1018" i="5"/>
  <c r="P128" i="5"/>
  <c r="X739" i="5"/>
  <c r="Y1694" i="5"/>
  <c r="P3284" i="5"/>
  <c r="X2321" i="5"/>
  <c r="X1302" i="5"/>
  <c r="Y2469" i="5"/>
  <c r="X128" i="5"/>
  <c r="X680" i="5"/>
  <c r="X2565" i="5"/>
  <c r="X567" i="5"/>
  <c r="P1071" i="5"/>
  <c r="X1671" i="5"/>
  <c r="Y2144" i="5"/>
  <c r="Y3110" i="5"/>
  <c r="X1904" i="5"/>
  <c r="X2767" i="5"/>
  <c r="X2547" i="5"/>
  <c r="X2807" i="5"/>
  <c r="X2143" i="5"/>
  <c r="X1134" i="5"/>
  <c r="X2697" i="5"/>
  <c r="Y2933" i="5"/>
  <c r="Y3244" i="5"/>
  <c r="Y38" i="5"/>
  <c r="X92" i="5"/>
  <c r="X416" i="5"/>
  <c r="X569" i="5"/>
  <c r="Y485" i="5"/>
  <c r="X411" i="5"/>
  <c r="P600" i="5"/>
  <c r="X1408" i="5"/>
  <c r="Y1428" i="5"/>
  <c r="X1665" i="5"/>
  <c r="X2189" i="5"/>
  <c r="X2498" i="5"/>
  <c r="X2688" i="5"/>
  <c r="X2749" i="5"/>
  <c r="X3093" i="5"/>
  <c r="P2747" i="5"/>
  <c r="X2948" i="5"/>
  <c r="X815" i="5"/>
  <c r="X1980" i="5"/>
  <c r="P598" i="5"/>
  <c r="X2027" i="5"/>
  <c r="X3237" i="5"/>
  <c r="P3152" i="5"/>
  <c r="X2612" i="5"/>
  <c r="P3233" i="5"/>
  <c r="P2574" i="5"/>
  <c r="X3086" i="5"/>
  <c r="Y805" i="5"/>
  <c r="P3125" i="5"/>
  <c r="X1582" i="5"/>
  <c r="X534" i="5"/>
  <c r="X2717" i="5"/>
  <c r="X1071" i="5"/>
  <c r="X1828" i="5"/>
  <c r="Y2922" i="5"/>
  <c r="X677" i="5"/>
  <c r="X1225" i="5"/>
  <c r="X2009" i="5"/>
  <c r="P3319" i="5"/>
  <c r="X1109" i="5"/>
  <c r="X2746" i="5"/>
  <c r="P627" i="5"/>
  <c r="P392" i="5"/>
  <c r="P3114" i="5"/>
  <c r="P2557" i="5"/>
  <c r="X520" i="5"/>
  <c r="Y1688" i="5"/>
  <c r="Y3286" i="5"/>
  <c r="X25" i="5"/>
  <c r="P693" i="5"/>
  <c r="Y2086" i="5"/>
  <c r="P283" i="5"/>
  <c r="X2067" i="5"/>
  <c r="X2393" i="5"/>
  <c r="X2518" i="5"/>
  <c r="X2031" i="5"/>
  <c r="X958" i="5"/>
  <c r="Y2516" i="5"/>
  <c r="X3153" i="5"/>
  <c r="X2552" i="5"/>
  <c r="X3200" i="5"/>
  <c r="X644" i="5"/>
  <c r="Y762" i="5"/>
  <c r="Y749" i="5"/>
  <c r="Y2264" i="5"/>
  <c r="X733" i="5"/>
  <c r="Y3028" i="5"/>
  <c r="P756" i="5"/>
  <c r="Y992" i="5"/>
  <c r="P2942" i="5"/>
  <c r="Y150" i="5"/>
  <c r="Y2883" i="5"/>
  <c r="X2138" i="5"/>
  <c r="X1802" i="5"/>
  <c r="X453" i="5"/>
  <c r="X1250" i="5"/>
  <c r="Y1438" i="5"/>
  <c r="Y225" i="5"/>
  <c r="Y853" i="5"/>
  <c r="P487" i="5"/>
  <c r="P800" i="5"/>
  <c r="Y940" i="5"/>
  <c r="X518" i="5"/>
  <c r="X1241" i="5"/>
  <c r="X1168" i="5"/>
  <c r="X1592" i="5"/>
  <c r="X1704" i="5"/>
  <c r="Y2058" i="5"/>
  <c r="P2021" i="5"/>
  <c r="X1944" i="5"/>
  <c r="P2410" i="5"/>
  <c r="X2332" i="5"/>
  <c r="Y2837" i="5"/>
  <c r="X2516" i="5"/>
  <c r="X2716" i="5"/>
  <c r="X3260" i="5"/>
  <c r="X1350" i="5"/>
  <c r="Y615" i="5"/>
  <c r="X812" i="5"/>
  <c r="Y3035" i="5"/>
  <c r="X2319" i="5"/>
  <c r="Y2194" i="5"/>
  <c r="Y1750" i="5"/>
  <c r="X1846" i="5"/>
  <c r="P1042" i="5"/>
  <c r="X762" i="5"/>
  <c r="X2632" i="5"/>
  <c r="X1122" i="5"/>
  <c r="X1922" i="5"/>
  <c r="X2713" i="5"/>
  <c r="Y2651" i="5"/>
  <c r="P181" i="5"/>
  <c r="P1064" i="5"/>
  <c r="P1115" i="5"/>
  <c r="Y1639" i="5"/>
  <c r="Y3075" i="5"/>
  <c r="P3017" i="5"/>
  <c r="Y2744" i="5"/>
  <c r="P535" i="5"/>
  <c r="P3000" i="5"/>
  <c r="P1596" i="5"/>
  <c r="Y601" i="5"/>
  <c r="P2898" i="5"/>
  <c r="P352" i="5"/>
  <c r="X2076" i="5"/>
  <c r="P1286" i="5"/>
  <c r="X329" i="5"/>
  <c r="X160" i="5"/>
  <c r="P1095" i="5"/>
  <c r="X800" i="5"/>
  <c r="Y779" i="5"/>
  <c r="P860" i="5"/>
  <c r="Y518" i="5"/>
  <c r="P1133" i="5"/>
  <c r="P982" i="5"/>
  <c r="X1432" i="5"/>
  <c r="X1854" i="5"/>
  <c r="Y1386" i="5"/>
  <c r="X1692" i="5"/>
  <c r="P1767" i="5"/>
  <c r="X1959" i="5"/>
  <c r="Y2079" i="5"/>
  <c r="Y2384" i="5"/>
  <c r="X1669" i="5"/>
  <c r="X2388" i="5"/>
  <c r="Y2531" i="5"/>
  <c r="X3042" i="5"/>
  <c r="Y1412" i="5"/>
  <c r="P596" i="5"/>
  <c r="P1325" i="5"/>
  <c r="X1339" i="5"/>
  <c r="X3035" i="5"/>
  <c r="X1123" i="5"/>
  <c r="P75" i="5"/>
  <c r="X2271" i="5"/>
  <c r="X2731" i="5"/>
  <c r="Y2307" i="5"/>
  <c r="X2942" i="5"/>
  <c r="X380" i="5"/>
  <c r="Y1122" i="5"/>
  <c r="X2074" i="5"/>
  <c r="Y2938" i="5"/>
  <c r="X2193" i="5"/>
  <c r="Y262" i="5"/>
  <c r="X2331" i="5"/>
  <c r="Y1682" i="5"/>
  <c r="X1913" i="5"/>
  <c r="Y52" i="5"/>
  <c r="X779" i="5"/>
  <c r="P605" i="5"/>
  <c r="P3027" i="5"/>
  <c r="P2971" i="5"/>
  <c r="Y3083" i="5"/>
  <c r="Y3129" i="5"/>
  <c r="Y1471" i="5"/>
  <c r="X1450" i="5"/>
  <c r="P1503" i="5"/>
  <c r="X1008" i="5"/>
  <c r="X978" i="5"/>
  <c r="P710" i="5"/>
  <c r="X2734" i="5"/>
  <c r="Y665" i="5"/>
  <c r="X969" i="5"/>
  <c r="X1133" i="5"/>
  <c r="X982" i="5"/>
  <c r="P1196" i="5"/>
  <c r="Y1432" i="5"/>
  <c r="P952" i="5"/>
  <c r="X1376" i="5"/>
  <c r="X1209" i="5"/>
  <c r="Y1765" i="5"/>
  <c r="X1812" i="5"/>
  <c r="X1574" i="5"/>
  <c r="P1813" i="5"/>
  <c r="X2127" i="5"/>
  <c r="X2169" i="5"/>
  <c r="X2531" i="5"/>
  <c r="X2672" i="5"/>
  <c r="Y3056" i="5"/>
  <c r="X2709" i="5"/>
  <c r="P379" i="5"/>
  <c r="Y612" i="5"/>
  <c r="X149" i="5"/>
  <c r="X1041" i="5"/>
  <c r="X925" i="5"/>
  <c r="X158" i="5"/>
  <c r="X546" i="5"/>
  <c r="P845" i="5"/>
  <c r="X1767" i="5"/>
  <c r="Y1788" i="5"/>
  <c r="Y2003" i="5"/>
  <c r="Y2554" i="5"/>
  <c r="P2360" i="5"/>
  <c r="X1843" i="5"/>
  <c r="X3077" i="5"/>
  <c r="X3038" i="5"/>
  <c r="Y2139" i="5"/>
  <c r="X1075" i="5"/>
  <c r="X1396" i="5"/>
  <c r="X1326" i="5"/>
  <c r="Y14" i="5"/>
  <c r="X618" i="5"/>
  <c r="Y69" i="5"/>
  <c r="X750" i="5"/>
  <c r="Y437" i="5"/>
  <c r="X469" i="5"/>
  <c r="Y185" i="5"/>
  <c r="Y540" i="5"/>
  <c r="X551" i="5"/>
  <c r="X666" i="5"/>
  <c r="X1444" i="5"/>
  <c r="Y1448" i="5"/>
  <c r="X952" i="5"/>
  <c r="P1376" i="5"/>
  <c r="P979" i="5"/>
  <c r="X889" i="5"/>
  <c r="P751" i="5"/>
  <c r="X1565" i="5"/>
  <c r="X1502" i="5"/>
  <c r="X2153" i="5"/>
  <c r="X1813" i="5"/>
  <c r="X1852" i="5"/>
  <c r="X2249" i="5"/>
  <c r="X2450" i="5"/>
  <c r="X2452" i="5"/>
  <c r="X3056" i="5"/>
  <c r="X2769" i="5"/>
  <c r="Y3210" i="5"/>
  <c r="X465" i="5"/>
  <c r="X1905" i="5"/>
  <c r="X2955" i="5"/>
  <c r="X535" i="5"/>
  <c r="X2137" i="5"/>
  <c r="X2705" i="5"/>
  <c r="Y1890" i="5"/>
  <c r="X1783" i="5"/>
  <c r="X2245" i="5"/>
  <c r="Y2597" i="5"/>
  <c r="P2191" i="5"/>
  <c r="X717" i="5"/>
  <c r="P2172" i="5"/>
  <c r="X1443" i="5"/>
  <c r="P865" i="5"/>
  <c r="Y1575" i="5"/>
  <c r="Y1686" i="5"/>
  <c r="P2586" i="5"/>
  <c r="P2621" i="5"/>
  <c r="X3062" i="5"/>
  <c r="X2683" i="5"/>
  <c r="X2022" i="5"/>
  <c r="X156" i="5"/>
  <c r="X151" i="5"/>
  <c r="P482" i="5"/>
  <c r="X585" i="5"/>
  <c r="P838" i="5"/>
  <c r="X722" i="5"/>
  <c r="P1155" i="5"/>
  <c r="Y958" i="5"/>
  <c r="Y918" i="5"/>
  <c r="X2040" i="5"/>
  <c r="P1924" i="5"/>
  <c r="X2299" i="5"/>
  <c r="X2876" i="5"/>
  <c r="P2966" i="5"/>
  <c r="Y287" i="5"/>
  <c r="Y465" i="5"/>
  <c r="X787" i="5"/>
  <c r="P1789" i="5"/>
  <c r="X1570" i="5"/>
  <c r="X1357" i="5"/>
  <c r="X1779" i="5"/>
  <c r="X2929" i="5"/>
  <c r="X1404" i="5"/>
  <c r="P250" i="5"/>
  <c r="X2045" i="5"/>
  <c r="X2162" i="5"/>
  <c r="X505" i="5"/>
  <c r="Y359" i="5"/>
  <c r="Y1430" i="5"/>
  <c r="Y1588" i="5"/>
  <c r="Y1117" i="5"/>
  <c r="X533" i="5"/>
  <c r="P1347" i="5"/>
  <c r="X2140" i="5"/>
  <c r="X2569" i="5"/>
  <c r="Y2319" i="5"/>
  <c r="X236" i="5"/>
  <c r="P156" i="5"/>
  <c r="Y168" i="5"/>
  <c r="Y12" i="5"/>
  <c r="X248" i="5"/>
  <c r="X1292" i="5"/>
  <c r="Y695" i="5"/>
  <c r="X1034" i="5"/>
  <c r="P1342" i="5"/>
  <c r="X957" i="5"/>
  <c r="X1043" i="5"/>
  <c r="Y1012" i="5"/>
  <c r="Y1194" i="5"/>
  <c r="P1594" i="5"/>
  <c r="X1728" i="5"/>
  <c r="X1836" i="5"/>
  <c r="Y1757" i="5"/>
  <c r="Y2183" i="5"/>
  <c r="X2492" i="5"/>
  <c r="P2676" i="5"/>
  <c r="P793" i="5"/>
  <c r="X947" i="5"/>
  <c r="X1384" i="5"/>
  <c r="X2905" i="5"/>
  <c r="X1902" i="5"/>
  <c r="X2810" i="5"/>
  <c r="Y727" i="5"/>
  <c r="X2633" i="5"/>
  <c r="Y833" i="5"/>
  <c r="Y2772" i="5"/>
  <c r="Y2602" i="5"/>
  <c r="X724" i="5"/>
  <c r="P599" i="5"/>
  <c r="X473" i="5"/>
  <c r="P326" i="5"/>
  <c r="P1434" i="5"/>
  <c r="X1260" i="5"/>
  <c r="X1130" i="5"/>
  <c r="P1013" i="5"/>
  <c r="X2008" i="5"/>
  <c r="Y2090" i="5"/>
  <c r="Y1392" i="5"/>
  <c r="Y2521" i="5"/>
  <c r="X211" i="5"/>
  <c r="X1899" i="5"/>
  <c r="X2459" i="5"/>
  <c r="X307" i="5"/>
  <c r="X97" i="5"/>
  <c r="P457" i="5"/>
  <c r="X798" i="5"/>
  <c r="X699" i="5"/>
  <c r="X1348" i="5"/>
  <c r="X1320" i="5"/>
  <c r="X2068" i="5"/>
  <c r="X1872" i="5"/>
  <c r="X1496" i="5"/>
  <c r="X2306" i="5"/>
  <c r="X2128" i="5"/>
  <c r="X2303" i="5"/>
  <c r="X2698" i="5"/>
  <c r="X3082" i="5"/>
  <c r="Y2910" i="5"/>
  <c r="X1258" i="5"/>
  <c r="X1269" i="5"/>
  <c r="X1390" i="5"/>
  <c r="X2760" i="5"/>
  <c r="X1161" i="5"/>
  <c r="X1910" i="5"/>
  <c r="P3312" i="5"/>
  <c r="X2441" i="5"/>
  <c r="P19" i="5"/>
  <c r="Y2234" i="5"/>
  <c r="Y712" i="5"/>
  <c r="P2204" i="5"/>
  <c r="X1392" i="5"/>
  <c r="Y3094" i="5"/>
  <c r="P2968" i="5"/>
  <c r="P864" i="5"/>
  <c r="Y864" i="5"/>
  <c r="Y874" i="5"/>
  <c r="P874" i="5"/>
  <c r="Y711" i="5"/>
  <c r="P711" i="5"/>
  <c r="P2824" i="5"/>
  <c r="Y2824" i="5"/>
  <c r="Y3311" i="5"/>
  <c r="P3311" i="5"/>
  <c r="X2684" i="5"/>
  <c r="Y499" i="5"/>
  <c r="P499" i="5"/>
  <c r="Y301" i="5"/>
  <c r="P301" i="5"/>
  <c r="Y724" i="5"/>
  <c r="P724" i="5"/>
  <c r="P2808" i="5"/>
  <c r="Y2808" i="5"/>
  <c r="P384" i="5"/>
  <c r="Y384" i="5"/>
  <c r="Y2699" i="5"/>
  <c r="P2699" i="5"/>
  <c r="Y627" i="5"/>
  <c r="X399" i="5"/>
  <c r="X2656" i="5"/>
  <c r="X224" i="5"/>
  <c r="P749" i="5"/>
  <c r="X1261" i="5"/>
  <c r="X1915" i="5"/>
  <c r="X2036" i="5"/>
  <c r="P2641" i="5"/>
  <c r="X2843" i="5"/>
  <c r="X2187" i="5"/>
  <c r="P1169" i="5"/>
  <c r="Y1169" i="5"/>
  <c r="P2923" i="5"/>
  <c r="Y2923" i="5"/>
  <c r="P2909" i="5"/>
  <c r="Y2909" i="5"/>
  <c r="P60" i="5"/>
  <c r="Y60" i="5"/>
  <c r="P3239" i="5"/>
  <c r="Y3239" i="5"/>
  <c r="Y525" i="5"/>
  <c r="P525" i="5"/>
  <c r="Y2486" i="5"/>
  <c r="Y1702" i="5"/>
  <c r="P1702" i="5"/>
  <c r="Y1163" i="5"/>
  <c r="P1163" i="5"/>
  <c r="P2573" i="5"/>
  <c r="Y2573" i="5"/>
  <c r="Y392" i="5"/>
  <c r="Y2692" i="5"/>
  <c r="X608" i="5"/>
  <c r="Y283" i="5"/>
  <c r="P992" i="5"/>
  <c r="P3327" i="5"/>
  <c r="P1793" i="5"/>
  <c r="Y1793" i="5"/>
  <c r="P1718" i="5"/>
  <c r="Y1718" i="5"/>
  <c r="Y2627" i="5"/>
  <c r="P2627" i="5"/>
  <c r="P2466" i="5"/>
  <c r="Y2466" i="5"/>
  <c r="Y2967" i="5"/>
  <c r="P2967" i="5"/>
  <c r="Y3030" i="5"/>
  <c r="P3030" i="5"/>
  <c r="Y3243" i="5"/>
  <c r="P3243" i="5"/>
  <c r="P3253" i="5"/>
  <c r="Y3253" i="5"/>
  <c r="P2653" i="5"/>
  <c r="Y2653" i="5"/>
  <c r="X477" i="5"/>
  <c r="P612" i="5"/>
  <c r="X2946" i="5"/>
  <c r="P1800" i="5"/>
  <c r="Y1800" i="5"/>
  <c r="P116" i="5"/>
  <c r="Y1636" i="5"/>
  <c r="P1636" i="5"/>
  <c r="X2118" i="5"/>
  <c r="P1993" i="5"/>
  <c r="Y1993" i="5"/>
  <c r="P837" i="5"/>
  <c r="Y837" i="5"/>
  <c r="Y2546" i="5"/>
  <c r="P2546" i="5"/>
  <c r="P1335" i="5"/>
  <c r="Y1335" i="5"/>
  <c r="Y1000" i="5"/>
  <c r="P1000" i="5"/>
  <c r="X897" i="5"/>
  <c r="P698" i="5"/>
  <c r="P1481" i="5"/>
  <c r="Y1481" i="5"/>
  <c r="P3159" i="5"/>
  <c r="P770" i="5"/>
  <c r="Y770" i="5"/>
  <c r="P1926" i="5"/>
  <c r="Y1926" i="5"/>
  <c r="Y1852" i="5"/>
  <c r="P1852" i="5"/>
  <c r="Y1620" i="5"/>
  <c r="P1620" i="5"/>
  <c r="P2640" i="5"/>
  <c r="Y2640" i="5"/>
  <c r="P2129" i="5"/>
  <c r="Y2985" i="5"/>
  <c r="P2985" i="5"/>
  <c r="Y98" i="5"/>
  <c r="P98" i="5"/>
  <c r="P583" i="5"/>
  <c r="Y583" i="5"/>
  <c r="P355" i="5"/>
  <c r="Y355" i="5"/>
  <c r="Y2413" i="5"/>
  <c r="P2413" i="5"/>
  <c r="Y1307" i="5"/>
  <c r="P1307" i="5"/>
  <c r="P267" i="5"/>
  <c r="Y267" i="5"/>
  <c r="Y1137" i="5"/>
  <c r="P1137" i="5"/>
  <c r="X244" i="5"/>
  <c r="X369" i="5"/>
  <c r="X637" i="5"/>
  <c r="X1110" i="5"/>
  <c r="P1366" i="5"/>
  <c r="Y1836" i="5"/>
  <c r="Y2688" i="5"/>
  <c r="X2572" i="5"/>
  <c r="X2872" i="5"/>
  <c r="X2673" i="5"/>
  <c r="Y1437" i="5"/>
  <c r="Y113" i="5"/>
  <c r="Y2600" i="5"/>
  <c r="P2686" i="5"/>
  <c r="Y2686" i="5"/>
  <c r="X10" i="5"/>
  <c r="Y535" i="5"/>
  <c r="X602" i="5"/>
  <c r="X611" i="5"/>
  <c r="Y766" i="5"/>
  <c r="Y1819" i="5"/>
  <c r="X2797" i="5"/>
  <c r="X2970" i="5"/>
  <c r="P2604" i="5"/>
  <c r="P2996" i="5"/>
  <c r="Y2560" i="5"/>
  <c r="X2493" i="5"/>
  <c r="Y2621" i="5"/>
  <c r="P3189" i="5"/>
  <c r="Y3178" i="5"/>
  <c r="P3178" i="5"/>
  <c r="P3126" i="5"/>
  <c r="Y3126" i="5"/>
  <c r="Y2792" i="5"/>
  <c r="P2792" i="5"/>
  <c r="Y834" i="5"/>
  <c r="X766" i="5"/>
  <c r="X1819" i="5"/>
  <c r="X2775" i="5"/>
  <c r="X2113" i="5"/>
  <c r="X820" i="5"/>
  <c r="X1880" i="5"/>
  <c r="P2214" i="5"/>
  <c r="X2174" i="5"/>
  <c r="X2267" i="5"/>
  <c r="P2287" i="5"/>
  <c r="P2521" i="5"/>
  <c r="X1029" i="5"/>
  <c r="X2042" i="5"/>
  <c r="X3233" i="5"/>
  <c r="P1656" i="5"/>
  <c r="X2000" i="5"/>
  <c r="P201" i="5"/>
  <c r="Y3144" i="5"/>
  <c r="Y3172" i="5"/>
  <c r="P3172" i="5"/>
  <c r="X171" i="5"/>
  <c r="P131" i="5"/>
  <c r="X228" i="5"/>
  <c r="X70" i="5"/>
  <c r="X337" i="5"/>
  <c r="Y599" i="5"/>
  <c r="X339" i="5"/>
  <c r="X558" i="5"/>
  <c r="X510" i="5"/>
  <c r="P1189" i="5"/>
  <c r="X1710" i="5"/>
  <c r="X1316" i="5"/>
  <c r="X2052" i="5"/>
  <c r="X1753" i="5"/>
  <c r="X2183" i="5"/>
  <c r="P2008" i="5"/>
  <c r="Y2729" i="5"/>
  <c r="X542" i="5"/>
  <c r="Y2887" i="5"/>
  <c r="X2210" i="5"/>
  <c r="P2014" i="5"/>
  <c r="P456" i="5"/>
  <c r="X1067" i="5"/>
  <c r="X1418" i="5"/>
  <c r="Y2613" i="5"/>
  <c r="P2613" i="5"/>
  <c r="P3286" i="5"/>
  <c r="X371" i="5"/>
  <c r="X1448" i="5"/>
  <c r="Y2071" i="5"/>
  <c r="X2157" i="5"/>
  <c r="X2154" i="5"/>
  <c r="X2701" i="5"/>
  <c r="X2846" i="5"/>
  <c r="X2916" i="5"/>
  <c r="P635" i="5"/>
  <c r="Y782" i="5"/>
  <c r="P502" i="5"/>
  <c r="X809" i="5"/>
  <c r="Y698" i="5"/>
  <c r="X412" i="5"/>
  <c r="X700" i="5"/>
  <c r="X1774" i="5"/>
  <c r="P1221" i="5"/>
  <c r="X2275" i="5"/>
  <c r="X2821" i="5"/>
  <c r="P2646" i="5"/>
  <c r="P3081" i="5"/>
  <c r="Y2959" i="5"/>
  <c r="Y3312" i="5"/>
  <c r="X3315" i="5"/>
  <c r="X2046" i="5"/>
  <c r="X2691" i="5"/>
  <c r="X1988" i="5"/>
  <c r="Y2159" i="5"/>
  <c r="Y685" i="5"/>
  <c r="Y1351" i="5"/>
  <c r="P3107" i="5"/>
  <c r="Y3107" i="5"/>
  <c r="P423" i="5"/>
  <c r="X516" i="5"/>
  <c r="X1433" i="5"/>
  <c r="P1794" i="5"/>
  <c r="P2835" i="5"/>
  <c r="Y2581" i="5"/>
  <c r="X777" i="5"/>
  <c r="P2144" i="5"/>
  <c r="X2802" i="5"/>
  <c r="P197" i="5"/>
  <c r="X368" i="5"/>
  <c r="P1179" i="5"/>
  <c r="Y1087" i="5"/>
  <c r="X1423" i="5"/>
  <c r="P1774" i="5"/>
  <c r="Y2400" i="5"/>
  <c r="X2262" i="5"/>
  <c r="X2291" i="5"/>
  <c r="X2646" i="5"/>
  <c r="Y2403" i="5"/>
  <c r="Y3252" i="5"/>
  <c r="Y2931" i="5"/>
  <c r="X2972" i="5"/>
  <c r="X2881" i="5"/>
  <c r="Y2568" i="5"/>
  <c r="P54" i="5"/>
  <c r="P1324" i="5"/>
  <c r="X1239" i="5"/>
  <c r="X1195" i="5"/>
  <c r="X2682" i="5"/>
  <c r="P2090" i="5"/>
  <c r="P3295" i="5"/>
  <c r="Y3295" i="5"/>
  <c r="X2168" i="5"/>
  <c r="Y780" i="5"/>
  <c r="X1952" i="5"/>
  <c r="P2730" i="5"/>
  <c r="X3170" i="5"/>
  <c r="P3129" i="5"/>
  <c r="Y426" i="5"/>
  <c r="P426" i="5"/>
  <c r="X103" i="5"/>
  <c r="X277" i="5"/>
  <c r="X858" i="5"/>
  <c r="Y2972" i="5"/>
  <c r="Y256" i="5"/>
  <c r="Y1125" i="5"/>
  <c r="Y813" i="5"/>
  <c r="P108" i="5"/>
  <c r="P1027" i="5"/>
  <c r="Y884" i="5"/>
  <c r="Y964" i="5"/>
  <c r="Y1197" i="5"/>
  <c r="X1513" i="5"/>
  <c r="X831" i="5"/>
  <c r="P1392" i="5"/>
  <c r="P2105" i="5"/>
  <c r="P1965" i="5"/>
  <c r="P2708" i="5"/>
  <c r="X2880" i="5"/>
  <c r="Y3024" i="5"/>
  <c r="X2690" i="5"/>
  <c r="X494" i="5"/>
  <c r="Y2360" i="5"/>
  <c r="X1644" i="5"/>
  <c r="X2840" i="5"/>
  <c r="X3177" i="5"/>
  <c r="Y2606" i="5"/>
  <c r="Y2536" i="5"/>
  <c r="P2536" i="5"/>
  <c r="X646" i="5"/>
  <c r="X2203" i="5"/>
  <c r="X2051" i="5"/>
  <c r="X2016" i="5"/>
  <c r="X867" i="5"/>
  <c r="P1810" i="5"/>
  <c r="Y898" i="5"/>
  <c r="Y2211" i="5"/>
  <c r="Y87" i="5"/>
  <c r="Y116" i="5"/>
  <c r="X256" i="5"/>
  <c r="X34" i="5"/>
  <c r="X268" i="5"/>
  <c r="P521" i="5"/>
  <c r="X851" i="5"/>
  <c r="P1066" i="5"/>
  <c r="X1053" i="5"/>
  <c r="X1287" i="5"/>
  <c r="X1216" i="5"/>
  <c r="X964" i="5"/>
  <c r="Y1347" i="5"/>
  <c r="Y1756" i="5"/>
  <c r="X2002" i="5"/>
  <c r="X2298" i="5"/>
  <c r="X2041" i="5"/>
  <c r="X2099" i="5"/>
  <c r="X1911" i="5"/>
  <c r="X2258" i="5"/>
  <c r="X2419" i="5"/>
  <c r="Y2950" i="5"/>
  <c r="X2785" i="5"/>
  <c r="X2798" i="5"/>
  <c r="Y137" i="5"/>
  <c r="X478" i="5"/>
  <c r="X1539" i="5"/>
  <c r="X804" i="5"/>
  <c r="X1031" i="5"/>
  <c r="P1748" i="5"/>
  <c r="Y986" i="5"/>
  <c r="X1377" i="5"/>
  <c r="X2007" i="5"/>
  <c r="X2920" i="5"/>
  <c r="Y454" i="5"/>
  <c r="X2695" i="5"/>
  <c r="X2915" i="5"/>
  <c r="P2397" i="5"/>
  <c r="Y2550" i="5"/>
  <c r="P59" i="5"/>
  <c r="Y59" i="5"/>
  <c r="P607" i="5"/>
  <c r="P113" i="5"/>
  <c r="P2385" i="5"/>
  <c r="X538" i="5"/>
  <c r="X87" i="5"/>
  <c r="X95" i="5"/>
  <c r="X120" i="5"/>
  <c r="Y229" i="5"/>
  <c r="P133" i="5"/>
  <c r="P461" i="5"/>
  <c r="P601" i="5"/>
  <c r="X437" i="5"/>
  <c r="Y671" i="5"/>
  <c r="Y754" i="5"/>
  <c r="X974" i="5"/>
  <c r="P1287" i="5"/>
  <c r="P1171" i="5"/>
  <c r="P1022" i="5"/>
  <c r="P1259" i="5"/>
  <c r="P1801" i="5"/>
  <c r="X1857" i="5"/>
  <c r="X1947" i="5"/>
  <c r="X2107" i="5"/>
  <c r="Y1930" i="5"/>
  <c r="X2132" i="5"/>
  <c r="X2276" i="5"/>
  <c r="X2464" i="5"/>
  <c r="Y2559" i="5"/>
  <c r="Y2599" i="5"/>
  <c r="Y3088" i="5"/>
  <c r="P2838" i="5"/>
  <c r="Y3058" i="5"/>
  <c r="Y3266" i="5"/>
  <c r="Y3080" i="5"/>
  <c r="Y607" i="5"/>
  <c r="X379" i="5"/>
  <c r="X1240" i="5"/>
  <c r="X196" i="5"/>
  <c r="X1748" i="5"/>
  <c r="Y1018" i="5"/>
  <c r="Y1013" i="5"/>
  <c r="P3128" i="5"/>
  <c r="X1796" i="5"/>
  <c r="P2086" i="5"/>
  <c r="P857" i="5"/>
  <c r="X2170" i="5"/>
  <c r="P2963" i="5"/>
  <c r="Y3059" i="5"/>
  <c r="P3059" i="5"/>
  <c r="X1782" i="5"/>
  <c r="P2871" i="5"/>
  <c r="Y2871" i="5"/>
  <c r="Y421" i="5"/>
  <c r="X1519" i="5"/>
  <c r="Y1804" i="5"/>
  <c r="X356" i="5"/>
  <c r="X421" i="5"/>
  <c r="X316" i="5"/>
  <c r="P315" i="5"/>
  <c r="X362" i="5"/>
  <c r="X321" i="5"/>
  <c r="X728" i="5"/>
  <c r="Y412" i="5"/>
  <c r="X837" i="5"/>
  <c r="X2885" i="5"/>
  <c r="X2211" i="5"/>
  <c r="X2065" i="5"/>
  <c r="Y2944" i="5"/>
  <c r="P2944" i="5"/>
  <c r="X3180" i="5"/>
  <c r="P264" i="5"/>
  <c r="X548" i="5"/>
  <c r="P522" i="5"/>
  <c r="P1046" i="5"/>
  <c r="X1421" i="5"/>
  <c r="X1530" i="5"/>
  <c r="P1759" i="5"/>
  <c r="X1468" i="5"/>
  <c r="X1801" i="5"/>
  <c r="X2032" i="5"/>
  <c r="X1882" i="5"/>
  <c r="P1452" i="5"/>
  <c r="P2656" i="5"/>
  <c r="Y2416" i="5"/>
  <c r="X2728" i="5"/>
  <c r="X2838" i="5"/>
  <c r="X3069" i="5"/>
  <c r="X89" i="5"/>
  <c r="P903" i="5"/>
  <c r="X1080" i="5"/>
  <c r="X642" i="5"/>
  <c r="Y534" i="5"/>
  <c r="X1013" i="5"/>
  <c r="P1659" i="5"/>
  <c r="X2824" i="5"/>
  <c r="Y2095" i="5"/>
  <c r="P2095" i="5"/>
  <c r="X2206" i="5"/>
  <c r="X2340" i="5"/>
  <c r="X3245" i="5"/>
  <c r="P799" i="5"/>
  <c r="P380" i="5"/>
  <c r="X1042" i="5"/>
  <c r="X814" i="5"/>
  <c r="X2100" i="5"/>
  <c r="Y1119" i="5"/>
  <c r="P546" i="5"/>
  <c r="X1640" i="5"/>
  <c r="X2207" i="5"/>
  <c r="X1555" i="5"/>
  <c r="Y1191" i="5"/>
  <c r="X2601" i="5"/>
  <c r="X2576" i="5"/>
  <c r="Y2341" i="5"/>
  <c r="Y2130" i="5"/>
  <c r="P1828" i="5"/>
  <c r="X645" i="5"/>
  <c r="Y37" i="5"/>
  <c r="Y2854" i="5"/>
  <c r="X1773" i="5"/>
  <c r="P2205" i="5"/>
  <c r="X209" i="5"/>
  <c r="P430" i="5"/>
  <c r="P927" i="5"/>
  <c r="X1888" i="5"/>
  <c r="X2400" i="5"/>
  <c r="X2512" i="5"/>
  <c r="X2600" i="5"/>
  <c r="X1062" i="5"/>
  <c r="X1475" i="5"/>
  <c r="X1409" i="5"/>
  <c r="P31" i="5"/>
  <c r="P2405" i="5"/>
  <c r="Y2705" i="5"/>
  <c r="X2194" i="5"/>
  <c r="Y2612" i="5"/>
  <c r="P3094" i="5"/>
  <c r="Y2911" i="5"/>
  <c r="X2778" i="5"/>
  <c r="P3063" i="5"/>
  <c r="X387" i="5"/>
  <c r="X1401" i="5"/>
  <c r="X1761" i="5"/>
  <c r="X2373" i="5"/>
  <c r="Y169" i="5"/>
  <c r="X1695" i="5"/>
  <c r="X1064" i="5"/>
  <c r="X2486" i="5"/>
  <c r="X731" i="5"/>
  <c r="X707" i="5"/>
  <c r="Y2140" i="5"/>
  <c r="P2188" i="5"/>
  <c r="P3135" i="5"/>
  <c r="P2672" i="5"/>
  <c r="X2179" i="5"/>
  <c r="X365" i="5"/>
  <c r="Y1869" i="5"/>
  <c r="X1916" i="5"/>
  <c r="P2073" i="5"/>
  <c r="X2720" i="5"/>
  <c r="X2680" i="5"/>
  <c r="X2440" i="5"/>
  <c r="P2668" i="5"/>
  <c r="X2665" i="5"/>
  <c r="X2529" i="5"/>
  <c r="Y2951" i="5"/>
  <c r="P3223" i="5"/>
  <c r="P3042" i="5"/>
  <c r="Y977" i="5"/>
  <c r="X1054" i="5"/>
  <c r="P1410" i="5"/>
  <c r="P1658" i="5"/>
  <c r="P310" i="5"/>
  <c r="X907" i="5"/>
  <c r="X1455" i="5"/>
  <c r="X1924" i="5"/>
  <c r="X1375" i="5"/>
  <c r="X2663" i="5"/>
  <c r="P1954" i="5"/>
  <c r="Y3000" i="5"/>
  <c r="X2405" i="5"/>
  <c r="P1170" i="5"/>
  <c r="X997" i="5"/>
  <c r="X3114" i="5"/>
  <c r="X82" i="5"/>
  <c r="X2394" i="5"/>
  <c r="Y3142" i="5"/>
  <c r="X2370" i="5"/>
  <c r="X1936" i="5"/>
  <c r="X3163" i="5"/>
  <c r="X2898" i="5"/>
  <c r="Y3200" i="5"/>
  <c r="Y165" i="5"/>
  <c r="P962" i="5"/>
  <c r="P2031" i="5"/>
  <c r="Y2055" i="5"/>
  <c r="Y2713" i="5"/>
  <c r="Y1605" i="5"/>
  <c r="P2274" i="5"/>
  <c r="P2216" i="5"/>
  <c r="X3253" i="5"/>
  <c r="P81" i="5"/>
  <c r="Y114" i="5"/>
  <c r="P775" i="5"/>
  <c r="P965" i="5"/>
  <c r="X1581" i="5"/>
  <c r="X1219" i="5"/>
  <c r="Y1503" i="5"/>
  <c r="P1909" i="5"/>
  <c r="Y3050" i="5"/>
  <c r="Y1985" i="5"/>
  <c r="X3238" i="5"/>
  <c r="P1445" i="5"/>
  <c r="P2643" i="5"/>
  <c r="Y2374" i="5"/>
  <c r="P1833" i="5"/>
  <c r="P415" i="5"/>
  <c r="P2302" i="5"/>
  <c r="P1632" i="5"/>
  <c r="X370" i="5"/>
  <c r="Y2836" i="5"/>
  <c r="Y2899" i="5"/>
  <c r="X1750" i="5"/>
  <c r="X1323" i="5"/>
  <c r="X1259" i="5"/>
  <c r="P1534" i="5"/>
  <c r="X278" i="5"/>
  <c r="X1630" i="5"/>
  <c r="P3166" i="5"/>
  <c r="X85" i="5"/>
  <c r="P1977" i="5"/>
  <c r="P1041" i="5"/>
  <c r="Y2619" i="5"/>
  <c r="X2335" i="5"/>
  <c r="X1149" i="5"/>
  <c r="X1954" i="5"/>
  <c r="X3000" i="5"/>
  <c r="P2003" i="5"/>
  <c r="X2577" i="5"/>
  <c r="Y3145" i="5"/>
  <c r="X419" i="5"/>
  <c r="X2401" i="5"/>
  <c r="P1958" i="5"/>
  <c r="P3171" i="5"/>
  <c r="P2893" i="5"/>
  <c r="P1950" i="5"/>
  <c r="X3317" i="5"/>
  <c r="P2981" i="5"/>
  <c r="X2431" i="5"/>
  <c r="P591" i="5"/>
  <c r="Y1038" i="5"/>
  <c r="X193" i="5"/>
  <c r="Y1809" i="5"/>
  <c r="Y2633" i="5"/>
  <c r="X309" i="5"/>
  <c r="X1807" i="5"/>
  <c r="X2848" i="5"/>
  <c r="X2220" i="5"/>
  <c r="Y1849" i="5"/>
  <c r="P279" i="5"/>
  <c r="X2312" i="5"/>
  <c r="Y269" i="5"/>
  <c r="P125" i="5"/>
  <c r="P3118" i="5"/>
  <c r="X266" i="5"/>
  <c r="Y242" i="5"/>
  <c r="P100" i="5"/>
  <c r="Y658" i="5"/>
  <c r="Y990" i="5"/>
  <c r="P885" i="5"/>
  <c r="P1249" i="5"/>
  <c r="Y1844" i="5"/>
  <c r="P1949" i="5"/>
  <c r="P2113" i="5"/>
  <c r="X2542" i="5"/>
  <c r="X3003" i="5"/>
  <c r="Y3034" i="5"/>
  <c r="P937" i="5"/>
  <c r="P3183" i="5"/>
  <c r="Y791" i="5"/>
  <c r="Y1026" i="5"/>
  <c r="X3197" i="5"/>
  <c r="P980" i="5"/>
  <c r="Y3119" i="5"/>
  <c r="P2756" i="5"/>
  <c r="Y3270" i="5"/>
  <c r="P367" i="5"/>
  <c r="Y609" i="5"/>
  <c r="X528" i="5"/>
  <c r="X2311" i="5"/>
  <c r="X426" i="5"/>
  <c r="Y868" i="5"/>
  <c r="P89" i="5"/>
  <c r="Y166" i="5"/>
  <c r="X1514" i="5"/>
  <c r="P1010" i="5"/>
  <c r="X1977" i="5"/>
  <c r="Y654" i="5"/>
  <c r="X2451" i="5"/>
  <c r="Y1123" i="5"/>
  <c r="Y2156" i="5"/>
  <c r="X367" i="5"/>
  <c r="X1190" i="5"/>
  <c r="P2243" i="5"/>
  <c r="X2237" i="5"/>
  <c r="X2735" i="5"/>
  <c r="X2307" i="5"/>
  <c r="P419" i="5"/>
  <c r="X2104" i="5"/>
  <c r="X3171" i="5"/>
  <c r="X1294" i="5"/>
  <c r="X2981" i="5"/>
  <c r="X1236" i="5"/>
  <c r="P3258" i="5"/>
  <c r="X41" i="5"/>
  <c r="P976" i="5"/>
  <c r="X1447" i="5"/>
  <c r="Y879" i="5"/>
  <c r="Y3048" i="5"/>
  <c r="Y3098" i="5"/>
  <c r="P3235" i="5"/>
  <c r="Y500" i="5"/>
  <c r="P2903" i="5"/>
  <c r="Y2247" i="5"/>
  <c r="X213" i="5"/>
  <c r="P470" i="5"/>
  <c r="P466" i="5"/>
  <c r="Y2204" i="5"/>
  <c r="X1416" i="5"/>
  <c r="P192" i="5"/>
  <c r="Y693" i="5"/>
  <c r="X990" i="5"/>
  <c r="X1686" i="5"/>
  <c r="X2545" i="5"/>
  <c r="Y72" i="5"/>
  <c r="Y1981" i="5"/>
  <c r="P726" i="5"/>
  <c r="Y1143" i="5"/>
  <c r="Y1953" i="5"/>
  <c r="X11" i="5"/>
  <c r="X2300" i="5"/>
  <c r="X2750" i="5"/>
  <c r="P1799" i="5"/>
  <c r="Y855" i="5"/>
  <c r="Y1132" i="5"/>
  <c r="X3227" i="5"/>
  <c r="X2816" i="5"/>
  <c r="X1335" i="5"/>
  <c r="X2246" i="5"/>
  <c r="P2022" i="5"/>
  <c r="Y2001" i="5"/>
  <c r="X2784" i="5"/>
  <c r="X2198" i="5"/>
  <c r="X3258" i="5"/>
  <c r="X976" i="5"/>
  <c r="X2355" i="5"/>
  <c r="P249" i="5"/>
  <c r="P604" i="5"/>
  <c r="Y2557" i="5"/>
  <c r="X2229" i="5"/>
  <c r="Y717" i="5"/>
  <c r="Y2445" i="5"/>
  <c r="Y650" i="5"/>
  <c r="X1859" i="5"/>
  <c r="Y223" i="5"/>
  <c r="X3103" i="5"/>
  <c r="X275" i="5"/>
  <c r="P313" i="5"/>
  <c r="X527" i="5"/>
  <c r="Y943" i="5"/>
  <c r="Y1008" i="5"/>
  <c r="P2083" i="5"/>
  <c r="P2047" i="5"/>
  <c r="P2780" i="5"/>
  <c r="P2883" i="5"/>
  <c r="Y3325" i="5"/>
  <c r="Y3066" i="5"/>
  <c r="X3261" i="5"/>
  <c r="P2820" i="5"/>
  <c r="Y2659" i="5"/>
  <c r="P150" i="5"/>
  <c r="X59" i="5"/>
  <c r="X2351" i="5"/>
  <c r="X2640" i="5"/>
  <c r="X3257" i="5"/>
  <c r="X615" i="5"/>
  <c r="Y373" i="5"/>
  <c r="X1664" i="5"/>
  <c r="X170" i="5"/>
  <c r="Y865" i="5"/>
  <c r="Y792" i="5"/>
  <c r="X2782" i="5"/>
  <c r="Y1252" i="5"/>
  <c r="X2030" i="5"/>
  <c r="X2770" i="5"/>
  <c r="X216" i="5"/>
  <c r="X1280" i="5"/>
  <c r="Y3285" i="5"/>
  <c r="P1471" i="5"/>
  <c r="X2448" i="5"/>
  <c r="P102" i="5"/>
  <c r="X1340" i="5"/>
  <c r="Y1582" i="5"/>
  <c r="Y2280" i="5"/>
  <c r="X1124" i="5"/>
  <c r="P2176" i="5"/>
  <c r="X1981" i="5"/>
  <c r="X744" i="5"/>
  <c r="P2290" i="5"/>
  <c r="Y439" i="5"/>
  <c r="Y62" i="5"/>
  <c r="X910" i="5"/>
  <c r="X2047" i="5"/>
  <c r="X2581" i="5"/>
  <c r="P2976" i="5"/>
  <c r="P3005" i="5"/>
  <c r="Y2847" i="5"/>
  <c r="P1688" i="5"/>
  <c r="P3111" i="5"/>
  <c r="Y1402" i="5"/>
  <c r="X721" i="5"/>
  <c r="X865" i="5"/>
  <c r="Y1269" i="5"/>
  <c r="X3247" i="5"/>
  <c r="X2259" i="5"/>
  <c r="X2800" i="5"/>
  <c r="Y1293" i="5"/>
  <c r="P1487" i="5"/>
  <c r="Y2549" i="5"/>
  <c r="X2715" i="5"/>
  <c r="P3078" i="5"/>
  <c r="X3017" i="5"/>
  <c r="X3301" i="5"/>
  <c r="X882" i="5"/>
  <c r="P1397" i="5"/>
  <c r="Y1340" i="5"/>
  <c r="X21" i="5"/>
  <c r="X1186" i="5"/>
  <c r="P994" i="5"/>
  <c r="X375" i="5"/>
  <c r="Y2476" i="5"/>
  <c r="P2310" i="5"/>
  <c r="P553" i="5"/>
  <c r="Y3039" i="5"/>
  <c r="Y1696" i="5"/>
  <c r="Y117" i="5"/>
  <c r="X625" i="5"/>
  <c r="P670" i="5"/>
  <c r="X979" i="5"/>
  <c r="X1114" i="5"/>
  <c r="X1314" i="5"/>
  <c r="P1690" i="5"/>
  <c r="P2284" i="5"/>
  <c r="X3172" i="5"/>
  <c r="X3287" i="5"/>
  <c r="P1699" i="5"/>
  <c r="P2259" i="5"/>
  <c r="Y1248" i="5"/>
  <c r="X2703" i="5"/>
  <c r="X2409" i="5"/>
  <c r="X2136" i="5"/>
  <c r="Y484" i="5"/>
  <c r="X2089" i="5"/>
  <c r="Y2422" i="5"/>
  <c r="X2282" i="5"/>
  <c r="X2755" i="5"/>
  <c r="Y2539" i="5"/>
  <c r="P3169" i="5"/>
  <c r="X2818" i="5"/>
  <c r="Y3149" i="5"/>
  <c r="Y1596" i="5"/>
  <c r="Y1830" i="5"/>
  <c r="X1139" i="5"/>
  <c r="X740" i="5"/>
  <c r="Y1088" i="5"/>
  <c r="X2902" i="5"/>
  <c r="P2319" i="5"/>
  <c r="P2304" i="5"/>
  <c r="Y3044" i="5"/>
  <c r="Y2942" i="5"/>
  <c r="X1732" i="5"/>
  <c r="X71" i="5"/>
  <c r="Y394" i="5"/>
  <c r="X1397" i="5"/>
  <c r="P2443" i="5"/>
  <c r="Y840" i="5"/>
  <c r="Y1472" i="5"/>
  <c r="Y669" i="5"/>
  <c r="Y2399" i="5"/>
  <c r="Y732" i="5"/>
  <c r="Y431" i="5"/>
  <c r="Y733" i="5"/>
  <c r="Y1268" i="5"/>
  <c r="P1672" i="5"/>
  <c r="X2530" i="5"/>
  <c r="Y2685" i="5"/>
  <c r="X1334" i="5"/>
  <c r="X1463" i="5"/>
  <c r="Y1192" i="5"/>
  <c r="Y1751" i="5"/>
  <c r="X1439" i="5"/>
  <c r="Y1784" i="5"/>
  <c r="X2013" i="5"/>
  <c r="Y1932" i="5"/>
  <c r="X2603" i="5"/>
  <c r="Y3006" i="5"/>
  <c r="X2446" i="5"/>
  <c r="X3070" i="5"/>
  <c r="Y3115" i="5"/>
  <c r="X444" i="5"/>
  <c r="Y756" i="5"/>
  <c r="X1299" i="5"/>
  <c r="P712" i="5"/>
  <c r="X75" i="5"/>
  <c r="X2396" i="5"/>
  <c r="X2956" i="5"/>
  <c r="X1491" i="5"/>
  <c r="X3044" i="5"/>
  <c r="Y2710" i="5"/>
  <c r="X2004" i="5"/>
  <c r="X430" i="5"/>
  <c r="X32" i="5"/>
  <c r="X1270" i="5"/>
  <c r="P298" i="5"/>
  <c r="X2515" i="5"/>
  <c r="X870" i="5"/>
  <c r="P2867" i="5"/>
  <c r="X261" i="5"/>
  <c r="X802" i="5"/>
  <c r="X1012" i="5"/>
  <c r="X719" i="5"/>
  <c r="X3212" i="5"/>
  <c r="X1495" i="5"/>
  <c r="X3164" i="5"/>
  <c r="Y2968" i="5"/>
  <c r="X346" i="5"/>
  <c r="X343" i="5"/>
  <c r="Y181" i="5"/>
  <c r="Y2301" i="5"/>
  <c r="Y2361" i="5"/>
  <c r="X2532" i="5"/>
  <c r="Y15" i="5"/>
  <c r="P3192" i="5"/>
  <c r="Y890" i="5"/>
  <c r="P1026" i="5"/>
  <c r="P121" i="5"/>
  <c r="Y121" i="5"/>
  <c r="Y2945" i="5"/>
  <c r="P2945" i="5"/>
  <c r="P2681" i="5"/>
  <c r="Y2681" i="5"/>
  <c r="Y1424" i="5"/>
  <c r="P1424" i="5"/>
  <c r="P3100" i="5"/>
  <c r="Y3100" i="5"/>
  <c r="Y2257" i="5"/>
  <c r="P2257" i="5"/>
  <c r="P2023" i="5"/>
  <c r="Y2023" i="5"/>
  <c r="Y2895" i="5"/>
  <c r="P2895" i="5"/>
  <c r="X554" i="5"/>
  <c r="P928" i="5"/>
  <c r="P3269" i="5"/>
  <c r="Y3269" i="5"/>
  <c r="Y1961" i="5"/>
  <c r="P1961" i="5"/>
  <c r="Y798" i="5"/>
  <c r="X813" i="5"/>
  <c r="P990" i="5"/>
  <c r="P1522" i="5"/>
  <c r="X1322" i="5"/>
  <c r="Y1565" i="5"/>
  <c r="X1723" i="5"/>
  <c r="P1869" i="5"/>
  <c r="P2899" i="5"/>
  <c r="Y1945" i="5"/>
  <c r="P2590" i="5"/>
  <c r="Y2590" i="5"/>
  <c r="P404" i="5"/>
  <c r="Y404" i="5"/>
  <c r="P574" i="5"/>
  <c r="Y574" i="5"/>
  <c r="Y31" i="5"/>
  <c r="X466" i="5"/>
  <c r="X490" i="5"/>
  <c r="X904" i="5"/>
  <c r="Y887" i="5"/>
  <c r="P1722" i="5"/>
  <c r="P2291" i="5"/>
  <c r="Y2805" i="5"/>
  <c r="Y367" i="5"/>
  <c r="P559" i="5"/>
  <c r="Y559" i="5"/>
  <c r="X3021" i="5"/>
  <c r="Y509" i="5"/>
  <c r="P509" i="5"/>
  <c r="P2822" i="5"/>
  <c r="Y2822" i="5"/>
  <c r="P400" i="5"/>
  <c r="Y400" i="5"/>
  <c r="X1399" i="5"/>
  <c r="P2542" i="5"/>
  <c r="Y2542" i="5"/>
  <c r="P280" i="5"/>
  <c r="X860" i="5"/>
  <c r="P1070" i="5"/>
  <c r="Y1070" i="5"/>
  <c r="Y213" i="5"/>
  <c r="P213" i="5"/>
  <c r="P647" i="5"/>
  <c r="Y2075" i="5"/>
  <c r="Y3183" i="5"/>
  <c r="P1953" i="5"/>
  <c r="X2599" i="5"/>
  <c r="P2367" i="5"/>
  <c r="Y2367" i="5"/>
  <c r="P694" i="5"/>
  <c r="Y694" i="5"/>
  <c r="P778" i="5"/>
  <c r="Y778" i="5"/>
  <c r="Y3163" i="5"/>
  <c r="P3163" i="5"/>
  <c r="P372" i="5"/>
  <c r="Y372" i="5"/>
  <c r="P873" i="5"/>
  <c r="X768" i="5"/>
  <c r="Y1440" i="5"/>
  <c r="P1440" i="5"/>
  <c r="Y885" i="5"/>
  <c r="X873" i="5"/>
  <c r="P646" i="5"/>
  <c r="Y646" i="5"/>
  <c r="P2611" i="5"/>
  <c r="Y2611" i="5"/>
  <c r="X441" i="5"/>
  <c r="X863" i="5"/>
  <c r="X1462" i="5"/>
  <c r="X758" i="5"/>
  <c r="Y2927" i="5"/>
  <c r="Y2643" i="5"/>
  <c r="Y2714" i="5"/>
  <c r="P2714" i="5"/>
  <c r="P3033" i="5"/>
  <c r="Y3033" i="5"/>
  <c r="X541" i="5"/>
  <c r="P117" i="5"/>
  <c r="Y863" i="5"/>
  <c r="X1030" i="5"/>
  <c r="Y2333" i="5"/>
  <c r="P2644" i="5"/>
  <c r="Y2672" i="5"/>
  <c r="Y2574" i="5"/>
  <c r="X2759" i="5"/>
  <c r="Y2527" i="5"/>
  <c r="X2786" i="5"/>
  <c r="X963" i="5"/>
  <c r="X2804" i="5"/>
  <c r="Y3176" i="5"/>
  <c r="P3176" i="5"/>
  <c r="P3091" i="5"/>
  <c r="Y3091" i="5"/>
  <c r="P397" i="5"/>
  <c r="Y1249" i="5"/>
  <c r="Y2620" i="5"/>
  <c r="P2620" i="5"/>
  <c r="Y2759" i="5"/>
  <c r="P896" i="5"/>
  <c r="X3058" i="5"/>
  <c r="Y3284" i="5"/>
  <c r="P3156" i="5"/>
  <c r="Y3096" i="5"/>
  <c r="Y440" i="5"/>
  <c r="P2987" i="5"/>
  <c r="P1518" i="5"/>
  <c r="Y1518" i="5"/>
  <c r="X2605" i="5"/>
  <c r="Y3197" i="5"/>
  <c r="P3197" i="5"/>
  <c r="P130" i="5"/>
  <c r="P811" i="5"/>
  <c r="Y811" i="5"/>
  <c r="Y2973" i="5"/>
  <c r="P2973" i="5"/>
  <c r="P708" i="5"/>
  <c r="Y708" i="5"/>
  <c r="P2725" i="5"/>
  <c r="Y2725" i="5"/>
  <c r="P3035" i="5"/>
  <c r="P707" i="5"/>
  <c r="Y707" i="5"/>
  <c r="X670" i="5"/>
  <c r="P2447" i="5"/>
  <c r="Y2447" i="5"/>
  <c r="X866" i="5"/>
  <c r="X1274" i="5"/>
  <c r="P1473" i="5"/>
  <c r="Y1071" i="5"/>
  <c r="Y3288" i="5"/>
  <c r="Y3303" i="5"/>
  <c r="X2958" i="5"/>
  <c r="Y740" i="5"/>
  <c r="Y2820" i="5"/>
  <c r="Y1332" i="5"/>
  <c r="P1332" i="5"/>
  <c r="P1476" i="5"/>
  <c r="Y1476" i="5"/>
  <c r="P2869" i="5"/>
  <c r="Y2869" i="5"/>
  <c r="Y1311" i="5"/>
  <c r="P1311" i="5"/>
  <c r="P2983" i="5"/>
  <c r="Y2983" i="5"/>
  <c r="P234" i="5"/>
  <c r="Y234" i="5"/>
  <c r="P383" i="5"/>
  <c r="Y383" i="5"/>
  <c r="P72" i="5"/>
  <c r="X760" i="5"/>
  <c r="P62" i="5"/>
  <c r="P52" i="5"/>
  <c r="P149" i="5"/>
  <c r="X1655" i="5"/>
  <c r="X1473" i="5"/>
  <c r="P1985" i="5"/>
  <c r="X1927" i="5"/>
  <c r="P2434" i="5"/>
  <c r="Y2163" i="5"/>
  <c r="P2374" i="5"/>
  <c r="P2632" i="5"/>
  <c r="Y3127" i="5"/>
  <c r="X701" i="5"/>
  <c r="Y804" i="5"/>
  <c r="X1726" i="5"/>
  <c r="P2836" i="5"/>
  <c r="X1352" i="5"/>
  <c r="P134" i="5"/>
  <c r="Y134" i="5"/>
  <c r="Y1838" i="5"/>
  <c r="P1838" i="5"/>
  <c r="P891" i="5"/>
  <c r="Y891" i="5"/>
  <c r="P1551" i="5"/>
  <c r="Y1551" i="5"/>
  <c r="Y1204" i="5"/>
  <c r="P1204" i="5"/>
  <c r="P1469" i="5"/>
  <c r="Y1469" i="5"/>
  <c r="P939" i="5"/>
  <c r="Y939" i="5"/>
  <c r="P645" i="5"/>
  <c r="Y645" i="5"/>
  <c r="Y1601" i="5"/>
  <c r="P1601" i="5"/>
  <c r="Y1987" i="5"/>
  <c r="P1987" i="5"/>
  <c r="Y3062" i="5"/>
  <c r="P3062" i="5"/>
  <c r="Y1776" i="5"/>
  <c r="P230" i="5"/>
  <c r="Y230" i="5"/>
  <c r="X850" i="5"/>
  <c r="P2844" i="5"/>
  <c r="Y2844" i="5"/>
  <c r="P1398" i="5"/>
  <c r="Y1398" i="5"/>
  <c r="X455" i="5"/>
  <c r="P2174" i="5"/>
  <c r="X2537" i="5"/>
  <c r="X2886" i="5"/>
  <c r="P791" i="5"/>
  <c r="Y995" i="5"/>
  <c r="Y2946" i="5"/>
  <c r="P2946" i="5"/>
  <c r="P2659" i="5"/>
  <c r="P3136" i="5"/>
  <c r="P1845" i="5"/>
  <c r="Y1845" i="5"/>
  <c r="P2160" i="5"/>
  <c r="Y2160" i="5"/>
  <c r="Y1642" i="5"/>
  <c r="P1642" i="5"/>
  <c r="X2511" i="5"/>
  <c r="Y803" i="5"/>
  <c r="X2783" i="5"/>
  <c r="Y250" i="5"/>
  <c r="P2616" i="5"/>
  <c r="P2266" i="5"/>
  <c r="Y2266" i="5"/>
  <c r="Y2975" i="5"/>
  <c r="Y554" i="5"/>
  <c r="P554" i="5"/>
  <c r="X521" i="5"/>
  <c r="X2868" i="5"/>
  <c r="P2370" i="5"/>
  <c r="Y2370" i="5"/>
  <c r="Y765" i="5"/>
  <c r="P765" i="5"/>
  <c r="X2773" i="5"/>
  <c r="P2965" i="5"/>
  <c r="P2786" i="5"/>
  <c r="X2936" i="5"/>
  <c r="P531" i="5"/>
  <c r="Y531" i="5"/>
  <c r="P107" i="5"/>
  <c r="X107" i="5"/>
  <c r="Y495" i="5"/>
  <c r="P1114" i="5"/>
  <c r="X1382" i="5"/>
  <c r="Y1493" i="5"/>
  <c r="P1493" i="5"/>
  <c r="Y936" i="5"/>
  <c r="X291" i="5"/>
  <c r="X1126" i="5"/>
  <c r="X914" i="5"/>
  <c r="P187" i="5"/>
  <c r="Y187" i="5"/>
  <c r="P2078" i="5"/>
  <c r="Y2078" i="5"/>
  <c r="Y1538" i="5"/>
  <c r="P1538" i="5"/>
  <c r="Y1964" i="5"/>
  <c r="Y2905" i="5"/>
  <c r="X2365" i="5"/>
  <c r="X3207" i="5"/>
  <c r="P3324" i="5"/>
  <c r="P3302" i="5"/>
  <c r="P2615" i="5"/>
  <c r="P2711" i="5"/>
  <c r="P469" i="5"/>
  <c r="P1420" i="5"/>
  <c r="Y2033" i="5"/>
  <c r="Y1210" i="5"/>
  <c r="Y2723" i="5"/>
  <c r="X1143" i="5"/>
  <c r="X2624" i="5"/>
  <c r="X3254" i="5"/>
  <c r="Y1193" i="5"/>
  <c r="Y2104" i="5"/>
  <c r="Y235" i="5"/>
  <c r="P25" i="5"/>
  <c r="Y2270" i="5"/>
  <c r="X2878" i="5"/>
  <c r="X2172" i="5"/>
  <c r="Y2112" i="5"/>
  <c r="P2112" i="5"/>
  <c r="P79" i="5"/>
  <c r="P15" i="5"/>
  <c r="P269" i="5"/>
  <c r="X539" i="5"/>
  <c r="Y994" i="5"/>
  <c r="X660" i="5"/>
  <c r="Y699" i="5"/>
  <c r="X1131" i="5"/>
  <c r="P1199" i="5"/>
  <c r="Y1371" i="5"/>
  <c r="Y1896" i="5"/>
  <c r="X2053" i="5"/>
  <c r="X2595" i="5"/>
  <c r="P2685" i="5"/>
  <c r="X772" i="5"/>
  <c r="Y271" i="5"/>
  <c r="X1284" i="5"/>
  <c r="X1415" i="5"/>
  <c r="Y2956" i="5"/>
  <c r="X2427" i="5"/>
  <c r="X749" i="5"/>
  <c r="X1766" i="5"/>
  <c r="P2826" i="5"/>
  <c r="P3304" i="5"/>
  <c r="Y3304" i="5"/>
  <c r="X778" i="5"/>
  <c r="P195" i="5"/>
  <c r="Y195" i="5"/>
  <c r="X326" i="5"/>
  <c r="P1154" i="5"/>
  <c r="Y1154" i="5"/>
  <c r="Y2337" i="5"/>
  <c r="X3327" i="5"/>
  <c r="X451" i="5"/>
  <c r="P807" i="5"/>
  <c r="P1167" i="5"/>
  <c r="X729" i="5"/>
  <c r="X1199" i="5"/>
  <c r="Y488" i="5"/>
  <c r="X1571" i="5"/>
  <c r="Y1818" i="5"/>
  <c r="X1407" i="5"/>
  <c r="X2422" i="5"/>
  <c r="P2660" i="5"/>
  <c r="X2751" i="5"/>
  <c r="P2551" i="5"/>
  <c r="X2753" i="5"/>
  <c r="Y3320" i="5"/>
  <c r="P3090" i="5"/>
  <c r="Y3212" i="5"/>
  <c r="P318" i="5"/>
  <c r="X271" i="5"/>
  <c r="X1517" i="5"/>
  <c r="P993" i="5"/>
  <c r="Y667" i="5"/>
  <c r="X2806" i="5"/>
  <c r="X1703" i="5"/>
  <c r="Y3306" i="5"/>
  <c r="P3306" i="5"/>
  <c r="X1152" i="5"/>
  <c r="Y861" i="5"/>
  <c r="Y2117" i="5"/>
  <c r="X56" i="5"/>
  <c r="P3124" i="5"/>
  <c r="Y3124" i="5"/>
  <c r="P194" i="5"/>
  <c r="P363" i="5"/>
  <c r="Y825" i="5"/>
  <c r="X214" i="5"/>
  <c r="X743" i="5"/>
  <c r="X2287" i="5"/>
  <c r="Y2749" i="5"/>
  <c r="P155" i="5"/>
  <c r="X215" i="5"/>
  <c r="X407" i="5"/>
  <c r="X672" i="5"/>
  <c r="X710" i="5"/>
  <c r="X685" i="5"/>
  <c r="Y1110" i="5"/>
  <c r="X780" i="5"/>
  <c r="X1459" i="5"/>
  <c r="Y1627" i="5"/>
  <c r="Y1749" i="5"/>
  <c r="X1494" i="5"/>
  <c r="X2637" i="5"/>
  <c r="X2614" i="5"/>
  <c r="Y3031" i="5"/>
  <c r="X2551" i="5"/>
  <c r="P2752" i="5"/>
  <c r="X2647" i="5"/>
  <c r="Y2753" i="5"/>
  <c r="Y3282" i="5"/>
  <c r="P439" i="5"/>
  <c r="X552" i="5"/>
  <c r="X318" i="5"/>
  <c r="X1179" i="5"/>
  <c r="X993" i="5"/>
  <c r="Y1213" i="5"/>
  <c r="Y388" i="5"/>
  <c r="P2134" i="5"/>
  <c r="X1721" i="5"/>
  <c r="Y2980" i="5"/>
  <c r="P2980" i="5"/>
  <c r="X2541" i="5"/>
  <c r="X847" i="5"/>
  <c r="Y2210" i="5"/>
  <c r="X281" i="5"/>
  <c r="X2830" i="5"/>
  <c r="Y3326" i="5"/>
  <c r="Y2118" i="5"/>
  <c r="X2536" i="5"/>
  <c r="X2971" i="5"/>
  <c r="P1948" i="5"/>
  <c r="P996" i="5"/>
  <c r="Y996" i="5"/>
  <c r="X636" i="5"/>
  <c r="X2897" i="5"/>
  <c r="X853" i="5"/>
  <c r="X1677" i="5"/>
  <c r="P2368" i="5"/>
  <c r="Y2535" i="5"/>
  <c r="Y1124" i="5"/>
  <c r="Y772" i="5"/>
  <c r="Y639" i="5"/>
  <c r="P888" i="5"/>
  <c r="Y692" i="5"/>
  <c r="X810" i="5"/>
  <c r="X1511" i="5"/>
  <c r="X1479" i="5"/>
  <c r="X1986" i="5"/>
  <c r="P2450" i="5"/>
  <c r="Y2926" i="5"/>
  <c r="Y2505" i="5"/>
  <c r="P3255" i="5"/>
  <c r="P597" i="5"/>
  <c r="Y90" i="5"/>
  <c r="Y2615" i="5"/>
  <c r="Y2648" i="5"/>
  <c r="Y2756" i="5"/>
  <c r="X1718" i="5"/>
  <c r="Y2811" i="5"/>
  <c r="P2811" i="5"/>
  <c r="X3318" i="5"/>
  <c r="Y378" i="5"/>
  <c r="P545" i="5"/>
  <c r="X892" i="5"/>
  <c r="P1143" i="5"/>
  <c r="X1386" i="5"/>
  <c r="X1674" i="5"/>
  <c r="Y254" i="5"/>
  <c r="Y2150" i="5"/>
  <c r="X1210" i="5"/>
  <c r="X182" i="5"/>
  <c r="X862" i="5"/>
  <c r="P720" i="5"/>
  <c r="P998" i="5"/>
  <c r="X348" i="5"/>
  <c r="P232" i="5"/>
  <c r="X328" i="5"/>
  <c r="X1206" i="5"/>
  <c r="P1433" i="5"/>
  <c r="X1631" i="5"/>
  <c r="X2037" i="5"/>
  <c r="X3156" i="5"/>
  <c r="Y1265" i="5"/>
  <c r="X166" i="5"/>
  <c r="P925" i="5"/>
  <c r="Y2336" i="5"/>
  <c r="Y2669" i="5"/>
  <c r="X2686" i="5"/>
  <c r="Y2207" i="5"/>
  <c r="X349" i="5"/>
  <c r="P3066" i="5"/>
  <c r="Y2776" i="5"/>
  <c r="X3281" i="5"/>
  <c r="Y2791" i="5"/>
  <c r="P3232" i="5"/>
  <c r="Y3232" i="5"/>
  <c r="X2793" i="5"/>
  <c r="P691" i="5"/>
  <c r="X1278" i="5"/>
  <c r="X1217" i="5"/>
  <c r="X1670" i="5"/>
  <c r="X1756" i="5"/>
  <c r="Y1791" i="5"/>
  <c r="X2457" i="5"/>
  <c r="P2567" i="5"/>
  <c r="P3280" i="5"/>
  <c r="Y3143" i="5"/>
  <c r="Y745" i="5"/>
  <c r="P2271" i="5"/>
  <c r="X3216" i="5"/>
  <c r="Y2501" i="5"/>
  <c r="P1040" i="5"/>
  <c r="X1151" i="5"/>
  <c r="Y2877" i="5"/>
  <c r="P3279" i="5"/>
  <c r="Y3279" i="5"/>
  <c r="P2779" i="5"/>
  <c r="Y2779" i="5"/>
  <c r="P17" i="5"/>
  <c r="Y17" i="5"/>
  <c r="Y1780" i="5"/>
  <c r="P1780" i="5"/>
  <c r="X31" i="5"/>
  <c r="X2649" i="5"/>
  <c r="P2137" i="5"/>
  <c r="Y3084" i="5"/>
  <c r="Y3036" i="5"/>
  <c r="X2879" i="5"/>
  <c r="X2582" i="5"/>
  <c r="X2719" i="5"/>
  <c r="Y2552" i="5"/>
  <c r="X2787" i="5"/>
  <c r="P3325" i="5"/>
  <c r="X2628" i="5"/>
  <c r="Y1555" i="5"/>
  <c r="X2338" i="5"/>
  <c r="Y2941" i="5"/>
  <c r="P2941" i="5"/>
  <c r="Y2589" i="5"/>
  <c r="X364" i="5"/>
  <c r="P2852" i="5"/>
  <c r="Y2750" i="5"/>
  <c r="P2750" i="5"/>
  <c r="Y1944" i="5"/>
  <c r="X2392" i="5"/>
  <c r="P2743" i="5"/>
  <c r="P2793" i="5"/>
  <c r="P2607" i="5"/>
  <c r="P3182" i="5"/>
  <c r="Y3130" i="5"/>
  <c r="X3090" i="5"/>
  <c r="X745" i="5"/>
  <c r="Y950" i="5"/>
  <c r="X2087" i="5"/>
  <c r="X1918" i="5"/>
  <c r="P1377" i="5"/>
  <c r="Y3005" i="5"/>
  <c r="X1422" i="5"/>
  <c r="Y3027" i="5"/>
  <c r="Y1211" i="5"/>
  <c r="X1191" i="5"/>
  <c r="P1683" i="5"/>
  <c r="X2433" i="5"/>
  <c r="Y286" i="5"/>
  <c r="P2324" i="5"/>
  <c r="P1914" i="5"/>
  <c r="P63" i="5"/>
  <c r="Y520" i="5"/>
  <c r="P520" i="5"/>
  <c r="X1680" i="5"/>
  <c r="Y815" i="5"/>
  <c r="X1660" i="5"/>
  <c r="P1827" i="5"/>
  <c r="X3314" i="5"/>
  <c r="X2167" i="5"/>
  <c r="X2584" i="5"/>
  <c r="P1497" i="5"/>
  <c r="P2493" i="5"/>
  <c r="X776" i="5"/>
  <c r="Y2289" i="5"/>
  <c r="X1835" i="5"/>
  <c r="X1211" i="5"/>
  <c r="Y3087" i="5"/>
  <c r="X794" i="5"/>
  <c r="X2329" i="5"/>
  <c r="X63" i="5"/>
  <c r="X1839" i="5"/>
  <c r="P2765" i="5"/>
  <c r="Y2765" i="5"/>
  <c r="X2115" i="5"/>
  <c r="X2358" i="5"/>
  <c r="X2712" i="5"/>
  <c r="X2644" i="5"/>
  <c r="P2970" i="5"/>
  <c r="X2432" i="5"/>
  <c r="X3140" i="5"/>
  <c r="X3263" i="5"/>
  <c r="Y1112" i="5"/>
  <c r="X480" i="5"/>
  <c r="X759" i="5"/>
  <c r="Y475" i="5"/>
  <c r="Y1626" i="5"/>
  <c r="X1003" i="5"/>
  <c r="Y395" i="5"/>
  <c r="Y2584" i="5"/>
  <c r="P584" i="5"/>
  <c r="Y2661" i="5"/>
  <c r="X1698" i="5"/>
  <c r="X1477" i="5"/>
  <c r="X3174" i="5"/>
  <c r="Y371" i="5"/>
  <c r="X2238" i="5"/>
  <c r="X3091" i="5"/>
  <c r="Y595" i="5"/>
  <c r="X1876" i="5"/>
  <c r="Y1898" i="5"/>
  <c r="P341" i="5"/>
  <c r="P336" i="5"/>
  <c r="X1844" i="5"/>
  <c r="Y931" i="5"/>
  <c r="Y2697" i="5"/>
  <c r="Y231" i="5"/>
  <c r="X661" i="5"/>
  <c r="X1533" i="5"/>
  <c r="X2208" i="5"/>
  <c r="X584" i="5"/>
  <c r="X2702" i="5"/>
  <c r="Y2840" i="5"/>
  <c r="Y393" i="5"/>
  <c r="X1181" i="5"/>
  <c r="P505" i="5"/>
  <c r="X1234" i="5"/>
  <c r="X1442" i="5"/>
  <c r="Y533" i="5"/>
  <c r="Y1291" i="5"/>
  <c r="Y1166" i="5"/>
  <c r="P1166" i="5"/>
  <c r="P1381" i="5"/>
  <c r="Y1381" i="5"/>
  <c r="X2606" i="5"/>
  <c r="Y368" i="5"/>
  <c r="X540" i="5"/>
  <c r="Y830" i="5"/>
  <c r="P666" i="5"/>
  <c r="X495" i="5"/>
  <c r="Y726" i="5"/>
  <c r="X918" i="5"/>
  <c r="X1059" i="5"/>
  <c r="X1318" i="5"/>
  <c r="Y1882" i="5"/>
  <c r="X1757" i="5"/>
  <c r="P1727" i="5"/>
  <c r="X1798" i="5"/>
  <c r="P2339" i="5"/>
  <c r="P2809" i="5"/>
  <c r="P2619" i="5"/>
  <c r="P2408" i="5"/>
  <c r="Y238" i="5"/>
  <c r="X104" i="5"/>
  <c r="X832" i="5"/>
  <c r="P658" i="5"/>
  <c r="X756" i="5"/>
  <c r="X1830" i="5"/>
  <c r="Y2782" i="5"/>
  <c r="X67" i="5"/>
  <c r="X2655" i="5"/>
  <c r="Y2346" i="5"/>
  <c r="X3139" i="5"/>
  <c r="X2774" i="5"/>
  <c r="P1529" i="5"/>
  <c r="X2908" i="5"/>
  <c r="X1901" i="5"/>
  <c r="X1650" i="5"/>
  <c r="X2114" i="5"/>
  <c r="P1981" i="5"/>
  <c r="Y2193" i="5"/>
  <c r="Y1816" i="5"/>
  <c r="P2503" i="5"/>
  <c r="X12" i="5"/>
  <c r="X1273" i="5"/>
  <c r="X1906" i="5"/>
  <c r="X2723" i="5"/>
  <c r="X712" i="5"/>
  <c r="Y821" i="5"/>
  <c r="Y2235" i="5"/>
  <c r="Y2952" i="5"/>
  <c r="X3165" i="5"/>
  <c r="X409" i="5"/>
  <c r="Y402" i="5"/>
  <c r="X3268" i="5"/>
  <c r="X467" i="5"/>
  <c r="P1186" i="5"/>
  <c r="X249" i="5"/>
  <c r="X1976" i="5"/>
  <c r="Y512" i="5"/>
  <c r="X2116" i="5"/>
  <c r="X2341" i="5"/>
  <c r="P2201" i="5"/>
  <c r="X3045" i="5"/>
  <c r="X2333" i="5"/>
  <c r="P3318" i="5"/>
  <c r="P285" i="5"/>
  <c r="P1085" i="5"/>
  <c r="P246" i="5"/>
  <c r="P2788" i="5"/>
  <c r="X1271" i="5"/>
  <c r="X2253" i="5"/>
  <c r="Y489" i="5"/>
  <c r="P1107" i="5"/>
  <c r="Y2120" i="5"/>
  <c r="Y2957" i="5"/>
  <c r="X88" i="5"/>
  <c r="X2714" i="5"/>
  <c r="X2670" i="5"/>
  <c r="X2295" i="5"/>
  <c r="Y923" i="5"/>
  <c r="X2553" i="5"/>
  <c r="X2412" i="5"/>
  <c r="P3198" i="5"/>
  <c r="X790" i="5"/>
  <c r="Y2578" i="5"/>
  <c r="P3051" i="5"/>
  <c r="Y3192" i="5"/>
  <c r="Y3301" i="5"/>
  <c r="Y2369" i="5"/>
  <c r="P2486" i="5"/>
  <c r="Y350" i="5"/>
  <c r="X2823" i="5"/>
  <c r="X509" i="5"/>
  <c r="X2757" i="5"/>
  <c r="X3285" i="5"/>
  <c r="Y1910" i="5"/>
  <c r="X2155" i="5"/>
  <c r="Y1925" i="5"/>
  <c r="X3054" i="5"/>
  <c r="Y856" i="5"/>
  <c r="Y515" i="5"/>
  <c r="X1675" i="5"/>
  <c r="X19" i="5"/>
  <c r="Y1862" i="5"/>
  <c r="P3316" i="5"/>
  <c r="Y2979" i="5"/>
  <c r="X1084" i="5"/>
  <c r="X683" i="5"/>
  <c r="X265" i="5"/>
  <c r="Y1064" i="5"/>
  <c r="P1788" i="5"/>
  <c r="P2005" i="5"/>
  <c r="P1019" i="5"/>
  <c r="X2620" i="5"/>
  <c r="P746" i="5"/>
  <c r="X788" i="5"/>
  <c r="Y36" i="5"/>
  <c r="X2019" i="5"/>
  <c r="P631" i="5"/>
  <c r="P910" i="5"/>
  <c r="Y1239" i="5"/>
  <c r="P1758" i="5"/>
  <c r="Y1781" i="5"/>
  <c r="X1469" i="5"/>
  <c r="X1965" i="5"/>
  <c r="X2523" i="5"/>
  <c r="X2871" i="5"/>
  <c r="X2687" i="5"/>
  <c r="Y3319" i="5"/>
  <c r="P3075" i="5"/>
  <c r="P3240" i="5"/>
  <c r="Y3188" i="5"/>
  <c r="Y635" i="5"/>
  <c r="X2952" i="5"/>
  <c r="Y2916" i="5"/>
  <c r="X2" i="5"/>
  <c r="X1925" i="5"/>
  <c r="Y980" i="5"/>
  <c r="X355" i="5"/>
  <c r="P2875" i="5"/>
  <c r="X2342" i="5"/>
  <c r="P1389" i="5"/>
  <c r="P299" i="5"/>
  <c r="Y1084" i="5"/>
  <c r="P683" i="5"/>
  <c r="Y4" i="5"/>
  <c r="X2112" i="5"/>
  <c r="X2791" i="5"/>
  <c r="X1788" i="5"/>
  <c r="P2220" i="5"/>
  <c r="X267" i="5"/>
  <c r="X1708" i="5"/>
  <c r="X1095" i="5"/>
  <c r="Y2679" i="5"/>
  <c r="P913" i="5"/>
  <c r="P2322" i="5"/>
  <c r="Y343" i="5"/>
  <c r="X341" i="5"/>
  <c r="X227" i="5"/>
  <c r="X694" i="5"/>
  <c r="X464" i="5"/>
  <c r="X891" i="5"/>
  <c r="P2294" i="5"/>
  <c r="Y2425" i="5"/>
  <c r="Y3060" i="5"/>
  <c r="X3240" i="5"/>
  <c r="X1573" i="5"/>
  <c r="X2301" i="5"/>
  <c r="P3214" i="5"/>
  <c r="Y480" i="5"/>
  <c r="P759" i="5"/>
  <c r="X1300" i="5"/>
  <c r="X376" i="5"/>
  <c r="Y45" i="5"/>
  <c r="P2972" i="5"/>
  <c r="P1337" i="5"/>
  <c r="Y491" i="5"/>
  <c r="X259" i="5"/>
  <c r="P3162" i="5"/>
  <c r="Y564" i="5"/>
  <c r="Y153" i="5"/>
  <c r="X941" i="5"/>
  <c r="Y2451" i="5"/>
  <c r="X883" i="5"/>
  <c r="X1962" i="5"/>
  <c r="X2933" i="5"/>
  <c r="X2371" i="5"/>
  <c r="X3019" i="5"/>
  <c r="Y2237" i="5"/>
  <c r="X2347" i="5"/>
  <c r="Y1477" i="5"/>
  <c r="Y3010" i="5"/>
  <c r="X3325" i="5"/>
  <c r="X591" i="5"/>
  <c r="Y1492" i="5"/>
  <c r="P418" i="5"/>
  <c r="X879" i="5"/>
  <c r="X2289" i="5"/>
  <c r="X1987" i="5"/>
  <c r="P377" i="5"/>
  <c r="Y309" i="5"/>
  <c r="P1807" i="5"/>
  <c r="Y1445" i="5"/>
  <c r="Y2862" i="5"/>
  <c r="Y2229" i="5"/>
  <c r="X2903" i="5"/>
  <c r="X650" i="5"/>
  <c r="X459" i="5"/>
  <c r="X1849" i="5"/>
  <c r="X864" i="5"/>
  <c r="Y118" i="5"/>
  <c r="P1351" i="5"/>
  <c r="Y1035" i="5"/>
  <c r="P207" i="5"/>
  <c r="X2061" i="5"/>
  <c r="X2269" i="5"/>
  <c r="X78" i="5"/>
  <c r="P620" i="5"/>
  <c r="Y742" i="5"/>
  <c r="P1696" i="5"/>
  <c r="X2090" i="5"/>
  <c r="P2617" i="5"/>
  <c r="X2091" i="5"/>
  <c r="P3270" i="5"/>
  <c r="P3238" i="5"/>
  <c r="X2991" i="5"/>
  <c r="P1002" i="5"/>
  <c r="Y1874" i="5"/>
  <c r="P1730" i="5"/>
  <c r="P3186" i="5"/>
  <c r="P401" i="5"/>
  <c r="X1048" i="5"/>
  <c r="P1660" i="5"/>
  <c r="P1142" i="5"/>
  <c r="P1989" i="5"/>
  <c r="X1885" i="5"/>
  <c r="X2931" i="5"/>
  <c r="Y867" i="5"/>
  <c r="P216" i="5"/>
  <c r="P1280" i="5"/>
  <c r="P2059" i="5"/>
  <c r="P1902" i="5"/>
  <c r="X1529" i="5"/>
  <c r="X2528" i="5"/>
  <c r="X2293" i="5"/>
  <c r="Y676" i="5"/>
  <c r="Y814" i="5"/>
  <c r="Y462" i="5"/>
  <c r="X1984" i="5"/>
  <c r="Y1181" i="5"/>
  <c r="X2125" i="5"/>
  <c r="Y1460" i="5"/>
  <c r="P2238" i="5"/>
  <c r="P1901" i="5"/>
  <c r="P2114" i="5"/>
  <c r="X1851" i="5"/>
  <c r="X2550" i="5"/>
  <c r="X2589" i="5"/>
  <c r="X662" i="5"/>
  <c r="X1011" i="5"/>
  <c r="Y1374" i="5"/>
  <c r="Y965" i="5"/>
  <c r="Y2500" i="5"/>
  <c r="X80" i="5"/>
  <c r="Y374" i="5"/>
  <c r="X1016" i="5"/>
  <c r="X1243" i="5"/>
  <c r="Y937" i="5"/>
  <c r="Y1203" i="5"/>
  <c r="X1248" i="5"/>
  <c r="X2062" i="5"/>
  <c r="P2475" i="5"/>
  <c r="X2453" i="5"/>
  <c r="Y2113" i="5"/>
  <c r="X3252" i="5"/>
  <c r="P1735" i="5"/>
  <c r="Y1178" i="5"/>
  <c r="X1203" i="5"/>
  <c r="X1979" i="5"/>
  <c r="P2744" i="5"/>
  <c r="Y2989" i="5"/>
  <c r="X1825" i="5"/>
  <c r="X1183" i="5"/>
  <c r="X114" i="5"/>
  <c r="P1441" i="5"/>
  <c r="P1084" i="5"/>
  <c r="X1499" i="5"/>
  <c r="Y1954" i="5"/>
  <c r="Y3125" i="5"/>
  <c r="P2705" i="5"/>
  <c r="P2908" i="5"/>
  <c r="Y3302" i="5"/>
  <c r="P650" i="5"/>
  <c r="P2337" i="5"/>
  <c r="P1717" i="5"/>
  <c r="Y2147" i="5"/>
  <c r="P3002" i="5"/>
  <c r="X3037" i="5"/>
  <c r="Y596" i="5"/>
  <c r="Y415" i="5"/>
  <c r="Y2164" i="5"/>
  <c r="P2117" i="5"/>
  <c r="P2203" i="5"/>
  <c r="P1639" i="5"/>
  <c r="Y2856" i="5"/>
  <c r="P500" i="5"/>
  <c r="P833" i="5"/>
  <c r="Y419" i="5"/>
  <c r="Y1807" i="5"/>
  <c r="Y2586" i="5"/>
  <c r="P2140" i="5"/>
  <c r="Y2238" i="5"/>
  <c r="Y2437" i="5"/>
  <c r="P90" i="5"/>
  <c r="Y677" i="5"/>
  <c r="P639" i="5"/>
  <c r="X1235" i="5"/>
  <c r="P1567" i="5"/>
  <c r="P1191" i="5"/>
  <c r="X971" i="5"/>
  <c r="Y1918" i="5"/>
  <c r="P2121" i="5"/>
  <c r="Y2063" i="5"/>
  <c r="Y2114" i="5"/>
  <c r="P2342" i="5"/>
  <c r="Y2290" i="5"/>
  <c r="P3060" i="5"/>
  <c r="Y2302" i="5"/>
  <c r="Y2205" i="5"/>
  <c r="Y558" i="5"/>
  <c r="Y875" i="5"/>
  <c r="P2592" i="5"/>
  <c r="Y845" i="5"/>
  <c r="X4" i="5"/>
  <c r="Y326" i="5"/>
  <c r="P1849" i="5"/>
  <c r="Y377" i="5"/>
  <c r="X1569" i="5"/>
  <c r="Y3235" i="5"/>
  <c r="Y102" i="5"/>
  <c r="Y2503" i="5"/>
  <c r="P1374" i="5"/>
  <c r="Y1711" i="5"/>
  <c r="P1711" i="5"/>
  <c r="P1132" i="5"/>
  <c r="X2554" i="5"/>
  <c r="X953" i="5"/>
  <c r="Y348" i="5"/>
  <c r="Y1672" i="5"/>
  <c r="P1781" i="5"/>
  <c r="P2633" i="5"/>
  <c r="X1004" i="5"/>
  <c r="Y2558" i="5"/>
  <c r="X2343" i="5"/>
  <c r="X3007" i="5"/>
  <c r="X954" i="5"/>
  <c r="X725" i="5"/>
  <c r="P1038" i="5"/>
  <c r="P936" i="5"/>
  <c r="X2186" i="5"/>
  <c r="P350" i="5"/>
  <c r="P242" i="5"/>
  <c r="P291" i="5"/>
  <c r="Y379" i="5"/>
  <c r="Y746" i="5"/>
  <c r="P609" i="5"/>
  <c r="P855" i="5"/>
  <c r="Y913" i="5"/>
  <c r="X1500" i="5"/>
  <c r="P1887" i="5"/>
  <c r="P1855" i="5"/>
  <c r="Y1280" i="5"/>
  <c r="P2526" i="5"/>
  <c r="P2850" i="5"/>
  <c r="Y3298" i="5"/>
  <c r="X3101" i="5"/>
  <c r="P3226" i="5"/>
  <c r="P1437" i="5"/>
  <c r="P447" i="5"/>
  <c r="P484" i="5"/>
  <c r="Y152" i="5"/>
  <c r="X28" i="5"/>
  <c r="P664" i="5"/>
  <c r="P821" i="5"/>
  <c r="X519" i="5"/>
  <c r="Y759" i="5"/>
  <c r="X183" i="5"/>
  <c r="X735" i="5"/>
  <c r="Y1115" i="5"/>
  <c r="P2139" i="5"/>
  <c r="Y2216" i="5"/>
  <c r="P2425" i="5"/>
  <c r="P3104" i="5"/>
  <c r="X3071" i="5"/>
  <c r="P118" i="5"/>
  <c r="Y2014" i="5"/>
  <c r="Y2711" i="5"/>
  <c r="X1804" i="5"/>
  <c r="P931" i="5"/>
  <c r="X621" i="5"/>
  <c r="X2677" i="5"/>
  <c r="P295" i="5"/>
  <c r="P503" i="5"/>
  <c r="Y216" i="5"/>
  <c r="X382" i="5"/>
  <c r="P495" i="5"/>
  <c r="X498" i="5"/>
  <c r="Y910" i="5"/>
  <c r="P1193" i="5"/>
  <c r="P1018" i="5"/>
  <c r="X1983" i="5"/>
  <c r="Y2304" i="5"/>
  <c r="Y2479" i="5"/>
  <c r="X3025" i="5"/>
  <c r="P2278" i="5"/>
  <c r="P733" i="5"/>
  <c r="X1283" i="5"/>
  <c r="P1684" i="5"/>
  <c r="X2925" i="5"/>
  <c r="Y1632" i="5"/>
  <c r="X2485" i="5"/>
  <c r="Y2530" i="5"/>
  <c r="P2847" i="5"/>
  <c r="P169" i="5"/>
  <c r="P1460" i="5"/>
  <c r="Y2220" i="5"/>
  <c r="Y3041" i="5"/>
  <c r="P4" i="5"/>
  <c r="P1140" i="5"/>
  <c r="P1809" i="5"/>
  <c r="P1268" i="5"/>
  <c r="Y2059" i="5"/>
  <c r="X1716" i="5"/>
  <c r="P1890" i="5"/>
  <c r="P2384" i="5"/>
  <c r="P3048" i="5"/>
  <c r="P2772" i="5"/>
  <c r="P3034" i="5"/>
  <c r="P3285" i="5"/>
  <c r="P2791" i="5"/>
  <c r="X1547" i="5"/>
  <c r="Y1833" i="5"/>
  <c r="P823" i="5"/>
  <c r="Y25" i="5"/>
  <c r="Y249" i="5"/>
  <c r="Y336" i="5"/>
  <c r="X849" i="5"/>
  <c r="X797" i="5"/>
  <c r="P662" i="5"/>
  <c r="X1645" i="5"/>
  <c r="Y799" i="5"/>
  <c r="Y1452" i="5"/>
  <c r="X1889" i="5"/>
  <c r="P2033" i="5"/>
  <c r="Y2310" i="5"/>
  <c r="Y2582" i="5"/>
  <c r="P2862" i="5"/>
  <c r="P2679" i="5"/>
  <c r="P139" i="5"/>
  <c r="Y470" i="5"/>
  <c r="P281" i="5"/>
  <c r="Y505" i="5"/>
  <c r="X595" i="5"/>
  <c r="X27" i="5"/>
  <c r="Y553" i="5"/>
  <c r="Y1170" i="5"/>
  <c r="X1020" i="5"/>
  <c r="P1555" i="5"/>
  <c r="X84" i="5"/>
  <c r="Y1042" i="5"/>
  <c r="P1008" i="5"/>
  <c r="Y924" i="5"/>
  <c r="X1701" i="5"/>
  <c r="P1775" i="5"/>
  <c r="Y2191" i="5"/>
  <c r="Y2721" i="5"/>
  <c r="P856" i="5"/>
  <c r="Y1901" i="5"/>
  <c r="Y341" i="5"/>
  <c r="X1163" i="5"/>
  <c r="P1906" i="5"/>
  <c r="P835" i="5"/>
  <c r="P1929" i="5"/>
  <c r="Y2496" i="5"/>
  <c r="Y3046" i="5"/>
  <c r="Y1521" i="5"/>
  <c r="Y1725" i="5"/>
  <c r="Y2666" i="5"/>
  <c r="P2666" i="5"/>
  <c r="Y2514" i="5"/>
  <c r="P2514" i="5"/>
  <c r="Y1127" i="5"/>
  <c r="P1127" i="5"/>
  <c r="P3261" i="5"/>
  <c r="P2859" i="5"/>
  <c r="Y2859" i="5"/>
  <c r="Y1304" i="5"/>
  <c r="P1304" i="5"/>
  <c r="P13" i="5"/>
  <c r="Y13" i="5"/>
  <c r="Y872" i="5"/>
  <c r="P1222" i="5"/>
  <c r="Y1222" i="5"/>
  <c r="Y2428" i="5"/>
  <c r="P2428" i="5"/>
  <c r="Y3206" i="5"/>
  <c r="P3206" i="5"/>
  <c r="P906" i="5"/>
  <c r="Y906" i="5"/>
  <c r="Y2575" i="5"/>
  <c r="P2575" i="5"/>
  <c r="Y1031" i="5"/>
  <c r="P1031" i="5"/>
  <c r="Y428" i="5"/>
  <c r="P428" i="5"/>
  <c r="Y2184" i="5"/>
  <c r="P2184" i="5"/>
  <c r="Y303" i="5"/>
  <c r="P303" i="5"/>
  <c r="P1427" i="5"/>
  <c r="Y1427" i="5"/>
  <c r="P1219" i="5"/>
  <c r="Y1219" i="5"/>
  <c r="P2687" i="5"/>
  <c r="Y2687" i="5"/>
  <c r="Y2340" i="5"/>
  <c r="P2340" i="5"/>
  <c r="P2471" i="5"/>
  <c r="Y2471" i="5"/>
  <c r="P742" i="5"/>
  <c r="P1293" i="5"/>
  <c r="P1035" i="5"/>
  <c r="X1454" i="5"/>
  <c r="Y2475" i="5"/>
  <c r="P112" i="5"/>
  <c r="Y112" i="5"/>
  <c r="Y914" i="5"/>
  <c r="P914" i="5"/>
  <c r="Y1831" i="5"/>
  <c r="P1831" i="5"/>
  <c r="Y1678" i="5"/>
  <c r="P1678" i="5"/>
  <c r="P1640" i="5"/>
  <c r="Y1640" i="5"/>
  <c r="Y1628" i="5"/>
  <c r="P1628" i="5"/>
  <c r="X687" i="5"/>
  <c r="P1276" i="5"/>
  <c r="Y1276" i="5"/>
  <c r="Y2423" i="5"/>
  <c r="P2423" i="5"/>
  <c r="Y409" i="5"/>
  <c r="P409" i="5"/>
  <c r="Y3004" i="5"/>
  <c r="P3004" i="5"/>
  <c r="P527" i="5"/>
  <c r="Y527" i="5"/>
  <c r="Y3072" i="5"/>
  <c r="P3072" i="5"/>
  <c r="P231" i="5"/>
  <c r="X2420" i="5"/>
  <c r="Y3213" i="5"/>
  <c r="P3213" i="5"/>
  <c r="P2986" i="5"/>
  <c r="Y2986" i="5"/>
  <c r="Y1487" i="5"/>
  <c r="P2979" i="5"/>
  <c r="Y3237" i="5"/>
  <c r="P3237" i="5"/>
  <c r="P1837" i="5"/>
  <c r="Y1837" i="5"/>
  <c r="P191" i="5"/>
  <c r="Y191" i="5"/>
  <c r="P1401" i="5"/>
  <c r="Y1401" i="5"/>
  <c r="Y340" i="5"/>
  <c r="P340" i="5"/>
  <c r="Y1761" i="5"/>
  <c r="P1761" i="5"/>
  <c r="X1293" i="5"/>
  <c r="Y369" i="5"/>
  <c r="P369" i="5"/>
  <c r="Y1748" i="5"/>
  <c r="P3083" i="5"/>
  <c r="Y3287" i="5"/>
  <c r="P454" i="5"/>
  <c r="P1514" i="5"/>
  <c r="Y1514" i="5"/>
  <c r="Y1083" i="5"/>
  <c r="P1083" i="5"/>
  <c r="Y1966" i="5"/>
  <c r="Y1257" i="5"/>
  <c r="P1257" i="5"/>
  <c r="Y577" i="5"/>
  <c r="P577" i="5"/>
  <c r="Y752" i="5"/>
  <c r="P752" i="5"/>
  <c r="Y1920" i="5"/>
  <c r="P1920" i="5"/>
  <c r="P1577" i="5"/>
  <c r="Y1577" i="5"/>
  <c r="P3180" i="5"/>
  <c r="Y3180" i="5"/>
  <c r="P2260" i="5"/>
  <c r="Y2260" i="5"/>
  <c r="P915" i="5"/>
  <c r="Y915" i="5"/>
  <c r="Y1863" i="5"/>
  <c r="P1863" i="5"/>
  <c r="P2929" i="5"/>
  <c r="Y2929" i="5"/>
  <c r="P870" i="5"/>
  <c r="Y870" i="5"/>
  <c r="P2754" i="5"/>
  <c r="Y2754" i="5"/>
  <c r="P449" i="5"/>
  <c r="Y449" i="5"/>
  <c r="Y33" i="5"/>
  <c r="P33" i="5"/>
  <c r="Y1743" i="5"/>
  <c r="Y1557" i="5"/>
  <c r="Y1263" i="5"/>
  <c r="P1263" i="5"/>
  <c r="P2234" i="5"/>
  <c r="P2648" i="5"/>
  <c r="Y3052" i="5"/>
  <c r="P3052" i="5"/>
  <c r="Y313" i="5"/>
  <c r="P1211" i="5"/>
  <c r="Y1002" i="5"/>
  <c r="Y401" i="5"/>
  <c r="P1654" i="5"/>
  <c r="P2877" i="5"/>
  <c r="P468" i="5"/>
  <c r="Y468" i="5"/>
  <c r="Y1664" i="5"/>
  <c r="P1664" i="5"/>
  <c r="Y375" i="5"/>
  <c r="P375" i="5"/>
  <c r="Y3262" i="5"/>
  <c r="P3262" i="5"/>
  <c r="Y930" i="5"/>
  <c r="P930" i="5"/>
  <c r="Y122" i="5"/>
  <c r="P122" i="5"/>
  <c r="P1541" i="5"/>
  <c r="Y1541" i="5"/>
  <c r="Y3289" i="5"/>
  <c r="P3289" i="5"/>
  <c r="Y1856" i="5"/>
  <c r="P1856" i="5"/>
  <c r="Y2244" i="5"/>
  <c r="P2244" i="5"/>
  <c r="P314" i="5"/>
  <c r="Y314" i="5"/>
  <c r="Y526" i="5"/>
  <c r="P923" i="5"/>
  <c r="X1821" i="5"/>
  <c r="Y51" i="5"/>
  <c r="P51" i="5"/>
  <c r="P266" i="5"/>
  <c r="Y266" i="5"/>
  <c r="Y2839" i="5"/>
  <c r="P2839" i="5"/>
  <c r="P325" i="5"/>
  <c r="Y325" i="5"/>
  <c r="Y2246" i="5"/>
  <c r="P2246" i="5"/>
  <c r="Y2142" i="5"/>
  <c r="P2142" i="5"/>
  <c r="Y2489" i="5"/>
  <c r="P2489" i="5"/>
  <c r="P208" i="5"/>
  <c r="Y208" i="5"/>
  <c r="Y2018" i="5"/>
  <c r="P2018" i="5"/>
  <c r="P71" i="5"/>
  <c r="Y71" i="5"/>
  <c r="Y247" i="5"/>
  <c r="P247" i="5"/>
  <c r="Y3076" i="5"/>
  <c r="P3076" i="5"/>
  <c r="Y2070" i="5"/>
  <c r="P2070" i="5"/>
  <c r="Y2279" i="5"/>
  <c r="P2279" i="5"/>
  <c r="Y1835" i="5"/>
  <c r="P1835" i="5"/>
  <c r="P2051" i="5"/>
  <c r="Y2051" i="5"/>
  <c r="P3022" i="5"/>
  <c r="Y3022" i="5"/>
  <c r="Y2283" i="5"/>
  <c r="P2283" i="5"/>
  <c r="Y2483" i="5"/>
  <c r="P2483" i="5"/>
  <c r="P2193" i="5"/>
  <c r="P2512" i="5"/>
  <c r="P387" i="5"/>
  <c r="Y387" i="5"/>
  <c r="P512" i="5"/>
  <c r="Y1394" i="5"/>
  <c r="Y1578" i="5"/>
  <c r="Y2783" i="5"/>
  <c r="P2783" i="5"/>
  <c r="P3028" i="5"/>
  <c r="P3157" i="5"/>
  <c r="Y730" i="5"/>
  <c r="P730" i="5"/>
  <c r="P2404" i="5"/>
  <c r="Y2404" i="5"/>
  <c r="P2281" i="5"/>
  <c r="Y2281" i="5"/>
  <c r="P239" i="5"/>
  <c r="Y239" i="5"/>
  <c r="P40" i="5"/>
  <c r="Y40" i="5"/>
  <c r="X1086" i="5"/>
  <c r="X3128" i="5"/>
  <c r="Y3037" i="5"/>
  <c r="P3037" i="5"/>
  <c r="Y459" i="5"/>
  <c r="P459" i="5"/>
  <c r="Y158" i="5"/>
  <c r="P533" i="5"/>
  <c r="X532" i="5"/>
  <c r="P1239" i="5"/>
  <c r="P2207" i="5"/>
  <c r="Y1799" i="5"/>
  <c r="P697" i="5"/>
  <c r="Y697" i="5"/>
  <c r="P1811" i="5"/>
  <c r="Y1811" i="5"/>
  <c r="P2497" i="5"/>
  <c r="P2158" i="5"/>
  <c r="Y2158" i="5"/>
  <c r="P64" i="5"/>
  <c r="Y64" i="5"/>
  <c r="Y1078" i="5"/>
  <c r="P1078" i="5"/>
  <c r="Y1372" i="5"/>
  <c r="P1372" i="5"/>
  <c r="P2787" i="5"/>
  <c r="Y2787" i="5"/>
  <c r="P344" i="5"/>
  <c r="Y1090" i="5"/>
  <c r="P1090" i="5"/>
  <c r="P595" i="5"/>
  <c r="P732" i="5"/>
  <c r="P489" i="5"/>
  <c r="P1606" i="5"/>
  <c r="Y1606" i="5"/>
  <c r="Y2394" i="5"/>
  <c r="P2394" i="5"/>
  <c r="Y2363" i="5"/>
  <c r="P2363" i="5"/>
  <c r="Y132" i="5"/>
  <c r="P132" i="5"/>
  <c r="P3203" i="5"/>
  <c r="Y3203" i="5"/>
  <c r="Y246" i="5"/>
  <c r="P374" i="5"/>
  <c r="Y657" i="5"/>
  <c r="Y878" i="5"/>
  <c r="P878" i="5"/>
  <c r="X1560" i="5"/>
  <c r="X2212" i="5"/>
  <c r="Y3169" i="5"/>
  <c r="P2030" i="5"/>
  <c r="Y2030" i="5"/>
  <c r="P2667" i="5"/>
  <c r="Y2667" i="5"/>
  <c r="P1973" i="5"/>
  <c r="Y1973" i="5"/>
  <c r="Y619" i="5"/>
  <c r="P619" i="5"/>
  <c r="Y285" i="5"/>
  <c r="X755" i="5"/>
  <c r="Y1337" i="5"/>
  <c r="P3039" i="5"/>
  <c r="Y3247" i="5"/>
  <c r="P3247" i="5"/>
  <c r="X2402" i="5"/>
  <c r="P394" i="5"/>
  <c r="P861" i="5"/>
  <c r="X1591" i="5"/>
  <c r="Y3078" i="5"/>
  <c r="Y648" i="5"/>
  <c r="P648" i="5"/>
  <c r="X162" i="5"/>
  <c r="P638" i="5"/>
  <c r="X1406" i="5"/>
  <c r="P1708" i="5"/>
  <c r="Y2468" i="5"/>
  <c r="P421" i="5"/>
  <c r="P480" i="5"/>
  <c r="X793" i="5"/>
  <c r="P1814" i="5"/>
  <c r="X2231" i="5"/>
  <c r="Y2026" i="5"/>
  <c r="P1067" i="5"/>
  <c r="P736" i="5"/>
  <c r="Y736" i="5"/>
  <c r="P2264" i="5"/>
  <c r="Y1876" i="5"/>
  <c r="P1876" i="5"/>
  <c r="P2200" i="5"/>
  <c r="Y2200" i="5"/>
  <c r="Y2937" i="5"/>
  <c r="P2937" i="5"/>
  <c r="Y1698" i="5"/>
  <c r="Y1960" i="5"/>
  <c r="Y2511" i="5"/>
  <c r="P2511" i="5"/>
  <c r="P2448" i="5"/>
  <c r="Y2448" i="5"/>
  <c r="Y3055" i="5"/>
  <c r="P3055" i="5"/>
  <c r="P1539" i="5"/>
  <c r="Y2102" i="5"/>
  <c r="P2102" i="5"/>
  <c r="P3003" i="5"/>
  <c r="Y3003" i="5"/>
  <c r="Y1144" i="5"/>
  <c r="Y794" i="5"/>
  <c r="P1129" i="5"/>
  <c r="P717" i="5"/>
  <c r="Y670" i="5"/>
  <c r="X988" i="5"/>
  <c r="Y2684" i="5"/>
  <c r="P2684" i="5"/>
  <c r="X3049" i="5"/>
  <c r="Y2125" i="5"/>
  <c r="P2125" i="5"/>
  <c r="Y673" i="5"/>
  <c r="P673" i="5"/>
  <c r="P2433" i="5"/>
  <c r="P2270" i="5"/>
  <c r="Y2963" i="5"/>
  <c r="X2346" i="5"/>
  <c r="Y3186" i="5"/>
  <c r="Y1726" i="5"/>
  <c r="P966" i="5"/>
  <c r="P1883" i="5"/>
  <c r="X1600" i="5"/>
  <c r="P3188" i="5"/>
  <c r="X422" i="5"/>
  <c r="P654" i="5"/>
  <c r="X734" i="5"/>
  <c r="Y2373" i="5"/>
  <c r="P2562" i="5"/>
  <c r="Y2148" i="5"/>
  <c r="P2148" i="5"/>
  <c r="P1454" i="5"/>
  <c r="Y1454" i="5"/>
  <c r="P1744" i="5"/>
  <c r="Y1744" i="5"/>
  <c r="P3317" i="5"/>
  <c r="Y3317" i="5"/>
  <c r="Y265" i="5"/>
  <c r="Y827" i="5"/>
  <c r="X77" i="5"/>
  <c r="X1999" i="5"/>
  <c r="Y3135" i="5"/>
  <c r="Y1644" i="5"/>
  <c r="P1644" i="5"/>
  <c r="Y852" i="5"/>
  <c r="P852" i="5"/>
  <c r="Y2788" i="5"/>
  <c r="Y2155" i="5"/>
  <c r="P2155" i="5"/>
  <c r="Y3272" i="5"/>
  <c r="P3272" i="5"/>
  <c r="P1016" i="5"/>
  <c r="P126" i="5"/>
  <c r="Y3224" i="5"/>
  <c r="P256" i="5"/>
  <c r="Y1019" i="5"/>
  <c r="Y644" i="5"/>
  <c r="P644" i="5"/>
  <c r="P2015" i="5"/>
  <c r="Y2015" i="5"/>
  <c r="Y2263" i="5"/>
  <c r="P2263" i="5"/>
  <c r="X3116" i="5"/>
  <c r="P2576" i="5"/>
  <c r="P786" i="5"/>
  <c r="Y255" i="5"/>
  <c r="X366" i="5"/>
  <c r="P371" i="5"/>
  <c r="P795" i="5"/>
  <c r="Y795" i="5"/>
  <c r="P2776" i="5"/>
  <c r="P2906" i="5"/>
  <c r="Y2906" i="5"/>
  <c r="Y895" i="5"/>
  <c r="P895" i="5"/>
  <c r="Y1859" i="5"/>
  <c r="P1859" i="5"/>
  <c r="Y3308" i="5"/>
  <c r="P3308" i="5"/>
  <c r="X2593" i="5"/>
  <c r="X496" i="5"/>
  <c r="P1252" i="5"/>
  <c r="X1599" i="5"/>
  <c r="X1679" i="5"/>
  <c r="Y1914" i="5"/>
  <c r="P3050" i="5"/>
  <c r="P165" i="5"/>
  <c r="P1289" i="5"/>
  <c r="Y263" i="5"/>
  <c r="X1092" i="5"/>
  <c r="Y978" i="5"/>
  <c r="X445" i="5"/>
  <c r="X1467" i="5"/>
  <c r="Y1659" i="5"/>
  <c r="X1044" i="5"/>
  <c r="P2229" i="5"/>
  <c r="X2889" i="5"/>
  <c r="P237" i="5"/>
  <c r="Y237" i="5"/>
  <c r="Y3194" i="5"/>
  <c r="P3194" i="5"/>
  <c r="P2515" i="5"/>
  <c r="Y2515" i="5"/>
  <c r="Y1045" i="5"/>
  <c r="P1045" i="5"/>
  <c r="Y1730" i="5"/>
  <c r="Y2066" i="5"/>
  <c r="X2421" i="5"/>
  <c r="X2842" i="5"/>
  <c r="X955" i="5"/>
  <c r="Y1441" i="5"/>
  <c r="Y1894" i="5"/>
  <c r="X2192" i="5"/>
  <c r="X2495" i="5"/>
  <c r="X1115" i="5"/>
  <c r="X1937" i="5"/>
  <c r="Y2981" i="5"/>
  <c r="X543" i="5"/>
  <c r="X1619" i="5"/>
  <c r="X2359" i="5"/>
  <c r="X3013" i="5"/>
  <c r="X336" i="5"/>
  <c r="P613" i="5"/>
  <c r="X303" i="5"/>
  <c r="P347" i="5"/>
  <c r="X1579" i="5"/>
  <c r="Y1735" i="5"/>
  <c r="Y1941" i="5"/>
  <c r="P2742" i="5"/>
  <c r="Y1732" i="5"/>
  <c r="X1485" i="5"/>
  <c r="X1928" i="5"/>
  <c r="X2349" i="5"/>
  <c r="X3206" i="5"/>
  <c r="X3043" i="5"/>
  <c r="X1744" i="5"/>
  <c r="Y81" i="5"/>
  <c r="P1021" i="5"/>
  <c r="X1775" i="5"/>
  <c r="X2549" i="5"/>
  <c r="Y3009" i="5"/>
  <c r="X180" i="5"/>
  <c r="X442" i="5"/>
  <c r="X571" i="5"/>
  <c r="X1629" i="5"/>
  <c r="X1057" i="5"/>
  <c r="X1637" i="5"/>
  <c r="X2227" i="5"/>
  <c r="Y928" i="5"/>
  <c r="X1255" i="5"/>
  <c r="Y1631" i="5"/>
  <c r="Y1662" i="5"/>
  <c r="P1884" i="5"/>
  <c r="P2519" i="5"/>
  <c r="Y2295" i="5"/>
  <c r="X2305" i="5"/>
  <c r="X2474" i="5"/>
  <c r="X3033" i="5"/>
  <c r="X2741" i="5"/>
  <c r="X3073" i="5"/>
  <c r="X51" i="5"/>
  <c r="P174" i="5"/>
  <c r="Y1281" i="5"/>
  <c r="P1178" i="5"/>
  <c r="P1605" i="5"/>
  <c r="P2049" i="5"/>
  <c r="X3296" i="5"/>
  <c r="X3081" i="5"/>
  <c r="P3321" i="5"/>
  <c r="Y3068" i="5"/>
  <c r="Y1690" i="5"/>
  <c r="Y1708" i="5"/>
  <c r="Y1684" i="5"/>
  <c r="P1682" i="5"/>
  <c r="P1694" i="5"/>
  <c r="P1671" i="5"/>
  <c r="P1732" i="5"/>
  <c r="Y1707" i="5"/>
  <c r="P1698" i="5"/>
  <c r="Y1719" i="5"/>
  <c r="Y1675" i="5"/>
  <c r="Y1683" i="5"/>
  <c r="Y1699" i="5"/>
  <c r="P1692" i="5"/>
  <c r="Y1704" i="5"/>
  <c r="Y3214" i="5"/>
  <c r="X2368" i="5"/>
  <c r="Y2259" i="5"/>
  <c r="P2921" i="5"/>
  <c r="P3068" i="5"/>
  <c r="P475" i="5"/>
  <c r="Y3019" i="5"/>
  <c r="X2758" i="5"/>
  <c r="P265" i="5"/>
  <c r="X2361" i="5"/>
  <c r="Y1021" i="5"/>
  <c r="Y1016" i="5"/>
  <c r="X792" i="5"/>
  <c r="Y1731" i="5"/>
  <c r="P2982" i="5"/>
  <c r="Y2742" i="5"/>
  <c r="Y9" i="5"/>
  <c r="X1920" i="5"/>
  <c r="P36" i="5"/>
  <c r="X2190" i="5"/>
  <c r="Y486" i="5"/>
  <c r="Y628" i="5"/>
  <c r="P783" i="5"/>
  <c r="Y597" i="5"/>
  <c r="P805" i="5"/>
  <c r="Y1287" i="5"/>
  <c r="Y1630" i="5"/>
  <c r="X1661" i="5"/>
  <c r="P1757" i="5"/>
  <c r="P1964" i="5"/>
  <c r="Y2287" i="5"/>
  <c r="Y2047" i="5"/>
  <c r="Y2243" i="5"/>
  <c r="P2055" i="5"/>
  <c r="P2341" i="5"/>
  <c r="Y2009" i="5"/>
  <c r="Y2108" i="5"/>
  <c r="X2861" i="5"/>
  <c r="Y2616" i="5"/>
  <c r="Y2444" i="5"/>
  <c r="P3036" i="5"/>
  <c r="P2768" i="5"/>
  <c r="Y3085" i="5"/>
  <c r="P3089" i="5"/>
  <c r="P2938" i="5"/>
  <c r="X2533" i="5"/>
  <c r="Y418" i="5"/>
  <c r="X1731" i="5"/>
  <c r="Y174" i="5"/>
  <c r="X322" i="5"/>
  <c r="P431" i="5"/>
  <c r="P241" i="5"/>
  <c r="Y631" i="5"/>
  <c r="X1554" i="5"/>
  <c r="Y24" i="5"/>
  <c r="Y192" i="5"/>
  <c r="P1413" i="5"/>
  <c r="Y1413" i="5"/>
  <c r="P2190" i="5"/>
  <c r="P3108" i="5"/>
  <c r="Y613" i="5"/>
  <c r="P2109" i="5"/>
  <c r="P43" i="5"/>
  <c r="Y347" i="5"/>
  <c r="P223" i="5"/>
  <c r="X676" i="5"/>
  <c r="Y126" i="5"/>
  <c r="P879" i="5"/>
  <c r="X1395" i="5"/>
  <c r="P1521" i="5"/>
  <c r="Y962" i="5"/>
  <c r="P493" i="5"/>
  <c r="Y1107" i="5"/>
  <c r="P1468" i="5"/>
  <c r="X2339" i="5"/>
  <c r="Y3225" i="5"/>
  <c r="P3224" i="5"/>
  <c r="Y786" i="5"/>
  <c r="X503" i="5"/>
  <c r="X697" i="5"/>
  <c r="Y1539" i="5"/>
  <c r="Y1149" i="5"/>
  <c r="P3271" i="5"/>
  <c r="Y1288" i="5"/>
  <c r="P2062" i="5"/>
  <c r="X1369" i="5"/>
  <c r="Y3002" i="5"/>
  <c r="X174" i="5"/>
  <c r="Y63" i="5"/>
  <c r="P790" i="5"/>
  <c r="X2623" i="5"/>
  <c r="Y3051" i="5"/>
  <c r="X2808" i="5"/>
  <c r="Y236" i="5"/>
  <c r="Y80" i="5"/>
  <c r="Y120" i="5"/>
  <c r="P229" i="5"/>
  <c r="X398" i="5"/>
  <c r="Y1160" i="5"/>
  <c r="Y903" i="5"/>
  <c r="X1633" i="5"/>
  <c r="Y1906" i="5"/>
  <c r="Y1884" i="5"/>
  <c r="P3023" i="5"/>
  <c r="Y2998" i="5"/>
  <c r="P3139" i="5"/>
  <c r="X3109" i="5"/>
  <c r="Y3111" i="5"/>
  <c r="Y3118" i="5"/>
  <c r="Y1527" i="5"/>
  <c r="P2710" i="5"/>
  <c r="P1248" i="5"/>
  <c r="P2237" i="5"/>
  <c r="X94" i="5"/>
  <c r="P2130" i="5"/>
  <c r="X1289" i="5"/>
  <c r="P2468" i="5"/>
  <c r="Y638" i="5"/>
  <c r="Y1058" i="5"/>
  <c r="Y207" i="5"/>
  <c r="X226" i="5"/>
  <c r="Y1225" i="5"/>
  <c r="Y605" i="5"/>
  <c r="Y927" i="5"/>
  <c r="Y1317" i="5"/>
  <c r="X2199" i="5"/>
  <c r="Y3238" i="5"/>
  <c r="Y2991" i="5"/>
  <c r="P172" i="5"/>
  <c r="X524" i="5"/>
  <c r="X1156" i="5"/>
  <c r="P1256" i="5"/>
  <c r="P1626" i="5"/>
  <c r="P1588" i="5"/>
  <c r="X1891" i="5"/>
  <c r="X1864" i="5"/>
  <c r="X2077" i="5"/>
  <c r="P2841" i="5"/>
  <c r="X2467" i="5"/>
  <c r="P1291" i="5"/>
  <c r="X2180" i="5"/>
  <c r="P1122" i="5"/>
  <c r="P2550" i="5"/>
  <c r="X605" i="5"/>
  <c r="X1317" i="5"/>
  <c r="Y2592" i="5"/>
  <c r="P2912" i="5"/>
  <c r="X2643" i="5"/>
  <c r="X2657" i="5"/>
  <c r="Y1180" i="5"/>
  <c r="P680" i="5"/>
  <c r="P1032" i="5"/>
  <c r="X754" i="5"/>
  <c r="P558" i="5"/>
  <c r="Y1041" i="5"/>
  <c r="Y1245" i="5"/>
  <c r="Y683" i="5"/>
  <c r="P1686" i="5"/>
  <c r="P615" i="5"/>
  <c r="X1667" i="5"/>
  <c r="P1631" i="5"/>
  <c r="X2119" i="5"/>
  <c r="X2410" i="5"/>
  <c r="Y2388" i="5"/>
  <c r="X2650" i="5"/>
  <c r="X2888" i="5"/>
  <c r="P2856" i="5"/>
  <c r="P3009" i="5"/>
  <c r="Y3299" i="5"/>
  <c r="Y3321" i="5"/>
  <c r="P259" i="5"/>
  <c r="P1825" i="5"/>
  <c r="X3084" i="5"/>
  <c r="Y2322" i="5"/>
  <c r="P2717" i="5"/>
  <c r="Y3017" i="5"/>
  <c r="P262" i="5"/>
  <c r="Y344" i="5"/>
  <c r="Y279" i="5"/>
  <c r="X397" i="5"/>
  <c r="Y100" i="5"/>
  <c r="X2026" i="5"/>
  <c r="X2337" i="5"/>
  <c r="P143" i="5"/>
  <c r="P287" i="5"/>
  <c r="P1477" i="5"/>
  <c r="X1536" i="5"/>
  <c r="Y1246" i="5"/>
  <c r="Y1506" i="5"/>
  <c r="P1662" i="5"/>
  <c r="P2713" i="5"/>
  <c r="X3100" i="5"/>
  <c r="X3193" i="5"/>
  <c r="P1144" i="5"/>
  <c r="Y2274" i="5"/>
  <c r="X2439" i="5"/>
  <c r="X2473" i="5"/>
  <c r="P3301" i="5"/>
  <c r="X157" i="5"/>
  <c r="P2272" i="5"/>
  <c r="Y78" i="5"/>
  <c r="P1941" i="5"/>
  <c r="Y2544" i="5"/>
  <c r="P679" i="5"/>
  <c r="X1145" i="5"/>
  <c r="Y675" i="5"/>
  <c r="X580" i="5"/>
  <c r="Y1497" i="5"/>
  <c r="Y1040" i="5"/>
  <c r="P2275" i="5"/>
  <c r="Y2443" i="5"/>
  <c r="Y2898" i="5"/>
  <c r="P3207" i="5"/>
  <c r="Y3152" i="5"/>
  <c r="P462" i="5"/>
  <c r="X1306" i="5"/>
  <c r="X3213" i="5"/>
  <c r="Y2035" i="5"/>
  <c r="P875" i="5"/>
  <c r="P776" i="5"/>
  <c r="Y604" i="5"/>
  <c r="Y2188" i="5"/>
  <c r="P309" i="5"/>
  <c r="X738" i="5"/>
  <c r="P481" i="5"/>
  <c r="Y976" i="5"/>
  <c r="P784" i="5"/>
  <c r="Y1861" i="5"/>
  <c r="Y1977" i="5"/>
  <c r="Y2433" i="5"/>
  <c r="P2369" i="5"/>
  <c r="P138" i="5"/>
  <c r="P1492" i="5"/>
  <c r="P2211" i="5"/>
  <c r="P255" i="5"/>
  <c r="P3041" i="5"/>
  <c r="Y3198" i="5"/>
  <c r="X2356" i="5"/>
  <c r="X3010" i="5"/>
  <c r="X1594" i="5"/>
  <c r="Y556" i="5"/>
  <c r="Y1695" i="5"/>
  <c r="X1683" i="5"/>
  <c r="P261" i="5"/>
  <c r="Y1434" i="5"/>
  <c r="Y1341" i="5"/>
  <c r="X2671" i="5"/>
  <c r="X3119" i="5"/>
  <c r="Y410" i="5"/>
  <c r="P827" i="5"/>
  <c r="Y1177" i="5"/>
  <c r="Y1352" i="5"/>
  <c r="X1301" i="5"/>
  <c r="Y1462" i="5"/>
  <c r="P2461" i="5"/>
  <c r="Y2519" i="5"/>
  <c r="P2295" i="5"/>
  <c r="P2989" i="5"/>
  <c r="X999" i="5"/>
  <c r="P2151" i="5"/>
  <c r="P3044" i="5"/>
  <c r="X2377" i="5"/>
  <c r="X44" i="5"/>
  <c r="Y293" i="5"/>
  <c r="Y54" i="5"/>
  <c r="Y447" i="5"/>
  <c r="Y3155" i="5"/>
  <c r="Y2875" i="5"/>
  <c r="Y2576" i="5"/>
  <c r="P2598" i="5"/>
  <c r="Y3261" i="5"/>
  <c r="X395" i="5"/>
  <c r="Y469" i="5"/>
  <c r="P722" i="5"/>
  <c r="X663" i="5"/>
  <c r="X1298" i="5"/>
  <c r="Y1529" i="5"/>
  <c r="P1862" i="5"/>
  <c r="P1816" i="5"/>
  <c r="X2141" i="5"/>
  <c r="P2147" i="5"/>
  <c r="P2578" i="5"/>
  <c r="X2436" i="5"/>
  <c r="Y2673" i="5"/>
  <c r="X1507" i="5"/>
  <c r="P2091" i="5"/>
  <c r="X2219" i="5"/>
  <c r="X2911" i="5"/>
  <c r="Y154" i="5"/>
  <c r="Y1929" i="5"/>
  <c r="X454" i="5"/>
  <c r="P1472" i="5"/>
  <c r="P146" i="5"/>
  <c r="X937" i="5"/>
  <c r="P1917" i="5"/>
  <c r="X2425" i="5"/>
  <c r="X3052" i="5"/>
  <c r="Y2780" i="5"/>
  <c r="Y248" i="5"/>
  <c r="X1593" i="5"/>
  <c r="P2308" i="5"/>
  <c r="X2028" i="5"/>
  <c r="X2069" i="5"/>
  <c r="Y2390" i="5"/>
  <c r="Y2624" i="5"/>
  <c r="Y2677" i="5"/>
  <c r="Y3318" i="5"/>
  <c r="X1715" i="5"/>
  <c r="Y2458" i="5"/>
  <c r="Y1129" i="5"/>
  <c r="Y1817" i="5"/>
  <c r="P3065" i="5"/>
  <c r="P140" i="5"/>
  <c r="Y201" i="5"/>
  <c r="X2323" i="5"/>
  <c r="Y2284" i="5"/>
  <c r="X2094" i="5"/>
  <c r="P2453" i="5"/>
  <c r="X2847" i="5"/>
  <c r="X488" i="5"/>
  <c r="Y835" i="5"/>
  <c r="X581" i="5"/>
  <c r="P329" i="5"/>
  <c r="P657" i="5"/>
  <c r="X280" i="5"/>
  <c r="X1066" i="5"/>
  <c r="P2159" i="5"/>
  <c r="P2104" i="5"/>
  <c r="X2789" i="5"/>
  <c r="P2501" i="5"/>
  <c r="P2496" i="5"/>
  <c r="P3046" i="5"/>
  <c r="P429" i="5"/>
  <c r="Y823" i="5"/>
  <c r="P2066" i="5"/>
  <c r="X2707" i="5"/>
  <c r="Y847" i="5"/>
  <c r="X184" i="5"/>
  <c r="X1900" i="5"/>
  <c r="X3029" i="5"/>
  <c r="P45" i="5"/>
  <c r="X438" i="5"/>
  <c r="Y10" i="5"/>
  <c r="X127" i="5"/>
  <c r="Y19" i="5"/>
  <c r="X124" i="5"/>
  <c r="P388" i="5"/>
  <c r="P327" i="5"/>
  <c r="X46" i="5"/>
  <c r="X319" i="5"/>
  <c r="Y391" i="5"/>
  <c r="X702" i="5"/>
  <c r="P943" i="5"/>
  <c r="P1331" i="5"/>
  <c r="P1836" i="5"/>
  <c r="Y2034" i="5"/>
  <c r="X2348" i="5"/>
  <c r="Y2492" i="5"/>
  <c r="X2256" i="5"/>
  <c r="X2809" i="5"/>
  <c r="X2845" i="5"/>
  <c r="Y243" i="5"/>
  <c r="Y956" i="5"/>
  <c r="P2280" i="5"/>
  <c r="Y2504" i="5"/>
  <c r="X2243" i="5"/>
  <c r="P2334" i="5"/>
  <c r="P1319" i="5"/>
  <c r="X968" i="5"/>
  <c r="X462" i="5"/>
  <c r="P2589" i="5"/>
  <c r="X299" i="5"/>
  <c r="Y473" i="5"/>
  <c r="P794" i="5"/>
  <c r="X492" i="5"/>
  <c r="X146" i="5"/>
  <c r="Y86" i="5"/>
  <c r="X313" i="5"/>
  <c r="X872" i="5"/>
  <c r="P1203" i="5"/>
  <c r="X1949" i="5"/>
  <c r="Y3240" i="5"/>
  <c r="P393" i="5"/>
  <c r="X292" i="5"/>
  <c r="X1238" i="5"/>
  <c r="X920" i="5"/>
  <c r="Y2275" i="5"/>
  <c r="Y2308" i="5"/>
  <c r="P1898" i="5"/>
  <c r="P2500" i="5"/>
  <c r="Y2809" i="5"/>
  <c r="Y2767" i="5"/>
  <c r="Y2690" i="5"/>
  <c r="Y2867" i="5"/>
  <c r="P3310" i="5"/>
  <c r="X2662" i="5"/>
  <c r="P669" i="5"/>
  <c r="X1342" i="5"/>
  <c r="Y318" i="5"/>
  <c r="P2597" i="5"/>
  <c r="X1850" i="5"/>
  <c r="Y1942" i="5"/>
  <c r="P2594" i="5"/>
  <c r="P1527" i="5"/>
  <c r="P616" i="5"/>
  <c r="X1564" i="5"/>
  <c r="X2718" i="5"/>
  <c r="Y3069" i="5"/>
  <c r="Y2201" i="5"/>
  <c r="P1957" i="5"/>
  <c r="Y1957" i="5"/>
  <c r="P1510" i="5"/>
  <c r="P1462" i="5"/>
  <c r="P2476" i="5"/>
  <c r="Y1303" i="5"/>
  <c r="P2568" i="5"/>
  <c r="X446" i="5"/>
  <c r="P685" i="5"/>
  <c r="P1103" i="5"/>
  <c r="Y1420" i="5"/>
  <c r="X1315" i="5"/>
  <c r="P3084" i="5"/>
  <c r="P3155" i="5"/>
  <c r="P2612" i="5"/>
  <c r="P2399" i="5"/>
  <c r="X152" i="5"/>
  <c r="Y584" i="5"/>
  <c r="P1213" i="5"/>
  <c r="Y1325" i="5"/>
  <c r="Y2073" i="5"/>
  <c r="Y1727" i="5"/>
  <c r="P3087" i="5"/>
  <c r="P2247" i="5"/>
  <c r="P83" i="5"/>
  <c r="Y1382" i="5"/>
  <c r="P1719" i="5"/>
  <c r="Y2604" i="5"/>
  <c r="Y3070" i="5"/>
  <c r="X2660" i="5"/>
  <c r="Y1152" i="5"/>
  <c r="Y298" i="5"/>
  <c r="X136" i="5"/>
  <c r="Y261" i="5"/>
  <c r="X402" i="5"/>
  <c r="X785" i="5"/>
  <c r="Y800" i="5"/>
  <c r="Y637" i="5"/>
  <c r="X934" i="5"/>
  <c r="X1111" i="5"/>
  <c r="Y1172" i="5"/>
  <c r="P1058" i="5"/>
  <c r="X1187" i="5"/>
  <c r="P1925" i="5"/>
  <c r="X2085" i="5"/>
  <c r="Y2716" i="5"/>
  <c r="X101" i="5"/>
  <c r="P1164" i="5"/>
  <c r="X1267" i="5"/>
  <c r="X1613" i="5"/>
  <c r="Y1389" i="5"/>
  <c r="P2346" i="5"/>
  <c r="X3026" i="5"/>
  <c r="P2794" i="5"/>
  <c r="Y2794" i="5"/>
  <c r="P16" i="5"/>
  <c r="Y16" i="5"/>
  <c r="Y329" i="5"/>
  <c r="X841" i="5"/>
  <c r="P3040" i="5"/>
  <c r="P2697" i="5"/>
  <c r="Y1794" i="5"/>
  <c r="Y2077" i="5"/>
  <c r="Y1802" i="5"/>
  <c r="Y720" i="5"/>
  <c r="Y2432" i="5"/>
  <c r="P2749" i="5"/>
  <c r="P2956" i="5"/>
  <c r="P2560" i="5"/>
  <c r="P2011" i="5"/>
  <c r="Y2011" i="5"/>
  <c r="P518" i="5"/>
  <c r="X633" i="5"/>
  <c r="Y2411" i="5"/>
  <c r="P3096" i="5"/>
  <c r="Y2747" i="5"/>
  <c r="P2916" i="5"/>
  <c r="Y2733" i="5"/>
  <c r="X3210" i="5"/>
  <c r="P2156" i="5"/>
  <c r="P745" i="5"/>
  <c r="Y2261" i="5"/>
  <c r="P2840" i="5"/>
  <c r="Y2826" i="5"/>
  <c r="P235" i="5"/>
  <c r="P21" i="5"/>
  <c r="Y21" i="5"/>
  <c r="Y240" i="5"/>
  <c r="Y751" i="5"/>
  <c r="Y482" i="5"/>
  <c r="X1047" i="5"/>
  <c r="Y1522" i="5"/>
  <c r="Y1473" i="5"/>
  <c r="X1777" i="5"/>
  <c r="P2035" i="5"/>
  <c r="X2327" i="5"/>
  <c r="Y2676" i="5"/>
  <c r="P2680" i="5"/>
  <c r="P2782" i="5"/>
  <c r="P3115" i="5"/>
  <c r="P2152" i="5"/>
  <c r="P2651" i="5"/>
  <c r="X2943" i="5"/>
  <c r="X115" i="5"/>
  <c r="X123" i="5"/>
  <c r="P556" i="5"/>
  <c r="P564" i="5"/>
  <c r="P922" i="5"/>
  <c r="Y551" i="5"/>
  <c r="Y477" i="5"/>
  <c r="X626" i="5"/>
  <c r="P1622" i="5"/>
  <c r="P1255" i="5"/>
  <c r="Y2321" i="5"/>
  <c r="X2642" i="5"/>
  <c r="P3266" i="5"/>
  <c r="P3014" i="5"/>
  <c r="Y3199" i="5"/>
  <c r="P3127" i="5"/>
  <c r="P1088" i="5"/>
  <c r="P154" i="5"/>
  <c r="P2185" i="5"/>
  <c r="Y2185" i="5"/>
  <c r="P1675" i="5"/>
  <c r="P830" i="5"/>
  <c r="P2355" i="5"/>
  <c r="Y2291" i="5"/>
  <c r="Y2328" i="5"/>
  <c r="P2688" i="5"/>
  <c r="Y3324" i="5"/>
  <c r="P2661" i="5"/>
  <c r="Y2828" i="5"/>
  <c r="Y193" i="5"/>
  <c r="P193" i="5"/>
  <c r="Y2848" i="5"/>
  <c r="P2848" i="5"/>
  <c r="Y89" i="5"/>
  <c r="X296" i="5"/>
  <c r="Y264" i="5"/>
  <c r="Y131" i="5"/>
  <c r="X513" i="5"/>
  <c r="X751" i="5"/>
  <c r="Y276" i="5"/>
  <c r="X917" i="5"/>
  <c r="X916" i="5"/>
  <c r="P465" i="5"/>
  <c r="Y808" i="5"/>
  <c r="X1251" i="5"/>
  <c r="X1525" i="5"/>
  <c r="P1753" i="5"/>
  <c r="P2455" i="5"/>
  <c r="X2704" i="5"/>
  <c r="Y511" i="5"/>
  <c r="P1149" i="5"/>
  <c r="P1305" i="5"/>
  <c r="Y1810" i="5"/>
  <c r="P1695" i="5"/>
  <c r="P2469" i="5"/>
  <c r="Y2646" i="5"/>
  <c r="P3024" i="5"/>
  <c r="P2751" i="5"/>
  <c r="Y1186" i="5"/>
  <c r="P2957" i="5"/>
  <c r="P2236" i="5"/>
  <c r="Y2236" i="5"/>
  <c r="Y545" i="5"/>
  <c r="X1405" i="5"/>
  <c r="Y998" i="5"/>
  <c r="P798" i="5"/>
  <c r="X1641" i="5"/>
  <c r="Y1762" i="5"/>
  <c r="P2416" i="5"/>
  <c r="Y2031" i="5"/>
  <c r="X2771" i="5"/>
  <c r="Y2752" i="5"/>
  <c r="X2726" i="5"/>
  <c r="X3079" i="5"/>
  <c r="P840" i="5"/>
  <c r="P3326" i="5"/>
  <c r="P3244" i="5"/>
  <c r="P2338" i="5"/>
  <c r="Y1722" i="5"/>
  <c r="Y217" i="5"/>
  <c r="X932" i="5"/>
  <c r="X1309" i="5"/>
  <c r="P868" i="5"/>
  <c r="P1386" i="5"/>
  <c r="P1246" i="5"/>
  <c r="X1556" i="5"/>
  <c r="Y2021" i="5"/>
  <c r="P2445" i="5"/>
  <c r="X2858" i="5"/>
  <c r="P2781" i="5"/>
  <c r="Y3123" i="5"/>
  <c r="Y3223" i="5"/>
  <c r="X2913" i="5"/>
  <c r="P3204" i="5"/>
  <c r="Y2761" i="5"/>
  <c r="X2849" i="5"/>
  <c r="X3105" i="5"/>
  <c r="P2926" i="5"/>
  <c r="P804" i="5"/>
  <c r="P2584" i="5"/>
  <c r="P2745" i="5"/>
  <c r="Y3162" i="5"/>
  <c r="P32" i="5"/>
  <c r="Y32" i="5"/>
  <c r="Y2758" i="5"/>
  <c r="P2758" i="5"/>
  <c r="P14" i="5"/>
  <c r="X312" i="5"/>
  <c r="Y860" i="5"/>
  <c r="Y1342" i="5"/>
  <c r="X1121" i="5"/>
  <c r="P814" i="5"/>
  <c r="P1882" i="5"/>
  <c r="P1861" i="5"/>
  <c r="Y2128" i="5"/>
  <c r="P2120" i="5"/>
  <c r="X1733" i="5"/>
  <c r="Y2368" i="5"/>
  <c r="Y2385" i="5"/>
  <c r="P1766" i="5"/>
  <c r="Y1766" i="5"/>
  <c r="X35" i="5"/>
  <c r="X353" i="5"/>
  <c r="P768" i="5"/>
  <c r="Y838" i="5"/>
  <c r="Y1077" i="5"/>
  <c r="X1009" i="5"/>
  <c r="X1528" i="5"/>
  <c r="P1288" i="5"/>
  <c r="P956" i="5"/>
  <c r="Y2005" i="5"/>
  <c r="P2194" i="5"/>
  <c r="X1550" i="5"/>
  <c r="X2178" i="5"/>
  <c r="X2462" i="5"/>
  <c r="P642" i="5"/>
  <c r="Y2429" i="5"/>
  <c r="X900" i="5"/>
  <c r="Y1692" i="5"/>
  <c r="P1731" i="5"/>
  <c r="Y1759" i="5"/>
  <c r="P2539" i="5"/>
  <c r="Y2708" i="5"/>
  <c r="Y2793" i="5"/>
  <c r="X2855" i="5"/>
  <c r="P2540" i="5"/>
  <c r="Y2405" i="5"/>
  <c r="P338" i="5"/>
  <c r="Y338" i="5"/>
  <c r="P88" i="5"/>
  <c r="X173" i="5"/>
  <c r="P378" i="5"/>
  <c r="Y546" i="5"/>
  <c r="X1540" i="5"/>
  <c r="P395" i="5"/>
  <c r="P803" i="5"/>
  <c r="P762" i="5"/>
  <c r="Y952" i="5"/>
  <c r="P1267" i="5"/>
  <c r="X1803" i="5"/>
  <c r="Y1950" i="5"/>
  <c r="P3058" i="5"/>
  <c r="P2855" i="5"/>
  <c r="X2857" i="5"/>
  <c r="Y2888" i="5"/>
  <c r="P3264" i="5"/>
  <c r="P3149" i="5"/>
  <c r="P2277" i="5"/>
  <c r="Y1397" i="5"/>
  <c r="Y2893" i="5"/>
  <c r="P676" i="5"/>
  <c r="P2669" i="5"/>
  <c r="P2695" i="5"/>
  <c r="Y2695" i="5"/>
  <c r="P740" i="5"/>
  <c r="X417" i="5"/>
  <c r="Y151" i="5"/>
  <c r="X186" i="5"/>
  <c r="Y427" i="5"/>
  <c r="P342" i="5"/>
  <c r="X257" i="5"/>
  <c r="X623" i="5"/>
  <c r="Y982" i="5"/>
  <c r="X1607" i="5"/>
  <c r="Y1066" i="5"/>
  <c r="X1170" i="5"/>
  <c r="X1709" i="5"/>
  <c r="X606" i="5"/>
  <c r="P1370" i="5"/>
  <c r="X1107" i="5"/>
  <c r="P1530" i="5"/>
  <c r="Y1221" i="5"/>
  <c r="X1755" i="5"/>
  <c r="X2559" i="5"/>
  <c r="X2811" i="5"/>
  <c r="P2837" i="5"/>
  <c r="Y2903" i="5"/>
  <c r="P3294" i="5"/>
  <c r="P2535" i="5"/>
  <c r="P3145" i="5"/>
  <c r="Y310" i="5"/>
  <c r="P1181" i="5"/>
  <c r="P2228" i="5"/>
  <c r="Y2228" i="5"/>
  <c r="P2074" i="5"/>
  <c r="Y2074" i="5"/>
  <c r="P2118" i="5"/>
  <c r="P859" i="5"/>
  <c r="Y859" i="5"/>
  <c r="P3283" i="5"/>
  <c r="Y3283" i="5"/>
  <c r="P346" i="5"/>
  <c r="Y776" i="5"/>
  <c r="P986" i="5"/>
  <c r="P1180" i="5"/>
  <c r="X1580" i="5"/>
  <c r="P1627" i="5"/>
  <c r="X3065" i="5"/>
  <c r="Y3156" i="5"/>
  <c r="X2934" i="5"/>
  <c r="P373" i="5"/>
  <c r="P2952" i="5"/>
  <c r="Y3316" i="5"/>
  <c r="P2887" i="5"/>
  <c r="Y1933" i="5"/>
  <c r="Y3271" i="5"/>
  <c r="P1232" i="5"/>
  <c r="Y1232" i="5"/>
  <c r="P2350" i="5"/>
  <c r="Y2350" i="5"/>
  <c r="Y299" i="5"/>
  <c r="Y521" i="5"/>
  <c r="P847" i="5"/>
  <c r="X1673" i="5"/>
  <c r="P1197" i="5"/>
  <c r="X1237" i="5"/>
  <c r="X1543" i="5"/>
  <c r="P1765" i="5"/>
  <c r="Y1976" i="5"/>
  <c r="P3032" i="5"/>
  <c r="P142" i="5"/>
  <c r="Y142" i="5"/>
  <c r="P2806" i="5"/>
  <c r="Y2806" i="5"/>
  <c r="Y832" i="5"/>
  <c r="P2936" i="5"/>
  <c r="Y2936" i="5"/>
  <c r="Y506" i="5"/>
  <c r="P506" i="5"/>
  <c r="Y787" i="5"/>
  <c r="P787" i="5"/>
  <c r="P1065" i="5"/>
  <c r="Y1065" i="5"/>
  <c r="P2691" i="5"/>
  <c r="Y2691" i="5"/>
  <c r="Y1721" i="5"/>
  <c r="P1721" i="5"/>
  <c r="X1785" i="5"/>
  <c r="P3019" i="5"/>
  <c r="Y357" i="5"/>
  <c r="P357" i="5"/>
  <c r="P667" i="5"/>
  <c r="P120" i="5"/>
  <c r="P813" i="5"/>
  <c r="Y2470" i="5"/>
  <c r="X3089" i="5"/>
  <c r="Y1531" i="5"/>
  <c r="P1531" i="5"/>
  <c r="Y487" i="5"/>
  <c r="X692" i="5"/>
  <c r="P1210" i="5"/>
  <c r="Y1410" i="5"/>
  <c r="P889" i="5"/>
  <c r="Y889" i="5"/>
  <c r="X1205" i="5"/>
  <c r="Y1948" i="5"/>
  <c r="X1687" i="5"/>
  <c r="Y2795" i="5"/>
  <c r="P2931" i="5"/>
  <c r="P2948" i="5"/>
  <c r="Y1313" i="5"/>
  <c r="P1313" i="5"/>
  <c r="P2528" i="5"/>
  <c r="Y2528" i="5"/>
  <c r="P3142" i="5"/>
  <c r="X436" i="5"/>
  <c r="P540" i="5"/>
  <c r="X317" i="5"/>
  <c r="P630" i="5"/>
  <c r="Y630" i="5"/>
  <c r="Y517" i="5"/>
  <c r="Y451" i="5"/>
  <c r="P451" i="5"/>
  <c r="X705" i="5"/>
  <c r="Y993" i="5"/>
  <c r="X967" i="5"/>
  <c r="P1269" i="5"/>
  <c r="Y1286" i="5"/>
  <c r="P1565" i="5"/>
  <c r="P929" i="5"/>
  <c r="X1763" i="5"/>
  <c r="P2222" i="5"/>
  <c r="Y2222" i="5"/>
  <c r="P2390" i="5"/>
  <c r="Y2493" i="5"/>
  <c r="Y3171" i="5"/>
  <c r="P2832" i="5"/>
  <c r="P2933" i="5"/>
  <c r="X2884" i="5"/>
  <c r="X3299" i="5"/>
  <c r="P3305" i="5"/>
  <c r="P1817" i="5"/>
  <c r="P196" i="5"/>
  <c r="Y196" i="5"/>
  <c r="Y2827" i="5"/>
  <c r="P2827" i="5"/>
  <c r="Y2004" i="5"/>
  <c r="P2004" i="5"/>
  <c r="Y3174" i="5"/>
  <c r="P3174" i="5"/>
  <c r="Y1846" i="5"/>
  <c r="P1846" i="5"/>
  <c r="P2235" i="5"/>
  <c r="P56" i="5"/>
  <c r="Y56" i="5"/>
  <c r="Y701" i="5"/>
  <c r="Y320" i="5"/>
  <c r="Y494" i="5"/>
  <c r="P2451" i="5"/>
  <c r="Y963" i="5"/>
  <c r="P963" i="5"/>
  <c r="P82" i="5"/>
  <c r="Y510" i="5"/>
  <c r="Y916" i="5"/>
  <c r="P2649" i="5"/>
  <c r="Y2649" i="5"/>
  <c r="P2316" i="5"/>
  <c r="Y2365" i="5"/>
  <c r="P2365" i="5"/>
  <c r="Y1991" i="5"/>
  <c r="P1991" i="5"/>
  <c r="Y429" i="5"/>
  <c r="X1244" i="5"/>
  <c r="P3080" i="5"/>
  <c r="Y2167" i="5"/>
  <c r="P2167" i="5"/>
  <c r="P2874" i="5"/>
  <c r="Y2874" i="5"/>
  <c r="X167" i="5"/>
  <c r="X555" i="5"/>
  <c r="X219" i="5"/>
  <c r="P381" i="5"/>
  <c r="Y218" i="5"/>
  <c r="X252" i="5"/>
  <c r="Y809" i="5"/>
  <c r="Y911" i="5"/>
  <c r="Y1549" i="5"/>
  <c r="X1624" i="5"/>
  <c r="P2108" i="5"/>
  <c r="X2509" i="5"/>
  <c r="X2583" i="5"/>
  <c r="Y3296" i="5"/>
  <c r="Y2807" i="5"/>
  <c r="P2807" i="5"/>
  <c r="Y3131" i="5"/>
  <c r="P3131" i="5"/>
  <c r="P983" i="5"/>
  <c r="P104" i="5"/>
  <c r="Y104" i="5"/>
  <c r="P282" i="5"/>
  <c r="Y282" i="5"/>
  <c r="P1136" i="5"/>
  <c r="Y1136" i="5"/>
  <c r="Y2046" i="5"/>
  <c r="P2046" i="5"/>
  <c r="X413" i="5"/>
  <c r="Y79" i="5"/>
  <c r="X652" i="5"/>
  <c r="Y831" i="5"/>
  <c r="P411" i="5"/>
  <c r="X678" i="5"/>
  <c r="X273" i="5"/>
  <c r="P747" i="5"/>
  <c r="Y747" i="5"/>
  <c r="Y1155" i="5"/>
  <c r="X1118" i="5"/>
  <c r="X1676" i="5"/>
  <c r="Y1660" i="5"/>
  <c r="Y1958" i="5"/>
  <c r="P2402" i="5"/>
  <c r="Y2402" i="5"/>
  <c r="Y2603" i="5"/>
  <c r="P2603" i="5"/>
  <c r="P2504" i="5"/>
  <c r="P2799" i="5"/>
  <c r="P2583" i="5"/>
  <c r="Y2702" i="5"/>
  <c r="X2999" i="5"/>
  <c r="X3196" i="5"/>
  <c r="P153" i="5"/>
  <c r="Y1319" i="5"/>
  <c r="P1126" i="5"/>
  <c r="Y1126" i="5"/>
  <c r="P2911" i="5"/>
  <c r="P867" i="5"/>
  <c r="Y839" i="5"/>
  <c r="P839" i="5"/>
  <c r="P2217" i="5"/>
  <c r="Y2217" i="5"/>
  <c r="Y2" i="5"/>
  <c r="P2" i="5"/>
  <c r="P157" i="5"/>
  <c r="Y157" i="5"/>
  <c r="P2810" i="5"/>
  <c r="Y2810" i="5"/>
  <c r="P918" i="5"/>
  <c r="X1646" i="5"/>
  <c r="X1877" i="5"/>
  <c r="P2502" i="5"/>
  <c r="Y2502" i="5"/>
  <c r="P2516" i="5"/>
  <c r="P3143" i="5"/>
  <c r="X2567" i="5"/>
  <c r="Y3230" i="5"/>
  <c r="P166" i="5"/>
  <c r="Y947" i="5"/>
  <c r="P947" i="5"/>
  <c r="P1198" i="5"/>
  <c r="Y1198" i="5"/>
  <c r="Y2790" i="5"/>
  <c r="P2790" i="5"/>
  <c r="Y1533" i="5"/>
  <c r="P1533" i="5"/>
  <c r="Y2381" i="5"/>
  <c r="P2381" i="5"/>
  <c r="Y2748" i="5"/>
  <c r="P2748" i="5"/>
  <c r="P1703" i="5"/>
  <c r="Y1703" i="5"/>
  <c r="Y1827" i="5"/>
  <c r="Y289" i="5"/>
  <c r="P289" i="5"/>
  <c r="P764" i="5"/>
  <c r="P883" i="5"/>
  <c r="X753" i="5"/>
  <c r="Y1366" i="5"/>
  <c r="X1097" i="5"/>
  <c r="Y1080" i="5"/>
  <c r="X1344" i="5"/>
  <c r="X1380" i="5"/>
  <c r="Y886" i="5"/>
  <c r="X901" i="5"/>
  <c r="P1864" i="5"/>
  <c r="X1787" i="5"/>
  <c r="Y1771" i="5"/>
  <c r="Y108" i="5"/>
  <c r="Y589" i="5"/>
  <c r="P448" i="5"/>
  <c r="X529" i="5"/>
  <c r="X450" i="5"/>
  <c r="P704" i="5"/>
  <c r="Y704" i="5"/>
  <c r="P950" i="5"/>
  <c r="Y807" i="5"/>
  <c r="Y405" i="5"/>
  <c r="X1051" i="5"/>
  <c r="X1049" i="5"/>
  <c r="X1321" i="5"/>
  <c r="Y1774" i="5"/>
  <c r="X771" i="5"/>
  <c r="X1875" i="5"/>
  <c r="Y2743" i="5"/>
  <c r="P2599" i="5"/>
  <c r="Y2630" i="5"/>
  <c r="P2630" i="5"/>
  <c r="P3151" i="5"/>
  <c r="P2959" i="5"/>
  <c r="X3099" i="5"/>
  <c r="P1101" i="5"/>
  <c r="P1188" i="5"/>
  <c r="Y1188" i="5"/>
  <c r="Y3216" i="5"/>
  <c r="Y2087" i="5"/>
  <c r="P2087" i="5"/>
  <c r="Y624" i="5"/>
  <c r="P624" i="5"/>
  <c r="Y1700" i="5"/>
  <c r="P1700" i="5"/>
  <c r="Y1359" i="5"/>
  <c r="P1359" i="5"/>
  <c r="P278" i="5"/>
  <c r="P1570" i="5"/>
  <c r="Y1570" i="5"/>
  <c r="Y2629" i="5"/>
  <c r="P2629" i="5"/>
  <c r="P2356" i="5"/>
  <c r="Y2356" i="5"/>
  <c r="Y2715" i="5"/>
  <c r="P2715" i="5"/>
  <c r="P1706" i="5"/>
  <c r="Y1706" i="5"/>
  <c r="P1900" i="5"/>
  <c r="Y1900" i="5"/>
  <c r="X2372" i="5"/>
  <c r="Y2268" i="5"/>
  <c r="P2268" i="5"/>
  <c r="P858" i="5"/>
  <c r="Y858" i="5"/>
  <c r="Y2815" i="5"/>
  <c r="P2815" i="5"/>
  <c r="P2431" i="5"/>
  <c r="Y2431" i="5"/>
  <c r="Y981" i="5"/>
  <c r="P981" i="5"/>
  <c r="X297" i="5"/>
  <c r="Y361" i="5"/>
  <c r="P361" i="5"/>
  <c r="P728" i="5"/>
  <c r="X1480" i="5"/>
  <c r="Y2175" i="5"/>
  <c r="P3025" i="5"/>
  <c r="X335" i="5"/>
  <c r="P2664" i="5"/>
  <c r="P3047" i="5"/>
  <c r="Y3047" i="5"/>
  <c r="Y3086" i="5"/>
  <c r="P3086" i="5"/>
  <c r="P1396" i="5"/>
  <c r="Y1396" i="5"/>
  <c r="P2955" i="5"/>
  <c r="Y2955" i="5"/>
  <c r="P2042" i="5"/>
  <c r="Y2042" i="5"/>
  <c r="P94" i="5"/>
  <c r="Y1885" i="5"/>
  <c r="Y2293" i="5"/>
  <c r="P2293" i="5"/>
  <c r="Y455" i="5"/>
  <c r="P977" i="5"/>
  <c r="X65" i="5"/>
  <c r="P1190" i="5"/>
  <c r="Y1190" i="5"/>
  <c r="Y155" i="5"/>
  <c r="X483" i="5"/>
  <c r="X641" i="5"/>
  <c r="Y598" i="5"/>
  <c r="X1082" i="5"/>
  <c r="Y871" i="5"/>
  <c r="P871" i="5"/>
  <c r="Y1377" i="5"/>
  <c r="Y1464" i="5"/>
  <c r="X1336" i="5"/>
  <c r="X1638" i="5"/>
  <c r="P1784" i="5"/>
  <c r="Y2607" i="5"/>
  <c r="Y2484" i="5"/>
  <c r="P2484" i="5"/>
  <c r="X2668" i="5"/>
  <c r="Y3042" i="5"/>
  <c r="P2665" i="5"/>
  <c r="P2729" i="5"/>
  <c r="X3015" i="5"/>
  <c r="Y3065" i="5"/>
  <c r="Y1055" i="5"/>
  <c r="P1055" i="5"/>
  <c r="P2286" i="5"/>
  <c r="Y2286" i="5"/>
  <c r="Y997" i="5"/>
  <c r="P997" i="5"/>
  <c r="Y1921" i="5"/>
  <c r="P1921" i="5"/>
  <c r="P2552" i="5"/>
  <c r="Y2198" i="5"/>
  <c r="P2198" i="5"/>
  <c r="Y3165" i="5"/>
  <c r="P3165" i="5"/>
  <c r="Y2195" i="5"/>
  <c r="P2195" i="5"/>
  <c r="P2531" i="5"/>
  <c r="Y3063" i="5"/>
  <c r="X200" i="5"/>
  <c r="X396" i="5"/>
  <c r="Y653" i="5"/>
  <c r="X260" i="5"/>
  <c r="P766" i="5"/>
  <c r="P754" i="5"/>
  <c r="Y796" i="5"/>
  <c r="P1297" i="5"/>
  <c r="P1265" i="5"/>
  <c r="P1112" i="5"/>
  <c r="X1028" i="5"/>
  <c r="P1438" i="5"/>
  <c r="Y1196" i="5"/>
  <c r="P1421" i="5"/>
  <c r="P1123" i="5"/>
  <c r="P1910" i="5"/>
  <c r="P2110" i="5"/>
  <c r="P1830" i="5"/>
  <c r="Y1989" i="5"/>
  <c r="Y2841" i="5"/>
  <c r="P2974" i="5"/>
  <c r="X2722" i="5"/>
  <c r="Y2567" i="5"/>
  <c r="P238" i="5"/>
  <c r="Y478" i="5"/>
  <c r="P478" i="5"/>
  <c r="P907" i="5"/>
  <c r="Y907" i="5"/>
  <c r="Y2143" i="5"/>
  <c r="P2143" i="5"/>
  <c r="Y189" i="5"/>
  <c r="P189" i="5"/>
  <c r="Y1339" i="5"/>
  <c r="P1339" i="5"/>
  <c r="P661" i="5"/>
  <c r="Y661" i="5"/>
  <c r="Y2735" i="5"/>
  <c r="P2735" i="5"/>
  <c r="P2038" i="5"/>
  <c r="Y2038" i="5"/>
  <c r="P2549" i="5"/>
  <c r="Y2326" i="5"/>
  <c r="P2326" i="5"/>
  <c r="X386" i="5"/>
  <c r="P692" i="5"/>
  <c r="P539" i="5"/>
  <c r="Y925" i="5"/>
  <c r="P820" i="5"/>
  <c r="X1470" i="5"/>
  <c r="Y1343" i="5"/>
  <c r="Y1446" i="5"/>
  <c r="P2242" i="5"/>
  <c r="X1795" i="5"/>
  <c r="P2422" i="5"/>
  <c r="Y2970" i="5"/>
  <c r="Y3233" i="5"/>
  <c r="P2798" i="5"/>
  <c r="Y2798" i="5"/>
  <c r="P270" i="5"/>
  <c r="P2655" i="5"/>
  <c r="Y2655" i="5"/>
  <c r="P2760" i="5"/>
  <c r="Y2760" i="5"/>
  <c r="Y2396" i="5"/>
  <c r="P2396" i="5"/>
  <c r="P1523" i="5"/>
  <c r="Y1523" i="5"/>
  <c r="Y2054" i="5"/>
  <c r="P2054" i="5"/>
  <c r="P2106" i="5"/>
  <c r="Y2106" i="5"/>
  <c r="Y2678" i="5"/>
  <c r="P2678" i="5"/>
  <c r="Y2219" i="5"/>
  <c r="P2219" i="5"/>
  <c r="P3161" i="5"/>
  <c r="Y3161" i="5"/>
  <c r="P815" i="5"/>
  <c r="Y3" i="5"/>
  <c r="P3" i="5"/>
  <c r="Y3258" i="5"/>
  <c r="P2418" i="5"/>
  <c r="Y2418" i="5"/>
  <c r="X632" i="5"/>
  <c r="Y2465" i="5"/>
  <c r="Y552" i="5"/>
  <c r="P552" i="5"/>
  <c r="P941" i="5"/>
  <c r="Y941" i="5"/>
  <c r="P2778" i="5"/>
  <c r="Y2778" i="5"/>
  <c r="Y523" i="5"/>
  <c r="Y710" i="5"/>
  <c r="X826" i="5"/>
  <c r="Y585" i="5"/>
  <c r="X463" i="5"/>
  <c r="Y1400" i="5"/>
  <c r="P1360" i="5"/>
  <c r="X871" i="5"/>
  <c r="P1209" i="5"/>
  <c r="Y1209" i="5"/>
  <c r="P1804" i="5"/>
  <c r="Y1962" i="5"/>
  <c r="X2049" i="5"/>
  <c r="Y2022" i="5"/>
  <c r="P2541" i="5"/>
  <c r="P2975" i="5"/>
  <c r="P2797" i="5"/>
  <c r="P536" i="5"/>
  <c r="Y536" i="5"/>
  <c r="Y1658" i="5"/>
  <c r="P1134" i="5"/>
  <c r="Y1134" i="5"/>
  <c r="Y85" i="5"/>
  <c r="P85" i="5"/>
  <c r="P2770" i="5"/>
  <c r="Y2770" i="5"/>
  <c r="P3179" i="5"/>
  <c r="Y3179" i="5"/>
  <c r="Y3177" i="5"/>
  <c r="P3177" i="5"/>
  <c r="X801" i="5"/>
  <c r="P316" i="5"/>
  <c r="Y316" i="5"/>
  <c r="P1161" i="5"/>
  <c r="X848" i="5"/>
  <c r="P34" i="5"/>
  <c r="Y34" i="5"/>
  <c r="P780" i="5"/>
  <c r="Y1046" i="5"/>
  <c r="X1524" i="5"/>
  <c r="Y1805" i="5"/>
  <c r="Y2320" i="5"/>
  <c r="P2320" i="5"/>
  <c r="X429" i="5"/>
  <c r="P671" i="5"/>
  <c r="Y760" i="5"/>
  <c r="X1837" i="5"/>
  <c r="P2166" i="5"/>
  <c r="P2395" i="5"/>
  <c r="Y2395" i="5"/>
  <c r="P2456" i="5"/>
  <c r="Y1902" i="5"/>
  <c r="P2813" i="5"/>
  <c r="Y2813" i="5"/>
  <c r="Y2660" i="5"/>
  <c r="Y129" i="5"/>
  <c r="P129" i="5"/>
  <c r="Y542" i="5"/>
  <c r="P542" i="5"/>
  <c r="Y812" i="5"/>
  <c r="P812" i="5"/>
  <c r="Y2707" i="5"/>
  <c r="P2707" i="5"/>
  <c r="P2689" i="5"/>
  <c r="Y2689" i="5"/>
  <c r="Y2774" i="5"/>
  <c r="P2774" i="5"/>
  <c r="Y2784" i="5"/>
  <c r="P2784" i="5"/>
  <c r="P1779" i="5"/>
  <c r="Y1779" i="5"/>
  <c r="P772" i="5"/>
  <c r="Y1971" i="5"/>
  <c r="P1971" i="5"/>
  <c r="P2914" i="5"/>
  <c r="Y2914" i="5"/>
  <c r="Y2907" i="5"/>
  <c r="P2907" i="5"/>
  <c r="P1992" i="5"/>
  <c r="Y1992" i="5"/>
  <c r="P2727" i="5"/>
  <c r="Y2727" i="5"/>
  <c r="P2881" i="5"/>
  <c r="Y2881" i="5"/>
  <c r="P135" i="5"/>
  <c r="Y135" i="5"/>
  <c r="X7" i="5"/>
  <c r="Y2027" i="5"/>
  <c r="X2345" i="5"/>
  <c r="P87" i="5"/>
  <c r="P271" i="5"/>
  <c r="Y1142" i="5"/>
  <c r="Y1135" i="5"/>
  <c r="P1135" i="5"/>
  <c r="X1233" i="5"/>
  <c r="P964" i="5"/>
  <c r="P1728" i="5"/>
  <c r="Y1728" i="5"/>
  <c r="X220" i="5"/>
  <c r="X61" i="5"/>
  <c r="P137" i="5"/>
  <c r="P488" i="5"/>
  <c r="P628" i="5"/>
  <c r="Y1010" i="5"/>
  <c r="Y666" i="5"/>
  <c r="P834" i="5"/>
  <c r="Y1461" i="5"/>
  <c r="P1461" i="5"/>
  <c r="X1295" i="5"/>
  <c r="X1312" i="5"/>
  <c r="Y2134" i="5"/>
  <c r="P2692" i="5"/>
  <c r="P3010" i="5"/>
  <c r="Y3314" i="5"/>
  <c r="X3208" i="5"/>
  <c r="X3295" i="5"/>
  <c r="Y3159" i="5"/>
  <c r="P29" i="5"/>
  <c r="Y29" i="5"/>
  <c r="Y2879" i="5"/>
  <c r="Y1940" i="5"/>
  <c r="P1940" i="5"/>
  <c r="Y2271" i="5"/>
  <c r="Y109" i="5"/>
  <c r="P109" i="5"/>
  <c r="P106" i="5"/>
  <c r="Y106" i="5"/>
  <c r="P2796" i="5"/>
  <c r="Y2796" i="5"/>
  <c r="P1972" i="5"/>
  <c r="Y1972" i="5"/>
  <c r="P1897" i="5"/>
  <c r="Y1897" i="5"/>
  <c r="P2538" i="5"/>
  <c r="Y2538" i="5"/>
  <c r="Y1988" i="5"/>
  <c r="P1988" i="5"/>
  <c r="P2625" i="5"/>
  <c r="Y2625" i="5"/>
  <c r="Y1519" i="5"/>
  <c r="P1519" i="5"/>
  <c r="P440" i="5"/>
  <c r="P1029" i="5"/>
  <c r="P1371" i="5"/>
  <c r="P1390" i="5"/>
  <c r="P1402" i="5"/>
  <c r="X1142" i="5"/>
  <c r="Y1376" i="5"/>
  <c r="P1829" i="5"/>
  <c r="Y2151" i="5"/>
  <c r="P2439" i="5"/>
  <c r="X2928" i="5"/>
  <c r="P530" i="5"/>
  <c r="Y530" i="5"/>
  <c r="P1905" i="5"/>
  <c r="Y1905" i="5"/>
  <c r="Y2860" i="5"/>
  <c r="P2860" i="5"/>
  <c r="P2357" i="5"/>
  <c r="Y2357" i="5"/>
  <c r="Y3158" i="5"/>
  <c r="P3158" i="5"/>
  <c r="P2800" i="5"/>
  <c r="Y2800" i="5"/>
  <c r="P2719" i="5"/>
  <c r="Y2719" i="5"/>
  <c r="P2802" i="5"/>
  <c r="Y2802" i="5"/>
  <c r="Y1847" i="5"/>
  <c r="P1847" i="5"/>
  <c r="P41" i="5"/>
  <c r="Y41" i="5"/>
  <c r="X2218" i="5"/>
  <c r="X2520" i="5"/>
  <c r="Y1832" i="5"/>
  <c r="Y302" i="5"/>
  <c r="P302" i="5"/>
  <c r="Y1425" i="5"/>
  <c r="P1425" i="5"/>
  <c r="Y1980" i="5"/>
  <c r="P1980" i="5"/>
  <c r="Y849" i="5"/>
  <c r="P849" i="5"/>
  <c r="X668" i="5"/>
  <c r="X757" i="5"/>
  <c r="X2398" i="5"/>
  <c r="P2663" i="5"/>
  <c r="Y2663" i="5"/>
  <c r="Y3281" i="5"/>
  <c r="P3281" i="5"/>
  <c r="P1745" i="5"/>
  <c r="Y1745" i="5"/>
  <c r="Y2534" i="5"/>
  <c r="P2534" i="5"/>
  <c r="X711" i="5"/>
  <c r="Y960" i="5"/>
  <c r="X686" i="5"/>
  <c r="X161" i="5"/>
  <c r="X1175" i="5"/>
  <c r="X1504" i="5"/>
  <c r="Y793" i="5"/>
  <c r="X1531" i="5"/>
  <c r="Y1789" i="5"/>
  <c r="P2307" i="5"/>
  <c r="X2460" i="5"/>
  <c r="X2376" i="5"/>
  <c r="P3097" i="5"/>
  <c r="Y1300" i="5"/>
  <c r="P1300" i="5"/>
  <c r="Y2230" i="5"/>
  <c r="P2230" i="5"/>
  <c r="P2905" i="5"/>
  <c r="X1784" i="5"/>
  <c r="X2654" i="5"/>
  <c r="P508" i="5"/>
  <c r="Y508" i="5"/>
  <c r="Y170" i="5"/>
  <c r="P170" i="5"/>
  <c r="X272" i="5"/>
  <c r="X347" i="5"/>
  <c r="Y888" i="5"/>
  <c r="X308" i="5"/>
  <c r="X1516" i="5"/>
  <c r="X1545" i="5"/>
  <c r="X1553" i="5"/>
  <c r="P2441" i="5"/>
  <c r="Y2441" i="5"/>
  <c r="X18" i="5"/>
  <c r="Y319" i="5"/>
  <c r="X653" i="5"/>
  <c r="X896" i="5"/>
  <c r="X912" i="5"/>
  <c r="Y1468" i="5"/>
  <c r="X2233" i="5"/>
  <c r="X3132" i="5"/>
  <c r="X2819" i="5"/>
  <c r="Y68" i="5"/>
  <c r="P68" i="5"/>
  <c r="Y376" i="5"/>
  <c r="P376" i="5"/>
  <c r="P398" i="5"/>
  <c r="Y398" i="5"/>
  <c r="Y390" i="5"/>
  <c r="P390" i="5"/>
  <c r="P27" i="5"/>
  <c r="Y27" i="5"/>
  <c r="Y777" i="5"/>
  <c r="P777" i="5"/>
  <c r="Y1195" i="5"/>
  <c r="P1195" i="5"/>
  <c r="P1282" i="5"/>
  <c r="Y1282" i="5"/>
  <c r="P1443" i="5"/>
  <c r="Y1443" i="5"/>
  <c r="Y524" i="5"/>
  <c r="P524" i="5"/>
  <c r="Y908" i="5"/>
  <c r="P908" i="5"/>
  <c r="Y917" i="5"/>
  <c r="P917" i="5"/>
  <c r="Y1408" i="5"/>
  <c r="P1408" i="5"/>
  <c r="P1697" i="5"/>
  <c r="Y1697" i="5"/>
  <c r="P1526" i="5"/>
  <c r="Y1526" i="5"/>
  <c r="Y1162" i="5"/>
  <c r="P1162" i="5"/>
  <c r="P2358" i="5"/>
  <c r="Y2358" i="5"/>
  <c r="Y2712" i="5"/>
  <c r="P2712" i="5"/>
  <c r="X2795" i="5"/>
  <c r="Y2442" i="5"/>
  <c r="P2442" i="5"/>
  <c r="P2884" i="5"/>
  <c r="Y2884" i="5"/>
  <c r="P3101" i="5"/>
  <c r="Y3101" i="5"/>
  <c r="P2722" i="5"/>
  <c r="Y2722" i="5"/>
  <c r="Y46" i="5"/>
  <c r="P46" i="5"/>
  <c r="P452" i="5"/>
  <c r="Y452" i="5"/>
  <c r="P2426" i="5"/>
  <c r="Y2426" i="5"/>
  <c r="Y337" i="5"/>
  <c r="P337" i="5"/>
  <c r="P22" i="5"/>
  <c r="Y22" i="5"/>
  <c r="P228" i="5"/>
  <c r="Y228" i="5"/>
  <c r="Y119" i="5"/>
  <c r="Y260" i="5"/>
  <c r="P260" i="5"/>
  <c r="Y490" i="5"/>
  <c r="P490" i="5"/>
  <c r="Y738" i="5"/>
  <c r="P738" i="5"/>
  <c r="P649" i="5"/>
  <c r="Y649" i="5"/>
  <c r="Y1923" i="5"/>
  <c r="P1923" i="5"/>
  <c r="Y2092" i="5"/>
  <c r="P2092" i="5"/>
  <c r="P2173" i="5"/>
  <c r="Y2173" i="5"/>
  <c r="P1652" i="5"/>
  <c r="Y1652" i="5"/>
  <c r="Y2450" i="5"/>
  <c r="Y2495" i="5"/>
  <c r="P2495" i="5"/>
  <c r="Y2858" i="5"/>
  <c r="P2858" i="5"/>
  <c r="P3112" i="5"/>
  <c r="Y3112" i="5"/>
  <c r="P3222" i="5"/>
  <c r="Y3222" i="5"/>
  <c r="Y123" i="5"/>
  <c r="P123" i="5"/>
  <c r="P124" i="5"/>
  <c r="Y124" i="5"/>
  <c r="Y211" i="5"/>
  <c r="P211" i="5"/>
  <c r="P111" i="5"/>
  <c r="Y422" i="5"/>
  <c r="P422" i="5"/>
  <c r="P385" i="5"/>
  <c r="Y148" i="5"/>
  <c r="P360" i="5"/>
  <c r="Y360" i="5"/>
  <c r="Y611" i="5"/>
  <c r="P611" i="5"/>
  <c r="P441" i="5"/>
  <c r="Y441" i="5"/>
  <c r="Y757" i="5"/>
  <c r="P757" i="5"/>
  <c r="P1223" i="5"/>
  <c r="Y1223" i="5"/>
  <c r="Y1097" i="5"/>
  <c r="P1097" i="5"/>
  <c r="Y1043" i="5"/>
  <c r="P1043" i="5"/>
  <c r="Y1528" i="5"/>
  <c r="P1528" i="5"/>
  <c r="P999" i="5"/>
  <c r="Y999" i="5"/>
  <c r="Y1488" i="5"/>
  <c r="P1488" i="5"/>
  <c r="Y2007" i="5"/>
  <c r="P2007" i="5"/>
  <c r="Y2698" i="5"/>
  <c r="P2698" i="5"/>
  <c r="Y3105" i="5"/>
  <c r="P3105" i="5"/>
  <c r="Y529" i="5"/>
  <c r="P529" i="5"/>
  <c r="Y841" i="5"/>
  <c r="P841" i="5"/>
  <c r="P640" i="5"/>
  <c r="Y640" i="5"/>
  <c r="Y700" i="5"/>
  <c r="P700" i="5"/>
  <c r="P1089" i="5"/>
  <c r="Y1089" i="5"/>
  <c r="Y1414" i="5"/>
  <c r="P1414" i="5"/>
  <c r="P1378" i="5"/>
  <c r="Y1378" i="5"/>
  <c r="P1057" i="5"/>
  <c r="Y1057" i="5"/>
  <c r="P2153" i="5"/>
  <c r="Y2153" i="5"/>
  <c r="P2099" i="5"/>
  <c r="Y2099" i="5"/>
  <c r="P2315" i="5"/>
  <c r="Y2315" i="5"/>
  <c r="P2131" i="5"/>
  <c r="Y2131" i="5"/>
  <c r="Y2037" i="5"/>
  <c r="P2037" i="5"/>
  <c r="P2327" i="5"/>
  <c r="Y2327" i="5"/>
  <c r="P2187" i="5"/>
  <c r="Y2187" i="5"/>
  <c r="P2569" i="5"/>
  <c r="Y2569" i="5"/>
  <c r="Y2978" i="5"/>
  <c r="P2978" i="5"/>
  <c r="Y2330" i="5"/>
  <c r="P2330" i="5"/>
  <c r="P188" i="5"/>
  <c r="Y188" i="5"/>
  <c r="Y748" i="5"/>
  <c r="P748" i="5"/>
  <c r="P1892" i="5"/>
  <c r="Y1892" i="5"/>
  <c r="P10" i="5"/>
  <c r="Y53" i="5"/>
  <c r="P53" i="5"/>
  <c r="Y156" i="5"/>
  <c r="P593" i="5"/>
  <c r="Y593" i="5"/>
  <c r="Y324" i="5"/>
  <c r="P324" i="5"/>
  <c r="Y975" i="5"/>
  <c r="P975" i="5"/>
  <c r="Y1220" i="5"/>
  <c r="P1220" i="5"/>
  <c r="P1306" i="5"/>
  <c r="Y1306" i="5"/>
  <c r="P1387" i="5"/>
  <c r="Y1387" i="5"/>
  <c r="P1466" i="5"/>
  <c r="Y1466" i="5"/>
  <c r="Y257" i="5"/>
  <c r="P257" i="5"/>
  <c r="P988" i="5"/>
  <c r="Y988" i="5"/>
  <c r="X737" i="5"/>
  <c r="Y705" i="5"/>
  <c r="P705" i="5"/>
  <c r="P942" i="5"/>
  <c r="Y942" i="5"/>
  <c r="X408" i="5"/>
  <c r="Y974" i="5"/>
  <c r="P974" i="5"/>
  <c r="Y1295" i="5"/>
  <c r="P1295" i="5"/>
  <c r="P1059" i="5"/>
  <c r="Y1059" i="5"/>
  <c r="Y1880" i="5"/>
  <c r="P1880" i="5"/>
  <c r="P1803" i="5"/>
  <c r="Y1803" i="5"/>
  <c r="P1951" i="5"/>
  <c r="Y1951" i="5"/>
  <c r="Y1346" i="5"/>
  <c r="P1346" i="5"/>
  <c r="Y2522" i="5"/>
  <c r="Y2457" i="5"/>
  <c r="P2457" i="5"/>
  <c r="P3256" i="5"/>
  <c r="Y3256" i="5"/>
  <c r="P2146" i="5"/>
  <c r="Y2146" i="5"/>
  <c r="P3190" i="5"/>
  <c r="Y3190" i="5"/>
  <c r="Y163" i="5"/>
  <c r="P163" i="5"/>
  <c r="P103" i="5"/>
  <c r="Y103" i="5"/>
  <c r="P38" i="5"/>
  <c r="Y232" i="5"/>
  <c r="P200" i="5"/>
  <c r="Y200" i="5"/>
  <c r="Y557" i="5"/>
  <c r="P557" i="5"/>
  <c r="Y362" i="5"/>
  <c r="P362" i="5"/>
  <c r="P579" i="5"/>
  <c r="Y579" i="5"/>
  <c r="P774" i="5"/>
  <c r="Y774" i="5"/>
  <c r="P183" i="5"/>
  <c r="Y183" i="5"/>
  <c r="P99" i="5"/>
  <c r="Y99" i="5"/>
  <c r="P1182" i="5"/>
  <c r="Y1182" i="5"/>
  <c r="Y737" i="5"/>
  <c r="P737" i="5"/>
  <c r="P1173" i="5"/>
  <c r="Y1173" i="5"/>
  <c r="P1091" i="5"/>
  <c r="Y1091" i="5"/>
  <c r="Y1037" i="5"/>
  <c r="P1037" i="5"/>
  <c r="P570" i="5"/>
  <c r="Y570" i="5"/>
  <c r="Y920" i="5"/>
  <c r="P920" i="5"/>
  <c r="Y1820" i="5"/>
  <c r="P1820" i="5"/>
  <c r="Y2245" i="5"/>
  <c r="P2245" i="5"/>
  <c r="Y2154" i="5"/>
  <c r="P2154" i="5"/>
  <c r="Y2454" i="5"/>
  <c r="P2454" i="5"/>
  <c r="Y2563" i="5"/>
  <c r="P2563" i="5"/>
  <c r="P2997" i="5"/>
  <c r="Y2997" i="5"/>
  <c r="P345" i="5"/>
  <c r="Y345" i="5"/>
  <c r="Y1187" i="5"/>
  <c r="P1187" i="5"/>
  <c r="P96" i="5"/>
  <c r="Y96" i="5"/>
  <c r="P198" i="5"/>
  <c r="Y198" i="5"/>
  <c r="P233" i="5"/>
  <c r="X323" i="5"/>
  <c r="Y272" i="5"/>
  <c r="P272" i="5"/>
  <c r="X544" i="5"/>
  <c r="Y403" i="5"/>
  <c r="P403" i="5"/>
  <c r="Y1007" i="5"/>
  <c r="P1007" i="5"/>
  <c r="Y1236" i="5"/>
  <c r="P1236" i="5"/>
  <c r="P1314" i="5"/>
  <c r="Y1314" i="5"/>
  <c r="Y1395" i="5"/>
  <c r="P1395" i="5"/>
  <c r="P566" i="5"/>
  <c r="Y566" i="5"/>
  <c r="P797" i="5"/>
  <c r="Y797" i="5"/>
  <c r="X99" i="5"/>
  <c r="Y1053" i="5"/>
  <c r="P1053" i="5"/>
  <c r="P1158" i="5"/>
  <c r="Y1158" i="5"/>
  <c r="P1367" i="5"/>
  <c r="Y1367" i="5"/>
  <c r="P1786" i="5"/>
  <c r="Y1786" i="5"/>
  <c r="P1500" i="5"/>
  <c r="Y1500" i="5"/>
  <c r="Y1823" i="5"/>
  <c r="P1823" i="5"/>
  <c r="Y758" i="5"/>
  <c r="P758" i="5"/>
  <c r="P1853" i="5"/>
  <c r="Y1853" i="5"/>
  <c r="Y1956" i="5"/>
  <c r="P1956" i="5"/>
  <c r="Y2591" i="5"/>
  <c r="P2591" i="5"/>
  <c r="Y3133" i="5"/>
  <c r="P3133" i="5"/>
  <c r="Y2917" i="5"/>
  <c r="P2917" i="5"/>
  <c r="P2533" i="5"/>
  <c r="Y2533" i="5"/>
  <c r="P20" i="5"/>
  <c r="Y20" i="5"/>
  <c r="P682" i="5"/>
  <c r="Y682" i="5"/>
  <c r="P1790" i="5"/>
  <c r="Y1790" i="5"/>
  <c r="Y1670" i="5"/>
  <c r="P1670" i="5"/>
  <c r="Y2233" i="5"/>
  <c r="P2233" i="5"/>
  <c r="P2614" i="5"/>
  <c r="Y2614" i="5"/>
  <c r="P538" i="5"/>
  <c r="Y538" i="5"/>
  <c r="Y277" i="5"/>
  <c r="P785" i="5"/>
  <c r="Y785" i="5"/>
  <c r="P328" i="5"/>
  <c r="Y328" i="5"/>
  <c r="P781" i="5"/>
  <c r="Y781" i="5"/>
  <c r="Y1023" i="5"/>
  <c r="P1023" i="5"/>
  <c r="P1240" i="5"/>
  <c r="Y1240" i="5"/>
  <c r="Y1318" i="5"/>
  <c r="P1318" i="5"/>
  <c r="P1399" i="5"/>
  <c r="Y1399" i="5"/>
  <c r="P101" i="5"/>
  <c r="Y101" i="5"/>
  <c r="Y1128" i="5"/>
  <c r="P1128" i="5"/>
  <c r="Y743" i="5"/>
  <c r="P743" i="5"/>
  <c r="Y1663" i="5"/>
  <c r="P1663" i="5"/>
  <c r="P1535" i="5"/>
  <c r="Y1535" i="5"/>
  <c r="Y1843" i="5"/>
  <c r="P1843" i="5"/>
  <c r="P1990" i="5"/>
  <c r="Y1990" i="5"/>
  <c r="Y2052" i="5"/>
  <c r="P2052" i="5"/>
  <c r="P2524" i="5"/>
  <c r="Y2524" i="5"/>
  <c r="Y3153" i="5"/>
  <c r="P3153" i="5"/>
  <c r="Y3053" i="5"/>
  <c r="P3053" i="5"/>
  <c r="P248" i="5"/>
  <c r="Y159" i="5"/>
  <c r="P159" i="5"/>
  <c r="Y461" i="5"/>
  <c r="P618" i="5"/>
  <c r="Y618" i="5"/>
  <c r="Y194" i="5"/>
  <c r="P659" i="5"/>
  <c r="P1277" i="5"/>
  <c r="Y1277" i="5"/>
  <c r="P1060" i="5"/>
  <c r="Y1060" i="5"/>
  <c r="P1544" i="5"/>
  <c r="Y1544" i="5"/>
  <c r="Y901" i="5"/>
  <c r="P901" i="5"/>
  <c r="Y1373" i="5"/>
  <c r="P1373" i="5"/>
  <c r="Y2133" i="5"/>
  <c r="P2133" i="5"/>
  <c r="P2231" i="5"/>
  <c r="Y2231" i="5"/>
  <c r="Y2376" i="5"/>
  <c r="P2376" i="5"/>
  <c r="P2920" i="5"/>
  <c r="Y2920" i="5"/>
  <c r="Y2488" i="5"/>
  <c r="P2488" i="5"/>
  <c r="Y617" i="5"/>
  <c r="P617" i="5"/>
  <c r="Y955" i="5"/>
  <c r="P955" i="5"/>
  <c r="Y948" i="5"/>
  <c r="P948" i="5"/>
  <c r="Y1668" i="5"/>
  <c r="P1668" i="5"/>
  <c r="Y127" i="5"/>
  <c r="P127" i="5"/>
  <c r="P215" i="5"/>
  <c r="Y215" i="5"/>
  <c r="Y47" i="5"/>
  <c r="P47" i="5"/>
  <c r="X284" i="5"/>
  <c r="Y407" i="5"/>
  <c r="P407" i="5"/>
  <c r="P317" i="5"/>
  <c r="Y317" i="5"/>
  <c r="P636" i="5"/>
  <c r="Y636" i="5"/>
  <c r="P335" i="5"/>
  <c r="Y335" i="5"/>
  <c r="P160" i="5"/>
  <c r="Y160" i="5"/>
  <c r="Y420" i="5"/>
  <c r="P420" i="5"/>
  <c r="Y633" i="5"/>
  <c r="P633" i="5"/>
  <c r="P354" i="5"/>
  <c r="Y354" i="5"/>
  <c r="Y1537" i="5"/>
  <c r="P1537" i="5"/>
  <c r="Y933" i="5"/>
  <c r="X1653" i="5"/>
  <c r="Y1911" i="5"/>
  <c r="P1911" i="5"/>
  <c r="P2935" i="5"/>
  <c r="Y2935" i="5"/>
  <c r="Y2842" i="5"/>
  <c r="P2842" i="5"/>
  <c r="Y1416" i="5"/>
  <c r="P1416" i="5"/>
  <c r="P115" i="5"/>
  <c r="Y115" i="5"/>
  <c r="P464" i="5"/>
  <c r="Y464" i="5"/>
  <c r="P236" i="5"/>
  <c r="P413" i="5"/>
  <c r="Y413" i="5"/>
  <c r="Y107" i="5"/>
  <c r="Y18" i="5"/>
  <c r="P18" i="5"/>
  <c r="X603" i="5"/>
  <c r="Y513" i="5"/>
  <c r="P513" i="5"/>
  <c r="Y84" i="5"/>
  <c r="P84" i="5"/>
  <c r="P479" i="5"/>
  <c r="Y479" i="5"/>
  <c r="Y750" i="5"/>
  <c r="P750" i="5"/>
  <c r="Y339" i="5"/>
  <c r="Y641" i="5"/>
  <c r="P641" i="5"/>
  <c r="Y1509" i="5"/>
  <c r="P1509" i="5"/>
  <c r="Y1661" i="5"/>
  <c r="P1661" i="5"/>
  <c r="Y1262" i="5"/>
  <c r="P1262" i="5"/>
  <c r="Y2002" i="5"/>
  <c r="P2002" i="5"/>
  <c r="P1749" i="5"/>
  <c r="Y1952" i="5"/>
  <c r="P1952" i="5"/>
  <c r="Y2186" i="5"/>
  <c r="P2186" i="5"/>
  <c r="Y2240" i="5"/>
  <c r="P2240" i="5"/>
  <c r="Y1569" i="5"/>
  <c r="P1569" i="5"/>
  <c r="P2305" i="5"/>
  <c r="Y2305" i="5"/>
  <c r="X2414" i="5"/>
  <c r="Y2650" i="5"/>
  <c r="P2650" i="5"/>
  <c r="Y2622" i="5"/>
  <c r="P2622" i="5"/>
  <c r="Y2876" i="5"/>
  <c r="P2876" i="5"/>
  <c r="P2463" i="5"/>
  <c r="Y2463" i="5"/>
  <c r="Y3220" i="5"/>
  <c r="P3220" i="5"/>
  <c r="P2930" i="5"/>
  <c r="Y2930" i="5"/>
  <c r="P167" i="5"/>
  <c r="Y167" i="5"/>
  <c r="Y3092" i="5"/>
  <c r="P3092" i="5"/>
  <c r="Y182" i="5"/>
  <c r="P182" i="5"/>
  <c r="P190" i="5"/>
  <c r="Y190" i="5"/>
  <c r="Y42" i="5"/>
  <c r="P42" i="5"/>
  <c r="Y70" i="5"/>
  <c r="P70" i="5"/>
  <c r="Y315" i="5"/>
  <c r="Y57" i="5"/>
  <c r="P288" i="5"/>
  <c r="Y307" i="5"/>
  <c r="X563" i="5"/>
  <c r="Y652" i="5"/>
  <c r="P652" i="5"/>
  <c r="P474" i="5"/>
  <c r="Y474" i="5"/>
  <c r="P555" i="5"/>
  <c r="P578" i="5"/>
  <c r="Y578" i="5"/>
  <c r="X761" i="5"/>
  <c r="P69" i="5"/>
  <c r="Y755" i="5"/>
  <c r="P755" i="5"/>
  <c r="Y806" i="5"/>
  <c r="P806" i="5"/>
  <c r="Y723" i="5"/>
  <c r="P723" i="5"/>
  <c r="P2202" i="5"/>
  <c r="P1959" i="5"/>
  <c r="Y1959" i="5"/>
  <c r="Y2462" i="5"/>
  <c r="P2462" i="5"/>
  <c r="Y2943" i="5"/>
  <c r="P2943" i="5"/>
  <c r="P1648" i="5"/>
  <c r="Y1648" i="5"/>
  <c r="P2084" i="5"/>
  <c r="Y2084" i="5"/>
  <c r="P2525" i="5"/>
  <c r="Y2525" i="5"/>
  <c r="P92" i="5"/>
  <c r="Y92" i="5"/>
  <c r="P1812" i="5"/>
  <c r="Y1812" i="5"/>
  <c r="P205" i="5"/>
  <c r="Y205" i="5"/>
  <c r="Y173" i="5"/>
  <c r="P173" i="5"/>
  <c r="P7" i="5"/>
  <c r="Y7" i="5"/>
  <c r="P268" i="5"/>
  <c r="Y268" i="5"/>
  <c r="P210" i="5"/>
  <c r="Y210" i="5"/>
  <c r="Y91" i="5"/>
  <c r="P437" i="5"/>
  <c r="P702" i="5"/>
  <c r="Y702" i="5"/>
  <c r="P1308" i="5"/>
  <c r="Y1308" i="5"/>
  <c r="P1116" i="5"/>
  <c r="Y1116" i="5"/>
  <c r="P1850" i="5"/>
  <c r="Y1850" i="5"/>
  <c r="Y2013" i="5"/>
  <c r="P2013" i="5"/>
  <c r="Y2145" i="5"/>
  <c r="P2145" i="5"/>
  <c r="Y2371" i="5"/>
  <c r="P2371" i="5"/>
  <c r="P1669" i="5"/>
  <c r="Y1669" i="5"/>
  <c r="P3102" i="5"/>
  <c r="Y3102" i="5"/>
  <c r="Y2438" i="5"/>
  <c r="P2438" i="5"/>
  <c r="Y2913" i="5"/>
  <c r="P2913" i="5"/>
  <c r="P2436" i="5"/>
  <c r="Y2436" i="5"/>
  <c r="Y3011" i="5"/>
  <c r="P3011" i="5"/>
  <c r="Y3328" i="5"/>
  <c r="P3328" i="5"/>
  <c r="Y353" i="5"/>
  <c r="P353" i="5"/>
  <c r="Y2588" i="5"/>
  <c r="P2588" i="5"/>
  <c r="Y438" i="5"/>
  <c r="P438" i="5"/>
  <c r="P73" i="5"/>
  <c r="Y73" i="5"/>
  <c r="P892" i="5"/>
  <c r="Y892" i="5"/>
  <c r="Y161" i="5"/>
  <c r="P161" i="5"/>
  <c r="Y1247" i="5"/>
  <c r="P1247" i="5"/>
  <c r="P1655" i="5"/>
  <c r="Y1655" i="5"/>
  <c r="P1264" i="5"/>
  <c r="Y1264" i="5"/>
  <c r="Y252" i="5"/>
  <c r="P252" i="5"/>
  <c r="Y244" i="5"/>
  <c r="P244" i="5"/>
  <c r="Y105" i="5"/>
  <c r="P105" i="5"/>
  <c r="Y416" i="5"/>
  <c r="P416" i="5"/>
  <c r="X30" i="5"/>
  <c r="P571" i="5"/>
  <c r="Y571" i="5"/>
  <c r="P214" i="5"/>
  <c r="Y214" i="5"/>
  <c r="P485" i="5"/>
  <c r="P862" i="5"/>
  <c r="Y862" i="5"/>
  <c r="P1141" i="5"/>
  <c r="Y1141" i="5"/>
  <c r="Y1270" i="5"/>
  <c r="P1270" i="5"/>
  <c r="Y1361" i="5"/>
  <c r="P1361" i="5"/>
  <c r="Y1431" i="5"/>
  <c r="P1431" i="5"/>
  <c r="Y1006" i="5"/>
  <c r="P1006" i="5"/>
  <c r="P1709" i="5"/>
  <c r="Y1709" i="5"/>
  <c r="Y706" i="5"/>
  <c r="P706" i="5"/>
  <c r="Y1229" i="5"/>
  <c r="P1229" i="5"/>
  <c r="Y1568" i="5"/>
  <c r="P1568" i="5"/>
  <c r="P1589" i="5"/>
  <c r="Y1589" i="5"/>
  <c r="P1593" i="5"/>
  <c r="Y1593" i="5"/>
  <c r="Y2249" i="5"/>
  <c r="P2249" i="5"/>
  <c r="Y2440" i="5"/>
  <c r="P2440" i="5"/>
  <c r="Y3026" i="5"/>
  <c r="P3026" i="5"/>
  <c r="P3185" i="5"/>
  <c r="Y3185" i="5"/>
  <c r="P3218" i="5"/>
  <c r="Y3218" i="5"/>
  <c r="Y629" i="5"/>
  <c r="P629" i="5"/>
  <c r="P472" i="5"/>
  <c r="Y472" i="5"/>
  <c r="Y866" i="5"/>
  <c r="P866" i="5"/>
  <c r="Y725" i="5"/>
  <c r="P725" i="5"/>
  <c r="Y912" i="5"/>
  <c r="P912" i="5"/>
  <c r="Y1033" i="5"/>
  <c r="P1033" i="5"/>
  <c r="Y1292" i="5"/>
  <c r="P1292" i="5"/>
  <c r="P1474" i="5"/>
  <c r="Y1474" i="5"/>
  <c r="Y926" i="5"/>
  <c r="P926" i="5"/>
  <c r="Y1206" i="5"/>
  <c r="P1206" i="5"/>
  <c r="P1156" i="5"/>
  <c r="Y1156" i="5"/>
  <c r="Y824" i="5"/>
  <c r="Y985" i="5"/>
  <c r="P985" i="5"/>
  <c r="P1498" i="5"/>
  <c r="Y1498" i="5"/>
  <c r="X1393" i="5"/>
  <c r="P1148" i="5"/>
  <c r="Y1148" i="5"/>
  <c r="Y1214" i="5"/>
  <c r="P1214" i="5"/>
  <c r="P443" i="5"/>
  <c r="Y443" i="5"/>
  <c r="P1536" i="5"/>
  <c r="Y1536" i="5"/>
  <c r="P1516" i="5"/>
  <c r="Y1516" i="5"/>
  <c r="P773" i="5"/>
  <c r="Y773" i="5"/>
  <c r="Y691" i="5"/>
  <c r="Y1604" i="5"/>
  <c r="P1604" i="5"/>
  <c r="Y1513" i="5"/>
  <c r="P1513" i="5"/>
  <c r="P1720" i="5"/>
  <c r="Y1720" i="5"/>
  <c r="Y880" i="5"/>
  <c r="P880" i="5"/>
  <c r="X1747" i="5"/>
  <c r="Y1548" i="5"/>
  <c r="P1548" i="5"/>
  <c r="P1785" i="5"/>
  <c r="Y1785" i="5"/>
  <c r="Y1574" i="5"/>
  <c r="P1574" i="5"/>
  <c r="Y1768" i="5"/>
  <c r="P1768" i="5"/>
  <c r="Y1760" i="5"/>
  <c r="P1760" i="5"/>
  <c r="P1974" i="5"/>
  <c r="Y1974" i="5"/>
  <c r="P412" i="5"/>
  <c r="X1436" i="5"/>
  <c r="P2183" i="5"/>
  <c r="Y1646" i="5"/>
  <c r="P1646" i="5"/>
  <c r="Y2306" i="5"/>
  <c r="P2306" i="5"/>
  <c r="X2021" i="5"/>
  <c r="Y2053" i="5"/>
  <c r="P2053" i="5"/>
  <c r="P1895" i="5"/>
  <c r="Y1895" i="5"/>
  <c r="Y1733" i="5"/>
  <c r="P1733" i="5"/>
  <c r="Y1916" i="5"/>
  <c r="P1916" i="5"/>
  <c r="P2420" i="5"/>
  <c r="Y2420" i="5"/>
  <c r="P2498" i="5"/>
  <c r="Y2498" i="5"/>
  <c r="P2885" i="5"/>
  <c r="Y2885" i="5"/>
  <c r="P2960" i="5"/>
  <c r="Y2960" i="5"/>
  <c r="Y2551" i="5"/>
  <c r="Y2785" i="5"/>
  <c r="P2785" i="5"/>
  <c r="Y2889" i="5"/>
  <c r="P2889" i="5"/>
  <c r="Y2647" i="5"/>
  <c r="P2647" i="5"/>
  <c r="P3079" i="5"/>
  <c r="Y3079" i="5"/>
  <c r="P2951" i="5"/>
  <c r="P2662" i="5"/>
  <c r="Y2662" i="5"/>
  <c r="Y3228" i="5"/>
  <c r="P3228" i="5"/>
  <c r="P3201" i="5"/>
  <c r="Y3201" i="5"/>
  <c r="Y2995" i="5"/>
  <c r="P2995" i="5"/>
  <c r="P3141" i="5"/>
  <c r="P3322" i="5"/>
  <c r="Y3322" i="5"/>
  <c r="P3208" i="5"/>
  <c r="Y3208" i="5"/>
  <c r="P3006" i="5"/>
  <c r="P3071" i="5"/>
  <c r="Y3071" i="5"/>
  <c r="P3205" i="5"/>
  <c r="Y3205" i="5"/>
  <c r="P2934" i="5"/>
  <c r="Y2934" i="5"/>
  <c r="Y3280" i="5"/>
  <c r="Y186" i="5"/>
  <c r="P186" i="5"/>
  <c r="P655" i="5"/>
  <c r="P603" i="5"/>
  <c r="Y603" i="5"/>
  <c r="Y576" i="5"/>
  <c r="P576" i="5"/>
  <c r="Y180" i="5"/>
  <c r="P180" i="5"/>
  <c r="P65" i="5"/>
  <c r="Y65" i="5"/>
  <c r="P514" i="5"/>
  <c r="Y514" i="5"/>
  <c r="P753" i="5"/>
  <c r="Y753" i="5"/>
  <c r="Y991" i="5"/>
  <c r="P991" i="5"/>
  <c r="Y1224" i="5"/>
  <c r="P1224" i="5"/>
  <c r="Y1310" i="5"/>
  <c r="P1310" i="5"/>
  <c r="Y1391" i="5"/>
  <c r="P1391" i="5"/>
  <c r="Y483" i="5"/>
  <c r="P483" i="5"/>
  <c r="P678" i="5"/>
  <c r="Y678" i="5"/>
  <c r="Y626" i="5"/>
  <c r="P626" i="5"/>
  <c r="P1673" i="5"/>
  <c r="Y1673" i="5"/>
  <c r="X926" i="5"/>
  <c r="P1576" i="5"/>
  <c r="Y1576" i="5"/>
  <c r="Y1027" i="5"/>
  <c r="P1036" i="5"/>
  <c r="Y1036" i="5"/>
  <c r="Y1030" i="5"/>
  <c r="P1030" i="5"/>
  <c r="P1409" i="5"/>
  <c r="Y1409" i="5"/>
  <c r="P1547" i="5"/>
  <c r="Y1547" i="5"/>
  <c r="X1148" i="5"/>
  <c r="X1214" i="5"/>
  <c r="P1321" i="5"/>
  <c r="Y1321" i="5"/>
  <c r="P1432" i="5"/>
  <c r="Y1653" i="5"/>
  <c r="P1653" i="5"/>
  <c r="P699" i="5"/>
  <c r="Y1403" i="5"/>
  <c r="P1403" i="5"/>
  <c r="X1604" i="5"/>
  <c r="P1665" i="5"/>
  <c r="Y1665" i="5"/>
  <c r="P1770" i="5"/>
  <c r="Y1770" i="5"/>
  <c r="P1480" i="5"/>
  <c r="Y1480" i="5"/>
  <c r="Y1778" i="5"/>
  <c r="P1778" i="5"/>
  <c r="Y1826" i="5"/>
  <c r="P1826" i="5"/>
  <c r="Y1637" i="5"/>
  <c r="P1637" i="5"/>
  <c r="Y1641" i="5"/>
  <c r="P1641" i="5"/>
  <c r="X1548" i="5"/>
  <c r="Y1638" i="5"/>
  <c r="P1638" i="5"/>
  <c r="P1796" i="5"/>
  <c r="Y1796" i="5"/>
  <c r="P1515" i="5"/>
  <c r="Y1515" i="5"/>
  <c r="X1768" i="5"/>
  <c r="Y1928" i="5"/>
  <c r="P1928" i="5"/>
  <c r="Y2189" i="5"/>
  <c r="P2189" i="5"/>
  <c r="Y1821" i="5"/>
  <c r="P1821" i="5"/>
  <c r="Y2182" i="5"/>
  <c r="P2182" i="5"/>
  <c r="Y2303" i="5"/>
  <c r="P2303" i="5"/>
  <c r="P2060" i="5"/>
  <c r="Y2060" i="5"/>
  <c r="Y2288" i="5"/>
  <c r="P2288" i="5"/>
  <c r="Y2900" i="5"/>
  <c r="P2900" i="5"/>
  <c r="Y2595" i="5"/>
  <c r="P2595" i="5"/>
  <c r="P2499" i="5"/>
  <c r="Y2499" i="5"/>
  <c r="Y2343" i="5"/>
  <c r="P2343" i="5"/>
  <c r="P2485" i="5"/>
  <c r="Y2485" i="5"/>
  <c r="Y2966" i="5"/>
  <c r="Y2487" i="5"/>
  <c r="P2487" i="5"/>
  <c r="P2726" i="5"/>
  <c r="Y2726" i="5"/>
  <c r="Y2872" i="5"/>
  <c r="P2872" i="5"/>
  <c r="Y3106" i="5"/>
  <c r="P3106" i="5"/>
  <c r="X2995" i="5"/>
  <c r="X3144" i="5"/>
  <c r="P2718" i="5"/>
  <c r="Y2718" i="5"/>
  <c r="P3043" i="5"/>
  <c r="Y3043" i="5"/>
  <c r="X3205" i="5"/>
  <c r="X3311" i="5"/>
  <c r="P2415" i="5"/>
  <c r="Y2415" i="5"/>
  <c r="Y3193" i="5"/>
  <c r="X47" i="5"/>
  <c r="P284" i="5"/>
  <c r="Y284" i="5"/>
  <c r="P136" i="5"/>
  <c r="Y136" i="5"/>
  <c r="Y147" i="5"/>
  <c r="P147" i="5"/>
  <c r="P364" i="5"/>
  <c r="Y364" i="5"/>
  <c r="P61" i="5"/>
  <c r="Y61" i="5"/>
  <c r="Y323" i="5"/>
  <c r="P323" i="5"/>
  <c r="Y544" i="5"/>
  <c r="P544" i="5"/>
  <c r="Y442" i="5"/>
  <c r="P442" i="5"/>
  <c r="X73" i="5"/>
  <c r="P573" i="5"/>
  <c r="Y573" i="5"/>
  <c r="Y414" i="5"/>
  <c r="X640" i="5"/>
  <c r="Y450" i="5"/>
  <c r="P450" i="5"/>
  <c r="P1039" i="5"/>
  <c r="Y1039" i="5"/>
  <c r="Y1243" i="5"/>
  <c r="P1243" i="5"/>
  <c r="Y1322" i="5"/>
  <c r="P1322" i="5"/>
  <c r="P1407" i="5"/>
  <c r="Y1407" i="5"/>
  <c r="Y496" i="5"/>
  <c r="P496" i="5"/>
  <c r="P463" i="5"/>
  <c r="Y463" i="5"/>
  <c r="P801" i="5"/>
  <c r="Y801" i="5"/>
  <c r="X682" i="5"/>
  <c r="Y221" i="5"/>
  <c r="Y660" i="5"/>
  <c r="P660" i="5"/>
  <c r="X1001" i="5"/>
  <c r="Y932" i="5"/>
  <c r="P932" i="5"/>
  <c r="Y681" i="5"/>
  <c r="P681" i="5"/>
  <c r="X741" i="5"/>
  <c r="Y614" i="5"/>
  <c r="P614" i="5"/>
  <c r="P1490" i="5"/>
  <c r="Y1490" i="5"/>
  <c r="P1051" i="5"/>
  <c r="Y1051" i="5"/>
  <c r="P1309" i="5"/>
  <c r="Y1309" i="5"/>
  <c r="Y580" i="5"/>
  <c r="P580" i="5"/>
  <c r="Y1093" i="5"/>
  <c r="P1093" i="5"/>
  <c r="Y408" i="5"/>
  <c r="P408" i="5"/>
  <c r="X1537" i="5"/>
  <c r="P848" i="5"/>
  <c r="Y848" i="5"/>
  <c r="P1418" i="5"/>
  <c r="Y1418" i="5"/>
  <c r="P971" i="5"/>
  <c r="Y971" i="5"/>
  <c r="X1229" i="5"/>
  <c r="P1406" i="5"/>
  <c r="Y1406" i="5"/>
  <c r="P1546" i="5"/>
  <c r="Y1546" i="5"/>
  <c r="Y909" i="5"/>
  <c r="P909" i="5"/>
  <c r="P1715" i="5"/>
  <c r="Y1715" i="5"/>
  <c r="Y989" i="5"/>
  <c r="P989" i="5"/>
  <c r="P1231" i="5"/>
  <c r="Y1231" i="5"/>
  <c r="Y1502" i="5"/>
  <c r="P1502" i="5"/>
  <c r="Y1643" i="5"/>
  <c r="P1643" i="5"/>
  <c r="Y1525" i="5"/>
  <c r="P1525" i="5"/>
  <c r="P1633" i="5"/>
  <c r="Y1633" i="5"/>
  <c r="P1834" i="5"/>
  <c r="Y1834" i="5"/>
  <c r="P1657" i="5"/>
  <c r="Y1657" i="5"/>
  <c r="P1602" i="5"/>
  <c r="Y1602" i="5"/>
  <c r="Y1494" i="5"/>
  <c r="P1494" i="5"/>
  <c r="Y1205" i="5"/>
  <c r="P1205" i="5"/>
  <c r="Y1777" i="5"/>
  <c r="P1777" i="5"/>
  <c r="P2048" i="5"/>
  <c r="Y2048" i="5"/>
  <c r="Y2040" i="5"/>
  <c r="P2040" i="5"/>
  <c r="Y2213" i="5"/>
  <c r="P2213" i="5"/>
  <c r="P1559" i="5"/>
  <c r="Y1559" i="5"/>
  <c r="Y1936" i="5"/>
  <c r="P1936" i="5"/>
  <c r="Y2311" i="5"/>
  <c r="P2311" i="5"/>
  <c r="P2115" i="5"/>
  <c r="Y2115" i="5"/>
  <c r="Y2119" i="5"/>
  <c r="P2119" i="5"/>
  <c r="X1346" i="5"/>
  <c r="Y2111" i="5"/>
  <c r="P2111" i="5"/>
  <c r="P2227" i="5"/>
  <c r="Y2227" i="5"/>
  <c r="P2082" i="5"/>
  <c r="P1899" i="5"/>
  <c r="Y1899" i="5"/>
  <c r="Y2410" i="5"/>
  <c r="P2221" i="5"/>
  <c r="Y2221" i="5"/>
  <c r="P2464" i="5"/>
  <c r="Y2464" i="5"/>
  <c r="Y2362" i="5"/>
  <c r="P2362" i="5"/>
  <c r="Y2434" i="5"/>
  <c r="Y2197" i="5"/>
  <c r="P2197" i="5"/>
  <c r="P2626" i="5"/>
  <c r="P2670" i="5"/>
  <c r="Y2670" i="5"/>
  <c r="Y2954" i="5"/>
  <c r="P2954" i="5"/>
  <c r="Y2618" i="5"/>
  <c r="P2509" i="5"/>
  <c r="Y2509" i="5"/>
  <c r="P2377" i="5"/>
  <c r="Y2377" i="5"/>
  <c r="P2537" i="5"/>
  <c r="Y2537" i="5"/>
  <c r="X2591" i="5"/>
  <c r="X2978" i="5"/>
  <c r="X2442" i="5"/>
  <c r="P3008" i="5"/>
  <c r="Y3108" i="5"/>
  <c r="Y3297" i="5"/>
  <c r="P3297" i="5"/>
  <c r="Y2886" i="5"/>
  <c r="P2886" i="5"/>
  <c r="Y3263" i="5"/>
  <c r="P3263" i="5"/>
  <c r="Y2786" i="5"/>
  <c r="Y3015" i="5"/>
  <c r="P3015" i="5"/>
  <c r="P2759" i="5"/>
  <c r="P2853" i="5"/>
  <c r="Y2853" i="5"/>
  <c r="P3221" i="5"/>
  <c r="Y3221" i="5"/>
  <c r="Y3029" i="5"/>
  <c r="P3029" i="5"/>
  <c r="P2728" i="5"/>
  <c r="Y668" i="5"/>
  <c r="P668" i="5"/>
  <c r="P828" i="5"/>
  <c r="Y828" i="5"/>
  <c r="Y1062" i="5"/>
  <c r="P1062" i="5"/>
  <c r="Y1250" i="5"/>
  <c r="P1250" i="5"/>
  <c r="P1326" i="5"/>
  <c r="Y1326" i="5"/>
  <c r="P1411" i="5"/>
  <c r="Y1411" i="5"/>
  <c r="X684" i="5"/>
  <c r="P853" i="5"/>
  <c r="P1052" i="5"/>
  <c r="Y1052" i="5"/>
  <c r="Y1001" i="5"/>
  <c r="P1001" i="5"/>
  <c r="Y819" i="5"/>
  <c r="P819" i="5"/>
  <c r="P934" i="5"/>
  <c r="Y934" i="5"/>
  <c r="X681" i="5"/>
  <c r="X1069" i="5"/>
  <c r="Y741" i="5"/>
  <c r="P741" i="5"/>
  <c r="P1111" i="5"/>
  <c r="Y1111" i="5"/>
  <c r="P1025" i="5"/>
  <c r="Y1025" i="5"/>
  <c r="P1645" i="5"/>
  <c r="Y1645" i="5"/>
  <c r="P969" i="5"/>
  <c r="Y969" i="5"/>
  <c r="Y967" i="5"/>
  <c r="P967" i="5"/>
  <c r="X575" i="5"/>
  <c r="P829" i="5"/>
  <c r="Y829" i="5"/>
  <c r="Y1241" i="5"/>
  <c r="P1241" i="5"/>
  <c r="P1442" i="5"/>
  <c r="Y1442" i="5"/>
  <c r="X933" i="5"/>
  <c r="Y1573" i="5"/>
  <c r="P1573" i="5"/>
  <c r="Y1238" i="5"/>
  <c r="P1238" i="5"/>
  <c r="P1244" i="5"/>
  <c r="Y1244" i="5"/>
  <c r="P1489" i="5"/>
  <c r="Y1489" i="5"/>
  <c r="P1676" i="5"/>
  <c r="Y1676" i="5"/>
  <c r="X909" i="5"/>
  <c r="P1448" i="5"/>
  <c r="P1015" i="5"/>
  <c r="Y1015" i="5"/>
  <c r="Y1545" i="5"/>
  <c r="P1545" i="5"/>
  <c r="P1508" i="5"/>
  <c r="Y1508" i="5"/>
  <c r="Y1813" i="5"/>
  <c r="Y1556" i="5"/>
  <c r="P1556" i="5"/>
  <c r="Y1851" i="5"/>
  <c r="P1851" i="5"/>
  <c r="P1634" i="5"/>
  <c r="Y1931" i="5"/>
  <c r="P1931" i="5"/>
  <c r="P1316" i="5"/>
  <c r="Y1316" i="5"/>
  <c r="P1935" i="5"/>
  <c r="Y1935" i="5"/>
  <c r="Y1520" i="5"/>
  <c r="P1520" i="5"/>
  <c r="X1559" i="5"/>
  <c r="Y1999" i="5"/>
  <c r="P1999" i="5"/>
  <c r="Y2135" i="5"/>
  <c r="P2135" i="5"/>
  <c r="Y1496" i="5"/>
  <c r="P1496" i="5"/>
  <c r="P1755" i="5"/>
  <c r="Y1755" i="5"/>
  <c r="Y1967" i="5"/>
  <c r="Y1105" i="5"/>
  <c r="P1105" i="5"/>
  <c r="Y2085" i="5"/>
  <c r="P2085" i="5"/>
  <c r="P2192" i="5"/>
  <c r="Y2192" i="5"/>
  <c r="P1651" i="5"/>
  <c r="Y1651" i="5"/>
  <c r="Y2057" i="5"/>
  <c r="P2057" i="5"/>
  <c r="Y2088" i="5"/>
  <c r="P2088" i="5"/>
  <c r="P2273" i="5"/>
  <c r="Y2273" i="5"/>
  <c r="Y2178" i="5"/>
  <c r="P2178" i="5"/>
  <c r="Y2267" i="5"/>
  <c r="P2267" i="5"/>
  <c r="P2332" i="5"/>
  <c r="Y2332" i="5"/>
  <c r="Y2406" i="5"/>
  <c r="P2406" i="5"/>
  <c r="X2362" i="5"/>
  <c r="P2969" i="5"/>
  <c r="Y2969" i="5"/>
  <c r="Y2656" i="5"/>
  <c r="Y2392" i="5"/>
  <c r="P2392" i="5"/>
  <c r="Y2547" i="5"/>
  <c r="P2547" i="5"/>
  <c r="Y2868" i="5"/>
  <c r="P2868" i="5"/>
  <c r="Y2668" i="5"/>
  <c r="Y2642" i="5"/>
  <c r="P2642" i="5"/>
  <c r="Y2639" i="5"/>
  <c r="P2639" i="5"/>
  <c r="P2831" i="5"/>
  <c r="Y2831" i="5"/>
  <c r="Y2928" i="5"/>
  <c r="P2928" i="5"/>
  <c r="P2654" i="5"/>
  <c r="Y2654" i="5"/>
  <c r="Y3038" i="5"/>
  <c r="P3038" i="5"/>
  <c r="Y3191" i="5"/>
  <c r="P3191" i="5"/>
  <c r="P2805" i="5"/>
  <c r="X2853" i="5"/>
  <c r="Y3195" i="5"/>
  <c r="P3195" i="5"/>
  <c r="Y3257" i="5"/>
  <c r="X2932" i="5"/>
  <c r="Y826" i="5"/>
  <c r="P826" i="5"/>
  <c r="P1075" i="5"/>
  <c r="Y1075" i="5"/>
  <c r="P1254" i="5"/>
  <c r="Y1254" i="5"/>
  <c r="P1345" i="5"/>
  <c r="Y1345" i="5"/>
  <c r="P1415" i="5"/>
  <c r="Y1415" i="5"/>
  <c r="Y684" i="5"/>
  <c r="P684" i="5"/>
  <c r="P425" i="5"/>
  <c r="Y425" i="5"/>
  <c r="P822" i="5"/>
  <c r="Y822" i="5"/>
  <c r="X1052" i="5"/>
  <c r="X951" i="5"/>
  <c r="P1069" i="5"/>
  <c r="Y1069" i="5"/>
  <c r="Y1092" i="5"/>
  <c r="P1092" i="5"/>
  <c r="P1260" i="5"/>
  <c r="Y1260" i="5"/>
  <c r="P575" i="5"/>
  <c r="Y575" i="5"/>
  <c r="Y1532" i="5"/>
  <c r="P1532" i="5"/>
  <c r="Y1118" i="5"/>
  <c r="P1118" i="5"/>
  <c r="P1560" i="5"/>
  <c r="Y1560" i="5"/>
  <c r="Y1581" i="5"/>
  <c r="P1581" i="5"/>
  <c r="Y1865" i="5"/>
  <c r="P1865" i="5"/>
  <c r="P1679" i="5"/>
  <c r="Y1679" i="5"/>
  <c r="P1613" i="5"/>
  <c r="Y1613" i="5"/>
  <c r="P1808" i="5"/>
  <c r="Y1621" i="5"/>
  <c r="P1621" i="5"/>
  <c r="Y1566" i="5"/>
  <c r="P1566" i="5"/>
  <c r="Y2016" i="5"/>
  <c r="P2016" i="5"/>
  <c r="P2068" i="5"/>
  <c r="Y2068" i="5"/>
  <c r="Y2248" i="5"/>
  <c r="P2248" i="5"/>
  <c r="Y1635" i="5"/>
  <c r="P1635" i="5"/>
  <c r="Y2335" i="5"/>
  <c r="P2335" i="5"/>
  <c r="P1963" i="5"/>
  <c r="Y1963" i="5"/>
  <c r="Y1919" i="5"/>
  <c r="P1919" i="5"/>
  <c r="Y1886" i="5"/>
  <c r="P1886" i="5"/>
  <c r="Y2347" i="5"/>
  <c r="P2347" i="5"/>
  <c r="Y1997" i="5"/>
  <c r="P1997" i="5"/>
  <c r="X1105" i="5"/>
  <c r="Y2157" i="5"/>
  <c r="P2157" i="5"/>
  <c r="Y1877" i="5"/>
  <c r="P1877" i="5"/>
  <c r="P2076" i="5"/>
  <c r="Y2076" i="5"/>
  <c r="Y1681" i="5"/>
  <c r="P1681" i="5"/>
  <c r="X2406" i="5"/>
  <c r="Y2359" i="5"/>
  <c r="P2359" i="5"/>
  <c r="P2821" i="5"/>
  <c r="Y2821" i="5"/>
  <c r="P2545" i="5"/>
  <c r="Y2545" i="5"/>
  <c r="Y2984" i="5"/>
  <c r="P2984" i="5"/>
  <c r="Y2398" i="5"/>
  <c r="P2398" i="5"/>
  <c r="Y2637" i="5"/>
  <c r="P2637" i="5"/>
  <c r="Y2069" i="5"/>
  <c r="P2069" i="5"/>
  <c r="P2403" i="5"/>
  <c r="P2873" i="5"/>
  <c r="Y2873" i="5"/>
  <c r="P2843" i="5"/>
  <c r="Y2843" i="5"/>
  <c r="Y2517" i="5"/>
  <c r="P2517" i="5"/>
  <c r="P2880" i="5"/>
  <c r="Y2880" i="5"/>
  <c r="Y3246" i="5"/>
  <c r="P3246" i="5"/>
  <c r="Y3313" i="5"/>
  <c r="P3313" i="5"/>
  <c r="Y3277" i="5"/>
  <c r="P3277" i="5"/>
  <c r="Y3255" i="5"/>
  <c r="Y2932" i="5"/>
  <c r="P2932" i="5"/>
  <c r="P3320" i="5"/>
  <c r="Y175" i="5"/>
  <c r="P175" i="5"/>
  <c r="P366" i="5"/>
  <c r="Y366" i="5"/>
  <c r="Y144" i="5"/>
  <c r="P144" i="5"/>
  <c r="P145" i="5"/>
  <c r="Y145" i="5"/>
  <c r="P274" i="5"/>
  <c r="Y274" i="5"/>
  <c r="P97" i="5"/>
  <c r="Y97" i="5"/>
  <c r="Y321" i="5"/>
  <c r="P321" i="5"/>
  <c r="P30" i="5"/>
  <c r="Y30" i="5"/>
  <c r="P171" i="5"/>
  <c r="Y171" i="5"/>
  <c r="P453" i="5"/>
  <c r="Y453" i="5"/>
  <c r="X23" i="5"/>
  <c r="Y179" i="5"/>
  <c r="P179" i="5"/>
  <c r="Y1106" i="5"/>
  <c r="P1106" i="5"/>
  <c r="P1258" i="5"/>
  <c r="Y1258" i="5"/>
  <c r="P1349" i="5"/>
  <c r="Y1349" i="5"/>
  <c r="Y1419" i="5"/>
  <c r="P1419" i="5"/>
  <c r="P219" i="5"/>
  <c r="Y219" i="5"/>
  <c r="Y497" i="5"/>
  <c r="P497" i="5"/>
  <c r="P672" i="5"/>
  <c r="Y672" i="5"/>
  <c r="Y961" i="5"/>
  <c r="P961" i="5"/>
  <c r="Y951" i="5"/>
  <c r="P951" i="5"/>
  <c r="P1552" i="5"/>
  <c r="Y1552" i="5"/>
  <c r="Y1113" i="5"/>
  <c r="P1113" i="5"/>
  <c r="Y973" i="5"/>
  <c r="Y1049" i="5"/>
  <c r="P1049" i="5"/>
  <c r="P1174" i="5"/>
  <c r="Y1174" i="5"/>
  <c r="Y729" i="5"/>
  <c r="P729" i="5"/>
  <c r="Y1133" i="5"/>
  <c r="Y1459" i="5"/>
  <c r="P1459" i="5"/>
  <c r="Y1079" i="5"/>
  <c r="Y1315" i="5"/>
  <c r="P1315" i="5"/>
  <c r="P1094" i="5"/>
  <c r="Y1599" i="5"/>
  <c r="P1599" i="5"/>
  <c r="P1764" i="5"/>
  <c r="Y1764" i="5"/>
  <c r="Y1009" i="5"/>
  <c r="P1009" i="5"/>
  <c r="P543" i="5"/>
  <c r="Y543" i="5"/>
  <c r="P1207" i="5"/>
  <c r="Y1207" i="5"/>
  <c r="P1580" i="5"/>
  <c r="Y1580" i="5"/>
  <c r="P1763" i="5"/>
  <c r="Y1763" i="5"/>
  <c r="P1543" i="5"/>
  <c r="Y1543" i="5"/>
  <c r="P1693" i="5"/>
  <c r="Y1693" i="5"/>
  <c r="X1621" i="5"/>
  <c r="P2177" i="5"/>
  <c r="Y2177" i="5"/>
  <c r="Y1716" i="5"/>
  <c r="P1716" i="5"/>
  <c r="Y2181" i="5"/>
  <c r="P2181" i="5"/>
  <c r="P2006" i="5"/>
  <c r="Y2006" i="5"/>
  <c r="Y1795" i="5"/>
  <c r="P1795" i="5"/>
  <c r="P2020" i="5"/>
  <c r="Y2020" i="5"/>
  <c r="P2364" i="5"/>
  <c r="Y2364" i="5"/>
  <c r="P2344" i="5"/>
  <c r="Y2344" i="5"/>
  <c r="Y1499" i="5"/>
  <c r="P1499" i="5"/>
  <c r="P1756" i="5"/>
  <c r="P2010" i="5"/>
  <c r="Y2010" i="5"/>
  <c r="P1687" i="5"/>
  <c r="Y1687" i="5"/>
  <c r="P2212" i="5"/>
  <c r="Y2212" i="5"/>
  <c r="Y1674" i="5"/>
  <c r="P1674" i="5"/>
  <c r="X1681" i="5"/>
  <c r="P2412" i="5"/>
  <c r="Y2412" i="5"/>
  <c r="Y2366" i="5"/>
  <c r="P2366" i="5"/>
  <c r="P2553" i="5"/>
  <c r="Y2553" i="5"/>
  <c r="P2407" i="5"/>
  <c r="Y2407" i="5"/>
  <c r="Y2555" i="5"/>
  <c r="P2555" i="5"/>
  <c r="P2388" i="5"/>
  <c r="Y2771" i="5"/>
  <c r="P2771" i="5"/>
  <c r="Y2564" i="5"/>
  <c r="P2564" i="5"/>
  <c r="Y2548" i="5"/>
  <c r="P2548" i="5"/>
  <c r="Y2580" i="5"/>
  <c r="P2580" i="5"/>
  <c r="Y2835" i="5"/>
  <c r="Y3219" i="5"/>
  <c r="P3219" i="5"/>
  <c r="Y2801" i="5"/>
  <c r="P2801" i="5"/>
  <c r="P2709" i="5"/>
  <c r="Y2709" i="5"/>
  <c r="Y2958" i="5"/>
  <c r="P2958" i="5"/>
  <c r="Y3215" i="5"/>
  <c r="P3215" i="5"/>
  <c r="Y77" i="5"/>
  <c r="P77" i="5"/>
  <c r="Y23" i="5"/>
  <c r="P23" i="5"/>
  <c r="X578" i="5"/>
  <c r="Y548" i="5"/>
  <c r="P548" i="5"/>
  <c r="Y1131" i="5"/>
  <c r="P1131" i="5"/>
  <c r="P1266" i="5"/>
  <c r="Y1266" i="5"/>
  <c r="P1353" i="5"/>
  <c r="Y1353" i="5"/>
  <c r="Y1423" i="5"/>
  <c r="P1423" i="5"/>
  <c r="P686" i="5"/>
  <c r="Y686" i="5"/>
  <c r="Y273" i="5"/>
  <c r="P273" i="5"/>
  <c r="Y1034" i="5"/>
  <c r="Y968" i="5"/>
  <c r="P968" i="5"/>
  <c r="X723" i="5"/>
  <c r="P953" i="5"/>
  <c r="Y953" i="5"/>
  <c r="P1082" i="5"/>
  <c r="Y1082" i="5"/>
  <c r="Y1405" i="5"/>
  <c r="P1405" i="5"/>
  <c r="X1113" i="5"/>
  <c r="P987" i="5"/>
  <c r="Y987" i="5"/>
  <c r="Y621" i="5"/>
  <c r="P621" i="5"/>
  <c r="Y1384" i="5"/>
  <c r="P1384" i="5"/>
  <c r="P1285" i="5"/>
  <c r="Y1285" i="5"/>
  <c r="P1470" i="5"/>
  <c r="Y1470" i="5"/>
  <c r="Y1504" i="5"/>
  <c r="P1504" i="5"/>
  <c r="P1368" i="5"/>
  <c r="Y1368" i="5"/>
  <c r="X1037" i="5"/>
  <c r="X1128" i="5"/>
  <c r="P1783" i="5"/>
  <c r="Y1783" i="5"/>
  <c r="Y1076" i="5"/>
  <c r="P1076" i="5"/>
  <c r="P1453" i="5"/>
  <c r="Y1453" i="5"/>
  <c r="X1162" i="5"/>
  <c r="X1693" i="5"/>
  <c r="Y1553" i="5"/>
  <c r="P1553" i="5"/>
  <c r="P1915" i="5"/>
  <c r="Y1915" i="5"/>
  <c r="P771" i="5"/>
  <c r="Y771" i="5"/>
  <c r="P1734" i="5"/>
  <c r="Y1734" i="5"/>
  <c r="X1652" i="5"/>
  <c r="Y1600" i="5"/>
  <c r="P1600" i="5"/>
  <c r="Y2351" i="5"/>
  <c r="P2351" i="5"/>
  <c r="P2232" i="5"/>
  <c r="Y2232" i="5"/>
  <c r="P1947" i="5"/>
  <c r="Y1947" i="5"/>
  <c r="Y1550" i="5"/>
  <c r="P1550" i="5"/>
  <c r="Y1798" i="5"/>
  <c r="Y1979" i="5"/>
  <c r="P1979" i="5"/>
  <c r="Y2318" i="5"/>
  <c r="P2318" i="5"/>
  <c r="P2345" i="5"/>
  <c r="Y2345" i="5"/>
  <c r="Y2414" i="5"/>
  <c r="P2414" i="5"/>
  <c r="Y2372" i="5"/>
  <c r="P2372" i="5"/>
  <c r="P2861" i="5"/>
  <c r="Y2861" i="5"/>
  <c r="P2561" i="5"/>
  <c r="Y2561" i="5"/>
  <c r="P2309" i="5"/>
  <c r="Y2309" i="5"/>
  <c r="Y2435" i="5"/>
  <c r="P2435" i="5"/>
  <c r="P2658" i="5"/>
  <c r="Y2658" i="5"/>
  <c r="Y2701" i="5"/>
  <c r="P2701" i="5"/>
  <c r="P3209" i="5"/>
  <c r="Y3209" i="5"/>
  <c r="Y2999" i="5"/>
  <c r="P2999" i="5"/>
  <c r="Y3187" i="5"/>
  <c r="P3187" i="5"/>
  <c r="P3329" i="5"/>
  <c r="Y3329" i="5"/>
  <c r="X2801" i="5"/>
  <c r="P3099" i="5"/>
  <c r="Y3099" i="5"/>
  <c r="X3242" i="5"/>
  <c r="Y3182" i="5"/>
  <c r="Y2596" i="5"/>
  <c r="P2596" i="5"/>
  <c r="Y2775" i="5"/>
  <c r="P2775" i="5"/>
  <c r="Y2818" i="5"/>
  <c r="P2818" i="5"/>
  <c r="Y3137" i="5"/>
  <c r="P3137" i="5"/>
  <c r="P3251" i="5"/>
  <c r="Y3251" i="5"/>
  <c r="P2849" i="5"/>
  <c r="Y2849" i="5"/>
  <c r="P3260" i="5"/>
  <c r="Y3260" i="5"/>
  <c r="P386" i="5"/>
  <c r="Y386" i="5"/>
  <c r="Y396" i="5"/>
  <c r="P396" i="5"/>
  <c r="Y632" i="5"/>
  <c r="P632" i="5"/>
  <c r="Y674" i="5"/>
  <c r="P674" i="5"/>
  <c r="Y1168" i="5"/>
  <c r="P1168" i="5"/>
  <c r="P1274" i="5"/>
  <c r="Y1274" i="5"/>
  <c r="Y1365" i="5"/>
  <c r="P1365" i="5"/>
  <c r="P1435" i="5"/>
  <c r="Y1435" i="5"/>
  <c r="Y851" i="5"/>
  <c r="P851" i="5"/>
  <c r="Y532" i="5"/>
  <c r="P532" i="5"/>
  <c r="P253" i="5"/>
  <c r="Y253" i="5"/>
  <c r="Y312" i="5"/>
  <c r="P312" i="5"/>
  <c r="P954" i="5"/>
  <c r="Y954" i="5"/>
  <c r="P1003" i="5"/>
  <c r="Y1003" i="5"/>
  <c r="X501" i="5"/>
  <c r="Y516" i="5"/>
  <c r="P516" i="5"/>
  <c r="P761" i="5"/>
  <c r="Y761" i="5"/>
  <c r="Y600" i="5"/>
  <c r="P1623" i="5"/>
  <c r="Y1623" i="5"/>
  <c r="P1235" i="5"/>
  <c r="Y1235" i="5"/>
  <c r="P1004" i="5"/>
  <c r="Y1004" i="5"/>
  <c r="Y1284" i="5"/>
  <c r="P1284" i="5"/>
  <c r="P1153" i="5"/>
  <c r="Y1153" i="5"/>
  <c r="Y1183" i="5"/>
  <c r="P1183" i="5"/>
  <c r="X948" i="5"/>
  <c r="P1478" i="5"/>
  <c r="Y1478" i="5"/>
  <c r="P1261" i="5"/>
  <c r="Y1261" i="5"/>
  <c r="Y1362" i="5"/>
  <c r="X1568" i="5"/>
  <c r="Y1467" i="5"/>
  <c r="P1467" i="5"/>
  <c r="Y1689" i="5"/>
  <c r="P1689" i="5"/>
  <c r="P884" i="5"/>
  <c r="P1312" i="5"/>
  <c r="Y1312" i="5"/>
  <c r="Y1491" i="5"/>
  <c r="P1491" i="5"/>
  <c r="P1815" i="5"/>
  <c r="Y1815" i="5"/>
  <c r="P1465" i="5"/>
  <c r="Y1465" i="5"/>
  <c r="P1579" i="5"/>
  <c r="Y1579" i="5"/>
  <c r="P1320" i="5"/>
  <c r="Y1320" i="5"/>
  <c r="P1943" i="5"/>
  <c r="Y1943" i="5"/>
  <c r="P1751" i="5"/>
  <c r="P1005" i="5"/>
  <c r="Y1005" i="5"/>
  <c r="P2375" i="5"/>
  <c r="Y2375" i="5"/>
  <c r="Y1978" i="5"/>
  <c r="P1978" i="5"/>
  <c r="X1892" i="5"/>
  <c r="Y1290" i="5"/>
  <c r="P1290" i="5"/>
  <c r="P2024" i="5"/>
  <c r="Y2024" i="5"/>
  <c r="P2255" i="5"/>
  <c r="Y2255" i="5"/>
  <c r="Y2408" i="5"/>
  <c r="X2454" i="5"/>
  <c r="P2460" i="5"/>
  <c r="Y2460" i="5"/>
  <c r="Y2256" i="5"/>
  <c r="P2256" i="5"/>
  <c r="X2513" i="5"/>
  <c r="P2896" i="5"/>
  <c r="Y2896" i="5"/>
  <c r="P2577" i="5"/>
  <c r="Y2577" i="5"/>
  <c r="Y2755" i="5"/>
  <c r="P2755" i="5"/>
  <c r="Y2732" i="5"/>
  <c r="P2732" i="5"/>
  <c r="P3229" i="5"/>
  <c r="Y3229" i="5"/>
  <c r="X2438" i="5"/>
  <c r="P2652" i="5"/>
  <c r="Y2939" i="5"/>
  <c r="P2939" i="5"/>
  <c r="Y2904" i="5"/>
  <c r="P2904" i="5"/>
  <c r="P3196" i="5"/>
  <c r="Y3196" i="5"/>
  <c r="X3137" i="5"/>
  <c r="Y2901" i="5"/>
  <c r="P2901" i="5"/>
  <c r="P3095" i="5"/>
  <c r="Y3095" i="5"/>
  <c r="Y2819" i="5"/>
  <c r="P2819" i="5"/>
  <c r="P2998" i="5"/>
  <c r="P3231" i="5"/>
  <c r="X53" i="5"/>
  <c r="Y297" i="5"/>
  <c r="P297" i="5"/>
  <c r="P436" i="5"/>
  <c r="Y436" i="5"/>
  <c r="Y581" i="5"/>
  <c r="P581" i="5"/>
  <c r="Y471" i="5"/>
  <c r="P471" i="5"/>
  <c r="P446" i="5"/>
  <c r="Y446" i="5"/>
  <c r="P498" i="5"/>
  <c r="Y498" i="5"/>
  <c r="P417" i="5"/>
  <c r="Y417" i="5"/>
  <c r="P141" i="5"/>
  <c r="Y141" i="5"/>
  <c r="P292" i="5"/>
  <c r="Y292" i="5"/>
  <c r="P594" i="5"/>
  <c r="Y594" i="5"/>
  <c r="Y896" i="5"/>
  <c r="Y1278" i="5"/>
  <c r="P1278" i="5"/>
  <c r="P1369" i="5"/>
  <c r="Y1369" i="5"/>
  <c r="P1439" i="5"/>
  <c r="Y1439" i="5"/>
  <c r="P308" i="5"/>
  <c r="Y308" i="5"/>
  <c r="Y501" i="5"/>
  <c r="P501" i="5"/>
  <c r="X763" i="5"/>
  <c r="Y1175" i="5"/>
  <c r="P1175" i="5"/>
  <c r="P1145" i="5"/>
  <c r="Y1145" i="5"/>
  <c r="Y1299" i="5"/>
  <c r="P1299" i="5"/>
  <c r="P606" i="5"/>
  <c r="Y606" i="5"/>
  <c r="Y734" i="5"/>
  <c r="P734" i="5"/>
  <c r="Y810" i="5"/>
  <c r="P810" i="5"/>
  <c r="Y1233" i="5"/>
  <c r="P1233" i="5"/>
  <c r="P1047" i="5"/>
  <c r="Y1047" i="5"/>
  <c r="P1524" i="5"/>
  <c r="Y1524" i="5"/>
  <c r="P1301" i="5"/>
  <c r="Y1301" i="5"/>
  <c r="Y1327" i="5"/>
  <c r="P1327" i="5"/>
  <c r="Y1217" i="5"/>
  <c r="P1217" i="5"/>
  <c r="Y1380" i="5"/>
  <c r="P1380" i="5"/>
  <c r="P1363" i="5"/>
  <c r="Y1363" i="5"/>
  <c r="P1822" i="5"/>
  <c r="Y1822" i="5"/>
  <c r="P1677" i="5"/>
  <c r="Y1677" i="5"/>
  <c r="X1159" i="5"/>
  <c r="X769" i="5"/>
  <c r="X1598" i="5"/>
  <c r="Y1736" i="5"/>
  <c r="P1736" i="5"/>
  <c r="X1737" i="5"/>
  <c r="P1769" i="5"/>
  <c r="Y1769" i="5"/>
  <c r="P2032" i="5"/>
  <c r="Y2032" i="5"/>
  <c r="Y1872" i="5"/>
  <c r="P1872" i="5"/>
  <c r="Y2061" i="5"/>
  <c r="P2061" i="5"/>
  <c r="Y2383" i="5"/>
  <c r="P2383" i="5"/>
  <c r="P2107" i="5"/>
  <c r="Y2107" i="5"/>
  <c r="P2258" i="5"/>
  <c r="Y2258" i="5"/>
  <c r="Y2296" i="5"/>
  <c r="P2296" i="5"/>
  <c r="P2163" i="5"/>
  <c r="Y2132" i="5"/>
  <c r="P2132" i="5"/>
  <c r="P1944" i="5"/>
  <c r="Y1752" i="5"/>
  <c r="P1752" i="5"/>
  <c r="Y2513" i="5"/>
  <c r="P2513" i="5"/>
  <c r="P2585" i="5"/>
  <c r="Y2585" i="5"/>
  <c r="Y2789" i="5"/>
  <c r="P2789" i="5"/>
  <c r="X2488" i="5"/>
  <c r="Y2571" i="5"/>
  <c r="P2571" i="5"/>
  <c r="P2467" i="5"/>
  <c r="Y2467" i="5"/>
  <c r="X2732" i="5"/>
  <c r="P3217" i="5"/>
  <c r="Y2962" i="5"/>
  <c r="P2962" i="5"/>
  <c r="X2543" i="5"/>
  <c r="X2904" i="5"/>
  <c r="P2829" i="5"/>
  <c r="Y3054" i="5"/>
  <c r="P3054" i="5"/>
  <c r="P2990" i="5"/>
  <c r="X2478" i="5"/>
  <c r="P3168" i="5"/>
  <c r="Y3168" i="5"/>
  <c r="P2910" i="5"/>
  <c r="Y3267" i="5"/>
  <c r="P3267" i="5"/>
  <c r="P1185" i="5"/>
  <c r="Y1185" i="5"/>
  <c r="Y1011" i="5"/>
  <c r="P1011" i="5"/>
  <c r="Y763" i="5"/>
  <c r="P763" i="5"/>
  <c r="X1017" i="5"/>
  <c r="Y1147" i="5"/>
  <c r="P1147" i="5"/>
  <c r="Y1014" i="5"/>
  <c r="P1014" i="5"/>
  <c r="P1507" i="5"/>
  <c r="Y1507" i="5"/>
  <c r="X1327" i="5"/>
  <c r="P1344" i="5"/>
  <c r="Y1344" i="5"/>
  <c r="Y1705" i="5"/>
  <c r="P1705" i="5"/>
  <c r="P1511" i="5"/>
  <c r="Y1511" i="5"/>
  <c r="X1363" i="5"/>
  <c r="P1857" i="5"/>
  <c r="Y1857" i="5"/>
  <c r="Y1159" i="5"/>
  <c r="P1159" i="5"/>
  <c r="P1336" i="5"/>
  <c r="Y1336" i="5"/>
  <c r="P1792" i="5"/>
  <c r="Y1792" i="5"/>
  <c r="P769" i="5"/>
  <c r="Y769" i="5"/>
  <c r="P1598" i="5"/>
  <c r="Y1598" i="5"/>
  <c r="P1704" i="5"/>
  <c r="P1737" i="5"/>
  <c r="Y1737" i="5"/>
  <c r="P1907" i="5"/>
  <c r="Y1907" i="5"/>
  <c r="X1769" i="5"/>
  <c r="Y1891" i="5"/>
  <c r="P1891" i="5"/>
  <c r="Y2103" i="5"/>
  <c r="P2103" i="5"/>
  <c r="Y2314" i="5"/>
  <c r="P2314" i="5"/>
  <c r="Y1806" i="5"/>
  <c r="P1806" i="5"/>
  <c r="Y2044" i="5"/>
  <c r="P2044" i="5"/>
  <c r="Y2387" i="5"/>
  <c r="P2387" i="5"/>
  <c r="P2298" i="5"/>
  <c r="Y2298" i="5"/>
  <c r="X1426" i="5"/>
  <c r="Y1572" i="5"/>
  <c r="P1572" i="5"/>
  <c r="P1932" i="5"/>
  <c r="Y1904" i="5"/>
  <c r="P1904" i="5"/>
  <c r="P2141" i="5"/>
  <c r="Y2141" i="5"/>
  <c r="P1649" i="5"/>
  <c r="Y1649" i="5"/>
  <c r="P2285" i="5"/>
  <c r="Y2285" i="5"/>
  <c r="P1592" i="5"/>
  <c r="P2424" i="5"/>
  <c r="Y2424" i="5"/>
  <c r="X1752" i="5"/>
  <c r="P2269" i="5"/>
  <c r="Y2269" i="5"/>
  <c r="Y2265" i="5"/>
  <c r="P2265" i="5"/>
  <c r="P2028" i="5"/>
  <c r="Y2028" i="5"/>
  <c r="Y2389" i="5"/>
  <c r="P2389" i="5"/>
  <c r="Y2430" i="5"/>
  <c r="P2430" i="5"/>
  <c r="P2593" i="5"/>
  <c r="Y2593" i="5"/>
  <c r="P2834" i="5"/>
  <c r="Y2834" i="5"/>
  <c r="Y2720" i="5"/>
  <c r="P2694" i="5"/>
  <c r="Y2520" i="5"/>
  <c r="P2520" i="5"/>
  <c r="Y2825" i="5"/>
  <c r="P2825" i="5"/>
  <c r="P2452" i="5"/>
  <c r="Y2452" i="5"/>
  <c r="P2924" i="5"/>
  <c r="Y2924" i="5"/>
  <c r="X2962" i="5"/>
  <c r="P2857" i="5"/>
  <c r="P2817" i="5"/>
  <c r="Y2817" i="5"/>
  <c r="P2902" i="5"/>
  <c r="Y2902" i="5"/>
  <c r="Y2700" i="5"/>
  <c r="P2700" i="5"/>
  <c r="X3307" i="5"/>
  <c r="Y2543" i="5"/>
  <c r="P2543" i="5"/>
  <c r="P3130" i="5"/>
  <c r="Y3254" i="5"/>
  <c r="P2833" i="5"/>
  <c r="Y2833" i="5"/>
  <c r="X3160" i="5"/>
  <c r="Y2925" i="5"/>
  <c r="P2925" i="5"/>
  <c r="Y2478" i="5"/>
  <c r="P2478" i="5"/>
  <c r="Y2977" i="5"/>
  <c r="P2977" i="5"/>
  <c r="P3134" i="5"/>
  <c r="Y3134" i="5"/>
  <c r="Y2940" i="5"/>
  <c r="P2940" i="5"/>
  <c r="Y2846" i="5"/>
  <c r="P2846" i="5"/>
  <c r="X3273" i="5"/>
  <c r="P67" i="5"/>
  <c r="Y67" i="5"/>
  <c r="P245" i="5"/>
  <c r="Y245" i="5"/>
  <c r="P444" i="5"/>
  <c r="Y444" i="5"/>
  <c r="P311" i="5"/>
  <c r="Y311" i="5"/>
  <c r="Y406" i="5"/>
  <c r="P406" i="5"/>
  <c r="X351" i="5"/>
  <c r="Y563" i="5"/>
  <c r="P563" i="5"/>
  <c r="Y35" i="5"/>
  <c r="P35" i="5"/>
  <c r="P258" i="5"/>
  <c r="Y258" i="5"/>
  <c r="Y541" i="5"/>
  <c r="P663" i="5"/>
  <c r="P825" i="5"/>
  <c r="Y294" i="5"/>
  <c r="P294" i="5"/>
  <c r="Y893" i="5"/>
  <c r="P893" i="5"/>
  <c r="P1208" i="5"/>
  <c r="Y1208" i="5"/>
  <c r="P1294" i="5"/>
  <c r="Y1294" i="5"/>
  <c r="Y1375" i="5"/>
  <c r="P1375" i="5"/>
  <c r="Y1447" i="5"/>
  <c r="P1447" i="5"/>
  <c r="X435" i="5"/>
  <c r="P623" i="5"/>
  <c r="Y623" i="5"/>
  <c r="Y569" i="5"/>
  <c r="X1185" i="5"/>
  <c r="X656" i="5"/>
  <c r="Y550" i="5"/>
  <c r="P550" i="5"/>
  <c r="Y877" i="5"/>
  <c r="P877" i="5"/>
  <c r="Y904" i="5"/>
  <c r="P904" i="5"/>
  <c r="Y549" i="5"/>
  <c r="P549" i="5"/>
  <c r="Y1540" i="5"/>
  <c r="P1540" i="5"/>
  <c r="P1685" i="5"/>
  <c r="Y1685" i="5"/>
  <c r="P1512" i="5"/>
  <c r="Y1512" i="5"/>
  <c r="Y1017" i="5"/>
  <c r="P1017" i="5"/>
  <c r="X1014" i="5"/>
  <c r="X876" i="5"/>
  <c r="Y1333" i="5"/>
  <c r="P1333" i="5"/>
  <c r="P735" i="5"/>
  <c r="Y735" i="5"/>
  <c r="Y1081" i="5"/>
  <c r="P1081" i="5"/>
  <c r="P1218" i="5"/>
  <c r="Y1218" i="5"/>
  <c r="P1449" i="5"/>
  <c r="Y1449" i="5"/>
  <c r="X1155" i="5"/>
  <c r="Y1348" i="5"/>
  <c r="Y1517" i="5"/>
  <c r="P1517" i="5"/>
  <c r="P1020" i="5"/>
  <c r="Y1020" i="5"/>
  <c r="P1542" i="5"/>
  <c r="Y1542" i="5"/>
  <c r="Y1199" i="5"/>
  <c r="P863" i="5"/>
  <c r="Y1104" i="5"/>
  <c r="P1104" i="5"/>
  <c r="Y900" i="5"/>
  <c r="P900" i="5"/>
  <c r="P1485" i="5"/>
  <c r="Y1485" i="5"/>
  <c r="P1192" i="5"/>
  <c r="P1564" i="5"/>
  <c r="Y1564" i="5"/>
  <c r="P1629" i="5"/>
  <c r="Y1629" i="5"/>
  <c r="X1138" i="5"/>
  <c r="Y1433" i="5"/>
  <c r="Y1701" i="5"/>
  <c r="P1701" i="5"/>
  <c r="Y1772" i="5"/>
  <c r="P1772" i="5"/>
  <c r="Y1667" i="5"/>
  <c r="P1667" i="5"/>
  <c r="P1625" i="5"/>
  <c r="Y1625" i="5"/>
  <c r="P1723" i="5"/>
  <c r="Y1723" i="5"/>
  <c r="P1746" i="5"/>
  <c r="Y1746" i="5"/>
  <c r="P2064" i="5"/>
  <c r="Y2064" i="5"/>
  <c r="P2161" i="5"/>
  <c r="Y2161" i="5"/>
  <c r="Y2080" i="5"/>
  <c r="P2080" i="5"/>
  <c r="P1927" i="5"/>
  <c r="Y1927" i="5"/>
  <c r="Y1801" i="5"/>
  <c r="Y2162" i="5"/>
  <c r="P2162" i="5"/>
  <c r="P2391" i="5"/>
  <c r="Y2391" i="5"/>
  <c r="P1603" i="5"/>
  <c r="Y1603" i="5"/>
  <c r="P1426" i="5"/>
  <c r="Y1426" i="5"/>
  <c r="P1819" i="5"/>
  <c r="X1727" i="5"/>
  <c r="X1572" i="5"/>
  <c r="P2317" i="5"/>
  <c r="Y2317" i="5"/>
  <c r="Y1955" i="5"/>
  <c r="P1955" i="5"/>
  <c r="X1649" i="5"/>
  <c r="P2165" i="5"/>
  <c r="Y2165" i="5"/>
  <c r="P2239" i="5"/>
  <c r="Y2239" i="5"/>
  <c r="Y2282" i="5"/>
  <c r="P2282" i="5"/>
  <c r="X2265" i="5"/>
  <c r="X2430" i="5"/>
  <c r="P2601" i="5"/>
  <c r="Y2601" i="5"/>
  <c r="Y2579" i="5"/>
  <c r="P2579" i="5"/>
  <c r="P2769" i="5"/>
  <c r="X2825" i="5"/>
  <c r="P2559" i="5"/>
  <c r="P2753" i="5"/>
  <c r="Y2446" i="5"/>
  <c r="P2446" i="5"/>
  <c r="P2527" i="5"/>
  <c r="Y2882" i="5"/>
  <c r="P2882" i="5"/>
  <c r="X2700" i="5"/>
  <c r="P3259" i="5"/>
  <c r="Y3259" i="5"/>
  <c r="Y2696" i="5"/>
  <c r="P2696" i="5"/>
  <c r="Y3323" i="5"/>
  <c r="P3323" i="5"/>
  <c r="X2947" i="5"/>
  <c r="P3291" i="5"/>
  <c r="Y3291" i="5"/>
  <c r="Y2724" i="5"/>
  <c r="P2724" i="5"/>
  <c r="Y3154" i="5"/>
  <c r="P3154" i="5"/>
  <c r="P300" i="5"/>
  <c r="Y300" i="5"/>
  <c r="Y212" i="5"/>
  <c r="P212" i="5"/>
  <c r="Y220" i="5"/>
  <c r="P220" i="5"/>
  <c r="P382" i="5"/>
  <c r="Y382" i="5"/>
  <c r="P184" i="5"/>
  <c r="Y184" i="5"/>
  <c r="P476" i="5"/>
  <c r="Y476" i="5"/>
  <c r="X311" i="5"/>
  <c r="P351" i="5"/>
  <c r="Y351" i="5"/>
  <c r="P572" i="5"/>
  <c r="P39" i="5"/>
  <c r="Y39" i="5"/>
  <c r="Y280" i="5"/>
  <c r="P547" i="5"/>
  <c r="Y547" i="5"/>
  <c r="X504" i="5"/>
  <c r="X703" i="5"/>
  <c r="P368" i="5"/>
  <c r="P608" i="5"/>
  <c r="X1158" i="5"/>
  <c r="Y938" i="5"/>
  <c r="P938" i="5"/>
  <c r="Y1212" i="5"/>
  <c r="P1212" i="5"/>
  <c r="Y1298" i="5"/>
  <c r="P1298" i="5"/>
  <c r="P1379" i="5"/>
  <c r="Y1379" i="5"/>
  <c r="Y1451" i="5"/>
  <c r="P1451" i="5"/>
  <c r="P622" i="5"/>
  <c r="Y622" i="5"/>
  <c r="Y873" i="5"/>
  <c r="Y435" i="5"/>
  <c r="P435" i="5"/>
  <c r="P665" i="5"/>
  <c r="Y522" i="5"/>
  <c r="P935" i="5"/>
  <c r="Y935" i="5"/>
  <c r="P656" i="5"/>
  <c r="Y656" i="5"/>
  <c r="P602" i="5"/>
  <c r="Y1275" i="5"/>
  <c r="P782" i="5"/>
  <c r="X713" i="5"/>
  <c r="P1121" i="5"/>
  <c r="Y1121" i="5"/>
  <c r="P1028" i="5"/>
  <c r="Y1028" i="5"/>
  <c r="Y876" i="5"/>
  <c r="P876" i="5"/>
  <c r="X1449" i="5"/>
  <c r="X1165" i="5"/>
  <c r="X836" i="5"/>
  <c r="P1110" i="5"/>
  <c r="Y1334" i="5"/>
  <c r="P1061" i="5"/>
  <c r="Y1061" i="5"/>
  <c r="X691" i="5"/>
  <c r="P1591" i="5"/>
  <c r="Y1591" i="5"/>
  <c r="P1754" i="5"/>
  <c r="Y1754" i="5"/>
  <c r="P1138" i="5"/>
  <c r="Y1138" i="5"/>
  <c r="P1417" i="5"/>
  <c r="X854" i="5"/>
  <c r="X1772" i="5"/>
  <c r="Y1624" i="5"/>
  <c r="P1624" i="5"/>
  <c r="X1746" i="5"/>
  <c r="P1982" i="5"/>
  <c r="Y1982" i="5"/>
  <c r="P1615" i="5"/>
  <c r="Y1615" i="5"/>
  <c r="Y1878" i="5"/>
  <c r="P1878" i="5"/>
  <c r="Y2170" i="5"/>
  <c r="P2170" i="5"/>
  <c r="X1603" i="5"/>
  <c r="Y2299" i="5"/>
  <c r="P2299" i="5"/>
  <c r="P1791" i="5"/>
  <c r="P1729" i="5"/>
  <c r="Y2036" i="5"/>
  <c r="P2036" i="5"/>
  <c r="Y2473" i="5"/>
  <c r="P2473" i="5"/>
  <c r="P2851" i="5"/>
  <c r="Y2851" i="5"/>
  <c r="X2525" i="5"/>
  <c r="P2988" i="5"/>
  <c r="Y2988" i="5"/>
  <c r="Y2838" i="5"/>
  <c r="P3064" i="5"/>
  <c r="X2882" i="5"/>
  <c r="Y3140" i="5"/>
  <c r="P3140" i="5"/>
  <c r="Y3082" i="5"/>
  <c r="P3082" i="5"/>
  <c r="Y3290" i="5"/>
  <c r="P3290" i="5"/>
  <c r="X2696" i="5"/>
  <c r="Y3211" i="5"/>
  <c r="P3211" i="5"/>
  <c r="P3184" i="5"/>
  <c r="Y3184" i="5"/>
  <c r="Y2947" i="5"/>
  <c r="P2947" i="5"/>
  <c r="P3293" i="5"/>
  <c r="Y3293" i="5"/>
  <c r="P3013" i="5"/>
  <c r="Y3013" i="5"/>
  <c r="X3178" i="5"/>
  <c r="X3202" i="5"/>
  <c r="Y2897" i="5"/>
  <c r="P2897" i="5"/>
  <c r="Y3292" i="5"/>
  <c r="P3292" i="5"/>
  <c r="Y3007" i="5"/>
  <c r="P3007" i="5"/>
  <c r="Y95" i="5"/>
  <c r="P95" i="5"/>
  <c r="Y224" i="5"/>
  <c r="P224" i="5"/>
  <c r="X83" i="5"/>
  <c r="Y44" i="5"/>
  <c r="P44" i="5"/>
  <c r="X547" i="5"/>
  <c r="Y634" i="5"/>
  <c r="P634" i="5"/>
  <c r="Y26" i="5"/>
  <c r="P26" i="5"/>
  <c r="Y504" i="5"/>
  <c r="P504" i="5"/>
  <c r="Y296" i="5"/>
  <c r="P296" i="5"/>
  <c r="Y703" i="5"/>
  <c r="P703" i="5"/>
  <c r="Y610" i="5"/>
  <c r="P610" i="5"/>
  <c r="P519" i="5"/>
  <c r="Y519" i="5"/>
  <c r="Y957" i="5"/>
  <c r="P957" i="5"/>
  <c r="Y1216" i="5"/>
  <c r="P1216" i="5"/>
  <c r="Y1302" i="5"/>
  <c r="P1302" i="5"/>
  <c r="Y1383" i="5"/>
  <c r="P1383" i="5"/>
  <c r="P1455" i="5"/>
  <c r="Y1455" i="5"/>
  <c r="Y445" i="5"/>
  <c r="P445" i="5"/>
  <c r="Y881" i="5"/>
  <c r="P881" i="5"/>
  <c r="X1033" i="5"/>
  <c r="Y1086" i="5"/>
  <c r="P1086" i="5"/>
  <c r="Y1607" i="5"/>
  <c r="P1607" i="5"/>
  <c r="Y713" i="5"/>
  <c r="P713" i="5"/>
  <c r="P1184" i="5"/>
  <c r="Y1184" i="5"/>
  <c r="X985" i="5"/>
  <c r="Y1237" i="5"/>
  <c r="P1237" i="5"/>
  <c r="P1024" i="5"/>
  <c r="Y1024" i="5"/>
  <c r="P1393" i="5"/>
  <c r="Y1393" i="5"/>
  <c r="P1165" i="5"/>
  <c r="Y1165" i="5"/>
  <c r="P1563" i="5"/>
  <c r="Y1563" i="5"/>
  <c r="Y1475" i="5"/>
  <c r="P1475" i="5"/>
  <c r="Y836" i="5"/>
  <c r="P836" i="5"/>
  <c r="P869" i="5"/>
  <c r="Y869" i="5"/>
  <c r="X443" i="5"/>
  <c r="Y1251" i="5"/>
  <c r="P1251" i="5"/>
  <c r="X773" i="5"/>
  <c r="Y1063" i="5"/>
  <c r="P1063" i="5"/>
  <c r="Y1505" i="5"/>
  <c r="P1505" i="5"/>
  <c r="Y1710" i="5"/>
  <c r="P1710" i="5"/>
  <c r="X880" i="5"/>
  <c r="Y854" i="5"/>
  <c r="P854" i="5"/>
  <c r="Y1747" i="5"/>
  <c r="P1747" i="5"/>
  <c r="Y1429" i="5"/>
  <c r="P1429" i="5"/>
  <c r="Y1854" i="5"/>
  <c r="P1854" i="5"/>
  <c r="Y1787" i="5"/>
  <c r="P1787" i="5"/>
  <c r="Y1619" i="5"/>
  <c r="P1619" i="5"/>
  <c r="P1889" i="5"/>
  <c r="Y1889" i="5"/>
  <c r="P2056" i="5"/>
  <c r="Y2056" i="5"/>
  <c r="P2012" i="5"/>
  <c r="Y2012" i="5"/>
  <c r="P1875" i="5"/>
  <c r="Y1875" i="5"/>
  <c r="Y1436" i="5"/>
  <c r="P1436" i="5"/>
  <c r="Y1903" i="5"/>
  <c r="P1903" i="5"/>
  <c r="P1044" i="5"/>
  <c r="Y1044" i="5"/>
  <c r="P2072" i="5"/>
  <c r="Y2072" i="5"/>
  <c r="P2127" i="5"/>
  <c r="Y2127" i="5"/>
  <c r="Y1939" i="5"/>
  <c r="P1939" i="5"/>
  <c r="Y1986" i="5"/>
  <c r="P1986" i="5"/>
  <c r="Y2348" i="5"/>
  <c r="P2348" i="5"/>
  <c r="P2149" i="5"/>
  <c r="Y2149" i="5"/>
  <c r="P2169" i="5"/>
  <c r="Y2169" i="5"/>
  <c r="Y2459" i="5"/>
  <c r="P2459" i="5"/>
  <c r="P2878" i="5"/>
  <c r="Y2878" i="5"/>
  <c r="P2349" i="5"/>
  <c r="Y2349" i="5"/>
  <c r="Y2587" i="5"/>
  <c r="P2587" i="5"/>
  <c r="Y2572" i="5"/>
  <c r="P2572" i="5"/>
  <c r="P2950" i="5"/>
  <c r="P2529" i="5"/>
  <c r="Y2529" i="5"/>
  <c r="Y2556" i="5"/>
  <c r="P2556" i="5"/>
  <c r="Y2845" i="5"/>
  <c r="P2845" i="5"/>
  <c r="Y2704" i="5"/>
  <c r="P2704" i="5"/>
  <c r="P2949" i="5"/>
  <c r="Y2949" i="5"/>
  <c r="P3132" i="5"/>
  <c r="Y3132" i="5"/>
  <c r="P3309" i="5"/>
  <c r="Y3309" i="5"/>
  <c r="P2741" i="5"/>
  <c r="Y2741" i="5"/>
  <c r="Y3202" i="5"/>
  <c r="P3202" i="5"/>
  <c r="Y3167" i="5"/>
  <c r="P3167" i="5"/>
  <c r="AL4" i="2" a="1"/>
  <c r="AL4" i="2" s="1"/>
  <c r="FB41" i="8" l="1"/>
  <c r="FA41" i="8"/>
  <c r="FA50" i="8" s="1"/>
  <c r="FA90" i="8" s="1"/>
  <c r="FB40" i="8"/>
  <c r="ER41" i="8"/>
  <c r="EQ41" i="8"/>
  <c r="EQ50" i="8" s="1"/>
  <c r="ER40" i="8"/>
  <c r="C13" i="6" s="1"/>
  <c r="EP41" i="8"/>
  <c r="EO41" i="8"/>
  <c r="EO50" i="8" s="1"/>
  <c r="EP40" i="8"/>
  <c r="DT41" i="8"/>
  <c r="DS41" i="8"/>
  <c r="DS50" i="8" s="1"/>
  <c r="DT40" i="8"/>
  <c r="DP41" i="8"/>
  <c r="DO41" i="8"/>
  <c r="DO50" i="8" s="1"/>
  <c r="DP40" i="8"/>
  <c r="DF41" i="8"/>
  <c r="DE41" i="8"/>
  <c r="DE50" i="8" s="1"/>
  <c r="DF40" i="8"/>
  <c r="CZ41" i="8"/>
  <c r="CY41" i="8"/>
  <c r="CY50" i="8" s="1"/>
  <c r="CZ40" i="8"/>
  <c r="CR41" i="8"/>
  <c r="CQ41" i="8"/>
  <c r="CR40" i="8"/>
  <c r="L6" i="5"/>
  <c r="I6" i="5"/>
  <c r="T6" i="5" s="1"/>
  <c r="X6" i="5" s="1"/>
  <c r="I1618" i="5" l="1"/>
  <c r="T1618" i="5" s="1"/>
  <c r="I1617" i="5"/>
  <c r="T1617" i="5" s="1"/>
  <c r="CY40" i="8"/>
  <c r="CY49" i="8" s="1"/>
  <c r="CY89" i="8" s="1"/>
  <c r="I1587" i="5"/>
  <c r="T1587" i="5" s="1"/>
  <c r="EO40" i="8"/>
  <c r="EO49" i="8" s="1"/>
  <c r="EO89" i="8" s="1"/>
  <c r="I1608" i="5"/>
  <c r="T1608" i="5" s="1"/>
  <c r="DO40" i="8"/>
  <c r="DO49" i="8" s="1"/>
  <c r="DO89" i="8" s="1"/>
  <c r="I1595" i="5"/>
  <c r="T1595" i="5" s="1"/>
  <c r="FA40" i="8"/>
  <c r="FA49" i="8" s="1"/>
  <c r="FA89" i="8" s="1"/>
  <c r="I1616" i="5"/>
  <c r="T1616" i="5" s="1"/>
  <c r="CQ40" i="8"/>
  <c r="CQ49" i="8" s="1"/>
  <c r="I1583" i="5"/>
  <c r="T1583" i="5" s="1"/>
  <c r="DS40" i="8"/>
  <c r="DS49" i="8" s="1"/>
  <c r="DS89" i="8" s="1"/>
  <c r="I1597" i="5"/>
  <c r="T1597" i="5" s="1"/>
  <c r="DE40" i="8"/>
  <c r="DE49" i="8" s="1"/>
  <c r="DE89" i="8" s="1"/>
  <c r="I1590" i="5"/>
  <c r="T1590" i="5" s="1"/>
  <c r="EQ40" i="8"/>
  <c r="C12" i="6" s="1"/>
  <c r="C14" i="6" s="1"/>
  <c r="I1609" i="5"/>
  <c r="T1609" i="5" s="1"/>
  <c r="FD40" i="8"/>
  <c r="FH40" i="8"/>
  <c r="FC40" i="8"/>
  <c r="FC49" i="8" s="1"/>
  <c r="FC89" i="8" s="1"/>
  <c r="FG40" i="8"/>
  <c r="FG49" i="8" s="1"/>
  <c r="FC41" i="8"/>
  <c r="FC50" i="8" s="1"/>
  <c r="FC90" i="8" s="1"/>
  <c r="FG41" i="8"/>
  <c r="FG50" i="8" s="1"/>
  <c r="FD41" i="8"/>
  <c r="FH41" i="8"/>
  <c r="FE40" i="8"/>
  <c r="FE49" i="8" s="1"/>
  <c r="FE89" i="8" s="1"/>
  <c r="FI40" i="8"/>
  <c r="FI49" i="8" s="1"/>
  <c r="FF40" i="8"/>
  <c r="FJ40" i="8"/>
  <c r="FE41" i="8"/>
  <c r="FE50" i="8" s="1"/>
  <c r="FE90" i="8" s="1"/>
  <c r="FI41" i="8"/>
  <c r="FI50" i="8" s="1"/>
  <c r="FI90" i="8" s="1"/>
  <c r="FF41" i="8"/>
  <c r="FJ41" i="8"/>
  <c r="DP50" i="8"/>
  <c r="DO90" i="8"/>
  <c r="FB50" i="8"/>
  <c r="FB90" i="8" s="1"/>
  <c r="DF50" i="8"/>
  <c r="DE90" i="8"/>
  <c r="DT50" i="8"/>
  <c r="DS90" i="8"/>
  <c r="CQ50" i="8"/>
  <c r="C41" i="8" a="1"/>
  <c r="C41" i="8" s="1"/>
  <c r="CZ50" i="8"/>
  <c r="CY90" i="8"/>
  <c r="ER50" i="8"/>
  <c r="EQ90" i="8"/>
  <c r="EP50" i="8"/>
  <c r="EO90" i="8"/>
  <c r="M6" i="5"/>
  <c r="O6" i="5"/>
  <c r="U6" i="5"/>
  <c r="V1583" i="5"/>
  <c r="V1609" i="5"/>
  <c r="N1587" i="5"/>
  <c r="W1587" i="5"/>
  <c r="L1587" i="5"/>
  <c r="N1616" i="5"/>
  <c r="L1616" i="5"/>
  <c r="W1616" i="5"/>
  <c r="V1617" i="5"/>
  <c r="L1617" i="5"/>
  <c r="N1617" i="5"/>
  <c r="W1617" i="5"/>
  <c r="N1597" i="5"/>
  <c r="L1597" i="5"/>
  <c r="W1597" i="5"/>
  <c r="N1608" i="5"/>
  <c r="W1608" i="5"/>
  <c r="L1608" i="5"/>
  <c r="N1583" i="5"/>
  <c r="L1583" i="5"/>
  <c r="W1583" i="5"/>
  <c r="V1587" i="5"/>
  <c r="V1618" i="5"/>
  <c r="N1609" i="5"/>
  <c r="L1609" i="5"/>
  <c r="W1609" i="5"/>
  <c r="V1616" i="5"/>
  <c r="V1590" i="5"/>
  <c r="N1590" i="5"/>
  <c r="L1590" i="5"/>
  <c r="W1590" i="5"/>
  <c r="V1595" i="5"/>
  <c r="N1595" i="5"/>
  <c r="L1595" i="5"/>
  <c r="W1595" i="5"/>
  <c r="V1597" i="5"/>
  <c r="L1618" i="5"/>
  <c r="N1618" i="5"/>
  <c r="W1618" i="5"/>
  <c r="V1608" i="5"/>
  <c r="D41" i="8" l="1" a="1"/>
  <c r="D41" i="8" s="1"/>
  <c r="EP49" i="8"/>
  <c r="EP89" i="8" s="1"/>
  <c r="DP49" i="8"/>
  <c r="DP89" i="8" s="1"/>
  <c r="CZ49" i="8"/>
  <c r="CZ89" i="8" s="1"/>
  <c r="FB49" i="8"/>
  <c r="FB89" i="8" s="1"/>
  <c r="DT49" i="8"/>
  <c r="DT89" i="8" s="1"/>
  <c r="EQ49" i="8"/>
  <c r="EQ89" i="8" s="1"/>
  <c r="DF49" i="8"/>
  <c r="DF89" i="8" s="1"/>
  <c r="C40" i="8" a="1"/>
  <c r="C40" i="8" s="1"/>
  <c r="FJ50" i="8"/>
  <c r="FJ90" i="8" s="1"/>
  <c r="FF49" i="8"/>
  <c r="FF89" i="8" s="1"/>
  <c r="FF50" i="8"/>
  <c r="FF90" i="8" s="1"/>
  <c r="FD49" i="8"/>
  <c r="FD89" i="8" s="1"/>
  <c r="FJ49" i="8"/>
  <c r="FI89" i="8"/>
  <c r="FH49" i="8"/>
  <c r="FG89" i="8"/>
  <c r="FD50" i="8"/>
  <c r="FD90" i="8" s="1"/>
  <c r="FH50" i="8"/>
  <c r="FG90" i="8"/>
  <c r="X1609" i="5"/>
  <c r="ER90" i="8"/>
  <c r="EP90" i="8"/>
  <c r="X1587" i="5"/>
  <c r="DT90" i="8"/>
  <c r="CZ90" i="8"/>
  <c r="DF90" i="8"/>
  <c r="C50" i="8"/>
  <c r="CR50" i="8"/>
  <c r="CQ90" i="8"/>
  <c r="DP90" i="8"/>
  <c r="CR49" i="8"/>
  <c r="CQ89" i="8"/>
  <c r="Y6" i="5"/>
  <c r="P6" i="5"/>
  <c r="X1618" i="5"/>
  <c r="X1590" i="5"/>
  <c r="O1608" i="5"/>
  <c r="M1608" i="5"/>
  <c r="U1608" i="5"/>
  <c r="X1616" i="5"/>
  <c r="M1616" i="5"/>
  <c r="O1616" i="5"/>
  <c r="U1616" i="5"/>
  <c r="M1595" i="5"/>
  <c r="O1595" i="5"/>
  <c r="U1595" i="5"/>
  <c r="X1595" i="5"/>
  <c r="M1617" i="5"/>
  <c r="O1617" i="5"/>
  <c r="U1617" i="5"/>
  <c r="X1617" i="5"/>
  <c r="O1618" i="5"/>
  <c r="M1618" i="5"/>
  <c r="U1618" i="5"/>
  <c r="X1583" i="5"/>
  <c r="M1597" i="5"/>
  <c r="U1597" i="5"/>
  <c r="Y1597" i="5" s="1"/>
  <c r="O1597" i="5"/>
  <c r="M1590" i="5"/>
  <c r="O1590" i="5"/>
  <c r="U1590" i="5"/>
  <c r="U1609" i="5"/>
  <c r="M1609" i="5"/>
  <c r="O1609" i="5"/>
  <c r="O1587" i="5"/>
  <c r="M1587" i="5"/>
  <c r="U1587" i="5"/>
  <c r="X1608" i="5"/>
  <c r="X1597" i="5"/>
  <c r="U1583" i="5"/>
  <c r="P1583" i="5" s="1"/>
  <c r="M1583" i="5"/>
  <c r="O1583" i="5"/>
  <c r="E31" i="3"/>
  <c r="P31" i="3" s="1"/>
  <c r="E30" i="3"/>
  <c r="P30" i="3" s="1"/>
  <c r="E29" i="3"/>
  <c r="P29" i="3" s="1"/>
  <c r="E26" i="3"/>
  <c r="P26" i="3" s="1"/>
  <c r="E25" i="3"/>
  <c r="P25" i="3" s="1"/>
  <c r="E24" i="3"/>
  <c r="P24" i="3" s="1"/>
  <c r="E23" i="3"/>
  <c r="P23" i="3" s="1"/>
  <c r="E22" i="3"/>
  <c r="P22" i="3" s="1"/>
  <c r="E21" i="3"/>
  <c r="G6" i="27" s="1"/>
  <c r="G10" i="27" s="1"/>
  <c r="E20" i="3"/>
  <c r="C31" i="3"/>
  <c r="N31" i="3" s="1"/>
  <c r="C30" i="3"/>
  <c r="N30" i="3" s="1"/>
  <c r="C29" i="3"/>
  <c r="N29" i="3" s="1"/>
  <c r="C26" i="3"/>
  <c r="N26" i="3" s="1"/>
  <c r="J22" i="3"/>
  <c r="C25" i="3"/>
  <c r="N25" i="3" s="1"/>
  <c r="C24" i="3"/>
  <c r="N24" i="3" s="1"/>
  <c r="C23" i="3"/>
  <c r="N23" i="3" s="1"/>
  <c r="J21" i="3"/>
  <c r="J41" i="10"/>
  <c r="B31" i="3"/>
  <c r="B30" i="3"/>
  <c r="B29" i="3"/>
  <c r="B26" i="3"/>
  <c r="B25" i="3"/>
  <c r="B24" i="3"/>
  <c r="B23" i="3"/>
  <c r="B22" i="3"/>
  <c r="B21" i="3"/>
  <c r="B20" i="3"/>
  <c r="N33" i="3" l="1"/>
  <c r="D33" i="6"/>
  <c r="D13" i="6" s="1"/>
  <c r="P6" i="27"/>
  <c r="G20" i="3"/>
  <c r="R20" i="3" s="1"/>
  <c r="P20" i="3"/>
  <c r="J42" i="10"/>
  <c r="P21" i="3"/>
  <c r="ER49" i="8"/>
  <c r="ER89" i="8" s="1"/>
  <c r="H31" i="3"/>
  <c r="S31" i="3" s="1"/>
  <c r="J32" i="3"/>
  <c r="H32" i="3"/>
  <c r="S32" i="3" s="1"/>
  <c r="J24" i="3"/>
  <c r="H24" i="3"/>
  <c r="S24" i="3" s="1"/>
  <c r="J26" i="3"/>
  <c r="H26" i="3"/>
  <c r="S26" i="3" s="1"/>
  <c r="J29" i="3"/>
  <c r="J23" i="3"/>
  <c r="H23" i="3"/>
  <c r="S23" i="3" s="1"/>
  <c r="J30" i="3"/>
  <c r="H30" i="3"/>
  <c r="S30" i="3" s="1"/>
  <c r="J25" i="3"/>
  <c r="H25" i="3"/>
  <c r="S25" i="3" s="1"/>
  <c r="D40" i="8" a="1"/>
  <c r="D40" i="8" s="1"/>
  <c r="C49" i="8"/>
  <c r="C89" i="8" s="1"/>
  <c r="FJ89" i="8"/>
  <c r="FH89" i="8"/>
  <c r="FH90" i="8"/>
  <c r="CR90" i="8"/>
  <c r="CR89" i="8"/>
  <c r="C90" i="8"/>
  <c r="D50" i="8"/>
  <c r="Y1583" i="5"/>
  <c r="P1597" i="5"/>
  <c r="G31" i="3"/>
  <c r="R31" i="3" s="1"/>
  <c r="G32" i="3"/>
  <c r="R32" i="3" s="1"/>
  <c r="G30" i="3"/>
  <c r="R30" i="3" s="1"/>
  <c r="P1618" i="5"/>
  <c r="Y1618" i="5"/>
  <c r="Y1617" i="5"/>
  <c r="P1617" i="5"/>
  <c r="Y1587" i="5"/>
  <c r="P1587" i="5"/>
  <c r="Y1595" i="5"/>
  <c r="P1595" i="5"/>
  <c r="P1616" i="5"/>
  <c r="Y1616" i="5"/>
  <c r="P1609" i="5"/>
  <c r="Y1609" i="5"/>
  <c r="Y1590" i="5"/>
  <c r="P1590" i="5"/>
  <c r="Y1608" i="5"/>
  <c r="P1608" i="5"/>
  <c r="G29" i="3"/>
  <c r="R29" i="3" s="1"/>
  <c r="G26" i="3"/>
  <c r="R26" i="3" s="1"/>
  <c r="G21" i="3"/>
  <c r="H6" i="27" s="1"/>
  <c r="H10" i="27" s="1"/>
  <c r="G22" i="3"/>
  <c r="R22" i="3" s="1"/>
  <c r="G23" i="3"/>
  <c r="R23" i="3" s="1"/>
  <c r="G24" i="3"/>
  <c r="R24" i="3" s="1"/>
  <c r="G25" i="3"/>
  <c r="R25" i="3" s="1"/>
  <c r="J31" i="3"/>
  <c r="C33" i="3"/>
  <c r="D33" i="3"/>
  <c r="F33" i="3" s="1"/>
  <c r="Q6" i="27" l="1"/>
  <c r="D34" i="6"/>
  <c r="D14" i="6" s="1"/>
  <c r="S33" i="3"/>
  <c r="P33" i="3"/>
  <c r="E33" i="3"/>
  <c r="R18" i="23"/>
  <c r="R20" i="23" s="1"/>
  <c r="J43" i="10"/>
  <c r="R21" i="3"/>
  <c r="R33" i="3" s="1"/>
  <c r="H33" i="3"/>
  <c r="D49" i="8"/>
  <c r="D89" i="8" s="1"/>
  <c r="G33" i="3"/>
  <c r="F15" i="3" l="1"/>
  <c r="E15" i="3"/>
  <c r="F14" i="3"/>
  <c r="E14" i="3"/>
  <c r="D15" i="3"/>
  <c r="C15" i="3"/>
  <c r="D14" i="3"/>
  <c r="C14" i="3"/>
  <c r="F13" i="3"/>
  <c r="E13" i="3"/>
  <c r="D13" i="3"/>
  <c r="C13" i="3"/>
  <c r="F12" i="3"/>
  <c r="E12" i="3"/>
  <c r="D7" i="27" s="1"/>
  <c r="D12" i="3"/>
  <c r="C12" i="3"/>
  <c r="C7" i="27" s="1"/>
  <c r="C10" i="27" s="1"/>
  <c r="F11" i="3"/>
  <c r="E11" i="3"/>
  <c r="D11" i="3"/>
  <c r="C11" i="3"/>
  <c r="F10" i="3"/>
  <c r="E10" i="3"/>
  <c r="D10" i="3"/>
  <c r="C10" i="3"/>
  <c r="F9" i="3"/>
  <c r="E9" i="3"/>
  <c r="D9" i="3"/>
  <c r="C9" i="3"/>
  <c r="E8" i="3"/>
  <c r="D8" i="3"/>
  <c r="J8" i="3" s="1"/>
  <c r="C8" i="3"/>
  <c r="G8" i="3" s="1"/>
  <c r="J33" i="3"/>
  <c r="I30" i="3"/>
  <c r="I29" i="3"/>
  <c r="I26" i="3"/>
  <c r="I25" i="3"/>
  <c r="I24" i="3"/>
  <c r="I23" i="3"/>
  <c r="I22" i="3"/>
  <c r="I21" i="3"/>
  <c r="F7" i="3"/>
  <c r="E7" i="3"/>
  <c r="D7" i="3"/>
  <c r="C7" i="3"/>
  <c r="F6" i="3"/>
  <c r="E6" i="3"/>
  <c r="D6" i="3"/>
  <c r="C6" i="3"/>
  <c r="AP3" i="2" a="1"/>
  <c r="AP3" i="2" s="1"/>
  <c r="AQ3" i="2" a="1"/>
  <c r="AQ3" i="2" s="1"/>
  <c r="AQ4" i="2" s="1" a="1"/>
  <c r="AQ4" i="2" s="1"/>
  <c r="AN3" i="2" a="1"/>
  <c r="AN3" i="2" s="1"/>
  <c r="AM3" i="2" a="1"/>
  <c r="AM3" i="2" s="1"/>
  <c r="AE3" i="2" a="1"/>
  <c r="AE3" i="2" s="1"/>
  <c r="AE4" i="2" s="1" a="1"/>
  <c r="AE4" i="2" s="1"/>
  <c r="AD3" i="2" a="1"/>
  <c r="AD3" i="2" s="1"/>
  <c r="AD4" i="2" s="1" a="1"/>
  <c r="AD4" i="2" s="1"/>
  <c r="AC3" i="2" a="1"/>
  <c r="AC3" i="2" s="1"/>
  <c r="AC4" i="2" s="1" a="1"/>
  <c r="AC4" i="2" s="1"/>
  <c r="AB3" i="2" a="1"/>
  <c r="AB3" i="2" s="1"/>
  <c r="AB4" i="2" s="1" a="1"/>
  <c r="AB4" i="2" s="1"/>
  <c r="AA3" i="2" a="1"/>
  <c r="AA3" i="2" s="1"/>
  <c r="Z3" i="2" a="1"/>
  <c r="Z3" i="2" s="1"/>
  <c r="U3" i="2" a="1"/>
  <c r="U3" i="2" s="1"/>
  <c r="U4" i="2" s="1" a="1"/>
  <c r="U4" i="2" s="1"/>
  <c r="T3" i="2" a="1"/>
  <c r="T3" i="2" s="1"/>
  <c r="T4" i="2" s="1" a="1"/>
  <c r="T4" i="2" s="1"/>
  <c r="S3" i="2" a="1"/>
  <c r="S3" i="2" s="1"/>
  <c r="R3" i="2" a="1"/>
  <c r="R3" i="2" s="1"/>
  <c r="O3" i="2" a="1"/>
  <c r="O3" i="2" s="1"/>
  <c r="O4" i="2" s="1" a="1"/>
  <c r="O4" i="2" s="1"/>
  <c r="N3" i="2" a="1"/>
  <c r="N3" i="2" s="1"/>
  <c r="N4" i="2" s="1" a="1"/>
  <c r="N4" i="2" s="1"/>
  <c r="M3" i="2" a="1"/>
  <c r="M3" i="2" s="1"/>
  <c r="M4" i="2" s="1" a="1"/>
  <c r="M4" i="2" s="1"/>
  <c r="L3" i="2" a="1"/>
  <c r="L3" i="2" s="1"/>
  <c r="L4" i="2" s="1" a="1"/>
  <c r="L4" i="2" s="1"/>
  <c r="K3" i="2" a="1"/>
  <c r="K3" i="2" s="1"/>
  <c r="J3" i="2" a="1"/>
  <c r="J3" i="2" s="1"/>
  <c r="G3" i="2" a="1"/>
  <c r="G3" i="2" s="1"/>
  <c r="G4" i="2" s="1" a="1"/>
  <c r="G4" i="2" s="1"/>
  <c r="F3" i="2" a="1"/>
  <c r="F3" i="2" s="1"/>
  <c r="F4" i="2" s="1" a="1"/>
  <c r="F4" i="2" s="1"/>
  <c r="E3" i="2" a="1"/>
  <c r="E3" i="2" s="1"/>
  <c r="E4" i="2" s="1" a="1"/>
  <c r="E4" i="2" s="1"/>
  <c r="D3" i="2" a="1"/>
  <c r="D3" i="2" s="1"/>
  <c r="D4" i="2" s="1" a="1"/>
  <c r="D4" i="2" s="1"/>
  <c r="C3" i="2" a="1"/>
  <c r="C3" i="2" s="1"/>
  <c r="B3" i="2" a="1"/>
  <c r="B3" i="2" s="1"/>
  <c r="D10" i="27" l="1"/>
  <c r="O10" i="27"/>
  <c r="C32" i="6"/>
  <c r="O7" i="27"/>
  <c r="P7" i="27" s="1"/>
  <c r="G7" i="3"/>
  <c r="G6" i="3"/>
  <c r="H6" i="3"/>
  <c r="G12" i="3"/>
  <c r="E7" i="27" s="1"/>
  <c r="E10" i="27" s="1"/>
  <c r="Q10" i="27" s="1"/>
  <c r="AM4" i="2" a="1"/>
  <c r="AM4" i="2" s="1"/>
  <c r="AN4" i="2" a="1"/>
  <c r="AN4" i="2" s="1"/>
  <c r="AP4" i="2" a="1"/>
  <c r="AP4" i="2" s="1"/>
  <c r="J14" i="3"/>
  <c r="H14" i="3"/>
  <c r="J9" i="3"/>
  <c r="H9" i="3"/>
  <c r="J11" i="3"/>
  <c r="H11" i="3"/>
  <c r="J10" i="3"/>
  <c r="H10" i="3"/>
  <c r="J13" i="3"/>
  <c r="H13" i="3"/>
  <c r="J7" i="3"/>
  <c r="H7" i="3"/>
  <c r="H8" i="3"/>
  <c r="I8" i="3" s="1"/>
  <c r="J12" i="3"/>
  <c r="H12" i="3"/>
  <c r="J15" i="3"/>
  <c r="H15" i="3"/>
  <c r="G15" i="3"/>
  <c r="G13" i="3"/>
  <c r="G10" i="3"/>
  <c r="G14" i="3"/>
  <c r="J6" i="3"/>
  <c r="G11" i="3"/>
  <c r="G9" i="3"/>
  <c r="D16" i="3"/>
  <c r="C16" i="3"/>
  <c r="Q18" i="23" s="1"/>
  <c r="Q20" i="23" s="1"/>
  <c r="T19" i="23" s="1"/>
  <c r="T7" i="23" s="1"/>
  <c r="AF3" i="2"/>
  <c r="AA4" i="2" a="1"/>
  <c r="AA4" i="2" s="1"/>
  <c r="AG3" i="2"/>
  <c r="K4" i="2" a="1"/>
  <c r="K4" i="2" s="1"/>
  <c r="Q3" i="2"/>
  <c r="R4" i="2" a="1"/>
  <c r="R4" i="2" s="1"/>
  <c r="Y3" i="2"/>
  <c r="S4" i="2" a="1"/>
  <c r="S4" i="2" s="1"/>
  <c r="Y4" i="2" s="1"/>
  <c r="B4" i="2" a="1"/>
  <c r="B4" i="2" s="1"/>
  <c r="H3" i="2"/>
  <c r="C4" i="2" a="1"/>
  <c r="C4" i="2" s="1"/>
  <c r="I3" i="2"/>
  <c r="J4" i="2" a="1"/>
  <c r="J4" i="2" s="1"/>
  <c r="P3" i="2"/>
  <c r="Z4" i="2" a="1"/>
  <c r="Z4" i="2" s="1"/>
  <c r="P10" i="27" l="1"/>
  <c r="Q7" i="27"/>
  <c r="T32" i="23"/>
  <c r="C33" i="6"/>
  <c r="U19" i="23"/>
  <c r="U7" i="23" s="1"/>
  <c r="V19" i="23"/>
  <c r="V7" i="23" s="1"/>
  <c r="Z19" i="23"/>
  <c r="Z7" i="23" s="1"/>
  <c r="AB19" i="23"/>
  <c r="AB7" i="23" s="1"/>
  <c r="X19" i="23"/>
  <c r="X7" i="23" s="1"/>
  <c r="AA19" i="23"/>
  <c r="AA7" i="23" s="1"/>
  <c r="Y19" i="23"/>
  <c r="Y7" i="23" s="1"/>
  <c r="W19" i="23"/>
  <c r="W7" i="23" s="1"/>
  <c r="E16" i="3"/>
  <c r="F16" i="3"/>
  <c r="I6" i="3"/>
  <c r="I4" i="2"/>
  <c r="AG4" i="2"/>
  <c r="J16" i="3"/>
  <c r="I9" i="3"/>
  <c r="I10" i="3"/>
  <c r="I15" i="3"/>
  <c r="I13" i="3"/>
  <c r="I11" i="3"/>
  <c r="I12" i="3"/>
  <c r="H16" i="3"/>
  <c r="I7" i="3"/>
  <c r="I14" i="3"/>
  <c r="Q4" i="2"/>
  <c r="G16" i="3"/>
  <c r="AF4" i="2"/>
  <c r="P4" i="2"/>
  <c r="AJ3" i="2"/>
  <c r="AI3" i="2"/>
  <c r="H4" i="2"/>
  <c r="C34" i="6" l="1"/>
  <c r="F14" i="23"/>
  <c r="H14" i="23" s="1"/>
  <c r="X10" i="23"/>
  <c r="X32" i="23"/>
  <c r="X34" i="23" s="1"/>
  <c r="AA32" i="23"/>
  <c r="AA34" i="23" s="1"/>
  <c r="AA10" i="23"/>
  <c r="AB10" i="23"/>
  <c r="AB32" i="23"/>
  <c r="AB34" i="23" s="1"/>
  <c r="V10" i="23"/>
  <c r="V32" i="23"/>
  <c r="V34" i="23" s="1"/>
  <c r="W10" i="23"/>
  <c r="W32" i="23"/>
  <c r="W34" i="23" s="1"/>
  <c r="Y10" i="23"/>
  <c r="Y32" i="23"/>
  <c r="Y34" i="23" s="1"/>
  <c r="Z10" i="23"/>
  <c r="Z32" i="23"/>
  <c r="Z34" i="23" s="1"/>
  <c r="AC7" i="23"/>
  <c r="U32" i="23"/>
  <c r="U34" i="23" s="1"/>
  <c r="U10" i="23"/>
  <c r="AJ4" i="2"/>
  <c r="I16" i="3"/>
  <c r="AI4" i="2"/>
  <c r="T34" i="23" l="1"/>
  <c r="AC34" i="23" s="1"/>
  <c r="AC32" i="23"/>
  <c r="AC33" i="23" s="1"/>
  <c r="I15" i="21" l="1"/>
  <c r="E12" i="21" s="1"/>
  <c r="G24" i="21"/>
  <c r="G22" i="21" s="1"/>
  <c r="B22" i="21" s="1"/>
  <c r="C22" i="21" s="1"/>
  <c r="B11" i="21" l="1"/>
  <c r="AJ62" i="3" s="1"/>
  <c r="B24" i="21"/>
  <c r="C24" i="21" s="1"/>
  <c r="H22" i="21"/>
  <c r="G61" i="3"/>
  <c r="H3" i="28" s="1"/>
  <c r="K1922" i="5"/>
  <c r="F12" i="21"/>
  <c r="E11" i="21"/>
  <c r="F11" i="21" s="1"/>
  <c r="H24" i="21"/>
  <c r="I13" i="21"/>
  <c r="L3" i="28" l="1"/>
  <c r="L4" i="28" s="1"/>
  <c r="L26" i="28" s="1"/>
  <c r="J3" i="28"/>
  <c r="J4" i="28" s="1"/>
  <c r="H4" i="28"/>
  <c r="H26" i="28" s="1"/>
  <c r="J26" i="28" s="1"/>
  <c r="F53" i="8"/>
  <c r="L1922" i="5"/>
  <c r="S61" i="3"/>
  <c r="G73" i="3"/>
  <c r="AL62" i="3" s="1"/>
  <c r="J28" i="18"/>
  <c r="J61" i="3"/>
  <c r="M61" i="3" l="1"/>
  <c r="J73" i="3"/>
  <c r="AL63" i="3" s="1"/>
  <c r="AN62" i="3"/>
  <c r="AM62" i="3"/>
  <c r="J41" i="18"/>
  <c r="K28" i="18"/>
  <c r="S73" i="3"/>
  <c r="U61" i="3"/>
  <c r="U73" i="3" s="1"/>
  <c r="M1922" i="5"/>
  <c r="U1922" i="5"/>
  <c r="O1922" i="5"/>
  <c r="D53" i="8" a="1"/>
  <c r="D53" i="8" s="1"/>
  <c r="F62" i="8"/>
  <c r="F90" i="8" s="1"/>
  <c r="D62" i="8" l="1"/>
  <c r="D90" i="8" s="1"/>
  <c r="P1922" i="5"/>
  <c r="Y1922" i="5"/>
  <c r="K41" i="18"/>
  <c r="L28" i="18"/>
  <c r="W61" i="3"/>
  <c r="W73" i="3" s="1"/>
  <c r="M73" i="3"/>
  <c r="AL64" i="3" s="1"/>
  <c r="AN63" i="3"/>
  <c r="AM63" i="3"/>
  <c r="AN64" i="3" l="1"/>
  <c r="AM64" i="3"/>
  <c r="L41" i="18"/>
  <c r="N28" i="18"/>
  <c r="E16" i="24"/>
  <c r="L38" i="10"/>
  <c r="AC38" i="10" l="1"/>
  <c r="T9" i="23"/>
  <c r="L39" i="10"/>
  <c r="AC39" i="10" s="1"/>
  <c r="X39" i="10" s="1"/>
  <c r="O28" i="18"/>
  <c r="N41" i="18"/>
  <c r="O41" i="18" s="1"/>
  <c r="B31" i="21"/>
  <c r="C31" i="21" s="1"/>
  <c r="E17" i="24" l="1"/>
  <c r="T10" i="23"/>
  <c r="AC10" i="23" s="1"/>
  <c r="B12" i="21"/>
  <c r="AJ63" i="3" s="1"/>
  <c r="AJ64" i="3" s="1"/>
  <c r="G89" i="3"/>
  <c r="AD38" i="10" s="1"/>
  <c r="X38" i="10" s="1"/>
  <c r="F89" i="3"/>
  <c r="H89"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tc={FE19808D-1423-463C-B7FF-DD8CB95DEDB8}</author>
    <author>tc={836C18C5-38DD-4BA1-8C0E-7D144C18719F}</author>
    <author>tc={3BC9DF82-229E-45F2-9F12-7969562A8FF9}</author>
    <author>tc={B081FACC-31AB-4C13-9384-06B3414DD4A7}</author>
    <author>tc={D40F6EFB-35ED-46F9-BF7A-A191643C69D6}</author>
    <author>tc={4B3DBB5C-7DE3-4F7C-B55A-EF3CFBC64CF9}</author>
    <author>tc={BC2318ED-6224-4E9E-A784-98060ED012FE}</author>
    <author>tc={3A54C6F6-1355-4BEC-AF13-568A4D3342EB}</author>
    <author>tc={421FEDE8-4E32-494E-986A-BE5688E9B590}</author>
    <author>tc={9F6F3D07-CE46-46DE-BF86-27F20F598A57}</author>
    <author>tc={AE954BA6-8146-41DA-8966-E17C4219C4CA}</author>
    <author>tc={727CA632-A7A3-4F26-9532-7A49D49A3A71}</author>
    <author>tc={E38DA8BB-92FA-4ED5-9F09-C5899C200887}</author>
    <author>tc={0026F80C-77F7-4B7E-938E-702326A205E9}</author>
    <author>tc={EDB5EABC-9F77-4254-B2AA-343E5E03F9D0}</author>
    <author>tc={F09F85B3-67BF-48DB-91F9-9111E439210B}</author>
    <author>tc={00ACA20C-6D44-4A7C-AF89-5A448BB25E0F}</author>
    <author>tc={42DA6D09-B330-44F6-BFCF-D175406AC665}</author>
    <author>tc={27215744-A370-4CEF-B0EF-208392DD5C52}</author>
    <author>tc={C9E3BC14-3D5B-4C37-913C-E3B656733A27}</author>
    <author>tc={2E26BB48-92F1-4080-A133-3CD4262AD96D}</author>
    <author>tc={CFB67527-C4F4-48AC-BE39-40C051FF3722}</author>
    <author>tc={E19F7C0D-F644-47BA-9AEC-54225F3E3E34}</author>
    <author>tc={14F0BBE7-449F-48C3-8C74-90FBBB82F65D}</author>
    <author>tc={4F6744C2-E49B-4C28-9082-F438521F4335}</author>
    <author>tc={F93B2188-7D0B-4476-8FC8-C326812E91A9}</author>
    <author>tc={B7BE0704-4D6B-45EA-A7C5-27F1D0B8BF1A}</author>
    <author>tc={5C091028-AB05-47B4-AD1C-A5684E3003C2}</author>
    <author>tc={43EDAA8E-43F0-4636-B266-B96C73384E08}</author>
    <author>tc={076760F3-35DE-4F08-B2F1-A50E9F48598B}</author>
    <author>tc={63582D0B-32FC-4B32-AEA0-D5714D6B70E7}</author>
    <author>tc={42EAF2DC-0E4B-4B6D-A8EE-E62621CF02F9}</author>
    <author>tc={9D4C1B4B-99B2-4DFD-8658-6F2F25F136BB}</author>
    <author>tc={24072BC1-6066-4A5E-8123-D6A3949261DC}</author>
    <author>tc={0C132069-6634-4202-B21C-3BCA495AC313}</author>
    <author>tc={A97F7A94-B4AA-4992-8B89-8B9D36937A86}</author>
    <author>tc={A2288595-6041-482B-B91D-083629C7D0FA}</author>
    <author>tc={68FC05EC-A8A9-4F1B-9BC2-57F879D5B148}</author>
    <author>tc={EF6E5A35-69AF-4E41-86BC-80F7CEC7BC4E}</author>
    <author>tc={2D231478-D7A5-4026-AE50-BAE21F2CD7C2}</author>
    <author>tc={EA14FB95-0035-4135-A1FC-927BA1BD1158}</author>
    <author>tc={6D103191-160D-49DE-BD15-9B1B62F40AF7}</author>
    <author>tc={D19C920B-4FE3-48A4-A440-C13A791E7DCB}</author>
    <author>tc={5CEA243A-1A30-419E-B479-09E77DC1C945}</author>
    <author>tc={9E8943F5-38CD-498E-8E13-C9A1E58E05E8}</author>
    <author>tc={D439A6E0-AC95-48D7-8FBB-087ADC8DA259}</author>
    <author>tc={40429274-A211-44C9-955F-B22BC7757561}</author>
    <author>tc={65DE59F8-D5E1-4F94-9008-BC522A62921A}</author>
    <author>tc={F7732F59-4F9D-4DE9-8B18-FC163EAA7153}</author>
    <author>tc={B523D1F6-1DAB-440F-8639-E16FCC30C162}</author>
    <author>tc={4192B8D4-265E-4013-90EF-5E2E82761EBC}</author>
    <author>tc={87FC11C7-1BD0-429F-B881-15C8BB64204B}</author>
    <author>tc={0EC4459C-5CFD-4351-8892-13B84C72BEFB}</author>
    <author>tc={621EB492-20C0-4B2C-BA8E-7C4348E5C7DA}</author>
    <author>tc={388DC3E6-9C02-4C0F-AD66-81AFB0A9B135}</author>
    <author>tc={150FC431-9226-4D54-B64C-726625087F72}</author>
    <author>tc={BDC84132-2370-4BE2-87DE-9678BE93C853}</author>
    <author>tc={8C03073A-7D18-476C-A16D-972808E715BE}</author>
    <author>tc={EDF5C945-FE81-49E0-98FD-ECE6E3AB7639}</author>
    <author>tc={4E8D6F2F-1CF1-4E7B-AFC8-15547FA7716B}</author>
    <author>tc={28E77BAF-20FB-4BDE-A52B-76054C50ACD2}</author>
    <author>tc={08101209-B179-4720-B27D-DA3A9EC478A6}</author>
    <author>tc={AC836B49-EBEE-49B1-A003-7F1BA7135F27}</author>
    <author>tc={EB820AF1-8E61-4F7E-935E-D6E1B59BA979}</author>
    <author>tc={6CE7750C-EAE6-46C2-810D-8EC8A1EE8ECB}</author>
    <author>tc={DADEE809-E568-497A-8F29-5A1822DC7048}</author>
    <author>tc={6CE90374-1088-41CA-B024-0167A8CC61DC}</author>
    <author>tc={552AE7F8-4049-4123-990E-4432BB0A6C07}</author>
    <author>tc={B2650798-0162-4BAD-AA48-A9EC4F3DA08C}</author>
    <author>tc={2E50B7AB-6FAB-4D88-841A-02D1CDCB7DF6}</author>
    <author>tc={F67A4D17-2F19-45F9-8286-C972FBE63A10}</author>
    <author>tc={F1E19ABF-30C7-431B-919E-9E79DB22374B}</author>
    <author>tc={43CF0967-792F-4FF7-A924-215D5685CEF6}</author>
    <author>tc={B59233F0-09A3-4979-AB36-580EDB875B14}</author>
    <author>tc={15DDBD31-C6D2-43FC-BD98-AA0A099D1B1C}</author>
    <author>tc={A3F4D2C4-350A-436F-AE93-3C2F3CDEF7B6}</author>
    <author>tc={0F4430B3-7E35-4DAC-B0E7-1F1C50911F8D}</author>
    <author>tc={056B0F34-2429-4997-95A6-467239E5B413}</author>
    <author>tc={2DB34D5F-776C-4713-86AC-AE8264E758CA}</author>
    <author>tc={C87AA131-A6E0-4E9E-8A79-6819F0DF474B}</author>
    <author>tc={B320C52F-F538-4CF7-B978-988D5491B03D}</author>
    <author>tc={0D89DE6D-1FB4-45DF-AE6D-0B8E11ECE418}</author>
    <author>tc={A63ED080-8A3C-4F17-AA2A-4AFFF3439DC1}</author>
    <author>tc={8911347E-D375-4BB9-BE61-54A752EAEE7A}</author>
    <author>tc={26D888DD-4C63-48F1-8DF9-D34E55D42190}</author>
    <author>tc={A09B8ED2-A568-41CF-862A-834914B63C5E}</author>
    <author>tc={51F672A3-ABFC-4523-85BE-F972BD66F193}</author>
    <author>tc={48E5EA45-1D79-412F-A8C0-E568C710EE53}</author>
  </authors>
  <commentList>
    <comment ref="M13" authorId="0" shapeId="0" xr:uid="{FE19808D-1423-463C-B7FF-DD8CB95DEDB8}">
      <text>
        <t>[Threaded comment]
Your version of Excel allows you to read this threaded comment; however, any edits to it will get removed if the file is opened in a newer version of Excel. Learn more: https://go.microsoft.com/fwlink/?linkid=870924
Comment:
    Grades inferred, Sunday off duty.</t>
      </text>
    </comment>
    <comment ref="T13" authorId="1" shapeId="0" xr:uid="{836C18C5-38DD-4BA1-8C0E-7D144C18719F}">
      <text>
        <t>[Threaded comment]
Your version of Excel allows you to read this threaded comment; however, any edits to it will get removed if the file is opened in a newer version of Excel. Learn more: https://go.microsoft.com/fwlink/?linkid=870924
Comment:
    Grades inferred, Sunday off duty.</t>
      </text>
    </comment>
    <comment ref="M19" authorId="2" shapeId="0" xr:uid="{3BC9DF82-229E-45F2-9F12-7969562A8FF9}">
      <text>
        <t xml:space="preserve">[Threaded comment]
Your version of Excel allows you to read this threaded comment; however, any edits to it will get removed if the file is opened in a newer version of Excel. Learn more: https://go.microsoft.com/fwlink/?linkid=870924
Comment:
    Cone drive slypping to limits </t>
      </text>
    </comment>
    <comment ref="P19" authorId="3" shapeId="0" xr:uid="{B081FACC-31AB-4C13-9384-06B3414DD4A7}">
      <text>
        <t xml:space="preserve">[Threaded comment]
Your version of Excel allows you to read this threaded comment; however, any edits to it will get removed if the file is opened in a newer version of Excel. Learn more: https://go.microsoft.com/fwlink/?linkid=870924
Comment:
    hanging wall collapses, stope temporarily suspended </t>
      </text>
    </comment>
    <comment ref="T19" authorId="4" shapeId="0" xr:uid="{D40F6EFB-35ED-46F9-BF7A-A191643C69D6}">
      <text>
        <t xml:space="preserve">[Threaded comment]
Your version of Excel allows you to read this threaded comment; however, any edits to it will get removed if the file is opened in a newer version of Excel. Learn more: https://go.microsoft.com/fwlink/?linkid=870924
Comment:
    hanging wall collapses, stope temporarily suspended </t>
      </text>
    </comment>
    <comment ref="U19" authorId="5" shapeId="0" xr:uid="{4B3DBB5C-7DE3-4F7C-B55A-EF3CFBC64CF9}">
      <text>
        <t xml:space="preserve">[Threaded comment]
Your version of Excel allows you to read this threaded comment; however, any edits to it will get removed if the file is opened in a newer version of Excel. Learn more: https://go.microsoft.com/fwlink/?linkid=870924
Comment:
    hanging wall collapses, stope temporarily suspended </t>
      </text>
    </comment>
    <comment ref="M22" authorId="6" shapeId="0" xr:uid="{BC2318ED-6224-4E9E-A784-98060ED012FE}">
      <text>
        <t>[Threaded comment]
Your version of Excel allows you to read this threaded comment; however, any edits to it will get removed if the file is opened in a newer version of Excel. Learn more: https://go.microsoft.com/fwlink/?linkid=870924
Comment:
    Stopped slyping and started corning.</t>
      </text>
    </comment>
    <comment ref="N22" authorId="7" shapeId="0" xr:uid="{3A54C6F6-1355-4BEC-AF13-568A4D3342EB}">
      <text>
        <t>[Threaded comment]
Your version of Excel allows you to read this threaded comment; however, any edits to it will get removed if the file is opened in a newer version of Excel. Learn more: https://go.microsoft.com/fwlink/?linkid=870924
Comment:
    Stopped slyping to start benching</t>
      </text>
    </comment>
    <comment ref="H29" authorId="8" shapeId="0" xr:uid="{421FEDE8-4E32-494E-986A-BE5688E9B590}">
      <text>
        <t>[Threaded comment]
Your version of Excel allows you to read this threaded comment; however, any edits to it will get removed if the file is opened in a newer version of Excel. Learn more: https://go.microsoft.com/fwlink/?linkid=870924
Comment:
    Northen parallel not well mineralised, machine to move to the southern parallel.</t>
      </text>
    </comment>
    <comment ref="U29" authorId="9" shapeId="0" xr:uid="{9F6F3D07-CE46-46DE-BF86-27F20F598A57}">
      <text>
        <t>[Threaded comment]
Your version of Excel allows you to read this threaded comment; however, any edits to it will get removed if the file is opened in a newer version of Excel. Learn more: https://go.microsoft.com/fwlink/?linkid=870924
Comment:
    Bench visually looking silicified, continuous monitoring on slyping.</t>
      </text>
    </comment>
    <comment ref="V29" authorId="10" shapeId="0" xr:uid="{AE954BA6-8146-41DA-8966-E17C4219C4CA}">
      <text>
        <t>[Threaded comment]
Your version of Excel allows you to read this threaded comment; however, any edits to it will get removed if the file is opened in a newer version of Excel. Learn more: https://go.microsoft.com/fwlink/?linkid=870924
Comment:
    slypped to payable limit, machines to bench only</t>
      </text>
    </comment>
    <comment ref="W29" authorId="11" shapeId="0" xr:uid="{727CA632-A7A3-4F26-9532-7A49D49A3A71}">
      <text>
        <t>[Threaded comment]
Your version of Excel allows you to read this threaded comment; however, any edits to it will get removed if the file is opened in a newer version of Excel. Learn more: https://go.microsoft.com/fwlink/?linkid=870924
Comment:
    reef pinching, slypped to reef limits, benching poorly mineralised zone</t>
      </text>
    </comment>
    <comment ref="H36" authorId="12" shapeId="0" xr:uid="{E38DA8BB-92FA-4ED5-9F09-C5899C200887}">
      <text>
        <t>[Threaded comment]
Your version of Excel allows you to read this threaded comment; however, any edits to it will get removed if the file is opened in a newer version of Excel. Learn more: https://go.microsoft.com/fwlink/?linkid=870924
Comment:
    Eastern side which is well mineralised was not lashed, benching on western side where reef narrows and grades become lower. Machine to focus on eastern side only</t>
      </text>
    </comment>
    <comment ref="I36" authorId="13" shapeId="0" xr:uid="{0026F80C-77F7-4B7E-938E-702326A205E9}">
      <text>
        <t>[Threaded comment]
Your version of Excel allows you to read this threaded comment; however, any edits to it will get removed if the file is opened in a newer version of Excel. Learn more: https://go.microsoft.com/fwlink/?linkid=870924
Comment:
    Eastern side not lashed, reef narrows going west.</t>
      </text>
    </comment>
    <comment ref="J36" authorId="14" shapeId="0" xr:uid="{EDB5EABC-9F77-4254-B2AA-343E5E03F9D0}">
      <text>
        <t>[Threaded comment]
Your version of Excel allows you to read this threaded comment; however, any edits to it will get removed if the file is opened in a newer version of Excel. Learn more: https://go.microsoft.com/fwlink/?linkid=870924
Comment:
    Eastern side not lashed, benching on the western side where reef is narrow</t>
      </text>
    </comment>
    <comment ref="M36" authorId="15" shapeId="0" xr:uid="{F09F85B3-67BF-48DB-91F9-9111E439210B}">
      <text>
        <t xml:space="preserve">[Threaded comment]
Your version of Excel allows you to read this threaded comment; however, any edits to it will get removed if the file is opened in a newer version of Excel. Learn more: https://go.microsoft.com/fwlink/?linkid=870924
Comment:
    Stopped western side </t>
      </text>
    </comment>
    <comment ref="V36" authorId="16" shapeId="0" xr:uid="{00ACA20C-6D44-4A7C-AF89-5A448BB25E0F}">
      <text>
        <t>[Threaded comment]
Your version of Excel allows you to read this threaded comment; however, any edits to it will get removed if the file is opened in a newer version of Excel. Learn more: https://go.microsoft.com/fwlink/?linkid=870924
Comment:
    not sampled, bench was charged.</t>
      </text>
    </comment>
    <comment ref="O40" authorId="17" shapeId="0" xr:uid="{42DA6D09-B330-44F6-BFCF-D175406AC665}">
      <text>
        <t xml:space="preserve">[Threaded comment]
Your version of Excel allows you to read this threaded comment; however, any edits to it will get removed if the file is opened in a newer version of Excel. Learn more: https://go.microsoft.com/fwlink/?linkid=870924
Comment:
    Bench holed, drilling of slyypings to start a new bench. </t>
      </text>
    </comment>
    <comment ref="T40" authorId="18" shapeId="0" xr:uid="{27215744-A370-4CEF-B0EF-208392DD5C52}">
      <text>
        <t xml:space="preserve">[Threaded comment]
Your version of Excel allows you to read this threaded comment; however, any edits to it will get removed if the file is opened in a newer version of Excel. Learn more: https://go.microsoft.com/fwlink/?linkid=870924
Comment:
    Limited bench area due to reef pinching </t>
      </text>
    </comment>
    <comment ref="U40" authorId="19" shapeId="0" xr:uid="{C9E3BC14-3D5B-4C37-913C-E3B656733A27}">
      <text>
        <t xml:space="preserve">[Threaded comment]
Your version of Excel allows you to read this threaded comment; however, any edits to it will get removed if the file is opened in a newer version of Excel. Learn more: https://go.microsoft.com/fwlink/?linkid=870924
Comment:
    Limited bench area due to reef pinching </t>
      </text>
    </comment>
    <comment ref="V40" authorId="20" shapeId="0" xr:uid="{2E26BB48-92F1-4080-A133-3CD4262AD96D}">
      <text>
        <t xml:space="preserve">[Threaded comment]
Your version of Excel allows you to read this threaded comment; however, any edits to it will get removed if the file is opened in a newer version of Excel. Learn more: https://go.microsoft.com/fwlink/?linkid=870924
Comment:
    Limited bench area due to reef pinching, bench holed </t>
      </text>
    </comment>
    <comment ref="H43" authorId="21" shapeId="0" xr:uid="{CFB67527-C4F4-48AC-BE39-40C051FF3722}">
      <text>
        <t>[Threaded comment]
Your version of Excel allows you to read this threaded comment; however, any edits to it will get removed if the file is opened in a newer version of Excel. Learn more: https://go.microsoft.com/fwlink/?linkid=870924
Comment:
    Reef narrowing, one machine driving to expose continuity going west. Grade to improve.</t>
      </text>
    </comment>
    <comment ref="W43" authorId="22" shapeId="0" xr:uid="{E19F7C0D-F644-47BA-9AEC-54225F3E3E34}">
      <text>
        <t>[Threaded comment]
Your version of Excel allows you to read this threaded comment; however, any edits to it will get removed if the file is opened in a newer version of Excel. Learn more: https://go.microsoft.com/fwlink/?linkid=870924
Comment:
    not sampled, bench holed</t>
      </text>
    </comment>
    <comment ref="M47" authorId="23" shapeId="0" xr:uid="{14F0BBE7-449F-48C3-8C74-90FBBB82F65D}">
      <text>
        <t xml:space="preserve">[Threaded comment]
Your version of Excel allows you to read this threaded comment; however, any edits to it will get removed if the file is opened in a newer version of Excel. Learn more: https://go.microsoft.com/fwlink/?linkid=870924
Comment:
    Drilling of boulders in the cone drive </t>
      </text>
    </comment>
    <comment ref="N47" authorId="24" shapeId="0" xr:uid="{4F6744C2-E49B-4C28-9082-F438521F4335}">
      <text>
        <t xml:space="preserve">[Threaded comment]
Your version of Excel allows you to read this threaded comment; however, any edits to it will get removed if the file is opened in a newer version of Excel. Learn more: https://go.microsoft.com/fwlink/?linkid=870924
Comment:
    Drilling of boulders in the cone drive, </t>
      </text>
    </comment>
    <comment ref="T47" authorId="25" shapeId="0" xr:uid="{F93B2188-7D0B-4476-8FC8-C326812E91A9}">
      <text>
        <t xml:space="preserve">[Threaded comment]
Your version of Excel allows you to read this threaded comment; however, any edits to it will get removed if the file is opened in a newer version of Excel. Learn more: https://go.microsoft.com/fwlink/?linkid=870924
Comment:
    Slypping to start new bench </t>
      </text>
    </comment>
    <comment ref="U47" authorId="26" shapeId="0" xr:uid="{B7BE0704-4D6B-45EA-A7C5-27F1D0B8BF1A}">
      <text>
        <t xml:space="preserve">[Threaded comment]
Your version of Excel allows you to read this threaded comment; however, any edits to it will get removed if the file is opened in a newer version of Excel. Learn more: https://go.microsoft.com/fwlink/?linkid=870924
Comment:
    Slypping to start new bench </t>
      </text>
    </comment>
    <comment ref="V47" authorId="27" shapeId="0" xr:uid="{5C091028-AB05-47B4-AD1C-A5684E3003C2}">
      <text>
        <t xml:space="preserve">[Threaded comment]
Your version of Excel allows you to read this threaded comment; however, any edits to it will get removed if the file is opened in a newer version of Excel. Learn more: https://go.microsoft.com/fwlink/?linkid=870924
Comment:
    Slypping to start a new bench </t>
      </text>
    </comment>
    <comment ref="H50" authorId="28" shapeId="0" xr:uid="{43EDAA8E-43F0-4636-B266-B96C73384E08}">
      <text>
        <t>[Threaded comment]
Your version of Excel allows you to read this threaded comment; however, any edits to it will get removed if the file is opened in a newer version of Excel. Learn more: https://go.microsoft.com/fwlink/?linkid=870924
Comment:
    Current elevation not well mineralised, grade to improve with dip.</t>
      </text>
    </comment>
    <comment ref="J50" authorId="29" shapeId="0" xr:uid="{076760F3-35DE-4F08-B2F1-A50E9F48598B}">
      <text>
        <t>[Threaded comment]
Your version of Excel allows you to read this threaded comment; however, any edits to it will get removed if the file is opened in a newer version of Excel. Learn more: https://go.microsoft.com/fwlink/?linkid=870924
Comment:
    Bench not clearly lashed, slypping eastern side to expose reef.</t>
      </text>
    </comment>
    <comment ref="L50" authorId="30" shapeId="0" xr:uid="{63582D0B-32FC-4B32-AEA0-D5714D6B70E7}">
      <text>
        <t>[Threaded comment]
Your version of Excel allows you to read this threaded comment; however, any edits to it will get removed if the file is opened in a newer version of Excel. Learn more: https://go.microsoft.com/fwlink/?linkid=870924
Comment:
    Slyping the waste in the southern potion to get in to reef.</t>
      </text>
    </comment>
    <comment ref="O50" authorId="31" shapeId="0" xr:uid="{42EAF2DC-0E4B-4B6D-A8EE-E62621CF02F9}">
      <text>
        <t>[Threaded comment]
Your version of Excel allows you to read this threaded comment; however, any edits to it will get removed if the file is opened in a newer version of Excel. Learn more: https://go.microsoft.com/fwlink/?linkid=870924
Comment:
    Slyping southwards through a poorly mineralised zone to a good payzone.</t>
      </text>
    </comment>
    <comment ref="Q50" authorId="32" shapeId="0" xr:uid="{9D4C1B4B-99B2-4DFD-8658-6F2F25F136BB}">
      <text>
        <t>[Threaded comment]
Your version of Excel allows you to read this threaded comment; however, any edits to it will get removed if the file is opened in a newer version of Excel. Learn more: https://go.microsoft.com/fwlink/?linkid=870924
Comment:
    Slyping Southwards has reached pay limit, to start benching</t>
      </text>
    </comment>
    <comment ref="U50" authorId="33" shapeId="0" xr:uid="{24072BC1-6066-4A5E-8123-D6A3949261DC}">
      <text>
        <t>[Threaded comment]
Your version of Excel allows you to read this threaded comment; however, any edits to it will get removed if the file is opened in a newer version of Excel. Learn more: https://go.microsoft.com/fwlink/?linkid=870924
Comment:
    Slyping southern side through a weakly mineralised zone to expose southern parallel.</t>
      </text>
    </comment>
    <comment ref="V50" authorId="34" shapeId="0" xr:uid="{0C132069-6634-4202-B21C-3BCA495AC313}">
      <text>
        <t>[Threaded comment]
Your version of Excel allows you to read this threaded comment; however, any edits to it will get removed if the file is opened in a newer version of Excel. Learn more: https://go.microsoft.com/fwlink/?linkid=870924
Comment:
    slypping stopped due to poor grades, moving machine to catwalk.</t>
      </text>
    </comment>
    <comment ref="H68" authorId="35" shapeId="0" xr:uid="{A97F7A94-B4AA-4992-8B89-8B9D36937A86}">
      <text>
        <t>[Threaded comment]
Your version of Excel allows you to read this threaded comment; however, any edits to it will get removed if the file is opened in a newer version of Excel. Learn more: https://go.microsoft.com/fwlink/?linkid=870924
Comment:
    Box construction on going breaking to resume 04/07/25</t>
      </text>
    </comment>
    <comment ref="I68" authorId="36" shapeId="0" xr:uid="{A2288595-6041-482B-B91D-083629C7D0FA}">
      <text>
        <t>[Threaded comment]
Your version of Excel allows you to read this threaded comment; however, any edits to it will get removed if the file is opened in a newer version of Excel. Learn more: https://go.microsoft.com/fwlink/?linkid=870924
Comment:
    Box construction on going breaking to resume 04/07/25</t>
      </text>
    </comment>
    <comment ref="J68" authorId="37" shapeId="0" xr:uid="{68FC05EC-A8A9-4F1B-9BC2-57F879D5B148}">
      <text>
        <t>[Threaded comment]
Your version of Excel allows you to read this threaded comment; however, any edits to it will get removed if the file is opened in a newer version of Excel. Learn more: https://go.microsoft.com/fwlink/?linkid=870924
Comment:
    Box construction on going breaking to resume 04/07/25</t>
      </text>
    </comment>
    <comment ref="M68" authorId="38" shapeId="0" xr:uid="{EF6E5A35-69AF-4E41-86BC-80F7CEC7BC4E}">
      <text>
        <t xml:space="preserve">[Threaded comment]
Your version of Excel allows you to read this threaded comment; however, any edits to it will get removed if the file is opened in a newer version of Excel. Learn more: https://go.microsoft.com/fwlink/?linkid=870924
Comment:
    Drilling of cone drive slyppings </t>
      </text>
    </comment>
    <comment ref="T68" authorId="39" shapeId="0" xr:uid="{2D231478-D7A5-4026-AE50-BAE21F2CD7C2}">
      <text>
        <t xml:space="preserve">[Threaded comment]
Your version of Excel allows you to read this threaded comment; however, any edits to it will get removed if the file is opened in a newer version of Excel. Learn more: https://go.microsoft.com/fwlink/?linkid=870924
Comment:
    Handliing of accumullation,development and production material. </t>
      </text>
    </comment>
    <comment ref="V68" authorId="40" shapeId="0" xr:uid="{EA14FB95-0035-4135-A1FC-927BA1BD1158}">
      <text>
        <t>[Threaded comment]
Your version of Excel allows you to read this threaded comment; however, any edits to it will get removed if the file is opened in a newer version of Excel. Learn more: https://go.microsoft.com/fwlink/?linkid=870924
Comment:
    Drilling at the cone drive limited bench area</t>
      </text>
    </comment>
    <comment ref="J71" authorId="41" shapeId="0" xr:uid="{6D103191-160D-49DE-BD15-9B1B62F40AF7}">
      <text>
        <t>[Threaded comment]
Your version of Excel allows you to read this threaded comment; however, any edits to it will get removed if the file is opened in a newer version of Excel. Learn more: https://go.microsoft.com/fwlink/?linkid=870924
Comment:
    conning for stope preparation</t>
      </text>
    </comment>
    <comment ref="L71" authorId="42" shapeId="0" xr:uid="{D19C920B-4FE3-48A4-A440-C13A791E7DCB}">
      <text>
        <t>[Threaded comment]
Your version of Excel allows you to read this threaded comment; however, any edits to it will get removed if the file is opened in a newer version of Excel. Learn more: https://go.microsoft.com/fwlink/?linkid=870924
Comment:
    not sampled, sampling crew cutting benches on 4L</t>
      </text>
    </comment>
    <comment ref="Q71" authorId="43" shapeId="0" xr:uid="{5CEA243A-1A30-419E-B479-09E77DC1C945}">
      <text>
        <t>[Threaded comment]
Your version of Excel allows you to read this threaded comment; however, any edits to it will get removed if the file is opened in a newer version of Excel. Learn more: https://go.microsoft.com/fwlink/?linkid=870924
Comment:
    not sampled, sampling crew cutting benches on 4L</t>
      </text>
    </comment>
    <comment ref="V71" authorId="44" shapeId="0" xr:uid="{9E8943F5-38CD-498E-8E13-C9A1E58E05E8}">
      <text>
        <t>[Threaded comment]
Your version of Excel allows you to read this threaded comment; however, any edits to it will get removed if the file is opened in a newer version of Excel. Learn more: https://go.microsoft.com/fwlink/?linkid=870924
Comment:
    Not sampled due to gases in cone drive</t>
      </text>
    </comment>
    <comment ref="O75" authorId="45" shapeId="0" xr:uid="{D439A6E0-AC95-48D7-8FBB-087ADC8DA259}">
      <text>
        <t xml:space="preserve">[Threaded comment]
Your version of Excel allows you to read this threaded comment; however, any edits to it will get removed if the file is opened in a newer version of Excel. Learn more: https://go.microsoft.com/fwlink/?linkid=870924
Comment:
    Slypping in the shrinkage to accomodate scrapper winch installation, ore reporting in 5W8box </t>
      </text>
    </comment>
    <comment ref="T75" authorId="46" shapeId="0" xr:uid="{40429274-A211-44C9-955F-B22BC7757561}">
      <text>
        <t>[Threaded comment]
Your version of Excel allows you to read this threaded comment; however, any edits to it will get removed if the file is opened in a newer version of Excel. Learn more: https://go.microsoft.com/fwlink/?linkid=870924
Comment:
    Slypping in the shrinkage 5W8</t>
      </text>
    </comment>
    <comment ref="U75" authorId="47" shapeId="0" xr:uid="{65DE59F8-D5E1-4F94-9008-BC522A62921A}">
      <text>
        <t>[Threaded comment]
Your version of Excel allows you to read this threaded comment; however, any edits to it will get removed if the file is opened in a newer version of Excel. Learn more: https://go.microsoft.com/fwlink/?linkid=870924
Comment:
    Slypping in the shrinkage 5W8</t>
      </text>
    </comment>
    <comment ref="V75" authorId="48" shapeId="0" xr:uid="{F7732F59-4F9D-4DE9-8B18-FC163EAA7153}">
      <text>
        <t xml:space="preserve">[Threaded comment]
Your version of Excel allows you to read this threaded comment; however, any edits to it will get removed if the file is opened in a newer version of Excel. Learn more: https://go.microsoft.com/fwlink/?linkid=870924
Comment:
    Slypping at the shrinkage Cone drve </t>
      </text>
    </comment>
    <comment ref="H78" authorId="49" shapeId="0" xr:uid="{B523D1F6-1DAB-440F-8639-E16FCC30C162}">
      <text>
        <t>[Threaded comment]
Your version of Excel allows you to read this threaded comment; however, any edits to it will get removed if the file is opened in a newer version of Excel. Learn more: https://go.microsoft.com/fwlink/?linkid=870924
Comment:
    not sampled, slypping to move out of the chlorite schist. The stope below (5W8 shrink) has a wider reef width.</t>
      </text>
    </comment>
    <comment ref="I78" authorId="50" shapeId="0" xr:uid="{4192B8D4-265E-4013-90EF-5E2E82761EBC}">
      <text>
        <t>[Threaded comment]
Your version of Excel allows you to read this threaded comment; however, any edits to it will get removed if the file is opened in a newer version of Excel. Learn more: https://go.microsoft.com/fwlink/?linkid=870924
Comment:
    not sampled, slypping northen side to pass through schist layer</t>
      </text>
    </comment>
    <comment ref="Q78" authorId="51" shapeId="0" xr:uid="{87FC11C7-1BD0-429F-B881-15C8BB64204B}">
      <text>
        <t>[Threaded comment]
Your version of Excel allows you to read this threaded comment; however, any edits to it will get removed if the file is opened in a newer version of Excel. Learn more: https://go.microsoft.com/fwlink/?linkid=870924
Comment:
    Poorly mineralized patch, to continue monitoring</t>
      </text>
    </comment>
    <comment ref="H83" authorId="52" shapeId="0" xr:uid="{0EC4459C-5CFD-4351-8892-13B84C72BEFB}">
      <text>
        <t>[Threaded comment]
Your version of Excel allows you to read this threaded comment; however, any edits to it will get removed if the file is opened in a newer version of Excel. Learn more: https://go.microsoft.com/fwlink/?linkid=870924
Comment:
    reef narrowing</t>
      </text>
    </comment>
    <comment ref="M83" authorId="53" shapeId="0" xr:uid="{621EB492-20C0-4B2C-BA8E-7C4348E5C7DA}">
      <text>
        <t>[Threaded comment]
Your version of Excel allows you to read this threaded comment; however, any edits to it will get removed if the file is opened in a newer version of Excel. Learn more: https://go.microsoft.com/fwlink/?linkid=870924
Comment:
    Bench holed, machine moved to W1</t>
      </text>
    </comment>
    <comment ref="I85" authorId="54" shapeId="0" xr:uid="{388DC3E6-9C02-4C0F-AD66-81AFB0A9B135}">
      <text>
        <t>[Threaded comment]
Your version of Excel allows you to read this threaded comment; however, any edits to it will get removed if the file is opened in a newer version of Excel. Learn more: https://go.microsoft.com/fwlink/?linkid=870924
Comment:
    bench holed, visually looks mineralised, grade to improve with new cut.</t>
      </text>
    </comment>
    <comment ref="J85" authorId="55" shapeId="0" xr:uid="{150FC431-9226-4D54-B64C-726625087F72}">
      <text>
        <t xml:space="preserve">[Threaded comment]
Your version of Excel allows you to read this threaded comment; however, any edits to it will get removed if the file is opened in a newer version of Excel. Learn more: https://go.microsoft.com/fwlink/?linkid=870924
Comment:
    Exposing the reef to start on a paying </t>
      </text>
    </comment>
    <comment ref="T90" authorId="56" shapeId="0" xr:uid="{BDC84132-2370-4BE2-87DE-9678BE93C853}">
      <text>
        <t>[Threaded comment]
Your version of Excel allows you to read this threaded comment; however, any edits to it will get removed if the file is opened in a newer version of Excel. Learn more: https://go.microsoft.com/fwlink/?linkid=870924
Comment:
    bench holed</t>
      </text>
    </comment>
    <comment ref="H92" authorId="57" shapeId="0" xr:uid="{8C03073A-7D18-476C-A16D-972808E715BE}">
      <text>
        <t>[Threaded comment]
Your version of Excel allows you to read this threaded comment; however, any edits to it will get removed if the file is opened in a newer version of Excel. Learn more: https://go.microsoft.com/fwlink/?linkid=870924
Comment:
    Visually mineralised, grade to improve</t>
      </text>
    </comment>
    <comment ref="M92" authorId="58" shapeId="0" xr:uid="{EDF5C945-FE81-49E0-98FD-ECE6E3AB7639}">
      <text>
        <t>[Threaded comment]
Your version of Excel allows you to read this threaded comment; however, any edits to it will get removed if the file is opened in a newer version of Excel. Learn more: https://go.microsoft.com/fwlink/?linkid=870924
Comment:
    Visually mineralised, grade to improve</t>
      </text>
    </comment>
    <comment ref="Q99" authorId="59" shapeId="0" xr:uid="{4E8D6F2F-1CF1-4E7B-AFC8-15547FA7716B}">
      <text>
        <t>[Threaded comment]
Your version of Excel allows you to read this threaded comment; however, any edits to it will get removed if the file is opened in a newer version of Excel. Learn more: https://go.microsoft.com/fwlink/?linkid=870924
Comment:
    Bench not sampled</t>
      </text>
    </comment>
    <comment ref="S99" authorId="60" shapeId="0" xr:uid="{28E77BAF-20FB-4BDE-A52B-76054C50ACD2}">
      <text>
        <t>[Threaded comment]
Your version of Excel allows you to read this threaded comment; however, any edits to it will get removed if the file is opened in a newer version of Excel. Learn more: https://go.microsoft.com/fwlink/?linkid=870924
Comment:
    Bench not sampled</t>
      </text>
    </comment>
    <comment ref="T99" authorId="61" shapeId="0" xr:uid="{08101209-B179-4720-B27D-DA3A9EC478A6}">
      <text>
        <t>[Threaded comment]
Your version of Excel allows you to read this threaded comment; however, any edits to it will get removed if the file is opened in a newer version of Excel. Learn more: https://go.microsoft.com/fwlink/?linkid=870924
Comment:
    Bench not sampled</t>
      </text>
    </comment>
    <comment ref="U99" authorId="62" shapeId="0" xr:uid="{AC836B49-EBEE-49B1-A003-7F1BA7135F27}">
      <text>
        <t>[Threaded comment]
Your version of Excel allows you to read this threaded comment; however, any edits to it will get removed if the file is opened in a newer version of Excel. Learn more: https://go.microsoft.com/fwlink/?linkid=870924
Comment:
    Bench visually mineralized grade to improve</t>
      </text>
    </comment>
    <comment ref="V99" authorId="63" shapeId="0" xr:uid="{EB820AF1-8E61-4F7E-935E-D6E1B59BA979}">
      <text>
        <t>[Threaded comment]
Your version of Excel allows you to read this threaded comment; however, any edits to it will get removed if the file is opened in a newer version of Excel. Learn more: https://go.microsoft.com/fwlink/?linkid=870924
Comment:
    The southern side is  weakly mineralised to mine towards the north that is well mineralised.</t>
      </text>
    </comment>
    <comment ref="H104" authorId="64" shapeId="0" xr:uid="{6CE7750C-EAE6-46C2-810D-8EC8A1EE8ECB}">
      <text>
        <t>[Threaded comment]
Your version of Excel allows you to read this threaded comment; however, any edits to it will get removed if the file is opened in a newer version of Excel. Learn more: https://go.microsoft.com/fwlink/?linkid=870924
Comment:
    limited bench space not fully exposed</t>
      </text>
    </comment>
    <comment ref="H106" authorId="65" shapeId="0" xr:uid="{DADEE809-E568-497A-8F29-5A1822DC7048}">
      <text>
        <t>[Threaded comment]
Your version of Excel allows you to read this threaded comment; however, any edits to it will get removed if the file is opened in a newer version of Excel. Learn more: https://go.microsoft.com/fwlink/?linkid=870924
Comment:
    Inclusion of chlorite schist middling</t>
      </text>
    </comment>
    <comment ref="I106" authorId="66" shapeId="0" xr:uid="{6CE90374-1088-41CA-B024-0167A8CC61DC}">
      <text>
        <t>[Threaded comment]
Your version of Excel allows you to read this threaded comment; however, any edits to it will get removed if the file is opened in a newer version of Excel. Learn more: https://go.microsoft.com/fwlink/?linkid=870924
Comment:
    Used last month average not sampled</t>
      </text>
    </comment>
    <comment ref="N106" authorId="67" shapeId="0" xr:uid="{552AE7F8-4049-4123-990E-4432BB0A6C07}">
      <text>
        <t>[Threaded comment]
Your version of Excel allows you to read this threaded comment; however, any edits to it will get removed if the file is opened in a newer version of Excel. Learn more: https://go.microsoft.com/fwlink/?linkid=870924
Comment:
    Chlorite schist - internal waste but the other portion of the shrink is well mineralised.</t>
      </text>
    </comment>
    <comment ref="O106" authorId="68" shapeId="0" xr:uid="{B2650798-0162-4BAD-AA48-A9EC4F3DA08C}">
      <text>
        <t>[Threaded comment]
Your version of Excel allows you to read this threaded comment; however, any edits to it will get removed if the file is opened in a newer version of Excel. Learn more: https://go.microsoft.com/fwlink/?linkid=870924
Comment:
    Bench not sampled</t>
      </text>
    </comment>
    <comment ref="U113" authorId="69" shapeId="0" xr:uid="{2E50B7AB-6FAB-4D88-841A-02D1CDCB7DF6}">
      <text>
        <t>[Threaded comment]
Your version of Excel allows you to read this threaded comment; however, any edits to it will get removed if the file is opened in a newer version of Excel. Learn more: https://go.microsoft.com/fwlink/?linkid=870924
Comment:
    Bench visually mineralized grade to improve</t>
      </text>
    </comment>
    <comment ref="W113" authorId="70" shapeId="0" xr:uid="{F67A4D17-2F19-45F9-8286-C972FBE63A10}">
      <text>
        <t>[Threaded comment]
Your version of Excel allows you to read this threaded comment; however, any edits to it will get removed if the file is opened in a newer version of Excel. Learn more: https://go.microsoft.com/fwlink/?linkid=870924
Comment:
    not sampled used inferred grade</t>
      </text>
    </comment>
    <comment ref="H118" authorId="71" shapeId="0" xr:uid="{F1E19ABF-30C7-431B-919E-9E79DB22374B}">
      <text>
        <t>[Threaded comment]
Your version of Excel allows you to read this threaded comment; however, any edits to it will get removed if the file is opened in a newer version of Excel. Learn more: https://go.microsoft.com/fwlink/?linkid=870924
Comment:
    stope preparation in progress</t>
      </text>
    </comment>
    <comment ref="M118" authorId="72" shapeId="0" xr:uid="{43CF0967-792F-4FF7-A924-215D5685CEF6}">
      <text>
        <t>[Threaded comment]
Your version of Excel allows you to read this threaded comment; however, any edits to it will get removed if the file is opened in a newer version of Excel. Learn more: https://go.microsoft.com/fwlink/?linkid=870924
Comment:
    stope prep, mining access bypass</t>
      </text>
    </comment>
    <comment ref="U120" authorId="73" shapeId="0" xr:uid="{B59233F0-09A3-4979-AB36-580EDB875B14}">
      <text>
        <t>[Threaded comment]
Your version of Excel allows you to read this threaded comment; however, any edits to it will get removed if the file is opened in a newer version of Excel. Learn more: https://go.microsoft.com/fwlink/?linkid=870924
Comment:
    Chlorite schist middling which is pinching as we stope downward so grade to improve.</t>
      </text>
    </comment>
    <comment ref="M124" authorId="74" shapeId="0" xr:uid="{15DDBD31-C6D2-43FC-BD98-AA0A099D1B1C}">
      <text>
        <t>[Threaded comment]
Your version of Excel allows you to read this threaded comment; however, any edits to it will get removed if the file is opened in a newer version of Excel. Learn more: https://go.microsoft.com/fwlink/?linkid=870924
Comment:
    Bench salty, temporarily stopped</t>
      </text>
    </comment>
    <comment ref="H125" authorId="75" shapeId="0" xr:uid="{A3F4D2C4-350A-436F-AE93-3C2F3CDEF7B6}">
      <text>
        <t xml:space="preserve">[Threaded comment]
Your version of Excel allows you to read this threaded comment; however, any edits to it will get removed if the file is opened in a newer version of Excel. Learn more: https://go.microsoft.com/fwlink/?linkid=870924
Comment:
    bench not exposed </t>
      </text>
    </comment>
    <comment ref="O125" authorId="76" shapeId="0" xr:uid="{0F4430B3-7E35-4DAC-B0E7-1F1C50911F8D}">
      <text>
        <t>[Threaded comment]
Your version of Excel allows you to read this threaded comment; however, any edits to it will get removed if the file is opened in a newer version of Excel. Learn more: https://go.microsoft.com/fwlink/?linkid=870924
Comment:
    low grade, controlled drawing</t>
      </text>
    </comment>
    <comment ref="P125" authorId="77" shapeId="0" xr:uid="{056B0F34-2429-4997-95A6-467239E5B413}">
      <text>
        <t>[Threaded comment]
Your version of Excel allows you to read this threaded comment; however, any edits to it will get removed if the file is opened in a newer version of Excel. Learn more: https://go.microsoft.com/fwlink/?linkid=870924
Comment:
    The machines for this stope drilled in W18 after W14 bench became sour. This tonnage is from W18</t>
      </text>
    </comment>
    <comment ref="Q125" authorId="78" shapeId="0" xr:uid="{2DB34D5F-776C-4713-86AC-AE8264E758CA}">
      <text>
        <t>[Threaded comment]
Your version of Excel allows you to read this threaded comment; however, any edits to it will get removed if the file is opened in a newer version of Excel. Learn more: https://go.microsoft.com/fwlink/?linkid=870924
Comment:
    W18C</t>
      </text>
    </comment>
    <comment ref="R125" authorId="79" shapeId="0" xr:uid="{C87AA131-A6E0-4E9E-8A79-6819F0DF474B}">
      <text>
        <t>[Threaded comment]
Your version of Excel allows you to read this threaded comment; however, any edits to it will get removed if the file is opened in a newer version of Excel. Learn more: https://go.microsoft.com/fwlink/?linkid=870924
Comment:
    W18C</t>
      </text>
    </comment>
    <comment ref="S125" authorId="80" shapeId="0" xr:uid="{B320C52F-F538-4CF7-B978-988D5491B03D}">
      <text>
        <t>[Threaded comment]
Your version of Excel allows you to read this threaded comment; however, any edits to it will get removed if the file is opened in a newer version of Excel. Learn more: https://go.microsoft.com/fwlink/?linkid=870924
Comment:
    W18A</t>
      </text>
    </comment>
    <comment ref="T125" authorId="81" shapeId="0" xr:uid="{0D89DE6D-1FB4-45DF-AE6D-0B8E11ECE418}">
      <text>
        <t>[Threaded comment]
Your version of Excel allows you to read this threaded comment; however, any edits to it will get removed if the file is opened in a newer version of Excel. Learn more: https://go.microsoft.com/fwlink/?linkid=870924
Comment:
    stope stopped due to poor grades</t>
      </text>
    </comment>
    <comment ref="I127" authorId="82" shapeId="0" xr:uid="{A63ED080-8A3C-4F17-AA2A-4AFFF3439DC1}">
      <text>
        <t xml:space="preserve">[Threaded comment]
Your version of Excel allows you to read this threaded comment; however, any edits to it will get removed if the file is opened in a newer version of Excel. Learn more: https://go.microsoft.com/fwlink/?linkid=870924
Comment:
    BIF lowly mineralised </t>
      </text>
    </comment>
    <comment ref="M132" authorId="83" shapeId="0" xr:uid="{8911347E-D375-4BB9-BE61-54A752EAEE7A}">
      <text>
        <t>[Threaded comment]
Your version of Excel allows you to read this threaded comment; however, any edits to it will get removed if the file is opened in a newer version of Excel. Learn more: https://go.microsoft.com/fwlink/?linkid=870924
Comment:
    Stope chocked due to controlled drawing to manage grade</t>
      </text>
    </comment>
    <comment ref="O132" authorId="84" shapeId="0" xr:uid="{26D888DD-4C63-48F1-8DF9-D34E55D42190}">
      <text>
        <t>[Threaded comment]
Your version of Excel allows you to read this threaded comment; however, any edits to it will get removed if the file is opened in a newer version of Excel. Learn more: https://go.microsoft.com/fwlink/?linkid=870924
Comment:
    controlled drawing and generation</t>
      </text>
    </comment>
    <comment ref="J134" authorId="85" shapeId="0" xr:uid="{A09B8ED2-A568-41CF-862A-834914B63C5E}">
      <text>
        <t>[Threaded comment]
Your version of Excel allows you to read this threaded comment; however, any edits to it will get removed if the file is opened in a newer version of Excel. Learn more: https://go.microsoft.com/fwlink/?linkid=870924
Comment:
    Grade to improve, bench width reduced to minimize dilution</t>
      </text>
    </comment>
    <comment ref="Q134" authorId="86" shapeId="0" xr:uid="{51F672A3-ABFC-4523-85BE-F972BD66F193}">
      <text>
        <t>[Threaded comment]
Your version of Excel allows you to read this threaded comment; however, any edits to it will get removed if the file is opened in a newer version of Excel. Learn more: https://go.microsoft.com/fwlink/?linkid=870924
Comment:
    Awaiting assays</t>
      </text>
    </comment>
    <comment ref="W134" authorId="87" shapeId="0" xr:uid="{48E5EA45-1D79-412F-A8C0-E568C710EE53}">
      <text>
        <t>[Threaded comment]
Your version of Excel allows you to read this threaded comment; however, any edits to it will get removed if the file is opened in a newer version of Excel. Learn more: https://go.microsoft.com/fwlink/?linkid=870924
Comment:
    slipping to limit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tc={F3A9FE62-2549-4BFB-971F-6F681568126F}</author>
    <author>tc={37ED4E1C-B545-4D56-BED0-1528FFFC4382}</author>
    <author>tc={58958E84-A937-44E4-9BE2-C39D91C57BF5}</author>
    <author>tc={CA2C78BE-83C1-4C4B-B040-7A95B2440FC9}</author>
    <author>tc={6417DCAE-B672-4004-9E86-85B067DD86B6}</author>
    <author>tc={322B2351-DA40-47F4-A00E-40EE238A1B49}</author>
  </authors>
  <commentList>
    <comment ref="H22" authorId="0" shapeId="0" xr:uid="{F3A9FE62-2549-4BFB-971F-6F681568126F}">
      <text>
        <t>[Threaded comment]
Your version of Excel allows you to read this threaded comment; however, any edits to it will get removed if the file is opened in a newer version of Excel. Learn more: https://go.microsoft.com/fwlink/?linkid=870924
Comment:
    assays pending</t>
      </text>
    </comment>
    <comment ref="Q69" authorId="1" shapeId="0" xr:uid="{37ED4E1C-B545-4D56-BED0-1528FFFC4382}">
      <text>
        <t>[Threaded comment]
Your version of Excel allows you to read this threaded comment; however, any edits to it will get removed if the file is opened in a newer version of Excel. Learn more: https://go.microsoft.com/fwlink/?linkid=870924
Comment:
    W2 shrink and scrapping</t>
      </text>
    </comment>
    <comment ref="R69" authorId="2" shapeId="0" xr:uid="{58958E84-A937-44E4-9BE2-C39D91C57BF5}">
      <text>
        <t>[Threaded comment]
Your version of Excel allows you to read this threaded comment; however, any edits to it will get removed if the file is opened in a newer version of Excel. Learn more: https://go.microsoft.com/fwlink/?linkid=870924
Comment:
    shrink and scrapping</t>
      </text>
    </comment>
    <comment ref="T76" authorId="3" shapeId="0" xr:uid="{CA2C78BE-83C1-4C4B-B040-7A95B2440FC9}">
      <text>
        <t>[Threaded comment]
Your version of Excel allows you to read this threaded comment; however, any edits to it will get removed if the file is opened in a newer version of Excel. Learn more: https://go.microsoft.com/fwlink/?linkid=870924
Comment:
    Scrapping and W2</t>
      </text>
    </comment>
    <comment ref="Q104" authorId="4" shapeId="0" xr:uid="{6417DCAE-B672-4004-9E86-85B067DD86B6}">
      <text>
        <t>[Threaded comment]
Your version of Excel allows you to read this threaded comment; however, any edits to it will get removed if the file is opened in a newer version of Excel. Learn more: https://go.microsoft.com/fwlink/?linkid=870924
Comment:
    W18A</t>
      </text>
    </comment>
    <comment ref="S111" authorId="5" shapeId="0" xr:uid="{322B2351-DA40-47F4-A00E-40EE238A1B49}">
      <text>
        <t>[Threaded comment]
Your version of Excel allows you to read this threaded comment; however, any edits to it will get removed if the file is opened in a newer version of Excel. Learn more: https://go.microsoft.com/fwlink/?linkid=870924
Comment:
    W18A</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tc={61AEECE0-4672-488D-8965-571870066D91}</author>
    <author>tc={005E481D-0BF6-4DA7-8A7D-5D34941F184B}</author>
    <author>tc={3929CFB0-92F4-43D5-ACDF-BCD09C14686A}</author>
    <author>tc={E66B8BF4-ADB3-4C34-9737-16ED2FB4E19F}</author>
    <author>tc={ACE38E28-8B4E-4352-A29F-69CC4EB2EB9B}</author>
    <author>tc={6CFC03A4-8B06-43DC-8DA1-B7F88132CE69}</author>
    <author>tc={7EFFC23B-2231-4B1A-A8CA-81848F410080}</author>
    <author>tc={9BDD722E-B386-44ED-8080-5396A919F68C}</author>
    <author>tc={C9887607-83A7-4954-86CF-24F02B92E090}</author>
    <author>tc={A20AAA2A-AB7C-4A5E-BD57-0AD23652EAB0}</author>
    <author>tc={56FA93A2-027F-4C86-9736-4DF6E6BE76E2}</author>
    <author>tc={8FE2296F-0666-4F28-8F04-DBAE03DF480A}</author>
    <author>tc={A49B014C-C63C-48AD-96FB-9CCC10BC5965}</author>
    <author>tc={0800D3B1-8976-4062-BDA3-E036B7D825D6}</author>
    <author>tc={D40EDBFC-152C-4A8F-8348-C423ED11BE12}</author>
    <author>tc={116979EF-6464-4385-90C6-779864397A5A}</author>
    <author>tc={CB2AEA70-574F-4B16-B4F7-28748F7D2829}</author>
    <author>tc={FACF230F-162D-4660-B2A5-067CE4A35DB0}</author>
    <author>tc={13C89E20-D963-457F-A49F-26183BF56081}</author>
    <author>tc={5847179F-DF19-47F3-B21E-E6376AC63A5C}</author>
    <author>tc={A6426B11-A99E-4C52-826B-18E0FCDC70ED}</author>
    <author>tc={C117AC6B-698E-40EF-9ACD-320DE41BB989}</author>
    <author>tc={414D96D4-200F-479F-BD65-6C0E094C8A97}</author>
    <author>tc={553F6F64-BF4E-43CF-8AF7-EE8E3E23B7F3}</author>
    <author>tc={85CDF03F-CB04-49C5-AA74-6304E1A6CA38}</author>
    <author>tc={9658B460-90D0-41AE-A0A3-911070F5A3F7}</author>
    <author>tc={7C8BE5E7-0B3E-43F9-8D22-115391DB5718}</author>
    <author>tc={F0A7207B-A281-42BE-8BCE-4006D3B6DAA1}</author>
    <author>tc={56369058-12FB-41D3-A88A-D8399976F5B3}</author>
    <author>tc={DBB13F9A-1863-447C-B16E-F0327D4D98E0}</author>
    <author>tc={C76F24F0-797C-43FC-8AC8-4163355BFD89}</author>
    <author>tc={F763B062-72CF-41D0-9CB9-F883DF291DE5}</author>
    <author>tc={BC5F88B2-BB73-471B-889E-AC9D9C7EED81}</author>
    <author>tc={28F54742-5E9C-4C45-B537-54AA0C384033}</author>
    <author>tc={24F4663C-7EE3-477C-B309-835543B742CB}</author>
    <author>tc={82F963A0-0404-4E6A-B716-D820B9C35E03}</author>
    <author>tc={452333A8-7BE0-42B0-982B-2A20E4B534FF}</author>
    <author>tc={8B67CE0E-552A-4003-B3BB-55356CD8B91F}</author>
    <author>tc={C31DC9F1-BCE2-48FE-BA06-E8BD3828A4A2}</author>
    <author>tc={33967F55-A069-491B-ABA1-6E663D8D2771}</author>
    <author>tc={02A33817-BDD6-4FFD-9048-A006ECDB213B}</author>
    <author>tc={A2668570-DB31-464F-8AC8-FBE7522EDEC3}</author>
    <author>tc={7F99AD0D-BC8B-480D-9743-3C8EC79F52A5}</author>
    <author>tc={BAC72BBE-E057-478C-9842-28089AADA419}</author>
    <author>tc={46124733-4125-4D49-A9D8-7BFC3E1D1708}</author>
    <author>tc={63CC4FBA-9ADB-4434-98CB-902B63811386}</author>
    <author>tc={A08F40EB-BC80-4AA6-8E23-22B8613F19D0}</author>
    <author>tc={F109C960-DF2D-450C-84EE-26DD9CA12CA6}</author>
    <author>tc={23F55C1A-2CDD-4F16-8ADB-8BF65353B979}</author>
    <author>tc={F1265FA5-976C-47E5-BCAC-3CF3636B4A51}</author>
    <author>tc={C521F337-A5DF-4DE1-9719-45C1FD2D963C}</author>
    <author>tc={933ECD92-F7F5-4026-953D-531A29DBB5B0}</author>
    <author>tc={E8E29D39-752F-42E6-B15A-3286796E4983}</author>
    <author>tc={D5EDBD88-64B9-4DCC-892C-A6AADBC486AD}</author>
    <author>tc={11A68E77-E925-437F-902E-51525E86272E}</author>
    <author>tc={615E91BF-565B-4F27-A934-FD18C226446C}</author>
    <author>tc={DF2E75D8-A032-4BCB-97D6-2B5AF175B2F7}</author>
    <author>tc={3C7F6DFB-6342-48E4-B5CC-F323467473A6}</author>
    <author>tc={004F983F-D69E-42C3-B700-B505BA02AF01}</author>
    <author>tc={E3DB46F4-95C7-4363-BC87-4B8F7A62B34F}</author>
    <author>tc={058D45C9-626C-4B75-81AD-8EF0ABB3A209}</author>
    <author>tc={F23E1440-AF4C-4945-9F09-5248A2C0B82B}</author>
    <author>tc={F6EB457B-431B-4C4D-A00C-F1B178FDD9D1}</author>
    <author>tc={07E56C41-FBA7-4D93-B17D-5635CC1BD9A7}</author>
    <author>tc={C215BC46-1135-46BE-9E49-E7F19282C31D}</author>
    <author>tc={2BA514A6-EB69-493C-B3D9-38B705794E9E}</author>
    <author>tc={923296EC-B360-4878-A959-01897E2AB394}</author>
    <author>tc={28B8DB3A-6945-4A3D-9E1B-1AF1DBA3BC51}</author>
    <author>tc={7044D689-6DAB-46DE-A1E3-371871F91C92}</author>
    <author>tc={296B6A7F-AB9D-40EC-88F2-D713ACF8C118}</author>
    <author>tc={A6B5CE4D-2317-4F20-8492-AF6972305053}</author>
    <author>tc={ADBFD874-1BDA-4D18-951F-6AD8418C3636}</author>
    <author>tc={2BC415F0-30AB-4E59-8B87-A18787B127AF}</author>
    <author>tc={FC95150A-5F50-4B99-A9FD-D29CD93DA401}</author>
    <author>tc={D67B1C42-905F-43B7-AFFC-425D88E18120}</author>
    <author>tc={C4AAC7EC-B94B-4CE6-BC99-5F996D7FE263}</author>
    <author>tc={7ACA4066-2720-48FC-8C8D-BFCBA3EB09AA}</author>
    <author>tc={993F88CC-2EBD-4883-8420-4C2FDE3811FC}</author>
    <author>tc={9C70BB3B-A756-47E6-9FD6-968A20EA01E3}</author>
    <author>tc={86CCFE91-3E48-4CC7-9AA0-C26A9040D97A}</author>
    <author>tc={048817BF-D927-46FC-B487-BFC68EBFB11C}</author>
    <author>tc={6905A5F5-4AA9-4549-8D10-9D6337799042}</author>
    <author>tc={F6BFFDCD-0CD4-4581-B967-4FB92F72CB11}</author>
    <author>tc={11404E35-9F1D-449D-A227-92AE843D7FE3}</author>
    <author>tc={3EFFC4ED-77D5-455B-ADF8-17ED0C44ADFE}</author>
    <author>tc={DF8791E8-6C90-4D3C-A6B6-0BED36BE799C}</author>
    <author>tc={00E81A8A-7E29-4CCE-8332-AB781D97A5DA}</author>
    <author>tc={3B8835CE-1B8D-49D0-8F72-4FFE7B32E650}</author>
    <author>tc={F7C52F3A-EC3B-453A-ADE0-EBC849E89684}</author>
    <author>tc={4B34B83F-B5F2-4DD2-9305-63F46B16FA6F}</author>
    <author>tc={CA9846E2-0156-4477-B931-7933699E5878}</author>
    <author>tc={3367C898-EB6A-4767-AF1B-D791A65507DD}</author>
    <author>tc={EFE83A6E-6158-4A07-8F46-C6EAB3375E26}</author>
    <author>tc={F5F19F60-3FD3-487A-B397-6AC21C30E22B}</author>
    <author>tc={87F3F567-3E3F-4DD4-8A42-74BF82380BA4}</author>
    <author>tc={D4C34527-D7C9-4477-944D-1AF897F9CF9E}</author>
    <author>tc={AB33B777-AAB4-4FF0-AFE0-963E23D4AF5B}</author>
    <author>tc={8DE16565-80C3-4388-B251-FD8A9C44D05E}</author>
    <author>tc={02C4377F-C7E4-40B6-BFD7-D0DDFBA16F58}</author>
    <author>tc={649D8C2C-FDB7-4919-A43B-6B1EEFA78CA7}</author>
    <author>tc={532DCE12-CB33-485E-87A9-7DEF4A0AAF47}</author>
    <author>tc={84E14167-5ED2-41DF-8066-B534A67A0D30}</author>
    <author>tc={54085427-A499-42CC-81C8-0BAC54DE8DD3}</author>
    <author>tc={D3E3D08A-3FDB-404B-AC22-017FDD9C5425}</author>
    <author>tc={A457E613-B1AB-4529-94A8-4578152BEFFF}</author>
    <author>tc={44164C5A-6BB0-40BD-83BF-FC096A3D35B2}</author>
    <author>tc={8857BD5D-09F5-4D7A-9C53-A3307BE46992}</author>
    <author>tc={804D7B16-C7A9-42EA-ABF8-05C57EDC7C43}</author>
    <author>tc={3E26673C-1535-4B6E-ADCB-592EA0E3126F}</author>
    <author>tc={4F59EEDD-CE7E-4F8D-A65B-8D443297ABE8}</author>
    <author>tc={F781CDF4-E8AB-4493-A173-162E721339D2}</author>
    <author>tc={00BC6F33-4754-4B0C-A848-1BD85D2B108A}</author>
    <author>tc={43E15CA3-1029-4E4F-A33E-72E5C6E88674}</author>
    <author>tc={55FF44BB-FEB9-44FD-BE58-B87B949529FB}</author>
    <author>tc={BE62CA4B-FD48-4EB8-B63A-DF1F51DBE66F}</author>
    <author>tc={6BB2945E-01F9-49D7-914E-1E86BBF0ABDD}</author>
    <author>tc={3F8003DE-C14A-4496-A443-26CB3138D7F6}</author>
    <author>tc={D1FC3CCD-087B-48B5-8BDD-CE2FF418C157}</author>
  </authors>
  <commentList>
    <comment ref="W11" authorId="0" shapeId="0" xr:uid="{61AEECE0-4672-488D-8965-571870066D91}">
      <text>
        <t>[Threaded comment]
Your version of Excel allows you to read this threaded comment; however, any edits to it will get removed if the file is opened in a newer version of Excel. Learn more: https://go.microsoft.com/fwlink/?linkid=870924
Comment:
    Pipe Burst at Burnett shaft below 5 level from 09:45 to 13:20 affecting drilling. (3.91hrs DT)</t>
      </text>
    </comment>
    <comment ref="V13" authorId="1" shapeId="0" xr:uid="{005E481D-0BF6-4DA7-8A7D-5D34941F184B}">
      <text>
        <t>[Threaded comment]
Your version of Excel allows you to read this threaded comment; however, any edits to it will get removed if the file is opened in a newer version of Excel. Learn more: https://go.microsoft.com/fwlink/?linkid=870924
Comment:
    Grade inferred from the previous day ,, Samplers off duty.</t>
      </text>
    </comment>
    <comment ref="AJ13" authorId="2" shapeId="0" xr:uid="{3929CFB0-92F4-43D5-ACDF-BCD09C14686A}">
      <text>
        <t>[Threaded comment]
Your version of Excel allows you to read this threaded comment; however, any edits to it will get removed if the file is opened in a newer version of Excel. Learn more: https://go.microsoft.com/fwlink/?linkid=870924
Comment:
    Grades inferred from the previous day , Samplers off duty .</t>
      </text>
    </comment>
    <comment ref="J22" authorId="3" shapeId="0" xr:uid="{E66B8BF4-ADB3-4C34-9737-16ED2FB4E19F}">
      <text>
        <t>[Threaded comment]
Your version of Excel allows you to read this threaded comment; however, any edits to it will get removed if the file is opened in a newer version of Excel. Learn more: https://go.microsoft.com/fwlink/?linkid=870924
Comment:
    Started new cut on the Southern most limb of the bench, grade to improve with depth.</t>
      </text>
    </comment>
    <comment ref="O22" authorId="4" shapeId="0" xr:uid="{ACE38E28-8B4E-4352-A29F-69CC4EB2EB9B}">
      <text>
        <t>[Threaded comment]
Your version of Excel allows you to read this threaded comment; however, any edits to it will get removed if the file is opened in a newer version of Excel. Learn more: https://go.microsoft.com/fwlink/?linkid=870924
Comment:
    mined a poorly mineralised zone for ground control.</t>
      </text>
    </comment>
    <comment ref="P22" authorId="5" shapeId="0" xr:uid="{6CFC03A4-8B06-43DC-8DA1-B7F88132CE69}">
      <text>
        <t>[Threaded comment]
Your version of Excel allows you to read this threaded comment; however, any edits to it will get removed if the file is opened in a newer version of Excel. Learn more: https://go.microsoft.com/fwlink/?linkid=870924
Comment:
    Bench visually mineralized, grade to improve.</t>
      </text>
    </comment>
    <comment ref="R22" authorId="6" shapeId="0" xr:uid="{7EFFC23B-2231-4B1A-A8CA-81848F410080}">
      <text>
        <t>[Threaded comment]
Your version of Excel allows you to read this threaded comment; however, any edits to it will get removed if the file is opened in a newer version of Excel. Learn more: https://go.microsoft.com/fwlink/?linkid=870924
Comment:
    Awaiting assays</t>
      </text>
    </comment>
    <comment ref="T22" authorId="7" shapeId="0" xr:uid="{9BDD722E-B386-44ED-8080-5396A919F68C}">
      <text>
        <t>[Threaded comment]
Your version of Excel allows you to read this threaded comment; however, any edits to it will get removed if the file is opened in a newer version of Excel. Learn more: https://go.microsoft.com/fwlink/?linkid=870924
Comment:
    Bench  visually looks good, grade to improve</t>
      </text>
    </comment>
    <comment ref="W22" authorId="8" shapeId="0" xr:uid="{C9887607-83A7-4954-86CF-24F02B92E090}">
      <text>
        <t>[Threaded comment]
Your version of Excel allows you to read this threaded comment; however, any edits to it will get removed if the file is opened in a newer version of Excel. Learn more: https://go.microsoft.com/fwlink/?linkid=870924
Comment:
    Poorly mineralized BIF</t>
      </text>
    </comment>
    <comment ref="X22" authorId="9" shapeId="0" xr:uid="{A20AAA2A-AB7C-4A5E-BD57-0AD23652EAB0}">
      <text>
        <t xml:space="preserve">[Threaded comment]
Your version of Excel allows you to read this threaded comment; however, any edits to it will get removed if the file is opened in a newer version of Excel. Learn more: https://go.microsoft.com/fwlink/?linkid=870924
Comment:
    Awaiting assays - poorly mineralized BIF.
</t>
      </text>
    </comment>
    <comment ref="AF22" authorId="10" shapeId="0" xr:uid="{56FA93A2-027F-4C86-9736-4DF6E6BE76E2}">
      <text>
        <t>[Threaded comment]
Your version of Excel allows you to read this threaded comment; however, any edits to it will get removed if the file is opened in a newer version of Excel. Learn more: https://go.microsoft.com/fwlink/?linkid=870924
Comment:
    Bench holed today, started a new cut , grade to improve.</t>
      </text>
    </comment>
    <comment ref="Q33" authorId="11" shapeId="0" xr:uid="{8FE2296F-0666-4F28-8F04-DBAE03DF480A}">
      <text>
        <t>[Threaded comment]
Your version of Excel allows you to read this threaded comment; however, any edits to it will get removed if the file is opened in a newer version of Excel. Learn more: https://go.microsoft.com/fwlink/?linkid=870924
Comment:
    incomplete bench lashing affecting drilling.</t>
      </text>
    </comment>
    <comment ref="J36" authorId="12" shapeId="0" xr:uid="{A49B014C-C63C-48AD-96FB-9CCC10BC5965}">
      <text>
        <t>[Threaded comment]
Your version of Excel allows you to read this threaded comment; however, any edits to it will get removed if the file is opened in a newer version of Excel. Learn more: https://go.microsoft.com/fwlink/?linkid=870924
Comment:
    Reef displaced by folded schist, taking whole bench to avoid undercutting hanging-wall</t>
      </text>
    </comment>
    <comment ref="M36" authorId="13" shapeId="0" xr:uid="{0800D3B1-8976-4062-BDA3-E036B7D825D6}">
      <text>
        <t>[Threaded comment]
Your version of Excel allows you to read this threaded comment; however, any edits to it will get removed if the file is opened in a newer version of Excel. Learn more: https://go.microsoft.com/fwlink/?linkid=870924
Comment:
    internal dilution by a limonitic BIF.</t>
      </text>
    </comment>
    <comment ref="W36" authorId="14" shapeId="0" xr:uid="{D40EDBFC-152C-4A8F-8348-C423ED11BE12}">
      <text>
        <t>[Threaded comment]
Your version of Excel allows you to read this threaded comment; however, any edits to it will get removed if the file is opened in a newer version of Excel. Learn more: https://go.microsoft.com/fwlink/?linkid=870924
Comment:
    Limonitic interlayering, bench to be continuously monitored.</t>
      </text>
    </comment>
    <comment ref="X36" authorId="15" shapeId="0" xr:uid="{116979EF-6464-4385-90C6-779864397A5A}">
      <text>
        <t>[Threaded comment]
Your version of Excel allows you to read this threaded comment; however, any edits to it will get removed if the file is opened in a newer version of Excel. Learn more: https://go.microsoft.com/fwlink/?linkid=870924
Comment:
    Poorly mineralized BIF grade to improve.</t>
      </text>
    </comment>
    <comment ref="AE36" authorId="16" shapeId="0" xr:uid="{CB2AEA70-574F-4B16-B4F7-28748F7D2829}">
      <text>
        <t>[Threaded comment]
Your version of Excel allows you to read this threaded comment; however, any edits to it will get removed if the file is opened in a newer version of Excel. Learn more: https://go.microsoft.com/fwlink/?linkid=870924
Comment:
    awaiting assay results, grade inferred</t>
      </text>
    </comment>
    <comment ref="AG36" authorId="17" shapeId="0" xr:uid="{FACF230F-162D-4660-B2A5-067CE4A35DB0}">
      <text>
        <t xml:space="preserve">[Threaded comment]
Your version of Excel allows you to read this threaded comment; however, any edits to it will get removed if the file is opened in a newer version of Excel. Learn more: https://go.microsoft.com/fwlink/?linkid=870924
Comment:
    Poorly mineralized BIF.
</t>
      </text>
    </comment>
    <comment ref="H43" authorId="18" shapeId="0" xr:uid="{13C89E20-D963-457F-A49F-26183BF56081}">
      <text>
        <t>[Threaded comment]
Your version of Excel allows you to read this threaded comment; however, any edits to it will get removed if the file is opened in a newer version of Excel. Learn more: https://go.microsoft.com/fwlink/?linkid=870924
Comment:
    Internal low grade BIF zone interlayered between reef, continuous monitoring</t>
      </text>
    </comment>
    <comment ref="M43" authorId="19" shapeId="0" xr:uid="{5847179F-DF19-47F3-B21E-E6376AC63A5C}">
      <text>
        <t>[Threaded comment]
Your version of Excel allows you to read this threaded comment; however, any edits to it will get removed if the file is opened in a newer version of Excel. Learn more: https://go.microsoft.com/fwlink/?linkid=870924
Comment:
    reef pinching eastwards, taking last cut</t>
      </text>
    </comment>
    <comment ref="N43" authorId="20" shapeId="0" xr:uid="{A6426B11-A99E-4C52-826B-18E0FCDC70ED}">
      <text>
        <t>[Threaded comment]
Your version of Excel allows you to read this threaded comment; however, any edits to it will get removed if the file is opened in a newer version of Excel. Learn more: https://go.microsoft.com/fwlink/?linkid=870924
Comment:
    bench visually looks fairly good, continuous monitoring</t>
      </text>
    </comment>
    <comment ref="P43" authorId="21" shapeId="0" xr:uid="{C117AC6B-698E-40EF-9ACD-320DE41BB989}">
      <text>
        <t>[Threaded comment]
Your version of Excel allows you to read this threaded comment; however, any edits to it will get removed if the file is opened in a newer version of Excel. Learn more: https://go.microsoft.com/fwlink/?linkid=870924
Comment:
    dilution from internal poorly mineralised limonitic BIF</t>
      </text>
    </comment>
    <comment ref="Q43" authorId="22" shapeId="0" xr:uid="{414D96D4-200F-479F-BD65-6C0E094C8A97}">
      <text>
        <t>[Threaded comment]
Your version of Excel allows you to read this threaded comment; however, any edits to it will get removed if the file is opened in a newer version of Excel. Learn more: https://go.microsoft.com/fwlink/?linkid=870924
Comment:
    slyping on the Eastern side where reef is wider, grade to improve</t>
      </text>
    </comment>
    <comment ref="R43" authorId="23" shapeId="0" xr:uid="{553F6F64-BF4E-43CF-8AF7-EE8E3E23B7F3}">
      <text>
        <t>[Threaded comment]
Your version of Excel allows you to read this threaded comment; however, any edits to it will get removed if the file is opened in a newer version of Excel. Learn more: https://go.microsoft.com/fwlink/?linkid=870924
Comment:
    bench grade affected by reef thinning due to schist folding into southern direction.</t>
      </text>
    </comment>
    <comment ref="W43" authorId="24" shapeId="0" xr:uid="{85CDF03F-CB04-49C5-AA74-6304E1A6CA38}">
      <text>
        <t xml:space="preserve">[Threaded comment]
Your version of Excel allows you to read this threaded comment; however, any edits to it will get removed if the file is opened in a newer version of Excel. Learn more: https://go.microsoft.com/fwlink/?linkid=870924
Comment:
    reef visually looks good, continuous monitoring </t>
      </text>
    </comment>
    <comment ref="X43" authorId="25" shapeId="0" xr:uid="{9658B460-90D0-41AE-A0A3-911070F5A3F7}">
      <text>
        <t>[Threaded comment]
Your version of Excel allows you to read this threaded comment; however, any edits to it will get removed if the file is opened in a newer version of Excel. Learn more: https://go.microsoft.com/fwlink/?linkid=870924
Comment:
    Mined the northern contact sidewall to avoid self scaling</t>
      </text>
    </comment>
    <comment ref="AC43" authorId="26" shapeId="0" xr:uid="{7C8BE5E7-0B3E-43F9-8D22-115391DB5718}">
      <text>
        <t>[Threaded comment]
Your version of Excel allows you to read this threaded comment; however, any edits to it will get removed if the file is opened in a newer version of Excel. Learn more: https://go.microsoft.com/fwlink/?linkid=870924
Comment:
    creating running angle for stope above, BIF/Schist intercalations on northen side</t>
      </text>
    </comment>
    <comment ref="AF43" authorId="27" shapeId="0" xr:uid="{F0A7207B-A281-42BE-8BCE-4006D3B6DAA1}">
      <text>
        <t>[Threaded comment]
Your version of Excel allows you to read this threaded comment; however, any edits to it will get removed if the file is opened in a newer version of Excel. Learn more: https://go.microsoft.com/fwlink/?linkid=870924
Comment:
    awaiting assays, grade inferred</t>
      </text>
    </comment>
    <comment ref="AG43" authorId="28" shapeId="0" xr:uid="{56369058-12FB-41D3-A88A-D8399976F5B3}">
      <text>
        <t xml:space="preserve">[Threaded comment]
Your version of Excel allows you to read this threaded comment; however, any edits to it will get removed if the file is opened in a newer version of Excel. Learn more: https://go.microsoft.com/fwlink/?linkid=870924
Comment:
    Creating running angle for stope above, BIF/Schist intercalations on Northern side
</t>
      </text>
    </comment>
    <comment ref="AI43" authorId="29" shapeId="0" xr:uid="{DBB13F9A-1863-447C-B16E-F0327D4D98E0}">
      <text>
        <t xml:space="preserve">[Threaded comment]
Your version of Excel allows you to read this threaded comment; however, any edits to it will get removed if the file is opened in a newer version of Excel. Learn more: https://go.microsoft.com/fwlink/?linkid=870924
Comment:
    Creating running angle for stope above, BIF/Schist intercalations </t>
      </text>
    </comment>
    <comment ref="AH48" authorId="30" shapeId="0" xr:uid="{C76F24F0-797C-43FC-8AC8-4163355BFD89}">
      <text>
        <t>[Threaded comment]
Your version of Excel allows you to read this threaded comment; however, any edits to it will get removed if the file is opened in a newer version of Excel. Learn more: https://go.microsoft.com/fwlink/?linkid=870924
Comment:
    2LW23</t>
      </text>
    </comment>
    <comment ref="I50" authorId="31" shapeId="0" xr:uid="{F763B062-72CF-41D0-9CB9-F883DF291DE5}">
      <text>
        <t>[Threaded comment]
Your version of Excel allows you to read this threaded comment; however, any edits to it will get removed if the file is opened in a newer version of Excel. Learn more: https://go.microsoft.com/fwlink/?linkid=870924
Comment:
    Poorly mineralised interlayered BIF formation, mining for running angle</t>
      </text>
    </comment>
    <comment ref="K50" authorId="32" shapeId="0" xr:uid="{BC5F88B2-BB73-471B-889E-AC9D9C7EED81}">
      <text>
        <t>[Threaded comment]
Your version of Excel allows you to read this threaded comment; however, any edits to it will get removed if the file is opened in a newer version of Excel. Learn more: https://go.microsoft.com/fwlink/?linkid=870924
Comment:
    Creating running angle for eastward extension of benches above.</t>
      </text>
    </comment>
    <comment ref="N50" authorId="33" shapeId="0" xr:uid="{28F54742-5E9C-4C45-B537-54AA0C384033}">
      <text>
        <t>[Threaded comment]
Your version of Excel allows you to read this threaded comment; however, any edits to it will get removed if the file is opened in a newer version of Excel. Learn more: https://go.microsoft.com/fwlink/?linkid=870924
Comment:
    alternating layers of limonitic and magnetic BIF.</t>
      </text>
    </comment>
    <comment ref="P50" authorId="34" shapeId="0" xr:uid="{24F4663C-7EE3-477C-B309-835543B742CB}">
      <text>
        <t xml:space="preserve">[Threaded comment]
Your version of Excel allows you to read this threaded comment; however, any edits to it will get removed if the file is opened in a newer version of Excel. Learn more: https://go.microsoft.com/fwlink/?linkid=870924
Comment:
    limonitic BIF middling going East, slypping stopped </t>
      </text>
    </comment>
    <comment ref="Q50" authorId="35" shapeId="0" xr:uid="{82F963A0-0404-4E6A-B716-D820B9C35E03}">
      <text>
        <t>[Threaded comment]
Your version of Excel allows you to read this threaded comment; however, any edits to it will get removed if the file is opened in a newer version of Excel. Learn more: https://go.microsoft.com/fwlink/?linkid=870924
Comment:
    slypping stopped, benching last cut, one machine moved to 3W23B</t>
      </text>
    </comment>
    <comment ref="R50" authorId="36" shapeId="0" xr:uid="{452333A8-7BE0-42B0-982B-2A20E4B534FF}">
      <text>
        <t>[Threaded comment]
Your version of Excel allows you to read this threaded comment; however, any edits to it will get removed if the file is opened in a newer version of Excel. Learn more: https://go.microsoft.com/fwlink/?linkid=870924
Comment:
    slypping stopped, benching last cut, one machine moved to 3W23B</t>
      </text>
    </comment>
    <comment ref="AA50" authorId="37" shapeId="0" xr:uid="{8B67CE0E-552A-4003-B3BB-55356CD8B91F}">
      <text>
        <t>[Threaded comment]
Your version of Excel allows you to read this threaded comment; however, any edits to it will get removed if the file is opened in a newer version of Excel. Learn more: https://go.microsoft.com/fwlink/?linkid=870924
Comment:
    Bench moderately mineralised grade to improve.</t>
      </text>
    </comment>
    <comment ref="AC50" authorId="38" shapeId="0" xr:uid="{C31DC9F1-BCE2-48FE-BA06-E8BD3828A4A2}">
      <text>
        <t>[Threaded comment]
Your version of Excel allows you to read this threaded comment; however, any edits to it will get removed if the file is opened in a newer version of Excel. Learn more: https://go.microsoft.com/fwlink/?linkid=870924
Comment:
    irregular mineralisation pattern, limonitic zones affecting bench grade</t>
      </text>
    </comment>
    <comment ref="AG50" authorId="39" shapeId="0" xr:uid="{33967F55-A069-491B-ABA1-6E663D8D2771}">
      <text>
        <t>[Threaded comment]
Your version of Excel allows you to read this threaded comment; however, any edits to it will get removed if the file is opened in a newer version of Excel. Learn more: https://go.microsoft.com/fwlink/?linkid=870924
Comment:
    Limonitic zones intercalations within bench affecting grade.</t>
      </text>
    </comment>
    <comment ref="N54" authorId="40" shapeId="0" xr:uid="{02A33817-BDD6-4FFD-9048-A006ECDB213B}">
      <text>
        <t xml:space="preserve">[Threaded comment]
Your version of Excel allows you to read this threaded comment; however, any edits to it will get removed if the file is opened in a newer version of Excel. Learn more: https://go.microsoft.com/fwlink/?linkid=870924
Comment:
    Bench holed, preparation for the next cut ongoing </t>
      </text>
    </comment>
    <comment ref="O54" authorId="41" shapeId="0" xr:uid="{A2668570-DB31-464F-8AC8-FBE7522EDEC3}">
      <text>
        <t xml:space="preserve">[Threaded comment]
Your version of Excel allows you to read this threaded comment; however, any edits to it will get removed if the file is opened in a newer version of Excel. Learn more: https://go.microsoft.com/fwlink/?linkid=870924
Comment:
    Bench holed, preparation for the next cut ongoing </t>
      </text>
    </comment>
    <comment ref="I57" authorId="42" shapeId="0" xr:uid="{7F99AD0D-BC8B-480D-9743-3C8EC79F52A5}">
      <text>
        <t>[Threaded comment]
Your version of Excel allows you to read this threaded comment; however, any edits to it will get removed if the file is opened in a newer version of Excel. Learn more: https://go.microsoft.com/fwlink/?linkid=870924
Comment:
    Schist layer cutting across mineralised zone</t>
      </text>
    </comment>
    <comment ref="J57" authorId="43" shapeId="0" xr:uid="{BAC72BBE-E057-478C-9842-28089AADA419}">
      <text>
        <t>[Threaded comment]
Your version of Excel allows you to read this threaded comment; however, any edits to it will get removed if the file is opened in a newer version of Excel. Learn more: https://go.microsoft.com/fwlink/?linkid=870924
Comment:
    reef displaced southwards by folded schist, benching for holing.</t>
      </text>
    </comment>
    <comment ref="M57" authorId="44" shapeId="0" xr:uid="{46124733-4125-4D49-A9D8-7BFC3E1D1708}">
      <text>
        <t>[Threaded comment]
Your version of Excel allows you to read this threaded comment; however, any edits to it will get removed if the file is opened in a newer version of Excel. Learn more: https://go.microsoft.com/fwlink/?linkid=870924
Comment:
    new cut taken, grade to improve with depth (at 2m)</t>
      </text>
    </comment>
    <comment ref="N57" authorId="45" shapeId="0" xr:uid="{63CC4FBA-9ADB-4434-98CB-902B63811386}">
      <text>
        <t>[Threaded comment]
Your version of Excel allows you to read this threaded comment; however, any edits to it will get removed if the file is opened in a newer version of Excel. Learn more: https://go.microsoft.com/fwlink/?linkid=870924
Comment:
    grade to improve with depth</t>
      </text>
    </comment>
    <comment ref="R57" authorId="46" shapeId="0" xr:uid="{A08F40EB-BC80-4AA6-8E23-22B8613F19D0}">
      <text>
        <t>[Threaded comment]
Your version of Excel allows you to read this threaded comment; however, any edits to it will get removed if the file is opened in a newer version of Excel. Learn more: https://go.microsoft.com/fwlink/?linkid=870924
Comment:
    one machine benched on the western side to expose pay-zone</t>
      </text>
    </comment>
    <comment ref="AA57" authorId="47" shapeId="0" xr:uid="{F109C960-DF2D-450C-84EE-26DD9CA12CA6}">
      <text>
        <t>[Threaded comment]
Your version of Excel allows you to read this threaded comment; however, any edits to it will get removed if the file is opened in a newer version of Excel. Learn more: https://go.microsoft.com/fwlink/?linkid=870924
Comment:
    To stop mining the west bench and open up the northern part of the stope in the western side .</t>
      </text>
    </comment>
    <comment ref="AG57" authorId="48" shapeId="0" xr:uid="{23F55C1A-2CDD-4F16-8ADB-8BF65353B979}">
      <text>
        <t>[Threaded comment]
Your version of Excel allows you to read this threaded comment; however, any edits to it will get removed if the file is opened in a newer version of Excel. Learn more: https://go.microsoft.com/fwlink/?linkid=870924
Comment:
    Bench holed, starting new cut Eastwards.</t>
      </text>
    </comment>
    <comment ref="O68" authorId="49" shapeId="0" xr:uid="{F1265FA5-976C-47E5-BCAC-3CF3636B4A51}">
      <text>
        <t>[Threaded comment]
Your version of Excel allows you to read this threaded comment; however, any edits to it will get removed if the file is opened in a newer version of Excel. Learn more: https://go.microsoft.com/fwlink/?linkid=870924
Comment:
    Raise to hole 11/06/25 for production to start benching</t>
      </text>
    </comment>
    <comment ref="P68" authorId="50" shapeId="0" xr:uid="{C521F337-A5DF-4DE1-9719-45C1FD2D963C}">
      <text>
        <t>[Threaded comment]
Your version of Excel allows you to read this threaded comment; however, any edits to it will get removed if the file is opened in a newer version of Excel. Learn more: https://go.microsoft.com/fwlink/?linkid=870924
Comment:
    Raise to hole 11/06/25 for production to start benching</t>
      </text>
    </comment>
    <comment ref="R68" authorId="51" shapeId="0" xr:uid="{933ECD92-F7F5-4026-953D-531A29DBB5B0}">
      <text>
        <t xml:space="preserve">[Threaded comment]
Your version of Excel allows you to read this threaded comment; however, any edits to it will get removed if the file is opened in a newer version of Excel. Learn more: https://go.microsoft.com/fwlink/?linkid=870924
Comment:
    Pre-drilled holes not blasted due to the 5 level accident. </t>
      </text>
    </comment>
    <comment ref="X68" authorId="52" shapeId="0" xr:uid="{E8E29D39-752F-42E6-B15A-3286796E4983}">
      <text>
        <t xml:space="preserve">[Threaded comment]
Your version of Excel allows you to read this threaded comment; however, any edits to it will get removed if the file is opened in a newer version of Excel. Learn more: https://go.microsoft.com/fwlink/?linkid=870924
Comment:
    No drilling space due to incomplete lashing. Box drawing throttled due to low values </t>
      </text>
    </comment>
    <comment ref="Y68" authorId="53" shapeId="0" xr:uid="{D5EDBD88-64B9-4DCC-892C-A6AADBC486AD}">
      <text>
        <t xml:space="preserve">[Threaded comment]
Your version of Excel allows you to read this threaded comment; however, any edits to it will get removed if the file is opened in a newer version of Excel. Learn more: https://go.microsoft.com/fwlink/?linkid=870924
Comment:
    No drilling space due to incomplete lashing. Box drawing throttled due to low values </t>
      </text>
    </comment>
    <comment ref="AB68" authorId="54" shapeId="0" xr:uid="{11A68E77-E925-437F-902E-51525E86272E}">
      <text>
        <t xml:space="preserve">[Threaded comment]
Your version of Excel allows you to read this threaded comment; however, any edits to it will get removed if the file is opened in a newer version of Excel. Learn more: https://go.microsoft.com/fwlink/?linkid=870924
Comment:
    No drilling space due to incomplete lashing. Box drawing throttled due to low values </t>
      </text>
    </comment>
    <comment ref="W71" authorId="55" shapeId="0" xr:uid="{615E91BF-565B-4F27-A934-FD18C226446C}">
      <text>
        <t>[Threaded comment]
Your version of Excel allows you to read this threaded comment; however, any edits to it will get removed if the file is opened in a newer version of Excel. Learn more: https://go.microsoft.com/fwlink/?linkid=870924
Comment:
    slypping for conning in poorly mineralised BIF/Schist interlayered zone, slypping to continue for running angle.</t>
      </text>
    </comment>
    <comment ref="AA71" authorId="56" shapeId="0" xr:uid="{DF2E75D8-A032-4BCB-97D6-2B5AF175B2F7}">
      <text>
        <t>[Threaded comment]
Your version of Excel allows you to read this threaded comment; however, any edits to it will get removed if the file is opened in a newer version of Excel. Learn more: https://go.microsoft.com/fwlink/?linkid=870924
Comment:
    Coning still in low grade and waste to create running angle.</t>
      </text>
    </comment>
    <comment ref="AC71" authorId="57" shapeId="0" xr:uid="{3C7F6DFB-6342-48E4-B5CC-F323467473A6}">
      <text>
        <t>[Threaded comment]
Your version of Excel allows you to read this threaded comment; however, any edits to it will get removed if the file is opened in a newer version of Excel. Learn more: https://go.microsoft.com/fwlink/?linkid=870924
Comment:
    creating running angle on cone level for 5W12 stope.</t>
      </text>
    </comment>
    <comment ref="AF71" authorId="58" shapeId="0" xr:uid="{004F983F-D69E-42C3-B700-B505BA02AF01}">
      <text>
        <t>[Threaded comment]
Your version of Excel allows you to read this threaded comment; however, any edits to it will get removed if the file is opened in a newer version of Excel. Learn more: https://go.microsoft.com/fwlink/?linkid=870924
Comment:
    Creating cone to start benching.</t>
      </text>
    </comment>
    <comment ref="AG71" authorId="59" shapeId="0" xr:uid="{E3DB46F4-95C7-4363-BC87-4B8F7A62B34F}">
      <text>
        <t>[Threaded comment]
Your version of Excel allows you to read this threaded comment; however, any edits to it will get removed if the file is opened in a newer version of Excel. Learn more: https://go.microsoft.com/fwlink/?linkid=870924
Comment:
    Creating cone to start benching.</t>
      </text>
    </comment>
    <comment ref="Q78" authorId="60" shapeId="0" xr:uid="{058D45C9-626C-4B75-81AD-8EF0ABB3A209}">
      <text>
        <t>[Threaded comment]
Your version of Excel allows you to read this threaded comment; however, any edits to it will get removed if the file is opened in a newer version of Excel. Learn more: https://go.microsoft.com/fwlink/?linkid=870924
Comment:
    shrinking W10 area where the BIF is poorly mineralised with schist veins</t>
      </text>
    </comment>
    <comment ref="S78" authorId="61" shapeId="0" xr:uid="{F23E1440-AF4C-4945-9F09-5248A2C0B82B}">
      <text>
        <t>[Threaded comment]
Your version of Excel allows you to read this threaded comment; however, any edits to it will get removed if the file is opened in a newer version of Excel. Learn more: https://go.microsoft.com/fwlink/?linkid=870924
Comment:
    roof not sampled, access to stope restricted for safety</t>
      </text>
    </comment>
    <comment ref="L85" authorId="62" shapeId="0" xr:uid="{F6EB457B-431B-4C4D-A00C-F1B178FDD9D1}">
      <text>
        <t>[Threaded comment]
Your version of Excel allows you to read this threaded comment; however, any edits to it will get removed if the file is opened in a newer version of Excel. Learn more: https://go.microsoft.com/fwlink/?linkid=870924
Comment:
    Used inferred grades bench not sampled</t>
      </text>
    </comment>
    <comment ref="R85" authorId="63" shapeId="0" xr:uid="{07E56C41-FBA7-4D93-B17D-5635CC1BD9A7}">
      <text>
        <t>[Threaded comment]
Your version of Excel allows you to read this threaded comment; however, any edits to it will get removed if the file is opened in a newer version of Excel. Learn more: https://go.microsoft.com/fwlink/?linkid=870924
Comment:
    passing a low paying stretch reef to pay going down</t>
      </text>
    </comment>
    <comment ref="W85" authorId="64" shapeId="0" xr:uid="{C215BC46-1135-46BE-9E49-E7F19282C31D}">
      <text>
        <t>[Threaded comment]
Your version of Excel allows you to read this threaded comment; however, any edits to it will get removed if the file is opened in a newer version of Excel. Learn more: https://go.microsoft.com/fwlink/?linkid=870924
Comment:
    Bench visual looking good</t>
      </text>
    </comment>
    <comment ref="AA85" authorId="65" shapeId="0" xr:uid="{2BA514A6-EB69-493C-B3D9-38B705794E9E}">
      <text>
        <t>[Threaded comment]
Your version of Excel allows you to read this threaded comment; however, any edits to it will get removed if the file is opened in a newer version of Excel. Learn more: https://go.microsoft.com/fwlink/?linkid=870924
Comment:
    Grade to improve</t>
      </text>
    </comment>
    <comment ref="AH85" authorId="66" shapeId="0" xr:uid="{923296EC-B360-4878-A959-01897E2AB394}">
      <text>
        <t>[Threaded comment]
Your version of Excel allows you to read this threaded comment; however, any edits to it will get removed if the file is opened in a newer version of Excel. Learn more: https://go.microsoft.com/fwlink/?linkid=870924
Comment:
    Misfire, bench not sampled.</t>
      </text>
    </comment>
    <comment ref="W90" authorId="67" shapeId="0" xr:uid="{28B8DB3A-6945-4A3D-9E1B-1AF1DBA3BC51}">
      <text>
        <t>[Threaded comment]
Your version of Excel allows you to read this threaded comment; however, any edits to it will get removed if the file is opened in a newer version of Excel. Learn more: https://go.microsoft.com/fwlink/?linkid=870924
Comment:
    drilling affected by water pipe burst in the shaft (4hrs)</t>
      </text>
    </comment>
    <comment ref="X90" authorId="68" shapeId="0" xr:uid="{7044D689-6DAB-46DE-A1E3-371871F91C92}">
      <text>
        <t>[Threaded comment]
Your version of Excel allows you to read this threaded comment; however, any edits to it will get removed if the file is opened in a newer version of Excel. Learn more: https://go.microsoft.com/fwlink/?linkid=870924
Comment:
    stope holed</t>
      </text>
    </comment>
    <comment ref="Y90" authorId="69" shapeId="0" xr:uid="{296B6A7F-AB9D-40EC-88F2-D713ACF8C118}">
      <text>
        <t>[Threaded comment]
Your version of Excel allows you to read this threaded comment; however, any edits to it will get removed if the file is opened in a newer version of Excel. Learn more: https://go.microsoft.com/fwlink/?linkid=870924
Comment:
    stope holed</t>
      </text>
    </comment>
    <comment ref="AC90" authorId="70" shapeId="0" xr:uid="{A6B5CE4D-2317-4F20-8492-AF6972305053}">
      <text>
        <t>[Threaded comment]
Your version of Excel allows you to read this threaded comment; however, any edits to it will get removed if the file is opened in a newer version of Excel. Learn more: https://go.microsoft.com/fwlink/?linkid=870924
Comment:
    stope holed</t>
      </text>
    </comment>
    <comment ref="AE90" authorId="71" shapeId="0" xr:uid="{ADBFD874-1BDA-4D18-951F-6AD8418C3636}">
      <text>
        <t>[Threaded comment]
Your version of Excel allows you to read this threaded comment; however, any edits to it will get removed if the file is opened in a newer version of Excel. Learn more: https://go.microsoft.com/fwlink/?linkid=870924
Comment:
    narrowing bench</t>
      </text>
    </comment>
    <comment ref="AF90" authorId="72" shapeId="0" xr:uid="{2BC415F0-30AB-4E59-8B87-A18787B127AF}">
      <text>
        <t>[Threaded comment]
Your version of Excel allows you to read this threaded comment; however, any edits to it will get removed if the file is opened in a newer version of Excel. Learn more: https://go.microsoft.com/fwlink/?linkid=870924
Comment:
    narrowing of the bench</t>
      </text>
    </comment>
    <comment ref="AJ90" authorId="73" shapeId="0" xr:uid="{FC95150A-5F50-4B99-A9FD-D29CD93DA401}">
      <text>
        <t>[Threaded comment]
Your version of Excel allows you to read this threaded comment; however, any edits to it will get removed if the file is opened in a newer version of Excel. Learn more: https://go.microsoft.com/fwlink/?linkid=870924
Comment:
    incomplete bench lashing</t>
      </text>
    </comment>
    <comment ref="R92" authorId="74" shapeId="0" xr:uid="{D67B1C42-905F-43B7-AFFC-425D88E18120}">
      <text>
        <t>[Threaded comment]
Your version of Excel allows you to read this threaded comment; however, any edits to it will get removed if the file is opened in a newer version of Excel. Learn more: https://go.microsoft.com/fwlink/?linkid=870924
Comment:
    Stope visually okay.</t>
      </text>
    </comment>
    <comment ref="X92" authorId="75" shapeId="0" xr:uid="{C4AAC7EC-B94B-4CE6-BC99-5F996D7FE263}">
      <text>
        <t>[Threaded comment]
Your version of Excel allows you to read this threaded comment; however, any edits to it will get removed if the file is opened in a newer version of Excel. Learn more: https://go.microsoft.com/fwlink/?linkid=870924
Comment:
    Bench mineralised grade to improve</t>
      </text>
    </comment>
    <comment ref="AH92" authorId="76" shapeId="0" xr:uid="{7ACA4066-2720-48FC-8C8D-BFCBA3EB09AA}">
      <text>
        <t>[Threaded comment]
Your version of Excel allows you to read this threaded comment; however, any edits to it will get removed if the file is opened in a newer version of Excel. Learn more: https://go.microsoft.com/fwlink/?linkid=870924
Comment:
    Misfire, bench not sampled.</t>
      </text>
    </comment>
    <comment ref="W97" authorId="77" shapeId="0" xr:uid="{993F88CC-2EBD-4883-8420-4C2FDE3811FC}">
      <text>
        <t>[Threaded comment]
Your version of Excel allows you to read this threaded comment; however, any edits to it will get removed if the file is opened in a newer version of Excel. Learn more: https://go.microsoft.com/fwlink/?linkid=870924
Comment:
    lashing of shrink material in progress</t>
      </text>
    </comment>
    <comment ref="R99" authorId="78" shapeId="0" xr:uid="{9C70BB3B-A756-47E6-9FD6-968A20EA01E3}">
      <text>
        <t>[Threaded comment]
Your version of Excel allows you to read this threaded comment; however, any edits to it will get removed if the file is opened in a newer version of Excel. Learn more: https://go.microsoft.com/fwlink/?linkid=870924
Comment:
    Used inferred grades awaiting for Assays
Reply:
    The ground not being realized as its being used for platform to support the sill, and platform fo shrinking on the Cone.</t>
      </text>
    </comment>
    <comment ref="AH99" authorId="79" shapeId="0" xr:uid="{86CCFE91-3E48-4CC7-9AA0-C26A9040D97A}">
      <text>
        <t>[Threaded comment]
Your version of Excel allows you to read this threaded comment; however, any edits to it will get removed if the file is opened in a newer version of Excel. Learn more: https://go.microsoft.com/fwlink/?linkid=870924
Comment:
    Misfire, bench not sampled.</t>
      </text>
    </comment>
    <comment ref="O103" authorId="80" shapeId="0" xr:uid="{048817BF-D927-46FC-B487-BFC68EBFB11C}">
      <text>
        <t>[Threaded comment]
Your version of Excel allows you to read this threaded comment; however, any edits to it will get removed if the file is opened in a newer version of Excel. Learn more: https://go.microsoft.com/fwlink/?linkid=870924
Comment:
    slyping and 
supporting the sill in progress</t>
      </text>
    </comment>
    <comment ref="P103" authorId="81" shapeId="0" xr:uid="{6905A5F5-4AA9-4549-8D10-9D6337799042}">
      <text>
        <t>[Threaded comment]
Your version of Excel allows you to read this threaded comment; however, any edits to it will get removed if the file is opened in a newer version of Excel. Learn more: https://go.microsoft.com/fwlink/?linkid=870924
Comment:
    Slyping and supporting sill in progress</t>
      </text>
    </comment>
    <comment ref="Y103" authorId="82" shapeId="0" xr:uid="{F6BFFDCD-0CD4-4581-B967-4FB92F72CB11}">
      <text>
        <t>[Threaded comment]
Your version of Excel allows you to read this threaded comment; however, any edits to it will get removed if the file is opened in a newer version of Excel. Learn more: https://go.microsoft.com/fwlink/?linkid=870924
Comment:
    Cleaning shrinkage accumulations</t>
      </text>
    </comment>
    <comment ref="I104" authorId="83" shapeId="0" xr:uid="{11404E35-9F1D-449D-A227-92AE843D7FE3}">
      <text>
        <t>[Threaded comment]
Your version of Excel allows you to read this threaded comment; however, any edits to it will get removed if the file is opened in a newer version of Excel. Learn more: https://go.microsoft.com/fwlink/?linkid=870924
Comment:
    Waste bleeding in progress, machines moved to W1</t>
      </text>
    </comment>
    <comment ref="AC104" authorId="84" shapeId="0" xr:uid="{3EFFC4ED-77D5-455B-ADF8-17ED0C44ADFE}">
      <text>
        <t>[Threaded comment]
Your version of Excel allows you to read this threaded comment; however, any edits to it will get removed if the file is opened in a newer version of Excel. Learn more: https://go.microsoft.com/fwlink/?linkid=870924
Comment:
    cleaning of the bench incomplete</t>
      </text>
    </comment>
    <comment ref="AF104" authorId="85" shapeId="0" xr:uid="{DF8791E8-6C90-4D3C-A6B6-0BED36BE799C}">
      <text>
        <t>[Threaded comment]
Your version of Excel allows you to read this threaded comment; however, any edits to it will get removed if the file is opened in a newer version of Excel. Learn more: https://go.microsoft.com/fwlink/?linkid=870924
Comment:
    incomplete lashing</t>
      </text>
    </comment>
    <comment ref="AE106" authorId="86" shapeId="0" xr:uid="{00E81A8A-7E29-4CCE-8332-AB781D97A5DA}">
      <text>
        <t>[Threaded comment]
Your version of Excel allows you to read this threaded comment; however, any edits to it will get removed if the file is opened in a newer version of Excel. Learn more: https://go.microsoft.com/fwlink/?linkid=870924
Comment:
    awaiting assays, grade inferred</t>
      </text>
    </comment>
    <comment ref="AH106" authorId="87" shapeId="0" xr:uid="{3B8835CE-1B8D-49D0-8F72-4FFE7B32E650}">
      <text>
        <t>[Threaded comment]
Your version of Excel allows you to read this threaded comment; however, any edits to it will get removed if the file is opened in a newer version of Excel. Learn more: https://go.microsoft.com/fwlink/?linkid=870924
Comment:
    Misfire, bench not sampled.</t>
      </text>
    </comment>
    <comment ref="O110" authorId="88" shapeId="0" xr:uid="{F7C52F3A-EC3B-453A-ADE0-EBC849E89684}">
      <text>
        <t>[Threaded comment]
Your version of Excel allows you to read this threaded comment; however, any edits to it will get removed if the file is opened in a newer version of Excel. Learn more: https://go.microsoft.com/fwlink/?linkid=870924
Comment:
    waste bleeding completed now slyping to reef limits</t>
      </text>
    </comment>
    <comment ref="P110" authorId="89" shapeId="0" xr:uid="{4B34B83F-B5F2-4DD2-9305-63F46B16FA6F}">
      <text>
        <t>[Threaded comment]
Your version of Excel allows you to read this threaded comment; however, any edits to it will get removed if the file is opened in a newer version of Excel. Learn more: https://go.microsoft.com/fwlink/?linkid=870924
Comment:
    Slyping to reef limits</t>
      </text>
    </comment>
    <comment ref="I111" authorId="90" shapeId="0" xr:uid="{CA9846E2-0156-4477-B931-7933699E5878}">
      <text>
        <t>[Threaded comment]
Your version of Excel allows you to read this threaded comment; however, any edits to it will get removed if the file is opened in a newer version of Excel. Learn more: https://go.microsoft.com/fwlink/?linkid=870924
Comment:
    Waste bleeding in progress</t>
      </text>
    </comment>
    <comment ref="V111" authorId="91" shapeId="0" xr:uid="{3367C898-EB6A-4767-AF1B-D791A65507DD}">
      <text>
        <t>[Threaded comment]
Your version of Excel allows you to read this threaded comment; however, any edits to it will get removed if the file is opened in a newer version of Excel. Learn more: https://go.microsoft.com/fwlink/?linkid=870924
Comment:
    slyping to limit</t>
      </text>
    </comment>
    <comment ref="W111" authorId="92" shapeId="0" xr:uid="{EFE83A6E-6158-4A07-8F46-C6EAB3375E26}">
      <text>
        <t>[Threaded comment]
Your version of Excel allows you to read this threaded comment; however, any edits to it will get removed if the file is opened in a newer version of Excel. Learn more: https://go.microsoft.com/fwlink/?linkid=870924
Comment:
    sylping to limit</t>
      </text>
    </comment>
    <comment ref="AE111" authorId="93" shapeId="0" xr:uid="{F5F19F60-3FD3-487A-B397-6AC21C30E22B}">
      <text>
        <t>[Threaded comment]
Your version of Excel allows you to read this threaded comment; however, any edits to it will get removed if the file is opened in a newer version of Excel. Learn more: https://go.microsoft.com/fwlink/?linkid=870924
Comment:
    incomplete lashing</t>
      </text>
    </comment>
    <comment ref="P113" authorId="94" shapeId="0" xr:uid="{87F3F567-3E3F-4DD4-8A42-74BF82380BA4}">
      <text>
        <t>[Threaded comment]
Your version of Excel allows you to read this threaded comment; however, any edits to it will get removed if the file is opened in a newer version of Excel. Learn more: https://go.microsoft.com/fwlink/?linkid=870924
Comment:
    Lowly mineralized BIF, to continue slyping further North were there are better grades.</t>
      </text>
    </comment>
    <comment ref="R113" authorId="95" shapeId="0" xr:uid="{D4C34527-D7C9-4477-944D-1AF897F9CF9E}">
      <text>
        <t>[Threaded comment]
Your version of Excel allows you to read this threaded comment; however, any edits to it will get removed if the file is opened in a newer version of Excel. Learn more: https://go.microsoft.com/fwlink/?linkid=870924
Comment:
    Slypings completed to start benching tomorrow</t>
      </text>
    </comment>
    <comment ref="AH113" authorId="96" shapeId="0" xr:uid="{AB33B777-AAB4-4FF0-AFE0-963E23D4AF5B}">
      <text>
        <t>[Threaded comment]
Your version of Excel allows you to read this threaded comment; however, any edits to it will get removed if the file is opened in a newer version of Excel. Learn more: https://go.microsoft.com/fwlink/?linkid=870924
Comment:
    Misfire, bench not sampled.</t>
      </text>
    </comment>
    <comment ref="W118" authorId="97" shapeId="0" xr:uid="{8DE16565-80C3-4388-B251-FD8A9C44D05E}">
      <text>
        <t>[Threaded comment]
Your version of Excel allows you to read this threaded comment; however, any edits to it will get removed if the file is opened in a newer version of Excel. Learn more: https://go.microsoft.com/fwlink/?linkid=870924
Comment:
    bench holed preparation for sub2 in progress</t>
      </text>
    </comment>
    <comment ref="X118" authorId="98" shapeId="0" xr:uid="{02C4377F-C7E4-40B6-BFD7-D0DDFBA16F58}">
      <text>
        <t>[Threaded comment]
Your version of Excel allows you to read this threaded comment; however, any edits to it will get removed if the file is opened in a newer version of Excel. Learn more: https://go.microsoft.com/fwlink/?linkid=870924
Comment:
    stope holed</t>
      </text>
    </comment>
    <comment ref="Y118" authorId="99" shapeId="0" xr:uid="{649D8C2C-FDB7-4919-A43B-6B1EEFA78CA7}">
      <text>
        <t>[Threaded comment]
Your version of Excel allows you to read this threaded comment; however, any edits to it will get removed if the file is opened in a newer version of Excel. Learn more: https://go.microsoft.com/fwlink/?linkid=870924
Comment:
    stope holed</t>
      </text>
    </comment>
    <comment ref="Z118" authorId="100" shapeId="0" xr:uid="{532DCE12-CB33-485E-87A9-7DEF4A0AAF47}">
      <text>
        <t>[Threaded comment]
Your version of Excel allows you to read this threaded comment; however, any edits to it will get removed if the file is opened in a newer version of Excel. Learn more: https://go.microsoft.com/fwlink/?linkid=870924
Comment:
    Stope holed</t>
      </text>
    </comment>
    <comment ref="AE118" authorId="101" shapeId="0" xr:uid="{84E14167-5ED2-41DF-8066-B534A67A0D30}">
      <text>
        <t>[Threaded comment]
Your version of Excel allows you to read this threaded comment; however, any edits to it will get removed if the file is opened in a newer version of Excel. Learn more: https://go.microsoft.com/fwlink/?linkid=870924
Comment:
    preparing new bench</t>
      </text>
    </comment>
    <comment ref="L120" authorId="102" shapeId="0" xr:uid="{54085427-A499-42CC-81C8-0BAC54DE8DD3}">
      <text>
        <t>[Threaded comment]
Your version of Excel allows you to read this threaded comment; however, any edits to it will get removed if the file is opened in a newer version of Excel. Learn more: https://go.microsoft.com/fwlink/?linkid=870924
Comment:
    Not sampled partially lashed used previous grade</t>
      </text>
    </comment>
    <comment ref="AC125" authorId="103" shapeId="0" xr:uid="{D3E3D08A-3FDB-404B-AC22-017FDD9C5425}">
      <text>
        <t>[Threaded comment]
Your version of Excel allows you to read this threaded comment; however, any edits to it will get removed if the file is opened in a newer version of Excel. Learn more: https://go.microsoft.com/fwlink/?linkid=870924
Comment:
    low labour turnout</t>
      </text>
    </comment>
    <comment ref="AE125" authorId="104" shapeId="0" xr:uid="{A457E613-B1AB-4529-94A8-4578152BEFFF}">
      <text>
        <t>[Threaded comment]
Your version of Excel allows you to read this threaded comment; however, any edits to it will get removed if the file is opened in a newer version of Excel. Learn more: https://go.microsoft.com/fwlink/?linkid=870924
Comment:
    incomplete lashing</t>
      </text>
    </comment>
    <comment ref="AJ125" authorId="105" shapeId="0" xr:uid="{44164C5A-6BB0-40BD-83BF-FC096A3D35B2}">
      <text>
        <t>[Threaded comment]
Your version of Excel allows you to read this threaded comment; however, any edits to it will get removed if the file is opened in a newer version of Excel. Learn more: https://go.microsoft.com/fwlink/?linkid=870924
Comment:
    incomplete lashing</t>
      </text>
    </comment>
    <comment ref="K127" authorId="106" shapeId="0" xr:uid="{8857BD5D-09F5-4D7A-9C53-A3307BE46992}">
      <text>
        <t>[Threaded comment]
Your version of Excel allows you to read this threaded comment; however, any edits to it will get removed if the file is opened in a newer version of Excel. Learn more: https://go.microsoft.com/fwlink/?linkid=870924
Comment:
    patchy mineralisation, grade to improve.</t>
      </text>
    </comment>
    <comment ref="L127" authorId="107" shapeId="0" xr:uid="{804D7B16-C7A9-42EA-ABF8-05C57EDC7C43}">
      <text>
        <t>[Threaded comment]
Your version of Excel allows you to read this threaded comment; however, any edits to it will get removed if the file is opened in a newer version of Excel. Learn more: https://go.microsoft.com/fwlink/?linkid=870924
Comment:
    Bench to hole today, visually looking okay and starting new cut tomorrow</t>
      </text>
    </comment>
    <comment ref="M127" authorId="108" shapeId="0" xr:uid="{3E26673C-1535-4B6E-ADCB-592EA0E3126F}">
      <text>
        <t>[Threaded comment]
Your version of Excel allows you to read this threaded comment; however, any edits to it will get removed if the file is opened in a newer version of Excel. Learn more: https://go.microsoft.com/fwlink/?linkid=870924
Comment:
    Slyping further North where there are better grades</t>
      </text>
    </comment>
    <comment ref="N127" authorId="109" shapeId="0" xr:uid="{4F59EEDD-CE7E-4F8D-A65B-8D443297ABE8}">
      <text>
        <t>[Threaded comment]
Your version of Excel allows you to read this threaded comment; however, any edits to it will get removed if the file is opened in a newer version of Excel. Learn more: https://go.microsoft.com/fwlink/?linkid=870924
Comment:
    slypping northwards to the mineralised zone</t>
      </text>
    </comment>
    <comment ref="W127" authorId="110" shapeId="0" xr:uid="{F781CDF4-E8AB-4493-A173-162E721339D2}">
      <text>
        <t>[Threaded comment]
Your version of Excel allows you to read this threaded comment; however, any edits to it will get removed if the file is opened in a newer version of Excel. Learn more: https://go.microsoft.com/fwlink/?linkid=870924
Comment:
    passing a low paying stretch reef to pay going down</t>
      </text>
    </comment>
    <comment ref="AG127" authorId="111" shapeId="0" xr:uid="{00BC6F33-4754-4B0C-A848-1BD85D2B108A}">
      <text>
        <t>[Threaded comment]
Your version of Excel allows you to read this threaded comment; however, any edits to it will get removed if the file is opened in a newer version of Excel. Learn more: https://go.microsoft.com/fwlink/?linkid=870924
Comment:
    passing a low paying stretch grades to improve downward</t>
      </text>
    </comment>
    <comment ref="AH127" authorId="112" shapeId="0" xr:uid="{43E15CA3-1029-4E4F-A33E-72E5C6E88674}">
      <text>
        <t>[Threaded comment]
Your version of Excel allows you to read this threaded comment; however, any edits to it will get removed if the file is opened in a newer version of Excel. Learn more: https://go.microsoft.com/fwlink/?linkid=870924
Comment:
    Passing a low paying stretch grades to improve downward</t>
      </text>
    </comment>
    <comment ref="I134" authorId="113" shapeId="0" xr:uid="{55FF44BB-FEB9-44FD-BE58-B87B949529FB}">
      <text>
        <t>[Threaded comment]
Your version of Excel allows you to read this threaded comment; however, any edits to it will get removed if the file is opened in a newer version of Excel. Learn more: https://go.microsoft.com/fwlink/?linkid=870924
Comment:
    Lowly mineralised BIF, continuous monitoring</t>
      </text>
    </comment>
    <comment ref="L134" authorId="114" shapeId="0" xr:uid="{BE62CA4B-FD48-4EB8-B63A-DF1F51DBE66F}">
      <text>
        <t>[Threaded comment]
Your version of Excel allows you to read this threaded comment; however, any edits to it will get removed if the file is opened in a newer version of Excel. Learn more: https://go.microsoft.com/fwlink/?linkid=870924
Comment:
    Bench holed starting a new cut</t>
      </text>
    </comment>
    <comment ref="M134" authorId="115" shapeId="0" xr:uid="{6BB2945E-01F9-49D7-914E-1E86BBF0ABDD}">
      <text>
        <t>[Threaded comment]
Your version of Excel allows you to read this threaded comment; however, any edits to it will get removed if the file is opened in a newer version of Excel. Learn more: https://go.microsoft.com/fwlink/?linkid=870924
Comment:
    better grades northwards, slyping torwards that direction.</t>
      </text>
    </comment>
    <comment ref="N134" authorId="116" shapeId="0" xr:uid="{3F8003DE-C14A-4496-A443-26CB3138D7F6}">
      <text>
        <t>[Threaded comment]
Your version of Excel allows you to read this threaded comment; however, any edits to it will get removed if the file is opened in a newer version of Excel. Learn more: https://go.microsoft.com/fwlink/?linkid=870924
Comment:
    slypping towards the north to the mineralised zone</t>
      </text>
    </comment>
    <comment ref="W134" authorId="117" shapeId="0" xr:uid="{D1FC3CCD-087B-48B5-8BDD-CE2FF418C157}">
      <text>
        <t>[Threaded comment]
Your version of Excel allows you to read this threaded comment; however, any edits to it will get removed if the file is opened in a newer version of Excel. Learn more: https://go.microsoft.com/fwlink/?linkid=870924
Comment:
    passing a low paying stretch reef to pay going down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tc={6E683318-4701-4565-9912-6B097555CDA3}</author>
    <author>tc={237F96EA-44B0-4114-99FF-E7FC0D22C6E3}</author>
    <author>tc={213BF69C-77C9-4A2B-8DD3-B8099C15E3C0}</author>
    <author>tc={1F1786DD-43D2-45BC-9FD0-FC9DCEC32CE1}</author>
    <author>tc={BBA7105E-08F6-4846-AF74-0D4806336320}</author>
    <author>tc={08E65A33-08DC-4AA2-BC0E-7EE8DCE35D59}</author>
    <author>tc={F96444D3-D42F-429F-A33B-003DEE5BE5A3}</author>
    <author>tc={8BB4E4DD-2793-4D47-97AE-2D36803D7F62}</author>
    <author>tc={DE9B7170-3E53-4709-BAF2-24D358EE7B03}</author>
    <author>tc={411EDF84-4639-4D3C-BA04-CD3BEFB05ED9}</author>
    <author>tc={C1A6A1AC-744B-488D-82E5-2ABC6CAA17E9}</author>
  </authors>
  <commentList>
    <comment ref="M11" authorId="0" shapeId="0" xr:uid="{6E683318-4701-4565-9912-6B097555CDA3}">
      <text>
        <t>[Threaded comment]
Your version of Excel allows you to read this threaded comment; however, any edits to it will get removed if the file is opened in a newer version of Excel. Learn more: https://go.microsoft.com/fwlink/?linkid=870924
Comment:
    Affected by PM and guide rope shoe breakdown at lobe shaft combined downtime of 11.5hours</t>
      </text>
    </comment>
    <comment ref="O11" authorId="1" shapeId="0" xr:uid="{237F96EA-44B0-4114-99FF-E7FC0D22C6E3}">
      <text>
        <t xml:space="preserve">[Threaded comment]
Your version of Excel allows you to read this threaded comment; however, any edits to it will get removed if the file is opened in a newer version of Excel. Learn more: https://go.microsoft.com/fwlink/?linkid=870924
Comment:
    Late re-entry due to Burnett shaft rope bad coiling, doubling down from 14:00 to 20:38hrs </t>
      </text>
    </comment>
    <comment ref="R47" authorId="2" shapeId="0" xr:uid="{213BF69C-77C9-4A2B-8DD3-B8099C15E3C0}">
      <text>
        <t xml:space="preserve">[Threaded comment]
Your version of Excel allows you to read this threaded comment; however, any edits to it will get removed if the file is opened in a newer version of Excel. Learn more: https://go.microsoft.com/fwlink/?linkid=870924
Comment:
    Ore reporting to the old stope </t>
      </text>
    </comment>
    <comment ref="AE69" authorId="3" shapeId="0" xr:uid="{1F1786DD-43D2-45BC-9FD0-FC9DCEC32CE1}">
      <text>
        <t>[Threaded comment]
Your version of Excel allows you to read this threaded comment; however, any edits to it will get removed if the file is opened in a newer version of Excel. Learn more: https://go.microsoft.com/fwlink/?linkid=870924
Comment:
    scrapping material</t>
      </text>
    </comment>
    <comment ref="AJ76" authorId="4" shapeId="0" xr:uid="{BBA7105E-08F6-4846-AF74-0D4806336320}">
      <text>
        <t>[Threaded comment]
Your version of Excel allows you to read this threaded comment; however, any edits to it will get removed if the file is opened in a newer version of Excel. Learn more: https://go.microsoft.com/fwlink/?linkid=870924
Comment:
    bench narrowing</t>
      </text>
    </comment>
    <comment ref="AJ83" authorId="5" shapeId="0" xr:uid="{08E65A33-08DC-4AA2-BC0E-7EE8DCE35D59}">
      <text>
        <t>[Threaded comment]
Your version of Excel allows you to read this threaded comment; however, any edits to it will get removed if the file is opened in a newer version of Excel. Learn more: https://go.microsoft.com/fwlink/?linkid=870924
Comment:
    scrapp]ng material</t>
      </text>
    </comment>
    <comment ref="AJ90" authorId="6" shapeId="0" xr:uid="{F96444D3-D42F-429F-A33B-003DEE5BE5A3}">
      <text>
        <t>[Threaded comment]
Your version of Excel allows you to read this threaded comment; however, any edits to it will get removed if the file is opened in a newer version of Excel. Learn more: https://go.microsoft.com/fwlink/?linkid=870924
Comment:
    lobeshaft breakdown 14hrs</t>
      </text>
    </comment>
    <comment ref="AF104" authorId="7" shapeId="0" xr:uid="{8BB4E4DD-2793-4D47-97AE-2D36803D7F62}">
      <text>
        <t>[Threaded comment]
Your version of Excel allows you to read this threaded comment; however, any edits to it will get removed if the file is opened in a newer version of Excel. Learn more: https://go.microsoft.com/fwlink/?linkid=870924
Comment:
    Scrapping material</t>
      </text>
    </comment>
    <comment ref="AI104" authorId="8" shapeId="0" xr:uid="{DE9B7170-3E53-4709-BAF2-24D358EE7B03}">
      <text>
        <t>[Threaded comment]
Your version of Excel allows you to read this threaded comment; however, any edits to it will get removed if the file is opened in a newer version of Excel. Learn more: https://go.microsoft.com/fwlink/?linkid=870924
Comment:
    scrapping material</t>
      </text>
    </comment>
    <comment ref="AJ111" authorId="9" shapeId="0" xr:uid="{411EDF84-4639-4D3C-BA04-CD3BEFB05ED9}">
      <text>
        <t>[Threaded comment]
Your version of Excel allows you to read this threaded comment; however, any edits to it will get removed if the file is opened in a newer version of Excel. Learn more: https://go.microsoft.com/fwlink/?linkid=870924
Comment:
    lobeshaft breakdown 14hrs</t>
      </text>
    </comment>
    <comment ref="AJ118" authorId="10" shapeId="0" xr:uid="{C1A6A1AC-744B-488D-82E5-2ABC6CAA17E9}">
      <text>
        <t>[Threaded comment]
Your version of Excel allows you to read this threaded comment; however, any edits to it will get removed if the file is opened in a newer version of Excel. Learn more: https://go.microsoft.com/fwlink/?linkid=870924
Comment:
    lobe shaft breakdown 14hrs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tc={3DF330D9-142F-40AB-B320-F546B77AED2C}</author>
    <author>tc={4CF476DD-B9A7-47AD-977D-AE52545112CE}</author>
    <author>tc={F73FB4D9-586F-43B7-A131-623E7E9DCC6E}</author>
    <author>tc={F675D77C-DC3B-43AD-852B-AA4E800FE403}</author>
    <author>tc={B288E343-290B-450B-9BE6-5E2446B6868C}</author>
    <author>tc={EACC4389-C8DB-4FDF-91E8-DA823CC66BEE}</author>
    <author>tc={91950FB6-4545-457E-ABD6-0B4BD19913AF}</author>
    <author>tc={2F97211A-95A4-4C6C-9D94-509932EEC6D8}</author>
    <author>tc={2A19D8C4-2311-4163-A4CA-4F5460949F65}</author>
    <author>tc={08CD203B-DD50-48AD-B0F5-911F7FD4173A}</author>
    <author>tc={26CEEC2E-DF08-4484-922A-04F0B9CC449E}</author>
    <author>tc={678E885F-85A7-4D46-9911-9C9AEC1085C4}</author>
    <author>tc={64E28553-BDB2-46A8-B324-17CD2A216169}</author>
    <author>tc={42E06278-56CA-4914-9C53-8537110E5EC4}</author>
    <author>tc={8AC7FEFD-168C-4F14-A4F2-C7825A29DF3B}</author>
    <author>tc={765CD1E3-3A40-49A4-A6C6-508BA5A07706}</author>
    <author>tc={9D7ECE1B-2534-46A4-B020-03347A8D5DDE}</author>
    <author>tc={06B94171-6410-4884-A046-FBB60A69C65B}</author>
    <author>tc={BBE9A444-3256-42F8-BD41-71D0BE8AF2A6}</author>
    <author>tc={5532C6A3-E2CC-4CA5-AE2B-8B91C3305573}</author>
    <author>tc={1E1092E0-07D1-486C-8AD4-2A5812409620}</author>
    <author>tc={9478382D-B6F6-4F82-BD23-A1D7035BE1DB}</author>
    <author>tc={8E20B62D-8503-4756-B58D-D9A7F40ABCF3}</author>
    <author>tc={721F3411-199B-482C-8A13-8F4210A982DF}</author>
    <author>tc={42B07BAF-AC9A-471B-8A99-353A81B107A5}</author>
    <author>tc={94BDA20F-3994-4BE7-A853-A19E3A1944F2}</author>
    <author>tc={100529AE-4D3A-4417-85D9-707BF11C5E61}</author>
    <author>tc={19EF61D1-63ED-4083-9C34-B01D917159C6}</author>
    <author>tc={0AB77AD6-98FA-4796-9B09-D46B17A162B3}</author>
    <author>tc={D04E97D9-B032-403B-9750-7021AC81EC5A}</author>
    <author>tc={8871F026-1ACD-4B2C-B353-7D50197FAA1F}</author>
    <author>tc={FBCAA547-19C9-442E-AF7E-61BC760275DF}</author>
    <author>tc={3DA3AE8F-F606-470F-8698-29341DCC235E}</author>
    <author>tc={125DCF29-CC85-46DB-AD04-475F6A608266}</author>
    <author>tc={CDE7206E-6227-42E4-8AEF-BF72FECB9367}</author>
    <author>tc={912A6846-E274-43C4-A7AB-F80881DDDD1C}</author>
    <author>tc={85CE10D6-F063-49EE-B08E-95606D8A1DBD}</author>
    <author>tc={32E9F331-183E-489C-9F49-8B02C9195619}</author>
    <author>tc={A6D7AA63-A109-46EE-B8CD-480D4327D968}</author>
    <author>tc={60094F9E-7C7C-4776-970C-E7E7F4ABA07D}</author>
    <author>tc={14465862-CF75-4222-A5E9-C540763CE42A}</author>
    <author>tc={61A901AE-146E-41E1-AEA6-F6A7162012C6}</author>
    <author>tc={A44D24B9-83AB-4765-835C-49F21A19FB48}</author>
    <author>tc={9E51EB14-382F-4A22-9741-837FEF863045}</author>
    <author>tc={5C3E7A79-A193-4D8B-918A-96D009881886}</author>
    <author>tc={32C3BDFA-4453-4CC3-BE62-4764A1A2D143}</author>
    <author>tc={48BF81D4-0F78-4ABE-8703-2FFBE89827E7}</author>
    <author>tc={7CC32981-EA95-4FF0-BCA3-A1B440DC0603}</author>
    <author>tc={4AC36820-24AA-4F93-B38D-C385A4DD1CE8}</author>
    <author>tc={AE9697A1-79CD-4D77-9647-59D9274A6A63}</author>
    <author>tc={C7D1DC24-903F-42ED-ABA5-566F845A55AB}</author>
    <author>tc={60775D8A-7C22-4416-B8DC-B6AB7FEDB707}</author>
    <author>tc={DC79D025-9132-4C4F-972E-8B5398B82D29}</author>
    <author>tc={359B95DA-21FF-4983-9443-E0FBCEF13E30}</author>
    <author>tc={3C50366B-4B56-4A7B-9D7E-DCE7F509D10E}</author>
    <author>tc={BF1BE285-0935-4D28-B989-BA8A297B992A}</author>
    <author>tc={82029970-8F05-4B76-AF1E-6CF2832ADD5D}</author>
    <author>tc={C290315C-7E5E-4511-B216-6FD8E65DEDFB}</author>
    <author>tc={7D02DBFB-351B-480E-8BC7-1CE08E14F95B}</author>
    <author>tc={952A9729-FA18-43C5-BDC6-16872D6DFBE7}</author>
    <author>tc={268A68CD-7C7B-4D4D-B4F5-AD9832A8C4BA}</author>
    <author>tc={0D377437-882C-4F44-A88C-0D54FEDC75CB}</author>
    <author>tc={F92E1D6A-7636-40A6-B2F0-17BC19DE71CB}</author>
    <author>tc={B9F3AF94-473D-44F8-9982-959FF7A61D05}</author>
    <author>tc={8C0A0B07-5897-4D11-B417-069B84910EBC}</author>
    <author>tc={38EAA7B8-B0EC-486C-B679-2BC6DB7B75DD}</author>
    <author>tc={30F1C658-BE67-4FAD-B173-F0533F31DB79}</author>
    <author>tc={C405A0FE-1E0C-4823-8B50-48D803E21F09}</author>
    <author>tc={073AB901-172B-4315-8B78-41128391F3BB}</author>
    <author>tc={74BC884D-F5F0-4575-8FE0-4FA74ECB715E}</author>
    <author>tc={8AAD3CCE-8395-4EEC-9BBF-E01156F3D593}</author>
    <author>tc={7777841C-71A5-4FBE-B21B-AB02899C08D5}</author>
    <author>tc={5B734045-8412-46E5-8C85-EB861DF0E129}</author>
    <author>tc={278C3917-3854-4727-A13E-1F7F14236BEB}</author>
    <author>tc={FCA3B1CC-2CA4-48DA-AB3B-85B1525157FF}</author>
    <author>tc={D786EF8E-37B9-4957-97AE-4533CAE9CD65}</author>
    <author>tc={F1AEFACA-A4E3-4FCC-A339-F4F4519550E7}</author>
    <author>tc={2CE91475-9B45-4903-8FAC-3E35E729B78D}</author>
    <author>tc={EA696FB5-896F-48DA-A69C-E6E844B28050}</author>
    <author>tc={2EA84CB1-DD38-4EF5-8749-A7CE435991B0}</author>
    <author>tc={218CD087-4D8B-4A09-8EEA-18FCFDA76272}</author>
    <author>tc={4BB3D2C4-9BC2-4E19-8F0D-BCB0CC0361F3}</author>
    <author>tc={D1548DFA-32AB-45AB-AC83-76852961B68E}</author>
    <author>tc={DF179E6F-8F45-4817-BD18-4EE278798903}</author>
    <author>tc={941BA051-FCDE-4317-9DF6-2E5DF872FB9B}</author>
    <author>tc={69018ED0-9B30-4FC0-81CE-C5AFBFE55BC4}</author>
    <author>tc={CD504426-F354-44C7-9D69-C0BE27BFFFBD}</author>
    <author>tc={B1770FFF-3C01-4692-9016-6B95909FFEF3}</author>
    <author>tc={F8307889-882A-478D-A1E1-3CEB8A311274}</author>
    <author>tc={BE863D6E-4850-4D0A-824F-0F665326A1F6}</author>
    <author>tc={E749C249-9015-4781-83F5-ACAEACDACF6E}</author>
    <author>tc={7183C4FD-8BB5-4174-A11B-1D991D4833EA}</author>
    <author>tc={C9B141AA-DD40-4A98-96D8-BBE2C7914234}</author>
    <author>tc={8103C5AE-B31B-4B81-BF23-7686158CB537}</author>
    <author>tc={D3DDB27E-B60E-41F5-BA90-459B43449DB5}</author>
    <author>tc={9095208D-03FE-42B5-A653-548CCD27F2CD}</author>
    <author>tc={FD65BB2D-15BF-45CF-AE1F-617DCF858AFC}</author>
    <author>tc={A429E3FC-8A8D-4BCC-B869-F17FD5A70F21}</author>
    <author>tc={345E5185-AC11-4C8E-8281-81EB7E809532}</author>
    <author>tc={0FEEFD6B-B110-427F-B036-F24DD4195BD2}</author>
    <author>tc={D83D59B4-2E19-4522-97B9-B5C4D08F04FD}</author>
    <author>tc={97FF3800-C9D8-4D19-94A2-5B3563FBCBBC}</author>
    <author>tc={1C15D160-05D3-41A9-97B8-525747B8FDCA}</author>
    <author>tc={78328A3A-12F1-4E36-9AFB-5C3A8F637BDB}</author>
  </authors>
  <commentList>
    <comment ref="L11" authorId="0" shapeId="0" xr:uid="{3DF330D9-142F-40AB-B320-F546B77AED2C}">
      <text>
        <t>[Threaded comment]
Your version of Excel allows you to read this threaded comment; however, any edits to it will get removed if the file is opened in a newer version of Excel. Learn more: https://go.microsoft.com/fwlink/?linkid=870924
Comment:
    Low generation in 6L level due to hanging wall collapses in 6LW10 stope</t>
      </text>
    </comment>
    <comment ref="M11" authorId="1" shapeId="0" xr:uid="{4CF476DD-B9A7-47AD-977D-AE52545112CE}">
      <text>
        <t xml:space="preserve">[Threaded comment]
Your version of Excel allows you to read this threaded comment; however, any edits to it will get removed if the file is opened in a newer version of Excel. Learn more: https://go.microsoft.com/fwlink/?linkid=870924
Comment:
    - 4L stopes not cleaned due to poor labor turn out on 05.05.25 night shift   </t>
      </text>
    </comment>
    <comment ref="H13" authorId="2" shapeId="0" xr:uid="{F73FB4D9-586F-43B7-A131-623E7E9DCC6E}">
      <text>
        <t>[Threaded comment]
Your version of Excel allows you to read this threaded comment; however, any edits to it will get removed if the file is opened in a newer version of Excel. Learn more: https://go.microsoft.com/fwlink/?linkid=870924
Comment:
    Holiday no sampling done used previous date</t>
      </text>
    </comment>
    <comment ref="K13" authorId="3" shapeId="0" xr:uid="{F675D77C-DC3B-43AD-852B-AA4E800FE403}">
      <text>
        <t>[Threaded comment]
Your version of Excel allows you to read this threaded comment; however, any edits to it will get removed if the file is opened in a newer version of Excel. Learn more: https://go.microsoft.com/fwlink/?linkid=870924
Comment:
    No sampling done grades inferred</t>
      </text>
    </comment>
    <comment ref="V19" authorId="4" shapeId="0" xr:uid="{B288E343-290B-450B-9BE6-5E2446B6868C}">
      <text>
        <t xml:space="preserve">[Threaded comment]
Your version of Excel allows you to read this threaded comment; however, any edits to it will get removed if the file is opened in a newer version of Excel. Learn more: https://go.microsoft.com/fwlink/?linkid=870924
Comment:
    Lashing one machine lashing accumulation </t>
      </text>
    </comment>
    <comment ref="I22" authorId="5" shapeId="0" xr:uid="{EACC4389-C8DB-4FDF-91E8-DA823CC66BEE}">
      <text>
        <t>[Threaded comment]
Your version of Excel allows you to read this threaded comment; however, any edits to it will get removed if the file is opened in a newer version of Excel. Learn more: https://go.microsoft.com/fwlink/?linkid=870924
Comment:
    Mining to retreat eastwards</t>
      </text>
    </comment>
    <comment ref="L22" authorId="6" shapeId="0" xr:uid="{91950FB6-4545-457E-ABD6-0B4BD19913AF}">
      <text>
        <t>[Threaded comment]
Your version of Excel allows you to read this threaded comment; however, any edits to it will get removed if the file is opened in a newer version of Excel. Learn more: https://go.microsoft.com/fwlink/?linkid=870924
Comment:
    Benching low grade potion for running angle on SL1.</t>
      </text>
    </comment>
    <comment ref="M22" authorId="7" shapeId="0" xr:uid="{2F97211A-95A4-4C6C-9D94-509932EEC6D8}">
      <text>
        <t>[Threaded comment]
Your version of Excel allows you to read this threaded comment; however, any edits to it will get removed if the file is opened in a newer version of Excel. Learn more: https://go.microsoft.com/fwlink/?linkid=870924
Comment:
    Benching low grade potion for running angle on SL1.</t>
      </text>
    </comment>
    <comment ref="N22" authorId="8" shapeId="0" xr:uid="{2A19D8C4-2311-4163-A4CA-4F5460949F65}">
      <text>
        <t>[Threaded comment]
Your version of Excel allows you to read this threaded comment; however, any edits to it will get removed if the file is opened in a newer version of Excel. Learn more: https://go.microsoft.com/fwlink/?linkid=870924
Comment:
    creating running angle in poorly mineralised zone, one machine moved to con-drive for blending</t>
      </text>
    </comment>
    <comment ref="O22" authorId="9" shapeId="0" xr:uid="{08CD203B-DD50-48AD-B0F5-911F7FD4173A}">
      <text>
        <t>[Threaded comment]
Your version of Excel allows you to read this threaded comment; however, any edits to it will get removed if the file is opened in a newer version of Excel. Learn more: https://go.microsoft.com/fwlink/?linkid=870924
Comment:
    Benching low grade BIF to create running angle for ore movement</t>
      </text>
    </comment>
    <comment ref="P22" authorId="10" shapeId="0" xr:uid="{26CEEC2E-DF08-4484-922A-04F0B9CC449E}">
      <text>
        <t>[Threaded comment]
Your version of Excel allows you to read this threaded comment; however, any edits to it will get removed if the file is opened in a newer version of Excel. Learn more: https://go.microsoft.com/fwlink/?linkid=870924
Comment:
    Benching low grade BIF southwards to create running angle for ore movement</t>
      </text>
    </comment>
    <comment ref="Q22" authorId="11" shapeId="0" xr:uid="{678E885F-85A7-4D46-9911-9C9AEC1085C4}">
      <text>
        <t>[Threaded comment]
Your version of Excel allows you to read this threaded comment; however, any edits to it will get removed if the file is opened in a newer version of Excel. Learn more: https://go.microsoft.com/fwlink/?linkid=870924
Comment:
    Starting new cut on the southern limb</t>
      </text>
    </comment>
    <comment ref="S22" authorId="12" shapeId="0" xr:uid="{64E28553-BDB2-46A8-B324-17CD2A216169}">
      <text>
        <t>[Threaded comment]
Your version of Excel allows you to read this threaded comment; however, any edits to it will get removed if the file is opened in a newer version of Excel. Learn more: https://go.microsoft.com/fwlink/?linkid=870924
Comment:
    Grade to continue as mining on the south continues</t>
      </text>
    </comment>
    <comment ref="T22" authorId="13" shapeId="0" xr:uid="{42E06278-56CA-4914-9C53-8537110E5EC4}">
      <text>
        <t>[Threaded comment]
Your version of Excel allows you to read this threaded comment; however, any edits to it will get removed if the file is opened in a newer version of Excel. Learn more: https://go.microsoft.com/fwlink/?linkid=870924
Comment:
    Grade to Improve as mining continues on the southern side.</t>
      </text>
    </comment>
    <comment ref="U22" authorId="14" shapeId="0" xr:uid="{8AC7FEFD-168C-4F14-A4F2-C7825A29DF3B}">
      <text>
        <t>[Threaded comment]
Your version of Excel allows you to read this threaded comment; however, any edits to it will get removed if the file is opened in a newer version of Excel. Learn more: https://go.microsoft.com/fwlink/?linkid=870924
Comment:
    Grade to improve with benching</t>
      </text>
    </comment>
    <comment ref="X22" authorId="15" shapeId="0" xr:uid="{765CD1E3-3A40-49A4-A6C6-508BA5A07706}">
      <text>
        <t>[Threaded comment]
Your version of Excel allows you to read this threaded comment; however, any edits to it will get removed if the file is opened in a newer version of Excel. Learn more: https://go.microsoft.com/fwlink/?linkid=870924
Comment:
    stope grade diluted by poorly mineralised portion being mined for running angle</t>
      </text>
    </comment>
    <comment ref="Z22" authorId="16" shapeId="0" xr:uid="{9D7ECE1B-2534-46A4-B020-03347A8D5DDE}">
      <text>
        <t>[Threaded comment]
Your version of Excel allows you to read this threaded comment; however, any edits to it will get removed if the file is opened in a newer version of Excel. Learn more: https://go.microsoft.com/fwlink/?linkid=870924
Comment:
    stope grade diluted by poorly mineralised portion being mined for running angle</t>
      </text>
    </comment>
    <comment ref="M33" authorId="17" shapeId="0" xr:uid="{06B94171-6410-4884-A046-FBB60A69C65B}">
      <text>
        <t>[Threaded comment]
Your version of Excel allows you to read this threaded comment; however, any edits to it will get removed if the file is opened in a newer version of Excel. Learn more: https://go.microsoft.com/fwlink/?linkid=870924
Comment:
    Poor labour turnout on the cleaning shift</t>
      </text>
    </comment>
    <comment ref="J36" authorId="18" shapeId="0" xr:uid="{BBE9A444-3256-42F8-BD41-71D0BE8AF2A6}">
      <text>
        <t>[Threaded comment]
Your version of Excel allows you to read this threaded comment; however, any edits to it will get removed if the file is opened in a newer version of Excel. Learn more: https://go.microsoft.com/fwlink/?linkid=870924
Comment:
    Grade to improve as we take the eastern bench</t>
      </text>
    </comment>
    <comment ref="L36" authorId="19" shapeId="0" xr:uid="{5532C6A3-E2CC-4CA5-AE2B-8B91C3305573}">
      <text>
        <t>[Threaded comment]
Your version of Excel allows you to read this threaded comment; however, any edits to it will get removed if the file is opened in a newer version of Excel. Learn more: https://go.microsoft.com/fwlink/?linkid=870924
Comment:
    Bench visually looking mineralized, continuous monitoring</t>
      </text>
    </comment>
    <comment ref="N36" authorId="20" shapeId="0" xr:uid="{1E1092E0-07D1-486C-8AD4-2A5812409620}">
      <text>
        <t>[Threaded comment]
Your version of Excel allows you to read this threaded comment; however, any edits to it will get removed if the file is opened in a newer version of Excel. Learn more: https://go.microsoft.com/fwlink/?linkid=870924
Comment:
    lowly mineralised western bench holed, machine moved to create new cut</t>
      </text>
    </comment>
    <comment ref="O36" authorId="21" shapeId="0" xr:uid="{9478382D-B6F6-4F82-BD23-A1D7035BE1DB}">
      <text>
        <t xml:space="preserve">[Threaded comment]
Your version of Excel allows you to read this threaded comment; however, any edits to it will get removed if the file is opened in a newer version of Excel. Learn more: https://go.microsoft.com/fwlink/?linkid=870924
Comment:
    Slypped to reef limit, to start benching </t>
      </text>
    </comment>
    <comment ref="P36" authorId="22" shapeId="0" xr:uid="{8E20B62D-8503-4756-B58D-D9A7F40ABCF3}">
      <text>
        <t>[Threaded comment]
Your version of Excel allows you to read this threaded comment; however, any edits to it will get removed if the file is opened in a newer version of Excel. Learn more: https://go.microsoft.com/fwlink/?linkid=870924
Comment:
    Starting new cut, grades to improve with depth</t>
      </text>
    </comment>
    <comment ref="Q36" authorId="23" shapeId="0" xr:uid="{721F3411-199B-482C-8A13-8F4210A982DF}">
      <text>
        <t>[Threaded comment]
Your version of Excel allows you to read this threaded comment; however, any edits to it will get removed if the file is opened in a newer version of Excel. Learn more: https://go.microsoft.com/fwlink/?linkid=870924
Comment:
    Benching new cut, grades to improve with depth</t>
      </text>
    </comment>
    <comment ref="X36" authorId="24" shapeId="0" xr:uid="{42B07BAF-AC9A-471B-8A99-353A81B107A5}">
      <text>
        <t xml:space="preserve">[Threaded comment]
Your version of Excel allows you to read this threaded comment; however, any edits to it will get removed if the file is opened in a newer version of Excel. Learn more: https://go.microsoft.com/fwlink/?linkid=870924
Comment:
    stope visually looking ok, continuous monitoring </t>
      </text>
    </comment>
    <comment ref="K40" authorId="25" shapeId="0" xr:uid="{94BDA20F-3994-4BE7-A853-A19E3A1944F2}">
      <text>
        <t>[Threaded comment]
Your version of Excel allows you to read this threaded comment; however, any edits to it will get removed if the file is opened in a newer version of Excel. Learn more: https://go.microsoft.com/fwlink/?linkid=870924
Comment:
    Bench has become sour machines moved to 5W8 stope</t>
      </text>
    </comment>
    <comment ref="L40" authorId="26" shapeId="0" xr:uid="{100529AE-4D3A-4417-85D9-707BF11C5E61}">
      <text>
        <t>[Threaded comment]
Your version of Excel allows you to read this threaded comment; however, any edits to it will get removed if the file is opened in a newer version of Excel. Learn more: https://go.microsoft.com/fwlink/?linkid=870924
Comment:
    Machines moved to 5LW8, bench become sour</t>
      </text>
    </comment>
    <comment ref="M40" authorId="27" shapeId="0" xr:uid="{19EF61D1-63ED-4083-9C34-B01D917159C6}">
      <text>
        <t>[Threaded comment]
Your version of Excel allows you to read this threaded comment; however, any edits to it will get removed if the file is opened in a newer version of Excel. Learn more: https://go.microsoft.com/fwlink/?linkid=870924
Comment:
    Machines moved to 5LW8, bench become sour</t>
      </text>
    </comment>
    <comment ref="R40" authorId="28" shapeId="0" xr:uid="{0AB77AD6-98FA-4796-9B09-D46B17A162B3}">
      <text>
        <t xml:space="preserve">[Threaded comment]
Your version of Excel allows you to read this threaded comment; however, any edits to it will get removed if the file is opened in a newer version of Excel. Learn more: https://go.microsoft.com/fwlink/?linkid=870924
Comment:
    Machines moved to cone drive to drill boulders. </t>
      </text>
    </comment>
    <comment ref="T40" authorId="29" shapeId="0" xr:uid="{D04E97D9-B032-403B-9750-7021AC81EC5A}">
      <text>
        <t xml:space="preserve">[Threaded comment]
Your version of Excel allows you to read this threaded comment; however, any edits to it will get removed if the file is opened in a newer version of Excel. Learn more: https://go.microsoft.com/fwlink/?linkid=870924
Comment:
    Machines moved to cone drive to drill boulders. </t>
      </text>
    </comment>
    <comment ref="U40" authorId="30" shapeId="0" xr:uid="{8871F026-1ACD-4B2C-B353-7D50197FAA1F}">
      <text>
        <t xml:space="preserve">[Threaded comment]
Your version of Excel allows you to read this threaded comment; however, any edits to it will get removed if the file is opened in a newer version of Excel. Learn more: https://go.microsoft.com/fwlink/?linkid=870924
Comment:
    Machines moved to cone drive to drill boulders. </t>
      </text>
    </comment>
    <comment ref="V40" authorId="31" shapeId="0" xr:uid="{FBCAA547-19C9-442E-AF7E-61BC760275DF}">
      <text>
        <t xml:space="preserve">[Threaded comment]
Your version of Excel allows you to read this threaded comment; however, any edits to it will get removed if the file is opened in a newer version of Excel. Learn more: https://go.microsoft.com/fwlink/?linkid=870924
Comment:
    Machines moved to cone drive to drill boulders. </t>
      </text>
    </comment>
    <comment ref="W40" authorId="32" shapeId="0" xr:uid="{3DA3AE8F-F606-470F-8698-29341DCC235E}">
      <text>
        <t xml:space="preserve">[Threaded comment]
Your version of Excel allows you to read this threaded comment; however, any edits to it will get removed if the file is opened in a newer version of Excel. Learn more: https://go.microsoft.com/fwlink/?linkid=870924
Comment:
    Machines moved to cone drive to drill boulders. </t>
      </text>
    </comment>
    <comment ref="X40" authorId="33" shapeId="0" xr:uid="{125DCF29-CC85-46DB-AD04-475F6A608266}">
      <text>
        <t xml:space="preserve">[Threaded comment]
Your version of Excel allows you to read this threaded comment; however, any edits to it will get removed if the file is opened in a newer version of Excel. Learn more: https://go.microsoft.com/fwlink/?linkid=870924
Comment:
    Machines moved to cone drive to drill boulders. </t>
      </text>
    </comment>
    <comment ref="Y40" authorId="34" shapeId="0" xr:uid="{CDE7206E-6227-42E4-8AEF-BF72FECB9367}">
      <text>
        <t xml:space="preserve">[Threaded comment]
Your version of Excel allows you to read this threaded comment; however, any edits to it will get removed if the file is opened in a newer version of Excel. Learn more: https://go.microsoft.com/fwlink/?linkid=870924
Comment:
    Machines moved to cone drive to drill boulders. </t>
      </text>
    </comment>
    <comment ref="Z40" authorId="35" shapeId="0" xr:uid="{912A6846-E274-43C4-A7AB-F80881DDDD1C}">
      <text>
        <t xml:space="preserve">[Threaded comment]
Your version of Excel allows you to read this threaded comment; however, any edits to it will get removed if the file is opened in a newer version of Excel. Learn more: https://go.microsoft.com/fwlink/?linkid=870924
Comment:
    Machines moved to cone drive to drill boulders. </t>
      </text>
    </comment>
    <comment ref="T47" authorId="36" shapeId="0" xr:uid="{85CE10D6-F063-49EE-B08E-95606D8A1DBD}">
      <text>
        <t xml:space="preserve">[Threaded comment]
Your version of Excel allows you to read this threaded comment; however, any edits to it will get removed if the file is opened in a newer version of Excel. Learn more: https://go.microsoft.com/fwlink/?linkid=870924
Comment:
    Lost tonnage for one machine due to  machine operator on Sick leave. </t>
      </text>
    </comment>
    <comment ref="U47" authorId="37" shapeId="0" xr:uid="{32E9F331-183E-489C-9F49-8B02C9195619}">
      <text>
        <t xml:space="preserve">[Threaded comment]
Your version of Excel allows you to read this threaded comment; however, any edits to it will get removed if the file is opened in a newer version of Excel. Learn more: https://go.microsoft.com/fwlink/?linkid=870924
Comment:
    Limited bench area due to incomplete lashing. </t>
      </text>
    </comment>
    <comment ref="I50" authorId="38" shapeId="0" xr:uid="{A6D7AA63-A109-46EE-B8CD-480D4327D968}">
      <text>
        <t>[Threaded comment]
Your version of Excel allows you to read this threaded comment; however, any edits to it will get removed if the file is opened in a newer version of Excel. Learn more: https://go.microsoft.com/fwlink/?linkid=870924
Comment:
    Poorly mineralised patch, grade to improve</t>
      </text>
    </comment>
    <comment ref="J50" authorId="39" shapeId="0" xr:uid="{60094F9E-7C7C-4776-970C-E7E7F4ABA07D}">
      <text>
        <t>[Threaded comment]
Your version of Excel allows you to read this threaded comment; however, any edits to it will get removed if the file is opened in a newer version of Excel. Learn more: https://go.microsoft.com/fwlink/?linkid=870924
Comment:
    Reef improving continue mining</t>
      </text>
    </comment>
    <comment ref="L50" authorId="40" shapeId="0" xr:uid="{14465862-CF75-4222-A5E9-C540763CE42A}">
      <text>
        <t>[Threaded comment]
Your version of Excel allows you to read this threaded comment; however, any edits to it will get removed if the file is opened in a newer version of Excel. Learn more: https://go.microsoft.com/fwlink/?linkid=870924
Comment:
    Mineralization depleted on the catwalk, one machine moved to 3W23</t>
      </text>
    </comment>
    <comment ref="N50" authorId="41" shapeId="0" xr:uid="{61A901AE-146E-41E1-AEA6-F6A7162012C6}">
      <text>
        <t>[Threaded comment]
Your version of Excel allows you to read this threaded comment; however, any edits to it will get removed if the file is opened in a newer version of Excel. Learn more: https://go.microsoft.com/fwlink/?linkid=870924
Comment:
    reef visually looking good</t>
      </text>
    </comment>
    <comment ref="Q50" authorId="42" shapeId="0" xr:uid="{A44D24B9-83AB-4765-835C-49F21A19FB48}">
      <text>
        <t>[Threaded comment]
Your version of Excel allows you to read this threaded comment; however, any edits to it will get removed if the file is opened in a newer version of Excel. Learn more: https://go.microsoft.com/fwlink/?linkid=870924
Comment:
    Mining low grade BIF patch</t>
      </text>
    </comment>
    <comment ref="W50" authorId="43" shapeId="0" xr:uid="{9E51EB14-382F-4A22-9741-837FEF863045}">
      <text>
        <t>[Threaded comment]
Your version of Excel allows you to read this threaded comment; however, any edits to it will get removed if the file is opened in a newer version of Excel. Learn more: https://go.microsoft.com/fwlink/?linkid=870924
Comment:
    creating running angle in weakly mineralised zone</t>
      </text>
    </comment>
    <comment ref="X50" authorId="44" shapeId="0" xr:uid="{5C3E7A79-A193-4D8B-918A-96D009881886}">
      <text>
        <t>[Threaded comment]
Your version of Excel allows you to read this threaded comment; however, any edits to it will get removed if the file is opened in a newer version of Excel. Learn more: https://go.microsoft.com/fwlink/?linkid=870924
Comment:
    grade improving going eastwards</t>
      </text>
    </comment>
    <comment ref="Z50" authorId="45" shapeId="0" xr:uid="{32C3BDFA-4453-4CC3-BE62-4764A1A2D143}">
      <text>
        <t>[Threaded comment]
Your version of Excel allows you to read this threaded comment; however, any edits to it will get removed if the file is opened in a newer version of Excel. Learn more: https://go.microsoft.com/fwlink/?linkid=870924
Comment:
    slyping eastwards to extend bench, grade to improve</t>
      </text>
    </comment>
    <comment ref="I54" authorId="46" shapeId="0" xr:uid="{48BF81D4-0F78-4ABE-8703-2FFBE89827E7}">
      <text>
        <t>[Threaded comment]
Your version of Excel allows you to read this threaded comment; however, any edits to it will get removed if the file is opened in a newer version of Excel. Learn more: https://go.microsoft.com/fwlink/?linkid=870924
Comment:
    Orepass full</t>
      </text>
    </comment>
    <comment ref="J54" authorId="47" shapeId="0" xr:uid="{7CC32981-EA95-4FF0-BCA3-A1B440DC0603}">
      <text>
        <t>[Threaded comment]
Your version of Excel allows you to read this threaded comment; however, any edits to it will get removed if the file is opened in a newer version of Excel. Learn more: https://go.microsoft.com/fwlink/?linkid=870924
Comment:
    Orepass full</t>
      </text>
    </comment>
    <comment ref="K54" authorId="48" shapeId="0" xr:uid="{4AC36820-24AA-4F93-B38D-C385A4DD1CE8}">
      <text>
        <t>[Threaded comment]
Your version of Excel allows you to read this threaded comment; however, any edits to it will get removed if the file is opened in a newer version of Excel. Learn more: https://go.microsoft.com/fwlink/?linkid=870924
Comment:
    Low labour turnout on Sunday</t>
      </text>
    </comment>
    <comment ref="M54" authorId="49" shapeId="0" xr:uid="{AE9697A1-79CD-4D77-9647-59D9274A6A63}">
      <text>
        <t>[Threaded comment]
Your version of Excel allows you to read this threaded comment; however, any edits to it will get removed if the file is opened in a newer version of Excel. Learn more: https://go.microsoft.com/fwlink/?linkid=870924
Comment:
    Managing accumulations</t>
      </text>
    </comment>
    <comment ref="R54" authorId="50" shapeId="0" xr:uid="{C7D1DC24-903F-42ED-ABA5-566F845A55AB}">
      <text>
        <t xml:space="preserve">[Threaded comment]
Your version of Excel allows you to read this threaded comment; however, any edits to it will get removed if the file is opened in a newer version of Excel. Learn more: https://go.microsoft.com/fwlink/?linkid=870924
Comment:
    Machines moved to 5W8 due to drilling space constraints </t>
      </text>
    </comment>
    <comment ref="T54" authorId="51" shapeId="0" xr:uid="{60775D8A-7C22-4416-B8DC-B6AB7FEDB707}">
      <text>
        <t xml:space="preserve">[Threaded comment]
Your version of Excel allows you to read this threaded comment; however, any edits to it will get removed if the file is opened in a newer version of Excel. Learn more: https://go.microsoft.com/fwlink/?linkid=870924
Comment:
    One machine moved to 5 level due to space constraints, The other machine operator is on sick leave.  </t>
      </text>
    </comment>
    <comment ref="U54" authorId="52" shapeId="0" xr:uid="{DC79D025-9132-4C4F-972E-8B5398B82D29}">
      <text>
        <t xml:space="preserve">[Threaded comment]
Your version of Excel allows you to read this threaded comment; however, any edits to it will get removed if the file is opened in a newer version of Excel. Learn more: https://go.microsoft.com/fwlink/?linkid=870924
Comment:
    machine moved to 5W8 due to space constraints </t>
      </text>
    </comment>
    <comment ref="Y54" authorId="53" shapeId="0" xr:uid="{359B95DA-21FF-4983-9443-E0FBCEF13E30}">
      <text>
        <t xml:space="preserve">[Threaded comment]
Your version of Excel allows you to read this threaded comment; however, any edits to it will get removed if the file is opened in a newer version of Excel. Learn more: https://go.microsoft.com/fwlink/?linkid=870924
Comment:
    Machines moved to 5W8 due to space constraints </t>
      </text>
    </comment>
    <comment ref="N57" authorId="54" shapeId="0" xr:uid="{3C50366B-4B56-4A7B-9D7E-DCE7F509D10E}">
      <text>
        <t>[Threaded comment]
Your version of Excel allows you to read this threaded comment; however, any edits to it will get removed if the file is opened in a newer version of Excel. Learn more: https://go.microsoft.com/fwlink/?linkid=870924
Comment:
    reef pinching, bench about to hole, moving to new cut</t>
      </text>
    </comment>
    <comment ref="I71" authorId="55" shapeId="0" xr:uid="{BF1BE285-0935-4D28-B989-BA8A297B992A}">
      <text>
        <t>[Threaded comment]
Your version of Excel allows you to read this threaded comment; however, any edits to it will get removed if the file is opened in a newer version of Excel. Learn more: https://go.microsoft.com/fwlink/?linkid=870924
Comment:
    Shrinkage stope in low grade patch.</t>
      </text>
    </comment>
    <comment ref="N71" authorId="56" shapeId="0" xr:uid="{82029970-8F05-4B76-AF1E-6CF2832ADD5D}">
      <text>
        <t>[Threaded comment]
Your version of Excel allows you to read this threaded comment; however, any edits to it will get removed if the file is opened in a newer version of Excel. Learn more: https://go.microsoft.com/fwlink/?linkid=870924
Comment:
    Not sampled, trammed grade used .</t>
      </text>
    </comment>
    <comment ref="P71" authorId="57" shapeId="0" xr:uid="{C290315C-7E5E-4511-B216-6FD8E65DEDFB}">
      <text>
        <t>[Threaded comment]
Your version of Excel allows you to read this threaded comment; however, any edits to it will get removed if the file is opened in a newer version of Excel. Learn more: https://go.microsoft.com/fwlink/?linkid=870924
Comment:
    Shrinkage stope in low grade patch.</t>
      </text>
    </comment>
    <comment ref="S71" authorId="58" shapeId="0" xr:uid="{7D02DBFB-351B-480E-8BC7-1CE08E14F95B}">
      <text>
        <t>[Threaded comment]
Your version of Excel allows you to read this threaded comment; however, any edits to it will get removed if the file is opened in a newer version of Excel. Learn more: https://go.microsoft.com/fwlink/?linkid=870924
Comment:
    Bad patch</t>
      </text>
    </comment>
    <comment ref="Z71" authorId="59" shapeId="0" xr:uid="{952A9729-FA18-43C5-BDC6-16872D6DFBE7}">
      <text>
        <t>[Threaded comment]
Your version of Excel allows you to read this threaded comment; however, any edits to it will get removed if the file is opened in a newer version of Excel. Learn more: https://go.microsoft.com/fwlink/?linkid=870924
Comment:
    Shrinkage stope in low grade patch.</t>
      </text>
    </comment>
    <comment ref="Y76" authorId="60" shapeId="0" xr:uid="{268A68CD-7C7B-4D4D-B4F5-AD9832A8C4BA}">
      <text>
        <t>[Threaded comment]
Your version of Excel allows you to read this threaded comment; however, any edits to it will get removed if the file is opened in a newer version of Excel. Learn more: https://go.microsoft.com/fwlink/?linkid=870924
Comment:
    numerous pipe bursts</t>
      </text>
    </comment>
    <comment ref="I78" authorId="61" shapeId="0" xr:uid="{0D377437-882C-4F44-A88C-0D54FEDC75CB}">
      <text>
        <t>[Threaded comment]
Your version of Excel allows you to read this threaded comment; however, any edits to it will get removed if the file is opened in a newer version of Excel. Learn more: https://go.microsoft.com/fwlink/?linkid=870924
Comment:
    On reef continue mining as guided</t>
      </text>
    </comment>
    <comment ref="L78" authorId="62" shapeId="0" xr:uid="{F92E1D6A-7636-40A6-B2F0-17BC19DE71CB}">
      <text>
        <t>[Threaded comment]
Your version of Excel allows you to read this threaded comment; however, any edits to it will get removed if the file is opened in a newer version of Excel. Learn more: https://go.microsoft.com/fwlink/?linkid=870924
Comment:
    Weakly mineralize BIF patch</t>
      </text>
    </comment>
    <comment ref="X78" authorId="63" shapeId="0" xr:uid="{B9F3AF94-473D-44F8-9982-959FF7A61D05}">
      <text>
        <t>[Threaded comment]
Your version of Excel allows you to read this threaded comment; however, any edits to it will get removed if the file is opened in a newer version of Excel. Learn more: https://go.microsoft.com/fwlink/?linkid=870924
Comment:
    weakly mineralised BIF patch</t>
      </text>
    </comment>
    <comment ref="Y83" authorId="64" shapeId="0" xr:uid="{8C0A0B07-5897-4D11-B417-069B84910EBC}">
      <text>
        <t>[Threaded comment]
Your version of Excel allows you to read this threaded comment; however, any edits to it will get removed if the file is opened in a newer version of Excel. Learn more: https://go.microsoft.com/fwlink/?linkid=870924
Comment:
    numerous pipe bursts</t>
      </text>
    </comment>
    <comment ref="I85" authorId="65" shapeId="0" xr:uid="{38EAA7B8-B0EC-486C-B679-2BC6DB7B75DD}">
      <text>
        <t>[Threaded comment]
Your version of Excel allows you to read this threaded comment; however, any edits to it will get removed if the file is opened in a newer version of Excel. Learn more: https://go.microsoft.com/fwlink/?linkid=870924
Comment:
    On reef continue mining as guided</t>
      </text>
    </comment>
    <comment ref="L85" authorId="66" shapeId="0" xr:uid="{30F1C658-BE67-4FAD-B173-F0533F31DB79}">
      <text>
        <t>[Threaded comment]
Your version of Excel allows you to read this threaded comment; however, any edits to it will get removed if the file is opened in a newer version of Excel. Learn more: https://go.microsoft.com/fwlink/?linkid=870924
Comment:
    Trammed grade, awaiting assay results</t>
      </text>
    </comment>
    <comment ref="Q85" authorId="67" shapeId="0" xr:uid="{C405A0FE-1E0C-4823-8B50-48D803E21F09}">
      <text>
        <t>[Threaded comment]
Your version of Excel allows you to read this threaded comment; however, any edits to it will get removed if the file is opened in a newer version of Excel. Learn more: https://go.microsoft.com/fwlink/?linkid=870924
Comment:
    Visually okay, to continue monitoring the grade</t>
      </text>
    </comment>
    <comment ref="X85" authorId="68" shapeId="0" xr:uid="{073AB901-172B-4315-8B78-41128391F3BB}">
      <text>
        <t>[Threaded comment]
Your version of Excel allows you to read this threaded comment; however, any edits to it will get removed if the file is opened in a newer version of Excel. Learn more: https://go.microsoft.com/fwlink/?linkid=870924
Comment:
    stope visually looks okay</t>
      </text>
    </comment>
    <comment ref="I89" authorId="69" shapeId="0" xr:uid="{74BC884D-F5F0-4575-8FE0-4FA74ECB715E}">
      <text>
        <t>[Threaded comment]
Your version of Excel allows you to read this threaded comment; however, any edits to it will get removed if the file is opened in a newer version of Excel. Learn more: https://go.microsoft.com/fwlink/?linkid=870924
Comment:
    Internal waste affects the grade.</t>
      </text>
    </comment>
    <comment ref="T89" authorId="70" shapeId="0" xr:uid="{8AAD3CCE-8395-4EEC-9BBF-E01156F3D593}">
      <text>
        <t xml:space="preserve">[Threaded comment]
Your version of Excel allows you to read this threaded comment; however, any edits to it will get removed if the file is opened in a newer version of Excel. Learn more: https://go.microsoft.com/fwlink/?linkid=870924
Comment:
    Drilling crew lashing accumulations. </t>
      </text>
    </comment>
    <comment ref="Y90" authorId="71" shapeId="0" xr:uid="{7777841C-71A5-4FBE-B21B-AB02899C08D5}">
      <text>
        <t>[Threaded comment]
Your version of Excel allows you to read this threaded comment; however, any edits to it will get removed if the file is opened in a newer version of Excel. Learn more: https://go.microsoft.com/fwlink/?linkid=870924
Comment:
    pipe bursts</t>
      </text>
    </comment>
    <comment ref="J92" authorId="72" shapeId="0" xr:uid="{5B734045-8412-46E5-8C85-EB861DF0E129}">
      <text>
        <t>[Threaded comment]
Your version of Excel allows you to read this threaded comment; however, any edits to it will get removed if the file is opened in a newer version of Excel. Learn more: https://go.microsoft.com/fwlink/?linkid=870924
Comment:
    Grade to improve as we slype further North</t>
      </text>
    </comment>
    <comment ref="Q92" authorId="73" shapeId="0" xr:uid="{278C3917-3854-4727-A13E-1F7F14236BEB}">
      <text>
        <t>[Threaded comment]
Your version of Excel allows you to read this threaded comment; however, any edits to it will get removed if the file is opened in a newer version of Excel. Learn more: https://go.microsoft.com/fwlink/?linkid=870924
Comment:
    Visually okay, to continue monitoring the grade</t>
      </text>
    </comment>
    <comment ref="X92" authorId="74" shapeId="0" xr:uid="{FCA3B1CC-2CA4-48DA-AB3B-85B1525157FF}">
      <text>
        <t>[Threaded comment]
Your version of Excel allows you to read this threaded comment; however, any edits to it will get removed if the file is opened in a newer version of Excel. Learn more: https://go.microsoft.com/fwlink/?linkid=870924
Comment:
    fairly mineralised BIF portion, grade to improve</t>
      </text>
    </comment>
    <comment ref="Y97" authorId="75" shapeId="0" xr:uid="{D786EF8E-37B9-4957-97AE-4533CAE9CD65}">
      <text>
        <t>[Threaded comment]
Your version of Excel allows you to read this threaded comment; however, any edits to it will get removed if the file is opened in a newer version of Excel. Learn more: https://go.microsoft.com/fwlink/?linkid=870924
Comment:
    pipe bursts</t>
      </text>
    </comment>
    <comment ref="J99" authorId="76" shapeId="0" xr:uid="{F1AEFACA-A4E3-4FCC-A339-F4F4519550E7}">
      <text>
        <t>[Threaded comment]
Your version of Excel allows you to read this threaded comment; however, any edits to it will get removed if the file is opened in a newer version of Excel. Learn more: https://go.microsoft.com/fwlink/?linkid=870924
Comment:
    To continue mining as guided
Reply:
    Grade to improve as we slype further North</t>
      </text>
    </comment>
    <comment ref="M99" authorId="77" shapeId="0" xr:uid="{2CE91475-9B45-4903-8FAC-3E35E729B78D}">
      <text>
        <t>[Threaded comment]
Your version of Excel allows you to read this threaded comment; however, any edits to it will get removed if the file is opened in a newer version of Excel. Learn more: https://go.microsoft.com/fwlink/?linkid=870924
Comment:
    Not sampled yesterday used previous grade</t>
      </text>
    </comment>
    <comment ref="P99" authorId="78" shapeId="0" xr:uid="{EA696FB5-896F-48DA-A69C-E6E844B28050}">
      <text>
        <t>[Threaded comment]
Your version of Excel allows you to read this threaded comment; however, any edits to it will get removed if the file is opened in a newer version of Excel. Learn more: https://go.microsoft.com/fwlink/?linkid=870924
Comment:
    Visually good, to continue monitoring stope.</t>
      </text>
    </comment>
    <comment ref="T99" authorId="79" shapeId="0" xr:uid="{2EA84CB1-DD38-4EF5-8749-A7CE435991B0}">
      <text>
        <t>[Threaded comment]
Your version of Excel allows you to read this threaded comment; however, any edits to it will get removed if the file is opened in a newer version of Excel. Learn more: https://go.microsoft.com/fwlink/?linkid=870924
Comment:
    Stopped slyping now benching, grade to improve.</t>
      </text>
    </comment>
    <comment ref="U99" authorId="80" shapeId="0" xr:uid="{218CD087-4D8B-4A09-8EEA-18FCFDA76272}">
      <text>
        <t>[Threaded comment]
Your version of Excel allows you to read this threaded comment; however, any edits to it will get removed if the file is opened in a newer version of Excel. Learn more: https://go.microsoft.com/fwlink/?linkid=870924
Comment:
    Grade to improve as mining continues with benching</t>
      </text>
    </comment>
    <comment ref="Z99" authorId="81" shapeId="0" xr:uid="{4BB3D2C4-9BC2-4E19-8F0D-BCB0CC0361F3}">
      <text>
        <t>[Threaded comment]
Your version of Excel allows you to read this threaded comment; however, any edits to it will get removed if the file is opened in a newer version of Excel. Learn more: https://go.microsoft.com/fwlink/?linkid=870924
Comment:
    Visually good stope to improve with benching.</t>
      </text>
    </comment>
    <comment ref="Y104" authorId="82" shapeId="0" xr:uid="{D1548DFA-32AB-45AB-AC83-76852961B68E}">
      <text>
        <t>[Threaded comment]
Your version of Excel allows you to read this threaded comment; however, any edits to it will get removed if the file is opened in a newer version of Excel. Learn more: https://go.microsoft.com/fwlink/?linkid=870924
Comment:
    water pipe bursts</t>
      </text>
    </comment>
    <comment ref="M106" authorId="83" shapeId="0" xr:uid="{DF179E6F-8F45-4817-BD18-4EE278798903}">
      <text>
        <t xml:space="preserve">[Threaded comment]
Your version of Excel allows you to read this threaded comment; however, any edits to it will get removed if the file is opened in a newer version of Excel. Learn more: https://go.microsoft.com/fwlink/?linkid=870924
Comment:
    Inclusion of Chlorite Schist middling but on reef
</t>
      </text>
    </comment>
    <comment ref="O106" authorId="84" shapeId="0" xr:uid="{941BA051-FCDE-4317-9DF6-2E5DF872FB9B}">
      <text>
        <t>[Threaded comment]
Your version of Excel allows you to read this threaded comment; however, any edits to it will get removed if the file is opened in a newer version of Excel. Learn more: https://go.microsoft.com/fwlink/?linkid=870924
Comment:
    Reef visually good, to continue monitoring stope.</t>
      </text>
    </comment>
    <comment ref="P106" authorId="85" shapeId="0" xr:uid="{69018ED0-9B30-4FC0-81CE-C5AFBFE55BC4}">
      <text>
        <t>[Threaded comment]
Your version of Excel allows you to read this threaded comment; however, any edits to it will get removed if the file is opened in a newer version of Excel. Learn more: https://go.microsoft.com/fwlink/?linkid=870924
Comment:
    Narrow waste meddling within the reef.</t>
      </text>
    </comment>
    <comment ref="U106" authorId="86" shapeId="0" xr:uid="{CD504426-F354-44C7-9D69-C0BE27BFFFBD}">
      <text>
        <t>[Threaded comment]
Your version of Excel allows you to read this threaded comment; however, any edits to it will get removed if the file is opened in a newer version of Excel. Learn more: https://go.microsoft.com/fwlink/?linkid=870924
Comment:
    Inclusion of chlorite schist middling</t>
      </text>
    </comment>
    <comment ref="I110" authorId="87" shapeId="0" xr:uid="{B1770FFF-3C01-4692-9016-6B95909FFEF3}">
      <text>
        <t xml:space="preserve">[Threaded comment]
Your version of Excel allows you to read this threaded comment; however, any edits to it will get removed if the file is opened in a newer version of Excel. Learn more: https://go.microsoft.com/fwlink/?linkid=870924
Comment:
    Mining W10 whilst managing low grade material from W15A </t>
      </text>
    </comment>
    <comment ref="M110" authorId="88" shapeId="0" xr:uid="{F8307889-882A-478D-A1E1-3CEB8A311274}">
      <text>
        <t>[Threaded comment]
Your version of Excel allows you to read this threaded comment; however, any edits to it will get removed if the file is opened in a newer version of Excel. Learn more: https://go.microsoft.com/fwlink/?linkid=870924
Comment:
    Finishing off cone slyping</t>
      </text>
    </comment>
    <comment ref="R110" authorId="89" shapeId="0" xr:uid="{BE863D6E-4850-4D0A-824F-0F665326A1F6}">
      <text>
        <t>[Threaded comment]
Your version of Excel allows you to read this threaded comment; however, any edits to it will get removed if the file is opened in a newer version of Excel. Learn more: https://go.microsoft.com/fwlink/?linkid=870924
Comment:
    incomplete lashing due off sicks</t>
      </text>
    </comment>
    <comment ref="U110" authorId="90" shapeId="0" xr:uid="{E749C249-9015-4781-83F5-ACAEACDACF6E}">
      <text>
        <t xml:space="preserve">[Threaded comment]
Your version of Excel allows you to read this threaded comment; however, any edits to it will get removed if the file is opened in a newer version of Excel. Learn more: https://go.microsoft.com/fwlink/?linkid=870924
Comment:
    No drilling due to accumulation, suspended draw by Geology due to grade control  </t>
      </text>
    </comment>
    <comment ref="V110" authorId="91" shapeId="0" xr:uid="{7183C4FD-8BB5-4174-A11B-1D991D4833EA}">
      <text>
        <t xml:space="preserve">[Threaded comment]
Your version of Excel allows you to read this threaded comment; however, any edits to it will get removed if the file is opened in a newer version of Excel. Learn more: https://go.microsoft.com/fwlink/?linkid=870924
Comment:
    No drilling due to accumulation, suspended draw by Geology due to grade control  </t>
      </text>
    </comment>
    <comment ref="M113" authorId="92" shapeId="0" xr:uid="{C9B141AA-DD40-4A98-96D8-BBE2C7914234}">
      <text>
        <t>[Threaded comment]
Your version of Excel allows you to read this threaded comment; however, any edits to it will get removed if the file is opened in a newer version of Excel. Learn more: https://go.microsoft.com/fwlink/?linkid=870924
Comment:
    Finishing conning today machines going to SBL2</t>
      </text>
    </comment>
    <comment ref="N113" authorId="93" shapeId="0" xr:uid="{8103C5AE-B31B-4B81-BF23-7686158CB537}">
      <text>
        <t>[Threaded comment]
Your version of Excel allows you to read this threaded comment; however, any edits to it will get removed if the file is opened in a newer version of Excel. Learn more: https://go.microsoft.com/fwlink/?linkid=870924
Comment:
    slyping on sub 1 to expose pay zone</t>
      </text>
    </comment>
    <comment ref="O113" authorId="94" shapeId="0" xr:uid="{D3DDB27E-B60E-41F5-BA90-459B43449DB5}">
      <text>
        <t>[Threaded comment]
Your version of Excel allows you to read this threaded comment; however, any edits to it will get removed if the file is opened in a newer version of Excel. Learn more: https://go.microsoft.com/fwlink/?linkid=870924
Comment:
    Conning in weakly mineralized BIF</t>
      </text>
    </comment>
    <comment ref="X113" authorId="95" shapeId="0" xr:uid="{9095208D-03FE-42B5-A653-548CCD27F2CD}">
      <text>
        <t>[Threaded comment]
Your version of Excel allows you to read this threaded comment; however, any edits to it will get removed if the file is opened in a newer version of Excel. Learn more: https://go.microsoft.com/fwlink/?linkid=870924
Comment:
    wider mining width incorporating poorly mineralised zone, for ground control purposes</t>
      </text>
    </comment>
    <comment ref="Z113" authorId="96" shapeId="0" xr:uid="{FD65BB2D-15BF-45CF-AE1F-617DCF858AFC}">
      <text>
        <t>[Threaded comment]
Your version of Excel allows you to read this threaded comment; however, any edits to it will get removed if the file is opened in a newer version of Excel. Learn more: https://go.microsoft.com/fwlink/?linkid=870924
Comment:
    poorly mineralised patch, continuous monitoring.</t>
      </text>
    </comment>
    <comment ref="I117" authorId="97" shapeId="0" xr:uid="{A429E3FC-8A8D-4BCC-B869-F17FD5A70F21}">
      <text>
        <t xml:space="preserve">[Threaded comment]
Your version of Excel allows you to read this threaded comment; however, any edits to it will get removed if the file is opened in a newer version of Excel. Learn more: https://go.microsoft.com/fwlink/?linkid=870924
Comment:
    Currently mining W10 whilst managing low grade material from W15A </t>
      </text>
    </comment>
    <comment ref="R117" authorId="98" shapeId="0" xr:uid="{345E5185-AC11-4C8E-8281-81EB7E809532}">
      <text>
        <t xml:space="preserve">[Threaded comment]
Your version of Excel allows you to read this threaded comment; however, any edits to it will get removed if the file is opened in a newer version of Excel. Learn more: https://go.microsoft.com/fwlink/?linkid=870924
Comment:
    Incomplete lashing due off sicks </t>
      </text>
    </comment>
    <comment ref="N120" authorId="99" shapeId="0" xr:uid="{0FEEFD6B-B110-427F-B036-F24DD4195BD2}">
      <text>
        <t>[Threaded comment]
Your version of Excel allows you to read this threaded comment; however, any edits to it will get removed if the file is opened in a newer version of Excel. Learn more: https://go.microsoft.com/fwlink/?linkid=870924
Comment:
    conning in weakly mineralised BIF</t>
      </text>
    </comment>
    <comment ref="O120" authorId="100" shapeId="0" xr:uid="{D83D59B4-2E19-4522-97B9-B5C4D08F04FD}">
      <text>
        <t>[Threaded comment]
Your version of Excel allows you to read this threaded comment; however, any edits to it will get removed if the file is opened in a newer version of Excel. Learn more: https://go.microsoft.com/fwlink/?linkid=870924
Comment:
    Slypping on Sb1 to expose paying zone</t>
      </text>
    </comment>
    <comment ref="P120" authorId="101" shapeId="0" xr:uid="{97FF3800-C9D8-4D19-94A2-5B3563FBCBBC}">
      <text>
        <t>[Threaded comment]
Your version of Excel allows you to read this threaded comment; however, any edits to it will get removed if the file is opened in a newer version of Excel. Learn more: https://go.microsoft.com/fwlink/?linkid=870924
Comment:
    Slypping northwards to expose pay limit</t>
      </text>
    </comment>
    <comment ref="X120" authorId="102" shapeId="0" xr:uid="{1C15D160-05D3-41A9-97B8-525747B8FDCA}">
      <text>
        <t xml:space="preserve">[Threaded comment]
Your version of Excel allows you to read this threaded comment; however, any edits to it will get removed if the file is opened in a newer version of Excel. Learn more: https://go.microsoft.com/fwlink/?linkid=870924
Comment:
    mining incorporating weakly mineralised BIF zone for ground control </t>
      </text>
    </comment>
    <comment ref="Z120" authorId="103" shapeId="0" xr:uid="{78328A3A-12F1-4E36-9AFB-5C3A8F637BDB}">
      <text>
        <t>[Threaded comment]
Your version of Excel allows you to read this threaded comment; however, any edits to it will get removed if the file is opened in a newer version of Excel. Learn more: https://go.microsoft.com/fwlink/?linkid=870924
Comment:
    poorly mineralised BIF patch, continuous monitoring.</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tc={3815EBC5-0271-4F6F-B951-11DF60A07E43}</author>
    <author>tc={5737AF61-3C64-47B8-A070-EF2F742B3679}</author>
    <author>tc={F0830E7C-7952-49D0-80D9-FA9B607999CC}</author>
    <author>tc={76335B9F-8005-47F9-9297-0888466663A9}</author>
    <author>tc={6B00F828-326F-40FD-9CC2-5C1F621506EE}</author>
    <author>tc={92A491C8-7AC7-4A91-970C-9E67CBB49285}</author>
    <author>tc={F32A166F-D938-4301-B81C-621C668B96B2}</author>
    <author>tc={D0500D9D-F333-46B3-A9D4-0729A62DF826}</author>
    <author>tc={15158C3F-2905-4397-A98D-037CC812906F}</author>
    <author>tc={77C6BECA-564C-40C0-9000-7D354E666F7C}</author>
    <author>tc={496CDD2E-A50B-4B8F-96EE-2E5961398253}</author>
    <author>tc={5BD161E8-7E04-45C7-A9D1-C2F1CF6B713F}</author>
    <author>tc={FA39909A-1118-4D65-BCFC-151DEF383075}</author>
    <author>tc={DD83CD60-43E5-4284-8014-0581E26F425E}</author>
    <author>tc={53434F07-148F-4903-BF4A-83053691BCB1}</author>
    <author>tc={C7C95A51-DE7E-4A02-B39D-4B42DC7B0519}</author>
    <author>tc={CEF7F07F-1670-4D07-9C3E-244098FB3B17}</author>
    <author>tc={CDA4CFC9-D837-43AC-BBD6-4EF15FE2FFFE}</author>
    <author>tc={4DE9CF8F-A893-41DF-BCEA-3799D1563A9A}</author>
    <author>tc={2532C48C-A071-4119-A1D5-FB2BCC548E31}</author>
    <author>tc={7C3A4F08-CC76-48CE-BE98-3A5E6278493A}</author>
    <author>tc={29740314-2CD3-4F73-8616-CF5D85CD418C}</author>
    <author>tc={58BE59F8-274A-4110-9FE4-73E43D5F48C0}</author>
    <author>tc={292FD82D-3A7E-4346-8D3F-F752CA4E89D8}</author>
    <author>tc={FE9BAE03-F187-41CD-BD2C-E78522FB6778}</author>
    <author>tc={DC543F8A-9CA6-401E-85FB-233801F91636}</author>
    <author>tc={6DE87AFC-332D-4ED6-AA3C-DFBA8E85B171}</author>
    <author>tc={33311F96-0F79-4D56-B2E8-93BB70956E29}</author>
    <author>tc={4140E58C-2E82-4CFC-B418-E85160A9F461}</author>
    <author>tc={115E0BED-1452-4318-9093-17468C9351DC}</author>
    <author>tc={25F12A39-EB7F-4988-8B14-46EBC7CEC598}</author>
    <author>tc={F95A82B1-1748-4B99-B8D2-E62CAB361AE1}</author>
    <author>tc={AA05030D-E51D-4328-B469-C7D5E2BFE351}</author>
    <author>tc={DAD1E505-00DB-45C1-9DEC-F047A2C803CF}</author>
    <author>tc={8C6557B5-9DF0-4569-8926-CBC58500D262}</author>
    <author>tc={A8151A7A-7C86-4C86-A444-A8F37D6CF29E}</author>
    <author>tc={382DF69D-0190-4BE5-B386-CF390F9867D8}</author>
    <author>tc={97BDED07-324D-4888-BDBB-DC5F40976A00}</author>
    <author>tc={35DA5A3A-647D-444B-AB76-228A262543BB}</author>
    <author>tc={D8473173-EFB1-4D32-9506-0890B992EA24}</author>
    <author>tc={7316B052-ED7B-4300-8CE0-0FACAE5E2CD7}</author>
    <author>tc={24D8F45A-210C-437B-9E5A-486B6D4C3FE2}</author>
    <author>tc={760CEDEC-8006-461D-92F8-B9E9E1B39A4B}</author>
    <author>tc={D6782E80-A951-47BD-8CD4-12F6AD8C70BA}</author>
    <author>tc={0AB94728-6F8A-405D-B01E-4D99C30CFD85}</author>
    <author>tc={B932813E-93A8-4239-B022-33D8F6650270}</author>
    <author>tc={C113CF63-7568-4863-8C3C-31584BA01BD7}</author>
    <author>tc={81694D2A-4286-42D2-80A6-B8451F27307C}</author>
    <author>tc={233DC902-9319-4035-8600-5D25F6639EB8}</author>
    <author>tc={D7ED08A1-85C3-41D2-AB5D-F5E97E0DCCE6}</author>
    <author>tc={59FA7EC7-182C-4295-B653-002D6EE170AD}</author>
    <author>tc={4CAEEB9B-0052-48AC-B60C-47794D9A96DB}</author>
    <author>tc={D5CF6FAA-CB6B-4E4B-B3C1-553022EB035C}</author>
    <author>tc={7E4CE0E2-39AD-4507-9AC7-A6BD70ED2EA0}</author>
    <author>tc={41B65495-85DA-410B-BFC2-45CD559EE498}</author>
    <author>tc={A32B8FE2-94C7-4657-9191-62820CFDAB62}</author>
    <author>tc={A8B5EB45-5177-420E-9945-646B2841D5C4}</author>
    <author>tc={B4E3B0A4-147C-41AD-92DA-3295AD7818EC}</author>
    <author>tc={70A6DF46-F761-4104-A48D-97259B2C7336}</author>
    <author>tc={4C8E6B25-50D6-4E04-86B6-10DF2B9E3EBD}</author>
    <author>tc={DF05F164-E5A6-4486-B96B-6ADF8D1AC247}</author>
    <author>tc={EBDA338E-6C5C-4557-8AC7-287F69E7B1CA}</author>
    <author>tc={021DEF04-B0A7-438A-B57B-BF0DF930CE2F}</author>
    <author>tc={621146DB-CEBB-46ED-AB55-3B1ECE15496F}</author>
    <author>tc={8DD1E0FE-DD92-4F69-A6C7-8E575BE812E2}</author>
    <author>tc={3C0158AF-D2AC-4349-AE06-3917D4F3B7A9}</author>
    <author>tc={786F2ED3-6B28-4F24-BC08-8BABD05BF4D4}</author>
    <author>tc={0991D5A3-C86D-4733-92B9-7308004BEECB}</author>
    <author>tc={D9BAA7FE-110E-44AD-BA02-97074B16ACEA}</author>
    <author>tc={E294414D-7D87-47CA-866B-DFA94BF406B8}</author>
    <author>tc={DD1A7E1E-0CBB-4AD8-934E-44CB280EFE57}</author>
    <author>tc={3FF11F04-3B17-4044-B832-A02DA9504F6E}</author>
    <author>tc={A811AD13-338F-4E5F-87F3-9A15BCFF1069}</author>
    <author>tc={00671BEC-FBA2-481D-8FB9-A67C30ED4049}</author>
    <author>tc={21F585E2-8479-448B-8A01-9F3983785391}</author>
    <author>tc={BD49049C-C87C-426D-9B62-5F8042FD090B}</author>
    <author>tc={3BAB4F0E-B806-434B-B5B7-E4C20DA851BA}</author>
    <author>tc={D02F5B80-92A1-48E8-A134-5F748F97D535}</author>
    <author>tc={FE65DD1E-1001-475C-998E-D28339319BF1}</author>
    <author>tc={5F03BA45-2BAE-4123-9449-8B41A335779B}</author>
    <author>tc={EBF65782-7C3C-421D-9F3F-649AB40A60BA}</author>
    <author>tc={D82EDC72-4747-4CC6-821E-D3E12F935D30}</author>
    <author>tc={F2B302AF-81E4-483A-8973-E92DFDECE619}</author>
    <author>tc={6FC8C61E-D107-4F82-A20C-6AC22CF87933}</author>
    <author>tc={797D660E-BDE7-4882-A561-F0980AC0FB4E}</author>
    <author>tc={F253EA20-922E-4E64-9C05-0F5EDA594F02}</author>
    <author>tc={42E1A1A9-664C-432F-B0C9-9A3B3F22415D}</author>
    <author>tc={EA43ECAA-6E91-44AD-94F0-EB5895E3D770}</author>
    <author>tc={A10BE134-E95C-40D5-ADF0-898C7E6A0B92}</author>
    <author>tc={29F91D4D-822D-4340-ACD5-F3CB8670398C}</author>
    <author>tc={348AE23B-DABA-4CA1-B3DD-AFD84DCD156A}</author>
    <author>tc={001FA398-C939-4168-BC57-87FAF6F618E6}</author>
    <author>tc={A2274604-8057-45D3-933D-75B071ADC0FB}</author>
    <author>tc={38979FDC-B01B-4AE3-A7C1-38641931D511}</author>
    <author>tc={4B0557A3-AD4C-43C5-8FB1-D89A8B6701B7}</author>
    <author>tc={C350F5AF-3488-4819-9960-EDADA06742F7}</author>
    <author>tc={5DB433CF-9AF6-444A-920A-A82BB868E396}</author>
  </authors>
  <commentList>
    <comment ref="AD11" authorId="0" shapeId="0" xr:uid="{3815EBC5-0271-4F6F-B951-11DF60A07E43}">
      <text>
        <t>[Threaded comment]
Your version of Excel allows you to read this threaded comment; however, any edits to it will get removed if the file is opened in a newer version of Excel. Learn more: https://go.microsoft.com/fwlink/?linkid=870924
Comment:
    Poor labor turnout affecting stoping operations</t>
      </text>
    </comment>
    <comment ref="V13" authorId="1" shapeId="0" xr:uid="{5737AF61-3C64-47B8-A070-EF2F742B3679}">
      <text>
        <t>[Threaded comment]
Your version of Excel allows you to read this threaded comment; however, any edits to it will get removed if the file is opened in a newer version of Excel. Learn more: https://go.microsoft.com/fwlink/?linkid=870924
Comment:
    No sampling on Sunday used previous assay result.</t>
      </text>
    </comment>
    <comment ref="X13" authorId="2" shapeId="0" xr:uid="{F0830E7C-7952-49D0-80D9-FA9B607999CC}">
      <text>
        <t>[Threaded comment]
Your version of Excel allows you to read this threaded comment; however, any edits to it will get removed if the file is opened in a newer version of Excel. Learn more: https://go.microsoft.com/fwlink/?linkid=870924
Comment:
    Awaiting assay results for bottom section stopes
Reply:
    Samplers erroneously put core samples on P1.</t>
      </text>
    </comment>
    <comment ref="Y13" authorId="3" shapeId="0" xr:uid="{76335B9F-8005-47F9-9297-0888466663A9}">
      <text>
        <t xml:space="preserve">[Threaded comment]
Your version of Excel allows you to read this threaded comment; however, any edits to it will get removed if the file is opened in a newer version of Excel. Learn more: https://go.microsoft.com/fwlink/?linkid=870924
Comment:
    Bottom section assay values pending  </t>
      </text>
    </comment>
    <comment ref="K19" authorId="4" shapeId="0" xr:uid="{6B00F828-326F-40FD-9CC2-5C1F621506EE}">
      <text>
        <t xml:space="preserve">[Threaded comment]
Your version of Excel allows you to read this threaded comment; however, any edits to it will get removed if the file is opened in a newer version of Excel. Learn more: https://go.microsoft.com/fwlink/?linkid=870924
Comment:
    one machine drilled due to limited bench area guided by Geology </t>
      </text>
    </comment>
    <comment ref="L19" authorId="5" shapeId="0" xr:uid="{92A491C8-7AC7-4A91-970C-9E67CBB49285}">
      <text>
        <t xml:space="preserve">[Threaded comment]
Your version of Excel allows you to read this threaded comment; however, any edits to it will get removed if the file is opened in a newer version of Excel. Learn more: https://go.microsoft.com/fwlink/?linkid=870924
Comment:
    one machine drilled due to limited bench area guided by Geology </t>
      </text>
    </comment>
    <comment ref="M19" authorId="6" shapeId="0" xr:uid="{F32A166F-D938-4301-B81C-621C668B96B2}">
      <text>
        <t xml:space="preserve">[Threaded comment]
Your version of Excel allows you to read this threaded comment; however, any edits to it will get removed if the file is opened in a newer version of Excel. Learn more: https://go.microsoft.com/fwlink/?linkid=870924
Comment:
    one machine drilled due to limited bench area guided by Geology </t>
      </text>
    </comment>
    <comment ref="N19" authorId="7" shapeId="0" xr:uid="{D0500D9D-F333-46B3-A9D4-0729A62DF826}">
      <text>
        <t xml:space="preserve">[Threaded comment]
Your version of Excel allows you to read this threaded comment; however, any edits to it will get removed if the file is opened in a newer version of Excel. Learn more: https://go.microsoft.com/fwlink/?linkid=870924
Comment:
    one machine drilled due to limited bench area guided by Geology </t>
      </text>
    </comment>
    <comment ref="O19" authorId="8" shapeId="0" xr:uid="{15158C3F-2905-4397-A98D-037CC812906F}">
      <text>
        <t xml:space="preserve">[Threaded comment]
Your version of Excel allows you to read this threaded comment; however, any edits to it will get removed if the file is opened in a newer version of Excel. Learn more: https://go.microsoft.com/fwlink/?linkid=870924
Comment:
    one machine drilled due to limited bench area guided by Geology </t>
      </text>
    </comment>
    <comment ref="P19" authorId="9" shapeId="0" xr:uid="{77C6BECA-564C-40C0-9000-7D354E666F7C}">
      <text>
        <t xml:space="preserve">[Threaded comment]
Your version of Excel allows you to read this threaded comment; however, any edits to it will get removed if the file is opened in a newer version of Excel. Learn more: https://go.microsoft.com/fwlink/?linkid=870924
Comment:
    one machine drilled due to limited bench area guided by Geology </t>
      </text>
    </comment>
    <comment ref="Q19" authorId="10" shapeId="0" xr:uid="{496CDD2E-A50B-4B8F-96EE-2E5961398253}">
      <text>
        <t xml:space="preserve">[Threaded comment]
Your version of Excel allows you to read this threaded comment; however, any edits to it will get removed if the file is opened in a newer version of Excel. Learn more: https://go.microsoft.com/fwlink/?linkid=870924
Comment:
    one machine drilled due to limited bench area guided by Geology </t>
      </text>
    </comment>
    <comment ref="R19" authorId="11" shapeId="0" xr:uid="{5BD161E8-7E04-45C7-A9D1-C2F1CF6B713F}">
      <text>
        <t xml:space="preserve">[Threaded comment]
Your version of Excel allows you to read this threaded comment; however, any edits to it will get removed if the file is opened in a newer version of Excel. Learn more: https://go.microsoft.com/fwlink/?linkid=870924
Comment:
    one machine drilled due to limited bench area guided by Geology </t>
      </text>
    </comment>
    <comment ref="S19" authorId="12" shapeId="0" xr:uid="{FA39909A-1118-4D65-BCFC-151DEF383075}">
      <text>
        <t xml:space="preserve">[Threaded comment]
Your version of Excel allows you to read this threaded comment; however, any edits to it will get removed if the file is opened in a newer version of Excel. Learn more: https://go.microsoft.com/fwlink/?linkid=870924
Comment:
    one machine drilled due to limited bench area guided by Geology </t>
      </text>
    </comment>
    <comment ref="J22" authorId="13" shapeId="0" xr:uid="{DD83CD60-43E5-4284-8014-0581E26F425E}">
      <text>
        <t>[Threaded comment]
Your version of Excel allows you to read this threaded comment; however, any edits to it will get removed if the file is opened in a newer version of Excel. Learn more: https://go.microsoft.com/fwlink/?linkid=870924
Comment:
    To mine the 1.3m silicified and mineralised BIF</t>
      </text>
    </comment>
    <comment ref="K22" authorId="14" shapeId="0" xr:uid="{53434F07-148F-4903-BF4A-83053691BCB1}">
      <text>
        <t>[Threaded comment]
Your version of Excel allows you to read this threaded comment; however, any edits to it will get removed if the file is opened in a newer version of Excel. Learn more: https://go.microsoft.com/fwlink/?linkid=870924
Comment:
    Reef limits now clear grade to improve as mining retreat eastwards.</t>
      </text>
    </comment>
    <comment ref="Q22" authorId="15" shapeId="0" xr:uid="{C7C95A51-DE7E-4A02-B39D-4B42DC7B0519}">
      <text>
        <t>[Threaded comment]
Your version of Excel allows you to read this threaded comment; however, any edits to it will get removed if the file is opened in a newer version of Excel. Learn more: https://go.microsoft.com/fwlink/?linkid=870924
Comment:
    No issues reef looks good</t>
      </text>
    </comment>
    <comment ref="Z22" authorId="16" shapeId="0" xr:uid="{CEF7F07F-1670-4D07-9C3E-244098FB3B17}">
      <text>
        <t>[Threaded comment]
Your version of Excel allows you to read this threaded comment; however, any edits to it will get removed if the file is opened in a newer version of Excel. Learn more: https://go.microsoft.com/fwlink/?linkid=870924
Comment:
    In the same BIF, stope to improve</t>
      </text>
    </comment>
    <comment ref="AE22" authorId="17" shapeId="0" xr:uid="{CDA4CFC9-D837-43AC-BBD6-4EF15FE2FFFE}">
      <text>
        <t>[Threaded comment]
Your version of Excel allows you to read this threaded comment; however, any edits to it will get removed if the file is opened in a newer version of Excel. Learn more: https://go.microsoft.com/fwlink/?linkid=870924
Comment:
    Slyping on Sub1 to expose the pay zone. Grade to improve as machine moves back to the cone drive.</t>
      </text>
    </comment>
    <comment ref="AF22" authorId="18" shapeId="0" xr:uid="{4DE9CF8F-A893-41DF-BCEA-3799D1563A9A}">
      <text>
        <t>[Threaded comment]
Your version of Excel allows you to read this threaded comment; however, any edits to it will get removed if the file is opened in a newer version of Excel. Learn more: https://go.microsoft.com/fwlink/?linkid=870924
Comment:
    Slyping to expose paying zone.</t>
      </text>
    </comment>
    <comment ref="P36" authorId="19" shapeId="0" xr:uid="{2532C48C-A071-4119-A1D5-FB2BCC548E31}">
      <text>
        <t>[Threaded comment]
Your version of Excel allows you to read this threaded comment; however, any edits to it will get removed if the file is opened in a newer version of Excel. Learn more: https://go.microsoft.com/fwlink/?linkid=870924
Comment:
    Waste patch encountered (un-mineralised limonitic BIF) on the northern contact.</t>
      </text>
    </comment>
    <comment ref="Q36" authorId="20" shapeId="0" xr:uid="{7C3A4F08-CC76-48CE-BE98-3A5E6278493A}">
      <text>
        <t>[Threaded comment]
Your version of Excel allows you to read this threaded comment; however, any edits to it will get removed if the file is opened in a newer version of Excel. Learn more: https://go.microsoft.com/fwlink/?linkid=870924
Comment:
    barren magnetic BIF on the northern contact, western slyping.</t>
      </text>
    </comment>
    <comment ref="S36" authorId="21" shapeId="0" xr:uid="{29740314-2CD3-4F73-8616-CF5D85CD418C}">
      <text>
        <t>[Threaded comment]
Your version of Excel allows you to read this threaded comment; however, any edits to it will get removed if the file is opened in a newer version of Excel. Learn more: https://go.microsoft.com/fwlink/?linkid=870924
Comment:
    Barren magnetic BIF on the northern contact of the bench</t>
      </text>
    </comment>
    <comment ref="V36" authorId="22" shapeId="0" xr:uid="{58BE59F8-274A-4110-9FE4-73E43D5F48C0}">
      <text>
        <t>[Threaded comment]
Your version of Excel allows you to read this threaded comment; however, any edits to it will get removed if the file is opened in a newer version of Excel. Learn more: https://go.microsoft.com/fwlink/?linkid=870924
Comment:
    Slyping of the western side stopped, to start the eastern side of the stope.</t>
      </text>
    </comment>
    <comment ref="Y36" authorId="23" shapeId="0" xr:uid="{292FD82D-3A7E-4346-8D3F-F752CA4E89D8}">
      <text>
        <t>[Threaded comment]
Your version of Excel allows you to read this threaded comment; however, any edits to it will get removed if the file is opened in a newer version of Excel. Learn more: https://go.microsoft.com/fwlink/?linkid=870924
Comment:
    Poorly mineralized silicified BIF patch, to continue monitoring</t>
      </text>
    </comment>
    <comment ref="Z36" authorId="24" shapeId="0" xr:uid="{FE9BAE03-F187-41CD-BD2C-E78522FB6778}">
      <text>
        <t>[Threaded comment]
Your version of Excel allows you to read this threaded comment; however, any edits to it will get removed if the file is opened in a newer version of Excel. Learn more: https://go.microsoft.com/fwlink/?linkid=870924
Comment:
    Poorly mineralised BIF, to contniue monitoring the stope</t>
      </text>
    </comment>
    <comment ref="AF36" authorId="25" shapeId="0" xr:uid="{DC543F8A-9CA6-401E-85FB-233801F91636}">
      <text>
        <t>[Threaded comment]
Your version of Excel allows you to read this threaded comment; however, any edits to it will get removed if the file is opened in a newer version of Excel. Learn more: https://go.microsoft.com/fwlink/?linkid=870924
Comment:
    Poorly mineralized BIF, to continue monitoring stope</t>
      </text>
    </comment>
    <comment ref="AF47" authorId="26" shapeId="0" xr:uid="{6DE87AFC-332D-4ED6-AA3C-DFBA8E85B171}">
      <text>
        <t xml:space="preserve">[Threaded comment]
Your version of Excel allows you to read this threaded comment; however, any edits to it will get removed if the file is opened in a newer version of Excel. Learn more: https://go.microsoft.com/fwlink/?linkid=870924
Comment:
    One machine drilling collapsed boulders in the cone drive. </t>
      </text>
    </comment>
    <comment ref="K50" authorId="27" shapeId="0" xr:uid="{33311F96-0F79-4D56-B2E8-93BB70956E29}">
      <text>
        <t>[Threaded comment]
Your version of Excel allows you to read this threaded comment; however, any edits to it will get removed if the file is opened in a newer version of Excel. Learn more: https://go.microsoft.com/fwlink/?linkid=870924
Comment:
    The reef is well mineralised</t>
      </text>
    </comment>
    <comment ref="P50" authorId="28" shapeId="0" xr:uid="{4140E58C-2E82-4CFC-B418-E85160A9F461}">
      <text>
        <t>[Threaded comment]
Your version of Excel allows you to read this threaded comment; however, any edits to it will get removed if the file is opened in a newer version of Excel. Learn more: https://go.microsoft.com/fwlink/?linkid=870924
Comment:
    Benching the catwalk part - low mineralisation (Last bench) -grades will improve with dip.</t>
      </text>
    </comment>
    <comment ref="Q50" authorId="29" shapeId="0" xr:uid="{115E0BED-1452-4318-9093-17468C9351DC}">
      <text>
        <t>[Threaded comment]
Your version of Excel allows you to read this threaded comment; however, any edits to it will get removed if the file is opened in a newer version of Excel. Learn more: https://go.microsoft.com/fwlink/?linkid=870924
Comment:
    benching top part of catwalk, poorly mneralised. Grades to improve with dip.</t>
      </text>
    </comment>
    <comment ref="R50" authorId="30" shapeId="0" xr:uid="{25F12A39-EB7F-4988-8B14-46EBC7CEC598}">
      <text>
        <t>[Threaded comment]
Your version of Excel allows you to read this threaded comment; however, any edits to it will get removed if the file is opened in a newer version of Excel. Learn more: https://go.microsoft.com/fwlink/?linkid=870924
Comment:
    Grades depressed reef looks ok. Monitoring the stope.</t>
      </text>
    </comment>
    <comment ref="W50" authorId="31" shapeId="0" xr:uid="{F95A82B1-1748-4B99-B8D2-E62CAB361AE1}">
      <text>
        <t>[Threaded comment]
Your version of Excel allows you to read this threaded comment; however, any edits to it will get removed if the file is opened in a newer version of Excel. Learn more: https://go.microsoft.com/fwlink/?linkid=870924
Comment:
    Narrow chlorite schist self mining and dilutes broken ore.</t>
      </text>
    </comment>
    <comment ref="X50" authorId="32" shapeId="0" xr:uid="{AA05030D-E51D-4328-B469-C7D5E2BFE351}">
      <text>
        <t>[Threaded comment]
Your version of Excel allows you to read this threaded comment; however, any edits to it will get removed if the file is opened in a newer version of Excel. Learn more: https://go.microsoft.com/fwlink/?linkid=870924
Comment:
    Narrow schist on southern contact self-mining, low grade silicified BIF.</t>
      </text>
    </comment>
    <comment ref="Y50" authorId="33" shapeId="0" xr:uid="{DAD1E505-00DB-45C1-9DEC-F047A2C803CF}">
      <text>
        <t>[Threaded comment]
Your version of Excel allows you to read this threaded comment; however, any edits to it will get removed if the file is opened in a newer version of Excel. Learn more: https://go.microsoft.com/fwlink/?linkid=870924
Comment:
    Low grade silicified BIF with narrow Schist on Southern contact.</t>
      </text>
    </comment>
    <comment ref="AD50" authorId="34" shapeId="0" xr:uid="{8C6557B5-9DF0-4569-8926-CBC58500D262}">
      <text>
        <t>[Threaded comment]
Your version of Excel allows you to read this threaded comment; however, any edits to it will get removed if the file is opened in a newer version of Excel. Learn more: https://go.microsoft.com/fwlink/?linkid=870924
Comment:
    In weak mineralisation, monitoring the stope grade but grade to improve</t>
      </text>
    </comment>
    <comment ref="AE50" authorId="35" shapeId="0" xr:uid="{A8151A7A-7C86-4C86-A444-A8F37D6CF29E}">
      <text>
        <t>[Threaded comment]
Your version of Excel allows you to read this threaded comment; however, any edits to it will get removed if the file is opened in a newer version of Excel. Learn more: https://go.microsoft.com/fwlink/?linkid=870924
Comment:
    Grade to improve as the bench gets to strongly mineralised patchy.</t>
      </text>
    </comment>
    <comment ref="AF50" authorId="36" shapeId="0" xr:uid="{382DF69D-0190-4BE5-B386-CF390F9867D8}">
      <text>
        <t>[Threaded comment]
Your version of Excel allows you to read this threaded comment; however, any edits to it will get removed if the file is opened in a newer version of Excel. Learn more: https://go.microsoft.com/fwlink/?linkid=870924
Comment:
    Reclamation of catwalk, poorly mineralised. Grade to improve with depth</t>
      </text>
    </comment>
    <comment ref="P54" authorId="37" shapeId="0" xr:uid="{97BDED07-324D-4888-BDBB-DC5F40976A00}">
      <text>
        <t>[Threaded comment]
Your version of Excel allows you to read this threaded comment; however, any edits to it will get removed if the file is opened in a newer version of Excel. Learn more: https://go.microsoft.com/fwlink/?linkid=870924
Comment:
    Poor labour turnout affecting lashing for bench preparation.</t>
      </text>
    </comment>
    <comment ref="Q54" authorId="38" shapeId="0" xr:uid="{35DA5A3A-647D-444B-AB76-228A262543BB}">
      <text>
        <t xml:space="preserve">[Threaded comment]
Your version of Excel allows you to read this threaded comment; however, any edits to it will get removed if the file is opened in a newer version of Excel. Learn more: https://go.microsoft.com/fwlink/?linkid=870924
Comment:
    Production stopped due to safety reasons, drilling to resume after development start drilling break breakaways  </t>
      </text>
    </comment>
    <comment ref="AE57" authorId="39" shapeId="0" xr:uid="{D8473173-EFB1-4D32-9506-0890B992EA24}">
      <text>
        <t>[Threaded comment]
Your version of Excel allows you to read this threaded comment; however, any edits to it will get removed if the file is opened in a newer version of Excel. Learn more: https://go.microsoft.com/fwlink/?linkid=870924
Comment:
    Waiting for assay results. Used previous grade</t>
      </text>
    </comment>
    <comment ref="W61" authorId="40" shapeId="0" xr:uid="{7316B052-ED7B-4300-8CE0-0FACAE5E2CD7}">
      <text>
        <t xml:space="preserve">[Threaded comment]
Your version of Excel allows you to read this threaded comment; however, any edits to it will get removed if the file is opened in a newer version of Excel. Learn more: https://go.microsoft.com/fwlink/?linkid=870924
Comment:
    Reef pinching </t>
      </text>
    </comment>
    <comment ref="X61" authorId="41" shapeId="0" xr:uid="{24D8F45A-210C-437B-9E5A-486B6D4C3FE2}">
      <text>
        <t xml:space="preserve">[Threaded comment]
Your version of Excel allows you to read this threaded comment; however, any edits to it will get removed if the file is opened in a newer version of Excel. Learn more: https://go.microsoft.com/fwlink/?linkid=870924
Comment:
    Reef pinching </t>
      </text>
    </comment>
    <comment ref="M64" authorId="42" shapeId="0" xr:uid="{760CEDEC-8006-461D-92F8-B9E9E1B39A4B}">
      <text>
        <t>[Threaded comment]
Your version of Excel allows you to read this threaded comment; however, any edits to it will get removed if the file is opened in a newer version of Excel. Learn more: https://go.microsoft.com/fwlink/?linkid=870924
Comment:
    Patch with barren BIF</t>
      </text>
    </comment>
    <comment ref="AD64" authorId="43" shapeId="0" xr:uid="{D6782E80-A951-47BD-8CD4-12F6AD8C70BA}">
      <text>
        <t>[Threaded comment]
Your version of Excel allows you to read this threaded comment; however, any edits to it will get removed if the file is opened in a newer version of Excel. Learn more: https://go.microsoft.com/fwlink/?linkid=870924
Comment:
    Barren BIF affects the overall grade.</t>
      </text>
    </comment>
    <comment ref="Q71" authorId="44" shapeId="0" xr:uid="{0AB94728-6F8A-405D-B01E-4D99C30CFD85}">
      <text>
        <t xml:space="preserve">[Threaded comment]
Your version of Excel allows you to read this threaded comment; however, any edits to it will get removed if the file is opened in a newer version of Excel. Learn more: https://go.microsoft.com/fwlink/?linkid=870924
Comment:
    Internal waste </t>
      </text>
    </comment>
    <comment ref="AC71" authorId="45" shapeId="0" xr:uid="{B932813E-93A8-4239-B022-33D8F6650270}">
      <text>
        <t>[Threaded comment]
Your version of Excel allows you to read this threaded comment; however, any edits to it will get removed if the file is opened in a newer version of Excel. Learn more: https://go.microsoft.com/fwlink/?linkid=870924
Comment:
    No sampling of this stope on Sundays, adopted previous grade</t>
      </text>
    </comment>
    <comment ref="AD71" authorId="46" shapeId="0" xr:uid="{C113CF63-7568-4863-8C3C-31584BA01BD7}">
      <text>
        <t xml:space="preserve">[Threaded comment]
Your version of Excel allows you to read this threaded comment; however, any edits to it will get removed if the file is opened in a newer version of Excel. Learn more: https://go.microsoft.com/fwlink/?linkid=870924
Comment:
    Barren BIF affects the overall stope grade
</t>
      </text>
    </comment>
    <comment ref="AE71" authorId="47" shapeId="0" xr:uid="{81694D2A-4286-42D2-80A6-B8451F27307C}">
      <text>
        <t>[Threaded comment]
Your version of Excel allows you to read this threaded comment; however, any edits to it will get removed if the file is opened in a newer version of Excel. Learn more: https://go.microsoft.com/fwlink/?linkid=870924
Comment:
    Shrinking a barren BIF as a result of ground conditions - difficult to isolate</t>
      </text>
    </comment>
    <comment ref="T75" authorId="48" shapeId="0" xr:uid="{233DC902-9319-4035-8600-5D25F6639EB8}">
      <text>
        <t>[Threaded comment]
Your version of Excel allows you to read this threaded comment; however, any edits to it will get removed if the file is opened in a newer version of Excel. Learn more: https://go.microsoft.com/fwlink/?linkid=870924
Comment:
    No drilling water in sub drives</t>
      </text>
    </comment>
    <comment ref="AE75" authorId="49" shapeId="0" xr:uid="{D7ED08A1-85C3-41D2-AB5D-F5E97E0DCCE6}">
      <text>
        <t>[Threaded comment]
Your version of Excel allows you to read this threaded comment; however, any edits to it will get removed if the file is opened in a newer version of Excel. Learn more: https://go.microsoft.com/fwlink/?linkid=870924
Comment:
    Managing accumulations arising from low labour turnout on the 21st</t>
      </text>
    </comment>
    <comment ref="N78" authorId="50" shapeId="0" xr:uid="{59FA7EC7-182C-4295-B653-002D6EE170AD}">
      <text>
        <t>[Threaded comment]
Your version of Excel allows you to read this threaded comment; however, any edits to it will get removed if the file is opened in a newer version of Excel. Learn more: https://go.microsoft.com/fwlink/?linkid=870924
Comment:
    Re-assay (used previous grade)</t>
      </text>
    </comment>
    <comment ref="W78" authorId="51" shapeId="0" xr:uid="{4CAEEB9B-0052-48AC-B60C-47794D9A96DB}">
      <text>
        <t>[Threaded comment]
Your version of Excel allows you to read this threaded comment; however, any edits to it will get removed if the file is opened in a newer version of Excel. Learn more: https://go.microsoft.com/fwlink/?linkid=870924
Comment:
    Visually okay, to continue monitoring progress as mining advances.</t>
      </text>
    </comment>
    <comment ref="AC78" authorId="52" shapeId="0" xr:uid="{D5CF6FAA-CB6B-4E4B-B3C1-553022EB035C}">
      <text>
        <t>[Threaded comment]
Your version of Excel allows you to read this threaded comment; however, any edits to it will get removed if the file is opened in a newer version of Excel. Learn more: https://go.microsoft.com/fwlink/?linkid=870924
Comment:
    Used previous grade, No sampling of 6Level stopes on Sundays</t>
      </text>
    </comment>
    <comment ref="N85" authorId="53" shapeId="0" xr:uid="{7E4CE0E2-39AD-4507-9AC7-A6BD70ED2EA0}">
      <text>
        <t>[Threaded comment]
Your version of Excel allows you to read this threaded comment; however, any edits to it will get removed if the file is opened in a newer version of Excel. Learn more: https://go.microsoft.com/fwlink/?linkid=870924
Comment:
    Re-assay (used previous grade)</t>
      </text>
    </comment>
    <comment ref="O85" authorId="54" shapeId="0" xr:uid="{41B65495-85DA-410B-BFC2-45CD559EE498}">
      <text>
        <t>[Threaded comment]
Your version of Excel allows you to read this threaded comment; however, any edits to it will get removed if the file is opened in a newer version of Excel. Learn more: https://go.microsoft.com/fwlink/?linkid=870924
Comment:
    Shaping the cone, mining the southern contact with low mineralisation</t>
      </text>
    </comment>
    <comment ref="Q85" authorId="55" shapeId="0" xr:uid="{A32B8FE2-94C7-4657-9191-62820CFDAB62}">
      <text>
        <t>[Threaded comment]
Your version of Excel allows you to read this threaded comment; however, any edits to it will get removed if the file is opened in a newer version of Excel. Learn more: https://go.microsoft.com/fwlink/?linkid=870924
Comment:
    The reef looks ok. Continue to monitor performance.</t>
      </text>
    </comment>
    <comment ref="R85" authorId="56" shapeId="0" xr:uid="{A8B5EB45-5177-420E-9945-646B2841D5C4}">
      <text>
        <t>[Threaded comment]
Your version of Excel allows you to read this threaded comment; however, any edits to it will get removed if the file is opened in a newer version of Excel. Learn more: https://go.microsoft.com/fwlink/?linkid=870924
Comment:
    On reef continuous monitoring being done</t>
      </text>
    </comment>
    <comment ref="S85" authorId="57" shapeId="0" xr:uid="{B4E3B0A4-147C-41AD-92DA-3295AD7818EC}">
      <text>
        <t>[Threaded comment]
Your version of Excel allows you to read this threaded comment; however, any edits to it will get removed if the file is opened in a newer version of Excel. Learn more: https://go.microsoft.com/fwlink/?linkid=870924
Comment:
    Continue mining as guided</t>
      </text>
    </comment>
    <comment ref="W85" authorId="58" shapeId="0" xr:uid="{70A6DF46-F761-4104-A48D-97259B2C7336}">
      <text>
        <t>[Threaded comment]
Your version of Excel allows you to read this threaded comment; however, any edits to it will get removed if the file is opened in a newer version of Excel. Learn more: https://go.microsoft.com/fwlink/?linkid=870924
Comment:
    Barren Cherty BIF middling</t>
      </text>
    </comment>
    <comment ref="AC85" authorId="59" shapeId="0" xr:uid="{4C8E6B25-50D6-4E04-86B6-10DF2B9E3EBD}">
      <text>
        <t>[Threaded comment]
Your version of Excel allows you to read this threaded comment; however, any edits to it will get removed if the file is opened in a newer version of Excel. Learn more: https://go.microsoft.com/fwlink/?linkid=870924
Comment:
    Used previous grade, No sampling of 6Level stopes on Sundays</t>
      </text>
    </comment>
    <comment ref="AF85" authorId="60" shapeId="0" xr:uid="{DF05F164-E5A6-4486-B96B-6ADF8D1AC247}">
      <text>
        <t>[Threaded comment]
Your version of Excel allows you to read this threaded comment; however, any edits to it will get removed if the file is opened in a newer version of Excel. Learn more: https://go.microsoft.com/fwlink/?linkid=870924
Comment:
    Awaiting assays</t>
      </text>
    </comment>
    <comment ref="N92" authorId="61" shapeId="0" xr:uid="{EBDA338E-6C5C-4557-8AC7-287F69E7B1CA}">
      <text>
        <t>[Threaded comment]
Your version of Excel allows you to read this threaded comment; however, any edits to it will get removed if the file is opened in a newer version of Excel. Learn more: https://go.microsoft.com/fwlink/?linkid=870924
Comment:
    Re-assay (Used previous grade)</t>
      </text>
    </comment>
    <comment ref="V92" authorId="62" shapeId="0" xr:uid="{021DEF04-B0A7-438A-B57B-BF0DF930CE2F}">
      <text>
        <t>[Threaded comment]
Your version of Excel allows you to read this threaded comment; however, any edits to it will get removed if the file is opened in a newer version of Excel. Learn more: https://go.microsoft.com/fwlink/?linkid=870924
Comment:
    Waste middling (unpaying chlorite schist)</t>
      </text>
    </comment>
    <comment ref="AC92" authorId="63" shapeId="0" xr:uid="{621146DB-CEBB-46ED-AB55-3B1ECE15496F}">
      <text>
        <t>[Threaded comment]
Your version of Excel allows you to read this threaded comment; however, any edits to it will get removed if the file is opened in a newer version of Excel. Learn more: https://go.microsoft.com/fwlink/?linkid=870924
Comment:
    Used previous grade as we don’t samples 6Level on Sundays</t>
      </text>
    </comment>
    <comment ref="AF92" authorId="64" shapeId="0" xr:uid="{8DD1E0FE-DD92-4F69-A6C7-8E575BE812E2}">
      <text>
        <t>[Threaded comment]
Your version of Excel allows you to read this threaded comment; however, any edits to it will get removed if the file is opened in a newer version of Excel. Learn more: https://go.microsoft.com/fwlink/?linkid=870924
Comment:
    Awaiting assays</t>
      </text>
    </comment>
    <comment ref="J96" authorId="65" shapeId="0" xr:uid="{3C0158AF-D2AC-4349-AE06-3917D4F3B7A9}">
      <text>
        <t>[Threaded comment]
Your version of Excel allows you to read this threaded comment; however, any edits to it will get removed if the file is opened in a newer version of Excel. Learn more: https://go.microsoft.com/fwlink/?linkid=870924
Comment:
    labour challenges for the 2nd machine. Recruitment still in progress</t>
      </text>
    </comment>
    <comment ref="K96" authorId="66" shapeId="0" xr:uid="{786F2ED3-6B28-4F24-BC08-8BABD05BF4D4}">
      <text>
        <t>[Threaded comment]
Your version of Excel allows you to read this threaded comment; however, any edits to it will get removed if the file is opened in a newer version of Excel. Learn more: https://go.microsoft.com/fwlink/?linkid=870924
Comment:
    Labour challenges for the 2nd machine. recruitment in process</t>
      </text>
    </comment>
    <comment ref="P96" authorId="67" shapeId="0" xr:uid="{0991D5A3-C86D-4733-92B9-7308004BEECB}">
      <text>
        <t>[Threaded comment]
Your version of Excel allows you to read this threaded comment; however, any edits to it will get removed if the file is opened in a newer version of Excel. Learn more: https://go.microsoft.com/fwlink/?linkid=870924
Comment:
    Labour issues for the 15th machine</t>
      </text>
    </comment>
    <comment ref="Q96" authorId="68" shapeId="0" xr:uid="{D9BAA7FE-110E-44AD-BA02-97074B16ACEA}">
      <text>
        <t>[Threaded comment]
Your version of Excel allows you to read this threaded comment; however, any edits to it will get removed if the file is opened in a newer version of Excel. Learn more: https://go.microsoft.com/fwlink/?linkid=870924
Comment:
    Labor issues for the 15th machine</t>
      </text>
    </comment>
    <comment ref="O99" authorId="69" shapeId="0" xr:uid="{E294414D-7D87-47CA-866B-DFA94BF406B8}">
      <text>
        <t>[Threaded comment]
Your version of Excel allows you to read this threaded comment; however, any edits to it will get removed if the file is opened in a newer version of Excel. Learn more: https://go.microsoft.com/fwlink/?linkid=870924
Comment:
    On low grade patch and will improve</t>
      </text>
    </comment>
    <comment ref="Q99" authorId="70" shapeId="0" xr:uid="{DD1A7E1E-0CBB-4AD8-934E-44CB280EFE57}">
      <text>
        <t xml:space="preserve">[Threaded comment]
Your version of Excel allows you to read this threaded comment; however, any edits to it will get removed if the file is opened in a newer version of Excel. Learn more: https://go.microsoft.com/fwlink/?linkid=870924
Comment:
    Not sampled.. </t>
      </text>
    </comment>
    <comment ref="S99" authorId="71" shapeId="0" xr:uid="{3FF11F04-3B17-4044-B832-A02DA9504F6E}">
      <text>
        <t>[Threaded comment]
Your version of Excel allows you to read this threaded comment; however, any edits to it will get removed if the file is opened in a newer version of Excel. Learn more: https://go.microsoft.com/fwlink/?linkid=870924
Comment:
    Sampled but not blasted</t>
      </text>
    </comment>
    <comment ref="V99" authorId="72" shapeId="0" xr:uid="{A811AD13-338F-4E5F-87F3-9A15BCFF1069}">
      <text>
        <t xml:space="preserve">[Threaded comment]
Your version of Excel allows you to read this threaded comment; however, any edits to it will get removed if the file is opened in a newer version of Excel. Learn more: https://go.microsoft.com/fwlink/?linkid=870924
Comment:
    Mining a weakly mineralised patch but will improve.
</t>
      </text>
    </comment>
    <comment ref="AB99" authorId="73" shapeId="0" xr:uid="{00671BEC-FBA2-481D-8FB9-A67C30ED4049}">
      <text>
        <t xml:space="preserve">[Threaded comment]
Your version of Excel allows you to read this threaded comment; however, any edits to it will get removed if the file is opened in a newer version of Excel. Learn more: https://go.microsoft.com/fwlink/?linkid=870924
Comment:
    Monitoring stope performance </t>
      </text>
    </comment>
    <comment ref="AC99" authorId="74" shapeId="0" xr:uid="{21F585E2-8479-448B-8A01-9F3983785391}">
      <text>
        <t>[Threaded comment]
Your version of Excel allows you to read this threaded comment; however, any edits to it will get removed if the file is opened in a newer version of Excel. Learn more: https://go.microsoft.com/fwlink/?linkid=870924
Comment:
    Used previous grade, No sampling of 6L stopes on Sundays</t>
      </text>
    </comment>
    <comment ref="AE99" authorId="75" shapeId="0" xr:uid="{BD49049C-C87C-426D-9B62-5F8042FD090B}">
      <text>
        <t>[Threaded comment]
Your version of Excel allows you to read this threaded comment; however, any edits to it will get removed if the file is opened in a newer version of Excel. Learn more: https://go.microsoft.com/fwlink/?linkid=870924
Comment:
    Barren BIF but grade to improve</t>
      </text>
    </comment>
    <comment ref="AF99" authorId="76" shapeId="0" xr:uid="{3BAB4F0E-B806-434B-B5B7-E4C20DA851BA}">
      <text>
        <t xml:space="preserve">[Threaded comment]
Your version of Excel allows you to read this threaded comment; however, any edits to it will get removed if the file is opened in a newer version of Excel. Learn more: https://go.microsoft.com/fwlink/?linkid=870924
Comment:
    Awaiting assays </t>
      </text>
    </comment>
    <comment ref="AE103" authorId="77" shapeId="0" xr:uid="{D02F5B80-92A1-48E8-A134-5F748F97D535}">
      <text>
        <t>[Threaded comment]
Your version of Excel allows you to read this threaded comment; however, any edits to it will get removed if the file is opened in a newer version of Excel. Learn more: https://go.microsoft.com/fwlink/?linkid=870924
Comment:
    Reef pinching, other machine deployed to w10 and w14</t>
      </text>
    </comment>
    <comment ref="AF103" authorId="78" shapeId="0" xr:uid="{FE65DD1E-1001-475C-998E-D28339319BF1}">
      <text>
        <t xml:space="preserve">[Threaded comment]
Your version of Excel allows you to read this threaded comment; however, any edits to it will get removed if the file is opened in a newer version of Excel. Learn more: https://go.microsoft.com/fwlink/?linkid=870924
Comment:
    Machines deployed to W10 and W14 after reef pinching </t>
      </text>
    </comment>
    <comment ref="M106" authorId="79" shapeId="0" xr:uid="{5F03BA45-2BAE-4123-9449-8B41A335779B}">
      <text>
        <t>[Threaded comment]
Your version of Excel allows you to read this threaded comment; however, any edits to it will get removed if the file is opened in a newer version of Excel. Learn more: https://go.microsoft.com/fwlink/?linkid=870924
Comment:
    The reef is fine anticipate an improvement</t>
      </text>
    </comment>
    <comment ref="O106" authorId="80" shapeId="0" xr:uid="{EBF65782-7C3C-421D-9F3F-649AB40A60BA}">
      <text>
        <t>[Threaded comment]
Your version of Excel allows you to read this threaded comment; however, any edits to it will get removed if the file is opened in a newer version of Excel. Learn more: https://go.microsoft.com/fwlink/?linkid=870924
Comment:
    Reef is okay with an internal barren BIF</t>
      </text>
    </comment>
    <comment ref="R106" authorId="81" shapeId="0" xr:uid="{D82EDC72-4747-4CC6-821E-D3E12F935D30}">
      <text>
        <t>[Threaded comment]
Your version of Excel allows you to read this threaded comment; however, any edits to it will get removed if the file is opened in a newer version of Excel. Learn more: https://go.microsoft.com/fwlink/?linkid=870924
Comment:
    Bench not fully cleaned, machines moved to slype towards the west. Grade to improve.</t>
      </text>
    </comment>
    <comment ref="S106" authorId="82" shapeId="0" xr:uid="{F2B302AF-81E4-483A-8973-E92DFDECE619}">
      <text>
        <t>[Threaded comment]
Your version of Excel allows you to read this threaded comment; however, any edits to it will get removed if the file is opened in a newer version of Excel. Learn more: https://go.microsoft.com/fwlink/?linkid=870924
Comment:
    Sampled but not blasted</t>
      </text>
    </comment>
    <comment ref="W106" authorId="83" shapeId="0" xr:uid="{6FC8C61E-D107-4F82-A20C-6AC22CF87933}">
      <text>
        <t>[Threaded comment]
Your version of Excel allows you to read this threaded comment; however, any edits to it will get removed if the file is opened in a newer version of Excel. Learn more: https://go.microsoft.com/fwlink/?linkid=870924
Comment:
    Chlorite schist middling (waste)</t>
      </text>
    </comment>
    <comment ref="AC106" authorId="84" shapeId="0" xr:uid="{797D660E-BDE7-4882-A561-F0980AC0FB4E}">
      <text>
        <t>[Threaded comment]
Your version of Excel allows you to read this threaded comment; however, any edits to it will get removed if the file is opened in a newer version of Excel. Learn more: https://go.microsoft.com/fwlink/?linkid=870924
Comment:
    Used previous grade, No sampling of 6Level stopes on Sunday</t>
      </text>
    </comment>
    <comment ref="R110" authorId="85" shapeId="0" xr:uid="{F253EA20-922E-4E64-9C05-0F5EDA594F02}">
      <text>
        <t>[Threaded comment]
Your version of Excel allows you to read this threaded comment; however, any edits to it will get removed if the file is opened in a newer version of Excel. Learn more: https://go.microsoft.com/fwlink/?linkid=870924
Comment:
    Machine drilled support</t>
      </text>
    </comment>
    <comment ref="L113" authorId="86" shapeId="0" xr:uid="{42E1A1A9-664C-432F-B0C9-9A3B3F22415D}">
      <text>
        <t>[Threaded comment]
Your version of Excel allows you to read this threaded comment; however, any edits to it will get removed if the file is opened in a newer version of Excel. Learn more: https://go.microsoft.com/fwlink/?linkid=870924
Comment:
    The northern contact in barren BIF, reduce the mining width.</t>
      </text>
    </comment>
    <comment ref="R113" authorId="87" shapeId="0" xr:uid="{EA43ECAA-6E91-44AD-94F0-EB5895E3D770}">
      <text>
        <t>[Threaded comment]
Your version of Excel allows you to read this threaded comment; however, any edits to it will get removed if the file is opened in a newer version of Excel. Learn more: https://go.microsoft.com/fwlink/?linkid=870924
Comment:
    Not sampled No Machine</t>
      </text>
    </comment>
    <comment ref="AC113" authorId="88" shapeId="0" xr:uid="{A10BE134-E95C-40D5-ADF0-898C7E6A0B92}">
      <text>
        <t>[Threaded comment]
Your version of Excel allows you to read this threaded comment; however, any edits to it will get removed if the file is opened in a newer version of Excel. Learn more: https://go.microsoft.com/fwlink/?linkid=870924
Comment:
    Used previous grade, No sampling of 6L stopes on Sundays</t>
      </text>
    </comment>
    <comment ref="Q117" authorId="89" shapeId="0" xr:uid="{29F91D4D-822D-4340-ACD5-F3CB8670398C}">
      <text>
        <t xml:space="preserve">[Threaded comment]
Your version of Excel allows you to read this threaded comment; however, any edits to it will get removed if the file is opened in a newer version of Excel. Learn more: https://go.microsoft.com/fwlink/?linkid=870924
Comment:
    Machine updating Support </t>
      </text>
    </comment>
    <comment ref="L120" authorId="90" shapeId="0" xr:uid="{348AE23B-DABA-4CA1-B3DD-AFD84DCD156A}">
      <text>
        <t>[Threaded comment]
Your version of Excel allows you to read this threaded comment; however, any edits to it will get removed if the file is opened in a newer version of Excel. Learn more: https://go.microsoft.com/fwlink/?linkid=870924
Comment:
    Reef is fine and grade will improve</t>
      </text>
    </comment>
    <comment ref="M120" authorId="91" shapeId="0" xr:uid="{001FA398-C939-4168-BC57-87FAF6F618E6}">
      <text>
        <t>[Threaded comment]
Your version of Excel allows you to read this threaded comment; however, any edits to it will get removed if the file is opened in a newer version of Excel. Learn more: https://go.microsoft.com/fwlink/?linkid=870924
Comment:
    Barren BIF in the northern contact in the west side of the orepass. Stopped this end to start the eastern side of the ore pass in the northern contact.</t>
      </text>
    </comment>
    <comment ref="N120" authorId="92" shapeId="0" xr:uid="{A2274604-8057-45D3-933D-75B071ADC0FB}">
      <text>
        <t>[Threaded comment]
Your version of Excel allows you to read this threaded comment; however, any edits to it will get removed if the file is opened in a newer version of Excel. Learn more: https://go.microsoft.com/fwlink/?linkid=870924
Comment:
    Slyping the internal Barren BIF to get to the other parallel</t>
      </text>
    </comment>
    <comment ref="P120" authorId="93" shapeId="0" xr:uid="{38979FDC-B01B-4AE3-A7C1-38641931D511}">
      <text>
        <t xml:space="preserve">[Threaded comment]
Your version of Excel allows you to read this threaded comment; however, any edits to it will get removed if the file is opened in a newer version of Excel. Learn more: https://go.microsoft.com/fwlink/?linkid=870924
Comment:
    Slyping the internal Barren BIF to get to the other parallel
</t>
      </text>
    </comment>
    <comment ref="Q120" authorId="94" shapeId="0" xr:uid="{4B0557A3-AD4C-43C5-8FB1-D89A8B6701B7}">
      <text>
        <t>[Threaded comment]
Your version of Excel allows you to read this threaded comment; however, any edits to it will get removed if the file is opened in a newer version of Excel. Learn more: https://go.microsoft.com/fwlink/?linkid=870924
Comment:
    Not sampled</t>
      </text>
    </comment>
    <comment ref="W120" authorId="95" shapeId="0" xr:uid="{C350F5AF-3488-4819-9960-EDADA06742F7}">
      <text>
        <t>[Threaded comment]
Your version of Excel allows you to read this threaded comment; however, any edits to it will get removed if the file is opened in a newer version of Excel. Learn more: https://go.microsoft.com/fwlink/?linkid=870924
Comment:
    Barren BIF and mining of this patch stopped</t>
      </text>
    </comment>
    <comment ref="AC120" authorId="96" shapeId="0" xr:uid="{5DB433CF-9AF6-444A-920A-A82BB868E396}">
      <text>
        <t>[Threaded comment]
Your version of Excel allows you to read this threaded comment; however, any edits to it will get removed if the file is opened in a newer version of Excel. Learn more: https://go.microsoft.com/fwlink/?linkid=870924
Comment:
    Used previous grade, No sampling of 6L stopes on sundays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tc={AE7766FF-C3FE-4826-AAA7-B7B62352FCE7}</author>
    <author>tc={C2C5279D-AE84-4DC0-8C15-7F3C2F9C89BD}</author>
    <author>tc={72361425-F9E8-4DB6-BA09-25DC0393A541}</author>
  </authors>
  <commentList>
    <comment ref="K11" authorId="0" shapeId="0" xr:uid="{AE7766FF-C3FE-4826-AAA7-B7B62352FCE7}">
      <text>
        <t xml:space="preserve">[Threaded comment]
Your version of Excel allows you to read this threaded comment; however, any edits to it will get removed if the file is opened in a newer version of Excel. Learn more: https://go.microsoft.com/fwlink/?linkid=870924
Comment:
    power outages affecting tramming </t>
      </text>
    </comment>
    <comment ref="L11" authorId="1" shapeId="0" xr:uid="{C2C5279D-AE84-4DC0-8C15-7F3C2F9C89BD}">
      <text>
        <t xml:space="preserve">[Threaded comment]
Your version of Excel allows you to read this threaded comment; however, any edits to it will get removed if the file is opened in a newer version of Excel. Learn more: https://go.microsoft.com/fwlink/?linkid=870924
Comment:
    power outages affecting tramming 
</t>
      </text>
    </comment>
    <comment ref="I68" authorId="2" shapeId="0" xr:uid="{72361425-F9E8-4DB6-BA09-25DC0393A541}">
      <text>
        <t>[Threaded comment]
Your version of Excel allows you to read this threaded comment; however, any edits to it will get removed if the file is opened in a newer version of Excel. Learn more: https://go.microsoft.com/fwlink/?linkid=870924
Comment:
    Tramming affected by hoist unavailability due to pump failures in the shaft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tc={197DA39F-CAE5-4EA1-9CB3-0401DCCAD5AB}</author>
  </authors>
  <commentList>
    <comment ref="H68" authorId="0" shapeId="0" xr:uid="{197DA39F-CAE5-4EA1-9CB3-0401DCCAD5AB}">
      <text>
        <t>[Threaded comment]
Your version of Excel allows you to read this threaded comment; however, any edits to it will get removed if the file is opened in a newer version of Excel. Learn more: https://go.microsoft.com/fwlink/?linkid=870924
Comment:
    Tramming affected by hoist unavailability due to pump failures in the shaft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tc={9EDD9DB4-0108-4CCA-989E-B6898DD78C87}</author>
    <author>tc={37993794-3DC7-427E-BE1D-13CADE6FEDF2}</author>
    <author>tc={28004669-DC59-4B94-B77A-25241D66B32A}</author>
  </authors>
  <commentList>
    <comment ref="AJ22" authorId="0" shapeId="0" xr:uid="{9EDD9DB4-0108-4CCA-989E-B6898DD78C87}">
      <text>
        <t>[Threaded comment]
Your version of Excel allows you to read this threaded comment; however, any edits to it will get removed if the file is opened in a newer version of Excel. Learn more: https://go.microsoft.com/fwlink/?linkid=870924
Comment:
    Small low grade internal patch, overally  bench is ok.</t>
      </text>
    </comment>
    <comment ref="AI43" authorId="1" shapeId="0" xr:uid="{37993794-3DC7-427E-BE1D-13CADE6FEDF2}">
      <text>
        <t>[Threaded comment]
Your version of Excel allows you to read this threaded comment; however, any edits to it will get removed if the file is opened in a newer version of Excel. Learn more: https://go.microsoft.com/fwlink/?linkid=870924
Comment:
    On Hold Lower grades than projected</t>
      </text>
    </comment>
    <comment ref="AI50" authorId="2" shapeId="0" xr:uid="{28004669-DC59-4B94-B77A-25241D66B32A}">
      <text>
        <t>[Threaded comment]
Your version of Excel allows you to read this threaded comment; however, any edits to it will get removed if the file is opened in a newer version of Excel. Learn more: https://go.microsoft.com/fwlink/?linkid=870924
Comment:
    Grade on call, but we are seeing a internal waste middling, to monitor as we blast.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tc={93A25F1D-23B7-4283-9796-F14CA85103F8}</author>
    <author>tc={B8133110-4F89-4BF9-8BBD-DBE9B4BE70CB}</author>
    <author>tc={EDA6FD8A-6EA2-4632-8EBC-67C26AEC0D7B}</author>
  </authors>
  <commentList>
    <comment ref="AJ22" authorId="0" shapeId="0" xr:uid="{93A25F1D-23B7-4283-9796-F14CA85103F8}">
      <text>
        <t>[Threaded comment]
Your version of Excel allows you to read this threaded comment; however, any edits to it will get removed if the file is opened in a newer version of Excel. Learn more: https://go.microsoft.com/fwlink/?linkid=870924
Comment:
    Small low grade internal patch, overally  bench is ok.</t>
      </text>
    </comment>
    <comment ref="AI43" authorId="1" shapeId="0" xr:uid="{B8133110-4F89-4BF9-8BBD-DBE9B4BE70CB}">
      <text>
        <t>[Threaded comment]
Your version of Excel allows you to read this threaded comment; however, any edits to it will get removed if the file is opened in a newer version of Excel. Learn more: https://go.microsoft.com/fwlink/?linkid=870924
Comment:
    On Hold Lower grades than projected</t>
      </text>
    </comment>
    <comment ref="AI50" authorId="2" shapeId="0" xr:uid="{EDA6FD8A-6EA2-4632-8EBC-67C26AEC0D7B}">
      <text>
        <t>[Threaded comment]
Your version of Excel allows you to read this threaded comment; however, any edits to it will get removed if the file is opened in a newer version of Excel. Learn more: https://go.microsoft.com/fwlink/?linkid=870924
Comment:
    Grade on call, but we are seeing a internal waste middling, to monitor as we blast.</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<sst xmlns="http://schemas.openxmlformats.org/spreadsheetml/2006/main" count="9747" uniqueCount="671">
  <si>
    <t>BLOCK MODEL</t>
  </si>
  <si>
    <t>Tonnes (t)</t>
  </si>
  <si>
    <t>Grade (g/t)</t>
  </si>
  <si>
    <t>Gold (kg)</t>
  </si>
  <si>
    <t>SHORT-TERM FORECAST</t>
  </si>
  <si>
    <t>ACTUAL</t>
  </si>
  <si>
    <t>PLANNED NOT MINED</t>
  </si>
  <si>
    <t>MINED NOT PLANNED</t>
  </si>
  <si>
    <t>Totals</t>
  </si>
  <si>
    <t>FY2025</t>
  </si>
  <si>
    <t>-</t>
  </si>
  <si>
    <t>Milling (t)</t>
  </si>
  <si>
    <t>Forecast (t)</t>
  </si>
  <si>
    <t>Deficit (t)</t>
  </si>
  <si>
    <t>Q1 2025</t>
  </si>
  <si>
    <t>Milling Capacity</t>
  </si>
  <si>
    <t>BM Budget</t>
  </si>
  <si>
    <t>Total</t>
  </si>
  <si>
    <t>Q2-Q4 2025</t>
  </si>
  <si>
    <t>Remaining milling budget</t>
  </si>
  <si>
    <t>YTD Tons</t>
  </si>
  <si>
    <t>Q2 – Q4 Tons</t>
  </si>
  <si>
    <t>2025 Tons</t>
  </si>
  <si>
    <t>Milling Budget</t>
  </si>
  <si>
    <t>Mining Budget</t>
  </si>
  <si>
    <t>Forecast</t>
  </si>
  <si>
    <t>Mining tons lost</t>
  </si>
  <si>
    <t>Milling tons lost</t>
  </si>
  <si>
    <t>Q1 Tons</t>
  </si>
  <si>
    <t>Q2-Q4</t>
  </si>
  <si>
    <t>Tons lost</t>
  </si>
  <si>
    <t>Forecast based on Q1</t>
  </si>
  <si>
    <t>Actual</t>
  </si>
  <si>
    <t>2025 Gold (kg)</t>
  </si>
  <si>
    <t>Forecast based on Q1 performance</t>
  </si>
  <si>
    <t>Budget Jan25 - Mar25</t>
  </si>
  <si>
    <t>t</t>
  </si>
  <si>
    <t>Budget Apr25 - Dec25</t>
  </si>
  <si>
    <t>Forecast Jan25 - Mar25</t>
  </si>
  <si>
    <t>Forecast Apr25 - Dec25</t>
  </si>
  <si>
    <t>Tons lost  Jan25 - Mar25</t>
  </si>
  <si>
    <t>Tons lost  Apr25 - Dec25</t>
  </si>
  <si>
    <t>Planned Not Mined</t>
  </si>
  <si>
    <t>Stope ID</t>
  </si>
  <si>
    <t>YTD</t>
  </si>
  <si>
    <t xml:space="preserve">Tonnes </t>
  </si>
  <si>
    <t xml:space="preserve">Grade </t>
  </si>
  <si>
    <t>Gold</t>
  </si>
  <si>
    <t>3L_W23</t>
  </si>
  <si>
    <t>3L_W24</t>
  </si>
  <si>
    <t>6L_E5</t>
  </si>
  <si>
    <t>6L_W10</t>
  </si>
  <si>
    <t>6L_W14</t>
  </si>
  <si>
    <t>Mined Not Planned</t>
  </si>
  <si>
    <t>6L_W1</t>
  </si>
  <si>
    <t>Stope Name</t>
  </si>
  <si>
    <t>Period</t>
  </si>
  <si>
    <t>Level</t>
  </si>
  <si>
    <t>Long-Term Plan Tonnage (t)</t>
  </si>
  <si>
    <t>Long-Term Plan Grade (g/t)</t>
  </si>
  <si>
    <t>Long-Term Plan Gold (kg)</t>
  </si>
  <si>
    <t>Short-Term Plan Tonnage (t)</t>
  </si>
  <si>
    <t>Short-Term Plan Grade (g/t)</t>
  </si>
  <si>
    <t>Short-Term Plan Gold (kg)</t>
  </si>
  <si>
    <t>Actual Tonnage (t)</t>
  </si>
  <si>
    <t>Actual Grade (g/t)</t>
  </si>
  <si>
    <t>Actual Gold (kg)</t>
  </si>
  <si>
    <t>Variance Gold</t>
  </si>
  <si>
    <t>Tonnage Variance</t>
  </si>
  <si>
    <t>Gold Variance</t>
  </si>
  <si>
    <t>Revenue</t>
  </si>
  <si>
    <t>Cost per ton</t>
  </si>
  <si>
    <t>Gold oz price</t>
  </si>
  <si>
    <t>Gold kg price</t>
  </si>
  <si>
    <t>Expected Revenue (USD)</t>
  </si>
  <si>
    <t>Actual Revenue (USD)</t>
  </si>
  <si>
    <t>Expected cost per ton</t>
  </si>
  <si>
    <t>Actual  Cost per ton</t>
  </si>
  <si>
    <t>Expected Gross profit</t>
  </si>
  <si>
    <t>Gross Profit</t>
  </si>
  <si>
    <t>1L_W24_STOPE</t>
  </si>
  <si>
    <t>1L_W27_STOPE</t>
  </si>
  <si>
    <t>1L_W28_STOPE</t>
  </si>
  <si>
    <t>1L_W30_STOPE</t>
  </si>
  <si>
    <t>2L_E1_STOPE</t>
  </si>
  <si>
    <t>2L_E7_STOPE</t>
  </si>
  <si>
    <t>2L_E8_STOPE</t>
  </si>
  <si>
    <t>3L_E7_STOPE</t>
  </si>
  <si>
    <t>3L_E8_STOPE</t>
  </si>
  <si>
    <t>3L_E9B_CONNING_STOPE</t>
  </si>
  <si>
    <t>3L_W23_STOPE</t>
  </si>
  <si>
    <t>3L_W24A_STOPE</t>
  </si>
  <si>
    <t>3L_W24B_STOPE</t>
  </si>
  <si>
    <t>3L_W26A_STOPE</t>
  </si>
  <si>
    <t>3L_W26B_STOPE</t>
  </si>
  <si>
    <t>3L_W28A_STOPE</t>
  </si>
  <si>
    <t>3L_W28B_STOPE</t>
  </si>
  <si>
    <t>4LDEV CONCE BOX_STOPE</t>
  </si>
  <si>
    <t>4L_W5B_STOPE</t>
  </si>
  <si>
    <t>4L_W5C_STOPE</t>
  </si>
  <si>
    <t>4L_W6_STOPE</t>
  </si>
  <si>
    <t>4L_W10A_STOPE</t>
  </si>
  <si>
    <t>4L_W10B_STOPE</t>
  </si>
  <si>
    <t>4L_W11A_STOPE</t>
  </si>
  <si>
    <t>4L_W11B_STOPE</t>
  </si>
  <si>
    <t>4L_W11C_STOPE</t>
  </si>
  <si>
    <t>4L_W13A_STOPE</t>
  </si>
  <si>
    <t>4L_W13B_STOPE</t>
  </si>
  <si>
    <t>4L_W13C_STOPE</t>
  </si>
  <si>
    <t>4L_W14A_STOPE</t>
  </si>
  <si>
    <t>4L_W14B_STOPE</t>
  </si>
  <si>
    <t>4L_W14C_STOPE</t>
  </si>
  <si>
    <t>4L_W15A_STOPE</t>
  </si>
  <si>
    <t>4L_W15B_STOPE</t>
  </si>
  <si>
    <t>4L_W15C_STOPE</t>
  </si>
  <si>
    <t>4L_W16A_STOPE</t>
  </si>
  <si>
    <t>4L_W16B_STOPE</t>
  </si>
  <si>
    <t>4L_W16C_STOPE</t>
  </si>
  <si>
    <t>4L_W17A_STOPE</t>
  </si>
  <si>
    <t>4L_W17B_STOPE</t>
  </si>
  <si>
    <t>4L_W17C_STOPE</t>
  </si>
  <si>
    <t>4L_W18A_STOPE</t>
  </si>
  <si>
    <t>4L_W18B_STOPE</t>
  </si>
  <si>
    <t>4L_W19A_STOPE</t>
  </si>
  <si>
    <t>4L_W21B_STOPE</t>
  </si>
  <si>
    <t>4L_W23A_STOPE</t>
  </si>
  <si>
    <t>4L_W23B_STOPE</t>
  </si>
  <si>
    <t>4L_W24_STOPE</t>
  </si>
  <si>
    <t>4L_W25_STOPE</t>
  </si>
  <si>
    <t>4L_W26_STOPE</t>
  </si>
  <si>
    <t>5L_E1B_STOPE</t>
  </si>
  <si>
    <t>5L_W1_STOPE</t>
  </si>
  <si>
    <t>5L_W4_STOPE</t>
  </si>
  <si>
    <t>5L_W5A_STOPE</t>
  </si>
  <si>
    <t>5L_W5B_STOPE</t>
  </si>
  <si>
    <t>5L_W6A_STOPE</t>
  </si>
  <si>
    <t>5L_W6B_STOPE</t>
  </si>
  <si>
    <t>5L_W7A_STOPE</t>
  </si>
  <si>
    <t>5L_W7B_STOPE</t>
  </si>
  <si>
    <t>5L_W8A_STOPE</t>
  </si>
  <si>
    <t>5L_W8B_STOPE</t>
  </si>
  <si>
    <t>5L_W10B_STOPE</t>
  </si>
  <si>
    <t>5L_W11A_STOPE</t>
  </si>
  <si>
    <t>5L_W11B_STOPE</t>
  </si>
  <si>
    <t>5L_W16A_STOPE</t>
  </si>
  <si>
    <t>5L_W16B_STOPE</t>
  </si>
  <si>
    <t>5L_W18A_STOPE</t>
  </si>
  <si>
    <t>5L_W18B_STOPE</t>
  </si>
  <si>
    <t>5L_W25A_STOPE</t>
  </si>
  <si>
    <t>5L_W25B_STOPE</t>
  </si>
  <si>
    <t>6L_E1_STOPE</t>
  </si>
  <si>
    <t>6L_E5_STOPE</t>
  </si>
  <si>
    <t>6L_W1_STOPE</t>
  </si>
  <si>
    <t>6L_W2_STOPE</t>
  </si>
  <si>
    <t>6L_W3_STOPE</t>
  </si>
  <si>
    <t>6L_W4_STOPE</t>
  </si>
  <si>
    <t>6L_W6_STOPE</t>
  </si>
  <si>
    <t>6L_W8_STOPE</t>
  </si>
  <si>
    <t>6L_W9_STOPE</t>
  </si>
  <si>
    <t>6L_W10_STOPE</t>
  </si>
  <si>
    <t>6L_W13_STOPE</t>
  </si>
  <si>
    <t>6L_W14A_STOPE</t>
  </si>
  <si>
    <t>6L_W15_STOPE</t>
  </si>
  <si>
    <t>6L_W19A_STOPE</t>
  </si>
  <si>
    <t>6L_W19B_STOPE</t>
  </si>
  <si>
    <t>6L_W27_STOPE</t>
  </si>
  <si>
    <t>6L_W28_STOPE</t>
  </si>
  <si>
    <t>6L_A_E4_STOPE</t>
  </si>
  <si>
    <t>6L_A_E5_STOPE</t>
  </si>
  <si>
    <t>6L_A_W2_STOPE</t>
  </si>
  <si>
    <t>6L_A_W4_STOPE</t>
  </si>
  <si>
    <t>6L_A_W6_STOPE</t>
  </si>
  <si>
    <t>6L_A_W8_STOPE</t>
  </si>
  <si>
    <t>6L_A_W11_STOPE</t>
  </si>
  <si>
    <t>6L_A_W12_STOPE</t>
  </si>
  <si>
    <t>6L_A_W14_STOPE</t>
  </si>
  <si>
    <t>6L_A_W19_STOPE</t>
  </si>
  <si>
    <t>6L_A_W26_STOPE</t>
  </si>
  <si>
    <t>7L_W10A_STOPE</t>
  </si>
  <si>
    <t>7L_W10B_STOPE</t>
  </si>
  <si>
    <t>7L_W14A_STOPE</t>
  </si>
  <si>
    <t>7L_W14B_STOPE</t>
  </si>
  <si>
    <t>7L_W18A_STOPE</t>
  </si>
  <si>
    <t>7L_W18B_STOPE</t>
  </si>
  <si>
    <t>7L_W1B_STOPE</t>
  </si>
  <si>
    <t>7L_W20A_STOPE</t>
  </si>
  <si>
    <t>7L_W20B_STOPE</t>
  </si>
  <si>
    <t>7L_W22A_STOPE</t>
  </si>
  <si>
    <t>7L_W22B_STOPE</t>
  </si>
  <si>
    <t>7L_W6_STOPE</t>
  </si>
  <si>
    <t>8L_E5A_STOPE</t>
  </si>
  <si>
    <t>8L_E5B_STOPE</t>
  </si>
  <si>
    <t>8L_W10A_STOPE</t>
  </si>
  <si>
    <t>8L_W10B_STOPE</t>
  </si>
  <si>
    <t>8L_W14A_STOPE</t>
  </si>
  <si>
    <t>8L_W14B_STOPE</t>
  </si>
  <si>
    <t>8L_W16A_STOPE</t>
  </si>
  <si>
    <t>8L_W16B_STOPE</t>
  </si>
  <si>
    <t>8L_W18A_STOPE</t>
  </si>
  <si>
    <t>8L_W18B_STOPE</t>
  </si>
  <si>
    <t>8L_W20A_STOPE</t>
  </si>
  <si>
    <t>8L_W20B_STOPE</t>
  </si>
  <si>
    <t>8L_W22A_STOPE</t>
  </si>
  <si>
    <t>8L_W22B_STOPE</t>
  </si>
  <si>
    <t>8L_W24A_STOPE</t>
  </si>
  <si>
    <t>8L_W24B_STOPE</t>
  </si>
  <si>
    <t>8L_W7A_STOPE</t>
  </si>
  <si>
    <t>8L_W7B_STOPE</t>
  </si>
  <si>
    <t>TOTAL UNDERGROUND</t>
  </si>
  <si>
    <t>Broken Tonnes (t)</t>
  </si>
  <si>
    <t>4L_W5_STOPE</t>
  </si>
  <si>
    <t>PLAN</t>
  </si>
  <si>
    <t>Q1 TOTAL</t>
  </si>
  <si>
    <t>Q2 TOTAL</t>
  </si>
  <si>
    <t>Q3 TOTAL</t>
  </si>
  <si>
    <t>Q4 TOTAL</t>
  </si>
  <si>
    <t>2024 TOTAL</t>
  </si>
  <si>
    <t/>
  </si>
  <si>
    <t>LT PLAN</t>
  </si>
  <si>
    <t>ST PLAN</t>
  </si>
  <si>
    <t>2025 TOTAL</t>
  </si>
  <si>
    <t>BRECKRIDGE INVESTMENTS</t>
  </si>
  <si>
    <t>MONTH BY MONTH STOPE PERFORMANCE</t>
  </si>
  <si>
    <t>JANUARY 2025 STOPES</t>
  </si>
  <si>
    <t>Stope</t>
  </si>
  <si>
    <t>Planned Tonnage (t)</t>
  </si>
  <si>
    <t>Planned Grade (g/t)</t>
  </si>
  <si>
    <t>Planned Gold (kg)</t>
  </si>
  <si>
    <t>Cost per kg (USD)</t>
  </si>
  <si>
    <t>Mining &amp; MTS Cost (USD)</t>
  </si>
  <si>
    <t>5L_W7_STOPE</t>
  </si>
  <si>
    <t>5L_W8_STOPE</t>
  </si>
  <si>
    <t>TOTALS</t>
  </si>
  <si>
    <t>FEBRUARY 2025 STOPES</t>
  </si>
  <si>
    <t xml:space="preserve">Comment </t>
  </si>
  <si>
    <t>Stope delayed</t>
  </si>
  <si>
    <t>Stope delayed &amp; low grade</t>
  </si>
  <si>
    <t>Stope not ready</t>
  </si>
  <si>
    <t>3L_W24_STOPE</t>
  </si>
  <si>
    <t>Extended life of stope</t>
  </si>
  <si>
    <t>Grade control issue</t>
  </si>
  <si>
    <t>Unstable ground</t>
  </si>
  <si>
    <t>Tonnage reallocation</t>
  </si>
  <si>
    <t>Access issue</t>
  </si>
  <si>
    <t>MARCH 2025 STOPES</t>
  </si>
  <si>
    <t>MARCH 2025 STOPES (26/03)</t>
  </si>
  <si>
    <t>Planned Monthly Tonnage (t)</t>
  </si>
  <si>
    <t>MTD Planned Tonnage (t)</t>
  </si>
  <si>
    <t>MTD Actual Tonnage (t)</t>
  </si>
  <si>
    <t>MTD Actual Grade (g/t)</t>
  </si>
  <si>
    <t>MTD Planned Gold (kg)</t>
  </si>
  <si>
    <t>MTD Actual Gold (kg)</t>
  </si>
  <si>
    <t>Cost</t>
  </si>
  <si>
    <t>expected rev</t>
  </si>
  <si>
    <t xml:space="preserve">expected cost </t>
  </si>
  <si>
    <t xml:space="preserve"> Actual Tonnage (t)</t>
  </si>
  <si>
    <t xml:space="preserve"> Planned Gold (kg)</t>
  </si>
  <si>
    <t xml:space="preserve"> Actual Gold (kg)</t>
  </si>
  <si>
    <t>Planned Margin (US$'k)</t>
  </si>
  <si>
    <t>Actual Margin (US$'k)</t>
  </si>
  <si>
    <t>Metric</t>
  </si>
  <si>
    <t>Month Plan</t>
  </si>
  <si>
    <t>Variance</t>
  </si>
  <si>
    <t>% vs Plan</t>
  </si>
  <si>
    <t>Tonnage (t)</t>
  </si>
  <si>
    <t>Margin (US$'k)</t>
  </si>
  <si>
    <t>APRIL 2025 STOPES</t>
  </si>
  <si>
    <t>APRIL 2025 STOPES (23/04)</t>
  </si>
  <si>
    <t>Monthly Plan Margin (US$'k)</t>
  </si>
  <si>
    <t>MTD</t>
  </si>
  <si>
    <t>3L_W23A_STOPE</t>
  </si>
  <si>
    <t>6L_W14_STOPE</t>
  </si>
  <si>
    <t>MAY 2025 STOPES (21/05)</t>
  </si>
  <si>
    <t>JUNE 2025 STOPES</t>
  </si>
  <si>
    <t>3L_W23B_STOPE</t>
  </si>
  <si>
    <t>5l_W12_STOPE</t>
  </si>
  <si>
    <t>JULY 2025 STOPES (17/07)</t>
  </si>
  <si>
    <t>5l_W11_STOPE</t>
  </si>
  <si>
    <t>AUGUST 2025 STOPES</t>
  </si>
  <si>
    <t>SEPTEMBER 2025 STOPES</t>
  </si>
  <si>
    <t>OCTOBER 2025 STOPES</t>
  </si>
  <si>
    <t>NOVEMBER 2025 STOPES</t>
  </si>
  <si>
    <t>DECEMBER 2025 STOPES</t>
  </si>
  <si>
    <t>STOPE PERFORMANCE SUMMARY</t>
  </si>
  <si>
    <t>Planned</t>
  </si>
  <si>
    <t>Tonnage 
(t)</t>
  </si>
  <si>
    <t>Grade 
(g/t/)</t>
  </si>
  <si>
    <t>Gold 
(kg)</t>
  </si>
  <si>
    <t>Revenue 
(US$'k)</t>
  </si>
  <si>
    <t>Cost to Mine 
(US$'k)</t>
  </si>
  <si>
    <t>Margin 
(US$'k)</t>
  </si>
  <si>
    <t>TOTAL</t>
  </si>
  <si>
    <t>Assumptions</t>
  </si>
  <si>
    <t>(based on Janaury BRK forecast)</t>
  </si>
  <si>
    <t>Plant recovery</t>
  </si>
  <si>
    <t>Gold price</t>
  </si>
  <si>
    <t>Net yield</t>
  </si>
  <si>
    <t>Hoisted ore</t>
  </si>
  <si>
    <t>MTS</t>
  </si>
  <si>
    <t>Development</t>
  </si>
  <si>
    <t>Production (excl. ore purchase)</t>
  </si>
  <si>
    <t>Total mining cost</t>
  </si>
  <si>
    <t>Mining cost per tonne</t>
  </si>
  <si>
    <t>Budget</t>
  </si>
  <si>
    <t>Insight</t>
  </si>
  <si>
    <t>Reef wider than model → extra 99 t; grade slightly lower but +0.4 kg gold</t>
  </si>
  <si>
    <t>Reef pinch‑out reduced grade vs model</t>
  </si>
  <si>
    <t>Expect +0.4 kg from remaining blocks</t>
  </si>
  <si>
    <t>Margin (US$’k)</t>
  </si>
  <si>
    <t>Margin down due to lower gold recovered and revenue shortfall, partially offset by lower mining cost</t>
  </si>
  <si>
    <t>KEY</t>
  </si>
  <si>
    <t>GRADE LEGEND</t>
  </si>
  <si>
    <t>Reason if Actual is RED</t>
  </si>
  <si>
    <t>Pickstone Underground Mine</t>
  </si>
  <si>
    <t>Above Budget</t>
  </si>
  <si>
    <t>&lt; 0.60 Waste</t>
  </si>
  <si>
    <r>
      <t xml:space="preserve">Misfire - </t>
    </r>
    <r>
      <rPr>
        <b/>
        <sz val="10"/>
        <color theme="1"/>
        <rFont val="Aptos"/>
        <family val="2"/>
      </rPr>
      <t>MF</t>
    </r>
  </si>
  <si>
    <t>Stoping</t>
  </si>
  <si>
    <t>Below Budget</t>
  </si>
  <si>
    <t xml:space="preserve"> 0.60 - 1.60 Low Grade</t>
  </si>
  <si>
    <r>
      <t>Internal Waste -</t>
    </r>
    <r>
      <rPr>
        <b/>
        <sz val="10"/>
        <color theme="1"/>
        <rFont val="Aptos"/>
        <family val="2"/>
      </rPr>
      <t xml:space="preserve"> IW</t>
    </r>
  </si>
  <si>
    <t>1.60 - 2.00 Medium Grade</t>
  </si>
  <si>
    <r>
      <t xml:space="preserve">Instope Scaling - </t>
    </r>
    <r>
      <rPr>
        <b/>
        <sz val="10"/>
        <color theme="1"/>
        <rFont val="Aptos"/>
        <family val="2"/>
      </rPr>
      <t>IS</t>
    </r>
  </si>
  <si>
    <t>Month:</t>
  </si>
  <si>
    <t>&gt; 2.00 High Grade</t>
  </si>
  <si>
    <r>
      <t xml:space="preserve">Reef Pinched - </t>
    </r>
    <r>
      <rPr>
        <b/>
        <sz val="10"/>
        <color theme="1"/>
        <rFont val="Aptos"/>
        <family val="2"/>
      </rPr>
      <t>RP</t>
    </r>
  </si>
  <si>
    <t>Day:</t>
  </si>
  <si>
    <r>
      <t xml:space="preserve">Barren BIF - </t>
    </r>
    <r>
      <rPr>
        <b/>
        <sz val="10"/>
        <color theme="1"/>
        <rFont val="Aptos"/>
        <family val="2"/>
      </rPr>
      <t>BB</t>
    </r>
  </si>
  <si>
    <t>Shifts</t>
  </si>
  <si>
    <t>Tonnes Blasted</t>
  </si>
  <si>
    <t>Daily Budget (t)</t>
  </si>
  <si>
    <t>Daily Actual (t)</t>
  </si>
  <si>
    <t>Daily Budget (g/t)</t>
  </si>
  <si>
    <t>Daily Actual (g/t)</t>
  </si>
  <si>
    <t>Daily Budget (kg)</t>
  </si>
  <si>
    <t>Daily Actual (kg)</t>
  </si>
  <si>
    <t>Priority</t>
  </si>
  <si>
    <t>Stopes</t>
  </si>
  <si>
    <t>MTD Var</t>
  </si>
  <si>
    <t>Comments</t>
  </si>
  <si>
    <t>Tonnes</t>
  </si>
  <si>
    <t>Budget (t)</t>
  </si>
  <si>
    <t>Actual (t)</t>
  </si>
  <si>
    <t>Grade</t>
  </si>
  <si>
    <t>Budget (g/t)</t>
  </si>
  <si>
    <t>Actual (g/t)</t>
  </si>
  <si>
    <t>Budget (kg)</t>
  </si>
  <si>
    <t>Actual (kg)</t>
  </si>
  <si>
    <t xml:space="preserve"> </t>
  </si>
  <si>
    <t>6L_W18_STOPE</t>
  </si>
  <si>
    <r>
      <t xml:space="preserve">Loco Breakdown - </t>
    </r>
    <r>
      <rPr>
        <b/>
        <sz val="10"/>
        <color theme="1"/>
        <rFont val="Aptos"/>
        <family val="2"/>
      </rPr>
      <t>LcBD</t>
    </r>
  </si>
  <si>
    <t>Tramming</t>
  </si>
  <si>
    <r>
      <t xml:space="preserve">Flooding - </t>
    </r>
    <r>
      <rPr>
        <b/>
        <sz val="10"/>
        <color theme="1"/>
        <rFont val="Aptos"/>
        <family val="2"/>
      </rPr>
      <t>FLD</t>
    </r>
  </si>
  <si>
    <r>
      <t xml:space="preserve">Awaiting Assay Results - </t>
    </r>
    <r>
      <rPr>
        <b/>
        <sz val="10"/>
        <color theme="1"/>
        <rFont val="Aptos"/>
        <family val="2"/>
      </rPr>
      <t>AAR</t>
    </r>
  </si>
  <si>
    <r>
      <t xml:space="preserve">No Sample - </t>
    </r>
    <r>
      <rPr>
        <b/>
        <sz val="10"/>
        <color theme="1"/>
        <rFont val="Aptos"/>
        <family val="2"/>
      </rPr>
      <t>NS</t>
    </r>
  </si>
  <si>
    <r>
      <t xml:space="preserve">Reduced Draw - </t>
    </r>
    <r>
      <rPr>
        <b/>
        <sz val="10"/>
        <rFont val="Aptos"/>
        <family val="2"/>
      </rPr>
      <t>RD</t>
    </r>
    <r>
      <rPr>
        <sz val="10"/>
        <rFont val="Aptos"/>
        <family val="2"/>
      </rPr>
      <t xml:space="preserve">; Blockages - </t>
    </r>
    <r>
      <rPr>
        <b/>
        <sz val="10"/>
        <rFont val="Aptos"/>
        <family val="2"/>
      </rPr>
      <t>BLKG</t>
    </r>
  </si>
  <si>
    <t>Trammed (t)</t>
  </si>
  <si>
    <t>PRIORITY</t>
  </si>
  <si>
    <t>BOX ID</t>
  </si>
  <si>
    <t>COMMENTS</t>
  </si>
  <si>
    <t xml:space="preserve">  </t>
  </si>
  <si>
    <t xml:space="preserve">                                   </t>
  </si>
  <si>
    <t>.</t>
  </si>
  <si>
    <t>3L_W23B STOPE</t>
  </si>
  <si>
    <t>3L_W24A STOPE</t>
  </si>
  <si>
    <t>4L_W23B STOPE</t>
  </si>
  <si>
    <t>5L_W8 STOPE</t>
  </si>
  <si>
    <t>STOPEID</t>
  </si>
  <si>
    <t>Planned depletion (t)</t>
  </si>
  <si>
    <t>Planned depletion (g/t)</t>
  </si>
  <si>
    <t>Depleted actual MTD (t)</t>
  </si>
  <si>
    <t>Depleted actual MTD (g/t)</t>
  </si>
  <si>
    <t>VARIANCE (t)</t>
  </si>
  <si>
    <t>VARIANCE (g/t)</t>
  </si>
  <si>
    <t>Projected EOM (t)</t>
  </si>
  <si>
    <t>Projected EOM (kg)</t>
  </si>
  <si>
    <t>BROKEN - MTD</t>
  </si>
  <si>
    <t>Plan</t>
  </si>
  <si>
    <t>% Variance to Plan</t>
  </si>
  <si>
    <t>Tonnes(t)</t>
  </si>
  <si>
    <t>Gold (Kg)</t>
  </si>
  <si>
    <t>1L TOTAL</t>
  </si>
  <si>
    <t xml:space="preserve">1L W24 STOPE </t>
  </si>
  <si>
    <t xml:space="preserve">3L_W23A STOPE </t>
  </si>
  <si>
    <t>Total Section</t>
  </si>
  <si>
    <t>3L TOTAL</t>
  </si>
  <si>
    <t xml:space="preserve">4L_W23B_STOPE </t>
  </si>
  <si>
    <t xml:space="preserve">4L_W26 STOPE  </t>
  </si>
  <si>
    <t xml:space="preserve">5L_W7 STOPE </t>
  </si>
  <si>
    <t>4L TOTAL</t>
  </si>
  <si>
    <t xml:space="preserve">5L_W8 STOPE </t>
  </si>
  <si>
    <t xml:space="preserve">6L_E1 STOPE </t>
  </si>
  <si>
    <t xml:space="preserve">6L_W1 STOPE  </t>
  </si>
  <si>
    <t>5L TOTAL</t>
  </si>
  <si>
    <t xml:space="preserve">6L_W2 STOPE  </t>
  </si>
  <si>
    <t xml:space="preserve">6L_W8 STOPE </t>
  </si>
  <si>
    <t xml:space="preserve">6L_W9 STOPE </t>
  </si>
  <si>
    <t xml:space="preserve">6L_W10_STOPE </t>
  </si>
  <si>
    <t xml:space="preserve">6L_W14_STOPE </t>
  </si>
  <si>
    <t>Grand Total</t>
  </si>
  <si>
    <t>6L TOTAL</t>
  </si>
  <si>
    <t>GRAND TOTAL</t>
  </si>
  <si>
    <t>ACTUAL PHYSICAL INFORMATION</t>
  </si>
  <si>
    <t>Year to date</t>
  </si>
  <si>
    <t>MINING</t>
  </si>
  <si>
    <t>Total Material Mined (BCM)</t>
  </si>
  <si>
    <t>Waste Mined - PK02/PE03</t>
  </si>
  <si>
    <t>Ore Mined - PK02/PE03</t>
  </si>
  <si>
    <t>Waste Mined (BCM)</t>
  </si>
  <si>
    <t>Waste - PK02/PE03</t>
  </si>
  <si>
    <t>LG Ore - PK02/PE03</t>
  </si>
  <si>
    <t>Stripping Ratio - (Waste - Ore)</t>
  </si>
  <si>
    <t>PK02/PE03</t>
  </si>
  <si>
    <t>Waste Mined (Tonnes)</t>
  </si>
  <si>
    <t>Ore Mined (Tonnes)</t>
  </si>
  <si>
    <t>Pickstone UG</t>
  </si>
  <si>
    <t>Other - Chitemere</t>
  </si>
  <si>
    <t>Head Grade (g/t)</t>
  </si>
  <si>
    <t>Gold Delivered (kg)</t>
  </si>
  <si>
    <t>UG Development Meters (m)</t>
  </si>
  <si>
    <t>ROM Development</t>
  </si>
  <si>
    <t>Capital Development</t>
  </si>
  <si>
    <t>DIAMOND DRILLING</t>
  </si>
  <si>
    <t>Diamond Drilling Meters (m)</t>
  </si>
  <si>
    <t>Exploration - Surface</t>
  </si>
  <si>
    <t>Exploration - UG</t>
  </si>
  <si>
    <t>Total Exploration</t>
  </si>
  <si>
    <t>Evaluation - UG</t>
  </si>
  <si>
    <t>Expensed DD Meters (m)</t>
  </si>
  <si>
    <t>Expensed Exploration - Surface</t>
  </si>
  <si>
    <t>Expensed Exploration - UG</t>
  </si>
  <si>
    <t xml:space="preserve">Total Expensed Exploration </t>
  </si>
  <si>
    <t>Expensed Evaluation - UG</t>
  </si>
  <si>
    <t>Capitalised DD Meters (m)</t>
  </si>
  <si>
    <t>Capitalised Exploration - Surface</t>
  </si>
  <si>
    <t>Capitalised Evaluation - UG</t>
  </si>
  <si>
    <t>PROCESSING</t>
  </si>
  <si>
    <t>Ore Crushed</t>
  </si>
  <si>
    <t>Crushed Grade (g/t)</t>
  </si>
  <si>
    <t>Ore Milled (Tonnes)</t>
  </si>
  <si>
    <t xml:space="preserve">PK02/PE03 </t>
  </si>
  <si>
    <t>Stockpiles</t>
  </si>
  <si>
    <t>Mill Feed Grade (g/t)</t>
  </si>
  <si>
    <t>Gold Content - Mill Feed (kg)</t>
  </si>
  <si>
    <t>Gold Recovery</t>
  </si>
  <si>
    <t>Final Tails Grade (g/t)</t>
  </si>
  <si>
    <t>Gold Recovery (%)</t>
  </si>
  <si>
    <t>Gold Smelted (kg)</t>
  </si>
  <si>
    <t>Gold Recovered</t>
  </si>
  <si>
    <t>Change in Inventory</t>
  </si>
  <si>
    <t>Plant Gold Inventory</t>
  </si>
  <si>
    <t>ORE STOCKPILES</t>
  </si>
  <si>
    <t>Closing Ore Stockpiles (Tonnes)</t>
  </si>
  <si>
    <t>Uncrushed - ROM/SP</t>
  </si>
  <si>
    <t>Fine Ore</t>
  </si>
  <si>
    <t>Closing Stockpiles Grade (g/t)</t>
  </si>
  <si>
    <t>Closing Ore Stockpiles Gold (kg)</t>
  </si>
  <si>
    <t>AVAILABILITIES</t>
  </si>
  <si>
    <t>Plant Availabilities (%)</t>
  </si>
  <si>
    <t>Crushing Plant</t>
  </si>
  <si>
    <t>Milling Plant</t>
  </si>
  <si>
    <t>Winding Plant</t>
  </si>
  <si>
    <t>Ore Conveyences</t>
  </si>
  <si>
    <t>Compressors</t>
  </si>
  <si>
    <t>Ventilation Fans</t>
  </si>
  <si>
    <t>UTILISATION</t>
  </si>
  <si>
    <t>Plant Utilisation  (%)</t>
  </si>
  <si>
    <t>FORECAST</t>
  </si>
  <si>
    <t xml:space="preserve"> -   </t>
  </si>
  <si>
    <t>3L_W23A STOPE</t>
  </si>
  <si>
    <t>4L_W23A STOPE</t>
  </si>
  <si>
    <t xml:space="preserve">4L_W26 STOPE </t>
  </si>
  <si>
    <t>5L_W7 STOPE</t>
  </si>
  <si>
    <t xml:space="preserve">-   </t>
  </si>
  <si>
    <t>6L_E1 STOPE</t>
  </si>
  <si>
    <t xml:space="preserve">6L_W1 STOPE </t>
  </si>
  <si>
    <t xml:space="preserve">6L_W2 STOPE </t>
  </si>
  <si>
    <t>6L_W8 STOPE</t>
  </si>
  <si>
    <t>6L_W9 STOPE</t>
  </si>
  <si>
    <t>6L_W10 STOPE</t>
  </si>
  <si>
    <t>1L W24 STOPE</t>
  </si>
  <si>
    <t>Date</t>
  </si>
  <si>
    <t>Broken Tonnes</t>
  </si>
  <si>
    <t>Ore Tonnes</t>
  </si>
  <si>
    <t>Au_Dil</t>
  </si>
  <si>
    <t>1L W23</t>
  </si>
  <si>
    <t>Stoping Tons</t>
  </si>
  <si>
    <t>1L_TOTAL</t>
  </si>
  <si>
    <t>Total Stoping</t>
  </si>
  <si>
    <t>2L_W4_STOPE</t>
  </si>
  <si>
    <t>3L_E1_STOPE</t>
  </si>
  <si>
    <t>3L_E8 STOPE</t>
  </si>
  <si>
    <t>3L_E7 STOPE</t>
  </si>
  <si>
    <t xml:space="preserve">3L_E9B STOPE
</t>
  </si>
  <si>
    <t>3L_TOTAL</t>
  </si>
  <si>
    <t xml:space="preserve"> 4L_W10A STOPE</t>
  </si>
  <si>
    <t xml:space="preserve"> 4L_W11B STOPE</t>
  </si>
  <si>
    <t xml:space="preserve"> 4L_W13A STOPE</t>
  </si>
  <si>
    <t xml:space="preserve"> 4L_W14C STOPE</t>
  </si>
  <si>
    <t>4L_W14B STOPE</t>
  </si>
  <si>
    <t>4L_W15A STOPE</t>
  </si>
  <si>
    <t xml:space="preserve"> 4L_W16C STOPE</t>
  </si>
  <si>
    <t xml:space="preserve"> 4L_W16B STOPE</t>
  </si>
  <si>
    <t xml:space="preserve"> 4L_W17A STOPE</t>
  </si>
  <si>
    <t>4L_TOTAL</t>
  </si>
  <si>
    <t>5L_W4 STOPE</t>
  </si>
  <si>
    <t>5L_TOTAL</t>
  </si>
  <si>
    <t>6L_E5 STOPE</t>
  </si>
  <si>
    <t>6L_W14 STOPE</t>
  </si>
  <si>
    <t>6L_TOTAL</t>
  </si>
  <si>
    <t>Total Stoping Tons</t>
  </si>
  <si>
    <t>Dev_Ore_Tonnes</t>
  </si>
  <si>
    <t>2L Total</t>
  </si>
  <si>
    <t>Total Tonnes</t>
  </si>
  <si>
    <t>3L Total</t>
  </si>
  <si>
    <t>4L Total</t>
  </si>
  <si>
    <t>5L Total</t>
  </si>
  <si>
    <r>
      <t xml:space="preserve">Misfire - </t>
    </r>
    <r>
      <rPr>
        <b/>
        <sz val="10"/>
        <color rgb="FF000000"/>
        <rFont val="Aptos"/>
        <family val="2"/>
      </rPr>
      <t>MF</t>
    </r>
  </si>
  <si>
    <t>0.60 - 1.60 Low Grade</t>
  </si>
  <si>
    <r>
      <t>Internal Waste -</t>
    </r>
    <r>
      <rPr>
        <b/>
        <sz val="10"/>
        <color rgb="FF000000"/>
        <rFont val="Aptos"/>
        <family val="2"/>
      </rPr>
      <t xml:space="preserve"> IW</t>
    </r>
  </si>
  <si>
    <r>
      <t xml:space="preserve">Instope Scaling - </t>
    </r>
    <r>
      <rPr>
        <b/>
        <sz val="10"/>
        <color rgb="FF000000"/>
        <rFont val="Aptos"/>
        <family val="2"/>
      </rPr>
      <t>IS</t>
    </r>
  </si>
  <si>
    <r>
      <t xml:space="preserve">Reef Pinched - </t>
    </r>
    <r>
      <rPr>
        <b/>
        <sz val="10"/>
        <color rgb="FF000000"/>
        <rFont val="Aptos"/>
        <family val="2"/>
      </rPr>
      <t>RP</t>
    </r>
  </si>
  <si>
    <r>
      <t xml:space="preserve">Barren BIF - </t>
    </r>
    <r>
      <rPr>
        <b/>
        <sz val="10"/>
        <color rgb="FF000000"/>
        <rFont val="Aptos"/>
        <family val="2"/>
      </rPr>
      <t>BB</t>
    </r>
  </si>
  <si>
    <t>Projection</t>
  </si>
  <si>
    <t>Box ID</t>
  </si>
  <si>
    <t>0-Jan</t>
  </si>
  <si>
    <t>4L_W23</t>
  </si>
  <si>
    <t xml:space="preserve">3L_W23 STOPE </t>
  </si>
  <si>
    <t>Stope was delayed due to the extended life of 4LW23A</t>
  </si>
  <si>
    <t xml:space="preserve">slyping to contact, IW </t>
  </si>
  <si>
    <t>Lashing of slypping accumulation</t>
  </si>
  <si>
    <t xml:space="preserve">Delayed start </t>
  </si>
  <si>
    <t>Stope readiness</t>
  </si>
  <si>
    <t>4L_W24</t>
  </si>
  <si>
    <t>Stope 3LW23 needs to be mined first before this stope can be mined - it has been postponed until 3LW23 has been mined</t>
  </si>
  <si>
    <t>BB on the estern side</t>
  </si>
  <si>
    <t>Stoping sequence</t>
  </si>
  <si>
    <t>More tonnage was extracted than initially expected due to a wider minable width. These tonnes helped cover up losses from 3LW23A</t>
  </si>
  <si>
    <t>reef pinching</t>
  </si>
  <si>
    <t>Narrow reef</t>
  </si>
  <si>
    <t>Mining the 3L Sill pillar</t>
  </si>
  <si>
    <t>4l_W25</t>
  </si>
  <si>
    <t>Grade control issue. The grade was lower than initially expected and some tonnage was reallocated to 4LW23A and 5LW7 to cover up tonnage losses</t>
  </si>
  <si>
    <t xml:space="preserve">IW </t>
  </si>
  <si>
    <t>5L_W7</t>
  </si>
  <si>
    <t>More tonnage mined due to grade control issues on 4LW26</t>
  </si>
  <si>
    <t>BB</t>
  </si>
  <si>
    <t>completing conning</t>
  </si>
  <si>
    <t>Completing coning</t>
  </si>
  <si>
    <t>5L_W8</t>
  </si>
  <si>
    <t>Ground challenges (Geotech issue) currently doing a new drive to make the stope safe to mine in March.</t>
  </si>
  <si>
    <t>slyping to contact</t>
  </si>
  <si>
    <t>IW</t>
  </si>
  <si>
    <t>no drilling water</t>
  </si>
  <si>
    <t>IW on con</t>
  </si>
  <si>
    <t>6L_E1</t>
  </si>
  <si>
    <t xml:space="preserve">6L_W3 STOPE </t>
  </si>
  <si>
    <t>More tonnage mined to cover up tonnage losses due to ground challenges faced on 5LW8</t>
  </si>
  <si>
    <t>6L_W3</t>
  </si>
  <si>
    <t>More tonnage mined to cover up tonnage losses due to challenges faced on 6LW3 and 6LW8</t>
  </si>
  <si>
    <t>Access redesign</t>
  </si>
  <si>
    <t>Tonnage fro W1</t>
  </si>
  <si>
    <t>access under construction</t>
  </si>
  <si>
    <t>6L_W8</t>
  </si>
  <si>
    <t>Ground access issues, a bypass around the W8 ore pass  is being mined</t>
  </si>
  <si>
    <t>6L_W9</t>
  </si>
  <si>
    <t>More tonnage realised - wider stope and better grades than initially thought. These have helped cover up the tonnage losses from 6LW8</t>
  </si>
  <si>
    <t xml:space="preserve">Choked </t>
  </si>
  <si>
    <t>grade control issues</t>
  </si>
  <si>
    <t>Waste issue. Mining had to be stopped to bleed the waste before continuing. Renias is confident this issue will be sorted in March</t>
  </si>
  <si>
    <t>Under Prep</t>
  </si>
  <si>
    <t>6W14 Haulage slyping and cleaning in progress, box construction to start on 1 March 2025</t>
  </si>
  <si>
    <t>The stope was not prepared in time (there was scrapping still happening on the haulage and some outstanding work haulage slyping for loco headroom)</t>
  </si>
  <si>
    <t>Underprep</t>
  </si>
  <si>
    <t>Clerical error from underground reporting team. These tonnes came from another stope and should be removed from this report.</t>
  </si>
  <si>
    <r>
      <t xml:space="preserve">Loco Breakdown - </t>
    </r>
    <r>
      <rPr>
        <b/>
        <sz val="10"/>
        <color rgb="FF000000"/>
        <rFont val="Aptos"/>
        <family val="2"/>
      </rPr>
      <t>LcBD</t>
    </r>
  </si>
  <si>
    <r>
      <t xml:space="preserve">Flooding - </t>
    </r>
    <r>
      <rPr>
        <b/>
        <sz val="10"/>
        <color rgb="FF000000"/>
        <rFont val="Aptos"/>
        <family val="2"/>
      </rPr>
      <t>FLD</t>
    </r>
  </si>
  <si>
    <r>
      <t xml:space="preserve">Awaiting Assay Results - </t>
    </r>
    <r>
      <rPr>
        <b/>
        <sz val="10"/>
        <color rgb="FF000000"/>
        <rFont val="Aptos"/>
        <family val="2"/>
      </rPr>
      <t>AAR</t>
    </r>
  </si>
  <si>
    <r>
      <t xml:space="preserve">No Sample - </t>
    </r>
    <r>
      <rPr>
        <b/>
        <sz val="10"/>
        <color rgb="FF000000"/>
        <rFont val="Aptos"/>
        <family val="2"/>
      </rPr>
      <t>NS</t>
    </r>
  </si>
  <si>
    <t>Month</t>
  </si>
  <si>
    <t>Projected</t>
  </si>
  <si>
    <t>4L_W25</t>
  </si>
  <si>
    <t xml:space="preserve">6L_E1 </t>
  </si>
  <si>
    <t xml:space="preserve">6L_W3 </t>
  </si>
  <si>
    <t xml:space="preserve">6L_W8 </t>
  </si>
  <si>
    <t xml:space="preserve">6L_W9 </t>
  </si>
  <si>
    <t xml:space="preserve">6L_W10 </t>
  </si>
  <si>
    <t xml:space="preserve">6L_W4 </t>
  </si>
  <si>
    <t>3L_W24 STOPE</t>
  </si>
  <si>
    <t>SHEQ Issues</t>
  </si>
  <si>
    <t>SHEQ issues</t>
  </si>
  <si>
    <t>BB on the eastern side</t>
  </si>
  <si>
    <t xml:space="preserve">Slypping closer to contact </t>
  </si>
  <si>
    <t>Throttling due to low grade</t>
  </si>
  <si>
    <t>Tonnage from W1</t>
  </si>
  <si>
    <t>Access establishment</t>
  </si>
  <si>
    <t>UDERGROUND MINING COST ASSUMPTIONS</t>
  </si>
  <si>
    <t>Mining Costs (Underhand Stoping)</t>
  </si>
  <si>
    <t>USD</t>
  </si>
  <si>
    <t>Other Factors</t>
  </si>
  <si>
    <t>Development cost per tonne</t>
  </si>
  <si>
    <t>US$/t</t>
  </si>
  <si>
    <t>Production cost per tonne</t>
  </si>
  <si>
    <t>Maintenance cost per tonne</t>
  </si>
  <si>
    <t>Gold price after royalties</t>
  </si>
  <si>
    <t>Total mining cost per tonne</t>
  </si>
  <si>
    <t>Other costs</t>
  </si>
  <si>
    <t>Mining technical services</t>
  </si>
  <si>
    <t>Processing</t>
  </si>
  <si>
    <t>Maintenance</t>
  </si>
  <si>
    <t>Laboratory</t>
  </si>
  <si>
    <t>Shared services</t>
  </si>
  <si>
    <t>Head office</t>
  </si>
  <si>
    <t>Mining &amp; MTS cost per ton</t>
  </si>
  <si>
    <t>6L_W14B_STOPE</t>
  </si>
  <si>
    <t>Row Labels</t>
  </si>
  <si>
    <t>Sum of Long-Term Plan Tonnage (t)</t>
  </si>
  <si>
    <t>Sum of Short-Term Plan Tonnage (t)</t>
  </si>
  <si>
    <t>Sum of Actual Tonnage (t)</t>
  </si>
  <si>
    <t>Sum of Long-Term Plan Gold (kg)</t>
  </si>
  <si>
    <t>Sum of Short-Term Plan Gold (kg)</t>
  </si>
  <si>
    <t>Sum of Actual Gold (kg)</t>
  </si>
  <si>
    <t>2024</t>
  </si>
  <si>
    <t>2025</t>
  </si>
  <si>
    <t>Qtr1</t>
  </si>
  <si>
    <t>Qtr2</t>
  </si>
  <si>
    <t>Qtr3</t>
  </si>
  <si>
    <t>Qtr4</t>
  </si>
  <si>
    <t>2026</t>
  </si>
  <si>
    <t>Block Model</t>
  </si>
  <si>
    <t>Evaluation</t>
  </si>
  <si>
    <t>Remaining</t>
  </si>
  <si>
    <t>Grade performance</t>
  </si>
  <si>
    <t>STOPE ID</t>
  </si>
  <si>
    <t>UOM</t>
  </si>
  <si>
    <t>LOM Plan</t>
  </si>
  <si>
    <t>ST Plan</t>
  </si>
  <si>
    <t>%</t>
  </si>
  <si>
    <t>Width (m)</t>
  </si>
  <si>
    <t>(t)</t>
  </si>
  <si>
    <t>(g/t)</t>
  </si>
  <si>
    <t>(kg)</t>
  </si>
  <si>
    <t>1L_W23 STOPE</t>
  </si>
  <si>
    <t>New stope accessed from the Adit.</t>
  </si>
  <si>
    <t>Directly above 4L_W23. Stoping commenced Feb.</t>
  </si>
  <si>
    <t xml:space="preserve">Wider reef (12m vs 4m planned). Grade performing above LOM plan. </t>
  </si>
  <si>
    <t>New stope above 4L_W23A.</t>
  </si>
  <si>
    <t>Block evaluation projecting higher grade compared to block model.</t>
  </si>
  <si>
    <t>Stope was not on LOMP. Reef terminated is now out of plan. (8.7kg gained).</t>
  </si>
  <si>
    <t>Block evaluation projecting higher grade compared to block model. Shrinkage stoping.</t>
  </si>
  <si>
    <t xml:space="preserve">Stope is in poor ground. Grade affected by dilution. </t>
  </si>
  <si>
    <t>Wide reef (8m versus th eplanned 3.6m). High grade stope.</t>
  </si>
  <si>
    <t>Stope was not on LOMP. Block evaluation projecting higher grade compared to BM.</t>
  </si>
  <si>
    <t xml:space="preserve">6L_W6 STOPE </t>
  </si>
  <si>
    <t xml:space="preserve">Wider reef (average 4m vs plan on 2m). </t>
  </si>
  <si>
    <t>Stope was not on LOMP (partially mined out).</t>
  </si>
  <si>
    <t>6L_W13 STOPE</t>
  </si>
  <si>
    <t>FY2025 Total</t>
  </si>
  <si>
    <t>Q2-Q4 2025 Total</t>
  </si>
  <si>
    <t>Pickstone Underground Ore</t>
  </si>
  <si>
    <t>Concession Tonnes  (3L_E9 included)</t>
  </si>
  <si>
    <t>Grade - (g/t)</t>
  </si>
  <si>
    <t>4L Tonnes (W14 - W23)</t>
  </si>
  <si>
    <t>5L Decline Conveyor</t>
  </si>
  <si>
    <t>Lobe Shaft tonnes</t>
  </si>
  <si>
    <t>Concession Adit tonnes</t>
  </si>
  <si>
    <t xml:space="preserve">Duchess East </t>
  </si>
  <si>
    <t>Phase 3 Mined Tonnes</t>
  </si>
  <si>
    <t xml:space="preserve">Total PUG </t>
  </si>
  <si>
    <t xml:space="preserve">Peerless Underground Ore </t>
  </si>
  <si>
    <t>Total PUG and Peerless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</si>
</sst>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4">
    <numFmt numFmtId="43" formatCode="_-* #,##0.00_-;\-* #,##0.00_-;_-* &quot;-&quot;??_-;_-@_-"/>
    <numFmt numFmtId="164" formatCode="_(* #,##0_);_(* \(#,##0\);_(* &quot;-&quot;_);_(@_)"/>
    <numFmt numFmtId="165" formatCode="_(* #,##0.00_);_(* \(#,##0.00\);_(* &quot;-&quot;??_);_(@_)"/>
    <numFmt numFmtId="166" formatCode="_-* #,##0_-;\-* #,##0_-;_-* &quot;-&quot;??_-;_-@_-"/>
    <numFmt numFmtId="167" formatCode="_(* #,##0_);_(* \(#,##0\);_(* &quot;-&quot;??_);_(@_)"/>
    <numFmt numFmtId="168" formatCode="0.00_ ;[Red]\-0.00\ "/>
    <numFmt numFmtId="169" formatCode="0.0_ ;[Red]\-0.0\ "/>
    <numFmt numFmtId="170" formatCode="0.0"/>
    <numFmt numFmtId="171" formatCode="_-* #,##0.0_-;\-* #,##0.0_-;_-* &quot;-&quot;??_-;_-@_-"/>
    <numFmt numFmtId="172" formatCode="[$-409]mmmm\-yy;@"/>
    <numFmt numFmtId="173" formatCode="#,##0.000"/>
    <numFmt numFmtId="174" formatCode="_(* #,##0.0_);_(* \(#,##0.0\);_(* &quot;-&quot;??_);_(@_)"/>
    <numFmt numFmtId="175" formatCode="_(* #,##0.00_);_(* \(#,##0.00\);_(* &quot;-&quot;_);_(@_)"/>
    <numFmt numFmtId="176" formatCode="[$-409]d\-mmm;@"/>
    <numFmt numFmtId="177" formatCode="_-&quot;£&quot;* #,##0.00_-;\-&quot;£&quot;* #,##0.00_-;_-&quot;£&quot;* &quot;-&quot;??_-;_-@_-"/>
    <numFmt numFmtId="178" formatCode="_ [$€]\ * #,##0.00_ ;_ [$€]\ * \-#,##0.00_ ;_ [$€]\ * &quot;-&quot;??_ ;_ @_ "/>
    <numFmt numFmtId="179" formatCode="d/m;@"/>
    <numFmt numFmtId="180" formatCode="_-&quot;R&quot;* #,##0.00_-;\-&quot;R&quot;* #,##0.00_-;_-&quot;R&quot;* &quot;-&quot;??_-;_-@_-"/>
    <numFmt numFmtId="181" formatCode="mmmm\ yyyy"/>
    <numFmt numFmtId="182" formatCode="_ * #,##0_ ;_ * \-#,##0_ ;_ * &quot;-&quot;_ ;_ @_ "/>
    <numFmt numFmtId="183" formatCode="_(* #,##0_);[Red]_(* \(#,##0\);_(* &quot;-&quot;??_);_(@_)"/>
    <numFmt numFmtId="184" formatCode="_(* #,##0.00_);[Red]_(* \(#,##0.00\);_(* &quot;-&quot;??_);_(@_)"/>
    <numFmt numFmtId="185" formatCode="_(* #,##0.0_);[Red]_(* \(#,##0.0\);_(* &quot;-&quot;??_);_(@_)"/>
    <numFmt numFmtId="186" formatCode="_-* #,##0.00000_-;\-* #,##0.00000_-;_-* &quot;-&quot;??_-;_-@_-"/>
  </numFmts>
  <fonts count="8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1"/>
      <name val="Calibri"/>
      <family val="2"/>
    </font>
    <font>
      <sz val="10"/>
      <color theme="1"/>
      <name val="Calibri"/>
      <family val="2"/>
    </font>
    <font>
      <sz val="10"/>
      <name val="Aptos"/>
      <family val="2"/>
    </font>
    <font>
      <sz val="10"/>
      <color rgb="FF002060"/>
      <name val="Aptos"/>
      <family val="2"/>
    </font>
    <font>
      <sz val="9"/>
      <color theme="1"/>
      <name val="Aptos Narrow"/>
      <family val="2"/>
      <scheme val="minor"/>
    </font>
    <font>
      <b/>
      <sz val="9"/>
      <color theme="1"/>
      <name val="Aptos Narrow"/>
      <family val="2"/>
      <scheme val="minor"/>
    </font>
    <font>
      <b/>
      <u/>
      <sz val="10"/>
      <color theme="1"/>
      <name val="Calibri"/>
      <family val="2"/>
    </font>
    <font>
      <sz val="8"/>
      <name val="Aptos Narrow"/>
      <family val="2"/>
      <scheme val="minor"/>
    </font>
    <font>
      <sz val="11"/>
      <name val="Aptos"/>
      <family val="2"/>
    </font>
    <font>
      <sz val="10"/>
      <color theme="1"/>
      <name val="Aptos"/>
      <family val="2"/>
    </font>
    <font>
      <b/>
      <sz val="10"/>
      <color rgb="FFFF0000"/>
      <name val="Aptos"/>
      <family val="2"/>
    </font>
    <font>
      <b/>
      <sz val="11"/>
      <name val="Aptos"/>
      <family val="2"/>
    </font>
    <font>
      <b/>
      <sz val="10"/>
      <color rgb="FF000000"/>
      <name val="Aptos"/>
      <family val="2"/>
    </font>
    <font>
      <sz val="10"/>
      <color rgb="FF000000"/>
      <name val="Aptos"/>
      <family val="2"/>
    </font>
    <font>
      <b/>
      <sz val="10"/>
      <color theme="1"/>
      <name val="Aptos"/>
      <family val="2"/>
    </font>
    <font>
      <b/>
      <sz val="10"/>
      <color rgb="FF0070C0"/>
      <name val="Aptos"/>
      <family val="2"/>
    </font>
    <font>
      <b/>
      <sz val="10"/>
      <color rgb="FF006100"/>
      <name val="Aptos"/>
      <family val="2"/>
    </font>
    <font>
      <i/>
      <sz val="10"/>
      <name val="Aptos"/>
      <family val="2"/>
    </font>
    <font>
      <b/>
      <sz val="10"/>
      <color rgb="FF9C0006"/>
      <name val="Aptos"/>
      <family val="2"/>
    </font>
    <font>
      <b/>
      <sz val="10"/>
      <name val="Aptos"/>
      <family val="2"/>
    </font>
    <font>
      <sz val="11"/>
      <color rgb="FFFF0000"/>
      <name val="Aptos Narrow"/>
      <family val="2"/>
      <scheme val="minor"/>
    </font>
    <font>
      <b/>
      <sz val="11"/>
      <color theme="1"/>
      <name val="Calibri"/>
      <family val="2"/>
    </font>
    <font>
      <sz val="11"/>
      <color theme="1"/>
      <name val="Calibri"/>
      <family val="2"/>
    </font>
    <font>
      <b/>
      <u/>
      <sz val="10"/>
      <color theme="1"/>
      <name val="Aptos"/>
      <family val="2"/>
    </font>
    <font>
      <sz val="11"/>
      <color theme="1"/>
      <name val="Aptos"/>
      <family val="2"/>
    </font>
    <font>
      <sz val="10"/>
      <color theme="0"/>
      <name val="Aptos"/>
      <family val="2"/>
    </font>
    <font>
      <sz val="11"/>
      <color theme="1"/>
      <name val="Segoe UI"/>
      <family val="2"/>
    </font>
    <font>
      <b/>
      <sz val="11"/>
      <color rgb="FF002060"/>
      <name val="Aptos Narrow"/>
      <family val="2"/>
      <scheme val="minor"/>
    </font>
    <font>
      <b/>
      <sz val="11"/>
      <name val="Aptos Narrow"/>
      <family val="2"/>
      <scheme val="minor"/>
    </font>
    <font>
      <sz val="11"/>
      <name val="Aptos Narrow"/>
      <family val="2"/>
      <scheme val="minor"/>
    </font>
    <font>
      <b/>
      <sz val="11"/>
      <color rgb="FF000000"/>
      <name val="Aptos Narrow"/>
      <family val="2"/>
      <scheme val="minor"/>
    </font>
    <font>
      <b/>
      <sz val="10"/>
      <color rgb="FF006600"/>
      <name val="Aptos"/>
      <family val="2"/>
    </font>
    <font>
      <b/>
      <sz val="10"/>
      <color rgb="FF990000"/>
      <name val="Aptos"/>
      <family val="2"/>
    </font>
    <font>
      <b/>
      <u/>
      <sz val="10"/>
      <color rgb="FF000000"/>
      <name val="Aptos"/>
      <family val="2"/>
    </font>
    <font>
      <sz val="11"/>
      <color rgb="FF000000"/>
      <name val="Aptos"/>
      <family val="2"/>
    </font>
    <font>
      <sz val="10"/>
      <color rgb="FFFFFFFF"/>
      <name val="Aptos"/>
      <family val="2"/>
    </font>
    <font>
      <sz val="10"/>
      <name val="Calibri"/>
      <family val="2"/>
    </font>
    <font>
      <b/>
      <sz val="10"/>
      <name val="Calibri"/>
      <family val="2"/>
    </font>
    <font>
      <i/>
      <sz val="10"/>
      <color theme="1"/>
      <name val="Calibri"/>
      <family val="2"/>
    </font>
    <font>
      <i/>
      <sz val="10"/>
      <color theme="1"/>
      <name val="Aptos"/>
      <family val="2"/>
    </font>
    <font>
      <b/>
      <sz val="11"/>
      <color rgb="FFFF0000"/>
      <name val="Aptos Narrow"/>
      <family val="2"/>
      <scheme val="minor"/>
    </font>
    <font>
      <sz val="18"/>
      <name val="Arial"/>
      <family val="2"/>
    </font>
    <font>
      <b/>
      <sz val="16"/>
      <color rgb="FF000000"/>
      <name val="Aptos Narrow"/>
      <family val="2"/>
    </font>
    <font>
      <sz val="16"/>
      <color rgb="FF000000"/>
      <name val="Aptos Narrow"/>
      <family val="2"/>
    </font>
    <font>
      <sz val="16"/>
      <color rgb="FFFF0000"/>
      <name val="Aptos Narrow"/>
      <family val="2"/>
    </font>
    <font>
      <sz val="11"/>
      <color rgb="FF000000"/>
      <name val="Calibri"/>
      <family val="2"/>
    </font>
    <font>
      <b/>
      <sz val="11"/>
      <color theme="1"/>
      <name val="Segoe UI"/>
      <family val="2"/>
    </font>
    <font>
      <sz val="16"/>
      <name val="Aptos Narrow"/>
      <family val="2"/>
    </font>
    <font>
      <sz val="11"/>
      <color theme="1"/>
      <name val="Aptos Narrow"/>
      <family val="2"/>
      <scheme val="minor"/>
    </font>
    <font>
      <sz val="10"/>
      <name val="Arial"/>
      <family val="2"/>
    </font>
    <font>
      <sz val="12"/>
      <name val="Arial"/>
      <family val="2"/>
    </font>
    <font>
      <sz val="11"/>
      <color indexed="8"/>
      <name val="Tahoma"/>
      <family val="2"/>
    </font>
    <font>
      <sz val="11"/>
      <color indexed="8"/>
      <name val="Calibri"/>
      <family val="2"/>
    </font>
    <font>
      <sz val="11"/>
      <color theme="1"/>
      <name val="Tahoma"/>
      <family val="2"/>
    </font>
    <font>
      <sz val="11"/>
      <color theme="0"/>
      <name val="Tahoma"/>
      <family val="2"/>
    </font>
    <font>
      <sz val="11"/>
      <color rgb="FF9C0006"/>
      <name val="Tahoma"/>
      <family val="2"/>
    </font>
    <font>
      <b/>
      <sz val="11"/>
      <color rgb="FFFA7D00"/>
      <name val="Tahoma"/>
      <family val="2"/>
    </font>
    <font>
      <b/>
      <sz val="11"/>
      <color theme="0"/>
      <name val="Tahoma"/>
      <family val="2"/>
    </font>
    <font>
      <i/>
      <sz val="11"/>
      <color rgb="FF7F7F7F"/>
      <name val="Tahoma"/>
      <family val="2"/>
    </font>
    <font>
      <sz val="11"/>
      <color rgb="FF006100"/>
      <name val="Tahoma"/>
      <family val="2"/>
    </font>
    <font>
      <b/>
      <sz val="15"/>
      <color theme="3"/>
      <name val="Tahoma"/>
      <family val="2"/>
    </font>
    <font>
      <b/>
      <sz val="13"/>
      <color theme="3"/>
      <name val="Tahoma"/>
      <family val="2"/>
    </font>
    <font>
      <b/>
      <sz val="11"/>
      <color theme="3"/>
      <name val="Tahoma"/>
      <family val="2"/>
    </font>
    <font>
      <sz val="11"/>
      <color rgb="FF3F3F76"/>
      <name val="Tahoma"/>
      <family val="2"/>
    </font>
    <font>
      <sz val="11"/>
      <color rgb="FFFA7D00"/>
      <name val="Tahoma"/>
      <family val="2"/>
    </font>
    <font>
      <sz val="11"/>
      <color rgb="FF9C6500"/>
      <name val="Tahoma"/>
      <family val="2"/>
    </font>
    <font>
      <b/>
      <sz val="11"/>
      <color rgb="FF3F3F3F"/>
      <name val="Tahoma"/>
      <family val="2"/>
    </font>
    <font>
      <b/>
      <sz val="11"/>
      <color theme="1"/>
      <name val="Tahoma"/>
      <family val="2"/>
    </font>
    <font>
      <sz val="11"/>
      <color rgb="FFFF0000"/>
      <name val="Tahoma"/>
      <family val="2"/>
    </font>
    <font>
      <sz val="12"/>
      <color theme="1"/>
      <name val="Aptos Narrow"/>
      <family val="2"/>
      <charset val="136"/>
      <scheme val="minor"/>
    </font>
    <font>
      <b/>
      <sz val="10"/>
      <color theme="0"/>
      <name val="Aptos"/>
      <family val="2"/>
    </font>
    <font>
      <sz val="10"/>
      <color rgb="FF9C0006"/>
      <name val="Aptos"/>
      <family val="2"/>
    </font>
    <font>
      <sz val="10"/>
      <color rgb="FF006100"/>
      <name val="Aptos"/>
      <family val="2"/>
    </font>
    <font>
      <sz val="10"/>
      <color indexed="8"/>
      <name val="Aptos"/>
      <family val="2"/>
    </font>
    <font>
      <sz val="10"/>
      <color indexed="12"/>
      <name val="Aptos"/>
      <family val="2"/>
    </font>
    <font>
      <b/>
      <sz val="10"/>
      <color indexed="8"/>
      <name val="Aptos"/>
      <family val="2"/>
    </font>
    <font>
      <i/>
      <sz val="10"/>
      <color indexed="8"/>
      <name val="Aptos"/>
      <family val="2"/>
    </font>
    <font>
      <b/>
      <i/>
      <sz val="10"/>
      <color indexed="8"/>
      <name val="Aptos"/>
      <family val="2"/>
    </font>
    <font>
      <b/>
      <i/>
      <sz val="10"/>
      <name val="Aptos"/>
      <family val="2"/>
    </font>
    <font>
      <sz val="11"/>
      <color theme="1"/>
      <name val="Aptos Narrow"/>
      <charset val="134"/>
      <scheme val="minor"/>
    </font>
    <font>
      <b/>
      <sz val="11"/>
      <color rgb="FF000000"/>
      <name val="Aptos Narrow"/>
      <family val="2"/>
    </font>
    <font>
      <sz val="9"/>
      <color rgb="FF000000"/>
      <name val="Aptos Narrow"/>
      <family val="2"/>
    </font>
    <font>
      <sz val="11"/>
      <color rgb="FF000000"/>
      <name val="Aptos Narrow"/>
      <family val="2"/>
    </font>
  </fonts>
  <fills count="84">
    <fill>
      <patternFill patternType="none"/>
    </fill>
    <fill>
      <patternFill patternType="gray125"/>
    </fill>
    <fill>
      <patternFill patternType="solid">
        <fgColor theme="4" tint="0.79998168889431442"/>
        <bgColor indexed="64"/>
      </patternFill>
    </fill>
    <fill>
      <patternFill patternType="solid">
        <fgColor rgb="FFC0E6F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FF7C80"/>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bgColor indexed="64"/>
      </patternFill>
    </fill>
    <fill>
      <patternFill patternType="solid">
        <fgColor theme="2"/>
        <bgColor indexed="64"/>
      </patternFill>
    </fill>
    <fill>
      <patternFill patternType="solid">
        <fgColor rgb="FFD9D9D9"/>
        <bgColor indexed="64"/>
      </patternFill>
    </fill>
    <fill>
      <patternFill patternType="solid">
        <fgColor theme="7" tint="0.79998168889431442"/>
        <bgColor indexed="64"/>
      </patternFill>
    </fill>
    <fill>
      <patternFill patternType="solid">
        <fgColor rgb="FF3399FF"/>
        <bgColor indexed="64"/>
      </patternFill>
    </fill>
    <fill>
      <patternFill patternType="solid">
        <fgColor theme="5" tint="0.79998168889431442"/>
        <bgColor indexed="64"/>
      </patternFill>
    </fill>
    <fill>
      <patternFill patternType="solid">
        <fgColor rgb="FF83CCEB"/>
        <bgColor indexed="64"/>
      </patternFill>
    </fill>
    <fill>
      <patternFill patternType="solid">
        <fgColor rgb="FFFBE2D5"/>
        <bgColor indexed="64"/>
      </patternFill>
    </fill>
    <fill>
      <patternFill patternType="solid">
        <fgColor rgb="FFE8E8E8"/>
        <bgColor indexed="64"/>
      </patternFill>
    </fill>
    <fill>
      <patternFill patternType="solid">
        <fgColor rgb="FFFFE699"/>
        <bgColor rgb="FF000000"/>
      </patternFill>
    </fill>
    <fill>
      <patternFill patternType="solid">
        <fgColor rgb="FFFFF9E7"/>
        <bgColor rgb="FF000000"/>
      </patternFill>
    </fill>
    <fill>
      <patternFill patternType="solid">
        <fgColor rgb="FFFFF9E7"/>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5050"/>
        <bgColor indexed="64"/>
      </patternFill>
    </fill>
    <fill>
      <patternFill patternType="solid">
        <fgColor theme="1" tint="0.499984740745262"/>
        <bgColor indexed="64"/>
      </patternFill>
    </fill>
    <fill>
      <patternFill patternType="solid">
        <fgColor rgb="FFFF0000"/>
        <bgColor indexed="64"/>
      </patternFill>
    </fill>
    <fill>
      <patternFill patternType="solid">
        <fgColor rgb="FFFFC7CE"/>
        <bgColor indexed="64"/>
      </patternFill>
    </fill>
    <fill>
      <patternFill patternType="solid">
        <fgColor rgb="FFC6EFCE"/>
        <bgColor indexed="64"/>
      </patternFill>
    </fill>
    <fill>
      <patternFill patternType="solid">
        <fgColor theme="2"/>
        <bgColor rgb="FF000000"/>
      </patternFill>
    </fill>
    <fill>
      <patternFill patternType="solid">
        <fgColor rgb="FF00B0F0"/>
        <bgColor indexed="64"/>
      </patternFill>
    </fill>
    <fill>
      <patternFill patternType="solid">
        <fgColor rgb="FF7030A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3" tint="0.89999084444715716"/>
        <bgColor indexed="64"/>
      </patternFill>
    </fill>
    <fill>
      <patternFill patternType="solid">
        <fgColor rgb="FFFFC000"/>
        <bgColor indexed="64"/>
      </patternFill>
    </fill>
    <fill>
      <patternFill patternType="solid">
        <fgColor rgb="FFE7E6E6"/>
        <bgColor rgb="FF000000"/>
      </patternFill>
    </fill>
    <fill>
      <patternFill patternType="solid">
        <fgColor rgb="FFC6EFCE"/>
        <bgColor rgb="FF000000"/>
      </patternFill>
    </fill>
    <fill>
      <patternFill patternType="solid">
        <fgColor rgb="FFFFC7CE"/>
        <bgColor rgb="FF000000"/>
      </patternFill>
    </fill>
    <fill>
      <patternFill patternType="solid">
        <fgColor rgb="FFFFFFFF"/>
        <bgColor rgb="FF000000"/>
      </patternFill>
    </fill>
    <fill>
      <patternFill patternType="solid">
        <fgColor rgb="FF00B0F0"/>
        <bgColor rgb="FF000000"/>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6"/>
      </patternFill>
    </fill>
    <fill>
      <patternFill patternType="solid">
        <fgColor theme="5" tint="0.79998168889431442"/>
        <bgColor rgb="FF000000"/>
      </patternFill>
    </fill>
    <fill>
      <patternFill patternType="solid">
        <fgColor rgb="FFE2EFDA"/>
        <bgColor rgb="FF000000"/>
      </patternFill>
    </fill>
    <fill>
      <patternFill patternType="solid">
        <fgColor theme="2" tint="-0.249977111117893"/>
        <bgColor indexed="64"/>
      </patternFill>
    </fill>
    <fill>
      <patternFill patternType="solid">
        <fgColor theme="3" tint="0.499984740745262"/>
        <bgColor indexed="64"/>
      </patternFill>
    </fill>
    <fill>
      <patternFill patternType="solid">
        <fgColor rgb="FFD9E1F2"/>
        <bgColor rgb="FF000000"/>
      </patternFill>
    </fill>
    <fill>
      <patternFill patternType="solid">
        <fgColor rgb="FFB4C6E7"/>
        <bgColor rgb="FF000000"/>
      </patternFill>
    </fill>
    <fill>
      <patternFill patternType="solid">
        <fgColor indexed="44"/>
        <bgColor indexed="64"/>
      </patternFill>
    </fill>
    <fill>
      <patternFill patternType="solid">
        <fgColor rgb="FFCAEDFB"/>
        <bgColor rgb="FF000000"/>
      </patternFill>
    </fill>
  </fills>
  <borders count="165">
    <border>
      <left/>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theme="0" tint="-0.249977111117893"/>
      </left>
      <right style="thin">
        <color theme="0" tint="-0.249977111117893"/>
      </right>
      <top/>
      <bottom/>
      <diagonal/>
    </border>
    <border>
      <left style="thin">
        <color theme="0" tint="-0.249977111117893"/>
      </left>
      <right/>
      <top/>
      <bottom style="thin">
        <color theme="0" tint="-0.249977111117893"/>
      </bottom>
      <diagonal/>
    </border>
    <border>
      <left style="medium">
        <color theme="0" tint="-0.249977111117893"/>
      </left>
      <right style="thin">
        <color theme="0" tint="-0.249977111117893"/>
      </right>
      <top/>
      <bottom style="double">
        <color theme="0" tint="-0.249977111117893"/>
      </bottom>
      <diagonal/>
    </border>
    <border>
      <left style="thin">
        <color theme="0" tint="-0.249977111117893"/>
      </left>
      <right/>
      <top style="thin">
        <color theme="0" tint="-0.249977111117893"/>
      </top>
      <bottom style="double">
        <color theme="0" tint="-0.249977111117893"/>
      </bottom>
      <diagonal/>
    </border>
    <border>
      <left/>
      <right/>
      <top style="thin">
        <color theme="0" tint="-0.249977111117893"/>
      </top>
      <bottom style="thin">
        <color theme="0" tint="-0.249977111117893"/>
      </bottom>
      <diagonal/>
    </border>
    <border>
      <left/>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theme="0" tint="-0.249977111117893"/>
      </right>
      <top style="thin">
        <color theme="0" tint="-0.249977111117893"/>
      </top>
      <bottom style="thin">
        <color theme="0" tint="-0.249977111117893"/>
      </bottom>
      <diagonal/>
    </border>
    <border>
      <left/>
      <right/>
      <top style="thin">
        <color theme="0" tint="-0.249977111117893"/>
      </top>
      <bottom/>
      <diagonal/>
    </border>
    <border>
      <left style="medium">
        <color indexed="64"/>
      </left>
      <right style="medium">
        <color indexed="64"/>
      </right>
      <top style="medium">
        <color indexed="64"/>
      </top>
      <bottom style="thin">
        <color indexed="64"/>
      </bottom>
      <diagonal/>
    </border>
    <border>
      <left style="thin">
        <color theme="0" tint="-0.249977111117893"/>
      </left>
      <right/>
      <top/>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theme="0" tint="-0.249977111117893"/>
      </left>
      <right style="thin">
        <color theme="0" tint="-0.249977111117893"/>
      </right>
      <top style="medium">
        <color theme="0" tint="-0.249977111117893"/>
      </top>
      <bottom style="thin">
        <color theme="0" tint="-0.249977111117893"/>
      </bottom>
      <diagonal/>
    </border>
    <border>
      <left/>
      <right style="medium">
        <color theme="0" tint="-0.249977111117893"/>
      </right>
      <top style="medium">
        <color theme="0" tint="-0.249977111117893"/>
      </top>
      <bottom style="thin">
        <color theme="0" tint="-0.249977111117893"/>
      </bottom>
      <diagonal/>
    </border>
    <border>
      <left style="medium">
        <color theme="0" tint="-0.249977111117893"/>
      </left>
      <right style="thin">
        <color theme="0" tint="-0.249977111117893"/>
      </right>
      <top/>
      <bottom style="thin">
        <color theme="0" tint="-0.249977111117893"/>
      </bottom>
      <diagonal/>
    </border>
    <border>
      <left style="thin">
        <color theme="0" tint="-0.249977111117893"/>
      </left>
      <right style="medium">
        <color theme="0" tint="-0.249977111117893"/>
      </right>
      <top/>
      <bottom style="thin">
        <color theme="0" tint="-0.249977111117893"/>
      </bottom>
      <diagonal/>
    </border>
    <border>
      <left style="medium">
        <color theme="0" tint="-0.249977111117893"/>
      </left>
      <right/>
      <top/>
      <bottom/>
      <diagonal/>
    </border>
    <border>
      <left/>
      <right style="medium">
        <color theme="0" tint="-0.249977111117893"/>
      </right>
      <top/>
      <bottom/>
      <diagonal/>
    </border>
    <border>
      <left style="medium">
        <color theme="0" tint="-0.249977111117893"/>
      </left>
      <right style="thin">
        <color theme="0" tint="-0.249977111117893"/>
      </right>
      <top/>
      <bottom style="medium">
        <color theme="0" tint="-0.249977111117893"/>
      </bottom>
      <diagonal/>
    </border>
    <border>
      <left style="thin">
        <color theme="0" tint="-0.249977111117893"/>
      </left>
      <right style="medium">
        <color theme="0" tint="-0.249977111117893"/>
      </right>
      <top/>
      <bottom style="medium">
        <color theme="0" tint="-0.249977111117893"/>
      </bottom>
      <diagonal/>
    </border>
    <border>
      <left style="medium">
        <color theme="0" tint="-0.249977111117893"/>
      </left>
      <right/>
      <top style="medium">
        <color theme="0" tint="-0.249977111117893"/>
      </top>
      <bottom/>
      <diagonal/>
    </border>
    <border>
      <left/>
      <right/>
      <top style="medium">
        <color theme="0" tint="-0.249977111117893"/>
      </top>
      <bottom/>
      <diagonal/>
    </border>
    <border>
      <left style="thin">
        <color theme="0" tint="-0.249977111117893"/>
      </left>
      <right style="medium">
        <color theme="0" tint="-0.249977111117893"/>
      </right>
      <top style="medium">
        <color theme="0" tint="-0.249977111117893"/>
      </top>
      <bottom style="thin">
        <color theme="0" tint="-0.249977111117893"/>
      </bottom>
      <diagonal/>
    </border>
    <border>
      <left style="medium">
        <color theme="0" tint="-0.249977111117893"/>
      </left>
      <right/>
      <top/>
      <bottom style="medium">
        <color theme="0" tint="-0.249977111117893"/>
      </bottom>
      <diagonal/>
    </border>
    <border>
      <left/>
      <right/>
      <top/>
      <bottom style="medium">
        <color theme="0" tint="-0.249977111117893"/>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style="thin">
        <color auto="1"/>
      </bottom>
      <diagonal/>
    </border>
    <border>
      <left style="medium">
        <color auto="1"/>
      </left>
      <right/>
      <top/>
      <bottom/>
      <diagonal/>
    </border>
    <border>
      <left/>
      <right style="medium">
        <color auto="1"/>
      </right>
      <top/>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medium">
        <color auto="1"/>
      </top>
      <bottom/>
      <diagonal/>
    </border>
    <border>
      <left/>
      <right style="thin">
        <color auto="1"/>
      </right>
      <top style="medium">
        <color auto="1"/>
      </top>
      <bottom style="thin">
        <color auto="1"/>
      </bottom>
      <diagonal/>
    </border>
    <border>
      <left style="medium">
        <color auto="1"/>
      </left>
      <right style="medium">
        <color auto="1"/>
      </right>
      <top style="medium">
        <color auto="1"/>
      </top>
      <bottom style="medium">
        <color auto="1"/>
      </bottom>
      <diagonal/>
    </border>
    <border>
      <left/>
      <right style="thin">
        <color auto="1"/>
      </right>
      <top style="medium">
        <color auto="1"/>
      </top>
      <bottom style="medium">
        <color auto="1"/>
      </bottom>
      <diagonal/>
    </border>
    <border>
      <left/>
      <right/>
      <top style="medium">
        <color auto="1"/>
      </top>
      <bottom style="thin">
        <color auto="1"/>
      </bottom>
      <diagonal/>
    </border>
    <border>
      <left style="medium">
        <color auto="1"/>
      </left>
      <right style="medium">
        <color auto="1"/>
      </right>
      <top/>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style="medium">
        <color auto="1"/>
      </left>
      <right style="medium">
        <color auto="1"/>
      </right>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style="medium">
        <color indexed="64"/>
      </right>
      <top style="medium">
        <color indexed="64"/>
      </top>
      <bottom/>
      <diagonal/>
    </border>
    <border>
      <left style="medium">
        <color theme="0" tint="-0.249977111117893"/>
      </left>
      <right style="thin">
        <color theme="0" tint="-0.249977111117893"/>
      </right>
      <top style="thin">
        <color theme="0" tint="-0.249977111117893"/>
      </top>
      <bottom style="double">
        <color theme="0" tint="-0.249977111117893"/>
      </bottom>
      <diagonal/>
    </border>
    <border>
      <left style="thin">
        <color theme="0" tint="-0.249977111117893"/>
      </left>
      <right style="thin">
        <color theme="0" tint="-0.249977111117893"/>
      </right>
      <top style="thin">
        <color theme="0" tint="-0.249977111117893"/>
      </top>
      <bottom style="double">
        <color theme="0" tint="-0.249977111117893"/>
      </bottom>
      <diagonal/>
    </border>
    <border>
      <left style="thin">
        <color theme="0" tint="-0.249977111117893"/>
      </left>
      <right style="medium">
        <color theme="0" tint="-0.249977111117893"/>
      </right>
      <top style="thin">
        <color theme="0" tint="-0.249977111117893"/>
      </top>
      <bottom style="double">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2"/>
      </left>
      <right style="thin">
        <color theme="2"/>
      </right>
      <top style="thin">
        <color theme="2"/>
      </top>
      <bottom style="thin">
        <color theme="2"/>
      </bottom>
      <diagonal/>
    </border>
    <border>
      <left style="thin">
        <color theme="2"/>
      </left>
      <right style="thin">
        <color theme="2"/>
      </right>
      <top style="thin">
        <color theme="2"/>
      </top>
      <bottom/>
      <diagonal/>
    </border>
    <border>
      <left style="thin">
        <color theme="2"/>
      </left>
      <right style="thin">
        <color theme="2"/>
      </right>
      <top/>
      <bottom/>
      <diagonal/>
    </border>
    <border>
      <left style="thin">
        <color theme="2"/>
      </left>
      <right style="thin">
        <color theme="2"/>
      </right>
      <top style="thin">
        <color theme="2"/>
      </top>
      <bottom style="thin">
        <color theme="0" tint="-0.249977111117893"/>
      </bottom>
      <diagonal/>
    </border>
    <border>
      <left/>
      <right style="thin">
        <color theme="0" tint="-0.249977111117893"/>
      </right>
      <top/>
      <bottom/>
      <diagonal/>
    </border>
    <border>
      <left style="thin">
        <color theme="2"/>
      </left>
      <right style="thin">
        <color theme="2"/>
      </right>
      <top style="thin">
        <color theme="0" tint="-0.249977111117893"/>
      </top>
      <bottom style="thin">
        <color theme="2"/>
      </bottom>
      <diagonal/>
    </border>
    <border>
      <left style="thin">
        <color theme="2"/>
      </left>
      <right style="thin">
        <color theme="2"/>
      </right>
      <top/>
      <bottom style="thin">
        <color theme="2"/>
      </bottom>
      <diagonal/>
    </border>
    <border>
      <left style="thin">
        <color theme="0" tint="-0.249977111117893"/>
      </left>
      <right style="thin">
        <color theme="0" tint="-0.249977111117893"/>
      </right>
      <top style="thin">
        <color theme="2"/>
      </top>
      <bottom/>
      <diagonal/>
    </border>
    <border>
      <left style="thin">
        <color theme="0" tint="-0.14999847407452621"/>
      </left>
      <right style="thin">
        <color theme="0" tint="-0.14999847407452621"/>
      </right>
      <top style="thin">
        <color theme="0" tint="-0.14999847407452621"/>
      </top>
      <bottom style="thin">
        <color theme="0" tint="-0.249977111117893"/>
      </bottom>
      <diagonal/>
    </border>
    <border>
      <left/>
      <right style="thin">
        <color theme="0" tint="-0.249977111117893"/>
      </right>
      <top style="thin">
        <color theme="0" tint="-0.249977111117893"/>
      </top>
      <bottom/>
      <diagonal/>
    </border>
    <border>
      <left style="thin">
        <color theme="0" tint="-0.14999847407452621"/>
      </left>
      <right style="thin">
        <color theme="0" tint="-0.14999847407452621"/>
      </right>
      <top style="thin">
        <color theme="0" tint="-0.249977111117893"/>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auto="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249977111117893"/>
      </left>
      <right/>
      <top style="thin">
        <color theme="0" tint="-0.249977111117893"/>
      </top>
      <bottom style="thin">
        <color theme="0" tint="-0.249977111117893"/>
      </bottom>
      <diagonal/>
    </border>
    <border>
      <left style="thin">
        <color theme="0" tint="-0.14999847407452621"/>
      </left>
      <right style="thin">
        <color theme="0" tint="-0.14999847407452621"/>
      </right>
      <top/>
      <bottom style="thin">
        <color theme="0" tint="-0.14999847407452621"/>
      </bottom>
      <diagonal/>
    </border>
    <border>
      <left/>
      <right style="thin">
        <color theme="0" tint="-0.249977111117893"/>
      </right>
      <top style="thin">
        <color theme="0" tint="-0.14999847407452621"/>
      </top>
      <bottom/>
      <diagonal/>
    </border>
    <border>
      <left/>
      <right style="thin">
        <color theme="0" tint="-0.249977111117893"/>
      </right>
      <top/>
      <bottom style="thin">
        <color theme="0" tint="-0.14999847407452621"/>
      </bottom>
      <diagonal/>
    </border>
    <border>
      <left style="thin">
        <color indexed="64"/>
      </left>
      <right style="thin">
        <color indexed="64"/>
      </right>
      <top/>
      <bottom style="medium">
        <color indexed="64"/>
      </bottom>
      <diagonal/>
    </border>
    <border>
      <left style="medium">
        <color rgb="FF000000"/>
      </left>
      <right style="medium">
        <color rgb="FF000000"/>
      </right>
      <top style="medium">
        <color rgb="FF000000"/>
      </top>
      <bottom style="medium">
        <color rgb="FF000000"/>
      </bottom>
      <diagonal/>
    </border>
    <border>
      <left style="medium">
        <color indexed="64"/>
      </left>
      <right style="thin">
        <color indexed="64"/>
      </right>
      <top/>
      <bottom/>
      <diagonal/>
    </border>
    <border>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bottom style="thin">
        <color auto="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right style="thin">
        <color auto="1"/>
      </right>
      <top style="thin">
        <color auto="1"/>
      </top>
      <bottom/>
      <diagonal/>
    </border>
    <border>
      <left/>
      <right/>
      <top style="thin">
        <color auto="1"/>
      </top>
      <bottom/>
      <diagonal/>
    </border>
    <border>
      <left style="thin">
        <color indexed="64"/>
      </left>
      <right style="medium">
        <color indexed="64"/>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auto="1"/>
      </top>
      <bottom/>
      <diagonal/>
    </border>
    <border>
      <left style="medium">
        <color rgb="FF000000"/>
      </left>
      <right style="medium">
        <color rgb="FF000000"/>
      </right>
      <top style="medium">
        <color auto="1"/>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auto="1"/>
      </top>
      <bottom style="medium">
        <color auto="1"/>
      </bottom>
      <diagonal/>
    </border>
    <border>
      <left/>
      <right style="medium">
        <color rgb="FF000000"/>
      </right>
      <top style="medium">
        <color indexed="64"/>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medium">
        <color auto="1"/>
      </left>
      <right style="medium">
        <color auto="1"/>
      </right>
      <top style="thin">
        <color auto="1"/>
      </top>
      <bottom/>
      <diagonal/>
    </border>
    <border>
      <left style="medium">
        <color auto="1"/>
      </left>
      <right style="thin">
        <color auto="1"/>
      </right>
      <top style="thin">
        <color auto="1"/>
      </top>
      <bottom style="thin">
        <color auto="1"/>
      </bottom>
      <diagonal/>
    </border>
    <border>
      <left style="medium">
        <color auto="1"/>
      </left>
      <right/>
      <top style="thin">
        <color auto="1"/>
      </top>
      <bottom style="thin">
        <color auto="1"/>
      </bottom>
      <diagonal/>
    </border>
    <border>
      <left style="medium">
        <color auto="1"/>
      </left>
      <right style="thin">
        <color auto="1"/>
      </right>
      <top style="thin">
        <color auto="1"/>
      </top>
      <bottom style="medium">
        <color auto="1"/>
      </bottom>
      <diagonal/>
    </border>
    <border>
      <left style="medium">
        <color indexed="64"/>
      </left>
      <right/>
      <top style="thin">
        <color indexed="64"/>
      </top>
      <bottom/>
      <diagonal/>
    </border>
    <border>
      <left style="medium">
        <color auto="1"/>
      </left>
      <right/>
      <top style="thin">
        <color auto="1"/>
      </top>
      <bottom style="medium">
        <color auto="1"/>
      </bottom>
      <diagonal/>
    </border>
    <border>
      <left style="medium">
        <color auto="1"/>
      </left>
      <right style="thin">
        <color auto="1"/>
      </right>
      <top style="thin">
        <color auto="1"/>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auto="1"/>
      </left>
      <right style="thin">
        <color auto="1"/>
      </right>
      <top style="thin">
        <color auto="1"/>
      </top>
      <bottom style="medium">
        <color indexed="64"/>
      </bottom>
      <diagonal/>
    </border>
    <border>
      <left style="thin">
        <color auto="1"/>
      </left>
      <right style="medium">
        <color auto="1"/>
      </right>
      <top style="thin">
        <color auto="1"/>
      </top>
      <bottom style="medium">
        <color auto="1"/>
      </bottom>
      <diagonal/>
    </border>
    <border>
      <left/>
      <right/>
      <top style="thin">
        <color auto="1"/>
      </top>
      <bottom style="thin">
        <color auto="1"/>
      </bottom>
      <diagonal/>
    </border>
    <border>
      <left/>
      <right/>
      <top style="thin">
        <color indexed="64"/>
      </top>
      <bottom style="medium">
        <color indexed="64"/>
      </bottom>
      <diagonal/>
    </border>
    <border>
      <left/>
      <right style="thin">
        <color indexed="64"/>
      </right>
      <top style="thin">
        <color indexed="64"/>
      </top>
      <bottom style="thin">
        <color indexed="64"/>
      </bottom>
      <diagonal/>
    </border>
    <border>
      <left/>
      <right style="thin">
        <color auto="1"/>
      </right>
      <top style="thin">
        <color auto="1"/>
      </top>
      <bottom style="medium">
        <color auto="1"/>
      </bottom>
      <diagonal/>
    </border>
    <border>
      <left style="thin">
        <color theme="0" tint="-0.14999847407452621"/>
      </left>
      <right style="thin">
        <color theme="0" tint="-0.14999847407452621"/>
      </right>
      <top style="thin">
        <color auto="1"/>
      </top>
      <bottom style="thin">
        <color theme="0" tint="-0.14999847407452621"/>
      </bottom>
      <diagonal/>
    </border>
    <border>
      <left style="thin">
        <color rgb="FF000000"/>
      </left>
      <right style="thin">
        <color rgb="FF000000"/>
      </right>
      <top/>
      <bottom/>
      <diagonal/>
    </border>
    <border>
      <left/>
      <right style="medium">
        <color indexed="64"/>
      </right>
      <top style="thin">
        <color indexed="64"/>
      </top>
      <bottom/>
      <diagonal/>
    </border>
  </borders>
  <cellStyleXfs count="1871">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5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52"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9" fontId="5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6" fillId="52" borderId="0" applyNumberFormat="0" applyBorder="0" applyAlignment="0" applyProtection="0"/>
    <xf numFmtId="0" fontId="56" fillId="56" borderId="0" applyNumberFormat="0" applyBorder="0" applyAlignment="0" applyProtection="0"/>
    <xf numFmtId="0" fontId="56" fillId="60" borderId="0" applyNumberFormat="0" applyBorder="0" applyAlignment="0" applyProtection="0"/>
    <xf numFmtId="0" fontId="56" fillId="64" borderId="0" applyNumberFormat="0" applyBorder="0" applyAlignment="0" applyProtection="0"/>
    <xf numFmtId="0" fontId="56" fillId="68" borderId="0" applyNumberFormat="0" applyBorder="0" applyAlignment="0" applyProtection="0"/>
    <xf numFmtId="0" fontId="56" fillId="72" borderId="0" applyNumberFormat="0" applyBorder="0" applyAlignment="0" applyProtection="0"/>
    <xf numFmtId="0" fontId="56" fillId="53" borderId="0" applyNumberFormat="0" applyBorder="0" applyAlignment="0" applyProtection="0"/>
    <xf numFmtId="0" fontId="56" fillId="57" borderId="0" applyNumberFormat="0" applyBorder="0" applyAlignment="0" applyProtection="0"/>
    <xf numFmtId="0" fontId="56" fillId="61" borderId="0" applyNumberFormat="0" applyBorder="0" applyAlignment="0" applyProtection="0"/>
    <xf numFmtId="0" fontId="56" fillId="65" borderId="0" applyNumberFormat="0" applyBorder="0" applyAlignment="0" applyProtection="0"/>
    <xf numFmtId="0" fontId="56" fillId="69" borderId="0" applyNumberFormat="0" applyBorder="0" applyAlignment="0" applyProtection="0"/>
    <xf numFmtId="0" fontId="56" fillId="73" borderId="0" applyNumberFormat="0" applyBorder="0" applyAlignment="0" applyProtection="0"/>
    <xf numFmtId="0" fontId="57" fillId="54" borderId="0" applyNumberFormat="0" applyBorder="0" applyAlignment="0" applyProtection="0"/>
    <xf numFmtId="0" fontId="57" fillId="58" borderId="0" applyNumberFormat="0" applyBorder="0" applyAlignment="0" applyProtection="0"/>
    <xf numFmtId="0" fontId="57" fillId="62" borderId="0" applyNumberFormat="0" applyBorder="0" applyAlignment="0" applyProtection="0"/>
    <xf numFmtId="0" fontId="57" fillId="66" borderId="0" applyNumberFormat="0" applyBorder="0" applyAlignment="0" applyProtection="0"/>
    <xf numFmtId="0" fontId="57" fillId="70" borderId="0" applyNumberFormat="0" applyBorder="0" applyAlignment="0" applyProtection="0"/>
    <xf numFmtId="0" fontId="57" fillId="74" borderId="0" applyNumberFormat="0" applyBorder="0" applyAlignment="0" applyProtection="0"/>
    <xf numFmtId="0" fontId="57" fillId="51" borderId="0" applyNumberFormat="0" applyBorder="0" applyAlignment="0" applyProtection="0"/>
    <xf numFmtId="0" fontId="57" fillId="55" borderId="0" applyNumberFormat="0" applyBorder="0" applyAlignment="0" applyProtection="0"/>
    <xf numFmtId="0" fontId="57" fillId="59" borderId="0" applyNumberFormat="0" applyBorder="0" applyAlignment="0" applyProtection="0"/>
    <xf numFmtId="0" fontId="57" fillId="63" borderId="0" applyNumberFormat="0" applyBorder="0" applyAlignment="0" applyProtection="0"/>
    <xf numFmtId="0" fontId="57" fillId="67" borderId="0" applyNumberFormat="0" applyBorder="0" applyAlignment="0" applyProtection="0"/>
    <xf numFmtId="0" fontId="57" fillId="71" borderId="0" applyNumberFormat="0" applyBorder="0" applyAlignment="0" applyProtection="0"/>
    <xf numFmtId="0" fontId="58" fillId="45" borderId="0" applyNumberFormat="0" applyBorder="0" applyAlignment="0" applyProtection="0"/>
    <xf numFmtId="0" fontId="59" fillId="48" borderId="107" applyNumberFormat="0" applyAlignment="0" applyProtection="0"/>
    <xf numFmtId="0" fontId="60" fillId="49" borderId="110" applyNumberFormat="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177" fontId="52" fillId="0" borderId="0" applyFont="0" applyFill="0" applyBorder="0" applyAlignment="0" applyProtection="0"/>
    <xf numFmtId="177" fontId="52" fillId="0" borderId="0" applyFont="0" applyFill="0" applyBorder="0" applyAlignment="0" applyProtection="0"/>
    <xf numFmtId="177" fontId="52" fillId="0" borderId="0" applyFont="0" applyFill="0" applyBorder="0" applyAlignment="0" applyProtection="0"/>
    <xf numFmtId="0" fontId="61" fillId="0" borderId="0" applyNumberFormat="0" applyFill="0" applyBorder="0" applyAlignment="0" applyProtection="0"/>
    <xf numFmtId="0" fontId="62" fillId="44" borderId="0" applyNumberFormat="0" applyBorder="0" applyAlignment="0" applyProtection="0"/>
    <xf numFmtId="0" fontId="63" fillId="0" borderId="104" applyNumberFormat="0" applyFill="0" applyAlignment="0" applyProtection="0"/>
    <xf numFmtId="0" fontId="64" fillId="0" borderId="105" applyNumberFormat="0" applyFill="0" applyAlignment="0" applyProtection="0"/>
    <xf numFmtId="0" fontId="65" fillId="0" borderId="106" applyNumberFormat="0" applyFill="0" applyAlignment="0" applyProtection="0"/>
    <xf numFmtId="0" fontId="65" fillId="0" borderId="0" applyNumberFormat="0" applyFill="0" applyBorder="0" applyAlignment="0" applyProtection="0"/>
    <xf numFmtId="0" fontId="66" fillId="47" borderId="107" applyNumberFormat="0" applyAlignment="0" applyProtection="0"/>
    <xf numFmtId="0" fontId="67" fillId="0" borderId="109" applyNumberFormat="0" applyFill="0" applyAlignment="0" applyProtection="0"/>
    <xf numFmtId="179"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8" fillId="46" borderId="0" applyNumberFormat="0" applyBorder="0" applyAlignment="0" applyProtection="0"/>
    <xf numFmtId="0" fontId="52" fillId="0" borderId="0"/>
    <xf numFmtId="0" fontId="52" fillId="0" borderId="0"/>
    <xf numFmtId="0" fontId="55" fillId="0" borderId="0"/>
    <xf numFmtId="0" fontId="52" fillId="0" borderId="0"/>
    <xf numFmtId="0" fontId="52" fillId="0" borderId="0"/>
    <xf numFmtId="0" fontId="1" fillId="0" borderId="0"/>
    <xf numFmtId="0" fontId="52" fillId="0" borderId="0"/>
    <xf numFmtId="0" fontId="52" fillId="0" borderId="0"/>
    <xf numFmtId="0" fontId="52" fillId="0" borderId="0"/>
    <xf numFmtId="0" fontId="52" fillId="0" borderId="0"/>
    <xf numFmtId="176" fontId="1" fillId="0" borderId="0"/>
    <xf numFmtId="0" fontId="1" fillId="0" borderId="0"/>
    <xf numFmtId="0" fontId="52" fillId="0" borderId="0"/>
    <xf numFmtId="0" fontId="52" fillId="0" borderId="0"/>
    <xf numFmtId="0" fontId="52" fillId="0" borderId="0"/>
    <xf numFmtId="0" fontId="1" fillId="0" borderId="0"/>
    <xf numFmtId="0" fontId="1" fillId="0" borderId="0"/>
    <xf numFmtId="0" fontId="1"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1" fillId="0" borderId="0"/>
    <xf numFmtId="0" fontId="1" fillId="0" borderId="0"/>
    <xf numFmtId="0" fontId="52" fillId="0" borderId="0"/>
    <xf numFmtId="0" fontId="1" fillId="0" borderId="0"/>
    <xf numFmtId="178" fontId="52" fillId="0" borderId="0"/>
    <xf numFmtId="0" fontId="1" fillId="0" borderId="0"/>
    <xf numFmtId="0" fontId="52" fillId="0" borderId="0"/>
    <xf numFmtId="0" fontId="52" fillId="0" borderId="0"/>
    <xf numFmtId="0" fontId="52" fillId="0" borderId="0"/>
    <xf numFmtId="0" fontId="52" fillId="0" borderId="0"/>
    <xf numFmtId="0" fontId="52" fillId="0" borderId="0"/>
    <xf numFmtId="0" fontId="52" fillId="0" borderId="0"/>
    <xf numFmtId="0" fontId="55" fillId="75" borderId="114" applyNumberFormat="0" applyFont="0" applyAlignment="0" applyProtection="0"/>
    <xf numFmtId="0" fontId="55" fillId="50" borderId="111" applyNumberFormat="0" applyFont="0" applyAlignment="0" applyProtection="0"/>
    <xf numFmtId="0" fontId="55" fillId="50" borderId="111" applyNumberFormat="0" applyFont="0" applyAlignment="0" applyProtection="0"/>
    <xf numFmtId="0" fontId="55" fillId="75" borderId="114" applyNumberFormat="0" applyFont="0" applyAlignment="0" applyProtection="0"/>
    <xf numFmtId="0" fontId="55" fillId="75" borderId="114" applyNumberFormat="0" applyFont="0" applyAlignment="0" applyProtection="0"/>
    <xf numFmtId="0" fontId="54" fillId="50" borderId="111" applyNumberFormat="0" applyFont="0" applyAlignment="0" applyProtection="0"/>
    <xf numFmtId="0" fontId="54" fillId="50" borderId="111" applyNumberFormat="0" applyFont="0" applyAlignment="0" applyProtection="0"/>
    <xf numFmtId="0" fontId="69" fillId="48" borderId="108" applyNumberFormat="0" applyAlignment="0" applyProtection="0"/>
    <xf numFmtId="9" fontId="55"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1" fillId="0" borderId="0" applyFont="0" applyFill="0" applyBorder="0" applyAlignment="0" applyProtection="0"/>
    <xf numFmtId="9" fontId="55" fillId="0" borderId="0" applyFont="0" applyFill="0" applyBorder="0" applyAlignment="0" applyProtection="0"/>
    <xf numFmtId="9" fontId="52" fillId="0" borderId="0" applyFont="0" applyFill="0" applyBorder="0" applyAlignment="0" applyProtection="0"/>
    <xf numFmtId="0" fontId="70" fillId="0" borderId="112" applyNumberFormat="0" applyFill="0" applyAlignment="0" applyProtection="0"/>
    <xf numFmtId="0" fontId="71" fillId="0" borderId="0" applyNumberFormat="0" applyFill="0" applyBorder="0" applyAlignment="0" applyProtection="0"/>
    <xf numFmtId="43" fontId="52" fillId="0" borderId="0" applyFont="0" applyFill="0" applyBorder="0" applyAlignment="0" applyProtection="0"/>
    <xf numFmtId="0" fontId="1" fillId="0" borderId="0"/>
    <xf numFmtId="9" fontId="1" fillId="0" borderId="0" applyFont="0" applyFill="0" applyBorder="0" applyAlignment="0" applyProtection="0"/>
    <xf numFmtId="0" fontId="53" fillId="0" borderId="0"/>
    <xf numFmtId="9" fontId="53" fillId="0" borderId="0" applyFont="0" applyFill="0" applyBorder="0" applyAlignment="0" applyProtection="0"/>
    <xf numFmtId="43" fontId="52" fillId="0" borderId="0" applyFont="0" applyFill="0" applyBorder="0" applyAlignment="0" applyProtection="0"/>
    <xf numFmtId="0" fontId="1" fillId="0" borderId="0"/>
    <xf numFmtId="9"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 fillId="0" borderId="0"/>
    <xf numFmtId="43" fontId="1" fillId="0" borderId="0" applyFont="0" applyFill="0" applyBorder="0" applyAlignment="0" applyProtection="0"/>
    <xf numFmtId="0" fontId="72" fillId="0" borderId="0"/>
    <xf numFmtId="43" fontId="7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55" fillId="75" borderId="114" applyNumberFormat="0" applyFont="0" applyAlignment="0" applyProtection="0"/>
    <xf numFmtId="0" fontId="55" fillId="75" borderId="114" applyNumberFormat="0" applyFont="0" applyAlignment="0" applyProtection="0"/>
    <xf numFmtId="9" fontId="55" fillId="0" borderId="0" applyFont="0" applyFill="0" applyBorder="0" applyAlignment="0" applyProtection="0"/>
    <xf numFmtId="9"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6"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 fillId="0" borderId="0"/>
    <xf numFmtId="43" fontId="1" fillId="0" borderId="0" applyFont="0" applyFill="0" applyBorder="0" applyAlignment="0" applyProtection="0"/>
    <xf numFmtId="43" fontId="7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9"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6"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 fillId="0" borderId="0"/>
    <xf numFmtId="43" fontId="1" fillId="0" borderId="0" applyFont="0" applyFill="0" applyBorder="0" applyAlignment="0" applyProtection="0"/>
    <xf numFmtId="43" fontId="7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9" fontId="1" fillId="0" borderId="0" applyFont="0" applyFill="0" applyBorder="0" applyAlignment="0" applyProtection="0"/>
    <xf numFmtId="0" fontId="1" fillId="0" borderId="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6"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 fillId="0" borderId="0"/>
    <xf numFmtId="43" fontId="1" fillId="0" borderId="0" applyFont="0" applyFill="0" applyBorder="0" applyAlignment="0" applyProtection="0"/>
    <xf numFmtId="43" fontId="7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9"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6"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 fillId="0" borderId="0"/>
    <xf numFmtId="43" fontId="1" fillId="0" borderId="0" applyFont="0" applyFill="0" applyBorder="0" applyAlignment="0" applyProtection="0"/>
    <xf numFmtId="43" fontId="7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9"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6"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 fillId="0" borderId="0"/>
    <xf numFmtId="43" fontId="1" fillId="0" borderId="0" applyFont="0" applyFill="0" applyBorder="0" applyAlignment="0" applyProtection="0"/>
    <xf numFmtId="43" fontId="7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9"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6"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 fillId="0" borderId="0"/>
    <xf numFmtId="43" fontId="1" fillId="0" borderId="0" applyFont="0" applyFill="0" applyBorder="0" applyAlignment="0" applyProtection="0"/>
    <xf numFmtId="43" fontId="7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9" fontId="1" fillId="0" borderId="0" applyFont="0" applyFill="0" applyBorder="0" applyAlignment="0" applyProtection="0"/>
    <xf numFmtId="0" fontId="1" fillId="0" borderId="0"/>
    <xf numFmtId="43" fontId="52"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6"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75" borderId="114" applyNumberFormat="0" applyFont="0" applyAlignment="0" applyProtection="0"/>
    <xf numFmtId="0" fontId="55" fillId="75" borderId="114" applyNumberFormat="0" applyFont="0" applyAlignment="0" applyProtection="0"/>
    <xf numFmtId="9" fontId="1" fillId="0" borderId="0" applyFont="0" applyFill="0" applyBorder="0" applyAlignment="0" applyProtection="0"/>
    <xf numFmtId="43" fontId="52" fillId="0" borderId="0" applyFont="0" applyFill="0" applyBorder="0" applyAlignment="0" applyProtection="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 fillId="0" borderId="0"/>
    <xf numFmtId="43" fontId="1" fillId="0" borderId="0" applyFont="0" applyFill="0" applyBorder="0" applyAlignment="0" applyProtection="0"/>
    <xf numFmtId="43" fontId="7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55" fillId="75" borderId="114" applyNumberFormat="0" applyFont="0" applyAlignment="0" applyProtection="0"/>
    <xf numFmtId="0" fontId="55" fillId="75" borderId="114" applyNumberFormat="0" applyFont="0" applyAlignment="0" applyProtection="0"/>
    <xf numFmtId="9"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6"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 fillId="0" borderId="0"/>
    <xf numFmtId="43" fontId="1" fillId="0" borderId="0" applyFont="0" applyFill="0" applyBorder="0" applyAlignment="0" applyProtection="0"/>
    <xf numFmtId="43" fontId="7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9"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6"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 fillId="0" borderId="0"/>
    <xf numFmtId="43" fontId="1" fillId="0" borderId="0" applyFont="0" applyFill="0" applyBorder="0" applyAlignment="0" applyProtection="0"/>
    <xf numFmtId="43" fontId="7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9" fontId="1" fillId="0" borderId="0" applyFont="0" applyFill="0" applyBorder="0" applyAlignment="0" applyProtection="0"/>
    <xf numFmtId="0" fontId="1" fillId="0" borderId="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6"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 fillId="0" borderId="0"/>
    <xf numFmtId="43" fontId="1" fillId="0" borderId="0" applyFont="0" applyFill="0" applyBorder="0" applyAlignment="0" applyProtection="0"/>
    <xf numFmtId="43" fontId="7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9"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6"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 fillId="0" borderId="0"/>
    <xf numFmtId="43" fontId="1" fillId="0" borderId="0" applyFont="0" applyFill="0" applyBorder="0" applyAlignment="0" applyProtection="0"/>
    <xf numFmtId="43" fontId="7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9"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6"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 fillId="0" borderId="0"/>
    <xf numFmtId="43" fontId="1" fillId="0" borderId="0" applyFont="0" applyFill="0" applyBorder="0" applyAlignment="0" applyProtection="0"/>
    <xf numFmtId="43" fontId="7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9"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6"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9" fontId="1" fillId="0" borderId="0" applyFont="0" applyFill="0" applyBorder="0" applyAlignment="0" applyProtection="0"/>
    <xf numFmtId="43" fontId="52" fillId="0" borderId="0" applyFont="0" applyFill="0" applyBorder="0" applyAlignment="0" applyProtection="0"/>
    <xf numFmtId="0" fontId="1" fillId="0" borderId="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 fillId="0" borderId="0"/>
    <xf numFmtId="43" fontId="1" fillId="0" borderId="0" applyFont="0" applyFill="0" applyBorder="0" applyAlignment="0" applyProtection="0"/>
    <xf numFmtId="43" fontId="72" fillId="0" borderId="0" applyFont="0" applyFill="0" applyBorder="0" applyAlignment="0" applyProtection="0"/>
    <xf numFmtId="43" fontId="5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9" fontId="1" fillId="0" borderId="0" applyFont="0" applyFill="0" applyBorder="0" applyAlignment="0" applyProtection="0"/>
    <xf numFmtId="0" fontId="1" fillId="0" borderId="0"/>
    <xf numFmtId="43" fontId="52"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55" fillId="75" borderId="114" applyNumberFormat="0" applyFont="0" applyAlignment="0" applyProtection="0"/>
    <xf numFmtId="0" fontId="55" fillId="75" borderId="114" applyNumberFormat="0" applyFont="0" applyAlignment="0" applyProtection="0"/>
    <xf numFmtId="0" fontId="55" fillId="75" borderId="114" applyNumberFormat="0" applyFont="0" applyAlignment="0" applyProtection="0"/>
    <xf numFmtId="0" fontId="55" fillId="75" borderId="114" applyNumberFormat="0" applyFont="0" applyAlignment="0" applyProtection="0"/>
    <xf numFmtId="9" fontId="1" fillId="0" borderId="0" applyFont="0" applyFill="0" applyBorder="0" applyAlignment="0" applyProtection="0"/>
    <xf numFmtId="43" fontId="1" fillId="0" borderId="0" applyFont="0" applyFill="0" applyBorder="0" applyAlignment="0" applyProtection="0"/>
    <xf numFmtId="180"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52" fillId="0" borderId="0"/>
    <xf numFmtId="9" fontId="1" fillId="0" borderId="0" applyFont="0" applyFill="0" applyBorder="0" applyAlignment="0" applyProtection="0"/>
    <xf numFmtId="0" fontId="25" fillId="0" borderId="0"/>
    <xf numFmtId="0" fontId="25" fillId="0" borderId="0"/>
    <xf numFmtId="0" fontId="25" fillId="0" borderId="0"/>
    <xf numFmtId="0" fontId="1" fillId="0" borderId="0"/>
    <xf numFmtId="43" fontId="1" fillId="0" borderId="0" applyFont="0" applyFill="0" applyBorder="0" applyAlignment="0" applyProtection="0"/>
    <xf numFmtId="0" fontId="1" fillId="0" borderId="0"/>
    <xf numFmtId="0" fontId="55" fillId="75" borderId="114" applyNumberFormat="0" applyFont="0" applyAlignment="0" applyProtection="0"/>
    <xf numFmtId="0" fontId="1" fillId="0" borderId="0"/>
    <xf numFmtId="0" fontId="55" fillId="75" borderId="114" applyNumberFormat="0" applyFont="0" applyAlignment="0" applyProtection="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55" fillId="75" borderId="114" applyNumberFormat="0" applyFont="0" applyAlignment="0" applyProtection="0"/>
    <xf numFmtId="0" fontId="1" fillId="0" borderId="0"/>
    <xf numFmtId="0" fontId="52" fillId="0" borderId="0"/>
    <xf numFmtId="0" fontId="1" fillId="0" borderId="0"/>
    <xf numFmtId="0" fontId="55" fillId="75" borderId="114" applyNumberFormat="0" applyFont="0" applyAlignment="0" applyProtection="0"/>
    <xf numFmtId="0" fontId="55" fillId="75" borderId="114" applyNumberFormat="0" applyFont="0" applyAlignment="0" applyProtection="0"/>
    <xf numFmtId="0" fontId="1" fillId="0" borderId="0"/>
    <xf numFmtId="0" fontId="55" fillId="75" borderId="114" applyNumberFormat="0" applyFont="0" applyAlignment="0" applyProtection="0"/>
    <xf numFmtId="0" fontId="1" fillId="0" borderId="0"/>
    <xf numFmtId="0" fontId="1" fillId="0" borderId="0"/>
    <xf numFmtId="0" fontId="1" fillId="0" borderId="0"/>
    <xf numFmtId="0" fontId="55" fillId="75" borderId="114" applyNumberFormat="0" applyFont="0" applyAlignment="0" applyProtection="0"/>
    <xf numFmtId="0" fontId="1" fillId="0" borderId="0"/>
    <xf numFmtId="0" fontId="55" fillId="75" borderId="114" applyNumberFormat="0" applyFont="0" applyAlignment="0" applyProtection="0"/>
    <xf numFmtId="0" fontId="55" fillId="75" borderId="114" applyNumberFormat="0" applyFont="0" applyAlignment="0" applyProtection="0"/>
    <xf numFmtId="0" fontId="55" fillId="75" borderId="114" applyNumberFormat="0" applyFont="0" applyAlignment="0" applyProtection="0"/>
    <xf numFmtId="0" fontId="55" fillId="75" borderId="114" applyNumberFormat="0" applyFont="0" applyAlignment="0" applyProtection="0"/>
    <xf numFmtId="0" fontId="55" fillId="75" borderId="114" applyNumberFormat="0" applyFont="0" applyAlignment="0" applyProtection="0"/>
    <xf numFmtId="43" fontId="1" fillId="0" borderId="0"/>
    <xf numFmtId="9" fontId="1" fillId="0" borderId="0"/>
    <xf numFmtId="0" fontId="1" fillId="0" borderId="0"/>
    <xf numFmtId="0" fontId="51" fillId="0" borderId="0"/>
    <xf numFmtId="0" fontId="55" fillId="75" borderId="119" applyNumberFormat="0" applyFont="0" applyAlignment="0" applyProtection="0"/>
    <xf numFmtId="0" fontId="55" fillId="75" borderId="119" applyNumberFormat="0" applyFont="0" applyAlignment="0" applyProtection="0"/>
    <xf numFmtId="0" fontId="55" fillId="75" borderId="119" applyNumberFormat="0" applyFont="0" applyAlignment="0" applyProtection="0"/>
    <xf numFmtId="0" fontId="51" fillId="0" borderId="0"/>
    <xf numFmtId="0" fontId="55" fillId="75" borderId="119" applyNumberFormat="0" applyFont="0" applyAlignment="0" applyProtection="0"/>
    <xf numFmtId="0" fontId="55" fillId="75" borderId="119" applyNumberFormat="0" applyFont="0" applyAlignment="0" applyProtection="0"/>
    <xf numFmtId="0" fontId="55" fillId="75" borderId="119" applyNumberFormat="0" applyFont="0" applyAlignment="0" applyProtection="0"/>
    <xf numFmtId="0" fontId="55" fillId="75" borderId="116" applyNumberFormat="0" applyFont="0" applyAlignment="0" applyProtection="0"/>
    <xf numFmtId="0" fontId="55" fillId="75" borderId="116" applyNumberFormat="0" applyFont="0" applyAlignment="0" applyProtection="0"/>
    <xf numFmtId="0" fontId="55" fillId="75" borderId="116" applyNumberFormat="0" applyFont="0" applyAlignment="0" applyProtection="0"/>
    <xf numFmtId="0" fontId="55" fillId="75" borderId="116" applyNumberFormat="0" applyFont="0" applyAlignment="0" applyProtection="0"/>
    <xf numFmtId="0" fontId="55" fillId="75" borderId="116" applyNumberFormat="0" applyFont="0" applyAlignment="0" applyProtection="0"/>
    <xf numFmtId="0" fontId="55" fillId="75" borderId="116" applyNumberFormat="0" applyFont="0" applyAlignment="0" applyProtection="0"/>
    <xf numFmtId="0" fontId="55" fillId="75" borderId="118"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9"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7" applyNumberFormat="0" applyFont="0" applyAlignment="0" applyProtection="0"/>
    <xf numFmtId="0" fontId="55" fillId="75" borderId="118" applyNumberFormat="0" applyFont="0" applyAlignment="0" applyProtection="0"/>
    <xf numFmtId="0" fontId="55" fillId="75" borderId="116" applyNumberFormat="0" applyFont="0" applyAlignment="0" applyProtection="0"/>
    <xf numFmtId="0" fontId="55" fillId="75" borderId="119" applyNumberFormat="0" applyFont="0" applyAlignment="0" applyProtection="0"/>
    <xf numFmtId="0" fontId="55" fillId="75" borderId="118" applyNumberFormat="0" applyFont="0" applyAlignment="0" applyProtection="0"/>
    <xf numFmtId="0" fontId="55" fillId="75" borderId="116" applyNumberFormat="0" applyFont="0" applyAlignment="0" applyProtection="0"/>
    <xf numFmtId="0" fontId="55" fillId="75" borderId="116" applyNumberFormat="0" applyFont="0" applyAlignment="0" applyProtection="0"/>
    <xf numFmtId="0" fontId="51" fillId="0" borderId="0"/>
    <xf numFmtId="0" fontId="55" fillId="75" borderId="117" applyNumberFormat="0" applyFont="0" applyAlignment="0" applyProtection="0"/>
    <xf numFmtId="0" fontId="55" fillId="75" borderId="116" applyNumberFormat="0" applyFont="0" applyAlignment="0" applyProtection="0"/>
    <xf numFmtId="0" fontId="55" fillId="75" borderId="118" applyNumberFormat="0" applyFont="0" applyAlignment="0" applyProtection="0"/>
    <xf numFmtId="0" fontId="55" fillId="75" borderId="116" applyNumberFormat="0" applyFont="0" applyAlignment="0" applyProtection="0"/>
    <xf numFmtId="0" fontId="55" fillId="75" borderId="119" applyNumberFormat="0" applyFont="0" applyAlignment="0" applyProtection="0"/>
    <xf numFmtId="0" fontId="55" fillId="75" borderId="119" applyNumberFormat="0" applyFont="0" applyAlignment="0" applyProtection="0"/>
    <xf numFmtId="0" fontId="55" fillId="75" borderId="118" applyNumberFormat="0" applyFont="0" applyAlignment="0" applyProtection="0"/>
    <xf numFmtId="0" fontId="51" fillId="0" borderId="0"/>
    <xf numFmtId="0" fontId="55" fillId="75" borderId="118"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7" applyNumberFormat="0" applyFont="0" applyAlignment="0" applyProtection="0"/>
    <xf numFmtId="0" fontId="55" fillId="75" borderId="116" applyNumberFormat="0" applyFont="0" applyAlignment="0" applyProtection="0"/>
    <xf numFmtId="0" fontId="51" fillId="0" borderId="0"/>
    <xf numFmtId="0" fontId="55" fillId="75" borderId="118" applyNumberFormat="0" applyFont="0" applyAlignment="0" applyProtection="0"/>
    <xf numFmtId="0" fontId="55" fillId="75" borderId="118" applyNumberFormat="0" applyFont="0" applyAlignment="0" applyProtection="0"/>
    <xf numFmtId="0" fontId="55" fillId="75" borderId="119" applyNumberFormat="0" applyFont="0" applyAlignment="0" applyProtection="0"/>
    <xf numFmtId="0" fontId="55" fillId="75" borderId="118" applyNumberFormat="0" applyFont="0" applyAlignment="0" applyProtection="0"/>
    <xf numFmtId="0" fontId="55" fillId="75" borderId="118" applyNumberFormat="0" applyFont="0" applyAlignment="0" applyProtection="0"/>
    <xf numFmtId="0" fontId="55" fillId="75" borderId="118"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5" applyNumberFormat="0" applyFont="0" applyAlignment="0" applyProtection="0"/>
    <xf numFmtId="0" fontId="55" fillId="75" borderId="116" applyNumberFormat="0" applyFont="0" applyAlignment="0" applyProtection="0"/>
    <xf numFmtId="0" fontId="55" fillId="75" borderId="116" applyNumberFormat="0" applyFont="0" applyAlignment="0" applyProtection="0"/>
    <xf numFmtId="0" fontId="55" fillId="75" borderId="116" applyNumberFormat="0" applyFont="0" applyAlignment="0" applyProtection="0"/>
    <xf numFmtId="0" fontId="55" fillId="75" borderId="116" applyNumberFormat="0" applyFont="0" applyAlignment="0" applyProtection="0"/>
    <xf numFmtId="0" fontId="55" fillId="75" borderId="116" applyNumberFormat="0" applyFont="0" applyAlignment="0" applyProtection="0"/>
    <xf numFmtId="0" fontId="55" fillId="75" borderId="116" applyNumberFormat="0" applyFont="0" applyAlignment="0" applyProtection="0"/>
    <xf numFmtId="0" fontId="55" fillId="75" borderId="116" applyNumberFormat="0" applyFont="0" applyAlignment="0" applyProtection="0"/>
    <xf numFmtId="0" fontId="55" fillId="75" borderId="116" applyNumberFormat="0" applyFont="0" applyAlignment="0" applyProtection="0"/>
    <xf numFmtId="0" fontId="55" fillId="75" borderId="116" applyNumberFormat="0" applyFont="0" applyAlignment="0" applyProtection="0"/>
    <xf numFmtId="0" fontId="55" fillId="75" borderId="116" applyNumberFormat="0" applyFont="0" applyAlignment="0" applyProtection="0"/>
    <xf numFmtId="0" fontId="55" fillId="75" borderId="116" applyNumberFormat="0" applyFont="0" applyAlignment="0" applyProtection="0"/>
    <xf numFmtId="0" fontId="55" fillId="75" borderId="116" applyNumberFormat="0" applyFont="0" applyAlignment="0" applyProtection="0"/>
    <xf numFmtId="0" fontId="55" fillId="75" borderId="119" applyNumberFormat="0" applyFont="0" applyAlignment="0" applyProtection="0"/>
    <xf numFmtId="0" fontId="55" fillId="75" borderId="118"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7" applyNumberFormat="0" applyFont="0" applyAlignment="0" applyProtection="0"/>
    <xf numFmtId="0" fontId="55" fillId="75" borderId="118" applyNumberFormat="0" applyFont="0" applyAlignment="0" applyProtection="0"/>
    <xf numFmtId="0" fontId="55" fillId="75" borderId="118" applyNumberFormat="0" applyFont="0" applyAlignment="0" applyProtection="0"/>
    <xf numFmtId="0" fontId="55" fillId="75" borderId="118" applyNumberFormat="0" applyFont="0" applyAlignment="0" applyProtection="0"/>
    <xf numFmtId="0" fontId="55" fillId="75" borderId="118" applyNumberFormat="0" applyFont="0" applyAlignment="0" applyProtection="0"/>
    <xf numFmtId="0" fontId="55" fillId="75" borderId="118" applyNumberFormat="0" applyFont="0" applyAlignment="0" applyProtection="0"/>
    <xf numFmtId="0" fontId="55" fillId="75" borderId="118" applyNumberFormat="0" applyFont="0" applyAlignment="0" applyProtection="0"/>
    <xf numFmtId="0" fontId="55" fillId="75" borderId="118" applyNumberFormat="0" applyFont="0" applyAlignment="0" applyProtection="0"/>
    <xf numFmtId="0" fontId="55" fillId="75" borderId="118" applyNumberFormat="0" applyFont="0" applyAlignment="0" applyProtection="0"/>
    <xf numFmtId="0" fontId="55" fillId="75" borderId="118" applyNumberFormat="0" applyFont="0" applyAlignment="0" applyProtection="0"/>
    <xf numFmtId="0" fontId="55" fillId="75" borderId="118" applyNumberFormat="0" applyFont="0" applyAlignment="0" applyProtection="0"/>
    <xf numFmtId="0" fontId="55" fillId="75" borderId="118" applyNumberFormat="0" applyFont="0" applyAlignment="0" applyProtection="0"/>
    <xf numFmtId="0" fontId="55" fillId="75" borderId="118" applyNumberFormat="0" applyFont="0" applyAlignment="0" applyProtection="0"/>
    <xf numFmtId="0" fontId="55" fillId="75" borderId="119" applyNumberFormat="0" applyFont="0" applyAlignment="0" applyProtection="0"/>
    <xf numFmtId="0" fontId="55" fillId="75" borderId="119" applyNumberFormat="0" applyFont="0" applyAlignment="0" applyProtection="0"/>
    <xf numFmtId="0" fontId="55" fillId="75" borderId="119" applyNumberFormat="0" applyFont="0" applyAlignment="0" applyProtection="0"/>
    <xf numFmtId="0" fontId="55" fillId="75" borderId="119" applyNumberFormat="0" applyFont="0" applyAlignment="0" applyProtection="0"/>
    <xf numFmtId="0" fontId="55" fillId="75" borderId="119" applyNumberFormat="0" applyFont="0" applyAlignment="0" applyProtection="0"/>
    <xf numFmtId="0" fontId="55" fillId="75" borderId="119" applyNumberFormat="0" applyFont="0" applyAlignment="0" applyProtection="0"/>
    <xf numFmtId="0" fontId="55" fillId="75" borderId="119" applyNumberFormat="0" applyFont="0" applyAlignment="0" applyProtection="0"/>
    <xf numFmtId="0" fontId="55" fillId="75" borderId="119" applyNumberFormat="0" applyFont="0" applyAlignment="0" applyProtection="0"/>
    <xf numFmtId="0" fontId="55" fillId="75" borderId="119" applyNumberFormat="0" applyFont="0" applyAlignment="0" applyProtection="0"/>
    <xf numFmtId="0" fontId="55" fillId="75" borderId="119" applyNumberFormat="0" applyFont="0" applyAlignment="0" applyProtection="0"/>
    <xf numFmtId="0" fontId="55" fillId="75" borderId="119" applyNumberFormat="0" applyFont="0" applyAlignment="0" applyProtection="0"/>
    <xf numFmtId="0" fontId="55" fillId="75" borderId="119" applyNumberFormat="0" applyFont="0" applyAlignment="0" applyProtection="0"/>
    <xf numFmtId="0" fontId="82" fillId="0" borderId="0"/>
  </cellStyleXfs>
  <cellXfs count="1802">
    <xf numFmtId="0" fontId="0" fillId="0" borderId="0" xfId="0"/>
    <xf numFmtId="0" fontId="3" fillId="2" borderId="2" xfId="0" applyFont="1" applyFill="1" applyBorder="1"/>
    <xf numFmtId="0" fontId="4" fillId="0" borderId="1" xfId="0" applyFont="1" applyBorder="1" applyAlignment="1">
      <alignment horizontal="left" indent="1"/>
    </xf>
    <xf numFmtId="0" fontId="4" fillId="0" borderId="1" xfId="0" applyFont="1" applyBorder="1"/>
    <xf numFmtId="0" fontId="3" fillId="3" borderId="2" xfId="0" applyFont="1" applyFill="1" applyBorder="1"/>
    <xf numFmtId="0" fontId="4" fillId="3" borderId="3" xfId="0" applyFont="1" applyFill="1" applyBorder="1"/>
    <xf numFmtId="0" fontId="0" fillId="3" borderId="3" xfId="0" applyFill="1" applyBorder="1"/>
    <xf numFmtId="0" fontId="0" fillId="3" borderId="4" xfId="0" applyFill="1" applyBorder="1"/>
    <xf numFmtId="43" fontId="3" fillId="3" borderId="4" xfId="0" applyNumberFormat="1" applyFont="1" applyFill="1" applyBorder="1" applyAlignment="1">
      <alignment horizontal="center" vertical="center"/>
    </xf>
    <xf numFmtId="43" fontId="4" fillId="0" borderId="1" xfId="1" applyFont="1" applyBorder="1"/>
    <xf numFmtId="43" fontId="4" fillId="0" borderId="4" xfId="1" applyFont="1" applyBorder="1"/>
    <xf numFmtId="15" fontId="5" fillId="0" borderId="0" xfId="0" applyNumberFormat="1" applyFont="1" applyAlignment="1">
      <alignment horizontal="center" wrapText="1"/>
    </xf>
    <xf numFmtId="15" fontId="5" fillId="4" borderId="0" xfId="0" applyNumberFormat="1" applyFont="1" applyFill="1" applyAlignment="1">
      <alignment horizontal="center" wrapText="1"/>
    </xf>
    <xf numFmtId="15" fontId="5" fillId="5" borderId="0" xfId="0" applyNumberFormat="1" applyFont="1" applyFill="1" applyAlignment="1">
      <alignment horizontal="center" wrapText="1"/>
    </xf>
    <xf numFmtId="15" fontId="5" fillId="6" borderId="0" xfId="0" applyNumberFormat="1" applyFont="1" applyFill="1" applyAlignment="1">
      <alignment horizontal="center" wrapText="1"/>
    </xf>
    <xf numFmtId="0" fontId="0" fillId="7" borderId="0" xfId="0" applyFill="1" applyAlignment="1">
      <alignment horizontal="center"/>
    </xf>
    <xf numFmtId="15" fontId="5" fillId="8" borderId="0" xfId="0" applyNumberFormat="1" applyFont="1" applyFill="1" applyAlignment="1">
      <alignment horizontal="center" wrapText="1"/>
    </xf>
    <xf numFmtId="15" fontId="5" fillId="7" borderId="0" xfId="0" applyNumberFormat="1" applyFont="1" applyFill="1" applyAlignment="1">
      <alignment horizontal="center" wrapText="1"/>
    </xf>
    <xf numFmtId="0" fontId="5" fillId="9" borderId="5" xfId="0" applyFont="1" applyFill="1" applyBorder="1" applyAlignment="1">
      <alignment horizontal="center" vertical="center"/>
    </xf>
    <xf numFmtId="166" fontId="0" fillId="9" borderId="0" xfId="1" applyNumberFormat="1" applyFont="1" applyFill="1"/>
    <xf numFmtId="167" fontId="5" fillId="4" borderId="6" xfId="1" applyNumberFormat="1" applyFont="1" applyFill="1" applyBorder="1" applyAlignment="1">
      <alignment horizontal="center"/>
    </xf>
    <xf numFmtId="167" fontId="6" fillId="4" borderId="6" xfId="1" applyNumberFormat="1" applyFont="1" applyFill="1" applyBorder="1" applyAlignment="1">
      <alignment horizontal="center"/>
    </xf>
    <xf numFmtId="166" fontId="0" fillId="10" borderId="0" xfId="1" applyNumberFormat="1" applyFont="1" applyFill="1"/>
    <xf numFmtId="167" fontId="6" fillId="6" borderId="6" xfId="1" applyNumberFormat="1" applyFont="1" applyFill="1" applyBorder="1" applyAlignment="1">
      <alignment horizontal="center"/>
    </xf>
    <xf numFmtId="166" fontId="0" fillId="7" borderId="0" xfId="1" applyNumberFormat="1" applyFont="1" applyFill="1"/>
    <xf numFmtId="0" fontId="5" fillId="9" borderId="7" xfId="0" applyFont="1" applyFill="1" applyBorder="1" applyAlignment="1">
      <alignment horizontal="center" vertical="center"/>
    </xf>
    <xf numFmtId="43" fontId="0" fillId="9" borderId="0" xfId="0" applyNumberFormat="1" applyFill="1"/>
    <xf numFmtId="43" fontId="5" fillId="4" borderId="8" xfId="0" applyNumberFormat="1" applyFont="1" applyFill="1" applyBorder="1" applyAlignment="1">
      <alignment horizontal="center"/>
    </xf>
    <xf numFmtId="43" fontId="6" fillId="4" borderId="8" xfId="0" applyNumberFormat="1" applyFont="1" applyFill="1" applyBorder="1" applyAlignment="1">
      <alignment horizontal="center"/>
    </xf>
    <xf numFmtId="2" fontId="0" fillId="8" borderId="0" xfId="0" applyNumberFormat="1" applyFill="1"/>
    <xf numFmtId="0" fontId="0" fillId="8" borderId="0" xfId="0" applyFill="1"/>
    <xf numFmtId="43" fontId="6" fillId="6" borderId="8" xfId="0" applyNumberFormat="1" applyFont="1" applyFill="1" applyBorder="1" applyAlignment="1">
      <alignment horizontal="center"/>
    </xf>
    <xf numFmtId="0" fontId="0" fillId="7" borderId="0" xfId="0" applyFill="1"/>
    <xf numFmtId="0" fontId="5" fillId="11" borderId="9" xfId="0" applyFont="1" applyFill="1" applyBorder="1" applyAlignment="1">
      <alignment horizontal="center" vertical="center"/>
    </xf>
    <xf numFmtId="0" fontId="5" fillId="11" borderId="9" xfId="0" applyFont="1" applyFill="1" applyBorder="1" applyAlignment="1">
      <alignment horizontal="center"/>
    </xf>
    <xf numFmtId="0" fontId="5" fillId="4" borderId="9" xfId="0" applyFont="1" applyFill="1" applyBorder="1" applyAlignment="1">
      <alignment horizontal="center"/>
    </xf>
    <xf numFmtId="0" fontId="0" fillId="5" borderId="0" xfId="0" applyFill="1"/>
    <xf numFmtId="0" fontId="0" fillId="6" borderId="0" xfId="0" applyFill="1"/>
    <xf numFmtId="0" fontId="5" fillId="11" borderId="10" xfId="0" applyFont="1" applyFill="1" applyBorder="1" applyAlignment="1">
      <alignment horizontal="center"/>
    </xf>
    <xf numFmtId="0" fontId="5" fillId="4" borderId="10" xfId="0" applyFont="1" applyFill="1" applyBorder="1" applyAlignment="1">
      <alignment horizontal="center"/>
    </xf>
    <xf numFmtId="43" fontId="5" fillId="12" borderId="11" xfId="1" applyFont="1" applyFill="1" applyBorder="1" applyAlignment="1">
      <alignment horizontal="center"/>
    </xf>
    <xf numFmtId="43" fontId="5" fillId="0" borderId="11" xfId="1" applyFont="1" applyFill="1" applyBorder="1" applyAlignment="1">
      <alignment horizontal="center"/>
    </xf>
    <xf numFmtId="43" fontId="5" fillId="4" borderId="11" xfId="1" applyFont="1" applyFill="1" applyBorder="1" applyAlignment="1">
      <alignment horizontal="center"/>
    </xf>
    <xf numFmtId="0" fontId="0" fillId="9" borderId="0" xfId="0" applyFill="1"/>
    <xf numFmtId="9" fontId="0" fillId="0" borderId="0" xfId="2" applyFont="1"/>
    <xf numFmtId="9" fontId="0" fillId="7" borderId="0" xfId="2" applyFont="1" applyFill="1"/>
    <xf numFmtId="43" fontId="5" fillId="12" borderId="12" xfId="1" applyFont="1" applyFill="1" applyBorder="1" applyAlignment="1">
      <alignment horizontal="center"/>
    </xf>
    <xf numFmtId="43" fontId="5" fillId="0" borderId="12" xfId="1" applyFont="1" applyFill="1" applyBorder="1" applyAlignment="1">
      <alignment horizontal="center"/>
    </xf>
    <xf numFmtId="43" fontId="5" fillId="4" borderId="12" xfId="1" applyFont="1" applyFill="1" applyBorder="1" applyAlignment="1">
      <alignment horizontal="center"/>
    </xf>
    <xf numFmtId="43" fontId="0" fillId="0" borderId="0" xfId="0" applyNumberFormat="1"/>
    <xf numFmtId="1" fontId="0" fillId="0" borderId="0" xfId="0" applyNumberFormat="1"/>
    <xf numFmtId="166" fontId="0" fillId="9" borderId="0" xfId="0" applyNumberFormat="1" applyFill="1"/>
    <xf numFmtId="166" fontId="0" fillId="0" borderId="0" xfId="0" applyNumberFormat="1"/>
    <xf numFmtId="167" fontId="5" fillId="12" borderId="11" xfId="1" applyNumberFormat="1" applyFont="1" applyFill="1" applyBorder="1" applyAlignment="1">
      <alignment horizontal="center"/>
    </xf>
    <xf numFmtId="167" fontId="5" fillId="0" borderId="11" xfId="1" applyNumberFormat="1" applyFont="1" applyFill="1" applyBorder="1" applyAlignment="1">
      <alignment horizontal="center"/>
    </xf>
    <xf numFmtId="43" fontId="5" fillId="0" borderId="0" xfId="1" applyFont="1" applyFill="1" applyBorder="1" applyAlignment="1">
      <alignment horizontal="center"/>
    </xf>
    <xf numFmtId="0" fontId="5" fillId="0" borderId="0" xfId="0" applyFont="1" applyAlignment="1">
      <alignment horizontal="center"/>
    </xf>
    <xf numFmtId="166" fontId="5" fillId="4" borderId="11" xfId="1" applyNumberFormat="1" applyFont="1" applyFill="1" applyBorder="1" applyAlignment="1">
      <alignment horizontal="center"/>
    </xf>
    <xf numFmtId="166" fontId="0" fillId="0" borderId="0" xfId="1" applyNumberFormat="1" applyFont="1"/>
    <xf numFmtId="0" fontId="5" fillId="4" borderId="0" xfId="0" applyFont="1" applyFill="1" applyAlignment="1">
      <alignment horizontal="center"/>
    </xf>
    <xf numFmtId="43" fontId="0" fillId="13" borderId="0" xfId="0" applyNumberFormat="1" applyFill="1"/>
    <xf numFmtId="43" fontId="5" fillId="0" borderId="6" xfId="1" applyFont="1" applyFill="1" applyBorder="1" applyAlignment="1">
      <alignment horizontal="center"/>
    </xf>
    <xf numFmtId="43" fontId="5" fillId="0" borderId="13" xfId="1" applyFont="1" applyFill="1" applyBorder="1" applyAlignment="1">
      <alignment horizontal="center"/>
    </xf>
    <xf numFmtId="2" fontId="0" fillId="0" borderId="0" xfId="0" applyNumberFormat="1"/>
    <xf numFmtId="43" fontId="0" fillId="0" borderId="0" xfId="1" applyFont="1"/>
    <xf numFmtId="0" fontId="8" fillId="3" borderId="2" xfId="0" applyFont="1" applyFill="1" applyBorder="1"/>
    <xf numFmtId="2" fontId="2" fillId="0" borderId="3" xfId="0" applyNumberFormat="1" applyFont="1" applyBorder="1"/>
    <xf numFmtId="169" fontId="2" fillId="0" borderId="3" xfId="0" applyNumberFormat="1" applyFont="1" applyBorder="1"/>
    <xf numFmtId="166" fontId="2" fillId="0" borderId="19" xfId="1" applyNumberFormat="1" applyFont="1" applyBorder="1"/>
    <xf numFmtId="166" fontId="2" fillId="0" borderId="4" xfId="1" applyNumberFormat="1" applyFont="1" applyBorder="1"/>
    <xf numFmtId="166" fontId="2" fillId="0" borderId="3" xfId="1" applyNumberFormat="1" applyFont="1" applyBorder="1"/>
    <xf numFmtId="0" fontId="9" fillId="0" borderId="0" xfId="0" applyFont="1"/>
    <xf numFmtId="0" fontId="4" fillId="0" borderId="21" xfId="0" applyFont="1" applyBorder="1" applyAlignment="1">
      <alignment horizontal="left" indent="1"/>
    </xf>
    <xf numFmtId="9" fontId="4" fillId="0" borderId="22" xfId="2" applyFont="1" applyBorder="1"/>
    <xf numFmtId="15" fontId="5" fillId="15" borderId="0" xfId="0" applyNumberFormat="1" applyFont="1" applyFill="1" applyAlignment="1">
      <alignment horizontal="center" wrapText="1"/>
    </xf>
    <xf numFmtId="167" fontId="5" fillId="15" borderId="6" xfId="1" applyNumberFormat="1" applyFont="1" applyFill="1" applyBorder="1" applyAlignment="1">
      <alignment horizontal="center"/>
    </xf>
    <xf numFmtId="43" fontId="5" fillId="15" borderId="8" xfId="0" applyNumberFormat="1" applyFont="1" applyFill="1" applyBorder="1" applyAlignment="1">
      <alignment horizontal="center"/>
    </xf>
    <xf numFmtId="0" fontId="0" fillId="15" borderId="0" xfId="0" applyFill="1"/>
    <xf numFmtId="43" fontId="5" fillId="15" borderId="11" xfId="1" applyFont="1" applyFill="1" applyBorder="1" applyAlignment="1">
      <alignment horizontal="center"/>
    </xf>
    <xf numFmtId="43" fontId="5" fillId="15" borderId="12" xfId="1" applyFont="1" applyFill="1" applyBorder="1" applyAlignment="1">
      <alignment horizontal="center"/>
    </xf>
    <xf numFmtId="166" fontId="5" fillId="15" borderId="11" xfId="1" applyNumberFormat="1" applyFont="1" applyFill="1" applyBorder="1" applyAlignment="1">
      <alignment horizontal="center"/>
    </xf>
    <xf numFmtId="43" fontId="0" fillId="15" borderId="0" xfId="0" applyNumberFormat="1" applyFill="1"/>
    <xf numFmtId="166" fontId="5" fillId="12" borderId="11" xfId="1" applyNumberFormat="1" applyFont="1" applyFill="1" applyBorder="1" applyAlignment="1">
      <alignment horizontal="center"/>
    </xf>
    <xf numFmtId="166" fontId="5" fillId="0" borderId="11" xfId="1" applyNumberFormat="1" applyFont="1" applyFill="1" applyBorder="1" applyAlignment="1">
      <alignment horizontal="center"/>
    </xf>
    <xf numFmtId="166" fontId="0" fillId="8" borderId="0" xfId="1" applyNumberFormat="1" applyFont="1" applyFill="1"/>
    <xf numFmtId="166" fontId="0" fillId="6" borderId="0" xfId="1" applyNumberFormat="1" applyFont="1" applyFill="1"/>
    <xf numFmtId="166" fontId="5" fillId="0" borderId="12" xfId="1" applyNumberFormat="1" applyFont="1" applyFill="1" applyBorder="1" applyAlignment="1">
      <alignment horizontal="center"/>
    </xf>
    <xf numFmtId="166" fontId="5" fillId="0" borderId="0" xfId="1" applyNumberFormat="1" applyFont="1" applyFill="1" applyBorder="1" applyAlignment="1">
      <alignment horizontal="center"/>
    </xf>
    <xf numFmtId="166" fontId="5" fillId="0" borderId="0" xfId="1" applyNumberFormat="1" applyFont="1" applyAlignment="1">
      <alignment horizontal="center"/>
    </xf>
    <xf numFmtId="166" fontId="5" fillId="4" borderId="0" xfId="1" applyNumberFormat="1" applyFont="1" applyFill="1" applyAlignment="1">
      <alignment horizontal="center"/>
    </xf>
    <xf numFmtId="166" fontId="5" fillId="0" borderId="6" xfId="1" applyNumberFormat="1" applyFont="1" applyFill="1" applyBorder="1" applyAlignment="1">
      <alignment horizontal="center"/>
    </xf>
    <xf numFmtId="166" fontId="5" fillId="0" borderId="13" xfId="1" applyNumberFormat="1" applyFont="1" applyFill="1" applyBorder="1" applyAlignment="1">
      <alignment horizontal="center"/>
    </xf>
    <xf numFmtId="166" fontId="5" fillId="12" borderId="13" xfId="1" applyNumberFormat="1" applyFont="1" applyFill="1" applyBorder="1" applyAlignment="1">
      <alignment horizontal="center"/>
    </xf>
    <xf numFmtId="43" fontId="5" fillId="12" borderId="23" xfId="1" applyFont="1" applyFill="1" applyBorder="1" applyAlignment="1">
      <alignment horizontal="center"/>
    </xf>
    <xf numFmtId="43" fontId="5" fillId="12" borderId="13" xfId="1" applyFont="1" applyFill="1" applyBorder="1" applyAlignment="1">
      <alignment horizontal="center"/>
    </xf>
    <xf numFmtId="0" fontId="5" fillId="11" borderId="24" xfId="0" applyFont="1" applyFill="1" applyBorder="1" applyAlignment="1">
      <alignment horizontal="center" vertical="center"/>
    </xf>
    <xf numFmtId="0" fontId="0" fillId="0" borderId="0" xfId="0" applyAlignment="1">
      <alignment horizontal="center" vertical="center" wrapText="1"/>
    </xf>
    <xf numFmtId="0" fontId="0" fillId="0" borderId="25" xfId="0" applyBorder="1"/>
    <xf numFmtId="17" fontId="0" fillId="0" borderId="0" xfId="0" applyNumberFormat="1"/>
    <xf numFmtId="170" fontId="0" fillId="0" borderId="0" xfId="0" applyNumberFormat="1"/>
    <xf numFmtId="1" fontId="0" fillId="0" borderId="0" xfId="2" applyNumberFormat="1" applyFont="1"/>
    <xf numFmtId="170" fontId="0" fillId="0" borderId="0" xfId="2" applyNumberFormat="1" applyFont="1"/>
    <xf numFmtId="167" fontId="5" fillId="0" borderId="14" xfId="1" applyNumberFormat="1" applyFont="1" applyFill="1" applyBorder="1" applyAlignment="1">
      <alignment horizontal="center"/>
    </xf>
    <xf numFmtId="43" fontId="5" fillId="0" borderId="14" xfId="1" applyFont="1" applyFill="1" applyBorder="1" applyAlignment="1">
      <alignment horizontal="center"/>
    </xf>
    <xf numFmtId="43" fontId="5" fillId="0" borderId="26" xfId="1" applyFont="1" applyFill="1" applyBorder="1" applyAlignment="1">
      <alignment horizontal="center"/>
    </xf>
    <xf numFmtId="0" fontId="0" fillId="0" borderId="27" xfId="0" applyBorder="1"/>
    <xf numFmtId="0" fontId="0" fillId="0" borderId="29" xfId="0" applyBorder="1"/>
    <xf numFmtId="0" fontId="0" fillId="0" borderId="18" xfId="0" applyBorder="1" applyAlignment="1">
      <alignment horizontal="left" vertical="center"/>
    </xf>
    <xf numFmtId="0" fontId="0" fillId="0" borderId="31" xfId="0" applyBorder="1" applyAlignment="1">
      <alignment horizontal="center" vertical="center"/>
    </xf>
    <xf numFmtId="0" fontId="0" fillId="0" borderId="25" xfId="0" applyBorder="1" applyAlignment="1">
      <alignment vertical="center"/>
    </xf>
    <xf numFmtId="0" fontId="0" fillId="0" borderId="32" xfId="0" applyBorder="1" applyAlignment="1">
      <alignment vertical="center"/>
    </xf>
    <xf numFmtId="166" fontId="0" fillId="0" borderId="25" xfId="1" applyNumberFormat="1" applyFont="1" applyBorder="1" applyAlignment="1">
      <alignment vertical="center"/>
    </xf>
    <xf numFmtId="166" fontId="0" fillId="0" borderId="32" xfId="1" applyNumberFormat="1" applyFont="1" applyBorder="1" applyAlignment="1">
      <alignment vertical="center"/>
    </xf>
    <xf numFmtId="0" fontId="0" fillId="0" borderId="31" xfId="0" applyBorder="1" applyAlignment="1">
      <alignment vertical="center"/>
    </xf>
    <xf numFmtId="0" fontId="0" fillId="0" borderId="33" xfId="0" applyBorder="1" applyAlignment="1">
      <alignment vertical="center"/>
    </xf>
    <xf numFmtId="17" fontId="2" fillId="9" borderId="30" xfId="0" applyNumberFormat="1" applyFont="1" applyFill="1" applyBorder="1" applyAlignment="1">
      <alignment horizontal="center" vertical="center"/>
    </xf>
    <xf numFmtId="17" fontId="2" fillId="9" borderId="20" xfId="0" applyNumberFormat="1" applyFont="1" applyFill="1" applyBorder="1" applyAlignment="1">
      <alignment horizontal="center" vertical="center"/>
    </xf>
    <xf numFmtId="0" fontId="0" fillId="0" borderId="0" xfId="0" applyAlignment="1">
      <alignment horizontal="left" vertical="center" wrapText="1"/>
    </xf>
    <xf numFmtId="3" fontId="0" fillId="0" borderId="0" xfId="0" applyNumberFormat="1"/>
    <xf numFmtId="166" fontId="5" fillId="16" borderId="11" xfId="1" applyNumberFormat="1" applyFont="1" applyFill="1" applyBorder="1" applyAlignment="1">
      <alignment horizontal="center"/>
    </xf>
    <xf numFmtId="43" fontId="5" fillId="16" borderId="11" xfId="1" applyFont="1" applyFill="1" applyBorder="1" applyAlignment="1">
      <alignment horizontal="center"/>
    </xf>
    <xf numFmtId="43" fontId="0" fillId="0" borderId="25" xfId="1" applyFont="1" applyBorder="1" applyAlignment="1">
      <alignment vertical="center"/>
    </xf>
    <xf numFmtId="0" fontId="0" fillId="0" borderId="0" xfId="0" pivotButton="1"/>
    <xf numFmtId="0" fontId="0" fillId="0" borderId="0" xfId="0" applyAlignment="1">
      <alignment horizontal="left"/>
    </xf>
    <xf numFmtId="0" fontId="0" fillId="0" borderId="0" xfId="0" applyAlignment="1">
      <alignment horizontal="left" indent="1"/>
    </xf>
    <xf numFmtId="17" fontId="5" fillId="0" borderId="0" xfId="0" applyNumberFormat="1" applyFont="1" applyAlignment="1">
      <alignment horizontal="center" vertical="center" wrapText="1"/>
    </xf>
    <xf numFmtId="15" fontId="5" fillId="6" borderId="0" xfId="0" applyNumberFormat="1" applyFont="1" applyFill="1" applyAlignment="1">
      <alignment horizontal="center" vertical="center" wrapText="1"/>
    </xf>
    <xf numFmtId="0" fontId="0" fillId="7" borderId="0" xfId="0" applyFill="1" applyAlignment="1">
      <alignment horizontal="center" vertical="center"/>
    </xf>
    <xf numFmtId="0" fontId="5" fillId="9" borderId="0" xfId="0" applyFont="1" applyFill="1" applyAlignment="1">
      <alignment horizontal="center" vertical="center"/>
    </xf>
    <xf numFmtId="0" fontId="5" fillId="0" borderId="0" xfId="0" applyFont="1" applyAlignment="1">
      <alignment horizontal="center" vertical="center"/>
    </xf>
    <xf numFmtId="15" fontId="5" fillId="17" borderId="0" xfId="0" applyNumberFormat="1" applyFont="1" applyFill="1" applyAlignment="1">
      <alignment horizontal="center" wrapText="1"/>
    </xf>
    <xf numFmtId="166" fontId="0" fillId="17" borderId="0" xfId="1" applyNumberFormat="1" applyFont="1" applyFill="1"/>
    <xf numFmtId="43" fontId="0" fillId="17" borderId="0" xfId="0" applyNumberFormat="1" applyFill="1"/>
    <xf numFmtId="166" fontId="11" fillId="15" borderId="11" xfId="1" applyNumberFormat="1" applyFont="1" applyFill="1" applyBorder="1" applyAlignment="1">
      <alignment horizontal="center"/>
    </xf>
    <xf numFmtId="166" fontId="0" fillId="15" borderId="0" xfId="0" applyNumberFormat="1" applyFill="1"/>
    <xf numFmtId="2" fontId="0" fillId="15" borderId="0" xfId="0" applyNumberFormat="1" applyFill="1"/>
    <xf numFmtId="0" fontId="5" fillId="9" borderId="5" xfId="0" applyFont="1" applyFill="1" applyBorder="1" applyAlignment="1">
      <alignment horizontal="center" vertical="center" wrapText="1"/>
    </xf>
    <xf numFmtId="43" fontId="5" fillId="15" borderId="6" xfId="1" applyFont="1" applyFill="1" applyBorder="1" applyAlignment="1">
      <alignment horizontal="center"/>
    </xf>
    <xf numFmtId="166" fontId="5" fillId="12" borderId="34" xfId="1" applyNumberFormat="1" applyFont="1" applyFill="1" applyBorder="1" applyAlignment="1">
      <alignment horizontal="center"/>
    </xf>
    <xf numFmtId="166" fontId="5" fillId="12" borderId="35" xfId="1" applyNumberFormat="1" applyFont="1" applyFill="1" applyBorder="1" applyAlignment="1">
      <alignment horizontal="center"/>
    </xf>
    <xf numFmtId="166" fontId="5" fillId="0" borderId="36" xfId="1" applyNumberFormat="1" applyFont="1" applyFill="1" applyBorder="1" applyAlignment="1">
      <alignment horizontal="center"/>
    </xf>
    <xf numFmtId="166" fontId="5" fillId="0" borderId="37" xfId="1" applyNumberFormat="1" applyFont="1" applyFill="1" applyBorder="1" applyAlignment="1">
      <alignment horizontal="center"/>
    </xf>
    <xf numFmtId="166" fontId="5" fillId="12" borderId="36" xfId="1" applyNumberFormat="1" applyFont="1" applyFill="1" applyBorder="1" applyAlignment="1">
      <alignment horizontal="center"/>
    </xf>
    <xf numFmtId="166" fontId="5" fillId="12" borderId="37" xfId="1" applyNumberFormat="1" applyFont="1" applyFill="1" applyBorder="1" applyAlignment="1">
      <alignment horizontal="center"/>
    </xf>
    <xf numFmtId="166" fontId="5" fillId="4" borderId="36" xfId="1" applyNumberFormat="1" applyFont="1" applyFill="1" applyBorder="1" applyAlignment="1">
      <alignment horizontal="center"/>
    </xf>
    <xf numFmtId="43" fontId="5" fillId="4" borderId="37" xfId="1" applyFont="1" applyFill="1" applyBorder="1" applyAlignment="1">
      <alignment horizontal="center"/>
    </xf>
    <xf numFmtId="166" fontId="0" fillId="8" borderId="38" xfId="1" applyNumberFormat="1" applyFont="1" applyFill="1" applyBorder="1"/>
    <xf numFmtId="166" fontId="0" fillId="8" borderId="39" xfId="1" applyNumberFormat="1" applyFont="1" applyFill="1" applyBorder="1"/>
    <xf numFmtId="166" fontId="0" fillId="6" borderId="38" xfId="1" applyNumberFormat="1" applyFont="1" applyFill="1" applyBorder="1"/>
    <xf numFmtId="166" fontId="0" fillId="6" borderId="39" xfId="1" applyNumberFormat="1" applyFont="1" applyFill="1" applyBorder="1"/>
    <xf numFmtId="166" fontId="5" fillId="15" borderId="36" xfId="1" applyNumberFormat="1" applyFont="1" applyFill="1" applyBorder="1" applyAlignment="1">
      <alignment horizontal="center"/>
    </xf>
    <xf numFmtId="166" fontId="5" fillId="15" borderId="37" xfId="1" applyNumberFormat="1" applyFont="1" applyFill="1" applyBorder="1" applyAlignment="1">
      <alignment horizontal="center"/>
    </xf>
    <xf numFmtId="0" fontId="0" fillId="7" borderId="38" xfId="0" applyFill="1" applyBorder="1"/>
    <xf numFmtId="0" fontId="0" fillId="7" borderId="39" xfId="0" applyFill="1" applyBorder="1"/>
    <xf numFmtId="166" fontId="5" fillId="19" borderId="36" xfId="1" applyNumberFormat="1" applyFont="1" applyFill="1" applyBorder="1" applyAlignment="1">
      <alignment horizontal="center"/>
    </xf>
    <xf numFmtId="166" fontId="5" fillId="5" borderId="36" xfId="1" applyNumberFormat="1" applyFont="1" applyFill="1" applyBorder="1" applyAlignment="1">
      <alignment horizontal="center"/>
    </xf>
    <xf numFmtId="43" fontId="5" fillId="5" borderId="37" xfId="1" applyFont="1" applyFill="1" applyBorder="1" applyAlignment="1">
      <alignment horizontal="center"/>
    </xf>
    <xf numFmtId="0" fontId="0" fillId="6" borderId="38" xfId="0" applyFill="1" applyBorder="1"/>
    <xf numFmtId="0" fontId="0" fillId="6" borderId="39" xfId="0" applyFill="1" applyBorder="1"/>
    <xf numFmtId="43" fontId="5" fillId="15" borderId="37" xfId="1" applyFont="1" applyFill="1" applyBorder="1" applyAlignment="1">
      <alignment horizontal="center"/>
    </xf>
    <xf numFmtId="166" fontId="5" fillId="15" borderId="40" xfId="1" applyNumberFormat="1" applyFont="1" applyFill="1" applyBorder="1" applyAlignment="1">
      <alignment horizontal="center"/>
    </xf>
    <xf numFmtId="43" fontId="5" fillId="15" borderId="41" xfId="1" applyFont="1" applyFill="1" applyBorder="1" applyAlignment="1">
      <alignment horizontal="center"/>
    </xf>
    <xf numFmtId="15" fontId="5" fillId="18" borderId="43" xfId="0" applyNumberFormat="1" applyFont="1" applyFill="1" applyBorder="1" applyAlignment="1">
      <alignment horizontal="center" wrapText="1"/>
    </xf>
    <xf numFmtId="166" fontId="0" fillId="9" borderId="43" xfId="1" applyNumberFormat="1" applyFont="1" applyFill="1" applyBorder="1"/>
    <xf numFmtId="43" fontId="0" fillId="9" borderId="43" xfId="0" applyNumberFormat="1" applyFill="1" applyBorder="1"/>
    <xf numFmtId="166" fontId="5" fillId="16" borderId="34" xfId="1" applyNumberFormat="1" applyFont="1" applyFill="1" applyBorder="1" applyAlignment="1">
      <alignment horizontal="center"/>
    </xf>
    <xf numFmtId="166" fontId="5" fillId="18" borderId="44" xfId="1" applyNumberFormat="1" applyFont="1" applyFill="1" applyBorder="1" applyAlignment="1">
      <alignment horizontal="center"/>
    </xf>
    <xf numFmtId="15" fontId="5" fillId="19" borderId="0" xfId="0" applyNumberFormat="1" applyFont="1" applyFill="1" applyAlignment="1">
      <alignment horizontal="center" wrapText="1"/>
    </xf>
    <xf numFmtId="166" fontId="0" fillId="9" borderId="0" xfId="1" applyNumberFormat="1" applyFont="1" applyFill="1" applyBorder="1"/>
    <xf numFmtId="15" fontId="5" fillId="0" borderId="46" xfId="0" applyNumberFormat="1" applyFont="1" applyBorder="1" applyAlignment="1">
      <alignment horizontal="center" wrapText="1"/>
    </xf>
    <xf numFmtId="166" fontId="0" fillId="9" borderId="46" xfId="1" applyNumberFormat="1" applyFont="1" applyFill="1" applyBorder="1"/>
    <xf numFmtId="43" fontId="0" fillId="9" borderId="46" xfId="0" applyNumberFormat="1" applyFill="1" applyBorder="1"/>
    <xf numFmtId="166" fontId="5" fillId="0" borderId="40" xfId="1" applyNumberFormat="1" applyFont="1" applyFill="1" applyBorder="1" applyAlignment="1">
      <alignment horizontal="center"/>
    </xf>
    <xf numFmtId="166" fontId="5" fillId="0" borderId="41" xfId="1" applyNumberFormat="1" applyFont="1" applyFill="1" applyBorder="1" applyAlignment="1">
      <alignment horizontal="center"/>
    </xf>
    <xf numFmtId="43" fontId="5" fillId="18" borderId="44" xfId="1" applyFont="1" applyFill="1" applyBorder="1" applyAlignment="1">
      <alignment horizontal="center"/>
    </xf>
    <xf numFmtId="43" fontId="5" fillId="12" borderId="37" xfId="1" applyFont="1" applyFill="1" applyBorder="1" applyAlignment="1">
      <alignment horizontal="center"/>
    </xf>
    <xf numFmtId="43" fontId="5" fillId="0" borderId="41" xfId="1" applyFont="1" applyFill="1" applyBorder="1" applyAlignment="1">
      <alignment horizontal="center"/>
    </xf>
    <xf numFmtId="43" fontId="0" fillId="6" borderId="39" xfId="0" applyNumberFormat="1" applyFill="1" applyBorder="1"/>
    <xf numFmtId="43" fontId="5" fillId="0" borderId="37" xfId="1" applyFont="1" applyFill="1" applyBorder="1" applyAlignment="1">
      <alignment horizontal="center"/>
    </xf>
    <xf numFmtId="43" fontId="0" fillId="8" borderId="39" xfId="1" applyFont="1" applyFill="1" applyBorder="1"/>
    <xf numFmtId="43" fontId="0" fillId="6" borderId="39" xfId="1" applyFont="1" applyFill="1" applyBorder="1"/>
    <xf numFmtId="0" fontId="12" fillId="0" borderId="0" xfId="0" applyFont="1" applyAlignment="1">
      <alignment horizontal="center"/>
    </xf>
    <xf numFmtId="0" fontId="12" fillId="0" borderId="0" xfId="0" applyFont="1"/>
    <xf numFmtId="0" fontId="14" fillId="0" borderId="0" xfId="0" applyFont="1"/>
    <xf numFmtId="0" fontId="15" fillId="0" borderId="0" xfId="0" applyFont="1"/>
    <xf numFmtId="0" fontId="20" fillId="0" borderId="0" xfId="0" applyFont="1"/>
    <xf numFmtId="0" fontId="15" fillId="0" borderId="2" xfId="0" applyFont="1" applyBorder="1" applyAlignment="1">
      <alignment horizontal="center"/>
    </xf>
    <xf numFmtId="0" fontId="15" fillId="0" borderId="3" xfId="0" applyFont="1" applyBorder="1" applyAlignment="1">
      <alignment horizontal="center"/>
    </xf>
    <xf numFmtId="0" fontId="15" fillId="0" borderId="4" xfId="0" applyFont="1" applyBorder="1" applyAlignment="1">
      <alignment horizontal="center"/>
    </xf>
    <xf numFmtId="0" fontId="17" fillId="0" borderId="0" xfId="0" applyFont="1"/>
    <xf numFmtId="43" fontId="12" fillId="0" borderId="0" xfId="1" applyFont="1" applyProtection="1"/>
    <xf numFmtId="43" fontId="17" fillId="0" borderId="0" xfId="1" applyFont="1" applyProtection="1"/>
    <xf numFmtId="171" fontId="12" fillId="0" borderId="0" xfId="1" applyNumberFormat="1" applyFont="1" applyProtection="1"/>
    <xf numFmtId="171" fontId="17" fillId="0" borderId="0" xfId="1" applyNumberFormat="1" applyFont="1" applyProtection="1"/>
    <xf numFmtId="0" fontId="17" fillId="0" borderId="0" xfId="0" applyFont="1" applyProtection="1">
      <protection locked="0"/>
    </xf>
    <xf numFmtId="0" fontId="16" fillId="21" borderId="28" xfId="0" applyFont="1" applyFill="1" applyBorder="1" applyProtection="1">
      <protection locked="0"/>
    </xf>
    <xf numFmtId="166" fontId="15" fillId="21" borderId="18" xfId="1" applyNumberFormat="1" applyFont="1" applyFill="1" applyBorder="1" applyProtection="1">
      <protection locked="0"/>
    </xf>
    <xf numFmtId="170" fontId="15" fillId="21" borderId="17" xfId="0" applyNumberFormat="1" applyFont="1" applyFill="1" applyBorder="1" applyProtection="1">
      <protection locked="0"/>
    </xf>
    <xf numFmtId="166" fontId="12" fillId="22" borderId="59" xfId="1" applyNumberFormat="1" applyFont="1" applyFill="1" applyBorder="1" applyAlignment="1" applyProtection="1">
      <alignment horizontal="center"/>
      <protection locked="0"/>
    </xf>
    <xf numFmtId="166" fontId="12" fillId="22" borderId="59" xfId="1" applyNumberFormat="1" applyFont="1" applyFill="1" applyBorder="1" applyProtection="1">
      <protection locked="0"/>
    </xf>
    <xf numFmtId="166" fontId="12" fillId="22" borderId="16" xfId="1" applyNumberFormat="1" applyFont="1" applyFill="1" applyBorder="1" applyProtection="1">
      <protection locked="0"/>
    </xf>
    <xf numFmtId="166" fontId="12" fillId="22" borderId="62" xfId="1" applyNumberFormat="1" applyFont="1" applyFill="1" applyBorder="1" applyProtection="1">
      <protection locked="0"/>
    </xf>
    <xf numFmtId="0" fontId="12" fillId="0" borderId="0" xfId="0" applyFont="1" applyProtection="1">
      <protection locked="0"/>
    </xf>
    <xf numFmtId="2" fontId="17" fillId="0" borderId="64" xfId="0" applyNumberFormat="1" applyFont="1" applyBorder="1" applyAlignment="1" applyProtection="1">
      <alignment horizontal="center"/>
      <protection locked="0"/>
    </xf>
    <xf numFmtId="2" fontId="17" fillId="0" borderId="1" xfId="0" applyNumberFormat="1" applyFont="1" applyBorder="1" applyAlignment="1" applyProtection="1">
      <alignment horizontal="center"/>
      <protection locked="0"/>
    </xf>
    <xf numFmtId="2" fontId="17" fillId="0" borderId="65" xfId="0" applyNumberFormat="1" applyFont="1" applyBorder="1" applyAlignment="1" applyProtection="1">
      <alignment horizontal="center"/>
      <protection locked="0"/>
    </xf>
    <xf numFmtId="171" fontId="15" fillId="21" borderId="66" xfId="1" applyNumberFormat="1" applyFont="1" applyFill="1" applyBorder="1" applyProtection="1">
      <protection locked="0"/>
    </xf>
    <xf numFmtId="0" fontId="12" fillId="0" borderId="0" xfId="0" applyFont="1" applyAlignment="1" applyProtection="1">
      <alignment horizontal="center"/>
      <protection locked="0"/>
    </xf>
    <xf numFmtId="0" fontId="13" fillId="0" borderId="0" xfId="0" applyFont="1" applyProtection="1">
      <protection locked="0"/>
    </xf>
    <xf numFmtId="2" fontId="13" fillId="0" borderId="0" xfId="0" applyNumberFormat="1" applyFont="1" applyProtection="1">
      <protection locked="0"/>
    </xf>
    <xf numFmtId="1" fontId="12" fillId="0" borderId="0" xfId="0" applyNumberFormat="1" applyFont="1" applyProtection="1">
      <protection locked="0"/>
    </xf>
    <xf numFmtId="2" fontId="13" fillId="0" borderId="0" xfId="0" applyNumberFormat="1" applyFont="1" applyAlignment="1" applyProtection="1">
      <alignment horizontal="right"/>
      <protection locked="0"/>
    </xf>
    <xf numFmtId="0" fontId="0" fillId="23" borderId="15" xfId="0" applyFill="1" applyBorder="1" applyAlignment="1">
      <alignment horizontal="center" vertical="center"/>
    </xf>
    <xf numFmtId="0" fontId="2" fillId="23" borderId="16" xfId="0" applyFont="1" applyFill="1" applyBorder="1" applyAlignment="1">
      <alignment horizontal="center" vertical="center"/>
    </xf>
    <xf numFmtId="0" fontId="2" fillId="23" borderId="17" xfId="0" applyFont="1" applyFill="1" applyBorder="1" applyAlignment="1">
      <alignment horizontal="center" vertical="center"/>
    </xf>
    <xf numFmtId="0" fontId="0" fillId="0" borderId="66" xfId="0" applyBorder="1" applyAlignment="1">
      <alignment horizontal="left" vertical="center"/>
    </xf>
    <xf numFmtId="166" fontId="0" fillId="0" borderId="31" xfId="1" applyNumberFormat="1" applyFont="1" applyBorder="1" applyAlignment="1">
      <alignment vertical="center"/>
    </xf>
    <xf numFmtId="0" fontId="2" fillId="24" borderId="47" xfId="0" applyFont="1" applyFill="1" applyBorder="1" applyAlignment="1">
      <alignment horizontal="center" vertical="center" wrapText="1"/>
    </xf>
    <xf numFmtId="0" fontId="0" fillId="24" borderId="49" xfId="0" applyFill="1" applyBorder="1" applyAlignment="1">
      <alignment horizontal="left" vertical="center"/>
    </xf>
    <xf numFmtId="170" fontId="0" fillId="24" borderId="49" xfId="0" applyNumberFormat="1" applyFill="1" applyBorder="1" applyAlignment="1">
      <alignment vertical="center"/>
    </xf>
    <xf numFmtId="0" fontId="0" fillId="24" borderId="49" xfId="0" applyFill="1" applyBorder="1" applyAlignment="1">
      <alignment vertical="center"/>
    </xf>
    <xf numFmtId="0" fontId="0" fillId="24" borderId="48" xfId="0" applyFill="1" applyBorder="1" applyAlignment="1">
      <alignment vertical="center"/>
    </xf>
    <xf numFmtId="0" fontId="0" fillId="5" borderId="27" xfId="0" applyFill="1" applyBorder="1"/>
    <xf numFmtId="0" fontId="0" fillId="5" borderId="29" xfId="0" applyFill="1" applyBorder="1"/>
    <xf numFmtId="17" fontId="2" fillId="5" borderId="30" xfId="0" applyNumberFormat="1" applyFont="1" applyFill="1" applyBorder="1" applyAlignment="1">
      <alignment horizontal="center" vertical="center"/>
    </xf>
    <xf numFmtId="17" fontId="2" fillId="5" borderId="20" xfId="0" applyNumberFormat="1" applyFont="1" applyFill="1" applyBorder="1" applyAlignment="1">
      <alignment horizontal="center" vertical="center"/>
    </xf>
    <xf numFmtId="0" fontId="16" fillId="0" borderId="0" xfId="0" applyFont="1"/>
    <xf numFmtId="0" fontId="15" fillId="0" borderId="0" xfId="0" applyFont="1" applyAlignment="1">
      <alignment horizontal="center"/>
    </xf>
    <xf numFmtId="0" fontId="15" fillId="0" borderId="27" xfId="0" applyFont="1" applyBorder="1"/>
    <xf numFmtId="0" fontId="15" fillId="0" borderId="29" xfId="0" applyFont="1" applyBorder="1"/>
    <xf numFmtId="16" fontId="15" fillId="0" borderId="61" xfId="0" applyNumberFormat="1" applyFont="1" applyBorder="1" applyAlignment="1">
      <alignment horizontal="center"/>
    </xf>
    <xf numFmtId="16" fontId="15" fillId="0" borderId="3" xfId="0" applyNumberFormat="1" applyFont="1" applyBorder="1" applyAlignment="1">
      <alignment horizontal="center"/>
    </xf>
    <xf numFmtId="16" fontId="15" fillId="0" borderId="3" xfId="0" applyNumberFormat="1" applyFont="1" applyBorder="1"/>
    <xf numFmtId="16" fontId="15" fillId="0" borderId="61" xfId="0" applyNumberFormat="1" applyFont="1" applyBorder="1"/>
    <xf numFmtId="0" fontId="0" fillId="9" borderId="25" xfId="0" applyFill="1" applyBorder="1" applyAlignment="1">
      <alignment horizontal="left" vertical="center"/>
    </xf>
    <xf numFmtId="166" fontId="0" fillId="9" borderId="25" xfId="1" applyNumberFormat="1" applyFont="1" applyFill="1" applyBorder="1" applyAlignment="1">
      <alignment vertical="center"/>
    </xf>
    <xf numFmtId="166" fontId="0" fillId="26" borderId="25" xfId="1" applyNumberFormat="1" applyFont="1" applyFill="1" applyBorder="1" applyAlignment="1">
      <alignment vertical="center"/>
    </xf>
    <xf numFmtId="2" fontId="25" fillId="0" borderId="71" xfId="5" applyNumberFormat="1" applyFont="1" applyFill="1" applyBorder="1" applyAlignment="1"/>
    <xf numFmtId="0" fontId="2" fillId="14" borderId="0" xfId="0" applyFont="1" applyFill="1" applyAlignment="1">
      <alignment horizontal="center" vertical="center" wrapText="1"/>
    </xf>
    <xf numFmtId="0" fontId="12" fillId="0" borderId="0" xfId="0" applyFont="1" applyAlignment="1">
      <alignment horizontal="left" vertical="center"/>
    </xf>
    <xf numFmtId="170" fontId="15" fillId="0" borderId="0" xfId="0" applyNumberFormat="1" applyFont="1"/>
    <xf numFmtId="0" fontId="26" fillId="12" borderId="53" xfId="0" applyFont="1" applyFill="1" applyBorder="1" applyAlignment="1">
      <alignment vertical="center"/>
    </xf>
    <xf numFmtId="0" fontId="26" fillId="12" borderId="54" xfId="0" applyFont="1" applyFill="1" applyBorder="1" applyAlignment="1">
      <alignment vertical="center"/>
    </xf>
    <xf numFmtId="0" fontId="26" fillId="12" borderId="20" xfId="0" applyFont="1" applyFill="1" applyBorder="1" applyAlignment="1">
      <alignment vertical="center"/>
    </xf>
    <xf numFmtId="0" fontId="27" fillId="0" borderId="0" xfId="0" applyFont="1"/>
    <xf numFmtId="0" fontId="12" fillId="0" borderId="53" xfId="0" applyFont="1" applyBorder="1"/>
    <xf numFmtId="0" fontId="12" fillId="0" borderId="54" xfId="0" applyFont="1" applyBorder="1"/>
    <xf numFmtId="0" fontId="12" fillId="0" borderId="20" xfId="0" applyFont="1" applyBorder="1"/>
    <xf numFmtId="0" fontId="26" fillId="0" borderId="0" xfId="0" applyFont="1"/>
    <xf numFmtId="0" fontId="12" fillId="0" borderId="51" xfId="1" applyNumberFormat="1" applyFont="1" applyBorder="1" applyAlignment="1" applyProtection="1">
      <alignment horizontal="left" vertical="center"/>
    </xf>
    <xf numFmtId="0" fontId="12" fillId="0" borderId="0" xfId="1" applyNumberFormat="1" applyFont="1" applyBorder="1" applyProtection="1"/>
    <xf numFmtId="0" fontId="12" fillId="0" borderId="52" xfId="0" applyFont="1" applyBorder="1"/>
    <xf numFmtId="0" fontId="5" fillId="0" borderId="0" xfId="0" applyFont="1"/>
    <xf numFmtId="172" fontId="17" fillId="0" borderId="0" xfId="0" applyNumberFormat="1" applyFont="1" applyAlignment="1">
      <alignment horizontal="left"/>
    </xf>
    <xf numFmtId="0" fontId="13" fillId="30" borderId="0" xfId="0" applyFont="1" applyFill="1" applyAlignment="1">
      <alignment horizontal="center" vertical="center"/>
    </xf>
    <xf numFmtId="0" fontId="17" fillId="0" borderId="0" xfId="0" applyFont="1" applyAlignment="1">
      <alignment horizontal="left"/>
    </xf>
    <xf numFmtId="0" fontId="12" fillId="0" borderId="55" xfId="1" applyNumberFormat="1" applyFont="1" applyBorder="1" applyAlignment="1" applyProtection="1">
      <alignment horizontal="left" vertical="center"/>
    </xf>
    <xf numFmtId="0" fontId="17" fillId="0" borderId="56" xfId="1" applyNumberFormat="1" applyFont="1" applyBorder="1" applyProtection="1"/>
    <xf numFmtId="0" fontId="12" fillId="0" borderId="57" xfId="0" applyFont="1" applyBorder="1"/>
    <xf numFmtId="0" fontId="28" fillId="0" borderId="0" xfId="0" applyFont="1" applyAlignment="1">
      <alignment horizontal="center"/>
    </xf>
    <xf numFmtId="0" fontId="28" fillId="0" borderId="0" xfId="0" applyFont="1" applyAlignment="1">
      <alignment horizontal="left" vertical="center"/>
    </xf>
    <xf numFmtId="0" fontId="28" fillId="0" borderId="0" xfId="0" applyFont="1"/>
    <xf numFmtId="0" fontId="15" fillId="5" borderId="47" xfId="0" applyFont="1" applyFill="1" applyBorder="1" applyAlignment="1">
      <alignment horizontal="center"/>
    </xf>
    <xf numFmtId="43" fontId="15" fillId="0" borderId="0" xfId="1" applyFont="1" applyBorder="1" applyAlignment="1" applyProtection="1">
      <alignment horizontal="right"/>
    </xf>
    <xf numFmtId="1" fontId="15" fillId="0" borderId="27" xfId="0" applyNumberFormat="1" applyFont="1" applyBorder="1" applyAlignment="1">
      <alignment horizontal="center"/>
    </xf>
    <xf numFmtId="1" fontId="15" fillId="0" borderId="58" xfId="0" applyNumberFormat="1" applyFont="1" applyBorder="1" applyAlignment="1">
      <alignment horizontal="center"/>
    </xf>
    <xf numFmtId="1" fontId="15" fillId="0" borderId="68" xfId="0" applyNumberFormat="1" applyFont="1" applyBorder="1" applyAlignment="1">
      <alignment horizontal="center"/>
    </xf>
    <xf numFmtId="1" fontId="15" fillId="0" borderId="20" xfId="0" applyNumberFormat="1" applyFont="1" applyBorder="1" applyAlignment="1">
      <alignment horizontal="center"/>
    </xf>
    <xf numFmtId="170" fontId="15" fillId="20" borderId="50" xfId="0" applyNumberFormat="1" applyFont="1" applyFill="1" applyBorder="1"/>
    <xf numFmtId="166" fontId="15" fillId="21" borderId="15" xfId="1" applyNumberFormat="1" applyFont="1" applyFill="1" applyBorder="1" applyProtection="1"/>
    <xf numFmtId="166" fontId="17" fillId="0" borderId="58" xfId="1" applyNumberFormat="1" applyFont="1" applyFill="1" applyBorder="1" applyAlignment="1" applyProtection="1">
      <alignment horizontal="center"/>
    </xf>
    <xf numFmtId="9" fontId="17" fillId="0" borderId="20" xfId="2" applyFont="1" applyFill="1" applyBorder="1" applyAlignment="1" applyProtection="1">
      <alignment horizontal="center"/>
    </xf>
    <xf numFmtId="43" fontId="16" fillId="0" borderId="0" xfId="1" applyFont="1" applyFill="1" applyBorder="1" applyAlignment="1" applyProtection="1">
      <alignment horizontal="right"/>
    </xf>
    <xf numFmtId="166" fontId="16" fillId="0" borderId="15" xfId="1" applyNumberFormat="1" applyFont="1" applyFill="1" applyBorder="1" applyAlignment="1" applyProtection="1">
      <alignment horizontal="center"/>
    </xf>
    <xf numFmtId="166" fontId="16" fillId="0" borderId="16" xfId="1" applyNumberFormat="1" applyFont="1" applyFill="1" applyBorder="1" applyAlignment="1" applyProtection="1">
      <alignment horizontal="center"/>
    </xf>
    <xf numFmtId="166" fontId="16" fillId="0" borderId="59" xfId="1" applyNumberFormat="1" applyFont="1" applyFill="1" applyBorder="1" applyAlignment="1" applyProtection="1">
      <alignment horizontal="center"/>
    </xf>
    <xf numFmtId="166" fontId="16" fillId="0" borderId="17" xfId="1" applyNumberFormat="1" applyFont="1" applyFill="1" applyBorder="1" applyAlignment="1" applyProtection="1">
      <alignment horizontal="center"/>
    </xf>
    <xf numFmtId="43" fontId="16" fillId="0" borderId="28" xfId="1" applyFont="1" applyFill="1" applyBorder="1" applyAlignment="1" applyProtection="1">
      <alignment horizontal="center"/>
    </xf>
    <xf numFmtId="43" fontId="16" fillId="0" borderId="1" xfId="1" applyFont="1" applyFill="1" applyBorder="1" applyAlignment="1" applyProtection="1">
      <alignment horizontal="center"/>
    </xf>
    <xf numFmtId="43" fontId="16" fillId="0" borderId="64" xfId="1" applyFont="1" applyFill="1" applyBorder="1" applyAlignment="1" applyProtection="1">
      <alignment horizontal="center"/>
    </xf>
    <xf numFmtId="43" fontId="16" fillId="0" borderId="69" xfId="1" applyFont="1" applyFill="1" applyBorder="1" applyAlignment="1" applyProtection="1">
      <alignment horizontal="center"/>
    </xf>
    <xf numFmtId="43" fontId="15" fillId="0" borderId="0" xfId="1" applyFont="1" applyProtection="1"/>
    <xf numFmtId="43" fontId="15" fillId="0" borderId="0" xfId="1" applyFont="1" applyFill="1" applyBorder="1" applyAlignment="1" applyProtection="1">
      <alignment horizontal="right"/>
    </xf>
    <xf numFmtId="171" fontId="16" fillId="0" borderId="0" xfId="1" applyNumberFormat="1" applyFont="1" applyFill="1" applyBorder="1" applyAlignment="1" applyProtection="1">
      <alignment horizontal="right"/>
    </xf>
    <xf numFmtId="171" fontId="16" fillId="0" borderId="15" xfId="1" applyNumberFormat="1" applyFont="1" applyFill="1" applyBorder="1" applyAlignment="1" applyProtection="1">
      <alignment horizontal="center"/>
    </xf>
    <xf numFmtId="171" fontId="16" fillId="0" borderId="16" xfId="1" applyNumberFormat="1" applyFont="1" applyFill="1" applyBorder="1" applyAlignment="1" applyProtection="1">
      <alignment horizontal="center"/>
    </xf>
    <xf numFmtId="171" fontId="16" fillId="0" borderId="59" xfId="1" applyNumberFormat="1" applyFont="1" applyFill="1" applyBorder="1" applyAlignment="1" applyProtection="1">
      <alignment horizontal="center"/>
    </xf>
    <xf numFmtId="171" fontId="16" fillId="0" borderId="17" xfId="1" applyNumberFormat="1" applyFont="1" applyFill="1" applyBorder="1" applyAlignment="1" applyProtection="1">
      <alignment horizontal="center"/>
    </xf>
    <xf numFmtId="171" fontId="15" fillId="0" borderId="0" xfId="1" applyNumberFormat="1" applyFont="1" applyBorder="1" applyAlignment="1" applyProtection="1">
      <alignment horizontal="right"/>
    </xf>
    <xf numFmtId="0" fontId="15" fillId="31" borderId="2" xfId="0" applyFont="1" applyFill="1" applyBorder="1" applyAlignment="1">
      <alignment horizontal="center"/>
    </xf>
    <xf numFmtId="170" fontId="15" fillId="0" borderId="3" xfId="0" applyNumberFormat="1" applyFont="1" applyBorder="1"/>
    <xf numFmtId="170" fontId="15" fillId="0" borderId="4" xfId="0" applyNumberFormat="1" applyFont="1" applyBorder="1"/>
    <xf numFmtId="16" fontId="15" fillId="0" borderId="19" xfId="0" applyNumberFormat="1" applyFont="1" applyBorder="1"/>
    <xf numFmtId="0" fontId="16" fillId="21" borderId="15" xfId="0" applyFont="1" applyFill="1" applyBorder="1" applyProtection="1">
      <protection locked="0"/>
    </xf>
    <xf numFmtId="0" fontId="17" fillId="0" borderId="0" xfId="0" applyFont="1" applyAlignment="1" applyProtection="1">
      <alignment horizontal="center"/>
      <protection locked="0"/>
    </xf>
    <xf numFmtId="166" fontId="15" fillId="21" borderId="66" xfId="1" applyNumberFormat="1" applyFont="1" applyFill="1" applyBorder="1" applyProtection="1">
      <protection locked="0"/>
    </xf>
    <xf numFmtId="170" fontId="15" fillId="21" borderId="69" xfId="0" applyNumberFormat="1" applyFont="1" applyFill="1" applyBorder="1" applyProtection="1">
      <protection locked="0"/>
    </xf>
    <xf numFmtId="16" fontId="16" fillId="0" borderId="0" xfId="0" applyNumberFormat="1" applyFont="1"/>
    <xf numFmtId="166" fontId="16" fillId="0" borderId="0" xfId="0" applyNumberFormat="1" applyFont="1"/>
    <xf numFmtId="166" fontId="12" fillId="0" borderId="0" xfId="0" applyNumberFormat="1" applyFont="1" applyProtection="1">
      <protection locked="0"/>
    </xf>
    <xf numFmtId="0" fontId="12" fillId="11" borderId="0" xfId="0" applyFont="1" applyFill="1"/>
    <xf numFmtId="0" fontId="17" fillId="11" borderId="0" xfId="0" applyFont="1" applyFill="1"/>
    <xf numFmtId="43" fontId="12" fillId="11" borderId="0" xfId="1" applyFont="1" applyFill="1" applyProtection="1"/>
    <xf numFmtId="43" fontId="17" fillId="11" borderId="0" xfId="1" applyFont="1" applyFill="1" applyProtection="1"/>
    <xf numFmtId="171" fontId="12" fillId="11" borderId="0" xfId="1" applyNumberFormat="1" applyFont="1" applyFill="1" applyProtection="1"/>
    <xf numFmtId="171" fontId="17" fillId="11" borderId="0" xfId="1" applyNumberFormat="1" applyFont="1" applyFill="1" applyProtection="1"/>
    <xf numFmtId="16" fontId="17" fillId="11" borderId="60" xfId="0" applyNumberFormat="1" applyFont="1" applyFill="1" applyBorder="1"/>
    <xf numFmtId="1" fontId="12" fillId="11" borderId="30" xfId="0" applyNumberFormat="1" applyFont="1" applyFill="1" applyBorder="1" applyProtection="1">
      <protection locked="0"/>
    </xf>
    <xf numFmtId="0" fontId="12" fillId="11" borderId="63" xfId="0" applyFont="1" applyFill="1" applyBorder="1" applyProtection="1">
      <protection locked="0"/>
    </xf>
    <xf numFmtId="0" fontId="17" fillId="11" borderId="63" xfId="0" applyFont="1" applyFill="1" applyBorder="1" applyAlignment="1" applyProtection="1">
      <alignment horizontal="center"/>
      <protection locked="0"/>
    </xf>
    <xf numFmtId="1" fontId="12" fillId="11" borderId="63" xfId="0" applyNumberFormat="1" applyFont="1" applyFill="1" applyBorder="1" applyProtection="1">
      <protection locked="0"/>
    </xf>
    <xf numFmtId="0" fontId="12" fillId="11" borderId="67" xfId="0" applyFont="1" applyFill="1" applyBorder="1" applyProtection="1">
      <protection locked="0"/>
    </xf>
    <xf numFmtId="0" fontId="17" fillId="11" borderId="30" xfId="0" applyFont="1" applyFill="1" applyBorder="1" applyProtection="1">
      <protection locked="0"/>
    </xf>
    <xf numFmtId="0" fontId="12" fillId="11" borderId="0" xfId="0" applyFont="1" applyFill="1" applyProtection="1">
      <protection locked="0"/>
    </xf>
    <xf numFmtId="1" fontId="15" fillId="0" borderId="0" xfId="0" applyNumberFormat="1" applyFont="1" applyAlignment="1">
      <alignment horizontal="center"/>
    </xf>
    <xf numFmtId="166" fontId="16" fillId="0" borderId="0" xfId="1" applyNumberFormat="1" applyFont="1" applyFill="1" applyBorder="1" applyAlignment="1" applyProtection="1">
      <alignment horizontal="center"/>
    </xf>
    <xf numFmtId="166" fontId="17" fillId="0" borderId="0" xfId="1" applyNumberFormat="1" applyFont="1" applyBorder="1" applyAlignment="1" applyProtection="1">
      <alignment horizontal="center"/>
    </xf>
    <xf numFmtId="43" fontId="16" fillId="0" borderId="0" xfId="1" applyFont="1" applyFill="1" applyBorder="1" applyAlignment="1" applyProtection="1">
      <alignment horizontal="center"/>
    </xf>
    <xf numFmtId="43" fontId="17" fillId="0" borderId="0" xfId="1" applyFont="1" applyBorder="1" applyAlignment="1" applyProtection="1">
      <alignment horizontal="center"/>
    </xf>
    <xf numFmtId="171" fontId="16" fillId="0" borderId="0" xfId="1" applyNumberFormat="1" applyFont="1" applyFill="1" applyBorder="1" applyAlignment="1" applyProtection="1">
      <alignment horizontal="center"/>
    </xf>
    <xf numFmtId="171" fontId="17" fillId="0" borderId="0" xfId="1" applyNumberFormat="1" applyFont="1" applyBorder="1" applyAlignment="1" applyProtection="1">
      <alignment horizontal="center"/>
    </xf>
    <xf numFmtId="16" fontId="15" fillId="0" borderId="49" xfId="0" applyNumberFormat="1" applyFont="1" applyBorder="1"/>
    <xf numFmtId="166" fontId="12" fillId="22" borderId="54" xfId="1" applyNumberFormat="1" applyFont="1" applyFill="1" applyBorder="1" applyProtection="1">
      <protection locked="0"/>
    </xf>
    <xf numFmtId="166" fontId="17" fillId="0" borderId="0" xfId="1" applyNumberFormat="1" applyFont="1" applyBorder="1" applyAlignment="1" applyProtection="1">
      <alignment horizontal="center"/>
      <protection locked="0"/>
    </xf>
    <xf numFmtId="2" fontId="17" fillId="0" borderId="0" xfId="0" applyNumberFormat="1" applyFont="1" applyAlignment="1" applyProtection="1">
      <alignment horizontal="center"/>
      <protection locked="0"/>
    </xf>
    <xf numFmtId="43" fontId="12" fillId="22" borderId="0" xfId="1" applyFont="1" applyFill="1" applyBorder="1" applyProtection="1">
      <protection locked="0"/>
    </xf>
    <xf numFmtId="43" fontId="17" fillId="0" borderId="0" xfId="1" applyFont="1" applyBorder="1" applyAlignment="1" applyProtection="1">
      <alignment horizontal="center"/>
      <protection locked="0"/>
    </xf>
    <xf numFmtId="171" fontId="12" fillId="22" borderId="0" xfId="1" applyNumberFormat="1" applyFont="1" applyFill="1" applyBorder="1" applyProtection="1">
      <protection locked="0"/>
    </xf>
    <xf numFmtId="171" fontId="17" fillId="0" borderId="56" xfId="1" applyNumberFormat="1" applyFont="1" applyBorder="1" applyAlignment="1" applyProtection="1">
      <alignment horizontal="center"/>
      <protection locked="0"/>
    </xf>
    <xf numFmtId="171" fontId="12" fillId="22" borderId="0" xfId="1" applyNumberFormat="1" applyFont="1" applyFill="1" applyBorder="1" applyAlignment="1" applyProtection="1">
      <alignment horizontal="center"/>
      <protection locked="0"/>
    </xf>
    <xf numFmtId="17" fontId="12" fillId="11" borderId="0" xfId="0" applyNumberFormat="1" applyFont="1" applyFill="1" applyAlignment="1">
      <alignment horizontal="center"/>
    </xf>
    <xf numFmtId="16" fontId="17" fillId="11" borderId="0" xfId="0" applyNumberFormat="1" applyFont="1" applyFill="1"/>
    <xf numFmtId="1" fontId="12" fillId="11" borderId="0" xfId="0" applyNumberFormat="1" applyFont="1" applyFill="1" applyProtection="1">
      <protection locked="0"/>
    </xf>
    <xf numFmtId="0" fontId="17" fillId="11" borderId="0" xfId="0" applyFont="1" applyFill="1" applyAlignment="1" applyProtection="1">
      <alignment horizontal="center"/>
      <protection locked="0"/>
    </xf>
    <xf numFmtId="0" fontId="17" fillId="11" borderId="0" xfId="0" applyFont="1" applyFill="1" applyProtection="1">
      <protection locked="0"/>
    </xf>
    <xf numFmtId="0" fontId="12" fillId="11" borderId="0" xfId="0" applyFont="1" applyFill="1" applyAlignment="1">
      <alignment horizontal="right"/>
    </xf>
    <xf numFmtId="17" fontId="5" fillId="11" borderId="0" xfId="0" applyNumberFormat="1" applyFont="1" applyFill="1" applyAlignment="1">
      <alignment horizontal="right"/>
    </xf>
    <xf numFmtId="0" fontId="17" fillId="11" borderId="0" xfId="0" applyFont="1" applyFill="1" applyAlignment="1">
      <alignment horizontal="right"/>
    </xf>
    <xf numFmtId="43" fontId="12" fillId="11" borderId="0" xfId="1" applyFont="1" applyFill="1" applyAlignment="1" applyProtection="1">
      <alignment horizontal="right"/>
    </xf>
    <xf numFmtId="0" fontId="17" fillId="11" borderId="0" xfId="0" applyFont="1" applyFill="1" applyAlignment="1" applyProtection="1">
      <alignment horizontal="left"/>
      <protection locked="0"/>
    </xf>
    <xf numFmtId="43" fontId="16" fillId="0" borderId="0" xfId="0" applyNumberFormat="1" applyFont="1"/>
    <xf numFmtId="0" fontId="13" fillId="0" borderId="0" xfId="0" applyFont="1"/>
    <xf numFmtId="0" fontId="16" fillId="0" borderId="0" xfId="0" applyFont="1" applyAlignment="1">
      <alignment horizontal="left" vertical="center"/>
    </xf>
    <xf numFmtId="0" fontId="22" fillId="0" borderId="60" xfId="0" applyFont="1" applyBorder="1" applyAlignment="1">
      <alignment horizontal="center"/>
    </xf>
    <xf numFmtId="0" fontId="22" fillId="0" borderId="49" xfId="0" applyFont="1" applyBorder="1" applyAlignment="1">
      <alignment horizontal="center"/>
    </xf>
    <xf numFmtId="0" fontId="22" fillId="0" borderId="47" xfId="0" applyFont="1" applyBorder="1"/>
    <xf numFmtId="0" fontId="22" fillId="0" borderId="61" xfId="0" applyFont="1" applyBorder="1"/>
    <xf numFmtId="0" fontId="12" fillId="0" borderId="63" xfId="0" applyFont="1" applyBorder="1" applyProtection="1">
      <protection locked="0"/>
    </xf>
    <xf numFmtId="43" fontId="12" fillId="0" borderId="0" xfId="0" applyNumberFormat="1" applyFont="1" applyProtection="1">
      <protection locked="0"/>
    </xf>
    <xf numFmtId="9" fontId="12" fillId="0" borderId="0" xfId="2" applyFont="1" applyProtection="1">
      <protection locked="0"/>
    </xf>
    <xf numFmtId="2" fontId="12" fillId="0" borderId="0" xfId="0" applyNumberFormat="1" applyFont="1" applyProtection="1">
      <protection locked="0"/>
    </xf>
    <xf numFmtId="43" fontId="17" fillId="0" borderId="0" xfId="0" applyNumberFormat="1" applyFont="1"/>
    <xf numFmtId="166" fontId="12" fillId="0" borderId="0" xfId="1" applyNumberFormat="1" applyFont="1" applyProtection="1">
      <protection locked="0"/>
    </xf>
    <xf numFmtId="166" fontId="17" fillId="0" borderId="0" xfId="0" applyNumberFormat="1" applyFont="1" applyProtection="1">
      <protection locked="0"/>
    </xf>
    <xf numFmtId="171" fontId="12" fillId="0" borderId="0" xfId="0" applyNumberFormat="1" applyFont="1" applyProtection="1">
      <protection locked="0"/>
    </xf>
    <xf numFmtId="43" fontId="12" fillId="0" borderId="0" xfId="2" applyNumberFormat="1" applyFont="1" applyProtection="1">
      <protection locked="0"/>
    </xf>
    <xf numFmtId="16" fontId="15" fillId="0" borderId="58" xfId="0" applyNumberFormat="1" applyFont="1" applyBorder="1" applyAlignment="1">
      <alignment horizontal="center"/>
    </xf>
    <xf numFmtId="166" fontId="12" fillId="0" borderId="0" xfId="1" applyNumberFormat="1" applyFont="1" applyProtection="1"/>
    <xf numFmtId="173" fontId="0" fillId="0" borderId="0" xfId="0" applyNumberFormat="1"/>
    <xf numFmtId="167" fontId="29" fillId="0" borderId="0" xfId="1" applyNumberFormat="1" applyFont="1" applyFill="1" applyBorder="1"/>
    <xf numFmtId="166" fontId="0" fillId="0" borderId="50" xfId="1" applyNumberFormat="1" applyFont="1" applyBorder="1" applyAlignment="1">
      <alignment vertical="center"/>
    </xf>
    <xf numFmtId="170" fontId="0" fillId="24" borderId="56" xfId="0" applyNumberFormat="1" applyFill="1" applyBorder="1" applyAlignment="1">
      <alignment vertical="center"/>
    </xf>
    <xf numFmtId="0" fontId="0" fillId="11" borderId="0" xfId="0" applyFill="1"/>
    <xf numFmtId="15" fontId="2" fillId="0" borderId="0" xfId="0" applyNumberFormat="1" applyFont="1" applyAlignment="1">
      <alignment horizontal="center"/>
    </xf>
    <xf numFmtId="15" fontId="0" fillId="0" borderId="0" xfId="0" applyNumberFormat="1" applyAlignment="1">
      <alignment horizontal="center"/>
    </xf>
    <xf numFmtId="43" fontId="2" fillId="0" borderId="12" xfId="1" applyFont="1" applyBorder="1" applyAlignment="1">
      <alignment horizontal="center"/>
    </xf>
    <xf numFmtId="15" fontId="2" fillId="0" borderId="12" xfId="0" applyNumberFormat="1" applyFont="1" applyBorder="1" applyAlignment="1">
      <alignment horizontal="center"/>
    </xf>
    <xf numFmtId="0" fontId="2" fillId="34" borderId="11" xfId="0" applyFont="1" applyFill="1" applyBorder="1" applyAlignment="1">
      <alignment horizontal="center"/>
    </xf>
    <xf numFmtId="166" fontId="30" fillId="34" borderId="37" xfId="1" applyNumberFormat="1" applyFont="1" applyFill="1" applyBorder="1" applyAlignment="1">
      <alignment horizontal="center"/>
    </xf>
    <xf numFmtId="1" fontId="2" fillId="34" borderId="36" xfId="0" applyNumberFormat="1" applyFont="1" applyFill="1" applyBorder="1" applyAlignment="1">
      <alignment horizontal="center"/>
    </xf>
    <xf numFmtId="1" fontId="2" fillId="34" borderId="36" xfId="0" applyNumberFormat="1" applyFont="1" applyFill="1" applyBorder="1" applyAlignment="1">
      <alignment horizontal="center" vertical="center"/>
    </xf>
    <xf numFmtId="15" fontId="0" fillId="34" borderId="0" xfId="0" applyNumberFormat="1" applyFill="1" applyAlignment="1">
      <alignment horizontal="center"/>
    </xf>
    <xf numFmtId="0" fontId="2" fillId="34" borderId="78" xfId="0" applyFont="1" applyFill="1" applyBorder="1" applyAlignment="1">
      <alignment horizontal="center"/>
    </xf>
    <xf numFmtId="43" fontId="30" fillId="34" borderId="79" xfId="1" applyFont="1" applyFill="1" applyBorder="1" applyAlignment="1">
      <alignment horizontal="center"/>
    </xf>
    <xf numFmtId="2" fontId="2" fillId="34" borderId="7" xfId="0" applyNumberFormat="1" applyFont="1" applyFill="1" applyBorder="1" applyAlignment="1">
      <alignment horizontal="center"/>
    </xf>
    <xf numFmtId="2" fontId="2" fillId="34" borderId="7" xfId="0" applyNumberFormat="1" applyFont="1" applyFill="1" applyBorder="1" applyAlignment="1">
      <alignment horizontal="center" vertical="center"/>
    </xf>
    <xf numFmtId="0" fontId="2" fillId="11" borderId="9" xfId="0" applyFont="1" applyFill="1" applyBorder="1" applyAlignment="1">
      <alignment horizontal="center" vertical="center"/>
    </xf>
    <xf numFmtId="0" fontId="2" fillId="11" borderId="9" xfId="0" applyFont="1" applyFill="1" applyBorder="1" applyAlignment="1">
      <alignment horizontal="center"/>
    </xf>
    <xf numFmtId="43" fontId="30" fillId="11" borderId="9" xfId="1" applyFont="1" applyFill="1" applyBorder="1" applyAlignment="1">
      <alignment horizontal="center"/>
    </xf>
    <xf numFmtId="2" fontId="2" fillId="11" borderId="9" xfId="0" applyNumberFormat="1" applyFont="1" applyFill="1" applyBorder="1" applyAlignment="1">
      <alignment horizontal="center"/>
    </xf>
    <xf numFmtId="2" fontId="2" fillId="11" borderId="9" xfId="0" applyNumberFormat="1" applyFont="1" applyFill="1" applyBorder="1" applyAlignment="1">
      <alignment horizontal="center" vertical="center"/>
    </xf>
    <xf numFmtId="0" fontId="2" fillId="11" borderId="10" xfId="0" applyFont="1" applyFill="1" applyBorder="1" applyAlignment="1">
      <alignment horizontal="center"/>
    </xf>
    <xf numFmtId="43" fontId="30" fillId="11" borderId="10" xfId="1" applyFont="1" applyFill="1" applyBorder="1" applyAlignment="1">
      <alignment horizontal="center"/>
    </xf>
    <xf numFmtId="2" fontId="2" fillId="11" borderId="10" xfId="0" applyNumberFormat="1" applyFont="1" applyFill="1" applyBorder="1" applyAlignment="1">
      <alignment horizontal="center"/>
    </xf>
    <xf numFmtId="2" fontId="2" fillId="11" borderId="10" xfId="0" applyNumberFormat="1" applyFont="1" applyFill="1" applyBorder="1" applyAlignment="1">
      <alignment horizontal="center" vertical="center"/>
    </xf>
    <xf numFmtId="0" fontId="2" fillId="0" borderId="12" xfId="0" applyFont="1" applyBorder="1" applyAlignment="1">
      <alignment horizontal="center" vertical="center"/>
    </xf>
    <xf numFmtId="0" fontId="2" fillId="0" borderId="11" xfId="0" applyFont="1" applyBorder="1" applyAlignment="1">
      <alignment horizontal="center"/>
    </xf>
    <xf numFmtId="166" fontId="30" fillId="12" borderId="11" xfId="1" applyNumberFormat="1" applyFont="1" applyFill="1" applyBorder="1" applyAlignment="1">
      <alignment horizontal="center"/>
    </xf>
    <xf numFmtId="0" fontId="0" fillId="0" borderId="11" xfId="0" applyBorder="1" applyAlignment="1">
      <alignment horizontal="center"/>
    </xf>
    <xf numFmtId="0" fontId="0" fillId="0" borderId="0" xfId="0" applyAlignment="1">
      <alignment horizontal="center"/>
    </xf>
    <xf numFmtId="0" fontId="2" fillId="0" borderId="12" xfId="0" applyFont="1" applyBorder="1" applyAlignment="1">
      <alignment horizontal="center"/>
    </xf>
    <xf numFmtId="43" fontId="30" fillId="12" borderId="12" xfId="1" applyFont="1" applyFill="1" applyBorder="1" applyAlignment="1">
      <alignment horizontal="center"/>
    </xf>
    <xf numFmtId="2" fontId="0" fillId="0" borderId="12" xfId="1" applyNumberFormat="1" applyFont="1" applyBorder="1" applyAlignment="1">
      <alignment horizontal="center"/>
    </xf>
    <xf numFmtId="1" fontId="2" fillId="11" borderId="12" xfId="0" applyNumberFormat="1" applyFont="1" applyFill="1" applyBorder="1" applyAlignment="1">
      <alignment horizontal="center"/>
    </xf>
    <xf numFmtId="43" fontId="30" fillId="12" borderId="12" xfId="1" applyFont="1" applyFill="1" applyBorder="1" applyAlignment="1">
      <alignment horizontal="center" vertical="center"/>
    </xf>
    <xf numFmtId="2" fontId="2" fillId="11" borderId="12" xfId="0" applyNumberFormat="1" applyFont="1" applyFill="1" applyBorder="1" applyAlignment="1">
      <alignment horizontal="center"/>
    </xf>
    <xf numFmtId="43" fontId="30" fillId="12" borderId="11" xfId="1" applyFont="1" applyFill="1" applyBorder="1" applyAlignment="1">
      <alignment horizontal="center"/>
    </xf>
    <xf numFmtId="0" fontId="0" fillId="0" borderId="11" xfId="0" applyBorder="1" applyAlignment="1">
      <alignment horizontal="center" vertical="center"/>
    </xf>
    <xf numFmtId="0" fontId="0" fillId="11" borderId="11" xfId="0" applyFill="1" applyBorder="1" applyAlignment="1">
      <alignment horizontal="center"/>
    </xf>
    <xf numFmtId="2" fontId="0" fillId="0" borderId="11" xfId="0" applyNumberFormat="1" applyBorder="1" applyAlignment="1">
      <alignment horizontal="center"/>
    </xf>
    <xf numFmtId="43" fontId="0" fillId="0" borderId="12" xfId="1" applyFont="1" applyBorder="1" applyAlignment="1">
      <alignment horizontal="center"/>
    </xf>
    <xf numFmtId="43" fontId="0" fillId="0" borderId="12" xfId="1" applyFont="1" applyBorder="1" applyAlignment="1">
      <alignment horizontal="center" vertical="center"/>
    </xf>
    <xf numFmtId="43" fontId="0" fillId="11" borderId="12" xfId="1" applyFont="1" applyFill="1" applyBorder="1" applyAlignment="1">
      <alignment horizontal="center"/>
    </xf>
    <xf numFmtId="0" fontId="0" fillId="0" borderId="12" xfId="0" applyBorder="1" applyAlignment="1">
      <alignment horizontal="center"/>
    </xf>
    <xf numFmtId="0" fontId="0" fillId="11" borderId="12" xfId="0" applyFill="1" applyBorder="1" applyAlignment="1">
      <alignment horizontal="center"/>
    </xf>
    <xf numFmtId="2" fontId="0" fillId="0" borderId="12" xfId="0" applyNumberFormat="1" applyBorder="1" applyAlignment="1">
      <alignment horizontal="center"/>
    </xf>
    <xf numFmtId="2" fontId="0" fillId="0" borderId="12" xfId="1" applyNumberFormat="1" applyFont="1" applyBorder="1" applyAlignment="1">
      <alignment horizontal="center" vertical="center"/>
    </xf>
    <xf numFmtId="2" fontId="0" fillId="11" borderId="12" xfId="1" applyNumberFormat="1" applyFont="1" applyFill="1" applyBorder="1" applyAlignment="1">
      <alignment horizontal="center" vertical="center"/>
    </xf>
    <xf numFmtId="0" fontId="0" fillId="0" borderId="0" xfId="0" applyAlignment="1">
      <alignment horizontal="center" vertical="center"/>
    </xf>
    <xf numFmtId="2" fontId="0" fillId="11" borderId="12" xfId="1" applyNumberFormat="1" applyFont="1" applyFill="1" applyBorder="1" applyAlignment="1">
      <alignment horizontal="center"/>
    </xf>
    <xf numFmtId="2" fontId="0" fillId="11" borderId="12" xfId="0" applyNumberFormat="1" applyFill="1" applyBorder="1" applyAlignment="1">
      <alignment horizontal="center"/>
    </xf>
    <xf numFmtId="0" fontId="2" fillId="34" borderId="12" xfId="0" applyFont="1" applyFill="1" applyBorder="1" applyAlignment="1">
      <alignment horizontal="center" vertical="center"/>
    </xf>
    <xf numFmtId="0" fontId="2" fillId="34" borderId="12" xfId="0" applyFont="1" applyFill="1" applyBorder="1" applyAlignment="1">
      <alignment horizontal="center"/>
    </xf>
    <xf numFmtId="43" fontId="30" fillId="34" borderId="11" xfId="1" applyFont="1" applyFill="1" applyBorder="1" applyAlignment="1">
      <alignment horizontal="center"/>
    </xf>
    <xf numFmtId="1" fontId="2" fillId="34" borderId="12" xfId="0" applyNumberFormat="1" applyFont="1" applyFill="1" applyBorder="1" applyAlignment="1">
      <alignment horizontal="center"/>
    </xf>
    <xf numFmtId="0" fontId="0" fillId="34" borderId="0" xfId="0" applyFill="1" applyAlignment="1">
      <alignment horizontal="center"/>
    </xf>
    <xf numFmtId="43" fontId="30" fillId="34" borderId="12" xfId="1" applyFont="1" applyFill="1" applyBorder="1" applyAlignment="1">
      <alignment horizontal="center" vertical="center"/>
    </xf>
    <xf numFmtId="2" fontId="2" fillId="34" borderId="12" xfId="0" applyNumberFormat="1" applyFont="1" applyFill="1" applyBorder="1" applyAlignment="1">
      <alignment horizontal="center"/>
    </xf>
    <xf numFmtId="2" fontId="2" fillId="34" borderId="12" xfId="0" applyNumberFormat="1" applyFont="1" applyFill="1" applyBorder="1" applyAlignment="1">
      <alignment horizontal="center" vertical="center"/>
    </xf>
    <xf numFmtId="0" fontId="31" fillId="11" borderId="12" xfId="0" applyFont="1" applyFill="1" applyBorder="1" applyAlignment="1">
      <alignment horizontal="center"/>
    </xf>
    <xf numFmtId="43" fontId="30" fillId="11" borderId="11" xfId="1" applyFont="1" applyFill="1" applyBorder="1" applyAlignment="1">
      <alignment horizontal="center"/>
    </xf>
    <xf numFmtId="0" fontId="32" fillId="11" borderId="12" xfId="0" applyFont="1" applyFill="1" applyBorder="1" applyAlignment="1">
      <alignment horizontal="center"/>
    </xf>
    <xf numFmtId="2" fontId="32" fillId="11" borderId="12" xfId="0" applyNumberFormat="1" applyFont="1" applyFill="1" applyBorder="1" applyAlignment="1">
      <alignment horizontal="center"/>
    </xf>
    <xf numFmtId="0" fontId="32" fillId="11" borderId="0" xfId="0" applyFont="1" applyFill="1" applyAlignment="1">
      <alignment horizontal="center"/>
    </xf>
    <xf numFmtId="43" fontId="30" fillId="11" borderId="12" xfId="1" applyFont="1" applyFill="1" applyBorder="1" applyAlignment="1">
      <alignment horizontal="center" vertical="center"/>
    </xf>
    <xf numFmtId="2" fontId="32" fillId="11" borderId="12" xfId="0" applyNumberFormat="1" applyFont="1" applyFill="1" applyBorder="1" applyAlignment="1">
      <alignment horizontal="center" vertical="center"/>
    </xf>
    <xf numFmtId="1" fontId="2" fillId="0" borderId="12" xfId="0" applyNumberFormat="1" applyFont="1" applyBorder="1" applyAlignment="1">
      <alignment horizontal="center"/>
    </xf>
    <xf numFmtId="1" fontId="0" fillId="0" borderId="12" xfId="0" applyNumberFormat="1" applyBorder="1" applyAlignment="1">
      <alignment horizontal="center"/>
    </xf>
    <xf numFmtId="1" fontId="0" fillId="0" borderId="0" xfId="0" applyNumberFormat="1" applyAlignment="1">
      <alignment horizontal="center"/>
    </xf>
    <xf numFmtId="0" fontId="2" fillId="0" borderId="80" xfId="0" applyFont="1" applyBorder="1" applyAlignment="1">
      <alignment horizontal="center" vertical="center"/>
    </xf>
    <xf numFmtId="0" fontId="2" fillId="11" borderId="12" xfId="0" applyFont="1" applyFill="1" applyBorder="1" applyAlignment="1">
      <alignment horizontal="center"/>
    </xf>
    <xf numFmtId="0" fontId="0" fillId="11" borderId="0" xfId="0" applyFill="1" applyAlignment="1">
      <alignment horizontal="center"/>
    </xf>
    <xf numFmtId="166" fontId="30" fillId="12" borderId="11" xfId="1" applyNumberFormat="1" applyFont="1" applyFill="1" applyBorder="1" applyAlignment="1">
      <alignment horizontal="center" vertical="center"/>
    </xf>
    <xf numFmtId="1" fontId="0" fillId="11" borderId="12" xfId="0" applyNumberFormat="1" applyFill="1" applyBorder="1" applyAlignment="1">
      <alignment horizontal="center"/>
    </xf>
    <xf numFmtId="43" fontId="30" fillId="12" borderId="11" xfId="1" applyFont="1" applyFill="1" applyBorder="1" applyAlignment="1">
      <alignment horizontal="center" vertical="center"/>
    </xf>
    <xf numFmtId="1" fontId="30" fillId="12" borderId="11" xfId="1" applyNumberFormat="1" applyFont="1" applyFill="1" applyBorder="1" applyAlignment="1">
      <alignment horizontal="right"/>
    </xf>
    <xf numFmtId="166" fontId="30" fillId="34" borderId="11" xfId="1" applyNumberFormat="1" applyFont="1" applyFill="1" applyBorder="1" applyAlignment="1">
      <alignment horizontal="center"/>
    </xf>
    <xf numFmtId="43" fontId="30" fillId="34" borderId="12" xfId="1" applyFont="1" applyFill="1" applyBorder="1" applyAlignment="1">
      <alignment horizontal="center"/>
    </xf>
    <xf numFmtId="0" fontId="2" fillId="11" borderId="80" xfId="0" applyFont="1" applyFill="1" applyBorder="1" applyAlignment="1">
      <alignment horizontal="center"/>
    </xf>
    <xf numFmtId="43" fontId="30" fillId="11" borderId="12" xfId="1" applyFont="1" applyFill="1" applyBorder="1" applyAlignment="1">
      <alignment horizontal="center"/>
    </xf>
    <xf numFmtId="166" fontId="30" fillId="11" borderId="11" xfId="1" applyNumberFormat="1" applyFont="1" applyFill="1" applyBorder="1" applyAlignment="1">
      <alignment horizontal="center"/>
    </xf>
    <xf numFmtId="1" fontId="30" fillId="11" borderId="11" xfId="1" applyNumberFormat="1" applyFont="1" applyFill="1" applyBorder="1" applyAlignment="1">
      <alignment horizontal="right"/>
    </xf>
    <xf numFmtId="1" fontId="0" fillId="11" borderId="0" xfId="0" applyNumberFormat="1" applyFill="1" applyAlignment="1">
      <alignment horizontal="center"/>
    </xf>
    <xf numFmtId="0" fontId="2" fillId="11" borderId="14" xfId="0" applyFont="1" applyFill="1" applyBorder="1" applyAlignment="1">
      <alignment horizontal="center" vertical="center"/>
    </xf>
    <xf numFmtId="1" fontId="0" fillId="34" borderId="0" xfId="0" applyNumberFormat="1" applyFill="1" applyAlignment="1">
      <alignment horizontal="center"/>
    </xf>
    <xf numFmtId="2" fontId="0" fillId="34" borderId="0" xfId="0" applyNumberFormat="1" applyFill="1" applyAlignment="1">
      <alignment horizontal="center"/>
    </xf>
    <xf numFmtId="43" fontId="30" fillId="12" borderId="11" xfId="1" applyFont="1" applyFill="1" applyBorder="1" applyAlignment="1">
      <alignment vertical="center"/>
    </xf>
    <xf numFmtId="43" fontId="2" fillId="0" borderId="12" xfId="0" applyNumberFormat="1" applyFont="1" applyBorder="1" applyAlignment="1">
      <alignment vertical="center"/>
    </xf>
    <xf numFmtId="166" fontId="30" fillId="12" borderId="11" xfId="1" applyNumberFormat="1" applyFont="1" applyFill="1" applyBorder="1" applyAlignment="1">
      <alignment vertical="center"/>
    </xf>
    <xf numFmtId="2" fontId="2" fillId="0" borderId="12" xfId="0" applyNumberFormat="1" applyFont="1" applyBorder="1" applyAlignment="1">
      <alignment horizontal="center"/>
    </xf>
    <xf numFmtId="0" fontId="2" fillId="9" borderId="12" xfId="0" applyFont="1" applyFill="1" applyBorder="1" applyAlignment="1">
      <alignment horizontal="center"/>
    </xf>
    <xf numFmtId="166" fontId="30" fillId="9" borderId="11" xfId="1" applyNumberFormat="1" applyFont="1" applyFill="1" applyBorder="1" applyAlignment="1">
      <alignment vertical="center"/>
    </xf>
    <xf numFmtId="0" fontId="2" fillId="9" borderId="11" xfId="0" applyFont="1" applyFill="1" applyBorder="1" applyAlignment="1">
      <alignment horizontal="center"/>
    </xf>
    <xf numFmtId="43" fontId="2" fillId="9" borderId="12" xfId="0" applyNumberFormat="1" applyFont="1" applyFill="1" applyBorder="1" applyAlignment="1">
      <alignment vertical="center"/>
    </xf>
    <xf numFmtId="2" fontId="2" fillId="9" borderId="12" xfId="0" applyNumberFormat="1" applyFont="1" applyFill="1" applyBorder="1" applyAlignment="1">
      <alignment horizontal="center"/>
    </xf>
    <xf numFmtId="166" fontId="30" fillId="9" borderId="37" xfId="1" applyNumberFormat="1" applyFont="1" applyFill="1" applyBorder="1" applyAlignment="1">
      <alignment horizontal="center"/>
    </xf>
    <xf numFmtId="1" fontId="2" fillId="9" borderId="36" xfId="0" applyNumberFormat="1" applyFont="1" applyFill="1" applyBorder="1" applyAlignment="1">
      <alignment horizontal="center"/>
    </xf>
    <xf numFmtId="1" fontId="2" fillId="11" borderId="36" xfId="0" applyNumberFormat="1" applyFont="1" applyFill="1" applyBorder="1" applyAlignment="1">
      <alignment horizontal="center"/>
    </xf>
    <xf numFmtId="0" fontId="2" fillId="9" borderId="78" xfId="0" applyFont="1" applyFill="1" applyBorder="1" applyAlignment="1">
      <alignment horizontal="center"/>
    </xf>
    <xf numFmtId="43" fontId="30" fillId="9" borderId="79" xfId="1" applyFont="1" applyFill="1" applyBorder="1" applyAlignment="1">
      <alignment horizontal="center"/>
    </xf>
    <xf numFmtId="2" fontId="2" fillId="9" borderId="7" xfId="0" applyNumberFormat="1" applyFont="1" applyFill="1" applyBorder="1" applyAlignment="1">
      <alignment horizontal="center"/>
    </xf>
    <xf numFmtId="2" fontId="2" fillId="11" borderId="7" xfId="0" applyNumberFormat="1" applyFont="1" applyFill="1" applyBorder="1" applyAlignment="1">
      <alignment horizontal="center"/>
    </xf>
    <xf numFmtId="43" fontId="0" fillId="0" borderId="0" xfId="1" applyFont="1" applyAlignment="1">
      <alignment horizontal="center"/>
    </xf>
    <xf numFmtId="2" fontId="0" fillId="0" borderId="0" xfId="0" applyNumberFormat="1" applyAlignment="1">
      <alignment horizontal="center"/>
    </xf>
    <xf numFmtId="0" fontId="0" fillId="0" borderId="12" xfId="0" applyBorder="1" applyAlignment="1">
      <alignment horizontal="center" vertical="center"/>
    </xf>
    <xf numFmtId="0" fontId="0" fillId="11" borderId="12" xfId="0" applyFill="1" applyBorder="1" applyAlignment="1">
      <alignment horizontal="center" vertical="center"/>
    </xf>
    <xf numFmtId="2" fontId="0" fillId="0" borderId="12" xfId="0" applyNumberFormat="1" applyBorder="1" applyAlignment="1">
      <alignment horizontal="center" vertical="center"/>
    </xf>
    <xf numFmtId="1" fontId="2" fillId="12" borderId="12" xfId="0" applyNumberFormat="1" applyFont="1" applyFill="1" applyBorder="1" applyAlignment="1">
      <alignment horizontal="center" vertical="center"/>
    </xf>
    <xf numFmtId="1" fontId="2" fillId="11" borderId="12" xfId="0" applyNumberFormat="1" applyFont="1" applyFill="1" applyBorder="1" applyAlignment="1">
      <alignment horizontal="center" vertical="center"/>
    </xf>
    <xf numFmtId="2" fontId="2" fillId="12" borderId="12" xfId="0" applyNumberFormat="1" applyFont="1" applyFill="1" applyBorder="1" applyAlignment="1">
      <alignment horizontal="center" vertical="center"/>
    </xf>
    <xf numFmtId="2" fontId="2" fillId="11" borderId="12" xfId="0" applyNumberFormat="1" applyFont="1" applyFill="1" applyBorder="1" applyAlignment="1">
      <alignment horizontal="center" vertical="center"/>
    </xf>
    <xf numFmtId="0" fontId="2" fillId="0" borderId="81" xfId="0" applyFont="1" applyBorder="1"/>
    <xf numFmtId="0" fontId="0" fillId="0" borderId="80" xfId="0" applyBorder="1" applyAlignment="1">
      <alignment horizontal="center" vertical="center"/>
    </xf>
    <xf numFmtId="0" fontId="0" fillId="11" borderId="80" xfId="0" applyFill="1" applyBorder="1" applyAlignment="1">
      <alignment horizontal="center" vertical="center"/>
    </xf>
    <xf numFmtId="2" fontId="0" fillId="0" borderId="80" xfId="0" applyNumberFormat="1" applyBorder="1" applyAlignment="1">
      <alignment horizontal="center" vertical="center"/>
    </xf>
    <xf numFmtId="0" fontId="0" fillId="0" borderId="81" xfId="0" applyBorder="1"/>
    <xf numFmtId="0" fontId="0" fillId="0" borderId="81" xfId="0" applyBorder="1" applyAlignment="1">
      <alignment vertical="center"/>
    </xf>
    <xf numFmtId="0" fontId="0" fillId="11" borderId="81" xfId="0" applyFill="1" applyBorder="1"/>
    <xf numFmtId="2" fontId="0" fillId="0" borderId="81" xfId="0" applyNumberFormat="1" applyBorder="1"/>
    <xf numFmtId="0" fontId="2" fillId="0" borderId="85" xfId="0" applyFont="1" applyBorder="1" applyAlignment="1">
      <alignment horizontal="center" vertical="center"/>
    </xf>
    <xf numFmtId="2" fontId="2" fillId="12" borderId="11" xfId="0" applyNumberFormat="1" applyFont="1" applyFill="1" applyBorder="1" applyAlignment="1">
      <alignment horizontal="center" vertical="center"/>
    </xf>
    <xf numFmtId="2" fontId="2" fillId="11" borderId="11" xfId="0" applyNumberFormat="1" applyFont="1" applyFill="1" applyBorder="1" applyAlignment="1">
      <alignment horizontal="center" vertical="center"/>
    </xf>
    <xf numFmtId="0" fontId="2" fillId="0" borderId="81" xfId="0" applyFont="1" applyBorder="1" applyAlignment="1">
      <alignment horizontal="center" vertical="center"/>
    </xf>
    <xf numFmtId="0" fontId="2" fillId="0" borderId="13" xfId="0" applyFont="1" applyBorder="1" applyAlignment="1">
      <alignment horizontal="center" vertical="center"/>
    </xf>
    <xf numFmtId="0" fontId="2" fillId="0" borderId="23" xfId="0" applyFont="1" applyBorder="1" applyAlignment="1">
      <alignment horizontal="center" vertical="center"/>
    </xf>
    <xf numFmtId="43" fontId="0" fillId="11" borderId="12" xfId="1" applyFont="1" applyFill="1" applyBorder="1" applyAlignment="1">
      <alignment horizontal="center" vertical="center"/>
    </xf>
    <xf numFmtId="0" fontId="2" fillId="0" borderId="90" xfId="0" applyFont="1" applyBorder="1" applyAlignment="1">
      <alignment horizontal="center" vertical="center"/>
    </xf>
    <xf numFmtId="43" fontId="0" fillId="0" borderId="80" xfId="1" applyFont="1" applyBorder="1" applyAlignment="1">
      <alignment horizontal="center" vertical="center"/>
    </xf>
    <xf numFmtId="43" fontId="0" fillId="11" borderId="80" xfId="1" applyFont="1" applyFill="1" applyBorder="1" applyAlignment="1">
      <alignment horizontal="center" vertical="center"/>
    </xf>
    <xf numFmtId="2" fontId="0" fillId="0" borderId="80" xfId="1" applyNumberFormat="1" applyFont="1" applyBorder="1" applyAlignment="1">
      <alignment horizontal="center" vertical="center"/>
    </xf>
    <xf numFmtId="0" fontId="2" fillId="0" borderId="92" xfId="0" applyFont="1" applyBorder="1" applyAlignment="1">
      <alignment horizontal="center" vertical="center"/>
    </xf>
    <xf numFmtId="43" fontId="30" fillId="12" borderId="9" xfId="1" applyFont="1" applyFill="1" applyBorder="1" applyAlignment="1">
      <alignment horizontal="center"/>
    </xf>
    <xf numFmtId="43" fontId="0" fillId="0" borderId="92" xfId="1" applyFont="1" applyBorder="1" applyAlignment="1">
      <alignment horizontal="center" vertical="center"/>
    </xf>
    <xf numFmtId="43" fontId="0" fillId="11" borderId="92" xfId="1" applyFont="1" applyFill="1" applyBorder="1" applyAlignment="1">
      <alignment horizontal="center" vertical="center"/>
    </xf>
    <xf numFmtId="2" fontId="0" fillId="0" borderId="92" xfId="1" applyNumberFormat="1" applyFont="1" applyBorder="1" applyAlignment="1">
      <alignment horizontal="center" vertical="center"/>
    </xf>
    <xf numFmtId="0" fontId="2" fillId="0" borderId="94" xfId="0" applyFont="1" applyBorder="1" applyAlignment="1">
      <alignment horizontal="center"/>
    </xf>
    <xf numFmtId="0" fontId="0" fillId="0" borderId="92" xfId="0" applyBorder="1"/>
    <xf numFmtId="0" fontId="0" fillId="0" borderId="92" xfId="0" applyBorder="1" applyAlignment="1">
      <alignment vertical="center"/>
    </xf>
    <xf numFmtId="0" fontId="0" fillId="11" borderId="92" xfId="0" applyFill="1" applyBorder="1"/>
    <xf numFmtId="2" fontId="0" fillId="0" borderId="92" xfId="0" applyNumberFormat="1" applyBorder="1"/>
    <xf numFmtId="0" fontId="2" fillId="0" borderId="92" xfId="0" applyFont="1" applyBorder="1"/>
    <xf numFmtId="43" fontId="30" fillId="12" borderId="96" xfId="1" applyFont="1" applyFill="1" applyBorder="1" applyAlignment="1">
      <alignment horizontal="center"/>
    </xf>
    <xf numFmtId="43" fontId="0" fillId="0" borderId="11" xfId="1" applyFont="1" applyBorder="1" applyAlignment="1">
      <alignment horizontal="center" vertical="center"/>
    </xf>
    <xf numFmtId="43" fontId="0" fillId="11" borderId="11" xfId="1" applyFont="1" applyFill="1" applyBorder="1" applyAlignment="1">
      <alignment horizontal="center" vertical="center"/>
    </xf>
    <xf numFmtId="2" fontId="0" fillId="0" borderId="11" xfId="1" applyNumberFormat="1" applyFont="1" applyBorder="1" applyAlignment="1">
      <alignment horizontal="center" vertical="center"/>
    </xf>
    <xf numFmtId="2" fontId="2" fillId="12" borderId="80" xfId="0" applyNumberFormat="1" applyFont="1" applyFill="1" applyBorder="1" applyAlignment="1">
      <alignment horizontal="center" vertical="center"/>
    </xf>
    <xf numFmtId="2" fontId="2" fillId="11" borderId="80" xfId="0" applyNumberFormat="1" applyFont="1" applyFill="1" applyBorder="1" applyAlignment="1">
      <alignment horizontal="center" vertical="center"/>
    </xf>
    <xf numFmtId="43" fontId="2" fillId="11" borderId="9" xfId="0" applyNumberFormat="1" applyFont="1" applyFill="1" applyBorder="1" applyAlignment="1">
      <alignment horizontal="center" vertical="center"/>
    </xf>
    <xf numFmtId="43" fontId="30" fillId="9" borderId="37" xfId="1" applyFont="1" applyFill="1" applyBorder="1" applyAlignment="1">
      <alignment horizontal="center"/>
    </xf>
    <xf numFmtId="166" fontId="30" fillId="9" borderId="37" xfId="1" applyNumberFormat="1" applyFont="1" applyFill="1" applyBorder="1" applyAlignment="1">
      <alignment horizontal="center" vertical="center"/>
    </xf>
    <xf numFmtId="166" fontId="30" fillId="11" borderId="37" xfId="1" applyNumberFormat="1" applyFont="1" applyFill="1" applyBorder="1" applyAlignment="1">
      <alignment horizontal="center"/>
    </xf>
    <xf numFmtId="2" fontId="30" fillId="9" borderId="37" xfId="1" applyNumberFormat="1" applyFont="1" applyFill="1" applyBorder="1" applyAlignment="1">
      <alignment horizontal="center"/>
    </xf>
    <xf numFmtId="2" fontId="2" fillId="9" borderId="7" xfId="0" applyNumberFormat="1" applyFont="1" applyFill="1" applyBorder="1" applyAlignment="1">
      <alignment horizontal="center" vertical="center"/>
    </xf>
    <xf numFmtId="0" fontId="2" fillId="0" borderId="0" xfId="0" applyFont="1"/>
    <xf numFmtId="0" fontId="2" fillId="35" borderId="0" xfId="0" applyFont="1" applyFill="1"/>
    <xf numFmtId="0" fontId="33" fillId="0" borderId="0" xfId="0" applyFont="1" applyAlignment="1">
      <alignment horizontal="center"/>
    </xf>
    <xf numFmtId="43" fontId="2" fillId="0" borderId="0" xfId="1" applyFont="1"/>
    <xf numFmtId="0" fontId="2" fillId="0" borderId="0" xfId="0" applyFont="1" applyAlignment="1">
      <alignment horizontal="center"/>
    </xf>
    <xf numFmtId="17" fontId="2" fillId="0" borderId="0" xfId="0" applyNumberFormat="1" applyFont="1"/>
    <xf numFmtId="17" fontId="2" fillId="35" borderId="0" xfId="0" applyNumberFormat="1" applyFont="1" applyFill="1"/>
    <xf numFmtId="167" fontId="2" fillId="0" borderId="0" xfId="1" applyNumberFormat="1" applyFont="1"/>
    <xf numFmtId="167" fontId="1" fillId="0" borderId="0" xfId="1" applyNumberFormat="1" applyFont="1"/>
    <xf numFmtId="167" fontId="2" fillId="35" borderId="0" xfId="1" applyNumberFormat="1" applyFont="1" applyFill="1"/>
    <xf numFmtId="43" fontId="1" fillId="0" borderId="0" xfId="1" applyFont="1"/>
    <xf numFmtId="43" fontId="2" fillId="35" borderId="0" xfId="1" applyFont="1" applyFill="1"/>
    <xf numFmtId="9" fontId="2" fillId="0" borderId="0" xfId="2" applyFont="1" applyAlignment="1">
      <alignment horizontal="center"/>
    </xf>
    <xf numFmtId="174" fontId="2" fillId="0" borderId="0" xfId="1" applyNumberFormat="1" applyFont="1"/>
    <xf numFmtId="174" fontId="1" fillId="0" borderId="0" xfId="1" applyNumberFormat="1" applyFont="1"/>
    <xf numFmtId="174" fontId="2" fillId="35" borderId="0" xfId="1" applyNumberFormat="1" applyFont="1" applyFill="1"/>
    <xf numFmtId="0" fontId="0" fillId="36" borderId="0" xfId="0" applyFill="1"/>
    <xf numFmtId="167" fontId="0" fillId="0" borderId="0" xfId="1" applyNumberFormat="1" applyFont="1" applyFill="1"/>
    <xf numFmtId="167" fontId="0" fillId="0" borderId="0" xfId="1" applyNumberFormat="1" applyFont="1"/>
    <xf numFmtId="167" fontId="1" fillId="35" borderId="0" xfId="1" applyNumberFormat="1" applyFont="1" applyFill="1"/>
    <xf numFmtId="2" fontId="2" fillId="10" borderId="0" xfId="0" applyNumberFormat="1" applyFont="1" applyFill="1" applyAlignment="1">
      <alignment horizontal="center"/>
    </xf>
    <xf numFmtId="43" fontId="1" fillId="35" borderId="0" xfId="1" applyFont="1" applyFill="1"/>
    <xf numFmtId="2" fontId="2" fillId="0" borderId="0" xfId="0" applyNumberFormat="1" applyFont="1" applyAlignment="1">
      <alignment horizontal="center"/>
    </xf>
    <xf numFmtId="165" fontId="0" fillId="0" borderId="0" xfId="0" applyNumberFormat="1"/>
    <xf numFmtId="165" fontId="0" fillId="35" borderId="0" xfId="0" applyNumberFormat="1" applyFill="1"/>
    <xf numFmtId="174" fontId="0" fillId="0" borderId="0" xfId="1" applyNumberFormat="1" applyFont="1" applyFill="1"/>
    <xf numFmtId="174" fontId="0" fillId="0" borderId="0" xfId="1" applyNumberFormat="1" applyFont="1"/>
    <xf numFmtId="174" fontId="0" fillId="35" borderId="0" xfId="1" applyNumberFormat="1" applyFont="1" applyFill="1"/>
    <xf numFmtId="0" fontId="0" fillId="35" borderId="0" xfId="0" applyFill="1"/>
    <xf numFmtId="2" fontId="2" fillId="0" borderId="0" xfId="1" applyNumberFormat="1" applyFont="1" applyAlignment="1">
      <alignment horizontal="center"/>
    </xf>
    <xf numFmtId="0" fontId="7" fillId="0" borderId="28" xfId="0" applyFont="1" applyBorder="1"/>
    <xf numFmtId="0" fontId="0" fillId="0" borderId="1" xfId="0" applyBorder="1"/>
    <xf numFmtId="43" fontId="0" fillId="0" borderId="1" xfId="0" applyNumberFormat="1" applyBorder="1"/>
    <xf numFmtId="0" fontId="0" fillId="0" borderId="69" xfId="0" applyBorder="1"/>
    <xf numFmtId="0" fontId="2" fillId="14" borderId="2" xfId="0" applyFont="1" applyFill="1" applyBorder="1" applyAlignment="1">
      <alignment horizontal="center" vertical="center" wrapText="1"/>
    </xf>
    <xf numFmtId="0" fontId="2" fillId="14" borderId="3" xfId="0" applyFont="1" applyFill="1" applyBorder="1" applyAlignment="1">
      <alignment horizontal="center" vertical="center" wrapText="1"/>
    </xf>
    <xf numFmtId="0" fontId="2" fillId="14" borderId="4" xfId="0" applyFont="1" applyFill="1" applyBorder="1" applyAlignment="1">
      <alignment horizontal="center" vertical="center" wrapText="1"/>
    </xf>
    <xf numFmtId="0" fontId="0" fillId="0" borderId="4" xfId="0" applyBorder="1"/>
    <xf numFmtId="166" fontId="0" fillId="0" borderId="1" xfId="1" applyNumberFormat="1" applyFont="1" applyBorder="1"/>
    <xf numFmtId="0" fontId="16" fillId="0" borderId="0" xfId="0" applyFont="1" applyAlignment="1">
      <alignment horizontal="center"/>
    </xf>
    <xf numFmtId="0" fontId="36" fillId="37" borderId="53" xfId="0" applyFont="1" applyFill="1" applyBorder="1" applyAlignment="1">
      <alignment vertical="center"/>
    </xf>
    <xf numFmtId="0" fontId="36" fillId="0" borderId="0" xfId="0" applyFont="1"/>
    <xf numFmtId="0" fontId="36" fillId="37" borderId="54" xfId="0" applyFont="1" applyFill="1" applyBorder="1" applyAlignment="1">
      <alignment vertical="center"/>
    </xf>
    <xf numFmtId="0" fontId="36" fillId="37" borderId="20" xfId="0" applyFont="1" applyFill="1" applyBorder="1" applyAlignment="1">
      <alignment vertical="center"/>
    </xf>
    <xf numFmtId="0" fontId="37" fillId="0" borderId="0" xfId="0" applyFont="1"/>
    <xf numFmtId="0" fontId="16" fillId="0" borderId="53" xfId="0" applyFont="1" applyBorder="1"/>
    <xf numFmtId="0" fontId="16" fillId="0" borderId="54" xfId="0" applyFont="1" applyBorder="1"/>
    <xf numFmtId="0" fontId="16" fillId="0" borderId="20" xfId="0" applyFont="1" applyBorder="1"/>
    <xf numFmtId="0" fontId="16" fillId="0" borderId="51" xfId="0" applyFont="1" applyBorder="1" applyAlignment="1">
      <alignment horizontal="left" vertical="center"/>
    </xf>
    <xf numFmtId="0" fontId="16" fillId="0" borderId="52" xfId="0" applyFont="1" applyBorder="1"/>
    <xf numFmtId="17" fontId="15" fillId="0" borderId="0" xfId="0" applyNumberFormat="1" applyFont="1" applyAlignment="1">
      <alignment horizontal="left"/>
    </xf>
    <xf numFmtId="0" fontId="13" fillId="37" borderId="0" xfId="0" applyFont="1" applyFill="1" applyAlignment="1">
      <alignment horizontal="center" vertical="center"/>
    </xf>
    <xf numFmtId="0" fontId="15" fillId="0" borderId="0" xfId="0" applyFont="1" applyAlignment="1">
      <alignment horizontal="left"/>
    </xf>
    <xf numFmtId="0" fontId="16" fillId="0" borderId="55" xfId="0" applyFont="1" applyBorder="1" applyAlignment="1">
      <alignment horizontal="left" vertical="center"/>
    </xf>
    <xf numFmtId="0" fontId="15" fillId="0" borderId="56" xfId="0" applyFont="1" applyBorder="1"/>
    <xf numFmtId="0" fontId="16" fillId="0" borderId="57" xfId="0" applyFont="1" applyBorder="1"/>
    <xf numFmtId="0" fontId="38" fillId="0" borderId="0" xfId="0" applyFont="1"/>
    <xf numFmtId="0" fontId="38" fillId="0" borderId="0" xfId="0" applyFont="1" applyAlignment="1">
      <alignment horizontal="center"/>
    </xf>
    <xf numFmtId="0" fontId="38" fillId="0" borderId="0" xfId="0" applyFont="1" applyAlignment="1">
      <alignment horizontal="left" vertical="center"/>
    </xf>
    <xf numFmtId="0" fontId="15" fillId="20" borderId="47" xfId="0" applyFont="1" applyFill="1" applyBorder="1" applyAlignment="1">
      <alignment horizontal="center"/>
    </xf>
    <xf numFmtId="0" fontId="15" fillId="0" borderId="0" xfId="0" applyFont="1" applyAlignment="1">
      <alignment horizontal="right"/>
    </xf>
    <xf numFmtId="0" fontId="15" fillId="0" borderId="27" xfId="0" applyFont="1" applyBorder="1" applyAlignment="1">
      <alignment horizontal="center"/>
    </xf>
    <xf numFmtId="0" fontId="15" fillId="0" borderId="58" xfId="0" applyFont="1" applyBorder="1" applyAlignment="1">
      <alignment horizontal="center"/>
    </xf>
    <xf numFmtId="0" fontId="15" fillId="0" borderId="68" xfId="0" applyFont="1" applyBorder="1" applyAlignment="1">
      <alignment horizontal="center"/>
    </xf>
    <xf numFmtId="0" fontId="15" fillId="0" borderId="20" xfId="0" applyFont="1" applyBorder="1" applyAlignment="1">
      <alignment horizontal="center"/>
    </xf>
    <xf numFmtId="0" fontId="15" fillId="20" borderId="50" xfId="0" applyFont="1" applyFill="1" applyBorder="1"/>
    <xf numFmtId="3" fontId="15" fillId="21" borderId="15" xfId="0" applyNumberFormat="1" applyFont="1" applyFill="1" applyBorder="1"/>
    <xf numFmtId="3" fontId="21" fillId="39" borderId="58" xfId="0" applyNumberFormat="1" applyFont="1" applyFill="1" applyBorder="1" applyAlignment="1">
      <alignment horizontal="center"/>
    </xf>
    <xf numFmtId="9" fontId="21" fillId="39" borderId="20" xfId="0" applyNumberFormat="1" applyFont="1" applyFill="1" applyBorder="1" applyAlignment="1">
      <alignment horizontal="center"/>
    </xf>
    <xf numFmtId="0" fontId="16" fillId="0" borderId="0" xfId="0" applyFont="1" applyAlignment="1">
      <alignment horizontal="right"/>
    </xf>
    <xf numFmtId="0" fontId="16" fillId="0" borderId="15" xfId="0" applyFont="1" applyBorder="1" applyAlignment="1">
      <alignment horizontal="center"/>
    </xf>
    <xf numFmtId="0" fontId="16" fillId="0" borderId="16" xfId="0" applyFont="1" applyBorder="1" applyAlignment="1">
      <alignment horizontal="center"/>
    </xf>
    <xf numFmtId="0" fontId="16" fillId="0" borderId="59" xfId="0" applyFont="1" applyBorder="1" applyAlignment="1">
      <alignment horizontal="center"/>
    </xf>
    <xf numFmtId="0" fontId="16" fillId="0" borderId="17" xfId="0" applyFont="1" applyBorder="1" applyAlignment="1">
      <alignment horizontal="center"/>
    </xf>
    <xf numFmtId="0" fontId="16" fillId="0" borderId="28" xfId="0" applyFont="1" applyBorder="1" applyAlignment="1">
      <alignment horizontal="center"/>
    </xf>
    <xf numFmtId="0" fontId="16" fillId="0" borderId="1" xfId="0" applyFont="1" applyBorder="1" applyAlignment="1">
      <alignment horizontal="center"/>
    </xf>
    <xf numFmtId="0" fontId="16" fillId="0" borderId="64" xfId="0" applyFont="1" applyBorder="1" applyAlignment="1">
      <alignment horizontal="center"/>
    </xf>
    <xf numFmtId="0" fontId="16" fillId="0" borderId="69" xfId="0" applyFont="1" applyBorder="1" applyAlignment="1">
      <alignment horizontal="center"/>
    </xf>
    <xf numFmtId="0" fontId="15" fillId="41" borderId="2" xfId="0" applyFont="1" applyFill="1" applyBorder="1" applyAlignment="1">
      <alignment horizontal="center"/>
    </xf>
    <xf numFmtId="0" fontId="15" fillId="0" borderId="3" xfId="0" applyFont="1" applyBorder="1"/>
    <xf numFmtId="0" fontId="15" fillId="0" borderId="4" xfId="0" applyFont="1" applyBorder="1"/>
    <xf numFmtId="0" fontId="15" fillId="0" borderId="19" xfId="0" applyFont="1" applyBorder="1"/>
    <xf numFmtId="0" fontId="15" fillId="0" borderId="60" xfId="0" applyFont="1" applyBorder="1"/>
    <xf numFmtId="0" fontId="16" fillId="21" borderId="15" xfId="0" applyFont="1" applyFill="1" applyBorder="1"/>
    <xf numFmtId="3" fontId="15" fillId="21" borderId="18" xfId="0" applyNumberFormat="1" applyFont="1" applyFill="1" applyBorder="1"/>
    <xf numFmtId="0" fontId="15" fillId="21" borderId="17" xfId="0" applyFont="1" applyFill="1" applyBorder="1"/>
    <xf numFmtId="0" fontId="16" fillId="21" borderId="59" xfId="0" applyFont="1" applyFill="1" applyBorder="1" applyAlignment="1">
      <alignment horizontal="center"/>
    </xf>
    <xf numFmtId="0" fontId="16" fillId="21" borderId="59" xfId="0" applyFont="1" applyFill="1" applyBorder="1"/>
    <xf numFmtId="0" fontId="16" fillId="21" borderId="16" xfId="0" applyFont="1" applyFill="1" applyBorder="1"/>
    <xf numFmtId="0" fontId="16" fillId="21" borderId="62" xfId="0" applyFont="1" applyFill="1" applyBorder="1"/>
    <xf numFmtId="0" fontId="16" fillId="0" borderId="30" xfId="0" applyFont="1" applyBorder="1"/>
    <xf numFmtId="0" fontId="16" fillId="0" borderId="63" xfId="0" applyFont="1" applyBorder="1"/>
    <xf numFmtId="0" fontId="15" fillId="0" borderId="64" xfId="0" applyFont="1" applyBorder="1" applyAlignment="1">
      <alignment horizontal="center"/>
    </xf>
    <xf numFmtId="0" fontId="15" fillId="0" borderId="1" xfId="0" applyFont="1" applyBorder="1" applyAlignment="1">
      <alignment horizontal="center"/>
    </xf>
    <xf numFmtId="0" fontId="15" fillId="0" borderId="65" xfId="0" applyFont="1" applyBorder="1" applyAlignment="1">
      <alignment horizontal="center"/>
    </xf>
    <xf numFmtId="0" fontId="15" fillId="0" borderId="63" xfId="0" applyFont="1" applyBorder="1" applyAlignment="1">
      <alignment horizontal="center"/>
    </xf>
    <xf numFmtId="0" fontId="15" fillId="21" borderId="66" xfId="0" applyFont="1" applyFill="1" applyBorder="1"/>
    <xf numFmtId="0" fontId="16" fillId="0" borderId="67" xfId="0" applyFont="1" applyBorder="1"/>
    <xf numFmtId="0" fontId="16" fillId="40" borderId="59" xfId="0" applyFont="1" applyFill="1" applyBorder="1"/>
    <xf numFmtId="0" fontId="16" fillId="40" borderId="62" xfId="0" applyFont="1" applyFill="1" applyBorder="1"/>
    <xf numFmtId="0" fontId="15" fillId="40" borderId="64" xfId="0" applyFont="1" applyFill="1" applyBorder="1" applyAlignment="1">
      <alignment horizontal="center"/>
    </xf>
    <xf numFmtId="0" fontId="15" fillId="40" borderId="65" xfId="0" applyFont="1" applyFill="1" applyBorder="1" applyAlignment="1">
      <alignment horizontal="center"/>
    </xf>
    <xf numFmtId="0" fontId="15" fillId="21" borderId="18" xfId="0" applyFont="1" applyFill="1" applyBorder="1"/>
    <xf numFmtId="0" fontId="16" fillId="21" borderId="28" xfId="0" applyFont="1" applyFill="1" applyBorder="1"/>
    <xf numFmtId="3" fontId="15" fillId="21" borderId="66" xfId="0" applyNumberFormat="1" applyFont="1" applyFill="1" applyBorder="1"/>
    <xf numFmtId="0" fontId="15" fillId="21" borderId="69" xfId="0" applyFont="1" applyFill="1" applyBorder="1"/>
    <xf numFmtId="0" fontId="16" fillId="0" borderId="56" xfId="0" applyFont="1" applyBorder="1"/>
    <xf numFmtId="0" fontId="13" fillId="0" borderId="0" xfId="0" applyFont="1" applyAlignment="1">
      <alignment horizontal="right"/>
    </xf>
    <xf numFmtId="0" fontId="36" fillId="37" borderId="47" xfId="0" applyFont="1" applyFill="1" applyBorder="1" applyAlignment="1">
      <alignment vertical="center"/>
    </xf>
    <xf numFmtId="0" fontId="36" fillId="37" borderId="49" xfId="0" applyFont="1" applyFill="1" applyBorder="1" applyAlignment="1">
      <alignment vertical="center"/>
    </xf>
    <xf numFmtId="0" fontId="36" fillId="37" borderId="48" xfId="0" applyFont="1" applyFill="1" applyBorder="1" applyAlignment="1">
      <alignment vertical="center"/>
    </xf>
    <xf numFmtId="0" fontId="16" fillId="0" borderId="51" xfId="0" applyFont="1" applyBorder="1" applyAlignment="1">
      <alignment vertical="center"/>
    </xf>
    <xf numFmtId="0" fontId="16" fillId="0" borderId="51" xfId="0" applyFont="1" applyBorder="1"/>
    <xf numFmtId="0" fontId="5" fillId="0" borderId="55" xfId="0" applyFont="1" applyBorder="1"/>
    <xf numFmtId="3" fontId="16" fillId="0" borderId="16" xfId="0" applyNumberFormat="1" applyFont="1" applyBorder="1" applyAlignment="1">
      <alignment horizontal="center"/>
    </xf>
    <xf numFmtId="3" fontId="16" fillId="0" borderId="59" xfId="0" applyNumberFormat="1" applyFont="1" applyBorder="1" applyAlignment="1">
      <alignment horizontal="center"/>
    </xf>
    <xf numFmtId="16" fontId="15" fillId="40" borderId="2" xfId="0" applyNumberFormat="1" applyFont="1" applyFill="1" applyBorder="1" applyAlignment="1">
      <alignment horizontal="center"/>
    </xf>
    <xf numFmtId="16" fontId="15" fillId="40" borderId="3" xfId="0" applyNumberFormat="1" applyFont="1" applyFill="1" applyBorder="1" applyAlignment="1">
      <alignment horizontal="center"/>
    </xf>
    <xf numFmtId="0" fontId="15" fillId="40" borderId="3" xfId="0" applyFont="1" applyFill="1" applyBorder="1" applyAlignment="1">
      <alignment horizontal="center"/>
    </xf>
    <xf numFmtId="0" fontId="15" fillId="40" borderId="4" xfId="0" applyFont="1" applyFill="1" applyBorder="1" applyAlignment="1">
      <alignment horizontal="center"/>
    </xf>
    <xf numFmtId="0" fontId="15" fillId="0" borderId="48" xfId="0" applyFont="1" applyBorder="1"/>
    <xf numFmtId="0" fontId="15" fillId="0" borderId="30" xfId="0" applyFont="1" applyBorder="1"/>
    <xf numFmtId="3" fontId="0" fillId="0" borderId="1" xfId="0" applyNumberFormat="1" applyBorder="1"/>
    <xf numFmtId="166" fontId="0" fillId="0" borderId="69" xfId="1" applyNumberFormat="1" applyFont="1" applyBorder="1"/>
    <xf numFmtId="166" fontId="0" fillId="0" borderId="1" xfId="0" applyNumberFormat="1" applyBorder="1"/>
    <xf numFmtId="0" fontId="4" fillId="0" borderId="0" xfId="0" applyFont="1"/>
    <xf numFmtId="43" fontId="4" fillId="0" borderId="0" xfId="1" applyFont="1" applyFill="1" applyBorder="1"/>
    <xf numFmtId="17" fontId="9" fillId="0" borderId="0" xfId="0" applyNumberFormat="1" applyFont="1" applyAlignment="1">
      <alignment horizontal="left"/>
    </xf>
    <xf numFmtId="0" fontId="3" fillId="42" borderId="0" xfId="0" applyFont="1" applyFill="1" applyAlignment="1">
      <alignment horizontal="center" vertical="top" wrapText="1"/>
    </xf>
    <xf numFmtId="0" fontId="4" fillId="0" borderId="0" xfId="0" applyFont="1" applyAlignment="1">
      <alignment horizontal="center" vertical="top" wrapText="1"/>
    </xf>
    <xf numFmtId="0" fontId="3" fillId="42" borderId="65" xfId="0" applyFont="1" applyFill="1" applyBorder="1" applyAlignment="1">
      <alignment horizontal="center" vertical="top" wrapText="1"/>
    </xf>
    <xf numFmtId="166" fontId="4" fillId="0" borderId="0" xfId="1" applyNumberFormat="1" applyFont="1" applyFill="1" applyBorder="1"/>
    <xf numFmtId="43" fontId="4" fillId="0" borderId="0" xfId="0" applyNumberFormat="1" applyFont="1"/>
    <xf numFmtId="175" fontId="39" fillId="0" borderId="0" xfId="7" applyNumberFormat="1" applyFont="1" applyFill="1" applyAlignment="1">
      <alignment horizontal="right"/>
    </xf>
    <xf numFmtId="43" fontId="4" fillId="9" borderId="0" xfId="1" applyFont="1" applyFill="1" applyBorder="1"/>
    <xf numFmtId="9" fontId="4" fillId="0" borderId="0" xfId="2" applyFont="1" applyAlignment="1">
      <alignment horizontal="right"/>
    </xf>
    <xf numFmtId="0" fontId="9" fillId="0" borderId="53" xfId="0" applyFont="1" applyBorder="1"/>
    <xf numFmtId="0" fontId="41" fillId="0" borderId="54" xfId="0" applyFont="1" applyBorder="1"/>
    <xf numFmtId="0" fontId="4" fillId="0" borderId="20" xfId="0" applyFont="1" applyBorder="1"/>
    <xf numFmtId="0" fontId="4" fillId="0" borderId="51" xfId="0" applyFont="1" applyBorder="1"/>
    <xf numFmtId="0" fontId="4" fillId="0" borderId="52" xfId="0" applyFont="1" applyBorder="1"/>
    <xf numFmtId="9" fontId="4" fillId="0" borderId="52" xfId="2" applyFont="1" applyFill="1" applyBorder="1"/>
    <xf numFmtId="166" fontId="4" fillId="0" borderId="52" xfId="1" applyNumberFormat="1" applyFont="1" applyFill="1" applyBorder="1"/>
    <xf numFmtId="0" fontId="4" fillId="0" borderId="55" xfId="0" applyFont="1" applyBorder="1"/>
    <xf numFmtId="0" fontId="4" fillId="0" borderId="56" xfId="0" applyFont="1" applyBorder="1"/>
    <xf numFmtId="43" fontId="4" fillId="0" borderId="57" xfId="1" applyFont="1" applyFill="1" applyBorder="1"/>
    <xf numFmtId="0" fontId="2" fillId="14" borderId="27" xfId="0" applyFont="1" applyFill="1" applyBorder="1" applyAlignment="1">
      <alignment horizontal="center" vertical="center" wrapText="1"/>
    </xf>
    <xf numFmtId="0" fontId="2" fillId="14" borderId="68" xfId="0" applyFont="1" applyFill="1" applyBorder="1" applyAlignment="1">
      <alignment horizontal="center" vertical="center" wrapText="1"/>
    </xf>
    <xf numFmtId="0" fontId="2" fillId="14" borderId="76" xfId="0" applyFont="1" applyFill="1" applyBorder="1" applyAlignment="1">
      <alignment horizontal="center" vertical="center" wrapText="1"/>
    </xf>
    <xf numFmtId="0" fontId="2" fillId="0" borderId="15" xfId="0" applyFont="1" applyBorder="1" applyAlignment="1">
      <alignment horizontal="center" vertical="center" wrapText="1"/>
    </xf>
    <xf numFmtId="166" fontId="0" fillId="0" borderId="16" xfId="0" applyNumberFormat="1" applyBorder="1" applyAlignment="1">
      <alignment horizontal="center" vertical="center" wrapText="1"/>
    </xf>
    <xf numFmtId="9" fontId="0" fillId="0" borderId="16" xfId="2" applyFont="1" applyBorder="1" applyAlignment="1">
      <alignment horizontal="center" vertical="center" wrapText="1"/>
    </xf>
    <xf numFmtId="0" fontId="0" fillId="0" borderId="17" xfId="0" applyBorder="1" applyAlignment="1">
      <alignment vertical="center" wrapText="1"/>
    </xf>
    <xf numFmtId="0" fontId="0" fillId="24" borderId="56" xfId="0" applyFill="1" applyBorder="1" applyAlignment="1">
      <alignment vertical="center"/>
    </xf>
    <xf numFmtId="171" fontId="2" fillId="0" borderId="3" xfId="1" applyNumberFormat="1" applyFont="1" applyBorder="1"/>
    <xf numFmtId="0" fontId="0" fillId="0" borderId="28" xfId="0" applyBorder="1"/>
    <xf numFmtId="9" fontId="0" fillId="0" borderId="69" xfId="2" applyFont="1" applyBorder="1"/>
    <xf numFmtId="3" fontId="0" fillId="0" borderId="28" xfId="0" applyNumberFormat="1" applyBorder="1"/>
    <xf numFmtId="3" fontId="0" fillId="0" borderId="21" xfId="0" applyNumberFormat="1" applyBorder="1" applyAlignment="1">
      <alignment wrapText="1"/>
    </xf>
    <xf numFmtId="9" fontId="0" fillId="0" borderId="22" xfId="2" applyFont="1" applyBorder="1"/>
    <xf numFmtId="0" fontId="7" fillId="27" borderId="28" xfId="0" applyFont="1" applyFill="1" applyBorder="1"/>
    <xf numFmtId="14" fontId="0" fillId="0" borderId="0" xfId="0" applyNumberFormat="1"/>
    <xf numFmtId="2" fontId="13" fillId="0" borderId="0" xfId="0" applyNumberFormat="1" applyFont="1"/>
    <xf numFmtId="1" fontId="12" fillId="0" borderId="0" xfId="0" applyNumberFormat="1" applyFont="1"/>
    <xf numFmtId="2" fontId="13" fillId="0" borderId="0" xfId="0" applyNumberFormat="1" applyFont="1" applyAlignment="1">
      <alignment horizontal="right"/>
    </xf>
    <xf numFmtId="0" fontId="26" fillId="12" borderId="47" xfId="0" applyFont="1" applyFill="1" applyBorder="1" applyAlignment="1">
      <alignment vertical="center"/>
    </xf>
    <xf numFmtId="0" fontId="26" fillId="12" borderId="49" xfId="0" applyFont="1" applyFill="1" applyBorder="1" applyAlignment="1">
      <alignment vertical="center"/>
    </xf>
    <xf numFmtId="0" fontId="26" fillId="12" borderId="48" xfId="0" applyFont="1" applyFill="1" applyBorder="1" applyAlignment="1">
      <alignment vertical="center"/>
    </xf>
    <xf numFmtId="0" fontId="12" fillId="0" borderId="51" xfId="1" applyNumberFormat="1" applyFont="1" applyFill="1" applyBorder="1" applyAlignment="1" applyProtection="1">
      <alignment vertical="center"/>
    </xf>
    <xf numFmtId="0" fontId="12" fillId="0" borderId="51" xfId="0" applyFont="1" applyBorder="1"/>
    <xf numFmtId="0" fontId="5" fillId="0" borderId="55" xfId="1" applyNumberFormat="1" applyFont="1" applyFill="1" applyBorder="1" applyAlignment="1" applyProtection="1"/>
    <xf numFmtId="0" fontId="12" fillId="0" borderId="56" xfId="0" applyFont="1" applyBorder="1"/>
    <xf numFmtId="170" fontId="16" fillId="0" borderId="0" xfId="0" applyNumberFormat="1" applyFont="1"/>
    <xf numFmtId="166" fontId="16" fillId="0" borderId="16" xfId="1" applyNumberFormat="1" applyFont="1" applyBorder="1" applyAlignment="1">
      <alignment horizontal="center"/>
    </xf>
    <xf numFmtId="166" fontId="16" fillId="0" borderId="59" xfId="1" applyNumberFormat="1" applyFont="1" applyBorder="1" applyAlignment="1">
      <alignment horizontal="center"/>
    </xf>
    <xf numFmtId="166" fontId="16" fillId="0" borderId="17" xfId="1" applyNumberFormat="1" applyFont="1" applyBorder="1" applyAlignment="1">
      <alignment horizontal="center"/>
    </xf>
    <xf numFmtId="43" fontId="16" fillId="0" borderId="28" xfId="1" applyFont="1" applyBorder="1" applyAlignment="1">
      <alignment horizontal="center"/>
    </xf>
    <xf numFmtId="43" fontId="16" fillId="0" borderId="16" xfId="1" applyFont="1" applyBorder="1" applyAlignment="1">
      <alignment horizontal="center"/>
    </xf>
    <xf numFmtId="43" fontId="16" fillId="0" borderId="16" xfId="1" applyFont="1" applyFill="1" applyBorder="1" applyAlignment="1" applyProtection="1">
      <alignment horizontal="center"/>
    </xf>
    <xf numFmtId="43" fontId="16" fillId="0" borderId="59" xfId="1" applyFont="1" applyBorder="1" applyAlignment="1">
      <alignment horizontal="center"/>
    </xf>
    <xf numFmtId="43" fontId="16" fillId="0" borderId="17" xfId="1" applyFont="1" applyBorder="1" applyAlignment="1">
      <alignment horizontal="center"/>
    </xf>
    <xf numFmtId="171" fontId="42" fillId="0" borderId="0" xfId="1" applyNumberFormat="1" applyFont="1" applyProtection="1"/>
    <xf numFmtId="171" fontId="16" fillId="0" borderId="16" xfId="1" applyNumberFormat="1" applyFont="1" applyBorder="1" applyAlignment="1">
      <alignment horizontal="center"/>
    </xf>
    <xf numFmtId="171" fontId="16" fillId="0" borderId="59" xfId="1" applyNumberFormat="1" applyFont="1" applyBorder="1" applyAlignment="1">
      <alignment horizontal="center"/>
    </xf>
    <xf numFmtId="171" fontId="16" fillId="0" borderId="17" xfId="1" applyNumberFormat="1" applyFont="1" applyBorder="1" applyAlignment="1">
      <alignment horizontal="center"/>
    </xf>
    <xf numFmtId="0" fontId="17" fillId="0" borderId="3" xfId="0" applyFont="1" applyBorder="1" applyAlignment="1">
      <alignment horizontal="center"/>
    </xf>
    <xf numFmtId="0" fontId="17" fillId="0" borderId="4" xfId="0" applyFont="1" applyBorder="1"/>
    <xf numFmtId="176" fontId="17" fillId="11" borderId="2" xfId="0" applyNumberFormat="1" applyFont="1" applyFill="1" applyBorder="1" applyAlignment="1">
      <alignment horizontal="center"/>
    </xf>
    <xf numFmtId="176" fontId="17" fillId="11" borderId="3" xfId="0" applyNumberFormat="1" applyFont="1" applyFill="1" applyBorder="1" applyAlignment="1">
      <alignment horizontal="center"/>
    </xf>
    <xf numFmtId="176" fontId="17" fillId="11" borderId="4" xfId="0" applyNumberFormat="1" applyFont="1" applyFill="1" applyBorder="1" applyAlignment="1">
      <alignment horizontal="center"/>
    </xf>
    <xf numFmtId="0" fontId="17" fillId="0" borderId="48" xfId="0" applyFont="1" applyBorder="1"/>
    <xf numFmtId="0" fontId="17" fillId="0" borderId="30" xfId="0" applyFont="1" applyBorder="1" applyProtection="1">
      <protection locked="0"/>
    </xf>
    <xf numFmtId="1" fontId="12" fillId="0" borderId="63" xfId="0" applyNumberFormat="1" applyFont="1" applyBorder="1" applyProtection="1">
      <protection locked="0"/>
    </xf>
    <xf numFmtId="0" fontId="12" fillId="0" borderId="67" xfId="0" applyFont="1" applyBorder="1" applyProtection="1">
      <protection locked="0"/>
    </xf>
    <xf numFmtId="12" fontId="17" fillId="43" borderId="64" xfId="0" applyNumberFormat="1" applyFont="1" applyFill="1" applyBorder="1" applyAlignment="1" applyProtection="1">
      <alignment horizontal="center"/>
      <protection locked="0"/>
    </xf>
    <xf numFmtId="43" fontId="17" fillId="0" borderId="0" xfId="1" applyFont="1" applyFill="1" applyBorder="1" applyAlignment="1" applyProtection="1">
      <alignment horizontal="center"/>
      <protection locked="0"/>
    </xf>
    <xf numFmtId="171" fontId="0" fillId="0" borderId="0" xfId="0" applyNumberFormat="1"/>
    <xf numFmtId="166" fontId="0" fillId="0" borderId="100" xfId="0" applyNumberFormat="1" applyBorder="1"/>
    <xf numFmtId="0" fontId="0" fillId="0" borderId="2" xfId="0" applyBorder="1"/>
    <xf numFmtId="3" fontId="0" fillId="0" borderId="3" xfId="0" applyNumberFormat="1" applyBorder="1"/>
    <xf numFmtId="3" fontId="0" fillId="0" borderId="4" xfId="0" applyNumberFormat="1" applyBorder="1"/>
    <xf numFmtId="3" fontId="2" fillId="0" borderId="3" xfId="0" applyNumberFormat="1" applyFont="1" applyBorder="1"/>
    <xf numFmtId="3" fontId="43" fillId="0" borderId="4" xfId="0" applyNumberFormat="1" applyFont="1" applyBorder="1"/>
    <xf numFmtId="0" fontId="2" fillId="23" borderId="59" xfId="0" applyFont="1" applyFill="1" applyBorder="1" applyAlignment="1">
      <alignment horizontal="center" vertical="center"/>
    </xf>
    <xf numFmtId="3" fontId="2" fillId="0" borderId="61" xfId="0" applyNumberFormat="1" applyFont="1" applyBorder="1"/>
    <xf numFmtId="17" fontId="2" fillId="0" borderId="60" xfId="0" applyNumberFormat="1" applyFont="1" applyBorder="1" applyAlignment="1">
      <alignment horizontal="center" vertical="center"/>
    </xf>
    <xf numFmtId="17" fontId="2" fillId="0" borderId="0" xfId="0" applyNumberFormat="1" applyFont="1" applyAlignment="1">
      <alignment horizontal="center" vertical="center"/>
    </xf>
    <xf numFmtId="3" fontId="23" fillId="0" borderId="0" xfId="0" applyNumberFormat="1" applyFont="1"/>
    <xf numFmtId="0" fontId="2" fillId="23" borderId="25" xfId="0" applyFont="1" applyFill="1" applyBorder="1" applyAlignment="1">
      <alignment horizontal="center" vertical="center"/>
    </xf>
    <xf numFmtId="3" fontId="43" fillId="0" borderId="48" xfId="0" applyNumberFormat="1" applyFont="1" applyBorder="1"/>
    <xf numFmtId="166" fontId="0" fillId="0" borderId="31" xfId="1" applyNumberFormat="1" applyFont="1" applyBorder="1" applyAlignment="1">
      <alignment horizontal="center" vertical="center"/>
    </xf>
    <xf numFmtId="0" fontId="3" fillId="0" borderId="0" xfId="0" applyFont="1"/>
    <xf numFmtId="166" fontId="3" fillId="0" borderId="0" xfId="1" applyNumberFormat="1" applyFont="1" applyFill="1" applyBorder="1"/>
    <xf numFmtId="43" fontId="3" fillId="0" borderId="0" xfId="0" applyNumberFormat="1" applyFont="1"/>
    <xf numFmtId="175" fontId="40" fillId="0" borderId="0" xfId="7" applyNumberFormat="1" applyFont="1" applyFill="1" applyBorder="1" applyAlignment="1">
      <alignment horizontal="right"/>
    </xf>
    <xf numFmtId="166" fontId="3" fillId="0" borderId="0" xfId="0" applyNumberFormat="1" applyFont="1"/>
    <xf numFmtId="43" fontId="3" fillId="0" borderId="0" xfId="1" applyFont="1" applyFill="1" applyBorder="1"/>
    <xf numFmtId="9" fontId="3" fillId="0" borderId="0" xfId="2" applyFont="1" applyFill="1" applyBorder="1" applyAlignment="1">
      <alignment horizontal="right"/>
    </xf>
    <xf numFmtId="43" fontId="0" fillId="0" borderId="100" xfId="0" applyNumberFormat="1" applyBorder="1"/>
    <xf numFmtId="0" fontId="0" fillId="9" borderId="50" xfId="0" applyFill="1" applyBorder="1" applyAlignment="1">
      <alignment horizontal="left" vertical="center"/>
    </xf>
    <xf numFmtId="166" fontId="0" fillId="9" borderId="50" xfId="1" applyNumberFormat="1" applyFont="1" applyFill="1" applyBorder="1" applyAlignment="1">
      <alignment vertical="center"/>
    </xf>
    <xf numFmtId="0" fontId="45" fillId="0" borderId="101" xfId="0" applyFont="1" applyBorder="1" applyAlignment="1">
      <alignment horizontal="center" vertical="center" wrapText="1"/>
    </xf>
    <xf numFmtId="0" fontId="44" fillId="0" borderId="101" xfId="0" applyFont="1" applyBorder="1" applyAlignment="1">
      <alignment vertical="center" wrapText="1"/>
    </xf>
    <xf numFmtId="0" fontId="0" fillId="0" borderId="0" xfId="0" applyAlignment="1">
      <alignment vertical="center"/>
    </xf>
    <xf numFmtId="0" fontId="46" fillId="0" borderId="101" xfId="0" applyFont="1" applyBorder="1" applyAlignment="1">
      <alignment vertical="center" wrapText="1"/>
    </xf>
    <xf numFmtId="3" fontId="47" fillId="0" borderId="101" xfId="0" applyNumberFormat="1" applyFont="1" applyBorder="1" applyAlignment="1">
      <alignment horizontal="center" vertical="center" wrapText="1"/>
    </xf>
    <xf numFmtId="0" fontId="44" fillId="9" borderId="101" xfId="0" applyFont="1" applyFill="1" applyBorder="1" applyAlignment="1">
      <alignment vertical="center" wrapText="1"/>
    </xf>
    <xf numFmtId="0" fontId="44" fillId="9" borderId="101" xfId="0" applyFont="1" applyFill="1" applyBorder="1" applyAlignment="1">
      <alignment horizontal="center" vertical="center" wrapText="1"/>
    </xf>
    <xf numFmtId="0" fontId="2" fillId="9" borderId="102" xfId="0" applyFont="1" applyFill="1" applyBorder="1" applyAlignment="1">
      <alignment horizontal="center" vertical="center" wrapText="1"/>
    </xf>
    <xf numFmtId="0" fontId="0" fillId="0" borderId="71" xfId="0" applyBorder="1" applyAlignment="1">
      <alignment horizontal="left" vertical="center"/>
    </xf>
    <xf numFmtId="170" fontId="0" fillId="0" borderId="63" xfId="0" applyNumberFormat="1" applyBorder="1" applyAlignment="1">
      <alignment vertical="center"/>
    </xf>
    <xf numFmtId="0" fontId="0" fillId="0" borderId="63" xfId="0" applyBorder="1" applyAlignment="1">
      <alignment vertical="center"/>
    </xf>
    <xf numFmtId="166" fontId="0" fillId="0" borderId="25" xfId="1" applyNumberFormat="1" applyFont="1" applyFill="1" applyBorder="1" applyAlignment="1">
      <alignment vertical="center"/>
    </xf>
    <xf numFmtId="0" fontId="0" fillId="0" borderId="15" xfId="0" applyBorder="1"/>
    <xf numFmtId="0" fontId="0" fillId="0" borderId="16" xfId="0" applyBorder="1"/>
    <xf numFmtId="0" fontId="0" fillId="0" borderId="17" xfId="0" applyBorder="1"/>
    <xf numFmtId="0" fontId="2" fillId="0" borderId="2" xfId="0" applyFont="1" applyBorder="1"/>
    <xf numFmtId="0" fontId="2" fillId="9" borderId="15" xfId="0" applyFont="1" applyFill="1" applyBorder="1" applyAlignment="1">
      <alignment vertical="center" wrapText="1"/>
    </xf>
    <xf numFmtId="0" fontId="2" fillId="9" borderId="27" xfId="0" applyFont="1" applyFill="1" applyBorder="1" applyAlignment="1">
      <alignment vertical="center" wrapText="1"/>
    </xf>
    <xf numFmtId="166" fontId="0" fillId="0" borderId="63" xfId="0" applyNumberFormat="1" applyBorder="1" applyAlignment="1">
      <alignment vertical="center"/>
    </xf>
    <xf numFmtId="0" fontId="45" fillId="0" borderId="0" xfId="0" applyFont="1" applyAlignment="1">
      <alignment horizontal="center" vertical="center" wrapText="1"/>
    </xf>
    <xf numFmtId="3" fontId="47" fillId="0" borderId="0" xfId="0" applyNumberFormat="1" applyFont="1" applyAlignment="1">
      <alignment horizontal="center" vertical="center" wrapText="1"/>
    </xf>
    <xf numFmtId="166" fontId="25" fillId="0" borderId="71" xfId="1" applyNumberFormat="1" applyFont="1" applyFill="1" applyBorder="1" applyAlignment="1"/>
    <xf numFmtId="43" fontId="0" fillId="0" borderId="71" xfId="1" applyFont="1" applyBorder="1"/>
    <xf numFmtId="43" fontId="0" fillId="0" borderId="0" xfId="1" applyFont="1" applyBorder="1"/>
    <xf numFmtId="43" fontId="0" fillId="0" borderId="72" xfId="1" applyFont="1" applyBorder="1"/>
    <xf numFmtId="0" fontId="2" fillId="9" borderId="0" xfId="0" applyFont="1" applyFill="1"/>
    <xf numFmtId="2" fontId="24" fillId="9" borderId="73" xfId="5" applyNumberFormat="1" applyFont="1" applyFill="1" applyBorder="1" applyAlignment="1"/>
    <xf numFmtId="43" fontId="2" fillId="9" borderId="73" xfId="1" applyFont="1" applyFill="1" applyBorder="1"/>
    <xf numFmtId="43" fontId="2" fillId="9" borderId="74" xfId="1" applyFont="1" applyFill="1" applyBorder="1"/>
    <xf numFmtId="43" fontId="2" fillId="9" borderId="75" xfId="1" applyFont="1" applyFill="1" applyBorder="1"/>
    <xf numFmtId="2" fontId="25" fillId="0" borderId="66" xfId="5" applyNumberFormat="1" applyFont="1" applyFill="1" applyBorder="1" applyAlignment="1"/>
    <xf numFmtId="43" fontId="0" fillId="0" borderId="66" xfId="1" applyFont="1" applyBorder="1"/>
    <xf numFmtId="43" fontId="0" fillId="0" borderId="65" xfId="1" applyFont="1" applyBorder="1"/>
    <xf numFmtId="43" fontId="0" fillId="0" borderId="64" xfId="1" applyFont="1" applyBorder="1"/>
    <xf numFmtId="3" fontId="48" fillId="0" borderId="0" xfId="0" applyNumberFormat="1" applyFont="1" applyAlignment="1">
      <alignment horizontal="center"/>
    </xf>
    <xf numFmtId="0" fontId="48" fillId="0" borderId="0" xfId="0" applyFont="1" applyAlignment="1">
      <alignment horizontal="center"/>
    </xf>
    <xf numFmtId="0" fontId="2" fillId="14" borderId="61" xfId="0" applyFont="1" applyFill="1" applyBorder="1" applyAlignment="1">
      <alignment horizontal="center" vertical="center" wrapText="1"/>
    </xf>
    <xf numFmtId="166" fontId="0" fillId="0" borderId="64" xfId="0" applyNumberFormat="1" applyBorder="1"/>
    <xf numFmtId="43" fontId="0" fillId="0" borderId="64" xfId="0" applyNumberFormat="1" applyBorder="1"/>
    <xf numFmtId="166" fontId="0" fillId="0" borderId="103" xfId="0" applyNumberFormat="1" applyBorder="1"/>
    <xf numFmtId="166" fontId="0" fillId="0" borderId="69" xfId="0" applyNumberFormat="1" applyBorder="1"/>
    <xf numFmtId="0" fontId="46" fillId="0" borderId="28" xfId="0" applyFont="1" applyBorder="1" applyAlignment="1">
      <alignment vertical="center" wrapText="1"/>
    </xf>
    <xf numFmtId="0" fontId="44" fillId="9" borderId="66" xfId="0" applyFont="1" applyFill="1" applyBorder="1" applyAlignment="1">
      <alignment vertical="center" wrapText="1"/>
    </xf>
    <xf numFmtId="0" fontId="44" fillId="9" borderId="65" xfId="0" applyFont="1" applyFill="1" applyBorder="1" applyAlignment="1">
      <alignment horizontal="center" vertical="center" wrapText="1"/>
    </xf>
    <xf numFmtId="0" fontId="44" fillId="0" borderId="2" xfId="0" applyFont="1" applyBorder="1" applyAlignment="1">
      <alignment vertical="center" wrapText="1"/>
    </xf>
    <xf numFmtId="0" fontId="44" fillId="9" borderId="19" xfId="0" applyFont="1" applyFill="1" applyBorder="1" applyAlignment="1">
      <alignment vertical="center" wrapText="1"/>
    </xf>
    <xf numFmtId="0" fontId="45" fillId="0" borderId="60" xfId="0" applyFont="1" applyBorder="1" applyAlignment="1">
      <alignment horizontal="center" vertical="center" wrapText="1"/>
    </xf>
    <xf numFmtId="0" fontId="44" fillId="9" borderId="49" xfId="0" applyFont="1" applyFill="1" applyBorder="1" applyAlignment="1">
      <alignment vertical="center" wrapText="1"/>
    </xf>
    <xf numFmtId="0" fontId="7" fillId="33" borderId="28" xfId="0" applyFont="1" applyFill="1" applyBorder="1"/>
    <xf numFmtId="0" fontId="7" fillId="36" borderId="28" xfId="0" applyFont="1" applyFill="1" applyBorder="1"/>
    <xf numFmtId="0" fontId="7" fillId="9" borderId="28" xfId="0" applyFont="1" applyFill="1" applyBorder="1"/>
    <xf numFmtId="166" fontId="0" fillId="0" borderId="66" xfId="0" applyNumberFormat="1" applyBorder="1"/>
    <xf numFmtId="43" fontId="17" fillId="0" borderId="120" xfId="1" applyFont="1" applyFill="1" applyBorder="1" applyAlignment="1" applyProtection="1">
      <alignment horizontal="center"/>
    </xf>
    <xf numFmtId="0" fontId="15" fillId="5" borderId="49" xfId="0" applyFont="1" applyFill="1" applyBorder="1" applyAlignment="1">
      <alignment horizontal="center"/>
    </xf>
    <xf numFmtId="170" fontId="15" fillId="20" borderId="62" xfId="0" applyNumberFormat="1" applyFont="1" applyFill="1" applyBorder="1"/>
    <xf numFmtId="170" fontId="15" fillId="20" borderId="121" xfId="0" applyNumberFormat="1" applyFont="1" applyFill="1" applyBorder="1"/>
    <xf numFmtId="166" fontId="15" fillId="76" borderId="15" xfId="1" applyNumberFormat="1" applyFont="1" applyFill="1" applyBorder="1" applyProtection="1"/>
    <xf numFmtId="166" fontId="4" fillId="0" borderId="0" xfId="1" applyNumberFormat="1" applyFont="1" applyFill="1" applyBorder="1" applyAlignment="1">
      <alignment horizontal="center"/>
    </xf>
    <xf numFmtId="43" fontId="4" fillId="0" borderId="0" xfId="1" applyFont="1" applyFill="1" applyBorder="1" applyAlignment="1">
      <alignment horizontal="center"/>
    </xf>
    <xf numFmtId="43" fontId="0" fillId="0" borderId="1" xfId="0" applyNumberFormat="1" applyBorder="1" applyAlignment="1">
      <alignment horizontal="center"/>
    </xf>
    <xf numFmtId="12" fontId="15" fillId="77" borderId="64" xfId="0" applyNumberFormat="1" applyFont="1" applyFill="1" applyBorder="1" applyAlignment="1">
      <alignment horizontal="center"/>
    </xf>
    <xf numFmtId="0" fontId="2" fillId="0" borderId="50" xfId="0" applyFont="1" applyBorder="1"/>
    <xf numFmtId="0" fontId="0" fillId="0" borderId="28" xfId="0" applyBorder="1" applyAlignment="1">
      <alignment horizontal="center" vertical="center"/>
    </xf>
    <xf numFmtId="0" fontId="0" fillId="0" borderId="1" xfId="0" applyBorder="1" applyAlignment="1">
      <alignment horizontal="center" vertical="center"/>
    </xf>
    <xf numFmtId="0" fontId="0" fillId="0" borderId="69" xfId="0" applyBorder="1" applyAlignment="1">
      <alignment horizontal="center" vertical="center"/>
    </xf>
    <xf numFmtId="166" fontId="0" fillId="0" borderId="64" xfId="1" applyNumberFormat="1" applyFont="1" applyBorder="1" applyAlignment="1">
      <alignment horizontal="center" vertical="center"/>
    </xf>
    <xf numFmtId="166" fontId="0" fillId="0" borderId="120" xfId="1" applyNumberFormat="1" applyFont="1" applyBorder="1" applyAlignment="1">
      <alignment horizontal="center" vertical="center"/>
    </xf>
    <xf numFmtId="166" fontId="0" fillId="0" borderId="2" xfId="1" applyNumberFormat="1"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43" fontId="0" fillId="0" borderId="1" xfId="0" applyNumberFormat="1" applyBorder="1" applyAlignment="1">
      <alignment horizontal="center" vertical="center"/>
    </xf>
    <xf numFmtId="43" fontId="0" fillId="0" borderId="69" xfId="0" applyNumberFormat="1" applyBorder="1" applyAlignment="1">
      <alignment horizontal="center" vertical="center"/>
    </xf>
    <xf numFmtId="2" fontId="0" fillId="0" borderId="1" xfId="0" applyNumberFormat="1" applyBorder="1" applyAlignment="1">
      <alignment horizontal="center" vertical="center"/>
    </xf>
    <xf numFmtId="170" fontId="0" fillId="0" borderId="69" xfId="0" applyNumberFormat="1" applyBorder="1" applyAlignment="1">
      <alignment horizontal="center" vertical="center"/>
    </xf>
    <xf numFmtId="0" fontId="0" fillId="35" borderId="60" xfId="0" applyFill="1" applyBorder="1" applyAlignment="1">
      <alignment horizontal="center" vertical="center"/>
    </xf>
    <xf numFmtId="0" fontId="0" fillId="35" borderId="48" xfId="0" applyFill="1" applyBorder="1" applyAlignment="1">
      <alignment horizontal="center" vertical="center"/>
    </xf>
    <xf numFmtId="0" fontId="2" fillId="78" borderId="47" xfId="0" applyFont="1" applyFill="1" applyBorder="1"/>
    <xf numFmtId="166" fontId="0" fillId="78" borderId="2" xfId="1" applyNumberFormat="1" applyFont="1" applyFill="1" applyBorder="1" applyAlignment="1">
      <alignment horizontal="center"/>
    </xf>
    <xf numFmtId="43" fontId="0" fillId="78" borderId="3" xfId="0" applyNumberFormat="1" applyFill="1" applyBorder="1" applyAlignment="1">
      <alignment horizontal="center"/>
    </xf>
    <xf numFmtId="171" fontId="0" fillId="78" borderId="4" xfId="1" applyNumberFormat="1" applyFont="1" applyFill="1" applyBorder="1" applyAlignment="1">
      <alignment horizontal="center" vertical="center"/>
    </xf>
    <xf numFmtId="166" fontId="0" fillId="78" borderId="21" xfId="1" applyNumberFormat="1" applyFont="1" applyFill="1" applyBorder="1" applyAlignment="1">
      <alignment horizontal="center"/>
    </xf>
    <xf numFmtId="0" fontId="0" fillId="78" borderId="100" xfId="0" applyFill="1" applyBorder="1" applyAlignment="1">
      <alignment horizontal="center" vertical="center"/>
    </xf>
    <xf numFmtId="171" fontId="0" fillId="78" borderId="22" xfId="1" applyNumberFormat="1" applyFont="1" applyFill="1" applyBorder="1" applyAlignment="1">
      <alignment horizontal="center" vertical="center"/>
    </xf>
    <xf numFmtId="0" fontId="0" fillId="78" borderId="21" xfId="0" applyFill="1" applyBorder="1" applyAlignment="1">
      <alignment horizontal="center" vertical="center"/>
    </xf>
    <xf numFmtId="2" fontId="0" fillId="78" borderId="100" xfId="0" applyNumberFormat="1" applyFill="1" applyBorder="1" applyAlignment="1">
      <alignment horizontal="center" vertical="center"/>
    </xf>
    <xf numFmtId="170" fontId="0" fillId="78" borderId="22" xfId="0" applyNumberFormat="1" applyFill="1" applyBorder="1" applyAlignment="1">
      <alignment horizontal="center" vertical="center"/>
    </xf>
    <xf numFmtId="0" fontId="8" fillId="79" borderId="15" xfId="0" applyFont="1" applyFill="1" applyBorder="1" applyAlignment="1">
      <alignment horizontal="center" vertical="center" wrapText="1"/>
    </xf>
    <xf numFmtId="0" fontId="8" fillId="79" borderId="16" xfId="0" applyFont="1" applyFill="1" applyBorder="1" applyAlignment="1">
      <alignment horizontal="center" vertical="center" wrapText="1"/>
    </xf>
    <xf numFmtId="0" fontId="8" fillId="79" borderId="17" xfId="0" applyFont="1" applyFill="1" applyBorder="1" applyAlignment="1">
      <alignment horizontal="center" vertical="center" wrapText="1"/>
    </xf>
    <xf numFmtId="0" fontId="8" fillId="9" borderId="15" xfId="0" applyFont="1" applyFill="1" applyBorder="1" applyAlignment="1">
      <alignment horizontal="center" vertical="center" wrapText="1"/>
    </xf>
    <xf numFmtId="0" fontId="8" fillId="9" borderId="17" xfId="0" applyFont="1" applyFill="1" applyBorder="1" applyAlignment="1">
      <alignment horizontal="center" vertical="center" wrapText="1"/>
    </xf>
    <xf numFmtId="166" fontId="8" fillId="35" borderId="2" xfId="1" applyNumberFormat="1" applyFont="1" applyFill="1" applyBorder="1"/>
    <xf numFmtId="43" fontId="8" fillId="35" borderId="3" xfId="0" applyNumberFormat="1" applyFont="1" applyFill="1" applyBorder="1"/>
    <xf numFmtId="166" fontId="8" fillId="35" borderId="3" xfId="1" applyNumberFormat="1" applyFont="1" applyFill="1" applyBorder="1"/>
    <xf numFmtId="43" fontId="8" fillId="35" borderId="4" xfId="1" applyFont="1" applyFill="1" applyBorder="1"/>
    <xf numFmtId="166" fontId="8" fillId="9" borderId="2" xfId="1" applyNumberFormat="1" applyFont="1" applyFill="1" applyBorder="1"/>
    <xf numFmtId="43" fontId="8" fillId="9" borderId="4" xfId="0" applyNumberFormat="1" applyFont="1" applyFill="1" applyBorder="1"/>
    <xf numFmtId="166" fontId="7" fillId="0" borderId="102" xfId="1" applyNumberFormat="1" applyFont="1" applyBorder="1"/>
    <xf numFmtId="43" fontId="7" fillId="0" borderId="70" xfId="0" applyNumberFormat="1" applyFont="1" applyBorder="1"/>
    <xf numFmtId="166" fontId="7" fillId="0" borderId="70" xfId="1" applyNumberFormat="1" applyFont="1" applyBorder="1"/>
    <xf numFmtId="43" fontId="7" fillId="0" borderId="122" xfId="1" applyFont="1" applyBorder="1"/>
    <xf numFmtId="43" fontId="7" fillId="0" borderId="122" xfId="0" applyNumberFormat="1" applyFont="1" applyBorder="1"/>
    <xf numFmtId="166" fontId="8" fillId="79" borderId="2" xfId="1" applyNumberFormat="1" applyFont="1" applyFill="1" applyBorder="1"/>
    <xf numFmtId="43" fontId="8" fillId="79" borderId="3" xfId="0" applyNumberFormat="1" applyFont="1" applyFill="1" applyBorder="1"/>
    <xf numFmtId="166" fontId="8" fillId="79" borderId="3" xfId="1" applyNumberFormat="1" applyFont="1" applyFill="1" applyBorder="1"/>
    <xf numFmtId="43" fontId="8" fillId="79" borderId="4" xfId="1" applyFont="1" applyFill="1" applyBorder="1"/>
    <xf numFmtId="166" fontId="8" fillId="35" borderId="3" xfId="0" applyNumberFormat="1" applyFont="1" applyFill="1" applyBorder="1"/>
    <xf numFmtId="166" fontId="8" fillId="79" borderId="3" xfId="0" applyNumberFormat="1" applyFont="1" applyFill="1" applyBorder="1"/>
    <xf numFmtId="166" fontId="7" fillId="0" borderId="72" xfId="1" applyNumberFormat="1" applyFont="1" applyBorder="1"/>
    <xf numFmtId="43" fontId="8" fillId="9" borderId="2" xfId="1" applyFont="1" applyFill="1" applyBorder="1"/>
    <xf numFmtId="16" fontId="17" fillId="0" borderId="60" xfId="0" applyNumberFormat="1" applyFont="1" applyBorder="1"/>
    <xf numFmtId="1" fontId="12" fillId="0" borderId="30" xfId="0" applyNumberFormat="1" applyFont="1" applyBorder="1" applyProtection="1">
      <protection locked="0"/>
    </xf>
    <xf numFmtId="0" fontId="17" fillId="0" borderId="63" xfId="0" applyFont="1" applyBorder="1" applyAlignment="1" applyProtection="1">
      <alignment horizontal="center"/>
      <protection locked="0"/>
    </xf>
    <xf numFmtId="0" fontId="17" fillId="29" borderId="0" xfId="0" applyFont="1" applyFill="1" applyAlignment="1" applyProtection="1">
      <alignment horizontal="right"/>
      <protection locked="0"/>
    </xf>
    <xf numFmtId="0" fontId="15" fillId="0" borderId="30" xfId="0" applyFont="1" applyBorder="1" applyAlignment="1" applyProtection="1">
      <alignment vertical="center"/>
      <protection locked="0"/>
    </xf>
    <xf numFmtId="0" fontId="15" fillId="0" borderId="63" xfId="0" applyFont="1" applyBorder="1" applyAlignment="1" applyProtection="1">
      <alignment vertical="center"/>
      <protection locked="0"/>
    </xf>
    <xf numFmtId="0" fontId="15" fillId="0" borderId="67" xfId="0" applyFont="1" applyBorder="1" applyAlignment="1" applyProtection="1">
      <alignment vertical="center"/>
      <protection locked="0"/>
    </xf>
    <xf numFmtId="166" fontId="12" fillId="22" borderId="64" xfId="1" applyNumberFormat="1" applyFont="1" applyFill="1" applyBorder="1" applyAlignment="1" applyProtection="1">
      <alignment horizontal="center"/>
      <protection locked="0"/>
    </xf>
    <xf numFmtId="0" fontId="22" fillId="37" borderId="47" xfId="0" applyFont="1" applyFill="1" applyBorder="1" applyAlignment="1">
      <alignment horizontal="center" vertical="center"/>
    </xf>
    <xf numFmtId="0" fontId="22" fillId="37" borderId="60" xfId="0" applyFont="1" applyFill="1" applyBorder="1" applyAlignment="1">
      <alignment horizontal="center" vertical="center"/>
    </xf>
    <xf numFmtId="0" fontId="22" fillId="37" borderId="2" xfId="0" applyFont="1" applyFill="1" applyBorder="1" applyAlignment="1">
      <alignment horizontal="center" vertical="center"/>
    </xf>
    <xf numFmtId="0" fontId="22" fillId="37" borderId="3" xfId="0" applyFont="1" applyFill="1" applyBorder="1" applyAlignment="1">
      <alignment horizontal="center" vertical="center"/>
    </xf>
    <xf numFmtId="0" fontId="22" fillId="37" borderId="4" xfId="0" applyFont="1" applyFill="1" applyBorder="1" applyAlignment="1">
      <alignment horizontal="center" vertical="center"/>
    </xf>
    <xf numFmtId="0" fontId="22" fillId="0" borderId="30" xfId="0" applyFont="1" applyBorder="1" applyAlignment="1">
      <alignment horizontal="center" vertical="center"/>
    </xf>
    <xf numFmtId="0" fontId="5" fillId="0" borderId="31" xfId="0" applyFont="1" applyBorder="1" applyAlignment="1">
      <alignment horizontal="left" vertical="center"/>
    </xf>
    <xf numFmtId="3" fontId="5" fillId="0" borderId="113" xfId="0" applyNumberFormat="1" applyFont="1" applyBorder="1" applyAlignment="1">
      <alignment vertical="center"/>
    </xf>
    <xf numFmtId="0" fontId="74" fillId="0" borderId="1" xfId="0" applyFont="1" applyBorder="1" applyAlignment="1">
      <alignment horizontal="center"/>
    </xf>
    <xf numFmtId="0" fontId="5" fillId="0" borderId="33" xfId="0" applyFont="1" applyBorder="1" applyAlignment="1">
      <alignment vertical="center"/>
    </xf>
    <xf numFmtId="3" fontId="5" fillId="0" borderId="28" xfId="0" applyNumberFormat="1" applyFont="1" applyBorder="1" applyAlignment="1">
      <alignment vertical="center"/>
    </xf>
    <xf numFmtId="0" fontId="5" fillId="0" borderId="1" xfId="0" applyFont="1" applyBorder="1" applyAlignment="1">
      <alignment vertical="center"/>
    </xf>
    <xf numFmtId="0" fontId="5" fillId="0" borderId="69" xfId="0" applyFont="1" applyBorder="1" applyAlignment="1">
      <alignment vertical="center"/>
    </xf>
    <xf numFmtId="0" fontId="16" fillId="39" borderId="64" xfId="0" applyFont="1" applyFill="1" applyBorder="1" applyAlignment="1">
      <alignment horizontal="center"/>
    </xf>
    <xf numFmtId="0" fontId="16" fillId="38" borderId="64" xfId="0" applyFont="1" applyFill="1" applyBorder="1" applyAlignment="1">
      <alignment horizontal="center"/>
    </xf>
    <xf numFmtId="9" fontId="74" fillId="39" borderId="28" xfId="0" applyNumberFormat="1" applyFont="1" applyFill="1" applyBorder="1" applyAlignment="1">
      <alignment vertical="center"/>
    </xf>
    <xf numFmtId="9" fontId="75" fillId="38" borderId="1" xfId="0" applyNumberFormat="1" applyFont="1" applyFill="1" applyBorder="1" applyAlignment="1">
      <alignment vertical="center"/>
    </xf>
    <xf numFmtId="9" fontId="74" fillId="39" borderId="69" xfId="0" applyNumberFormat="1" applyFont="1" applyFill="1" applyBorder="1" applyAlignment="1">
      <alignment vertical="center"/>
    </xf>
    <xf numFmtId="0" fontId="5" fillId="0" borderId="30" xfId="0" applyFont="1" applyBorder="1" applyAlignment="1">
      <alignment horizontal="left" vertical="center"/>
    </xf>
    <xf numFmtId="3" fontId="5" fillId="0" borderId="54" xfId="0" applyNumberFormat="1" applyFont="1" applyBorder="1" applyAlignment="1">
      <alignment vertical="center"/>
    </xf>
    <xf numFmtId="0" fontId="74" fillId="0" borderId="68" xfId="0" applyFont="1" applyBorder="1" applyAlignment="1">
      <alignment horizontal="center"/>
    </xf>
    <xf numFmtId="0" fontId="5" fillId="0" borderId="54" xfId="0" applyFont="1" applyBorder="1" applyAlignment="1">
      <alignment vertical="center"/>
    </xf>
    <xf numFmtId="3" fontId="5" fillId="0" borderId="27" xfId="0" applyNumberFormat="1" applyFont="1" applyBorder="1" applyAlignment="1">
      <alignment vertical="center"/>
    </xf>
    <xf numFmtId="0" fontId="5" fillId="0" borderId="68" xfId="0" applyFont="1" applyBorder="1" applyAlignment="1">
      <alignment vertical="center"/>
    </xf>
    <xf numFmtId="0" fontId="5" fillId="0" borderId="76" xfId="0" applyFont="1" applyBorder="1" applyAlignment="1">
      <alignment vertical="center"/>
    </xf>
    <xf numFmtId="0" fontId="16" fillId="38" borderId="27" xfId="0" applyFont="1" applyFill="1" applyBorder="1" applyAlignment="1">
      <alignment horizontal="center"/>
    </xf>
    <xf numFmtId="0" fontId="16" fillId="39" borderId="58" xfId="0" applyFont="1" applyFill="1" applyBorder="1" applyAlignment="1">
      <alignment horizontal="center"/>
    </xf>
    <xf numFmtId="0" fontId="16" fillId="39" borderId="20" xfId="0" applyFont="1" applyFill="1" applyBorder="1" applyAlignment="1">
      <alignment horizontal="center"/>
    </xf>
    <xf numFmtId="9" fontId="75" fillId="38" borderId="58" xfId="0" applyNumberFormat="1" applyFont="1" applyFill="1" applyBorder="1" applyAlignment="1">
      <alignment vertical="center"/>
    </xf>
    <xf numFmtId="9" fontId="74" fillId="39" borderId="68" xfId="0" applyNumberFormat="1" applyFont="1" applyFill="1" applyBorder="1" applyAlignment="1">
      <alignment vertical="center"/>
    </xf>
    <xf numFmtId="9" fontId="74" fillId="39" borderId="76" xfId="0" applyNumberFormat="1" applyFont="1" applyFill="1" applyBorder="1" applyAlignment="1">
      <alignment vertical="center"/>
    </xf>
    <xf numFmtId="0" fontId="22" fillId="80" borderId="60" xfId="0" applyFont="1" applyFill="1" applyBorder="1" applyAlignment="1">
      <alignment horizontal="left" vertical="center"/>
    </xf>
    <xf numFmtId="3" fontId="22" fillId="80" borderId="47" xfId="0" applyNumberFormat="1" applyFont="1" applyFill="1" applyBorder="1" applyAlignment="1">
      <alignment horizontal="center" vertical="center"/>
    </xf>
    <xf numFmtId="0" fontId="21" fillId="80" borderId="3" xfId="0" applyFont="1" applyFill="1" applyBorder="1" applyAlignment="1">
      <alignment horizontal="center"/>
    </xf>
    <xf numFmtId="0" fontId="22" fillId="80" borderId="48" xfId="0" applyFont="1" applyFill="1" applyBorder="1" applyAlignment="1">
      <alignment vertical="center"/>
    </xf>
    <xf numFmtId="3" fontId="22" fillId="80" borderId="2" xfId="0" applyNumberFormat="1" applyFont="1" applyFill="1" applyBorder="1" applyAlignment="1">
      <alignment horizontal="center" vertical="center"/>
    </xf>
    <xf numFmtId="0" fontId="22" fillId="80" borderId="3" xfId="0" applyFont="1" applyFill="1" applyBorder="1" applyAlignment="1">
      <alignment horizontal="center" vertical="center"/>
    </xf>
    <xf numFmtId="0" fontId="22" fillId="80" borderId="4" xfId="0" applyFont="1" applyFill="1" applyBorder="1" applyAlignment="1">
      <alignment vertical="center"/>
    </xf>
    <xf numFmtId="0" fontId="15" fillId="38" borderId="2" xfId="0" applyFont="1" applyFill="1" applyBorder="1" applyAlignment="1">
      <alignment horizontal="center"/>
    </xf>
    <xf numFmtId="0" fontId="15" fillId="39" borderId="61" xfId="0" applyFont="1" applyFill="1" applyBorder="1" applyAlignment="1">
      <alignment horizontal="center"/>
    </xf>
    <xf numFmtId="0" fontId="15" fillId="39" borderId="48" xfId="0" applyFont="1" applyFill="1" applyBorder="1" applyAlignment="1">
      <alignment horizontal="center"/>
    </xf>
    <xf numFmtId="9" fontId="19" fillId="38" borderId="2" xfId="0" applyNumberFormat="1" applyFont="1" applyFill="1" applyBorder="1" applyAlignment="1">
      <alignment vertical="center"/>
    </xf>
    <xf numFmtId="9" fontId="21" fillId="39" borderId="3" xfId="0" applyNumberFormat="1" applyFont="1" applyFill="1" applyBorder="1" applyAlignment="1">
      <alignment vertical="center"/>
    </xf>
    <xf numFmtId="9" fontId="21" fillId="39" borderId="4" xfId="0" applyNumberFormat="1" applyFont="1" applyFill="1" applyBorder="1" applyAlignment="1">
      <alignment vertical="center"/>
    </xf>
    <xf numFmtId="0" fontId="16" fillId="38" borderId="72" xfId="0" applyFont="1" applyFill="1" applyBorder="1" applyAlignment="1">
      <alignment horizontal="center"/>
    </xf>
    <xf numFmtId="0" fontId="16" fillId="39" borderId="72" xfId="0" applyFont="1" applyFill="1" applyBorder="1" applyAlignment="1">
      <alignment horizontal="center"/>
    </xf>
    <xf numFmtId="9" fontId="75" fillId="38" borderId="28" xfId="0" applyNumberFormat="1" applyFont="1" applyFill="1" applyBorder="1" applyAlignment="1">
      <alignment vertical="center"/>
    </xf>
    <xf numFmtId="9" fontId="74" fillId="39" borderId="1" xfId="0" applyNumberFormat="1" applyFont="1" applyFill="1" applyBorder="1" applyAlignment="1">
      <alignment vertical="center"/>
    </xf>
    <xf numFmtId="9" fontId="75" fillId="38" borderId="69" xfId="0" applyNumberFormat="1" applyFont="1" applyFill="1" applyBorder="1" applyAlignment="1">
      <alignment vertical="center"/>
    </xf>
    <xf numFmtId="0" fontId="16" fillId="38" borderId="120" xfId="0" applyFont="1" applyFill="1" applyBorder="1" applyAlignment="1">
      <alignment horizontal="center"/>
    </xf>
    <xf numFmtId="0" fontId="15" fillId="38" borderId="61" xfId="0" applyFont="1" applyFill="1" applyBorder="1" applyAlignment="1">
      <alignment horizontal="center"/>
    </xf>
    <xf numFmtId="0" fontId="15" fillId="38" borderId="48" xfId="0" applyFont="1" applyFill="1" applyBorder="1" applyAlignment="1">
      <alignment horizontal="center"/>
    </xf>
    <xf numFmtId="9" fontId="19" fillId="38" borderId="3" xfId="0" applyNumberFormat="1" applyFont="1" applyFill="1" applyBorder="1" applyAlignment="1">
      <alignment vertical="center"/>
    </xf>
    <xf numFmtId="9" fontId="19" fillId="38" borderId="4" xfId="0" applyNumberFormat="1" applyFont="1" applyFill="1" applyBorder="1" applyAlignment="1">
      <alignment vertical="center"/>
    </xf>
    <xf numFmtId="3" fontId="5" fillId="0" borderId="15" xfId="0" applyNumberFormat="1" applyFont="1" applyBorder="1" applyAlignment="1">
      <alignment vertical="center"/>
    </xf>
    <xf numFmtId="0" fontId="5" fillId="0" borderId="16" xfId="0" applyFont="1" applyBorder="1" applyAlignment="1">
      <alignment vertical="center"/>
    </xf>
    <xf numFmtId="0" fontId="5" fillId="0" borderId="17" xfId="0" applyFont="1" applyBorder="1" applyAlignment="1">
      <alignment vertical="center"/>
    </xf>
    <xf numFmtId="0" fontId="16" fillId="38" borderId="58" xfId="0" applyFont="1" applyFill="1" applyBorder="1" applyAlignment="1">
      <alignment horizontal="center"/>
    </xf>
    <xf numFmtId="0" fontId="16" fillId="38" borderId="20" xfId="0" applyFont="1" applyFill="1" applyBorder="1" applyAlignment="1">
      <alignment horizontal="center"/>
    </xf>
    <xf numFmtId="9" fontId="75" fillId="38" borderId="64" xfId="0" applyNumberFormat="1" applyFont="1" applyFill="1" applyBorder="1" applyAlignment="1">
      <alignment vertical="center"/>
    </xf>
    <xf numFmtId="0" fontId="22" fillId="80" borderId="48" xfId="0" applyFont="1" applyFill="1" applyBorder="1" applyAlignment="1">
      <alignment horizontal="left" vertical="center"/>
    </xf>
    <xf numFmtId="0" fontId="22" fillId="80" borderId="2" xfId="0" applyFont="1" applyFill="1" applyBorder="1" applyAlignment="1">
      <alignment horizontal="center" vertical="center"/>
    </xf>
    <xf numFmtId="0" fontId="16" fillId="39" borderId="120" xfId="0" applyFont="1" applyFill="1" applyBorder="1" applyAlignment="1">
      <alignment horizontal="center"/>
    </xf>
    <xf numFmtId="0" fontId="5" fillId="0" borderId="63" xfId="0" applyFont="1" applyBorder="1" applyAlignment="1">
      <alignment horizontal="left" vertical="center"/>
    </xf>
    <xf numFmtId="0" fontId="5" fillId="0" borderId="51" xfId="0" applyFont="1" applyBorder="1" applyAlignment="1">
      <alignment vertical="center"/>
    </xf>
    <xf numFmtId="0" fontId="74" fillId="0" borderId="70" xfId="0" applyFont="1" applyBorder="1" applyAlignment="1">
      <alignment horizontal="center"/>
    </xf>
    <xf numFmtId="0" fontId="5" fillId="0" borderId="102" xfId="0" applyFont="1" applyBorder="1" applyAlignment="1">
      <alignment vertical="center"/>
    </xf>
    <xf numFmtId="0" fontId="5" fillId="0" borderId="70" xfId="0" applyFont="1" applyBorder="1" applyAlignment="1">
      <alignment vertical="center"/>
    </xf>
    <xf numFmtId="0" fontId="15" fillId="39" borderId="2" xfId="0" applyFont="1" applyFill="1" applyBorder="1" applyAlignment="1">
      <alignment horizontal="center"/>
    </xf>
    <xf numFmtId="9" fontId="21" fillId="39" borderId="2" xfId="0" applyNumberFormat="1" applyFont="1" applyFill="1" applyBorder="1" applyAlignment="1">
      <alignment vertical="center"/>
    </xf>
    <xf numFmtId="0" fontId="22" fillId="81" borderId="47" xfId="0" applyFont="1" applyFill="1" applyBorder="1" applyAlignment="1">
      <alignment horizontal="left" vertical="center"/>
    </xf>
    <xf numFmtId="0" fontId="22" fillId="81" borderId="48" xfId="0" applyFont="1" applyFill="1" applyBorder="1" applyAlignment="1">
      <alignment horizontal="left" vertical="center"/>
    </xf>
    <xf numFmtId="3" fontId="22" fillId="81" borderId="47" xfId="0" applyNumberFormat="1" applyFont="1" applyFill="1" applyBorder="1" applyAlignment="1">
      <alignment vertical="center"/>
    </xf>
    <xf numFmtId="0" fontId="21" fillId="81" borderId="3" xfId="0" applyFont="1" applyFill="1" applyBorder="1" applyAlignment="1">
      <alignment horizontal="center"/>
    </xf>
    <xf numFmtId="0" fontId="22" fillId="81" borderId="48" xfId="0" applyFont="1" applyFill="1" applyBorder="1" applyAlignment="1">
      <alignment vertical="center"/>
    </xf>
    <xf numFmtId="0" fontId="8" fillId="0" borderId="0" xfId="0" applyFont="1" applyAlignment="1">
      <alignment horizontal="center" vertical="center" wrapText="1"/>
    </xf>
    <xf numFmtId="43" fontId="7" fillId="0" borderId="0" xfId="1" applyFont="1" applyFill="1" applyBorder="1"/>
    <xf numFmtId="43" fontId="8" fillId="0" borderId="0" xfId="1" applyFont="1" applyFill="1" applyBorder="1"/>
    <xf numFmtId="166" fontId="7" fillId="0" borderId="0" xfId="1" applyNumberFormat="1" applyFont="1" applyFill="1" applyBorder="1"/>
    <xf numFmtId="43" fontId="8" fillId="0" borderId="0" xfId="0" applyNumberFormat="1" applyFont="1"/>
    <xf numFmtId="166" fontId="8" fillId="0" borderId="0" xfId="1" applyNumberFormat="1" applyFont="1" applyFill="1" applyBorder="1"/>
    <xf numFmtId="43" fontId="8" fillId="9" borderId="60" xfId="1" applyFont="1" applyFill="1" applyBorder="1"/>
    <xf numFmtId="166" fontId="7" fillId="0" borderId="63" xfId="1" applyNumberFormat="1" applyFont="1" applyBorder="1"/>
    <xf numFmtId="166" fontId="8" fillId="9" borderId="60" xfId="1" applyNumberFormat="1" applyFont="1" applyFill="1" applyBorder="1"/>
    <xf numFmtId="166" fontId="5" fillId="0" borderId="113" xfId="1" applyNumberFormat="1" applyFont="1" applyBorder="1" applyAlignment="1" applyProtection="1">
      <alignment vertical="center"/>
    </xf>
    <xf numFmtId="43" fontId="12" fillId="0" borderId="1" xfId="1" applyFont="1" applyBorder="1" applyAlignment="1" applyProtection="1">
      <alignment horizontal="center"/>
    </xf>
    <xf numFmtId="0" fontId="2" fillId="9" borderId="47" xfId="0" applyFont="1" applyFill="1" applyBorder="1" applyAlignment="1">
      <alignment horizontal="center" vertical="center" wrapText="1"/>
    </xf>
    <xf numFmtId="0" fontId="0" fillId="0" borderId="25" xfId="0" applyBorder="1" applyAlignment="1">
      <alignment horizontal="left" vertical="center"/>
    </xf>
    <xf numFmtId="0" fontId="0" fillId="0" borderId="60" xfId="0" applyBorder="1" applyAlignment="1">
      <alignment horizontal="left" vertical="center"/>
    </xf>
    <xf numFmtId="170" fontId="0" fillId="0" borderId="60" xfId="0" applyNumberFormat="1" applyBorder="1" applyAlignment="1">
      <alignment vertical="center"/>
    </xf>
    <xf numFmtId="0" fontId="0" fillId="0" borderId="53" xfId="0" applyBorder="1"/>
    <xf numFmtId="0" fontId="0" fillId="0" borderId="30" xfId="0" applyBorder="1"/>
    <xf numFmtId="3" fontId="0" fillId="0" borderId="25" xfId="0" applyNumberFormat="1" applyBorder="1"/>
    <xf numFmtId="166" fontId="12" fillId="22" borderId="59" xfId="1" applyNumberFormat="1" applyFont="1" applyFill="1" applyBorder="1" applyAlignment="1" applyProtection="1">
      <alignment horizontal="center"/>
    </xf>
    <xf numFmtId="0" fontId="22" fillId="0" borderId="0" xfId="0" applyFont="1"/>
    <xf numFmtId="0" fontId="76" fillId="0" borderId="0" xfId="0" applyFont="1"/>
    <xf numFmtId="0" fontId="77" fillId="0" borderId="0" xfId="0" applyFont="1"/>
    <xf numFmtId="0" fontId="22" fillId="0" borderId="0" xfId="0" applyFont="1" applyAlignment="1">
      <alignment horizontal="center" vertical="center"/>
    </xf>
    <xf numFmtId="182" fontId="76" fillId="0" borderId="0" xfId="0" applyNumberFormat="1" applyFont="1"/>
    <xf numFmtId="182" fontId="22" fillId="23" borderId="0" xfId="0" applyNumberFormat="1" applyFont="1" applyFill="1"/>
    <xf numFmtId="0" fontId="78" fillId="0" borderId="0" xfId="0" applyFont="1"/>
    <xf numFmtId="0" fontId="79" fillId="0" borderId="0" xfId="0" applyFont="1"/>
    <xf numFmtId="0" fontId="79" fillId="0" borderId="1" xfId="0" applyFont="1" applyBorder="1" applyAlignment="1">
      <alignment horizontal="left"/>
    </xf>
    <xf numFmtId="183" fontId="20" fillId="0" borderId="1" xfId="0" applyNumberFormat="1" applyFont="1" applyBorder="1"/>
    <xf numFmtId="0" fontId="79" fillId="0" borderId="0" xfId="0" applyFont="1" applyAlignment="1">
      <alignment horizontal="left"/>
    </xf>
    <xf numFmtId="183" fontId="20" fillId="0" borderId="1" xfId="0" applyNumberFormat="1" applyFont="1" applyBorder="1" applyProtection="1">
      <protection locked="0"/>
    </xf>
    <xf numFmtId="184" fontId="22" fillId="0" borderId="65" xfId="0" applyNumberFormat="1" applyFont="1" applyBorder="1"/>
    <xf numFmtId="0" fontId="20" fillId="0" borderId="0" xfId="0" applyFont="1" applyAlignment="1">
      <alignment horizontal="right"/>
    </xf>
    <xf numFmtId="166" fontId="20" fillId="0" borderId="1" xfId="722" applyNumberFormat="1" applyFont="1" applyBorder="1"/>
    <xf numFmtId="0" fontId="79" fillId="0" borderId="70" xfId="0" applyFont="1" applyBorder="1" applyAlignment="1">
      <alignment horizontal="left"/>
    </xf>
    <xf numFmtId="183" fontId="20" fillId="0" borderId="70" xfId="0" applyNumberFormat="1" applyFont="1" applyBorder="1"/>
    <xf numFmtId="43" fontId="20" fillId="0" borderId="70" xfId="722" applyFont="1" applyBorder="1"/>
    <xf numFmtId="43" fontId="20" fillId="0" borderId="0" xfId="722" applyFont="1"/>
    <xf numFmtId="43" fontId="20" fillId="0" borderId="1" xfId="722" applyFont="1" applyBorder="1"/>
    <xf numFmtId="43" fontId="20" fillId="0" borderId="1" xfId="722" applyFont="1" applyBorder="1" applyProtection="1">
      <protection locked="0"/>
    </xf>
    <xf numFmtId="185" fontId="20" fillId="0" borderId="70" xfId="0" applyNumberFormat="1" applyFont="1" applyBorder="1"/>
    <xf numFmtId="185" fontId="20" fillId="0" borderId="0" xfId="0" applyNumberFormat="1" applyFont="1"/>
    <xf numFmtId="185" fontId="20" fillId="0" borderId="1" xfId="722" applyNumberFormat="1" applyFont="1" applyBorder="1"/>
    <xf numFmtId="185" fontId="20" fillId="0" borderId="1" xfId="0" applyNumberFormat="1" applyFont="1" applyBorder="1" applyProtection="1">
      <protection locked="0"/>
    </xf>
    <xf numFmtId="0" fontId="80" fillId="0" borderId="70" xfId="0" applyFont="1" applyBorder="1" applyAlignment="1">
      <alignment horizontal="left"/>
    </xf>
    <xf numFmtId="0" fontId="80" fillId="0" borderId="0" xfId="0" applyFont="1"/>
    <xf numFmtId="183" fontId="81" fillId="0" borderId="70" xfId="0" applyNumberFormat="1" applyFont="1" applyBorder="1"/>
    <xf numFmtId="0" fontId="81" fillId="0" borderId="0" xfId="0" applyFont="1"/>
    <xf numFmtId="0" fontId="76" fillId="0" borderId="1" xfId="0" applyFont="1" applyBorder="1" applyAlignment="1">
      <alignment horizontal="left"/>
    </xf>
    <xf numFmtId="43" fontId="5" fillId="0" borderId="1" xfId="722" applyFont="1" applyBorder="1"/>
    <xf numFmtId="186" fontId="5" fillId="0" borderId="1" xfId="722" applyNumberFormat="1" applyFont="1" applyBorder="1"/>
    <xf numFmtId="183" fontId="20" fillId="0" borderId="70" xfId="0" applyNumberFormat="1" applyFont="1" applyBorder="1" applyProtection="1">
      <protection locked="0"/>
    </xf>
    <xf numFmtId="43" fontId="20" fillId="0" borderId="70" xfId="722" applyFont="1" applyBorder="1" applyProtection="1">
      <protection locked="0"/>
    </xf>
    <xf numFmtId="185" fontId="5" fillId="0" borderId="0" xfId="0" applyNumberFormat="1" applyFont="1"/>
    <xf numFmtId="185" fontId="20" fillId="0" borderId="70" xfId="722" applyNumberFormat="1" applyFont="1" applyBorder="1"/>
    <xf numFmtId="185" fontId="20" fillId="0" borderId="70" xfId="0" applyNumberFormat="1" applyFont="1" applyBorder="1" applyProtection="1">
      <protection locked="0"/>
    </xf>
    <xf numFmtId="166" fontId="76" fillId="0" borderId="0" xfId="0" applyNumberFormat="1" applyFont="1"/>
    <xf numFmtId="43" fontId="5" fillId="0" borderId="0" xfId="722" applyFont="1"/>
    <xf numFmtId="9" fontId="5" fillId="0" borderId="1" xfId="33" applyFont="1" applyBorder="1"/>
    <xf numFmtId="9" fontId="5" fillId="0" borderId="1" xfId="33" applyFont="1" applyBorder="1" applyProtection="1">
      <protection locked="0"/>
    </xf>
    <xf numFmtId="185" fontId="5" fillId="0" borderId="1" xfId="722" applyNumberFormat="1" applyFont="1" applyBorder="1"/>
    <xf numFmtId="185" fontId="5" fillId="0" borderId="1" xfId="0" applyNumberFormat="1" applyFont="1" applyBorder="1" applyProtection="1">
      <protection locked="0"/>
    </xf>
    <xf numFmtId="43" fontId="78" fillId="0" borderId="0" xfId="722" applyFont="1" applyFill="1" applyBorder="1" applyAlignment="1" applyProtection="1"/>
    <xf numFmtId="166" fontId="79" fillId="0" borderId="1" xfId="722" applyNumberFormat="1" applyFont="1" applyBorder="1" applyAlignment="1">
      <alignment horizontal="left"/>
    </xf>
    <xf numFmtId="166" fontId="20" fillId="0" borderId="1" xfId="722" applyNumberFormat="1" applyFont="1" applyBorder="1" applyAlignment="1">
      <alignment horizontal="left"/>
    </xf>
    <xf numFmtId="43" fontId="79" fillId="0" borderId="1" xfId="722" applyFont="1" applyBorder="1" applyAlignment="1">
      <alignment horizontal="left"/>
    </xf>
    <xf numFmtId="43" fontId="20" fillId="0" borderId="1" xfId="722" applyFont="1" applyBorder="1" applyAlignment="1">
      <alignment horizontal="left"/>
    </xf>
    <xf numFmtId="171" fontId="5" fillId="0" borderId="0" xfId="722" applyNumberFormat="1" applyFont="1"/>
    <xf numFmtId="171" fontId="20" fillId="0" borderId="0" xfId="722" applyNumberFormat="1" applyFont="1"/>
    <xf numFmtId="171" fontId="79" fillId="0" borderId="1" xfId="722" applyNumberFormat="1" applyFont="1" applyBorder="1" applyAlignment="1">
      <alignment horizontal="left"/>
    </xf>
    <xf numFmtId="171" fontId="20" fillId="0" borderId="1" xfId="722" applyNumberFormat="1" applyFont="1" applyBorder="1" applyAlignment="1">
      <alignment horizontal="left"/>
    </xf>
    <xf numFmtId="9" fontId="5" fillId="0" borderId="0" xfId="33" applyFont="1"/>
    <xf numFmtId="9" fontId="20" fillId="0" borderId="0" xfId="33" applyFont="1" applyAlignment="1">
      <alignment horizontal="right"/>
    </xf>
    <xf numFmtId="9" fontId="79" fillId="0" borderId="70" xfId="33" applyFont="1" applyBorder="1" applyAlignment="1">
      <alignment horizontal="right"/>
    </xf>
    <xf numFmtId="9" fontId="20" fillId="0" borderId="70" xfId="33" applyFont="1" applyBorder="1" applyAlignment="1">
      <alignment horizontal="right"/>
    </xf>
    <xf numFmtId="9" fontId="79" fillId="0" borderId="1" xfId="33" applyFont="1" applyBorder="1" applyAlignment="1">
      <alignment horizontal="right"/>
    </xf>
    <xf numFmtId="9" fontId="20" fillId="0" borderId="1" xfId="33" applyFont="1" applyBorder="1" applyAlignment="1">
      <alignment horizontal="right"/>
    </xf>
    <xf numFmtId="43" fontId="76" fillId="0" borderId="0" xfId="722" applyFont="1"/>
    <xf numFmtId="43" fontId="0" fillId="0" borderId="70" xfId="0" applyNumberFormat="1" applyBorder="1"/>
    <xf numFmtId="0" fontId="7" fillId="34" borderId="28" xfId="0" applyFont="1" applyFill="1" applyBorder="1"/>
    <xf numFmtId="3" fontId="23" fillId="0" borderId="4" xfId="0" applyNumberFormat="1" applyFont="1" applyBorder="1"/>
    <xf numFmtId="181" fontId="22" fillId="82" borderId="0" xfId="0" applyNumberFormat="1" applyFont="1" applyFill="1" applyAlignment="1">
      <alignment horizontal="center"/>
    </xf>
    <xf numFmtId="0" fontId="22" fillId="0" borderId="0" xfId="0" applyFont="1" applyAlignment="1">
      <alignment horizontal="center"/>
    </xf>
    <xf numFmtId="164" fontId="5" fillId="0" borderId="0" xfId="0" applyNumberFormat="1" applyFont="1"/>
    <xf numFmtId="164" fontId="20" fillId="0" borderId="0" xfId="0" applyNumberFormat="1" applyFont="1"/>
    <xf numFmtId="166" fontId="0" fillId="0" borderId="31" xfId="0" applyNumberFormat="1" applyBorder="1" applyAlignment="1">
      <alignment vertical="center"/>
    </xf>
    <xf numFmtId="166" fontId="0" fillId="0" borderId="100" xfId="1" applyNumberFormat="1" applyFont="1" applyBorder="1"/>
    <xf numFmtId="0" fontId="0" fillId="0" borderId="100" xfId="0" applyBorder="1"/>
    <xf numFmtId="166" fontId="0" fillId="0" borderId="70" xfId="1" applyNumberFormat="1" applyFont="1" applyBorder="1"/>
    <xf numFmtId="166" fontId="0" fillId="0" borderId="122" xfId="1" applyNumberFormat="1" applyFont="1" applyBorder="1"/>
    <xf numFmtId="0" fontId="7" fillId="9" borderId="102" xfId="0" applyFont="1" applyFill="1" applyBorder="1"/>
    <xf numFmtId="43" fontId="0" fillId="0" borderId="70" xfId="0" applyNumberFormat="1" applyBorder="1" applyAlignment="1">
      <alignment horizontal="center"/>
    </xf>
    <xf numFmtId="166" fontId="0" fillId="0" borderId="70" xfId="0" applyNumberFormat="1" applyBorder="1"/>
    <xf numFmtId="0" fontId="12" fillId="0" borderId="0" xfId="1870" applyFont="1" applyAlignment="1">
      <alignment horizontal="center"/>
    </xf>
    <xf numFmtId="0" fontId="13" fillId="0" borderId="0" xfId="1870" applyFont="1"/>
    <xf numFmtId="0" fontId="12" fillId="0" borderId="0" xfId="1870" applyFont="1"/>
    <xf numFmtId="2" fontId="13" fillId="0" borderId="0" xfId="1870" applyNumberFormat="1" applyFont="1"/>
    <xf numFmtId="1" fontId="12" fillId="0" borderId="0" xfId="1870" applyNumberFormat="1" applyFont="1"/>
    <xf numFmtId="2" fontId="13" fillId="0" borderId="0" xfId="1870" applyNumberFormat="1" applyFont="1" applyAlignment="1">
      <alignment horizontal="right"/>
    </xf>
    <xf numFmtId="0" fontId="14" fillId="0" borderId="0" xfId="1870" applyFont="1"/>
    <xf numFmtId="170" fontId="15" fillId="0" borderId="0" xfId="1870" applyNumberFormat="1" applyFont="1"/>
    <xf numFmtId="0" fontId="26" fillId="12" borderId="47" xfId="1870" applyFont="1" applyFill="1" applyBorder="1" applyAlignment="1">
      <alignment vertical="center"/>
    </xf>
    <xf numFmtId="0" fontId="26" fillId="12" borderId="49" xfId="1870" applyFont="1" applyFill="1" applyBorder="1" applyAlignment="1">
      <alignment vertical="center"/>
    </xf>
    <xf numFmtId="0" fontId="26" fillId="12" borderId="48" xfId="1870" applyFont="1" applyFill="1" applyBorder="1" applyAlignment="1">
      <alignment vertical="center"/>
    </xf>
    <xf numFmtId="0" fontId="27" fillId="0" borderId="0" xfId="1870" applyFont="1"/>
    <xf numFmtId="0" fontId="16" fillId="0" borderId="0" xfId="1870" applyFont="1" applyAlignment="1">
      <alignment horizontal="left" vertical="center"/>
    </xf>
    <xf numFmtId="0" fontId="15" fillId="0" borderId="0" xfId="1870" applyFont="1"/>
    <xf numFmtId="0" fontId="12" fillId="0" borderId="53" xfId="1870" applyFont="1" applyBorder="1"/>
    <xf numFmtId="0" fontId="12" fillId="0" borderId="54" xfId="1870" applyFont="1" applyBorder="1"/>
    <xf numFmtId="0" fontId="12" fillId="0" borderId="20" xfId="1870" applyFont="1" applyBorder="1"/>
    <xf numFmtId="0" fontId="26" fillId="0" borderId="0" xfId="1870" applyFont="1"/>
    <xf numFmtId="0" fontId="12" fillId="0" borderId="0" xfId="1870" applyFont="1" applyAlignment="1">
      <alignment horizontal="left" vertical="center"/>
    </xf>
    <xf numFmtId="0" fontId="12" fillId="0" borderId="52" xfId="1870" applyFont="1" applyBorder="1"/>
    <xf numFmtId="0" fontId="5" fillId="0" borderId="0" xfId="1870" applyFont="1"/>
    <xf numFmtId="0" fontId="17" fillId="0" borderId="0" xfId="1870" applyFont="1" applyAlignment="1">
      <alignment horizontal="left"/>
    </xf>
    <xf numFmtId="0" fontId="20" fillId="0" borderId="0" xfId="1870" applyFont="1"/>
    <xf numFmtId="172" fontId="17" fillId="0" borderId="0" xfId="1870" applyNumberFormat="1" applyFont="1" applyAlignment="1">
      <alignment horizontal="left"/>
    </xf>
    <xf numFmtId="0" fontId="12" fillId="0" borderId="51" xfId="1870" applyFont="1" applyBorder="1"/>
    <xf numFmtId="0" fontId="13" fillId="30" borderId="0" xfId="1870" applyFont="1" applyFill="1" applyAlignment="1">
      <alignment horizontal="center" vertical="center"/>
    </xf>
    <xf numFmtId="0" fontId="12" fillId="0" borderId="56" xfId="1870" applyFont="1" applyBorder="1"/>
    <xf numFmtId="0" fontId="12" fillId="0" borderId="57" xfId="1870" applyFont="1" applyBorder="1"/>
    <xf numFmtId="0" fontId="15" fillId="5" borderId="47" xfId="1870" applyFont="1" applyFill="1" applyBorder="1" applyAlignment="1">
      <alignment horizontal="center"/>
    </xf>
    <xf numFmtId="0" fontId="15" fillId="0" borderId="2" xfId="1870" applyFont="1" applyBorder="1" applyAlignment="1">
      <alignment horizontal="center"/>
    </xf>
    <xf numFmtId="0" fontId="15" fillId="0" borderId="3" xfId="1870" applyFont="1" applyBorder="1" applyAlignment="1">
      <alignment horizontal="center"/>
    </xf>
    <xf numFmtId="0" fontId="15" fillId="0" borderId="4" xfId="1870" applyFont="1" applyBorder="1" applyAlignment="1">
      <alignment horizontal="center"/>
    </xf>
    <xf numFmtId="1" fontId="15" fillId="0" borderId="27" xfId="1870" applyNumberFormat="1" applyFont="1" applyBorder="1" applyAlignment="1">
      <alignment horizontal="center"/>
    </xf>
    <xf numFmtId="1" fontId="15" fillId="0" borderId="58" xfId="1870" applyNumberFormat="1" applyFont="1" applyBorder="1" applyAlignment="1">
      <alignment horizontal="center"/>
    </xf>
    <xf numFmtId="1" fontId="15" fillId="0" borderId="20" xfId="1870" applyNumberFormat="1" applyFont="1" applyBorder="1" applyAlignment="1">
      <alignment horizontal="center"/>
    </xf>
    <xf numFmtId="170" fontId="15" fillId="20" borderId="50" xfId="1870" applyNumberFormat="1" applyFont="1" applyFill="1" applyBorder="1"/>
    <xf numFmtId="170" fontId="16" fillId="0" borderId="0" xfId="1870" applyNumberFormat="1" applyFont="1"/>
    <xf numFmtId="0" fontId="17" fillId="0" borderId="0" xfId="1870" applyFont="1"/>
    <xf numFmtId="0" fontId="15" fillId="31" borderId="2" xfId="1870" applyFont="1" applyFill="1" applyBorder="1" applyAlignment="1">
      <alignment horizontal="center"/>
    </xf>
    <xf numFmtId="0" fontId="22" fillId="0" borderId="60" xfId="1870" applyFont="1" applyBorder="1" applyAlignment="1">
      <alignment horizontal="center"/>
    </xf>
    <xf numFmtId="0" fontId="22" fillId="0" borderId="49" xfId="1870" applyFont="1" applyBorder="1" applyAlignment="1">
      <alignment horizontal="center"/>
    </xf>
    <xf numFmtId="0" fontId="22" fillId="0" borderId="47" xfId="1870" applyFont="1" applyBorder="1"/>
    <xf numFmtId="0" fontId="22" fillId="0" borderId="61" xfId="1870" applyFont="1" applyBorder="1"/>
    <xf numFmtId="0" fontId="17" fillId="0" borderId="3" xfId="1870" applyFont="1" applyBorder="1" applyAlignment="1">
      <alignment horizontal="center"/>
    </xf>
    <xf numFmtId="0" fontId="17" fillId="0" borderId="4" xfId="1870" applyFont="1" applyBorder="1"/>
    <xf numFmtId="176" fontId="17" fillId="11" borderId="2" xfId="1870" applyNumberFormat="1" applyFont="1" applyFill="1" applyBorder="1" applyAlignment="1">
      <alignment horizontal="center"/>
    </xf>
    <xf numFmtId="176" fontId="17" fillId="11" borderId="3" xfId="1870" applyNumberFormat="1" applyFont="1" applyFill="1" applyBorder="1" applyAlignment="1">
      <alignment horizontal="center"/>
    </xf>
    <xf numFmtId="176" fontId="17" fillId="11" borderId="4" xfId="1870" applyNumberFormat="1" applyFont="1" applyFill="1" applyBorder="1" applyAlignment="1">
      <alignment horizontal="center"/>
    </xf>
    <xf numFmtId="0" fontId="17" fillId="0" borderId="48" xfId="1870" applyFont="1" applyBorder="1"/>
    <xf numFmtId="0" fontId="17" fillId="0" borderId="0" xfId="1870" applyFont="1" applyProtection="1">
      <protection locked="0"/>
    </xf>
    <xf numFmtId="0" fontId="16" fillId="21" borderId="28" xfId="1870" applyFont="1" applyFill="1" applyBorder="1" applyProtection="1">
      <protection locked="0"/>
    </xf>
    <xf numFmtId="170" fontId="15" fillId="21" borderId="17" xfId="1870" applyNumberFormat="1" applyFont="1" applyFill="1" applyBorder="1" applyProtection="1">
      <protection locked="0"/>
    </xf>
    <xf numFmtId="0" fontId="17" fillId="0" borderId="30" xfId="1870" applyFont="1" applyBorder="1" applyProtection="1">
      <protection locked="0"/>
    </xf>
    <xf numFmtId="0" fontId="12" fillId="0" borderId="0" xfId="1870" applyFont="1" applyProtection="1">
      <protection locked="0"/>
    </xf>
    <xf numFmtId="0" fontId="12" fillId="0" borderId="63" xfId="1870" applyFont="1" applyBorder="1" applyProtection="1">
      <protection locked="0"/>
    </xf>
    <xf numFmtId="2" fontId="17" fillId="0" borderId="64" xfId="1870" applyNumberFormat="1" applyFont="1" applyBorder="1" applyAlignment="1" applyProtection="1">
      <alignment horizontal="center"/>
      <protection locked="0"/>
    </xf>
    <xf numFmtId="2" fontId="17" fillId="0" borderId="1" xfId="1870" applyNumberFormat="1" applyFont="1" applyBorder="1" applyAlignment="1" applyProtection="1">
      <alignment horizontal="center"/>
      <protection locked="0"/>
    </xf>
    <xf numFmtId="2" fontId="17" fillId="0" borderId="65" xfId="1870" applyNumberFormat="1" applyFont="1" applyBorder="1" applyAlignment="1" applyProtection="1">
      <alignment horizontal="center"/>
      <protection locked="0"/>
    </xf>
    <xf numFmtId="1" fontId="12" fillId="0" borderId="63" xfId="1870" applyNumberFormat="1" applyFont="1" applyBorder="1" applyProtection="1">
      <protection locked="0"/>
    </xf>
    <xf numFmtId="0" fontId="12" fillId="0" borderId="67" xfId="1870" applyFont="1" applyBorder="1" applyProtection="1">
      <protection locked="0"/>
    </xf>
    <xf numFmtId="12" fontId="17" fillId="43" borderId="64" xfId="1870" applyNumberFormat="1" applyFont="1" applyFill="1" applyBorder="1" applyAlignment="1" applyProtection="1">
      <alignment horizontal="center"/>
      <protection locked="0"/>
    </xf>
    <xf numFmtId="0" fontId="12" fillId="0" borderId="0" xfId="1870" applyFont="1" applyAlignment="1" applyProtection="1">
      <alignment horizontal="center"/>
      <protection locked="0"/>
    </xf>
    <xf numFmtId="0" fontId="13" fillId="0" borderId="0" xfId="1870" applyFont="1" applyProtection="1">
      <protection locked="0"/>
    </xf>
    <xf numFmtId="2" fontId="13" fillId="0" borderId="0" xfId="1870" applyNumberFormat="1" applyFont="1" applyProtection="1">
      <protection locked="0"/>
    </xf>
    <xf numFmtId="1" fontId="12" fillId="0" borderId="0" xfId="1870" applyNumberFormat="1" applyFont="1" applyProtection="1">
      <protection locked="0"/>
    </xf>
    <xf numFmtId="2" fontId="13" fillId="0" borderId="0" xfId="1870" applyNumberFormat="1" applyFont="1" applyAlignment="1" applyProtection="1">
      <alignment horizontal="right"/>
      <protection locked="0"/>
    </xf>
    <xf numFmtId="0" fontId="26" fillId="12" borderId="53" xfId="1870" applyFont="1" applyFill="1" applyBorder="1" applyAlignment="1">
      <alignment vertical="center"/>
    </xf>
    <xf numFmtId="0" fontId="26" fillId="12" borderId="54" xfId="1870" applyFont="1" applyFill="1" applyBorder="1" applyAlignment="1">
      <alignment vertical="center"/>
    </xf>
    <xf numFmtId="0" fontId="26" fillId="12" borderId="20" xfId="1870" applyFont="1" applyFill="1" applyBorder="1" applyAlignment="1">
      <alignment vertical="center"/>
    </xf>
    <xf numFmtId="0" fontId="28" fillId="0" borderId="0" xfId="1870" applyFont="1" applyAlignment="1">
      <alignment horizontal="center"/>
    </xf>
    <xf numFmtId="0" fontId="28" fillId="0" borderId="0" xfId="1870" applyFont="1" applyAlignment="1">
      <alignment horizontal="left" vertical="center"/>
    </xf>
    <xf numFmtId="0" fontId="28" fillId="0" borderId="0" xfId="1870" applyFont="1"/>
    <xf numFmtId="1" fontId="15" fillId="0" borderId="68" xfId="1870" applyNumberFormat="1" applyFont="1" applyBorder="1" applyAlignment="1">
      <alignment horizontal="center"/>
    </xf>
    <xf numFmtId="0" fontId="15" fillId="0" borderId="27" xfId="1870" applyFont="1" applyBorder="1"/>
    <xf numFmtId="0" fontId="15" fillId="0" borderId="29" xfId="1870" applyFont="1" applyBorder="1"/>
    <xf numFmtId="170" fontId="15" fillId="0" borderId="3" xfId="1870" applyNumberFormat="1" applyFont="1" applyBorder="1"/>
    <xf numFmtId="170" fontId="15" fillId="0" borderId="4" xfId="1870" applyNumberFormat="1" applyFont="1" applyBorder="1"/>
    <xf numFmtId="16" fontId="15" fillId="0" borderId="61" xfId="1870" applyNumberFormat="1" applyFont="1" applyBorder="1" applyAlignment="1">
      <alignment horizontal="center"/>
    </xf>
    <xf numFmtId="16" fontId="15" fillId="0" borderId="3" xfId="1870" applyNumberFormat="1" applyFont="1" applyBorder="1" applyAlignment="1">
      <alignment horizontal="center"/>
    </xf>
    <xf numFmtId="16" fontId="15" fillId="0" borderId="3" xfId="1870" applyNumberFormat="1" applyFont="1" applyBorder="1"/>
    <xf numFmtId="16" fontId="15" fillId="0" borderId="61" xfId="1870" applyNumberFormat="1" applyFont="1" applyBorder="1"/>
    <xf numFmtId="16" fontId="15" fillId="0" borderId="19" xfId="1870" applyNumberFormat="1" applyFont="1" applyBorder="1"/>
    <xf numFmtId="16" fontId="17" fillId="0" borderId="60" xfId="1870" applyNumberFormat="1" applyFont="1" applyBorder="1"/>
    <xf numFmtId="16" fontId="12" fillId="0" borderId="0" xfId="1870" applyNumberFormat="1" applyFont="1"/>
    <xf numFmtId="0" fontId="16" fillId="21" borderId="15" xfId="1870" applyFont="1" applyFill="1" applyBorder="1" applyProtection="1">
      <protection locked="0"/>
    </xf>
    <xf numFmtId="1" fontId="12" fillId="0" borderId="30" xfId="1870" applyNumberFormat="1" applyFont="1" applyBorder="1" applyProtection="1">
      <protection locked="0"/>
    </xf>
    <xf numFmtId="0" fontId="15" fillId="0" borderId="63" xfId="1870" applyFont="1" applyBorder="1" applyAlignment="1" applyProtection="1">
      <alignment horizontal="left" vertical="center" wrapText="1"/>
      <protection locked="0"/>
    </xf>
    <xf numFmtId="0" fontId="17" fillId="0" borderId="0" xfId="1870" applyFont="1" applyAlignment="1" applyProtection="1">
      <alignment horizontal="center"/>
      <protection locked="0"/>
    </xf>
    <xf numFmtId="0" fontId="17" fillId="0" borderId="63" xfId="1870" applyFont="1" applyBorder="1" applyAlignment="1" applyProtection="1">
      <alignment horizontal="center"/>
      <protection locked="0"/>
    </xf>
    <xf numFmtId="0" fontId="15" fillId="0" borderId="67" xfId="1870" applyFont="1" applyBorder="1" applyAlignment="1" applyProtection="1">
      <alignment horizontal="left" vertical="center" wrapText="1"/>
      <protection locked="0"/>
    </xf>
    <xf numFmtId="1" fontId="15" fillId="0" borderId="30" xfId="1870" applyNumberFormat="1" applyFont="1" applyBorder="1" applyAlignment="1" applyProtection="1">
      <alignment horizontal="left" vertical="center" wrapText="1"/>
      <protection locked="0"/>
    </xf>
    <xf numFmtId="166" fontId="12" fillId="22" borderId="59" xfId="1" applyNumberFormat="1" applyFont="1" applyFill="1" applyBorder="1" applyAlignment="1">
      <alignment horizontal="center"/>
    </xf>
    <xf numFmtId="170" fontId="15" fillId="21" borderId="69" xfId="1870" applyNumberFormat="1" applyFont="1" applyFill="1" applyBorder="1" applyProtection="1">
      <protection locked="0"/>
    </xf>
    <xf numFmtId="0" fontId="17" fillId="29" borderId="0" xfId="1870" applyFont="1" applyFill="1" applyAlignment="1" applyProtection="1">
      <alignment horizontal="right"/>
      <protection locked="0"/>
    </xf>
    <xf numFmtId="170" fontId="15" fillId="0" borderId="0" xfId="1870" applyNumberFormat="1" applyFont="1" applyProtection="1">
      <protection locked="0"/>
    </xf>
    <xf numFmtId="0" fontId="15" fillId="0" borderId="63" xfId="1870" applyFont="1" applyBorder="1" applyAlignment="1" applyProtection="1">
      <alignment vertical="center"/>
      <protection locked="0"/>
    </xf>
    <xf numFmtId="0" fontId="15" fillId="0" borderId="67" xfId="1870" applyFont="1" applyBorder="1" applyAlignment="1" applyProtection="1">
      <alignment vertical="center"/>
      <protection locked="0"/>
    </xf>
    <xf numFmtId="0" fontId="12" fillId="0" borderId="0" xfId="1870" applyFont="1" applyAlignment="1" applyProtection="1">
      <alignment horizontal="left" vertical="center"/>
      <protection locked="0"/>
    </xf>
    <xf numFmtId="0" fontId="15" fillId="0" borderId="0" xfId="1870" applyFont="1" applyProtection="1">
      <protection locked="0"/>
    </xf>
    <xf numFmtId="0" fontId="83" fillId="83" borderId="28" xfId="0" applyFont="1" applyFill="1" applyBorder="1" applyAlignment="1">
      <alignment wrapText="1"/>
    </xf>
    <xf numFmtId="0" fontId="83" fillId="83" borderId="64" xfId="0" applyFont="1" applyFill="1" applyBorder="1" applyAlignment="1">
      <alignment wrapText="1"/>
    </xf>
    <xf numFmtId="0" fontId="83" fillId="83" borderId="33" xfId="0" applyFont="1" applyFill="1" applyBorder="1" applyAlignment="1">
      <alignment wrapText="1"/>
    </xf>
    <xf numFmtId="0" fontId="84" fillId="0" borderId="28" xfId="0" applyFont="1" applyBorder="1"/>
    <xf numFmtId="0" fontId="84" fillId="0" borderId="21" xfId="0" applyFont="1" applyBorder="1"/>
    <xf numFmtId="166" fontId="2" fillId="0" borderId="0" xfId="1" applyNumberFormat="1" applyFont="1" applyBorder="1"/>
    <xf numFmtId="2" fontId="2" fillId="0" borderId="0" xfId="0" applyNumberFormat="1" applyFont="1"/>
    <xf numFmtId="0" fontId="8" fillId="0" borderId="0" xfId="0" applyFont="1"/>
    <xf numFmtId="0" fontId="85" fillId="0" borderId="129" xfId="0" applyFont="1" applyBorder="1"/>
    <xf numFmtId="0" fontId="85" fillId="0" borderId="130" xfId="0" applyFont="1" applyBorder="1"/>
    <xf numFmtId="0" fontId="85" fillId="0" borderId="131" xfId="0" applyFont="1" applyBorder="1"/>
    <xf numFmtId="0" fontId="85" fillId="0" borderId="132" xfId="0" applyFont="1" applyBorder="1"/>
    <xf numFmtId="0" fontId="85" fillId="0" borderId="133" xfId="0" applyFont="1" applyBorder="1"/>
    <xf numFmtId="0" fontId="85" fillId="0" borderId="134" xfId="0" applyFont="1" applyBorder="1"/>
    <xf numFmtId="0" fontId="85" fillId="0" borderId="135" xfId="0" applyFont="1" applyBorder="1"/>
    <xf numFmtId="0" fontId="85" fillId="0" borderId="136" xfId="0" applyFont="1" applyBorder="1"/>
    <xf numFmtId="0" fontId="85" fillId="0" borderId="137" xfId="0" applyFont="1" applyBorder="1"/>
    <xf numFmtId="2" fontId="85" fillId="0" borderId="130" xfId="0" applyNumberFormat="1" applyFont="1" applyBorder="1"/>
    <xf numFmtId="2" fontId="85" fillId="0" borderId="133" xfId="0" applyNumberFormat="1" applyFont="1" applyBorder="1"/>
    <xf numFmtId="2" fontId="85" fillId="0" borderId="136" xfId="0" applyNumberFormat="1" applyFont="1" applyBorder="1"/>
    <xf numFmtId="0" fontId="0" fillId="0" borderId="138" xfId="0" applyBorder="1" applyAlignment="1">
      <alignment horizontal="left" vertical="center"/>
    </xf>
    <xf numFmtId="0" fontId="0" fillId="0" borderId="139" xfId="0" applyBorder="1" applyAlignment="1">
      <alignment vertical="center"/>
    </xf>
    <xf numFmtId="0" fontId="0" fillId="0" borderId="140" xfId="0" applyBorder="1" applyAlignment="1">
      <alignment vertical="center"/>
    </xf>
    <xf numFmtId="0" fontId="0" fillId="0" borderId="141" xfId="0" applyBorder="1" applyAlignment="1">
      <alignment horizontal="left" vertical="center"/>
    </xf>
    <xf numFmtId="170" fontId="0" fillId="0" borderId="142" xfId="0" applyNumberFormat="1" applyBorder="1" applyAlignment="1">
      <alignment vertical="center"/>
    </xf>
    <xf numFmtId="0" fontId="0" fillId="0" borderId="142" xfId="0" applyBorder="1" applyAlignment="1">
      <alignment vertical="center"/>
    </xf>
    <xf numFmtId="0" fontId="0" fillId="0" borderId="143" xfId="0" applyBorder="1" applyAlignment="1">
      <alignment vertical="center"/>
    </xf>
    <xf numFmtId="43" fontId="0" fillId="0" borderId="139" xfId="0" applyNumberFormat="1" applyBorder="1" applyAlignment="1">
      <alignment vertical="center"/>
    </xf>
    <xf numFmtId="0" fontId="0" fillId="0" borderId="144" xfId="0" applyBorder="1" applyAlignment="1">
      <alignment horizontal="left" vertical="center"/>
    </xf>
    <xf numFmtId="170" fontId="0" fillId="0" borderId="145" xfId="0" applyNumberFormat="1" applyBorder="1" applyAlignment="1">
      <alignment vertical="center"/>
    </xf>
    <xf numFmtId="0" fontId="0" fillId="0" borderId="145" xfId="0" applyBorder="1" applyAlignment="1">
      <alignment vertical="center"/>
    </xf>
    <xf numFmtId="43" fontId="0" fillId="0" borderId="147" xfId="0" applyNumberFormat="1" applyBorder="1" applyAlignment="1">
      <alignment vertical="center"/>
    </xf>
    <xf numFmtId="0" fontId="0" fillId="9" borderId="147" xfId="0" applyFill="1" applyBorder="1" applyAlignment="1">
      <alignment horizontal="left" vertical="center"/>
    </xf>
    <xf numFmtId="43" fontId="0" fillId="9" borderId="147" xfId="1" applyFont="1" applyFill="1" applyBorder="1" applyAlignment="1">
      <alignment vertical="center"/>
    </xf>
    <xf numFmtId="43" fontId="0" fillId="26" borderId="139" xfId="1" applyFont="1" applyFill="1" applyBorder="1" applyAlignment="1">
      <alignment vertical="center"/>
    </xf>
    <xf numFmtId="43" fontId="0" fillId="0" borderId="140" xfId="1" applyFont="1" applyBorder="1" applyAlignment="1">
      <alignment vertical="center"/>
    </xf>
    <xf numFmtId="43" fontId="0" fillId="0" borderId="139" xfId="1" applyFont="1" applyBorder="1" applyAlignment="1">
      <alignment vertical="center"/>
    </xf>
    <xf numFmtId="170" fontId="0" fillId="0" borderId="149" xfId="0" applyNumberFormat="1" applyBorder="1" applyAlignment="1">
      <alignment vertical="center"/>
    </xf>
    <xf numFmtId="0" fontId="0" fillId="9" borderId="150" xfId="0" applyFill="1" applyBorder="1" applyAlignment="1">
      <alignment horizontal="left" vertical="center"/>
    </xf>
    <xf numFmtId="1" fontId="0" fillId="9" borderId="150" xfId="0" applyNumberFormat="1" applyFill="1" applyBorder="1" applyAlignment="1">
      <alignment vertical="center"/>
    </xf>
    <xf numFmtId="1" fontId="0" fillId="26" borderId="142" xfId="0" applyNumberFormat="1" applyFill="1" applyBorder="1" applyAlignment="1">
      <alignment vertical="center"/>
    </xf>
    <xf numFmtId="170" fontId="0" fillId="0" borderId="143" xfId="0" applyNumberFormat="1" applyBorder="1" applyAlignment="1">
      <alignment vertical="center"/>
    </xf>
    <xf numFmtId="0" fontId="0" fillId="9" borderId="139" xfId="0" applyFill="1" applyBorder="1" applyAlignment="1">
      <alignment horizontal="left" vertical="center"/>
    </xf>
    <xf numFmtId="43" fontId="0" fillId="9" borderId="139" xfId="1" applyFont="1" applyFill="1" applyBorder="1" applyAlignment="1">
      <alignment vertical="center"/>
    </xf>
    <xf numFmtId="171" fontId="0" fillId="0" borderId="142" xfId="1" applyNumberFormat="1" applyFont="1" applyBorder="1" applyAlignment="1">
      <alignment vertical="center"/>
    </xf>
    <xf numFmtId="0" fontId="0" fillId="9" borderId="142" xfId="0" applyFill="1" applyBorder="1" applyAlignment="1">
      <alignment horizontal="left" vertical="center"/>
    </xf>
    <xf numFmtId="1" fontId="0" fillId="9" borderId="142" xfId="0" applyNumberFormat="1" applyFill="1" applyBorder="1" applyAlignment="1">
      <alignment vertical="center"/>
    </xf>
    <xf numFmtId="43" fontId="0" fillId="0" borderId="147" xfId="1" applyFont="1" applyBorder="1" applyAlignment="1">
      <alignment vertical="center"/>
    </xf>
    <xf numFmtId="2" fontId="0" fillId="0" borderId="139" xfId="0" applyNumberFormat="1" applyBorder="1" applyAlignment="1">
      <alignment vertical="center"/>
    </xf>
    <xf numFmtId="43" fontId="0" fillId="0" borderId="142" xfId="0" applyNumberFormat="1" applyBorder="1" applyAlignment="1">
      <alignment vertical="center"/>
    </xf>
    <xf numFmtId="170" fontId="0" fillId="9" borderId="142" xfId="0" applyNumberFormat="1" applyFill="1" applyBorder="1" applyAlignment="1">
      <alignment vertical="center"/>
    </xf>
    <xf numFmtId="0" fontId="0" fillId="0" borderId="142" xfId="0" applyBorder="1" applyAlignment="1">
      <alignment horizontal="center" vertical="center"/>
    </xf>
    <xf numFmtId="17" fontId="2" fillId="0" borderId="146" xfId="0" applyNumberFormat="1" applyFont="1" applyBorder="1" applyAlignment="1">
      <alignment horizontal="center" vertical="center"/>
    </xf>
    <xf numFmtId="3" fontId="0" fillId="0" borderId="152" xfId="0" applyNumberFormat="1" applyBorder="1"/>
    <xf numFmtId="3" fontId="23" fillId="0" borderId="153" xfId="0" applyNumberFormat="1" applyFont="1" applyBorder="1"/>
    <xf numFmtId="0" fontId="0" fillId="0" borderId="139" xfId="0" applyBorder="1" applyAlignment="1">
      <alignment horizontal="left" vertical="center"/>
    </xf>
    <xf numFmtId="0" fontId="0" fillId="0" borderId="142" xfId="0" applyBorder="1" applyAlignment="1">
      <alignment horizontal="left" vertical="center"/>
    </xf>
    <xf numFmtId="17" fontId="2" fillId="0" borderId="151" xfId="0" applyNumberFormat="1" applyFont="1" applyBorder="1" applyAlignment="1">
      <alignment horizontal="center" vertical="center"/>
    </xf>
    <xf numFmtId="3" fontId="0" fillId="0" borderId="154" xfId="0" applyNumberFormat="1" applyBorder="1"/>
    <xf numFmtId="3" fontId="23" fillId="0" borderId="155" xfId="0" applyNumberFormat="1" applyFont="1" applyBorder="1"/>
    <xf numFmtId="0" fontId="0" fillId="0" borderId="146" xfId="0" applyBorder="1"/>
    <xf numFmtId="0" fontId="0" fillId="0" borderId="152" xfId="0" applyBorder="1"/>
    <xf numFmtId="3" fontId="0" fillId="0" borderId="153" xfId="0" applyNumberFormat="1" applyBorder="1"/>
    <xf numFmtId="166" fontId="0" fillId="0" borderId="152" xfId="0" applyNumberFormat="1" applyBorder="1"/>
    <xf numFmtId="166" fontId="23" fillId="0" borderId="152" xfId="1" applyNumberFormat="1" applyFont="1" applyBorder="1"/>
    <xf numFmtId="0" fontId="0" fillId="0" borderId="148" xfId="0" applyBorder="1"/>
    <xf numFmtId="0" fontId="0" fillId="0" borderId="156" xfId="0" applyBorder="1"/>
    <xf numFmtId="166" fontId="23" fillId="0" borderId="156" xfId="0" applyNumberFormat="1" applyFont="1" applyBorder="1"/>
    <xf numFmtId="166" fontId="23" fillId="0" borderId="157" xfId="0" applyNumberFormat="1" applyFont="1" applyBorder="1"/>
    <xf numFmtId="3" fontId="46" fillId="0" borderId="101" xfId="0" applyNumberFormat="1" applyFont="1" applyBorder="1" applyAlignment="1">
      <alignment horizontal="center" vertical="center" wrapText="1"/>
    </xf>
    <xf numFmtId="3" fontId="46" fillId="0" borderId="0" xfId="0" applyNumberFormat="1" applyFont="1" applyAlignment="1">
      <alignment horizontal="center" vertical="center" wrapText="1"/>
    </xf>
    <xf numFmtId="3" fontId="46" fillId="0" borderId="31" xfId="0" applyNumberFormat="1" applyFont="1" applyBorder="1" applyAlignment="1">
      <alignment horizontal="center" vertical="center" wrapText="1"/>
    </xf>
    <xf numFmtId="0" fontId="46" fillId="0" borderId="146" xfId="0" applyFont="1" applyBorder="1" applyAlignment="1">
      <alignment vertical="center" wrapText="1"/>
    </xf>
    <xf numFmtId="0" fontId="44" fillId="9" borderId="138" xfId="0" applyFont="1" applyFill="1" applyBorder="1" applyAlignment="1">
      <alignment vertical="center" wrapText="1"/>
    </xf>
    <xf numFmtId="3" fontId="46" fillId="0" borderId="139" xfId="0" applyNumberFormat="1" applyFont="1" applyBorder="1" applyAlignment="1">
      <alignment horizontal="center" vertical="center" wrapText="1"/>
    </xf>
    <xf numFmtId="0" fontId="44" fillId="9" borderId="158" xfId="0" applyFont="1" applyFill="1" applyBorder="1" applyAlignment="1">
      <alignment horizontal="center" vertical="center" wrapText="1"/>
    </xf>
    <xf numFmtId="3" fontId="50" fillId="0" borderId="139" xfId="0" applyNumberFormat="1" applyFont="1" applyBorder="1" applyAlignment="1">
      <alignment horizontal="center" vertical="center" wrapText="1"/>
    </xf>
    <xf numFmtId="3" fontId="47" fillId="0" borderId="139" xfId="0" applyNumberFormat="1" applyFont="1" applyBorder="1" applyAlignment="1">
      <alignment horizontal="center" vertical="center" wrapText="1"/>
    </xf>
    <xf numFmtId="0" fontId="46" fillId="0" borderId="148" xfId="0" applyFont="1" applyBorder="1" applyAlignment="1">
      <alignment vertical="center" wrapText="1"/>
    </xf>
    <xf numFmtId="0" fontId="44" fillId="9" borderId="141" xfId="0" applyFont="1" applyFill="1" applyBorder="1" applyAlignment="1">
      <alignment vertical="center" wrapText="1"/>
    </xf>
    <xf numFmtId="3" fontId="47" fillId="0" borderId="142" xfId="0" applyNumberFormat="1" applyFont="1" applyBorder="1" applyAlignment="1">
      <alignment horizontal="center" vertical="center" wrapText="1"/>
    </xf>
    <xf numFmtId="0" fontId="44" fillId="9" borderId="159" xfId="0" applyFont="1" applyFill="1" applyBorder="1" applyAlignment="1">
      <alignment horizontal="center" vertical="center" wrapText="1"/>
    </xf>
    <xf numFmtId="43" fontId="0" fillId="0" borderId="140" xfId="0" applyNumberFormat="1" applyBorder="1" applyAlignment="1">
      <alignment vertical="center"/>
    </xf>
    <xf numFmtId="17" fontId="2" fillId="0" borderId="139" xfId="0" applyNumberFormat="1" applyFont="1" applyBorder="1" applyAlignment="1">
      <alignment horizontal="center" vertical="center"/>
    </xf>
    <xf numFmtId="3" fontId="0" fillId="0" borderId="160" xfId="0" applyNumberFormat="1" applyBorder="1"/>
    <xf numFmtId="17" fontId="2" fillId="0" borderId="145" xfId="0" applyNumberFormat="1" applyFont="1" applyBorder="1" applyAlignment="1">
      <alignment horizontal="center" vertical="center"/>
    </xf>
    <xf numFmtId="3" fontId="0" fillId="0" borderId="120" xfId="0" applyNumberFormat="1" applyBorder="1"/>
    <xf numFmtId="3" fontId="0" fillId="0" borderId="156" xfId="0" applyNumberFormat="1" applyBorder="1"/>
    <xf numFmtId="2" fontId="0" fillId="0" borderId="142" xfId="0" applyNumberFormat="1" applyBorder="1" applyAlignment="1">
      <alignment vertical="center"/>
    </xf>
    <xf numFmtId="0" fontId="2" fillId="0" borderId="147" xfId="0" applyFont="1" applyBorder="1"/>
    <xf numFmtId="0" fontId="0" fillId="0" borderId="146" xfId="0" applyBorder="1" applyAlignment="1">
      <alignment horizontal="center" vertical="center"/>
    </xf>
    <xf numFmtId="0" fontId="0" fillId="0" borderId="152" xfId="0" applyBorder="1" applyAlignment="1">
      <alignment horizontal="center" vertical="center"/>
    </xf>
    <xf numFmtId="0" fontId="0" fillId="0" borderId="153" xfId="0" applyBorder="1" applyAlignment="1">
      <alignment horizontal="center" vertical="center"/>
    </xf>
    <xf numFmtId="166" fontId="0" fillId="0" borderId="146" xfId="1" applyNumberFormat="1" applyFont="1" applyBorder="1" applyAlignment="1">
      <alignment horizontal="center" vertical="center"/>
    </xf>
    <xf numFmtId="170" fontId="0" fillId="0" borderId="153" xfId="0" applyNumberFormat="1" applyBorder="1" applyAlignment="1">
      <alignment horizontal="center" vertical="center"/>
    </xf>
    <xf numFmtId="0" fontId="0" fillId="0" borderId="160" xfId="0" applyBorder="1" applyAlignment="1">
      <alignment horizontal="center" vertical="center"/>
    </xf>
    <xf numFmtId="0" fontId="2" fillId="0" borderId="149" xfId="0" applyFont="1" applyBorder="1"/>
    <xf numFmtId="43" fontId="0" fillId="0" borderId="154" xfId="0" applyNumberFormat="1" applyBorder="1" applyAlignment="1">
      <alignment horizontal="center" vertical="center"/>
    </xf>
    <xf numFmtId="43" fontId="0" fillId="0" borderId="155" xfId="0" applyNumberFormat="1" applyBorder="1" applyAlignment="1">
      <alignment horizontal="center" vertical="center"/>
    </xf>
    <xf numFmtId="0" fontId="0" fillId="0" borderId="139" xfId="0" applyBorder="1"/>
    <xf numFmtId="0" fontId="0" fillId="0" borderId="142" xfId="0" applyBorder="1"/>
    <xf numFmtId="0" fontId="2" fillId="14" borderId="146" xfId="0" applyFont="1" applyFill="1" applyBorder="1" applyAlignment="1">
      <alignment horizontal="center" vertical="center" wrapText="1"/>
    </xf>
    <xf numFmtId="0" fontId="2" fillId="14" borderId="152" xfId="0" applyFont="1" applyFill="1" applyBorder="1" applyAlignment="1">
      <alignment horizontal="center" vertical="center" wrapText="1"/>
    </xf>
    <xf numFmtId="0" fontId="2" fillId="14" borderId="138" xfId="0" applyFont="1" applyFill="1" applyBorder="1" applyAlignment="1">
      <alignment horizontal="center" vertical="center" wrapText="1"/>
    </xf>
    <xf numFmtId="0" fontId="2" fillId="14" borderId="153" xfId="0" applyFont="1" applyFill="1" applyBorder="1" applyAlignment="1">
      <alignment horizontal="center" vertical="center" wrapText="1"/>
    </xf>
    <xf numFmtId="0" fontId="7" fillId="0" borderId="146" xfId="0" applyFont="1" applyBorder="1"/>
    <xf numFmtId="166" fontId="5" fillId="0" borderId="152" xfId="1" applyNumberFormat="1" applyFont="1" applyFill="1" applyBorder="1" applyAlignment="1">
      <alignment horizontal="center"/>
    </xf>
    <xf numFmtId="168" fontId="5" fillId="0" borderId="152" xfId="1" applyNumberFormat="1" applyFont="1" applyFill="1" applyBorder="1" applyAlignment="1">
      <alignment horizontal="center"/>
    </xf>
    <xf numFmtId="169" fontId="5" fillId="0" borderId="152" xfId="1" applyNumberFormat="1" applyFont="1" applyFill="1" applyBorder="1" applyAlignment="1">
      <alignment horizontal="center"/>
    </xf>
    <xf numFmtId="166" fontId="5" fillId="0" borderId="138" xfId="1" applyNumberFormat="1" applyFont="1" applyFill="1" applyBorder="1" applyAlignment="1">
      <alignment horizontal="center"/>
    </xf>
    <xf numFmtId="166" fontId="5" fillId="0" borderId="153" xfId="1" applyNumberFormat="1" applyFont="1" applyFill="1" applyBorder="1" applyAlignment="1">
      <alignment horizontal="center"/>
    </xf>
    <xf numFmtId="166" fontId="5" fillId="0" borderId="154" xfId="1" applyNumberFormat="1" applyFont="1" applyFill="1" applyBorder="1" applyAlignment="1">
      <alignment horizontal="center"/>
    </xf>
    <xf numFmtId="168" fontId="5" fillId="0" borderId="154" xfId="1" applyNumberFormat="1" applyFont="1" applyFill="1" applyBorder="1" applyAlignment="1">
      <alignment horizontal="center"/>
    </xf>
    <xf numFmtId="169" fontId="5" fillId="0" borderId="154" xfId="1" applyNumberFormat="1" applyFont="1" applyFill="1" applyBorder="1" applyAlignment="1">
      <alignment horizontal="center"/>
    </xf>
    <xf numFmtId="0" fontId="7" fillId="25" borderId="146" xfId="0" applyFont="1" applyFill="1" applyBorder="1"/>
    <xf numFmtId="0" fontId="0" fillId="0" borderId="153" xfId="0" applyBorder="1"/>
    <xf numFmtId="0" fontId="7" fillId="32" borderId="146" xfId="0" applyFont="1" applyFill="1" applyBorder="1"/>
    <xf numFmtId="0" fontId="7" fillId="33" borderId="146" xfId="0" applyFont="1" applyFill="1" applyBorder="1"/>
    <xf numFmtId="0" fontId="7" fillId="31" borderId="146" xfId="0" applyFont="1" applyFill="1" applyBorder="1"/>
    <xf numFmtId="0" fontId="8" fillId="3" borderId="148" xfId="0" applyFont="1" applyFill="1" applyBorder="1"/>
    <xf numFmtId="166" fontId="2" fillId="0" borderId="156" xfId="1" applyNumberFormat="1" applyFont="1" applyBorder="1"/>
    <xf numFmtId="2" fontId="2" fillId="0" borderId="156" xfId="0" applyNumberFormat="1" applyFont="1" applyBorder="1"/>
    <xf numFmtId="169" fontId="2" fillId="0" borderId="156" xfId="0" applyNumberFormat="1" applyFont="1" applyBorder="1"/>
    <xf numFmtId="0" fontId="0" fillId="0" borderId="157" xfId="0" applyBorder="1"/>
    <xf numFmtId="43" fontId="0" fillId="0" borderId="152" xfId="0" applyNumberFormat="1" applyBorder="1"/>
    <xf numFmtId="0" fontId="7" fillId="26" borderId="146" xfId="0" applyFont="1" applyFill="1" applyBorder="1"/>
    <xf numFmtId="2" fontId="0" fillId="0" borderId="152" xfId="0" applyNumberFormat="1" applyBorder="1"/>
    <xf numFmtId="0" fontId="7" fillId="36" borderId="146" xfId="0" applyFont="1" applyFill="1" applyBorder="1"/>
    <xf numFmtId="169" fontId="0" fillId="0" borderId="152" xfId="0" applyNumberFormat="1" applyBorder="1"/>
    <xf numFmtId="171" fontId="0" fillId="0" borderId="152" xfId="0" applyNumberFormat="1" applyBorder="1"/>
    <xf numFmtId="166" fontId="0" fillId="0" borderId="156" xfId="0" applyNumberFormat="1" applyBorder="1"/>
    <xf numFmtId="1" fontId="0" fillId="0" borderId="152" xfId="0" applyNumberFormat="1" applyBorder="1"/>
    <xf numFmtId="0" fontId="7" fillId="27" borderId="146" xfId="0" applyFont="1" applyFill="1" applyBorder="1"/>
    <xf numFmtId="0" fontId="7" fillId="0" borderId="151" xfId="0" applyFont="1" applyBorder="1"/>
    <xf numFmtId="0" fontId="0" fillId="0" borderId="154" xfId="0" applyBorder="1"/>
    <xf numFmtId="43" fontId="0" fillId="0" borderId="154" xfId="0" applyNumberFormat="1" applyBorder="1"/>
    <xf numFmtId="0" fontId="0" fillId="0" borderId="155" xfId="0" applyBorder="1"/>
    <xf numFmtId="0" fontId="7" fillId="26" borderId="151" xfId="0" applyFont="1" applyFill="1" applyBorder="1"/>
    <xf numFmtId="166" fontId="0" fillId="0" borderId="152" xfId="1" applyNumberFormat="1" applyFont="1" applyBorder="1"/>
    <xf numFmtId="2" fontId="0" fillId="0" borderId="138" xfId="0" applyNumberFormat="1" applyBorder="1"/>
    <xf numFmtId="43" fontId="0" fillId="0" borderId="153" xfId="0" applyNumberFormat="1" applyBorder="1"/>
    <xf numFmtId="170" fontId="0" fillId="0" borderId="152" xfId="0" applyNumberFormat="1" applyBorder="1"/>
    <xf numFmtId="170" fontId="0" fillId="0" borderId="138" xfId="0" applyNumberFormat="1" applyBorder="1"/>
    <xf numFmtId="171" fontId="0" fillId="0" borderId="153" xfId="0" applyNumberFormat="1" applyBorder="1"/>
    <xf numFmtId="166" fontId="0" fillId="0" borderId="141" xfId="0" applyNumberFormat="1" applyBorder="1"/>
    <xf numFmtId="166" fontId="0" fillId="0" borderId="157" xfId="0" applyNumberFormat="1" applyBorder="1"/>
    <xf numFmtId="0" fontId="7" fillId="0" borderId="148" xfId="0" applyFont="1" applyBorder="1"/>
    <xf numFmtId="166" fontId="0" fillId="0" borderId="154" xfId="1" applyNumberFormat="1" applyFont="1" applyBorder="1"/>
    <xf numFmtId="0" fontId="84" fillId="0" borderId="146" xfId="0" applyFont="1" applyBorder="1"/>
    <xf numFmtId="0" fontId="4" fillId="42" borderId="121" xfId="0" applyFont="1" applyFill="1" applyBorder="1"/>
    <xf numFmtId="0" fontId="3" fillId="42" borderId="121" xfId="0" applyFont="1" applyFill="1" applyBorder="1" applyAlignment="1">
      <alignment horizontal="center"/>
    </xf>
    <xf numFmtId="0" fontId="3" fillId="9" borderId="159" xfId="0" applyFont="1" applyFill="1" applyBorder="1"/>
    <xf numFmtId="166" fontId="3" fillId="9" borderId="159" xfId="1" applyNumberFormat="1" applyFont="1" applyFill="1" applyBorder="1"/>
    <xf numFmtId="43" fontId="3" fillId="9" borderId="159" xfId="0" applyNumberFormat="1" applyFont="1" applyFill="1" applyBorder="1"/>
    <xf numFmtId="175" fontId="40" fillId="9" borderId="159" xfId="7" applyNumberFormat="1" applyFont="1" applyFill="1" applyBorder="1" applyAlignment="1">
      <alignment horizontal="right"/>
    </xf>
    <xf numFmtId="166" fontId="3" fillId="9" borderId="159" xfId="0" applyNumberFormat="1" applyFont="1" applyFill="1" applyBorder="1"/>
    <xf numFmtId="43" fontId="3" fillId="9" borderId="159" xfId="1" applyFont="1" applyFill="1" applyBorder="1"/>
    <xf numFmtId="9" fontId="3" fillId="9" borderId="159" xfId="2" applyFont="1" applyFill="1" applyBorder="1" applyAlignment="1">
      <alignment horizontal="right"/>
    </xf>
    <xf numFmtId="0" fontId="2" fillId="0" borderId="146" xfId="0" applyFont="1" applyBorder="1" applyAlignment="1">
      <alignment horizontal="center" vertical="center" wrapText="1"/>
    </xf>
    <xf numFmtId="43" fontId="0" fillId="0" borderId="152" xfId="0" applyNumberFormat="1" applyBorder="1" applyAlignment="1">
      <alignment horizontal="center" vertical="center" wrapText="1"/>
    </xf>
    <xf numFmtId="9" fontId="0" fillId="0" borderId="152" xfId="2" applyFont="1" applyBorder="1" applyAlignment="1">
      <alignment horizontal="center" vertical="center" wrapText="1"/>
    </xf>
    <xf numFmtId="0" fontId="0" fillId="0" borderId="153" xfId="0" applyBorder="1" applyAlignment="1">
      <alignment vertical="center" wrapText="1"/>
    </xf>
    <xf numFmtId="0" fontId="2" fillId="0" borderId="148" xfId="0" applyFont="1" applyBorder="1" applyAlignment="1">
      <alignment horizontal="center" vertical="center" wrapText="1"/>
    </xf>
    <xf numFmtId="171" fontId="0" fillId="0" borderId="156" xfId="0" applyNumberFormat="1" applyBorder="1" applyAlignment="1">
      <alignment horizontal="center" vertical="center" wrapText="1"/>
    </xf>
    <xf numFmtId="43" fontId="0" fillId="0" borderId="156" xfId="0" applyNumberFormat="1" applyBorder="1" applyAlignment="1">
      <alignment horizontal="center" vertical="center" wrapText="1"/>
    </xf>
    <xf numFmtId="166" fontId="0" fillId="0" borderId="156" xfId="0" applyNumberFormat="1" applyBorder="1" applyAlignment="1">
      <alignment horizontal="center" vertical="center" wrapText="1"/>
    </xf>
    <xf numFmtId="9" fontId="0" fillId="0" borderId="156" xfId="2" applyFont="1" applyBorder="1" applyAlignment="1">
      <alignment horizontal="center" vertical="center" wrapText="1"/>
    </xf>
    <xf numFmtId="0" fontId="0" fillId="0" borderId="157" xfId="0" applyBorder="1" applyAlignment="1">
      <alignment vertical="center" wrapText="1"/>
    </xf>
    <xf numFmtId="170" fontId="15" fillId="20" borderId="147" xfId="1870" applyNumberFormat="1" applyFont="1" applyFill="1" applyBorder="1"/>
    <xf numFmtId="43" fontId="15" fillId="21" borderId="146" xfId="1" applyFont="1" applyFill="1" applyBorder="1" applyProtection="1"/>
    <xf numFmtId="166" fontId="17" fillId="0" borderId="148" xfId="1" applyNumberFormat="1" applyFont="1" applyBorder="1" applyAlignment="1">
      <alignment horizontal="center"/>
    </xf>
    <xf numFmtId="166" fontId="17" fillId="0" borderId="161" xfId="1" applyNumberFormat="1" applyFont="1" applyBorder="1" applyAlignment="1" applyProtection="1">
      <alignment horizontal="center"/>
    </xf>
    <xf numFmtId="166" fontId="17" fillId="0" borderId="143" xfId="1" applyNumberFormat="1" applyFont="1" applyBorder="1" applyAlignment="1" applyProtection="1">
      <alignment horizontal="center"/>
    </xf>
    <xf numFmtId="170" fontId="15" fillId="20" borderId="150" xfId="1870" applyNumberFormat="1" applyFont="1" applyFill="1" applyBorder="1"/>
    <xf numFmtId="171" fontId="15" fillId="21" borderId="148" xfId="1" applyNumberFormat="1" applyFont="1" applyFill="1" applyBorder="1" applyProtection="1"/>
    <xf numFmtId="171" fontId="17" fillId="0" borderId="161" xfId="1" applyNumberFormat="1" applyFont="1" applyFill="1" applyBorder="1" applyAlignment="1" applyProtection="1">
      <alignment horizontal="center"/>
    </xf>
    <xf numFmtId="9" fontId="17" fillId="0" borderId="143" xfId="2" applyFont="1" applyFill="1" applyBorder="1" applyAlignment="1" applyProtection="1">
      <alignment horizontal="center"/>
    </xf>
    <xf numFmtId="43" fontId="17" fillId="0" borderId="146" xfId="1" applyFont="1" applyBorder="1" applyAlignment="1" applyProtection="1">
      <alignment horizontal="center"/>
    </xf>
    <xf numFmtId="43" fontId="17" fillId="0" borderId="160" xfId="1" applyFont="1" applyBorder="1" applyAlignment="1" applyProtection="1">
      <alignment horizontal="center"/>
    </xf>
    <xf numFmtId="43" fontId="17" fillId="0" borderId="140" xfId="1" applyFont="1" applyBorder="1" applyAlignment="1" applyProtection="1">
      <alignment horizontal="center"/>
    </xf>
    <xf numFmtId="43" fontId="17" fillId="0" borderId="148" xfId="1" applyFont="1" applyBorder="1" applyAlignment="1" applyProtection="1">
      <alignment horizontal="center"/>
    </xf>
    <xf numFmtId="43" fontId="17" fillId="0" borderId="156" xfId="1" applyFont="1" applyBorder="1" applyAlignment="1" applyProtection="1">
      <alignment horizontal="center"/>
    </xf>
    <xf numFmtId="43" fontId="17" fillId="0" borderId="157" xfId="1" applyFont="1" applyBorder="1" applyAlignment="1" applyProtection="1">
      <alignment horizontal="center"/>
    </xf>
    <xf numFmtId="0" fontId="15" fillId="22" borderId="147" xfId="1870" applyFont="1" applyFill="1" applyBorder="1" applyProtection="1">
      <protection locked="0"/>
    </xf>
    <xf numFmtId="166" fontId="17" fillId="0" borderId="152" xfId="1" applyNumberFormat="1" applyFont="1" applyBorder="1" applyAlignment="1" applyProtection="1">
      <alignment horizontal="center"/>
      <protection locked="0"/>
    </xf>
    <xf numFmtId="9" fontId="17" fillId="22" borderId="140" xfId="1870" applyNumberFormat="1" applyFont="1" applyFill="1" applyBorder="1" applyProtection="1">
      <protection locked="0"/>
    </xf>
    <xf numFmtId="166" fontId="17" fillId="0" borderId="160" xfId="1" applyNumberFormat="1" applyFont="1" applyBorder="1" applyAlignment="1" applyProtection="1">
      <alignment horizontal="center"/>
      <protection locked="0"/>
    </xf>
    <xf numFmtId="0" fontId="15" fillId="0" borderId="147" xfId="1870" applyFont="1" applyBorder="1" applyAlignment="1" applyProtection="1">
      <alignment horizontal="left"/>
      <protection locked="0"/>
    </xf>
    <xf numFmtId="0" fontId="15" fillId="0" borderId="158" xfId="1870" applyFont="1" applyBorder="1" applyAlignment="1" applyProtection="1">
      <alignment horizontal="center"/>
      <protection locked="0"/>
    </xf>
    <xf numFmtId="9" fontId="17" fillId="0" borderId="140" xfId="1870" applyNumberFormat="1" applyFont="1" applyBorder="1" applyAlignment="1" applyProtection="1">
      <alignment horizontal="center"/>
      <protection locked="0"/>
    </xf>
    <xf numFmtId="0" fontId="16" fillId="21" borderId="146" xfId="1870" applyFont="1" applyFill="1" applyBorder="1" applyProtection="1">
      <protection locked="0"/>
    </xf>
    <xf numFmtId="43" fontId="15" fillId="21" borderId="138" xfId="1" applyFont="1" applyFill="1" applyBorder="1" applyProtection="1">
      <protection locked="0"/>
    </xf>
    <xf numFmtId="9" fontId="15" fillId="21" borderId="153" xfId="1870" applyNumberFormat="1" applyFont="1" applyFill="1" applyBorder="1" applyProtection="1">
      <protection locked="0"/>
    </xf>
    <xf numFmtId="43" fontId="12" fillId="22" borderId="160" xfId="1" applyFont="1" applyFill="1" applyBorder="1" applyAlignment="1" applyProtection="1">
      <alignment horizontal="center"/>
      <protection locked="0"/>
    </xf>
    <xf numFmtId="0" fontId="15" fillId="22" borderId="146" xfId="1870" applyFont="1" applyFill="1" applyBorder="1" applyProtection="1">
      <protection locked="0"/>
    </xf>
    <xf numFmtId="43" fontId="17" fillId="0" borderId="152" xfId="1" applyFont="1" applyBorder="1" applyAlignment="1" applyProtection="1">
      <alignment horizontal="center"/>
      <protection locked="0"/>
    </xf>
    <xf numFmtId="43" fontId="17" fillId="0" borderId="160" xfId="1" applyFont="1" applyBorder="1" applyAlignment="1" applyProtection="1">
      <alignment horizontal="center"/>
      <protection locked="0"/>
    </xf>
    <xf numFmtId="171" fontId="12" fillId="22" borderId="160" xfId="1" applyNumberFormat="1" applyFont="1" applyFill="1" applyBorder="1" applyAlignment="1" applyProtection="1">
      <alignment horizontal="center"/>
      <protection locked="0"/>
    </xf>
    <xf numFmtId="171" fontId="12" fillId="22" borderId="160" xfId="1" applyNumberFormat="1" applyFont="1" applyFill="1" applyBorder="1" applyProtection="1">
      <protection locked="0"/>
    </xf>
    <xf numFmtId="171" fontId="12" fillId="22" borderId="152" xfId="1" applyNumberFormat="1" applyFont="1" applyFill="1" applyBorder="1" applyProtection="1">
      <protection locked="0"/>
    </xf>
    <xf numFmtId="171" fontId="12" fillId="22" borderId="158" xfId="1" applyNumberFormat="1" applyFont="1" applyFill="1" applyBorder="1" applyProtection="1">
      <protection locked="0"/>
    </xf>
    <xf numFmtId="0" fontId="15" fillId="22" borderId="148" xfId="1870" applyFont="1" applyFill="1" applyBorder="1" applyProtection="1">
      <protection locked="0"/>
    </xf>
    <xf numFmtId="171" fontId="17" fillId="0" borderId="156" xfId="1" applyNumberFormat="1" applyFont="1" applyBorder="1" applyAlignment="1" applyProtection="1">
      <alignment horizontal="center"/>
      <protection locked="0"/>
    </xf>
    <xf numFmtId="9" fontId="17" fillId="22" borderId="143" xfId="1870" applyNumberFormat="1" applyFont="1" applyFill="1" applyBorder="1" applyProtection="1">
      <protection locked="0"/>
    </xf>
    <xf numFmtId="171" fontId="17" fillId="0" borderId="161" xfId="1" applyNumberFormat="1" applyFont="1" applyBorder="1" applyAlignment="1" applyProtection="1">
      <alignment horizontal="center"/>
      <protection locked="0"/>
    </xf>
    <xf numFmtId="0" fontId="15" fillId="0" borderId="147" xfId="1870" applyFont="1" applyBorder="1" applyProtection="1">
      <protection locked="0"/>
    </xf>
    <xf numFmtId="0" fontId="15" fillId="0" borderId="158" xfId="1870" applyFont="1" applyBorder="1" applyProtection="1">
      <protection locked="0"/>
    </xf>
    <xf numFmtId="9" fontId="17" fillId="0" borderId="140" xfId="1870" applyNumberFormat="1" applyFont="1" applyBorder="1" applyProtection="1">
      <protection locked="0"/>
    </xf>
    <xf numFmtId="166" fontId="17" fillId="0" borderId="152" xfId="1" applyNumberFormat="1" applyFont="1" applyBorder="1" applyAlignment="1" applyProtection="1">
      <alignment horizontal="center" wrapText="1"/>
      <protection locked="0"/>
    </xf>
    <xf numFmtId="43" fontId="73" fillId="0" borderId="160" xfId="1" applyFont="1" applyBorder="1" applyAlignment="1" applyProtection="1">
      <alignment horizontal="center"/>
      <protection locked="0"/>
    </xf>
    <xf numFmtId="0" fontId="17" fillId="0" borderId="156" xfId="1" applyNumberFormat="1" applyFont="1" applyBorder="1" applyAlignment="1" applyProtection="1">
      <alignment horizontal="center"/>
      <protection locked="0"/>
    </xf>
    <xf numFmtId="0" fontId="15" fillId="22" borderId="151" xfId="1870" applyFont="1" applyFill="1" applyBorder="1" applyProtection="1">
      <protection locked="0"/>
    </xf>
    <xf numFmtId="171" fontId="17" fillId="0" borderId="154" xfId="1" applyNumberFormat="1" applyFont="1" applyBorder="1" applyAlignment="1" applyProtection="1">
      <alignment horizontal="center"/>
      <protection locked="0"/>
    </xf>
    <xf numFmtId="166" fontId="17" fillId="11" borderId="152" xfId="1" applyNumberFormat="1" applyFont="1" applyFill="1" applyBorder="1" applyAlignment="1" applyProtection="1">
      <alignment horizontal="center"/>
      <protection locked="0"/>
    </xf>
    <xf numFmtId="43" fontId="12" fillId="22" borderId="160" xfId="1" applyFont="1" applyFill="1" applyBorder="1" applyProtection="1">
      <protection locked="0"/>
    </xf>
    <xf numFmtId="43" fontId="12" fillId="22" borderId="152" xfId="1" applyFont="1" applyFill="1" applyBorder="1" applyProtection="1">
      <protection locked="0"/>
    </xf>
    <xf numFmtId="43" fontId="12" fillId="22" borderId="158" xfId="1" applyFont="1" applyFill="1" applyBorder="1" applyProtection="1">
      <protection locked="0"/>
    </xf>
    <xf numFmtId="170" fontId="15" fillId="20" borderId="149" xfId="1870" applyNumberFormat="1" applyFont="1" applyFill="1" applyBorder="1"/>
    <xf numFmtId="43" fontId="15" fillId="21" borderId="151" xfId="1" applyFont="1" applyFill="1" applyBorder="1" applyProtection="1"/>
    <xf numFmtId="166" fontId="17" fillId="0" borderId="156" xfId="1" applyNumberFormat="1" applyFont="1" applyBorder="1" applyAlignment="1">
      <alignment horizontal="center"/>
    </xf>
    <xf numFmtId="166" fontId="17" fillId="0" borderId="156" xfId="1" applyNumberFormat="1" applyFont="1" applyBorder="1" applyAlignment="1" applyProtection="1">
      <alignment horizontal="center"/>
    </xf>
    <xf numFmtId="166" fontId="17" fillId="0" borderId="157" xfId="1" applyNumberFormat="1" applyFont="1" applyBorder="1" applyAlignment="1">
      <alignment horizontal="center"/>
    </xf>
    <xf numFmtId="43" fontId="17" fillId="0" borderId="146" xfId="1" applyFont="1" applyBorder="1" applyAlignment="1">
      <alignment horizontal="center"/>
    </xf>
    <xf numFmtId="43" fontId="17" fillId="0" borderId="156" xfId="1" applyFont="1" applyBorder="1" applyAlignment="1">
      <alignment horizontal="center"/>
    </xf>
    <xf numFmtId="43" fontId="17" fillId="0" borderId="157" xfId="1" applyFont="1" applyBorder="1" applyAlignment="1">
      <alignment horizontal="center"/>
    </xf>
    <xf numFmtId="171" fontId="17" fillId="0" borderId="148" xfId="1" applyNumberFormat="1" applyFont="1" applyBorder="1" applyAlignment="1">
      <alignment horizontal="center"/>
    </xf>
    <xf numFmtId="171" fontId="17" fillId="0" borderId="156" xfId="1" applyNumberFormat="1" applyFont="1" applyBorder="1" applyAlignment="1">
      <alignment horizontal="center"/>
    </xf>
    <xf numFmtId="171" fontId="17" fillId="0" borderId="156" xfId="1" applyNumberFormat="1" applyFont="1" applyBorder="1" applyAlignment="1" applyProtection="1">
      <alignment horizontal="center"/>
    </xf>
    <xf numFmtId="171" fontId="17" fillId="0" borderId="157" xfId="1" applyNumberFormat="1" applyFont="1" applyBorder="1" applyAlignment="1">
      <alignment horizontal="center"/>
    </xf>
    <xf numFmtId="166" fontId="7" fillId="0" borderId="146" xfId="1" applyNumberFormat="1" applyFont="1" applyBorder="1"/>
    <xf numFmtId="166" fontId="7" fillId="0" borderId="152" xfId="0" applyNumberFormat="1" applyFont="1" applyBorder="1"/>
    <xf numFmtId="43" fontId="7" fillId="0" borderId="152" xfId="0" applyNumberFormat="1" applyFont="1" applyBorder="1"/>
    <xf numFmtId="166" fontId="7" fillId="0" borderId="152" xfId="1" applyNumberFormat="1" applyFont="1" applyBorder="1"/>
    <xf numFmtId="43" fontId="7" fillId="0" borderId="153" xfId="1" applyFont="1" applyBorder="1"/>
    <xf numFmtId="43" fontId="7" fillId="0" borderId="153" xfId="0" applyNumberFormat="1" applyFont="1" applyBorder="1"/>
    <xf numFmtId="43" fontId="7" fillId="0" borderId="139" xfId="1" applyFont="1" applyBorder="1"/>
    <xf numFmtId="43" fontId="7" fillId="0" borderId="160" xfId="0" applyNumberFormat="1" applyFont="1" applyBorder="1"/>
    <xf numFmtId="166" fontId="7" fillId="0" borderId="139" xfId="1" applyNumberFormat="1" applyFont="1" applyBorder="1"/>
    <xf numFmtId="0" fontId="5" fillId="0" borderId="139" xfId="0" applyFont="1" applyBorder="1" applyAlignment="1">
      <alignment horizontal="left" vertical="center"/>
    </xf>
    <xf numFmtId="3" fontId="5" fillId="0" borderId="147" xfId="0" applyNumberFormat="1" applyFont="1" applyBorder="1" applyAlignment="1">
      <alignment vertical="center"/>
    </xf>
    <xf numFmtId="0" fontId="74" fillId="0" borderId="152" xfId="0" applyFont="1" applyBorder="1" applyAlignment="1">
      <alignment horizontal="center"/>
    </xf>
    <xf numFmtId="0" fontId="5" fillId="0" borderId="140" xfId="0" applyFont="1" applyBorder="1" applyAlignment="1">
      <alignment vertical="center"/>
    </xf>
    <xf numFmtId="3" fontId="5" fillId="0" borderId="146" xfId="0" applyNumberFormat="1" applyFont="1" applyBorder="1" applyAlignment="1">
      <alignment vertical="center"/>
    </xf>
    <xf numFmtId="0" fontId="5" fillId="0" borderId="152" xfId="0" applyFont="1" applyBorder="1" applyAlignment="1">
      <alignment vertical="center"/>
    </xf>
    <xf numFmtId="0" fontId="5" fillId="0" borderId="153" xfId="0" applyFont="1" applyBorder="1" applyAlignment="1">
      <alignment vertical="center"/>
    </xf>
    <xf numFmtId="9" fontId="75" fillId="38" borderId="146" xfId="0" applyNumberFormat="1" applyFont="1" applyFill="1" applyBorder="1" applyAlignment="1">
      <alignment vertical="center"/>
    </xf>
    <xf numFmtId="9" fontId="75" fillId="38" borderId="152" xfId="0" applyNumberFormat="1" applyFont="1" applyFill="1" applyBorder="1" applyAlignment="1">
      <alignment vertical="center"/>
    </xf>
    <xf numFmtId="9" fontId="75" fillId="38" borderId="153" xfId="0" applyNumberFormat="1" applyFont="1" applyFill="1" applyBorder="1" applyAlignment="1">
      <alignment vertical="center"/>
    </xf>
    <xf numFmtId="166" fontId="5" fillId="0" borderId="147" xfId="1" applyNumberFormat="1" applyFont="1" applyBorder="1" applyAlignment="1" applyProtection="1">
      <alignment vertical="center"/>
    </xf>
    <xf numFmtId="43" fontId="12" fillId="0" borderId="152" xfId="1" applyFont="1" applyBorder="1" applyAlignment="1" applyProtection="1">
      <alignment horizontal="center"/>
    </xf>
    <xf numFmtId="0" fontId="5" fillId="0" borderId="155" xfId="0" applyFont="1" applyBorder="1" applyAlignment="1">
      <alignment vertical="center"/>
    </xf>
    <xf numFmtId="0" fontId="16" fillId="38" borderId="151" xfId="0" applyFont="1" applyFill="1" applyBorder="1" applyAlignment="1">
      <alignment horizontal="center"/>
    </xf>
    <xf numFmtId="9" fontId="75" fillId="38" borderId="160" xfId="0" applyNumberFormat="1" applyFont="1" applyFill="1" applyBorder="1" applyAlignment="1">
      <alignment vertical="center"/>
    </xf>
    <xf numFmtId="9" fontId="74" fillId="39" borderId="146" xfId="0" applyNumberFormat="1" applyFont="1" applyFill="1" applyBorder="1" applyAlignment="1">
      <alignment vertical="center"/>
    </xf>
    <xf numFmtId="9" fontId="74" fillId="39" borderId="152" xfId="0" applyNumberFormat="1" applyFont="1" applyFill="1" applyBorder="1" applyAlignment="1">
      <alignment vertical="center"/>
    </xf>
    <xf numFmtId="9" fontId="74" fillId="39" borderId="153" xfId="0" applyNumberFormat="1" applyFont="1" applyFill="1" applyBorder="1" applyAlignment="1">
      <alignment vertical="center"/>
    </xf>
    <xf numFmtId="170" fontId="15" fillId="20" borderId="147" xfId="0" applyNumberFormat="1" applyFont="1" applyFill="1" applyBorder="1"/>
    <xf numFmtId="170" fontId="15" fillId="20" borderId="150" xfId="0" applyNumberFormat="1" applyFont="1" applyFill="1" applyBorder="1"/>
    <xf numFmtId="171" fontId="17" fillId="0" borderId="148" xfId="1" applyNumberFormat="1" applyFont="1" applyBorder="1" applyAlignment="1" applyProtection="1">
      <alignment horizontal="center"/>
    </xf>
    <xf numFmtId="171" fontId="17" fillId="0" borderId="157" xfId="1" applyNumberFormat="1" applyFont="1" applyBorder="1" applyAlignment="1" applyProtection="1">
      <alignment horizontal="center"/>
    </xf>
    <xf numFmtId="0" fontId="15" fillId="22" borderId="147" xfId="0" applyFont="1" applyFill="1" applyBorder="1" applyProtection="1">
      <protection locked="0"/>
    </xf>
    <xf numFmtId="9" fontId="17" fillId="22" borderId="140" xfId="0" applyNumberFormat="1" applyFont="1" applyFill="1" applyBorder="1" applyProtection="1">
      <protection locked="0"/>
    </xf>
    <xf numFmtId="0" fontId="15" fillId="0" borderId="147" xfId="0" applyFont="1" applyBorder="1" applyAlignment="1" applyProtection="1">
      <alignment horizontal="left"/>
      <protection locked="0"/>
    </xf>
    <xf numFmtId="0" fontId="15" fillId="0" borderId="158" xfId="0" applyFont="1" applyBorder="1" applyAlignment="1" applyProtection="1">
      <alignment horizontal="center"/>
      <protection locked="0"/>
    </xf>
    <xf numFmtId="9" fontId="17" fillId="0" borderId="140" xfId="0" applyNumberFormat="1" applyFont="1" applyBorder="1" applyAlignment="1" applyProtection="1">
      <alignment horizontal="center"/>
      <protection locked="0"/>
    </xf>
    <xf numFmtId="0" fontId="16" fillId="21" borderId="146" xfId="0" applyFont="1" applyFill="1" applyBorder="1" applyProtection="1">
      <protection locked="0"/>
    </xf>
    <xf numFmtId="9" fontId="15" fillId="21" borderId="153" xfId="0" applyNumberFormat="1" applyFont="1" applyFill="1" applyBorder="1" applyProtection="1">
      <protection locked="0"/>
    </xf>
    <xf numFmtId="0" fontId="15" fillId="22" borderId="146" xfId="0" applyFont="1" applyFill="1" applyBorder="1" applyProtection="1">
      <protection locked="0"/>
    </xf>
    <xf numFmtId="0" fontId="15" fillId="22" borderId="148" xfId="0" applyFont="1" applyFill="1" applyBorder="1" applyProtection="1">
      <protection locked="0"/>
    </xf>
    <xf numFmtId="9" fontId="17" fillId="22" borderId="143" xfId="0" applyNumberFormat="1" applyFont="1" applyFill="1" applyBorder="1" applyProtection="1">
      <protection locked="0"/>
    </xf>
    <xf numFmtId="0" fontId="15" fillId="0" borderId="147" xfId="0" applyFont="1" applyBorder="1" applyProtection="1">
      <protection locked="0"/>
    </xf>
    <xf numFmtId="0" fontId="15" fillId="0" borderId="158" xfId="0" applyFont="1" applyBorder="1" applyProtection="1">
      <protection locked="0"/>
    </xf>
    <xf numFmtId="9" fontId="17" fillId="0" borderId="140" xfId="0" applyNumberFormat="1" applyFont="1" applyBorder="1" applyProtection="1">
      <protection locked="0"/>
    </xf>
    <xf numFmtId="0" fontId="15" fillId="22" borderId="151" xfId="0" applyFont="1" applyFill="1" applyBorder="1" applyProtection="1">
      <protection locked="0"/>
    </xf>
    <xf numFmtId="170" fontId="15" fillId="20" borderId="149" xfId="0" applyNumberFormat="1" applyFont="1" applyFill="1" applyBorder="1"/>
    <xf numFmtId="181" fontId="22" fillId="82" borderId="152" xfId="0" applyNumberFormat="1" applyFont="1" applyFill="1" applyBorder="1" applyAlignment="1">
      <alignment horizontal="center"/>
    </xf>
    <xf numFmtId="0" fontId="22" fillId="0" borderId="152" xfId="0" applyFont="1" applyBorder="1" applyAlignment="1">
      <alignment horizontal="center"/>
    </xf>
    <xf numFmtId="183" fontId="22" fillId="0" borderId="152" xfId="0" applyNumberFormat="1" applyFont="1" applyBorder="1"/>
    <xf numFmtId="0" fontId="79" fillId="0" borderId="154" xfId="0" applyFont="1" applyBorder="1" applyAlignment="1">
      <alignment horizontal="left"/>
    </xf>
    <xf numFmtId="183" fontId="20" fillId="0" borderId="154" xfId="0" applyNumberFormat="1" applyFont="1" applyBorder="1"/>
    <xf numFmtId="183" fontId="22" fillId="0" borderId="154" xfId="0" applyNumberFormat="1" applyFont="1" applyBorder="1"/>
    <xf numFmtId="0" fontId="79" fillId="0" borderId="154" xfId="0" applyFont="1" applyBorder="1" applyAlignment="1" applyProtection="1">
      <alignment horizontal="left"/>
      <protection locked="0"/>
    </xf>
    <xf numFmtId="183" fontId="20" fillId="0" borderId="154" xfId="0" applyNumberFormat="1" applyFont="1" applyBorder="1" applyProtection="1">
      <protection locked="0"/>
    </xf>
    <xf numFmtId="0" fontId="79" fillId="0" borderId="152" xfId="0" applyFont="1" applyBorder="1" applyAlignment="1">
      <alignment horizontal="left"/>
    </xf>
    <xf numFmtId="170" fontId="20" fillId="0" borderId="152" xfId="0" applyNumberFormat="1" applyFont="1" applyBorder="1" applyAlignment="1">
      <alignment horizontal="right"/>
    </xf>
    <xf numFmtId="43" fontId="22" fillId="0" borderId="154" xfId="722" applyFont="1" applyBorder="1"/>
    <xf numFmtId="43" fontId="20" fillId="0" borderId="154" xfId="722" applyFont="1" applyBorder="1"/>
    <xf numFmtId="43" fontId="20" fillId="0" borderId="154" xfId="722" applyFont="1" applyBorder="1" applyProtection="1">
      <protection locked="0"/>
    </xf>
    <xf numFmtId="185" fontId="22" fillId="0" borderId="154" xfId="0" applyNumberFormat="1" applyFont="1" applyBorder="1"/>
    <xf numFmtId="171" fontId="20" fillId="0" borderId="154" xfId="722" applyNumberFormat="1" applyFont="1" applyBorder="1"/>
    <xf numFmtId="185" fontId="20" fillId="0" borderId="154" xfId="0" applyNumberFormat="1" applyFont="1" applyBorder="1" applyProtection="1">
      <protection locked="0"/>
    </xf>
    <xf numFmtId="0" fontId="76" fillId="0" borderId="154" xfId="0" applyFont="1" applyBorder="1" applyAlignment="1">
      <alignment horizontal="left"/>
    </xf>
    <xf numFmtId="183" fontId="5" fillId="0" borderId="154" xfId="0" applyNumberFormat="1" applyFont="1" applyBorder="1"/>
    <xf numFmtId="185" fontId="20" fillId="0" borderId="154" xfId="722" applyNumberFormat="1" applyFont="1" applyBorder="1"/>
    <xf numFmtId="43" fontId="5" fillId="0" borderId="154" xfId="722" applyFont="1" applyBorder="1"/>
    <xf numFmtId="43" fontId="5" fillId="0" borderId="154" xfId="722" applyFont="1" applyBorder="1" applyProtection="1">
      <protection locked="0"/>
    </xf>
    <xf numFmtId="185" fontId="22" fillId="0" borderId="152" xfId="0" applyNumberFormat="1" applyFont="1" applyBorder="1"/>
    <xf numFmtId="171" fontId="22" fillId="0" borderId="152" xfId="722" applyNumberFormat="1" applyFont="1" applyBorder="1"/>
    <xf numFmtId="166" fontId="22" fillId="0" borderId="152" xfId="722" applyNumberFormat="1" applyFont="1" applyBorder="1"/>
    <xf numFmtId="166" fontId="79" fillId="0" borderId="154" xfId="722" applyNumberFormat="1" applyFont="1" applyBorder="1" applyAlignment="1">
      <alignment horizontal="left"/>
    </xf>
    <xf numFmtId="166" fontId="20" fillId="0" borderId="154" xfId="722" applyNumberFormat="1" applyFont="1" applyBorder="1" applyAlignment="1">
      <alignment horizontal="left"/>
    </xf>
    <xf numFmtId="43" fontId="79" fillId="0" borderId="154" xfId="722" applyFont="1" applyBorder="1" applyAlignment="1">
      <alignment horizontal="left"/>
    </xf>
    <xf numFmtId="43" fontId="20" fillId="0" borderId="154" xfId="722" applyFont="1" applyBorder="1" applyAlignment="1">
      <alignment horizontal="left"/>
    </xf>
    <xf numFmtId="171" fontId="79" fillId="0" borderId="154" xfId="722" applyNumberFormat="1" applyFont="1" applyBorder="1" applyAlignment="1">
      <alignment horizontal="left"/>
    </xf>
    <xf numFmtId="171" fontId="20" fillId="0" borderId="154" xfId="722" applyNumberFormat="1" applyFont="1" applyBorder="1" applyAlignment="1">
      <alignment horizontal="left"/>
    </xf>
    <xf numFmtId="9" fontId="22" fillId="0" borderId="152" xfId="33" applyFont="1" applyBorder="1"/>
    <xf numFmtId="9" fontId="79" fillId="0" borderId="154" xfId="33" applyFont="1" applyBorder="1" applyAlignment="1">
      <alignment horizontal="right"/>
    </xf>
    <xf numFmtId="9" fontId="20" fillId="0" borderId="154" xfId="33" applyFont="1" applyBorder="1" applyAlignment="1">
      <alignment horizontal="right"/>
    </xf>
    <xf numFmtId="43" fontId="15" fillId="76" borderId="151" xfId="1" applyFont="1" applyFill="1" applyBorder="1" applyProtection="1"/>
    <xf numFmtId="171" fontId="15" fillId="76" borderId="148" xfId="1" applyNumberFormat="1" applyFont="1" applyFill="1" applyBorder="1" applyProtection="1"/>
    <xf numFmtId="170" fontId="15" fillId="20" borderId="159" xfId="0" applyNumberFormat="1" applyFont="1" applyFill="1" applyBorder="1"/>
    <xf numFmtId="1" fontId="17" fillId="22" borderId="140" xfId="0" applyNumberFormat="1" applyFont="1" applyFill="1" applyBorder="1" applyProtection="1">
      <protection locked="0"/>
    </xf>
    <xf numFmtId="2" fontId="17" fillId="22" borderId="140" xfId="0" applyNumberFormat="1" applyFont="1" applyFill="1" applyBorder="1" applyProtection="1">
      <protection locked="0"/>
    </xf>
    <xf numFmtId="170" fontId="17" fillId="22" borderId="140" xfId="0" applyNumberFormat="1" applyFont="1" applyFill="1" applyBorder="1" applyProtection="1">
      <protection locked="0"/>
    </xf>
    <xf numFmtId="0" fontId="15" fillId="39" borderId="160" xfId="0" applyFont="1" applyFill="1" applyBorder="1" applyAlignment="1">
      <alignment horizontal="center"/>
    </xf>
    <xf numFmtId="0" fontId="15" fillId="39" borderId="152" xfId="0" applyFont="1" applyFill="1" applyBorder="1" applyAlignment="1">
      <alignment horizontal="center"/>
    </xf>
    <xf numFmtId="0" fontId="15" fillId="38" borderId="152" xfId="0" applyFont="1" applyFill="1" applyBorder="1" applyAlignment="1">
      <alignment horizontal="center"/>
    </xf>
    <xf numFmtId="0" fontId="15" fillId="40" borderId="152" xfId="0" applyFont="1" applyFill="1" applyBorder="1" applyAlignment="1">
      <alignment horizontal="center"/>
    </xf>
    <xf numFmtId="0" fontId="16" fillId="21" borderId="160" xfId="0" applyFont="1" applyFill="1" applyBorder="1"/>
    <xf numFmtId="0" fontId="16" fillId="21" borderId="152" xfId="0" applyFont="1" applyFill="1" applyBorder="1"/>
    <xf numFmtId="0" fontId="16" fillId="21" borderId="158" xfId="0" applyFont="1" applyFill="1" applyBorder="1"/>
    <xf numFmtId="0" fontId="18" fillId="39" borderId="160" xfId="0" applyFont="1" applyFill="1" applyBorder="1" applyAlignment="1">
      <alignment horizontal="center"/>
    </xf>
    <xf numFmtId="0" fontId="19" fillId="39" borderId="152" xfId="0" applyFont="1" applyFill="1" applyBorder="1" applyAlignment="1">
      <alignment horizontal="center"/>
    </xf>
    <xf numFmtId="0" fontId="21" fillId="38" borderId="152" xfId="0" applyFont="1" applyFill="1" applyBorder="1" applyAlignment="1">
      <alignment horizontal="center"/>
    </xf>
    <xf numFmtId="0" fontId="18" fillId="39" borderId="152" xfId="0" applyFont="1" applyFill="1" applyBorder="1" applyAlignment="1">
      <alignment horizontal="center"/>
    </xf>
    <xf numFmtId="0" fontId="21" fillId="39" borderId="152" xfId="0" applyFont="1" applyFill="1" applyBorder="1" applyAlignment="1">
      <alignment horizontal="center"/>
    </xf>
    <xf numFmtId="0" fontId="16" fillId="21" borderId="160" xfId="0" applyFont="1" applyFill="1" applyBorder="1" applyAlignment="1">
      <alignment horizontal="center"/>
    </xf>
    <xf numFmtId="0" fontId="15" fillId="38" borderId="161" xfId="0" applyFont="1" applyFill="1" applyBorder="1" applyAlignment="1">
      <alignment horizontal="center"/>
    </xf>
    <xf numFmtId="0" fontId="15" fillId="39" borderId="161" xfId="0" applyFont="1" applyFill="1" applyBorder="1" applyAlignment="1">
      <alignment horizontal="center"/>
    </xf>
    <xf numFmtId="0" fontId="15" fillId="40" borderId="161" xfId="0" applyFont="1" applyFill="1" applyBorder="1" applyAlignment="1">
      <alignment horizontal="center"/>
    </xf>
    <xf numFmtId="0" fontId="15" fillId="38" borderId="160" xfId="0" applyFont="1" applyFill="1" applyBorder="1" applyAlignment="1">
      <alignment horizontal="center"/>
    </xf>
    <xf numFmtId="0" fontId="21" fillId="39" borderId="160" xfId="0" applyFont="1" applyFill="1" applyBorder="1" applyAlignment="1">
      <alignment horizontal="center"/>
    </xf>
    <xf numFmtId="0" fontId="21" fillId="38" borderId="160" xfId="0" applyFont="1" applyFill="1" applyBorder="1" applyAlignment="1">
      <alignment horizontal="center"/>
    </xf>
    <xf numFmtId="0" fontId="18" fillId="38" borderId="160" xfId="0" applyFont="1" applyFill="1" applyBorder="1" applyAlignment="1">
      <alignment horizontal="center"/>
    </xf>
    <xf numFmtId="0" fontId="18" fillId="40" borderId="152" xfId="0" applyFont="1" applyFill="1" applyBorder="1" applyAlignment="1">
      <alignment horizontal="center"/>
    </xf>
    <xf numFmtId="0" fontId="15" fillId="20" borderId="147" xfId="0" applyFont="1" applyFill="1" applyBorder="1"/>
    <xf numFmtId="0" fontId="15" fillId="21" borderId="146" xfId="0" applyFont="1" applyFill="1" applyBorder="1"/>
    <xf numFmtId="0" fontId="19" fillId="38" borderId="120" xfId="0" applyFont="1" applyFill="1" applyBorder="1" applyAlignment="1">
      <alignment horizontal="center"/>
    </xf>
    <xf numFmtId="0" fontId="15" fillId="39" borderId="148" xfId="0" applyFont="1" applyFill="1" applyBorder="1" applyAlignment="1">
      <alignment horizontal="center"/>
    </xf>
    <xf numFmtId="0" fontId="15" fillId="40" borderId="143" xfId="0" applyFont="1" applyFill="1" applyBorder="1" applyAlignment="1">
      <alignment horizontal="center"/>
    </xf>
    <xf numFmtId="0" fontId="15" fillId="20" borderId="150" xfId="0" applyFont="1" applyFill="1" applyBorder="1"/>
    <xf numFmtId="0" fontId="15" fillId="21" borderId="148" xfId="0" applyFont="1" applyFill="1" applyBorder="1"/>
    <xf numFmtId="0" fontId="19" fillId="38" borderId="161" xfId="0" applyFont="1" applyFill="1" applyBorder="1" applyAlignment="1">
      <alignment horizontal="center"/>
    </xf>
    <xf numFmtId="9" fontId="19" fillId="38" borderId="143" xfId="0" applyNumberFormat="1" applyFont="1" applyFill="1" applyBorder="1" applyAlignment="1">
      <alignment horizontal="center"/>
    </xf>
    <xf numFmtId="0" fontId="21" fillId="38" borderId="146" xfId="0" applyFont="1" applyFill="1" applyBorder="1" applyAlignment="1">
      <alignment horizontal="center"/>
    </xf>
    <xf numFmtId="0" fontId="19" fillId="39" borderId="160" xfId="0" applyFont="1" applyFill="1" applyBorder="1" applyAlignment="1">
      <alignment horizontal="center"/>
    </xf>
    <xf numFmtId="0" fontId="21" fillId="40" borderId="160" xfId="0" applyFont="1" applyFill="1" applyBorder="1" applyAlignment="1">
      <alignment horizontal="center"/>
    </xf>
    <xf numFmtId="0" fontId="21" fillId="40" borderId="140" xfId="0" applyFont="1" applyFill="1" applyBorder="1" applyAlignment="1">
      <alignment horizontal="center"/>
    </xf>
    <xf numFmtId="0" fontId="15" fillId="38" borderId="148" xfId="0" applyFont="1" applyFill="1" applyBorder="1" applyAlignment="1">
      <alignment horizontal="center"/>
    </xf>
    <xf numFmtId="0" fontId="15" fillId="38" borderId="156" xfId="0" applyFont="1" applyFill="1" applyBorder="1" applyAlignment="1">
      <alignment horizontal="center"/>
    </xf>
    <xf numFmtId="0" fontId="15" fillId="39" borderId="156" xfId="0" applyFont="1" applyFill="1" applyBorder="1" applyAlignment="1">
      <alignment horizontal="center"/>
    </xf>
    <xf numFmtId="0" fontId="15" fillId="40" borderId="156" xfId="0" applyFont="1" applyFill="1" applyBorder="1" applyAlignment="1">
      <alignment horizontal="center"/>
    </xf>
    <xf numFmtId="0" fontId="15" fillId="40" borderId="157" xfId="0" applyFont="1" applyFill="1" applyBorder="1" applyAlignment="1">
      <alignment horizontal="center"/>
    </xf>
    <xf numFmtId="0" fontId="15" fillId="21" borderId="147" xfId="0" applyFont="1" applyFill="1" applyBorder="1"/>
    <xf numFmtId="3" fontId="35" fillId="39" borderId="152" xfId="0" applyNumberFormat="1" applyFont="1" applyFill="1" applyBorder="1" applyAlignment="1">
      <alignment horizontal="center"/>
    </xf>
    <xf numFmtId="9" fontId="21" fillId="39" borderId="140" xfId="0" applyNumberFormat="1" applyFont="1" applyFill="1" applyBorder="1"/>
    <xf numFmtId="0" fontId="15" fillId="0" borderId="147" xfId="0" applyFont="1" applyBorder="1" applyAlignment="1">
      <alignment horizontal="left"/>
    </xf>
    <xf numFmtId="0" fontId="15" fillId="0" borderId="158" xfId="0" applyFont="1" applyBorder="1" applyAlignment="1">
      <alignment horizontal="center"/>
    </xf>
    <xf numFmtId="0" fontId="15" fillId="0" borderId="140" xfId="0" applyFont="1" applyBorder="1" applyAlignment="1">
      <alignment horizontal="center"/>
    </xf>
    <xf numFmtId="0" fontId="16" fillId="21" borderId="146" xfId="0" applyFont="1" applyFill="1" applyBorder="1"/>
    <xf numFmtId="0" fontId="15" fillId="21" borderId="138" xfId="0" applyFont="1" applyFill="1" applyBorder="1"/>
    <xf numFmtId="0" fontId="15" fillId="21" borderId="153" xfId="0" applyFont="1" applyFill="1" applyBorder="1"/>
    <xf numFmtId="0" fontId="35" fillId="39" borderId="152" xfId="0" applyFont="1" applyFill="1" applyBorder="1" applyAlignment="1">
      <alignment horizontal="center"/>
    </xf>
    <xf numFmtId="0" fontId="35" fillId="39" borderId="156" xfId="0" applyFont="1" applyFill="1" applyBorder="1" applyAlignment="1">
      <alignment horizontal="center"/>
    </xf>
    <xf numFmtId="9" fontId="21" fillId="39" borderId="143" xfId="0" applyNumberFormat="1" applyFont="1" applyFill="1" applyBorder="1"/>
    <xf numFmtId="3" fontId="34" fillId="38" borderId="152" xfId="0" applyNumberFormat="1" applyFont="1" applyFill="1" applyBorder="1" applyAlignment="1">
      <alignment horizontal="center"/>
    </xf>
    <xf numFmtId="9" fontId="19" fillId="38" borderId="140" xfId="0" applyNumberFormat="1" applyFont="1" applyFill="1" applyBorder="1"/>
    <xf numFmtId="0" fontId="15" fillId="0" borderId="147" xfId="0" applyFont="1" applyBorder="1"/>
    <xf numFmtId="0" fontId="15" fillId="0" borderId="158" xfId="0" applyFont="1" applyBorder="1"/>
    <xf numFmtId="0" fontId="15" fillId="0" borderId="140" xfId="0" applyFont="1" applyBorder="1"/>
    <xf numFmtId="0" fontId="34" fillId="38" borderId="156" xfId="0" applyFont="1" applyFill="1" applyBorder="1" applyAlignment="1">
      <alignment horizontal="center"/>
    </xf>
    <xf numFmtId="9" fontId="19" fillId="38" borderId="143" xfId="0" applyNumberFormat="1" applyFont="1" applyFill="1" applyBorder="1"/>
    <xf numFmtId="0" fontId="19" fillId="38" borderId="152" xfId="0" applyFont="1" applyFill="1" applyBorder="1" applyAlignment="1">
      <alignment horizontal="center"/>
    </xf>
    <xf numFmtId="0" fontId="34" fillId="38" borderId="152" xfId="0" applyFont="1" applyFill="1" applyBorder="1" applyAlignment="1">
      <alignment horizontal="center"/>
    </xf>
    <xf numFmtId="0" fontId="16" fillId="40" borderId="160" xfId="0" applyFont="1" applyFill="1" applyBorder="1"/>
    <xf numFmtId="0" fontId="16" fillId="40" borderId="158" xfId="0" applyFont="1" applyFill="1" applyBorder="1"/>
    <xf numFmtId="0" fontId="15" fillId="21" borderId="151" xfId="0" applyFont="1" applyFill="1" applyBorder="1"/>
    <xf numFmtId="0" fontId="35" fillId="39" borderId="154" xfId="0" applyFont="1" applyFill="1" applyBorder="1" applyAlignment="1">
      <alignment horizontal="center"/>
    </xf>
    <xf numFmtId="0" fontId="15" fillId="20" borderId="149" xfId="0" applyFont="1" applyFill="1" applyBorder="1"/>
    <xf numFmtId="0" fontId="21" fillId="39" borderId="120" xfId="0" applyFont="1" applyFill="1" applyBorder="1" applyAlignment="1">
      <alignment horizontal="center"/>
    </xf>
    <xf numFmtId="0" fontId="15" fillId="39" borderId="150" xfId="0" applyFont="1" applyFill="1" applyBorder="1" applyAlignment="1">
      <alignment horizontal="center"/>
    </xf>
    <xf numFmtId="166" fontId="17" fillId="0" borderId="150" xfId="1" applyNumberFormat="1" applyFont="1" applyBorder="1" applyAlignment="1" applyProtection="1">
      <alignment horizontal="center"/>
    </xf>
    <xf numFmtId="0" fontId="21" fillId="39" borderId="161" xfId="0" applyFont="1" applyFill="1" applyBorder="1" applyAlignment="1">
      <alignment horizontal="center"/>
    </xf>
    <xf numFmtId="9" fontId="21" fillId="39" borderId="143" xfId="0" applyNumberFormat="1" applyFont="1" applyFill="1" applyBorder="1" applyAlignment="1">
      <alignment horizontal="center"/>
    </xf>
    <xf numFmtId="0" fontId="21" fillId="38" borderId="150" xfId="0" applyFont="1" applyFill="1" applyBorder="1" applyAlignment="1">
      <alignment horizontal="center"/>
    </xf>
    <xf numFmtId="0" fontId="21" fillId="38" borderId="156" xfId="0" applyFont="1" applyFill="1" applyBorder="1" applyAlignment="1">
      <alignment horizontal="center"/>
    </xf>
    <xf numFmtId="0" fontId="21" fillId="39" borderId="156" xfId="0" applyFont="1" applyFill="1" applyBorder="1" applyAlignment="1">
      <alignment horizontal="center"/>
    </xf>
    <xf numFmtId="0" fontId="18" fillId="39" borderId="156" xfId="0" applyFont="1" applyFill="1" applyBorder="1" applyAlignment="1">
      <alignment horizontal="center"/>
    </xf>
    <xf numFmtId="0" fontId="19" fillId="39" borderId="156" xfId="0" applyFont="1" applyFill="1" applyBorder="1" applyAlignment="1">
      <alignment horizontal="center"/>
    </xf>
    <xf numFmtId="0" fontId="21" fillId="40" borderId="156" xfId="0" applyFont="1" applyFill="1" applyBorder="1" applyAlignment="1">
      <alignment horizontal="center"/>
    </xf>
    <xf numFmtId="0" fontId="21" fillId="40" borderId="157" xfId="0" applyFont="1" applyFill="1" applyBorder="1" applyAlignment="1">
      <alignment horizontal="center"/>
    </xf>
    <xf numFmtId="9" fontId="15" fillId="21" borderId="140" xfId="0" applyNumberFormat="1" applyFont="1" applyFill="1" applyBorder="1"/>
    <xf numFmtId="0" fontId="15" fillId="40" borderId="160" xfId="0" applyFont="1" applyFill="1" applyBorder="1" applyAlignment="1">
      <alignment horizontal="center"/>
    </xf>
    <xf numFmtId="0" fontId="21" fillId="40" borderId="152" xfId="0" applyFont="1" applyFill="1" applyBorder="1" applyAlignment="1">
      <alignment horizontal="center"/>
    </xf>
    <xf numFmtId="0" fontId="19" fillId="40" borderId="152" xfId="0" applyFont="1" applyFill="1" applyBorder="1" applyAlignment="1">
      <alignment horizontal="center"/>
    </xf>
    <xf numFmtId="9" fontId="15" fillId="21" borderId="143" xfId="0" applyNumberFormat="1" applyFont="1" applyFill="1" applyBorder="1"/>
    <xf numFmtId="0" fontId="18" fillId="40" borderId="160" xfId="0" applyFont="1" applyFill="1" applyBorder="1" applyAlignment="1">
      <alignment horizontal="center"/>
    </xf>
    <xf numFmtId="166" fontId="17" fillId="0" borderId="148" xfId="1" applyNumberFormat="1" applyFont="1" applyBorder="1" applyAlignment="1" applyProtection="1">
      <alignment horizontal="center"/>
    </xf>
    <xf numFmtId="0" fontId="4" fillId="0" borderId="152" xfId="0" applyFont="1" applyBorder="1" applyAlignment="1">
      <alignment horizontal="left" indent="1"/>
    </xf>
    <xf numFmtId="0" fontId="4" fillId="0" borderId="152" xfId="0" applyFont="1" applyBorder="1"/>
    <xf numFmtId="43" fontId="4" fillId="0" borderId="152" xfId="1" applyFont="1" applyBorder="1"/>
    <xf numFmtId="0" fontId="4" fillId="9" borderId="154" xfId="0" applyFont="1" applyFill="1" applyBorder="1" applyAlignment="1">
      <alignment horizontal="left" indent="1"/>
    </xf>
    <xf numFmtId="0" fontId="4" fillId="9" borderId="154" xfId="0" applyFont="1" applyFill="1" applyBorder="1"/>
    <xf numFmtId="43" fontId="4" fillId="9" borderId="154" xfId="1" applyFont="1" applyFill="1" applyBorder="1"/>
    <xf numFmtId="0" fontId="4" fillId="0" borderId="154" xfId="0" applyFont="1" applyBorder="1" applyAlignment="1">
      <alignment horizontal="left" indent="1"/>
    </xf>
    <xf numFmtId="43" fontId="4" fillId="0" borderId="154" xfId="1" applyFont="1" applyBorder="1"/>
    <xf numFmtId="17" fontId="49" fillId="2" borderId="144" xfId="0" applyNumberFormat="1" applyFont="1" applyFill="1" applyBorder="1" applyAlignment="1">
      <alignment horizontal="center"/>
    </xf>
    <xf numFmtId="17" fontId="49" fillId="2" borderId="121" xfId="0" applyNumberFormat="1" applyFont="1" applyFill="1" applyBorder="1" applyAlignment="1">
      <alignment horizontal="center"/>
    </xf>
    <xf numFmtId="17" fontId="49" fillId="2" borderId="120" xfId="0" applyNumberFormat="1" applyFont="1" applyFill="1" applyBorder="1" applyAlignment="1">
      <alignment horizontal="center"/>
    </xf>
    <xf numFmtId="2" fontId="24" fillId="0" borderId="144" xfId="5" applyNumberFormat="1" applyFont="1" applyFill="1" applyBorder="1" applyAlignment="1"/>
    <xf numFmtId="43" fontId="0" fillId="0" borderId="144" xfId="1" applyFont="1" applyBorder="1"/>
    <xf numFmtId="43" fontId="0" fillId="0" borderId="121" xfId="1" applyFont="1" applyBorder="1"/>
    <xf numFmtId="43" fontId="0" fillId="0" borderId="120" xfId="1" applyFont="1" applyBorder="1"/>
    <xf numFmtId="2" fontId="24" fillId="9" borderId="144" xfId="5" applyNumberFormat="1" applyFont="1" applyFill="1" applyBorder="1" applyAlignment="1"/>
    <xf numFmtId="166" fontId="24" fillId="9" borderId="144" xfId="1" applyNumberFormat="1" applyFont="1" applyFill="1" applyBorder="1" applyAlignment="1"/>
    <xf numFmtId="43" fontId="2" fillId="9" borderId="144" xfId="1" applyFont="1" applyFill="1" applyBorder="1"/>
    <xf numFmtId="43" fontId="2" fillId="9" borderId="121" xfId="1" applyFont="1" applyFill="1" applyBorder="1"/>
    <xf numFmtId="43" fontId="2" fillId="9" borderId="120" xfId="1" applyFont="1" applyFill="1" applyBorder="1"/>
    <xf numFmtId="2" fontId="25" fillId="0" borderId="144" xfId="5" applyNumberFormat="1" applyFont="1" applyFill="1" applyBorder="1" applyAlignment="1"/>
    <xf numFmtId="0" fontId="85" fillId="0" borderId="163" xfId="0" applyFont="1" applyBorder="1"/>
    <xf numFmtId="3" fontId="85" fillId="0" borderId="31" xfId="0" applyNumberFormat="1" applyFont="1" applyBorder="1"/>
    <xf numFmtId="3" fontId="85" fillId="0" borderId="33" xfId="0" applyNumberFormat="1" applyFont="1" applyBorder="1"/>
    <xf numFmtId="0" fontId="85" fillId="0" borderId="145" xfId="0" applyFont="1" applyBorder="1"/>
    <xf numFmtId="0" fontId="85" fillId="0" borderId="164" xfId="0" applyFont="1" applyBorder="1"/>
    <xf numFmtId="2" fontId="85" fillId="0" borderId="31" xfId="0" applyNumberFormat="1" applyFont="1" applyBorder="1"/>
    <xf numFmtId="2" fontId="85" fillId="0" borderId="33" xfId="0" applyNumberFormat="1" applyFont="1" applyBorder="1"/>
    <xf numFmtId="170" fontId="85" fillId="0" borderId="164" xfId="0" applyNumberFormat="1" applyFont="1" applyBorder="1"/>
    <xf numFmtId="0" fontId="0" fillId="0" borderId="164" xfId="0" applyBorder="1" applyAlignment="1">
      <alignment vertical="center"/>
    </xf>
    <xf numFmtId="170" fontId="0" fillId="0" borderId="164" xfId="0" applyNumberFormat="1" applyBorder="1" applyAlignment="1">
      <alignment vertical="center"/>
    </xf>
    <xf numFmtId="9" fontId="17" fillId="0" borderId="164" xfId="2" applyFont="1" applyFill="1" applyBorder="1" applyAlignment="1" applyProtection="1">
      <alignment horizontal="center"/>
    </xf>
    <xf numFmtId="9" fontId="17" fillId="22" borderId="164" xfId="1870" applyNumberFormat="1" applyFont="1" applyFill="1" applyBorder="1" applyProtection="1">
      <protection locked="0"/>
    </xf>
    <xf numFmtId="0" fontId="5" fillId="0" borderId="164" xfId="0" applyFont="1" applyBorder="1" applyAlignment="1">
      <alignment vertical="center"/>
    </xf>
    <xf numFmtId="0" fontId="16" fillId="38" borderId="164" xfId="0" applyFont="1" applyFill="1" applyBorder="1" applyAlignment="1">
      <alignment horizontal="center"/>
    </xf>
    <xf numFmtId="9" fontId="17" fillId="22" borderId="164" xfId="0" applyNumberFormat="1" applyFont="1" applyFill="1" applyBorder="1" applyProtection="1">
      <protection locked="0"/>
    </xf>
    <xf numFmtId="9" fontId="19" fillId="38" borderId="164" xfId="0" applyNumberFormat="1" applyFont="1" applyFill="1" applyBorder="1" applyAlignment="1">
      <alignment horizontal="center"/>
    </xf>
    <xf numFmtId="9" fontId="21" fillId="39" borderId="164" xfId="0" applyNumberFormat="1" applyFont="1" applyFill="1" applyBorder="1"/>
    <xf numFmtId="9" fontId="21" fillId="39" borderId="164" xfId="0" applyNumberFormat="1" applyFont="1" applyFill="1" applyBorder="1" applyAlignment="1">
      <alignment horizontal="center"/>
    </xf>
    <xf numFmtId="166" fontId="0" fillId="0" borderId="25" xfId="1742" applyNumberFormat="1" applyFont="1" applyBorder="1" applyAlignment="1">
      <alignment vertical="center"/>
    </xf>
    <xf numFmtId="2" fontId="5" fillId="0" borderId="0" xfId="1" applyNumberFormat="1" applyFont="1" applyFill="1" applyBorder="1" applyAlignment="1">
      <alignment horizontal="center"/>
    </xf>
    <xf numFmtId="0" fontId="2" fillId="9" borderId="28" xfId="0" applyFont="1" applyFill="1" applyBorder="1" applyAlignment="1">
      <alignment horizontal="center" vertical="center" wrapText="1"/>
    </xf>
    <xf numFmtId="0" fontId="2" fillId="9" borderId="146" xfId="0" applyFont="1" applyFill="1" applyBorder="1" applyAlignment="1">
      <alignment horizontal="center" vertical="center" wrapText="1"/>
    </xf>
    <xf numFmtId="0" fontId="2" fillId="9" borderId="148" xfId="0" applyFont="1" applyFill="1" applyBorder="1" applyAlignment="1">
      <alignment horizontal="center" vertical="center" wrapText="1"/>
    </xf>
    <xf numFmtId="0" fontId="2" fillId="9" borderId="15" xfId="0" applyFont="1" applyFill="1" applyBorder="1" applyAlignment="1">
      <alignment horizontal="center" vertical="center" wrapText="1"/>
    </xf>
    <xf numFmtId="0" fontId="2" fillId="9" borderId="50" xfId="0" applyFont="1" applyFill="1" applyBorder="1" applyAlignment="1">
      <alignment horizontal="center" vertical="center" wrapText="1"/>
    </xf>
    <xf numFmtId="0" fontId="2" fillId="9" borderId="147" xfId="0" applyFont="1" applyFill="1" applyBorder="1" applyAlignment="1">
      <alignment horizontal="center" vertical="center" wrapText="1"/>
    </xf>
    <xf numFmtId="0" fontId="2" fillId="9" borderId="150" xfId="0" applyFont="1" applyFill="1" applyBorder="1" applyAlignment="1">
      <alignment horizontal="center" vertical="center" wrapText="1"/>
    </xf>
    <xf numFmtId="0" fontId="2" fillId="9" borderId="151" xfId="0" applyFont="1" applyFill="1" applyBorder="1" applyAlignment="1">
      <alignment horizontal="center" vertical="center" wrapText="1"/>
    </xf>
    <xf numFmtId="0" fontId="2" fillId="9" borderId="27" xfId="0" applyFont="1" applyFill="1" applyBorder="1" applyAlignment="1">
      <alignment horizontal="center" vertical="center" wrapText="1"/>
    </xf>
    <xf numFmtId="0" fontId="2" fillId="9" borderId="102" xfId="0" applyFont="1" applyFill="1" applyBorder="1" applyAlignment="1">
      <alignment horizontal="center" vertical="center" wrapText="1"/>
    </xf>
    <xf numFmtId="0" fontId="2" fillId="9" borderId="21" xfId="0" applyFont="1" applyFill="1" applyBorder="1" applyAlignment="1">
      <alignment horizontal="center" vertical="center" wrapText="1"/>
    </xf>
    <xf numFmtId="0" fontId="2" fillId="35" borderId="55" xfId="0" applyFont="1" applyFill="1" applyBorder="1" applyAlignment="1">
      <alignment horizontal="center"/>
    </xf>
    <xf numFmtId="0" fontId="2" fillId="35" borderId="56" xfId="0" applyFont="1" applyFill="1" applyBorder="1" applyAlignment="1">
      <alignment horizontal="center"/>
    </xf>
    <xf numFmtId="17" fontId="2" fillId="35" borderId="61" xfId="0" applyNumberFormat="1" applyFont="1" applyFill="1" applyBorder="1" applyAlignment="1">
      <alignment horizontal="center"/>
    </xf>
    <xf numFmtId="0" fontId="2" fillId="35" borderId="3" xfId="0" applyFont="1" applyFill="1" applyBorder="1" applyAlignment="1">
      <alignment horizontal="center"/>
    </xf>
    <xf numFmtId="0" fontId="2" fillId="35" borderId="4" xfId="0" applyFont="1" applyFill="1" applyBorder="1" applyAlignment="1">
      <alignment horizontal="center"/>
    </xf>
    <xf numFmtId="17" fontId="2" fillId="35" borderId="2" xfId="0" applyNumberFormat="1" applyFont="1" applyFill="1" applyBorder="1" applyAlignment="1">
      <alignment horizontal="center"/>
    </xf>
    <xf numFmtId="0" fontId="2" fillId="35" borderId="53" xfId="0" applyFont="1" applyFill="1" applyBorder="1" applyAlignment="1">
      <alignment horizontal="center" vertical="center"/>
    </xf>
    <xf numFmtId="0" fontId="2" fillId="35" borderId="55" xfId="0" applyFont="1" applyFill="1" applyBorder="1" applyAlignment="1">
      <alignment horizontal="center" vertical="center"/>
    </xf>
    <xf numFmtId="15" fontId="5" fillId="5" borderId="0" xfId="0" applyNumberFormat="1" applyFont="1" applyFill="1" applyAlignment="1">
      <alignment horizontal="center" vertical="center" wrapText="1"/>
    </xf>
    <xf numFmtId="15" fontId="5" fillId="15" borderId="0" xfId="0" applyNumberFormat="1" applyFont="1" applyFill="1" applyAlignment="1">
      <alignment horizontal="center" vertical="center" wrapText="1"/>
    </xf>
    <xf numFmtId="0" fontId="5" fillId="0" borderId="138" xfId="0" applyFont="1" applyBorder="1" applyAlignment="1">
      <alignment horizontal="center" vertical="center"/>
    </xf>
    <xf numFmtId="0" fontId="5" fillId="0" borderId="160" xfId="0" applyFont="1" applyBorder="1" applyAlignment="1">
      <alignment horizontal="center" vertical="center"/>
    </xf>
    <xf numFmtId="0" fontId="12" fillId="0" borderId="147" xfId="0" applyFont="1" applyBorder="1" applyAlignment="1">
      <alignment horizontal="center" vertical="center"/>
    </xf>
    <xf numFmtId="0" fontId="12" fillId="0" borderId="140" xfId="0" applyFont="1" applyBorder="1" applyAlignment="1">
      <alignment horizontal="center" vertical="center"/>
    </xf>
    <xf numFmtId="0" fontId="5" fillId="0" borderId="138" xfId="0" applyFont="1" applyBorder="1" applyAlignment="1">
      <alignment horizontal="center" vertical="center" wrapText="1"/>
    </xf>
    <xf numFmtId="0" fontId="5" fillId="0" borderId="160" xfId="0" applyFont="1" applyBorder="1" applyAlignment="1">
      <alignment horizontal="center" vertical="center" wrapText="1"/>
    </xf>
    <xf numFmtId="15" fontId="5" fillId="17" borderId="0" xfId="0" applyNumberFormat="1" applyFont="1" applyFill="1" applyAlignment="1">
      <alignment horizontal="center" vertical="center" wrapText="1"/>
    </xf>
    <xf numFmtId="17" fontId="5" fillId="0" borderId="0" xfId="0" applyNumberFormat="1" applyFont="1" applyAlignment="1">
      <alignment horizontal="center" vertical="center" wrapText="1"/>
    </xf>
    <xf numFmtId="0" fontId="5" fillId="0" borderId="0" xfId="0" applyFont="1" applyAlignment="1">
      <alignment horizontal="center" vertical="center" wrapText="1"/>
    </xf>
    <xf numFmtId="0" fontId="5" fillId="0" borderId="140" xfId="0" applyFont="1" applyBorder="1" applyAlignment="1">
      <alignment horizontal="center" vertical="center"/>
    </xf>
    <xf numFmtId="17" fontId="5" fillId="0" borderId="42" xfId="0" applyNumberFormat="1" applyFont="1" applyBorder="1" applyAlignment="1">
      <alignment horizontal="center" vertical="center" wrapText="1"/>
    </xf>
    <xf numFmtId="17" fontId="5" fillId="0" borderId="38" xfId="0" applyNumberFormat="1" applyFont="1" applyBorder="1" applyAlignment="1">
      <alignment horizontal="center" vertical="center" wrapText="1"/>
    </xf>
    <xf numFmtId="17" fontId="5" fillId="0" borderId="45" xfId="0" applyNumberFormat="1" applyFont="1" applyBorder="1" applyAlignment="1">
      <alignment horizontal="center" vertical="center" wrapText="1"/>
    </xf>
    <xf numFmtId="0" fontId="5" fillId="0" borderId="147" xfId="0" applyFont="1" applyBorder="1" applyAlignment="1">
      <alignment horizontal="center" vertical="center" wrapText="1"/>
    </xf>
    <xf numFmtId="0" fontId="5" fillId="0" borderId="147" xfId="0" applyFont="1" applyBorder="1" applyAlignment="1">
      <alignment horizontal="center" vertical="center"/>
    </xf>
    <xf numFmtId="0" fontId="2" fillId="14" borderId="47" xfId="0" applyFont="1" applyFill="1" applyBorder="1" applyAlignment="1">
      <alignment horizontal="center"/>
    </xf>
    <xf numFmtId="0" fontId="2" fillId="14" borderId="49" xfId="0" applyFont="1" applyFill="1" applyBorder="1" applyAlignment="1">
      <alignment horizontal="center"/>
    </xf>
    <xf numFmtId="0" fontId="2" fillId="14" borderId="48" xfId="0" applyFont="1" applyFill="1" applyBorder="1" applyAlignment="1">
      <alignment horizontal="center"/>
    </xf>
    <xf numFmtId="0" fontId="2" fillId="14" borderId="15" xfId="0" applyFont="1" applyFill="1" applyBorder="1" applyAlignment="1">
      <alignment horizontal="center"/>
    </xf>
    <xf numFmtId="0" fontId="2" fillId="14" borderId="16" xfId="0" applyFont="1" applyFill="1" applyBorder="1" applyAlignment="1">
      <alignment horizontal="center"/>
    </xf>
    <xf numFmtId="0" fontId="2" fillId="14" borderId="18" xfId="0" applyFont="1" applyFill="1" applyBorder="1" applyAlignment="1">
      <alignment horizontal="center"/>
    </xf>
    <xf numFmtId="0" fontId="2" fillId="14" borderId="17" xfId="0" applyFont="1" applyFill="1" applyBorder="1" applyAlignment="1">
      <alignment horizontal="center"/>
    </xf>
    <xf numFmtId="0" fontId="2" fillId="14" borderId="50" xfId="0" applyFont="1" applyFill="1" applyBorder="1" applyAlignment="1">
      <alignment horizontal="center"/>
    </xf>
    <xf numFmtId="0" fontId="2" fillId="14" borderId="62" xfId="0" applyFont="1" applyFill="1" applyBorder="1" applyAlignment="1">
      <alignment horizontal="center"/>
    </xf>
    <xf numFmtId="0" fontId="2" fillId="14" borderId="32" xfId="0" applyFont="1" applyFill="1" applyBorder="1" applyAlignment="1">
      <alignment horizontal="center"/>
    </xf>
    <xf numFmtId="0" fontId="83" fillId="83" borderId="50" xfId="0" applyFont="1" applyFill="1" applyBorder="1"/>
    <xf numFmtId="0" fontId="83" fillId="83" borderId="62" xfId="0" applyFont="1" applyFill="1" applyBorder="1"/>
    <xf numFmtId="0" fontId="83" fillId="83" borderId="128" xfId="0" applyFont="1" applyFill="1" applyBorder="1"/>
    <xf numFmtId="0" fontId="17" fillId="0" borderId="63" xfId="1" applyNumberFormat="1" applyFont="1" applyFill="1" applyBorder="1" applyAlignment="1" applyProtection="1">
      <alignment horizontal="center" vertical="center"/>
      <protection locked="0"/>
    </xf>
    <xf numFmtId="0" fontId="17" fillId="0" borderId="30" xfId="1" applyNumberFormat="1" applyFont="1" applyFill="1" applyBorder="1" applyAlignment="1" applyProtection="1">
      <alignment horizontal="center" vertical="center"/>
      <protection locked="0"/>
    </xf>
    <xf numFmtId="0" fontId="17" fillId="0" borderId="60" xfId="1" applyNumberFormat="1" applyFont="1" applyFill="1" applyBorder="1" applyAlignment="1" applyProtection="1">
      <alignment horizontal="center" vertical="center"/>
      <protection locked="0"/>
    </xf>
    <xf numFmtId="0" fontId="15" fillId="21" borderId="63" xfId="1870" applyFont="1" applyFill="1" applyBorder="1" applyAlignment="1" applyProtection="1">
      <alignment horizontal="left" vertical="center"/>
      <protection locked="0"/>
    </xf>
    <xf numFmtId="0" fontId="15" fillId="21" borderId="30" xfId="1870" applyFont="1" applyFill="1" applyBorder="1" applyAlignment="1" applyProtection="1">
      <alignment horizontal="left" vertical="center"/>
      <protection locked="0"/>
    </xf>
    <xf numFmtId="0" fontId="15" fillId="21" borderId="145" xfId="1870" applyFont="1" applyFill="1" applyBorder="1" applyAlignment="1" applyProtection="1">
      <alignment horizontal="left" vertical="center"/>
      <protection locked="0"/>
    </xf>
    <xf numFmtId="0" fontId="15" fillId="21" borderId="164" xfId="1870" applyFont="1" applyFill="1" applyBorder="1" applyAlignment="1" applyProtection="1">
      <alignment horizontal="left" vertical="center"/>
      <protection locked="0"/>
    </xf>
    <xf numFmtId="0" fontId="15" fillId="21" borderId="143" xfId="1870" applyFont="1" applyFill="1" applyBorder="1" applyAlignment="1" applyProtection="1">
      <alignment horizontal="left" vertical="center"/>
      <protection locked="0"/>
    </xf>
    <xf numFmtId="0" fontId="15" fillId="0" borderId="30" xfId="1870" applyFont="1" applyBorder="1" applyAlignment="1" applyProtection="1">
      <alignment horizontal="center" vertical="center"/>
      <protection locked="0"/>
    </xf>
    <xf numFmtId="0" fontId="15" fillId="0" borderId="63" xfId="1870" applyFont="1" applyBorder="1" applyAlignment="1" applyProtection="1">
      <alignment horizontal="center" vertical="center"/>
      <protection locked="0"/>
    </xf>
    <xf numFmtId="0" fontId="15" fillId="0" borderId="67" xfId="1870" applyFont="1" applyBorder="1" applyAlignment="1" applyProtection="1">
      <alignment horizontal="center" vertical="center"/>
      <protection locked="0"/>
    </xf>
    <xf numFmtId="0" fontId="17" fillId="0" borderId="126" xfId="1" applyNumberFormat="1" applyFont="1" applyFill="1" applyBorder="1" applyAlignment="1" applyProtection="1">
      <alignment horizontal="center" vertical="center"/>
      <protection locked="0"/>
    </xf>
    <xf numFmtId="0" fontId="17" fillId="0" borderId="124" xfId="1" applyNumberFormat="1" applyFont="1" applyFill="1" applyBorder="1" applyAlignment="1" applyProtection="1">
      <alignment horizontal="center" vertical="center"/>
      <protection locked="0"/>
    </xf>
    <xf numFmtId="0" fontId="17" fillId="0" borderId="125" xfId="1" applyNumberFormat="1" applyFont="1" applyFill="1" applyBorder="1" applyAlignment="1" applyProtection="1">
      <alignment horizontal="center" vertical="center"/>
      <protection locked="0"/>
    </xf>
    <xf numFmtId="0" fontId="15" fillId="0" borderId="20" xfId="1870" applyFont="1" applyBorder="1" applyAlignment="1" applyProtection="1">
      <alignment horizontal="center" vertical="center"/>
      <protection locked="0"/>
    </xf>
    <xf numFmtId="0" fontId="15" fillId="0" borderId="52" xfId="1870" applyFont="1" applyBorder="1" applyAlignment="1" applyProtection="1">
      <alignment horizontal="center" vertical="center"/>
      <protection locked="0"/>
    </xf>
    <xf numFmtId="0" fontId="15" fillId="0" borderId="57" xfId="1870" applyFont="1" applyBorder="1" applyAlignment="1" applyProtection="1">
      <alignment horizontal="center" vertical="center"/>
      <protection locked="0"/>
    </xf>
    <xf numFmtId="0" fontId="17" fillId="0" borderId="127" xfId="1" applyNumberFormat="1" applyFont="1" applyFill="1" applyBorder="1" applyAlignment="1" applyProtection="1">
      <alignment horizontal="center" vertical="center"/>
      <protection locked="0"/>
    </xf>
    <xf numFmtId="0" fontId="15" fillId="0" borderId="20" xfId="1870" applyFont="1" applyBorder="1" applyAlignment="1" applyProtection="1">
      <alignment horizontal="left" vertical="center" wrapText="1"/>
      <protection locked="0"/>
    </xf>
    <xf numFmtId="0" fontId="15" fillId="0" borderId="52" xfId="1870" applyFont="1" applyBorder="1" applyAlignment="1" applyProtection="1">
      <alignment horizontal="left" vertical="center" wrapText="1"/>
      <protection locked="0"/>
    </xf>
    <xf numFmtId="0" fontId="15" fillId="0" borderId="57" xfId="1870" applyFont="1" applyBorder="1" applyAlignment="1" applyProtection="1">
      <alignment horizontal="left" vertical="center" wrapText="1"/>
      <protection locked="0"/>
    </xf>
    <xf numFmtId="0" fontId="15" fillId="21" borderId="20" xfId="1870" applyFont="1" applyFill="1" applyBorder="1" applyAlignment="1" applyProtection="1">
      <alignment horizontal="left" vertical="center"/>
      <protection locked="0"/>
    </xf>
    <xf numFmtId="0" fontId="15" fillId="21" borderId="142" xfId="1870" applyFont="1" applyFill="1" applyBorder="1" applyAlignment="1" applyProtection="1">
      <alignment horizontal="left" vertical="center"/>
      <protection locked="0"/>
    </xf>
    <xf numFmtId="0" fontId="17" fillId="0" borderId="123" xfId="1" applyNumberFormat="1" applyFont="1" applyFill="1" applyBorder="1" applyAlignment="1" applyProtection="1">
      <alignment horizontal="center" vertical="center"/>
      <protection locked="0"/>
    </xf>
    <xf numFmtId="0" fontId="15" fillId="21" borderId="52" xfId="1870" applyFont="1" applyFill="1" applyBorder="1" applyAlignment="1" applyProtection="1">
      <alignment horizontal="left" vertical="center"/>
      <protection locked="0"/>
    </xf>
    <xf numFmtId="0" fontId="17" fillId="0" borderId="123" xfId="1" applyNumberFormat="1" applyFont="1" applyBorder="1" applyAlignment="1" applyProtection="1">
      <alignment horizontal="center" vertical="center"/>
      <protection locked="0"/>
    </xf>
    <xf numFmtId="0" fontId="17" fillId="0" borderId="124" xfId="1" applyNumberFormat="1" applyFont="1" applyBorder="1" applyAlignment="1" applyProtection="1">
      <alignment horizontal="center" vertical="center"/>
      <protection locked="0"/>
    </xf>
    <xf numFmtId="0" fontId="15" fillId="0" borderId="30" xfId="1870" applyFont="1" applyBorder="1" applyAlignment="1" applyProtection="1">
      <alignment horizontal="left" vertical="center" wrapText="1"/>
      <protection locked="0"/>
    </xf>
    <xf numFmtId="0" fontId="15" fillId="0" borderId="63" xfId="1870" applyFont="1" applyBorder="1" applyAlignment="1" applyProtection="1">
      <alignment horizontal="left" vertical="center" wrapText="1"/>
      <protection locked="0"/>
    </xf>
    <xf numFmtId="0" fontId="15" fillId="0" borderId="67" xfId="1870" applyFont="1" applyBorder="1" applyAlignment="1" applyProtection="1">
      <alignment horizontal="left" vertical="center" wrapText="1"/>
      <protection locked="0"/>
    </xf>
    <xf numFmtId="1" fontId="15" fillId="0" borderId="30" xfId="1870" applyNumberFormat="1" applyFont="1" applyBorder="1" applyAlignment="1" applyProtection="1">
      <alignment horizontal="center" vertical="center" wrapText="1"/>
      <protection locked="0"/>
    </xf>
    <xf numFmtId="1" fontId="15" fillId="0" borderId="63" xfId="1870" applyNumberFormat="1" applyFont="1" applyBorder="1" applyAlignment="1" applyProtection="1">
      <alignment horizontal="center" vertical="center" wrapText="1"/>
      <protection locked="0"/>
    </xf>
    <xf numFmtId="1" fontId="15" fillId="0" borderId="67" xfId="1870" applyNumberFormat="1" applyFont="1" applyBorder="1" applyAlignment="1" applyProtection="1">
      <alignment horizontal="center" vertical="center" wrapText="1"/>
      <protection locked="0"/>
    </xf>
    <xf numFmtId="0" fontId="19" fillId="0" borderId="51" xfId="3" applyFont="1" applyBorder="1" applyAlignment="1">
      <alignment horizontal="center"/>
    </xf>
    <xf numFmtId="0" fontId="19" fillId="0" borderId="0" xfId="3" applyFont="1" applyAlignment="1">
      <alignment horizontal="center"/>
    </xf>
    <xf numFmtId="0" fontId="19" fillId="0" borderId="52" xfId="3" applyFont="1" applyBorder="1" applyAlignment="1">
      <alignment horizontal="center"/>
    </xf>
    <xf numFmtId="0" fontId="21" fillId="0" borderId="55" xfId="3" applyFont="1" applyBorder="1" applyAlignment="1">
      <alignment horizontal="center"/>
    </xf>
    <xf numFmtId="0" fontId="21" fillId="0" borderId="56" xfId="3" applyFont="1" applyBorder="1" applyAlignment="1">
      <alignment horizontal="center"/>
    </xf>
    <xf numFmtId="0" fontId="21" fillId="0" borderId="57" xfId="3" applyFont="1" applyBorder="1" applyAlignment="1">
      <alignment horizontal="center"/>
    </xf>
    <xf numFmtId="16" fontId="15" fillId="0" borderId="2" xfId="1870" applyNumberFormat="1" applyFont="1" applyBorder="1" applyAlignment="1">
      <alignment horizontal="center" vertical="center"/>
    </xf>
    <xf numFmtId="0" fontId="26" fillId="12" borderId="47" xfId="3" applyFont="1" applyFill="1" applyBorder="1" applyAlignment="1">
      <alignment horizontal="center"/>
    </xf>
    <xf numFmtId="0" fontId="26" fillId="12" borderId="48" xfId="3" applyFont="1" applyFill="1" applyBorder="1" applyAlignment="1">
      <alignment horizontal="center"/>
    </xf>
    <xf numFmtId="0" fontId="26" fillId="12" borderId="49" xfId="3" applyFont="1" applyFill="1" applyBorder="1" applyAlignment="1">
      <alignment horizontal="center"/>
    </xf>
    <xf numFmtId="0" fontId="17" fillId="29" borderId="50" xfId="1870" applyFont="1" applyFill="1" applyBorder="1" applyAlignment="1">
      <alignment horizontal="center" vertical="center"/>
    </xf>
    <xf numFmtId="0" fontId="17" fillId="29" borderId="32" xfId="1870" applyFont="1" applyFill="1" applyBorder="1" applyAlignment="1">
      <alignment horizontal="center" vertical="center"/>
    </xf>
    <xf numFmtId="0" fontId="17" fillId="0" borderId="53" xfId="3" applyFont="1" applyBorder="1" applyAlignment="1">
      <alignment horizontal="center"/>
    </xf>
    <xf numFmtId="0" fontId="17" fillId="0" borderId="54" xfId="3" applyFont="1" applyBorder="1" applyAlignment="1">
      <alignment horizontal="center"/>
    </xf>
    <xf numFmtId="0" fontId="17" fillId="0" borderId="20" xfId="3" applyFont="1" applyBorder="1" applyAlignment="1">
      <alignment horizontal="center"/>
    </xf>
    <xf numFmtId="0" fontId="17" fillId="28" borderId="150" xfId="1870" applyFont="1" applyFill="1" applyBorder="1" applyAlignment="1">
      <alignment horizontal="center" vertical="center"/>
    </xf>
    <xf numFmtId="0" fontId="17" fillId="28" borderId="143" xfId="1870" applyFont="1" applyFill="1" applyBorder="1" applyAlignment="1">
      <alignment horizontal="center" vertical="center"/>
    </xf>
    <xf numFmtId="0" fontId="18" fillId="0" borderId="51" xfId="3" applyFont="1" applyBorder="1" applyAlignment="1">
      <alignment horizontal="center"/>
    </xf>
    <xf numFmtId="0" fontId="18" fillId="0" borderId="0" xfId="3" applyFont="1" applyAlignment="1">
      <alignment horizontal="center"/>
    </xf>
    <xf numFmtId="0" fontId="18" fillId="0" borderId="52" xfId="3" applyFont="1" applyBorder="1" applyAlignment="1">
      <alignment horizontal="center"/>
    </xf>
    <xf numFmtId="0" fontId="17" fillId="0" borderId="67" xfId="1" applyNumberFormat="1" applyFont="1" applyFill="1" applyBorder="1" applyAlignment="1" applyProtection="1">
      <alignment horizontal="center" vertical="center"/>
      <protection locked="0"/>
    </xf>
    <xf numFmtId="0" fontId="22" fillId="0" borderId="30" xfId="1870" applyFont="1" applyBorder="1" applyAlignment="1" applyProtection="1">
      <alignment horizontal="left" vertical="center" wrapText="1"/>
      <protection locked="0"/>
    </xf>
    <xf numFmtId="0" fontId="22" fillId="0" borderId="63" xfId="1870" applyFont="1" applyBorder="1" applyAlignment="1" applyProtection="1">
      <alignment horizontal="left" vertical="center" wrapText="1"/>
      <protection locked="0"/>
    </xf>
    <xf numFmtId="0" fontId="22" fillId="0" borderId="67" xfId="1870" applyFont="1" applyBorder="1" applyAlignment="1" applyProtection="1">
      <alignment horizontal="left" vertical="center" wrapText="1"/>
      <protection locked="0"/>
    </xf>
    <xf numFmtId="0" fontId="15" fillId="21" borderId="31" xfId="1870" applyFont="1" applyFill="1" applyBorder="1" applyAlignment="1" applyProtection="1">
      <alignment horizontal="left" vertical="center"/>
      <protection locked="0"/>
    </xf>
    <xf numFmtId="0" fontId="15" fillId="21" borderId="67" xfId="1870" applyFont="1" applyFill="1" applyBorder="1" applyAlignment="1" applyProtection="1">
      <alignment horizontal="left" vertical="center"/>
      <protection locked="0"/>
    </xf>
    <xf numFmtId="0" fontId="17" fillId="10" borderId="30" xfId="1" applyNumberFormat="1" applyFont="1" applyFill="1" applyBorder="1" applyAlignment="1" applyProtection="1">
      <alignment horizontal="center" vertical="center"/>
      <protection locked="0"/>
    </xf>
    <xf numFmtId="0" fontId="17" fillId="10" borderId="63" xfId="1" applyNumberFormat="1" applyFont="1" applyFill="1" applyBorder="1" applyAlignment="1" applyProtection="1">
      <alignment horizontal="center" vertical="center"/>
      <protection locked="0"/>
    </xf>
    <xf numFmtId="0" fontId="17" fillId="10" borderId="67" xfId="1" applyNumberFormat="1" applyFont="1" applyFill="1" applyBorder="1" applyAlignment="1" applyProtection="1">
      <alignment horizontal="center" vertical="center"/>
      <protection locked="0"/>
    </xf>
    <xf numFmtId="0" fontId="22" fillId="10" borderId="30" xfId="1870" applyFont="1" applyFill="1" applyBorder="1" applyAlignment="1" applyProtection="1">
      <alignment horizontal="left" vertical="center" wrapText="1"/>
      <protection locked="0"/>
    </xf>
    <xf numFmtId="0" fontId="22" fillId="10" borderId="63" xfId="1870" applyFont="1" applyFill="1" applyBorder="1" applyAlignment="1" applyProtection="1">
      <alignment horizontal="left" vertical="center" wrapText="1"/>
      <protection locked="0"/>
    </xf>
    <xf numFmtId="0" fontId="22" fillId="10" borderId="67" xfId="1870" applyFont="1" applyFill="1" applyBorder="1" applyAlignment="1" applyProtection="1">
      <alignment horizontal="left" vertical="center" wrapText="1"/>
      <protection locked="0"/>
    </xf>
    <xf numFmtId="1" fontId="22" fillId="0" borderId="30" xfId="1870" applyNumberFormat="1" applyFont="1" applyBorder="1" applyAlignment="1" applyProtection="1">
      <alignment horizontal="left" vertical="center" wrapText="1"/>
      <protection locked="0"/>
    </xf>
    <xf numFmtId="0" fontId="17" fillId="0" borderId="51" xfId="3" applyFont="1" applyBorder="1" applyAlignment="1">
      <alignment horizontal="center"/>
    </xf>
    <xf numFmtId="0" fontId="17" fillId="0" borderId="0" xfId="3" applyFont="1" applyAlignment="1">
      <alignment horizontal="center"/>
    </xf>
    <xf numFmtId="0" fontId="17" fillId="0" borderId="52" xfId="3" applyFont="1" applyBorder="1" applyAlignment="1">
      <alignment horizontal="center"/>
    </xf>
    <xf numFmtId="0" fontId="22" fillId="37" borderId="47" xfId="0" applyFont="1" applyFill="1" applyBorder="1" applyAlignment="1">
      <alignment horizontal="center" vertical="center"/>
    </xf>
    <xf numFmtId="0" fontId="22" fillId="37" borderId="49" xfId="0" applyFont="1" applyFill="1" applyBorder="1" applyAlignment="1">
      <alignment horizontal="center" vertical="center"/>
    </xf>
    <xf numFmtId="0" fontId="22" fillId="0" borderId="30" xfId="0" applyFont="1" applyBorder="1" applyAlignment="1">
      <alignment horizontal="center" vertical="center"/>
    </xf>
    <xf numFmtId="0" fontId="22" fillId="0" borderId="67" xfId="0" applyFont="1" applyBorder="1" applyAlignment="1">
      <alignment horizontal="center" vertical="center"/>
    </xf>
    <xf numFmtId="0" fontId="22" fillId="0" borderId="63" xfId="0" applyFont="1" applyBorder="1" applyAlignment="1">
      <alignment horizontal="center" vertical="center"/>
    </xf>
    <xf numFmtId="0" fontId="22" fillId="37" borderId="47" xfId="0" applyFont="1" applyFill="1" applyBorder="1" applyAlignment="1">
      <alignment horizontal="left" vertical="center"/>
    </xf>
    <xf numFmtId="0" fontId="22" fillId="37" borderId="48" xfId="0" applyFont="1" applyFill="1" applyBorder="1" applyAlignment="1">
      <alignment horizontal="left" vertical="center"/>
    </xf>
    <xf numFmtId="0" fontId="22" fillId="37" borderId="48" xfId="0" applyFont="1" applyFill="1" applyBorder="1" applyAlignment="1">
      <alignment horizontal="center" vertical="center"/>
    </xf>
    <xf numFmtId="0" fontId="15" fillId="21" borderId="30" xfId="0" applyFont="1" applyFill="1" applyBorder="1" applyAlignment="1" applyProtection="1">
      <alignment horizontal="left" vertical="center"/>
      <protection locked="0"/>
    </xf>
    <xf numFmtId="0" fontId="15" fillId="21" borderId="145" xfId="0" applyFont="1" applyFill="1" applyBorder="1" applyAlignment="1" applyProtection="1">
      <alignment horizontal="left" vertical="center"/>
      <protection locked="0"/>
    </xf>
    <xf numFmtId="0" fontId="15" fillId="21" borderId="164" xfId="0" applyFont="1" applyFill="1" applyBorder="1" applyAlignment="1" applyProtection="1">
      <alignment horizontal="left" vertical="center"/>
      <protection locked="0"/>
    </xf>
    <xf numFmtId="0" fontId="15" fillId="21" borderId="143" xfId="0" applyFont="1" applyFill="1" applyBorder="1" applyAlignment="1" applyProtection="1">
      <alignment horizontal="left" vertical="center"/>
      <protection locked="0"/>
    </xf>
    <xf numFmtId="0" fontId="15" fillId="21" borderId="63" xfId="0" applyFont="1" applyFill="1" applyBorder="1" applyAlignment="1" applyProtection="1">
      <alignment horizontal="left" vertical="center"/>
      <protection locked="0"/>
    </xf>
    <xf numFmtId="0" fontId="15" fillId="0" borderId="30" xfId="0" applyFont="1" applyBorder="1" applyAlignment="1" applyProtection="1">
      <alignment horizontal="center" vertical="center"/>
      <protection locked="0"/>
    </xf>
    <xf numFmtId="0" fontId="15" fillId="0" borderId="63" xfId="0" applyFont="1" applyBorder="1" applyAlignment="1" applyProtection="1">
      <alignment horizontal="center" vertical="center"/>
      <protection locked="0"/>
    </xf>
    <xf numFmtId="0" fontId="15" fillId="0" borderId="67" xfId="0" applyFont="1" applyBorder="1" applyAlignment="1" applyProtection="1">
      <alignment horizontal="center" vertical="center"/>
      <protection locked="0"/>
    </xf>
    <xf numFmtId="0" fontId="15" fillId="0" borderId="30" xfId="0" applyFont="1" applyBorder="1" applyAlignment="1" applyProtection="1">
      <alignment horizontal="left" vertical="center" wrapText="1"/>
      <protection locked="0"/>
    </xf>
    <xf numFmtId="0" fontId="15" fillId="0" borderId="63" xfId="0" applyFont="1" applyBorder="1" applyAlignment="1" applyProtection="1">
      <alignment horizontal="left" vertical="center" wrapText="1"/>
      <protection locked="0"/>
    </xf>
    <xf numFmtId="0" fontId="15" fillId="0" borderId="67" xfId="0" applyFont="1" applyBorder="1" applyAlignment="1" applyProtection="1">
      <alignment horizontal="left" vertical="center" wrapText="1"/>
      <protection locked="0"/>
    </xf>
    <xf numFmtId="0" fontId="15" fillId="21" borderId="142" xfId="0" applyFont="1" applyFill="1" applyBorder="1" applyAlignment="1" applyProtection="1">
      <alignment horizontal="left" vertical="center"/>
      <protection locked="0"/>
    </xf>
    <xf numFmtId="0" fontId="15" fillId="21" borderId="20" xfId="0" applyFont="1" applyFill="1" applyBorder="1" applyAlignment="1" applyProtection="1">
      <alignment horizontal="left" vertical="center"/>
      <protection locked="0"/>
    </xf>
    <xf numFmtId="0" fontId="15" fillId="21" borderId="52" xfId="0" applyFont="1" applyFill="1" applyBorder="1" applyAlignment="1" applyProtection="1">
      <alignment horizontal="left" vertical="center"/>
      <protection locked="0"/>
    </xf>
    <xf numFmtId="1" fontId="15" fillId="0" borderId="30" xfId="0" applyNumberFormat="1" applyFont="1" applyBorder="1" applyAlignment="1" applyProtection="1">
      <alignment horizontal="left" vertical="center" wrapText="1"/>
      <protection locked="0"/>
    </xf>
    <xf numFmtId="16" fontId="15" fillId="0" borderId="2" xfId="0" applyNumberFormat="1" applyFont="1" applyBorder="1" applyAlignment="1">
      <alignment horizontal="center" vertical="center"/>
    </xf>
    <xf numFmtId="0" fontId="17" fillId="29" borderId="50" xfId="0" applyFont="1" applyFill="1" applyBorder="1" applyAlignment="1">
      <alignment horizontal="center" vertical="center"/>
    </xf>
    <xf numFmtId="0" fontId="17" fillId="29" borderId="32" xfId="0" applyFont="1" applyFill="1" applyBorder="1" applyAlignment="1">
      <alignment horizontal="center" vertical="center"/>
    </xf>
    <xf numFmtId="0" fontId="17" fillId="28" borderId="150" xfId="0" applyFont="1" applyFill="1" applyBorder="1" applyAlignment="1">
      <alignment horizontal="center" vertical="center"/>
    </xf>
    <xf numFmtId="0" fontId="17" fillId="28" borderId="143" xfId="0" applyFont="1" applyFill="1" applyBorder="1" applyAlignment="1">
      <alignment horizontal="center" vertical="center"/>
    </xf>
    <xf numFmtId="0" fontId="22" fillId="0" borderId="30" xfId="0" applyFont="1" applyBorder="1" applyAlignment="1" applyProtection="1">
      <alignment horizontal="left" vertical="center" wrapText="1"/>
      <protection locked="0"/>
    </xf>
    <xf numFmtId="0" fontId="22" fillId="0" borderId="63" xfId="0" applyFont="1" applyBorder="1" applyAlignment="1" applyProtection="1">
      <alignment horizontal="left" vertical="center" wrapText="1"/>
      <protection locked="0"/>
    </xf>
    <xf numFmtId="0" fontId="22" fillId="0" borderId="67" xfId="0" applyFont="1" applyBorder="1" applyAlignment="1" applyProtection="1">
      <alignment horizontal="left" vertical="center" wrapText="1"/>
      <protection locked="0"/>
    </xf>
    <xf numFmtId="0" fontId="15" fillId="21" borderId="31" xfId="0" applyFont="1" applyFill="1" applyBorder="1" applyAlignment="1" applyProtection="1">
      <alignment horizontal="left" vertical="center"/>
      <protection locked="0"/>
    </xf>
    <xf numFmtId="0" fontId="15" fillId="21" borderId="67" xfId="0" applyFont="1" applyFill="1" applyBorder="1" applyAlignment="1" applyProtection="1">
      <alignment horizontal="left" vertical="center"/>
      <protection locked="0"/>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12" xfId="0" applyFont="1" applyBorder="1" applyAlignment="1">
      <alignment horizontal="center" vertical="center"/>
    </xf>
    <xf numFmtId="0" fontId="2" fillId="34" borderId="36" xfId="0" applyFont="1" applyFill="1" applyBorder="1" applyAlignment="1">
      <alignment horizontal="center" vertical="center"/>
    </xf>
    <xf numFmtId="0" fontId="2" fillId="34" borderId="77" xfId="0" applyFont="1" applyFill="1" applyBorder="1" applyAlignment="1">
      <alignment horizontal="center" vertical="center"/>
    </xf>
    <xf numFmtId="0" fontId="2" fillId="11" borderId="80" xfId="0" applyFont="1" applyFill="1" applyBorder="1" applyAlignment="1">
      <alignment horizontal="center" vertical="center"/>
    </xf>
    <xf numFmtId="0" fontId="2" fillId="11" borderId="11" xfId="0" applyFont="1" applyFill="1" applyBorder="1" applyAlignment="1">
      <alignment horizontal="center" vertical="center"/>
    </xf>
    <xf numFmtId="0" fontId="2" fillId="11" borderId="12" xfId="0" applyFont="1" applyFill="1" applyBorder="1" applyAlignment="1">
      <alignment horizontal="center" vertical="center" wrapText="1"/>
    </xf>
    <xf numFmtId="0" fontId="2" fillId="11" borderId="12" xfId="0" applyFont="1" applyFill="1" applyBorder="1" applyAlignment="1">
      <alignment horizontal="center" vertical="center"/>
    </xf>
    <xf numFmtId="0" fontId="2" fillId="34" borderId="12" xfId="0" applyFont="1" applyFill="1" applyBorder="1" applyAlignment="1">
      <alignment horizontal="center" vertical="center"/>
    </xf>
    <xf numFmtId="0" fontId="31" fillId="11" borderId="12" xfId="0" applyFont="1" applyFill="1" applyBorder="1" applyAlignment="1">
      <alignment horizontal="center" vertical="center"/>
    </xf>
    <xf numFmtId="0" fontId="2" fillId="0" borderId="80" xfId="0" applyFont="1" applyBorder="1" applyAlignment="1">
      <alignment horizontal="center" vertical="center"/>
    </xf>
    <xf numFmtId="0" fontId="2" fillId="0" borderId="11" xfId="0" applyFont="1" applyBorder="1" applyAlignment="1">
      <alignment horizontal="center" vertical="center"/>
    </xf>
    <xf numFmtId="0" fontId="2" fillId="0" borderId="80" xfId="0" applyFont="1" applyBorder="1" applyAlignment="1">
      <alignment horizontal="center"/>
    </xf>
    <xf numFmtId="0" fontId="2" fillId="0" borderId="11" xfId="0" applyFont="1" applyBorder="1" applyAlignment="1">
      <alignment horizontal="center"/>
    </xf>
    <xf numFmtId="0" fontId="2" fillId="34" borderId="80" xfId="0" applyFont="1" applyFill="1" applyBorder="1" applyAlignment="1">
      <alignment horizontal="center"/>
    </xf>
    <xf numFmtId="0" fontId="2" fillId="34" borderId="11" xfId="0" applyFont="1" applyFill="1" applyBorder="1" applyAlignment="1">
      <alignment horizontal="center"/>
    </xf>
    <xf numFmtId="0" fontId="2" fillId="0" borderId="81" xfId="0" applyFont="1" applyBorder="1" applyAlignment="1">
      <alignment horizontal="left" vertical="center"/>
    </xf>
    <xf numFmtId="0" fontId="2" fillId="9" borderId="80" xfId="0" applyFont="1" applyFill="1" applyBorder="1" applyAlignment="1">
      <alignment horizontal="center"/>
    </xf>
    <xf numFmtId="0" fontId="2" fillId="9" borderId="11" xfId="0" applyFont="1" applyFill="1" applyBorder="1" applyAlignment="1">
      <alignment horizontal="center"/>
    </xf>
    <xf numFmtId="0" fontId="2" fillId="9" borderId="36" xfId="0" applyFont="1" applyFill="1" applyBorder="1" applyAlignment="1">
      <alignment horizontal="center" vertical="center"/>
    </xf>
    <xf numFmtId="0" fontId="2" fillId="9" borderId="77" xfId="0" applyFont="1" applyFill="1" applyBorder="1" applyAlignment="1">
      <alignment horizontal="center" vertical="center"/>
    </xf>
    <xf numFmtId="0" fontId="2" fillId="0" borderId="93" xfId="0" applyFont="1" applyBorder="1" applyAlignment="1">
      <alignment horizontal="center" vertical="center"/>
    </xf>
    <xf numFmtId="0" fontId="2" fillId="0" borderId="162" xfId="0" applyFont="1" applyBorder="1" applyAlignment="1">
      <alignment horizontal="center" vertical="center"/>
    </xf>
    <xf numFmtId="0" fontId="2" fillId="0" borderId="82" xfId="0" applyFont="1" applyBorder="1" applyAlignment="1">
      <alignment horizontal="left" vertical="center"/>
    </xf>
    <xf numFmtId="0" fontId="2" fillId="0" borderId="83" xfId="0" applyFont="1" applyBorder="1" applyAlignment="1">
      <alignment horizontal="left" vertical="center"/>
    </xf>
    <xf numFmtId="0" fontId="2" fillId="0" borderId="84" xfId="0" applyFont="1" applyBorder="1" applyAlignment="1">
      <alignment horizontal="center" vertical="center"/>
    </xf>
    <xf numFmtId="0" fontId="2" fillId="0" borderId="86" xfId="0" applyFont="1" applyBorder="1" applyAlignment="1">
      <alignment horizontal="center" vertical="center"/>
    </xf>
    <xf numFmtId="0" fontId="2" fillId="0" borderId="82" xfId="0" applyFont="1" applyBorder="1" applyAlignment="1">
      <alignment horizontal="left" vertical="top"/>
    </xf>
    <xf numFmtId="0" fontId="2" fillId="0" borderId="87" xfId="0" applyFont="1" applyBorder="1" applyAlignment="1">
      <alignment horizontal="left" vertical="top"/>
    </xf>
    <xf numFmtId="0" fontId="2" fillId="0" borderId="82" xfId="0" applyFont="1" applyBorder="1" applyAlignment="1">
      <alignment horizontal="left"/>
    </xf>
    <xf numFmtId="0" fontId="2" fillId="0" borderId="87" xfId="0" applyFont="1" applyBorder="1" applyAlignment="1">
      <alignment horizontal="left"/>
    </xf>
    <xf numFmtId="0" fontId="2" fillId="0" borderId="88" xfId="0" applyFont="1" applyBorder="1" applyAlignment="1">
      <alignment horizontal="center" vertical="center"/>
    </xf>
    <xf numFmtId="0" fontId="2" fillId="0" borderId="89" xfId="0" applyFont="1" applyBorder="1" applyAlignment="1">
      <alignment horizontal="center" vertical="center"/>
    </xf>
    <xf numFmtId="0" fontId="2" fillId="0" borderId="91" xfId="0" applyFont="1" applyBorder="1" applyAlignment="1">
      <alignment horizontal="center" vertical="center"/>
    </xf>
    <xf numFmtId="0" fontId="0" fillId="0" borderId="95" xfId="0" applyBorder="1" applyAlignment="1">
      <alignment horizontal="left"/>
    </xf>
    <xf numFmtId="0" fontId="0" fillId="0" borderId="97" xfId="0" applyBorder="1" applyAlignment="1">
      <alignment horizontal="left"/>
    </xf>
    <xf numFmtId="0" fontId="0" fillId="0" borderId="98" xfId="0" applyBorder="1" applyAlignment="1">
      <alignment horizontal="center"/>
    </xf>
    <xf numFmtId="0" fontId="0" fillId="0" borderId="99" xfId="0" applyBorder="1" applyAlignment="1">
      <alignment horizontal="center"/>
    </xf>
    <xf numFmtId="0" fontId="0" fillId="0" borderId="95" xfId="0" applyBorder="1" applyAlignment="1">
      <alignment horizontal="center"/>
    </xf>
    <xf numFmtId="0" fontId="0" fillId="0" borderId="97" xfId="0" applyBorder="1" applyAlignment="1">
      <alignment horizontal="center"/>
    </xf>
    <xf numFmtId="0" fontId="0" fillId="0" borderId="85" xfId="0" applyBorder="1" applyAlignment="1">
      <alignment horizontal="center"/>
    </xf>
    <xf numFmtId="0" fontId="0" fillId="0" borderId="13" xfId="0" applyBorder="1" applyAlignment="1">
      <alignment horizontal="center"/>
    </xf>
    <xf numFmtId="0" fontId="17" fillId="0" borderId="0" xfId="0" applyFont="1" applyAlignment="1" applyProtection="1">
      <alignment horizontal="center" vertical="center"/>
      <protection locked="0"/>
    </xf>
    <xf numFmtId="1" fontId="12" fillId="11" borderId="51" xfId="0" applyNumberFormat="1" applyFont="1" applyFill="1" applyBorder="1" applyAlignment="1" applyProtection="1">
      <alignment horizontal="center" vertical="center" wrapText="1"/>
      <protection locked="0"/>
    </xf>
    <xf numFmtId="0" fontId="19" fillId="0" borderId="51" xfId="0" applyFont="1" applyBorder="1" applyAlignment="1">
      <alignment horizontal="center"/>
    </xf>
    <xf numFmtId="0" fontId="19" fillId="0" borderId="0" xfId="0" applyFont="1" applyAlignment="1">
      <alignment horizontal="center"/>
    </xf>
    <xf numFmtId="0" fontId="21" fillId="0" borderId="55" xfId="0" applyFont="1" applyBorder="1" applyAlignment="1">
      <alignment horizontal="center"/>
    </xf>
    <xf numFmtId="0" fontId="21" fillId="0" borderId="56" xfId="0" applyFont="1" applyBorder="1" applyAlignment="1">
      <alignment horizontal="center"/>
    </xf>
    <xf numFmtId="0" fontId="36" fillId="37" borderId="47" xfId="0" applyFont="1" applyFill="1" applyBorder="1" applyAlignment="1">
      <alignment horizontal="center"/>
    </xf>
    <xf numFmtId="0" fontId="36" fillId="37" borderId="49" xfId="0" applyFont="1" applyFill="1" applyBorder="1" applyAlignment="1">
      <alignment horizontal="center"/>
    </xf>
    <xf numFmtId="0" fontId="15" fillId="0" borderId="53" xfId="0" applyFont="1" applyBorder="1" applyAlignment="1">
      <alignment horizontal="center"/>
    </xf>
    <xf numFmtId="0" fontId="15" fillId="0" borderId="54" xfId="0" applyFont="1" applyBorder="1" applyAlignment="1">
      <alignment horizontal="center"/>
    </xf>
    <xf numFmtId="0" fontId="18" fillId="0" borderId="51" xfId="0" applyFont="1" applyBorder="1" applyAlignment="1">
      <alignment horizontal="center"/>
    </xf>
    <xf numFmtId="0" fontId="18" fillId="0" borderId="0" xfId="0" applyFont="1" applyAlignment="1">
      <alignment horizontal="center"/>
    </xf>
    <xf numFmtId="0" fontId="15" fillId="0" borderId="30" xfId="0" applyFont="1" applyBorder="1" applyAlignment="1">
      <alignment horizontal="center" vertical="center"/>
    </xf>
    <xf numFmtId="0" fontId="15" fillId="0" borderId="63" xfId="0" applyFont="1" applyBorder="1" applyAlignment="1">
      <alignment horizontal="center" vertical="center"/>
    </xf>
    <xf numFmtId="0" fontId="15" fillId="0" borderId="67" xfId="0" applyFont="1" applyBorder="1" applyAlignment="1">
      <alignment horizontal="center" vertical="center"/>
    </xf>
    <xf numFmtId="0" fontId="15" fillId="0" borderId="30" xfId="0" applyFont="1" applyBorder="1" applyAlignment="1">
      <alignment horizontal="left" vertical="center" wrapText="1"/>
    </xf>
    <xf numFmtId="0" fontId="15" fillId="0" borderId="63" xfId="0" applyFont="1" applyBorder="1" applyAlignment="1">
      <alignment horizontal="left" vertical="center" wrapText="1"/>
    </xf>
    <xf numFmtId="0" fontId="15" fillId="0" borderId="67" xfId="0" applyFont="1" applyBorder="1" applyAlignment="1">
      <alignment horizontal="left" vertical="center" wrapText="1"/>
    </xf>
    <xf numFmtId="0" fontId="15" fillId="21" borderId="30" xfId="0" applyFont="1" applyFill="1" applyBorder="1" applyAlignment="1">
      <alignment horizontal="left" vertical="center"/>
    </xf>
    <xf numFmtId="0" fontId="15" fillId="21" borderId="63" xfId="0" applyFont="1" applyFill="1" applyBorder="1" applyAlignment="1">
      <alignment horizontal="left" vertical="center"/>
    </xf>
    <xf numFmtId="0" fontId="15" fillId="21" borderId="31" xfId="0" applyFont="1" applyFill="1" applyBorder="1" applyAlignment="1">
      <alignment horizontal="left" vertical="center"/>
    </xf>
    <xf numFmtId="0" fontId="15" fillId="21" borderId="145" xfId="0" applyFont="1" applyFill="1" applyBorder="1" applyAlignment="1">
      <alignment horizontal="left" vertical="center"/>
    </xf>
    <xf numFmtId="0" fontId="15" fillId="21" borderId="67" xfId="0" applyFont="1" applyFill="1" applyBorder="1" applyAlignment="1">
      <alignment horizontal="left" vertical="center"/>
    </xf>
    <xf numFmtId="0" fontId="16" fillId="0" borderId="0" xfId="0" applyFont="1"/>
    <xf numFmtId="0" fontId="15" fillId="0" borderId="0" xfId="0" applyFont="1"/>
    <xf numFmtId="0" fontId="15" fillId="0" borderId="47" xfId="0" applyFont="1" applyBorder="1" applyAlignment="1">
      <alignment horizontal="center" vertical="center"/>
    </xf>
    <xf numFmtId="0" fontId="15" fillId="0" borderId="61" xfId="0" applyFont="1" applyBorder="1" applyAlignment="1">
      <alignment horizontal="center" vertical="center"/>
    </xf>
    <xf numFmtId="0" fontId="15" fillId="38" borderId="50" xfId="0" applyFont="1" applyFill="1" applyBorder="1" applyAlignment="1">
      <alignment horizontal="center" vertical="center"/>
    </xf>
    <xf numFmtId="0" fontId="15" fillId="38" borderId="62" xfId="0" applyFont="1" applyFill="1" applyBorder="1" applyAlignment="1">
      <alignment horizontal="center" vertical="center"/>
    </xf>
    <xf numFmtId="0" fontId="15" fillId="39" borderId="150" xfId="0" applyFont="1" applyFill="1" applyBorder="1" applyAlignment="1">
      <alignment horizontal="center" vertical="center"/>
    </xf>
    <xf numFmtId="0" fontId="15" fillId="39" borderId="159" xfId="0" applyFont="1" applyFill="1" applyBorder="1" applyAlignment="1">
      <alignment horizontal="center" vertical="center"/>
    </xf>
    <xf numFmtId="0" fontId="16" fillId="0" borderId="56" xfId="0" applyFont="1" applyBorder="1"/>
    <xf numFmtId="0" fontId="22" fillId="0" borderId="30" xfId="0" applyFont="1" applyBorder="1" applyAlignment="1">
      <alignment horizontal="left" vertical="center" wrapText="1"/>
    </xf>
    <xf numFmtId="0" fontId="22" fillId="0" borderId="63" xfId="0" applyFont="1" applyBorder="1" applyAlignment="1">
      <alignment horizontal="left" vertical="center" wrapText="1"/>
    </xf>
    <xf numFmtId="0" fontId="22" fillId="0" borderId="67" xfId="0" applyFont="1" applyBorder="1" applyAlignment="1">
      <alignment horizontal="left" vertical="center" wrapText="1"/>
    </xf>
    <xf numFmtId="0" fontId="15" fillId="0" borderId="53" xfId="0" applyFont="1" applyBorder="1" applyAlignment="1" applyProtection="1">
      <alignment horizontal="center" vertical="center" wrapText="1"/>
      <protection locked="0"/>
    </xf>
    <xf numFmtId="0" fontId="15" fillId="0" borderId="20" xfId="0" applyFont="1" applyBorder="1" applyAlignment="1" applyProtection="1">
      <alignment horizontal="center" vertical="center" wrapText="1"/>
      <protection locked="0"/>
    </xf>
    <xf numFmtId="0" fontId="15" fillId="0" borderId="51" xfId="0" applyFont="1" applyBorder="1" applyAlignment="1" applyProtection="1">
      <alignment horizontal="center" vertical="center" wrapText="1"/>
      <protection locked="0"/>
    </xf>
    <xf numFmtId="0" fontId="15" fillId="0" borderId="52" xfId="0" applyFont="1" applyBorder="1" applyAlignment="1" applyProtection="1">
      <alignment horizontal="center" vertical="center" wrapText="1"/>
      <protection locked="0"/>
    </xf>
    <xf numFmtId="0" fontId="15" fillId="0" borderId="55" xfId="0" applyFont="1" applyBorder="1" applyAlignment="1" applyProtection="1">
      <alignment horizontal="center" vertical="center" wrapText="1"/>
      <protection locked="0"/>
    </xf>
    <xf numFmtId="0" fontId="15" fillId="0" borderId="57" xfId="0" applyFont="1" applyBorder="1" applyAlignment="1" applyProtection="1">
      <alignment horizontal="center" vertical="center" wrapText="1"/>
      <protection locked="0"/>
    </xf>
    <xf numFmtId="0" fontId="3" fillId="3" borderId="2" xfId="0" applyFont="1" applyFill="1" applyBorder="1" applyAlignment="1">
      <alignment horizontal="center"/>
    </xf>
    <xf numFmtId="0" fontId="3" fillId="3" borderId="4" xfId="0" applyFont="1" applyFill="1" applyBorder="1" applyAlignment="1">
      <alignment horizontal="center"/>
    </xf>
    <xf numFmtId="15" fontId="5" fillId="5" borderId="0" xfId="0" applyNumberFormat="1" applyFont="1" applyFill="1" applyAlignment="1">
      <alignment horizontal="center" wrapText="1"/>
    </xf>
    <xf numFmtId="17" fontId="5" fillId="0" borderId="0" xfId="0" applyNumberFormat="1" applyFont="1" applyAlignment="1">
      <alignment horizontal="center" wrapText="1"/>
    </xf>
    <xf numFmtId="0" fontId="5" fillId="0" borderId="0" xfId="0" applyFont="1" applyAlignment="1">
      <alignment horizontal="center" wrapText="1"/>
    </xf>
    <xf numFmtId="15" fontId="5" fillId="4" borderId="0" xfId="0" applyNumberFormat="1" applyFont="1" applyFill="1" applyAlignment="1">
      <alignment horizontal="center" wrapText="1"/>
    </xf>
    <xf numFmtId="15" fontId="5" fillId="15" borderId="0" xfId="0" applyNumberFormat="1" applyFont="1" applyFill="1" applyAlignment="1">
      <alignment horizontal="center" wrapText="1"/>
    </xf>
    <xf numFmtId="0" fontId="5" fillId="0" borderId="152" xfId="0" applyFont="1" applyBorder="1" applyAlignment="1">
      <alignment horizontal="center" vertical="center"/>
    </xf>
  </cellXfs>
  <cellStyles count="1871">
    <cellStyle name="20% - Accent1 2" xfId="454" xr:uid="{2A2BCE32-DA0C-4BF1-A8B4-32253978C6C4}"/>
    <cellStyle name="20% - Accent2 2" xfId="455" xr:uid="{DE8926ED-9E1C-46E8-9522-30DD87B15326}"/>
    <cellStyle name="20% - Accent3 2" xfId="456" xr:uid="{54757451-8FCA-41F0-AB77-533415325F9A}"/>
    <cellStyle name="20% - Accent4 2" xfId="457" xr:uid="{E243646A-1253-415B-93FA-C2E2B5FCC1A0}"/>
    <cellStyle name="20% - Accent5 2" xfId="458" xr:uid="{B17F1220-F737-4E9B-A3D0-C347A823B251}"/>
    <cellStyle name="20% - Accent6 2" xfId="459" xr:uid="{CBB3218E-6F85-45CE-BAA3-548A35D67DE8}"/>
    <cellStyle name="40% - Accent1 2" xfId="460" xr:uid="{752111D0-1489-4366-BD5B-3549405D800F}"/>
    <cellStyle name="40% - Accent2 2" xfId="461" xr:uid="{ED459E75-9E48-4578-9BEB-68C4F3B33813}"/>
    <cellStyle name="40% - Accent3 2" xfId="462" xr:uid="{3855767D-AE4D-44A0-B07F-02C398164B1A}"/>
    <cellStyle name="40% - Accent4 2" xfId="463" xr:uid="{960B68CF-9F49-4682-BB3F-E72A281BE26A}"/>
    <cellStyle name="40% - Accent5 2" xfId="464" xr:uid="{BA404D44-6DB3-4460-A335-5F76CD2F5A0C}"/>
    <cellStyle name="40% - Accent6 2" xfId="465" xr:uid="{3E25A285-80A6-4F90-B1C9-2D7502A379D4}"/>
    <cellStyle name="60% - Accent1 2" xfId="466" xr:uid="{DFD4BD07-6FD9-41E6-B7E2-C2B3FD412DBD}"/>
    <cellStyle name="60% - Accent2 2" xfId="467" xr:uid="{62A09051-5FCF-4A81-9BBF-3F176D35925C}"/>
    <cellStyle name="60% - Accent3 2" xfId="468" xr:uid="{E8B599B3-0D66-426B-9B42-BAAE60DEF598}"/>
    <cellStyle name="60% - Accent4 2" xfId="469" xr:uid="{3CD665D1-6EED-47EA-8799-BC026F4781A9}"/>
    <cellStyle name="60% - Accent5 2" xfId="470" xr:uid="{11F0F9DA-80C0-486C-9B79-A54344A85C60}"/>
    <cellStyle name="60% - Accent6 2" xfId="471" xr:uid="{A2C8549A-85C7-4C60-827F-B02BD58077B2}"/>
    <cellStyle name="Accent1 2" xfId="472" xr:uid="{90A4F9A0-2A11-4DF3-84DF-5947ED7ED4E0}"/>
    <cellStyle name="Accent2 2" xfId="473" xr:uid="{F3CC4880-6397-42DB-A36F-99A399A1A22B}"/>
    <cellStyle name="Accent3 2" xfId="474" xr:uid="{093ABC4C-F1E8-4128-97BA-C4C09B3E572C}"/>
    <cellStyle name="Accent4 2" xfId="475" xr:uid="{B7C1A5C8-368A-44A7-B7A1-BC06C6F3DE20}"/>
    <cellStyle name="Accent5 2" xfId="476" xr:uid="{5E75B7BD-AACE-4BDE-AF94-A4F2CFC4CB7D}"/>
    <cellStyle name="Accent6 2" xfId="477" xr:uid="{C2D6983A-5D6E-4221-AE59-50F40D31350B}"/>
    <cellStyle name="Bad 2" xfId="478" xr:uid="{9D47ACA4-D5AE-4E2C-8A64-A0A6468BB49B}"/>
    <cellStyle name="Calculation 2" xfId="479" xr:uid="{79277150-C500-4F61-A616-4426E2162DD5}"/>
    <cellStyle name="Check Cell 2" xfId="480" xr:uid="{092896D7-603C-4F50-A2C1-8351F34D499B}"/>
    <cellStyle name="Comma" xfId="1" builtinId="3"/>
    <cellStyle name="Comma 10" xfId="722" xr:uid="{24285FDF-B255-4D4D-9120-E10432CB259D}"/>
    <cellStyle name="Comma 10 2" xfId="1040" xr:uid="{93D2E53A-172B-40D9-9EAA-754763E37E9D}"/>
    <cellStyle name="Comma 10 2 2" xfId="1607" xr:uid="{BF3449F0-58AC-44AE-B666-42BEB3D4B967}"/>
    <cellStyle name="Comma 10 3" xfId="1289" xr:uid="{6D3C265A-B5C5-44CF-97AE-7903E95ADEF9}"/>
    <cellStyle name="Comma 11" xfId="7" xr:uid="{998947F7-5B02-420B-AC75-786D150E5E24}"/>
    <cellStyle name="Comma 11 12" xfId="1702" xr:uid="{39593C3A-2270-4106-8FA7-BB99EB89B37D}"/>
    <cellStyle name="Comma 11 2" xfId="1449" xr:uid="{AD6E5137-F014-4258-83AE-9322FB3827FB}"/>
    <cellStyle name="Comma 11 3" xfId="882" xr:uid="{6686C0D0-0B24-4F0B-A2C8-7D9F6B51D3B0}"/>
    <cellStyle name="Comma 12" xfId="803" xr:uid="{620C5F1D-DAC7-440B-BD0A-BF4AD6F2C1CF}"/>
    <cellStyle name="Comma 12 2" xfId="1370" xr:uid="{C144834F-A571-4FA1-9EC7-114917EE7F25}"/>
    <cellStyle name="Comma 13" xfId="1127" xr:uid="{4F6DFE4D-0D8D-493E-9252-DE985AF6874F}"/>
    <cellStyle name="Comma 14" xfId="1699" xr:uid="{EF56E828-77A6-44AF-84E5-E97A288F99C0}"/>
    <cellStyle name="Comma 15" xfId="9" xr:uid="{25790FBE-5C08-416B-BCC3-7A8DEF2CEC67}"/>
    <cellStyle name="Comma 18 2 3 2" xfId="1712" xr:uid="{91FE905D-BD2E-434C-8053-3137AE492767}"/>
    <cellStyle name="Comma 2" xfId="10" xr:uid="{47870D1C-9CFF-4DB1-8C7C-ADFAF3F193C9}"/>
    <cellStyle name="Comma 2 2" xfId="148" xr:uid="{FCA3216A-9973-4E99-B727-2CE129EB223D}"/>
    <cellStyle name="Comma 2 2 2" xfId="483" xr:uid="{4AF14EDE-0678-4E62-805A-FF9A64334549}"/>
    <cellStyle name="Comma 2 2 2 2" xfId="632" xr:uid="{9C783775-ADC4-49AF-B2B9-606D30756D78}"/>
    <cellStyle name="Comma 2 2 2 2 2" xfId="714" xr:uid="{D6B57DF5-87DF-46BC-B484-12693F8DC4AC}"/>
    <cellStyle name="Comma 2 2 2 2 2 2" xfId="1032" xr:uid="{1A894102-EE1E-4C52-9BF0-6CB6871081F3}"/>
    <cellStyle name="Comma 2 2 2 2 2 2 2" xfId="1599" xr:uid="{B327AC24-4E6B-4B2F-BF9F-301DE2DDDF9B}"/>
    <cellStyle name="Comma 2 2 2 2 2 3" xfId="1281" xr:uid="{7734B3CE-169E-4336-A122-E5BF9577D5F2}"/>
    <cellStyle name="Comma 2 2 2 2 3" xfId="793" xr:uid="{3658D2E6-473E-4FCD-947D-15847CDF90E3}"/>
    <cellStyle name="Comma 2 2 2 2 3 2" xfId="1111" xr:uid="{64AE65B1-8D9A-4A25-B2B1-272400ECEDE5}"/>
    <cellStyle name="Comma 2 2 2 2 3 2 2" xfId="1678" xr:uid="{23D21F21-9CFF-4C15-A232-2E85D76496F2}"/>
    <cellStyle name="Comma 2 2 2 2 3 3" xfId="1360" xr:uid="{FE713C3C-1B32-45A9-A5CC-0046F8EED8B5}"/>
    <cellStyle name="Comma 2 2 2 2 4" xfId="953" xr:uid="{7893242B-282E-4EA0-9306-53321243246B}"/>
    <cellStyle name="Comma 2 2 2 2 4 2" xfId="1520" xr:uid="{ED6C5B70-0E25-488E-8F91-42D0775A22F5}"/>
    <cellStyle name="Comma 2 2 2 2 5" xfId="874" xr:uid="{730F94B1-6D0F-46FF-8067-5A3F99261E0A}"/>
    <cellStyle name="Comma 2 2 2 2 5 2" xfId="1441" xr:uid="{1E4EB186-AF9D-4FC4-B992-62FCF1901482}"/>
    <cellStyle name="Comma 2 2 2 2 6" xfId="1200" xr:uid="{3B718EDC-51FE-451A-BFD2-7587259CDF3B}"/>
    <cellStyle name="Comma 2 2 2 3" xfId="645" xr:uid="{4E0EC461-0F51-44B1-BA4C-40D590B4979B}"/>
    <cellStyle name="Comma 2 2 2 3 2" xfId="963" xr:uid="{E487C9DB-BA27-4174-9DA4-D8270ED39F4C}"/>
    <cellStyle name="Comma 2 2 2 3 2 2" xfId="1530" xr:uid="{B1D44E8E-06E9-4350-B804-D68F57C2C49B}"/>
    <cellStyle name="Comma 2 2 2 3 3" xfId="1212" xr:uid="{88755432-BFEC-4E30-B6A3-B4EA16878A58}"/>
    <cellStyle name="Comma 2 2 2 4" xfId="724" xr:uid="{6AC46AF6-876A-4A2F-95BA-B2A7A1247F4F}"/>
    <cellStyle name="Comma 2 2 2 4 2" xfId="1042" xr:uid="{583515EA-E84B-4337-BC55-170D8882CF08}"/>
    <cellStyle name="Comma 2 2 2 4 2 2" xfId="1609" xr:uid="{009D5E58-D78D-48E8-8C49-567FC5FAEFBE}"/>
    <cellStyle name="Comma 2 2 2 4 3" xfId="1291" xr:uid="{33175BC5-9031-4738-BE3E-C5E01D13F5F9}"/>
    <cellStyle name="Comma 2 2 2 5" xfId="884" xr:uid="{D1A64E87-0543-46EB-A607-AFCBA504DBDC}"/>
    <cellStyle name="Comma 2 2 2 5 2" xfId="1451" xr:uid="{708127A3-B2FF-4DC5-902D-277CDDE9C80E}"/>
    <cellStyle name="Comma 2 2 2 6" xfId="805" xr:uid="{76E57776-795C-4E07-A69C-B2FC14C65240}"/>
    <cellStyle name="Comma 2 2 2 6 2" xfId="1372" xr:uid="{0BCDE031-A23A-4D15-B5F0-FF2299F9CD8C}"/>
    <cellStyle name="Comma 2 2 2 7" xfId="1129" xr:uid="{5E5192E4-8D42-48A5-9E4A-5ADC2D16C782}"/>
    <cellStyle name="Comma 2 2 3" xfId="622" xr:uid="{B404A3B3-E85A-4343-950D-30253A0528ED}"/>
    <cellStyle name="Comma 2 2 3 2" xfId="705" xr:uid="{12B4944B-32AD-4825-84E1-B0E377FCCCA2}"/>
    <cellStyle name="Comma 2 2 3 2 2" xfId="1023" xr:uid="{1D00A388-9204-4DFB-9BD1-29F094DF375B}"/>
    <cellStyle name="Comma 2 2 3 2 2 2" xfId="1590" xr:uid="{2B20EDF4-43C1-4B38-9F6E-597CFE729135}"/>
    <cellStyle name="Comma 2 2 3 2 3" xfId="1272" xr:uid="{E36E2F6A-99A7-489B-84B6-4BC6168C7283}"/>
    <cellStyle name="Comma 2 2 3 3" xfId="784" xr:uid="{D33BA60E-FA78-4EDA-9A6E-66522D26FD5F}"/>
    <cellStyle name="Comma 2 2 3 3 2" xfId="1102" xr:uid="{DC0E48A4-B297-4335-BA7D-55920DA780F3}"/>
    <cellStyle name="Comma 2 2 3 3 2 2" xfId="1669" xr:uid="{9C166770-0C8D-4D71-82FF-155962AC6D35}"/>
    <cellStyle name="Comma 2 2 3 3 3" xfId="1351" xr:uid="{F27274E9-F49E-40C8-BF2B-E0326A4BE2E6}"/>
    <cellStyle name="Comma 2 2 3 4" xfId="944" xr:uid="{5D5D2881-3291-44D7-A165-84269F0CE752}"/>
    <cellStyle name="Comma 2 2 3 4 2" xfId="1511" xr:uid="{38E1C6A3-3EA6-4995-A671-E657ECEDF678}"/>
    <cellStyle name="Comma 2 2 3 5" xfId="865" xr:uid="{BF7281E1-BBA8-4E43-932E-E6AD34EF6137}"/>
    <cellStyle name="Comma 2 2 3 5 2" xfId="1432" xr:uid="{0CC13FB2-6F33-4C9B-A00A-BE1C9DDBDEDC}"/>
    <cellStyle name="Comma 2 2 3 6" xfId="1191" xr:uid="{F4391C80-D16E-41A8-A80A-083E05D711B1}"/>
    <cellStyle name="Comma 2 2 4" xfId="644" xr:uid="{6A80B877-820C-4C04-9DC2-BEB079847E98}"/>
    <cellStyle name="Comma 2 2 4 2" xfId="962" xr:uid="{1AA56526-5CE6-4671-A7D6-0F01DAF02B8B}"/>
    <cellStyle name="Comma 2 2 4 2 2" xfId="1529" xr:uid="{11036073-8EB7-4621-9D8D-213E68D3659C}"/>
    <cellStyle name="Comma 2 2 4 3" xfId="1211" xr:uid="{6701ADCF-64BE-4FDC-BF9F-0374FF1BD2EB}"/>
    <cellStyle name="Comma 2 2 5" xfId="723" xr:uid="{B403160F-3574-46F9-97BE-2BBB3664788E}"/>
    <cellStyle name="Comma 2 2 5 2" xfId="1041" xr:uid="{3EF9A729-9E48-4CF0-AFD9-D98863A42C88}"/>
    <cellStyle name="Comma 2 2 5 2 2" xfId="1608" xr:uid="{119663D6-3ADD-4EA3-97ED-6FE56986BA07}"/>
    <cellStyle name="Comma 2 2 5 3" xfId="1290" xr:uid="{248505E9-81B6-4818-ADD8-FEBC0010366A}"/>
    <cellStyle name="Comma 2 2 6" xfId="883" xr:uid="{CFDB39E8-93A1-45E8-8C1D-C7F3E1566687}"/>
    <cellStyle name="Comma 2 2 6 2" xfId="1450" xr:uid="{ADFA0787-6C71-4A61-B408-15641259E879}"/>
    <cellStyle name="Comma 2 2 7" xfId="804" xr:uid="{FD5D294B-7965-4549-9CFD-38EA0D38AD1A}"/>
    <cellStyle name="Comma 2 2 7 2" xfId="1371" xr:uid="{EB19AE5A-5B65-4900-BC1F-3880B4475369}"/>
    <cellStyle name="Comma 2 2 8" xfId="1128" xr:uid="{31E6EB40-4182-4868-8861-16DFFDAEFA71}"/>
    <cellStyle name="Comma 2 2 9" xfId="482" xr:uid="{B68F3421-C87F-4851-9167-8A684D8FC36F}"/>
    <cellStyle name="Comma 2 21" xfId="5" xr:uid="{F1559C01-8AD4-4C87-85BA-6EEB30770AAE}"/>
    <cellStyle name="Comma 2 3" xfId="484" xr:uid="{4BB84C2A-3E14-421D-A692-D4BFEEE5312B}"/>
    <cellStyle name="Comma 2 3 2" xfId="485" xr:uid="{CC699527-B707-4761-B00B-8D49AC057CBF}"/>
    <cellStyle name="Comma 2 3 2 2" xfId="633" xr:uid="{08059555-FDD7-407E-AF24-398702CC9D13}"/>
    <cellStyle name="Comma 2 3 2 2 2" xfId="715" xr:uid="{021DBDA3-1271-45D2-8017-D180F0D31B8E}"/>
    <cellStyle name="Comma 2 3 2 2 2 2" xfId="1033" xr:uid="{361504A4-1856-438C-953D-B3E051FB9EC8}"/>
    <cellStyle name="Comma 2 3 2 2 2 2 2" xfId="1600" xr:uid="{F02E23FE-E879-49E0-9919-AB43A8B45D96}"/>
    <cellStyle name="Comma 2 3 2 2 2 3" xfId="1282" xr:uid="{A8A191D8-D438-40AE-9E9B-A6247A617774}"/>
    <cellStyle name="Comma 2 3 2 2 3" xfId="794" xr:uid="{374E866A-EA73-4EC9-AD2A-61EBEE0CCF71}"/>
    <cellStyle name="Comma 2 3 2 2 3 2" xfId="1112" xr:uid="{8D964130-0014-49E1-8D4F-B95FD4145F6A}"/>
    <cellStyle name="Comma 2 3 2 2 3 2 2" xfId="1679" xr:uid="{E54B1E39-F6F2-45D6-A1EA-C1FE88BB2EB5}"/>
    <cellStyle name="Comma 2 3 2 2 3 3" xfId="1361" xr:uid="{433A95BA-1DC5-42CB-850A-C8C50F796B5E}"/>
    <cellStyle name="Comma 2 3 2 2 4" xfId="954" xr:uid="{276C3B91-31C0-42EA-A0BD-D34D75764A5C}"/>
    <cellStyle name="Comma 2 3 2 2 4 2" xfId="1521" xr:uid="{9D330DD9-2195-485C-9BFD-7C763F3096CC}"/>
    <cellStyle name="Comma 2 3 2 2 5" xfId="875" xr:uid="{E85902A9-B658-44D6-BBBF-9F042E730165}"/>
    <cellStyle name="Comma 2 3 2 2 5 2" xfId="1442" xr:uid="{248A8293-922E-4E53-9FD8-7BDB2F93902B}"/>
    <cellStyle name="Comma 2 3 2 2 6" xfId="1201" xr:uid="{EAB250A0-DA17-4CD0-ABA9-875164AC4A32}"/>
    <cellStyle name="Comma 2 3 2 3" xfId="646" xr:uid="{9CD52A9F-B00B-4505-BEB9-0F052AFD37B0}"/>
    <cellStyle name="Comma 2 3 2 3 2" xfId="964" xr:uid="{BE0D83E6-F808-424A-B07A-259BD6D7149D}"/>
    <cellStyle name="Comma 2 3 2 3 2 2" xfId="1531" xr:uid="{06A9AEB3-19F7-4D1B-B1ED-86CA8943D55D}"/>
    <cellStyle name="Comma 2 3 2 3 3" xfId="1213" xr:uid="{0ABF3F18-C6C5-4987-B9A1-12AE6DF1DA96}"/>
    <cellStyle name="Comma 2 3 2 4" xfId="725" xr:uid="{5A9079BF-42C7-4D8D-AF67-B690ECC1DBE6}"/>
    <cellStyle name="Comma 2 3 2 4 2" xfId="1043" xr:uid="{2B4267BE-7E1E-4FDC-836B-0739B32BA6AE}"/>
    <cellStyle name="Comma 2 3 2 4 2 2" xfId="1610" xr:uid="{5BAE8782-C174-4732-A2F1-031A85A553F1}"/>
    <cellStyle name="Comma 2 3 2 4 3" xfId="1292" xr:uid="{77ACC00E-95EF-4006-AEFA-3392E441648A}"/>
    <cellStyle name="Comma 2 3 2 5" xfId="885" xr:uid="{FA3C6BD7-754B-4179-8C4C-5FB5F55EE4D4}"/>
    <cellStyle name="Comma 2 3 2 5 2" xfId="1452" xr:uid="{798CD049-AF63-444F-A51F-061F00C23F15}"/>
    <cellStyle name="Comma 2 3 2 6" xfId="806" xr:uid="{4F6FB5B0-827C-4373-8172-2E17A72FC47F}"/>
    <cellStyle name="Comma 2 3 2 6 2" xfId="1373" xr:uid="{C6F3E89C-DA1F-4C7E-BDEC-3E0E989022D5}"/>
    <cellStyle name="Comma 2 3 2 7" xfId="1130" xr:uid="{5890A71C-4C09-415A-8C5A-BED681F8DCD2}"/>
    <cellStyle name="Comma 2 4" xfId="486" xr:uid="{D7BB9F96-6681-4C83-89CF-93054646269D}"/>
    <cellStyle name="Comma 2 4 2" xfId="631" xr:uid="{96DD4D6F-956D-44FC-B9FF-861DC2C0C2AC}"/>
    <cellStyle name="Comma 2 4 2 2" xfId="713" xr:uid="{24ED444A-77A2-4F48-8C16-85FBA8BA5373}"/>
    <cellStyle name="Comma 2 4 2 2 2" xfId="1031" xr:uid="{C67F8588-F881-4111-BD7F-9978E055D81F}"/>
    <cellStyle name="Comma 2 4 2 2 2 2" xfId="1598" xr:uid="{F7BB185C-6C5C-4711-964B-39AAA55C4FBA}"/>
    <cellStyle name="Comma 2 4 2 2 3" xfId="1280" xr:uid="{4BE49115-9859-4165-BF8F-5DAF748F1835}"/>
    <cellStyle name="Comma 2 4 2 3" xfId="792" xr:uid="{795AF27F-38FE-4A4C-A33F-DEC2182749E0}"/>
    <cellStyle name="Comma 2 4 2 3 2" xfId="1110" xr:uid="{F7B94882-D5FA-47FA-9604-3790BC9C4644}"/>
    <cellStyle name="Comma 2 4 2 3 2 2" xfId="1677" xr:uid="{C219B6FA-634E-4D47-B2ED-9AA9E588ACC5}"/>
    <cellStyle name="Comma 2 4 2 3 3" xfId="1359" xr:uid="{602EA432-DC7E-4BB9-B180-5ACC981CB19D}"/>
    <cellStyle name="Comma 2 4 2 4" xfId="952" xr:uid="{CBDC4671-EF15-4468-ACA0-C8C931F778FC}"/>
    <cellStyle name="Comma 2 4 2 4 2" xfId="1519" xr:uid="{C0150295-079F-44B5-B9B2-2482A594EB1C}"/>
    <cellStyle name="Comma 2 4 2 5" xfId="873" xr:uid="{7371BD9D-9B27-4DC2-8FE0-73791909D7C8}"/>
    <cellStyle name="Comma 2 4 2 5 2" xfId="1440" xr:uid="{FEE28348-36C9-44F4-BEBE-531A693A8A38}"/>
    <cellStyle name="Comma 2 4 2 6" xfId="1199" xr:uid="{0B4A1FEF-B31E-43C6-B101-D8A1FD81B6C4}"/>
    <cellStyle name="Comma 2 4 3" xfId="647" xr:uid="{AC8544F9-D332-499A-BB0B-5B221442C1D5}"/>
    <cellStyle name="Comma 2 4 3 2" xfId="965" xr:uid="{692E2D8E-CCA0-4733-85B2-370F359A7160}"/>
    <cellStyle name="Comma 2 4 3 2 2" xfId="1532" xr:uid="{DB3B123D-D9D2-46FC-BBB2-725C69B42CD0}"/>
    <cellStyle name="Comma 2 4 3 3" xfId="1214" xr:uid="{71CBAA5B-753F-48DE-AD24-8AF8AEFA9D4F}"/>
    <cellStyle name="Comma 2 4 4" xfId="726" xr:uid="{89F4B561-763F-4942-9A11-014291236263}"/>
    <cellStyle name="Comma 2 4 4 2" xfId="1044" xr:uid="{2D27B9F5-23EC-483F-9C19-1754B337A9A8}"/>
    <cellStyle name="Comma 2 4 4 2 2" xfId="1611" xr:uid="{7DD8D8DD-0CD5-4E4A-9560-E6A7F2834677}"/>
    <cellStyle name="Comma 2 4 4 3" xfId="1293" xr:uid="{F16337D7-2BCD-4077-8543-FBDB6841945C}"/>
    <cellStyle name="Comma 2 4 5" xfId="886" xr:uid="{21D0F72F-7854-4185-880F-A216265DE667}"/>
    <cellStyle name="Comma 2 4 5 2" xfId="1453" xr:uid="{4C73BE79-13A8-4462-B545-57CAEE5300DB}"/>
    <cellStyle name="Comma 2 4 6" xfId="807" xr:uid="{95735C84-6687-4960-80B1-478BD87BA7B4}"/>
    <cellStyle name="Comma 2 4 6 2" xfId="1374" xr:uid="{55B88E27-2A4E-4CFA-9251-F76C1C22A344}"/>
    <cellStyle name="Comma 2 4 7" xfId="1131" xr:uid="{642CFE48-16A3-4C70-9718-16F00D067AE0}"/>
    <cellStyle name="Comma 2 5" xfId="802" xr:uid="{3A18FB2F-9E1E-4335-8D98-3ACD02B40897}"/>
    <cellStyle name="Comma 2 5 2" xfId="1120" xr:uid="{83A52E00-CCA9-44F6-BFD6-6BCA276B241F}"/>
    <cellStyle name="Comma 2 5 2 2" xfId="1687" xr:uid="{44BDCF20-41EF-4063-BB50-CF82EEBFE621}"/>
    <cellStyle name="Comma 2 5 3" xfId="1369" xr:uid="{0A4DA670-501F-42E7-8BB6-98A22DA819CD}"/>
    <cellStyle name="Comma 2 6" xfId="1705" xr:uid="{15B23A60-7B44-4162-9623-54A9492A0C77}"/>
    <cellStyle name="Comma 2 7" xfId="481" xr:uid="{238AAE29-6F58-42D1-ADA1-704039AEE617}"/>
    <cellStyle name="Comma 3" xfId="125" xr:uid="{684A4801-F3D8-4E66-86C9-E92D0B3C2A56}"/>
    <cellStyle name="Comma 3 10" xfId="1701" xr:uid="{E781E225-0A7F-4F4F-9BCA-6BA4E4B3B4C4}"/>
    <cellStyle name="Comma 3 11" xfId="487" xr:uid="{5C4D535E-58C3-4C5C-AF7A-CFF3CD051956}"/>
    <cellStyle name="Comma 3 2" xfId="126" xr:uid="{EAA41497-2F0E-4B19-A134-D3D45E2C928D}"/>
    <cellStyle name="Comma 3 2 2" xfId="489" xr:uid="{20C01F9E-C25A-4CA1-99E7-1B880F6759BA}"/>
    <cellStyle name="Comma 3 2 2 2" xfId="635" xr:uid="{32576ABF-46F7-4AB5-B912-BEF259686AF9}"/>
    <cellStyle name="Comma 3 2 2 2 2" xfId="717" xr:uid="{EDB86FBA-C0AE-4914-AE15-E816DBEADC6A}"/>
    <cellStyle name="Comma 3 2 2 2 2 2" xfId="1035" xr:uid="{12CFF6F6-F260-4126-A7DC-FB4784691355}"/>
    <cellStyle name="Comma 3 2 2 2 2 2 2" xfId="1602" xr:uid="{675CC7E8-C75C-4D38-979E-8B13C0AA8DA2}"/>
    <cellStyle name="Comma 3 2 2 2 2 3" xfId="1284" xr:uid="{EBA49EFA-5274-4F68-B7F6-A3057E7C344B}"/>
    <cellStyle name="Comma 3 2 2 2 3" xfId="796" xr:uid="{F4D99A50-7BC2-4C7C-AE1C-B6AFBFAB9D24}"/>
    <cellStyle name="Comma 3 2 2 2 3 2" xfId="1114" xr:uid="{419C058D-8972-41BA-9C65-0FA74327BF5C}"/>
    <cellStyle name="Comma 3 2 2 2 3 2 2" xfId="1681" xr:uid="{B4FD00B5-AC91-4C58-8B07-F20591C404FE}"/>
    <cellStyle name="Comma 3 2 2 2 3 3" xfId="1363" xr:uid="{2BEE1963-77BC-43DF-A577-476C266E279D}"/>
    <cellStyle name="Comma 3 2 2 2 4" xfId="956" xr:uid="{BDB0F197-DCBD-4192-8D80-2C98694162DB}"/>
    <cellStyle name="Comma 3 2 2 2 4 2" xfId="1523" xr:uid="{A6733F21-7B57-42CB-A218-AC245FAD2AE9}"/>
    <cellStyle name="Comma 3 2 2 2 5" xfId="877" xr:uid="{64F1FDEA-9823-4706-953F-5B69EBDD4401}"/>
    <cellStyle name="Comma 3 2 2 2 5 2" xfId="1444" xr:uid="{1844C3DB-533D-4F56-835B-C99A221FAF69}"/>
    <cellStyle name="Comma 3 2 2 2 6" xfId="1203" xr:uid="{1963AA1F-609E-4B5C-8D41-5C62ABD4160D}"/>
    <cellStyle name="Comma 3 2 2 3" xfId="650" xr:uid="{E547B2C2-D771-481C-BFF3-AF8B54A86B4D}"/>
    <cellStyle name="Comma 3 2 2 3 2" xfId="968" xr:uid="{1B263AE8-4BB5-46A0-9C76-C15E45ACF16A}"/>
    <cellStyle name="Comma 3 2 2 3 2 2" xfId="1535" xr:uid="{77D865F8-770B-4D4D-A5EB-12A1FBD7D8C9}"/>
    <cellStyle name="Comma 3 2 2 3 3" xfId="1217" xr:uid="{825E8E41-2046-4C84-B067-90A46A1952F0}"/>
    <cellStyle name="Comma 3 2 2 4" xfId="729" xr:uid="{B940B3ED-E959-462C-A255-2A3A7D277F72}"/>
    <cellStyle name="Comma 3 2 2 4 2" xfId="1047" xr:uid="{8FCBBE1C-D7E9-425E-9AFC-CDFD82162F8F}"/>
    <cellStyle name="Comma 3 2 2 4 2 2" xfId="1614" xr:uid="{E4CEB264-2D7A-43B5-A9A1-A6E2CDEDB19D}"/>
    <cellStyle name="Comma 3 2 2 4 3" xfId="1296" xr:uid="{A54A8A00-3426-4201-A010-C2685396904A}"/>
    <cellStyle name="Comma 3 2 2 5" xfId="889" xr:uid="{C31C39CD-F730-41DB-975F-54EF6411D74A}"/>
    <cellStyle name="Comma 3 2 2 5 2" xfId="1456" xr:uid="{5971AC07-516B-4807-91E8-2171EDAEE5A9}"/>
    <cellStyle name="Comma 3 2 2 6" xfId="810" xr:uid="{8721B8A4-7459-41F4-8221-A914AB6C0899}"/>
    <cellStyle name="Comma 3 2 2 6 2" xfId="1377" xr:uid="{F439EA64-CDFB-42E4-B012-C2978C020A58}"/>
    <cellStyle name="Comma 3 2 2 7" xfId="1134" xr:uid="{CAA6379B-F956-4A1E-B646-AC64B6D57949}"/>
    <cellStyle name="Comma 3 2 3" xfId="623" xr:uid="{EC5C5E82-8BCF-47A8-BCA3-CF8994477D88}"/>
    <cellStyle name="Comma 3 2 3 2" xfId="706" xr:uid="{57820E5D-78F5-4654-9360-88686BD7D6CF}"/>
    <cellStyle name="Comma 3 2 3 2 2" xfId="1024" xr:uid="{A862C07D-1FA5-4B68-93B1-5CA552EF13F8}"/>
    <cellStyle name="Comma 3 2 3 2 2 2" xfId="1591" xr:uid="{C662924E-ACC6-43E5-A60E-40D210006A9D}"/>
    <cellStyle name="Comma 3 2 3 2 3" xfId="1273" xr:uid="{674837BC-2E7B-4BFA-A436-1307036B05C2}"/>
    <cellStyle name="Comma 3 2 3 3" xfId="785" xr:uid="{E24B465F-D661-4CF2-BFE3-7E37407B678A}"/>
    <cellStyle name="Comma 3 2 3 3 2" xfId="1103" xr:uid="{01B93086-C3C9-4D3F-A759-2BAC16AEF746}"/>
    <cellStyle name="Comma 3 2 3 3 2 2" xfId="1670" xr:uid="{39981A11-6980-4774-9436-052FF9F90770}"/>
    <cellStyle name="Comma 3 2 3 3 3" xfId="1352" xr:uid="{3DF45856-4682-47D2-A229-19B66839C7CA}"/>
    <cellStyle name="Comma 3 2 3 4" xfId="945" xr:uid="{ED6870ED-7E9D-47BA-9538-402AAA34DBDA}"/>
    <cellStyle name="Comma 3 2 3 4 2" xfId="1512" xr:uid="{7F90718D-8D47-48BD-854E-42403AF62704}"/>
    <cellStyle name="Comma 3 2 3 5" xfId="866" xr:uid="{A494EC19-2674-4C3E-AEAD-DDCBBA93EDC2}"/>
    <cellStyle name="Comma 3 2 3 5 2" xfId="1433" xr:uid="{D2FF495A-C901-4014-9D49-256DC9AB6255}"/>
    <cellStyle name="Comma 3 2 3 6" xfId="1192" xr:uid="{6C2F835F-D45A-4541-92F8-6C52BD36ACEF}"/>
    <cellStyle name="Comma 3 2 4" xfId="649" xr:uid="{D53C25A2-2D20-4BDF-8D51-D05104F1EA7B}"/>
    <cellStyle name="Comma 3 2 4 2" xfId="967" xr:uid="{668D7456-E0F8-473E-84F9-0EDC71903E39}"/>
    <cellStyle name="Comma 3 2 4 2 2" xfId="1534" xr:uid="{5DC16BDC-F81E-4CBF-926E-07301A8FF1AD}"/>
    <cellStyle name="Comma 3 2 4 3" xfId="1216" xr:uid="{D2A741A6-9403-418E-9B7E-954C72464E03}"/>
    <cellStyle name="Comma 3 2 5" xfId="728" xr:uid="{DD5EF20F-6007-44BD-B7B0-0C05823F99AC}"/>
    <cellStyle name="Comma 3 2 5 2" xfId="1046" xr:uid="{62C662F3-3A6A-451A-82FD-94715510082B}"/>
    <cellStyle name="Comma 3 2 5 2 2" xfId="1613" xr:uid="{B5610F60-7010-494D-8025-D66EF3BC3EC6}"/>
    <cellStyle name="Comma 3 2 5 3" xfId="1295" xr:uid="{BCF5881A-ABE7-4E7B-B3D7-6D80EC874965}"/>
    <cellStyle name="Comma 3 2 6" xfId="888" xr:uid="{94D99E04-BF66-4AEE-B6A8-5B2CE7FD54A9}"/>
    <cellStyle name="Comma 3 2 6 2" xfId="1455" xr:uid="{D5FB5A1E-4181-497D-AAE6-F04D6E9DE51D}"/>
    <cellStyle name="Comma 3 2 7" xfId="809" xr:uid="{14DBA479-376D-45A5-949D-A06C844BABD2}"/>
    <cellStyle name="Comma 3 2 7 2" xfId="1376" xr:uid="{16BE6DE9-A440-4BF0-80CD-11A06E825099}"/>
    <cellStyle name="Comma 3 2 8" xfId="1133" xr:uid="{1A7B216C-A11D-4183-B6A8-73471DA3D17D}"/>
    <cellStyle name="Comma 3 2 9" xfId="488" xr:uid="{5F39878B-C2B2-4F31-952F-513ED61626D5}"/>
    <cellStyle name="Comma 3 3" xfId="490" xr:uid="{1EC43DE4-A38A-48DE-B021-B5DFE47B2117}"/>
    <cellStyle name="Comma 3 3 2" xfId="634" xr:uid="{349AB43C-8F97-47EC-BC6F-D4BB390B84F7}"/>
    <cellStyle name="Comma 3 3 2 2" xfId="716" xr:uid="{FB83A87C-D6D3-4183-941C-56834D73F8E0}"/>
    <cellStyle name="Comma 3 3 2 2 2" xfId="1034" xr:uid="{6A936285-80F0-4829-B56B-6A93CE4DB867}"/>
    <cellStyle name="Comma 3 3 2 2 2 2" xfId="1601" xr:uid="{B2424A48-6128-420B-80CA-0EE5C61ACCF1}"/>
    <cellStyle name="Comma 3 3 2 2 3" xfId="1283" xr:uid="{FC3E0505-3B93-42C5-9DC1-59BEFD14BE97}"/>
    <cellStyle name="Comma 3 3 2 3" xfId="795" xr:uid="{97336009-187F-408B-9F2D-5A9DA83BF9E8}"/>
    <cellStyle name="Comma 3 3 2 3 2" xfId="1113" xr:uid="{89BCF7E7-EF00-4283-A719-714600546BA9}"/>
    <cellStyle name="Comma 3 3 2 3 2 2" xfId="1680" xr:uid="{4CA03216-E5D4-4D06-86B2-2C21D3BEFD6B}"/>
    <cellStyle name="Comma 3 3 2 3 3" xfId="1362" xr:uid="{D9327C82-3F72-47DA-BB5C-FBC076C92F81}"/>
    <cellStyle name="Comma 3 3 2 4" xfId="955" xr:uid="{2EE415DA-7106-4A16-8F7C-BB2C25FB7228}"/>
    <cellStyle name="Comma 3 3 2 4 2" xfId="1522" xr:uid="{548F25F3-B76C-4A71-A4A0-D2867ECF1184}"/>
    <cellStyle name="Comma 3 3 2 5" xfId="876" xr:uid="{17C6BF06-6FC6-4EB5-A942-095916CE65A3}"/>
    <cellStyle name="Comma 3 3 2 5 2" xfId="1443" xr:uid="{5FA29F03-5B90-4E65-93F8-B6CFAE3FAB5D}"/>
    <cellStyle name="Comma 3 3 2 6" xfId="1202" xr:uid="{3A7352FB-4718-4EA8-ACD4-05A55937BE13}"/>
    <cellStyle name="Comma 3 3 3" xfId="651" xr:uid="{7725A550-0946-4B1D-A7E5-50EC28C5A900}"/>
    <cellStyle name="Comma 3 3 3 2" xfId="969" xr:uid="{24D014CD-C4BF-426D-A2F6-70F685ED0DAD}"/>
    <cellStyle name="Comma 3 3 3 2 2" xfId="1536" xr:uid="{2693FF0C-0986-439D-855F-D2387A346631}"/>
    <cellStyle name="Comma 3 3 3 3" xfId="1218" xr:uid="{05431C85-9B2A-440F-9764-CD981137C976}"/>
    <cellStyle name="Comma 3 3 4" xfId="730" xr:uid="{C29E7B6F-8D04-4356-9FFC-32B705537EA3}"/>
    <cellStyle name="Comma 3 3 4 2" xfId="1048" xr:uid="{34F90542-262E-4712-A8ED-572577C3B33A}"/>
    <cellStyle name="Comma 3 3 4 2 2" xfId="1615" xr:uid="{F577C516-4524-4EF8-82B4-C2682C6D856A}"/>
    <cellStyle name="Comma 3 3 4 3" xfId="1297" xr:uid="{D1F94468-4A1F-4288-B3DB-B5A34B2D85AE}"/>
    <cellStyle name="Comma 3 3 5" xfId="890" xr:uid="{601AFAC2-3D6F-46C0-90D5-BDB42DA5E04F}"/>
    <cellStyle name="Comma 3 3 5 2" xfId="1457" xr:uid="{F18D8FAB-C0FD-4C83-BE52-5D26168FDCF6}"/>
    <cellStyle name="Comma 3 3 6" xfId="811" xr:uid="{3EA36C5F-25F7-4336-8444-A1676A500738}"/>
    <cellStyle name="Comma 3 3 6 2" xfId="1378" xr:uid="{DCB4234B-8147-4CEC-AA66-671F745F5A74}"/>
    <cellStyle name="Comma 3 3 7" xfId="1135" xr:uid="{444AFCE3-F0BC-4DCF-B39E-BDB9D87BC61B}"/>
    <cellStyle name="Comma 3 4" xfId="619" xr:uid="{9E399E79-32AD-48DD-B4B4-65DC49203B8B}"/>
    <cellStyle name="Comma 3 4 2" xfId="703" xr:uid="{23FBA55F-D1EC-45DF-976E-59D87F8F9D01}"/>
    <cellStyle name="Comma 3 4 2 2" xfId="1021" xr:uid="{7C68DDCB-80E6-4E32-A9DA-95FBF0829ABB}"/>
    <cellStyle name="Comma 3 4 2 2 2" xfId="1588" xr:uid="{784C221F-719F-495C-BD5E-83EAA916529E}"/>
    <cellStyle name="Comma 3 4 2 3" xfId="1270" xr:uid="{66BFC2E8-01FB-4478-9E92-F9B6F0B6B277}"/>
    <cellStyle name="Comma 3 4 3" xfId="782" xr:uid="{3A7BF4B5-CAF0-4B0F-9558-0ABB8859CC42}"/>
    <cellStyle name="Comma 3 4 3 2" xfId="1100" xr:uid="{2DFCDEE0-BF88-47CE-BB28-E90888509147}"/>
    <cellStyle name="Comma 3 4 3 2 2" xfId="1667" xr:uid="{B485C7EE-020C-47CC-AF44-B75D64ED1740}"/>
    <cellStyle name="Comma 3 4 3 3" xfId="1349" xr:uid="{52F95CA9-C246-404F-8FBA-CAC1D0157985}"/>
    <cellStyle name="Comma 3 4 4" xfId="942" xr:uid="{2D34E89A-DA9E-4F2E-B3D0-C598BC7D2E15}"/>
    <cellStyle name="Comma 3 4 4 2" xfId="1509" xr:uid="{5B356739-3636-4FFD-9998-2AC945C14D16}"/>
    <cellStyle name="Comma 3 4 5" xfId="863" xr:uid="{6428512F-FE88-4B3A-A658-2E232912288E}"/>
    <cellStyle name="Comma 3 4 5 2" xfId="1430" xr:uid="{8A72BBC9-8E03-4C9D-9A0F-281717EB1E0E}"/>
    <cellStyle name="Comma 3 4 6" xfId="1189" xr:uid="{F2485916-E576-4CFF-885D-0E4F485F1870}"/>
    <cellStyle name="Comma 3 5" xfId="648" xr:uid="{1F181D18-1EC8-4D74-8A52-8A59688D7375}"/>
    <cellStyle name="Comma 3 5 2" xfId="966" xr:uid="{0D749E4E-EC27-4C7F-B7F6-B170B6C8E7C6}"/>
    <cellStyle name="Comma 3 5 2 2" xfId="1533" xr:uid="{873E5970-09E4-40B1-B175-7A81BD2EF4E7}"/>
    <cellStyle name="Comma 3 5 3" xfId="1215" xr:uid="{4EEE3B3E-913E-4973-9293-3826FB9087AF}"/>
    <cellStyle name="Comma 3 6" xfId="727" xr:uid="{FCEA271C-58D0-491B-BDE9-7C725F92CE25}"/>
    <cellStyle name="Comma 3 6 2" xfId="1045" xr:uid="{02C79888-78CC-4702-AFA2-E4DEC5F55154}"/>
    <cellStyle name="Comma 3 6 2 2" xfId="1612" xr:uid="{F7B3928B-3F87-4B68-8F2F-C7915CD54423}"/>
    <cellStyle name="Comma 3 6 3" xfId="1294" xr:uid="{83DB8074-436A-4CF5-B5B3-820CE3CCE2D9}"/>
    <cellStyle name="Comma 3 7" xfId="887" xr:uid="{A8DE7BF6-080A-4A01-B9F1-D4C0D1B5B4DA}"/>
    <cellStyle name="Comma 3 7 2" xfId="1454" xr:uid="{6710E83F-B0F6-41C6-8F2C-32489D81CE59}"/>
    <cellStyle name="Comma 3 8" xfId="808" xr:uid="{A13FBF0D-F3A1-4884-A444-DF739A6DE358}"/>
    <cellStyle name="Comma 3 8 2" xfId="1375" xr:uid="{E26161F0-6B52-458E-910F-8E309E574144}"/>
    <cellStyle name="Comma 3 9" xfId="1132" xr:uid="{908D929B-CA9D-4DE3-B798-6DFF32A7998F}"/>
    <cellStyle name="Comma 4" xfId="147" xr:uid="{F806FC71-4CF6-4018-8C59-B1CEF3950F74}"/>
    <cellStyle name="Comma 4 10" xfId="491" xr:uid="{BB3CCD13-EF45-4AB7-B444-16CA3C85D00A}"/>
    <cellStyle name="Comma 4 2" xfId="492" xr:uid="{AAD11F9E-53E2-4CB5-BC41-F75EABBD7EC1}"/>
    <cellStyle name="Comma 4 2 14" xfId="1704" xr:uid="{0C8FB0D0-964C-4EF5-92AB-7F8156D8423E}"/>
    <cellStyle name="Comma 4 2 2" xfId="493" xr:uid="{3A3514B2-31C3-4FC3-9BFE-9E6A43C08B54}"/>
    <cellStyle name="Comma 4 2 2 2" xfId="637" xr:uid="{0B5DB806-B742-468C-8043-D0A75165FB61}"/>
    <cellStyle name="Comma 4 2 2 2 2" xfId="719" xr:uid="{84803515-C016-4377-868E-0C8E5891F675}"/>
    <cellStyle name="Comma 4 2 2 2 2 2" xfId="1037" xr:uid="{F09BCFD0-2D6F-40C8-9D76-45F82E90F690}"/>
    <cellStyle name="Comma 4 2 2 2 2 2 2" xfId="1604" xr:uid="{E902B618-5B27-4BC3-A8B3-3CFE1F2846B5}"/>
    <cellStyle name="Comma 4 2 2 2 2 3" xfId="1286" xr:uid="{00C6D3B1-6D22-4FDF-B1B0-051AABA8C472}"/>
    <cellStyle name="Comma 4 2 2 2 3" xfId="798" xr:uid="{5184AE08-46B1-4A14-813C-5194114D8145}"/>
    <cellStyle name="Comma 4 2 2 2 3 2" xfId="1116" xr:uid="{F091A36B-845B-4CAE-8865-F25C9B09EAEC}"/>
    <cellStyle name="Comma 4 2 2 2 3 2 2" xfId="1683" xr:uid="{31C9B4EC-E88F-4C65-ADBA-7A33524A73E1}"/>
    <cellStyle name="Comma 4 2 2 2 3 3" xfId="1365" xr:uid="{4B8C815E-9646-4E3F-A0CE-C2D531025ECB}"/>
    <cellStyle name="Comma 4 2 2 2 4" xfId="958" xr:uid="{7E25F360-9D5E-4C89-A455-30E75E086C8C}"/>
    <cellStyle name="Comma 4 2 2 2 4 2" xfId="1525" xr:uid="{6C511F27-8CC4-4911-915E-E7115C9E9C4B}"/>
    <cellStyle name="Comma 4 2 2 2 5" xfId="879" xr:uid="{6AA70C09-5FC8-4B8B-A7AF-9DC09CF6AD8A}"/>
    <cellStyle name="Comma 4 2 2 2 5 2" xfId="1446" xr:uid="{F0A79497-E182-447B-8079-8E50A471C787}"/>
    <cellStyle name="Comma 4 2 2 2 6" xfId="1205" xr:uid="{15D36F6A-0D50-4D75-91E8-838A2FA04F35}"/>
    <cellStyle name="Comma 4 2 2 3" xfId="654" xr:uid="{7A6676D1-EAA5-4A57-B4DD-DD4BEC269369}"/>
    <cellStyle name="Comma 4 2 2 3 2" xfId="972" xr:uid="{8B52C577-5E2F-4C38-9CBD-E7D1035284C3}"/>
    <cellStyle name="Comma 4 2 2 3 2 2" xfId="1539" xr:uid="{2732B1AD-47C8-4850-AEB1-ED1601A6DD90}"/>
    <cellStyle name="Comma 4 2 2 3 3" xfId="1221" xr:uid="{35F2183D-8F53-4F62-85C8-AD277A408E8A}"/>
    <cellStyle name="Comma 4 2 2 4" xfId="733" xr:uid="{36C6D6B0-24F1-4D45-A49D-5987580B0F7F}"/>
    <cellStyle name="Comma 4 2 2 4 2" xfId="1051" xr:uid="{98E15AC8-23AC-4E0A-BAD2-BC1E96EF5F57}"/>
    <cellStyle name="Comma 4 2 2 4 2 2" xfId="1618" xr:uid="{EE97DBE8-9194-48ED-83A2-9BAB908A4C10}"/>
    <cellStyle name="Comma 4 2 2 4 3" xfId="1300" xr:uid="{78EA2372-921C-42D2-8A0E-52202BBCA8B9}"/>
    <cellStyle name="Comma 4 2 2 5" xfId="893" xr:uid="{C47EFDEC-4D10-4B28-9037-80F61C95B8CB}"/>
    <cellStyle name="Comma 4 2 2 5 2" xfId="1460" xr:uid="{111C5EE6-D832-4516-A8A3-3FA341921831}"/>
    <cellStyle name="Comma 4 2 2 6" xfId="814" xr:uid="{C8F871EA-5CAA-4F63-851E-7DCDAEFE7B05}"/>
    <cellStyle name="Comma 4 2 2 6 2" xfId="1381" xr:uid="{5C6D966C-1D18-46B0-9C8D-06935BCD026A}"/>
    <cellStyle name="Comma 4 2 2 7" xfId="1138" xr:uid="{732CD1CD-CE19-4FFA-A843-5422CBD65B91}"/>
    <cellStyle name="Comma 4 2 3" xfId="625" xr:uid="{D78A1AA7-55B3-4883-85AA-57809952E37C}"/>
    <cellStyle name="Comma 4 2 3 2" xfId="708" xr:uid="{D27CAED4-14E4-47A8-B2D7-DC122F2E644C}"/>
    <cellStyle name="Comma 4 2 3 2 2" xfId="1026" xr:uid="{22F84BFC-6416-4344-BE89-E9C4518EF3D9}"/>
    <cellStyle name="Comma 4 2 3 2 2 2" xfId="1593" xr:uid="{F4464681-3640-43CF-8397-0821E51BB4ED}"/>
    <cellStyle name="Comma 4 2 3 2 3" xfId="1275" xr:uid="{980B68D6-E6A5-44A6-9600-923D22C3E38E}"/>
    <cellStyle name="Comma 4 2 3 3" xfId="787" xr:uid="{F014416B-CC70-4B68-9223-E79AF5B73599}"/>
    <cellStyle name="Comma 4 2 3 3 2" xfId="1105" xr:uid="{026EE6F5-9972-4515-99D4-3EBDB28FBDAD}"/>
    <cellStyle name="Comma 4 2 3 3 2 2" xfId="1672" xr:uid="{BB502C46-4C89-4F64-AFA6-3777B9BFBDD3}"/>
    <cellStyle name="Comma 4 2 3 3 3" xfId="1354" xr:uid="{867F0B17-054C-4362-851C-C6AE4DEAAEA5}"/>
    <cellStyle name="Comma 4 2 3 4" xfId="947" xr:uid="{FC186C10-8736-4585-8563-BDF9434F92AB}"/>
    <cellStyle name="Comma 4 2 3 4 2" xfId="1514" xr:uid="{7133AF22-23C2-478D-9A40-BFCC29744F85}"/>
    <cellStyle name="Comma 4 2 3 5" xfId="868" xr:uid="{B1AB5102-8909-42B8-8DC7-026D9CDD85F8}"/>
    <cellStyle name="Comma 4 2 3 5 2" xfId="1435" xr:uid="{0BF30395-07CC-4F3A-BDBD-ADE2BDE98CC2}"/>
    <cellStyle name="Comma 4 2 3 6" xfId="1194" xr:uid="{3E122A2A-8F4A-4CBA-A50A-435CFDD677EA}"/>
    <cellStyle name="Comma 4 2 4" xfId="653" xr:uid="{E7EBCEAE-DCCC-4C41-B78B-0215D03083D9}"/>
    <cellStyle name="Comma 4 2 4 2" xfId="971" xr:uid="{85F4B83C-797F-49E7-A3AB-BB0CC6975544}"/>
    <cellStyle name="Comma 4 2 4 2 2" xfId="1538" xr:uid="{68B8AED9-D0D1-4E07-9B48-D83FCAC864BB}"/>
    <cellStyle name="Comma 4 2 4 3" xfId="1220" xr:uid="{E4207909-C4CF-4B89-9C32-A740D6D95A5B}"/>
    <cellStyle name="Comma 4 2 5" xfId="732" xr:uid="{73AB7EB3-3A25-4C17-B9C7-234856428628}"/>
    <cellStyle name="Comma 4 2 5 2" xfId="1050" xr:uid="{A60F2B29-95FF-49E3-B30B-83ED83237CC0}"/>
    <cellStyle name="Comma 4 2 5 2 2" xfId="1617" xr:uid="{5AB01B52-B8A4-450D-A99A-E1B81CD5E33A}"/>
    <cellStyle name="Comma 4 2 5 3" xfId="1299" xr:uid="{CA578C00-EE99-45EB-9974-B783B3CF0BB8}"/>
    <cellStyle name="Comma 4 2 6" xfId="892" xr:uid="{0C1205B8-4823-49B3-8022-36B278EE8EDD}"/>
    <cellStyle name="Comma 4 2 6 2" xfId="1459" xr:uid="{87AECCF8-FE9F-44AF-8A3D-E6B402C80DD1}"/>
    <cellStyle name="Comma 4 2 7" xfId="813" xr:uid="{144BF322-D308-4C69-BA12-8F0359AAE412}"/>
    <cellStyle name="Comma 4 2 7 2" xfId="1380" xr:uid="{0A43A880-9119-4307-BD65-B5EFE63E3767}"/>
    <cellStyle name="Comma 4 2 8" xfId="1137" xr:uid="{82F53D0A-FD9B-47DC-AB54-878D90A05223}"/>
    <cellStyle name="Comma 4 3" xfId="494" xr:uid="{91E149FF-2271-4CDB-A234-B36560898CFE}"/>
    <cellStyle name="Comma 4 3 2" xfId="636" xr:uid="{0BFE9CF8-47CB-4B51-8183-8A07B841E0D7}"/>
    <cellStyle name="Comma 4 3 2 2" xfId="718" xr:uid="{32CBDEF3-BA7B-4EB1-B2DF-AD6AD25D1FC1}"/>
    <cellStyle name="Comma 4 3 2 2 2" xfId="1036" xr:uid="{E9C89632-703A-42B1-AF61-1BD75D35B916}"/>
    <cellStyle name="Comma 4 3 2 2 2 2" xfId="1603" xr:uid="{FD4D0F1E-436B-47CB-A704-2E47C0F71633}"/>
    <cellStyle name="Comma 4 3 2 2 3" xfId="1285" xr:uid="{F83D4FE4-A65C-45F2-8514-932D00A5C305}"/>
    <cellStyle name="Comma 4 3 2 3" xfId="797" xr:uid="{952315F3-71B1-4806-BE1C-AAAEA4277ADC}"/>
    <cellStyle name="Comma 4 3 2 3 2" xfId="1115" xr:uid="{AA2A17C7-FD37-41F4-8A33-1ECCBF0D63FC}"/>
    <cellStyle name="Comma 4 3 2 3 2 2" xfId="1682" xr:uid="{684CEC84-D0FC-4283-9A12-AD2EA986D88D}"/>
    <cellStyle name="Comma 4 3 2 3 3" xfId="1364" xr:uid="{CA6DAEF5-20BC-4F34-9A51-E4C37D981954}"/>
    <cellStyle name="Comma 4 3 2 4" xfId="957" xr:uid="{4B3A54EF-8ECC-4E1A-8C51-3A41FEDD7E22}"/>
    <cellStyle name="Comma 4 3 2 4 2" xfId="1524" xr:uid="{26DA4768-C9C9-4850-9731-0EFB042C7E89}"/>
    <cellStyle name="Comma 4 3 2 5" xfId="878" xr:uid="{5EF142A1-DD23-491F-A7A8-38D3B04ED814}"/>
    <cellStyle name="Comma 4 3 2 5 2" xfId="1445" xr:uid="{7F5123EE-429A-4ABD-8C25-EC26D3BEC22A}"/>
    <cellStyle name="Comma 4 3 2 6" xfId="1204" xr:uid="{9A904455-C718-4EC2-856B-CD5F5F2E2506}"/>
    <cellStyle name="Comma 4 3 3" xfId="655" xr:uid="{375FC299-37E1-4F2C-9B8E-365BE562CD57}"/>
    <cellStyle name="Comma 4 3 3 2" xfId="973" xr:uid="{5CFB073B-00FB-4442-ACED-B2AAA8D1FC7C}"/>
    <cellStyle name="Comma 4 3 3 2 2" xfId="1540" xr:uid="{6D10D0D1-A134-4002-A7D5-29E586A0004D}"/>
    <cellStyle name="Comma 4 3 3 3" xfId="1222" xr:uid="{496DA2E0-ABF7-4062-8768-EEC1DC2B73FF}"/>
    <cellStyle name="Comma 4 3 4" xfId="734" xr:uid="{0706CA65-DC9B-4B4F-88DC-FEE6B7B5AEB4}"/>
    <cellStyle name="Comma 4 3 4 2" xfId="1052" xr:uid="{182DE5CE-6A38-4657-807E-CB594717C859}"/>
    <cellStyle name="Comma 4 3 4 2 2" xfId="1619" xr:uid="{1F5FFC37-F45D-4740-A222-E799A55BB17C}"/>
    <cellStyle name="Comma 4 3 4 3" xfId="1301" xr:uid="{904F3D07-B62F-4AB1-A5DF-0DABD2BD6167}"/>
    <cellStyle name="Comma 4 3 5" xfId="894" xr:uid="{EC2D849D-232E-4C55-B7F1-0061D08E7508}"/>
    <cellStyle name="Comma 4 3 5 2" xfId="1461" xr:uid="{AD732A8C-2E58-4D17-86C4-EA72AE5C98A7}"/>
    <cellStyle name="Comma 4 3 6" xfId="815" xr:uid="{D18D1E9E-3CC9-4868-ADF8-04CAB95801B9}"/>
    <cellStyle name="Comma 4 3 6 2" xfId="1382" xr:uid="{773C61F1-9192-4F16-85C7-CDD9A9167F48}"/>
    <cellStyle name="Comma 4 3 7" xfId="1139" xr:uid="{BB981737-EE06-4180-93C6-0039028F61CF}"/>
    <cellStyle name="Comma 4 4" xfId="624" xr:uid="{BB530D38-A142-4464-83EF-D30A46AA2326}"/>
    <cellStyle name="Comma 4 4 2" xfId="707" xr:uid="{BDC20A47-8ECD-4AC2-B75B-F35620B7FCB0}"/>
    <cellStyle name="Comma 4 4 2 2" xfId="1025" xr:uid="{718C298A-4EE2-415E-A67E-3B411F095E75}"/>
    <cellStyle name="Comma 4 4 2 2 2" xfId="1592" xr:uid="{3532E0F8-A438-4548-83B6-2D5087F0B236}"/>
    <cellStyle name="Comma 4 4 2 3" xfId="1274" xr:uid="{F635A3F7-F915-41A5-83A0-F68F2BCF5572}"/>
    <cellStyle name="Comma 4 4 3" xfId="786" xr:uid="{5540BA13-DDDF-4F00-B0B1-4574AE58AFD2}"/>
    <cellStyle name="Comma 4 4 3 2" xfId="1104" xr:uid="{FC59A34A-8187-4473-9D95-1F4D2E5AF0E1}"/>
    <cellStyle name="Comma 4 4 3 2 2" xfId="1671" xr:uid="{B387A2A5-54D8-4B43-804A-64C3F070AE02}"/>
    <cellStyle name="Comma 4 4 3 3" xfId="1353" xr:uid="{9442FF7C-78F6-469A-8B7C-5D1B0F19D943}"/>
    <cellStyle name="Comma 4 4 4" xfId="946" xr:uid="{8A2514B2-4F1D-4F58-AB49-E606E5EF742B}"/>
    <cellStyle name="Comma 4 4 4 2" xfId="1513" xr:uid="{7E868AA6-8F8D-4E1D-BBB4-2E30253C4B4E}"/>
    <cellStyle name="Comma 4 4 5" xfId="867" xr:uid="{26FF254D-DE70-4B09-A3B1-3273243AB0D2}"/>
    <cellStyle name="Comma 4 4 5 2" xfId="1434" xr:uid="{4C64578E-F51E-446D-9260-3FAA69F3BA53}"/>
    <cellStyle name="Comma 4 4 6" xfId="1193" xr:uid="{2B45DC9F-DA0A-47EC-BE0C-060263259E5F}"/>
    <cellStyle name="Comma 4 5" xfId="652" xr:uid="{49C0CE78-78A2-491B-BBC9-D5E3B8A58AF4}"/>
    <cellStyle name="Comma 4 5 2" xfId="970" xr:uid="{BC5BDF5B-429D-4AFB-8A6C-C959EBCF8390}"/>
    <cellStyle name="Comma 4 5 2 2" xfId="1537" xr:uid="{0DBCC205-380A-4685-8510-160B74D20A5A}"/>
    <cellStyle name="Comma 4 5 3" xfId="1219" xr:uid="{7B0B4208-9B9A-45A2-99CB-05A7CD62ED23}"/>
    <cellStyle name="Comma 4 6" xfId="731" xr:uid="{7D0F5158-A0B2-468C-8AF5-25C4234FF6E6}"/>
    <cellStyle name="Comma 4 6 2" xfId="1049" xr:uid="{6AE2CAD1-81C1-41D2-9344-497DD0C12FF9}"/>
    <cellStyle name="Comma 4 6 2 2" xfId="1616" xr:uid="{719E1EBB-88D5-447A-B9A1-C5FC2C47C8F7}"/>
    <cellStyle name="Comma 4 6 3" xfId="1298" xr:uid="{B42FAC64-A1DA-4D8D-9B4D-375AA3F6A646}"/>
    <cellStyle name="Comma 4 7" xfId="891" xr:uid="{C5528921-689A-474F-9768-ED4A7B943567}"/>
    <cellStyle name="Comma 4 7 2" xfId="1458" xr:uid="{153A2D93-3123-4735-9AFD-B5B14FB91003}"/>
    <cellStyle name="Comma 4 8" xfId="812" xr:uid="{E363A0B7-F4F1-4450-8F11-2A3E192FF458}"/>
    <cellStyle name="Comma 4 8 2" xfId="1379" xr:uid="{E92D38AD-2527-448D-AE8C-7FDB146DF5B2}"/>
    <cellStyle name="Comma 4 9" xfId="1136" xr:uid="{9A81184D-FEB7-4657-B7FF-0E4DCFBD12D7}"/>
    <cellStyle name="Comma 5" xfId="261" xr:uid="{2CF19417-CB8C-4BC1-815D-07677DC5F098}"/>
    <cellStyle name="Comma 5 2" xfId="496" xr:uid="{05D430A6-C2A6-41C0-946E-8C9F6D9CE7B2}"/>
    <cellStyle name="Comma 5 2 2" xfId="638" xr:uid="{1EB500EB-4100-4733-9B2E-BF7E246097AD}"/>
    <cellStyle name="Comma 5 2 2 2" xfId="720" xr:uid="{C949B411-F0A6-494A-89A9-830422C1C115}"/>
    <cellStyle name="Comma 5 2 2 2 2" xfId="1038" xr:uid="{A7849D0D-2F1C-4E30-9575-A8C76A089513}"/>
    <cellStyle name="Comma 5 2 2 2 2 2" xfId="1605" xr:uid="{2A6E1BEB-BE91-4BF4-8088-8C9BB5D1EFF6}"/>
    <cellStyle name="Comma 5 2 2 2 3" xfId="1287" xr:uid="{A6499CCB-A490-49B4-9F34-8A6A0BEBDFE0}"/>
    <cellStyle name="Comma 5 2 2 3" xfId="799" xr:uid="{4D12A59E-BAC0-4854-8F71-444C2A9F70BF}"/>
    <cellStyle name="Comma 5 2 2 3 2" xfId="1117" xr:uid="{3E523729-6A93-4795-9514-8A0A3E9C98D7}"/>
    <cellStyle name="Comma 5 2 2 3 2 2" xfId="1684" xr:uid="{0046465F-77FB-4373-842A-7C0D087F94B5}"/>
    <cellStyle name="Comma 5 2 2 3 3" xfId="1366" xr:uid="{D0E54E5A-8404-4310-9C6E-550650C5EB84}"/>
    <cellStyle name="Comma 5 2 2 4" xfId="959" xr:uid="{BE5A0997-9A51-4462-BD7B-140D6A1A768F}"/>
    <cellStyle name="Comma 5 2 2 4 2" xfId="1526" xr:uid="{2A9018C6-73D0-465B-9716-36355CC857AB}"/>
    <cellStyle name="Comma 5 2 2 5" xfId="880" xr:uid="{A6096DAC-BF61-41D4-9BDA-3973DAF617C0}"/>
    <cellStyle name="Comma 5 2 2 5 2" xfId="1447" xr:uid="{7D7D9DAD-D83C-41A2-AF70-8DBF1CD56B3A}"/>
    <cellStyle name="Comma 5 2 2 6" xfId="1206" xr:uid="{15FB0239-5FF6-4D32-9C9A-48997B8E6D35}"/>
    <cellStyle name="Comma 5 2 3" xfId="657" xr:uid="{C0314D45-02F2-48D1-9B4B-2135BA9636D8}"/>
    <cellStyle name="Comma 5 2 3 2" xfId="975" xr:uid="{7978D42C-2E6C-443A-A222-BE9AB36E5F5B}"/>
    <cellStyle name="Comma 5 2 3 2 2" xfId="1542" xr:uid="{35E82886-BE51-4BC0-8E56-0177013CA16E}"/>
    <cellStyle name="Comma 5 2 3 3" xfId="1224" xr:uid="{0CBB8C47-862C-4E0E-8B11-C0B7C87FC928}"/>
    <cellStyle name="Comma 5 2 4" xfId="736" xr:uid="{E5560E0A-9D3D-4C48-B1D9-DF0FD48ED094}"/>
    <cellStyle name="Comma 5 2 4 2" xfId="1054" xr:uid="{3ECFC43B-183A-4CA7-A145-0435F8E2A1EF}"/>
    <cellStyle name="Comma 5 2 4 2 2" xfId="1621" xr:uid="{D688EBF3-E843-4239-85AC-63B3E0C76A6B}"/>
    <cellStyle name="Comma 5 2 4 3" xfId="1303" xr:uid="{94FBE76D-67E9-4DAA-9AFC-56BB27BAA9F3}"/>
    <cellStyle name="Comma 5 2 5" xfId="896" xr:uid="{C0AA852E-BD02-4A24-A92B-626944DC8C28}"/>
    <cellStyle name="Comma 5 2 5 2" xfId="1463" xr:uid="{822052FD-A0E8-4848-8FD6-90097BE6F904}"/>
    <cellStyle name="Comma 5 2 6" xfId="817" xr:uid="{316D4AB2-FD58-47FF-99CF-B58D74C43DD8}"/>
    <cellStyle name="Comma 5 2 6 2" xfId="1384" xr:uid="{4158853A-0901-463B-855A-BE1586A8ECC5}"/>
    <cellStyle name="Comma 5 2 7" xfId="1141" xr:uid="{78630ED5-A2BD-4823-B825-68F867D6F447}"/>
    <cellStyle name="Comma 5 3" xfId="626" xr:uid="{71DC77E6-201F-4459-AE35-25D5612FE348}"/>
    <cellStyle name="Comma 5 3 2" xfId="709" xr:uid="{B944B960-9E48-4A16-91F6-74C319506A8A}"/>
    <cellStyle name="Comma 5 3 2 2" xfId="1027" xr:uid="{B9A24EF1-931A-4B0F-9E8E-9FE05687F15B}"/>
    <cellStyle name="Comma 5 3 2 2 2" xfId="1594" xr:uid="{66B66DC9-419A-4695-8657-0FB7D331D86F}"/>
    <cellStyle name="Comma 5 3 2 3" xfId="1276" xr:uid="{2DA4DCF2-7346-4FD6-81AF-0E1480553B02}"/>
    <cellStyle name="Comma 5 3 3" xfId="788" xr:uid="{D381C325-6B59-441F-9BA4-2203F2AECA2A}"/>
    <cellStyle name="Comma 5 3 3 2" xfId="1106" xr:uid="{67832946-478D-4237-B33B-70A8659D1F90}"/>
    <cellStyle name="Comma 5 3 3 2 2" xfId="1673" xr:uid="{140C89C4-21E6-4EC7-8CFC-293917BD5B1C}"/>
    <cellStyle name="Comma 5 3 3 3" xfId="1355" xr:uid="{DAA3DF53-C2A0-4779-834C-25BB9F58EEE7}"/>
    <cellStyle name="Comma 5 3 4" xfId="948" xr:uid="{9ED3AD67-B475-41DB-9832-692FED9D320D}"/>
    <cellStyle name="Comma 5 3 4 2" xfId="1515" xr:uid="{8E50897D-7D86-40B1-AFE3-D90CB58F652A}"/>
    <cellStyle name="Comma 5 3 5" xfId="869" xr:uid="{72220734-0D8C-4325-A6D9-7D7FA06C77B9}"/>
    <cellStyle name="Comma 5 3 5 2" xfId="1436" xr:uid="{D668A2EC-D2E7-46F3-B759-1032B7B5D137}"/>
    <cellStyle name="Comma 5 3 6" xfId="1195" xr:uid="{243CD869-7A34-4994-93C1-3E145AF24729}"/>
    <cellStyle name="Comma 5 4" xfId="656" xr:uid="{FA79DB78-4769-49E1-B490-8EC6854051A4}"/>
    <cellStyle name="Comma 5 4 2" xfId="974" xr:uid="{F117AC4F-4570-4365-9983-168F08AB18DC}"/>
    <cellStyle name="Comma 5 4 2 2" xfId="1541" xr:uid="{C0D8BF00-19FF-4D2D-9573-FD218515EF2D}"/>
    <cellStyle name="Comma 5 4 3" xfId="1223" xr:uid="{0DBAEE76-0F21-4B65-B3BA-5EDD6BEC22FD}"/>
    <cellStyle name="Comma 5 5" xfId="735" xr:uid="{A5BAD5F3-129C-40BE-9A0D-19F6FE9A692E}"/>
    <cellStyle name="Comma 5 5 2" xfId="1053" xr:uid="{865103BD-FBFD-4107-A1F8-8BDEFD1F0297}"/>
    <cellStyle name="Comma 5 5 2 2" xfId="1620" xr:uid="{ABDF7B53-A082-48DC-9B85-9C4924F961FD}"/>
    <cellStyle name="Comma 5 5 3" xfId="1302" xr:uid="{BC4812A0-82A6-4C2E-9B66-35AF9A537E97}"/>
    <cellStyle name="Comma 5 6" xfId="895" xr:uid="{B5EA73EA-47D2-42F4-BFDF-6763E30631BF}"/>
    <cellStyle name="Comma 5 6 2" xfId="1462" xr:uid="{B179322A-DC1F-4580-A7F8-C8988039586D}"/>
    <cellStyle name="Comma 5 7" xfId="816" xr:uid="{47A6F714-0692-46A9-B0B3-E610FE904FC9}"/>
    <cellStyle name="Comma 5 7 2" xfId="1383" xr:uid="{36826E02-0EC7-4FF8-8A9D-0F2E8AABB594}"/>
    <cellStyle name="Comma 5 8" xfId="1140" xr:uid="{DEC6F6F3-47C7-473E-8483-AB3C30EE3E56}"/>
    <cellStyle name="Comma 5 9" xfId="495" xr:uid="{4D00F88D-0C8F-4693-A14C-92C8ADB39C62}"/>
    <cellStyle name="Comma 6" xfId="355" xr:uid="{F169039D-DB0F-4BFC-9F6F-50C08EBC8B2D}"/>
    <cellStyle name="Comma 6 2" xfId="630" xr:uid="{3BAEB578-3F82-41F8-B475-620ED51C6A62}"/>
    <cellStyle name="Comma 6 2 2" xfId="712" xr:uid="{4A2B7658-F76B-48B3-8800-1F23FB95BEAF}"/>
    <cellStyle name="Comma 6 2 2 2" xfId="1030" xr:uid="{7D51DA72-1033-4D64-92BF-D37EA5061883}"/>
    <cellStyle name="Comma 6 2 2 2 2" xfId="1597" xr:uid="{F500B1FD-4D96-4AE3-B091-338C94F97677}"/>
    <cellStyle name="Comma 6 2 2 3" xfId="1279" xr:uid="{C6521407-9F06-4F9F-85EE-748CA769BBCF}"/>
    <cellStyle name="Comma 6 2 3" xfId="791" xr:uid="{7B1CF6DC-00E3-436C-97C7-31AB4C0F515F}"/>
    <cellStyle name="Comma 6 2 3 2" xfId="1109" xr:uid="{C13ABDFF-17A4-4703-B3F2-D69697CEC619}"/>
    <cellStyle name="Comma 6 2 3 2 2" xfId="1676" xr:uid="{C65E8534-070C-40B3-B1BB-AB5CEE5E471A}"/>
    <cellStyle name="Comma 6 2 3 3" xfId="1358" xr:uid="{0CA44C55-270B-4DCE-A5DA-222ED12392AF}"/>
    <cellStyle name="Comma 6 2 4" xfId="951" xr:uid="{0A202E37-5038-4E49-8468-519E687069FB}"/>
    <cellStyle name="Comma 6 2 4 2" xfId="1518" xr:uid="{32788812-2E1A-44F1-B6B4-0B0CF72531B5}"/>
    <cellStyle name="Comma 6 2 5" xfId="872" xr:uid="{88BE2329-7DE5-496C-94A4-EA8F51791F38}"/>
    <cellStyle name="Comma 6 2 5 2" xfId="1439" xr:uid="{F82B6C4E-D435-485A-BFF8-C4C1D108991C}"/>
    <cellStyle name="Comma 6 2 6" xfId="1198" xr:uid="{486B9A7D-D5B1-4DB0-8FCD-E7433F133451}"/>
    <cellStyle name="Comma 6 3" xfId="658" xr:uid="{A8B44F45-58EF-4B12-B97B-B14402467D41}"/>
    <cellStyle name="Comma 6 3 2" xfId="976" xr:uid="{2FFE8518-1861-47F6-A377-2A4899A7D4EA}"/>
    <cellStyle name="Comma 6 3 2 2" xfId="1543" xr:uid="{10E73985-0AC7-452F-806F-89073C0607AA}"/>
    <cellStyle name="Comma 6 3 3" xfId="1225" xr:uid="{FE8B2536-5E41-4957-8F13-78D4B6473A41}"/>
    <cellStyle name="Comma 6 4" xfId="737" xr:uid="{00E0F17B-C8B3-4866-AB2E-C195E0D3EF76}"/>
    <cellStyle name="Comma 6 4 2" xfId="1055" xr:uid="{B5F8FBC9-DD26-460D-BDA6-677A496156CB}"/>
    <cellStyle name="Comma 6 4 2 2" xfId="1622" xr:uid="{CF991AFF-3781-4AE6-B02C-0A0BF1291651}"/>
    <cellStyle name="Comma 6 4 3" xfId="1304" xr:uid="{3B825A60-0AE8-44EA-AEB1-A55CE95E89E7}"/>
    <cellStyle name="Comma 6 5" xfId="897" xr:uid="{D37BC294-CB3A-44E3-8FAD-9440582655C3}"/>
    <cellStyle name="Comma 6 5 2" xfId="1464" xr:uid="{08992BD3-9F89-410B-AC69-7D8235752613}"/>
    <cellStyle name="Comma 6 6" xfId="818" xr:uid="{26B34BB0-9749-4A90-A4D3-73A7AEED5C43}"/>
    <cellStyle name="Comma 6 6 2" xfId="1385" xr:uid="{5B7F0A65-B952-49C0-A293-FE485AAE422B}"/>
    <cellStyle name="Comma 6 7" xfId="1142" xr:uid="{9B924788-DE36-4A1C-BBA9-29F598627A46}"/>
    <cellStyle name="Comma 6 8" xfId="497" xr:uid="{F71539F4-38DA-42EA-A9AA-1DA0FE188F79}"/>
    <cellStyle name="Comma 7" xfId="393" xr:uid="{124B89D3-6EA4-49EF-A8CE-3B3F0280050A}"/>
    <cellStyle name="Comma 7 2" xfId="700" xr:uid="{60841907-E2F1-4F1B-B73E-6FC838C10483}"/>
    <cellStyle name="Comma 7 2 2" xfId="1018" xr:uid="{F6DF815A-9933-48F3-AABC-2407E74796A8}"/>
    <cellStyle name="Comma 7 2 2 2" xfId="1585" xr:uid="{8AC9A5B1-C4D9-49CD-AF7E-8C6525095A05}"/>
    <cellStyle name="Comma 7 2 3" xfId="1267" xr:uid="{8B58694A-85B9-4BB3-B548-13941F8F32F5}"/>
    <cellStyle name="Comma 7 3" xfId="779" xr:uid="{23A858CB-5FE1-427A-B9FE-CD0AEA0AAEBA}"/>
    <cellStyle name="Comma 7 3 2" xfId="1097" xr:uid="{C42F4867-1956-45CC-9DA6-C08509D07390}"/>
    <cellStyle name="Comma 7 3 2 2" xfId="1664" xr:uid="{7B272B63-2FEB-47A2-81EA-3D4AFBB18CCE}"/>
    <cellStyle name="Comma 7 3 3" xfId="1346" xr:uid="{B18D44DF-97E7-4E1B-AB79-61AF43A628D1}"/>
    <cellStyle name="Comma 7 4" xfId="939" xr:uid="{8E7E9168-4875-4D02-9342-49BE26E316FE}"/>
    <cellStyle name="Comma 7 4 2" xfId="1506" xr:uid="{B0617E44-36DC-4060-89FB-204750FF42C9}"/>
    <cellStyle name="Comma 7 5" xfId="860" xr:uid="{DE9B2732-7A99-4567-9998-A8701B9DF73F}"/>
    <cellStyle name="Comma 7 5 2" xfId="1427" xr:uid="{E3919CAF-F025-46DF-904C-0DF8A0A7F755}"/>
    <cellStyle name="Comma 7 6" xfId="1186" xr:uid="{64BCF5A6-129E-4AFB-B09F-0231120D5AEE}"/>
    <cellStyle name="Comma 7 7" xfId="614" xr:uid="{3010152D-91D2-46E7-B6E1-2C7755AFF67D}"/>
    <cellStyle name="Comma 8" xfId="434" xr:uid="{B9B23B0A-D0D8-426E-9F1A-3E86BFD9CB13}"/>
    <cellStyle name="Comma 8 2" xfId="711" xr:uid="{51263206-0255-484A-B0D7-C871E4C39CEB}"/>
    <cellStyle name="Comma 8 2 2" xfId="1029" xr:uid="{96C2A0F9-DAD9-4C37-A091-384A6D4D406C}"/>
    <cellStyle name="Comma 8 2 2 2" xfId="1596" xr:uid="{AFA0D022-AC10-43DD-9B6C-7D29D796FE9C}"/>
    <cellStyle name="Comma 8 2 3" xfId="1278" xr:uid="{709C027B-5F6A-4585-BCE3-DFCD89586C8D}"/>
    <cellStyle name="Comma 8 3" xfId="790" xr:uid="{346EC718-F7BF-46F2-AE38-51259C442DD5}"/>
    <cellStyle name="Comma 8 3 2" xfId="1108" xr:uid="{61B9C687-A7EF-4A94-A896-293BC50682C0}"/>
    <cellStyle name="Comma 8 3 2 2" xfId="1675" xr:uid="{A979818B-3D05-4A8B-83E4-474D86F71152}"/>
    <cellStyle name="Comma 8 3 3" xfId="1357" xr:uid="{276E3DF9-A560-49CC-98C8-F59EF8E49CB5}"/>
    <cellStyle name="Comma 8 4" xfId="950" xr:uid="{DD2CFE50-56BB-49A8-A25D-8AA23672C781}"/>
    <cellStyle name="Comma 8 4 2" xfId="1517" xr:uid="{0CF0D00C-5F54-4262-84F1-9F58359EC40E}"/>
    <cellStyle name="Comma 8 5" xfId="871" xr:uid="{62AB5E17-4B81-4C7D-8405-460125454DBD}"/>
    <cellStyle name="Comma 8 5 2" xfId="1438" xr:uid="{4B973B50-841C-42A3-8370-A7D71D2D3DC2}"/>
    <cellStyle name="Comma 8 6" xfId="1197" xr:uid="{0DD37174-7484-436A-88CC-83C051AD212F}"/>
    <cellStyle name="Comma 8 7" xfId="628" xr:uid="{A4AB159D-8C6B-4AE1-A27A-C7C14DB27C1F}"/>
    <cellStyle name="Comma 9" xfId="643" xr:uid="{997055CA-3078-49DD-AAB7-87A63C33DB00}"/>
    <cellStyle name="Comma 9 2" xfId="961" xr:uid="{212A4B5F-0F65-49A9-8DDD-B87E3984FC89}"/>
    <cellStyle name="Comma 9 2 2" xfId="1528" xr:uid="{E2C95B9D-AF47-402D-96F4-94CDF97A8AA2}"/>
    <cellStyle name="Comma 9 3" xfId="1210" xr:uid="{610D97F5-27DF-4960-B1CE-CE65CCF2B70F}"/>
    <cellStyle name="Comma 9 4" xfId="1742" xr:uid="{C073535B-E5C2-4967-94BE-C068A4CB3240}"/>
    <cellStyle name="Currency 2" xfId="498" xr:uid="{459AF726-7A4B-4E17-9BDA-DA963BA96E8B}"/>
    <cellStyle name="Currency 3" xfId="499" xr:uid="{B28E509E-722C-4FC9-8893-0290F10B3E82}"/>
    <cellStyle name="Currency 4" xfId="500" xr:uid="{5EFF03C5-08B9-4DC7-A1AA-C2D73FDBDFFF}"/>
    <cellStyle name="Currency 5" xfId="1700" xr:uid="{6E08CD0D-D52B-4C1D-8127-63055127EBBD}"/>
    <cellStyle name="Explanatory Text 2" xfId="501" xr:uid="{5B2CBFEB-75E4-4662-952C-1DAF3191A7D7}"/>
    <cellStyle name="Good 2" xfId="502" xr:uid="{FE0AA224-5A71-4038-BC00-FD36579564CB}"/>
    <cellStyle name="Heading 1 2" xfId="503" xr:uid="{F595B5C2-4B33-4248-9FDA-C3112B416328}"/>
    <cellStyle name="Heading 2 2" xfId="504" xr:uid="{A3589CAA-35C9-4A51-B712-E91AFEDA6BAF}"/>
    <cellStyle name="Heading 3 2" xfId="505" xr:uid="{3A9033A3-0287-402F-907F-94DA4994FA4F}"/>
    <cellStyle name="Heading 4 2" xfId="506" xr:uid="{0B544BFE-936D-4E9C-8C61-35D6C2D07AF0}"/>
    <cellStyle name="Input 2" xfId="507" xr:uid="{6768E983-9EDA-4A72-B22C-B3D579AD81C3}"/>
    <cellStyle name="Linked Cell 2" xfId="508" xr:uid="{70B3B1FD-0914-4D89-BCCD-1488AE99AB29}"/>
    <cellStyle name="Milliers 13" xfId="509" xr:uid="{FCA57A2B-D1A9-468E-A1DF-39D2497B11AA}"/>
    <cellStyle name="Milliers 2" xfId="510" xr:uid="{B16C2570-79D0-45C9-A5DF-FA68BC2B211A}"/>
    <cellStyle name="Milliers 2 10" xfId="511" xr:uid="{4BCEB28F-A129-4213-ADA1-BBF5DCE0A930}"/>
    <cellStyle name="Milliers 2 10 2" xfId="512" xr:uid="{C4940E2F-C802-4C02-B770-72EBBC72DB2E}"/>
    <cellStyle name="Milliers 2 10 2 2" xfId="661" xr:uid="{9AA704CD-7DC9-4A85-AAF2-AE1373264680}"/>
    <cellStyle name="Milliers 2 10 2 2 2" xfId="979" xr:uid="{12946506-3554-415C-865C-F64E12D4E962}"/>
    <cellStyle name="Milliers 2 10 2 2 2 2" xfId="1546" xr:uid="{C304FA50-1150-4B7A-A38C-5AC43B13604C}"/>
    <cellStyle name="Milliers 2 10 2 2 3" xfId="1228" xr:uid="{BF351B42-8457-4FF0-8E45-250269BD0A05}"/>
    <cellStyle name="Milliers 2 10 2 3" xfId="740" xr:uid="{09F5FA5D-9838-45E2-8D3A-4E357CA9CB88}"/>
    <cellStyle name="Milliers 2 10 2 3 2" xfId="1058" xr:uid="{FF2022BB-F2DF-47CF-A17A-95F2B0BEDB98}"/>
    <cellStyle name="Milliers 2 10 2 3 2 2" xfId="1625" xr:uid="{63DF01F5-FC95-4D87-AC70-A8319584C266}"/>
    <cellStyle name="Milliers 2 10 2 3 3" xfId="1307" xr:uid="{58D29D75-12A3-4776-B8DE-5871F03E59B9}"/>
    <cellStyle name="Milliers 2 10 2 4" xfId="900" xr:uid="{9CEA1FD5-2DC0-4C21-BE05-158FC00058C2}"/>
    <cellStyle name="Milliers 2 10 2 4 2" xfId="1467" xr:uid="{C2F94219-41A1-43D3-82A0-60C9A101A800}"/>
    <cellStyle name="Milliers 2 10 2 5" xfId="821" xr:uid="{D55948F5-9924-4B73-84B9-3E520F9C446C}"/>
    <cellStyle name="Milliers 2 10 2 5 2" xfId="1388" xr:uid="{35A6282C-3E92-467C-9D21-C120F0E21DA9}"/>
    <cellStyle name="Milliers 2 10 2 6" xfId="1145" xr:uid="{C357F0AF-0324-4073-8C26-8BDC08EC4D19}"/>
    <cellStyle name="Milliers 2 10 3" xfId="660" xr:uid="{07CD4E61-C166-421F-9F55-66E7F7DB7E6B}"/>
    <cellStyle name="Milliers 2 10 3 2" xfId="978" xr:uid="{0DF16FA4-FFBA-4212-A77C-E05E243090CD}"/>
    <cellStyle name="Milliers 2 10 3 2 2" xfId="1545" xr:uid="{9BA7F301-922B-4D6D-805F-06099D58C397}"/>
    <cellStyle name="Milliers 2 10 3 3" xfId="1227" xr:uid="{D0BE4E65-3330-4259-94E3-3085BE702FD0}"/>
    <cellStyle name="Milliers 2 10 4" xfId="739" xr:uid="{354D1ECE-96AB-468F-8241-44A65E0AC99A}"/>
    <cellStyle name="Milliers 2 10 4 2" xfId="1057" xr:uid="{DD88A6C7-3F70-4925-BE5C-5F2AAC04EF76}"/>
    <cellStyle name="Milliers 2 10 4 2 2" xfId="1624" xr:uid="{400E016A-6C79-4E3C-B786-BA06E860A5FD}"/>
    <cellStyle name="Milliers 2 10 4 3" xfId="1306" xr:uid="{B3140E17-32C6-4245-BBC8-EE1AD3DD22CD}"/>
    <cellStyle name="Milliers 2 10 5" xfId="899" xr:uid="{CF30AEE0-0AF3-4FBD-9524-94049CB2205F}"/>
    <cellStyle name="Milliers 2 10 5 2" xfId="1466" xr:uid="{85834246-DB67-4357-8E57-C1AB6A8B65A8}"/>
    <cellStyle name="Milliers 2 10 6" xfId="820" xr:uid="{89CD288C-637D-4287-913F-989F9A17A629}"/>
    <cellStyle name="Milliers 2 10 6 2" xfId="1387" xr:uid="{90EE2477-6AE2-4056-B4CC-47B80C4FC8C6}"/>
    <cellStyle name="Milliers 2 10 7" xfId="1144" xr:uid="{5D771F5D-89B2-40CA-BFBC-B654C83266F2}"/>
    <cellStyle name="Milliers 2 11" xfId="513" xr:uid="{1E5C12E6-F3D9-4ADF-82D2-0DB592EFAC1F}"/>
    <cellStyle name="Milliers 2 11 2" xfId="514" xr:uid="{7ABBF2A4-FB3B-4ED8-A5DB-5747D439FFED}"/>
    <cellStyle name="Milliers 2 11 2 2" xfId="662" xr:uid="{ACF673BC-B851-433F-8D1F-83A53FF2F86E}"/>
    <cellStyle name="Milliers 2 11 2 2 2" xfId="980" xr:uid="{8885FC60-4A1B-419D-8DF4-E7F68392E716}"/>
    <cellStyle name="Milliers 2 11 2 2 2 2" xfId="1547" xr:uid="{067A2F17-7422-4C4C-AAA6-1E16DF2B1F37}"/>
    <cellStyle name="Milliers 2 11 2 2 3" xfId="1229" xr:uid="{498781B5-BA34-4ADD-9004-00C474DA1C89}"/>
    <cellStyle name="Milliers 2 11 2 3" xfId="741" xr:uid="{51D54A43-5235-43F6-B3D0-5F0C251B22B6}"/>
    <cellStyle name="Milliers 2 11 2 3 2" xfId="1059" xr:uid="{EE4C861D-5AE1-43F4-B384-1EC3F22BB7E6}"/>
    <cellStyle name="Milliers 2 11 2 3 2 2" xfId="1626" xr:uid="{9EDC256D-BA76-44E7-9408-8280DD2CF513}"/>
    <cellStyle name="Milliers 2 11 2 3 3" xfId="1308" xr:uid="{F214E0D0-1D44-4B1B-90A4-5B1925C330F9}"/>
    <cellStyle name="Milliers 2 11 2 4" xfId="901" xr:uid="{211E845E-EF88-422D-BD82-C242647D4F32}"/>
    <cellStyle name="Milliers 2 11 2 4 2" xfId="1468" xr:uid="{C8D16ABB-92BB-4835-828B-EF16E0C53830}"/>
    <cellStyle name="Milliers 2 11 2 5" xfId="822" xr:uid="{57A00FFA-0F20-4616-BA46-F51542EA9F55}"/>
    <cellStyle name="Milliers 2 11 2 5 2" xfId="1389" xr:uid="{CF1DDE47-A39B-4F0F-941A-2D79D47C3CCC}"/>
    <cellStyle name="Milliers 2 11 2 6" xfId="1146" xr:uid="{68A6BAC2-0B41-48DF-B7BA-D32F12BDE6EE}"/>
    <cellStyle name="Milliers 2 12" xfId="515" xr:uid="{D7742EBD-88E0-423F-9F7D-8AF09AB7F719}"/>
    <cellStyle name="Milliers 2 12 2" xfId="516" xr:uid="{689F17FF-97F5-417D-9DBE-9561B3A05912}"/>
    <cellStyle name="Milliers 2 12 2 2" xfId="663" xr:uid="{4093493B-4A37-4B9E-901D-09BB917D5695}"/>
    <cellStyle name="Milliers 2 12 2 2 2" xfId="981" xr:uid="{83AE8866-A8D2-4429-A36B-E963E9B2D45C}"/>
    <cellStyle name="Milliers 2 12 2 2 2 2" xfId="1548" xr:uid="{0AB6BA49-AAE6-4C82-B98D-4CD24F54EB99}"/>
    <cellStyle name="Milliers 2 12 2 2 3" xfId="1230" xr:uid="{B1FBA3F6-C30A-420A-8C4B-26D6885011EF}"/>
    <cellStyle name="Milliers 2 12 2 3" xfId="742" xr:uid="{E349ADA8-1A40-499B-87C0-BEBFD06CAF9F}"/>
    <cellStyle name="Milliers 2 12 2 3 2" xfId="1060" xr:uid="{03D7225C-EB77-4875-8B50-7BEDF32CD55B}"/>
    <cellStyle name="Milliers 2 12 2 3 2 2" xfId="1627" xr:uid="{CD5FD796-6A0E-41CC-9114-D4635144117C}"/>
    <cellStyle name="Milliers 2 12 2 3 3" xfId="1309" xr:uid="{CD3FDB95-E741-4552-82F6-EB1507B6E572}"/>
    <cellStyle name="Milliers 2 12 2 4" xfId="902" xr:uid="{07C3DA76-CA1F-4086-A973-0FE9FC9304A4}"/>
    <cellStyle name="Milliers 2 12 2 4 2" xfId="1469" xr:uid="{DB302720-F3A3-4118-9C8E-A13D6E7E983B}"/>
    <cellStyle name="Milliers 2 12 2 5" xfId="823" xr:uid="{43ACC623-0844-41CD-AB38-2A85A1E0302C}"/>
    <cellStyle name="Milliers 2 12 2 5 2" xfId="1390" xr:uid="{3231A953-9C08-4AD0-A104-3702F2CD66DD}"/>
    <cellStyle name="Milliers 2 12 2 6" xfId="1147" xr:uid="{04D6F579-BE08-42D7-9750-DC2476F7E3A1}"/>
    <cellStyle name="Milliers 2 13" xfId="517" xr:uid="{C81F0D06-772B-40A4-9CEA-17418B6B3C5D}"/>
    <cellStyle name="Milliers 2 13 2" xfId="664" xr:uid="{8829A2BD-6787-4221-B2D9-1870A8396455}"/>
    <cellStyle name="Milliers 2 13 2 2" xfId="982" xr:uid="{888ACF0D-20BE-4715-BE32-A2B915FFB7FD}"/>
    <cellStyle name="Milliers 2 13 2 2 2" xfId="1549" xr:uid="{73E0082A-B071-4500-BD0F-1E56DD463DF3}"/>
    <cellStyle name="Milliers 2 13 2 3" xfId="1231" xr:uid="{8639BCE8-8003-4F40-890B-7B8F67CB9ECF}"/>
    <cellStyle name="Milliers 2 13 3" xfId="743" xr:uid="{43618817-C500-4A1B-9AA7-33AD1A7F1557}"/>
    <cellStyle name="Milliers 2 13 3 2" xfId="1061" xr:uid="{09E4EDB8-8EE9-44DF-9C32-DB629DB9E999}"/>
    <cellStyle name="Milliers 2 13 3 2 2" xfId="1628" xr:uid="{3C33BF59-D377-4532-B58F-AA815EC8DD2C}"/>
    <cellStyle name="Milliers 2 13 3 3" xfId="1310" xr:uid="{2C5DBAE3-460A-43D1-B620-D824F85C4ADE}"/>
    <cellStyle name="Milliers 2 13 4" xfId="903" xr:uid="{37260884-5463-4E81-89A9-0DD561E2E31E}"/>
    <cellStyle name="Milliers 2 13 4 2" xfId="1470" xr:uid="{2C4F3515-D795-4D14-BBBC-D691BB9ACD90}"/>
    <cellStyle name="Milliers 2 13 5" xfId="824" xr:uid="{0797AC53-F41A-4BE4-9C7A-3315576393F0}"/>
    <cellStyle name="Milliers 2 13 5 2" xfId="1391" xr:uid="{97752EFC-A9E2-43F6-BD7C-A98E5011A5B5}"/>
    <cellStyle name="Milliers 2 13 6" xfId="1148" xr:uid="{442541FB-EFDA-4318-AADD-4CBAC881343F}"/>
    <cellStyle name="Milliers 2 14" xfId="659" xr:uid="{102CC6EE-D867-4CCD-BA63-0A21FEC79201}"/>
    <cellStyle name="Milliers 2 14 2" xfId="977" xr:uid="{DECA3E75-FB98-4090-88EA-5571DCD46FCF}"/>
    <cellStyle name="Milliers 2 14 2 2" xfId="1544" xr:uid="{831A8DE7-E824-4B3E-8C3D-FBD93D9C27DD}"/>
    <cellStyle name="Milliers 2 14 3" xfId="1226" xr:uid="{22D63514-32FD-484E-AB82-BDFAB5A20118}"/>
    <cellStyle name="Milliers 2 15" xfId="738" xr:uid="{0B0E2E04-C4DA-47A4-AA94-F2F27996DD5E}"/>
    <cellStyle name="Milliers 2 15 2" xfId="1056" xr:uid="{F4F8692A-C16B-4BCE-9A1A-D2DFA3DB23DD}"/>
    <cellStyle name="Milliers 2 15 2 2" xfId="1623" xr:uid="{FDEB2A0E-92A0-44C2-A0C8-EA9217FE262F}"/>
    <cellStyle name="Milliers 2 15 3" xfId="1305" xr:uid="{7B4007FA-371D-43E5-B2A8-1CC0FA94054A}"/>
    <cellStyle name="Milliers 2 16" xfId="898" xr:uid="{74B270C1-F8AF-4F0E-B5EB-B3082DAE9CA4}"/>
    <cellStyle name="Milliers 2 16 2" xfId="1465" xr:uid="{F2278DA9-B5E7-4029-B532-A7799F3B853C}"/>
    <cellStyle name="Milliers 2 17" xfId="819" xr:uid="{C69BA62B-FD5F-44B1-86D6-728E54367894}"/>
    <cellStyle name="Milliers 2 17 2" xfId="1386" xr:uid="{B174C29A-826B-44C5-AC25-65E099DAA6C2}"/>
    <cellStyle name="Milliers 2 18" xfId="1143" xr:uid="{1596B43B-A5B3-4D19-984F-79345665D6AB}"/>
    <cellStyle name="Milliers 2 2" xfId="518" xr:uid="{CB3306DA-D3F1-43D8-9FA8-25B05970F26E}"/>
    <cellStyle name="Milliers 2 2 2" xfId="519" xr:uid="{C8085B36-7F27-4906-95F3-6A1C8D82522F}"/>
    <cellStyle name="Milliers 2 2 2 2" xfId="666" xr:uid="{DDC2DBA3-2B3E-412F-AD97-CBACB218CB66}"/>
    <cellStyle name="Milliers 2 2 2 2 2" xfId="984" xr:uid="{FCC5CB60-8167-44F6-8B40-E2B7A3944055}"/>
    <cellStyle name="Milliers 2 2 2 2 2 2" xfId="1551" xr:uid="{2A9CDD93-CD69-4535-A5A3-F1E46046D756}"/>
    <cellStyle name="Milliers 2 2 2 2 3" xfId="1233" xr:uid="{E705D87D-B88A-45AC-846F-2C30FC7564DF}"/>
    <cellStyle name="Milliers 2 2 2 3" xfId="745" xr:uid="{2425820A-7FCE-4618-AF34-AD51C36CFA28}"/>
    <cellStyle name="Milliers 2 2 2 3 2" xfId="1063" xr:uid="{C4BD838B-A19B-4270-AA22-25736DCB789C}"/>
    <cellStyle name="Milliers 2 2 2 3 2 2" xfId="1630" xr:uid="{03BF1CCD-0AD3-46A1-AE6D-31D824670CBE}"/>
    <cellStyle name="Milliers 2 2 2 3 3" xfId="1312" xr:uid="{D5EFBFEA-A596-4743-8730-D108104F0D60}"/>
    <cellStyle name="Milliers 2 2 2 4" xfId="905" xr:uid="{771ECCFD-5A8C-42FD-9AB4-7452FEB8F85C}"/>
    <cellStyle name="Milliers 2 2 2 4 2" xfId="1472" xr:uid="{957CD2FE-523D-4464-A486-9680432BF568}"/>
    <cellStyle name="Milliers 2 2 2 5" xfId="826" xr:uid="{62314F17-7B5D-4C88-ABF8-430BE42092DC}"/>
    <cellStyle name="Milliers 2 2 2 5 2" xfId="1393" xr:uid="{578E1D8A-1D0C-41CC-B1DA-574793C72E21}"/>
    <cellStyle name="Milliers 2 2 2 6" xfId="1150" xr:uid="{A4CDD7AF-0E11-4CA8-BDE8-366B68CBA325}"/>
    <cellStyle name="Milliers 2 2 3" xfId="665" xr:uid="{254BB161-FCF0-4D6A-83D5-D9C87077930F}"/>
    <cellStyle name="Milliers 2 2 3 2" xfId="983" xr:uid="{3BED2FCB-4142-4611-8FE7-507698D82325}"/>
    <cellStyle name="Milliers 2 2 3 2 2" xfId="1550" xr:uid="{1ACDBBBF-B040-4739-987A-12D1BB3E1C31}"/>
    <cellStyle name="Milliers 2 2 3 3" xfId="1232" xr:uid="{AA62DB1C-37FC-4E80-BB03-8E8C0D3CAB2E}"/>
    <cellStyle name="Milliers 2 2 4" xfId="744" xr:uid="{742021BA-9EFF-47C2-A234-2C5BD46C65A3}"/>
    <cellStyle name="Milliers 2 2 4 2" xfId="1062" xr:uid="{AEED1A0F-DD00-4098-B626-8F50D99E392A}"/>
    <cellStyle name="Milliers 2 2 4 2 2" xfId="1629" xr:uid="{11165E30-AB33-4228-BEC2-60011144C7A6}"/>
    <cellStyle name="Milliers 2 2 4 3" xfId="1311" xr:uid="{BC11F502-E69D-48A1-A456-7CE27DCE2504}"/>
    <cellStyle name="Milliers 2 2 5" xfId="904" xr:uid="{616C47F0-5D67-4AEA-80B2-9B83CAF5560C}"/>
    <cellStyle name="Milliers 2 2 5 2" xfId="1471" xr:uid="{99BD0FBF-F3B8-4A83-84E8-52F5CE32C1E1}"/>
    <cellStyle name="Milliers 2 2 6" xfId="825" xr:uid="{1051A2A3-A507-4261-A92A-3995DC2BFC3A}"/>
    <cellStyle name="Milliers 2 2 6 2" xfId="1392" xr:uid="{36B1BDAE-ACCD-40E4-A124-1BAFFC29F896}"/>
    <cellStyle name="Milliers 2 2 7" xfId="1149" xr:uid="{EE2F0C21-8E96-47AA-B264-D639899C8EFE}"/>
    <cellStyle name="Milliers 2 3" xfId="520" xr:uid="{CBCB08DE-6FA4-4D09-8A5E-7E84E713B3C9}"/>
    <cellStyle name="Milliers 2 3 2" xfId="521" xr:uid="{BA9BC06B-AA65-4FAB-9322-1F9AE42D8B34}"/>
    <cellStyle name="Milliers 2 3 2 2" xfId="668" xr:uid="{CB74F666-4D6F-418D-BA04-271333EC28FC}"/>
    <cellStyle name="Milliers 2 3 2 2 2" xfId="986" xr:uid="{27AB4796-CA9E-47B9-99BB-B83B0CB7F0BB}"/>
    <cellStyle name="Milliers 2 3 2 2 2 2" xfId="1553" xr:uid="{24D9FAD8-5B5B-4CF6-9145-9FBAF3C32D60}"/>
    <cellStyle name="Milliers 2 3 2 2 3" xfId="1235" xr:uid="{FC5839F2-4DCA-48FA-91EE-348B182419B5}"/>
    <cellStyle name="Milliers 2 3 2 3" xfId="747" xr:uid="{46113A1B-F16C-4EC6-BA04-2E90F11E27F0}"/>
    <cellStyle name="Milliers 2 3 2 3 2" xfId="1065" xr:uid="{C7554106-C641-48B4-9FD9-DBFE2C513FA9}"/>
    <cellStyle name="Milliers 2 3 2 3 2 2" xfId="1632" xr:uid="{567DBAA1-2B6B-47AA-9ACB-04E986DB7FE0}"/>
    <cellStyle name="Milliers 2 3 2 3 3" xfId="1314" xr:uid="{2BDD56EC-36B4-4112-8E27-B5BA49159648}"/>
    <cellStyle name="Milliers 2 3 2 4" xfId="907" xr:uid="{10125548-8954-442C-9A12-B0F37B010536}"/>
    <cellStyle name="Milliers 2 3 2 4 2" xfId="1474" xr:uid="{C04F7B0C-4781-4DBB-A076-E02621833957}"/>
    <cellStyle name="Milliers 2 3 2 5" xfId="828" xr:uid="{6D7EA282-8099-417D-B82D-433AA98AFBFA}"/>
    <cellStyle name="Milliers 2 3 2 5 2" xfId="1395" xr:uid="{2C0D5CEA-D1DC-4ECC-998A-5704E3AF42FF}"/>
    <cellStyle name="Milliers 2 3 2 6" xfId="1152" xr:uid="{D9328CF7-2FF0-4AFE-B9C3-BD899A9EE686}"/>
    <cellStyle name="Milliers 2 3 3" xfId="667" xr:uid="{CEF7DDFB-B014-400B-A86E-35D3018A34E2}"/>
    <cellStyle name="Milliers 2 3 3 2" xfId="985" xr:uid="{21F1F1E9-A4D6-4BF7-9779-4466CEACAB7A}"/>
    <cellStyle name="Milliers 2 3 3 2 2" xfId="1552" xr:uid="{57D37E0D-49B9-4831-97CD-4D1519FF431D}"/>
    <cellStyle name="Milliers 2 3 3 3" xfId="1234" xr:uid="{3BD1D8E2-6724-4B5B-AA4D-375B6D02E7E9}"/>
    <cellStyle name="Milliers 2 3 4" xfId="746" xr:uid="{88E9D028-FAB9-47FA-B3E7-D72C5F47CE21}"/>
    <cellStyle name="Milliers 2 3 4 2" xfId="1064" xr:uid="{99380BCD-02E8-431E-AF17-254355AE38FB}"/>
    <cellStyle name="Milliers 2 3 4 2 2" xfId="1631" xr:uid="{24B4D64D-17C3-4AC7-9682-EDCC8DF53510}"/>
    <cellStyle name="Milliers 2 3 4 3" xfId="1313" xr:uid="{A38CEF54-A8FA-4A37-BDC1-D81037BB0095}"/>
    <cellStyle name="Milliers 2 3 5" xfId="906" xr:uid="{FDB14FD5-D479-41D4-A700-D60BBF6DC42B}"/>
    <cellStyle name="Milliers 2 3 5 2" xfId="1473" xr:uid="{CD4AF1F4-2F8C-474B-97F6-1FA2780B65B9}"/>
    <cellStyle name="Milliers 2 3 6" xfId="827" xr:uid="{B8077C5C-BD09-4DA0-836F-C21034D1BA15}"/>
    <cellStyle name="Milliers 2 3 6 2" xfId="1394" xr:uid="{50911E02-B2AA-4C57-B3E1-C020817405E1}"/>
    <cellStyle name="Milliers 2 3 7" xfId="1151" xr:uid="{CF1D3D4D-C800-4B36-B5D4-6E5706C3C349}"/>
    <cellStyle name="Milliers 2 4" xfId="522" xr:uid="{2192CF91-E42E-4776-8130-41CA7F2BD642}"/>
    <cellStyle name="Milliers 2 4 2" xfId="523" xr:uid="{613FEB5D-E63D-46EC-8EB6-786F70170A15}"/>
    <cellStyle name="Milliers 2 4 2 2" xfId="670" xr:uid="{832FE576-E620-499B-B556-1DE1CA818128}"/>
    <cellStyle name="Milliers 2 4 2 2 2" xfId="988" xr:uid="{DEA1E411-5553-4D50-AD9C-1DF4EF5E9217}"/>
    <cellStyle name="Milliers 2 4 2 2 2 2" xfId="1555" xr:uid="{69C7BB9A-26DB-4975-B2BB-C9802AF6DC34}"/>
    <cellStyle name="Milliers 2 4 2 2 3" xfId="1237" xr:uid="{162CC413-2DE9-4958-B594-4F3382A9F8F6}"/>
    <cellStyle name="Milliers 2 4 2 3" xfId="749" xr:uid="{D8D173B5-9D73-4F17-962A-EC1FCA3BEF8C}"/>
    <cellStyle name="Milliers 2 4 2 3 2" xfId="1067" xr:uid="{0C0FEE9B-0461-4B6D-97D6-3792B5EDD2F0}"/>
    <cellStyle name="Milliers 2 4 2 3 2 2" xfId="1634" xr:uid="{C2847AC8-1BEB-485D-BAC9-C5CE05458D7F}"/>
    <cellStyle name="Milliers 2 4 2 3 3" xfId="1316" xr:uid="{30FFA6CB-D253-4FA3-B494-8D6CB6F116C9}"/>
    <cellStyle name="Milliers 2 4 2 4" xfId="909" xr:uid="{21690BB8-9CD7-461A-A027-96BDF9714AB8}"/>
    <cellStyle name="Milliers 2 4 2 4 2" xfId="1476" xr:uid="{AEB6779E-F800-474B-8892-E2AC49BECCDB}"/>
    <cellStyle name="Milliers 2 4 2 5" xfId="830" xr:uid="{0526D430-17F9-4626-A699-471BE5A6BE78}"/>
    <cellStyle name="Milliers 2 4 2 5 2" xfId="1397" xr:uid="{5BD218DA-AC13-4EE0-8B18-F1015EFDB7D0}"/>
    <cellStyle name="Milliers 2 4 2 6" xfId="1154" xr:uid="{011BC377-3277-47A1-B1D3-D22621FD8C11}"/>
    <cellStyle name="Milliers 2 4 3" xfId="669" xr:uid="{C63054F3-DEE4-4ADB-ABBB-9963E2CF49CD}"/>
    <cellStyle name="Milliers 2 4 3 2" xfId="987" xr:uid="{CBF23F3A-FCE2-4BAF-9BAB-A6BAE5991525}"/>
    <cellStyle name="Milliers 2 4 3 2 2" xfId="1554" xr:uid="{D8D8B709-1A30-4EAC-A0BB-D675676438C4}"/>
    <cellStyle name="Milliers 2 4 3 3" xfId="1236" xr:uid="{F99BF0E1-F87F-46B9-8AAF-5C2885B4854E}"/>
    <cellStyle name="Milliers 2 4 4" xfId="748" xr:uid="{D310577E-083B-4413-B4DC-72111C04A43C}"/>
    <cellStyle name="Milliers 2 4 4 2" xfId="1066" xr:uid="{D2246EB3-CBA5-43CB-9445-AF47D2B59747}"/>
    <cellStyle name="Milliers 2 4 4 2 2" xfId="1633" xr:uid="{41127AF6-5036-45BC-99C4-61E3CC6C80C7}"/>
    <cellStyle name="Milliers 2 4 4 3" xfId="1315" xr:uid="{970BE83B-99E2-43F9-85F5-850C1D296169}"/>
    <cellStyle name="Milliers 2 4 5" xfId="908" xr:uid="{CEC83C0E-F8D3-4C61-86DF-C86217521CBE}"/>
    <cellStyle name="Milliers 2 4 5 2" xfId="1475" xr:uid="{E36F37D2-C030-410C-A2A3-BB6DFAF0CE28}"/>
    <cellStyle name="Milliers 2 4 6" xfId="829" xr:uid="{1062A063-DC29-42F1-8E1A-384AA2D03706}"/>
    <cellStyle name="Milliers 2 4 6 2" xfId="1396" xr:uid="{94E70E1F-F554-4CC2-85CA-CC2C23C2EEA3}"/>
    <cellStyle name="Milliers 2 4 7" xfId="1153" xr:uid="{256D5A8B-4D18-4BC0-B5F7-08E0CB8882EF}"/>
    <cellStyle name="Milliers 2 5" xfId="524" xr:uid="{AA0A50B7-DB3A-41E5-98DB-A1589DD33771}"/>
    <cellStyle name="Milliers 2 5 2" xfId="525" xr:uid="{5B3051D2-CAFE-425D-821C-1278ECEB8971}"/>
    <cellStyle name="Milliers 2 5 2 2" xfId="672" xr:uid="{8BE9F520-31C0-406E-A33E-F9FBF1A36498}"/>
    <cellStyle name="Milliers 2 5 2 2 2" xfId="990" xr:uid="{F9C8EDCB-97F5-4C34-B45D-BCEFD1D5CBE6}"/>
    <cellStyle name="Milliers 2 5 2 2 2 2" xfId="1557" xr:uid="{60CC7F91-A725-4CD5-A29E-51923FBB3878}"/>
    <cellStyle name="Milliers 2 5 2 2 3" xfId="1239" xr:uid="{76BFEF32-789A-4839-8D3D-ECB7DE54637D}"/>
    <cellStyle name="Milliers 2 5 2 3" xfId="751" xr:uid="{FE068E36-221D-45ED-B8BE-8B23705EBA9E}"/>
    <cellStyle name="Milliers 2 5 2 3 2" xfId="1069" xr:uid="{878A4CAB-1A60-4A66-A468-5077EC1AFDA7}"/>
    <cellStyle name="Milliers 2 5 2 3 2 2" xfId="1636" xr:uid="{F067C7EE-44FC-44D7-BF5E-92FD63F71C83}"/>
    <cellStyle name="Milliers 2 5 2 3 3" xfId="1318" xr:uid="{A1431EA2-1691-4512-82C9-7455E6A8E71D}"/>
    <cellStyle name="Milliers 2 5 2 4" xfId="911" xr:uid="{A0C9B2AF-2F6A-47B4-A905-B65666E3BF37}"/>
    <cellStyle name="Milliers 2 5 2 4 2" xfId="1478" xr:uid="{16BD175C-7274-4310-A3E3-F3ADE2AB3FE7}"/>
    <cellStyle name="Milliers 2 5 2 5" xfId="832" xr:uid="{2641391F-91B8-4BB7-BB96-2F3688FFB174}"/>
    <cellStyle name="Milliers 2 5 2 5 2" xfId="1399" xr:uid="{5D487B2D-9D4E-4912-9BC3-A41332763242}"/>
    <cellStyle name="Milliers 2 5 2 6" xfId="1156" xr:uid="{2DA21BB1-1ED8-4601-B7C1-8E4C9E8C72BD}"/>
    <cellStyle name="Milliers 2 5 3" xfId="671" xr:uid="{AC85AAB8-3705-475B-BA53-10F112ED54CD}"/>
    <cellStyle name="Milliers 2 5 3 2" xfId="989" xr:uid="{1356E708-8BFC-422C-B176-9A6DE26CD0F8}"/>
    <cellStyle name="Milliers 2 5 3 2 2" xfId="1556" xr:uid="{B6E71988-4E1C-40D1-ACE7-4292AEC27485}"/>
    <cellStyle name="Milliers 2 5 3 3" xfId="1238" xr:uid="{2C6F7E51-04F2-4C95-819D-A0D74BB9FD3B}"/>
    <cellStyle name="Milliers 2 5 4" xfId="750" xr:uid="{3221A532-A414-4562-A665-4E987800BE31}"/>
    <cellStyle name="Milliers 2 5 4 2" xfId="1068" xr:uid="{7A035B56-D927-41FE-B8B8-451F8357D34B}"/>
    <cellStyle name="Milliers 2 5 4 2 2" xfId="1635" xr:uid="{728F23E9-4080-423B-AFE4-5CE96D931068}"/>
    <cellStyle name="Milliers 2 5 4 3" xfId="1317" xr:uid="{9AFFA0E4-4420-4B6A-946F-81E88C2E6D4F}"/>
    <cellStyle name="Milliers 2 5 5" xfId="910" xr:uid="{70EF6767-1AD5-46E7-9A0F-B8D4559DC1C6}"/>
    <cellStyle name="Milliers 2 5 5 2" xfId="1477" xr:uid="{2CF00416-D4F1-4E24-ACF0-06BD1C84E1F7}"/>
    <cellStyle name="Milliers 2 5 6" xfId="831" xr:uid="{90CD5B18-1A53-4ED0-A5A9-DD61DF8566F7}"/>
    <cellStyle name="Milliers 2 5 6 2" xfId="1398" xr:uid="{3D50BEA4-51BC-4926-B51A-A4A8DEDAD4A1}"/>
    <cellStyle name="Milliers 2 5 7" xfId="1155" xr:uid="{47F11C19-4022-488B-B64A-FD4D0CED523A}"/>
    <cellStyle name="Milliers 2 6" xfId="526" xr:uid="{D0C398E5-6FDB-4B22-AD6B-4A56C6EF3E78}"/>
    <cellStyle name="Milliers 2 6 2" xfId="527" xr:uid="{048837BD-E3E3-4BFD-A90C-4BE0AD594BE0}"/>
    <cellStyle name="Milliers 2 6 2 2" xfId="674" xr:uid="{0733FD86-43CE-4053-806F-4294B5BCFDC9}"/>
    <cellStyle name="Milliers 2 6 2 2 2" xfId="992" xr:uid="{2E86FF59-796A-4BF8-BA4B-348D0BCCB17A}"/>
    <cellStyle name="Milliers 2 6 2 2 2 2" xfId="1559" xr:uid="{B4FB87C4-7E19-41B6-BD86-3AAA8098D6FD}"/>
    <cellStyle name="Milliers 2 6 2 2 3" xfId="1241" xr:uid="{EC41AB69-7043-43B1-9FD7-73DB96E66985}"/>
    <cellStyle name="Milliers 2 6 2 3" xfId="753" xr:uid="{BCECC525-9F50-4AB1-A347-2ADE8A7EDF91}"/>
    <cellStyle name="Milliers 2 6 2 3 2" xfId="1071" xr:uid="{D0F28A56-5C85-407B-B713-704561D997E6}"/>
    <cellStyle name="Milliers 2 6 2 3 2 2" xfId="1638" xr:uid="{3E014024-0D49-4E98-BE63-5A1FA45F89F1}"/>
    <cellStyle name="Milliers 2 6 2 3 3" xfId="1320" xr:uid="{5E2733EC-D881-4F9B-98C2-63D6286B5EEB}"/>
    <cellStyle name="Milliers 2 6 2 4" xfId="913" xr:uid="{50D7866E-776E-4438-8E4D-7F36987ED2CD}"/>
    <cellStyle name="Milliers 2 6 2 4 2" xfId="1480" xr:uid="{A111007E-FB49-43A1-9F13-72950472C4AA}"/>
    <cellStyle name="Milliers 2 6 2 5" xfId="834" xr:uid="{DCCA0086-2043-4E3D-8DBB-5A3CD8152E50}"/>
    <cellStyle name="Milliers 2 6 2 5 2" xfId="1401" xr:uid="{E6862C5E-394D-486B-9A7B-1DC9E00936AC}"/>
    <cellStyle name="Milliers 2 6 2 6" xfId="1158" xr:uid="{26ABF077-3F46-483B-B4B7-354AABA75398}"/>
    <cellStyle name="Milliers 2 6 3" xfId="673" xr:uid="{97470E73-82AD-47CA-BA9C-58102C856D31}"/>
    <cellStyle name="Milliers 2 6 3 2" xfId="991" xr:uid="{309B7151-4635-4C6A-962D-1454898F82E4}"/>
    <cellStyle name="Milliers 2 6 3 2 2" xfId="1558" xr:uid="{939B2560-FE90-4404-BC30-4E99D21A96DA}"/>
    <cellStyle name="Milliers 2 6 3 3" xfId="1240" xr:uid="{C6534C08-BC1F-46B1-8D69-30E97DA3EACB}"/>
    <cellStyle name="Milliers 2 6 4" xfId="752" xr:uid="{E3DBA6CB-2E24-4D1E-B0D6-EADA6D5FACBC}"/>
    <cellStyle name="Milliers 2 6 4 2" xfId="1070" xr:uid="{884CD086-D361-495B-99C7-7FCCABA5F537}"/>
    <cellStyle name="Milliers 2 6 4 2 2" xfId="1637" xr:uid="{7540CE09-EC88-49FF-910F-BDE7B1152472}"/>
    <cellStyle name="Milliers 2 6 4 3" xfId="1319" xr:uid="{D26B88DA-484A-4CAE-8B61-942B59A4710E}"/>
    <cellStyle name="Milliers 2 6 5" xfId="912" xr:uid="{D1D6EEAC-39D9-48A5-B056-5FC5DE8973C3}"/>
    <cellStyle name="Milliers 2 6 5 2" xfId="1479" xr:uid="{43651CCF-E29C-41EF-8792-E0C6108566F8}"/>
    <cellStyle name="Milliers 2 6 6" xfId="833" xr:uid="{0436EDC0-482F-4C93-B6D9-B8DF1ED92A36}"/>
    <cellStyle name="Milliers 2 6 6 2" xfId="1400" xr:uid="{BF4B7901-C612-4E65-B594-E091BFB6AFF4}"/>
    <cellStyle name="Milliers 2 6 7" xfId="1157" xr:uid="{47DC5F7C-308F-4116-9D6C-6490BA4F6CB7}"/>
    <cellStyle name="Milliers 2 7" xfId="528" xr:uid="{A5C3D470-7A1C-44C2-B3A6-BD671E8DDCDF}"/>
    <cellStyle name="Milliers 2 7 2" xfId="529" xr:uid="{A989D2B6-71D9-4815-8582-A637687DBC49}"/>
    <cellStyle name="Milliers 2 7 2 2" xfId="676" xr:uid="{D5E32CE6-722E-4AF8-B1D3-3F96587099C6}"/>
    <cellStyle name="Milliers 2 7 2 2 2" xfId="994" xr:uid="{B29853DD-5188-49F9-8C00-0E2F1C590D78}"/>
    <cellStyle name="Milliers 2 7 2 2 2 2" xfId="1561" xr:uid="{ADCD8B0B-FB9E-4A09-B335-D1182DBF35FD}"/>
    <cellStyle name="Milliers 2 7 2 2 3" xfId="1243" xr:uid="{3FA4D3F9-1705-4C7E-A931-70B65DA72330}"/>
    <cellStyle name="Milliers 2 7 2 3" xfId="755" xr:uid="{71FDF318-0BFB-4765-84DD-CAFCD3F6BFF1}"/>
    <cellStyle name="Milliers 2 7 2 3 2" xfId="1073" xr:uid="{64009837-23A5-4FA0-B147-4B3AE849CCB1}"/>
    <cellStyle name="Milliers 2 7 2 3 2 2" xfId="1640" xr:uid="{C70C0E04-9E15-4706-81F3-54E59D9AFC68}"/>
    <cellStyle name="Milliers 2 7 2 3 3" xfId="1322" xr:uid="{9793B611-B3EF-4B22-8D06-18D901447A45}"/>
    <cellStyle name="Milliers 2 7 2 4" xfId="915" xr:uid="{705A023C-59A6-4F49-86D8-67D888DDBB4C}"/>
    <cellStyle name="Milliers 2 7 2 4 2" xfId="1482" xr:uid="{2276D132-AA97-4A00-A1A1-DCCA0117A073}"/>
    <cellStyle name="Milliers 2 7 2 5" xfId="836" xr:uid="{AB76483F-0B15-4150-8CCE-42CE0CA6A36D}"/>
    <cellStyle name="Milliers 2 7 2 5 2" xfId="1403" xr:uid="{DD61AD15-286A-42FA-BA55-23D129FE7993}"/>
    <cellStyle name="Milliers 2 7 2 6" xfId="1160" xr:uid="{4E9CF445-0B8F-4B0F-89D2-9C8E322F1058}"/>
    <cellStyle name="Milliers 2 7 3" xfId="675" xr:uid="{FBA1555B-3BCB-4027-8A05-FCF273B0C6A8}"/>
    <cellStyle name="Milliers 2 7 3 2" xfId="993" xr:uid="{EA8FCDC6-06FD-4BCC-B75D-071EB6FE4159}"/>
    <cellStyle name="Milliers 2 7 3 2 2" xfId="1560" xr:uid="{1015C388-07EA-4167-A118-415194D1B98F}"/>
    <cellStyle name="Milliers 2 7 3 3" xfId="1242" xr:uid="{F797A0BB-F952-4E60-BCF9-042546637071}"/>
    <cellStyle name="Milliers 2 7 4" xfId="754" xr:uid="{921A1E64-3D61-4747-9BB7-77DC0FA2B964}"/>
    <cellStyle name="Milliers 2 7 4 2" xfId="1072" xr:uid="{53BECDF5-48C7-4B83-BD10-72F67AD75D8D}"/>
    <cellStyle name="Milliers 2 7 4 2 2" xfId="1639" xr:uid="{26C87668-D485-4958-89C7-D1EA69BB7810}"/>
    <cellStyle name="Milliers 2 7 4 3" xfId="1321" xr:uid="{674B3D5C-41CC-4DC8-8C51-0D25A377AD5A}"/>
    <cellStyle name="Milliers 2 7 5" xfId="914" xr:uid="{D7055954-3BE0-4E17-9137-8C7D7BFD786B}"/>
    <cellStyle name="Milliers 2 7 5 2" xfId="1481" xr:uid="{BC370276-27D5-4366-99BB-BF052419FC99}"/>
    <cellStyle name="Milliers 2 7 6" xfId="835" xr:uid="{D2954EBA-BD2D-464B-98D8-A89D0DD6207D}"/>
    <cellStyle name="Milliers 2 7 6 2" xfId="1402" xr:uid="{C2C75DBE-91EA-448D-956C-344D8DFB5E91}"/>
    <cellStyle name="Milliers 2 7 7" xfId="1159" xr:uid="{11FD90DF-A5D0-480E-BC13-884D35718171}"/>
    <cellStyle name="Milliers 2 8" xfId="530" xr:uid="{66D2E1A4-8680-42F1-B323-B42BD7B98D9A}"/>
    <cellStyle name="Milliers 2 8 2" xfId="531" xr:uid="{EE379396-7A1A-46E5-8B24-F56BD858E1FC}"/>
    <cellStyle name="Milliers 2 8 2 2" xfId="678" xr:uid="{AAE9EE17-491A-4920-9253-B048A949D180}"/>
    <cellStyle name="Milliers 2 8 2 2 2" xfId="996" xr:uid="{46B476CF-64F7-4E83-8E7A-E261CF70E778}"/>
    <cellStyle name="Milliers 2 8 2 2 2 2" xfId="1563" xr:uid="{A81120AA-E544-47BC-BC0C-A2CE541D801F}"/>
    <cellStyle name="Milliers 2 8 2 2 3" xfId="1245" xr:uid="{51F4EB0C-72C2-48A3-81A0-5961F6DDD361}"/>
    <cellStyle name="Milliers 2 8 2 3" xfId="757" xr:uid="{BFE2F062-49A9-4BD2-A8F6-6B0946F6D99C}"/>
    <cellStyle name="Milliers 2 8 2 3 2" xfId="1075" xr:uid="{8CF9B1A5-936E-4519-9551-67DE7715801B}"/>
    <cellStyle name="Milliers 2 8 2 3 2 2" xfId="1642" xr:uid="{1B74E92D-CBED-4268-9384-ED256418531C}"/>
    <cellStyle name="Milliers 2 8 2 3 3" xfId="1324" xr:uid="{F72C29F3-BB66-4237-A32A-7DDF8F3B4B7D}"/>
    <cellStyle name="Milliers 2 8 2 4" xfId="917" xr:uid="{6CE922C4-0C49-42A7-9E5A-8451846C460D}"/>
    <cellStyle name="Milliers 2 8 2 4 2" xfId="1484" xr:uid="{C9A3339C-EB88-457C-98F6-D6BB8ED3A4ED}"/>
    <cellStyle name="Milliers 2 8 2 5" xfId="838" xr:uid="{1E8CADEB-7C61-4DF5-B89D-052142EF7A1F}"/>
    <cellStyle name="Milliers 2 8 2 5 2" xfId="1405" xr:uid="{B0445F3E-5353-497F-AD11-026EACC99252}"/>
    <cellStyle name="Milliers 2 8 2 6" xfId="1162" xr:uid="{6F9DBC8B-6AC4-4EC1-8D29-33FD2EB20789}"/>
    <cellStyle name="Milliers 2 8 3" xfId="677" xr:uid="{6B5F2EBC-8629-42AA-A77E-A1FD953B14CF}"/>
    <cellStyle name="Milliers 2 8 3 2" xfId="995" xr:uid="{98CC5DF6-F7DE-48DF-AF3A-98566C790543}"/>
    <cellStyle name="Milliers 2 8 3 2 2" xfId="1562" xr:uid="{EFB0908A-403A-44C8-B4C7-2008DA9979D7}"/>
    <cellStyle name="Milliers 2 8 3 3" xfId="1244" xr:uid="{80BF4FF2-ABAA-4264-B245-EA2527AA77C4}"/>
    <cellStyle name="Milliers 2 8 4" xfId="756" xr:uid="{F669C0E3-555A-4644-902C-F88CC31EE428}"/>
    <cellStyle name="Milliers 2 8 4 2" xfId="1074" xr:uid="{73C19917-EDAD-44CF-B76F-446760DBEDF8}"/>
    <cellStyle name="Milliers 2 8 4 2 2" xfId="1641" xr:uid="{55ED65F7-100F-4BBD-BB0D-FF0F6D4EFB32}"/>
    <cellStyle name="Milliers 2 8 4 3" xfId="1323" xr:uid="{AB9DA6D1-9D9D-499F-B214-61A5AC3FF7D4}"/>
    <cellStyle name="Milliers 2 8 5" xfId="916" xr:uid="{64EEA33D-D969-4444-9E60-36B28181A59D}"/>
    <cellStyle name="Milliers 2 8 5 2" xfId="1483" xr:uid="{C965B9CE-1795-4937-8005-964812B2D1D5}"/>
    <cellStyle name="Milliers 2 8 6" xfId="837" xr:uid="{33DB59D3-A0C8-4368-93BF-311BF2734312}"/>
    <cellStyle name="Milliers 2 8 6 2" xfId="1404" xr:uid="{58CF2E70-7117-484F-8929-28047E528B03}"/>
    <cellStyle name="Milliers 2 8 7" xfId="1161" xr:uid="{5E8F648A-7CEE-4AD0-B992-5C3EF3593C75}"/>
    <cellStyle name="Milliers 2 9" xfId="532" xr:uid="{7B2343FD-4613-4228-B073-142418AB3E04}"/>
    <cellStyle name="Milliers 2 9 2" xfId="533" xr:uid="{499E41D4-7394-4649-9F5E-AB8735450C13}"/>
    <cellStyle name="Milliers 2 9 2 2" xfId="680" xr:uid="{8F108814-0FF3-4A40-BDA2-63ECCCC201FD}"/>
    <cellStyle name="Milliers 2 9 2 2 2" xfId="998" xr:uid="{D897E5F1-7E5B-4FA6-B3C4-19D928270A7E}"/>
    <cellStyle name="Milliers 2 9 2 2 2 2" xfId="1565" xr:uid="{8D3D90E1-CC2F-43FB-8BBD-6EB3477E64C3}"/>
    <cellStyle name="Milliers 2 9 2 2 3" xfId="1247" xr:uid="{500599A2-ADB9-473F-8BA5-1208F3CF82B9}"/>
    <cellStyle name="Milliers 2 9 2 3" xfId="759" xr:uid="{BE20E442-2BF4-41B2-9C9A-AA120C5EB13D}"/>
    <cellStyle name="Milliers 2 9 2 3 2" xfId="1077" xr:uid="{314A4F0A-BF16-4E9D-B9F2-86DDEF07FE0A}"/>
    <cellStyle name="Milliers 2 9 2 3 2 2" xfId="1644" xr:uid="{A6492263-35D0-4F58-99E6-6E705B0D46D2}"/>
    <cellStyle name="Milliers 2 9 2 3 3" xfId="1326" xr:uid="{BCA79EEC-0636-4A90-97DE-2F3752A04E61}"/>
    <cellStyle name="Milliers 2 9 2 4" xfId="919" xr:uid="{5E82A2A3-2CCA-49C9-96F9-ACC829A231F6}"/>
    <cellStyle name="Milliers 2 9 2 4 2" xfId="1486" xr:uid="{3A144CE5-CC80-4C65-8A9F-5689A93A301F}"/>
    <cellStyle name="Milliers 2 9 2 5" xfId="840" xr:uid="{1A1183D6-4CF9-415F-8E22-10DA109FAAE8}"/>
    <cellStyle name="Milliers 2 9 2 5 2" xfId="1407" xr:uid="{DE48BD39-11E1-410F-B10E-205001808E7E}"/>
    <cellStyle name="Milliers 2 9 2 6" xfId="1164" xr:uid="{72055E99-0C49-4522-AF52-33614F5589C6}"/>
    <cellStyle name="Milliers 2 9 3" xfId="679" xr:uid="{A5BAF89E-1ACE-4284-95EC-8F32F9E0E506}"/>
    <cellStyle name="Milliers 2 9 3 2" xfId="997" xr:uid="{C7DF1371-C7EA-4977-B3D2-4DCC22662223}"/>
    <cellStyle name="Milliers 2 9 3 2 2" xfId="1564" xr:uid="{8D5C5D7C-1315-4324-8DCF-7C980909FC2C}"/>
    <cellStyle name="Milliers 2 9 3 3" xfId="1246" xr:uid="{BD94D9D8-9F31-4D28-83AC-9942AA4406BD}"/>
    <cellStyle name="Milliers 2 9 4" xfId="758" xr:uid="{E2C618C0-66DC-4B78-BBB0-8847A322443E}"/>
    <cellStyle name="Milliers 2 9 4 2" xfId="1076" xr:uid="{5DCE4F77-76A0-43B4-956A-BE43AD5E775F}"/>
    <cellStyle name="Milliers 2 9 4 2 2" xfId="1643" xr:uid="{9B9D92A2-CF8E-41D3-BB70-6551709DF44C}"/>
    <cellStyle name="Milliers 2 9 4 3" xfId="1325" xr:uid="{0D31684B-9129-4C4B-945E-901A6B47F533}"/>
    <cellStyle name="Milliers 2 9 5" xfId="918" xr:uid="{F4AB9B34-E691-433D-A1B9-B45DE3A358E4}"/>
    <cellStyle name="Milliers 2 9 5 2" xfId="1485" xr:uid="{36D07791-EB41-480D-AC9E-9A65FC6D8DBB}"/>
    <cellStyle name="Milliers 2 9 6" xfId="839" xr:uid="{F1158373-1A3A-42A0-BA06-7A764F9C8A27}"/>
    <cellStyle name="Milliers 2 9 6 2" xfId="1406" xr:uid="{341CFE32-1571-4AE4-A456-3EE08ACDAE7E}"/>
    <cellStyle name="Milliers 2 9 7" xfId="1163" xr:uid="{5F5F98E7-BCF9-4A9F-86EC-EC49580EC1CC}"/>
    <cellStyle name="Milliers 3" xfId="534" xr:uid="{0112E9D7-7724-4DC0-814E-24A9BE9AAA3B}"/>
    <cellStyle name="Milliers 3 2" xfId="535" xr:uid="{5CDB5667-939F-49FA-AC08-179504909279}"/>
    <cellStyle name="Milliers 3 2 2" xfId="536" xr:uid="{288E3E09-2F34-4F0E-8DFA-2464BCC9936A}"/>
    <cellStyle name="Milliers 3 2 2 2" xfId="681" xr:uid="{5DCD5893-3D0C-4CB8-A2C1-B44DF0341ACD}"/>
    <cellStyle name="Milliers 3 2 2 2 2" xfId="999" xr:uid="{CA5771EF-B071-45B6-8392-93EA3CB6CC48}"/>
    <cellStyle name="Milliers 3 2 2 2 2 2" xfId="1566" xr:uid="{7B8012B9-1A9C-4EFF-B500-8886616F58D1}"/>
    <cellStyle name="Milliers 3 2 2 2 3" xfId="1248" xr:uid="{15BD9A9F-EC69-49C7-B626-18FD666FAF3E}"/>
    <cellStyle name="Milliers 3 2 2 3" xfId="760" xr:uid="{C63CD31E-8CD4-4253-B874-B736985ECD5B}"/>
    <cellStyle name="Milliers 3 2 2 3 2" xfId="1078" xr:uid="{EE9AA3BF-A7DA-4010-A749-B647D7D2397C}"/>
    <cellStyle name="Milliers 3 2 2 3 2 2" xfId="1645" xr:uid="{CCDBBF08-166F-4C27-A16B-95D6FB828628}"/>
    <cellStyle name="Milliers 3 2 2 3 3" xfId="1327" xr:uid="{B4367F77-6338-4B0E-B563-0117CB2F8689}"/>
    <cellStyle name="Milliers 3 2 2 4" xfId="920" xr:uid="{314D0649-B31F-41C8-8DDB-5DB550B464CB}"/>
    <cellStyle name="Milliers 3 2 2 4 2" xfId="1487" xr:uid="{18669028-1A60-4814-8E65-DA813E72B4C2}"/>
    <cellStyle name="Milliers 3 2 2 5" xfId="841" xr:uid="{621CC134-5338-4CB4-B0C2-5DFBED753CCF}"/>
    <cellStyle name="Milliers 3 2 2 5 2" xfId="1408" xr:uid="{DEB2474F-A174-40CD-8B5E-7E0B673F2ED0}"/>
    <cellStyle name="Milliers 3 2 2 6" xfId="1165" xr:uid="{5511B024-D39A-4B8D-83E6-3AB77E5A2A13}"/>
    <cellStyle name="Milliers 3 3" xfId="537" xr:uid="{BCCD9F47-6BD5-4A14-A212-ADED4A90FBFA}"/>
    <cellStyle name="Milliers 3 3 2" xfId="682" xr:uid="{57567F88-F10F-4F0E-AA48-68773085983E}"/>
    <cellStyle name="Milliers 3 3 2 2" xfId="1000" xr:uid="{8A74C48B-E8C1-44E3-8056-D82CDE847EF6}"/>
    <cellStyle name="Milliers 3 3 2 2 2" xfId="1567" xr:uid="{7663A1BA-E562-473F-BF3A-2703D71D4485}"/>
    <cellStyle name="Milliers 3 3 2 3" xfId="1249" xr:uid="{2C231856-85E5-4053-9C08-8ED881355F11}"/>
    <cellStyle name="Milliers 3 3 3" xfId="761" xr:uid="{1DB76AC1-8D64-46B6-8503-1EBBE6411DF8}"/>
    <cellStyle name="Milliers 3 3 3 2" xfId="1079" xr:uid="{C46244AB-79A5-4E4F-8376-AA9762AE64B7}"/>
    <cellStyle name="Milliers 3 3 3 2 2" xfId="1646" xr:uid="{98794E34-90B5-4181-BB11-9B44E41FEE0D}"/>
    <cellStyle name="Milliers 3 3 3 3" xfId="1328" xr:uid="{286653D5-9A64-4587-9EAB-0C0A1A802172}"/>
    <cellStyle name="Milliers 3 3 4" xfId="921" xr:uid="{1DA75849-0C91-4D3F-BFA2-EA65FA556137}"/>
    <cellStyle name="Milliers 3 3 4 2" xfId="1488" xr:uid="{A43CE4AA-A298-498D-8009-C352ABD677C2}"/>
    <cellStyle name="Milliers 3 3 5" xfId="842" xr:uid="{CA22CE1A-74B1-41D0-ACB3-C92AEA8E8260}"/>
    <cellStyle name="Milliers 3 3 5 2" xfId="1409" xr:uid="{2945F7A4-F88D-40A1-B022-4A1980CD8F6C}"/>
    <cellStyle name="Milliers 3 3 6" xfId="1166" xr:uid="{085DA5E3-A205-4D60-AD18-21FD378C8E4E}"/>
    <cellStyle name="Milliers 4" xfId="538" xr:uid="{0A942A59-445B-4E50-9171-7FAED8D827FB}"/>
    <cellStyle name="Milliers 4 2" xfId="539" xr:uid="{37428C47-1AE9-4A7B-84ED-9A7A23AF8971}"/>
    <cellStyle name="Milliers 4 2 2" xfId="540" xr:uid="{9C48C8C9-753B-411A-A84B-CE6930E6A21A}"/>
    <cellStyle name="Milliers 4 2 2 2" xfId="683" xr:uid="{900BE011-C957-4FBC-9714-2DCC6B32C5A3}"/>
    <cellStyle name="Milliers 4 2 2 2 2" xfId="1001" xr:uid="{9C32597D-0E9A-4F82-8532-8EAA6E888F06}"/>
    <cellStyle name="Milliers 4 2 2 2 2 2" xfId="1568" xr:uid="{58C35A2F-2745-47AF-8FED-6F92414D8427}"/>
    <cellStyle name="Milliers 4 2 2 2 3" xfId="1250" xr:uid="{3AC44702-D9E7-4C8F-A087-1307F0F87BB5}"/>
    <cellStyle name="Milliers 4 2 2 3" xfId="762" xr:uid="{A773A470-89AD-401F-85FF-A99CABF5EA0F}"/>
    <cellStyle name="Milliers 4 2 2 3 2" xfId="1080" xr:uid="{5F70A092-82ED-4D4B-94AC-119CF78BB802}"/>
    <cellStyle name="Milliers 4 2 2 3 2 2" xfId="1647" xr:uid="{4CCD8A2F-EA5D-4F3F-9E80-77B746EC97AA}"/>
    <cellStyle name="Milliers 4 2 2 3 3" xfId="1329" xr:uid="{2E990EC4-AB3A-45A5-A7F7-C1756A265798}"/>
    <cellStyle name="Milliers 4 2 2 4" xfId="922" xr:uid="{FB247939-B498-4A88-93B7-4ED3FBEAA4A4}"/>
    <cellStyle name="Milliers 4 2 2 4 2" xfId="1489" xr:uid="{2A92FC86-CEE1-433E-83D7-2415EE562148}"/>
    <cellStyle name="Milliers 4 2 2 5" xfId="843" xr:uid="{4E409755-68AC-4B61-931A-4DE9F82B50CA}"/>
    <cellStyle name="Milliers 4 2 2 5 2" xfId="1410" xr:uid="{AB4756F0-CCDE-493F-BA72-C6139CEC5A0B}"/>
    <cellStyle name="Milliers 4 2 2 6" xfId="1167" xr:uid="{C988A4D7-77E1-4A79-8549-368E597F2157}"/>
    <cellStyle name="Milliers 4 3" xfId="541" xr:uid="{55AD4219-213C-40AF-AE2C-EBF7E29C7EFB}"/>
    <cellStyle name="Milliers 4 3 2" xfId="684" xr:uid="{DBED114D-94CC-45C2-B678-C8B8AD598989}"/>
    <cellStyle name="Milliers 4 3 2 2" xfId="1002" xr:uid="{514062DF-3349-4700-A51D-DA0DC7C44161}"/>
    <cellStyle name="Milliers 4 3 2 2 2" xfId="1569" xr:uid="{92B51206-EB38-4ECF-979D-E7CC48CAF14E}"/>
    <cellStyle name="Milliers 4 3 2 3" xfId="1251" xr:uid="{09B87C18-2ADC-455C-BF94-498662E20987}"/>
    <cellStyle name="Milliers 4 3 3" xfId="763" xr:uid="{A4617D8D-0D28-43CC-8A7C-1EF7C9D315E9}"/>
    <cellStyle name="Milliers 4 3 3 2" xfId="1081" xr:uid="{0D6E86F6-6E12-4AE4-AEBE-B3CBE50A0DEE}"/>
    <cellStyle name="Milliers 4 3 3 2 2" xfId="1648" xr:uid="{1A8E5155-417D-4A8B-AD04-70C46C4431B3}"/>
    <cellStyle name="Milliers 4 3 3 3" xfId="1330" xr:uid="{1DC73AB1-7EAD-4586-8075-1CF32DF9962E}"/>
    <cellStyle name="Milliers 4 3 4" xfId="923" xr:uid="{AB98E5BF-E562-47C3-B746-91BCEEB2529B}"/>
    <cellStyle name="Milliers 4 3 4 2" xfId="1490" xr:uid="{A16CED5F-2C1B-4FDF-BEF1-51B47F1D7780}"/>
    <cellStyle name="Milliers 4 3 5" xfId="844" xr:uid="{54E8A7E2-A28C-4178-BFA5-EC5E371B34F0}"/>
    <cellStyle name="Milliers 4 3 5 2" xfId="1411" xr:uid="{25C6F371-48F2-4D35-B529-11528806AF9F}"/>
    <cellStyle name="Milliers 4 3 6" xfId="1168" xr:uid="{76AA6EBD-4472-4FC7-8612-3E87BB341EE0}"/>
    <cellStyle name="Milliers 5" xfId="542" xr:uid="{31E18065-929C-433B-930D-082016020C4E}"/>
    <cellStyle name="Milliers 5 2" xfId="543" xr:uid="{1C7BD0A3-B360-4386-B376-945FD7AECF46}"/>
    <cellStyle name="Milliers 5 2 2" xfId="544" xr:uid="{038BD0B9-707B-415F-BE75-FBE5560C08F4}"/>
    <cellStyle name="Milliers 5 2 2 2" xfId="685" xr:uid="{B03A390D-1DB7-43E7-8CD2-CF2A854C5FEE}"/>
    <cellStyle name="Milliers 5 2 2 2 2" xfId="1003" xr:uid="{C23660EB-A8D2-455E-8CD9-219B434AF6DC}"/>
    <cellStyle name="Milliers 5 2 2 2 2 2" xfId="1570" xr:uid="{A1E80D52-B1B8-4055-906B-A3DAEBFD3865}"/>
    <cellStyle name="Milliers 5 2 2 2 3" xfId="1252" xr:uid="{D5EE8A0F-5B1B-4F8E-9227-32D580452783}"/>
    <cellStyle name="Milliers 5 2 2 3" xfId="764" xr:uid="{5F79ECD7-FCB9-494D-824D-C5FB94A55918}"/>
    <cellStyle name="Milliers 5 2 2 3 2" xfId="1082" xr:uid="{4716AA2F-F683-4869-8325-32C573DB147B}"/>
    <cellStyle name="Milliers 5 2 2 3 2 2" xfId="1649" xr:uid="{B457E70A-A88E-416E-A7FD-F728626278AF}"/>
    <cellStyle name="Milliers 5 2 2 3 3" xfId="1331" xr:uid="{E6BA1989-A02F-4FF0-BB26-5292019AE438}"/>
    <cellStyle name="Milliers 5 2 2 4" xfId="924" xr:uid="{FFC9636D-612A-453B-8038-323506670E56}"/>
    <cellStyle name="Milliers 5 2 2 4 2" xfId="1491" xr:uid="{88611180-6989-4467-AADE-B07D61AC090D}"/>
    <cellStyle name="Milliers 5 2 2 5" xfId="845" xr:uid="{82972056-E03F-4A6E-A4AE-B80F8038CB90}"/>
    <cellStyle name="Milliers 5 2 2 5 2" xfId="1412" xr:uid="{061D3353-59DF-497B-91A4-3B733761B85B}"/>
    <cellStyle name="Milliers 5 2 2 6" xfId="1169" xr:uid="{1F858862-426B-4830-8F2D-26DE2AD6B309}"/>
    <cellStyle name="Milliers 5 3" xfId="545" xr:uid="{290D308B-1E7A-4140-96AE-002A162527A7}"/>
    <cellStyle name="Milliers 5 3 2" xfId="686" xr:uid="{85C0B84F-F316-432F-808C-0D2F626D7A1F}"/>
    <cellStyle name="Milliers 5 3 2 2" xfId="1004" xr:uid="{D45C2D93-150E-4892-A52F-AFF15A81AF46}"/>
    <cellStyle name="Milliers 5 3 2 2 2" xfId="1571" xr:uid="{91546026-0E56-409D-BE13-DCBE58FB5315}"/>
    <cellStyle name="Milliers 5 3 2 3" xfId="1253" xr:uid="{0DB7527D-B929-4AFC-93F6-1E7C5F928150}"/>
    <cellStyle name="Milliers 5 3 3" xfId="765" xr:uid="{533E3138-B01C-4BD3-9BA2-D7E88B25689D}"/>
    <cellStyle name="Milliers 5 3 3 2" xfId="1083" xr:uid="{16A1F8B0-89CB-4C8A-90B6-28B86358B39F}"/>
    <cellStyle name="Milliers 5 3 3 2 2" xfId="1650" xr:uid="{6549743B-DBDC-4096-98BF-D30060E87F8A}"/>
    <cellStyle name="Milliers 5 3 3 3" xfId="1332" xr:uid="{498E7549-130C-42BA-97D9-C33DE2655F1F}"/>
    <cellStyle name="Milliers 5 3 4" xfId="925" xr:uid="{E8B2D320-34F8-47F4-BB6D-3340D2D679F4}"/>
    <cellStyle name="Milliers 5 3 4 2" xfId="1492" xr:uid="{3B6DD4BC-4C6E-4DF9-A2DF-64123BABEEAE}"/>
    <cellStyle name="Milliers 5 3 5" xfId="846" xr:uid="{6283CB8B-3409-4AFF-81BE-0ED2F622E3BD}"/>
    <cellStyle name="Milliers 5 3 5 2" xfId="1413" xr:uid="{A33C9FC8-88A5-463E-80F4-9E663F4C78EC}"/>
    <cellStyle name="Milliers 5 3 6" xfId="1170" xr:uid="{43E99E32-3263-414C-9830-2C0757DC809E}"/>
    <cellStyle name="Milliers 6" xfId="546" xr:uid="{06F947A8-642C-4F98-9169-6098E61D39AE}"/>
    <cellStyle name="Milliers 6 2" xfId="547" xr:uid="{BC2CF5B8-17E3-4EB9-ABD1-AB674CEAC826}"/>
    <cellStyle name="Milliers 6 2 2" xfId="548" xr:uid="{43A3E8DC-93B3-4DD3-87AA-3B3FC407ED34}"/>
    <cellStyle name="Milliers 6 2 2 2" xfId="687" xr:uid="{8191AE5E-A8EE-42AE-A0C5-1AD697F844AD}"/>
    <cellStyle name="Milliers 6 2 2 2 2" xfId="1005" xr:uid="{FD288F3C-100F-45A8-B20D-7EEFFD713B7A}"/>
    <cellStyle name="Milliers 6 2 2 2 2 2" xfId="1572" xr:uid="{0C0FBC13-B17F-4CC2-9AEC-E472CA6AA819}"/>
    <cellStyle name="Milliers 6 2 2 2 3" xfId="1254" xr:uid="{488A9F1B-2E3F-4F47-AA83-716B19B7127A}"/>
    <cellStyle name="Milliers 6 2 2 3" xfId="766" xr:uid="{EA963FA5-97DB-44ED-817F-51E82135A817}"/>
    <cellStyle name="Milliers 6 2 2 3 2" xfId="1084" xr:uid="{29A4AD6A-EFDE-40DC-A674-4AC7EFEEBC39}"/>
    <cellStyle name="Milliers 6 2 2 3 2 2" xfId="1651" xr:uid="{41A71EE2-2B24-4420-B916-E397A216249C}"/>
    <cellStyle name="Milliers 6 2 2 3 3" xfId="1333" xr:uid="{1C5F5DF2-86D4-41D0-ACBE-DEB556D3B35A}"/>
    <cellStyle name="Milliers 6 2 2 4" xfId="926" xr:uid="{23225262-82AE-4B0D-8249-91EB48F31624}"/>
    <cellStyle name="Milliers 6 2 2 4 2" xfId="1493" xr:uid="{48C07738-51B6-417A-AB0C-817B516C33E0}"/>
    <cellStyle name="Milliers 6 2 2 5" xfId="847" xr:uid="{BDF28F20-6EB2-4EEE-B6AC-CDBD9DAC1E8A}"/>
    <cellStyle name="Milliers 6 2 2 5 2" xfId="1414" xr:uid="{DE7F72B3-4CEC-4152-B771-EA17A377410A}"/>
    <cellStyle name="Milliers 6 2 2 6" xfId="1171" xr:uid="{E1E4EEA2-C3B2-4F32-B144-526D0A491214}"/>
    <cellStyle name="Milliers 6 3" xfId="549" xr:uid="{F532695C-9CAF-4E35-A6DB-FFCF9B852752}"/>
    <cellStyle name="Milliers 6 3 2" xfId="688" xr:uid="{EAEEFB48-B6D1-413B-94A5-42379C7057A7}"/>
    <cellStyle name="Milliers 6 3 2 2" xfId="1006" xr:uid="{675862E1-C3C7-49D0-BFFE-0980C235085B}"/>
    <cellStyle name="Milliers 6 3 2 2 2" xfId="1573" xr:uid="{BDD79560-D67E-4937-9239-18C2435E32C0}"/>
    <cellStyle name="Milliers 6 3 2 3" xfId="1255" xr:uid="{54764B7F-97F1-44A4-86AB-E460E342D1D9}"/>
    <cellStyle name="Milliers 6 3 3" xfId="767" xr:uid="{56EC3EC1-8602-4862-9BEE-957CBE70190D}"/>
    <cellStyle name="Milliers 6 3 3 2" xfId="1085" xr:uid="{6B2D0105-71EB-4BEB-A999-5ED325C335B2}"/>
    <cellStyle name="Milliers 6 3 3 2 2" xfId="1652" xr:uid="{C064EAD6-7BDD-4C90-A033-73A476D49058}"/>
    <cellStyle name="Milliers 6 3 3 3" xfId="1334" xr:uid="{1EFCEEAE-CA58-4137-9229-758DBC3A7618}"/>
    <cellStyle name="Milliers 6 3 4" xfId="927" xr:uid="{639C82DD-F46B-4A5D-9386-D66A466E7E7E}"/>
    <cellStyle name="Milliers 6 3 4 2" xfId="1494" xr:uid="{FE985CDA-0314-4D8C-83C4-D973E3709E73}"/>
    <cellStyle name="Milliers 6 3 5" xfId="848" xr:uid="{F8AE4E64-230F-40D6-9D48-66194F12BCA6}"/>
    <cellStyle name="Milliers 6 3 5 2" xfId="1415" xr:uid="{896618DE-139A-4E2B-AC20-BF7F25284AF2}"/>
    <cellStyle name="Milliers 6 3 6" xfId="1172" xr:uid="{DD6F44CC-1679-4104-A056-1F81232445AD}"/>
    <cellStyle name="Milliers 7" xfId="550" xr:uid="{08A7DD28-D304-466D-8B78-5EC028D7C3E2}"/>
    <cellStyle name="Milliers 7 2" xfId="551" xr:uid="{B613B37B-F703-44A3-B181-F436553D4068}"/>
    <cellStyle name="Milliers 7 2 2" xfId="690" xr:uid="{73FA219D-8650-4E93-BEFD-9D7314AB76C8}"/>
    <cellStyle name="Milliers 7 2 2 2" xfId="1008" xr:uid="{4F59F582-778E-400A-BAB3-37535A67AF62}"/>
    <cellStyle name="Milliers 7 2 2 2 2" xfId="1575" xr:uid="{7FD611F7-936E-40FC-BD16-3A510BCFEDFF}"/>
    <cellStyle name="Milliers 7 2 2 3" xfId="1257" xr:uid="{1C7E03AB-E6F9-47B5-A3E5-89C3A3D3B078}"/>
    <cellStyle name="Milliers 7 2 3" xfId="769" xr:uid="{CA21AD77-02BB-4F10-8969-B4CC3BC6D203}"/>
    <cellStyle name="Milliers 7 2 3 2" xfId="1087" xr:uid="{94D939F5-564E-4F04-91E9-D8B9F7E02861}"/>
    <cellStyle name="Milliers 7 2 3 2 2" xfId="1654" xr:uid="{50BF1C71-EC40-4A1F-B2EE-63EA20CECC15}"/>
    <cellStyle name="Milliers 7 2 3 3" xfId="1336" xr:uid="{62A19BAC-B1BF-4899-9B6B-F87273D6D9A3}"/>
    <cellStyle name="Milliers 7 2 4" xfId="929" xr:uid="{B79E31D4-667D-4AF9-8D11-5058850ACEF7}"/>
    <cellStyle name="Milliers 7 2 4 2" xfId="1496" xr:uid="{13536E9A-2732-4C94-82DB-A80E80023E50}"/>
    <cellStyle name="Milliers 7 2 5" xfId="850" xr:uid="{71D3CDB6-2D67-44A6-A6E5-250DBC074EFC}"/>
    <cellStyle name="Milliers 7 2 5 2" xfId="1417" xr:uid="{D0F0A738-80C5-42F3-9649-C073092249BE}"/>
    <cellStyle name="Milliers 7 2 6" xfId="1174" xr:uid="{E1CAC599-8132-4BEF-A943-2CE3C6DF1B01}"/>
    <cellStyle name="Milliers 7 3" xfId="689" xr:uid="{D400DE54-7E1B-4AFC-8D82-A29C4F5EA886}"/>
    <cellStyle name="Milliers 7 3 2" xfId="1007" xr:uid="{9131D653-B3A6-469F-823E-599C92B79213}"/>
    <cellStyle name="Milliers 7 3 2 2" xfId="1574" xr:uid="{1A85AC21-E8A8-4982-B5E2-33A0DC28C568}"/>
    <cellStyle name="Milliers 7 3 3" xfId="1256" xr:uid="{F53761DC-E714-4343-B03D-9A891AB52B9D}"/>
    <cellStyle name="Milliers 7 4" xfId="768" xr:uid="{E22B5D0F-E3F0-4B0B-AB4B-FBB2AF52E296}"/>
    <cellStyle name="Milliers 7 4 2" xfId="1086" xr:uid="{B76463C8-DE6A-4918-8083-DBECFD45FA68}"/>
    <cellStyle name="Milliers 7 4 2 2" xfId="1653" xr:uid="{67A38318-BC7B-46B0-96F3-91D0E1F07BC0}"/>
    <cellStyle name="Milliers 7 4 3" xfId="1335" xr:uid="{43ED314B-64B9-445F-8820-3A6337D76075}"/>
    <cellStyle name="Milliers 7 5" xfId="928" xr:uid="{16F438B6-6515-4668-A165-8FA8B701ED3F}"/>
    <cellStyle name="Milliers 7 5 2" xfId="1495" xr:uid="{753D0884-1496-4215-AD08-844196D1064F}"/>
    <cellStyle name="Milliers 7 6" xfId="849" xr:uid="{5F7EA4A8-3838-486F-BB62-00C96F50005D}"/>
    <cellStyle name="Milliers 7 6 2" xfId="1416" xr:uid="{BE44B851-1E70-497B-8398-A3657EF15D1B}"/>
    <cellStyle name="Milliers 7 7" xfId="1173" xr:uid="{46326497-1C8A-4888-A514-97C6C2CD6FE2}"/>
    <cellStyle name="Neutral 2" xfId="552" xr:uid="{2E8394EA-08ED-4FF3-A8F1-21D5F9511839}"/>
    <cellStyle name="Normal" xfId="0" builtinId="0"/>
    <cellStyle name="Normal 10" xfId="88" xr:uid="{999B578E-F7CC-4EC4-AC4D-F03250BA3A67}"/>
    <cellStyle name="Normal 10 2" xfId="224" xr:uid="{6C4BB0FD-AF90-4EBF-9A92-A27CBDB576B3}"/>
    <cellStyle name="Normal 10 3" xfId="553" xr:uid="{6D5942DB-3F38-484C-BC94-F5503D2C0104}"/>
    <cellStyle name="Normal 11" xfId="106" xr:uid="{1C686E39-2965-40A8-8D6E-CCCE7372915D}"/>
    <cellStyle name="Normal 11 2" xfId="242" xr:uid="{C7CBC72E-BDFB-499C-B84F-F5A38A97D5D9}"/>
    <cellStyle name="Normal 11 2 2" xfId="1711" xr:uid="{9C6263B5-A961-44B2-A492-50250CEA3B7F}"/>
    <cellStyle name="Normal 11 3" xfId="554" xr:uid="{6549F26E-9193-40D6-8DEC-A0DCBADABFE8}"/>
    <cellStyle name="Normal 12" xfId="124" xr:uid="{055D7018-3EE4-4C56-8DEE-DCEE64127FC2}"/>
    <cellStyle name="Normal 12 2" xfId="555" xr:uid="{D9C8CB45-D823-4827-B8DF-9F787CBF42BA}"/>
    <cellStyle name="Normal 13" xfId="128" xr:uid="{E7C5374A-4E84-4C23-B951-94375CCEF190}"/>
    <cellStyle name="Normal 13 2" xfId="701" xr:uid="{C54D2199-0818-472F-946D-EFF96CA4327F}"/>
    <cellStyle name="Normal 13 2 2" xfId="1019" xr:uid="{9087C30E-A6CD-46C2-A038-7F20808D6EE7}"/>
    <cellStyle name="Normal 13 2 2 2" xfId="1586" xr:uid="{4678CF90-B70E-4E85-B6F1-CAED21E32C66}"/>
    <cellStyle name="Normal 13 2 3" xfId="1268" xr:uid="{3673AF3B-B014-416A-9996-C95578F0216E}"/>
    <cellStyle name="Normal 13 3" xfId="780" xr:uid="{1E4AC13F-44A0-4BE6-992A-D1E818802B56}"/>
    <cellStyle name="Normal 13 3 2" xfId="1098" xr:uid="{4D97742B-9127-4A24-A0B5-3F6708222D6F}"/>
    <cellStyle name="Normal 13 3 2 2" xfId="1665" xr:uid="{161DCA7E-5DAA-4CFC-B4D0-9B8988E8F562}"/>
    <cellStyle name="Normal 13 3 3" xfId="1347" xr:uid="{B8E68D85-03E4-4F17-8E1B-6F80CB1BA5B6}"/>
    <cellStyle name="Normal 13 4" xfId="940" xr:uid="{18C55579-10EF-4BC2-AFFC-F6292D80627F}"/>
    <cellStyle name="Normal 13 4 2" xfId="1507" xr:uid="{49C741A4-A4CB-4413-82F2-4BF23F5D361F}"/>
    <cellStyle name="Normal 13 5" xfId="861" xr:uid="{E308DE65-8299-4C67-BAA0-D98D2EFEABAF}"/>
    <cellStyle name="Normal 13 5 2" xfId="1428" xr:uid="{C1F2D358-CB59-465C-AE80-C9FD90D85E4D}"/>
    <cellStyle name="Normal 13 6" xfId="1187" xr:uid="{1C257533-A427-4864-AA54-9DBA7EF1A7B5}"/>
    <cellStyle name="Normal 13 7" xfId="615" xr:uid="{ACB466C9-479E-472B-8441-40D1AF4522DE}"/>
    <cellStyle name="Normal 14" xfId="146" xr:uid="{F6C758E2-3FD5-4A8B-A742-814DBB5DA07C}"/>
    <cellStyle name="Normal 14 2" xfId="1119" xr:uid="{C2920909-17BA-43F8-9EBC-A89E9609367A}"/>
    <cellStyle name="Normal 14 2 2" xfId="1686" xr:uid="{C8E9A1F8-75CB-4A48-99A8-F753EF50E5AE}"/>
    <cellStyle name="Normal 14 3" xfId="1368" xr:uid="{470CC5C1-6C20-4979-A35A-E9972F75ED91}"/>
    <cellStyle name="Normal 14 4" xfId="801" xr:uid="{F4C91D11-E31C-4A4C-92E0-D602D101C8FD}"/>
    <cellStyle name="Normal 15" xfId="260" xr:uid="{A6475189-4151-4877-986D-9241A22D9280}"/>
    <cellStyle name="Normal 15 2" xfId="1692" xr:uid="{B5708B65-E888-4B8A-B835-2ABD4EC28CB8}"/>
    <cellStyle name="Normal 15 3" xfId="1125" xr:uid="{B651B08B-F35D-403E-A73C-C6E356D0704A}"/>
    <cellStyle name="Normal 16" xfId="263" xr:uid="{9228C9A3-2831-4A20-B01B-9A212715AC7A}"/>
    <cellStyle name="Normal 16 2" xfId="556" xr:uid="{7178A185-2934-4D96-A853-0F437C412177}"/>
    <cellStyle name="Normal 17" xfId="281" xr:uid="{F223E093-9A62-497B-9DC8-EB49A0FC228D}"/>
    <cellStyle name="Normal 17 2" xfId="453" xr:uid="{17ACB68D-23DF-43E7-B79C-9318096EC71F}"/>
    <cellStyle name="Normal 18" xfId="299" xr:uid="{1E9AD2D6-56CB-4DA2-9A9C-77949084D8DD}"/>
    <cellStyle name="Normal 18 2" xfId="557" xr:uid="{A04CA735-3A8F-4DA7-A570-914DFC5F7374}"/>
    <cellStyle name="Normal 19" xfId="317" xr:uid="{6843A1DE-579F-41BD-9280-8C586C609BFE}"/>
    <cellStyle name="Normal 2" xfId="3" xr:uid="{B7242582-58B6-4387-9D4C-426F0034499D}"/>
    <cellStyle name="Normal 2 10" xfId="559" xr:uid="{591C798B-1179-48B4-9C17-86283D1CABC7}"/>
    <cellStyle name="Normal 2 11" xfId="560" xr:uid="{3A0AFCF7-1EF1-4469-8645-E7B027BEC9C4}"/>
    <cellStyle name="Normal 2 12" xfId="561" xr:uid="{B84DE3A4-FB0B-4B97-8DFC-84876732CBF2}"/>
    <cellStyle name="Normal 2 13" xfId="562" xr:uid="{F79F9306-E27F-449C-860E-35997D403E94}"/>
    <cellStyle name="Normal 2 14" xfId="563" xr:uid="{B8063F18-CF75-4A71-A923-70B03B2BEB04}"/>
    <cellStyle name="Normal 2 14 2" xfId="692" xr:uid="{12A7D4EE-2099-4D84-88B0-EF00B8376465}"/>
    <cellStyle name="Normal 2 14 2 2" xfId="1010" xr:uid="{DD6F09C8-8C92-4D58-A838-805D98B51CBF}"/>
    <cellStyle name="Normal 2 14 2 2 2" xfId="1577" xr:uid="{53C047EC-A6BE-4A14-A99E-F5DE63BB0D46}"/>
    <cellStyle name="Normal 2 14 2 3" xfId="1259" xr:uid="{50C7AD27-7038-4287-8F62-ACA5E0B58A4E}"/>
    <cellStyle name="Normal 2 14 3" xfId="771" xr:uid="{FBB22FB7-5555-4BBD-9D3D-5C0361A0FB28}"/>
    <cellStyle name="Normal 2 14 3 2" xfId="1089" xr:uid="{C03627F3-3BD0-4ED4-BAA7-139D8F567CFE}"/>
    <cellStyle name="Normal 2 14 3 2 2" xfId="1656" xr:uid="{F0E4F7E5-B960-4EFB-8DAD-73ED0A49BFDA}"/>
    <cellStyle name="Normal 2 14 3 3" xfId="1338" xr:uid="{5840F9C0-B17D-4E1D-8E5A-D3010F4A5EB2}"/>
    <cellStyle name="Normal 2 14 4" xfId="931" xr:uid="{F117C950-441F-4172-B194-9B8C48F5197B}"/>
    <cellStyle name="Normal 2 14 4 2" xfId="1498" xr:uid="{994CB53C-5DDE-4E82-880F-386DD87B58D2}"/>
    <cellStyle name="Normal 2 14 5" xfId="852" xr:uid="{96D85904-3A6D-4DB7-A76C-EE92622202AB}"/>
    <cellStyle name="Normal 2 14 5 2" xfId="1419" xr:uid="{D5E9552D-C7E6-42F2-9091-7D30ABB1E966}"/>
    <cellStyle name="Normal 2 14 6" xfId="1176" xr:uid="{E302D6CF-D30C-47D3-B1BA-2D958C1CBB3B}"/>
    <cellStyle name="Normal 2 15" xfId="617" xr:uid="{B76D918C-45D2-428B-BC06-7A6EA1613DC2}"/>
    <cellStyle name="Normal 2 16" xfId="691" xr:uid="{A7A4CCD9-C1B9-42D2-8C3E-49DA889633A3}"/>
    <cellStyle name="Normal 2 16 2" xfId="1009" xr:uid="{947EE1A9-4A39-451B-AB0A-B9B319DCE725}"/>
    <cellStyle name="Normal 2 16 2 2" xfId="1576" xr:uid="{34ADA578-06FE-43E3-B851-047FD6E1EA6A}"/>
    <cellStyle name="Normal 2 16 3" xfId="1258" xr:uid="{F502FDA2-E951-4D5B-9B61-84A391BE59F6}"/>
    <cellStyle name="Normal 2 17" xfId="770" xr:uid="{ADDBBAB9-D012-489E-B896-489A8BCE7C85}"/>
    <cellStyle name="Normal 2 17 2" xfId="1088" xr:uid="{5B22702F-B106-4115-95C8-BA47B7813409}"/>
    <cellStyle name="Normal 2 17 2 2" xfId="1655" xr:uid="{E52366E4-F764-41A9-9858-57C0176562EB}"/>
    <cellStyle name="Normal 2 17 3" xfId="1337" xr:uid="{4D1EC93B-65EF-47FA-9401-855D0D4CC258}"/>
    <cellStyle name="Normal 2 18" xfId="930" xr:uid="{7EC5BFEF-85CE-431E-BD4A-B9A7E0C0D136}"/>
    <cellStyle name="Normal 2 18 2" xfId="1497" xr:uid="{72F6C946-1DD7-4EA2-9901-7ACA0D8DBF6D}"/>
    <cellStyle name="Normal 2 19" xfId="851" xr:uid="{5B872CA1-01A3-4D5C-B57E-2A0FE52AA230}"/>
    <cellStyle name="Normal 2 19 2" xfId="1418" xr:uid="{219F05E7-9EB3-4626-9922-3A89E3171727}"/>
    <cellStyle name="Normal 2 2" xfId="13" xr:uid="{5ECCE9EE-FE0B-4604-97DC-583CDA037C88}"/>
    <cellStyle name="Normal 2 2 10" xfId="565" xr:uid="{D83A35E1-BCF7-404A-AF2C-DC44ADF2BD28}"/>
    <cellStyle name="Normal 2 2 11" xfId="566" xr:uid="{AF91A0F8-BBB0-4007-8603-C0E1A494E74A}"/>
    <cellStyle name="Normal 2 2 12" xfId="567" xr:uid="{41FF1733-659B-46E8-A1FB-75865F1D35E6}"/>
    <cellStyle name="Normal 2 2 13" xfId="568" xr:uid="{E96DA604-4DF0-4A00-88A5-5F6B82C82E73}"/>
    <cellStyle name="Normal 2 2 13 2" xfId="694" xr:uid="{564CE813-3993-4DE3-96EE-04B7B6E1731E}"/>
    <cellStyle name="Normal 2 2 13 2 2" xfId="1012" xr:uid="{F85D9F32-4CC5-4D54-9F2D-5D4C5818F875}"/>
    <cellStyle name="Normal 2 2 13 2 2 2" xfId="1579" xr:uid="{CCE197C4-FE20-465C-AD57-B4665465F93B}"/>
    <cellStyle name="Normal 2 2 13 2 3" xfId="1261" xr:uid="{23DF06AD-D100-4723-9FB9-FEDC40A4587E}"/>
    <cellStyle name="Normal 2 2 13 3" xfId="773" xr:uid="{E9CFAE08-CD70-407C-BB70-6B1A5ED5BBE1}"/>
    <cellStyle name="Normal 2 2 13 3 2" xfId="1091" xr:uid="{8DA8D59E-3E37-418C-87F6-CD6072BB7A33}"/>
    <cellStyle name="Normal 2 2 13 3 2 2" xfId="1658" xr:uid="{DC9C6227-25A8-4EDA-A321-CB3996957137}"/>
    <cellStyle name="Normal 2 2 13 3 3" xfId="1340" xr:uid="{494CECFF-F433-496B-A66F-9F3D9EE1007D}"/>
    <cellStyle name="Normal 2 2 13 4" xfId="933" xr:uid="{A3DF92AC-B7CD-4829-8E25-78D985E17DB8}"/>
    <cellStyle name="Normal 2 2 13 4 2" xfId="1500" xr:uid="{DB202F01-6E35-4365-9B6A-89C037B0F4B5}"/>
    <cellStyle name="Normal 2 2 13 5" xfId="854" xr:uid="{12191A7B-8357-463A-BAC9-1BCC9A5F5CF5}"/>
    <cellStyle name="Normal 2 2 13 5 2" xfId="1421" xr:uid="{A7EF7817-166C-4D4A-912E-9477CBE64898}"/>
    <cellStyle name="Normal 2 2 13 6" xfId="1178" xr:uid="{99A8CA3C-EE34-4E8C-A6C0-DBAE30C65681}"/>
    <cellStyle name="Normal 2 2 14" xfId="620" xr:uid="{76608AF2-C0AB-41A7-9F1D-045E56002571}"/>
    <cellStyle name="Normal 2 2 14 2" xfId="704" xr:uid="{89A8128D-CFB0-4565-BE6B-9E48B3F0643C}"/>
    <cellStyle name="Normal 2 2 14 2 2" xfId="1022" xr:uid="{323C6E56-9051-42B8-B305-B907FDB66A6B}"/>
    <cellStyle name="Normal 2 2 14 2 2 2" xfId="1589" xr:uid="{9DE83375-742D-4A3A-9E14-F9ABE267F875}"/>
    <cellStyle name="Normal 2 2 14 2 3" xfId="1271" xr:uid="{8D206352-D016-4320-AEBA-CDA47424B3D3}"/>
    <cellStyle name="Normal 2 2 14 3" xfId="783" xr:uid="{0C8C396D-638D-4D97-9D30-69A3C6EA1585}"/>
    <cellStyle name="Normal 2 2 14 3 2" xfId="1101" xr:uid="{5447AEE2-F8E1-4B24-B16E-31592AA9A8B4}"/>
    <cellStyle name="Normal 2 2 14 3 2 2" xfId="1668" xr:uid="{98FA875F-22C0-4536-8968-144EA4BF02A0}"/>
    <cellStyle name="Normal 2 2 14 3 3" xfId="1350" xr:uid="{4622D46C-4C3C-4C6E-9A45-99157EB46A19}"/>
    <cellStyle name="Normal 2 2 14 4" xfId="943" xr:uid="{ABFBEC9E-0BBE-4625-BA9D-2A93FE104994}"/>
    <cellStyle name="Normal 2 2 14 4 2" xfId="1510" xr:uid="{5C22A7C1-353C-4A74-8DEB-43C87C428586}"/>
    <cellStyle name="Normal 2 2 14 5" xfId="864" xr:uid="{E3A09EB3-6B5C-4FEF-82D0-DC33ECB64CA2}"/>
    <cellStyle name="Normal 2 2 14 5 2" xfId="1431" xr:uid="{E86B7F2B-0043-4C1B-A3C4-84443D31C8E5}"/>
    <cellStyle name="Normal 2 2 14 6" xfId="1190" xr:uid="{1EA8EF80-0380-41C8-887A-92BE9F8EAC1D}"/>
    <cellStyle name="Normal 2 2 15" xfId="693" xr:uid="{802D9F6E-528D-44BB-8A06-AA01842B2FC0}"/>
    <cellStyle name="Normal 2 2 15 2" xfId="1011" xr:uid="{7ABE5CB2-D348-4891-ACD9-0D00692CF2C9}"/>
    <cellStyle name="Normal 2 2 15 2 2" xfId="1578" xr:uid="{38BE7D15-09A2-4921-980A-939BB0C823AF}"/>
    <cellStyle name="Normal 2 2 15 3" xfId="1260" xr:uid="{A279DB3F-48FA-433C-A55F-01A6568FC57B}"/>
    <cellStyle name="Normal 2 2 16" xfId="772" xr:uid="{2C6E2E46-8742-40CC-BD99-EF212191A1FD}"/>
    <cellStyle name="Normal 2 2 16 2" xfId="1090" xr:uid="{C783FC2E-F0F0-4A0E-8611-0D396EDB343F}"/>
    <cellStyle name="Normal 2 2 16 2 2" xfId="1657" xr:uid="{A4529FBC-A633-4ABD-B0D7-34CF16777472}"/>
    <cellStyle name="Normal 2 2 16 3" xfId="1339" xr:uid="{AD49D513-AAD9-471B-9770-5551CFB44303}"/>
    <cellStyle name="Normal 2 2 17" xfId="932" xr:uid="{52BA7189-D49C-4F35-8441-17023E867A12}"/>
    <cellStyle name="Normal 2 2 17 2" xfId="1499" xr:uid="{7E09277A-1069-41F7-BC6E-591A06441175}"/>
    <cellStyle name="Normal 2 2 18" xfId="853" xr:uid="{CD5E85B8-CEB4-4957-8438-41F52C639AB4}"/>
    <cellStyle name="Normal 2 2 18 2" xfId="1420" xr:uid="{C530B407-59B3-47A3-A4CF-F789E83D972D}"/>
    <cellStyle name="Normal 2 2 19" xfId="1177" xr:uid="{C29E17DA-23CA-46C6-8722-507BAE89C4A7}"/>
    <cellStyle name="Normal 2 2 2" xfId="569" xr:uid="{B1F96F8A-5394-4661-98E1-4BBB3F022CD3}"/>
    <cellStyle name="Normal 2 2 2 2" xfId="627" xr:uid="{10A01C6C-D096-46AB-B180-2D838ABB2189}"/>
    <cellStyle name="Normal 2 2 2 2 2" xfId="710" xr:uid="{131B474C-21EE-4860-8117-A263FDA1C82F}"/>
    <cellStyle name="Normal 2 2 2 2 2 2" xfId="1028" xr:uid="{998E8C3C-E6ED-41FF-9164-EB56A82324CB}"/>
    <cellStyle name="Normal 2 2 2 2 2 2 2" xfId="1595" xr:uid="{11877CD0-771E-4B22-8CD8-8EECBF3F5241}"/>
    <cellStyle name="Normal 2 2 2 2 2 3" xfId="1277" xr:uid="{4D0B6A4E-4EB4-4C8A-9EC0-151A15078975}"/>
    <cellStyle name="Normal 2 2 2 2 3" xfId="789" xr:uid="{06D49BB0-3D8D-4A5E-98FE-DAC436E05F25}"/>
    <cellStyle name="Normal 2 2 2 2 3 2" xfId="1107" xr:uid="{DABA0A82-2135-45C4-9004-C81E8D08A6AB}"/>
    <cellStyle name="Normal 2 2 2 2 3 2 2" xfId="1674" xr:uid="{2CC3D1EF-082B-4F8E-BF6C-A99914240595}"/>
    <cellStyle name="Normal 2 2 2 2 3 3" xfId="1356" xr:uid="{88B90077-D0AA-4A0B-8A4C-456786CCD765}"/>
    <cellStyle name="Normal 2 2 2 2 4" xfId="949" xr:uid="{533950C7-F694-418A-8448-3E2B8EC71C8D}"/>
    <cellStyle name="Normal 2 2 2 2 4 2" xfId="1516" xr:uid="{A9AC0AFD-8037-4D4C-9F48-98290E3F601E}"/>
    <cellStyle name="Normal 2 2 2 2 5" xfId="870" xr:uid="{CA56DA93-700E-4B9D-9AEE-F1D038CB0CF3}"/>
    <cellStyle name="Normal 2 2 2 2 5 2" xfId="1437" xr:uid="{5E74B709-7959-412F-BC6F-A20E41C867FF}"/>
    <cellStyle name="Normal 2 2 2 2 6" xfId="1196" xr:uid="{3FE94EAB-3358-41FA-8C93-28730AAF28DE}"/>
    <cellStyle name="Normal 2 2 2 3" xfId="695" xr:uid="{2D3C2E12-53C2-47D8-9504-45ADCF350EDB}"/>
    <cellStyle name="Normal 2 2 2 3 2" xfId="1013" xr:uid="{8D8DB3DE-6156-44F3-9311-F5CB9D9093D3}"/>
    <cellStyle name="Normal 2 2 2 3 2 2" xfId="1580" xr:uid="{2D5B6CC8-4CD6-4FBA-895C-AFA42186C048}"/>
    <cellStyle name="Normal 2 2 2 3 3" xfId="1262" xr:uid="{6338C4D2-4622-4BDF-81D7-3DCA100ACE56}"/>
    <cellStyle name="Normal 2 2 2 4" xfId="774" xr:uid="{49D222AF-6C9E-4D7A-8C5F-ACBA313CDEAA}"/>
    <cellStyle name="Normal 2 2 2 4 2" xfId="1092" xr:uid="{7ECC5FBA-CE84-4882-9825-894FF5BC97EE}"/>
    <cellStyle name="Normal 2 2 2 4 2 2" xfId="1659" xr:uid="{89607D75-DCB6-4C2B-861C-0ACF08971771}"/>
    <cellStyle name="Normal 2 2 2 4 3" xfId="1341" xr:uid="{051EE292-ADE8-4680-8F42-844263D1C6FE}"/>
    <cellStyle name="Normal 2 2 2 5" xfId="934" xr:uid="{6F18AA77-012C-4CD2-80E9-AB7AF0094DD8}"/>
    <cellStyle name="Normal 2 2 2 5 2" xfId="1501" xr:uid="{E29A4F8F-2716-4876-8E93-C8F9749A4F28}"/>
    <cellStyle name="Normal 2 2 2 6" xfId="855" xr:uid="{F73E759A-A386-4F50-BD45-3E5447711E26}"/>
    <cellStyle name="Normal 2 2 2 6 2" xfId="1422" xr:uid="{7FF7F95B-4937-4754-8788-7BFCB2170FA8}"/>
    <cellStyle name="Normal 2 2 2 7" xfId="1179" xr:uid="{4924C871-7456-458B-82B6-F932D7A0E9C8}"/>
    <cellStyle name="Normal 2 2 20" xfId="1709" xr:uid="{94507F20-F1C7-4338-A532-DA014DC02165}"/>
    <cellStyle name="Normal 2 2 21" xfId="564" xr:uid="{61216A13-F263-495E-8079-291A9BC53B4A}"/>
    <cellStyle name="Normal 2 2 3" xfId="570" xr:uid="{B9DAF87F-707A-42D4-9301-2AEEC1CDE177}"/>
    <cellStyle name="Normal 2 2 3 2" xfId="696" xr:uid="{83B94AEC-C976-471B-8B92-41278E68C987}"/>
    <cellStyle name="Normal 2 2 3 2 2" xfId="1014" xr:uid="{2F8CB806-8CFC-4E06-97F4-C7180892A2F2}"/>
    <cellStyle name="Normal 2 2 3 2 2 2" xfId="1581" xr:uid="{A7FD2DE6-CFC4-498C-B422-9EA666C4FE46}"/>
    <cellStyle name="Normal 2 2 3 2 3" xfId="1263" xr:uid="{03F834D5-26B3-4EDD-B6ED-FD925C493793}"/>
    <cellStyle name="Normal 2 2 3 3" xfId="775" xr:uid="{E6CC9B3C-30A2-49E3-A382-479858ABEB9A}"/>
    <cellStyle name="Normal 2 2 3 3 2" xfId="1093" xr:uid="{E995FA08-36C6-4B1A-9F88-FB021CD91355}"/>
    <cellStyle name="Normal 2 2 3 3 2 2" xfId="1660" xr:uid="{8F30125A-2282-48DF-8C9B-7E2C76586FCC}"/>
    <cellStyle name="Normal 2 2 3 3 3" xfId="1342" xr:uid="{0E81BF8F-D454-4AEF-9AD6-771DF1FE69E9}"/>
    <cellStyle name="Normal 2 2 3 4" xfId="935" xr:uid="{1964B2CA-9B98-42F0-A762-A08C612A8E96}"/>
    <cellStyle name="Normal 2 2 3 4 2" xfId="1502" xr:uid="{DB487686-84FD-4C98-9088-D2B0D8718545}"/>
    <cellStyle name="Normal 2 2 3 5" xfId="856" xr:uid="{74A1BF64-5CD9-4273-9A3A-829F61604326}"/>
    <cellStyle name="Normal 2 2 3 5 2" xfId="1423" xr:uid="{B9270AE4-5F9D-4AFA-BC5F-1F9094C1A47C}"/>
    <cellStyle name="Normal 2 2 3 6" xfId="1180" xr:uid="{6B3CD6E1-565D-4F6F-A06A-B51BE154B3F5}"/>
    <cellStyle name="Normal 2 2 4" xfId="571" xr:uid="{9E2C0BE3-3BD9-461E-9907-01B497AEBA37}"/>
    <cellStyle name="Normal 2 2 4 4 2" xfId="1706" xr:uid="{7D8A33DD-C12E-4EA2-B241-538EF8B9B28A}"/>
    <cellStyle name="Normal 2 2 5" xfId="572" xr:uid="{3ABA3922-0BAA-40E4-ACC3-BFFAE4854E30}"/>
    <cellStyle name="Normal 2 2 6" xfId="573" xr:uid="{747FF63E-23D3-4A39-9EDB-48C180B1527A}"/>
    <cellStyle name="Normal 2 2 7" xfId="574" xr:uid="{E701167B-7A5A-4923-B83A-425D25D8B2DA}"/>
    <cellStyle name="Normal 2 2 8" xfId="575" xr:uid="{1285156D-2D1F-4010-8B03-384226BF2D29}"/>
    <cellStyle name="Normal 2 2 9" xfId="576" xr:uid="{EA0F3032-EEE5-4E49-B288-AFF2E386A8FC}"/>
    <cellStyle name="Normal 2 2_11 09 2013" xfId="577" xr:uid="{9F3849E0-7C96-4EE2-829D-FC2259C929DD}"/>
    <cellStyle name="Normal 2 20" xfId="1175" xr:uid="{13AFDE47-E989-4087-92DE-7C14A31FC256}"/>
    <cellStyle name="Normal 2 21" xfId="1710" xr:uid="{7DF533D3-7569-422D-B620-08C132B56C68}"/>
    <cellStyle name="Normal 2 22" xfId="558" xr:uid="{38928FA8-8D8B-447C-B15F-37D9C76A4DB5}"/>
    <cellStyle name="Normal 2 3" xfId="150" xr:uid="{0B7EBD51-16B3-422B-BBF4-B15793276E2B}"/>
    <cellStyle name="Normal 2 3 2" xfId="1708" xr:uid="{3A2D4CC0-B25C-40BE-8E31-C3E87E3F10A2}"/>
    <cellStyle name="Normal 2 3 3" xfId="578" xr:uid="{90445B7C-D1DD-46DD-B14E-5F7EEEB5163E}"/>
    <cellStyle name="Normal 2 4" xfId="579" xr:uid="{9861CDCF-7728-4CBE-91AA-5CB820998E21}"/>
    <cellStyle name="Normal 2 5" xfId="580" xr:uid="{0BEA4B43-7FE7-43AD-BDBA-E59997417E89}"/>
    <cellStyle name="Normal 2 6" xfId="581" xr:uid="{EC343A68-FE23-43E1-85AC-F42080AD284C}"/>
    <cellStyle name="Normal 2 7" xfId="582" xr:uid="{A7619B0E-7A2A-482C-B598-10C1BEC0E01E}"/>
    <cellStyle name="Normal 2 8" xfId="583" xr:uid="{472A492A-92B7-4441-AEBE-1733E6BD0668}"/>
    <cellStyle name="Normal 2 9" xfId="584" xr:uid="{D2CBA03C-E40F-498E-BC39-0A5FCA3F4A2E}"/>
    <cellStyle name="Normal 2_11 09 2013" xfId="585" xr:uid="{3BF09B1C-113A-4E10-8545-839F1E202862}"/>
    <cellStyle name="Normal 20" xfId="335" xr:uid="{20967C18-9C1C-4764-8C3B-C3252DA25B91}"/>
    <cellStyle name="Normal 21" xfId="353" xr:uid="{13D79574-0777-4F80-B859-E796D88D1E76}"/>
    <cellStyle name="Normal 22" xfId="356" xr:uid="{235FF97B-347E-41C2-8354-F0A9736D1169}"/>
    <cellStyle name="Normal 23" xfId="374" xr:uid="{B20A2880-FC38-4D03-BC28-44A5235743CC}"/>
    <cellStyle name="Normal 24" xfId="392" xr:uid="{126BAC03-7530-47E8-9E25-24C21D4E3A02}"/>
    <cellStyle name="Normal 25" xfId="394" xr:uid="{B6784ED2-718A-4243-80F7-30E75710E334}"/>
    <cellStyle name="Normal 26" xfId="412" xr:uid="{22A17583-A4BD-45B0-808E-54201FA88906}"/>
    <cellStyle name="Normal 27" xfId="414" xr:uid="{2DE56AAE-13BC-4B55-9496-771117D886A5}"/>
    <cellStyle name="Normal 28" xfId="432" xr:uid="{28D4DD39-526D-40E3-B917-03309864D9E6}"/>
    <cellStyle name="Normal 29" xfId="435" xr:uid="{F591BAF0-0875-4547-8551-7F3E21450654}"/>
    <cellStyle name="Normal 3" xfId="11" xr:uid="{962E760B-1D9C-419D-B0C1-136FEAD1703A}"/>
    <cellStyle name="Normal 3 10" xfId="151" xr:uid="{7C9110C2-E64B-495C-A00B-D7ED4CFB2878}"/>
    <cellStyle name="Normal 3 11" xfId="265" xr:uid="{AFE9DEF4-623A-4BD2-83E3-2426D82524E5}"/>
    <cellStyle name="Normal 3 12" xfId="282" xr:uid="{5854D126-472F-417A-BB9D-3BB14D1E390E}"/>
    <cellStyle name="Normal 3 13" xfId="300" xr:uid="{D1AE5DB4-E7FF-440F-9862-3DFD17C6CB58}"/>
    <cellStyle name="Normal 3 14" xfId="319" xr:uid="{3FCC91E4-3EDB-4DDA-AD97-E7F16FBA74BF}"/>
    <cellStyle name="Normal 3 15" xfId="337" xr:uid="{87C37729-6B0F-4949-9391-92F7261317B9}"/>
    <cellStyle name="Normal 3 16" xfId="358" xr:uid="{2AFB63DC-E1FE-496E-8826-CBD4741EEADD}"/>
    <cellStyle name="Normal 3 17" xfId="375" xr:uid="{7733AE9C-3BB7-4B9D-829D-0AFEDFC14C16}"/>
    <cellStyle name="Normal 3 18" xfId="395" xr:uid="{0F76A1DD-B6A4-4679-A69B-8AD07EF2125E}"/>
    <cellStyle name="Normal 3 19" xfId="416" xr:uid="{11CD6406-3962-4B0F-9EB5-BBA88DB97877}"/>
    <cellStyle name="Normal 3 2" xfId="17" xr:uid="{00BC0346-F8F8-416D-8BF4-4FBC33B4AC3D}"/>
    <cellStyle name="Normal 3 2 10" xfId="89" xr:uid="{5798E135-41E4-49AA-9799-52875C1495F3}"/>
    <cellStyle name="Normal 3 2 10 2" xfId="225" xr:uid="{98350996-AAD1-4BC2-A67F-9852371649FC}"/>
    <cellStyle name="Normal 3 2 11" xfId="107" xr:uid="{1B292602-B756-43CB-A6DE-465C1BFFC378}"/>
    <cellStyle name="Normal 3 2 11 2" xfId="243" xr:uid="{77C9C9C0-7C1D-449A-9277-AD05C49FD333}"/>
    <cellStyle name="Normal 3 2 12" xfId="131" xr:uid="{13779A42-CA47-48D8-8D2B-2BEC548CA2A4}"/>
    <cellStyle name="Normal 3 2 13" xfId="155" xr:uid="{4A03FE33-C6CA-4FBB-B8AB-76EABC19AC7E}"/>
    <cellStyle name="Normal 3 2 14" xfId="266" xr:uid="{6EEABCDC-C8F5-4925-A4E4-66A7927AC237}"/>
    <cellStyle name="Normal 3 2 15" xfId="283" xr:uid="{617B2680-C592-4D91-AEA8-23DC886CF0C5}"/>
    <cellStyle name="Normal 3 2 16" xfId="301" xr:uid="{52DD3487-C1FB-48F5-818B-804DF2FD70EA}"/>
    <cellStyle name="Normal 3 2 17" xfId="320" xr:uid="{8B8CAACD-0DCE-4E54-8357-21141128EAB1}"/>
    <cellStyle name="Normal 3 2 18" xfId="338" xr:uid="{F1FD098C-11D8-4827-B3B8-47DB13EAB9E9}"/>
    <cellStyle name="Normal 3 2 19" xfId="359" xr:uid="{02A2912E-A5D7-4088-B0FE-0BFF760800A3}"/>
    <cellStyle name="Normal 3 2 2" xfId="18" xr:uid="{66A158AB-7783-444C-A561-5E36DCB3778B}"/>
    <cellStyle name="Normal 3 2 2 10" xfId="284" xr:uid="{8B00A5FD-00A4-49FB-96DC-8415F7D6DA21}"/>
    <cellStyle name="Normal 3 2 2 11" xfId="302" xr:uid="{B95EAE9B-03D4-4AD4-BD1C-82C8115215EA}"/>
    <cellStyle name="Normal 3 2 2 12" xfId="321" xr:uid="{EE650EAB-79DA-45F5-98E9-2FFB34B4A208}"/>
    <cellStyle name="Normal 3 2 2 13" xfId="339" xr:uid="{2262679B-963E-49D5-94C3-0888743B6616}"/>
    <cellStyle name="Normal 3 2 2 14" xfId="360" xr:uid="{9F694DC9-F90E-4293-8031-5ECBDCBD8985}"/>
    <cellStyle name="Normal 3 2 2 15" xfId="376" xr:uid="{B4FD9A00-8000-45C0-BF60-8338CADEC14C}"/>
    <cellStyle name="Normal 3 2 2 16" xfId="396" xr:uid="{FA99A69B-5701-4F6D-85AA-C077D950E99F}"/>
    <cellStyle name="Normal 3 2 2 17" xfId="418" xr:uid="{8BEAAAEA-55D5-45E2-B547-F5DF72B59221}"/>
    <cellStyle name="Normal 3 2 2 18" xfId="436" xr:uid="{9E6E6536-676D-440C-BDE7-F819954AEE04}"/>
    <cellStyle name="Normal 3 2 2 19" xfId="1703" xr:uid="{71742F43-30E4-4AC7-B9A4-DBDB7C4D3D4B}"/>
    <cellStyle name="Normal 3 2 2 2" xfId="38" xr:uid="{E4FB057E-3211-4799-8E85-A5F8993E95E3}"/>
    <cellStyle name="Normal 3 2 2 2 2" xfId="174" xr:uid="{537608DD-3DC9-4DFA-A873-93B4E20064AC}"/>
    <cellStyle name="Normal 3 2 2 3" xfId="56" xr:uid="{E54FF883-068B-43E2-BA60-3D38C5555E62}"/>
    <cellStyle name="Normal 3 2 2 3 2" xfId="192" xr:uid="{064CD8CE-5BE2-4730-A181-872D306D700C}"/>
    <cellStyle name="Normal 3 2 2 4" xfId="74" xr:uid="{FADAC1E8-D82C-4F7A-AE3E-964873858D87}"/>
    <cellStyle name="Normal 3 2 2 4 2" xfId="210" xr:uid="{A9B4BA69-9E26-495D-B0D8-6FA011CC80CE}"/>
    <cellStyle name="Normal 3 2 2 5" xfId="90" xr:uid="{453803C7-2D88-4BE1-8B46-1B9A93502A0D}"/>
    <cellStyle name="Normal 3 2 2 5 2" xfId="226" xr:uid="{9C5F48B8-24E9-4BAA-99B2-4CDCEA022817}"/>
    <cellStyle name="Normal 3 2 2 6" xfId="108" xr:uid="{2FF4D4D1-44C5-469B-B38E-CA5B2523C95C}"/>
    <cellStyle name="Normal 3 2 2 6 2" xfId="244" xr:uid="{E15DC85F-C9BC-491B-B39C-C8A41F09F3D9}"/>
    <cellStyle name="Normal 3 2 2 7" xfId="132" xr:uid="{11E88F18-F477-4D5E-8350-51CF304DB695}"/>
    <cellStyle name="Normal 3 2 2 8" xfId="156" xr:uid="{1EB9A67D-9BD7-40B7-BB9C-FB6F11B2DC47}"/>
    <cellStyle name="Normal 3 2 2 9" xfId="267" xr:uid="{2FF515C2-468D-427B-AC7D-8E0DDA10C5B3}"/>
    <cellStyle name="Normal 3 2 20" xfId="377" xr:uid="{68A82FE2-8C1D-414A-A770-3C31F1DD4F84}"/>
    <cellStyle name="Normal 3 2 21" xfId="397" xr:uid="{6C4ABDDD-6F58-4CDC-B6E1-A1F01C29AB22}"/>
    <cellStyle name="Normal 3 2 22" xfId="417" xr:uid="{F828CBEA-5813-4772-9D71-2EDAE15BBB0D}"/>
    <cellStyle name="Normal 3 2 23" xfId="437" xr:uid="{649C0480-0D63-4E6E-9823-E603545933BD}"/>
    <cellStyle name="Normal 3 2 24" xfId="1733" xr:uid="{B23CE109-D03A-4FA4-8C00-F46BC1A2E575}"/>
    <cellStyle name="Normal 3 2 25" xfId="1726" xr:uid="{1B080F3B-6261-40C8-9719-6037532BD2F6}"/>
    <cellStyle name="Normal 3 2 3" xfId="19" xr:uid="{E8DA8BF8-E20C-4E32-966B-54307E922635}"/>
    <cellStyle name="Normal 3 2 3 10" xfId="285" xr:uid="{2B9C3DA9-7027-4CAD-93AA-DB29958821DD}"/>
    <cellStyle name="Normal 3 2 3 11" xfId="303" xr:uid="{7992FF90-5CA2-40F9-86DB-AAD538F938F9}"/>
    <cellStyle name="Normal 3 2 3 12" xfId="322" xr:uid="{EB022115-4A73-45C5-ABB0-7DE8DA8E5271}"/>
    <cellStyle name="Normal 3 2 3 13" xfId="340" xr:uid="{76C2AE56-5600-4D0E-B623-A04867D93E2C}"/>
    <cellStyle name="Normal 3 2 3 14" xfId="361" xr:uid="{824894AF-F34D-47DA-8485-04BC9ADFA4FB}"/>
    <cellStyle name="Normal 3 2 3 15" xfId="378" xr:uid="{FC9777EC-DE00-42DF-8272-260A083CF010}"/>
    <cellStyle name="Normal 3 2 3 16" xfId="398" xr:uid="{E55DB6E2-26C2-4488-815C-5B2079A797AA}"/>
    <cellStyle name="Normal 3 2 3 17" xfId="419" xr:uid="{B702470D-8DB1-4676-870E-8A1264D19D5D}"/>
    <cellStyle name="Normal 3 2 3 18" xfId="438" xr:uid="{D1B8DDA6-8FC9-4647-BFFF-C4C2415E4C5C}"/>
    <cellStyle name="Normal 3 2 3 19" xfId="587" xr:uid="{BBD2D8EB-5316-4C45-915C-5C99A44CAB01}"/>
    <cellStyle name="Normal 3 2 3 2" xfId="39" xr:uid="{D9058243-5C49-4C33-9E2F-126DC2BFDF30}"/>
    <cellStyle name="Normal 3 2 3 2 2" xfId="175" xr:uid="{8B1BCE91-ACC9-4CEC-ACDC-9557757D82B2}"/>
    <cellStyle name="Normal 3 2 3 3" xfId="57" xr:uid="{80DA7C8A-B907-40DC-8659-8D4502231760}"/>
    <cellStyle name="Normal 3 2 3 3 2" xfId="193" xr:uid="{2462904A-ED90-47FE-B196-3921E7952C79}"/>
    <cellStyle name="Normal 3 2 3 4" xfId="75" xr:uid="{96D0E002-BD5F-4CDC-BD21-67D51B3AC79E}"/>
    <cellStyle name="Normal 3 2 3 4 2" xfId="211" xr:uid="{921CB0A4-4D0D-48AE-83EF-DC362870DEAF}"/>
    <cellStyle name="Normal 3 2 3 5" xfId="91" xr:uid="{9060810B-9075-4BC4-A010-FDEEEDB56D78}"/>
    <cellStyle name="Normal 3 2 3 5 2" xfId="227" xr:uid="{F0049732-C0EB-42EB-AF5A-BB07C8272C91}"/>
    <cellStyle name="Normal 3 2 3 6" xfId="109" xr:uid="{556F7AA4-D4E2-41EB-887B-A28C9DBE0111}"/>
    <cellStyle name="Normal 3 2 3 6 2" xfId="245" xr:uid="{8EC6018E-D7A1-452F-9F11-561D122AB031}"/>
    <cellStyle name="Normal 3 2 3 7" xfId="133" xr:uid="{C93234E1-3F7F-4691-A16A-A9C6F01B8AD2}"/>
    <cellStyle name="Normal 3 2 3 8" xfId="157" xr:uid="{90671931-ACE1-4357-A8DD-D7276892C564}"/>
    <cellStyle name="Normal 3 2 3 9" xfId="268" xr:uid="{0AEBC408-C7D9-4FCD-9E7C-6E630B8B2A90}"/>
    <cellStyle name="Normal 3 2 4" xfId="20" xr:uid="{85ABD5D7-D1E3-4C22-B8CB-2A8B9BCCE8C9}"/>
    <cellStyle name="Normal 3 2 4 10" xfId="286" xr:uid="{6FD1A053-9608-43AA-9845-773A1EB46CFB}"/>
    <cellStyle name="Normal 3 2 4 11" xfId="304" xr:uid="{431505ED-6016-4D3D-A751-917C70151A76}"/>
    <cellStyle name="Normal 3 2 4 12" xfId="323" xr:uid="{1E31BEDE-3DB2-4615-8AC7-C63F784F7BBC}"/>
    <cellStyle name="Normal 3 2 4 13" xfId="341" xr:uid="{62E9B97B-37DA-4005-8B49-27DE74E77243}"/>
    <cellStyle name="Normal 3 2 4 14" xfId="362" xr:uid="{2DD7D546-E864-4291-B8DE-2CFC79487C6E}"/>
    <cellStyle name="Normal 3 2 4 15" xfId="379" xr:uid="{934847C0-BB41-4284-8193-0B7038894338}"/>
    <cellStyle name="Normal 3 2 4 16" xfId="399" xr:uid="{368C9C2C-53CA-401B-9B67-6109FC035512}"/>
    <cellStyle name="Normal 3 2 4 17" xfId="420" xr:uid="{ABA18BE0-A290-4470-A6C4-01807DE1EBB1}"/>
    <cellStyle name="Normal 3 2 4 18" xfId="439" xr:uid="{98281CF1-4845-4CD9-84AE-03D119D33A49}"/>
    <cellStyle name="Normal 3 2 4 19" xfId="1720" xr:uid="{00C81139-C017-45CB-88CA-AD26F5FCD711}"/>
    <cellStyle name="Normal 3 2 4 2" xfId="40" xr:uid="{99F53749-A1D0-45B4-9E0F-2CF884A971DF}"/>
    <cellStyle name="Normal 3 2 4 2 2" xfId="176" xr:uid="{AEC2A935-9793-4CCF-8E30-066F8C180779}"/>
    <cellStyle name="Normal 3 2 4 3" xfId="58" xr:uid="{BE03EC83-449D-4147-942F-BF009DA90BD8}"/>
    <cellStyle name="Normal 3 2 4 3 2" xfId="194" xr:uid="{821CCA70-328F-432C-9476-6A4CDC24580E}"/>
    <cellStyle name="Normal 3 2 4 4" xfId="76" xr:uid="{E073646B-289C-4534-99D6-5C05EF4B9F01}"/>
    <cellStyle name="Normal 3 2 4 4 2" xfId="212" xr:uid="{FBEE719D-3900-4040-BB07-FDD4AC625BDE}"/>
    <cellStyle name="Normal 3 2 4 5" xfId="92" xr:uid="{8F646923-DDAB-48A8-BE24-C3D358DCDDC3}"/>
    <cellStyle name="Normal 3 2 4 5 2" xfId="228" xr:uid="{5879CDA3-F630-4F2E-A495-9C50860FD36A}"/>
    <cellStyle name="Normal 3 2 4 6" xfId="110" xr:uid="{A30F413C-C10F-4A4B-BEB0-AE6AACBBFBBD}"/>
    <cellStyle name="Normal 3 2 4 6 2" xfId="246" xr:uid="{9A5A0621-B9CF-402A-9042-E1DD85224BA8}"/>
    <cellStyle name="Normal 3 2 4 7" xfId="134" xr:uid="{4D28C787-DCFE-4678-99C6-8EC91962CB91}"/>
    <cellStyle name="Normal 3 2 4 8" xfId="158" xr:uid="{6D1A7B0D-0AF1-47B7-AA0F-C47B877DC828}"/>
    <cellStyle name="Normal 3 2 4 9" xfId="269" xr:uid="{1338D6D7-7EFA-44B7-8046-C20C4CF5B703}"/>
    <cellStyle name="Normal 3 2 5" xfId="21" xr:uid="{F2849545-A971-476C-8EB1-50078FE92B7C}"/>
    <cellStyle name="Normal 3 2 5 10" xfId="287" xr:uid="{06D6CF6B-4E0B-4317-B288-CB6E00AF073F}"/>
    <cellStyle name="Normal 3 2 5 11" xfId="305" xr:uid="{0C7CFF45-AF13-4144-85EF-AFEDC908CE31}"/>
    <cellStyle name="Normal 3 2 5 12" xfId="324" xr:uid="{40D2DA70-C8CF-4B8F-99BB-A45DD71340E8}"/>
    <cellStyle name="Normal 3 2 5 13" xfId="342" xr:uid="{DC29AD94-892B-4D49-9476-F8B4CFC01346}"/>
    <cellStyle name="Normal 3 2 5 14" xfId="363" xr:uid="{3B992D62-E402-41F0-9290-54B1B84ED53B}"/>
    <cellStyle name="Normal 3 2 5 15" xfId="380" xr:uid="{54786100-D08A-465B-82CC-76DA27C4E5DD}"/>
    <cellStyle name="Normal 3 2 5 16" xfId="400" xr:uid="{6AB5F621-D468-41EC-B486-88F438D80200}"/>
    <cellStyle name="Normal 3 2 5 17" xfId="421" xr:uid="{7482224B-B450-48AB-B92D-C8D9A983556B}"/>
    <cellStyle name="Normal 3 2 5 18" xfId="440" xr:uid="{0745B6CB-F1F3-4E79-BEDB-0076D5D63CBA}"/>
    <cellStyle name="Normal 3 2 5 19" xfId="1713" xr:uid="{1B62F169-E7EB-4BFA-9099-602BEDD62A31}"/>
    <cellStyle name="Normal 3 2 5 2" xfId="41" xr:uid="{45D4E35A-6B01-4A89-87C5-8663C06D36CD}"/>
    <cellStyle name="Normal 3 2 5 2 2" xfId="177" xr:uid="{7263F663-A700-496C-AA7E-698F79BCC691}"/>
    <cellStyle name="Normal 3 2 5 3" xfId="59" xr:uid="{D06241FE-2961-4EF2-A8C0-A5761C6BB46B}"/>
    <cellStyle name="Normal 3 2 5 3 2" xfId="195" xr:uid="{EB8C923A-B2F0-47A4-840A-0E2E99AA910E}"/>
    <cellStyle name="Normal 3 2 5 4" xfId="77" xr:uid="{91E4C72B-405B-44F0-9883-FEE978E71C74}"/>
    <cellStyle name="Normal 3 2 5 4 2" xfId="213" xr:uid="{EF95848C-C16F-4C79-A6A2-713AA146E9B5}"/>
    <cellStyle name="Normal 3 2 5 5" xfId="93" xr:uid="{181E0710-1CCE-4261-B939-4CBC2F7D8C28}"/>
    <cellStyle name="Normal 3 2 5 5 2" xfId="229" xr:uid="{26878E86-C494-4302-B569-060E4A345237}"/>
    <cellStyle name="Normal 3 2 5 6" xfId="111" xr:uid="{155F45B6-ECF2-4FE6-BCD1-561897956834}"/>
    <cellStyle name="Normal 3 2 5 6 2" xfId="247" xr:uid="{01CA3F08-D325-4463-9362-002326CF01AA}"/>
    <cellStyle name="Normal 3 2 5 7" xfId="135" xr:uid="{88F8F39C-74CA-4C4F-856A-6ACE38FB7B93}"/>
    <cellStyle name="Normal 3 2 5 8" xfId="159" xr:uid="{EC65A8DA-0845-4720-B82F-2858646430BE}"/>
    <cellStyle name="Normal 3 2 5 9" xfId="270" xr:uid="{3EE8773B-2E52-4BEC-9F71-5DCA09BDE09B}"/>
    <cellStyle name="Normal 3 2 6" xfId="22" xr:uid="{ECCFCA1F-F6AF-442F-8858-29445FF4BE30}"/>
    <cellStyle name="Normal 3 2 6 10" xfId="271" xr:uid="{BBDF08B3-2BA5-4EF5-A120-216F3D7E6D5B}"/>
    <cellStyle name="Normal 3 2 6 11" xfId="288" xr:uid="{5007E54A-E0A6-4283-93C1-721A8A12E88F}"/>
    <cellStyle name="Normal 3 2 6 12" xfId="306" xr:uid="{91B39BA9-DED2-49E6-905F-CB8A5EA40F59}"/>
    <cellStyle name="Normal 3 2 6 13" xfId="325" xr:uid="{988CD024-19C9-4580-85C2-1A97B2B4A20C}"/>
    <cellStyle name="Normal 3 2 6 14" xfId="343" xr:uid="{0063C87F-A27D-4F04-9C4A-CA1B4D01C9EE}"/>
    <cellStyle name="Normal 3 2 6 15" xfId="364" xr:uid="{474AF167-BB54-4FD1-8B5F-9E936FFC0DD9}"/>
    <cellStyle name="Normal 3 2 6 16" xfId="381" xr:uid="{99E6BE14-D12C-4383-951A-C7311C4E741A}"/>
    <cellStyle name="Normal 3 2 6 17" xfId="401" xr:uid="{4C37DD1C-3370-431E-89EE-47356D2A1B80}"/>
    <cellStyle name="Normal 3 2 6 18" xfId="422" xr:uid="{9E235BE1-ADA6-4132-A4D3-D9ABA85B7768}"/>
    <cellStyle name="Normal 3 2 6 19" xfId="441" xr:uid="{657B69AC-FC37-4538-8992-962F2C87EDE0}"/>
    <cellStyle name="Normal 3 2 6 2" xfId="23" xr:uid="{E8A24BEA-0152-4230-BD88-F47F8340E167}"/>
    <cellStyle name="Normal 3 2 6 2 10" xfId="272" xr:uid="{CE30D7BE-731C-4FCC-9CE9-0B568C90EE24}"/>
    <cellStyle name="Normal 3 2 6 2 11" xfId="289" xr:uid="{F36E54D0-BCE3-4D89-8BCF-FE2F9D43AA94}"/>
    <cellStyle name="Normal 3 2 6 2 12" xfId="307" xr:uid="{B25007D1-7AFF-469E-9A33-539D56CE3BD7}"/>
    <cellStyle name="Normal 3 2 6 2 13" xfId="326" xr:uid="{44F8E595-EAD4-4E05-870A-08BE4FC6BBC0}"/>
    <cellStyle name="Normal 3 2 6 2 14" xfId="344" xr:uid="{A05948EA-40FE-4B13-84A0-322F08ECFA3A}"/>
    <cellStyle name="Normal 3 2 6 2 15" xfId="365" xr:uid="{92349FE3-A81C-4807-892B-221BE747B6A7}"/>
    <cellStyle name="Normal 3 2 6 2 16" xfId="382" xr:uid="{D960263B-66CD-4549-9F68-C86E960DE53B}"/>
    <cellStyle name="Normal 3 2 6 2 17" xfId="402" xr:uid="{0C77DC36-1E15-45AB-8107-FD7695D8088A}"/>
    <cellStyle name="Normal 3 2 6 2 18" xfId="423" xr:uid="{61388FBD-12B1-41E3-A9C4-1C75F2A8D7B7}"/>
    <cellStyle name="Normal 3 2 6 2 19" xfId="442" xr:uid="{6E7AC7F4-657D-4930-B288-A0ADD45B4916}"/>
    <cellStyle name="Normal 3 2 6 2 2" xfId="24" xr:uid="{BF64792B-F6B3-4A7E-8245-FD26B6CAB92B}"/>
    <cellStyle name="Normal 3 2 6 2 2 10" xfId="162" xr:uid="{490779F2-31F1-4474-A32F-035E68AD8CF0}"/>
    <cellStyle name="Normal 3 2 6 2 2 11" xfId="273" xr:uid="{C3FC7B71-D048-4177-950C-D76FA40AE0D2}"/>
    <cellStyle name="Normal 3 2 6 2 2 12" xfId="290" xr:uid="{49D4EA7C-FD72-453A-8AC8-9665ABC1041F}"/>
    <cellStyle name="Normal 3 2 6 2 2 13" xfId="308" xr:uid="{BD8C25BE-4125-40DD-B920-621A04BF5DEE}"/>
    <cellStyle name="Normal 3 2 6 2 2 14" xfId="327" xr:uid="{C5605ECD-B86B-4469-907E-369E12B58B4C}"/>
    <cellStyle name="Normal 3 2 6 2 2 15" xfId="345" xr:uid="{3D7DE3DA-B914-46D6-A4CF-C6C2CFED860E}"/>
    <cellStyle name="Normal 3 2 6 2 2 16" xfId="366" xr:uid="{1AA2178D-923A-47EA-B232-0C7BA4F963CE}"/>
    <cellStyle name="Normal 3 2 6 2 2 17" xfId="383" xr:uid="{1379C0D8-FFC8-40AE-8908-2F12B381F7D8}"/>
    <cellStyle name="Normal 3 2 6 2 2 18" xfId="403" xr:uid="{B7D4BB61-1C71-4249-A5A3-FC3A291B4904}"/>
    <cellStyle name="Normal 3 2 6 2 2 19" xfId="424" xr:uid="{3CE1D011-85ED-4E65-8A6B-B72F61A21239}"/>
    <cellStyle name="Normal 3 2 6 2 2 2" xfId="25" xr:uid="{4AFC12B3-28D6-462B-A625-ACF15C2BA805}"/>
    <cellStyle name="Normal 3 2 6 2 2 2 10" xfId="291" xr:uid="{0B9CD11B-B254-4794-9490-AC1468426BB2}"/>
    <cellStyle name="Normal 3 2 6 2 2 2 11" xfId="309" xr:uid="{8B3987EB-7B55-45E6-BF8A-587907D88C1D}"/>
    <cellStyle name="Normal 3 2 6 2 2 2 12" xfId="328" xr:uid="{64F863C8-87D6-4A28-9B8E-7EDD990A28D7}"/>
    <cellStyle name="Normal 3 2 6 2 2 2 13" xfId="346" xr:uid="{7EE96D6F-D601-4E81-979C-F52B2EFA66B3}"/>
    <cellStyle name="Normal 3 2 6 2 2 2 14" xfId="367" xr:uid="{44311A42-BA77-4510-85FA-0DB3A70F2689}"/>
    <cellStyle name="Normal 3 2 6 2 2 2 15" xfId="384" xr:uid="{C00405DB-95B7-489F-9E09-AD5E1883293A}"/>
    <cellStyle name="Normal 3 2 6 2 2 2 16" xfId="404" xr:uid="{C81D3BED-39D8-491B-97E0-99CB00754C16}"/>
    <cellStyle name="Normal 3 2 6 2 2 2 17" xfId="425" xr:uid="{5F662FCB-F415-4EE7-A9DA-5B693B53FF78}"/>
    <cellStyle name="Normal 3 2 6 2 2 2 18" xfId="443" xr:uid="{AE7E0229-3327-4610-9980-7A2AE363F773}"/>
    <cellStyle name="Normal 3 2 6 2 2 2 19" xfId="1723" xr:uid="{CB9DABE4-BC30-411A-9A09-3E2142816569}"/>
    <cellStyle name="Normal 3 2 6 2 2 2 2" xfId="45" xr:uid="{83C528F5-FAC7-41B4-B948-88785692BDF1}"/>
    <cellStyle name="Normal 3 2 6 2 2 2 2 2" xfId="181" xr:uid="{ACB77A41-1764-4E81-8FD9-A30D465CA559}"/>
    <cellStyle name="Normal 3 2 6 2 2 2 3" xfId="63" xr:uid="{F896AA07-1E35-4E10-B1AB-8749FFB326AC}"/>
    <cellStyle name="Normal 3 2 6 2 2 2 3 2" xfId="199" xr:uid="{E2807137-DCCC-4879-B1F6-0B3084B49600}"/>
    <cellStyle name="Normal 3 2 6 2 2 2 4" xfId="81" xr:uid="{68DA08DA-C300-4180-959A-B1E563C9B1A2}"/>
    <cellStyle name="Normal 3 2 6 2 2 2 4 2" xfId="217" xr:uid="{F67BADA4-1EF3-4FB8-A821-BCDE1E2A1499}"/>
    <cellStyle name="Normal 3 2 6 2 2 2 5" xfId="94" xr:uid="{AA6E2A79-7AA4-44F2-9490-4369C836E99C}"/>
    <cellStyle name="Normal 3 2 6 2 2 2 5 2" xfId="230" xr:uid="{C40F14B8-7F4D-42E3-8301-57B3CF05FFBC}"/>
    <cellStyle name="Normal 3 2 6 2 2 2 6" xfId="112" xr:uid="{840C2804-B463-4D0B-A03C-ABFE2A8B1522}"/>
    <cellStyle name="Normal 3 2 6 2 2 2 6 2" xfId="248" xr:uid="{3CC38A9C-28BB-4C34-8528-B03188C2FE90}"/>
    <cellStyle name="Normal 3 2 6 2 2 2 7" xfId="139" xr:uid="{34382871-E405-4D8F-9CE2-4FD03D53729A}"/>
    <cellStyle name="Normal 3 2 6 2 2 2 8" xfId="163" xr:uid="{36368085-4665-46E7-922E-944192D13B9B}"/>
    <cellStyle name="Normal 3 2 6 2 2 2 9" xfId="274" xr:uid="{45CF7AC9-79FB-4814-9410-95192C953FB2}"/>
    <cellStyle name="Normal 3 2 6 2 2 20" xfId="444" xr:uid="{F939BEFB-F423-4CC4-A0AD-F69C3E15754C}"/>
    <cellStyle name="Normal 3 2 6 2 2 21" xfId="1730" xr:uid="{8D99747B-06F5-4D74-8F4D-804D4DB72089}"/>
    <cellStyle name="Normal 3 2 6 2 2 3" xfId="26" xr:uid="{4AC21664-B3EB-40E8-A1D8-260E8C5AE0CB}"/>
    <cellStyle name="Normal 3 2 6 2 2 3 10" xfId="95" xr:uid="{784CA5E7-0203-4785-8A01-EAA29BC4A32A}"/>
    <cellStyle name="Normal 3 2 6 2 2 3 10 2" xfId="231" xr:uid="{C8D48427-3395-432A-A555-4ACC5D475C59}"/>
    <cellStyle name="Normal 3 2 6 2 2 3 11" xfId="113" xr:uid="{29894B7B-066A-42AF-9624-8A73F091E07E}"/>
    <cellStyle name="Normal 3 2 6 2 2 3 11 2" xfId="249" xr:uid="{58F9A762-8869-4C29-BE8A-5479ADEFB364}"/>
    <cellStyle name="Normal 3 2 6 2 2 3 12" xfId="129" xr:uid="{8C3290CD-BE03-4B26-9441-B13EF044DA3C}"/>
    <cellStyle name="Normal 3 2 6 2 2 3 13" xfId="164" xr:uid="{926CA727-1A32-4823-A182-03076A29DD86}"/>
    <cellStyle name="Normal 3 2 6 2 2 3 14" xfId="264" xr:uid="{5978A61F-8E68-4D41-873A-28517846B0A0}"/>
    <cellStyle name="Normal 3 2 6 2 2 3 15" xfId="292" xr:uid="{03DB4146-584B-4EF7-B100-F88EFBFEF11B}"/>
    <cellStyle name="Normal 3 2 6 2 2 3 16" xfId="310" xr:uid="{FB94B3EA-5B66-4A9D-AD21-9860D99D1CF7}"/>
    <cellStyle name="Normal 3 2 6 2 2 3 17" xfId="329" xr:uid="{3FF03404-6754-46C9-99A4-F0005A39C050}"/>
    <cellStyle name="Normal 3 2 6 2 2 3 18" xfId="347" xr:uid="{3FF134B4-3C6E-4CC8-82BA-0B338F1ACF11}"/>
    <cellStyle name="Normal 3 2 6 2 2 3 19" xfId="357" xr:uid="{3F49718E-A1D9-41A5-928B-809833A8B6EB}"/>
    <cellStyle name="Normal 3 2 6 2 2 3 2" xfId="27" xr:uid="{0E06D26D-8112-44A0-AC7A-919F08E885E3}"/>
    <cellStyle name="Normal 3 2 6 2 2 3 2 10" xfId="293" xr:uid="{4B40DE67-3573-434B-A450-3E409385E7EC}"/>
    <cellStyle name="Normal 3 2 6 2 2 3 2 11" xfId="311" xr:uid="{6D0D1701-9C38-4C64-8E08-EB3CE2396A17}"/>
    <cellStyle name="Normal 3 2 6 2 2 3 2 12" xfId="330" xr:uid="{FD850E53-E93B-4580-AA4D-BDD4369033F7}"/>
    <cellStyle name="Normal 3 2 6 2 2 3 2 13" xfId="348" xr:uid="{C0FEE9A3-62D8-40AC-BD22-C36842654807}"/>
    <cellStyle name="Normal 3 2 6 2 2 3 2 14" xfId="368" xr:uid="{AE8DB461-C7AE-42FA-8C52-B7242A61E83D}"/>
    <cellStyle name="Normal 3 2 6 2 2 3 2 15" xfId="385" xr:uid="{B736F829-0440-44D0-91AD-F579EC901C7A}"/>
    <cellStyle name="Normal 3 2 6 2 2 3 2 16" xfId="405" xr:uid="{EC4842E7-DFA7-49E2-84AC-BA82239A0BB3}"/>
    <cellStyle name="Normal 3 2 6 2 2 3 2 17" xfId="427" xr:uid="{8D873119-B554-4205-A4E1-F92E64C668AE}"/>
    <cellStyle name="Normal 3 2 6 2 2 3 2 18" xfId="445" xr:uid="{CEE92B46-412A-43F8-B51C-B0E2DE80D32A}"/>
    <cellStyle name="Normal 3 2 6 2 2 3 2 19" xfId="1717" xr:uid="{96F9FB9E-BF3C-4698-8361-03B9134C1B46}"/>
    <cellStyle name="Normal 3 2 6 2 2 3 2 2" xfId="47" xr:uid="{C496E02C-94B5-40B9-AD63-3F5565B53E01}"/>
    <cellStyle name="Normal 3 2 6 2 2 3 2 2 2" xfId="183" xr:uid="{4A0B04E1-A82D-4D0A-9003-956CA3940473}"/>
    <cellStyle name="Normal 3 2 6 2 2 3 2 3" xfId="65" xr:uid="{04166083-9DB4-46A1-9DFC-3AB43DACED3D}"/>
    <cellStyle name="Normal 3 2 6 2 2 3 2 3 2" xfId="201" xr:uid="{F59AD30A-DCA5-4880-AF7A-CB901A206515}"/>
    <cellStyle name="Normal 3 2 6 2 2 3 2 4" xfId="82" xr:uid="{B7FA1558-78F7-4D27-95DA-8D3727D632B2}"/>
    <cellStyle name="Normal 3 2 6 2 2 3 2 4 2" xfId="218" xr:uid="{CB9A1A20-F938-4D05-9E9D-5E138D40A090}"/>
    <cellStyle name="Normal 3 2 6 2 2 3 2 5" xfId="96" xr:uid="{96E62B35-1F10-4666-A845-3B1F266A9BC8}"/>
    <cellStyle name="Normal 3 2 6 2 2 3 2 5 2" xfId="232" xr:uid="{6EB256EF-F2A3-47AB-B03F-F2468CA92574}"/>
    <cellStyle name="Normal 3 2 6 2 2 3 2 6" xfId="114" xr:uid="{9125ADCA-628F-4DD9-8530-93EDC26450B7}"/>
    <cellStyle name="Normal 3 2 6 2 2 3 2 6 2" xfId="250" xr:uid="{B95C1139-071F-4FA3-815E-00B7EDFA42DA}"/>
    <cellStyle name="Normal 3 2 6 2 2 3 2 7" xfId="140" xr:uid="{B6306DEE-00D9-48F8-9A64-B4E9B4079F19}"/>
    <cellStyle name="Normal 3 2 6 2 2 3 2 8" xfId="165" xr:uid="{855EF32B-E1E6-4CE0-B9C2-726B611F3D98}"/>
    <cellStyle name="Normal 3 2 6 2 2 3 2 9" xfId="275" xr:uid="{F915CCB3-5CF4-4F3B-97FE-1D9B479DCF77}"/>
    <cellStyle name="Normal 3 2 6 2 2 3 20" xfId="386" xr:uid="{2C674CAD-0669-423E-BBAF-8D79F925B1B1}"/>
    <cellStyle name="Normal 3 2 6 2 2 3 21" xfId="406" xr:uid="{386AAE1E-169B-4DCE-B1CE-6FD2908BA816}"/>
    <cellStyle name="Normal 3 2 6 2 2 3 22" xfId="426" xr:uid="{2193F643-58FD-4820-A450-50430158EB7A}"/>
    <cellStyle name="Normal 3 2 6 2 2 3 23" xfId="446" xr:uid="{FCE18604-B6D1-4FB1-97A8-3A1619A3F9B6}"/>
    <cellStyle name="Normal 3 2 6 2 2 3 24" xfId="1732" xr:uid="{60CF9202-18C5-42E9-9D5D-21CFD40A5EA9}"/>
    <cellStyle name="Normal 3 2 6 2 2 3 3" xfId="28" xr:uid="{22C6AFD8-B446-4DE9-9486-23A2A70A9E75}"/>
    <cellStyle name="Normal 3 2 6 2 2 3 3 10" xfId="294" xr:uid="{C712D06E-5407-43B8-B1B7-7FFA7DD9EBC4}"/>
    <cellStyle name="Normal 3 2 6 2 2 3 3 11" xfId="312" xr:uid="{C753D6DF-0705-49AD-9E29-490749F3122B}"/>
    <cellStyle name="Normal 3 2 6 2 2 3 3 12" xfId="331" xr:uid="{099AB135-AEDD-49FE-9CE7-6E665DC54B21}"/>
    <cellStyle name="Normal 3 2 6 2 2 3 3 13" xfId="349" xr:uid="{9C0E9913-5767-43F1-BC5E-9CF2DC0FCDA4}"/>
    <cellStyle name="Normal 3 2 6 2 2 3 3 14" xfId="369" xr:uid="{D002F31A-1017-4069-897A-8E61B8EE62A2}"/>
    <cellStyle name="Normal 3 2 6 2 2 3 3 15" xfId="387" xr:uid="{ACBB3CCA-EE3C-425B-921C-90EC558E2289}"/>
    <cellStyle name="Normal 3 2 6 2 2 3 3 16" xfId="407" xr:uid="{D6042344-B0D5-4221-A740-8913A0E23816}"/>
    <cellStyle name="Normal 3 2 6 2 2 3 3 17" xfId="428" xr:uid="{2894916E-C18F-4775-B3AC-3EA3CE72A7E7}"/>
    <cellStyle name="Normal 3 2 6 2 2 3 3 18" xfId="447" xr:uid="{3104E4BE-162C-46FF-A5CB-1CCB873F4EBE}"/>
    <cellStyle name="Normal 3 2 6 2 2 3 3 19" xfId="1719" xr:uid="{7DCB188F-4C7A-4764-B658-7970E5D9D42E}"/>
    <cellStyle name="Normal 3 2 6 2 2 3 3 2" xfId="48" xr:uid="{273D9096-DCB8-4D24-BB1C-F12A7E9751F5}"/>
    <cellStyle name="Normal 3 2 6 2 2 3 3 2 2" xfId="184" xr:uid="{75C781B0-1661-4269-9A12-61FB8D8042FD}"/>
    <cellStyle name="Normal 3 2 6 2 2 3 3 3" xfId="66" xr:uid="{284BFB90-8696-4A75-BAE7-C23E11801EE9}"/>
    <cellStyle name="Normal 3 2 6 2 2 3 3 3 2" xfId="202" xr:uid="{D7A12611-9F51-49B1-AAB1-811BB6FF8794}"/>
    <cellStyle name="Normal 3 2 6 2 2 3 3 4" xfId="83" xr:uid="{A10BEDB2-C3DD-4C41-AB99-D611D9D95A02}"/>
    <cellStyle name="Normal 3 2 6 2 2 3 3 4 2" xfId="219" xr:uid="{97FDA16D-BEF6-4932-B71D-5789958494EC}"/>
    <cellStyle name="Normal 3 2 6 2 2 3 3 5" xfId="97" xr:uid="{C7EC7B60-E55A-43FF-B0F4-C0B6DEC91F52}"/>
    <cellStyle name="Normal 3 2 6 2 2 3 3 5 2" xfId="233" xr:uid="{28947025-37BB-415C-9A34-2F4CAF5F1A34}"/>
    <cellStyle name="Normal 3 2 6 2 2 3 3 6" xfId="115" xr:uid="{4ED65D54-5246-48BA-9A3D-DE0EE7A710DE}"/>
    <cellStyle name="Normal 3 2 6 2 2 3 3 6 2" xfId="251" xr:uid="{104F6675-06C4-4B58-BB0B-578FBC98BCAB}"/>
    <cellStyle name="Normal 3 2 6 2 2 3 3 7" xfId="141" xr:uid="{7DAEC8A1-80B3-4181-9C9C-81045D74706E}"/>
    <cellStyle name="Normal 3 2 6 2 2 3 3 8" xfId="166" xr:uid="{BB6051AE-9FB3-4528-9667-9ACE105764A8}"/>
    <cellStyle name="Normal 3 2 6 2 2 3 3 9" xfId="276" xr:uid="{6377E687-B2FA-4C71-988E-5732A019E951}"/>
    <cellStyle name="Normal 3 2 6 2 2 3 4" xfId="29" xr:uid="{5513F73F-8894-4480-A635-26498657FDD2}"/>
    <cellStyle name="Normal 3 2 6 2 2 3 4 10" xfId="295" xr:uid="{BD88D5C4-18EE-40B5-9DE7-406263F60A62}"/>
    <cellStyle name="Normal 3 2 6 2 2 3 4 11" xfId="313" xr:uid="{AA86A9BB-8D7D-4313-9C8B-47C041B8A9C8}"/>
    <cellStyle name="Normal 3 2 6 2 2 3 4 12" xfId="332" xr:uid="{6FAFF550-35C6-4D15-8518-0A0FFB12E366}"/>
    <cellStyle name="Normal 3 2 6 2 2 3 4 13" xfId="350" xr:uid="{CA373E20-3711-447A-B406-BC8023728F8C}"/>
    <cellStyle name="Normal 3 2 6 2 2 3 4 14" xfId="371" xr:uid="{FACD32B2-4A93-40F6-8D95-F32AFA688D40}"/>
    <cellStyle name="Normal 3 2 6 2 2 3 4 15" xfId="388" xr:uid="{5B54122F-284D-46BF-81AE-BD4C6896BC91}"/>
    <cellStyle name="Normal 3 2 6 2 2 3 4 16" xfId="408" xr:uid="{838DE17A-F72D-4529-91D2-C7EA4C8C436E}"/>
    <cellStyle name="Normal 3 2 6 2 2 3 4 17" xfId="429" xr:uid="{BDAC5898-E222-4163-B100-C3FEE7629720}"/>
    <cellStyle name="Normal 3 2 6 2 2 3 4 18" xfId="448" xr:uid="{9C0EBBCF-4095-4A76-BBBF-F4170974C77B}"/>
    <cellStyle name="Normal 3 2 6 2 2 3 4 19" xfId="1727" xr:uid="{D1C3FBC6-8CCF-47C8-870C-94BFB3172453}"/>
    <cellStyle name="Normal 3 2 6 2 2 3 4 2" xfId="49" xr:uid="{995AB8AE-6E75-491F-886E-34D724F48261}"/>
    <cellStyle name="Normal 3 2 6 2 2 3 4 2 2" xfId="185" xr:uid="{CEBE2B10-6761-498A-A158-C8FBFC9F39F3}"/>
    <cellStyle name="Normal 3 2 6 2 2 3 4 3" xfId="67" xr:uid="{589CFCDB-BC6D-492E-80CD-C26BDCBEFD0E}"/>
    <cellStyle name="Normal 3 2 6 2 2 3 4 3 2" xfId="203" xr:uid="{DC95BD03-B6E1-4109-B174-C3C444C1477B}"/>
    <cellStyle name="Normal 3 2 6 2 2 3 4 4" xfId="85" xr:uid="{118DBEED-0FF9-4270-8722-D29943408413}"/>
    <cellStyle name="Normal 3 2 6 2 2 3 4 4 2" xfId="221" xr:uid="{FDB26FB1-76BF-4589-B1F5-C0AB7A4DE4D7}"/>
    <cellStyle name="Normal 3 2 6 2 2 3 4 5" xfId="98" xr:uid="{36DCFE44-AAC3-45B0-86E3-AD010A81C259}"/>
    <cellStyle name="Normal 3 2 6 2 2 3 4 5 2" xfId="234" xr:uid="{B51DB64D-8924-42A6-AF00-6A726FD7A279}"/>
    <cellStyle name="Normal 3 2 6 2 2 3 4 6" xfId="116" xr:uid="{27842690-3633-4396-84FA-380CC324F538}"/>
    <cellStyle name="Normal 3 2 6 2 2 3 4 6 2" xfId="252" xr:uid="{D78E8E1A-7947-41F2-A1F1-B5963806ACDE}"/>
    <cellStyle name="Normal 3 2 6 2 2 3 4 7" xfId="143" xr:uid="{4EB1EFBD-D1C0-4752-9BDF-F8D36A244875}"/>
    <cellStyle name="Normal 3 2 6 2 2 3 4 8" xfId="167" xr:uid="{275CAB44-C6AD-44D7-8D2C-26F4948231FD}"/>
    <cellStyle name="Normal 3 2 6 2 2 3 4 9" xfId="278" xr:uid="{B9A54E6C-566E-49ED-AABF-EEB45CE7D6DD}"/>
    <cellStyle name="Normal 3 2 6 2 2 3 5" xfId="30" xr:uid="{4E99EBF8-E720-46F3-AAFB-3B11C9BCEF9D}"/>
    <cellStyle name="Normal 3 2 6 2 2 3 5 10" xfId="279" xr:uid="{BEBB8C7D-308D-41D7-A61C-713C20EE040E}"/>
    <cellStyle name="Normal 3 2 6 2 2 3 5 11" xfId="296" xr:uid="{D7129283-50CB-4EF7-8525-888FE088665E}"/>
    <cellStyle name="Normal 3 2 6 2 2 3 5 12" xfId="314" xr:uid="{82DA4395-D248-4E0D-BC61-C734FC4EFA3C}"/>
    <cellStyle name="Normal 3 2 6 2 2 3 5 13" xfId="333" xr:uid="{0D695AF2-D942-466D-9A8D-7B12FD693472}"/>
    <cellStyle name="Normal 3 2 6 2 2 3 5 14" xfId="351" xr:uid="{488D19E7-7ABF-4FC0-A2B3-6DF57B266006}"/>
    <cellStyle name="Normal 3 2 6 2 2 3 5 15" xfId="372" xr:uid="{B5029AFE-1F74-49AD-87D4-B1F4B197ADDF}"/>
    <cellStyle name="Normal 3 2 6 2 2 3 5 16" xfId="389" xr:uid="{0A03BB66-1CAF-403B-8572-4EB82B3410F9}"/>
    <cellStyle name="Normal 3 2 6 2 2 3 5 17" xfId="409" xr:uid="{E8510CFA-402F-4BE9-8C91-2E362FB04444}"/>
    <cellStyle name="Normal 3 2 6 2 2 3 5 18" xfId="430" xr:uid="{14E7C875-658C-4002-B9CD-1E9EC410897A}"/>
    <cellStyle name="Normal 3 2 6 2 2 3 5 19" xfId="449" xr:uid="{658906DF-2CC2-4FB8-925F-7CB378AABB26}"/>
    <cellStyle name="Normal 3 2 6 2 2 3 5 2" xfId="31" xr:uid="{035C06BD-7B12-44FF-9292-B118906BB8F4}"/>
    <cellStyle name="Normal 3 2 6 2 2 3 5 2 10" xfId="297" xr:uid="{E5AAD3A3-2F07-4F2C-A934-FA9E78D29A53}"/>
    <cellStyle name="Normal 3 2 6 2 2 3 5 2 11" xfId="315" xr:uid="{926FFAFF-6916-421A-BBE8-562EBD1F7530}"/>
    <cellStyle name="Normal 3 2 6 2 2 3 5 2 12" xfId="334" xr:uid="{EBE95F5E-8365-47A7-B326-DEF817A0FB45}"/>
    <cellStyle name="Normal 3 2 6 2 2 3 5 2 13" xfId="352" xr:uid="{B3950CF1-7926-412E-A5E8-4EF82C3F69B4}"/>
    <cellStyle name="Normal 3 2 6 2 2 3 5 2 14" xfId="373" xr:uid="{1362F4EF-E0F3-44CB-96BC-EEA427B1D05A}"/>
    <cellStyle name="Normal 3 2 6 2 2 3 5 2 15" xfId="390" xr:uid="{2AFEC1F2-E2DB-4ED9-A471-2FF017AB1162}"/>
    <cellStyle name="Normal 3 2 6 2 2 3 5 2 16" xfId="410" xr:uid="{A6D72B49-CE1C-47C8-AE7C-9FDEF419B3D4}"/>
    <cellStyle name="Normal 3 2 6 2 2 3 5 2 17" xfId="431" xr:uid="{BD05AE55-1DEF-4BF6-9964-6D01E79BCFD7}"/>
    <cellStyle name="Normal 3 2 6 2 2 3 5 2 18" xfId="450" xr:uid="{6047FF0B-B1CC-4E5E-9BD3-1242A097AE1D}"/>
    <cellStyle name="Normal 3 2 6 2 2 3 5 2 19" xfId="1736" xr:uid="{36E00229-CD6E-4FEA-8D40-ADC504CA8FD8}"/>
    <cellStyle name="Normal 3 2 6 2 2 3 5 2 2" xfId="51" xr:uid="{A7E62019-380F-42B7-BB31-F0A472A5478F}"/>
    <cellStyle name="Normal 3 2 6 2 2 3 5 2 2 2" xfId="187" xr:uid="{22571517-22D4-4D70-86A0-844E6CCA0C04}"/>
    <cellStyle name="Normal 3 2 6 2 2 3 5 2 3" xfId="69" xr:uid="{07BEE194-5A1C-420C-9FC2-53CA63EF0D7D}"/>
    <cellStyle name="Normal 3 2 6 2 2 3 5 2 3 2" xfId="205" xr:uid="{3053A8E0-9533-4477-8988-B568C3CD78DA}"/>
    <cellStyle name="Normal 3 2 6 2 2 3 5 2 4" xfId="87" xr:uid="{E37D5496-91FC-4324-9521-24EF965EAB8A}"/>
    <cellStyle name="Normal 3 2 6 2 2 3 5 2 4 2" xfId="223" xr:uid="{55D0A294-74A1-4723-91FA-A57D27258C7C}"/>
    <cellStyle name="Normal 3 2 6 2 2 3 5 2 5" xfId="99" xr:uid="{82594A37-C9E5-42A5-B9E8-41234CD7E9B8}"/>
    <cellStyle name="Normal 3 2 6 2 2 3 5 2 5 2" xfId="235" xr:uid="{81915CAA-2548-4AB0-9EE0-B34DA93CAC0C}"/>
    <cellStyle name="Normal 3 2 6 2 2 3 5 2 6" xfId="117" xr:uid="{099F220A-A8FC-461B-8397-205592157273}"/>
    <cellStyle name="Normal 3 2 6 2 2 3 5 2 6 2" xfId="253" xr:uid="{447BDA80-8F05-4725-943D-2CA8EAAA4146}"/>
    <cellStyle name="Normal 3 2 6 2 2 3 5 2 7" xfId="145" xr:uid="{C18B4FA3-F254-48F1-AF0A-36CC944D8FD5}"/>
    <cellStyle name="Normal 3 2 6 2 2 3 5 2 8" xfId="169" xr:uid="{0AA7EE82-3AC1-4E26-A8E6-06562C4C7499}"/>
    <cellStyle name="Normal 3 2 6 2 2 3 5 2 9" xfId="280" xr:uid="{7C2E1665-2B5F-4598-8133-E6F11187AD66}"/>
    <cellStyle name="Normal 3 2 6 2 2 3 5 20" xfId="1722" xr:uid="{5E2B40E6-163E-4C55-93A6-F5374BEADD21}"/>
    <cellStyle name="Normal 3 2 6 2 2 3 5 3" xfId="50" xr:uid="{483BE5FF-A618-49A8-9991-899A6168A15A}"/>
    <cellStyle name="Normal 3 2 6 2 2 3 5 3 2" xfId="186" xr:uid="{0A2AA2DF-8831-477A-9C4F-8185569E4488}"/>
    <cellStyle name="Normal 3 2 6 2 2 3 5 4" xfId="68" xr:uid="{216D0BCE-6C4F-4EFA-8222-D2D7A6591D0A}"/>
    <cellStyle name="Normal 3 2 6 2 2 3 5 4 2" xfId="204" xr:uid="{A367FF28-B3AC-466F-BFB2-9CFB90E17E32}"/>
    <cellStyle name="Normal 3 2 6 2 2 3 5 5" xfId="86" xr:uid="{018A4E27-8EA1-43E3-9C95-D656C6BF03D8}"/>
    <cellStyle name="Normal 3 2 6 2 2 3 5 5 2" xfId="222" xr:uid="{6D7639BE-610B-457B-853B-9F7E80FDEFF4}"/>
    <cellStyle name="Normal 3 2 6 2 2 3 5 6" xfId="100" xr:uid="{9E6DA807-17C2-449B-99F2-146D887FD220}"/>
    <cellStyle name="Normal 3 2 6 2 2 3 5 6 2" xfId="236" xr:uid="{E66916C8-DF16-409C-BEEC-B631A8A85193}"/>
    <cellStyle name="Normal 3 2 6 2 2 3 5 7" xfId="118" xr:uid="{B5586CF6-3E46-4C53-A423-346884935594}"/>
    <cellStyle name="Normal 3 2 6 2 2 3 5 7 2" xfId="254" xr:uid="{7B829538-C052-4A2E-A0F2-8B8DF129FE36}"/>
    <cellStyle name="Normal 3 2 6 2 2 3 5 8" xfId="144" xr:uid="{56FBE4DD-F19E-4B1E-92C5-9D58FED01B17}"/>
    <cellStyle name="Normal 3 2 6 2 2 3 5 9" xfId="168" xr:uid="{3B564793-023A-466A-A696-163FF5F486E0}"/>
    <cellStyle name="Normal 3 2 6 2 2 3 6" xfId="15" xr:uid="{19135B1B-A1D7-4795-925F-6E0320B562D8}"/>
    <cellStyle name="Normal 3 2 6 2 2 3 6 10" xfId="298" xr:uid="{F89E573F-78EC-4AD8-8CF8-0F13D25E053A}"/>
    <cellStyle name="Normal 3 2 6 2 2 3 6 11" xfId="316" xr:uid="{B344DA11-3946-4967-8D66-BE5DF9162B5F}"/>
    <cellStyle name="Normal 3 2 6 2 2 3 6 12" xfId="318" xr:uid="{325FE350-85BE-43FD-8C6D-2D3F6A67CE02}"/>
    <cellStyle name="Normal 3 2 6 2 2 3 6 13" xfId="336" xr:uid="{2993DBEA-8A9B-400F-9114-DB5EDD5C6AD0}"/>
    <cellStyle name="Normal 3 2 6 2 2 3 6 14" xfId="370" xr:uid="{73793557-DCCE-40FD-B465-598E7124476D}"/>
    <cellStyle name="Normal 3 2 6 2 2 3 6 15" xfId="391" xr:uid="{3CCDD0E3-8311-4427-A556-0FF482D2B11E}"/>
    <cellStyle name="Normal 3 2 6 2 2 3 6 16" xfId="411" xr:uid="{46B87D47-CD46-472B-8A8D-D097F4F964A9}"/>
    <cellStyle name="Normal 3 2 6 2 2 3 6 17" xfId="415" xr:uid="{8AF19D92-3C80-4E10-A5A9-3793EDACB467}"/>
    <cellStyle name="Normal 3 2 6 2 2 3 6 18" xfId="451" xr:uid="{E86F87D6-F570-4E98-AA98-3BB45A59330B}"/>
    <cellStyle name="Normal 3 2 6 2 2 3 6 19" xfId="1715" xr:uid="{83F53C29-E162-4DE7-8758-29B258157D16}"/>
    <cellStyle name="Normal 3 2 6 2 2 3 6 2" xfId="35" xr:uid="{A9946D2F-F23F-466E-859E-0E38D2C73A68}"/>
    <cellStyle name="Normal 3 2 6 2 2 3 6 2 2" xfId="171" xr:uid="{C0AD8014-0889-40AA-8156-2B19F0952671}"/>
    <cellStyle name="Normal 3 2 6 2 2 3 6 3" xfId="53" xr:uid="{982B952C-691C-4CA8-BDCC-468260457AFB}"/>
    <cellStyle name="Normal 3 2 6 2 2 3 6 3 2" xfId="189" xr:uid="{78A8E753-3227-4BE2-A6F8-32F4ADCF2A82}"/>
    <cellStyle name="Normal 3 2 6 2 2 3 6 4" xfId="84" xr:uid="{5D7CF1A0-76FB-4F1F-A1C3-E3311FFB58A0}"/>
    <cellStyle name="Normal 3 2 6 2 2 3 6 4 2" xfId="220" xr:uid="{BCE782E4-8A1B-4448-8734-3DA1E16EE20E}"/>
    <cellStyle name="Normal 3 2 6 2 2 3 6 5" xfId="101" xr:uid="{1DCDD3B4-28D2-4FE2-B022-13EA882B3360}"/>
    <cellStyle name="Normal 3 2 6 2 2 3 6 5 2" xfId="237" xr:uid="{C8C8DD42-54E3-4D31-896E-AA1440B14289}"/>
    <cellStyle name="Normal 3 2 6 2 2 3 6 6" xfId="119" xr:uid="{1BF06C3E-1318-4AB7-AE1E-404D6EFE8435}"/>
    <cellStyle name="Normal 3 2 6 2 2 3 6 6 2" xfId="255" xr:uid="{4B5D5212-FB8E-4C6A-8A14-079F8505EE36}"/>
    <cellStyle name="Normal 3 2 6 2 2 3 6 7" xfId="142" xr:uid="{2BE42948-FE71-43CF-9D1E-1C78EEC88BF7}"/>
    <cellStyle name="Normal 3 2 6 2 2 3 6 8" xfId="153" xr:uid="{131C45B1-AA3B-4379-A999-B80DD54E5AE7}"/>
    <cellStyle name="Normal 3 2 6 2 2 3 6 9" xfId="277" xr:uid="{2E7856CB-9992-4C33-8C44-DA539E7DFD0B}"/>
    <cellStyle name="Normal 3 2 6 2 2 3 7" xfId="46" xr:uid="{0BA2E124-BEAA-4812-B047-5A6B4D153B25}"/>
    <cellStyle name="Normal 3 2 6 2 2 3 7 2" xfId="182" xr:uid="{AE22BCEF-06FD-4D81-8C66-AB8927A0D6AB}"/>
    <cellStyle name="Normal 3 2 6 2 2 3 8" xfId="64" xr:uid="{1557CD5C-BEFE-4D7F-9A46-40AF2184E360}"/>
    <cellStyle name="Normal 3 2 6 2 2 3 8 2" xfId="200" xr:uid="{D802A37F-E562-42A3-B580-A4C62A43EB71}"/>
    <cellStyle name="Normal 3 2 6 2 2 3 9" xfId="71" xr:uid="{7970B0C4-4CC8-4CE7-B0C3-7B0D65DE0184}"/>
    <cellStyle name="Normal 3 2 6 2 2 3 9 2" xfId="207" xr:uid="{32280CA8-9527-4166-8DB8-1EFF08DAACD0}"/>
    <cellStyle name="Normal 3 2 6 2 2 4" xfId="44" xr:uid="{B8867F9A-A7B7-451B-9054-56E92F9D6755}"/>
    <cellStyle name="Normal 3 2 6 2 2 4 2" xfId="180" xr:uid="{0A0C5819-DAB9-4797-A864-4AA036F2549C}"/>
    <cellStyle name="Normal 3 2 6 2 2 5" xfId="62" xr:uid="{A4FFA45A-CBF9-4342-8543-59B5FD1152DB}"/>
    <cellStyle name="Normal 3 2 6 2 2 5 2" xfId="198" xr:uid="{7BEC5B25-6D18-4006-85B1-14A4AA5B1343}"/>
    <cellStyle name="Normal 3 2 6 2 2 6" xfId="80" xr:uid="{305EA864-0031-40B0-B5E5-CC704D380024}"/>
    <cellStyle name="Normal 3 2 6 2 2 6 2" xfId="216" xr:uid="{2D59C41F-C599-4269-9F10-CB9FD8C97202}"/>
    <cellStyle name="Normal 3 2 6 2 2 7" xfId="102" xr:uid="{5C9B087E-0945-4BC1-8362-D69487116963}"/>
    <cellStyle name="Normal 3 2 6 2 2 7 2" xfId="238" xr:uid="{1A6CF236-F7EB-4517-B4A8-61B4EBDC8498}"/>
    <cellStyle name="Normal 3 2 6 2 2 8" xfId="120" xr:uid="{F2498C15-2BF7-4281-B603-6BB82B73016F}"/>
    <cellStyle name="Normal 3 2 6 2 2 8 2" xfId="256" xr:uid="{2C0673A6-6F54-4110-AA5A-66771C9C9B36}"/>
    <cellStyle name="Normal 3 2 6 2 2 9" xfId="138" xr:uid="{5F120E25-D500-4AEC-9E23-0E19E994D076}"/>
    <cellStyle name="Normal 3 2 6 2 20" xfId="1725" xr:uid="{73032A5F-E21C-4430-AD51-B0BCCD69A05B}"/>
    <cellStyle name="Normal 3 2 6 2 3" xfId="43" xr:uid="{2307839C-ADF7-47B7-B80A-B48FC934BA55}"/>
    <cellStyle name="Normal 3 2 6 2 3 2" xfId="179" xr:uid="{E120BD2A-943F-41E2-AFF9-F5F5ED4AB6F0}"/>
    <cellStyle name="Normal 3 2 6 2 4" xfId="61" xr:uid="{1DD9FE2E-61CE-42B9-A52A-CCDDE977F99F}"/>
    <cellStyle name="Normal 3 2 6 2 4 2" xfId="197" xr:uid="{238D382C-7874-4C3E-9FBA-BA87977D5DB1}"/>
    <cellStyle name="Normal 3 2 6 2 5" xfId="79" xr:uid="{36CB5188-6DFC-48DF-B9E9-208C931C413A}"/>
    <cellStyle name="Normal 3 2 6 2 5 2" xfId="215" xr:uid="{125F20C5-CBF1-4229-912C-C06D3785CF03}"/>
    <cellStyle name="Normal 3 2 6 2 6" xfId="103" xr:uid="{552582A5-32FE-487F-9374-001AFEBF6E65}"/>
    <cellStyle name="Normal 3 2 6 2 6 2" xfId="239" xr:uid="{3ABDC6EA-9F44-489E-80C8-66CFB8EC98F7}"/>
    <cellStyle name="Normal 3 2 6 2 7" xfId="121" xr:uid="{95E3F29E-64E3-4501-81E3-B0549E3215AF}"/>
    <cellStyle name="Normal 3 2 6 2 7 2" xfId="257" xr:uid="{8A4D5641-A239-4A3C-8B41-E9660291DCA3}"/>
    <cellStyle name="Normal 3 2 6 2 8" xfId="137" xr:uid="{2F8FBCE1-573C-434C-A6A1-1F016E5AA5BC}"/>
    <cellStyle name="Normal 3 2 6 2 9" xfId="161" xr:uid="{0530CB52-FFEE-4C00-A29C-52767FE9A52B}"/>
    <cellStyle name="Normal 3 2 6 20" xfId="1734" xr:uid="{CF126B51-D9DB-4686-818E-BDD46CB92211}"/>
    <cellStyle name="Normal 3 2 6 3" xfId="42" xr:uid="{283D63B0-3FFA-4564-A451-41344A8289E3}"/>
    <cellStyle name="Normal 3 2 6 3 2" xfId="178" xr:uid="{96A5B280-39A9-4282-A0D9-D0FB3A55CAEE}"/>
    <cellStyle name="Normal 3 2 6 4" xfId="60" xr:uid="{183CEC2D-2176-4B1E-8E1C-4803804FDC3B}"/>
    <cellStyle name="Normal 3 2 6 4 2" xfId="196" xr:uid="{1B86E93F-D2DA-4AD9-AB4C-EF301F637FA7}"/>
    <cellStyle name="Normal 3 2 6 5" xfId="78" xr:uid="{0230B261-86B7-40DB-B962-E502907B13B4}"/>
    <cellStyle name="Normal 3 2 6 5 2" xfId="214" xr:uid="{161F3BDB-3B47-4FFE-A647-4E9D85B0C455}"/>
    <cellStyle name="Normal 3 2 6 6" xfId="104" xr:uid="{AB0663B0-5E98-4D44-A41E-57EB912AE0BF}"/>
    <cellStyle name="Normal 3 2 6 6 2" xfId="240" xr:uid="{EFDAA411-E4B4-426C-B172-BA6940CB4099}"/>
    <cellStyle name="Normal 3 2 6 7" xfId="122" xr:uid="{C247CFD7-243A-4D5C-9A5A-573338E317C7}"/>
    <cellStyle name="Normal 3 2 6 7 2" xfId="258" xr:uid="{C3AB5A08-07B9-4E20-9920-52B0EB379650}"/>
    <cellStyle name="Normal 3 2 6 8" xfId="136" xr:uid="{534AE384-1EFF-4668-9C6B-33E7761FEB00}"/>
    <cellStyle name="Normal 3 2 6 9" xfId="160" xr:uid="{3E9BA496-762F-4A74-A22C-BDEBB46D859C}"/>
    <cellStyle name="Normal 3 2 7" xfId="37" xr:uid="{E07F296D-3B11-48CD-BB2A-670D5DF218F7}"/>
    <cellStyle name="Normal 3 2 7 2" xfId="173" xr:uid="{7B5F46D4-B235-49D2-9DEA-F0532787C7D8}"/>
    <cellStyle name="Normal 3 2 8" xfId="55" xr:uid="{72F29359-E005-4EF8-A917-13B453B7BF0A}"/>
    <cellStyle name="Normal 3 2 8 2" xfId="191" xr:uid="{21607F9B-04D2-4959-AA11-30871E46FAEB}"/>
    <cellStyle name="Normal 3 2 9" xfId="73" xr:uid="{D32F3A74-4453-4724-9D8A-9289F26CDA95}"/>
    <cellStyle name="Normal 3 2 9 2" xfId="209" xr:uid="{AC4F475B-AC11-48D4-BF84-C1E3E7B303A5}"/>
    <cellStyle name="Normal 3 20" xfId="452" xr:uid="{CE04D21D-D432-4515-B8E0-1003CA284C6C}"/>
    <cellStyle name="Normal 3 21" xfId="1721" xr:uid="{8F3A7530-0837-4F4F-B473-EE1F2421226C}"/>
    <cellStyle name="Normal 3 22" xfId="1718" xr:uid="{735E8E93-1A07-4D8E-96BB-DE7B97C216BC}"/>
    <cellStyle name="Normal 3 3" xfId="16" xr:uid="{B4ABB435-2947-4D4A-B7D6-15C8272F6F6F}"/>
    <cellStyle name="Normal 3 3 2" xfId="154" xr:uid="{B36703FC-936F-4ABF-BBA5-C6F0CBB9BAD8}"/>
    <cellStyle name="Normal 3 4" xfId="36" xr:uid="{343F6867-58E5-419C-B529-50D0E0C78B5A}"/>
    <cellStyle name="Normal 3 4 2" xfId="172" xr:uid="{F6CC0213-6B0C-47D6-A97C-880D1AE7FB4F}"/>
    <cellStyle name="Normal 3 5" xfId="54" xr:uid="{95002D5A-EBB5-4C21-A1A4-EE04E4BC3DB3}"/>
    <cellStyle name="Normal 3 5 2" xfId="190" xr:uid="{85FBFAED-765D-4328-BEA5-3315DC8B47B8}"/>
    <cellStyle name="Normal 3 6" xfId="72" xr:uid="{AAB77A20-870E-47BC-A2C7-21BA1492B811}"/>
    <cellStyle name="Normal 3 6 2" xfId="208" xr:uid="{08B7D0D5-4A74-4CB1-A9DE-9FB50F1EFE0C}"/>
    <cellStyle name="Normal 3 7" xfId="105" xr:uid="{B0DBE3F8-4003-4194-863B-95B99838C0E7}"/>
    <cellStyle name="Normal 3 7 2" xfId="241" xr:uid="{7B55B243-DB76-4DC5-99D1-F960FBA3DD56}"/>
    <cellStyle name="Normal 3 8" xfId="123" xr:uid="{8014E17A-D9DD-49C2-BDEC-3315FD737EBE}"/>
    <cellStyle name="Normal 3 8 2" xfId="259" xr:uid="{9AD7C7FE-2B86-4671-B51E-02C4CA576213}"/>
    <cellStyle name="Normal 3 9" xfId="130" xr:uid="{497D70B6-D9C6-4AFA-BD5A-1E536B8F69E4}"/>
    <cellStyle name="Normal 30" xfId="586" xr:uid="{7E25DF85-F172-41FE-8151-54D1AA8E10A7}"/>
    <cellStyle name="Normal 31" xfId="8" xr:uid="{1C2DAA61-8148-4C8A-B2FF-1239503A5F16}"/>
    <cellStyle name="Normal 32" xfId="1744" xr:uid="{F8C12CEB-2D07-4BD2-8FCF-4165A082691C}"/>
    <cellStyle name="Normal 33" xfId="1745" xr:uid="{5ACAB581-64B0-486D-8FAA-1E372D9FD00A}"/>
    <cellStyle name="Normal 34" xfId="1774" xr:uid="{66776085-5487-4D44-985A-3DB7036516FA}"/>
    <cellStyle name="Normal 35" xfId="1749" xr:uid="{B84CB74C-06CB-439F-AF34-0F9924A1463D}"/>
    <cellStyle name="Normal 36" xfId="1782" xr:uid="{EE620CED-7BC1-484D-8C5E-4817891CE6BA}"/>
    <cellStyle name="Normal 37" xfId="1790" xr:uid="{77A60B67-A536-4A83-9794-96A28AFEA396}"/>
    <cellStyle name="Normal 38" xfId="1870" xr:uid="{561798CA-5094-4A58-A370-8976CBEA601A}"/>
    <cellStyle name="Normal 4" xfId="14" xr:uid="{1AD8FF01-6258-4512-BC42-8B42DA0A68C1}"/>
    <cellStyle name="Normal 4 2" xfId="588" xr:uid="{EF5E38AF-28B3-45C9-B3B9-308033C0FFCC}"/>
    <cellStyle name="Normal 4 3" xfId="589" xr:uid="{63B553A8-B844-45DA-AF40-A080513C5078}"/>
    <cellStyle name="Normal 4 3 2" xfId="697" xr:uid="{8372DA6F-A95A-4D58-843E-1D7220BD3B27}"/>
    <cellStyle name="Normal 4 3 2 2" xfId="1015" xr:uid="{A66069A8-7E73-4D8D-8402-F06074E1C3DB}"/>
    <cellStyle name="Normal 4 3 2 2 2" xfId="1582" xr:uid="{BCA348D7-3378-4EDD-8B36-1E2DBBAE4553}"/>
    <cellStyle name="Normal 4 3 2 3" xfId="1264" xr:uid="{DF97851F-EF49-42B3-88BF-67847A8BC403}"/>
    <cellStyle name="Normal 4 3 3" xfId="776" xr:uid="{02F09966-7263-4847-8160-53DBD9140571}"/>
    <cellStyle name="Normal 4 3 3 2" xfId="1094" xr:uid="{E9AD3F81-D7C4-4218-A27F-08438DFA31C2}"/>
    <cellStyle name="Normal 4 3 3 2 2" xfId="1661" xr:uid="{1D843126-D496-4B44-AF77-93E8F156B816}"/>
    <cellStyle name="Normal 4 3 3 3" xfId="1343" xr:uid="{0CF0D1EC-DC74-4174-B9B8-54FC92863E81}"/>
    <cellStyle name="Normal 4 3 4" xfId="936" xr:uid="{6A8591B3-7E40-4F54-8F19-41AF18242B90}"/>
    <cellStyle name="Normal 4 3 4 2" xfId="1503" xr:uid="{A290A61A-52CA-478D-B495-D870E6FEB08C}"/>
    <cellStyle name="Normal 4 3 5" xfId="857" xr:uid="{80FE9A06-4181-4B88-929D-C3417E486FAE}"/>
    <cellStyle name="Normal 4 3 5 2" xfId="1424" xr:uid="{D39381B0-C03E-4AD6-9485-2B3D79C63D50}"/>
    <cellStyle name="Normal 4 3 6" xfId="1181" xr:uid="{6A36FF0D-7A7E-462B-AA5B-CD7FA2413DCE}"/>
    <cellStyle name="Normal 48" xfId="590" xr:uid="{AF3D6044-725D-4EBB-A5C6-917C69D0D78D}"/>
    <cellStyle name="Normal 5" xfId="32" xr:uid="{76E5E055-0C0B-4CF0-9DD3-916AC4C4AA4D}"/>
    <cellStyle name="Normal 5 2" xfId="629" xr:uid="{8B466303-3458-4480-97A0-E96BD21073EF}"/>
    <cellStyle name="Normal 5 3" xfId="698" xr:uid="{2D9C3A2C-C33A-42F9-9363-11566795A5AF}"/>
    <cellStyle name="Normal 5 3 2" xfId="1016" xr:uid="{C6479A7D-9848-46EB-9668-469E97C25920}"/>
    <cellStyle name="Normal 5 3 2 2" xfId="1583" xr:uid="{2104C0BB-D8C9-4465-90FA-2DC005303FD7}"/>
    <cellStyle name="Normal 5 3 3" xfId="1265" xr:uid="{6B90A439-517D-4176-9A58-F9F46313C72B}"/>
    <cellStyle name="Normal 5 4" xfId="777" xr:uid="{AFA081C2-D6E2-43D2-8027-45C6C267D960}"/>
    <cellStyle name="Normal 5 4 2" xfId="1095" xr:uid="{81B3FF17-0BE7-4D0C-864D-B5700C5E756E}"/>
    <cellStyle name="Normal 5 4 2 2" xfId="1662" xr:uid="{66F2B4F8-5970-4C76-B6A6-D7248B4DC6EA}"/>
    <cellStyle name="Normal 5 4 3" xfId="1344" xr:uid="{401CE1BF-7B9E-411D-81DC-DB419E224E3E}"/>
    <cellStyle name="Normal 5 5" xfId="937" xr:uid="{1ECA5DA4-4131-4D35-AF6D-DE289E1E7396}"/>
    <cellStyle name="Normal 5 5 2" xfId="1504" xr:uid="{C424A4D1-2AE7-474D-82AC-79AFC1208367}"/>
    <cellStyle name="Normal 5 6" xfId="858" xr:uid="{DA2E11DB-3F32-43EA-BEA9-52733C29DE8B}"/>
    <cellStyle name="Normal 5 6 2" xfId="1425" xr:uid="{FACD04FD-3A95-4BDB-BF81-2796ABCF23FD}"/>
    <cellStyle name="Normal 5 7" xfId="1122" xr:uid="{156128E0-B491-4A99-8655-D35781F56238}"/>
    <cellStyle name="Normal 5 7 2" xfId="1689" xr:uid="{B7530FCA-5AC3-4879-846D-34C1B82E3006}"/>
    <cellStyle name="Normal 5 8" xfId="1182" xr:uid="{A6BDED19-AD08-4ED7-9271-6ADDA6F5A332}"/>
    <cellStyle name="Normal 5 9" xfId="591" xr:uid="{5BCA33AB-E676-438D-A518-03345DAB5C68}"/>
    <cellStyle name="Normal 6" xfId="12" xr:uid="{3A09B4DC-EF0B-4ABE-8A8E-2F86EB19E1BF}"/>
    <cellStyle name="Normal 6 2" xfId="152" xr:uid="{F2C78E38-C75F-423D-AC51-B988DB30C918}"/>
    <cellStyle name="Normal 6 2 2" xfId="593" xr:uid="{DC732CE3-A2F8-46E1-808D-206DE3D96E2E}"/>
    <cellStyle name="Normal 6 3" xfId="592" xr:uid="{ABC8FF26-C04F-4CCA-84F6-1115197F10F7}"/>
    <cellStyle name="Normal 7" xfId="34" xr:uid="{52C38627-88E5-4147-A7E2-3315042A9CF2}"/>
    <cellStyle name="Normal 7 2" xfId="170" xr:uid="{AA5802DC-A009-4726-8FB3-A6F5B4D27965}"/>
    <cellStyle name="Normal 7 2 2" xfId="595" xr:uid="{3CA1863E-AE65-4B3C-B8A5-778B4C18168A}"/>
    <cellStyle name="Normal 7 3" xfId="594" xr:uid="{BADE1C77-975C-4CFA-8671-5EC1828A786A}"/>
    <cellStyle name="Normal 8" xfId="52" xr:uid="{681F4717-CE4B-4E65-A2DA-51828AFB8DAC}"/>
    <cellStyle name="Normal 8 2" xfId="188" xr:uid="{CFBD3241-FD88-4B2E-A753-A2497B17BA8C}"/>
    <cellStyle name="Normal 8 3" xfId="596" xr:uid="{C1FBBC62-8F97-47A8-82C6-8103A058BA7A}"/>
    <cellStyle name="Normal 86" xfId="4" xr:uid="{AC42A8FE-8558-4D76-8BA6-889B642DFCCD}"/>
    <cellStyle name="Normal 9" xfId="70" xr:uid="{4E45A87B-EC5C-4051-A767-3FB00AC1471D}"/>
    <cellStyle name="Normal 9 2" xfId="206" xr:uid="{91B08D0E-A7D0-414B-B889-2E0298267AE8}"/>
    <cellStyle name="Normal 9 3" xfId="597" xr:uid="{1DE28121-B21B-4C4B-8727-8F5EDF23F263}"/>
    <cellStyle name="Note 2" xfId="598" xr:uid="{2DCD4907-33BF-4E3E-BE42-010F7EAFAF59}"/>
    <cellStyle name="Note 2 10" xfId="1788" xr:uid="{A51E5C41-C64B-4FEF-BE44-6116191844FF}"/>
    <cellStyle name="Note 2 11" xfId="1795" xr:uid="{DB9AADDA-0958-438E-B2FE-0BDD1BA737CD}"/>
    <cellStyle name="Note 2 12" xfId="1750" xr:uid="{3E38E05F-C36C-43CB-9218-CB143F5C846A}"/>
    <cellStyle name="Note 2 2" xfId="599" xr:uid="{3E5DE13D-3645-4B55-B10F-F78D0592308F}"/>
    <cellStyle name="Note 2 2 2" xfId="600" xr:uid="{7851589A-2A2E-4B8A-8E88-869B14C93D9C}"/>
    <cellStyle name="Note 2 3" xfId="601" xr:uid="{78092BD0-1B5B-41D6-880D-14BCA4C6D3D6}"/>
    <cellStyle name="Note 2 3 10" xfId="1793" xr:uid="{A6D88516-A25E-4212-96B6-D187C61EF7E1}"/>
    <cellStyle name="Note 2 3 2" xfId="640" xr:uid="{901E2C37-AC5D-49F7-A20A-F9AC129198BE}"/>
    <cellStyle name="Note 2 3 2 2" xfId="1208" xr:uid="{B5A646DD-BF51-4A53-A951-C6DFEF6B22C8}"/>
    <cellStyle name="Note 2 3 2 2 2" xfId="1737" xr:uid="{8BB94163-5D5F-49D8-837C-624D2B538B15}"/>
    <cellStyle name="Note 2 3 2 2 2 2" xfId="1811" xr:uid="{FAB36812-7011-4677-BF20-D63B13F75B54}"/>
    <cellStyle name="Note 2 3 2 2 2 3" xfId="1823" xr:uid="{CF33FF40-78B3-4C94-B0BA-593CC38DAA80}"/>
    <cellStyle name="Note 2 3 2 2 2 4" xfId="1841" xr:uid="{46665CDA-675C-4BF2-A99E-58759330476A}"/>
    <cellStyle name="Note 2 3 2 2 2 5" xfId="1853" xr:uid="{7087D087-5FC4-4C0C-8F25-D10B7D462C6C}"/>
    <cellStyle name="Note 2 3 2 2 2 6" xfId="1865" xr:uid="{E2310D33-BB1E-47B7-B946-0D680A354149}"/>
    <cellStyle name="Note 2 3 2 2 3" xfId="1787" xr:uid="{70064B36-0FFE-49AB-86A2-19E2BF93444C}"/>
    <cellStyle name="Note 2 3 2 2 4" xfId="1789" xr:uid="{96A4241E-AE03-47C6-AFA3-22AEBA5648C6}"/>
    <cellStyle name="Note 2 3 2 2 5" xfId="1797" xr:uid="{67F04307-9B93-4E65-BA28-1BBEEA9C19A8}"/>
    <cellStyle name="Note 2 3 2 2 6" xfId="1829" xr:uid="{90B91661-3D18-4B29-A240-DD7B0D8F10CA}"/>
    <cellStyle name="Note 2 3 2 2 7" xfId="1751" xr:uid="{4E05BA99-4461-46B7-977A-7DCAA742AA19}"/>
    <cellStyle name="Note 2 3 2 3" xfId="1697" xr:uid="{BFAC6D9E-2E55-4A24-BFBB-34293C1E2911}"/>
    <cellStyle name="Note 2 3 2 3 2" xfId="1741" xr:uid="{4C6DA373-6DF4-4290-A00C-C9A2849F419F}"/>
    <cellStyle name="Note 2 3 2 3 2 2" xfId="1815" xr:uid="{1CD039F1-4893-4FC3-869E-639476D84EDD}"/>
    <cellStyle name="Note 2 3 2 3 2 3" xfId="1827" xr:uid="{28552C6E-73B6-44D5-8DBC-4C0762C65924}"/>
    <cellStyle name="Note 2 3 2 3 2 4" xfId="1845" xr:uid="{99D15E4D-FD49-45C3-B7C2-72B243B50A08}"/>
    <cellStyle name="Note 2 3 2 3 2 5" xfId="1857" xr:uid="{AA65F4EC-F45D-43BC-B427-07DA896B8689}"/>
    <cellStyle name="Note 2 3 2 3 2 6" xfId="1869" xr:uid="{AC0A91F2-C83A-4196-A7EF-E216C6437513}"/>
    <cellStyle name="Note 2 3 2 3 3" xfId="1803" xr:uid="{AA181E8F-98E4-424C-BA8B-772AEB475630}"/>
    <cellStyle name="Note 2 3 2 3 4" xfId="1753" xr:uid="{ED899B4A-BC0D-4C5F-984A-419E29239E20}"/>
    <cellStyle name="Note 2 3 2 3 5" xfId="1833" xr:uid="{29C2FF02-0A41-49AD-BC73-83F54AACDB29}"/>
    <cellStyle name="Note 2 3 2 3 6" xfId="1759" xr:uid="{A84CD1A7-B18C-4FC4-BFA9-DBA781A96F14}"/>
    <cellStyle name="Note 2 3 2 3 7" xfId="1770" xr:uid="{D3DDA729-2A5C-4555-9782-7EA5A775F247}"/>
    <cellStyle name="Note 2 3 2 4" xfId="1716" xr:uid="{D80B3C2B-B4A3-4ECF-AF25-E17E09AA8A55}"/>
    <cellStyle name="Note 2 3 2 4 2" xfId="1805" xr:uid="{39D6DF50-DD4B-44BF-81D4-73436E4E8C7B}"/>
    <cellStyle name="Note 2 3 2 4 3" xfId="1817" xr:uid="{787DBD43-2442-4B57-B504-B5AF3254F2AA}"/>
    <cellStyle name="Note 2 3 2 4 4" xfId="1835" xr:uid="{1E23CF32-0FB9-497A-B73B-870F1FEB5593}"/>
    <cellStyle name="Note 2 3 2 4 5" xfId="1847" xr:uid="{0CF51065-CCFC-49B1-BE2A-3D47276F4D74}"/>
    <cellStyle name="Note 2 3 2 4 6" xfId="1859" xr:uid="{1EB51B1D-7E4F-4E7F-B697-A8B26AC898F1}"/>
    <cellStyle name="Note 2 3 2 5" xfId="1766" xr:uid="{F83ED61D-71CA-430B-A90C-420AE8A92629}"/>
    <cellStyle name="Note 2 3 2 6" xfId="1769" xr:uid="{C23B74AF-F156-494E-B7EA-AFBB7C5DDB3D}"/>
    <cellStyle name="Note 2 3 2 7" xfId="1761" xr:uid="{04DEE235-C8E7-4A96-B5CD-C5EFC9B34D3C}"/>
    <cellStyle name="Note 2 3 2 8" xfId="1771" xr:uid="{D7AD0629-B0FA-4730-9D4C-73D28EE610DE}"/>
    <cellStyle name="Note 2 3 2 9" xfId="1780" xr:uid="{68D9EA4C-4053-4432-A123-0B2349DFFB82}"/>
    <cellStyle name="Note 2 3 3" xfId="1184" xr:uid="{204ABBFB-D212-41D4-8495-D6F7CFF9F9A6}"/>
    <cellStyle name="Note 2 3 3 2" xfId="1724" xr:uid="{93D081A0-76B8-452B-8472-192A8079974B}"/>
    <cellStyle name="Note 2 3 3 2 2" xfId="1806" xr:uid="{9948290A-006B-478A-8B85-57D29BB6BE6E}"/>
    <cellStyle name="Note 2 3 3 2 3" xfId="1818" xr:uid="{FAB86BB7-E7E0-402D-8E12-6C33F9C0A449}"/>
    <cellStyle name="Note 2 3 3 2 4" xfId="1836" xr:uid="{8ADEEE14-417E-4B8B-AA33-D375D1A1E958}"/>
    <cellStyle name="Note 2 3 3 2 5" xfId="1848" xr:uid="{F5F2C473-C901-4C59-AAE3-B9AE0F9E6C02}"/>
    <cellStyle name="Note 2 3 3 2 6" xfId="1860" xr:uid="{09B5743D-0351-4B3E-8A9F-D2083C78882F}"/>
    <cellStyle name="Note 2 3 3 3" xfId="1785" xr:uid="{A3910528-A62E-4B47-B545-0AF95A8B3DD6}"/>
    <cellStyle name="Note 2 3 3 4" xfId="1757" xr:uid="{C817C44E-18BE-4266-9F18-7FB5DDAB6AF0}"/>
    <cellStyle name="Note 2 3 3 5" xfId="1799" xr:uid="{365AD5CD-70D7-4F82-BDC4-47D3FF405370}"/>
    <cellStyle name="Note 2 3 3 6" xfId="1792" xr:uid="{F696C404-065F-4327-B17C-13B4C0C301F7}"/>
    <cellStyle name="Note 2 3 3 7" xfId="1747" xr:uid="{0F2CB4C1-6DE2-4BFC-B64F-5D726B56A4CB}"/>
    <cellStyle name="Note 2 3 4" xfId="1695" xr:uid="{2C0277A9-C8D6-460E-AC3F-A852D79C4943}"/>
    <cellStyle name="Note 2 3 4 2" xfId="1739" xr:uid="{7698E54C-EACE-4A0A-A1E2-075193FDE69B}"/>
    <cellStyle name="Note 2 3 4 2 2" xfId="1813" xr:uid="{7E439B80-BA11-431C-AEEA-290E9EAFBFEA}"/>
    <cellStyle name="Note 2 3 4 2 3" xfId="1825" xr:uid="{F628D042-22FA-4B00-ACBE-CA5E3AD73BED}"/>
    <cellStyle name="Note 2 3 4 2 4" xfId="1843" xr:uid="{857C3F54-E8AA-4C6E-9ECB-67324F35C392}"/>
    <cellStyle name="Note 2 3 4 2 5" xfId="1855" xr:uid="{108B693A-3C12-4DEE-A7BC-DD2AFED0CFE4}"/>
    <cellStyle name="Note 2 3 4 2 6" xfId="1867" xr:uid="{DBAFE564-3793-4011-886B-33D435B90129}"/>
    <cellStyle name="Note 2 3 4 3" xfId="1801" xr:uid="{2B37441D-BA89-49C1-BF2F-86FFE8BFEEE5}"/>
    <cellStyle name="Note 2 3 4 4" xfId="1755" xr:uid="{26090059-8EEB-4452-B2BA-9B420D882EEC}"/>
    <cellStyle name="Note 2 3 4 5" xfId="1831" xr:uid="{E03D09CB-E03B-45DD-BCAF-0A645FD385A7}"/>
    <cellStyle name="Note 2 3 4 6" xfId="1781" xr:uid="{7D7965C1-DF8B-4AA9-A1DD-BB39735BCBA1}"/>
    <cellStyle name="Note 2 3 4 7" xfId="1752" xr:uid="{3118749F-268C-4A50-A8DA-9DDB12EBE410}"/>
    <cellStyle name="Note 2 3 5" xfId="1735" xr:uid="{474C36D3-4655-4A81-B6BA-A39F76466360}"/>
    <cellStyle name="Note 2 3 5 2" xfId="1810" xr:uid="{062D76C1-8300-40CD-BC17-9F2291D2EDFD}"/>
    <cellStyle name="Note 2 3 5 3" xfId="1822" xr:uid="{F39AB809-8DF3-402E-A8DC-5C761251CE69}"/>
    <cellStyle name="Note 2 3 5 4" xfId="1840" xr:uid="{F02CBAC3-A3F1-4F67-870D-457E3240C6D2}"/>
    <cellStyle name="Note 2 3 5 5" xfId="1852" xr:uid="{A3E52312-392A-4DB5-9790-E33A4DAC8D87}"/>
    <cellStyle name="Note 2 3 5 6" xfId="1864" xr:uid="{EF5D2308-A061-43DC-AD1D-108523AADBD8}"/>
    <cellStyle name="Note 2 3 6" xfId="1764" xr:uid="{C8C07DEF-1A8E-4CBC-9D2D-D5BFAAF5AA76}"/>
    <cellStyle name="Note 2 3 7" xfId="1776" xr:uid="{D82D053A-29F8-4482-8CAC-0F8A00D44923}"/>
    <cellStyle name="Note 2 3 8" xfId="1775" xr:uid="{65148A56-D4FD-4734-9B34-9C2C089B3A34}"/>
    <cellStyle name="Note 2 3 9" xfId="1791" xr:uid="{39F92BD6-03C8-4D9E-B61F-AF5D0BF97EA0}"/>
    <cellStyle name="Note 2 4" xfId="639" xr:uid="{05571B55-D0E7-4B4E-87E6-98327D629ED3}"/>
    <cellStyle name="Note 2 4 2" xfId="1207" xr:uid="{7411F65A-356B-4B24-BAA0-0FAD7E3C92D2}"/>
    <cellStyle name="Note 2 4 2 2" xfId="1728" xr:uid="{D6D61D4C-29D5-4ABE-A46B-B1D766FD2B22}"/>
    <cellStyle name="Note 2 4 2 2 2" xfId="1807" xr:uid="{3FF9C779-13E7-4A27-8BBB-6A56F8FF389F}"/>
    <cellStyle name="Note 2 4 2 2 3" xfId="1819" xr:uid="{F7A4051F-B000-410B-AF6E-3EC4E9570A8F}"/>
    <cellStyle name="Note 2 4 2 2 4" xfId="1837" xr:uid="{120D776A-37CB-4455-91DC-803AD21718A8}"/>
    <cellStyle name="Note 2 4 2 2 5" xfId="1849" xr:uid="{63186392-5CEB-46B3-8C97-8743FF1A1DC9}"/>
    <cellStyle name="Note 2 4 2 2 6" xfId="1861" xr:uid="{48EC7A11-54A5-4BD3-A0DF-71F87410E0B2}"/>
    <cellStyle name="Note 2 4 2 3" xfId="1786" xr:uid="{40922C2E-759F-4366-AF34-FCE2E6E9A399}"/>
    <cellStyle name="Note 2 4 2 4" xfId="1773" xr:uid="{2E39CE3F-6594-472F-9E70-E90DBA16B41C}"/>
    <cellStyle name="Note 2 4 2 5" xfId="1767" xr:uid="{702D8182-4539-46FD-A200-B924F4D1B0A3}"/>
    <cellStyle name="Note 2 4 2 6" xfId="1777" xr:uid="{4C5722DB-3041-4A9C-9A98-D9ACC058AE18}"/>
    <cellStyle name="Note 2 4 2 7" xfId="1779" xr:uid="{7AA3BE1F-6B10-49C7-A5F5-9D2B3B54FF39}"/>
    <cellStyle name="Note 2 4 3" xfId="1696" xr:uid="{B6BBC5A5-F06F-4D3A-ABBC-C3D350F98244}"/>
    <cellStyle name="Note 2 4 3 2" xfId="1740" xr:uid="{F1BABAA6-1746-4039-AA54-DBF6213D0E18}"/>
    <cellStyle name="Note 2 4 3 2 2" xfId="1814" xr:uid="{A5BD4162-E058-4E2D-B4F3-58DAAECE4BE2}"/>
    <cellStyle name="Note 2 4 3 2 3" xfId="1826" xr:uid="{AE1315FD-1449-4B28-8958-B0DFAC603106}"/>
    <cellStyle name="Note 2 4 3 2 4" xfId="1844" xr:uid="{B8A6B02C-9CC7-4A57-862E-B3C779958B52}"/>
    <cellStyle name="Note 2 4 3 2 5" xfId="1856" xr:uid="{607E1CCF-9718-4605-BAC1-2F8FEEBC8F4F}"/>
    <cellStyle name="Note 2 4 3 2 6" xfId="1868" xr:uid="{A0486F6C-E834-49D2-A2C0-7A44F71ED43F}"/>
    <cellStyle name="Note 2 4 3 3" xfId="1802" xr:uid="{D39C0E83-91D0-491C-9B3E-A95F1F28AF63}"/>
    <cellStyle name="Note 2 4 3 4" xfId="1754" xr:uid="{EB36963B-45A1-4F60-991D-CB9E2DABE8DA}"/>
    <cellStyle name="Note 2 4 3 5" xfId="1832" xr:uid="{2972F303-0B7D-4213-BF50-E33538A778CF}"/>
    <cellStyle name="Note 2 4 3 6" xfId="1768" xr:uid="{246AE6F3-0771-4DF8-9D42-EC50827AC7BC}"/>
    <cellStyle name="Note 2 4 3 7" xfId="1746" xr:uid="{25D98F6C-A1CD-4B15-9657-697B5FE60C9E}"/>
    <cellStyle name="Note 2 4 4" xfId="1729" xr:uid="{BAD502CA-BB4E-46EB-ADA6-225B3690F7B6}"/>
    <cellStyle name="Note 2 4 4 2" xfId="1808" xr:uid="{84EDA82A-1E60-4513-A6E6-46F78A39B5EC}"/>
    <cellStyle name="Note 2 4 4 3" xfId="1820" xr:uid="{932CA2DD-58B6-4973-A93F-9EE417325E92}"/>
    <cellStyle name="Note 2 4 4 4" xfId="1838" xr:uid="{F78AED15-6B5F-43A1-820F-75E6CDEBD2B7}"/>
    <cellStyle name="Note 2 4 4 5" xfId="1850" xr:uid="{14C7D6BA-E555-45E7-8420-FA63BBA4B5B8}"/>
    <cellStyle name="Note 2 4 4 6" xfId="1862" xr:uid="{886C5C01-9F20-460F-A37F-AC47E1548590}"/>
    <cellStyle name="Note 2 4 5" xfId="1765" xr:uid="{7EEC3037-03D4-43B6-A23A-2ED0230F2429}"/>
    <cellStyle name="Note 2 4 6" xfId="1778" xr:uid="{4FABBB71-0F6C-4E52-A043-9289D8EEA4B6}"/>
    <cellStyle name="Note 2 4 7" xfId="1760" xr:uid="{62C9D808-F942-450D-9CEE-A148B69A6641}"/>
    <cellStyle name="Note 2 4 8" xfId="1794" xr:uid="{461C188A-7FF9-4032-8E96-E55EB4F656AE}"/>
    <cellStyle name="Note 2 4 9" xfId="1828" xr:uid="{18D85EDB-314D-494B-9E3D-E3C1E0B21366}"/>
    <cellStyle name="Note 2 5" xfId="1183" xr:uid="{D7C72CEE-76DF-40C8-9909-0D5EDA3BBC22}"/>
    <cellStyle name="Note 2 5 2" xfId="1714" xr:uid="{B8747601-F038-4279-8EA0-2C2B3CA9CFF8}"/>
    <cellStyle name="Note 2 5 2 2" xfId="1804" xr:uid="{A6B297C8-3BA8-497A-AFC7-469602965CB3}"/>
    <cellStyle name="Note 2 5 2 3" xfId="1816" xr:uid="{404E35FC-3C40-4F79-A9F6-7453AE2F42BA}"/>
    <cellStyle name="Note 2 5 2 4" xfId="1834" xr:uid="{E245075B-B5FE-477E-A4CD-209D9E711211}"/>
    <cellStyle name="Note 2 5 2 5" xfId="1846" xr:uid="{D30C7169-1799-4EFC-94B1-92A480C68890}"/>
    <cellStyle name="Note 2 5 2 6" xfId="1858" xr:uid="{F982CF90-A627-4634-BC65-5CE70276B2C0}"/>
    <cellStyle name="Note 2 5 3" xfId="1784" xr:uid="{1756E50B-21FE-46FC-B8E7-516369E0A9AC}"/>
    <cellStyle name="Note 2 5 4" xfId="1758" xr:uid="{8592C538-396E-452A-9DFA-D815AA73B9D5}"/>
    <cellStyle name="Note 2 5 5" xfId="1798" xr:uid="{5C5C24F5-B60C-4ACB-B724-C82B5556639A}"/>
    <cellStyle name="Note 2 5 6" xfId="1783" xr:uid="{32F86509-E913-4B54-9B33-5C570FF32F97}"/>
    <cellStyle name="Note 2 5 7" xfId="1762" xr:uid="{BD1445D9-8E2F-465A-B8D4-AF77663C9169}"/>
    <cellStyle name="Note 2 6" xfId="1694" xr:uid="{1090EFE7-88A3-4E84-9449-38EDD25A5FDC}"/>
    <cellStyle name="Note 2 6 2" xfId="1738" xr:uid="{0AE64457-3915-4D70-BDC3-449D9D18FB42}"/>
    <cellStyle name="Note 2 6 2 2" xfId="1812" xr:uid="{E51D7762-4E36-4A7F-93DB-8DC0C475F620}"/>
    <cellStyle name="Note 2 6 2 3" xfId="1824" xr:uid="{6FA09962-6B0D-4475-8C3C-3DB183978BE3}"/>
    <cellStyle name="Note 2 6 2 4" xfId="1842" xr:uid="{EAED47AD-2C46-4737-8507-C26F62A8897D}"/>
    <cellStyle name="Note 2 6 2 5" xfId="1854" xr:uid="{C4DF6325-ABCF-4511-AC9D-B387CF3DA400}"/>
    <cellStyle name="Note 2 6 2 6" xfId="1866" xr:uid="{28E96D67-81E4-4C1F-A00E-6932E036D38A}"/>
    <cellStyle name="Note 2 6 3" xfId="1800" xr:uid="{BB4018BD-521A-4C6E-BE0E-79EF67163F39}"/>
    <cellStyle name="Note 2 6 4" xfId="1756" xr:uid="{3C7497FD-2176-4438-BFE7-C58CA38862CD}"/>
    <cellStyle name="Note 2 6 5" xfId="1830" xr:uid="{C261F4F1-8063-4973-A8C5-135EA33B5EC9}"/>
    <cellStyle name="Note 2 6 6" xfId="1796" xr:uid="{A16BE2FA-EAE6-4A35-ACC5-DC5630D6B500}"/>
    <cellStyle name="Note 2 6 7" xfId="1748" xr:uid="{E7B6FC08-F637-4D13-8539-EDFAC7E31D72}"/>
    <cellStyle name="Note 2 7" xfId="1731" xr:uid="{FD1D4FB1-E105-420B-8E09-288F82BBF63D}"/>
    <cellStyle name="Note 2 7 2" xfId="1809" xr:uid="{8E3E3D45-5A9F-4740-8C2A-C24F99EB505E}"/>
    <cellStyle name="Note 2 7 3" xfId="1821" xr:uid="{F91143FB-7DEC-4868-8225-9FA270662052}"/>
    <cellStyle name="Note 2 7 4" xfId="1839" xr:uid="{8EC09154-8177-4855-A7E5-FBAB6B2D2287}"/>
    <cellStyle name="Note 2 7 5" xfId="1851" xr:uid="{47B84AF1-0756-4397-9FD8-C5B9B642221C}"/>
    <cellStyle name="Note 2 7 6" xfId="1863" xr:uid="{978E2FB1-84D8-4A69-BA8C-5A4262292549}"/>
    <cellStyle name="Note 2 8" xfId="1763" xr:uid="{E0565F4A-2675-4F92-AC0C-AF3339226355}"/>
    <cellStyle name="Note 2 9" xfId="1772" xr:uid="{E9CE5FD2-B4CD-42A6-96A6-EA7DBCFD05C4}"/>
    <cellStyle name="Note 2_CIL Input Data" xfId="602" xr:uid="{51138A55-EE62-4FA6-8A24-4ED9F8FF2B13}"/>
    <cellStyle name="Note 3" xfId="603" xr:uid="{91408709-0247-4E46-90A2-F94C2948CD05}"/>
    <cellStyle name="Note 4" xfId="604" xr:uid="{4F47F0D4-9D91-4A1A-8BBB-E4E30DA45A77}"/>
    <cellStyle name="Output 2" xfId="605" xr:uid="{137FBAF6-F74B-4355-949D-67FE4C9D68D0}"/>
    <cellStyle name="Percent" xfId="2" builtinId="5"/>
    <cellStyle name="Percent 2" xfId="33" xr:uid="{8D61171C-3687-42E0-BD00-283373D300D9}"/>
    <cellStyle name="Percent 2 2" xfId="607" xr:uid="{16AE0113-2716-47F3-B0BE-B867B7528020}"/>
    <cellStyle name="Percent 2 3" xfId="608" xr:uid="{E57A934E-87CF-49E6-AFD9-5B0BDEEB0F62}"/>
    <cellStyle name="Percent 2 4" xfId="641" xr:uid="{8C35EF6A-357B-4DCE-86A7-E4648AE2DA98}"/>
    <cellStyle name="Percent 2 5" xfId="618" xr:uid="{DA1FF1CC-26B6-42AE-A248-5891A6606CA1}"/>
    <cellStyle name="Percent 2 6" xfId="1707" xr:uid="{B3A5FA93-C1D9-4B95-969A-6B137B122CB4}"/>
    <cellStyle name="Percent 2 7" xfId="606" xr:uid="{56EEAE25-4A6F-40A8-90BA-BBC73A6A9959}"/>
    <cellStyle name="Percent 3" xfId="127" xr:uid="{C8851A98-8AB1-49F7-B822-14243B755DA6}"/>
    <cellStyle name="Percent 3 10" xfId="1124" xr:uid="{E828A603-83A2-4EE3-896F-D3C19EFC38BE}"/>
    <cellStyle name="Percent 3 10 2" xfId="1691" xr:uid="{F94040F4-E816-40AC-8770-455AC89CA911}"/>
    <cellStyle name="Percent 3 11" xfId="1185" xr:uid="{29BE6CD6-623C-4FA2-A271-DD82F213E6B6}"/>
    <cellStyle name="Percent 3 12" xfId="609" xr:uid="{C53CC316-9BE9-44F6-87F6-6F6DE5BBD937}"/>
    <cellStyle name="Percent 3 2" xfId="642" xr:uid="{0345E5D6-6956-49A2-A3B2-9AB12CABBA13}"/>
    <cellStyle name="Percent 3 2 2" xfId="721" xr:uid="{D455F266-3619-4D31-8629-BB1E641D041E}"/>
    <cellStyle name="Percent 3 2 2 2" xfId="1039" xr:uid="{8FF21921-BE1B-46AB-84D2-BF08382BB063}"/>
    <cellStyle name="Percent 3 2 2 2 2" xfId="1606" xr:uid="{D73755B2-92BB-42A1-876E-1006A3047904}"/>
    <cellStyle name="Percent 3 2 2 3" xfId="1288" xr:uid="{2D96A912-4BE7-4271-A264-5D73FA17C7A4}"/>
    <cellStyle name="Percent 3 2 3" xfId="800" xr:uid="{D917EE54-0882-4329-A2E3-D97B60635482}"/>
    <cellStyle name="Percent 3 2 3 2" xfId="1118" xr:uid="{3956F46D-C035-434B-B2E4-6D5082DCFCEC}"/>
    <cellStyle name="Percent 3 2 3 2 2" xfId="1685" xr:uid="{CEF3F848-F1A3-44CE-8F07-F71E6D1E39E6}"/>
    <cellStyle name="Percent 3 2 3 3" xfId="1367" xr:uid="{8B548C29-5F18-4370-A37E-FB151DDE8B63}"/>
    <cellStyle name="Percent 3 2 4" xfId="960" xr:uid="{D6CD459E-90EB-424E-BF20-3AB0B6F4D5A7}"/>
    <cellStyle name="Percent 3 2 4 2" xfId="1527" xr:uid="{1F94E7E0-2C9A-47AA-BAB5-CFA7D3B5F448}"/>
    <cellStyle name="Percent 3 2 5" xfId="881" xr:uid="{EF3FC431-1906-4A49-A382-951CF4331232}"/>
    <cellStyle name="Percent 3 2 5 2" xfId="1448" xr:uid="{09C082F5-1FF5-4B8C-A13E-F54012AFD5CB}"/>
    <cellStyle name="Percent 3 2 6" xfId="1209" xr:uid="{32ECB08D-5854-4700-8A94-F88AD7E38571}"/>
    <cellStyle name="Percent 3 3" xfId="621" xr:uid="{DFDEE716-CBDB-4DA2-9725-78C0D03F46AC}"/>
    <cellStyle name="Percent 3 4" xfId="699" xr:uid="{8ABBF3FF-A4BE-46AD-8CFB-78F7B96F4F57}"/>
    <cellStyle name="Percent 3 4 2" xfId="1017" xr:uid="{D134252F-04B3-48BC-99FA-F6AB1E774816}"/>
    <cellStyle name="Percent 3 4 2 2" xfId="1584" xr:uid="{3DCBBB37-1663-4935-8D68-195B44AA777F}"/>
    <cellStyle name="Percent 3 4 3" xfId="1266" xr:uid="{DEF2EC20-3FCB-4344-BA98-E0A2FD65FBE9}"/>
    <cellStyle name="Percent 3 5" xfId="778" xr:uid="{A05FB461-2AFE-40F5-94BE-EAA9D6F5A51B}"/>
    <cellStyle name="Percent 3 5 2" xfId="1096" xr:uid="{BF5FEAB3-A00B-445F-ACA8-E4BA02FDC9A0}"/>
    <cellStyle name="Percent 3 5 2 2" xfId="1663" xr:uid="{FB8574AF-280C-48B8-8500-EB5FA36F70BA}"/>
    <cellStyle name="Percent 3 5 3" xfId="1345" xr:uid="{290D660A-F81E-4AA8-9DA2-4A854DA15A88}"/>
    <cellStyle name="Percent 3 6" xfId="938" xr:uid="{FA49BB9D-701E-42D9-886B-6A3E62B9B4B4}"/>
    <cellStyle name="Percent 3 6 2" xfId="1505" xr:uid="{3E6A49A0-D9A5-4D0C-9598-10241D9D9F6A}"/>
    <cellStyle name="Percent 3 7" xfId="859" xr:uid="{49BEF69F-1AF3-4FA7-8F93-08F91DEB0ED8}"/>
    <cellStyle name="Percent 3 7 2" xfId="1426" xr:uid="{375290E2-6F5B-4D33-B094-846DCD3F93EC}"/>
    <cellStyle name="Percent 3 8" xfId="1121" xr:uid="{693F964C-EDC2-414E-A809-89AE1855468D}"/>
    <cellStyle name="Percent 3 8 2" xfId="1688" xr:uid="{0B41E042-9977-4BF2-93D5-8CE8729456F9}"/>
    <cellStyle name="Percent 3 9" xfId="1123" xr:uid="{7553E13F-F453-4AC5-822D-2468C0DE6618}"/>
    <cellStyle name="Percent 3 9 2" xfId="1690" xr:uid="{F19E393C-AFCC-4877-8F21-F66B256DA9D6}"/>
    <cellStyle name="Percent 4" xfId="149" xr:uid="{0BC089F5-DCED-49A4-92CE-3C7B496C153D}"/>
    <cellStyle name="Percent 4 2" xfId="610" xr:uid="{DB17517D-B014-4FAA-952D-D8DC7AD57B17}"/>
    <cellStyle name="Percent 41" xfId="6" xr:uid="{11B03DF7-DDAA-4730-AA75-940FD4DF591C}"/>
    <cellStyle name="Percent 5" xfId="262" xr:uid="{CB55DB24-53B9-4F4D-8850-BEA99C58CF11}"/>
    <cellStyle name="Percent 5 2" xfId="702" xr:uid="{F99DFCB3-5C8E-4A26-9B0E-18928CE3C01C}"/>
    <cellStyle name="Percent 5 2 2" xfId="1020" xr:uid="{1A0F4870-CF83-4B95-8CCF-0700FFF99E86}"/>
    <cellStyle name="Percent 5 2 2 2" xfId="1587" xr:uid="{DFC008C5-2D1C-4391-A4A5-DCE73E7EA10D}"/>
    <cellStyle name="Percent 5 2 3" xfId="1269" xr:uid="{95892F79-D368-4576-930B-FB9A57C7A1A4}"/>
    <cellStyle name="Percent 5 3" xfId="781" xr:uid="{973093EC-C0BD-4117-80C3-5AB393B8F7AD}"/>
    <cellStyle name="Percent 5 3 2" xfId="1099" xr:uid="{D89F993E-3DA2-41DF-99E8-E83B318D0333}"/>
    <cellStyle name="Percent 5 3 2 2" xfId="1666" xr:uid="{8D255F19-582B-44D4-8DA8-7DA374C39BB0}"/>
    <cellStyle name="Percent 5 3 3" xfId="1348" xr:uid="{F33CFA35-DD39-481F-8BA2-E65DA4C29888}"/>
    <cellStyle name="Percent 5 4" xfId="941" xr:uid="{5D6BDFA1-06F1-4FC2-AC73-FA9D7CF71343}"/>
    <cellStyle name="Percent 5 4 2" xfId="1508" xr:uid="{E5C940E0-711A-4B30-BCC8-72597F22FA94}"/>
    <cellStyle name="Percent 5 5" xfId="862" xr:uid="{F8A04BE5-D450-49FE-9F19-996E092FCCE2}"/>
    <cellStyle name="Percent 5 5 2" xfId="1429" xr:uid="{3825A8FE-63EE-4F9F-B9AA-10BBD97B8019}"/>
    <cellStyle name="Percent 5 6" xfId="1188" xr:uid="{65CE0DF4-EF73-422F-984D-53CAA9037C69}"/>
    <cellStyle name="Percent 5 7" xfId="616" xr:uid="{BEE10E71-CDB7-4259-AA2D-6CA5E9EA84A5}"/>
    <cellStyle name="Percent 6" xfId="354" xr:uid="{1891129F-B71D-40CB-A822-B7258436D11A}"/>
    <cellStyle name="Percent 6 2" xfId="1693" xr:uid="{9A6E1FE7-2347-427E-AAE9-CA617FA5F015}"/>
    <cellStyle name="Percent 6 3" xfId="1126" xr:uid="{27D9AB5B-2BFA-4E34-A8F3-E8997B0A9016}"/>
    <cellStyle name="Percent 7" xfId="413" xr:uid="{BCAE80D4-268D-450C-9AE6-BD15CE422447}"/>
    <cellStyle name="Percent 7 2" xfId="1698" xr:uid="{B564F36E-F5E4-428B-B121-E07E36466A7B}"/>
    <cellStyle name="Percent 8" xfId="433" xr:uid="{22DAA8E2-02DD-4618-BE06-47745C8A323C}"/>
    <cellStyle name="Percent 9" xfId="1743" xr:uid="{7517A87D-DEFE-4BA3-8E6E-08FE7D432F12}"/>
    <cellStyle name="Pourcentage 2" xfId="611" xr:uid="{4F4A8BCC-C086-4C68-A6A1-D4D87BED24A8}"/>
    <cellStyle name="Total 2" xfId="612" xr:uid="{D43F9BA0-4310-4CDE-A277-524A378462D8}"/>
    <cellStyle name="Warning Text 2" xfId="613" xr:uid="{FE7C34D2-A364-4447-BE28-640070B4753E}"/>
  </cellStyles>
  <dxfs count="1732">
    <dxf>
      <fill>
        <patternFill>
          <bgColor theme="9" tint="0.79998168889431442"/>
        </patternFill>
      </fill>
    </dxf>
    <dxf>
      <font>
        <color rgb="FF9C0006"/>
      </font>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theme="0"/>
        </patternFill>
      </fill>
    </dxf>
    <dxf>
      <fill>
        <patternFill>
          <bgColor rgb="FFC6EFCE"/>
        </patternFill>
      </fill>
    </dxf>
    <dxf>
      <font>
        <color rgb="FF006100"/>
      </font>
    </dxf>
    <dxf>
      <font>
        <color rgb="FF9C0006"/>
      </font>
    </dxf>
    <dxf>
      <fill>
        <patternFill>
          <bgColor rgb="FFFFC7CE"/>
        </patternFill>
      </fill>
    </dxf>
    <dxf>
      <font>
        <color rgb="FF0070C0"/>
      </font>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9C0006"/>
      </font>
    </dxf>
    <dxf>
      <font>
        <color rgb="FF006100"/>
      </font>
    </dxf>
    <dxf>
      <font>
        <color rgb="FF0070C0"/>
      </font>
    </dxf>
    <dxf>
      <fill>
        <patternFill>
          <bgColor theme="0"/>
        </patternFill>
      </fill>
    </dxf>
    <dxf>
      <fill>
        <patternFill>
          <bgColor theme="0"/>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9C0006"/>
      </font>
    </dxf>
    <dxf>
      <font>
        <color rgb="FF0070C0"/>
      </font>
    </dxf>
    <dxf>
      <font>
        <color rgb="FF006100"/>
      </font>
    </dxf>
    <dxf>
      <fill>
        <patternFill>
          <bgColor theme="0"/>
        </patternFill>
      </fill>
    </dxf>
    <dxf>
      <fill>
        <patternFill>
          <bgColor theme="0"/>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FFC7CE"/>
        </patternFill>
      </fill>
    </dxf>
    <dxf>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7"/>
        </patternFill>
      </fill>
    </dxf>
    <dxf>
      <fill>
        <patternFill>
          <bgColor theme="8"/>
        </patternFill>
      </fill>
    </dxf>
    <dxf>
      <fill>
        <patternFill>
          <bgColor rgb="FFFF0000"/>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theme="7"/>
        </patternFill>
      </fill>
    </dxf>
    <dxf>
      <fill>
        <patternFill>
          <bgColor rgb="FFFF000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theme="0"/>
        </patternFill>
      </fill>
    </dxf>
    <dxf>
      <font>
        <color rgb="FF006100"/>
      </font>
    </dxf>
    <dxf>
      <font>
        <color rgb="FF0070C0"/>
      </font>
    </dxf>
    <dxf>
      <fill>
        <patternFill>
          <bgColor theme="0"/>
        </patternFill>
      </fill>
    </dxf>
    <dxf>
      <font>
        <color rgb="FF9C0006"/>
      </font>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theme="0"/>
        </patternFill>
      </fill>
    </dxf>
    <dxf>
      <font>
        <color rgb="FF0070C0"/>
      </font>
    </dxf>
    <dxf>
      <font>
        <color rgb="FF9C0006"/>
      </font>
    </dxf>
    <dxf>
      <fill>
        <patternFill>
          <bgColor theme="0"/>
        </patternFill>
      </fill>
    </dxf>
    <dxf>
      <font>
        <color rgb="FF006100"/>
      </font>
    </dxf>
    <dxf>
      <fill>
        <patternFill>
          <bgColor theme="0"/>
        </patternFill>
      </fill>
    </dxf>
    <dxf>
      <fill>
        <patternFill>
          <bgColor theme="0"/>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ill>
        <patternFill>
          <bgColor rgb="FFFF0000"/>
        </patternFill>
      </fill>
    </dxf>
    <dxf>
      <fill>
        <patternFill>
          <bgColor theme="8"/>
        </patternFill>
      </fill>
    </dxf>
    <dxf>
      <fill>
        <patternFill>
          <bgColor theme="7"/>
        </patternFill>
      </fill>
    </dxf>
    <dxf>
      <fill>
        <patternFill>
          <bgColor theme="7"/>
        </patternFill>
      </fill>
    </dxf>
    <dxf>
      <fill>
        <patternFill>
          <bgColor rgb="FFFF0000"/>
        </patternFill>
      </fill>
    </dxf>
    <dxf>
      <fill>
        <patternFill>
          <bgColor theme="8"/>
        </patternFill>
      </fill>
    </dxf>
    <dxf>
      <font>
        <color rgb="FF0070C0"/>
      </font>
    </dxf>
    <dxf>
      <fill>
        <patternFill>
          <bgColor theme="0"/>
        </patternFill>
      </fill>
    </dxf>
    <dxf>
      <fill>
        <patternFill>
          <bgColor theme="0"/>
        </patternFill>
      </fill>
    </dxf>
    <dxf>
      <fill>
        <patternFill>
          <bgColor rgb="FFC6EFCE"/>
        </patternFill>
      </fill>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rgb="FFFFC7CE"/>
        </patternFill>
      </fill>
    </dxf>
    <dxf>
      <font>
        <color rgb="FF9C0006"/>
      </font>
    </dxf>
    <dxf>
      <fill>
        <patternFill>
          <bgColor rgb="FFC6EFCE"/>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0070C0"/>
      </font>
    </dxf>
    <dxf>
      <fill>
        <patternFill>
          <bgColor theme="0"/>
        </patternFill>
      </fill>
    </dxf>
    <dxf>
      <font>
        <color rgb="FF006100"/>
      </font>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theme="0"/>
        </patternFill>
      </fill>
    </dxf>
    <dxf>
      <fill>
        <patternFill>
          <bgColor rgb="FFC6EFCE"/>
        </patternFill>
      </fill>
    </dxf>
    <dxf>
      <font>
        <color rgb="FF0070C0"/>
      </font>
    </dxf>
    <dxf>
      <fill>
        <patternFill>
          <bgColor rgb="FFC6EFCE"/>
        </patternFill>
      </fill>
    </dxf>
    <dxf>
      <fill>
        <patternFill>
          <bgColor rgb="FFFFC7CE"/>
        </patternFill>
      </fill>
    </dxf>
    <dxf>
      <font>
        <color rgb="FF0070C0"/>
      </font>
    </dxf>
    <dxf>
      <fill>
        <patternFill>
          <bgColor theme="0"/>
        </patternFill>
      </fill>
    </dxf>
    <dxf>
      <fill>
        <patternFill>
          <bgColor rgb="FFC6EFCE"/>
        </patternFill>
      </fill>
    </dxf>
    <dxf>
      <fill>
        <patternFill>
          <bgColor rgb="FFFFC7CE"/>
        </patternFill>
      </fill>
    </dxf>
    <dxf>
      <fill>
        <patternFill>
          <bgColor theme="0"/>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ont>
        <color rgb="FF0070C0"/>
      </font>
    </dxf>
    <dxf>
      <fill>
        <patternFill>
          <bgColor rgb="FFC6EFCE"/>
        </patternFill>
      </fill>
    </dxf>
    <dxf>
      <font>
        <color rgb="FF006100"/>
      </font>
    </dxf>
    <dxf>
      <font>
        <color rgb="FF9C0006"/>
      </font>
    </dxf>
    <dxf>
      <fill>
        <patternFill>
          <bgColor theme="0"/>
        </patternFill>
      </fill>
    </dxf>
    <dxf>
      <fill>
        <patternFill>
          <bgColor rgb="FFFFC7CE"/>
        </patternFill>
      </fill>
    </dxf>
    <dxf>
      <fill>
        <patternFill>
          <bgColor rgb="FFC6EFCE"/>
        </patternFill>
      </fill>
    </dxf>
    <dxf>
      <font>
        <color rgb="FF0070C0"/>
      </font>
    </dxf>
    <dxf>
      <fill>
        <patternFill>
          <bgColor rgb="FFC6EFCE"/>
        </patternFill>
      </fill>
    </dxf>
    <dxf>
      <fill>
        <patternFill>
          <bgColor rgb="FFFFC7CE"/>
        </patternFill>
      </fill>
    </dxf>
    <dxf>
      <fill>
        <patternFill>
          <bgColor theme="0"/>
        </patternFill>
      </fill>
    </dxf>
    <dxf>
      <font>
        <color rgb="FF9C0006"/>
      </font>
    </dxf>
    <dxf>
      <font>
        <color rgb="FF006100"/>
      </font>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ont>
        <color rgb="FF9C0006"/>
      </font>
    </dxf>
    <dxf>
      <font>
        <color rgb="FF006100"/>
      </font>
    </dxf>
    <dxf>
      <font>
        <color rgb="FF0070C0"/>
      </font>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ont>
        <color rgb="FF9C0006"/>
      </font>
    </dxf>
    <dxf>
      <fill>
        <patternFill>
          <bgColor rgb="FFC6EFCE"/>
        </patternFill>
      </fill>
    </dxf>
    <dxf>
      <fill>
        <patternFill>
          <bgColor rgb="FFFFC7CE"/>
        </patternFill>
      </fill>
    </dxf>
    <dxf>
      <font>
        <color rgb="FF0070C0"/>
      </font>
    </dxf>
    <dxf>
      <font>
        <color rgb="FF006100"/>
      </font>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C6EFCE"/>
        </patternFill>
      </fill>
    </dxf>
    <dxf>
      <font>
        <color rgb="FF9C0006"/>
      </font>
    </dxf>
    <dxf>
      <font>
        <color rgb="FF006100"/>
      </font>
    </dxf>
    <dxf>
      <font>
        <color rgb="FF0070C0"/>
      </font>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theme="0"/>
        </patternFill>
      </fill>
    </dxf>
    <dxf>
      <fill>
        <patternFill>
          <bgColor theme="0"/>
        </patternFill>
      </fill>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0070C0"/>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theme="8"/>
        </patternFill>
      </fill>
    </dxf>
    <dxf>
      <fill>
        <patternFill>
          <bgColor rgb="FFFF0000"/>
        </patternFill>
      </fill>
    </dxf>
    <dxf>
      <fill>
        <patternFill>
          <bgColor theme="7"/>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theme="7"/>
        </patternFill>
      </fill>
    </dxf>
    <dxf>
      <fill>
        <patternFill>
          <bgColor rgb="FFFF0000"/>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rgb="FFC6EFCE"/>
        </patternFill>
      </fill>
    </dxf>
    <dxf>
      <fill>
        <patternFill>
          <bgColor rgb="FFFFC7CE"/>
        </patternFill>
      </fill>
    </dxf>
    <dxf>
      <font>
        <color rgb="FF0070C0"/>
      </font>
    </dxf>
    <dxf>
      <fill>
        <patternFill>
          <bgColor rgb="FFFFC7CE"/>
        </patternFill>
      </fill>
    </dxf>
    <dxf>
      <fill>
        <patternFill>
          <bgColor theme="0"/>
        </patternFill>
      </fill>
    </dxf>
    <dxf>
      <fill>
        <patternFill>
          <bgColor rgb="FFC6EFCE"/>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rgb="FFFFC7CE"/>
        </patternFill>
      </fill>
    </dxf>
    <dxf>
      <fill>
        <patternFill>
          <bgColor theme="0"/>
        </patternFill>
      </fill>
    </dxf>
    <dxf>
      <fill>
        <patternFill>
          <bgColor rgb="FFC6EFCE"/>
        </patternFill>
      </fill>
    </dxf>
    <dxf>
      <font>
        <color rgb="FF0070C0"/>
      </font>
    </dxf>
    <dxf>
      <font>
        <color rgb="FF006100"/>
      </font>
    </dxf>
    <dxf>
      <fill>
        <patternFill>
          <bgColor theme="0"/>
        </patternFill>
      </fill>
    </dxf>
    <dxf>
      <font>
        <color rgb="FF9C0006"/>
      </font>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ont>
        <color rgb="FF9C0006"/>
      </font>
    </dxf>
    <dxf>
      <fill>
        <patternFill>
          <bgColor rgb="FFFFC7CE"/>
        </patternFill>
      </fill>
    </dxf>
    <dxf>
      <font>
        <color rgb="FF006100"/>
      </font>
    </dxf>
    <dxf>
      <fill>
        <patternFill>
          <bgColor rgb="FFC6EFCE"/>
        </patternFill>
      </fill>
    </dxf>
    <dxf>
      <font>
        <color rgb="FF0070C0"/>
      </font>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0070C0"/>
      </font>
    </dxf>
    <dxf>
      <font>
        <color rgb="FF006100"/>
      </font>
    </dxf>
    <dxf>
      <font>
        <color rgb="FF9C0006"/>
      </font>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9C0006"/>
      </font>
    </dxf>
    <dxf>
      <fill>
        <patternFill>
          <bgColor rgb="FFC6EFCE"/>
        </patternFill>
      </fill>
    </dxf>
    <dxf>
      <fill>
        <patternFill>
          <bgColor rgb="FFFFC7CE"/>
        </patternFill>
      </fill>
    </dxf>
    <dxf>
      <fill>
        <patternFill>
          <bgColor theme="0"/>
        </patternFill>
      </fill>
    </dxf>
    <dxf>
      <font>
        <color rgb="FF006100"/>
      </font>
    </dxf>
    <dxf>
      <font>
        <color rgb="FF0070C0"/>
      </font>
    </dxf>
    <dxf>
      <fill>
        <patternFill>
          <bgColor rgb="FFFFC7CE"/>
        </patternFill>
      </fill>
    </dxf>
    <dxf>
      <fill>
        <patternFill>
          <bgColor theme="0"/>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006100"/>
      </font>
    </dxf>
    <dxf>
      <fill>
        <patternFill>
          <bgColor theme="0"/>
        </patternFill>
      </fill>
    </dxf>
    <dxf>
      <fill>
        <patternFill>
          <bgColor rgb="FFFFC7CE"/>
        </patternFill>
      </fill>
    </dxf>
    <dxf>
      <fill>
        <patternFill>
          <bgColor rgb="FFC6EFCE"/>
        </patternFill>
      </fill>
    </dxf>
    <dxf>
      <font>
        <color rgb="FF9C0006"/>
      </font>
    </dxf>
    <dxf>
      <font>
        <color rgb="FF0070C0"/>
      </font>
    </dxf>
    <dxf>
      <fill>
        <patternFill>
          <bgColor rgb="FFFFC7CE"/>
        </patternFill>
      </fill>
    </dxf>
    <dxf>
      <fill>
        <patternFill>
          <bgColor rgb="FFC6EFCE"/>
        </patternFill>
      </fill>
    </dxf>
    <dxf>
      <fill>
        <patternFill>
          <bgColor theme="0"/>
        </patternFill>
      </fill>
    </dxf>
    <dxf>
      <fill>
        <patternFill>
          <bgColor theme="0"/>
        </patternFill>
      </fill>
    </dxf>
    <dxf>
      <fill>
        <patternFill>
          <bgColor theme="0"/>
        </patternFill>
      </fill>
    </dxf>
    <dxf>
      <fill>
        <patternFill>
          <bgColor theme="0"/>
        </patternFill>
      </fill>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ont>
        <color rgb="FF0070C0"/>
      </font>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theme="7"/>
        </patternFill>
      </fill>
    </dxf>
    <dxf>
      <fill>
        <patternFill>
          <bgColor theme="8"/>
        </patternFill>
      </fill>
    </dxf>
    <dxf>
      <fill>
        <patternFill>
          <bgColor theme="7"/>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theme="8"/>
        </patternFill>
      </fill>
    </dxf>
    <dxf>
      <fill>
        <patternFill>
          <bgColor rgb="FFFF0000"/>
        </patternFill>
      </fill>
    </dxf>
    <dxf>
      <fill>
        <patternFill>
          <bgColor theme="7"/>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rgb="FFC6EFCE"/>
        </patternFill>
      </fill>
    </dxf>
    <dxf>
      <fill>
        <patternFill>
          <bgColor rgb="FFFFC7CE"/>
        </patternFill>
      </fill>
    </dxf>
    <dxf>
      <font>
        <color rgb="FF0070C0"/>
      </font>
    </dxf>
    <dxf>
      <fill>
        <patternFill>
          <bgColor theme="0"/>
        </patternFill>
      </fill>
    </dxf>
    <dxf>
      <fill>
        <patternFill>
          <bgColor theme="0"/>
        </patternFill>
      </fill>
    </dxf>
    <dxf>
      <font>
        <color rgb="FF006100"/>
      </font>
    </dxf>
    <dxf>
      <fill>
        <patternFill>
          <bgColor theme="0"/>
        </patternFill>
      </fill>
    </dxf>
    <dxf>
      <fill>
        <patternFill>
          <bgColor rgb="FFFFC7CE"/>
        </patternFill>
      </fill>
    </dxf>
    <dxf>
      <fill>
        <patternFill>
          <bgColor rgb="FFC6EFCE"/>
        </patternFill>
      </fill>
    </dxf>
    <dxf>
      <font>
        <color rgb="FF9C0006"/>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ont>
        <color rgb="FF0070C0"/>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FFC7CE"/>
        </patternFill>
      </fill>
    </dxf>
    <dxf>
      <fill>
        <patternFill>
          <bgColor theme="0"/>
        </patternFill>
      </fill>
    </dxf>
    <dxf>
      <font>
        <color rgb="FF0070C0"/>
      </font>
    </dxf>
    <dxf>
      <font>
        <color rgb="FF006100"/>
      </font>
    </dxf>
    <dxf>
      <font>
        <color rgb="FF9C0006"/>
      </font>
    </dxf>
    <dxf>
      <fill>
        <patternFill>
          <bgColor rgb="FFC6EFCE"/>
        </patternFill>
      </fill>
    </dxf>
    <dxf>
      <fill>
        <patternFill>
          <bgColor theme="0"/>
        </patternFill>
      </fill>
    </dxf>
    <dxf>
      <fill>
        <patternFill>
          <bgColor rgb="FFFFC7CE"/>
        </patternFill>
      </fill>
    </dxf>
    <dxf>
      <fill>
        <patternFill>
          <bgColor rgb="FFC6EFCE"/>
        </patternFill>
      </fill>
    </dxf>
    <dxf>
      <fill>
        <patternFill>
          <bgColor rgb="FFC6EFCE"/>
        </patternFill>
      </fill>
    </dxf>
    <dxf>
      <fill>
        <patternFill>
          <bgColor theme="0"/>
        </patternFill>
      </fill>
    </dxf>
    <dxf>
      <fill>
        <patternFill>
          <bgColor rgb="FFFFC7CE"/>
        </patternFill>
      </fill>
    </dxf>
    <dxf>
      <fill>
        <patternFill>
          <bgColor theme="0"/>
        </patternFill>
      </fill>
    </dxf>
    <dxf>
      <font>
        <color rgb="FF0070C0"/>
      </font>
    </dxf>
    <dxf>
      <font>
        <color rgb="FF9C0006"/>
      </font>
    </dxf>
    <dxf>
      <font>
        <color rgb="FF006100"/>
      </font>
    </dxf>
    <dxf>
      <fill>
        <patternFill>
          <bgColor rgb="FFFFC7CE"/>
        </patternFill>
      </fill>
    </dxf>
    <dxf>
      <fill>
        <patternFill>
          <bgColor theme="0"/>
        </patternFill>
      </fill>
    </dxf>
    <dxf>
      <fill>
        <patternFill>
          <bgColor rgb="FFC6EFCE"/>
        </patternFill>
      </fill>
    </dxf>
    <dxf>
      <fill>
        <patternFill>
          <bgColor rgb="FFC6EFCE"/>
        </patternFill>
      </fill>
    </dxf>
    <dxf>
      <fill>
        <patternFill>
          <bgColor theme="0"/>
        </patternFill>
      </fill>
    </dxf>
    <dxf>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90000"/>
      </font>
      <fill>
        <patternFill>
          <bgColor rgb="FFFFC7CE"/>
        </patternFill>
      </fill>
    </dxf>
    <dxf>
      <font>
        <color rgb="FF0066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theme="7"/>
        </patternFill>
      </fill>
    </dxf>
    <dxf>
      <fill>
        <patternFill>
          <bgColor theme="7"/>
        </patternFill>
      </fill>
    </dxf>
    <dxf>
      <fill>
        <patternFill>
          <bgColor theme="8"/>
        </patternFill>
      </fill>
    </dxf>
    <dxf>
      <fill>
        <patternFill>
          <bgColor rgb="FFFF000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ill>
        <patternFill>
          <bgColor rgb="FFC6EFCE"/>
        </patternFill>
      </fill>
    </dxf>
    <dxf>
      <fill>
        <patternFill>
          <bgColor rgb="FFFFC7CE"/>
        </patternFill>
      </fill>
    </dxf>
    <dxf>
      <fill>
        <patternFill>
          <bgColor theme="0"/>
        </patternFill>
      </fill>
    </dxf>
    <dxf>
      <fill>
        <patternFill>
          <bgColor rgb="FFC6EFCE"/>
        </patternFill>
      </fill>
    </dxf>
    <dxf>
      <fill>
        <patternFill>
          <bgColor rgb="FFFFC7CE"/>
        </patternFill>
      </fill>
    </dxf>
    <dxf>
      <font>
        <color rgb="FF0070C0"/>
      </font>
    </dxf>
    <dxf>
      <fill>
        <patternFill>
          <bgColor theme="0"/>
        </patternFill>
      </fill>
    </dxf>
    <dxf>
      <fill>
        <patternFill>
          <bgColor rgb="FFFFC7CE"/>
        </patternFill>
      </fill>
    </dxf>
    <dxf>
      <fill>
        <patternFill>
          <bgColor rgb="FFC6EFCE"/>
        </patternFill>
      </fill>
    </dxf>
    <dxf>
      <font>
        <color rgb="FF0070C0"/>
      </font>
    </dxf>
    <dxf>
      <fill>
        <patternFill>
          <bgColor theme="0"/>
        </patternFill>
      </fill>
    </dxf>
    <dxf>
      <fill>
        <patternFill>
          <bgColor rgb="FFFFC7CE"/>
        </patternFill>
      </fill>
    </dxf>
    <dxf>
      <fill>
        <patternFill>
          <bgColor rgb="FFC6EFCE"/>
        </patternFill>
      </fill>
    </dxf>
    <dxf>
      <font>
        <color rgb="FF9C0006"/>
      </font>
    </dxf>
    <dxf>
      <font>
        <color rgb="FF006100"/>
      </font>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9C0006"/>
      </font>
    </dxf>
    <dxf>
      <fill>
        <patternFill>
          <bgColor theme="0"/>
        </patternFill>
      </fill>
    </dxf>
    <dxf>
      <fill>
        <patternFill>
          <bgColor rgb="FFFFC7CE"/>
        </patternFill>
      </fill>
    </dxf>
    <dxf>
      <fill>
        <patternFill>
          <bgColor rgb="FFC6EFCE"/>
        </patternFill>
      </fill>
    </dxf>
    <dxf>
      <font>
        <color rgb="FF006100"/>
      </font>
    </dxf>
    <dxf>
      <font>
        <color rgb="FF0070C0"/>
      </font>
    </dxf>
    <dxf>
      <fill>
        <patternFill>
          <bgColor rgb="FFC6EFCE"/>
        </patternFill>
      </fill>
    </dxf>
    <dxf>
      <fill>
        <patternFill>
          <bgColor theme="0"/>
        </patternFill>
      </fill>
    </dxf>
    <dxf>
      <fill>
        <patternFill>
          <bgColor rgb="FFFFC7CE"/>
        </patternFill>
      </fill>
    </dxf>
    <dxf>
      <fill>
        <patternFill>
          <bgColor rgb="FFFFC7CE"/>
        </patternFill>
      </fill>
    </dxf>
    <dxf>
      <font>
        <color rgb="FF9C0006"/>
      </font>
    </dxf>
    <dxf>
      <font>
        <color rgb="FF006100"/>
      </font>
    </dxf>
    <dxf>
      <fill>
        <patternFill>
          <bgColor theme="0"/>
        </patternFill>
      </fill>
    </dxf>
    <dxf>
      <font>
        <color rgb="FF0070C0"/>
      </font>
    </dxf>
    <dxf>
      <fill>
        <patternFill>
          <bgColor theme="0"/>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rgb="FFFFC7CE"/>
        </patternFill>
      </fill>
    </dxf>
    <dxf>
      <fill>
        <patternFill>
          <bgColor theme="0"/>
        </patternFill>
      </fill>
    </dxf>
    <dxf>
      <fill>
        <patternFill>
          <bgColor rgb="FFC6EFCE"/>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ont>
        <color rgb="FF9C0006"/>
      </font>
    </dxf>
    <dxf>
      <font>
        <color rgb="FF006100"/>
      </font>
    </dxf>
    <dxf>
      <font>
        <color rgb="FF0070C0"/>
      </font>
    </dxf>
    <dxf>
      <fill>
        <patternFill>
          <bgColor rgb="FFFFC7CE"/>
        </patternFill>
      </fill>
    </dxf>
    <dxf>
      <fill>
        <patternFill>
          <bgColor rgb="FFC6EFCE"/>
        </patternFill>
      </fill>
    </dxf>
    <dxf>
      <fill>
        <patternFill>
          <bgColor theme="0"/>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ont>
        <color rgb="FF006100"/>
      </font>
    </dxf>
    <dxf>
      <font>
        <color rgb="FF0070C0"/>
      </font>
    </dxf>
    <dxf>
      <font>
        <color rgb="FF9C0006"/>
      </font>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theme="0"/>
        </patternFill>
      </fill>
    </dxf>
    <dxf>
      <fill>
        <patternFill>
          <bgColor rgb="FFC6EFCE"/>
        </patternFill>
      </fill>
    </dxf>
    <dxf>
      <font>
        <color rgb="FF9C0006"/>
      </font>
    </dxf>
    <dxf>
      <font>
        <color rgb="FF006100"/>
      </font>
    </dxf>
    <dxf>
      <fill>
        <patternFill>
          <bgColor rgb="FFFFC7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rgb="FFC6EFCE"/>
        </patternFill>
      </fill>
    </dxf>
    <dxf>
      <font>
        <color rgb="FF0070C0"/>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theme="7"/>
        </patternFill>
      </fill>
    </dxf>
    <dxf>
      <fill>
        <patternFill>
          <bgColor rgb="FFFF0000"/>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theme="7"/>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theme="0"/>
        </patternFill>
      </fill>
    </dxf>
    <dxf>
      <fill>
        <patternFill>
          <bgColor rgb="FFC6EFCE"/>
        </patternFill>
      </fill>
    </dxf>
    <dxf>
      <font>
        <color rgb="FF9C0006"/>
      </font>
    </dxf>
    <dxf>
      <font>
        <color rgb="FF006100"/>
      </font>
    </dxf>
    <dxf>
      <fill>
        <patternFill>
          <bgColor theme="0"/>
        </patternFill>
      </fill>
    </dxf>
    <dxf>
      <fill>
        <patternFill>
          <bgColor rgb="FFFFC7CE"/>
        </patternFill>
      </fill>
    </dxf>
    <dxf>
      <font>
        <color rgb="FF0070C0"/>
      </font>
    </dxf>
    <dxf>
      <fill>
        <patternFill>
          <bgColor rgb="FFC6EFCE"/>
        </patternFill>
      </fill>
    </dxf>
    <dxf>
      <fill>
        <patternFill>
          <bgColor rgb="FFFFC7CE"/>
        </patternFill>
      </fill>
    </dxf>
    <dxf>
      <fill>
        <patternFill>
          <bgColor theme="0"/>
        </patternFill>
      </fill>
    </dxf>
    <dxf>
      <fill>
        <patternFill>
          <bgColor theme="0"/>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rgb="FFFFC7CE"/>
        </patternFill>
      </fill>
    </dxf>
    <dxf>
      <fill>
        <patternFill>
          <bgColor theme="0"/>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600"/>
      </font>
      <fill>
        <patternFill>
          <bgColor rgb="FFC6EFCE"/>
        </patternFill>
      </fill>
    </dxf>
    <dxf>
      <font>
        <color rgb="FF990000"/>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theme="7"/>
        </patternFill>
      </fill>
    </dxf>
    <dxf>
      <fill>
        <patternFill>
          <bgColor theme="8"/>
        </patternFill>
      </fill>
    </dxf>
    <dxf>
      <fill>
        <patternFill>
          <bgColor theme="8"/>
        </patternFill>
      </fill>
    </dxf>
    <dxf>
      <fill>
        <patternFill>
          <bgColor rgb="FFFF0000"/>
        </patternFill>
      </fill>
    </dxf>
    <dxf>
      <fill>
        <patternFill>
          <bgColor theme="7"/>
        </patternFill>
      </fill>
    </dxf>
    <dxf>
      <fill>
        <patternFill>
          <bgColor theme="7"/>
        </patternFill>
      </fill>
    </dxf>
    <dxf>
      <fill>
        <patternFill>
          <bgColor rgb="FFFF0000"/>
        </patternFill>
      </fill>
    </dxf>
    <dxf>
      <fill>
        <patternFill>
          <bgColor theme="8"/>
        </patternFill>
      </fill>
    </dxf>
    <dxf>
      <font>
        <color rgb="FF0070C0"/>
      </font>
    </dxf>
    <dxf>
      <font>
        <color rgb="FF006100"/>
      </font>
    </dxf>
    <dxf>
      <font>
        <color rgb="FF9C0006"/>
      </font>
    </dxf>
    <dxf>
      <font>
        <color rgb="FF0070C0"/>
      </font>
    </dxf>
    <dxf>
      <font>
        <color rgb="FF006100"/>
      </font>
    </dxf>
    <dxf>
      <font>
        <color rgb="FF9C0006"/>
      </font>
    </dxf>
    <dxf>
      <fill>
        <patternFill>
          <bgColor rgb="FFC6EFCE"/>
        </patternFill>
      </fill>
    </dxf>
    <dxf>
      <fill>
        <patternFill>
          <bgColor rgb="FFFFC7CE"/>
        </patternFill>
      </fill>
    </dxf>
    <dxf>
      <font>
        <color rgb="FF0070C0"/>
      </font>
    </dxf>
    <dxf>
      <font>
        <color rgb="FF0070C0"/>
      </font>
    </dxf>
    <dxf>
      <fill>
        <patternFill>
          <bgColor rgb="FFC6EFCE"/>
        </patternFill>
      </fill>
    </dxf>
    <dxf>
      <font>
        <color rgb="FF9C0006"/>
      </font>
    </dxf>
    <dxf>
      <font>
        <color rgb="FF006100"/>
      </font>
    </dxf>
    <dxf>
      <fill>
        <patternFill>
          <bgColor theme="0"/>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rgb="FFC6EFCE"/>
        </patternFill>
      </fill>
    </dxf>
    <dxf>
      <fill>
        <patternFill>
          <bgColor theme="0"/>
        </patternFill>
      </fill>
    </dxf>
    <dxf>
      <fill>
        <patternFill>
          <bgColor rgb="FFFFC7CE"/>
        </patternFill>
      </fill>
    </dxf>
    <dxf>
      <font>
        <color rgb="FF006100"/>
      </font>
    </dxf>
    <dxf>
      <font>
        <color rgb="FF9C0006"/>
      </font>
    </dxf>
    <dxf>
      <fill>
        <patternFill>
          <bgColor rgb="FFC6EFCE"/>
        </patternFill>
      </fill>
    </dxf>
    <dxf>
      <fill>
        <patternFill>
          <bgColor rgb="FFFFC7CE"/>
        </patternFill>
      </fill>
    </dxf>
    <dxf>
      <fill>
        <patternFill>
          <bgColor theme="0"/>
        </patternFill>
      </fill>
    </dxf>
    <dxf>
      <font>
        <color rgb="FF0070C0"/>
      </font>
    </dxf>
    <dxf>
      <fill>
        <patternFill>
          <bgColor rgb="FFC6EFCE"/>
        </patternFill>
      </fill>
    </dxf>
    <dxf>
      <fill>
        <patternFill>
          <bgColor rgb="FFFFC7CE"/>
        </patternFill>
      </fill>
    </dxf>
    <dxf>
      <fill>
        <patternFill>
          <bgColor theme="0"/>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9C0006"/>
      </font>
    </dxf>
    <dxf>
      <font>
        <color rgb="FF0070C0"/>
      </font>
    </dxf>
    <dxf>
      <font>
        <color rgb="FF006100"/>
      </font>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0070C0"/>
      </font>
    </dxf>
    <dxf>
      <font>
        <color rgb="FF006100"/>
      </font>
    </dxf>
    <dxf>
      <font>
        <color rgb="FF9C0006"/>
      </font>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theme="0"/>
        </patternFill>
      </fill>
    </dxf>
    <dxf>
      <fill>
        <patternFill>
          <bgColor rgb="FFFFC7CE"/>
        </patternFill>
      </fill>
    </dxf>
    <dxf>
      <fill>
        <patternFill>
          <bgColor theme="0"/>
        </patternFill>
      </fill>
    </dxf>
    <dxf>
      <fill>
        <patternFill>
          <bgColor rgb="FFC6EFCE"/>
        </patternFill>
      </fill>
    </dxf>
    <dxf>
      <font>
        <color rgb="FF0070C0"/>
      </font>
    </dxf>
    <dxf>
      <fill>
        <patternFill>
          <bgColor rgb="FFFFC7CE"/>
        </patternFill>
      </fill>
    </dxf>
    <dxf>
      <fill>
        <patternFill>
          <bgColor theme="0"/>
        </patternFill>
      </fill>
    </dxf>
    <dxf>
      <font>
        <color rgb="FF006100"/>
      </font>
    </dxf>
    <dxf>
      <font>
        <color rgb="FF9C0006"/>
      </font>
    </dxf>
    <dxf>
      <fill>
        <patternFill>
          <bgColor rgb="FFC6EFCE"/>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006100"/>
      </font>
    </dxf>
    <dxf>
      <font>
        <color rgb="FF0070C0"/>
      </font>
    </dxf>
    <dxf>
      <fill>
        <patternFill>
          <bgColor theme="0"/>
        </patternFill>
      </fill>
    </dxf>
    <dxf>
      <fill>
        <patternFill>
          <bgColor rgb="FFC6EFCE"/>
        </patternFill>
      </fill>
    </dxf>
    <dxf>
      <fill>
        <patternFill>
          <bgColor rgb="FFFFC7CE"/>
        </patternFill>
      </fill>
    </dxf>
    <dxf>
      <font>
        <color rgb="FF9C0006"/>
      </font>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FFC7CE"/>
        </patternFill>
      </fill>
    </dxf>
    <dxf>
      <font>
        <color rgb="FF0070C0"/>
      </font>
    </dxf>
    <dxf>
      <fill>
        <patternFill>
          <bgColor rgb="FFC6EFCE"/>
        </patternFill>
      </fill>
    </dxf>
    <dxf>
      <font>
        <color rgb="FF9C0006"/>
      </font>
    </dxf>
    <dxf>
      <font>
        <color rgb="FF006100"/>
      </font>
    </dxf>
    <dxf>
      <fill>
        <patternFill>
          <bgColor rgb="FFC6EFCE"/>
        </patternFill>
      </fill>
    </dxf>
    <dxf>
      <fill>
        <patternFill>
          <bgColor theme="0"/>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ont>
        <color rgb="FF9C0006"/>
      </font>
    </dxf>
    <dxf>
      <fill>
        <patternFill>
          <bgColor theme="0"/>
        </patternFill>
      </fill>
    </dxf>
    <dxf>
      <font>
        <color rgb="FF006100"/>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ont>
        <color rgb="FF0070C0"/>
      </font>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theme="7"/>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rgb="FFFF0000"/>
        </patternFill>
      </fill>
    </dxf>
    <dxf>
      <fill>
        <patternFill>
          <bgColor theme="7"/>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rgb="FFFF0000"/>
        </patternFill>
      </fill>
    </dxf>
    <dxf>
      <fill>
        <patternFill>
          <bgColor theme="7"/>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FFC7CE"/>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rgb="FFC6EFCE"/>
        </patternFill>
      </fill>
    </dxf>
    <dxf>
      <fill>
        <patternFill>
          <bgColor theme="0"/>
        </patternFill>
      </fill>
    </dxf>
    <dxf>
      <fill>
        <patternFill>
          <bgColor theme="0"/>
        </patternFill>
      </fill>
    </dxf>
    <dxf>
      <font>
        <color rgb="FF0070C0"/>
      </font>
    </dxf>
    <dxf>
      <font>
        <color rgb="FF006100"/>
      </font>
    </dxf>
    <dxf>
      <font>
        <color rgb="FF9C0006"/>
      </font>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ont>
        <color rgb="FF0070C0"/>
      </font>
    </dxf>
    <dxf>
      <font>
        <color rgb="FF006100"/>
      </font>
    </dxf>
    <dxf>
      <font>
        <color rgb="FF9C0006"/>
      </font>
    </dxf>
    <dxf>
      <fill>
        <patternFill>
          <bgColor rgb="FFC6EFCE"/>
        </patternFill>
      </fill>
    </dxf>
    <dxf>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90000"/>
      </font>
      <fill>
        <patternFill>
          <bgColor rgb="FFFFC7CE"/>
        </patternFill>
      </fill>
    </dxf>
    <dxf>
      <font>
        <color rgb="FF0066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C6EFCE"/>
        </patternFill>
      </fill>
    </dxf>
    <dxf>
      <fill>
        <patternFill>
          <bgColor rgb="FFFFC7CE"/>
        </patternFill>
      </fill>
    </dxf>
    <dxf>
      <font>
        <color rgb="FF0070C0"/>
      </font>
    </dxf>
    <dxf>
      <font>
        <color rgb="FF0070C0"/>
      </font>
    </dxf>
    <dxf>
      <fill>
        <patternFill>
          <bgColor rgb="FFC6EFCE"/>
        </patternFill>
      </fill>
    </dxf>
    <dxf>
      <font>
        <color rgb="FF9C0006"/>
      </font>
    </dxf>
    <dxf>
      <font>
        <color rgb="FF006100"/>
      </font>
    </dxf>
    <dxf>
      <fill>
        <patternFill>
          <bgColor theme="0"/>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rgb="FFC6EFCE"/>
        </patternFill>
      </fill>
    </dxf>
    <dxf>
      <fill>
        <patternFill>
          <bgColor theme="0"/>
        </patternFill>
      </fill>
    </dxf>
    <dxf>
      <fill>
        <patternFill>
          <bgColor rgb="FFFFC7CE"/>
        </patternFill>
      </fill>
    </dxf>
    <dxf>
      <font>
        <color rgb="FF006100"/>
      </font>
    </dxf>
    <dxf>
      <font>
        <color rgb="FF9C0006"/>
      </font>
    </dxf>
    <dxf>
      <fill>
        <patternFill>
          <bgColor rgb="FFC6EFCE"/>
        </patternFill>
      </fill>
    </dxf>
    <dxf>
      <fill>
        <patternFill>
          <bgColor rgb="FFFFC7CE"/>
        </patternFill>
      </fill>
    </dxf>
    <dxf>
      <fill>
        <patternFill>
          <bgColor theme="0"/>
        </patternFill>
      </fill>
    </dxf>
    <dxf>
      <font>
        <color rgb="FF0070C0"/>
      </font>
    </dxf>
    <dxf>
      <fill>
        <patternFill>
          <bgColor rgb="FFC6EFCE"/>
        </patternFill>
      </fill>
    </dxf>
    <dxf>
      <fill>
        <patternFill>
          <bgColor rgb="FFFFC7CE"/>
        </patternFill>
      </fill>
    </dxf>
    <dxf>
      <fill>
        <patternFill>
          <bgColor theme="0"/>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9C0006"/>
      </font>
    </dxf>
    <dxf>
      <font>
        <color rgb="FF0070C0"/>
      </font>
    </dxf>
    <dxf>
      <font>
        <color rgb="FF006100"/>
      </font>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0070C0"/>
      </font>
    </dxf>
    <dxf>
      <font>
        <color rgb="FF006100"/>
      </font>
    </dxf>
    <dxf>
      <font>
        <color rgb="FF9C0006"/>
      </font>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theme="0"/>
        </patternFill>
      </fill>
    </dxf>
    <dxf>
      <fill>
        <patternFill>
          <bgColor rgb="FFFFC7CE"/>
        </patternFill>
      </fill>
    </dxf>
    <dxf>
      <fill>
        <patternFill>
          <bgColor theme="0"/>
        </patternFill>
      </fill>
    </dxf>
    <dxf>
      <fill>
        <patternFill>
          <bgColor rgb="FFC6EFCE"/>
        </patternFill>
      </fill>
    </dxf>
    <dxf>
      <font>
        <color rgb="FF0070C0"/>
      </font>
    </dxf>
    <dxf>
      <fill>
        <patternFill>
          <bgColor rgb="FFFFC7CE"/>
        </patternFill>
      </fill>
    </dxf>
    <dxf>
      <fill>
        <patternFill>
          <bgColor theme="0"/>
        </patternFill>
      </fill>
    </dxf>
    <dxf>
      <font>
        <color rgb="FF006100"/>
      </font>
    </dxf>
    <dxf>
      <font>
        <color rgb="FF9C0006"/>
      </font>
    </dxf>
    <dxf>
      <fill>
        <patternFill>
          <bgColor rgb="FFC6EFCE"/>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006100"/>
      </font>
    </dxf>
    <dxf>
      <font>
        <color rgb="FF0070C0"/>
      </font>
    </dxf>
    <dxf>
      <fill>
        <patternFill>
          <bgColor theme="0"/>
        </patternFill>
      </fill>
    </dxf>
    <dxf>
      <fill>
        <patternFill>
          <bgColor rgb="FFC6EFCE"/>
        </patternFill>
      </fill>
    </dxf>
    <dxf>
      <fill>
        <patternFill>
          <bgColor rgb="FFFFC7CE"/>
        </patternFill>
      </fill>
    </dxf>
    <dxf>
      <font>
        <color rgb="FF9C0006"/>
      </font>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FFC7CE"/>
        </patternFill>
      </fill>
    </dxf>
    <dxf>
      <font>
        <color rgb="FF0070C0"/>
      </font>
    </dxf>
    <dxf>
      <fill>
        <patternFill>
          <bgColor rgb="FFC6EFCE"/>
        </patternFill>
      </fill>
    </dxf>
    <dxf>
      <font>
        <color rgb="FF9C0006"/>
      </font>
    </dxf>
    <dxf>
      <font>
        <color rgb="FF006100"/>
      </font>
    </dxf>
    <dxf>
      <fill>
        <patternFill>
          <bgColor rgb="FFC6EFCE"/>
        </patternFill>
      </fill>
    </dxf>
    <dxf>
      <fill>
        <patternFill>
          <bgColor theme="0"/>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ont>
        <color rgb="FF9C0006"/>
      </font>
    </dxf>
    <dxf>
      <fill>
        <patternFill>
          <bgColor theme="0"/>
        </patternFill>
      </fill>
    </dxf>
    <dxf>
      <font>
        <color rgb="FF006100"/>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ont>
        <color rgb="FF0070C0"/>
      </font>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theme="7"/>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rgb="FFFF0000"/>
        </patternFill>
      </fill>
    </dxf>
    <dxf>
      <fill>
        <patternFill>
          <bgColor theme="7"/>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rgb="FFFF0000"/>
        </patternFill>
      </fill>
    </dxf>
    <dxf>
      <fill>
        <patternFill>
          <bgColor theme="7"/>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FFC7CE"/>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rgb="FFC6EFCE"/>
        </patternFill>
      </fill>
    </dxf>
    <dxf>
      <fill>
        <patternFill>
          <bgColor theme="0"/>
        </patternFill>
      </fill>
    </dxf>
    <dxf>
      <fill>
        <patternFill>
          <bgColor theme="0"/>
        </patternFill>
      </fill>
    </dxf>
    <dxf>
      <font>
        <color rgb="FF0070C0"/>
      </font>
    </dxf>
    <dxf>
      <font>
        <color rgb="FF006100"/>
      </font>
    </dxf>
    <dxf>
      <font>
        <color rgb="FF9C0006"/>
      </font>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ont>
        <color rgb="FF0070C0"/>
      </font>
    </dxf>
    <dxf>
      <font>
        <color rgb="FF006100"/>
      </font>
    </dxf>
    <dxf>
      <font>
        <color rgb="FF9C0006"/>
      </font>
    </dxf>
    <dxf>
      <fill>
        <patternFill>
          <bgColor rgb="FFC6EFCE"/>
        </patternFill>
      </fill>
    </dxf>
    <dxf>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90000"/>
      </font>
      <fill>
        <patternFill>
          <bgColor rgb="FFFFC7CE"/>
        </patternFill>
      </fill>
    </dxf>
    <dxf>
      <font>
        <color rgb="FF0066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theme="9" tint="0.39994506668294322"/>
        </patternFill>
      </fill>
    </dxf>
    <dxf>
      <fill>
        <patternFill>
          <bgColor theme="0" tint="-0.14996795556505021"/>
        </patternFill>
      </fill>
    </dxf>
    <dxf>
      <fill>
        <patternFill>
          <bgColor theme="5" tint="0.39994506668294322"/>
        </patternFill>
      </fill>
    </dxf>
    <dxf>
      <fill>
        <patternFill>
          <bgColor rgb="FF7030A0"/>
        </patternFill>
      </fill>
    </dxf>
    <dxf>
      <fill>
        <patternFill>
          <bgColor rgb="FFFF5050"/>
        </patternFill>
      </fill>
    </dxf>
    <dxf>
      <fill>
        <patternFill>
          <bgColor theme="9" tint="0.39994506668294322"/>
        </patternFill>
      </fill>
    </dxf>
    <dxf>
      <font>
        <color rgb="FF9C0006"/>
      </font>
      <fill>
        <patternFill>
          <bgColor rgb="FFFFC7CE"/>
        </patternFill>
      </fill>
    </dxf>
  </dxfs>
  <tableStyles count="1" defaultTableStyle="TableStyleMedium2" defaultPivotStyle="PivotStyleLight16">
    <tableStyle name="Invisible" pivot="0" table="0" count="0" xr9:uid="{BC48F09C-D9A7-4389-A828-6F1E78674164}"/>
  </tableStyles>
  <colors>
    <mruColors>
      <color rgb="FFD9D9D9"/>
      <color rgb="FFFF5050"/>
      <color rgb="FFE8E8E8"/>
      <color rgb="FFFBE2D5"/>
      <color rgb="FF3399FF"/>
      <color rgb="FF83CCEB"/>
      <color rgb="FFCCFFFF"/>
      <color rgb="FFC0E6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8.xml"/><Relationship Id="rId47" Type="http://schemas.openxmlformats.org/officeDocument/2006/relationships/externalLink" Target="externalLinks/externalLink13.xml"/><Relationship Id="rId50" Type="http://schemas.openxmlformats.org/officeDocument/2006/relationships/externalLink" Target="externalLinks/externalLink16.xml"/><Relationship Id="rId55"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externalLink" Target="externalLinks/externalLink6.xml"/><Relationship Id="rId45" Type="http://schemas.openxmlformats.org/officeDocument/2006/relationships/externalLink" Target="externalLinks/externalLink11.xml"/><Relationship Id="rId53" Type="http://schemas.openxmlformats.org/officeDocument/2006/relationships/styles" Target="styles.xml"/><Relationship Id="rId58" Type="http://schemas.openxmlformats.org/officeDocument/2006/relationships/customXml" Target="../customXml/item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externalLink" Target="externalLinks/externalLink9.xml"/><Relationship Id="rId48" Type="http://schemas.openxmlformats.org/officeDocument/2006/relationships/externalLink" Target="externalLinks/externalLink14.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46" Type="http://schemas.openxmlformats.org/officeDocument/2006/relationships/externalLink" Target="externalLinks/externalLink12.xml"/><Relationship Id="rId59"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externalLink" Target="externalLinks/externalLink7.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49" Type="http://schemas.openxmlformats.org/officeDocument/2006/relationships/externalLink" Target="externalLinks/externalLink15.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0.xml"/><Relationship Id="rId52" Type="http://schemas.openxmlformats.org/officeDocument/2006/relationships/theme" Target="theme/theme1.xml"/><Relationship Id="rId6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2025</a:t>
            </a:r>
            <a:r>
              <a:rPr lang="en-US" baseline="0"/>
              <a:t> Forecast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lotArea>
      <c:layout/>
      <c:areaChart>
        <c:grouping val="stacked"/>
        <c:varyColors val="0"/>
        <c:ser>
          <c:idx val="0"/>
          <c:order val="0"/>
          <c:tx>
            <c:strRef>
              <c:f>'Yearly Forecast'!$A$2:$A$4</c:f>
              <c:strCache>
                <c:ptCount val="1"/>
                <c:pt idx="0">
                  <c:v>Milling Capacity</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numRef>
              <c:f>'Yearly Forecast'!$C$1:$N$1</c:f>
              <c:numCache>
                <c:formatCode>mmm\-yy</c:formatCode>
                <c:ptCount val="12"/>
                <c:pt idx="0">
                  <c:v>45658</c:v>
                </c:pt>
                <c:pt idx="1">
                  <c:v>45689</c:v>
                </c:pt>
                <c:pt idx="2">
                  <c:v>45717</c:v>
                </c:pt>
                <c:pt idx="3">
                  <c:v>45748</c:v>
                </c:pt>
                <c:pt idx="4">
                  <c:v>45778</c:v>
                </c:pt>
                <c:pt idx="5">
                  <c:v>45809</c:v>
                </c:pt>
                <c:pt idx="6">
                  <c:v>45839</c:v>
                </c:pt>
                <c:pt idx="7">
                  <c:v>45870</c:v>
                </c:pt>
                <c:pt idx="8">
                  <c:v>45901</c:v>
                </c:pt>
                <c:pt idx="9">
                  <c:v>45931</c:v>
                </c:pt>
                <c:pt idx="10">
                  <c:v>45962</c:v>
                </c:pt>
                <c:pt idx="11">
                  <c:v>45992</c:v>
                </c:pt>
              </c:numCache>
            </c:numRef>
          </c:cat>
          <c:val>
            <c:numRef>
              <c:f>'Yearly Forecast'!$C$2:$N$2</c:f>
              <c:numCache>
                <c:formatCode>#,##0</c:formatCode>
                <c:ptCount val="12"/>
                <c:pt idx="0">
                  <c:v>33336</c:v>
                </c:pt>
                <c:pt idx="1">
                  <c:v>35695</c:v>
                </c:pt>
                <c:pt idx="2">
                  <c:v>38339</c:v>
                </c:pt>
                <c:pt idx="3">
                  <c:v>38339</c:v>
                </c:pt>
                <c:pt idx="4">
                  <c:v>38339</c:v>
                </c:pt>
                <c:pt idx="5">
                  <c:v>38339</c:v>
                </c:pt>
                <c:pt idx="6">
                  <c:v>37560</c:v>
                </c:pt>
                <c:pt idx="7">
                  <c:v>37560</c:v>
                </c:pt>
                <c:pt idx="8">
                  <c:v>38339</c:v>
                </c:pt>
                <c:pt idx="9">
                  <c:v>38339</c:v>
                </c:pt>
                <c:pt idx="10">
                  <c:v>37879</c:v>
                </c:pt>
                <c:pt idx="11">
                  <c:v>37253</c:v>
                </c:pt>
              </c:numCache>
            </c:numRef>
          </c:val>
          <c:extLst>
            <c:ext xmlns:c16="http://schemas.microsoft.com/office/drawing/2014/chart" uri="{C3380CC4-5D6E-409C-BE32-E72D297353CC}">
              <c16:uniqueId val="{00000000-4E6E-4418-A01B-F7D14346C551}"/>
            </c:ext>
          </c:extLst>
        </c:ser>
        <c:dLbls>
          <c:showLegendKey val="0"/>
          <c:showVal val="0"/>
          <c:showCatName val="0"/>
          <c:showSerName val="0"/>
          <c:showPercent val="0"/>
          <c:showBubbleSize val="0"/>
        </c:dLbls>
        <c:axId val="1357912240"/>
        <c:axId val="1357908400"/>
      </c:areaChart>
      <c:barChart>
        <c:barDir val="col"/>
        <c:grouping val="clustered"/>
        <c:varyColors val="0"/>
        <c:dLbls>
          <c:showLegendKey val="0"/>
          <c:showVal val="0"/>
          <c:showCatName val="0"/>
          <c:showSerName val="0"/>
          <c:showPercent val="0"/>
          <c:showBubbleSize val="0"/>
        </c:dLbls>
        <c:gapWidth val="150"/>
        <c:axId val="1357912240"/>
        <c:axId val="1357908400"/>
        <c:extLst>
          <c:ext xmlns:c15="http://schemas.microsoft.com/office/drawing/2012/chart" uri="{02D57815-91ED-43cb-92C2-25804820EDAC}">
            <c15:filteredBarSeries>
              <c15:ser>
                <c:idx val="1"/>
                <c:order val="1"/>
                <c:tx>
                  <c:strRef>
                    <c:extLst>
                      <c:ext uri="{02D57815-91ED-43cb-92C2-25804820EDAC}">
                        <c15:formulaRef>
                          <c15:sqref>'Yearly Forecast'!$B$21</c15:sqref>
                        </c15:formulaRef>
                      </c:ext>
                    </c:extLst>
                    <c:strCache>
                      <c:ptCount val="1"/>
                      <c:pt idx="0">
                        <c:v>Mining Budget</c:v>
                      </c:pt>
                    </c:strCache>
                  </c:strRef>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invertIfNegative val="0"/>
                <c:cat>
                  <c:numRef>
                    <c:extLst>
                      <c:ext uri="{02D57815-91ED-43cb-92C2-25804820EDAC}">
                        <c15:formulaRef>
                          <c15:sqref>'Yearly Forecast'!$R$6:$R$13</c15:sqref>
                        </c15:formulaRef>
                      </c:ext>
                    </c:extLst>
                    <c:numCache>
                      <c:formatCode>mmm\-yy</c:formatCode>
                      <c:ptCount val="8"/>
                      <c:pt idx="0">
                        <c:v>45778</c:v>
                      </c:pt>
                      <c:pt idx="1">
                        <c:v>45809</c:v>
                      </c:pt>
                      <c:pt idx="2">
                        <c:v>45839</c:v>
                      </c:pt>
                      <c:pt idx="3">
                        <c:v>45870</c:v>
                      </c:pt>
                      <c:pt idx="4">
                        <c:v>45901</c:v>
                      </c:pt>
                      <c:pt idx="5">
                        <c:v>45931</c:v>
                      </c:pt>
                      <c:pt idx="6">
                        <c:v>45962</c:v>
                      </c:pt>
                      <c:pt idx="7">
                        <c:v>45992</c:v>
                      </c:pt>
                    </c:numCache>
                  </c:numRef>
                </c:cat>
                <c:val>
                  <c:numRef>
                    <c:extLst>
                      <c:ext uri="{02D57815-91ED-43cb-92C2-25804820EDAC}">
                        <c15:formulaRef>
                          <c15:sqref>'Yearly Forecast'!$C$5:$N$5</c15:sqref>
                        </c15:formulaRef>
                      </c:ext>
                    </c:extLst>
                    <c:numCache>
                      <c:formatCode>_-* #,##0_-;\-* #,##0_-;_-* "-"??_-;_-@_-</c:formatCode>
                      <c:ptCount val="12"/>
                      <c:pt idx="0">
                        <c:v>33336</c:v>
                      </c:pt>
                      <c:pt idx="1">
                        <c:v>27941</c:v>
                      </c:pt>
                      <c:pt idx="2">
                        <c:v>27332</c:v>
                      </c:pt>
                      <c:pt idx="3">
                        <c:v>28880</c:v>
                      </c:pt>
                      <c:pt idx="4">
                        <c:v>27080</c:v>
                      </c:pt>
                      <c:pt idx="5">
                        <c:v>28138</c:v>
                      </c:pt>
                      <c:pt idx="6">
                        <c:v>29466</c:v>
                      </c:pt>
                      <c:pt idx="7">
                        <c:v>32359</c:v>
                      </c:pt>
                      <c:pt idx="8">
                        <c:v>39150</c:v>
                      </c:pt>
                      <c:pt idx="9">
                        <c:v>37188</c:v>
                      </c:pt>
                      <c:pt idx="10">
                        <c:v>37862</c:v>
                      </c:pt>
                      <c:pt idx="11">
                        <c:v>37035</c:v>
                      </c:pt>
                    </c:numCache>
                  </c:numRef>
                </c:val>
                <c:extLst>
                  <c:ext xmlns:c16="http://schemas.microsoft.com/office/drawing/2014/chart" uri="{C3380CC4-5D6E-409C-BE32-E72D297353CC}">
                    <c16:uniqueId val="{00000001-4E6E-4418-A01B-F7D14346C551}"/>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'Yearly Forecast'!$A$12</c15:sqref>
                        </c15:formulaRef>
                      </c:ext>
                    </c:extLst>
                    <c:strCache>
                      <c:ptCount val="1"/>
                      <c:pt idx="0">
                        <c:v>ACTUAL</c:v>
                      </c:pt>
                    </c:strCache>
                  </c:strRef>
                </c:tx>
                <c:spPr>
                  <a:gradFill>
                    <a:gsLst>
                      <a:gs pos="100000">
                        <a:schemeClr val="accent3"/>
                      </a:gs>
                      <a:gs pos="0">
                        <a:schemeClr val="accent3">
                          <a:lumMod val="75000"/>
                        </a:schemeClr>
                      </a:gs>
                    </a:gsLst>
                    <a:lin ang="0" scaled="1"/>
                  </a:gradFill>
                  <a:ln>
                    <a:noFill/>
                  </a:ln>
                  <a:effectLst>
                    <a:innerShdw dist="12700" dir="16200000">
                      <a:schemeClr val="lt1">
                        <a:alpha val="75000"/>
                      </a:schemeClr>
                    </a:innerShdw>
                  </a:effectLst>
                </c:spPr>
                <c:invertIfNegative val="0"/>
                <c:cat>
                  <c:numRef>
                    <c:extLst xmlns:c15="http://schemas.microsoft.com/office/drawing/2012/chart">
                      <c:ext xmlns:c15="http://schemas.microsoft.com/office/drawing/2012/chart" uri="{02D57815-91ED-43cb-92C2-25804820EDAC}">
                        <c15:formulaRef>
                          <c15:sqref>'Yearly Forecast'!$R$6:$R$13</c15:sqref>
                        </c15:formulaRef>
                      </c:ext>
                    </c:extLst>
                    <c:numCache>
                      <c:formatCode>mmm\-yy</c:formatCode>
                      <c:ptCount val="8"/>
                      <c:pt idx="0">
                        <c:v>45778</c:v>
                      </c:pt>
                      <c:pt idx="1">
                        <c:v>45809</c:v>
                      </c:pt>
                      <c:pt idx="2">
                        <c:v>45839</c:v>
                      </c:pt>
                      <c:pt idx="3">
                        <c:v>45870</c:v>
                      </c:pt>
                      <c:pt idx="4">
                        <c:v>45901</c:v>
                      </c:pt>
                      <c:pt idx="5">
                        <c:v>45931</c:v>
                      </c:pt>
                      <c:pt idx="6">
                        <c:v>45962</c:v>
                      </c:pt>
                      <c:pt idx="7">
                        <c:v>45992</c:v>
                      </c:pt>
                    </c:numCache>
                  </c:numRef>
                </c:cat>
                <c:val>
                  <c:numRef>
                    <c:extLst xmlns:c15="http://schemas.microsoft.com/office/drawing/2012/chart">
                      <c:ext xmlns:c15="http://schemas.microsoft.com/office/drawing/2012/chart" uri="{02D57815-91ED-43cb-92C2-25804820EDAC}">
                        <c15:formulaRef>
                          <c15:sqref>'Yearly Forecast'!$C$12:$F$12</c15:sqref>
                        </c15:formulaRef>
                      </c:ext>
                    </c:extLst>
                    <c:numCache>
                      <c:formatCode>_-* #,##0_-;\-* #,##0_-;_-* "-"??_-;_-@_-</c:formatCode>
                      <c:ptCount val="4"/>
                      <c:pt idx="0">
                        <c:v>20721</c:v>
                      </c:pt>
                      <c:pt idx="1">
                        <c:v>22145</c:v>
                      </c:pt>
                      <c:pt idx="2">
                        <c:v>22805.697</c:v>
                      </c:pt>
                      <c:pt idx="3">
                        <c:v>23526</c:v>
                      </c:pt>
                    </c:numCache>
                  </c:numRef>
                </c:val>
                <c:extLst xmlns:c15="http://schemas.microsoft.com/office/drawing/2012/chart">
                  <c:ext xmlns:c16="http://schemas.microsoft.com/office/drawing/2014/chart" uri="{C3380CC4-5D6E-409C-BE32-E72D297353CC}">
                    <c16:uniqueId val="{00000002-4E6E-4418-A01B-F7D14346C551}"/>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'Yearly Forecast'!$T$1</c15:sqref>
                        </c15:formulaRef>
                      </c:ext>
                    </c:extLst>
                    <c:strCache>
                      <c:ptCount val="1"/>
                      <c:pt idx="0">
                        <c:v>Forecast (t)</c:v>
                      </c:pt>
                    </c:strCache>
                  </c:strRef>
                </c:tx>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invertIfNegative val="0"/>
                <c:cat>
                  <c:numRef>
                    <c:extLst xmlns:c15="http://schemas.microsoft.com/office/drawing/2012/chart">
                      <c:ext xmlns:c15="http://schemas.microsoft.com/office/drawing/2012/chart" uri="{02D57815-91ED-43cb-92C2-25804820EDAC}">
                        <c15:formulaRef>
                          <c15:sqref>'Yearly Forecast'!$R$6:$R$13</c15:sqref>
                        </c15:formulaRef>
                      </c:ext>
                    </c:extLst>
                    <c:numCache>
                      <c:formatCode>mmm\-yy</c:formatCode>
                      <c:ptCount val="8"/>
                      <c:pt idx="0">
                        <c:v>45778</c:v>
                      </c:pt>
                      <c:pt idx="1">
                        <c:v>45809</c:v>
                      </c:pt>
                      <c:pt idx="2">
                        <c:v>45839</c:v>
                      </c:pt>
                      <c:pt idx="3">
                        <c:v>45870</c:v>
                      </c:pt>
                      <c:pt idx="4">
                        <c:v>45901</c:v>
                      </c:pt>
                      <c:pt idx="5">
                        <c:v>45931</c:v>
                      </c:pt>
                      <c:pt idx="6">
                        <c:v>45962</c:v>
                      </c:pt>
                      <c:pt idx="7">
                        <c:v>45992</c:v>
                      </c:pt>
                    </c:numCache>
                  </c:numRef>
                </c:cat>
                <c:val>
                  <c:numRef>
                    <c:extLst xmlns:c15="http://schemas.microsoft.com/office/drawing/2012/chart">
                      <c:ext xmlns:c15="http://schemas.microsoft.com/office/drawing/2012/chart" uri="{02D57815-91ED-43cb-92C2-25804820EDAC}">
                        <c15:formulaRef>
                          <c15:sqref>'Yearly Forecast'!$T$10:$T$13</c15:sqref>
                        </c15:formulaRef>
                      </c:ext>
                    </c:extLst>
                    <c:numCache>
                      <c:formatCode>#,##0</c:formatCode>
                      <c:ptCount val="4"/>
                      <c:pt idx="0">
                        <c:v>31641.61</c:v>
                      </c:pt>
                      <c:pt idx="1">
                        <c:v>30969.809999999998</c:v>
                      </c:pt>
                      <c:pt idx="2">
                        <c:v>34200.42</c:v>
                      </c:pt>
                      <c:pt idx="3">
                        <c:v>34051.89</c:v>
                      </c:pt>
                    </c:numCache>
                  </c:numRef>
                </c:val>
                <c:extLst xmlns:c15="http://schemas.microsoft.com/office/drawing/2012/chart">
                  <c:ext xmlns:c16="http://schemas.microsoft.com/office/drawing/2014/chart" uri="{C3380CC4-5D6E-409C-BE32-E72D297353CC}">
                    <c16:uniqueId val="{00000005-FEB4-4B31-AE7D-0A371087996B}"/>
                  </c:ext>
                </c:extLst>
              </c15:ser>
            </c15:filteredBarSeries>
          </c:ext>
        </c:extLst>
      </c:barChart>
      <c:dateAx>
        <c:axId val="1357912240"/>
        <c:scaling>
          <c:orientation val="minMax"/>
        </c:scaling>
        <c:delete val="0"/>
        <c:axPos val="b"/>
        <c:numFmt formatCode="mmm\-yy"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357908400"/>
        <c:crosses val="autoZero"/>
        <c:auto val="1"/>
        <c:lblOffset val="100"/>
        <c:baseTimeUnit val="months"/>
      </c:dateAx>
      <c:valAx>
        <c:axId val="135790840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579122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2025</a:t>
            </a:r>
            <a:r>
              <a:rPr lang="en-GB" baseline="0"/>
              <a:t> Forecast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areaChart>
        <c:grouping val="standard"/>
        <c:varyColors val="0"/>
        <c:ser>
          <c:idx val="0"/>
          <c:order val="0"/>
          <c:tx>
            <c:strRef>
              <c:f>Sheet4!$O$4</c:f>
              <c:strCache>
                <c:ptCount val="1"/>
                <c:pt idx="0">
                  <c:v>Milling Capacity</c:v>
                </c:pt>
              </c:strCache>
            </c:strRef>
          </c:tx>
          <c:spPr>
            <a:solidFill>
              <a:schemeClr val="accent1"/>
            </a:solidFill>
            <a:ln>
              <a:noFill/>
            </a:ln>
            <a:effectLst/>
          </c:spPr>
          <c:cat>
            <c:numRef>
              <c:f>Sheet4!$Q$3:$AB$3</c:f>
              <c:numCache>
                <c:formatCode>mmm\-yy</c:formatCode>
                <c:ptCount val="12"/>
                <c:pt idx="0">
                  <c:v>45658</c:v>
                </c:pt>
                <c:pt idx="1">
                  <c:v>45689</c:v>
                </c:pt>
                <c:pt idx="2">
                  <c:v>45717</c:v>
                </c:pt>
                <c:pt idx="3">
                  <c:v>45748</c:v>
                </c:pt>
                <c:pt idx="4">
                  <c:v>45778</c:v>
                </c:pt>
                <c:pt idx="5">
                  <c:v>45809</c:v>
                </c:pt>
                <c:pt idx="6">
                  <c:v>45839</c:v>
                </c:pt>
                <c:pt idx="7">
                  <c:v>45870</c:v>
                </c:pt>
                <c:pt idx="8">
                  <c:v>45901</c:v>
                </c:pt>
                <c:pt idx="9">
                  <c:v>45931</c:v>
                </c:pt>
                <c:pt idx="10">
                  <c:v>45962</c:v>
                </c:pt>
                <c:pt idx="11">
                  <c:v>45992</c:v>
                </c:pt>
              </c:numCache>
            </c:numRef>
          </c:cat>
          <c:val>
            <c:numRef>
              <c:f>Sheet4!$Q$4:$AB$4</c:f>
              <c:numCache>
                <c:formatCode>#,##0</c:formatCode>
                <c:ptCount val="12"/>
                <c:pt idx="0">
                  <c:v>38339</c:v>
                </c:pt>
                <c:pt idx="1">
                  <c:v>35695</c:v>
                </c:pt>
                <c:pt idx="2">
                  <c:v>38339</c:v>
                </c:pt>
                <c:pt idx="3">
                  <c:v>38339</c:v>
                </c:pt>
                <c:pt idx="4">
                  <c:v>38339</c:v>
                </c:pt>
                <c:pt idx="5">
                  <c:v>38339</c:v>
                </c:pt>
                <c:pt idx="6">
                  <c:v>37560</c:v>
                </c:pt>
                <c:pt idx="7">
                  <c:v>37560</c:v>
                </c:pt>
                <c:pt idx="8">
                  <c:v>38339</c:v>
                </c:pt>
                <c:pt idx="9">
                  <c:v>38339</c:v>
                </c:pt>
                <c:pt idx="10">
                  <c:v>37879</c:v>
                </c:pt>
                <c:pt idx="11">
                  <c:v>37253</c:v>
                </c:pt>
              </c:numCache>
            </c:numRef>
          </c:val>
          <c:extLst>
            <c:ext xmlns:c16="http://schemas.microsoft.com/office/drawing/2014/chart" uri="{C3380CC4-5D6E-409C-BE32-E72D297353CC}">
              <c16:uniqueId val="{00000000-F08C-409D-A528-9766426E8321}"/>
            </c:ext>
          </c:extLst>
        </c:ser>
        <c:dLbls>
          <c:showLegendKey val="0"/>
          <c:showVal val="0"/>
          <c:showCatName val="0"/>
          <c:showSerName val="0"/>
          <c:showPercent val="0"/>
          <c:showBubbleSize val="0"/>
        </c:dLbls>
        <c:axId val="715950944"/>
        <c:axId val="715948544"/>
      </c:areaChart>
      <c:barChart>
        <c:barDir val="col"/>
        <c:grouping val="clustered"/>
        <c:varyColors val="0"/>
        <c:ser>
          <c:idx val="2"/>
          <c:order val="1"/>
          <c:tx>
            <c:strRef>
              <c:f>Sheet4!$O$6</c:f>
              <c:strCache>
                <c:ptCount val="1"/>
                <c:pt idx="0">
                  <c:v>Forecast</c:v>
                </c:pt>
              </c:strCache>
            </c:strRef>
          </c:tx>
          <c:spPr>
            <a:solidFill>
              <a:srgbClr val="92D050"/>
            </a:solidFill>
            <a:ln>
              <a:noFill/>
            </a:ln>
            <a:effectLst/>
          </c:spPr>
          <c:invertIfNegative val="0"/>
          <c:cat>
            <c:numRef>
              <c:f>Sheet4!$Q$3:$AB$3</c:f>
              <c:numCache>
                <c:formatCode>mmm\-yy</c:formatCode>
                <c:ptCount val="12"/>
                <c:pt idx="0">
                  <c:v>45658</c:v>
                </c:pt>
                <c:pt idx="1">
                  <c:v>45689</c:v>
                </c:pt>
                <c:pt idx="2">
                  <c:v>45717</c:v>
                </c:pt>
                <c:pt idx="3">
                  <c:v>45748</c:v>
                </c:pt>
                <c:pt idx="4">
                  <c:v>45778</c:v>
                </c:pt>
                <c:pt idx="5">
                  <c:v>45809</c:v>
                </c:pt>
                <c:pt idx="6">
                  <c:v>45839</c:v>
                </c:pt>
                <c:pt idx="7">
                  <c:v>45870</c:v>
                </c:pt>
                <c:pt idx="8">
                  <c:v>45901</c:v>
                </c:pt>
                <c:pt idx="9">
                  <c:v>45931</c:v>
                </c:pt>
                <c:pt idx="10">
                  <c:v>45962</c:v>
                </c:pt>
                <c:pt idx="11">
                  <c:v>45992</c:v>
                </c:pt>
              </c:numCache>
            </c:numRef>
          </c:cat>
          <c:val>
            <c:numRef>
              <c:f>Sheet4!$Q$6:$AB$6</c:f>
              <c:numCache>
                <c:formatCode>_-* #,##0_-;\-* #,##0_-;_-* "-"??_-;_-@_-</c:formatCode>
                <c:ptCount val="12"/>
                <c:pt idx="0">
                  <c:v>0</c:v>
                </c:pt>
                <c:pt idx="1">
                  <c:v>0</c:v>
                </c:pt>
                <c:pt idx="2">
                  <c:v>0</c:v>
                </c:pt>
                <c:pt idx="3">
                  <c:v>0</c:v>
                </c:pt>
                <c:pt idx="4">
                  <c:v>29352</c:v>
                </c:pt>
                <c:pt idx="5">
                  <c:v>26771</c:v>
                </c:pt>
                <c:pt idx="6">
                  <c:v>34806.270000000004</c:v>
                </c:pt>
                <c:pt idx="7">
                  <c:v>30680.57</c:v>
                </c:pt>
                <c:pt idx="8">
                  <c:v>31641.61</c:v>
                </c:pt>
                <c:pt idx="9">
                  <c:v>30969.809999999998</c:v>
                </c:pt>
                <c:pt idx="10">
                  <c:v>34200.42</c:v>
                </c:pt>
                <c:pt idx="11">
                  <c:v>34051.89</c:v>
                </c:pt>
              </c:numCache>
            </c:numRef>
          </c:val>
          <c:extLst>
            <c:ext xmlns:c16="http://schemas.microsoft.com/office/drawing/2014/chart" uri="{C3380CC4-5D6E-409C-BE32-E72D297353CC}">
              <c16:uniqueId val="{00000002-F08C-409D-A528-9766426E8321}"/>
            </c:ext>
          </c:extLst>
        </c:ser>
        <c:ser>
          <c:idx val="3"/>
          <c:order val="4"/>
          <c:tx>
            <c:strRef>
              <c:f>Sheet4!$O$8</c:f>
              <c:strCache>
                <c:ptCount val="1"/>
                <c:pt idx="0">
                  <c:v>Actual</c:v>
                </c:pt>
              </c:strCache>
            </c:strRef>
          </c:tx>
          <c:spPr>
            <a:solidFill>
              <a:srgbClr val="D9D9D9"/>
            </a:solidFill>
            <a:ln>
              <a:noFill/>
            </a:ln>
            <a:effectLst/>
          </c:spPr>
          <c:invertIfNegative val="0"/>
          <c:cat>
            <c:numRef>
              <c:f>Sheet4!$Q$3:$AB$3</c:f>
              <c:numCache>
                <c:formatCode>mmm\-yy</c:formatCode>
                <c:ptCount val="12"/>
                <c:pt idx="0">
                  <c:v>45658</c:v>
                </c:pt>
                <c:pt idx="1">
                  <c:v>45689</c:v>
                </c:pt>
                <c:pt idx="2">
                  <c:v>45717</c:v>
                </c:pt>
                <c:pt idx="3">
                  <c:v>45748</c:v>
                </c:pt>
                <c:pt idx="4">
                  <c:v>45778</c:v>
                </c:pt>
                <c:pt idx="5">
                  <c:v>45809</c:v>
                </c:pt>
                <c:pt idx="6">
                  <c:v>45839</c:v>
                </c:pt>
                <c:pt idx="7">
                  <c:v>45870</c:v>
                </c:pt>
                <c:pt idx="8">
                  <c:v>45901</c:v>
                </c:pt>
                <c:pt idx="9">
                  <c:v>45931</c:v>
                </c:pt>
                <c:pt idx="10">
                  <c:v>45962</c:v>
                </c:pt>
                <c:pt idx="11">
                  <c:v>45992</c:v>
                </c:pt>
              </c:numCache>
            </c:numRef>
          </c:cat>
          <c:val>
            <c:numRef>
              <c:f>Sheet4!$Q$8:$AB$8</c:f>
              <c:numCache>
                <c:formatCode>_-* #,##0_-;\-* #,##0_-;_-* "-"??_-;_-@_-</c:formatCode>
                <c:ptCount val="12"/>
                <c:pt idx="0">
                  <c:v>21224</c:v>
                </c:pt>
                <c:pt idx="1">
                  <c:v>21098</c:v>
                </c:pt>
                <c:pt idx="2">
                  <c:v>24786</c:v>
                </c:pt>
                <c:pt idx="3">
                  <c:v>24001</c:v>
                </c:pt>
              </c:numCache>
            </c:numRef>
          </c:val>
          <c:extLst>
            <c:ext xmlns:c16="http://schemas.microsoft.com/office/drawing/2014/chart" uri="{C3380CC4-5D6E-409C-BE32-E72D297353CC}">
              <c16:uniqueId val="{00000003-F08C-409D-A528-9766426E8321}"/>
            </c:ext>
          </c:extLst>
        </c:ser>
        <c:dLbls>
          <c:showLegendKey val="0"/>
          <c:showVal val="0"/>
          <c:showCatName val="0"/>
          <c:showSerName val="0"/>
          <c:showPercent val="0"/>
          <c:showBubbleSize val="0"/>
        </c:dLbls>
        <c:gapWidth val="80"/>
        <c:axId val="715950944"/>
        <c:axId val="715948544"/>
        <c:extLst>
          <c:ext xmlns:c15="http://schemas.microsoft.com/office/drawing/2012/chart" uri="{02D57815-91ED-43cb-92C2-25804820EDAC}">
            <c15:filteredBarSeries>
              <c15:ser>
                <c:idx val="4"/>
                <c:order val="2"/>
                <c:tx>
                  <c:strRef>
                    <c:extLst>
                      <c:ext uri="{02D57815-91ED-43cb-92C2-25804820EDAC}">
                        <c15:formulaRef>
                          <c15:sqref>Sheet4!$O$7</c15:sqref>
                        </c15:formulaRef>
                      </c:ext>
                    </c:extLst>
                    <c:strCache>
                      <c:ptCount val="1"/>
                      <c:pt idx="0">
                        <c:v>Forecast based on Q1</c:v>
                      </c:pt>
                    </c:strCache>
                  </c:strRef>
                </c:tx>
                <c:spPr>
                  <a:solidFill>
                    <a:schemeClr val="accent5"/>
                  </a:solidFill>
                  <a:ln>
                    <a:noFill/>
                  </a:ln>
                  <a:effectLst/>
                </c:spPr>
                <c:invertIfNegative val="0"/>
                <c:cat>
                  <c:numRef>
                    <c:extLst>
                      <c:ext uri="{02D57815-91ED-43cb-92C2-25804820EDAC}">
                        <c15:formulaRef>
                          <c15:sqref>Sheet4!$Q$3:$AB$3</c15:sqref>
                        </c15:formulaRef>
                      </c:ext>
                    </c:extLst>
                    <c:numCache>
                      <c:formatCode>mmm\-yy</c:formatCode>
                      <c:ptCount val="12"/>
                      <c:pt idx="0">
                        <c:v>45658</c:v>
                      </c:pt>
                      <c:pt idx="1">
                        <c:v>45689</c:v>
                      </c:pt>
                      <c:pt idx="2">
                        <c:v>45717</c:v>
                      </c:pt>
                      <c:pt idx="3">
                        <c:v>45748</c:v>
                      </c:pt>
                      <c:pt idx="4">
                        <c:v>45778</c:v>
                      </c:pt>
                      <c:pt idx="5">
                        <c:v>45809</c:v>
                      </c:pt>
                      <c:pt idx="6">
                        <c:v>45839</c:v>
                      </c:pt>
                      <c:pt idx="7">
                        <c:v>45870</c:v>
                      </c:pt>
                      <c:pt idx="8">
                        <c:v>45901</c:v>
                      </c:pt>
                      <c:pt idx="9">
                        <c:v>45931</c:v>
                      </c:pt>
                      <c:pt idx="10">
                        <c:v>45962</c:v>
                      </c:pt>
                      <c:pt idx="11">
                        <c:v>45992</c:v>
                      </c:pt>
                    </c:numCache>
                  </c:numRef>
                </c:cat>
                <c:val>
                  <c:numRef>
                    <c:extLst>
                      <c:ext uri="{02D57815-91ED-43cb-92C2-25804820EDAC}">
                        <c15:formulaRef>
                          <c15:sqref>Sheet4!$Q$7:$AB$7</c15:sqref>
                        </c15:formulaRef>
                      </c:ext>
                    </c:extLst>
                    <c:numCache>
                      <c:formatCode>_-* #,##0_-;\-* #,##0_-;_-* "-"??_-;_-@_-</c:formatCode>
                      <c:ptCount val="12"/>
                      <c:pt idx="3">
                        <c:v>23111.058707696386</c:v>
                      </c:pt>
                      <c:pt idx="4">
                        <c:v>25325.958379253476</c:v>
                      </c:pt>
                      <c:pt idx="5">
                        <c:v>23098.979005553105</c:v>
                      </c:pt>
                      <c:pt idx="6">
                        <c:v>30032.09816561253</c:v>
                      </c:pt>
                      <c:pt idx="7">
                        <c:v>26472.296227574705</c:v>
                      </c:pt>
                      <c:pt idx="8">
                        <c:v>27301.516009558822</c:v>
                      </c:pt>
                      <c:pt idx="9">
                        <c:v>26721.862873854865</c:v>
                      </c:pt>
                      <c:pt idx="10">
                        <c:v>29509.34905536209</c:v>
                      </c:pt>
                      <c:pt idx="11">
                        <c:v>29381.192043980565</c:v>
                      </c:pt>
                    </c:numCache>
                  </c:numRef>
                </c:val>
                <c:extLst>
                  <c:ext xmlns:c16="http://schemas.microsoft.com/office/drawing/2014/chart" uri="{C3380CC4-5D6E-409C-BE32-E72D297353CC}">
                    <c16:uniqueId val="{00000005-F08C-409D-A528-9766426E8321}"/>
                  </c:ext>
                </c:extLst>
              </c15:ser>
            </c15:filteredBarSeries>
            <c15:filteredBarSeries>
              <c15:ser>
                <c:idx val="1"/>
                <c:order val="3"/>
                <c:tx>
                  <c:strRef>
                    <c:extLst xmlns:c15="http://schemas.microsoft.com/office/drawing/2012/chart">
                      <c:ext xmlns:c15="http://schemas.microsoft.com/office/drawing/2012/chart" uri="{02D57815-91ED-43cb-92C2-25804820EDAC}">
                        <c15:formulaRef>
                          <c15:sqref>Sheet4!$O$5</c15:sqref>
                        </c15:formulaRef>
                      </c:ext>
                    </c:extLst>
                    <c:strCache>
                      <c:ptCount val="1"/>
                      <c:pt idx="0">
                        <c:v>Mining Budget</c:v>
                      </c:pt>
                    </c:strCache>
                  </c:strRef>
                </c:tx>
                <c:spPr>
                  <a:solidFill>
                    <a:schemeClr val="accent2"/>
                  </a:solidFill>
                  <a:ln>
                    <a:noFill/>
                  </a:ln>
                  <a:effectLst/>
                </c:spPr>
                <c:invertIfNegative val="0"/>
                <c:cat>
                  <c:numRef>
                    <c:extLst xmlns:c15="http://schemas.microsoft.com/office/drawing/2012/chart">
                      <c:ext xmlns:c15="http://schemas.microsoft.com/office/drawing/2012/chart" uri="{02D57815-91ED-43cb-92C2-25804820EDAC}">
                        <c15:formulaRef>
                          <c15:sqref>Sheet4!$Q$3:$AB$3</c15:sqref>
                        </c15:formulaRef>
                      </c:ext>
                    </c:extLst>
                    <c:numCache>
                      <c:formatCode>mmm\-yy</c:formatCode>
                      <c:ptCount val="12"/>
                      <c:pt idx="0">
                        <c:v>45658</c:v>
                      </c:pt>
                      <c:pt idx="1">
                        <c:v>45689</c:v>
                      </c:pt>
                      <c:pt idx="2">
                        <c:v>45717</c:v>
                      </c:pt>
                      <c:pt idx="3">
                        <c:v>45748</c:v>
                      </c:pt>
                      <c:pt idx="4">
                        <c:v>45778</c:v>
                      </c:pt>
                      <c:pt idx="5">
                        <c:v>45809</c:v>
                      </c:pt>
                      <c:pt idx="6">
                        <c:v>45839</c:v>
                      </c:pt>
                      <c:pt idx="7">
                        <c:v>45870</c:v>
                      </c:pt>
                      <c:pt idx="8">
                        <c:v>45901</c:v>
                      </c:pt>
                      <c:pt idx="9">
                        <c:v>45931</c:v>
                      </c:pt>
                      <c:pt idx="10">
                        <c:v>45962</c:v>
                      </c:pt>
                      <c:pt idx="11">
                        <c:v>45992</c:v>
                      </c:pt>
                    </c:numCache>
                  </c:numRef>
                </c:cat>
                <c:val>
                  <c:numRef>
                    <c:extLst xmlns:c15="http://schemas.microsoft.com/office/drawing/2012/chart">
                      <c:ext xmlns:c15="http://schemas.microsoft.com/office/drawing/2012/chart" uri="{02D57815-91ED-43cb-92C2-25804820EDAC}">
                        <c15:formulaRef>
                          <c15:sqref>Sheet4!$Q$5:$AB$5</c15:sqref>
                        </c15:formulaRef>
                      </c:ext>
                    </c:extLst>
                    <c:numCache>
                      <c:formatCode>_-* #,##0_-;\-* #,##0_-;_-* "-"??_-;_-@_-</c:formatCode>
                      <c:ptCount val="12"/>
                      <c:pt idx="0">
                        <c:v>33336</c:v>
                      </c:pt>
                      <c:pt idx="1">
                        <c:v>27941</c:v>
                      </c:pt>
                      <c:pt idx="2">
                        <c:v>27332</c:v>
                      </c:pt>
                      <c:pt idx="3">
                        <c:v>28880</c:v>
                      </c:pt>
                      <c:pt idx="4">
                        <c:v>27080</c:v>
                      </c:pt>
                      <c:pt idx="5">
                        <c:v>28138</c:v>
                      </c:pt>
                      <c:pt idx="6">
                        <c:v>29466</c:v>
                      </c:pt>
                      <c:pt idx="7">
                        <c:v>32359</c:v>
                      </c:pt>
                      <c:pt idx="8">
                        <c:v>39150</c:v>
                      </c:pt>
                      <c:pt idx="9">
                        <c:v>37188</c:v>
                      </c:pt>
                      <c:pt idx="10">
                        <c:v>37862</c:v>
                      </c:pt>
                      <c:pt idx="11">
                        <c:v>37035</c:v>
                      </c:pt>
                    </c:numCache>
                  </c:numRef>
                </c:val>
                <c:extLst xmlns:c15="http://schemas.microsoft.com/office/drawing/2012/chart">
                  <c:ext xmlns:c16="http://schemas.microsoft.com/office/drawing/2014/chart" uri="{C3380CC4-5D6E-409C-BE32-E72D297353CC}">
                    <c16:uniqueId val="{00000001-F08C-409D-A528-9766426E8321}"/>
                  </c:ext>
                </c:extLst>
              </c15:ser>
            </c15:filteredBarSeries>
          </c:ext>
        </c:extLst>
      </c:barChart>
      <c:dateAx>
        <c:axId val="715950944"/>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948544"/>
        <c:crosses val="autoZero"/>
        <c:auto val="1"/>
        <c:lblOffset val="100"/>
        <c:baseTimeUnit val="months"/>
      </c:dateAx>
      <c:valAx>
        <c:axId val="7159485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950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Stope Performace Planned Vs Actual Margin (US$'k)</a:t>
            </a:r>
          </a:p>
        </c:rich>
      </c:tx>
      <c:layout>
        <c:manualLayout>
          <c:xMode val="edge"/>
          <c:yMode val="edge"/>
          <c:x val="0.26478192585937071"/>
          <c:y val="4.23717721358504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'Monthly Stope Performance'!$AD$36</c:f>
              <c:strCache>
                <c:ptCount val="1"/>
                <c:pt idx="0">
                  <c:v>Planned Margin (US$'k)</c:v>
                </c:pt>
              </c:strCache>
            </c:strRef>
          </c:tx>
          <c:spPr>
            <a:solidFill>
              <a:schemeClr val="accent1"/>
            </a:solidFill>
            <a:ln>
              <a:noFill/>
            </a:ln>
            <a:effectLst/>
          </c:spPr>
          <c:invertIfNegative val="0"/>
          <c:cat>
            <c:strRef>
              <c:f>'Monthly Stope Performance'!$O$37:$O$49</c:f>
              <c:strCache>
                <c:ptCount val="13"/>
                <c:pt idx="0">
                  <c:v>1L_W24</c:v>
                </c:pt>
                <c:pt idx="1">
                  <c:v>3L_W23</c:v>
                </c:pt>
                <c:pt idx="2">
                  <c:v>4L_W23A</c:v>
                </c:pt>
                <c:pt idx="3">
                  <c:v>4L_W23B</c:v>
                </c:pt>
                <c:pt idx="4">
                  <c:v>4L_W26</c:v>
                </c:pt>
                <c:pt idx="5">
                  <c:v>5L_W7</c:v>
                </c:pt>
                <c:pt idx="6">
                  <c:v>5L_W8</c:v>
                </c:pt>
                <c:pt idx="7">
                  <c:v>6L_E1</c:v>
                </c:pt>
                <c:pt idx="8">
                  <c:v>6L_W1</c:v>
                </c:pt>
                <c:pt idx="9">
                  <c:v>6L_W2</c:v>
                </c:pt>
                <c:pt idx="10">
                  <c:v>6L_W8</c:v>
                </c:pt>
                <c:pt idx="11">
                  <c:v>6L_W9</c:v>
                </c:pt>
                <c:pt idx="12">
                  <c:v>6L_W10</c:v>
                </c:pt>
              </c:strCache>
            </c:strRef>
          </c:cat>
          <c:val>
            <c:numRef>
              <c:f>'Monthly Stope Performance'!$AD$37:$AD$49</c:f>
              <c:numCache>
                <c:formatCode>_-* #,##0_-;\-* #,##0_-;_-* "-"??_-;_-@_-</c:formatCode>
                <c:ptCount val="13"/>
                <c:pt idx="0">
                  <c:v>86.416796542597254</c:v>
                </c:pt>
                <c:pt idx="1">
                  <c:v>210.99955221545113</c:v>
                </c:pt>
                <c:pt idx="2">
                  <c:v>398.72690598906081</c:v>
                </c:pt>
                <c:pt idx="3">
                  <c:v>726.77623540877607</c:v>
                </c:pt>
                <c:pt idx="4">
                  <c:v>75.35234027438598</c:v>
                </c:pt>
                <c:pt idx="5">
                  <c:v>151.6158710649776</c:v>
                </c:pt>
                <c:pt idx="6">
                  <c:v>71.437853032649969</c:v>
                </c:pt>
                <c:pt idx="7">
                  <c:v>368.30565382359305</c:v>
                </c:pt>
                <c:pt idx="8">
                  <c:v>552.45848073538923</c:v>
                </c:pt>
                <c:pt idx="9">
                  <c:v>247.82601890307066</c:v>
                </c:pt>
                <c:pt idx="10">
                  <c:v>239.22033069446192</c:v>
                </c:pt>
                <c:pt idx="11">
                  <c:v>402.21885154124567</c:v>
                </c:pt>
                <c:pt idx="12">
                  <c:v>78.425800348889098</c:v>
                </c:pt>
              </c:numCache>
            </c:numRef>
          </c:val>
          <c:extLst>
            <c:ext xmlns:c16="http://schemas.microsoft.com/office/drawing/2014/chart" uri="{C3380CC4-5D6E-409C-BE32-E72D297353CC}">
              <c16:uniqueId val="{00000000-08E9-421D-AD52-C35057C777D0}"/>
            </c:ext>
          </c:extLst>
        </c:ser>
        <c:ser>
          <c:idx val="1"/>
          <c:order val="1"/>
          <c:tx>
            <c:strRef>
              <c:f>'Monthly Stope Performance'!$AE$36</c:f>
              <c:strCache>
                <c:ptCount val="1"/>
                <c:pt idx="0">
                  <c:v>Actual Margin (US$'k)</c:v>
                </c:pt>
              </c:strCache>
            </c:strRef>
          </c:tx>
          <c:spPr>
            <a:solidFill>
              <a:schemeClr val="accent2"/>
            </a:solidFill>
            <a:ln>
              <a:noFill/>
            </a:ln>
            <a:effectLst/>
          </c:spPr>
          <c:invertIfNegative val="0"/>
          <c:cat>
            <c:strRef>
              <c:f>'Monthly Stope Performance'!$O$37:$O$49</c:f>
              <c:strCache>
                <c:ptCount val="13"/>
                <c:pt idx="0">
                  <c:v>1L_W24</c:v>
                </c:pt>
                <c:pt idx="1">
                  <c:v>3L_W23</c:v>
                </c:pt>
                <c:pt idx="2">
                  <c:v>4L_W23A</c:v>
                </c:pt>
                <c:pt idx="3">
                  <c:v>4L_W23B</c:v>
                </c:pt>
                <c:pt idx="4">
                  <c:v>4L_W26</c:v>
                </c:pt>
                <c:pt idx="5">
                  <c:v>5L_W7</c:v>
                </c:pt>
                <c:pt idx="6">
                  <c:v>5L_W8</c:v>
                </c:pt>
                <c:pt idx="7">
                  <c:v>6L_E1</c:v>
                </c:pt>
                <c:pt idx="8">
                  <c:v>6L_W1</c:v>
                </c:pt>
                <c:pt idx="9">
                  <c:v>6L_W2</c:v>
                </c:pt>
                <c:pt idx="10">
                  <c:v>6L_W8</c:v>
                </c:pt>
                <c:pt idx="11">
                  <c:v>6L_W9</c:v>
                </c:pt>
                <c:pt idx="12">
                  <c:v>6L_W10</c:v>
                </c:pt>
              </c:strCache>
            </c:strRef>
          </c:cat>
          <c:val>
            <c:numRef>
              <c:f>'Monthly Stope Performance'!$AE$37:$AE$49</c:f>
              <c:numCache>
                <c:formatCode>_-* #,##0_-;\-* #,##0_-;_-* "-"??_-;_-@_-</c:formatCode>
                <c:ptCount val="13"/>
                <c:pt idx="0">
                  <c:v>8.221827167622676</c:v>
                </c:pt>
                <c:pt idx="1">
                  <c:v>0</c:v>
                </c:pt>
                <c:pt idx="2">
                  <c:v>378.2399482381378</c:v>
                </c:pt>
                <c:pt idx="3">
                  <c:v>652.30370591143355</c:v>
                </c:pt>
                <c:pt idx="4">
                  <c:v>109.29036502380077</c:v>
                </c:pt>
                <c:pt idx="5">
                  <c:v>265.57706295474986</c:v>
                </c:pt>
                <c:pt idx="6">
                  <c:v>46.978255884553739</c:v>
                </c:pt>
                <c:pt idx="7">
                  <c:v>493.41651707577739</c:v>
                </c:pt>
                <c:pt idx="8">
                  <c:v>388.18317556177379</c:v>
                </c:pt>
                <c:pt idx="9">
                  <c:v>274.78016505003262</c:v>
                </c:pt>
                <c:pt idx="10">
                  <c:v>46.064161063865065</c:v>
                </c:pt>
                <c:pt idx="11">
                  <c:v>651.60820783492454</c:v>
                </c:pt>
                <c:pt idx="12">
                  <c:v>20.332722394094045</c:v>
                </c:pt>
              </c:numCache>
            </c:numRef>
          </c:val>
          <c:extLst>
            <c:ext xmlns:c16="http://schemas.microsoft.com/office/drawing/2014/chart" uri="{C3380CC4-5D6E-409C-BE32-E72D297353CC}">
              <c16:uniqueId val="{00000001-08E9-421D-AD52-C35057C777D0}"/>
            </c:ext>
          </c:extLst>
        </c:ser>
        <c:dLbls>
          <c:showLegendKey val="0"/>
          <c:showVal val="0"/>
          <c:showCatName val="0"/>
          <c:showSerName val="0"/>
          <c:showPercent val="0"/>
          <c:showBubbleSize val="0"/>
        </c:dLbls>
        <c:gapWidth val="50"/>
        <c:overlap val="44"/>
        <c:axId val="1847819824"/>
        <c:axId val="1847820304"/>
      </c:barChart>
      <c:catAx>
        <c:axId val="1847819824"/>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820304"/>
        <c:crosses val="autoZero"/>
        <c:auto val="0"/>
        <c:lblAlgn val="ctr"/>
        <c:lblOffset val="100"/>
        <c:noMultiLvlLbl val="0"/>
      </c:catAx>
      <c:valAx>
        <c:axId val="18478203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Margin</a:t>
                </a:r>
                <a:r>
                  <a:rPr lang="en-GB" baseline="0"/>
                  <a:t> (US$'k)</a:t>
                </a:r>
                <a:endParaRPr lang="en-GB"/>
              </a:p>
            </c:rich>
          </c:tx>
          <c:layout>
            <c:manualLayout>
              <c:xMode val="edge"/>
              <c:yMode val="edge"/>
              <c:x val="0.46048156163682286"/>
              <c:y val="0.8982913217169833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_(* #,##0_);_(* \(#,##0\);_(* &quot;-&quot;_);_(@_)" sourceLinked="0"/>
        <c:majorTickMark val="out"/>
        <c:minorTickMark val="none"/>
        <c:tickLblPos val="nextTo"/>
        <c:spPr>
          <a:noFill/>
          <a:ln>
            <a:noFill/>
          </a:ln>
          <a:effectLst/>
        </c:spPr>
        <c:txPr>
          <a:bodyPr rot="-60000000" spcFirstLastPara="1" vertOverflow="ellipsis" vert="horz"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819824"/>
        <c:crosses val="max"/>
        <c:crossBetween val="between"/>
      </c:valAx>
      <c:spPr>
        <a:noFill/>
        <a:ln>
          <a:solidFill>
            <a:schemeClr val="accent1"/>
          </a:solidFill>
        </a:ln>
        <a:effectLst/>
      </c:spPr>
    </c:plotArea>
    <c:legend>
      <c:legendPos val="tr"/>
      <c:layout>
        <c:manualLayout>
          <c:xMode val="edge"/>
          <c:yMode val="edge"/>
          <c:x val="0.7323239291417678"/>
          <c:y val="0.14354611953100016"/>
          <c:w val="0.18962618714948612"/>
          <c:h val="0.11032168794025414"/>
        </c:manualLayout>
      </c:layout>
      <c:overlay val="1"/>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(Stoping)'!$AU$18:$BV$18</c:f>
              <c:numCache>
                <c:formatCode>_-* #,##0_-;\-* #,##0_-;_-* "-"??_-;_-@_-</c:formatCode>
                <c:ptCount val="28"/>
                <c:pt idx="0" formatCode="General">
                  <c:v>70</c:v>
                </c:pt>
                <c:pt idx="1">
                  <c:v>140</c:v>
                </c:pt>
                <c:pt idx="2">
                  <c:v>210</c:v>
                </c:pt>
                <c:pt idx="3">
                  <c:v>280</c:v>
                </c:pt>
                <c:pt idx="4">
                  <c:v>350</c:v>
                </c:pt>
                <c:pt idx="5">
                  <c:v>420</c:v>
                </c:pt>
                <c:pt idx="6">
                  <c:v>490</c:v>
                </c:pt>
                <c:pt idx="7">
                  <c:v>560</c:v>
                </c:pt>
                <c:pt idx="8">
                  <c:v>630</c:v>
                </c:pt>
                <c:pt idx="9">
                  <c:v>700</c:v>
                </c:pt>
                <c:pt idx="10">
                  <c:v>770</c:v>
                </c:pt>
                <c:pt idx="11">
                  <c:v>840</c:v>
                </c:pt>
                <c:pt idx="12">
                  <c:v>910</c:v>
                </c:pt>
                <c:pt idx="13">
                  <c:v>980</c:v>
                </c:pt>
                <c:pt idx="14">
                  <c:v>1050</c:v>
                </c:pt>
                <c:pt idx="15">
                  <c:v>1120</c:v>
                </c:pt>
                <c:pt idx="16">
                  <c:v>1190</c:v>
                </c:pt>
                <c:pt idx="17">
                  <c:v>1260</c:v>
                </c:pt>
                <c:pt idx="18">
                  <c:v>1330</c:v>
                </c:pt>
                <c:pt idx="19">
                  <c:v>1400</c:v>
                </c:pt>
                <c:pt idx="20">
                  <c:v>1470</c:v>
                </c:pt>
                <c:pt idx="21">
                  <c:v>1540</c:v>
                </c:pt>
                <c:pt idx="22">
                  <c:v>1610</c:v>
                </c:pt>
                <c:pt idx="23">
                  <c:v>1680</c:v>
                </c:pt>
                <c:pt idx="24">
                  <c:v>1750</c:v>
                </c:pt>
                <c:pt idx="25">
                  <c:v>1820</c:v>
                </c:pt>
                <c:pt idx="26">
                  <c:v>1890</c:v>
                </c:pt>
                <c:pt idx="27">
                  <c:v>1960</c:v>
                </c:pt>
              </c:numCache>
            </c:numRef>
          </c:val>
          <c:smooth val="0"/>
          <c:extLst>
            <c:ext xmlns:c16="http://schemas.microsoft.com/office/drawing/2014/chart" uri="{C3380CC4-5D6E-409C-BE32-E72D297353CC}">
              <c16:uniqueId val="{00000000-F592-4F38-89ED-253C81B4CB4B}"/>
            </c:ext>
          </c:extLst>
        </c:ser>
        <c:ser>
          <c:idx val="1"/>
          <c:order val="1"/>
          <c:spPr>
            <a:ln w="28575" cap="rnd">
              <a:solidFill>
                <a:schemeClr val="accent2"/>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(Stoping)'!$AU$19:$BV$19</c:f>
              <c:numCache>
                <c:formatCode>_-* #,##0_-;\-* #,##0_-;_-* "-"??_-;_-@_-</c:formatCode>
                <c:ptCount val="28"/>
                <c:pt idx="0" formatCode="General">
                  <c:v>0</c:v>
                </c:pt>
                <c:pt idx="1">
                  <c:v>0</c:v>
                </c:pt>
                <c:pt idx="2">
                  <c:v>0</c:v>
                </c:pt>
                <c:pt idx="3">
                  <c:v>0</c:v>
                </c:pt>
                <c:pt idx="4">
                  <c:v>0</c:v>
                </c:pt>
                <c:pt idx="5">
                  <c:v>0</c:v>
                </c:pt>
                <c:pt idx="6">
                  <c:v>0</c:v>
                </c:pt>
                <c:pt idx="7">
                  <c:v>0</c:v>
                </c:pt>
                <c:pt idx="8">
                  <c:v>0</c:v>
                </c:pt>
                <c:pt idx="9">
                  <c:v>0</c:v>
                </c:pt>
                <c:pt idx="10">
                  <c:v>20</c:v>
                </c:pt>
                <c:pt idx="11">
                  <c:v>20</c:v>
                </c:pt>
                <c:pt idx="12">
                  <c:v>103</c:v>
                </c:pt>
                <c:pt idx="13">
                  <c:v>157</c:v>
                </c:pt>
                <c:pt idx="14">
                  <c:v>216</c:v>
                </c:pt>
                <c:pt idx="15">
                  <c:v>285</c:v>
                </c:pt>
                <c:pt idx="16">
                  <c:v>375</c:v>
                </c:pt>
                <c:pt idx="17">
                  <c:v>467</c:v>
                </c:pt>
                <c:pt idx="18">
                  <c:v>582</c:v>
                </c:pt>
                <c:pt idx="19">
                  <c:v>667</c:v>
                </c:pt>
                <c:pt idx="20">
                  <c:v>745</c:v>
                </c:pt>
                <c:pt idx="21">
                  <c:v>893</c:v>
                </c:pt>
                <c:pt idx="22">
                  <c:v>976</c:v>
                </c:pt>
                <c:pt idx="23">
                  <c:v>1044</c:v>
                </c:pt>
                <c:pt idx="24">
                  <c:v>1163</c:v>
                </c:pt>
                <c:pt idx="25">
                  <c:v>1297</c:v>
                </c:pt>
              </c:numCache>
            </c:numRef>
          </c:val>
          <c:smooth val="0"/>
          <c:extLst>
            <c:ext xmlns:c16="http://schemas.microsoft.com/office/drawing/2014/chart" uri="{C3380CC4-5D6E-409C-BE32-E72D297353CC}">
              <c16:uniqueId val="{00000001-F592-4F38-89ED-253C81B4CB4B}"/>
            </c:ext>
          </c:extLst>
        </c:ser>
        <c:ser>
          <c:idx val="2"/>
          <c:order val="2"/>
          <c:spPr>
            <a:ln w="28575" cap="rnd">
              <a:solidFill>
                <a:schemeClr val="accent3"/>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(Stoping)'!$AU$20:$BV$20</c:f>
              <c:numCache>
                <c:formatCode>General</c:formatCode>
                <c:ptCount val="28"/>
                <c:pt idx="26" formatCode="_-* #,##0_-;\-* #,##0_-;_-* &quot;-&quot;??_-;_-@_-">
                  <c:v>1367</c:v>
                </c:pt>
                <c:pt idx="27" formatCode="_-* #,##0_-;\-* #,##0_-;_-* &quot;-&quot;??_-;_-@_-">
                  <c:v>1437</c:v>
                </c:pt>
              </c:numCache>
            </c:numRef>
          </c:val>
          <c:smooth val="0"/>
          <c:extLst>
            <c:ext xmlns:c16="http://schemas.microsoft.com/office/drawing/2014/chart" uri="{C3380CC4-5D6E-409C-BE32-E72D297353CC}">
              <c16:uniqueId val="{00000003-F592-4F38-89ED-253C81B4CB4B}"/>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'February 25 D_R (Stoping)'!$AU$17:$BV$17</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(Stoping)'!$AU$25:$BV$25</c:f>
              <c:numCache>
                <c:formatCode>_-* #,##0_-;\-* #,##0_-;_-* "-"??_-;_-@_-</c:formatCode>
                <c:ptCount val="28"/>
                <c:pt idx="0" formatCode="General">
                  <c:v>105</c:v>
                </c:pt>
                <c:pt idx="1">
                  <c:v>210</c:v>
                </c:pt>
                <c:pt idx="2">
                  <c:v>315</c:v>
                </c:pt>
                <c:pt idx="3">
                  <c:v>420</c:v>
                </c:pt>
                <c:pt idx="4">
                  <c:v>525</c:v>
                </c:pt>
                <c:pt idx="5">
                  <c:v>630</c:v>
                </c:pt>
                <c:pt idx="6">
                  <c:v>735</c:v>
                </c:pt>
                <c:pt idx="7">
                  <c:v>840</c:v>
                </c:pt>
                <c:pt idx="8">
                  <c:v>945</c:v>
                </c:pt>
                <c:pt idx="9">
                  <c:v>1050</c:v>
                </c:pt>
                <c:pt idx="10">
                  <c:v>1155</c:v>
                </c:pt>
                <c:pt idx="11">
                  <c:v>1260</c:v>
                </c:pt>
                <c:pt idx="12">
                  <c:v>1365</c:v>
                </c:pt>
                <c:pt idx="13">
                  <c:v>1470</c:v>
                </c:pt>
                <c:pt idx="14">
                  <c:v>1575</c:v>
                </c:pt>
                <c:pt idx="15">
                  <c:v>1680</c:v>
                </c:pt>
                <c:pt idx="16">
                  <c:v>1785</c:v>
                </c:pt>
                <c:pt idx="17">
                  <c:v>1890</c:v>
                </c:pt>
                <c:pt idx="18">
                  <c:v>1995</c:v>
                </c:pt>
                <c:pt idx="19">
                  <c:v>2100</c:v>
                </c:pt>
                <c:pt idx="20">
                  <c:v>2205</c:v>
                </c:pt>
                <c:pt idx="21">
                  <c:v>2310</c:v>
                </c:pt>
                <c:pt idx="22">
                  <c:v>2415</c:v>
                </c:pt>
                <c:pt idx="23">
                  <c:v>2520</c:v>
                </c:pt>
                <c:pt idx="24">
                  <c:v>2625</c:v>
                </c:pt>
                <c:pt idx="25">
                  <c:v>2730</c:v>
                </c:pt>
                <c:pt idx="26">
                  <c:v>2835</c:v>
                </c:pt>
                <c:pt idx="27">
                  <c:v>2940</c:v>
                </c:pt>
              </c:numCache>
            </c:numRef>
          </c:val>
          <c:smooth val="0"/>
          <c:extLst>
            <c:ext xmlns:c16="http://schemas.microsoft.com/office/drawing/2014/chart" uri="{C3380CC4-5D6E-409C-BE32-E72D297353CC}">
              <c16:uniqueId val="{00000000-089D-4709-BC76-F1DA66A8A9F0}"/>
            </c:ext>
          </c:extLst>
        </c:ser>
        <c:ser>
          <c:idx val="1"/>
          <c:order val="1"/>
          <c:spPr>
            <a:ln w="28575" cap="rnd">
              <a:solidFill>
                <a:schemeClr val="accent2"/>
              </a:solidFill>
              <a:round/>
            </a:ln>
            <a:effectLst/>
          </c:spPr>
          <c:marker>
            <c:symbol val="none"/>
          </c:marker>
          <c:cat>
            <c:numRef>
              <c:f>'February 25 D_R (Stoping)'!$AU$17:$BV$17</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(Stoping)'!$AU$26:$BV$26</c:f>
              <c:numCache>
                <c:formatCode>_-* #,##0_-;\-* #,##0_-;_-* "-"??_-;_-@_-</c:formatCode>
                <c:ptCount val="28"/>
                <c:pt idx="0" formatCode="General">
                  <c:v>225</c:v>
                </c:pt>
                <c:pt idx="1">
                  <c:v>456</c:v>
                </c:pt>
                <c:pt idx="2">
                  <c:v>691</c:v>
                </c:pt>
                <c:pt idx="3">
                  <c:v>932</c:v>
                </c:pt>
                <c:pt idx="4">
                  <c:v>1220</c:v>
                </c:pt>
                <c:pt idx="5">
                  <c:v>1508</c:v>
                </c:pt>
                <c:pt idx="6">
                  <c:v>1763</c:v>
                </c:pt>
                <c:pt idx="7">
                  <c:v>2032</c:v>
                </c:pt>
                <c:pt idx="8">
                  <c:v>2208</c:v>
                </c:pt>
                <c:pt idx="9">
                  <c:v>2363</c:v>
                </c:pt>
                <c:pt idx="10">
                  <c:v>2456</c:v>
                </c:pt>
                <c:pt idx="11">
                  <c:v>2611</c:v>
                </c:pt>
                <c:pt idx="12">
                  <c:v>2818</c:v>
                </c:pt>
                <c:pt idx="13">
                  <c:v>3060</c:v>
                </c:pt>
                <c:pt idx="14">
                  <c:v>3290</c:v>
                </c:pt>
                <c:pt idx="15">
                  <c:v>3532</c:v>
                </c:pt>
                <c:pt idx="16">
                  <c:v>3738</c:v>
                </c:pt>
                <c:pt idx="17">
                  <c:v>3982</c:v>
                </c:pt>
                <c:pt idx="18">
                  <c:v>4151</c:v>
                </c:pt>
                <c:pt idx="19">
                  <c:v>4381</c:v>
                </c:pt>
                <c:pt idx="20">
                  <c:v>4623</c:v>
                </c:pt>
                <c:pt idx="21">
                  <c:v>4758</c:v>
                </c:pt>
                <c:pt idx="22">
                  <c:v>4912</c:v>
                </c:pt>
                <c:pt idx="23">
                  <c:v>5144</c:v>
                </c:pt>
                <c:pt idx="24">
                  <c:v>5295</c:v>
                </c:pt>
                <c:pt idx="25">
                  <c:v>5460</c:v>
                </c:pt>
              </c:numCache>
            </c:numRef>
          </c:val>
          <c:smooth val="0"/>
          <c:extLst>
            <c:ext xmlns:c16="http://schemas.microsoft.com/office/drawing/2014/chart" uri="{C3380CC4-5D6E-409C-BE32-E72D297353CC}">
              <c16:uniqueId val="{00000001-089D-4709-BC76-F1DA66A8A9F0}"/>
            </c:ext>
          </c:extLst>
        </c:ser>
        <c:ser>
          <c:idx val="2"/>
          <c:order val="2"/>
          <c:spPr>
            <a:ln w="28575" cap="rnd">
              <a:solidFill>
                <a:schemeClr val="accent3"/>
              </a:solidFill>
              <a:round/>
            </a:ln>
            <a:effectLst/>
          </c:spPr>
          <c:marker>
            <c:symbol val="none"/>
          </c:marker>
          <c:cat>
            <c:numRef>
              <c:f>'February 25 D_R (Stoping)'!$AU$17:$BV$17</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(Stoping)'!$AU$27:$BV$27</c:f>
              <c:numCache>
                <c:formatCode>General</c:formatCode>
                <c:ptCount val="28"/>
                <c:pt idx="26" formatCode="_-* #,##0_-;\-* #,##0_-;_-* &quot;-&quot;??_-;_-@_-">
                  <c:v>5565</c:v>
                </c:pt>
                <c:pt idx="27" formatCode="_-* #,##0_-;\-* #,##0_-;_-* &quot;-&quot;??_-;_-@_-">
                  <c:v>5670</c:v>
                </c:pt>
              </c:numCache>
            </c:numRef>
          </c:val>
          <c:smooth val="0"/>
          <c:extLst>
            <c:ext xmlns:c16="http://schemas.microsoft.com/office/drawing/2014/chart" uri="{C3380CC4-5D6E-409C-BE32-E72D297353CC}">
              <c16:uniqueId val="{00000002-089D-4709-BC76-F1DA66A8A9F0}"/>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257595439136042"/>
          <c:y val="5.3479211248626653E-2"/>
          <c:w val="0.76427565181542578"/>
          <c:h val="0.76506433200751844"/>
        </c:manualLayout>
      </c:layout>
      <c:lineChart>
        <c:grouping val="standard"/>
        <c:varyColors val="0"/>
        <c:ser>
          <c:idx val="0"/>
          <c:order val="0"/>
          <c:tx>
            <c:strRef>
              <c:f>'February 25 D_R (Stoping)'!$AT$10</c:f>
              <c:strCache>
                <c:ptCount val="1"/>
                <c:pt idx="0">
                  <c:v>Budget</c:v>
                </c:pt>
              </c:strCache>
            </c:strRef>
          </c:tx>
          <c:spPr>
            <a:ln w="28575" cap="rnd">
              <a:solidFill>
                <a:schemeClr val="accent1"/>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(Stoping)'!$AU$10:$BV$10</c:f>
              <c:numCache>
                <c:formatCode>_-* #,##0_-;\-* #,##0_-;_-* "-"??_-;_-@_-</c:formatCode>
                <c:ptCount val="28"/>
                <c:pt idx="0">
                  <c:v>910</c:v>
                </c:pt>
                <c:pt idx="1">
                  <c:v>1820</c:v>
                </c:pt>
                <c:pt idx="2">
                  <c:v>2730</c:v>
                </c:pt>
                <c:pt idx="3">
                  <c:v>3640</c:v>
                </c:pt>
                <c:pt idx="4">
                  <c:v>4550</c:v>
                </c:pt>
                <c:pt idx="5">
                  <c:v>5460</c:v>
                </c:pt>
                <c:pt idx="6">
                  <c:v>6370</c:v>
                </c:pt>
                <c:pt idx="7">
                  <c:v>7280</c:v>
                </c:pt>
                <c:pt idx="8">
                  <c:v>8190</c:v>
                </c:pt>
                <c:pt idx="9">
                  <c:v>9100</c:v>
                </c:pt>
                <c:pt idx="10">
                  <c:v>10010</c:v>
                </c:pt>
                <c:pt idx="11">
                  <c:v>10920</c:v>
                </c:pt>
                <c:pt idx="12">
                  <c:v>11830</c:v>
                </c:pt>
                <c:pt idx="13">
                  <c:v>12740</c:v>
                </c:pt>
                <c:pt idx="14">
                  <c:v>13650</c:v>
                </c:pt>
                <c:pt idx="15">
                  <c:v>14560</c:v>
                </c:pt>
                <c:pt idx="16">
                  <c:v>15470</c:v>
                </c:pt>
                <c:pt idx="17">
                  <c:v>16380</c:v>
                </c:pt>
                <c:pt idx="18">
                  <c:v>17290</c:v>
                </c:pt>
                <c:pt idx="19">
                  <c:v>18200</c:v>
                </c:pt>
                <c:pt idx="20">
                  <c:v>19110</c:v>
                </c:pt>
                <c:pt idx="21">
                  <c:v>20020</c:v>
                </c:pt>
                <c:pt idx="22">
                  <c:v>20930</c:v>
                </c:pt>
                <c:pt idx="23">
                  <c:v>21840</c:v>
                </c:pt>
                <c:pt idx="24">
                  <c:v>22750</c:v>
                </c:pt>
                <c:pt idx="25">
                  <c:v>23660</c:v>
                </c:pt>
                <c:pt idx="26">
                  <c:v>24570</c:v>
                </c:pt>
                <c:pt idx="27">
                  <c:v>25480</c:v>
                </c:pt>
              </c:numCache>
            </c:numRef>
          </c:val>
          <c:smooth val="0"/>
          <c:extLst>
            <c:ext xmlns:c16="http://schemas.microsoft.com/office/drawing/2014/chart" uri="{C3380CC4-5D6E-409C-BE32-E72D297353CC}">
              <c16:uniqueId val="{00000000-EA68-438E-A099-2583156ADE46}"/>
            </c:ext>
          </c:extLst>
        </c:ser>
        <c:ser>
          <c:idx val="1"/>
          <c:order val="1"/>
          <c:tx>
            <c:strRef>
              <c:f>'February 25 D_R (Stoping)'!$AT$11</c:f>
              <c:strCache>
                <c:ptCount val="1"/>
                <c:pt idx="0">
                  <c:v>Actual</c:v>
                </c:pt>
              </c:strCache>
            </c:strRef>
          </c:tx>
          <c:spPr>
            <a:ln w="28575" cap="rnd">
              <a:solidFill>
                <a:schemeClr val="accent2"/>
              </a:solidFill>
              <a:round/>
            </a:ln>
            <a:effectLst/>
          </c:spPr>
          <c:marker>
            <c:symbol val="none"/>
          </c:marker>
          <c:dLbls>
            <c:dLbl>
              <c:idx val="17"/>
              <c:layout>
                <c:manualLayout>
                  <c:x val="0.13696475946458633"/>
                  <c:y val="-2.32392237697516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A68-438E-A099-2583156ADE46}"/>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(Stoping)'!$AU$11:$BV$11</c:f>
              <c:numCache>
                <c:formatCode>_-* #,##0_-;\-* #,##0_-;_-* "-"??_-;_-@_-</c:formatCode>
                <c:ptCount val="28"/>
                <c:pt idx="0" formatCode="General">
                  <c:v>851</c:v>
                </c:pt>
                <c:pt idx="1">
                  <c:v>1708</c:v>
                </c:pt>
                <c:pt idx="2">
                  <c:v>2586</c:v>
                </c:pt>
                <c:pt idx="3">
                  <c:v>3533</c:v>
                </c:pt>
                <c:pt idx="4">
                  <c:v>4484</c:v>
                </c:pt>
                <c:pt idx="5">
                  <c:v>5433</c:v>
                </c:pt>
                <c:pt idx="6">
                  <c:v>6412</c:v>
                </c:pt>
                <c:pt idx="7">
                  <c:v>7311</c:v>
                </c:pt>
                <c:pt idx="8">
                  <c:v>8180</c:v>
                </c:pt>
                <c:pt idx="9">
                  <c:v>8984</c:v>
                </c:pt>
                <c:pt idx="10">
                  <c:v>9737</c:v>
                </c:pt>
                <c:pt idx="11">
                  <c:v>10477</c:v>
                </c:pt>
                <c:pt idx="12">
                  <c:v>11416</c:v>
                </c:pt>
                <c:pt idx="13">
                  <c:v>12409</c:v>
                </c:pt>
                <c:pt idx="14">
                  <c:v>13400</c:v>
                </c:pt>
                <c:pt idx="15">
                  <c:v>14395</c:v>
                </c:pt>
                <c:pt idx="16">
                  <c:v>15384</c:v>
                </c:pt>
                <c:pt idx="17">
                  <c:v>16309</c:v>
                </c:pt>
                <c:pt idx="18">
                  <c:v>17256</c:v>
                </c:pt>
                <c:pt idx="19">
                  <c:v>18088</c:v>
                </c:pt>
                <c:pt idx="20">
                  <c:v>18938</c:v>
                </c:pt>
                <c:pt idx="21">
                  <c:v>19628</c:v>
                </c:pt>
                <c:pt idx="22">
                  <c:v>20576</c:v>
                </c:pt>
                <c:pt idx="23">
                  <c:v>21371</c:v>
                </c:pt>
                <c:pt idx="24">
                  <c:v>22262</c:v>
                </c:pt>
                <c:pt idx="25">
                  <c:v>23177</c:v>
                </c:pt>
              </c:numCache>
            </c:numRef>
          </c:val>
          <c:smooth val="0"/>
          <c:extLst>
            <c:ext xmlns:c16="http://schemas.microsoft.com/office/drawing/2014/chart" uri="{C3380CC4-5D6E-409C-BE32-E72D297353CC}">
              <c16:uniqueId val="{00000001-EA68-438E-A099-2583156ADE46}"/>
            </c:ext>
          </c:extLst>
        </c:ser>
        <c:ser>
          <c:idx val="2"/>
          <c:order val="2"/>
          <c:tx>
            <c:strRef>
              <c:f>'February 25 D_R (Stoping)'!$AT$12</c:f>
              <c:strCache>
                <c:ptCount val="1"/>
                <c:pt idx="0">
                  <c:v> Projection </c:v>
                </c:pt>
              </c:strCache>
            </c:strRef>
          </c:tx>
          <c:spPr>
            <a:ln w="28575" cap="rnd">
              <a:solidFill>
                <a:schemeClr val="accent3"/>
              </a:solidFill>
              <a:round/>
            </a:ln>
            <a:effectLst/>
          </c:spPr>
          <c:marker>
            <c:symbol val="none"/>
          </c:marker>
          <c:dLbls>
            <c:dLbl>
              <c:idx val="27"/>
              <c:layout>
                <c:manualLayout>
                  <c:x val="-0.13516301364558825"/>
                  <c:y val="-1.94469859085915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A68-438E-A099-2583156ADE46}"/>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(Stoping)'!$AU$12:$BV$12</c:f>
              <c:numCache>
                <c:formatCode>General</c:formatCode>
                <c:ptCount val="28"/>
                <c:pt idx="26" formatCode="_-* #,##0_-;\-* #,##0_-;_-* &quot;-&quot;??_-;_-@_-">
                  <c:v>24087</c:v>
                </c:pt>
                <c:pt idx="27" formatCode="_-* #,##0_-;\-* #,##0_-;_-* &quot;-&quot;??_-;_-@_-">
                  <c:v>24997</c:v>
                </c:pt>
              </c:numCache>
            </c:numRef>
          </c:val>
          <c:smooth val="0"/>
          <c:extLst>
            <c:ext xmlns:c16="http://schemas.microsoft.com/office/drawing/2014/chart" uri="{C3380CC4-5D6E-409C-BE32-E72D297353CC}">
              <c16:uniqueId val="{00000002-EA68-438E-A099-2583156ADE46}"/>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Tonnes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 ;[Red]\-#,##0\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legend>
      <c:legendPos val="r"/>
      <c:layout>
        <c:manualLayout>
          <c:xMode val="edge"/>
          <c:yMode val="edge"/>
          <c:x val="0.21823309924097323"/>
          <c:y val="5.8086520376175559E-2"/>
          <c:w val="0.33243953325756248"/>
          <c:h val="0.24612763807168589"/>
        </c:manualLayout>
      </c:layout>
      <c:overlay val="0"/>
      <c:spPr>
        <a:solidFill>
          <a:sysClr val="window" lastClr="FFFFFF"/>
        </a:solidFill>
        <a:ln>
          <a:solidFill>
            <a:schemeClr val="accent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(Stoping)'!$AU$32:$BV$32</c:f>
              <c:numCache>
                <c:formatCode>_-* #,##0_-;\-* #,##0_-;_-* "-"??_-;_-@_-</c:formatCode>
                <c:ptCount val="28"/>
                <c:pt idx="0" formatCode="General">
                  <c:v>70</c:v>
                </c:pt>
                <c:pt idx="1">
                  <c:v>140</c:v>
                </c:pt>
                <c:pt idx="2">
                  <c:v>210</c:v>
                </c:pt>
                <c:pt idx="3">
                  <c:v>280</c:v>
                </c:pt>
                <c:pt idx="4">
                  <c:v>350</c:v>
                </c:pt>
                <c:pt idx="5">
                  <c:v>420</c:v>
                </c:pt>
                <c:pt idx="6">
                  <c:v>490</c:v>
                </c:pt>
                <c:pt idx="7">
                  <c:v>560</c:v>
                </c:pt>
                <c:pt idx="8">
                  <c:v>630</c:v>
                </c:pt>
                <c:pt idx="9">
                  <c:v>700</c:v>
                </c:pt>
                <c:pt idx="10">
                  <c:v>770</c:v>
                </c:pt>
                <c:pt idx="11">
                  <c:v>840</c:v>
                </c:pt>
                <c:pt idx="12">
                  <c:v>910</c:v>
                </c:pt>
                <c:pt idx="13">
                  <c:v>980</c:v>
                </c:pt>
                <c:pt idx="14">
                  <c:v>1050</c:v>
                </c:pt>
                <c:pt idx="15">
                  <c:v>1120</c:v>
                </c:pt>
                <c:pt idx="16">
                  <c:v>1190</c:v>
                </c:pt>
                <c:pt idx="17">
                  <c:v>1260</c:v>
                </c:pt>
                <c:pt idx="18">
                  <c:v>1330</c:v>
                </c:pt>
                <c:pt idx="19">
                  <c:v>1400</c:v>
                </c:pt>
                <c:pt idx="20">
                  <c:v>1470</c:v>
                </c:pt>
                <c:pt idx="21">
                  <c:v>1540</c:v>
                </c:pt>
                <c:pt idx="22">
                  <c:v>1610</c:v>
                </c:pt>
                <c:pt idx="23">
                  <c:v>1680</c:v>
                </c:pt>
                <c:pt idx="24">
                  <c:v>1750</c:v>
                </c:pt>
                <c:pt idx="25">
                  <c:v>1820</c:v>
                </c:pt>
                <c:pt idx="26">
                  <c:v>1890</c:v>
                </c:pt>
                <c:pt idx="27">
                  <c:v>1960</c:v>
                </c:pt>
              </c:numCache>
            </c:numRef>
          </c:val>
          <c:smooth val="0"/>
          <c:extLst>
            <c:ext xmlns:c16="http://schemas.microsoft.com/office/drawing/2014/chart" uri="{C3380CC4-5D6E-409C-BE32-E72D297353CC}">
              <c16:uniqueId val="{00000000-89A0-43CB-958E-B7BBBF706970}"/>
            </c:ext>
          </c:extLst>
        </c:ser>
        <c:ser>
          <c:idx val="1"/>
          <c:order val="1"/>
          <c:spPr>
            <a:ln w="28575" cap="rnd">
              <a:solidFill>
                <a:schemeClr val="accent2"/>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(Stoping)'!$AU$33:$BV$33</c:f>
              <c:numCache>
                <c:formatCode>_-* #,##0_-;\-* #,##0_-;_-* "-"??_-;_-@_-</c:formatCode>
                <c:ptCount val="28"/>
                <c:pt idx="0" formatCode="General">
                  <c:v>36</c:v>
                </c:pt>
                <c:pt idx="1">
                  <c:v>62</c:v>
                </c:pt>
                <c:pt idx="2">
                  <c:v>102</c:v>
                </c:pt>
                <c:pt idx="3">
                  <c:v>180</c:v>
                </c:pt>
                <c:pt idx="4">
                  <c:v>258</c:v>
                </c:pt>
                <c:pt idx="5">
                  <c:v>258</c:v>
                </c:pt>
                <c:pt idx="6">
                  <c:v>294</c:v>
                </c:pt>
                <c:pt idx="7">
                  <c:v>294</c:v>
                </c:pt>
                <c:pt idx="8">
                  <c:v>343</c:v>
                </c:pt>
                <c:pt idx="9">
                  <c:v>375</c:v>
                </c:pt>
                <c:pt idx="10">
                  <c:v>390</c:v>
                </c:pt>
                <c:pt idx="11">
                  <c:v>425</c:v>
                </c:pt>
                <c:pt idx="12">
                  <c:v>460</c:v>
                </c:pt>
                <c:pt idx="13">
                  <c:v>505</c:v>
                </c:pt>
                <c:pt idx="14">
                  <c:v>553</c:v>
                </c:pt>
                <c:pt idx="15">
                  <c:v>592</c:v>
                </c:pt>
                <c:pt idx="16">
                  <c:v>635</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1-89A0-43CB-958E-B7BBBF706970}"/>
            </c:ext>
          </c:extLst>
        </c:ser>
        <c:ser>
          <c:idx val="2"/>
          <c:order val="2"/>
          <c:spPr>
            <a:ln w="28575" cap="rnd">
              <a:solidFill>
                <a:schemeClr val="accent3"/>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(Stoping)'!$AU$34:$BV$34</c:f>
              <c:numCache>
                <c:formatCode>General</c:formatCode>
                <c:ptCount val="28"/>
                <c:pt idx="26" formatCode="_-* #,##0_-;\-* #,##0_-;_-* &quot;-&quot;??_-;_-@_-">
                  <c:v>0</c:v>
                </c:pt>
                <c:pt idx="27" formatCode="_-* #,##0_-;\-* #,##0_-;_-* &quot;-&quot;??_-;_-@_-">
                  <c:v>0</c:v>
                </c:pt>
              </c:numCache>
            </c:numRef>
          </c:val>
          <c:smooth val="0"/>
          <c:extLst>
            <c:ext xmlns:c16="http://schemas.microsoft.com/office/drawing/2014/chart" uri="{C3380CC4-5D6E-409C-BE32-E72D297353CC}">
              <c16:uniqueId val="{00000002-89A0-43CB-958E-B7BBBF706970}"/>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(Stoping)'!$AU$39:$BV$39</c:f>
              <c:numCache>
                <c:formatCode>_-* #,##0_-;\-* #,##0_-;_-* "-"??_-;_-@_-</c:formatCode>
                <c:ptCount val="28"/>
                <c:pt idx="0" formatCode="General">
                  <c:v>70</c:v>
                </c:pt>
                <c:pt idx="1">
                  <c:v>140</c:v>
                </c:pt>
                <c:pt idx="2">
                  <c:v>210</c:v>
                </c:pt>
                <c:pt idx="3">
                  <c:v>280</c:v>
                </c:pt>
                <c:pt idx="4">
                  <c:v>350</c:v>
                </c:pt>
                <c:pt idx="5">
                  <c:v>420</c:v>
                </c:pt>
                <c:pt idx="6">
                  <c:v>490</c:v>
                </c:pt>
                <c:pt idx="7">
                  <c:v>560</c:v>
                </c:pt>
                <c:pt idx="8">
                  <c:v>630</c:v>
                </c:pt>
                <c:pt idx="9">
                  <c:v>700</c:v>
                </c:pt>
                <c:pt idx="10">
                  <c:v>770</c:v>
                </c:pt>
                <c:pt idx="11">
                  <c:v>840</c:v>
                </c:pt>
                <c:pt idx="12">
                  <c:v>910</c:v>
                </c:pt>
                <c:pt idx="13">
                  <c:v>980</c:v>
                </c:pt>
                <c:pt idx="14">
                  <c:v>1050</c:v>
                </c:pt>
                <c:pt idx="15">
                  <c:v>1120</c:v>
                </c:pt>
                <c:pt idx="16">
                  <c:v>1190</c:v>
                </c:pt>
                <c:pt idx="17">
                  <c:v>1260</c:v>
                </c:pt>
                <c:pt idx="18">
                  <c:v>1330</c:v>
                </c:pt>
                <c:pt idx="19">
                  <c:v>1400</c:v>
                </c:pt>
                <c:pt idx="20">
                  <c:v>1470</c:v>
                </c:pt>
                <c:pt idx="21">
                  <c:v>1540</c:v>
                </c:pt>
                <c:pt idx="22">
                  <c:v>1610</c:v>
                </c:pt>
                <c:pt idx="23">
                  <c:v>1680</c:v>
                </c:pt>
                <c:pt idx="24">
                  <c:v>1750</c:v>
                </c:pt>
                <c:pt idx="25">
                  <c:v>1820</c:v>
                </c:pt>
                <c:pt idx="26">
                  <c:v>1890</c:v>
                </c:pt>
                <c:pt idx="27">
                  <c:v>1960</c:v>
                </c:pt>
              </c:numCache>
            </c:numRef>
          </c:val>
          <c:smooth val="0"/>
          <c:extLst>
            <c:ext xmlns:c16="http://schemas.microsoft.com/office/drawing/2014/chart" uri="{C3380CC4-5D6E-409C-BE32-E72D297353CC}">
              <c16:uniqueId val="{00000000-0931-49E3-B6D5-DE5E9FB0A936}"/>
            </c:ext>
          </c:extLst>
        </c:ser>
        <c:ser>
          <c:idx val="1"/>
          <c:order val="1"/>
          <c:spPr>
            <a:ln w="28575" cap="rnd">
              <a:solidFill>
                <a:schemeClr val="accent2"/>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(Stoping)'!$AU$40:$BV$40</c:f>
              <c:numCache>
                <c:formatCode>_-* #,##0_-;\-* #,##0_-;_-* "-"??_-;_-@_-</c:formatCode>
                <c:ptCount val="28"/>
                <c:pt idx="0" formatCode="General">
                  <c:v>0</c:v>
                </c:pt>
                <c:pt idx="1">
                  <c:v>27</c:v>
                </c:pt>
                <c:pt idx="2">
                  <c:v>67</c:v>
                </c:pt>
                <c:pt idx="3">
                  <c:v>140</c:v>
                </c:pt>
                <c:pt idx="4">
                  <c:v>208</c:v>
                </c:pt>
                <c:pt idx="5">
                  <c:v>298</c:v>
                </c:pt>
                <c:pt idx="6">
                  <c:v>502</c:v>
                </c:pt>
                <c:pt idx="7">
                  <c:v>636</c:v>
                </c:pt>
                <c:pt idx="8">
                  <c:v>779</c:v>
                </c:pt>
                <c:pt idx="9">
                  <c:v>886</c:v>
                </c:pt>
                <c:pt idx="10">
                  <c:v>992</c:v>
                </c:pt>
                <c:pt idx="11">
                  <c:v>1099</c:v>
                </c:pt>
                <c:pt idx="12">
                  <c:v>1216</c:v>
                </c:pt>
                <c:pt idx="13">
                  <c:v>1358</c:v>
                </c:pt>
                <c:pt idx="14">
                  <c:v>1507</c:v>
                </c:pt>
                <c:pt idx="15">
                  <c:v>1647</c:v>
                </c:pt>
                <c:pt idx="16">
                  <c:v>1776</c:v>
                </c:pt>
                <c:pt idx="17">
                  <c:v>1872</c:v>
                </c:pt>
                <c:pt idx="18">
                  <c:v>1933</c:v>
                </c:pt>
                <c:pt idx="19">
                  <c:v>1987</c:v>
                </c:pt>
                <c:pt idx="20">
                  <c:v>2065</c:v>
                </c:pt>
                <c:pt idx="21">
                  <c:v>2125</c:v>
                </c:pt>
                <c:pt idx="22">
                  <c:v>2205</c:v>
                </c:pt>
                <c:pt idx="23">
                  <c:v>2287</c:v>
                </c:pt>
                <c:pt idx="24">
                  <c:v>2393</c:v>
                </c:pt>
                <c:pt idx="25">
                  <c:v>2465</c:v>
                </c:pt>
              </c:numCache>
            </c:numRef>
          </c:val>
          <c:smooth val="0"/>
          <c:extLst>
            <c:ext xmlns:c16="http://schemas.microsoft.com/office/drawing/2014/chart" uri="{C3380CC4-5D6E-409C-BE32-E72D297353CC}">
              <c16:uniqueId val="{00000001-0931-49E3-B6D5-DE5E9FB0A936}"/>
            </c:ext>
          </c:extLst>
        </c:ser>
        <c:ser>
          <c:idx val="2"/>
          <c:order val="2"/>
          <c:spPr>
            <a:ln w="28575" cap="rnd">
              <a:solidFill>
                <a:schemeClr val="accent3"/>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(Stoping)'!$AU$41:$BV$41</c:f>
              <c:numCache>
                <c:formatCode>General</c:formatCode>
                <c:ptCount val="28"/>
                <c:pt idx="26" formatCode="_-* #,##0_-;\-* #,##0_-;_-* &quot;-&quot;??_-;_-@_-">
                  <c:v>2535</c:v>
                </c:pt>
                <c:pt idx="27" formatCode="_-* #,##0_-;\-* #,##0_-;_-* &quot;-&quot;??_-;_-@_-">
                  <c:v>2605</c:v>
                </c:pt>
              </c:numCache>
            </c:numRef>
          </c:val>
          <c:smooth val="0"/>
          <c:extLst>
            <c:ext xmlns:c16="http://schemas.microsoft.com/office/drawing/2014/chart" uri="{C3380CC4-5D6E-409C-BE32-E72D297353CC}">
              <c16:uniqueId val="{00000002-0931-49E3-B6D5-DE5E9FB0A936}"/>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(Stoping)'!$AU$46:$BV$46</c:f>
              <c:numCache>
                <c:formatCode>_-* #,##0_-;\-* #,##0_-;_-* "-"??_-;_-@_-</c:formatCode>
                <c:ptCount val="28"/>
                <c:pt idx="0" formatCode="General">
                  <c:v>140</c:v>
                </c:pt>
                <c:pt idx="1">
                  <c:v>280</c:v>
                </c:pt>
                <c:pt idx="2">
                  <c:v>420</c:v>
                </c:pt>
                <c:pt idx="3">
                  <c:v>560</c:v>
                </c:pt>
                <c:pt idx="4">
                  <c:v>700</c:v>
                </c:pt>
                <c:pt idx="5">
                  <c:v>840</c:v>
                </c:pt>
                <c:pt idx="6">
                  <c:v>980</c:v>
                </c:pt>
                <c:pt idx="7">
                  <c:v>1120</c:v>
                </c:pt>
                <c:pt idx="8">
                  <c:v>1260</c:v>
                </c:pt>
                <c:pt idx="9">
                  <c:v>1400</c:v>
                </c:pt>
                <c:pt idx="10">
                  <c:v>1540</c:v>
                </c:pt>
                <c:pt idx="11">
                  <c:v>1680</c:v>
                </c:pt>
                <c:pt idx="12">
                  <c:v>1820</c:v>
                </c:pt>
                <c:pt idx="13">
                  <c:v>1960</c:v>
                </c:pt>
                <c:pt idx="14">
                  <c:v>2100</c:v>
                </c:pt>
                <c:pt idx="15">
                  <c:v>2240</c:v>
                </c:pt>
                <c:pt idx="16">
                  <c:v>2380</c:v>
                </c:pt>
                <c:pt idx="17">
                  <c:v>2520</c:v>
                </c:pt>
                <c:pt idx="18">
                  <c:v>2660</c:v>
                </c:pt>
                <c:pt idx="19">
                  <c:v>2800</c:v>
                </c:pt>
                <c:pt idx="20">
                  <c:v>2940</c:v>
                </c:pt>
                <c:pt idx="21">
                  <c:v>3080</c:v>
                </c:pt>
                <c:pt idx="22">
                  <c:v>3220</c:v>
                </c:pt>
                <c:pt idx="23">
                  <c:v>3360</c:v>
                </c:pt>
                <c:pt idx="24">
                  <c:v>3500</c:v>
                </c:pt>
                <c:pt idx="25">
                  <c:v>3640</c:v>
                </c:pt>
                <c:pt idx="26">
                  <c:v>3780</c:v>
                </c:pt>
                <c:pt idx="27">
                  <c:v>3920</c:v>
                </c:pt>
              </c:numCache>
            </c:numRef>
          </c:val>
          <c:smooth val="0"/>
          <c:extLst>
            <c:ext xmlns:c16="http://schemas.microsoft.com/office/drawing/2014/chart" uri="{C3380CC4-5D6E-409C-BE32-E72D297353CC}">
              <c16:uniqueId val="{00000000-E936-4C5B-B89F-3C180B2953F7}"/>
            </c:ext>
          </c:extLst>
        </c:ser>
        <c:ser>
          <c:idx val="1"/>
          <c:order val="1"/>
          <c:spPr>
            <a:ln w="28575" cap="rnd">
              <a:solidFill>
                <a:schemeClr val="accent2"/>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(Stoping)'!$AU$47:$BV$47</c:f>
              <c:numCache>
                <c:formatCode>_-* #,##0_-;\-* #,##0_-;_-* "-"??_-;_-@_-</c:formatCode>
                <c:ptCount val="28"/>
                <c:pt idx="0" formatCode="General">
                  <c:v>160</c:v>
                </c:pt>
                <c:pt idx="1">
                  <c:v>277</c:v>
                </c:pt>
                <c:pt idx="2">
                  <c:v>407</c:v>
                </c:pt>
                <c:pt idx="3">
                  <c:v>497</c:v>
                </c:pt>
                <c:pt idx="4">
                  <c:v>554</c:v>
                </c:pt>
                <c:pt idx="5">
                  <c:v>631</c:v>
                </c:pt>
                <c:pt idx="6">
                  <c:v>631</c:v>
                </c:pt>
                <c:pt idx="7">
                  <c:v>631</c:v>
                </c:pt>
                <c:pt idx="8">
                  <c:v>631</c:v>
                </c:pt>
                <c:pt idx="9">
                  <c:v>683</c:v>
                </c:pt>
                <c:pt idx="10">
                  <c:v>743</c:v>
                </c:pt>
                <c:pt idx="11">
                  <c:v>763</c:v>
                </c:pt>
                <c:pt idx="12">
                  <c:v>763</c:v>
                </c:pt>
                <c:pt idx="13">
                  <c:v>778</c:v>
                </c:pt>
                <c:pt idx="14">
                  <c:v>798</c:v>
                </c:pt>
                <c:pt idx="15">
                  <c:v>818</c:v>
                </c:pt>
                <c:pt idx="16">
                  <c:v>868</c:v>
                </c:pt>
                <c:pt idx="17">
                  <c:v>918</c:v>
                </c:pt>
                <c:pt idx="18">
                  <c:v>1058</c:v>
                </c:pt>
                <c:pt idx="19">
                  <c:v>1153</c:v>
                </c:pt>
                <c:pt idx="20">
                  <c:v>1225</c:v>
                </c:pt>
                <c:pt idx="21">
                  <c:v>1316</c:v>
                </c:pt>
                <c:pt idx="22">
                  <c:v>1408</c:v>
                </c:pt>
                <c:pt idx="23">
                  <c:v>1472</c:v>
                </c:pt>
                <c:pt idx="24">
                  <c:v>1512</c:v>
                </c:pt>
                <c:pt idx="25">
                  <c:v>1557</c:v>
                </c:pt>
              </c:numCache>
            </c:numRef>
          </c:val>
          <c:smooth val="0"/>
          <c:extLst>
            <c:ext xmlns:c16="http://schemas.microsoft.com/office/drawing/2014/chart" uri="{C3380CC4-5D6E-409C-BE32-E72D297353CC}">
              <c16:uniqueId val="{00000001-E936-4C5B-B89F-3C180B2953F7}"/>
            </c:ext>
          </c:extLst>
        </c:ser>
        <c:ser>
          <c:idx val="2"/>
          <c:order val="2"/>
          <c:spPr>
            <a:ln w="28575" cap="rnd">
              <a:solidFill>
                <a:schemeClr val="accent3"/>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(Stoping)'!$AU$48:$BV$48</c:f>
              <c:numCache>
                <c:formatCode>General</c:formatCode>
                <c:ptCount val="28"/>
                <c:pt idx="26" formatCode="_-* #,##0_-;\-* #,##0_-;_-* &quot;-&quot;??_-;_-@_-">
                  <c:v>1697</c:v>
                </c:pt>
                <c:pt idx="27" formatCode="_-* #,##0_-;\-* #,##0_-;_-* &quot;-&quot;??_-;_-@_-">
                  <c:v>1837</c:v>
                </c:pt>
              </c:numCache>
            </c:numRef>
          </c:val>
          <c:smooth val="0"/>
          <c:extLst>
            <c:ext xmlns:c16="http://schemas.microsoft.com/office/drawing/2014/chart" uri="{C3380CC4-5D6E-409C-BE32-E72D297353CC}">
              <c16:uniqueId val="{00000002-E936-4C5B-B89F-3C180B2953F7}"/>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(Stoping)'!$AU$53:$BV$53</c:f>
              <c:numCache>
                <c:formatCode>_-* #,##0_-;\-* #,##0_-;_-* "-"??_-;_-@_-</c:formatCode>
                <c:ptCount val="28"/>
                <c:pt idx="0" formatCode="General">
                  <c:v>105</c:v>
                </c:pt>
                <c:pt idx="1">
                  <c:v>210</c:v>
                </c:pt>
                <c:pt idx="2">
                  <c:v>315</c:v>
                </c:pt>
                <c:pt idx="3">
                  <c:v>420</c:v>
                </c:pt>
                <c:pt idx="4">
                  <c:v>525</c:v>
                </c:pt>
                <c:pt idx="5">
                  <c:v>630</c:v>
                </c:pt>
                <c:pt idx="6">
                  <c:v>735</c:v>
                </c:pt>
                <c:pt idx="7">
                  <c:v>840</c:v>
                </c:pt>
                <c:pt idx="8">
                  <c:v>945</c:v>
                </c:pt>
                <c:pt idx="9">
                  <c:v>1050</c:v>
                </c:pt>
                <c:pt idx="10">
                  <c:v>1155</c:v>
                </c:pt>
                <c:pt idx="11">
                  <c:v>1260</c:v>
                </c:pt>
                <c:pt idx="12">
                  <c:v>1365</c:v>
                </c:pt>
                <c:pt idx="13">
                  <c:v>1470</c:v>
                </c:pt>
                <c:pt idx="14">
                  <c:v>1575</c:v>
                </c:pt>
                <c:pt idx="15">
                  <c:v>1680</c:v>
                </c:pt>
                <c:pt idx="16">
                  <c:v>1785</c:v>
                </c:pt>
                <c:pt idx="17">
                  <c:v>1890</c:v>
                </c:pt>
                <c:pt idx="18">
                  <c:v>1995</c:v>
                </c:pt>
                <c:pt idx="19">
                  <c:v>2100</c:v>
                </c:pt>
                <c:pt idx="20">
                  <c:v>2205</c:v>
                </c:pt>
                <c:pt idx="21">
                  <c:v>2310</c:v>
                </c:pt>
                <c:pt idx="22">
                  <c:v>2415</c:v>
                </c:pt>
                <c:pt idx="23">
                  <c:v>2520</c:v>
                </c:pt>
                <c:pt idx="24">
                  <c:v>2625</c:v>
                </c:pt>
                <c:pt idx="25">
                  <c:v>2730</c:v>
                </c:pt>
                <c:pt idx="26">
                  <c:v>2835</c:v>
                </c:pt>
                <c:pt idx="27">
                  <c:v>2940</c:v>
                </c:pt>
              </c:numCache>
            </c:numRef>
          </c:val>
          <c:smooth val="0"/>
          <c:extLst>
            <c:ext xmlns:c16="http://schemas.microsoft.com/office/drawing/2014/chart" uri="{C3380CC4-5D6E-409C-BE32-E72D297353CC}">
              <c16:uniqueId val="{00000000-CCB3-423A-90FB-1A83275E4FEC}"/>
            </c:ext>
          </c:extLst>
        </c:ser>
        <c:ser>
          <c:idx val="1"/>
          <c:order val="1"/>
          <c:spPr>
            <a:ln w="28575" cap="rnd">
              <a:solidFill>
                <a:schemeClr val="accent2"/>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(Stoping)'!$AU$54:$BV$54</c:f>
              <c:numCache>
                <c:formatCode>_-* #,##0_-;\-* #,##0_-;_-* "-"??_-;_-@_-</c:formatCode>
                <c:ptCount val="28"/>
                <c:pt idx="0" formatCode="General">
                  <c:v>73</c:v>
                </c:pt>
                <c:pt idx="1">
                  <c:v>178</c:v>
                </c:pt>
                <c:pt idx="2">
                  <c:v>286</c:v>
                </c:pt>
                <c:pt idx="3">
                  <c:v>407</c:v>
                </c:pt>
                <c:pt idx="4">
                  <c:v>526</c:v>
                </c:pt>
                <c:pt idx="5">
                  <c:v>682</c:v>
                </c:pt>
                <c:pt idx="6">
                  <c:v>848</c:v>
                </c:pt>
                <c:pt idx="7">
                  <c:v>986</c:v>
                </c:pt>
                <c:pt idx="8">
                  <c:v>1136</c:v>
                </c:pt>
                <c:pt idx="9">
                  <c:v>1277</c:v>
                </c:pt>
                <c:pt idx="10">
                  <c:v>1429</c:v>
                </c:pt>
                <c:pt idx="11">
                  <c:v>1570</c:v>
                </c:pt>
                <c:pt idx="12">
                  <c:v>1802</c:v>
                </c:pt>
                <c:pt idx="13">
                  <c:v>2023</c:v>
                </c:pt>
                <c:pt idx="14">
                  <c:v>2244</c:v>
                </c:pt>
                <c:pt idx="15">
                  <c:v>2465</c:v>
                </c:pt>
                <c:pt idx="16">
                  <c:v>2685</c:v>
                </c:pt>
                <c:pt idx="17">
                  <c:v>2904</c:v>
                </c:pt>
                <c:pt idx="18">
                  <c:v>3063</c:v>
                </c:pt>
                <c:pt idx="19">
                  <c:v>3140</c:v>
                </c:pt>
                <c:pt idx="20">
                  <c:v>3244</c:v>
                </c:pt>
                <c:pt idx="21">
                  <c:v>3342</c:v>
                </c:pt>
                <c:pt idx="22">
                  <c:v>3525</c:v>
                </c:pt>
                <c:pt idx="23">
                  <c:v>3667</c:v>
                </c:pt>
                <c:pt idx="24">
                  <c:v>3762</c:v>
                </c:pt>
                <c:pt idx="25">
                  <c:v>3882</c:v>
                </c:pt>
              </c:numCache>
            </c:numRef>
          </c:val>
          <c:smooth val="0"/>
          <c:extLst>
            <c:ext xmlns:c16="http://schemas.microsoft.com/office/drawing/2014/chart" uri="{C3380CC4-5D6E-409C-BE32-E72D297353CC}">
              <c16:uniqueId val="{00000001-CCB3-423A-90FB-1A83275E4FEC}"/>
            </c:ext>
          </c:extLst>
        </c:ser>
        <c:ser>
          <c:idx val="2"/>
          <c:order val="2"/>
          <c:spPr>
            <a:ln w="28575" cap="rnd">
              <a:solidFill>
                <a:schemeClr val="accent3"/>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(Stoping)'!$AU$55:$BV$55</c:f>
              <c:numCache>
                <c:formatCode>General</c:formatCode>
                <c:ptCount val="28"/>
                <c:pt idx="26" formatCode="_-* #,##0_-;\-* #,##0_-;_-* &quot;-&quot;??_-;_-@_-">
                  <c:v>3987</c:v>
                </c:pt>
                <c:pt idx="27" formatCode="_-* #,##0_-;\-* #,##0_-;_-* &quot;-&quot;??_-;_-@_-">
                  <c:v>4092</c:v>
                </c:pt>
              </c:numCache>
            </c:numRef>
          </c:val>
          <c:smooth val="0"/>
          <c:extLst>
            <c:ext xmlns:c16="http://schemas.microsoft.com/office/drawing/2014/chart" uri="{C3380CC4-5D6E-409C-BE32-E72D297353CC}">
              <c16:uniqueId val="{00000002-CCB3-423A-90FB-1A83275E4FEC}"/>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(Stoping)'!$AU$60:$BV$60</c:f>
              <c:numCache>
                <c:formatCode>_-* #,##0_-;\-* #,##0_-;_-* "-"??_-;_-@_-</c:formatCode>
                <c:ptCount val="28"/>
                <c:pt idx="0" formatCode="General">
                  <c:v>35</c:v>
                </c:pt>
                <c:pt idx="1">
                  <c:v>70</c:v>
                </c:pt>
                <c:pt idx="2">
                  <c:v>105</c:v>
                </c:pt>
                <c:pt idx="3">
                  <c:v>140</c:v>
                </c:pt>
                <c:pt idx="4">
                  <c:v>175</c:v>
                </c:pt>
                <c:pt idx="5">
                  <c:v>210</c:v>
                </c:pt>
                <c:pt idx="6">
                  <c:v>245</c:v>
                </c:pt>
                <c:pt idx="7">
                  <c:v>280</c:v>
                </c:pt>
                <c:pt idx="8">
                  <c:v>315</c:v>
                </c:pt>
                <c:pt idx="9">
                  <c:v>350</c:v>
                </c:pt>
                <c:pt idx="10">
                  <c:v>385</c:v>
                </c:pt>
                <c:pt idx="11">
                  <c:v>420</c:v>
                </c:pt>
                <c:pt idx="12">
                  <c:v>455</c:v>
                </c:pt>
                <c:pt idx="13">
                  <c:v>490</c:v>
                </c:pt>
                <c:pt idx="14">
                  <c:v>525</c:v>
                </c:pt>
                <c:pt idx="15">
                  <c:v>560</c:v>
                </c:pt>
                <c:pt idx="16">
                  <c:v>595</c:v>
                </c:pt>
                <c:pt idx="17">
                  <c:v>630</c:v>
                </c:pt>
                <c:pt idx="18">
                  <c:v>665</c:v>
                </c:pt>
                <c:pt idx="19">
                  <c:v>700</c:v>
                </c:pt>
                <c:pt idx="20">
                  <c:v>735</c:v>
                </c:pt>
                <c:pt idx="21">
                  <c:v>770</c:v>
                </c:pt>
                <c:pt idx="22">
                  <c:v>805</c:v>
                </c:pt>
                <c:pt idx="23">
                  <c:v>840</c:v>
                </c:pt>
                <c:pt idx="24">
                  <c:v>875</c:v>
                </c:pt>
                <c:pt idx="25">
                  <c:v>910</c:v>
                </c:pt>
                <c:pt idx="26">
                  <c:v>945</c:v>
                </c:pt>
                <c:pt idx="27">
                  <c:v>980</c:v>
                </c:pt>
              </c:numCache>
            </c:numRef>
          </c:val>
          <c:smooth val="0"/>
          <c:extLst>
            <c:ext xmlns:c16="http://schemas.microsoft.com/office/drawing/2014/chart" uri="{C3380CC4-5D6E-409C-BE32-E72D297353CC}">
              <c16:uniqueId val="{00000000-C5EE-4F76-9216-9C11E826FF45}"/>
            </c:ext>
          </c:extLst>
        </c:ser>
        <c:ser>
          <c:idx val="1"/>
          <c:order val="1"/>
          <c:spPr>
            <a:ln w="28575" cap="rnd">
              <a:solidFill>
                <a:schemeClr val="accent2"/>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(Stoping)'!$AU$61:$BV$61</c:f>
              <c:numCache>
                <c:formatCode>_-* #,##0_-;\-* #,##0_-;_-* "-"??_-;_-@_-</c:formatCode>
                <c:ptCount val="28"/>
                <c:pt idx="0" formatCode="General">
                  <c:v>116</c:v>
                </c:pt>
                <c:pt idx="1">
                  <c:v>233</c:v>
                </c:pt>
                <c:pt idx="2">
                  <c:v>347</c:v>
                </c:pt>
                <c:pt idx="3">
                  <c:v>459</c:v>
                </c:pt>
                <c:pt idx="4">
                  <c:v>576</c:v>
                </c:pt>
                <c:pt idx="5">
                  <c:v>701</c:v>
                </c:pt>
                <c:pt idx="6">
                  <c:v>805</c:v>
                </c:pt>
                <c:pt idx="7">
                  <c:v>920</c:v>
                </c:pt>
                <c:pt idx="8">
                  <c:v>1038</c:v>
                </c:pt>
                <c:pt idx="9">
                  <c:v>1149</c:v>
                </c:pt>
                <c:pt idx="10">
                  <c:v>1226</c:v>
                </c:pt>
                <c:pt idx="11">
                  <c:v>1302</c:v>
                </c:pt>
                <c:pt idx="12">
                  <c:v>1379</c:v>
                </c:pt>
                <c:pt idx="13">
                  <c:v>1414</c:v>
                </c:pt>
                <c:pt idx="14">
                  <c:v>1449</c:v>
                </c:pt>
                <c:pt idx="15">
                  <c:v>1484</c:v>
                </c:pt>
                <c:pt idx="16">
                  <c:v>1520</c:v>
                </c:pt>
                <c:pt idx="17">
                  <c:v>1556</c:v>
                </c:pt>
                <c:pt idx="18">
                  <c:v>1624</c:v>
                </c:pt>
                <c:pt idx="19">
                  <c:v>1645</c:v>
                </c:pt>
                <c:pt idx="20">
                  <c:v>1729</c:v>
                </c:pt>
                <c:pt idx="21">
                  <c:v>1773</c:v>
                </c:pt>
                <c:pt idx="22">
                  <c:v>1904</c:v>
                </c:pt>
                <c:pt idx="23">
                  <c:v>1954</c:v>
                </c:pt>
                <c:pt idx="24">
                  <c:v>2079</c:v>
                </c:pt>
                <c:pt idx="25">
                  <c:v>2229</c:v>
                </c:pt>
              </c:numCache>
            </c:numRef>
          </c:val>
          <c:smooth val="0"/>
          <c:extLst>
            <c:ext xmlns:c16="http://schemas.microsoft.com/office/drawing/2014/chart" uri="{C3380CC4-5D6E-409C-BE32-E72D297353CC}">
              <c16:uniqueId val="{00000001-C5EE-4F76-9216-9C11E826FF45}"/>
            </c:ext>
          </c:extLst>
        </c:ser>
        <c:ser>
          <c:idx val="2"/>
          <c:order val="2"/>
          <c:spPr>
            <a:ln w="28575" cap="rnd">
              <a:solidFill>
                <a:schemeClr val="accent3"/>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(Stoping)'!$AU$62:$BV$62</c:f>
              <c:numCache>
                <c:formatCode>General</c:formatCode>
                <c:ptCount val="28"/>
                <c:pt idx="26" formatCode="_-* #,##0_-;\-* #,##0_-;_-* &quot;-&quot;??_-;_-@_-">
                  <c:v>2264</c:v>
                </c:pt>
                <c:pt idx="27" formatCode="_-* #,##0_-;\-* #,##0_-;_-* &quot;-&quot;??_-;_-@_-">
                  <c:v>2299</c:v>
                </c:pt>
              </c:numCache>
            </c:numRef>
          </c:val>
          <c:smooth val="0"/>
          <c:extLst>
            <c:ext xmlns:c16="http://schemas.microsoft.com/office/drawing/2014/chart" uri="{C3380CC4-5D6E-409C-BE32-E72D297353CC}">
              <c16:uniqueId val="{00000002-C5EE-4F76-9216-9C11E826FF45}"/>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(Stoping)'!$AU$67:$BV$67</c:f>
              <c:numCache>
                <c:formatCode>_-* #,##0_-;\-* #,##0_-;_-* "-"??_-;_-@_-</c:formatCode>
                <c:ptCount val="28"/>
                <c:pt idx="0" formatCode="General">
                  <c:v>70</c:v>
                </c:pt>
                <c:pt idx="1">
                  <c:v>140</c:v>
                </c:pt>
                <c:pt idx="2">
                  <c:v>210</c:v>
                </c:pt>
                <c:pt idx="3">
                  <c:v>280</c:v>
                </c:pt>
                <c:pt idx="4">
                  <c:v>350</c:v>
                </c:pt>
                <c:pt idx="5">
                  <c:v>420</c:v>
                </c:pt>
                <c:pt idx="6">
                  <c:v>490</c:v>
                </c:pt>
                <c:pt idx="7">
                  <c:v>560</c:v>
                </c:pt>
                <c:pt idx="8">
                  <c:v>630</c:v>
                </c:pt>
                <c:pt idx="9">
                  <c:v>700</c:v>
                </c:pt>
                <c:pt idx="10">
                  <c:v>770</c:v>
                </c:pt>
                <c:pt idx="11">
                  <c:v>840</c:v>
                </c:pt>
                <c:pt idx="12">
                  <c:v>910</c:v>
                </c:pt>
                <c:pt idx="13">
                  <c:v>980</c:v>
                </c:pt>
                <c:pt idx="14">
                  <c:v>1050</c:v>
                </c:pt>
                <c:pt idx="15">
                  <c:v>1120</c:v>
                </c:pt>
                <c:pt idx="16">
                  <c:v>1190</c:v>
                </c:pt>
                <c:pt idx="17">
                  <c:v>1260</c:v>
                </c:pt>
                <c:pt idx="18">
                  <c:v>1330</c:v>
                </c:pt>
                <c:pt idx="19">
                  <c:v>1400</c:v>
                </c:pt>
                <c:pt idx="20">
                  <c:v>1470</c:v>
                </c:pt>
                <c:pt idx="21">
                  <c:v>1540</c:v>
                </c:pt>
                <c:pt idx="22">
                  <c:v>1610</c:v>
                </c:pt>
                <c:pt idx="23">
                  <c:v>1680</c:v>
                </c:pt>
                <c:pt idx="24">
                  <c:v>1750</c:v>
                </c:pt>
                <c:pt idx="25">
                  <c:v>1820</c:v>
                </c:pt>
                <c:pt idx="26">
                  <c:v>1890</c:v>
                </c:pt>
                <c:pt idx="27">
                  <c:v>1960</c:v>
                </c:pt>
              </c:numCache>
            </c:numRef>
          </c:val>
          <c:smooth val="0"/>
          <c:extLst>
            <c:ext xmlns:c16="http://schemas.microsoft.com/office/drawing/2014/chart" uri="{C3380CC4-5D6E-409C-BE32-E72D297353CC}">
              <c16:uniqueId val="{00000000-EC4C-4962-BECA-E98EA2C6A8EA}"/>
            </c:ext>
          </c:extLst>
        </c:ser>
        <c:ser>
          <c:idx val="1"/>
          <c:order val="1"/>
          <c:spPr>
            <a:ln w="28575" cap="rnd">
              <a:solidFill>
                <a:schemeClr val="accent2"/>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(Stoping)'!$AU$68:$BV$68</c:f>
              <c:numCache>
                <c:formatCode>_-* #,##0_-;\-* #,##0_-;_-* "-"??_-;_-@_-</c:formatCode>
                <c:ptCount val="28"/>
                <c:pt idx="0" formatCode="General">
                  <c:v>75</c:v>
                </c:pt>
                <c:pt idx="1">
                  <c:v>154</c:v>
                </c:pt>
                <c:pt idx="2">
                  <c:v>226</c:v>
                </c:pt>
                <c:pt idx="3">
                  <c:v>226</c:v>
                </c:pt>
                <c:pt idx="4">
                  <c:v>268</c:v>
                </c:pt>
                <c:pt idx="5">
                  <c:v>268</c:v>
                </c:pt>
                <c:pt idx="6">
                  <c:v>268</c:v>
                </c:pt>
                <c:pt idx="7">
                  <c:v>268</c:v>
                </c:pt>
                <c:pt idx="8">
                  <c:v>268</c:v>
                </c:pt>
                <c:pt idx="9">
                  <c:v>268</c:v>
                </c:pt>
                <c:pt idx="10">
                  <c:v>268</c:v>
                </c:pt>
                <c:pt idx="11">
                  <c:v>268</c:v>
                </c:pt>
                <c:pt idx="12">
                  <c:v>268</c:v>
                </c:pt>
                <c:pt idx="13">
                  <c:v>268</c:v>
                </c:pt>
                <c:pt idx="14">
                  <c:v>268</c:v>
                </c:pt>
                <c:pt idx="15">
                  <c:v>268</c:v>
                </c:pt>
                <c:pt idx="16">
                  <c:v>268</c:v>
                </c:pt>
                <c:pt idx="17">
                  <c:v>268</c:v>
                </c:pt>
                <c:pt idx="18">
                  <c:v>306</c:v>
                </c:pt>
                <c:pt idx="19">
                  <c:v>353</c:v>
                </c:pt>
                <c:pt idx="20">
                  <c:v>353</c:v>
                </c:pt>
                <c:pt idx="21">
                  <c:v>353</c:v>
                </c:pt>
                <c:pt idx="22">
                  <c:v>353</c:v>
                </c:pt>
                <c:pt idx="23">
                  <c:v>353</c:v>
                </c:pt>
                <c:pt idx="24">
                  <c:v>353</c:v>
                </c:pt>
                <c:pt idx="25">
                  <c:v>353</c:v>
                </c:pt>
              </c:numCache>
            </c:numRef>
          </c:val>
          <c:smooth val="0"/>
          <c:extLst>
            <c:ext xmlns:c16="http://schemas.microsoft.com/office/drawing/2014/chart" uri="{C3380CC4-5D6E-409C-BE32-E72D297353CC}">
              <c16:uniqueId val="{00000001-EC4C-4962-BECA-E98EA2C6A8EA}"/>
            </c:ext>
          </c:extLst>
        </c:ser>
        <c:ser>
          <c:idx val="2"/>
          <c:order val="2"/>
          <c:spPr>
            <a:ln w="28575" cap="rnd">
              <a:solidFill>
                <a:schemeClr val="accent3"/>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(Stoping)'!$AU$69:$BV$69</c:f>
              <c:numCache>
                <c:formatCode>General</c:formatCode>
                <c:ptCount val="28"/>
                <c:pt idx="26" formatCode="_-* #,##0_-;\-* #,##0_-;_-* &quot;-&quot;??_-;_-@_-">
                  <c:v>423</c:v>
                </c:pt>
                <c:pt idx="27" formatCode="_-* #,##0_-;\-* #,##0_-;_-* &quot;-&quot;??_-;_-@_-">
                  <c:v>493</c:v>
                </c:pt>
              </c:numCache>
            </c:numRef>
          </c:val>
          <c:smooth val="0"/>
          <c:extLst>
            <c:ext xmlns:c16="http://schemas.microsoft.com/office/drawing/2014/chart" uri="{C3380CC4-5D6E-409C-BE32-E72D297353CC}">
              <c16:uniqueId val="{00000002-EC4C-4962-BECA-E98EA2C6A8EA}"/>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(Stoping)'!$AU$74:$BV$74</c:f>
              <c:numCache>
                <c:formatCode>_-* #,##0_-;\-* #,##0_-;_-* "-"??_-;_-@_-</c:formatCode>
                <c:ptCount val="28"/>
                <c:pt idx="0" formatCode="General">
                  <c:v>105</c:v>
                </c:pt>
                <c:pt idx="1">
                  <c:v>210</c:v>
                </c:pt>
                <c:pt idx="2">
                  <c:v>315</c:v>
                </c:pt>
                <c:pt idx="3">
                  <c:v>420</c:v>
                </c:pt>
                <c:pt idx="4">
                  <c:v>525</c:v>
                </c:pt>
                <c:pt idx="5">
                  <c:v>630</c:v>
                </c:pt>
                <c:pt idx="6">
                  <c:v>735</c:v>
                </c:pt>
                <c:pt idx="7">
                  <c:v>840</c:v>
                </c:pt>
                <c:pt idx="8">
                  <c:v>945</c:v>
                </c:pt>
                <c:pt idx="9">
                  <c:v>1050</c:v>
                </c:pt>
                <c:pt idx="10">
                  <c:v>1155</c:v>
                </c:pt>
                <c:pt idx="11">
                  <c:v>1260</c:v>
                </c:pt>
                <c:pt idx="12">
                  <c:v>1365</c:v>
                </c:pt>
                <c:pt idx="13">
                  <c:v>1470</c:v>
                </c:pt>
                <c:pt idx="14">
                  <c:v>1575</c:v>
                </c:pt>
                <c:pt idx="15">
                  <c:v>1680</c:v>
                </c:pt>
                <c:pt idx="16">
                  <c:v>1785</c:v>
                </c:pt>
                <c:pt idx="17">
                  <c:v>1890</c:v>
                </c:pt>
                <c:pt idx="18">
                  <c:v>1995</c:v>
                </c:pt>
                <c:pt idx="19">
                  <c:v>2100</c:v>
                </c:pt>
                <c:pt idx="20">
                  <c:v>2205</c:v>
                </c:pt>
                <c:pt idx="21">
                  <c:v>2310</c:v>
                </c:pt>
                <c:pt idx="22">
                  <c:v>2415</c:v>
                </c:pt>
                <c:pt idx="23">
                  <c:v>2520</c:v>
                </c:pt>
                <c:pt idx="24">
                  <c:v>2625</c:v>
                </c:pt>
                <c:pt idx="25">
                  <c:v>2730</c:v>
                </c:pt>
                <c:pt idx="26">
                  <c:v>2835</c:v>
                </c:pt>
                <c:pt idx="27">
                  <c:v>2940</c:v>
                </c:pt>
              </c:numCache>
            </c:numRef>
          </c:val>
          <c:smooth val="0"/>
          <c:extLst>
            <c:ext xmlns:c16="http://schemas.microsoft.com/office/drawing/2014/chart" uri="{C3380CC4-5D6E-409C-BE32-E72D297353CC}">
              <c16:uniqueId val="{00000000-4EFA-4D02-AD09-1E5338E17DB2}"/>
            </c:ext>
          </c:extLst>
        </c:ser>
        <c:ser>
          <c:idx val="1"/>
          <c:order val="1"/>
          <c:spPr>
            <a:ln w="28575" cap="rnd">
              <a:solidFill>
                <a:schemeClr val="accent2"/>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(Stoping)'!$AU$75:$BV$75</c:f>
              <c:numCache>
                <c:formatCode>_-* #,##0_-;\-* #,##0_-;_-* "-"??_-;_-@_-</c:formatCode>
                <c:ptCount val="28"/>
                <c:pt idx="0" formatCode="General">
                  <c:v>125</c:v>
                </c:pt>
                <c:pt idx="1">
                  <c:v>239</c:v>
                </c:pt>
                <c:pt idx="2">
                  <c:v>378</c:v>
                </c:pt>
                <c:pt idx="3">
                  <c:v>610</c:v>
                </c:pt>
                <c:pt idx="4">
                  <c:v>754</c:v>
                </c:pt>
                <c:pt idx="5">
                  <c:v>937</c:v>
                </c:pt>
                <c:pt idx="6">
                  <c:v>1109</c:v>
                </c:pt>
                <c:pt idx="7">
                  <c:v>1302</c:v>
                </c:pt>
                <c:pt idx="8">
                  <c:v>1479</c:v>
                </c:pt>
                <c:pt idx="9">
                  <c:v>1650</c:v>
                </c:pt>
                <c:pt idx="10">
                  <c:v>1803</c:v>
                </c:pt>
                <c:pt idx="11">
                  <c:v>1974</c:v>
                </c:pt>
                <c:pt idx="12">
                  <c:v>2124</c:v>
                </c:pt>
                <c:pt idx="13">
                  <c:v>2363</c:v>
                </c:pt>
                <c:pt idx="14">
                  <c:v>2592</c:v>
                </c:pt>
                <c:pt idx="15">
                  <c:v>2821</c:v>
                </c:pt>
                <c:pt idx="16">
                  <c:v>2996</c:v>
                </c:pt>
                <c:pt idx="17">
                  <c:v>3184</c:v>
                </c:pt>
                <c:pt idx="18">
                  <c:v>3298</c:v>
                </c:pt>
                <c:pt idx="19">
                  <c:v>3403</c:v>
                </c:pt>
                <c:pt idx="20">
                  <c:v>3539</c:v>
                </c:pt>
                <c:pt idx="21">
                  <c:v>3583</c:v>
                </c:pt>
                <c:pt idx="22">
                  <c:v>3737</c:v>
                </c:pt>
                <c:pt idx="23">
                  <c:v>3844</c:v>
                </c:pt>
                <c:pt idx="24">
                  <c:v>4041</c:v>
                </c:pt>
                <c:pt idx="25">
                  <c:v>4188</c:v>
                </c:pt>
              </c:numCache>
            </c:numRef>
          </c:val>
          <c:smooth val="0"/>
          <c:extLst>
            <c:ext xmlns:c16="http://schemas.microsoft.com/office/drawing/2014/chart" uri="{C3380CC4-5D6E-409C-BE32-E72D297353CC}">
              <c16:uniqueId val="{00000001-4EFA-4D02-AD09-1E5338E17DB2}"/>
            </c:ext>
          </c:extLst>
        </c:ser>
        <c:ser>
          <c:idx val="2"/>
          <c:order val="2"/>
          <c:spPr>
            <a:ln w="28575" cap="rnd">
              <a:solidFill>
                <a:schemeClr val="accent3"/>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(Stoping)'!$AU$76:$BV$76</c:f>
              <c:numCache>
                <c:formatCode>General</c:formatCode>
                <c:ptCount val="28"/>
                <c:pt idx="26" formatCode="_-* #,##0_-;\-* #,##0_-;_-* &quot;-&quot;??_-;_-@_-">
                  <c:v>4293</c:v>
                </c:pt>
                <c:pt idx="27" formatCode="_-* #,##0_-;\-* #,##0_-;_-* &quot;-&quot;??_-;_-@_-">
                  <c:v>4398</c:v>
                </c:pt>
              </c:numCache>
            </c:numRef>
          </c:val>
          <c:smooth val="0"/>
          <c:extLst>
            <c:ext xmlns:c16="http://schemas.microsoft.com/office/drawing/2014/chart" uri="{C3380CC4-5D6E-409C-BE32-E72D297353CC}">
              <c16:uniqueId val="{00000002-4EFA-4D02-AD09-1E5338E17DB2}"/>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(Stoping)'!$AU$81:$BV$81</c:f>
              <c:numCache>
                <c:formatCode>_-* #,##0_-;\-* #,##0_-;_-* "-"??_-;_-@_-</c:formatCode>
                <c:ptCount val="28"/>
                <c:pt idx="0" formatCode="General">
                  <c:v>35</c:v>
                </c:pt>
                <c:pt idx="1">
                  <c:v>70</c:v>
                </c:pt>
                <c:pt idx="2">
                  <c:v>105</c:v>
                </c:pt>
                <c:pt idx="3">
                  <c:v>140</c:v>
                </c:pt>
                <c:pt idx="4">
                  <c:v>175</c:v>
                </c:pt>
                <c:pt idx="5">
                  <c:v>210</c:v>
                </c:pt>
                <c:pt idx="6">
                  <c:v>245</c:v>
                </c:pt>
                <c:pt idx="7">
                  <c:v>280</c:v>
                </c:pt>
                <c:pt idx="8">
                  <c:v>315</c:v>
                </c:pt>
                <c:pt idx="9">
                  <c:v>350</c:v>
                </c:pt>
                <c:pt idx="10">
                  <c:v>385</c:v>
                </c:pt>
                <c:pt idx="11">
                  <c:v>420</c:v>
                </c:pt>
                <c:pt idx="12">
                  <c:v>455</c:v>
                </c:pt>
                <c:pt idx="13">
                  <c:v>490</c:v>
                </c:pt>
                <c:pt idx="14">
                  <c:v>525</c:v>
                </c:pt>
                <c:pt idx="15">
                  <c:v>560</c:v>
                </c:pt>
                <c:pt idx="16">
                  <c:v>595</c:v>
                </c:pt>
                <c:pt idx="17">
                  <c:v>630</c:v>
                </c:pt>
                <c:pt idx="18">
                  <c:v>665</c:v>
                </c:pt>
                <c:pt idx="19">
                  <c:v>700</c:v>
                </c:pt>
                <c:pt idx="20">
                  <c:v>735</c:v>
                </c:pt>
                <c:pt idx="21">
                  <c:v>770</c:v>
                </c:pt>
                <c:pt idx="22">
                  <c:v>805</c:v>
                </c:pt>
                <c:pt idx="23">
                  <c:v>840</c:v>
                </c:pt>
                <c:pt idx="24">
                  <c:v>875</c:v>
                </c:pt>
                <c:pt idx="25">
                  <c:v>910</c:v>
                </c:pt>
                <c:pt idx="26">
                  <c:v>945</c:v>
                </c:pt>
                <c:pt idx="27">
                  <c:v>980</c:v>
                </c:pt>
              </c:numCache>
            </c:numRef>
          </c:val>
          <c:smooth val="0"/>
          <c:extLst>
            <c:ext xmlns:c16="http://schemas.microsoft.com/office/drawing/2014/chart" uri="{C3380CC4-5D6E-409C-BE32-E72D297353CC}">
              <c16:uniqueId val="{00000000-015E-41BF-89A7-567CC789BB63}"/>
            </c:ext>
          </c:extLst>
        </c:ser>
        <c:ser>
          <c:idx val="1"/>
          <c:order val="1"/>
          <c:spPr>
            <a:ln w="28575" cap="rnd">
              <a:solidFill>
                <a:schemeClr val="accent2"/>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(Stoping)'!$AU$82:$BV$82</c:f>
              <c:numCache>
                <c:formatCode>_-* #,##0_-;\-* #,##0_-;_-* "-"??_-;_-@_-</c:formatCode>
                <c:ptCount val="28"/>
                <c:pt idx="0" formatCode="General">
                  <c:v>41</c:v>
                </c:pt>
                <c:pt idx="1">
                  <c:v>82</c:v>
                </c:pt>
                <c:pt idx="2">
                  <c:v>82</c:v>
                </c:pt>
                <c:pt idx="3">
                  <c:v>82</c:v>
                </c:pt>
                <c:pt idx="4">
                  <c:v>120</c:v>
                </c:pt>
                <c:pt idx="5">
                  <c:v>150</c:v>
                </c:pt>
                <c:pt idx="6">
                  <c:v>192</c:v>
                </c:pt>
                <c:pt idx="7">
                  <c:v>242</c:v>
                </c:pt>
                <c:pt idx="8">
                  <c:v>298</c:v>
                </c:pt>
                <c:pt idx="9">
                  <c:v>333</c:v>
                </c:pt>
                <c:pt idx="10">
                  <c:v>410</c:v>
                </c:pt>
                <c:pt idx="11">
                  <c:v>445</c:v>
                </c:pt>
                <c:pt idx="12">
                  <c:v>483</c:v>
                </c:pt>
                <c:pt idx="13">
                  <c:v>483</c:v>
                </c:pt>
                <c:pt idx="14">
                  <c:v>483</c:v>
                </c:pt>
                <c:pt idx="15">
                  <c:v>483</c:v>
                </c:pt>
                <c:pt idx="16">
                  <c:v>523</c:v>
                </c:pt>
                <c:pt idx="17">
                  <c:v>523</c:v>
                </c:pt>
                <c:pt idx="18">
                  <c:v>558</c:v>
                </c:pt>
                <c:pt idx="19">
                  <c:v>581</c:v>
                </c:pt>
                <c:pt idx="20">
                  <c:v>581</c:v>
                </c:pt>
                <c:pt idx="21">
                  <c:v>581</c:v>
                </c:pt>
                <c:pt idx="22">
                  <c:v>581</c:v>
                </c:pt>
                <c:pt idx="23">
                  <c:v>581</c:v>
                </c:pt>
                <c:pt idx="24">
                  <c:v>581</c:v>
                </c:pt>
                <c:pt idx="25">
                  <c:v>619</c:v>
                </c:pt>
              </c:numCache>
            </c:numRef>
          </c:val>
          <c:smooth val="0"/>
          <c:extLst>
            <c:ext xmlns:c16="http://schemas.microsoft.com/office/drawing/2014/chart" uri="{C3380CC4-5D6E-409C-BE32-E72D297353CC}">
              <c16:uniqueId val="{00000001-015E-41BF-89A7-567CC789BB63}"/>
            </c:ext>
          </c:extLst>
        </c:ser>
        <c:ser>
          <c:idx val="2"/>
          <c:order val="2"/>
          <c:spPr>
            <a:ln w="28575" cap="rnd">
              <a:solidFill>
                <a:schemeClr val="accent3"/>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(Stoping)'!$AU$83:$BV$83</c:f>
              <c:numCache>
                <c:formatCode>General</c:formatCode>
                <c:ptCount val="28"/>
                <c:pt idx="26" formatCode="_-* #,##0_-;\-* #,##0_-;_-* &quot;-&quot;??_-;_-@_-">
                  <c:v>654</c:v>
                </c:pt>
                <c:pt idx="27" formatCode="_-* #,##0_-;\-* #,##0_-;_-* &quot;-&quot;??_-;_-@_-">
                  <c:v>689</c:v>
                </c:pt>
              </c:numCache>
            </c:numRef>
          </c:val>
          <c:smooth val="0"/>
          <c:extLst>
            <c:ext xmlns:c16="http://schemas.microsoft.com/office/drawing/2014/chart" uri="{C3380CC4-5D6E-409C-BE32-E72D297353CC}">
              <c16:uniqueId val="{00000002-015E-41BF-89A7-567CC789BB63}"/>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(Stoping)'!$AU$88:$BV$88</c:f>
              <c:numCache>
                <c:formatCode>_-* #,##0_-;\-* #,##0_-;_-* "-"??_-;_-@_-</c:formatCode>
                <c:ptCount val="28"/>
                <c:pt idx="0" formatCode="General">
                  <c:v>70</c:v>
                </c:pt>
                <c:pt idx="1">
                  <c:v>140</c:v>
                </c:pt>
                <c:pt idx="2">
                  <c:v>210</c:v>
                </c:pt>
                <c:pt idx="3">
                  <c:v>280</c:v>
                </c:pt>
                <c:pt idx="4">
                  <c:v>350</c:v>
                </c:pt>
                <c:pt idx="5">
                  <c:v>420</c:v>
                </c:pt>
                <c:pt idx="6">
                  <c:v>490</c:v>
                </c:pt>
                <c:pt idx="7">
                  <c:v>560</c:v>
                </c:pt>
                <c:pt idx="8">
                  <c:v>630</c:v>
                </c:pt>
                <c:pt idx="9">
                  <c:v>700</c:v>
                </c:pt>
                <c:pt idx="10">
                  <c:v>770</c:v>
                </c:pt>
                <c:pt idx="11">
                  <c:v>840</c:v>
                </c:pt>
                <c:pt idx="12">
                  <c:v>910</c:v>
                </c:pt>
                <c:pt idx="13">
                  <c:v>980</c:v>
                </c:pt>
                <c:pt idx="14">
                  <c:v>1050</c:v>
                </c:pt>
                <c:pt idx="15">
                  <c:v>1120</c:v>
                </c:pt>
                <c:pt idx="16">
                  <c:v>1190</c:v>
                </c:pt>
                <c:pt idx="17">
                  <c:v>1260</c:v>
                </c:pt>
                <c:pt idx="18">
                  <c:v>1330</c:v>
                </c:pt>
                <c:pt idx="19">
                  <c:v>1400</c:v>
                </c:pt>
                <c:pt idx="20">
                  <c:v>1470</c:v>
                </c:pt>
                <c:pt idx="21">
                  <c:v>1540</c:v>
                </c:pt>
                <c:pt idx="22">
                  <c:v>1610</c:v>
                </c:pt>
                <c:pt idx="23">
                  <c:v>1680</c:v>
                </c:pt>
                <c:pt idx="24">
                  <c:v>1750</c:v>
                </c:pt>
                <c:pt idx="25">
                  <c:v>1820</c:v>
                </c:pt>
                <c:pt idx="26">
                  <c:v>1890</c:v>
                </c:pt>
                <c:pt idx="27">
                  <c:v>1960</c:v>
                </c:pt>
              </c:numCache>
            </c:numRef>
          </c:val>
          <c:smooth val="0"/>
          <c:extLst>
            <c:ext xmlns:c16="http://schemas.microsoft.com/office/drawing/2014/chart" uri="{C3380CC4-5D6E-409C-BE32-E72D297353CC}">
              <c16:uniqueId val="{00000000-47EF-4CB5-BD7B-4C6237BA671B}"/>
            </c:ext>
          </c:extLst>
        </c:ser>
        <c:ser>
          <c:idx val="1"/>
          <c:order val="1"/>
          <c:spPr>
            <a:ln w="28575" cap="rnd">
              <a:solidFill>
                <a:schemeClr val="accent2"/>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(Stoping)'!$AU$89:$BV$89</c:f>
              <c:numCache>
                <c:formatCode>_-* #,##0_-;\-* #,##0_-;_-* "-"??_-;_-@_-</c:formatCode>
                <c:ptCount val="28"/>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30</c:v>
                </c:pt>
                <c:pt idx="19">
                  <c:v>49</c:v>
                </c:pt>
                <c:pt idx="20">
                  <c:v>68</c:v>
                </c:pt>
                <c:pt idx="21">
                  <c:v>68</c:v>
                </c:pt>
                <c:pt idx="22">
                  <c:v>68</c:v>
                </c:pt>
                <c:pt idx="23">
                  <c:v>68</c:v>
                </c:pt>
                <c:pt idx="24">
                  <c:v>68</c:v>
                </c:pt>
                <c:pt idx="25">
                  <c:v>68</c:v>
                </c:pt>
              </c:numCache>
            </c:numRef>
          </c:val>
          <c:smooth val="0"/>
          <c:extLst>
            <c:ext xmlns:c16="http://schemas.microsoft.com/office/drawing/2014/chart" uri="{C3380CC4-5D6E-409C-BE32-E72D297353CC}">
              <c16:uniqueId val="{00000001-47EF-4CB5-BD7B-4C6237BA671B}"/>
            </c:ext>
          </c:extLst>
        </c:ser>
        <c:ser>
          <c:idx val="2"/>
          <c:order val="2"/>
          <c:spPr>
            <a:ln w="28575" cap="rnd">
              <a:solidFill>
                <a:schemeClr val="accent3"/>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(Stoping)'!$AU$90:$BV$90</c:f>
              <c:numCache>
                <c:formatCode>General</c:formatCode>
                <c:ptCount val="28"/>
                <c:pt idx="26" formatCode="_-* #,##0_-;\-* #,##0_-;_-* &quot;-&quot;??_-;_-@_-">
                  <c:v>138</c:v>
                </c:pt>
                <c:pt idx="27" formatCode="_-* #,##0_-;\-* #,##0_-;_-* &quot;-&quot;??_-;_-@_-">
                  <c:v>208</c:v>
                </c:pt>
              </c:numCache>
            </c:numRef>
          </c:val>
          <c:smooth val="0"/>
          <c:extLst>
            <c:ext xmlns:c16="http://schemas.microsoft.com/office/drawing/2014/chart" uri="{C3380CC4-5D6E-409C-BE32-E72D297353CC}">
              <c16:uniqueId val="{00000002-47EF-4CB5-BD7B-4C6237BA671B}"/>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(Stoping)'!$AU$95:$BV$95</c:f>
              <c:numCache>
                <c:formatCode>_-* #,##0_-;\-* #,##0_-;_-* "-"??_-;_-@_-</c:formatCode>
                <c:ptCount val="28"/>
                <c:pt idx="0" formatCode="General">
                  <c:v>70</c:v>
                </c:pt>
                <c:pt idx="1">
                  <c:v>140</c:v>
                </c:pt>
                <c:pt idx="2">
                  <c:v>210</c:v>
                </c:pt>
                <c:pt idx="3">
                  <c:v>280</c:v>
                </c:pt>
                <c:pt idx="4">
                  <c:v>350</c:v>
                </c:pt>
                <c:pt idx="5">
                  <c:v>420</c:v>
                </c:pt>
                <c:pt idx="6">
                  <c:v>490</c:v>
                </c:pt>
                <c:pt idx="7">
                  <c:v>560</c:v>
                </c:pt>
                <c:pt idx="8">
                  <c:v>630</c:v>
                </c:pt>
                <c:pt idx="9">
                  <c:v>700</c:v>
                </c:pt>
                <c:pt idx="10">
                  <c:v>770</c:v>
                </c:pt>
                <c:pt idx="11">
                  <c:v>840</c:v>
                </c:pt>
                <c:pt idx="12">
                  <c:v>910</c:v>
                </c:pt>
                <c:pt idx="13">
                  <c:v>980</c:v>
                </c:pt>
                <c:pt idx="14">
                  <c:v>1050</c:v>
                </c:pt>
                <c:pt idx="15">
                  <c:v>1120</c:v>
                </c:pt>
                <c:pt idx="16">
                  <c:v>1190</c:v>
                </c:pt>
                <c:pt idx="17">
                  <c:v>1260</c:v>
                </c:pt>
                <c:pt idx="18">
                  <c:v>1330</c:v>
                </c:pt>
                <c:pt idx="19">
                  <c:v>1400</c:v>
                </c:pt>
                <c:pt idx="20">
                  <c:v>1470</c:v>
                </c:pt>
                <c:pt idx="21">
                  <c:v>1540</c:v>
                </c:pt>
                <c:pt idx="22">
                  <c:v>1610</c:v>
                </c:pt>
                <c:pt idx="23">
                  <c:v>1680</c:v>
                </c:pt>
                <c:pt idx="24">
                  <c:v>1750</c:v>
                </c:pt>
                <c:pt idx="25">
                  <c:v>1820</c:v>
                </c:pt>
                <c:pt idx="26">
                  <c:v>1890</c:v>
                </c:pt>
                <c:pt idx="27">
                  <c:v>1960</c:v>
                </c:pt>
              </c:numCache>
            </c:numRef>
          </c:val>
          <c:smooth val="0"/>
          <c:extLst>
            <c:ext xmlns:c16="http://schemas.microsoft.com/office/drawing/2014/chart" uri="{C3380CC4-5D6E-409C-BE32-E72D297353CC}">
              <c16:uniqueId val="{00000000-A10D-40B2-B707-80F58A246007}"/>
            </c:ext>
          </c:extLst>
        </c:ser>
        <c:ser>
          <c:idx val="1"/>
          <c:order val="1"/>
          <c:spPr>
            <a:ln w="28575" cap="rnd">
              <a:solidFill>
                <a:schemeClr val="accent2"/>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(Stoping)'!$AU$96:$BV$96</c:f>
              <c:numCache>
                <c:formatCode>_-* #,##0_-;\-* #,##0_-;_-* "-"??_-;_-@_-</c:formatCode>
                <c:ptCount val="28"/>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30</c:v>
                </c:pt>
                <c:pt idx="19">
                  <c:v>49</c:v>
                </c:pt>
                <c:pt idx="20">
                  <c:v>68</c:v>
                </c:pt>
                <c:pt idx="21">
                  <c:v>68</c:v>
                </c:pt>
                <c:pt idx="22">
                  <c:v>68</c:v>
                </c:pt>
                <c:pt idx="23">
                  <c:v>68</c:v>
                </c:pt>
                <c:pt idx="24">
                  <c:v>68</c:v>
                </c:pt>
                <c:pt idx="25">
                  <c:v>68</c:v>
                </c:pt>
              </c:numCache>
            </c:numRef>
          </c:val>
          <c:smooth val="0"/>
          <c:extLst>
            <c:ext xmlns:c16="http://schemas.microsoft.com/office/drawing/2014/chart" uri="{C3380CC4-5D6E-409C-BE32-E72D297353CC}">
              <c16:uniqueId val="{00000001-A10D-40B2-B707-80F58A246007}"/>
            </c:ext>
          </c:extLst>
        </c:ser>
        <c:ser>
          <c:idx val="2"/>
          <c:order val="2"/>
          <c:spPr>
            <a:ln w="28575" cap="rnd">
              <a:solidFill>
                <a:schemeClr val="accent3"/>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(Stoping)'!$AU$97:$BV$97</c:f>
              <c:numCache>
                <c:formatCode>General</c:formatCode>
                <c:ptCount val="28"/>
                <c:pt idx="26" formatCode="_-* #,##0_-;\-* #,##0_-;_-* &quot;-&quot;??_-;_-@_-">
                  <c:v>138</c:v>
                </c:pt>
                <c:pt idx="27" formatCode="_-* #,##0_-;\-* #,##0_-;_-* &quot;-&quot;??_-;_-@_-">
                  <c:v>208</c:v>
                </c:pt>
              </c:numCache>
            </c:numRef>
          </c:val>
          <c:smooth val="0"/>
          <c:extLst>
            <c:ext xmlns:c16="http://schemas.microsoft.com/office/drawing/2014/chart" uri="{C3380CC4-5D6E-409C-BE32-E72D297353CC}">
              <c16:uniqueId val="{00000002-A10D-40B2-B707-80F58A246007}"/>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(Stoping)'!$AU$102:$BV$102</c:f>
              <c:numCache>
                <c:formatCode>_-* #,##0_-;\-* #,##0_-;_-* "-"??_-;_-@_-</c:formatCode>
                <c:ptCount val="28"/>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numCache>
            </c:numRef>
          </c:val>
          <c:smooth val="0"/>
          <c:extLst>
            <c:ext xmlns:c16="http://schemas.microsoft.com/office/drawing/2014/chart" uri="{C3380CC4-5D6E-409C-BE32-E72D297353CC}">
              <c16:uniqueId val="{00000000-F904-445B-8BA3-F00B5A7F9DF4}"/>
            </c:ext>
          </c:extLst>
        </c:ser>
        <c:ser>
          <c:idx val="1"/>
          <c:order val="1"/>
          <c:spPr>
            <a:ln w="28575" cap="rnd">
              <a:solidFill>
                <a:schemeClr val="accent2"/>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(Stoping)'!$AU$103:$BV$103</c:f>
              <c:numCache>
                <c:formatCode>_-* #,##0_-;\-* #,##0_-;_-* "-"??_-;_-@_-</c:formatCode>
                <c:ptCount val="28"/>
                <c:pt idx="0" formatCode="General">
                  <c:v>0</c:v>
                </c:pt>
                <c:pt idx="1">
                  <c:v>0</c:v>
                </c:pt>
                <c:pt idx="2">
                  <c:v>0</c:v>
                </c:pt>
                <c:pt idx="3">
                  <c:v>19.5</c:v>
                </c:pt>
                <c:pt idx="4">
                  <c:v>19.5</c:v>
                </c:pt>
                <c:pt idx="5">
                  <c:v>58.5</c:v>
                </c:pt>
                <c:pt idx="6">
                  <c:v>85.5</c:v>
                </c:pt>
                <c:pt idx="7">
                  <c:v>114.5</c:v>
                </c:pt>
                <c:pt idx="8">
                  <c:v>141.5</c:v>
                </c:pt>
                <c:pt idx="9">
                  <c:v>183.5</c:v>
                </c:pt>
                <c:pt idx="10">
                  <c:v>222.5</c:v>
                </c:pt>
                <c:pt idx="11">
                  <c:v>255.5</c:v>
                </c:pt>
                <c:pt idx="12">
                  <c:v>255.5</c:v>
                </c:pt>
                <c:pt idx="13">
                  <c:v>255.5</c:v>
                </c:pt>
                <c:pt idx="14">
                  <c:v>255.5</c:v>
                </c:pt>
                <c:pt idx="15">
                  <c:v>255.5</c:v>
                </c:pt>
                <c:pt idx="16">
                  <c:v>255.5</c:v>
                </c:pt>
                <c:pt idx="17">
                  <c:v>255.5</c:v>
                </c:pt>
                <c:pt idx="18">
                  <c:v>255.5</c:v>
                </c:pt>
                <c:pt idx="19">
                  <c:v>255.5</c:v>
                </c:pt>
                <c:pt idx="20">
                  <c:v>255.5</c:v>
                </c:pt>
                <c:pt idx="21">
                  <c:v>255.5</c:v>
                </c:pt>
                <c:pt idx="22">
                  <c:v>255.5</c:v>
                </c:pt>
                <c:pt idx="23">
                  <c:v>255.5</c:v>
                </c:pt>
                <c:pt idx="24">
                  <c:v>255.5</c:v>
                </c:pt>
                <c:pt idx="25">
                  <c:v>255.5</c:v>
                </c:pt>
              </c:numCache>
            </c:numRef>
          </c:val>
          <c:smooth val="0"/>
          <c:extLst>
            <c:ext xmlns:c16="http://schemas.microsoft.com/office/drawing/2014/chart" uri="{C3380CC4-5D6E-409C-BE32-E72D297353CC}">
              <c16:uniqueId val="{00000001-F904-445B-8BA3-F00B5A7F9DF4}"/>
            </c:ext>
          </c:extLst>
        </c:ser>
        <c:ser>
          <c:idx val="2"/>
          <c:order val="2"/>
          <c:spPr>
            <a:ln w="28575" cap="rnd">
              <a:solidFill>
                <a:schemeClr val="accent3"/>
              </a:solidFill>
              <a:round/>
            </a:ln>
            <a:effectLst/>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(Stoping)'!$AU$104:$BV$104</c:f>
              <c:numCache>
                <c:formatCode>General</c:formatCode>
                <c:ptCount val="28"/>
                <c:pt idx="26" formatCode="_-* #,##0_-;\-* #,##0_-;_-* &quot;-&quot;??_-;_-@_-">
                  <c:v>255.5</c:v>
                </c:pt>
                <c:pt idx="27" formatCode="_-* #,##0_-;\-* #,##0_-;_-* &quot;-&quot;??_-;_-@_-">
                  <c:v>255.5</c:v>
                </c:pt>
              </c:numCache>
            </c:numRef>
          </c:val>
          <c:smooth val="0"/>
          <c:extLst>
            <c:ext xmlns:c16="http://schemas.microsoft.com/office/drawing/2014/chart" uri="{C3380CC4-5D6E-409C-BE32-E72D297353CC}">
              <c16:uniqueId val="{00000002-F904-445B-8BA3-F00B5A7F9DF4}"/>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'February 25 D_R (Tramming)'!$G$10</c:f>
              <c:strCache>
                <c:ptCount val="1"/>
                <c:pt idx="0">
                  <c:v>Daily Budget (t)</c:v>
                </c:pt>
              </c:strCache>
            </c:strRef>
          </c:tx>
          <c:spPr>
            <a:ln w="28575" cap="rnd">
              <a:solidFill>
                <a:schemeClr val="accent1"/>
              </a:solidFill>
              <a:round/>
            </a:ln>
            <a:effectLst/>
          </c:spPr>
          <c:marker>
            <c:symbol val="none"/>
          </c:marker>
          <c:val>
            <c:numRef>
              <c:f>'February 25 D_R (Tramming)'!$H$10:$AI$10</c:f>
              <c:numCache>
                <c:formatCode>General</c:formatCode>
                <c:ptCount val="28"/>
                <c:pt idx="0">
                  <c:v>910</c:v>
                </c:pt>
                <c:pt idx="1">
                  <c:v>910</c:v>
                </c:pt>
                <c:pt idx="2">
                  <c:v>910</c:v>
                </c:pt>
                <c:pt idx="3">
                  <c:v>900</c:v>
                </c:pt>
                <c:pt idx="4">
                  <c:v>920</c:v>
                </c:pt>
                <c:pt idx="5">
                  <c:v>800</c:v>
                </c:pt>
                <c:pt idx="6" formatCode="#,##0">
                  <c:v>1020</c:v>
                </c:pt>
                <c:pt idx="7">
                  <c:v>910</c:v>
                </c:pt>
                <c:pt idx="8">
                  <c:v>910</c:v>
                </c:pt>
                <c:pt idx="9">
                  <c:v>910</c:v>
                </c:pt>
                <c:pt idx="10">
                  <c:v>900</c:v>
                </c:pt>
                <c:pt idx="11">
                  <c:v>920</c:v>
                </c:pt>
                <c:pt idx="12">
                  <c:v>800</c:v>
                </c:pt>
                <c:pt idx="13" formatCode="#,##0">
                  <c:v>1020</c:v>
                </c:pt>
                <c:pt idx="14">
                  <c:v>910</c:v>
                </c:pt>
                <c:pt idx="15">
                  <c:v>910</c:v>
                </c:pt>
                <c:pt idx="16">
                  <c:v>910</c:v>
                </c:pt>
                <c:pt idx="17">
                  <c:v>900</c:v>
                </c:pt>
                <c:pt idx="18">
                  <c:v>920</c:v>
                </c:pt>
                <c:pt idx="19">
                  <c:v>800</c:v>
                </c:pt>
                <c:pt idx="20" formatCode="#,##0">
                  <c:v>1020</c:v>
                </c:pt>
                <c:pt idx="21">
                  <c:v>910</c:v>
                </c:pt>
                <c:pt idx="22">
                  <c:v>910</c:v>
                </c:pt>
                <c:pt idx="23">
                  <c:v>910</c:v>
                </c:pt>
                <c:pt idx="24">
                  <c:v>900</c:v>
                </c:pt>
                <c:pt idx="25">
                  <c:v>920</c:v>
                </c:pt>
                <c:pt idx="26">
                  <c:v>800</c:v>
                </c:pt>
                <c:pt idx="27" formatCode="#,##0">
                  <c:v>1020</c:v>
                </c:pt>
              </c:numCache>
            </c:numRef>
          </c:val>
          <c:smooth val="0"/>
          <c:extLst>
            <c:ext xmlns:c16="http://schemas.microsoft.com/office/drawing/2014/chart" uri="{C3380CC4-5D6E-409C-BE32-E72D297353CC}">
              <c16:uniqueId val="{00000001-4167-4635-9BF9-CBE52CC68713}"/>
            </c:ext>
          </c:extLst>
        </c:ser>
        <c:ser>
          <c:idx val="1"/>
          <c:order val="1"/>
          <c:tx>
            <c:strRef>
              <c:f>'February 25 D_R (Tramming)'!$G$11</c:f>
              <c:strCache>
                <c:ptCount val="1"/>
                <c:pt idx="0">
                  <c:v>Daily Actual (t)</c:v>
                </c:pt>
              </c:strCache>
            </c:strRef>
          </c:tx>
          <c:spPr>
            <a:ln w="28575" cap="rnd">
              <a:solidFill>
                <a:schemeClr val="accent2"/>
              </a:solidFill>
              <a:round/>
            </a:ln>
            <a:effectLst/>
          </c:spPr>
          <c:marker>
            <c:symbol val="none"/>
          </c:marker>
          <c:val>
            <c:numRef>
              <c:f>'February 25 D_R (Tramming)'!$H$11:$AF$11</c:f>
              <c:numCache>
                <c:formatCode>General</c:formatCode>
                <c:ptCount val="25"/>
                <c:pt idx="0">
                  <c:v>496</c:v>
                </c:pt>
                <c:pt idx="1">
                  <c:v>239</c:v>
                </c:pt>
                <c:pt idx="2">
                  <c:v>766</c:v>
                </c:pt>
                <c:pt idx="3">
                  <c:v>712</c:v>
                </c:pt>
                <c:pt idx="4">
                  <c:v>651</c:v>
                </c:pt>
                <c:pt idx="5">
                  <c:v>641</c:v>
                </c:pt>
                <c:pt idx="6">
                  <c:v>713</c:v>
                </c:pt>
                <c:pt idx="7">
                  <c:v>642</c:v>
                </c:pt>
                <c:pt idx="8">
                  <c:v>823</c:v>
                </c:pt>
                <c:pt idx="9">
                  <c:v>669</c:v>
                </c:pt>
                <c:pt idx="10">
                  <c:v>659</c:v>
                </c:pt>
                <c:pt idx="11">
                  <c:v>690</c:v>
                </c:pt>
                <c:pt idx="12">
                  <c:v>578</c:v>
                </c:pt>
                <c:pt idx="13">
                  <c:v>962</c:v>
                </c:pt>
                <c:pt idx="14">
                  <c:v>988</c:v>
                </c:pt>
                <c:pt idx="15">
                  <c:v>965</c:v>
                </c:pt>
                <c:pt idx="16">
                  <c:v>807</c:v>
                </c:pt>
                <c:pt idx="17">
                  <c:v>672</c:v>
                </c:pt>
                <c:pt idx="18">
                  <c:v>875</c:v>
                </c:pt>
                <c:pt idx="19">
                  <c:v>727</c:v>
                </c:pt>
                <c:pt idx="20">
                  <c:v>828</c:v>
                </c:pt>
                <c:pt idx="21">
                  <c:v>620</c:v>
                </c:pt>
                <c:pt idx="22">
                  <c:v>846</c:v>
                </c:pt>
                <c:pt idx="23">
                  <c:v>723</c:v>
                </c:pt>
                <c:pt idx="24">
                  <c:v>794</c:v>
                </c:pt>
              </c:numCache>
            </c:numRef>
          </c:val>
          <c:smooth val="0"/>
          <c:extLst>
            <c:ext xmlns:c16="http://schemas.microsoft.com/office/drawing/2014/chart" uri="{C3380CC4-5D6E-409C-BE32-E72D297353CC}">
              <c16:uniqueId val="{00000002-4167-4635-9BF9-CBE52CC68713}"/>
            </c:ext>
          </c:extLst>
        </c:ser>
        <c:dLbls>
          <c:showLegendKey val="0"/>
          <c:showVal val="0"/>
          <c:showCatName val="0"/>
          <c:showSerName val="0"/>
          <c:showPercent val="0"/>
          <c:showBubbleSize val="0"/>
        </c:dLbls>
        <c:smooth val="0"/>
        <c:axId val="1574959968"/>
        <c:axId val="1574960448"/>
      </c:lineChart>
      <c:catAx>
        <c:axId val="1574959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February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960448"/>
        <c:crosses val="autoZero"/>
        <c:auto val="1"/>
        <c:lblAlgn val="ctr"/>
        <c:lblOffset val="100"/>
        <c:noMultiLvlLbl val="0"/>
      </c:catAx>
      <c:valAx>
        <c:axId val="1574960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Daily Tonnage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95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February Tonnage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'February 25 D_R (Tramming)'!$AP$10</c:f>
              <c:strCache>
                <c:ptCount val="1"/>
                <c:pt idx="0">
                  <c:v> Budget </c:v>
                </c:pt>
              </c:strCache>
            </c:strRef>
          </c:tx>
          <c:spPr>
            <a:ln w="28575" cap="rnd">
              <a:solidFill>
                <a:schemeClr val="accent1"/>
              </a:solidFill>
              <a:round/>
            </a:ln>
            <a:effectLst/>
          </c:spPr>
          <c:marker>
            <c:symbol val="none"/>
          </c:marker>
          <c:cat>
            <c:numRef>
              <c:f>'February 25 D_R (Tramming)'!$AQ$9:$BR$9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(Tramming)'!$AQ$10:$BR$10</c:f>
              <c:numCache>
                <c:formatCode>_-* #,##0_-;\-* #,##0_-;_-* "-"??_-;_-@_-</c:formatCode>
                <c:ptCount val="28"/>
                <c:pt idx="0">
                  <c:v>910</c:v>
                </c:pt>
                <c:pt idx="1">
                  <c:v>1820</c:v>
                </c:pt>
                <c:pt idx="2">
                  <c:v>2730</c:v>
                </c:pt>
                <c:pt idx="3">
                  <c:v>3630</c:v>
                </c:pt>
                <c:pt idx="4">
                  <c:v>4550</c:v>
                </c:pt>
                <c:pt idx="5">
                  <c:v>5350</c:v>
                </c:pt>
                <c:pt idx="6">
                  <c:v>6370</c:v>
                </c:pt>
                <c:pt idx="7">
                  <c:v>7280</c:v>
                </c:pt>
                <c:pt idx="8">
                  <c:v>8190</c:v>
                </c:pt>
                <c:pt idx="9">
                  <c:v>9100</c:v>
                </c:pt>
                <c:pt idx="10">
                  <c:v>10000</c:v>
                </c:pt>
                <c:pt idx="11">
                  <c:v>10920</c:v>
                </c:pt>
                <c:pt idx="12">
                  <c:v>11720</c:v>
                </c:pt>
                <c:pt idx="13">
                  <c:v>12740</c:v>
                </c:pt>
                <c:pt idx="14">
                  <c:v>13650</c:v>
                </c:pt>
                <c:pt idx="15">
                  <c:v>14560</c:v>
                </c:pt>
                <c:pt idx="16">
                  <c:v>15470</c:v>
                </c:pt>
                <c:pt idx="17">
                  <c:v>16370</c:v>
                </c:pt>
                <c:pt idx="18">
                  <c:v>17290</c:v>
                </c:pt>
                <c:pt idx="19">
                  <c:v>18090</c:v>
                </c:pt>
                <c:pt idx="20">
                  <c:v>19110</c:v>
                </c:pt>
                <c:pt idx="21">
                  <c:v>20020</c:v>
                </c:pt>
                <c:pt idx="22">
                  <c:v>20930</c:v>
                </c:pt>
                <c:pt idx="23">
                  <c:v>21840</c:v>
                </c:pt>
                <c:pt idx="24">
                  <c:v>22740</c:v>
                </c:pt>
                <c:pt idx="25">
                  <c:v>23660</c:v>
                </c:pt>
                <c:pt idx="26">
                  <c:v>24460</c:v>
                </c:pt>
                <c:pt idx="27">
                  <c:v>25480</c:v>
                </c:pt>
              </c:numCache>
            </c:numRef>
          </c:val>
          <c:smooth val="0"/>
          <c:extLst>
            <c:ext xmlns:c16="http://schemas.microsoft.com/office/drawing/2014/chart" uri="{C3380CC4-5D6E-409C-BE32-E72D297353CC}">
              <c16:uniqueId val="{00000000-875A-4718-A887-6AC2AD68793D}"/>
            </c:ext>
          </c:extLst>
        </c:ser>
        <c:ser>
          <c:idx val="1"/>
          <c:order val="1"/>
          <c:tx>
            <c:strRef>
              <c:f>'February 25 D_R (Tramming)'!$AP$11</c:f>
              <c:strCache>
                <c:ptCount val="1"/>
                <c:pt idx="0">
                  <c:v> Actual </c:v>
                </c:pt>
              </c:strCache>
            </c:strRef>
          </c:tx>
          <c:spPr>
            <a:ln w="28575" cap="rnd">
              <a:solidFill>
                <a:schemeClr val="accent2"/>
              </a:solidFill>
              <a:round/>
            </a:ln>
            <a:effectLst/>
          </c:spPr>
          <c:marker>
            <c:symbol val="none"/>
          </c:marker>
          <c:cat>
            <c:numRef>
              <c:f>'February 25 D_R (Tramming)'!$AQ$9:$BR$9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(Tramming)'!$AQ$11:$BR$11</c:f>
              <c:numCache>
                <c:formatCode>_-* #,##0_-;\-* #,##0_-;_-* "-"??_-;_-@_-</c:formatCode>
                <c:ptCount val="28"/>
                <c:pt idx="0">
                  <c:v>496</c:v>
                </c:pt>
                <c:pt idx="1">
                  <c:v>735</c:v>
                </c:pt>
                <c:pt idx="2">
                  <c:v>1501</c:v>
                </c:pt>
                <c:pt idx="3">
                  <c:v>2213</c:v>
                </c:pt>
                <c:pt idx="4">
                  <c:v>2864</c:v>
                </c:pt>
                <c:pt idx="5">
                  <c:v>3505</c:v>
                </c:pt>
                <c:pt idx="6">
                  <c:v>4218</c:v>
                </c:pt>
                <c:pt idx="7">
                  <c:v>4860</c:v>
                </c:pt>
                <c:pt idx="8">
                  <c:v>5683</c:v>
                </c:pt>
                <c:pt idx="9">
                  <c:v>6352</c:v>
                </c:pt>
                <c:pt idx="10">
                  <c:v>7011</c:v>
                </c:pt>
                <c:pt idx="11">
                  <c:v>7701</c:v>
                </c:pt>
                <c:pt idx="12">
                  <c:v>8279</c:v>
                </c:pt>
                <c:pt idx="13">
                  <c:v>9241</c:v>
                </c:pt>
                <c:pt idx="14">
                  <c:v>10229</c:v>
                </c:pt>
                <c:pt idx="15">
                  <c:v>11194</c:v>
                </c:pt>
                <c:pt idx="16">
                  <c:v>12001</c:v>
                </c:pt>
                <c:pt idx="17">
                  <c:v>12673</c:v>
                </c:pt>
                <c:pt idx="18">
                  <c:v>13548</c:v>
                </c:pt>
                <c:pt idx="19">
                  <c:v>14275</c:v>
                </c:pt>
                <c:pt idx="20">
                  <c:v>15103</c:v>
                </c:pt>
                <c:pt idx="21">
                  <c:v>15723</c:v>
                </c:pt>
                <c:pt idx="22">
                  <c:v>16569</c:v>
                </c:pt>
                <c:pt idx="23">
                  <c:v>17292</c:v>
                </c:pt>
                <c:pt idx="24">
                  <c:v>18086</c:v>
                </c:pt>
              </c:numCache>
            </c:numRef>
          </c:val>
          <c:smooth val="0"/>
          <c:extLst>
            <c:ext xmlns:c16="http://schemas.microsoft.com/office/drawing/2014/chart" uri="{C3380CC4-5D6E-409C-BE32-E72D297353CC}">
              <c16:uniqueId val="{00000001-875A-4718-A887-6AC2AD68793D}"/>
            </c:ext>
          </c:extLst>
        </c:ser>
        <c:ser>
          <c:idx val="2"/>
          <c:order val="2"/>
          <c:tx>
            <c:strRef>
              <c:f>'February 25 D_R (Tramming)'!$AP$12</c:f>
              <c:strCache>
                <c:ptCount val="1"/>
                <c:pt idx="0">
                  <c:v> Projected </c:v>
                </c:pt>
              </c:strCache>
            </c:strRef>
          </c:tx>
          <c:spPr>
            <a:ln w="28575" cap="rnd">
              <a:solidFill>
                <a:schemeClr val="accent3"/>
              </a:solidFill>
              <a:round/>
            </a:ln>
            <a:effectLst/>
          </c:spPr>
          <c:marker>
            <c:symbol val="none"/>
          </c:marker>
          <c:cat>
            <c:numRef>
              <c:f>'February 25 D_R (Tramming)'!$AQ$9:$BR$9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(Tramming)'!$AQ$12:$BR$12</c:f>
              <c:numCache>
                <c:formatCode>_(* #,##0.00_);_(* \(#,##0.00\);_(* "-"??_);_(@_)</c:formatCode>
                <c:ptCount val="28"/>
                <c:pt idx="24" formatCode="_-* #,##0_-;\-* #,##0_-;_-* &quot;-&quot;??_-;_-@_-">
                  <c:v>18081.649999999998</c:v>
                </c:pt>
                <c:pt idx="25" formatCode="_-* #,##0_-;\-* #,##0_-;_-* &quot;-&quot;??_-;_-@_-">
                  <c:v>19006</c:v>
                </c:pt>
                <c:pt idx="26" formatCode="_-* #,##0_-;\-* #,##0_-;_-* &quot;-&quot;??_-;_-@_-">
                  <c:v>19806</c:v>
                </c:pt>
                <c:pt idx="27" formatCode="_-* #,##0_-;\-* #,##0_-;_-* &quot;-&quot;??_-;_-@_-">
                  <c:v>20826</c:v>
                </c:pt>
              </c:numCache>
            </c:numRef>
          </c:val>
          <c:smooth val="0"/>
          <c:extLst>
            <c:ext xmlns:c16="http://schemas.microsoft.com/office/drawing/2014/chart" uri="{C3380CC4-5D6E-409C-BE32-E72D297353CC}">
              <c16:uniqueId val="{00000002-875A-4718-A887-6AC2AD68793D}"/>
            </c:ext>
          </c:extLst>
        </c:ser>
        <c:dLbls>
          <c:showLegendKey val="0"/>
          <c:showVal val="0"/>
          <c:showCatName val="0"/>
          <c:showSerName val="0"/>
          <c:showPercent val="0"/>
          <c:showBubbleSize val="0"/>
        </c:dLbls>
        <c:smooth val="0"/>
        <c:axId val="1859119440"/>
        <c:axId val="49813968"/>
      </c:lineChart>
      <c:dateAx>
        <c:axId val="185911944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13968"/>
        <c:crosses val="autoZero"/>
        <c:auto val="1"/>
        <c:lblOffset val="100"/>
        <c:baseTimeUnit val="days"/>
      </c:dateAx>
      <c:valAx>
        <c:axId val="4981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Tonnes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119440"/>
        <c:crosses val="autoZero"/>
        <c:crossBetween val="between"/>
      </c:valAx>
      <c:spPr>
        <a:noFill/>
        <a:ln>
          <a:noFill/>
        </a:ln>
        <a:effectLst/>
      </c:spPr>
    </c:plotArea>
    <c:legend>
      <c:legendPos val="b"/>
      <c:layout>
        <c:manualLayout>
          <c:xMode val="edge"/>
          <c:yMode val="edge"/>
          <c:x val="0.17323805720826405"/>
          <c:y val="0.15597981372731395"/>
          <c:w val="0.41453004926954073"/>
          <c:h val="5.888551266477869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multiLvlStrRef>
              <c:f>'February 25 D_R (Stoping) (2)'!$AU$9:$BV$9</c:f>
            </c:multiLvlStrRef>
          </c:cat>
          <c:val>
            <c:numRef>
              <c:f>'February 25 D_R (Stoping) (2)'!$AU$18:$BV$18</c:f>
            </c:numRef>
          </c:val>
          <c:smooth val="0"/>
          <c:extLst>
            <c:ext xmlns:c16="http://schemas.microsoft.com/office/drawing/2014/chart" uri="{C3380CC4-5D6E-409C-BE32-E72D297353CC}">
              <c16:uniqueId val="{00000000-AB05-4371-B552-803E10584E00}"/>
            </c:ext>
          </c:extLst>
        </c:ser>
        <c:ser>
          <c:idx val="1"/>
          <c:order val="1"/>
          <c:spPr>
            <a:ln w="28575" cap="rnd">
              <a:solidFill>
                <a:schemeClr val="accent2"/>
              </a:solidFill>
              <a:round/>
            </a:ln>
            <a:effectLst/>
          </c:spPr>
          <c:marker>
            <c:symbol val="none"/>
          </c:marker>
          <c:cat>
            <c:multiLvlStrRef>
              <c:f>'February 25 D_R (Stoping) (2)'!$AU$9:$BV$9</c:f>
            </c:multiLvlStrRef>
          </c:cat>
          <c:val>
            <c:numRef>
              <c:f>'February 25 D_R (Stoping) (2)'!$AU$19:$BV$19</c:f>
            </c:numRef>
          </c:val>
          <c:smooth val="0"/>
          <c:extLst>
            <c:ext xmlns:c16="http://schemas.microsoft.com/office/drawing/2014/chart" uri="{C3380CC4-5D6E-409C-BE32-E72D297353CC}">
              <c16:uniqueId val="{00000001-AB05-4371-B552-803E10584E00}"/>
            </c:ext>
          </c:extLst>
        </c:ser>
        <c:ser>
          <c:idx val="2"/>
          <c:order val="2"/>
          <c:spPr>
            <a:ln w="28575" cap="rnd">
              <a:solidFill>
                <a:schemeClr val="accent3"/>
              </a:solidFill>
              <a:round/>
            </a:ln>
            <a:effectLst/>
          </c:spPr>
          <c:marker>
            <c:symbol val="none"/>
          </c:marker>
          <c:cat>
            <c:multiLvlStrRef>
              <c:f>'February 25 D_R (Stoping) (2)'!$AU$9:$BV$9</c:f>
            </c:multiLvlStrRef>
          </c:cat>
          <c:val>
            <c:numRef>
              <c:f>'February 25 D_R (Stoping) (2)'!$AU$20:$BV$20</c:f>
            </c:numRef>
          </c:val>
          <c:smooth val="0"/>
          <c:extLst>
            <c:ext xmlns:c16="http://schemas.microsoft.com/office/drawing/2014/chart" uri="{C3380CC4-5D6E-409C-BE32-E72D297353CC}">
              <c16:uniqueId val="{00000002-AB05-4371-B552-803E10584E00}"/>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multiLvlStrRef>
              <c:f>'February 25 D_R (Stoping) (2)'!$AU$17:$BV$17</c:f>
            </c:multiLvlStrRef>
          </c:cat>
          <c:val>
            <c:numRef>
              <c:f>'February 25 D_R (Stoping) (2)'!$AU$25:$BV$25</c:f>
            </c:numRef>
          </c:val>
          <c:smooth val="0"/>
          <c:extLst>
            <c:ext xmlns:c16="http://schemas.microsoft.com/office/drawing/2014/chart" uri="{C3380CC4-5D6E-409C-BE32-E72D297353CC}">
              <c16:uniqueId val="{00000000-C895-41A5-9831-2E03980488BC}"/>
            </c:ext>
          </c:extLst>
        </c:ser>
        <c:ser>
          <c:idx val="1"/>
          <c:order val="1"/>
          <c:spPr>
            <a:ln w="28575" cap="rnd">
              <a:solidFill>
                <a:schemeClr val="accent2"/>
              </a:solidFill>
              <a:round/>
            </a:ln>
            <a:effectLst/>
          </c:spPr>
          <c:marker>
            <c:symbol val="none"/>
          </c:marker>
          <c:cat>
            <c:multiLvlStrRef>
              <c:f>'February 25 D_R (Stoping) (2)'!$AU$17:$BV$17</c:f>
            </c:multiLvlStrRef>
          </c:cat>
          <c:val>
            <c:numRef>
              <c:f>'February 25 D_R (Stoping) (2)'!$AU$26:$BV$26</c:f>
            </c:numRef>
          </c:val>
          <c:smooth val="0"/>
          <c:extLst>
            <c:ext xmlns:c16="http://schemas.microsoft.com/office/drawing/2014/chart" uri="{C3380CC4-5D6E-409C-BE32-E72D297353CC}">
              <c16:uniqueId val="{00000001-C895-41A5-9831-2E03980488BC}"/>
            </c:ext>
          </c:extLst>
        </c:ser>
        <c:ser>
          <c:idx val="2"/>
          <c:order val="2"/>
          <c:spPr>
            <a:ln w="28575" cap="rnd">
              <a:solidFill>
                <a:schemeClr val="accent3"/>
              </a:solidFill>
              <a:round/>
            </a:ln>
            <a:effectLst/>
          </c:spPr>
          <c:marker>
            <c:symbol val="none"/>
          </c:marker>
          <c:cat>
            <c:multiLvlStrRef>
              <c:f>'February 25 D_R (Stoping) (2)'!$AU$17:$BV$17</c:f>
            </c:multiLvlStrRef>
          </c:cat>
          <c:val>
            <c:numRef>
              <c:f>'February 25 D_R (Stoping) (2)'!$AU$27:$BV$27</c:f>
            </c:numRef>
          </c:val>
          <c:smooth val="0"/>
          <c:extLst>
            <c:ext xmlns:c16="http://schemas.microsoft.com/office/drawing/2014/chart" uri="{C3380CC4-5D6E-409C-BE32-E72D297353CC}">
              <c16:uniqueId val="{00000002-C895-41A5-9831-2E03980488BC}"/>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multiLvlStrRef>
              <c:f>'February 25 D_R (Stoping) (2)'!$AU$9:$BV$9</c:f>
            </c:multiLvlStrRef>
          </c:cat>
          <c:val>
            <c:numRef>
              <c:f>'February 25 D_R (Stoping) (2)'!$AU$32:$BV$32</c:f>
            </c:numRef>
          </c:val>
          <c:smooth val="0"/>
          <c:extLst>
            <c:ext xmlns:c16="http://schemas.microsoft.com/office/drawing/2014/chart" uri="{C3380CC4-5D6E-409C-BE32-E72D297353CC}">
              <c16:uniqueId val="{00000000-0B7C-4804-AFEB-AB2578A3F9A6}"/>
            </c:ext>
          </c:extLst>
        </c:ser>
        <c:ser>
          <c:idx val="1"/>
          <c:order val="1"/>
          <c:spPr>
            <a:ln w="28575" cap="rnd">
              <a:solidFill>
                <a:schemeClr val="accent2"/>
              </a:solidFill>
              <a:round/>
            </a:ln>
            <a:effectLst/>
          </c:spPr>
          <c:marker>
            <c:symbol val="none"/>
          </c:marker>
          <c:cat>
            <c:multiLvlStrRef>
              <c:f>'February 25 D_R (Stoping) (2)'!$AU$9:$BV$9</c:f>
            </c:multiLvlStrRef>
          </c:cat>
          <c:val>
            <c:numRef>
              <c:f>'February 25 D_R (Stoping) (2)'!$AU$33:$BV$33</c:f>
            </c:numRef>
          </c:val>
          <c:smooth val="0"/>
          <c:extLst>
            <c:ext xmlns:c16="http://schemas.microsoft.com/office/drawing/2014/chart" uri="{C3380CC4-5D6E-409C-BE32-E72D297353CC}">
              <c16:uniqueId val="{00000001-0B7C-4804-AFEB-AB2578A3F9A6}"/>
            </c:ext>
          </c:extLst>
        </c:ser>
        <c:ser>
          <c:idx val="2"/>
          <c:order val="2"/>
          <c:spPr>
            <a:ln w="28575" cap="rnd">
              <a:solidFill>
                <a:schemeClr val="accent3"/>
              </a:solidFill>
              <a:round/>
            </a:ln>
            <a:effectLst/>
          </c:spPr>
          <c:marker>
            <c:symbol val="none"/>
          </c:marker>
          <c:cat>
            <c:multiLvlStrRef>
              <c:f>'February 25 D_R (Stoping) (2)'!$AU$9:$BV$9</c:f>
            </c:multiLvlStrRef>
          </c:cat>
          <c:val>
            <c:numRef>
              <c:f>'February 25 D_R (Stoping) (2)'!$AU$34:$BV$34</c:f>
            </c:numRef>
          </c:val>
          <c:smooth val="0"/>
          <c:extLst>
            <c:ext xmlns:c16="http://schemas.microsoft.com/office/drawing/2014/chart" uri="{C3380CC4-5D6E-409C-BE32-E72D297353CC}">
              <c16:uniqueId val="{00000002-0B7C-4804-AFEB-AB2578A3F9A6}"/>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multiLvlStrRef>
              <c:f>'February 25 D_R (Stoping) (2)'!$AU$9:$BV$9</c:f>
            </c:multiLvlStrRef>
          </c:cat>
          <c:val>
            <c:numRef>
              <c:f>'February 25 D_R (Stoping) (2)'!$AU$39:$BV$39</c:f>
            </c:numRef>
          </c:val>
          <c:smooth val="0"/>
          <c:extLst>
            <c:ext xmlns:c16="http://schemas.microsoft.com/office/drawing/2014/chart" uri="{C3380CC4-5D6E-409C-BE32-E72D297353CC}">
              <c16:uniqueId val="{00000000-D163-4A30-9027-22D2AB2CDA1F}"/>
            </c:ext>
          </c:extLst>
        </c:ser>
        <c:ser>
          <c:idx val="1"/>
          <c:order val="1"/>
          <c:spPr>
            <a:ln w="28575" cap="rnd">
              <a:solidFill>
                <a:schemeClr val="accent2"/>
              </a:solidFill>
              <a:round/>
            </a:ln>
            <a:effectLst/>
          </c:spPr>
          <c:marker>
            <c:symbol val="none"/>
          </c:marker>
          <c:cat>
            <c:multiLvlStrRef>
              <c:f>'February 25 D_R (Stoping) (2)'!$AU$9:$BV$9</c:f>
            </c:multiLvlStrRef>
          </c:cat>
          <c:val>
            <c:numRef>
              <c:f>'February 25 D_R (Stoping) (2)'!$AU$40:$BV$40</c:f>
            </c:numRef>
          </c:val>
          <c:smooth val="0"/>
          <c:extLst>
            <c:ext xmlns:c16="http://schemas.microsoft.com/office/drawing/2014/chart" uri="{C3380CC4-5D6E-409C-BE32-E72D297353CC}">
              <c16:uniqueId val="{00000001-D163-4A30-9027-22D2AB2CDA1F}"/>
            </c:ext>
          </c:extLst>
        </c:ser>
        <c:ser>
          <c:idx val="2"/>
          <c:order val="2"/>
          <c:spPr>
            <a:ln w="28575" cap="rnd">
              <a:solidFill>
                <a:schemeClr val="accent3"/>
              </a:solidFill>
              <a:round/>
            </a:ln>
            <a:effectLst/>
          </c:spPr>
          <c:marker>
            <c:symbol val="none"/>
          </c:marker>
          <c:cat>
            <c:multiLvlStrRef>
              <c:f>'February 25 D_R (Stoping) (2)'!$AU$9:$BV$9</c:f>
            </c:multiLvlStrRef>
          </c:cat>
          <c:val>
            <c:numRef>
              <c:f>'February 25 D_R (Stoping) (2)'!$AU$41:$BV$41</c:f>
            </c:numRef>
          </c:val>
          <c:smooth val="0"/>
          <c:extLst>
            <c:ext xmlns:c16="http://schemas.microsoft.com/office/drawing/2014/chart" uri="{C3380CC4-5D6E-409C-BE32-E72D297353CC}">
              <c16:uniqueId val="{00000002-D163-4A30-9027-22D2AB2CDA1F}"/>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multiLvlStrRef>
              <c:f>'February 25 D_R (Stoping) (2)'!$AU$9:$BV$9</c:f>
            </c:multiLvlStrRef>
          </c:cat>
          <c:val>
            <c:numRef>
              <c:f>'February 25 D_R (Stoping) (2)'!$AU$46:$BV$46</c:f>
            </c:numRef>
          </c:val>
          <c:smooth val="0"/>
          <c:extLst>
            <c:ext xmlns:c16="http://schemas.microsoft.com/office/drawing/2014/chart" uri="{C3380CC4-5D6E-409C-BE32-E72D297353CC}">
              <c16:uniqueId val="{00000000-05DC-4C29-B2BA-11B6A6D44116}"/>
            </c:ext>
          </c:extLst>
        </c:ser>
        <c:ser>
          <c:idx val="1"/>
          <c:order val="1"/>
          <c:spPr>
            <a:ln w="28575" cap="rnd">
              <a:solidFill>
                <a:schemeClr val="accent2"/>
              </a:solidFill>
              <a:round/>
            </a:ln>
            <a:effectLst/>
          </c:spPr>
          <c:marker>
            <c:symbol val="none"/>
          </c:marker>
          <c:cat>
            <c:multiLvlStrRef>
              <c:f>'February 25 D_R (Stoping) (2)'!$AU$9:$BV$9</c:f>
            </c:multiLvlStrRef>
          </c:cat>
          <c:val>
            <c:numRef>
              <c:f>'February 25 D_R (Stoping) (2)'!$AU$47:$BV$47</c:f>
            </c:numRef>
          </c:val>
          <c:smooth val="0"/>
          <c:extLst>
            <c:ext xmlns:c16="http://schemas.microsoft.com/office/drawing/2014/chart" uri="{C3380CC4-5D6E-409C-BE32-E72D297353CC}">
              <c16:uniqueId val="{00000001-05DC-4C29-B2BA-11B6A6D44116}"/>
            </c:ext>
          </c:extLst>
        </c:ser>
        <c:ser>
          <c:idx val="2"/>
          <c:order val="2"/>
          <c:spPr>
            <a:ln w="28575" cap="rnd">
              <a:solidFill>
                <a:schemeClr val="accent3"/>
              </a:solidFill>
              <a:round/>
            </a:ln>
            <a:effectLst/>
          </c:spPr>
          <c:marker>
            <c:symbol val="none"/>
          </c:marker>
          <c:cat>
            <c:multiLvlStrRef>
              <c:f>'February 25 D_R (Stoping) (2)'!$AU$9:$BV$9</c:f>
            </c:multiLvlStrRef>
          </c:cat>
          <c:val>
            <c:numRef>
              <c:f>'February 25 D_R (Stoping) (2)'!$AU$48:$BV$48</c:f>
            </c:numRef>
          </c:val>
          <c:smooth val="0"/>
          <c:extLst>
            <c:ext xmlns:c16="http://schemas.microsoft.com/office/drawing/2014/chart" uri="{C3380CC4-5D6E-409C-BE32-E72D297353CC}">
              <c16:uniqueId val="{00000002-05DC-4C29-B2BA-11B6A6D44116}"/>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multiLvlStrRef>
              <c:f>'February 25 D_R (Stoping) (2)'!$AU$9:$BV$9</c:f>
            </c:multiLvlStrRef>
          </c:cat>
          <c:val>
            <c:numRef>
              <c:f>'February 25 D_R (Stoping) (2)'!$AU$53:$BV$53</c:f>
            </c:numRef>
          </c:val>
          <c:smooth val="0"/>
          <c:extLst>
            <c:ext xmlns:c16="http://schemas.microsoft.com/office/drawing/2014/chart" uri="{C3380CC4-5D6E-409C-BE32-E72D297353CC}">
              <c16:uniqueId val="{00000000-0653-4AF7-9B17-903BF7AFB42C}"/>
            </c:ext>
          </c:extLst>
        </c:ser>
        <c:ser>
          <c:idx val="1"/>
          <c:order val="1"/>
          <c:spPr>
            <a:ln w="28575" cap="rnd">
              <a:solidFill>
                <a:schemeClr val="accent2"/>
              </a:solidFill>
              <a:round/>
            </a:ln>
            <a:effectLst/>
          </c:spPr>
          <c:marker>
            <c:symbol val="none"/>
          </c:marker>
          <c:cat>
            <c:multiLvlStrRef>
              <c:f>'February 25 D_R (Stoping) (2)'!$AU$9:$BV$9</c:f>
            </c:multiLvlStrRef>
          </c:cat>
          <c:val>
            <c:numRef>
              <c:f>'February 25 D_R (Stoping) (2)'!$AU$54:$BV$54</c:f>
            </c:numRef>
          </c:val>
          <c:smooth val="0"/>
          <c:extLst>
            <c:ext xmlns:c16="http://schemas.microsoft.com/office/drawing/2014/chart" uri="{C3380CC4-5D6E-409C-BE32-E72D297353CC}">
              <c16:uniqueId val="{00000001-0653-4AF7-9B17-903BF7AFB42C}"/>
            </c:ext>
          </c:extLst>
        </c:ser>
        <c:ser>
          <c:idx val="2"/>
          <c:order val="2"/>
          <c:spPr>
            <a:ln w="28575" cap="rnd">
              <a:solidFill>
                <a:schemeClr val="accent3"/>
              </a:solidFill>
              <a:round/>
            </a:ln>
            <a:effectLst/>
          </c:spPr>
          <c:marker>
            <c:symbol val="none"/>
          </c:marker>
          <c:cat>
            <c:multiLvlStrRef>
              <c:f>'February 25 D_R (Stoping) (2)'!$AU$9:$BV$9</c:f>
            </c:multiLvlStrRef>
          </c:cat>
          <c:val>
            <c:numRef>
              <c:f>'February 25 D_R (Stoping) (2)'!$AU$55:$BV$55</c:f>
            </c:numRef>
          </c:val>
          <c:smooth val="0"/>
          <c:extLst>
            <c:ext xmlns:c16="http://schemas.microsoft.com/office/drawing/2014/chart" uri="{C3380CC4-5D6E-409C-BE32-E72D297353CC}">
              <c16:uniqueId val="{00000002-0653-4AF7-9B17-903BF7AFB42C}"/>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multiLvlStrRef>
              <c:f>'February 25 D_R (Stoping) (2)'!$AU$9:$BV$9</c:f>
            </c:multiLvlStrRef>
          </c:cat>
          <c:val>
            <c:numRef>
              <c:f>'February 25 D_R (Stoping) (2)'!$AU$60:$BV$60</c:f>
            </c:numRef>
          </c:val>
          <c:smooth val="0"/>
          <c:extLst>
            <c:ext xmlns:c16="http://schemas.microsoft.com/office/drawing/2014/chart" uri="{C3380CC4-5D6E-409C-BE32-E72D297353CC}">
              <c16:uniqueId val="{00000000-7843-417D-BF66-8AECE4B48E47}"/>
            </c:ext>
          </c:extLst>
        </c:ser>
        <c:ser>
          <c:idx val="1"/>
          <c:order val="1"/>
          <c:spPr>
            <a:ln w="28575" cap="rnd">
              <a:solidFill>
                <a:schemeClr val="accent2"/>
              </a:solidFill>
              <a:round/>
            </a:ln>
            <a:effectLst/>
          </c:spPr>
          <c:marker>
            <c:symbol val="none"/>
          </c:marker>
          <c:cat>
            <c:multiLvlStrRef>
              <c:f>'February 25 D_R (Stoping) (2)'!$AU$9:$BV$9</c:f>
            </c:multiLvlStrRef>
          </c:cat>
          <c:val>
            <c:numRef>
              <c:f>'February 25 D_R (Stoping) (2)'!$AU$61:$BV$61</c:f>
            </c:numRef>
          </c:val>
          <c:smooth val="0"/>
          <c:extLst>
            <c:ext xmlns:c16="http://schemas.microsoft.com/office/drawing/2014/chart" uri="{C3380CC4-5D6E-409C-BE32-E72D297353CC}">
              <c16:uniqueId val="{00000001-7843-417D-BF66-8AECE4B48E47}"/>
            </c:ext>
          </c:extLst>
        </c:ser>
        <c:ser>
          <c:idx val="2"/>
          <c:order val="2"/>
          <c:spPr>
            <a:ln w="28575" cap="rnd">
              <a:solidFill>
                <a:schemeClr val="accent3"/>
              </a:solidFill>
              <a:round/>
            </a:ln>
            <a:effectLst/>
          </c:spPr>
          <c:marker>
            <c:symbol val="none"/>
          </c:marker>
          <c:cat>
            <c:multiLvlStrRef>
              <c:f>'February 25 D_R (Stoping) (2)'!$AU$9:$BV$9</c:f>
            </c:multiLvlStrRef>
          </c:cat>
          <c:val>
            <c:numRef>
              <c:f>'February 25 D_R (Stoping) (2)'!$AU$62:$BV$62</c:f>
            </c:numRef>
          </c:val>
          <c:smooth val="0"/>
          <c:extLst>
            <c:ext xmlns:c16="http://schemas.microsoft.com/office/drawing/2014/chart" uri="{C3380CC4-5D6E-409C-BE32-E72D297353CC}">
              <c16:uniqueId val="{00000002-7843-417D-BF66-8AECE4B48E47}"/>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multiLvlStrRef>
              <c:f>'February 25 D_R (Stoping) (2)'!$AU$9:$BV$9</c:f>
            </c:multiLvlStrRef>
          </c:cat>
          <c:val>
            <c:numRef>
              <c:f>'February 25 D_R (Stoping) (2)'!$AU$67:$BV$67</c:f>
            </c:numRef>
          </c:val>
          <c:smooth val="0"/>
          <c:extLst>
            <c:ext xmlns:c16="http://schemas.microsoft.com/office/drawing/2014/chart" uri="{C3380CC4-5D6E-409C-BE32-E72D297353CC}">
              <c16:uniqueId val="{00000000-DB4D-4170-BEC5-CFDFF8E3B422}"/>
            </c:ext>
          </c:extLst>
        </c:ser>
        <c:ser>
          <c:idx val="1"/>
          <c:order val="1"/>
          <c:spPr>
            <a:ln w="28575" cap="rnd">
              <a:solidFill>
                <a:schemeClr val="accent2"/>
              </a:solidFill>
              <a:round/>
            </a:ln>
            <a:effectLst/>
          </c:spPr>
          <c:marker>
            <c:symbol val="none"/>
          </c:marker>
          <c:cat>
            <c:multiLvlStrRef>
              <c:f>'February 25 D_R (Stoping) (2)'!$AU$9:$BV$9</c:f>
            </c:multiLvlStrRef>
          </c:cat>
          <c:val>
            <c:numRef>
              <c:f>'February 25 D_R (Stoping) (2)'!$AU$68:$BV$68</c:f>
            </c:numRef>
          </c:val>
          <c:smooth val="0"/>
          <c:extLst>
            <c:ext xmlns:c16="http://schemas.microsoft.com/office/drawing/2014/chart" uri="{C3380CC4-5D6E-409C-BE32-E72D297353CC}">
              <c16:uniqueId val="{00000001-DB4D-4170-BEC5-CFDFF8E3B422}"/>
            </c:ext>
          </c:extLst>
        </c:ser>
        <c:ser>
          <c:idx val="2"/>
          <c:order val="2"/>
          <c:spPr>
            <a:ln w="28575" cap="rnd">
              <a:solidFill>
                <a:schemeClr val="accent3"/>
              </a:solidFill>
              <a:round/>
            </a:ln>
            <a:effectLst/>
          </c:spPr>
          <c:marker>
            <c:symbol val="none"/>
          </c:marker>
          <c:cat>
            <c:multiLvlStrRef>
              <c:f>'February 25 D_R (Stoping) (2)'!$AU$9:$BV$9</c:f>
            </c:multiLvlStrRef>
          </c:cat>
          <c:val>
            <c:numRef>
              <c:f>'February 25 D_R (Stoping) (2)'!$AU$69:$BV$69</c:f>
            </c:numRef>
          </c:val>
          <c:smooth val="0"/>
          <c:extLst>
            <c:ext xmlns:c16="http://schemas.microsoft.com/office/drawing/2014/chart" uri="{C3380CC4-5D6E-409C-BE32-E72D297353CC}">
              <c16:uniqueId val="{00000002-DB4D-4170-BEC5-CFDFF8E3B422}"/>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multiLvlStrRef>
              <c:f>'February 25 D_R (Stoping) (2)'!$AU$9:$BV$9</c:f>
            </c:multiLvlStrRef>
          </c:cat>
          <c:val>
            <c:numRef>
              <c:f>'February 25 D_R (Stoping) (2)'!$AU$74:$BV$74</c:f>
            </c:numRef>
          </c:val>
          <c:smooth val="0"/>
          <c:extLst>
            <c:ext xmlns:c16="http://schemas.microsoft.com/office/drawing/2014/chart" uri="{C3380CC4-5D6E-409C-BE32-E72D297353CC}">
              <c16:uniqueId val="{00000000-7449-4303-AF22-3F7EB9C6414E}"/>
            </c:ext>
          </c:extLst>
        </c:ser>
        <c:ser>
          <c:idx val="1"/>
          <c:order val="1"/>
          <c:spPr>
            <a:ln w="28575" cap="rnd">
              <a:solidFill>
                <a:schemeClr val="accent2"/>
              </a:solidFill>
              <a:round/>
            </a:ln>
            <a:effectLst/>
          </c:spPr>
          <c:marker>
            <c:symbol val="none"/>
          </c:marker>
          <c:cat>
            <c:multiLvlStrRef>
              <c:f>'February 25 D_R (Stoping) (2)'!$AU$9:$BV$9</c:f>
            </c:multiLvlStrRef>
          </c:cat>
          <c:val>
            <c:numRef>
              <c:f>'February 25 D_R (Stoping) (2)'!$AU$75:$BV$75</c:f>
            </c:numRef>
          </c:val>
          <c:smooth val="0"/>
          <c:extLst>
            <c:ext xmlns:c16="http://schemas.microsoft.com/office/drawing/2014/chart" uri="{C3380CC4-5D6E-409C-BE32-E72D297353CC}">
              <c16:uniqueId val="{00000001-7449-4303-AF22-3F7EB9C6414E}"/>
            </c:ext>
          </c:extLst>
        </c:ser>
        <c:ser>
          <c:idx val="2"/>
          <c:order val="2"/>
          <c:spPr>
            <a:ln w="28575" cap="rnd">
              <a:solidFill>
                <a:schemeClr val="accent3"/>
              </a:solidFill>
              <a:round/>
            </a:ln>
            <a:effectLst/>
          </c:spPr>
          <c:marker>
            <c:symbol val="none"/>
          </c:marker>
          <c:cat>
            <c:multiLvlStrRef>
              <c:f>'February 25 D_R (Stoping) (2)'!$AU$9:$BV$9</c:f>
            </c:multiLvlStrRef>
          </c:cat>
          <c:val>
            <c:numRef>
              <c:f>'February 25 D_R (Stoping) (2)'!$AU$76:$BV$76</c:f>
            </c:numRef>
          </c:val>
          <c:smooth val="0"/>
          <c:extLst>
            <c:ext xmlns:c16="http://schemas.microsoft.com/office/drawing/2014/chart" uri="{C3380CC4-5D6E-409C-BE32-E72D297353CC}">
              <c16:uniqueId val="{00000002-7449-4303-AF22-3F7EB9C6414E}"/>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multiLvlStrRef>
              <c:f>'February 25 D_R (Stoping) (2)'!$AU$9:$BV$9</c:f>
            </c:multiLvlStrRef>
          </c:cat>
          <c:val>
            <c:numRef>
              <c:f>'February 25 D_R (Stoping) (2)'!$AU$81:$BV$81</c:f>
            </c:numRef>
          </c:val>
          <c:smooth val="0"/>
          <c:extLst>
            <c:ext xmlns:c16="http://schemas.microsoft.com/office/drawing/2014/chart" uri="{C3380CC4-5D6E-409C-BE32-E72D297353CC}">
              <c16:uniqueId val="{00000000-C147-438E-A60F-AC8A228A4E22}"/>
            </c:ext>
          </c:extLst>
        </c:ser>
        <c:ser>
          <c:idx val="1"/>
          <c:order val="1"/>
          <c:spPr>
            <a:ln w="28575" cap="rnd">
              <a:solidFill>
                <a:schemeClr val="accent2"/>
              </a:solidFill>
              <a:round/>
            </a:ln>
            <a:effectLst/>
          </c:spPr>
          <c:marker>
            <c:symbol val="none"/>
          </c:marker>
          <c:cat>
            <c:multiLvlStrRef>
              <c:f>'February 25 D_R (Stoping) (2)'!$AU$9:$BV$9</c:f>
            </c:multiLvlStrRef>
          </c:cat>
          <c:val>
            <c:numRef>
              <c:f>'February 25 D_R (Stoping) (2)'!$AU$82:$BV$82</c:f>
            </c:numRef>
          </c:val>
          <c:smooth val="0"/>
          <c:extLst>
            <c:ext xmlns:c16="http://schemas.microsoft.com/office/drawing/2014/chart" uri="{C3380CC4-5D6E-409C-BE32-E72D297353CC}">
              <c16:uniqueId val="{00000001-C147-438E-A60F-AC8A228A4E22}"/>
            </c:ext>
          </c:extLst>
        </c:ser>
        <c:ser>
          <c:idx val="2"/>
          <c:order val="2"/>
          <c:spPr>
            <a:ln w="28575" cap="rnd">
              <a:solidFill>
                <a:schemeClr val="accent3"/>
              </a:solidFill>
              <a:round/>
            </a:ln>
            <a:effectLst/>
          </c:spPr>
          <c:marker>
            <c:symbol val="none"/>
          </c:marker>
          <c:cat>
            <c:multiLvlStrRef>
              <c:f>'February 25 D_R (Stoping) (2)'!$AU$9:$BV$9</c:f>
            </c:multiLvlStrRef>
          </c:cat>
          <c:val>
            <c:numRef>
              <c:f>'February 25 D_R (Stoping) (2)'!$AU$83:$BV$83</c:f>
            </c:numRef>
          </c:val>
          <c:smooth val="0"/>
          <c:extLst>
            <c:ext xmlns:c16="http://schemas.microsoft.com/office/drawing/2014/chart" uri="{C3380CC4-5D6E-409C-BE32-E72D297353CC}">
              <c16:uniqueId val="{00000002-C147-438E-A60F-AC8A228A4E22}"/>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multiLvlStrRef>
              <c:f>'February 25 D_R (Stoping) (2)'!$AU$9:$BV$9</c:f>
            </c:multiLvlStrRef>
          </c:cat>
          <c:val>
            <c:numRef>
              <c:f>'February 25 D_R (Stoping) (2)'!$AU$88:$BV$88</c:f>
            </c:numRef>
          </c:val>
          <c:smooth val="0"/>
          <c:extLst>
            <c:ext xmlns:c16="http://schemas.microsoft.com/office/drawing/2014/chart" uri="{C3380CC4-5D6E-409C-BE32-E72D297353CC}">
              <c16:uniqueId val="{00000000-D793-4415-8E5B-5CEDA111F197}"/>
            </c:ext>
          </c:extLst>
        </c:ser>
        <c:ser>
          <c:idx val="1"/>
          <c:order val="1"/>
          <c:spPr>
            <a:ln w="28575" cap="rnd">
              <a:solidFill>
                <a:schemeClr val="accent2"/>
              </a:solidFill>
              <a:round/>
            </a:ln>
            <a:effectLst/>
          </c:spPr>
          <c:marker>
            <c:symbol val="none"/>
          </c:marker>
          <c:cat>
            <c:multiLvlStrRef>
              <c:f>'February 25 D_R (Stoping) (2)'!$AU$9:$BV$9</c:f>
            </c:multiLvlStrRef>
          </c:cat>
          <c:val>
            <c:numRef>
              <c:f>'February 25 D_R (Stoping) (2)'!$AU$89:$BV$89</c:f>
            </c:numRef>
          </c:val>
          <c:smooth val="0"/>
          <c:extLst>
            <c:ext xmlns:c16="http://schemas.microsoft.com/office/drawing/2014/chart" uri="{C3380CC4-5D6E-409C-BE32-E72D297353CC}">
              <c16:uniqueId val="{00000001-D793-4415-8E5B-5CEDA111F197}"/>
            </c:ext>
          </c:extLst>
        </c:ser>
        <c:ser>
          <c:idx val="2"/>
          <c:order val="2"/>
          <c:spPr>
            <a:ln w="28575" cap="rnd">
              <a:solidFill>
                <a:schemeClr val="accent3"/>
              </a:solidFill>
              <a:round/>
            </a:ln>
            <a:effectLst/>
          </c:spPr>
          <c:marker>
            <c:symbol val="none"/>
          </c:marker>
          <c:cat>
            <c:multiLvlStrRef>
              <c:f>'February 25 D_R (Stoping) (2)'!$AU$9:$BV$9</c:f>
            </c:multiLvlStrRef>
          </c:cat>
          <c:val>
            <c:numRef>
              <c:f>'February 25 D_R (Stoping) (2)'!$AU$90:$BV$90</c:f>
            </c:numRef>
          </c:val>
          <c:smooth val="0"/>
          <c:extLst>
            <c:ext xmlns:c16="http://schemas.microsoft.com/office/drawing/2014/chart" uri="{C3380CC4-5D6E-409C-BE32-E72D297353CC}">
              <c16:uniqueId val="{00000002-D793-4415-8E5B-5CEDA111F197}"/>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multiLvlStrRef>
              <c:f>'February 25 D_R (Stoping) (2)'!$AU$9:$BV$9</c:f>
            </c:multiLvlStrRef>
          </c:cat>
          <c:val>
            <c:numRef>
              <c:f>'February 25 D_R (Stoping) (2)'!$AU$95:$BV$95</c:f>
            </c:numRef>
          </c:val>
          <c:smooth val="0"/>
          <c:extLst>
            <c:ext xmlns:c16="http://schemas.microsoft.com/office/drawing/2014/chart" uri="{C3380CC4-5D6E-409C-BE32-E72D297353CC}">
              <c16:uniqueId val="{00000000-E307-4A8C-BBF2-0CDBFEB6A2DC}"/>
            </c:ext>
          </c:extLst>
        </c:ser>
        <c:ser>
          <c:idx val="1"/>
          <c:order val="1"/>
          <c:spPr>
            <a:ln w="28575" cap="rnd">
              <a:solidFill>
                <a:schemeClr val="accent2"/>
              </a:solidFill>
              <a:round/>
            </a:ln>
            <a:effectLst/>
          </c:spPr>
          <c:marker>
            <c:symbol val="none"/>
          </c:marker>
          <c:cat>
            <c:multiLvlStrRef>
              <c:f>'February 25 D_R (Stoping) (2)'!$AU$9:$BV$9</c:f>
            </c:multiLvlStrRef>
          </c:cat>
          <c:val>
            <c:numRef>
              <c:f>'February 25 D_R (Stoping) (2)'!$AU$96:$BV$96</c:f>
            </c:numRef>
          </c:val>
          <c:smooth val="0"/>
          <c:extLst>
            <c:ext xmlns:c16="http://schemas.microsoft.com/office/drawing/2014/chart" uri="{C3380CC4-5D6E-409C-BE32-E72D297353CC}">
              <c16:uniqueId val="{00000001-E307-4A8C-BBF2-0CDBFEB6A2DC}"/>
            </c:ext>
          </c:extLst>
        </c:ser>
        <c:ser>
          <c:idx val="2"/>
          <c:order val="2"/>
          <c:spPr>
            <a:ln w="28575" cap="rnd">
              <a:solidFill>
                <a:schemeClr val="accent3"/>
              </a:solidFill>
              <a:round/>
            </a:ln>
            <a:effectLst/>
          </c:spPr>
          <c:marker>
            <c:symbol val="none"/>
          </c:marker>
          <c:cat>
            <c:multiLvlStrRef>
              <c:f>'February 25 D_R (Stoping) (2)'!$AU$9:$BV$9</c:f>
            </c:multiLvlStrRef>
          </c:cat>
          <c:val>
            <c:numRef>
              <c:f>'February 25 D_R (Stoping) (2)'!$AU$97:$BV$97</c:f>
            </c:numRef>
          </c:val>
          <c:smooth val="0"/>
          <c:extLst>
            <c:ext xmlns:c16="http://schemas.microsoft.com/office/drawing/2014/chart" uri="{C3380CC4-5D6E-409C-BE32-E72D297353CC}">
              <c16:uniqueId val="{00000002-E307-4A8C-BBF2-0CDBFEB6A2DC}"/>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multiLvlStrRef>
              <c:f>'February 25 D_R (Stoping) (2)'!$AU$9:$BV$9</c:f>
            </c:multiLvlStrRef>
          </c:cat>
          <c:val>
            <c:numRef>
              <c:f>'February 25 D_R (Stoping) (2)'!$AU$102:$BV$102</c:f>
            </c:numRef>
          </c:val>
          <c:smooth val="0"/>
          <c:extLst>
            <c:ext xmlns:c16="http://schemas.microsoft.com/office/drawing/2014/chart" uri="{C3380CC4-5D6E-409C-BE32-E72D297353CC}">
              <c16:uniqueId val="{00000000-2452-4CC1-82A1-1B928C67A06D}"/>
            </c:ext>
          </c:extLst>
        </c:ser>
        <c:ser>
          <c:idx val="1"/>
          <c:order val="1"/>
          <c:spPr>
            <a:ln w="28575" cap="rnd">
              <a:solidFill>
                <a:schemeClr val="accent2"/>
              </a:solidFill>
              <a:round/>
            </a:ln>
            <a:effectLst/>
          </c:spPr>
          <c:marker>
            <c:symbol val="none"/>
          </c:marker>
          <c:cat>
            <c:multiLvlStrRef>
              <c:f>'February 25 D_R (Stoping) (2)'!$AU$9:$BV$9</c:f>
            </c:multiLvlStrRef>
          </c:cat>
          <c:val>
            <c:numRef>
              <c:f>'February 25 D_R (Stoping) (2)'!$AU$103:$BV$103</c:f>
            </c:numRef>
          </c:val>
          <c:smooth val="0"/>
          <c:extLst>
            <c:ext xmlns:c16="http://schemas.microsoft.com/office/drawing/2014/chart" uri="{C3380CC4-5D6E-409C-BE32-E72D297353CC}">
              <c16:uniqueId val="{00000001-2452-4CC1-82A1-1B928C67A06D}"/>
            </c:ext>
          </c:extLst>
        </c:ser>
        <c:ser>
          <c:idx val="2"/>
          <c:order val="2"/>
          <c:spPr>
            <a:ln w="28575" cap="rnd">
              <a:solidFill>
                <a:schemeClr val="accent3"/>
              </a:solidFill>
              <a:round/>
            </a:ln>
            <a:effectLst/>
          </c:spPr>
          <c:marker>
            <c:symbol val="none"/>
          </c:marker>
          <c:cat>
            <c:multiLvlStrRef>
              <c:f>'February 25 D_R (Stoping) (2)'!$AU$9:$BV$9</c:f>
            </c:multiLvlStrRef>
          </c:cat>
          <c:val>
            <c:numRef>
              <c:f>'February 25 D_R (Stoping) (2)'!$AU$104:$BV$104</c:f>
            </c:numRef>
          </c:val>
          <c:smooth val="0"/>
          <c:extLst>
            <c:ext xmlns:c16="http://schemas.microsoft.com/office/drawing/2014/chart" uri="{C3380CC4-5D6E-409C-BE32-E72D297353CC}">
              <c16:uniqueId val="{00000002-2452-4CC1-82A1-1B928C67A06D}"/>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image" Target="../media/image1.png"/><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13" Type="http://schemas.openxmlformats.org/officeDocument/2006/relationships/chart" Target="../charts/chart32.xml"/><Relationship Id="rId3" Type="http://schemas.openxmlformats.org/officeDocument/2006/relationships/chart" Target="../charts/chart22.xml"/><Relationship Id="rId7" Type="http://schemas.openxmlformats.org/officeDocument/2006/relationships/chart" Target="../charts/chart26.xml"/><Relationship Id="rId12" Type="http://schemas.openxmlformats.org/officeDocument/2006/relationships/chart" Target="../charts/chart31.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11" Type="http://schemas.openxmlformats.org/officeDocument/2006/relationships/chart" Target="../charts/chart30.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 Id="rId1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15</xdr:col>
      <xdr:colOff>487116</xdr:colOff>
      <xdr:row>16</xdr:row>
      <xdr:rowOff>156525</xdr:rowOff>
    </xdr:from>
    <xdr:to>
      <xdr:col>22</xdr:col>
      <xdr:colOff>530820</xdr:colOff>
      <xdr:row>33</xdr:row>
      <xdr:rowOff>24294</xdr:rowOff>
    </xdr:to>
    <xdr:graphicFrame macro="">
      <xdr:nvGraphicFramePr>
        <xdr:cNvPr id="3" name="Chart 2">
          <a:extLst>
            <a:ext uri="{FF2B5EF4-FFF2-40B4-BE49-F238E27FC236}">
              <a16:creationId xmlns:a16="http://schemas.microsoft.com/office/drawing/2014/main" id="{41CF0234-8067-6F7F-A4FA-7315BC94C5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157840</xdr:colOff>
      <xdr:row>16</xdr:row>
      <xdr:rowOff>136754</xdr:rowOff>
    </xdr:from>
    <xdr:to>
      <xdr:col>10</xdr:col>
      <xdr:colOff>983116</xdr:colOff>
      <xdr:row>32</xdr:row>
      <xdr:rowOff>4084</xdr:rowOff>
    </xdr:to>
    <xdr:graphicFrame macro="">
      <xdr:nvGraphicFramePr>
        <xdr:cNvPr id="3" name="Chart 2">
          <a:extLst>
            <a:ext uri="{FF2B5EF4-FFF2-40B4-BE49-F238E27FC236}">
              <a16:creationId xmlns:a16="http://schemas.microsoft.com/office/drawing/2014/main" id="{7A87E800-F9FC-DDBA-259A-A865684DA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41</xdr:col>
      <xdr:colOff>21755</xdr:colOff>
      <xdr:row>33</xdr:row>
      <xdr:rowOff>64161</xdr:rowOff>
    </xdr:from>
    <xdr:to>
      <xdr:col>51</xdr:col>
      <xdr:colOff>19328</xdr:colOff>
      <xdr:row>51</xdr:row>
      <xdr:rowOff>150624</xdr:rowOff>
    </xdr:to>
    <xdr:graphicFrame macro="">
      <xdr:nvGraphicFramePr>
        <xdr:cNvPr id="3" name="Chart 2">
          <a:extLst>
            <a:ext uri="{FF2B5EF4-FFF2-40B4-BE49-F238E27FC236}">
              <a16:creationId xmlns:a16="http://schemas.microsoft.com/office/drawing/2014/main" id="{E3222860-F621-D5DB-8FEC-182FDCBFF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43</xdr:col>
      <xdr:colOff>0</xdr:colOff>
      <xdr:row>17</xdr:row>
      <xdr:rowOff>9531</xdr:rowOff>
    </xdr:from>
    <xdr:to>
      <xdr:col>43</xdr:col>
      <xdr:colOff>2031207</xdr:colOff>
      <xdr:row>23</xdr:row>
      <xdr:rowOff>142875</xdr:rowOff>
    </xdr:to>
    <xdr:graphicFrame macro="">
      <xdr:nvGraphicFramePr>
        <xdr:cNvPr id="3" name="Chart 2">
          <a:extLst>
            <a:ext uri="{FF2B5EF4-FFF2-40B4-BE49-F238E27FC236}">
              <a16:creationId xmlns:a16="http://schemas.microsoft.com/office/drawing/2014/main" id="{5246B082-D34F-55BD-7BB1-AA6B891126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43</xdr:col>
      <xdr:colOff>0</xdr:colOff>
      <xdr:row>24</xdr:row>
      <xdr:rowOff>800</xdr:rowOff>
    </xdr:from>
    <xdr:to>
      <xdr:col>43</xdr:col>
      <xdr:colOff>2031206</xdr:colOff>
      <xdr:row>30</xdr:row>
      <xdr:rowOff>134144</xdr:rowOff>
    </xdr:to>
    <xdr:graphicFrame macro="">
      <xdr:nvGraphicFramePr>
        <xdr:cNvPr id="5" name="Chart 4">
          <a:extLst>
            <a:ext uri="{FF2B5EF4-FFF2-40B4-BE49-F238E27FC236}">
              <a16:creationId xmlns:a16="http://schemas.microsoft.com/office/drawing/2014/main" id="{FE25BCD3-57A9-4248-9E43-97EC8F5719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9185</xdr:colOff>
      <xdr:row>0</xdr:row>
      <xdr:rowOff>0</xdr:rowOff>
    </xdr:from>
    <xdr:to>
      <xdr:col>44</xdr:col>
      <xdr:colOff>1227363</xdr:colOff>
      <xdr:row>14</xdr:row>
      <xdr:rowOff>190498</xdr:rowOff>
    </xdr:to>
    <xdr:graphicFrame macro="">
      <xdr:nvGraphicFramePr>
        <xdr:cNvPr id="8" name="Chart 7">
          <a:extLst>
            <a:ext uri="{FF2B5EF4-FFF2-40B4-BE49-F238E27FC236}">
              <a16:creationId xmlns:a16="http://schemas.microsoft.com/office/drawing/2014/main" id="{D52829B8-CA67-463D-943E-F23A647240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0</xdr:colOff>
      <xdr:row>30</xdr:row>
      <xdr:rowOff>158757</xdr:rowOff>
    </xdr:from>
    <xdr:to>
      <xdr:col>43</xdr:col>
      <xdr:colOff>2035969</xdr:colOff>
      <xdr:row>37</xdr:row>
      <xdr:rowOff>134937</xdr:rowOff>
    </xdr:to>
    <xdr:graphicFrame macro="">
      <xdr:nvGraphicFramePr>
        <xdr:cNvPr id="9" name="Chart 8">
          <a:extLst>
            <a:ext uri="{FF2B5EF4-FFF2-40B4-BE49-F238E27FC236}">
              <a16:creationId xmlns:a16="http://schemas.microsoft.com/office/drawing/2014/main" id="{9D099F90-1169-4CD0-B962-8ECAB2666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43</xdr:col>
      <xdr:colOff>0</xdr:colOff>
      <xdr:row>37</xdr:row>
      <xdr:rowOff>159550</xdr:rowOff>
    </xdr:from>
    <xdr:to>
      <xdr:col>43</xdr:col>
      <xdr:colOff>2035969</xdr:colOff>
      <xdr:row>44</xdr:row>
      <xdr:rowOff>135731</xdr:rowOff>
    </xdr:to>
    <xdr:graphicFrame macro="">
      <xdr:nvGraphicFramePr>
        <xdr:cNvPr id="10" name="Chart 9">
          <a:extLst>
            <a:ext uri="{FF2B5EF4-FFF2-40B4-BE49-F238E27FC236}">
              <a16:creationId xmlns:a16="http://schemas.microsoft.com/office/drawing/2014/main" id="{173DF639-A6BF-4548-9527-413F0E73D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0</xdr:colOff>
      <xdr:row>44</xdr:row>
      <xdr:rowOff>160344</xdr:rowOff>
    </xdr:from>
    <xdr:to>
      <xdr:col>43</xdr:col>
      <xdr:colOff>2035969</xdr:colOff>
      <xdr:row>51</xdr:row>
      <xdr:rowOff>136524</xdr:rowOff>
    </xdr:to>
    <xdr:graphicFrame macro="">
      <xdr:nvGraphicFramePr>
        <xdr:cNvPr id="11" name="Chart 10">
          <a:extLst>
            <a:ext uri="{FF2B5EF4-FFF2-40B4-BE49-F238E27FC236}">
              <a16:creationId xmlns:a16="http://schemas.microsoft.com/office/drawing/2014/main" id="{C23B0ED9-3CE6-4D46-B80A-8238BAB92A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0</xdr:colOff>
      <xdr:row>51</xdr:row>
      <xdr:rowOff>161137</xdr:rowOff>
    </xdr:from>
    <xdr:to>
      <xdr:col>43</xdr:col>
      <xdr:colOff>2035969</xdr:colOff>
      <xdr:row>58</xdr:row>
      <xdr:rowOff>137317</xdr:rowOff>
    </xdr:to>
    <xdr:graphicFrame macro="">
      <xdr:nvGraphicFramePr>
        <xdr:cNvPr id="12" name="Chart 11">
          <a:extLst>
            <a:ext uri="{FF2B5EF4-FFF2-40B4-BE49-F238E27FC236}">
              <a16:creationId xmlns:a16="http://schemas.microsoft.com/office/drawing/2014/main" id="{6B7E1846-EAE0-4FBD-9CFF-5FED2C02A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43</xdr:col>
      <xdr:colOff>0</xdr:colOff>
      <xdr:row>58</xdr:row>
      <xdr:rowOff>161930</xdr:rowOff>
    </xdr:from>
    <xdr:to>
      <xdr:col>43</xdr:col>
      <xdr:colOff>2035969</xdr:colOff>
      <xdr:row>65</xdr:row>
      <xdr:rowOff>138110</xdr:rowOff>
    </xdr:to>
    <xdr:graphicFrame macro="">
      <xdr:nvGraphicFramePr>
        <xdr:cNvPr id="13" name="Chart 12">
          <a:extLst>
            <a:ext uri="{FF2B5EF4-FFF2-40B4-BE49-F238E27FC236}">
              <a16:creationId xmlns:a16="http://schemas.microsoft.com/office/drawing/2014/main" id="{2EB2771E-60BA-43FD-9AD2-255E3E553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43</xdr:col>
      <xdr:colOff>0</xdr:colOff>
      <xdr:row>65</xdr:row>
      <xdr:rowOff>162723</xdr:rowOff>
    </xdr:from>
    <xdr:to>
      <xdr:col>43</xdr:col>
      <xdr:colOff>2035969</xdr:colOff>
      <xdr:row>72</xdr:row>
      <xdr:rowOff>138904</xdr:rowOff>
    </xdr:to>
    <xdr:graphicFrame macro="">
      <xdr:nvGraphicFramePr>
        <xdr:cNvPr id="14" name="Chart 13">
          <a:extLst>
            <a:ext uri="{FF2B5EF4-FFF2-40B4-BE49-F238E27FC236}">
              <a16:creationId xmlns:a16="http://schemas.microsoft.com/office/drawing/2014/main" id="{B07D8821-F157-46A4-92D4-ADCB776CB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43</xdr:col>
      <xdr:colOff>0</xdr:colOff>
      <xdr:row>72</xdr:row>
      <xdr:rowOff>163517</xdr:rowOff>
    </xdr:from>
    <xdr:to>
      <xdr:col>43</xdr:col>
      <xdr:colOff>2035969</xdr:colOff>
      <xdr:row>79</xdr:row>
      <xdr:rowOff>139697</xdr:rowOff>
    </xdr:to>
    <xdr:graphicFrame macro="">
      <xdr:nvGraphicFramePr>
        <xdr:cNvPr id="15" name="Chart 14">
          <a:extLst>
            <a:ext uri="{FF2B5EF4-FFF2-40B4-BE49-F238E27FC236}">
              <a16:creationId xmlns:a16="http://schemas.microsoft.com/office/drawing/2014/main" id="{8EB4E1FB-DA63-4044-9A70-00B86DEDB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43</xdr:col>
      <xdr:colOff>0</xdr:colOff>
      <xdr:row>79</xdr:row>
      <xdr:rowOff>164310</xdr:rowOff>
    </xdr:from>
    <xdr:to>
      <xdr:col>43</xdr:col>
      <xdr:colOff>2035969</xdr:colOff>
      <xdr:row>86</xdr:row>
      <xdr:rowOff>140490</xdr:rowOff>
    </xdr:to>
    <xdr:graphicFrame macro="">
      <xdr:nvGraphicFramePr>
        <xdr:cNvPr id="16" name="Chart 15">
          <a:extLst>
            <a:ext uri="{FF2B5EF4-FFF2-40B4-BE49-F238E27FC236}">
              <a16:creationId xmlns:a16="http://schemas.microsoft.com/office/drawing/2014/main" id="{1E7E7040-8FA0-4BC3-9039-00ADD8602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43</xdr:col>
      <xdr:colOff>0</xdr:colOff>
      <xdr:row>86</xdr:row>
      <xdr:rowOff>165103</xdr:rowOff>
    </xdr:from>
    <xdr:to>
      <xdr:col>43</xdr:col>
      <xdr:colOff>2035969</xdr:colOff>
      <xdr:row>93</xdr:row>
      <xdr:rowOff>141283</xdr:rowOff>
    </xdr:to>
    <xdr:graphicFrame macro="">
      <xdr:nvGraphicFramePr>
        <xdr:cNvPr id="17" name="Chart 16">
          <a:extLst>
            <a:ext uri="{FF2B5EF4-FFF2-40B4-BE49-F238E27FC236}">
              <a16:creationId xmlns:a16="http://schemas.microsoft.com/office/drawing/2014/main" id="{AE511994-0AC0-4FC3-99F8-A867EECFE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43</xdr:col>
      <xdr:colOff>0</xdr:colOff>
      <xdr:row>93</xdr:row>
      <xdr:rowOff>165896</xdr:rowOff>
    </xdr:from>
    <xdr:to>
      <xdr:col>43</xdr:col>
      <xdr:colOff>2035969</xdr:colOff>
      <xdr:row>100</xdr:row>
      <xdr:rowOff>142077</xdr:rowOff>
    </xdr:to>
    <xdr:graphicFrame macro="">
      <xdr:nvGraphicFramePr>
        <xdr:cNvPr id="18" name="Chart 17">
          <a:extLst>
            <a:ext uri="{FF2B5EF4-FFF2-40B4-BE49-F238E27FC236}">
              <a16:creationId xmlns:a16="http://schemas.microsoft.com/office/drawing/2014/main" id="{3A94399D-8EE0-4912-A732-414E182506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43</xdr:col>
      <xdr:colOff>0</xdr:colOff>
      <xdr:row>101</xdr:row>
      <xdr:rowOff>0</xdr:rowOff>
    </xdr:from>
    <xdr:to>
      <xdr:col>43</xdr:col>
      <xdr:colOff>2035969</xdr:colOff>
      <xdr:row>107</xdr:row>
      <xdr:rowOff>142868</xdr:rowOff>
    </xdr:to>
    <xdr:graphicFrame macro="">
      <xdr:nvGraphicFramePr>
        <xdr:cNvPr id="19" name="Chart 18">
          <a:extLst>
            <a:ext uri="{FF2B5EF4-FFF2-40B4-BE49-F238E27FC236}">
              <a16:creationId xmlns:a16="http://schemas.microsoft.com/office/drawing/2014/main" id="{9DDF4AAE-F609-489D-8804-E984658C49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44</xdr:col>
      <xdr:colOff>2050431</xdr:colOff>
      <xdr:row>0</xdr:row>
      <xdr:rowOff>0</xdr:rowOff>
    </xdr:from>
    <xdr:to>
      <xdr:col>59</xdr:col>
      <xdr:colOff>535530</xdr:colOff>
      <xdr:row>26</xdr:row>
      <xdr:rowOff>27238</xdr:rowOff>
    </xdr:to>
    <xdr:pic>
      <xdr:nvPicPr>
        <xdr:cNvPr id="21" name="Picture 20">
          <a:extLst>
            <a:ext uri="{FF2B5EF4-FFF2-40B4-BE49-F238E27FC236}">
              <a16:creationId xmlns:a16="http://schemas.microsoft.com/office/drawing/2014/main" id="{9267DE6F-ECCF-4CAF-4ECA-D7D3481C4761}"/>
            </a:ext>
          </a:extLst>
        </xdr:cNvPr>
        <xdr:cNvPicPr>
          <a:picLocks noChangeAspect="1"/>
        </xdr:cNvPicPr>
      </xdr:nvPicPr>
      <xdr:blipFill>
        <a:blip xmlns:r="http://schemas.openxmlformats.org/officeDocument/2006/relationships" r:embed="rId15"/>
        <a:stretch>
          <a:fillRect/>
        </a:stretch>
      </xdr:blipFill>
      <xdr:spPr>
        <a:xfrm>
          <a:off x="8935645" y="0"/>
          <a:ext cx="11329564" cy="4577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22</xdr:col>
      <xdr:colOff>180975</xdr:colOff>
      <xdr:row>0</xdr:row>
      <xdr:rowOff>47624</xdr:rowOff>
    </xdr:from>
    <xdr:to>
      <xdr:col>35</xdr:col>
      <xdr:colOff>142875</xdr:colOff>
      <xdr:row>15</xdr:row>
      <xdr:rowOff>133349</xdr:rowOff>
    </xdr:to>
    <xdr:graphicFrame macro="">
      <xdr:nvGraphicFramePr>
        <xdr:cNvPr id="2" name="Chart 1">
          <a:extLst>
            <a:ext uri="{FF2B5EF4-FFF2-40B4-BE49-F238E27FC236}">
              <a16:creationId xmlns:a16="http://schemas.microsoft.com/office/drawing/2014/main" id="{6E6477A3-D6D9-4F38-1261-DCD053A2D6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56</xdr:col>
      <xdr:colOff>542923</xdr:colOff>
      <xdr:row>11</xdr:row>
      <xdr:rowOff>47623</xdr:rowOff>
    </xdr:from>
    <xdr:to>
      <xdr:col>65</xdr:col>
      <xdr:colOff>514349</xdr:colOff>
      <xdr:row>31</xdr:row>
      <xdr:rowOff>177164</xdr:rowOff>
    </xdr:to>
    <xdr:graphicFrame macro="">
      <xdr:nvGraphicFramePr>
        <xdr:cNvPr id="5" name="Chart 4">
          <a:extLst>
            <a:ext uri="{FF2B5EF4-FFF2-40B4-BE49-F238E27FC236}">
              <a16:creationId xmlns:a16="http://schemas.microsoft.com/office/drawing/2014/main" id="{396B9CB1-A544-5314-69D0-97622C3659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43</xdr:col>
      <xdr:colOff>0</xdr:colOff>
      <xdr:row>17</xdr:row>
      <xdr:rowOff>9531</xdr:rowOff>
    </xdr:from>
    <xdr:to>
      <xdr:col>43</xdr:col>
      <xdr:colOff>2031207</xdr:colOff>
      <xdr:row>23</xdr:row>
      <xdr:rowOff>142875</xdr:rowOff>
    </xdr:to>
    <xdr:graphicFrame macro="">
      <xdr:nvGraphicFramePr>
        <xdr:cNvPr id="2" name="Chart 1">
          <a:extLst>
            <a:ext uri="{FF2B5EF4-FFF2-40B4-BE49-F238E27FC236}">
              <a16:creationId xmlns:a16="http://schemas.microsoft.com/office/drawing/2014/main" id="{7617D932-F6FB-4CAC-B8FF-78E6AC049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43</xdr:col>
      <xdr:colOff>0</xdr:colOff>
      <xdr:row>24</xdr:row>
      <xdr:rowOff>800</xdr:rowOff>
    </xdr:from>
    <xdr:to>
      <xdr:col>43</xdr:col>
      <xdr:colOff>2031206</xdr:colOff>
      <xdr:row>30</xdr:row>
      <xdr:rowOff>134144</xdr:rowOff>
    </xdr:to>
    <xdr:graphicFrame macro="">
      <xdr:nvGraphicFramePr>
        <xdr:cNvPr id="3" name="Chart 2">
          <a:extLst>
            <a:ext uri="{FF2B5EF4-FFF2-40B4-BE49-F238E27FC236}">
              <a16:creationId xmlns:a16="http://schemas.microsoft.com/office/drawing/2014/main" id="{7F2A2A68-0FC6-49BF-8BF2-D4A0EB095C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0</xdr:colOff>
      <xdr:row>30</xdr:row>
      <xdr:rowOff>158757</xdr:rowOff>
    </xdr:from>
    <xdr:to>
      <xdr:col>43</xdr:col>
      <xdr:colOff>2035969</xdr:colOff>
      <xdr:row>37</xdr:row>
      <xdr:rowOff>134937</xdr:rowOff>
    </xdr:to>
    <xdr:graphicFrame macro="">
      <xdr:nvGraphicFramePr>
        <xdr:cNvPr id="5" name="Chart 4">
          <a:extLst>
            <a:ext uri="{FF2B5EF4-FFF2-40B4-BE49-F238E27FC236}">
              <a16:creationId xmlns:a16="http://schemas.microsoft.com/office/drawing/2014/main" id="{5F9386C4-F58A-4F70-9E69-83048F16C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0</xdr:colOff>
      <xdr:row>37</xdr:row>
      <xdr:rowOff>159550</xdr:rowOff>
    </xdr:from>
    <xdr:to>
      <xdr:col>43</xdr:col>
      <xdr:colOff>2035969</xdr:colOff>
      <xdr:row>44</xdr:row>
      <xdr:rowOff>135731</xdr:rowOff>
    </xdr:to>
    <xdr:graphicFrame macro="">
      <xdr:nvGraphicFramePr>
        <xdr:cNvPr id="6" name="Chart 5">
          <a:extLst>
            <a:ext uri="{FF2B5EF4-FFF2-40B4-BE49-F238E27FC236}">
              <a16:creationId xmlns:a16="http://schemas.microsoft.com/office/drawing/2014/main" id="{617B590E-D2BE-462E-BAC4-5402881B9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43</xdr:col>
      <xdr:colOff>0</xdr:colOff>
      <xdr:row>44</xdr:row>
      <xdr:rowOff>160344</xdr:rowOff>
    </xdr:from>
    <xdr:to>
      <xdr:col>43</xdr:col>
      <xdr:colOff>2035969</xdr:colOff>
      <xdr:row>51</xdr:row>
      <xdr:rowOff>136524</xdr:rowOff>
    </xdr:to>
    <xdr:graphicFrame macro="">
      <xdr:nvGraphicFramePr>
        <xdr:cNvPr id="7" name="Chart 6">
          <a:extLst>
            <a:ext uri="{FF2B5EF4-FFF2-40B4-BE49-F238E27FC236}">
              <a16:creationId xmlns:a16="http://schemas.microsoft.com/office/drawing/2014/main" id="{71822874-5908-434A-9DCB-05B3FBF67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0</xdr:colOff>
      <xdr:row>51</xdr:row>
      <xdr:rowOff>161137</xdr:rowOff>
    </xdr:from>
    <xdr:to>
      <xdr:col>43</xdr:col>
      <xdr:colOff>2035969</xdr:colOff>
      <xdr:row>58</xdr:row>
      <xdr:rowOff>137317</xdr:rowOff>
    </xdr:to>
    <xdr:graphicFrame macro="">
      <xdr:nvGraphicFramePr>
        <xdr:cNvPr id="8" name="Chart 7">
          <a:extLst>
            <a:ext uri="{FF2B5EF4-FFF2-40B4-BE49-F238E27FC236}">
              <a16:creationId xmlns:a16="http://schemas.microsoft.com/office/drawing/2014/main" id="{9DEF0B17-831A-43DC-B044-ED12EBE38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0</xdr:colOff>
      <xdr:row>58</xdr:row>
      <xdr:rowOff>161930</xdr:rowOff>
    </xdr:from>
    <xdr:to>
      <xdr:col>43</xdr:col>
      <xdr:colOff>2035969</xdr:colOff>
      <xdr:row>65</xdr:row>
      <xdr:rowOff>138110</xdr:rowOff>
    </xdr:to>
    <xdr:graphicFrame macro="">
      <xdr:nvGraphicFramePr>
        <xdr:cNvPr id="9" name="Chart 8">
          <a:extLst>
            <a:ext uri="{FF2B5EF4-FFF2-40B4-BE49-F238E27FC236}">
              <a16:creationId xmlns:a16="http://schemas.microsoft.com/office/drawing/2014/main" id="{7B6DBF4C-8B6D-4436-9A93-E6599FC06F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43</xdr:col>
      <xdr:colOff>0</xdr:colOff>
      <xdr:row>65</xdr:row>
      <xdr:rowOff>162723</xdr:rowOff>
    </xdr:from>
    <xdr:to>
      <xdr:col>43</xdr:col>
      <xdr:colOff>2035969</xdr:colOff>
      <xdr:row>72</xdr:row>
      <xdr:rowOff>138904</xdr:rowOff>
    </xdr:to>
    <xdr:graphicFrame macro="">
      <xdr:nvGraphicFramePr>
        <xdr:cNvPr id="10" name="Chart 9">
          <a:extLst>
            <a:ext uri="{FF2B5EF4-FFF2-40B4-BE49-F238E27FC236}">
              <a16:creationId xmlns:a16="http://schemas.microsoft.com/office/drawing/2014/main" id="{3C9B4195-88AE-40C7-84F9-2FB4CDA7D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43</xdr:col>
      <xdr:colOff>0</xdr:colOff>
      <xdr:row>72</xdr:row>
      <xdr:rowOff>163517</xdr:rowOff>
    </xdr:from>
    <xdr:to>
      <xdr:col>43</xdr:col>
      <xdr:colOff>2035969</xdr:colOff>
      <xdr:row>79</xdr:row>
      <xdr:rowOff>139697</xdr:rowOff>
    </xdr:to>
    <xdr:graphicFrame macro="">
      <xdr:nvGraphicFramePr>
        <xdr:cNvPr id="11" name="Chart 10">
          <a:extLst>
            <a:ext uri="{FF2B5EF4-FFF2-40B4-BE49-F238E27FC236}">
              <a16:creationId xmlns:a16="http://schemas.microsoft.com/office/drawing/2014/main" id="{C0EAA89F-F520-417B-8715-9D0629A687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43</xdr:col>
      <xdr:colOff>0</xdr:colOff>
      <xdr:row>79</xdr:row>
      <xdr:rowOff>164310</xdr:rowOff>
    </xdr:from>
    <xdr:to>
      <xdr:col>43</xdr:col>
      <xdr:colOff>2035969</xdr:colOff>
      <xdr:row>86</xdr:row>
      <xdr:rowOff>140490</xdr:rowOff>
    </xdr:to>
    <xdr:graphicFrame macro="">
      <xdr:nvGraphicFramePr>
        <xdr:cNvPr id="12" name="Chart 11">
          <a:extLst>
            <a:ext uri="{FF2B5EF4-FFF2-40B4-BE49-F238E27FC236}">
              <a16:creationId xmlns:a16="http://schemas.microsoft.com/office/drawing/2014/main" id="{EA72DEA5-C820-4CA2-AF26-A59D11900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43</xdr:col>
      <xdr:colOff>0</xdr:colOff>
      <xdr:row>86</xdr:row>
      <xdr:rowOff>165103</xdr:rowOff>
    </xdr:from>
    <xdr:to>
      <xdr:col>43</xdr:col>
      <xdr:colOff>2035969</xdr:colOff>
      <xdr:row>93</xdr:row>
      <xdr:rowOff>141283</xdr:rowOff>
    </xdr:to>
    <xdr:graphicFrame macro="">
      <xdr:nvGraphicFramePr>
        <xdr:cNvPr id="13" name="Chart 12">
          <a:extLst>
            <a:ext uri="{FF2B5EF4-FFF2-40B4-BE49-F238E27FC236}">
              <a16:creationId xmlns:a16="http://schemas.microsoft.com/office/drawing/2014/main" id="{4AB54FDA-A834-4ED7-9706-35B8947E4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43</xdr:col>
      <xdr:colOff>0</xdr:colOff>
      <xdr:row>93</xdr:row>
      <xdr:rowOff>165896</xdr:rowOff>
    </xdr:from>
    <xdr:to>
      <xdr:col>43</xdr:col>
      <xdr:colOff>2035969</xdr:colOff>
      <xdr:row>100</xdr:row>
      <xdr:rowOff>142077</xdr:rowOff>
    </xdr:to>
    <xdr:graphicFrame macro="">
      <xdr:nvGraphicFramePr>
        <xdr:cNvPr id="14" name="Chart 13">
          <a:extLst>
            <a:ext uri="{FF2B5EF4-FFF2-40B4-BE49-F238E27FC236}">
              <a16:creationId xmlns:a16="http://schemas.microsoft.com/office/drawing/2014/main" id="{DD92E234-5B54-44F3-89E6-C25AE0427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43</xdr:col>
      <xdr:colOff>0</xdr:colOff>
      <xdr:row>101</xdr:row>
      <xdr:rowOff>0</xdr:rowOff>
    </xdr:from>
    <xdr:to>
      <xdr:col>43</xdr:col>
      <xdr:colOff>2035969</xdr:colOff>
      <xdr:row>107</xdr:row>
      <xdr:rowOff>142868</xdr:rowOff>
    </xdr:to>
    <xdr:graphicFrame macro="">
      <xdr:nvGraphicFramePr>
        <xdr:cNvPr id="15" name="Chart 14">
          <a:extLst>
            <a:ext uri="{FF2B5EF4-FFF2-40B4-BE49-F238E27FC236}">
              <a16:creationId xmlns:a16="http://schemas.microsoft.com/office/drawing/2014/main" id="{AA9573D8-AB6C-47B3-A381-5B9DC971D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44</xdr:col>
      <xdr:colOff>2050431</xdr:colOff>
      <xdr:row>0</xdr:row>
      <xdr:rowOff>0</xdr:rowOff>
    </xdr:from>
    <xdr:to>
      <xdr:col>87</xdr:col>
      <xdr:colOff>535531</xdr:colOff>
      <xdr:row>25</xdr:row>
      <xdr:rowOff>142225</xdr:rowOff>
    </xdr:to>
    <xdr:pic>
      <xdr:nvPicPr>
        <xdr:cNvPr id="16" name="Picture 15">
          <a:extLst>
            <a:ext uri="{FF2B5EF4-FFF2-40B4-BE49-F238E27FC236}">
              <a16:creationId xmlns:a16="http://schemas.microsoft.com/office/drawing/2014/main" id="{696B14C0-B525-4FC1-BFAE-D3A35BFF15E9}"/>
            </a:ext>
          </a:extLst>
        </xdr:cNvPr>
        <xdr:cNvPicPr>
          <a:picLocks noChangeAspect="1"/>
        </xdr:cNvPicPr>
      </xdr:nvPicPr>
      <xdr:blipFill>
        <a:blip xmlns:r="http://schemas.openxmlformats.org/officeDocument/2006/relationships" r:embed="rId14"/>
        <a:stretch>
          <a:fillRect/>
        </a:stretch>
      </xdr:blipFill>
      <xdr:spPr>
        <a:xfrm>
          <a:off x="28220368" y="0"/>
          <a:ext cx="11377188" cy="45999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GeographicInformatio\Downloads\July_2025_DAILY_REPORT%20(1).xlsx" TargetMode="External"/><Relationship Id="rId1" Type="http://schemas.openxmlformats.org/officeDocument/2006/relationships/externalLinkPath" Target="file:///C:\Users\GeographicInformatio\Downloads\July_2025_DAILY_REPORT%20(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GeographicInformatio\Downloads\June_2025_DAILY_REPORT%20(2).xlsx" TargetMode="External"/><Relationship Id="rId1" Type="http://schemas.openxmlformats.org/officeDocument/2006/relationships/externalLinkPath" Target="file:///C:\Users\GeographicInformatio\Downloads\June_2025_DAILY_REPORT%20(2).xlsx" TargetMode="External"/></Relationships>
</file>

<file path=xl/externalLinks/_rels/externalLink3.xml.rels><?xml version="1.0" encoding="UTF-8" standalone="yes"?>
<Relationships xmlns="http://schemas.openxmlformats.org/package/2006/relationships"><Relationship Id="rId3" Type="http://schemas.openxmlformats.org/officeDocument/2006/relationships/externalLinkPath" Target="https://dallagliozw-my.sharepoint.com/personal/admin_dallaglio_co_zw/Documents/Dallaglio%20Investments/30000%20BRK/31000%20OPERATIONS/31100%20MTS/31130%20MINE%20PLANNING/31137%20REPORTS/01.%20Physicals%20Report/2025/2025_06/06%20BRK%20-%20Actual%20Physicals%20Information%20-%20June%202025.v2.xlsx" TargetMode="External"/><Relationship Id="rId2" Type="http://schemas.microsoft.com/office/2019/04/relationships/externalLinkLongPath" Target="https://dallagliozw-my.sharepoint.com/personal/admin_dallaglio_co_zw/Documents/Dallaglio%20Investments/30000%20BRK/31000%20OPERATIONS/31100%20MTS/31130%20MINE%20PLANNING/31137%20REPORTS/01.%20Physicals%20Report/2025/2025_06/06%20BRK%20-%20Actual%20Physicals%20Information%20-%20June%202025.v2.xlsx?82DE52AC" TargetMode="External"/><Relationship Id="rId1" Type="http://schemas.openxmlformats.org/officeDocument/2006/relationships/externalLinkPath" Target="file:///\\82DE52AC\06%20BRK%20-%20Actual%20Physicals%20Information%20-%20June%202025.v2.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dallagliozw-my.sharepoint.com/personal/admin_dallaglio_co_zw/Documents/Dallaglio%20Investments/10000%20DAL/16000%20GIS/TIM%20EXPLORATION%20FILES/Pickstone%20Mine%20Excel%20Reports/Plans/PP-Mining%20%20Milling%20Plan_0125.xlsx" TargetMode="External"/><Relationship Id="rId1" Type="http://schemas.openxmlformats.org/officeDocument/2006/relationships/externalLinkPath" Target="https://dallagliozw-my.sharepoint.com/personal/admin_dallaglio_co_zw/Documents/Dallaglio%20Investments/10000%20DAL/16000%20GIS/TIM%20EXPLORATION%20FILES/Pickstone%20Mine%20Excel%20Reports/Plans/PP-Mining%20%20Milling%20Plan_0125.xlsx" TargetMode="External"/></Relationships>
</file>

<file path=xl/externalLinks/_rels/externalLink5.xml.rels><?xml version="1.0" encoding="UTF-8" standalone="yes"?>
<Relationships xmlns="http://schemas.openxmlformats.org/package/2006/relationships"><Relationship Id="rId3" Type="http://schemas.openxmlformats.org/officeDocument/2006/relationships/externalLinkPath" Target="https://dallagliozw-my.sharepoint.com/personal/admin_dallaglio_co_zw/Documents/Dallaglio%20Investments/10000%20DAL/16000%20GIS/TIM%20EXPLORATION%20FILES/Pickstone%20Mine%20Excel%20Reports/Daily%20Reports/JAN_2025_DAILY_REPORT_Final_EOM.xlsx" TargetMode="External"/><Relationship Id="rId2" Type="http://schemas.microsoft.com/office/2019/04/relationships/externalLinkLongPath" Target="https://dallagliozw-my.sharepoint.com/personal/admin_dallaglio_co_zw/Documents/Dallaglio%20Investments/10000%20DAL/16000%20GIS/TIM%20EXPLORATION%20FILES/Pickstone%20Mine%20Excel%20Reports/Daily%20Reports/JAN_2025_DAILY_REPORT_Final_EOM.xlsx?6C5D3BD7" TargetMode="External"/><Relationship Id="rId1" Type="http://schemas.openxmlformats.org/officeDocument/2006/relationships/externalLinkPath" Target="file:///\\6C5D3BD7\JAN_2025_DAILY_REPORT_Final_EOM.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https://dallagliozw-my.sharepoint.com/personal/admin_dallaglio_co_zw/Documents/Dallaglio%20Investments/10000%20DAL/16000%20GIS/TIM%20EXPLORATION%20FILES/Pickstone%20Mine%20Excel%20Reports/Plans/PP-Mining%20%20Milling%20Plan_0225.xlsx" TargetMode="External"/><Relationship Id="rId1" Type="http://schemas.openxmlformats.org/officeDocument/2006/relationships/externalLinkPath" Target="https://dallagliozw-my.sharepoint.com/personal/admin_dallaglio_co_zw/Documents/Dallaglio%20Investments/10000%20DAL/16000%20GIS/TIM%20EXPLORATION%20FILES/Pickstone%20Mine%20Excel%20Reports/Plans/PP-Mining%20%20Milling%20Plan_0225.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https://dallagliozw-my.sharepoint.com/personal/admin_dallaglio_co_zw/Documents/Dallaglio%20Investments/10000%20DAL/16000%20GIS/TIM%20EXPLORATION%20FILES/Pickstone%20Mine%20Excel%20Reports/Daily%20Reports/FEB_2025_DAILY_REPORT_Final.xlsx" TargetMode="External"/><Relationship Id="rId1" Type="http://schemas.openxmlformats.org/officeDocument/2006/relationships/externalLinkPath" Target="https://dallagliozw-my.sharepoint.com/personal/admin_dallaglio_co_zw/Documents/Dallaglio%20Investments/10000%20DAL/16000%20GIS/TIM%20EXPLORATION%20FILES/Pickstone%20Mine%20Excel%20Reports/Daily%20Reports/FEB_2025_DAILY_REPORT_Final.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https://dallagliozw-my.sharepoint.com/personal/admin_dallaglio_co_zw/Documents/Dallaglio%20Investments/10000%20DAL/16000%20GIS/TIM%20EXPLORATION%20FILES/Pickstone%20Mine%20Excel%20Reports/Plans/PP-Mining%20%20Milling%20Plan_0325.xlsx" TargetMode="External"/><Relationship Id="rId1" Type="http://schemas.openxmlformats.org/officeDocument/2006/relationships/externalLinkPath" Target="https://dallagliozw-my.sharepoint.com/personal/admin_dallaglio_co_zw/Documents/Dallaglio%20Investments/10000%20DAL/16000%20GIS/TIM%20EXPLORATION%20FILES/Pickstone%20Mine%20Excel%20Reports/Plans/PP-Mining%20%20Milling%20Plan_0325.xlsx" TargetMode="External"/></Relationships>
</file>

<file path=xl/externalLinks/_rels/externalLink9.xml.rels><?xml version="1.0" encoding="UTF-8" standalone="yes"?>
<Relationships xmlns="http://schemas.openxmlformats.org/package/2006/relationships"><Relationship Id="rId3" Type="http://schemas.openxmlformats.org/officeDocument/2006/relationships/externalLinkPath" Target="https://dallagliozw-my.sharepoint.com/personal/admin_dallaglio_co_zw/Documents/Dallaglio%20Investments/10000%20DAL/16000%20GIS/TIM%20EXPLORATION%20FILES/Pickstone%20Mine%20Excel%20Reports/Daily%20Reports/March_2025_DAILY_REPORT_Final.xlsx" TargetMode="External"/><Relationship Id="rId2" Type="http://schemas.microsoft.com/office/2019/04/relationships/externalLinkLongPath" Target="https://dallagliozw-my.sharepoint.com/personal/admin_dallaglio_co_zw/Documents/Dallaglio%20Investments/10000%20DAL/16000%20GIS/TIM%20EXPLORATION%20FILES/Pickstone%20Mine%20Excel%20Reports/Daily%20Reports/March_2025_DAILY_REPORT_Final.xlsx?6C5D3BD7" TargetMode="External"/><Relationship Id="rId1" Type="http://schemas.openxmlformats.org/officeDocument/2006/relationships/externalLinkPath" Target="file:///\\6C5D3BD7\March_2025_DAILY_REPORT_Final.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https://dallagliozw-my.sharepoint.com/personal/admin_dallaglio_co_zw/Documents/Dallaglio%20Investments/10000%20DAL/16000%20GIS/TIM%20EXPLORATION%20FILES/Pickstone%20Mine%20Excel%20Reports/Copy%20of%20May_2025_DAILY_REPORT.xlsx" TargetMode="External"/><Relationship Id="rId1" Type="http://schemas.openxmlformats.org/officeDocument/2006/relationships/externalLinkPath" Target="https://dallagliozw-my.sharepoint.com/personal/admin_dallaglio_co_zw/Documents/Dallaglio%20Investments/10000%20DAL/16000%20GIS/TIM%20EXPLORATION%20FILES/Pickstone%20Mine%20Excel%20Reports/Copy%20of%20May_2025_DAILY_REPORT.xlsx" TargetMode="External"/></Relationships>
</file>

<file path=xl/externalLinks/_rels/externalLink11.xml.rels><?xml version="1.0" encoding="UTF-8" standalone="yes"?>
<Relationships xmlns="http://schemas.openxmlformats.org/package/2006/relationships"><Relationship Id="rId3" Type="http://schemas.openxmlformats.org/officeDocument/2006/relationships/externalLinkPath" Target="https://dallagliozw-my.sharepoint.com/personal/admin_dallaglio_co_zw/Documents/Dallaglio%20Investments/30000%20BRK/31000%20OPERATIONS/31100%20MTS/31110%20GEOLOGY/31122%20UNDERGROUND/UNDERGROUND%20GRADE%20TRACKERS/2025%20DATA/05_May_2025/May_2025_DAILY_REPORT.xlsx" TargetMode="External"/><Relationship Id="rId2" Type="http://schemas.microsoft.com/office/2019/04/relationships/externalLinkLongPath" Target="https://dallagliozw-my.sharepoint.com/personal/admin_dallaglio_co_zw/Documents/Dallaglio%20Investments/30000%20BRK/31000%20OPERATIONS/31100%20MTS/31110%20GEOLOGY/31122%20UNDERGROUND/UNDERGROUND%20GRADE%20TRACKERS/2025%20DATA/05_May_2025/May_2025_DAILY_REPORT.xlsx?02C2D246" TargetMode="External"/><Relationship Id="rId1" Type="http://schemas.openxmlformats.org/officeDocument/2006/relationships/externalLinkPath" Target="file:///\\02C2D246\May_2025_DAILY_REPORT.xlsx" TargetMode="External"/></Relationships>
</file>

<file path=xl/externalLinks/_rels/externalLink12.xml.rels><?xml version="1.0" encoding="UTF-8" standalone="yes"?>
<Relationships xmlns="http://schemas.openxmlformats.org/package/2006/relationships"><Relationship Id="rId3" Type="http://schemas.openxmlformats.org/officeDocument/2006/relationships/externalLinkPath" Target="https://dallagliozw-my.sharepoint.com/personal/admin_dallaglio_co_zw/Documents/Dallaglio%20Investments/30000%20BRK/31000%20OPERATIONS/31100%20MTS/31130%20MINE%20PLANNING/31137%20REPORTS/01.%20Physicals%20Report/2025/2025_04/04%20BRK%20-%20Actual%20Physicals%20Information%20-%20April%202025.v1.xlsx" TargetMode="External"/><Relationship Id="rId2" Type="http://schemas.microsoft.com/office/2019/04/relationships/externalLinkLongPath" Target="https://dallagliozw-my.sharepoint.com/personal/admin_dallaglio_co_zw/Documents/Dallaglio%20Investments/30000%20BRK/31000%20OPERATIONS/31100%20MTS/31130%20MINE%20PLANNING/31137%20REPORTS/01.%20Physicals%20Report/2025/2025_04/04%20BRK%20-%20Actual%20Physicals%20Information%20-%20April%202025.v1.xlsx?CED82CA2" TargetMode="External"/><Relationship Id="rId1" Type="http://schemas.openxmlformats.org/officeDocument/2006/relationships/externalLinkPath" Target="file:///\\CED82CA2\04%20BRK%20-%20Actual%20Physicals%20Information%20-%20April%202025.v1.xlsx" TargetMode="External"/></Relationships>
</file>

<file path=xl/externalLinks/_rels/externalLink13.xml.rels><?xml version="1.0" encoding="UTF-8" standalone="yes"?>
<Relationships xmlns="http://schemas.openxmlformats.org/package/2006/relationships"><Relationship Id="rId3" Type="http://schemas.openxmlformats.org/officeDocument/2006/relationships/externalLinkPath" Target="https://dallagliozw-my.sharepoint.com/personal/admin_dallaglio_co_zw/Documents/Dallaglio%20Investments/30000%20BRK/31000%20OPERATIONS/31100%20MTS/31110%20GEOLOGY/31122%20UNDERGROUND/UNDERGROUND%20GRADE%20TRACKERS/2025%20DATA/04_April_2025/April_2025_DAILY_REPORT.xlsx" TargetMode="External"/><Relationship Id="rId2" Type="http://schemas.microsoft.com/office/2019/04/relationships/externalLinkLongPath" Target="https://dallagliozw-my.sharepoint.com/personal/admin_dallaglio_co_zw/Documents/Dallaglio%20Investments/30000%20BRK/31000%20OPERATIONS/31100%20MTS/31110%20GEOLOGY/31122%20UNDERGROUND/UNDERGROUND%20GRADE%20TRACKERS/2025%20DATA/04_April_2025/April_2025_DAILY_REPORT.xlsx?943EEF2D" TargetMode="External"/><Relationship Id="rId1" Type="http://schemas.openxmlformats.org/officeDocument/2006/relationships/externalLinkPath" Target="file:///\\943EEF2D\April_2025_DAILY_REPORT.xlsx" TargetMode="External"/></Relationships>
</file>

<file path=xl/externalLinks/_rels/externalLink14.xml.rels><?xml version="1.0" encoding="UTF-8" standalone="yes"?>
<Relationships xmlns="http://schemas.openxmlformats.org/package/2006/relationships"><Relationship Id="rId3" Type="http://schemas.openxmlformats.org/officeDocument/2006/relationships/externalLinkPath" Target="https://dallagliozw-my.sharepoint.com/personal/admin_dallaglio_co_zw/Documents/Dallaglio%20Investments/10000%20DAL/16000%20GIS/TIM%20EXPLORATION%20FILES/Pickstone%20Mine%20Excel%20Reports/Physicals/03%20BRK%20-%20Actual%20Physicals%20Information%20-%20March%202025.v1.xlsx" TargetMode="External"/><Relationship Id="rId2" Type="http://schemas.microsoft.com/office/2019/04/relationships/externalLinkLongPath" Target="https://dallagliozw-my.sharepoint.com/personal/admin_dallaglio_co_zw/Documents/Dallaglio%20Investments/10000%20DAL/16000%20GIS/TIM%20EXPLORATION%20FILES/Pickstone%20Mine%20Excel%20Reports/Physicals/03%20BRK%20-%20Actual%20Physicals%20Information%20-%20March%202025.v1.xlsx?7DD42EFA" TargetMode="External"/><Relationship Id="rId1" Type="http://schemas.openxmlformats.org/officeDocument/2006/relationships/externalLinkPath" Target="file:///\\7DD42EFA\03%20BRK%20-%20Actual%20Physicals%20Information%20-%20March%202025.v1.xlsx" TargetMode="External"/></Relationships>
</file>

<file path=xl/externalLinks/_rels/externalLink15.xml.rels><?xml version="1.0" encoding="UTF-8" standalone="yes"?>
<Relationships xmlns="http://schemas.openxmlformats.org/package/2006/relationships"><Relationship Id="rId3" Type="http://schemas.openxmlformats.org/officeDocument/2006/relationships/externalLinkPath" Target="https://dallagliozw-my.sharepoint.com/personal/admin_dallaglio_co_zw/Documents/Dallaglio%20Investments/10000%20DAL/16000%20GIS/TIM%20EXPLORATION%20FILES/Pickstone%20Mine%20Excel%20Reports/Physicals/02%20BRK%20-%20Actual%20Physicals%20Information%20-%20February%202025.v2.xlsx" TargetMode="External"/><Relationship Id="rId2" Type="http://schemas.microsoft.com/office/2019/04/relationships/externalLinkLongPath" Target="https://dallagliozw-my.sharepoint.com/personal/admin_dallaglio_co_zw/Documents/Dallaglio%20Investments/10000%20DAL/16000%20GIS/TIM%20EXPLORATION%20FILES/Pickstone%20Mine%20Excel%20Reports/Physicals/02%20BRK%20-%20Actual%20Physicals%20Information%20-%20February%202025.v2.xlsx?7DD42EFA" TargetMode="External"/><Relationship Id="rId1" Type="http://schemas.openxmlformats.org/officeDocument/2006/relationships/externalLinkPath" Target="file:///\\7DD42EFA\02%20BRK%20-%20Actual%20Physicals%20Information%20-%20February%202025.v2.xlsx" TargetMode="External"/></Relationships>
</file>

<file path=xl/externalLinks/_rels/externalLink16.xml.rels><?xml version="1.0" encoding="UTF-8" standalone="yes"?>
<Relationships xmlns="http://schemas.openxmlformats.org/package/2006/relationships"><Relationship Id="rId3" Type="http://schemas.openxmlformats.org/officeDocument/2006/relationships/externalLinkPath" Target="https://dallagliozw-my.sharepoint.com/personal/admin_dallaglio_co_zw/Documents/Dallaglio%20Investments/10000%20DAL/16000%20GIS/TIM%20EXPLORATION%20FILES/Pickstone%20Mine%20Excel%20Reports/Physicals/01%20BRK%20-%20Actual%20Physicals%20Information%20-%20January%202025.v2.xlsx" TargetMode="External"/><Relationship Id="rId2" Type="http://schemas.microsoft.com/office/2019/04/relationships/externalLinkLongPath" Target="https://dallagliozw-my.sharepoint.com/personal/admin_dallaglio_co_zw/Documents/Dallaglio%20Investments/10000%20DAL/16000%20GIS/TIM%20EXPLORATION%20FILES/Pickstone%20Mine%20Excel%20Reports/Physicals/01%20BRK%20-%20Actual%20Physicals%20Information%20-%20January%202025.v2.xlsx?7DD42EFA" TargetMode="External"/><Relationship Id="rId1" Type="http://schemas.openxmlformats.org/officeDocument/2006/relationships/externalLinkPath" Target="file:///\\7DD42EFA\01%20BRK%20-%20Actual%20Physicals%20Information%20-%20January%202025.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sheetName val="KPIs"/>
      <sheetName val="Actions"/>
      <sheetName val="Activities"/>
      <sheetName val="&gt; PUG"/>
      <sheetName val="Ore Accounting Actions"/>
      <sheetName val="Development"/>
      <sheetName val="Sheet1"/>
      <sheetName val="Generation"/>
      <sheetName val="Stoping"/>
      <sheetName val="D_Drilling"/>
      <sheetName val="Hoisting"/>
      <sheetName val="Tramming"/>
      <sheetName val="Projects"/>
      <sheetName val="PLANT"/>
      <sheetName val="Tonnage Recon"/>
      <sheetName val="Hoisting Charts"/>
      <sheetName val="&gt; SAMPLING"/>
      <sheetName val="DEV."/>
      <sheetName val="BENCHES."/>
      <sheetName val="HOISTING."/>
      <sheetName val="TRAMMING."/>
      <sheetName val="DEV.TRKR"/>
      <sheetName val="&gt; PLANS"/>
      <sheetName val="Development."/>
      <sheetName val="Breaking."/>
      <sheetName val="DD."/>
      <sheetName val="Schedule"/>
      <sheetName val="UG_Hoisting"/>
      <sheetName val="Weekly"/>
      <sheetName val="Stope History"/>
      <sheetName val="Sheet2"/>
      <sheetName val="KPIs (2)"/>
      <sheetName val="Sheet4"/>
    </sheetNames>
    <sheetDataSet>
      <sheetData sheetId="0">
        <row r="6">
          <cell r="C6">
            <v>45839</v>
          </cell>
        </row>
        <row r="7">
          <cell r="C7">
            <v>16</v>
          </cell>
        </row>
        <row r="16">
          <cell r="I16">
            <v>45839</v>
          </cell>
          <cell r="J16">
            <v>45840</v>
          </cell>
          <cell r="K16">
            <v>45841</v>
          </cell>
          <cell r="L16">
            <v>45842</v>
          </cell>
          <cell r="M16">
            <v>45843</v>
          </cell>
          <cell r="N16">
            <v>45844</v>
          </cell>
          <cell r="O16">
            <v>45845</v>
          </cell>
          <cell r="P16">
            <v>45846</v>
          </cell>
          <cell r="Q16">
            <v>45847</v>
          </cell>
          <cell r="R16">
            <v>45848</v>
          </cell>
          <cell r="S16">
            <v>45849</v>
          </cell>
          <cell r="T16">
            <v>45850</v>
          </cell>
          <cell r="U16">
            <v>45851</v>
          </cell>
          <cell r="V16">
            <v>45852</v>
          </cell>
          <cell r="W16">
            <v>45853</v>
          </cell>
          <cell r="X16">
            <v>45854</v>
          </cell>
          <cell r="Y16">
            <v>45855</v>
          </cell>
          <cell r="Z16">
            <v>45856</v>
          </cell>
          <cell r="AA16">
            <v>45857</v>
          </cell>
          <cell r="AB16">
            <v>45858</v>
          </cell>
          <cell r="AC16">
            <v>45859</v>
          </cell>
          <cell r="AD16">
            <v>45860</v>
          </cell>
          <cell r="AE16">
            <v>45861</v>
          </cell>
          <cell r="AF16">
            <v>45862</v>
          </cell>
          <cell r="AG16">
            <v>45863</v>
          </cell>
          <cell r="AH16">
            <v>45864</v>
          </cell>
          <cell r="AI16">
            <v>45865</v>
          </cell>
          <cell r="AJ16">
            <v>45866</v>
          </cell>
          <cell r="AK16">
            <v>45867</v>
          </cell>
          <cell r="AL16">
            <v>45868</v>
          </cell>
          <cell r="AM16">
            <v>45869</v>
          </cell>
        </row>
      </sheetData>
      <sheetData sheetId="1"/>
      <sheetData sheetId="2"/>
      <sheetData sheetId="3"/>
      <sheetData sheetId="4"/>
      <sheetData sheetId="5"/>
      <sheetData sheetId="6"/>
      <sheetData sheetId="7"/>
      <sheetData sheetId="8"/>
      <sheetData sheetId="9">
        <row r="18">
          <cell r="C18" t="str">
            <v>1L W28 STOPE</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row>
        <row r="25">
          <cell r="C25" t="str">
            <v>3L_W23A STOPE</v>
          </cell>
          <cell r="H25">
            <v>70</v>
          </cell>
          <cell r="I25">
            <v>70</v>
          </cell>
          <cell r="J25">
            <v>70</v>
          </cell>
          <cell r="K25">
            <v>70</v>
          </cell>
          <cell r="L25">
            <v>70</v>
          </cell>
          <cell r="M25">
            <v>70</v>
          </cell>
          <cell r="N25">
            <v>70</v>
          </cell>
          <cell r="O25">
            <v>70</v>
          </cell>
          <cell r="P25">
            <v>70</v>
          </cell>
          <cell r="Q25">
            <v>70</v>
          </cell>
          <cell r="R25">
            <v>70</v>
          </cell>
          <cell r="S25">
            <v>70</v>
          </cell>
          <cell r="T25">
            <v>70</v>
          </cell>
          <cell r="U25">
            <v>70</v>
          </cell>
          <cell r="V25">
            <v>70</v>
          </cell>
          <cell r="W25">
            <v>70</v>
          </cell>
          <cell r="X25">
            <v>70</v>
          </cell>
          <cell r="Y25">
            <v>70</v>
          </cell>
          <cell r="Z25">
            <v>70</v>
          </cell>
          <cell r="AA25">
            <v>70</v>
          </cell>
          <cell r="AB25">
            <v>70</v>
          </cell>
          <cell r="AC25">
            <v>70</v>
          </cell>
          <cell r="AD25">
            <v>70</v>
          </cell>
          <cell r="AE25">
            <v>70</v>
          </cell>
          <cell r="AF25">
            <v>70</v>
          </cell>
          <cell r="AG25">
            <v>70</v>
          </cell>
          <cell r="AH25">
            <v>70</v>
          </cell>
          <cell r="AI25">
            <v>70</v>
          </cell>
          <cell r="AJ25">
            <v>70</v>
          </cell>
          <cell r="AK25">
            <v>70</v>
          </cell>
          <cell r="AL25">
            <v>70</v>
          </cell>
        </row>
        <row r="32">
          <cell r="C32" t="str">
            <v>3L_W23B STOPE</v>
          </cell>
          <cell r="H32">
            <v>70</v>
          </cell>
          <cell r="I32">
            <v>70</v>
          </cell>
          <cell r="J32">
            <v>70</v>
          </cell>
          <cell r="K32">
            <v>70</v>
          </cell>
          <cell r="L32">
            <v>70</v>
          </cell>
          <cell r="M32">
            <v>70</v>
          </cell>
          <cell r="N32">
            <v>70</v>
          </cell>
          <cell r="O32">
            <v>70</v>
          </cell>
          <cell r="P32">
            <v>70</v>
          </cell>
          <cell r="Q32">
            <v>70</v>
          </cell>
          <cell r="R32">
            <v>70</v>
          </cell>
          <cell r="S32">
            <v>70</v>
          </cell>
          <cell r="T32">
            <v>70</v>
          </cell>
          <cell r="U32">
            <v>70</v>
          </cell>
          <cell r="V32">
            <v>70</v>
          </cell>
          <cell r="W32">
            <v>70</v>
          </cell>
          <cell r="X32">
            <v>70</v>
          </cell>
          <cell r="Y32">
            <v>70</v>
          </cell>
          <cell r="Z32">
            <v>70</v>
          </cell>
          <cell r="AA32">
            <v>70</v>
          </cell>
          <cell r="AB32">
            <v>70</v>
          </cell>
          <cell r="AC32">
            <v>70</v>
          </cell>
          <cell r="AD32">
            <v>70</v>
          </cell>
          <cell r="AE32">
            <v>70</v>
          </cell>
          <cell r="AF32">
            <v>70</v>
          </cell>
          <cell r="AG32">
            <v>70</v>
          </cell>
          <cell r="AH32">
            <v>70</v>
          </cell>
          <cell r="AI32">
            <v>70</v>
          </cell>
          <cell r="AJ32">
            <v>70</v>
          </cell>
          <cell r="AK32">
            <v>70</v>
          </cell>
          <cell r="AL32">
            <v>70</v>
          </cell>
        </row>
        <row r="39">
          <cell r="C39" t="str">
            <v>3L_W24B STOPE</v>
          </cell>
          <cell r="H39">
            <v>70</v>
          </cell>
          <cell r="I39">
            <v>70</v>
          </cell>
          <cell r="J39">
            <v>70</v>
          </cell>
          <cell r="K39">
            <v>70</v>
          </cell>
          <cell r="L39">
            <v>70</v>
          </cell>
          <cell r="M39">
            <v>70</v>
          </cell>
          <cell r="N39">
            <v>70</v>
          </cell>
          <cell r="O39">
            <v>70</v>
          </cell>
          <cell r="P39">
            <v>70</v>
          </cell>
          <cell r="Q39">
            <v>70</v>
          </cell>
          <cell r="R39">
            <v>70</v>
          </cell>
          <cell r="S39">
            <v>70</v>
          </cell>
          <cell r="T39">
            <v>70</v>
          </cell>
          <cell r="U39">
            <v>70</v>
          </cell>
          <cell r="V39">
            <v>70</v>
          </cell>
          <cell r="W39">
            <v>70</v>
          </cell>
          <cell r="X39">
            <v>70</v>
          </cell>
          <cell r="Y39">
            <v>70</v>
          </cell>
          <cell r="Z39">
            <v>70</v>
          </cell>
          <cell r="AA39">
            <v>70</v>
          </cell>
          <cell r="AB39">
            <v>70</v>
          </cell>
          <cell r="AC39">
            <v>70</v>
          </cell>
          <cell r="AD39">
            <v>70</v>
          </cell>
          <cell r="AE39">
            <v>70</v>
          </cell>
          <cell r="AF39">
            <v>70</v>
          </cell>
          <cell r="AG39">
            <v>70</v>
          </cell>
          <cell r="AH39">
            <v>70</v>
          </cell>
          <cell r="AI39">
            <v>70</v>
          </cell>
          <cell r="AJ39">
            <v>70</v>
          </cell>
          <cell r="AK39">
            <v>70</v>
          </cell>
          <cell r="AL39">
            <v>70</v>
          </cell>
        </row>
        <row r="46">
          <cell r="C46" t="str">
            <v xml:space="preserve">4L_W26 STOPE </v>
          </cell>
          <cell r="H46">
            <v>70</v>
          </cell>
          <cell r="I46">
            <v>70</v>
          </cell>
          <cell r="J46">
            <v>70</v>
          </cell>
          <cell r="K46">
            <v>70</v>
          </cell>
          <cell r="L46">
            <v>70</v>
          </cell>
          <cell r="M46">
            <v>70</v>
          </cell>
          <cell r="N46">
            <v>70</v>
          </cell>
          <cell r="O46">
            <v>70</v>
          </cell>
          <cell r="P46">
            <v>70</v>
          </cell>
          <cell r="Q46">
            <v>70</v>
          </cell>
          <cell r="R46">
            <v>70</v>
          </cell>
          <cell r="S46">
            <v>70</v>
          </cell>
          <cell r="T46">
            <v>70</v>
          </cell>
          <cell r="U46">
            <v>70</v>
          </cell>
          <cell r="V46">
            <v>70</v>
          </cell>
          <cell r="W46">
            <v>70</v>
          </cell>
          <cell r="X46">
            <v>70</v>
          </cell>
          <cell r="Y46">
            <v>70</v>
          </cell>
          <cell r="Z46">
            <v>70</v>
          </cell>
          <cell r="AA46">
            <v>70</v>
          </cell>
          <cell r="AB46">
            <v>70</v>
          </cell>
          <cell r="AC46">
            <v>70</v>
          </cell>
          <cell r="AD46">
            <v>70</v>
          </cell>
          <cell r="AE46">
            <v>70</v>
          </cell>
          <cell r="AF46">
            <v>70</v>
          </cell>
          <cell r="AG46">
            <v>70</v>
          </cell>
          <cell r="AH46">
            <v>70</v>
          </cell>
          <cell r="AI46">
            <v>70</v>
          </cell>
          <cell r="AJ46">
            <v>70</v>
          </cell>
          <cell r="AK46">
            <v>70</v>
          </cell>
          <cell r="AL46">
            <v>70</v>
          </cell>
        </row>
        <row r="67">
          <cell r="C67" t="str">
            <v>5L_W11 STOPE</v>
          </cell>
          <cell r="H67">
            <v>70</v>
          </cell>
          <cell r="I67">
            <v>70</v>
          </cell>
          <cell r="J67">
            <v>70</v>
          </cell>
          <cell r="K67">
            <v>70</v>
          </cell>
          <cell r="L67">
            <v>70</v>
          </cell>
          <cell r="M67">
            <v>70</v>
          </cell>
          <cell r="N67">
            <v>70</v>
          </cell>
          <cell r="O67">
            <v>70</v>
          </cell>
          <cell r="P67">
            <v>70</v>
          </cell>
          <cell r="Q67">
            <v>70</v>
          </cell>
          <cell r="R67">
            <v>70</v>
          </cell>
          <cell r="S67">
            <v>70</v>
          </cell>
          <cell r="T67">
            <v>70</v>
          </cell>
          <cell r="U67">
            <v>70</v>
          </cell>
          <cell r="V67">
            <v>70</v>
          </cell>
          <cell r="W67">
            <v>70</v>
          </cell>
          <cell r="X67">
            <v>70</v>
          </cell>
          <cell r="Y67">
            <v>70</v>
          </cell>
          <cell r="Z67">
            <v>70</v>
          </cell>
          <cell r="AA67">
            <v>70</v>
          </cell>
          <cell r="AB67">
            <v>70</v>
          </cell>
          <cell r="AC67">
            <v>70</v>
          </cell>
          <cell r="AD67">
            <v>70</v>
          </cell>
          <cell r="AE67">
            <v>70</v>
          </cell>
          <cell r="AF67">
            <v>70</v>
          </cell>
          <cell r="AG67">
            <v>70</v>
          </cell>
          <cell r="AH67">
            <v>70</v>
          </cell>
          <cell r="AI67">
            <v>70</v>
          </cell>
          <cell r="AJ67">
            <v>70</v>
          </cell>
          <cell r="AK67">
            <v>70</v>
          </cell>
          <cell r="AL67">
            <v>70</v>
          </cell>
        </row>
        <row r="74">
          <cell r="C74" t="str">
            <v>5L_W8 STOPE</v>
          </cell>
          <cell r="H74">
            <v>0</v>
          </cell>
          <cell r="I74">
            <v>0</v>
          </cell>
          <cell r="J74">
            <v>0</v>
          </cell>
          <cell r="L74">
            <v>0</v>
          </cell>
          <cell r="M74">
            <v>0</v>
          </cell>
          <cell r="N74">
            <v>0</v>
          </cell>
          <cell r="O74">
            <v>0</v>
          </cell>
          <cell r="P74">
            <v>0</v>
          </cell>
          <cell r="Q74">
            <v>0</v>
          </cell>
          <cell r="R74">
            <v>0</v>
          </cell>
          <cell r="S74">
            <v>0</v>
          </cell>
          <cell r="T74">
            <v>70</v>
          </cell>
          <cell r="U74">
            <v>70</v>
          </cell>
          <cell r="V74">
            <v>70</v>
          </cell>
          <cell r="W74">
            <v>70</v>
          </cell>
          <cell r="X74">
            <v>70</v>
          </cell>
          <cell r="Y74">
            <v>70</v>
          </cell>
          <cell r="Z74">
            <v>70</v>
          </cell>
          <cell r="AA74">
            <v>70</v>
          </cell>
          <cell r="AB74">
            <v>70</v>
          </cell>
          <cell r="AC74">
            <v>70</v>
          </cell>
          <cell r="AD74">
            <v>70</v>
          </cell>
          <cell r="AE74">
            <v>70</v>
          </cell>
          <cell r="AF74">
            <v>70</v>
          </cell>
          <cell r="AG74">
            <v>70</v>
          </cell>
          <cell r="AH74">
            <v>70</v>
          </cell>
          <cell r="AI74">
            <v>70</v>
          </cell>
          <cell r="AJ74">
            <v>70</v>
          </cell>
          <cell r="AK74">
            <v>70</v>
          </cell>
        </row>
        <row r="81">
          <cell r="C81" t="str">
            <v>6L_E1 STOPE</v>
          </cell>
          <cell r="H81">
            <v>70</v>
          </cell>
          <cell r="I81">
            <v>70</v>
          </cell>
          <cell r="J81">
            <v>70</v>
          </cell>
          <cell r="K81">
            <v>70</v>
          </cell>
          <cell r="L81">
            <v>70</v>
          </cell>
          <cell r="M81">
            <v>70</v>
          </cell>
          <cell r="N81">
            <v>70</v>
          </cell>
          <cell r="O81">
            <v>70</v>
          </cell>
          <cell r="P81">
            <v>70</v>
          </cell>
          <cell r="Q81">
            <v>70</v>
          </cell>
          <cell r="R81">
            <v>70</v>
          </cell>
          <cell r="S81">
            <v>70</v>
          </cell>
          <cell r="T81">
            <v>70</v>
          </cell>
          <cell r="U81">
            <v>70</v>
          </cell>
          <cell r="V81">
            <v>70</v>
          </cell>
          <cell r="W81">
            <v>70</v>
          </cell>
          <cell r="X81">
            <v>70</v>
          </cell>
          <cell r="Y81">
            <v>70</v>
          </cell>
          <cell r="Z81">
            <v>70</v>
          </cell>
          <cell r="AA81">
            <v>70</v>
          </cell>
          <cell r="AB81">
            <v>70</v>
          </cell>
          <cell r="AC81">
            <v>70</v>
          </cell>
          <cell r="AD81">
            <v>70</v>
          </cell>
          <cell r="AE81">
            <v>70</v>
          </cell>
          <cell r="AF81">
            <v>70</v>
          </cell>
          <cell r="AG81">
            <v>70</v>
          </cell>
          <cell r="AH81">
            <v>70</v>
          </cell>
          <cell r="AI81">
            <v>70</v>
          </cell>
          <cell r="AJ81">
            <v>70</v>
          </cell>
          <cell r="AK81">
            <v>70</v>
          </cell>
          <cell r="AL81">
            <v>70</v>
          </cell>
        </row>
        <row r="88">
          <cell r="C88" t="str">
            <v xml:space="preserve">6L_W1 STOPE </v>
          </cell>
          <cell r="H88">
            <v>70</v>
          </cell>
          <cell r="I88">
            <v>70</v>
          </cell>
          <cell r="J88">
            <v>70</v>
          </cell>
          <cell r="K88">
            <v>70</v>
          </cell>
          <cell r="L88">
            <v>70</v>
          </cell>
          <cell r="M88">
            <v>70</v>
          </cell>
          <cell r="N88">
            <v>70</v>
          </cell>
          <cell r="O88">
            <v>70</v>
          </cell>
          <cell r="P88">
            <v>70</v>
          </cell>
          <cell r="Q88">
            <v>70</v>
          </cell>
          <cell r="R88">
            <v>70</v>
          </cell>
          <cell r="S88">
            <v>70</v>
          </cell>
          <cell r="T88">
            <v>70</v>
          </cell>
          <cell r="U88">
            <v>70</v>
          </cell>
          <cell r="V88">
            <v>70</v>
          </cell>
          <cell r="W88">
            <v>70</v>
          </cell>
          <cell r="X88">
            <v>70</v>
          </cell>
          <cell r="Y88">
            <v>70</v>
          </cell>
          <cell r="Z88">
            <v>70</v>
          </cell>
          <cell r="AA88">
            <v>70</v>
          </cell>
          <cell r="AB88">
            <v>70</v>
          </cell>
          <cell r="AC88">
            <v>70</v>
          </cell>
          <cell r="AD88">
            <v>70</v>
          </cell>
          <cell r="AE88">
            <v>70</v>
          </cell>
          <cell r="AF88">
            <v>70</v>
          </cell>
          <cell r="AG88">
            <v>70</v>
          </cell>
          <cell r="AH88">
            <v>70</v>
          </cell>
          <cell r="AI88">
            <v>70</v>
          </cell>
          <cell r="AJ88">
            <v>70</v>
          </cell>
          <cell r="AK88">
            <v>70</v>
          </cell>
        </row>
        <row r="95">
          <cell r="C95" t="str">
            <v xml:space="preserve">6L_W2 STOPE </v>
          </cell>
          <cell r="H95">
            <v>105</v>
          </cell>
          <cell r="I95">
            <v>105</v>
          </cell>
          <cell r="J95">
            <v>105</v>
          </cell>
          <cell r="K95">
            <v>105</v>
          </cell>
          <cell r="L95">
            <v>105</v>
          </cell>
          <cell r="M95">
            <v>105</v>
          </cell>
          <cell r="N95">
            <v>105</v>
          </cell>
          <cell r="O95">
            <v>105</v>
          </cell>
          <cell r="P95">
            <v>105</v>
          </cell>
          <cell r="Q95">
            <v>105</v>
          </cell>
          <cell r="R95">
            <v>105</v>
          </cell>
          <cell r="S95">
            <v>105</v>
          </cell>
          <cell r="T95">
            <v>105</v>
          </cell>
          <cell r="U95">
            <v>105</v>
          </cell>
          <cell r="V95">
            <v>105</v>
          </cell>
          <cell r="W95">
            <v>105</v>
          </cell>
          <cell r="X95">
            <v>105</v>
          </cell>
          <cell r="Y95">
            <v>105</v>
          </cell>
          <cell r="Z95">
            <v>105</v>
          </cell>
          <cell r="AA95">
            <v>105</v>
          </cell>
          <cell r="AB95">
            <v>105</v>
          </cell>
          <cell r="AC95">
            <v>105</v>
          </cell>
          <cell r="AD95">
            <v>105</v>
          </cell>
          <cell r="AE95">
            <v>105</v>
          </cell>
          <cell r="AF95">
            <v>105</v>
          </cell>
          <cell r="AG95">
            <v>105</v>
          </cell>
          <cell r="AH95">
            <v>105</v>
          </cell>
          <cell r="AI95">
            <v>105</v>
          </cell>
          <cell r="AJ95">
            <v>105</v>
          </cell>
          <cell r="AK95">
            <v>105</v>
          </cell>
          <cell r="AL95">
            <v>105</v>
          </cell>
        </row>
        <row r="102">
          <cell r="C102" t="str">
            <v>6L_W3 STOPE</v>
          </cell>
          <cell r="H102">
            <v>70</v>
          </cell>
          <cell r="I102">
            <v>70</v>
          </cell>
          <cell r="J102">
            <v>70</v>
          </cell>
          <cell r="K102">
            <v>70</v>
          </cell>
          <cell r="L102">
            <v>70</v>
          </cell>
          <cell r="M102">
            <v>70</v>
          </cell>
          <cell r="N102">
            <v>70</v>
          </cell>
          <cell r="O102">
            <v>70</v>
          </cell>
          <cell r="P102">
            <v>70</v>
          </cell>
          <cell r="Q102">
            <v>70</v>
          </cell>
          <cell r="R102">
            <v>70</v>
          </cell>
          <cell r="S102">
            <v>70</v>
          </cell>
          <cell r="T102">
            <v>70</v>
          </cell>
          <cell r="U102">
            <v>70</v>
          </cell>
          <cell r="V102">
            <v>70</v>
          </cell>
          <cell r="W102">
            <v>70</v>
          </cell>
          <cell r="X102">
            <v>70</v>
          </cell>
          <cell r="Y102">
            <v>70</v>
          </cell>
          <cell r="Z102">
            <v>70</v>
          </cell>
          <cell r="AA102">
            <v>70</v>
          </cell>
          <cell r="AB102">
            <v>70</v>
          </cell>
          <cell r="AC102">
            <v>70</v>
          </cell>
          <cell r="AD102">
            <v>70</v>
          </cell>
          <cell r="AE102">
            <v>70</v>
          </cell>
          <cell r="AF102">
            <v>70</v>
          </cell>
          <cell r="AG102">
            <v>70</v>
          </cell>
          <cell r="AH102">
            <v>70</v>
          </cell>
          <cell r="AI102">
            <v>70</v>
          </cell>
          <cell r="AJ102">
            <v>70</v>
          </cell>
          <cell r="AK102">
            <v>70</v>
          </cell>
          <cell r="AL102">
            <v>70</v>
          </cell>
        </row>
        <row r="109">
          <cell r="C109" t="str">
            <v>6L_W4 STOPE</v>
          </cell>
          <cell r="H109">
            <v>70</v>
          </cell>
          <cell r="I109">
            <v>70</v>
          </cell>
          <cell r="J109">
            <v>70</v>
          </cell>
          <cell r="K109">
            <v>70</v>
          </cell>
          <cell r="L109">
            <v>70</v>
          </cell>
          <cell r="M109">
            <v>70</v>
          </cell>
          <cell r="N109">
            <v>70</v>
          </cell>
          <cell r="O109">
            <v>70</v>
          </cell>
          <cell r="P109">
            <v>70</v>
          </cell>
          <cell r="Q109">
            <v>70</v>
          </cell>
          <cell r="R109">
            <v>70</v>
          </cell>
          <cell r="S109">
            <v>70</v>
          </cell>
          <cell r="T109">
            <v>70</v>
          </cell>
          <cell r="U109">
            <v>70</v>
          </cell>
          <cell r="V109">
            <v>70</v>
          </cell>
          <cell r="W109">
            <v>70</v>
          </cell>
          <cell r="X109">
            <v>70</v>
          </cell>
          <cell r="Y109">
            <v>70</v>
          </cell>
          <cell r="Z109">
            <v>70</v>
          </cell>
          <cell r="AA109">
            <v>70</v>
          </cell>
          <cell r="AB109">
            <v>70</v>
          </cell>
          <cell r="AC109">
            <v>70</v>
          </cell>
          <cell r="AD109">
            <v>70</v>
          </cell>
          <cell r="AE109">
            <v>70</v>
          </cell>
          <cell r="AF109">
            <v>70</v>
          </cell>
          <cell r="AG109">
            <v>70</v>
          </cell>
          <cell r="AH109">
            <v>70</v>
          </cell>
          <cell r="AI109">
            <v>70</v>
          </cell>
          <cell r="AJ109">
            <v>70</v>
          </cell>
          <cell r="AK109">
            <v>70</v>
          </cell>
          <cell r="AL109">
            <v>70</v>
          </cell>
        </row>
        <row r="116">
          <cell r="C116" t="str">
            <v>6L_W8 STOPE</v>
          </cell>
          <cell r="H116">
            <v>35</v>
          </cell>
          <cell r="I116">
            <v>35</v>
          </cell>
          <cell r="J116">
            <v>35</v>
          </cell>
          <cell r="K116">
            <v>35</v>
          </cell>
          <cell r="L116">
            <v>35</v>
          </cell>
          <cell r="M116">
            <v>35</v>
          </cell>
          <cell r="N116">
            <v>35</v>
          </cell>
          <cell r="O116">
            <v>35</v>
          </cell>
          <cell r="P116">
            <v>35</v>
          </cell>
          <cell r="Q116">
            <v>35</v>
          </cell>
          <cell r="R116">
            <v>35</v>
          </cell>
          <cell r="S116">
            <v>35</v>
          </cell>
          <cell r="T116">
            <v>35</v>
          </cell>
          <cell r="U116">
            <v>35</v>
          </cell>
          <cell r="V116">
            <v>35</v>
          </cell>
          <cell r="W116">
            <v>35</v>
          </cell>
          <cell r="X116">
            <v>35</v>
          </cell>
          <cell r="Y116">
            <v>35</v>
          </cell>
          <cell r="Z116">
            <v>35</v>
          </cell>
          <cell r="AA116">
            <v>35</v>
          </cell>
          <cell r="AB116">
            <v>35</v>
          </cell>
          <cell r="AC116">
            <v>35</v>
          </cell>
          <cell r="AD116">
            <v>35</v>
          </cell>
          <cell r="AE116">
            <v>35</v>
          </cell>
          <cell r="AF116">
            <v>35</v>
          </cell>
          <cell r="AG116">
            <v>35</v>
          </cell>
          <cell r="AH116">
            <v>35</v>
          </cell>
          <cell r="AI116">
            <v>35</v>
          </cell>
          <cell r="AJ116">
            <v>35</v>
          </cell>
          <cell r="AK116">
            <v>35</v>
          </cell>
        </row>
        <row r="123">
          <cell r="C123" t="str">
            <v>6L_W14 STOPE</v>
          </cell>
          <cell r="H123">
            <v>70</v>
          </cell>
          <cell r="I123">
            <v>70</v>
          </cell>
          <cell r="J123">
            <v>70</v>
          </cell>
          <cell r="K123">
            <v>70</v>
          </cell>
          <cell r="L123">
            <v>70</v>
          </cell>
          <cell r="M123">
            <v>70</v>
          </cell>
          <cell r="N123">
            <v>70</v>
          </cell>
          <cell r="O123">
            <v>70</v>
          </cell>
          <cell r="P123">
            <v>70</v>
          </cell>
          <cell r="Q123">
            <v>70</v>
          </cell>
          <cell r="R123">
            <v>70</v>
          </cell>
          <cell r="S123">
            <v>70</v>
          </cell>
          <cell r="T123">
            <v>70</v>
          </cell>
          <cell r="U123">
            <v>70</v>
          </cell>
          <cell r="V123">
            <v>70</v>
          </cell>
          <cell r="W123">
            <v>70</v>
          </cell>
          <cell r="X123">
            <v>70</v>
          </cell>
          <cell r="Y123">
            <v>70</v>
          </cell>
          <cell r="Z123">
            <v>70</v>
          </cell>
          <cell r="AA123">
            <v>70</v>
          </cell>
          <cell r="AB123">
            <v>70</v>
          </cell>
          <cell r="AC123">
            <v>70</v>
          </cell>
          <cell r="AD123">
            <v>70</v>
          </cell>
          <cell r="AE123">
            <v>70</v>
          </cell>
          <cell r="AF123">
            <v>70</v>
          </cell>
          <cell r="AG123">
            <v>70</v>
          </cell>
          <cell r="AH123">
            <v>70</v>
          </cell>
          <cell r="AI123">
            <v>70</v>
          </cell>
          <cell r="AJ123">
            <v>70</v>
          </cell>
          <cell r="AK123">
            <v>70</v>
          </cell>
          <cell r="AL123">
            <v>70</v>
          </cell>
        </row>
        <row r="130">
          <cell r="C130" t="str">
            <v>6L_W15_STOPE</v>
          </cell>
          <cell r="H130">
            <v>70</v>
          </cell>
          <cell r="I130">
            <v>70</v>
          </cell>
          <cell r="J130">
            <v>70</v>
          </cell>
          <cell r="K130">
            <v>70</v>
          </cell>
          <cell r="L130">
            <v>70</v>
          </cell>
          <cell r="M130">
            <v>70</v>
          </cell>
          <cell r="N130">
            <v>70</v>
          </cell>
          <cell r="O130">
            <v>70</v>
          </cell>
          <cell r="P130">
            <v>70</v>
          </cell>
          <cell r="Q130">
            <v>70</v>
          </cell>
          <cell r="R130">
            <v>70</v>
          </cell>
          <cell r="S130">
            <v>70</v>
          </cell>
          <cell r="T130">
            <v>70</v>
          </cell>
          <cell r="U130">
            <v>70</v>
          </cell>
          <cell r="V130">
            <v>70</v>
          </cell>
          <cell r="W130">
            <v>70</v>
          </cell>
          <cell r="X130">
            <v>70</v>
          </cell>
          <cell r="Y130">
            <v>70</v>
          </cell>
          <cell r="Z130">
            <v>70</v>
          </cell>
          <cell r="AA130">
            <v>70</v>
          </cell>
          <cell r="AB130">
            <v>70</v>
          </cell>
          <cell r="AC130">
            <v>70</v>
          </cell>
          <cell r="AD130">
            <v>70</v>
          </cell>
          <cell r="AE130">
            <v>70</v>
          </cell>
          <cell r="AF130">
            <v>70</v>
          </cell>
          <cell r="AG130">
            <v>70</v>
          </cell>
          <cell r="AH130">
            <v>70</v>
          </cell>
          <cell r="AI130">
            <v>70</v>
          </cell>
          <cell r="AJ130">
            <v>70</v>
          </cell>
          <cell r="AK130">
            <v>70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9">
          <cell r="A9" t="str">
            <v>1L W28 STOPE</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row>
        <row r="10">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row>
        <row r="13">
          <cell r="A13" t="str">
            <v>3L_W23A STOPE</v>
          </cell>
          <cell r="D13">
            <v>70</v>
          </cell>
          <cell r="E13">
            <v>70</v>
          </cell>
          <cell r="F13">
            <v>70</v>
          </cell>
          <cell r="G13">
            <v>70</v>
          </cell>
          <cell r="H13">
            <v>70</v>
          </cell>
          <cell r="I13">
            <v>70</v>
          </cell>
          <cell r="J13">
            <v>70</v>
          </cell>
          <cell r="K13">
            <v>70</v>
          </cell>
          <cell r="L13">
            <v>70</v>
          </cell>
          <cell r="M13">
            <v>70</v>
          </cell>
          <cell r="N13">
            <v>70</v>
          </cell>
          <cell r="O13">
            <v>70</v>
          </cell>
          <cell r="P13">
            <v>70</v>
          </cell>
          <cell r="Q13">
            <v>70</v>
          </cell>
          <cell r="R13">
            <v>70</v>
          </cell>
          <cell r="S13">
            <v>70</v>
          </cell>
          <cell r="T13">
            <v>70</v>
          </cell>
          <cell r="U13">
            <v>70</v>
          </cell>
          <cell r="V13">
            <v>70</v>
          </cell>
          <cell r="W13">
            <v>70</v>
          </cell>
          <cell r="X13">
            <v>70</v>
          </cell>
          <cell r="Y13">
            <v>70</v>
          </cell>
          <cell r="Z13">
            <v>70</v>
          </cell>
          <cell r="AA13">
            <v>70</v>
          </cell>
          <cell r="AB13">
            <v>70</v>
          </cell>
          <cell r="AC13">
            <v>70</v>
          </cell>
          <cell r="AD13">
            <v>70</v>
          </cell>
          <cell r="AE13">
            <v>70</v>
          </cell>
          <cell r="AF13">
            <v>70</v>
          </cell>
          <cell r="AG13">
            <v>70</v>
          </cell>
          <cell r="AH13">
            <v>70</v>
          </cell>
        </row>
        <row r="14">
          <cell r="D14">
            <v>1.9859813084112148</v>
          </cell>
          <cell r="E14">
            <v>1.9859813084112148</v>
          </cell>
          <cell r="F14">
            <v>1.9859813084112148</v>
          </cell>
          <cell r="G14">
            <v>1.9859813084112148</v>
          </cell>
          <cell r="H14">
            <v>1.9859813084112148</v>
          </cell>
          <cell r="I14">
            <v>1.9859813084112148</v>
          </cell>
          <cell r="J14">
            <v>1.9859813084112148</v>
          </cell>
          <cell r="K14">
            <v>1.9859813084112148</v>
          </cell>
          <cell r="L14">
            <v>1.9859813084112148</v>
          </cell>
          <cell r="M14">
            <v>1.9859813084112148</v>
          </cell>
          <cell r="N14">
            <v>1.9859813084112148</v>
          </cell>
          <cell r="O14">
            <v>1.9859813084112148</v>
          </cell>
          <cell r="P14">
            <v>1.9859813084112148</v>
          </cell>
          <cell r="Q14">
            <v>1.9859813084112148</v>
          </cell>
          <cell r="R14">
            <v>1.9859813084112148</v>
          </cell>
          <cell r="S14">
            <v>1.9859813084112148</v>
          </cell>
          <cell r="T14">
            <v>1.9859813084112148</v>
          </cell>
          <cell r="U14">
            <v>1.9859813084112148</v>
          </cell>
          <cell r="V14">
            <v>1.9859813084112148</v>
          </cell>
          <cell r="W14">
            <v>1.9859813084112148</v>
          </cell>
          <cell r="X14">
            <v>1.9859813084112148</v>
          </cell>
          <cell r="Y14">
            <v>1.9859813084112148</v>
          </cell>
          <cell r="Z14">
            <v>1.9859813084112148</v>
          </cell>
          <cell r="AA14">
            <v>1.9859813084112148</v>
          </cell>
          <cell r="AB14">
            <v>1.9859813084112148</v>
          </cell>
          <cell r="AC14">
            <v>1.9859813084112148</v>
          </cell>
          <cell r="AD14">
            <v>1.9859813084112148</v>
          </cell>
          <cell r="AE14">
            <v>1.9859813084112148</v>
          </cell>
          <cell r="AF14">
            <v>1.9859813084112148</v>
          </cell>
          <cell r="AG14">
            <v>1.9859813084112148</v>
          </cell>
          <cell r="AH14">
            <v>1.9859813084112148</v>
          </cell>
        </row>
        <row r="15">
          <cell r="A15" t="str">
            <v>3L_W23B STOPE</v>
          </cell>
        </row>
        <row r="16">
          <cell r="D16">
            <v>1.9859813084112148</v>
          </cell>
          <cell r="E16">
            <v>1.9859813084112148</v>
          </cell>
          <cell r="F16">
            <v>1.9859813084112148</v>
          </cell>
          <cell r="G16">
            <v>1.9859813084112148</v>
          </cell>
          <cell r="H16">
            <v>1.9859813084112148</v>
          </cell>
          <cell r="I16">
            <v>1.9859813084112148</v>
          </cell>
          <cell r="J16">
            <v>1.9859813084112148</v>
          </cell>
          <cell r="K16">
            <v>1.9859813084112148</v>
          </cell>
          <cell r="L16">
            <v>1.9859813084112148</v>
          </cell>
          <cell r="M16">
            <v>1.9859813084112148</v>
          </cell>
          <cell r="N16">
            <v>1.9859813084112148</v>
          </cell>
          <cell r="O16">
            <v>1.9859813084112148</v>
          </cell>
          <cell r="P16">
            <v>1.9859813084112148</v>
          </cell>
          <cell r="Q16">
            <v>1.9859813084112148</v>
          </cell>
          <cell r="R16">
            <v>1.9859813084112148</v>
          </cell>
          <cell r="S16">
            <v>1.9859813084112148</v>
          </cell>
          <cell r="T16">
            <v>1.9859813084112148</v>
          </cell>
          <cell r="U16">
            <v>1.9859813084112148</v>
          </cell>
          <cell r="V16">
            <v>1.9859813084112148</v>
          </cell>
          <cell r="W16">
            <v>1.9859813084112148</v>
          </cell>
          <cell r="X16">
            <v>1.9859813084112148</v>
          </cell>
          <cell r="Y16">
            <v>1.9859813084112148</v>
          </cell>
          <cell r="Z16">
            <v>1.9859813084112148</v>
          </cell>
          <cell r="AA16">
            <v>1.9859813084112148</v>
          </cell>
          <cell r="AB16">
            <v>1.9859813084112148</v>
          </cell>
          <cell r="AC16">
            <v>1.9859813084112148</v>
          </cell>
          <cell r="AD16">
            <v>1.9859813084112148</v>
          </cell>
          <cell r="AE16">
            <v>1.9859813084112148</v>
          </cell>
          <cell r="AF16">
            <v>1.9859813084112148</v>
          </cell>
          <cell r="AG16">
            <v>1.9859813084112148</v>
          </cell>
          <cell r="AH16">
            <v>1.9859813084112148</v>
          </cell>
        </row>
        <row r="17">
          <cell r="A17" t="str">
            <v>3L_W24B STOPE</v>
          </cell>
          <cell r="D17">
            <v>70</v>
          </cell>
          <cell r="E17">
            <v>70</v>
          </cell>
          <cell r="F17">
            <v>70</v>
          </cell>
          <cell r="G17">
            <v>70</v>
          </cell>
          <cell r="H17">
            <v>70</v>
          </cell>
          <cell r="I17">
            <v>70</v>
          </cell>
          <cell r="J17">
            <v>70</v>
          </cell>
          <cell r="K17">
            <v>70</v>
          </cell>
          <cell r="L17">
            <v>70</v>
          </cell>
          <cell r="M17">
            <v>70</v>
          </cell>
          <cell r="N17">
            <v>70</v>
          </cell>
          <cell r="O17">
            <v>70</v>
          </cell>
          <cell r="P17">
            <v>70</v>
          </cell>
          <cell r="Q17">
            <v>70</v>
          </cell>
          <cell r="R17">
            <v>70</v>
          </cell>
          <cell r="S17">
            <v>70</v>
          </cell>
          <cell r="T17">
            <v>70</v>
          </cell>
          <cell r="U17">
            <v>70</v>
          </cell>
          <cell r="V17">
            <v>70</v>
          </cell>
          <cell r="W17">
            <v>70</v>
          </cell>
          <cell r="X17">
            <v>70</v>
          </cell>
          <cell r="Y17">
            <v>70</v>
          </cell>
          <cell r="Z17">
            <v>70</v>
          </cell>
          <cell r="AA17">
            <v>70</v>
          </cell>
          <cell r="AB17">
            <v>70</v>
          </cell>
          <cell r="AC17">
            <v>70</v>
          </cell>
          <cell r="AD17">
            <v>70</v>
          </cell>
          <cell r="AE17">
            <v>70</v>
          </cell>
          <cell r="AF17">
            <v>70</v>
          </cell>
          <cell r="AG17">
            <v>70</v>
          </cell>
          <cell r="AH17">
            <v>70</v>
          </cell>
        </row>
        <row r="18">
          <cell r="D18">
            <v>1.8271028037383175</v>
          </cell>
          <cell r="E18">
            <v>1.8271028037383175</v>
          </cell>
          <cell r="F18">
            <v>1.8271028037383175</v>
          </cell>
          <cell r="G18">
            <v>1.8271028037383175</v>
          </cell>
          <cell r="H18">
            <v>1.8271028037383175</v>
          </cell>
          <cell r="I18">
            <v>1.8271028037383175</v>
          </cell>
          <cell r="J18">
            <v>1.8271028037383175</v>
          </cell>
          <cell r="K18">
            <v>1.8271028037383175</v>
          </cell>
          <cell r="L18">
            <v>1.8271028037383175</v>
          </cell>
          <cell r="M18">
            <v>1.8271028037383175</v>
          </cell>
          <cell r="N18">
            <v>1.8271028037383175</v>
          </cell>
          <cell r="O18">
            <v>1.8271028037383175</v>
          </cell>
          <cell r="P18">
            <v>1.8271028037383175</v>
          </cell>
          <cell r="Q18">
            <v>1.8271028037383175</v>
          </cell>
          <cell r="R18">
            <v>1.8271028037383175</v>
          </cell>
          <cell r="S18">
            <v>1.8271028037383175</v>
          </cell>
          <cell r="T18">
            <v>1.8271028037383175</v>
          </cell>
          <cell r="U18">
            <v>1.8271028037383175</v>
          </cell>
          <cell r="V18">
            <v>1.8271028037383175</v>
          </cell>
          <cell r="W18">
            <v>1.8271028037383175</v>
          </cell>
          <cell r="X18">
            <v>1.8271028037383175</v>
          </cell>
          <cell r="Y18">
            <v>1.8271028037383175</v>
          </cell>
          <cell r="Z18">
            <v>1.8271028037383175</v>
          </cell>
          <cell r="AA18">
            <v>1.8271028037383175</v>
          </cell>
          <cell r="AB18">
            <v>1.8271028037383175</v>
          </cell>
          <cell r="AC18">
            <v>1.8271028037383175</v>
          </cell>
          <cell r="AD18">
            <v>1.8271028037383175</v>
          </cell>
          <cell r="AE18">
            <v>1.8271028037383175</v>
          </cell>
          <cell r="AF18">
            <v>1.8271028037383175</v>
          </cell>
          <cell r="AG18">
            <v>1.8271028037383175</v>
          </cell>
          <cell r="AH18">
            <v>1.8271028037383175</v>
          </cell>
        </row>
        <row r="47">
          <cell r="A47" t="str">
            <v xml:space="preserve">4L_W26 STOPE </v>
          </cell>
          <cell r="D47">
            <v>70</v>
          </cell>
          <cell r="E47">
            <v>70</v>
          </cell>
          <cell r="F47">
            <v>70</v>
          </cell>
          <cell r="G47">
            <v>70</v>
          </cell>
          <cell r="H47">
            <v>70</v>
          </cell>
          <cell r="I47">
            <v>70</v>
          </cell>
          <cell r="J47">
            <v>70</v>
          </cell>
          <cell r="K47">
            <v>70</v>
          </cell>
          <cell r="L47">
            <v>70</v>
          </cell>
          <cell r="M47">
            <v>70</v>
          </cell>
          <cell r="N47">
            <v>70</v>
          </cell>
          <cell r="O47">
            <v>70</v>
          </cell>
          <cell r="P47">
            <v>70</v>
          </cell>
          <cell r="Q47">
            <v>70</v>
          </cell>
          <cell r="R47">
            <v>70</v>
          </cell>
          <cell r="S47">
            <v>70</v>
          </cell>
          <cell r="T47">
            <v>70</v>
          </cell>
          <cell r="U47">
            <v>70</v>
          </cell>
          <cell r="V47">
            <v>70</v>
          </cell>
          <cell r="W47">
            <v>70</v>
          </cell>
          <cell r="X47">
            <v>70</v>
          </cell>
          <cell r="Y47">
            <v>70</v>
          </cell>
          <cell r="Z47">
            <v>70</v>
          </cell>
          <cell r="AA47">
            <v>70</v>
          </cell>
          <cell r="AB47">
            <v>70</v>
          </cell>
          <cell r="AC47">
            <v>70</v>
          </cell>
          <cell r="AD47">
            <v>70</v>
          </cell>
          <cell r="AE47">
            <v>70</v>
          </cell>
          <cell r="AF47">
            <v>70</v>
          </cell>
          <cell r="AG47">
            <v>70</v>
          </cell>
          <cell r="AH47">
            <v>70</v>
          </cell>
        </row>
        <row r="48">
          <cell r="D48">
            <v>1.9462616822429906</v>
          </cell>
          <cell r="E48">
            <v>1.9462616822429906</v>
          </cell>
          <cell r="F48">
            <v>1.9462616822429906</v>
          </cell>
          <cell r="G48">
            <v>1.9462616822429906</v>
          </cell>
          <cell r="H48">
            <v>1.9462616822429906</v>
          </cell>
          <cell r="I48">
            <v>1.9462616822429906</v>
          </cell>
          <cell r="J48">
            <v>1.9462616822429906</v>
          </cell>
          <cell r="K48">
            <v>1.9462616822429906</v>
          </cell>
          <cell r="L48">
            <v>1.9462616822429906</v>
          </cell>
          <cell r="M48">
            <v>1.9462616822429906</v>
          </cell>
          <cell r="N48">
            <v>1.9462616822429906</v>
          </cell>
          <cell r="O48">
            <v>1.9462616822429906</v>
          </cell>
          <cell r="P48">
            <v>1.9462616822429906</v>
          </cell>
          <cell r="Q48">
            <v>1.9462616822429906</v>
          </cell>
          <cell r="R48">
            <v>1.9462616822429906</v>
          </cell>
          <cell r="S48">
            <v>1.9462616822429906</v>
          </cell>
          <cell r="T48">
            <v>1.9462616822429906</v>
          </cell>
          <cell r="U48">
            <v>1.9462616822429906</v>
          </cell>
          <cell r="V48">
            <v>1.9462616822429906</v>
          </cell>
          <cell r="W48">
            <v>1.9462616822429906</v>
          </cell>
          <cell r="X48">
            <v>1.9462616822429906</v>
          </cell>
          <cell r="Y48">
            <v>1.9462616822429906</v>
          </cell>
          <cell r="Z48">
            <v>1.9462616822429906</v>
          </cell>
          <cell r="AA48">
            <v>1.9462616822429906</v>
          </cell>
          <cell r="AB48">
            <v>1.9462616822429906</v>
          </cell>
          <cell r="AC48">
            <v>1.9462616822429906</v>
          </cell>
          <cell r="AD48">
            <v>1.9462616822429906</v>
          </cell>
          <cell r="AE48">
            <v>1.9462616822429906</v>
          </cell>
          <cell r="AF48">
            <v>1.9462616822429906</v>
          </cell>
          <cell r="AG48">
            <v>1.9462616822429906</v>
          </cell>
          <cell r="AH48">
            <v>1.9462616822429906</v>
          </cell>
        </row>
        <row r="53">
          <cell r="A53" t="str">
            <v>5L_W8 STOPE</v>
          </cell>
          <cell r="P53">
            <v>70</v>
          </cell>
          <cell r="Q53">
            <v>70</v>
          </cell>
          <cell r="R53">
            <v>70</v>
          </cell>
          <cell r="S53">
            <v>70</v>
          </cell>
          <cell r="T53">
            <v>70</v>
          </cell>
          <cell r="U53">
            <v>70</v>
          </cell>
          <cell r="V53">
            <v>70</v>
          </cell>
          <cell r="W53">
            <v>70</v>
          </cell>
          <cell r="X53">
            <v>70</v>
          </cell>
          <cell r="Y53">
            <v>70</v>
          </cell>
          <cell r="Z53">
            <v>70</v>
          </cell>
          <cell r="AA53">
            <v>70</v>
          </cell>
          <cell r="AB53">
            <v>70</v>
          </cell>
          <cell r="AC53">
            <v>70</v>
          </cell>
          <cell r="AD53">
            <v>70</v>
          </cell>
          <cell r="AE53">
            <v>70</v>
          </cell>
          <cell r="AF53">
            <v>70</v>
          </cell>
          <cell r="AG53">
            <v>70</v>
          </cell>
          <cell r="AH53">
            <v>70</v>
          </cell>
        </row>
        <row r="54">
          <cell r="P54">
            <v>1.6682242990654204</v>
          </cell>
          <cell r="Q54">
            <v>1.6682242990654204</v>
          </cell>
          <cell r="R54">
            <v>1.6682242990654204</v>
          </cell>
          <cell r="S54">
            <v>1.6682242990654204</v>
          </cell>
          <cell r="T54">
            <v>1.6682242990654204</v>
          </cell>
          <cell r="U54">
            <v>1.6682242990654204</v>
          </cell>
          <cell r="V54">
            <v>1.6682242990654204</v>
          </cell>
          <cell r="W54">
            <v>1.6682242990654204</v>
          </cell>
          <cell r="X54">
            <v>1.6682242990654204</v>
          </cell>
          <cell r="Y54">
            <v>1.6682242990654204</v>
          </cell>
          <cell r="Z54">
            <v>1.6682242990654204</v>
          </cell>
          <cell r="AA54">
            <v>1.6682242990654204</v>
          </cell>
          <cell r="AB54">
            <v>1.6682242990654204</v>
          </cell>
          <cell r="AC54">
            <v>1.6682242990654204</v>
          </cell>
          <cell r="AD54">
            <v>1.6682242990654204</v>
          </cell>
          <cell r="AE54">
            <v>1.6682242990654204</v>
          </cell>
          <cell r="AF54">
            <v>1.6682242990654204</v>
          </cell>
          <cell r="AG54">
            <v>1.6682242990654204</v>
          </cell>
          <cell r="AH54">
            <v>1.6682242990654204</v>
          </cell>
        </row>
        <row r="55">
          <cell r="A55" t="str">
            <v>5L_W11 STOPE</v>
          </cell>
          <cell r="D55">
            <v>70</v>
          </cell>
          <cell r="E55">
            <v>70</v>
          </cell>
          <cell r="F55">
            <v>70</v>
          </cell>
          <cell r="G55">
            <v>70</v>
          </cell>
          <cell r="H55">
            <v>70</v>
          </cell>
          <cell r="I55">
            <v>70</v>
          </cell>
          <cell r="J55">
            <v>70</v>
          </cell>
          <cell r="K55">
            <v>70</v>
          </cell>
          <cell r="L55">
            <v>70</v>
          </cell>
          <cell r="M55">
            <v>70</v>
          </cell>
          <cell r="N55">
            <v>70</v>
          </cell>
          <cell r="O55">
            <v>70</v>
          </cell>
          <cell r="P55">
            <v>70</v>
          </cell>
          <cell r="Q55">
            <v>70</v>
          </cell>
          <cell r="R55">
            <v>70</v>
          </cell>
          <cell r="S55">
            <v>70</v>
          </cell>
          <cell r="T55">
            <v>70</v>
          </cell>
          <cell r="U55">
            <v>70</v>
          </cell>
          <cell r="V55">
            <v>70</v>
          </cell>
          <cell r="W55">
            <v>70</v>
          </cell>
          <cell r="X55">
            <v>70</v>
          </cell>
          <cell r="Y55">
            <v>70</v>
          </cell>
          <cell r="Z55">
            <v>70</v>
          </cell>
          <cell r="AA55">
            <v>70</v>
          </cell>
          <cell r="AB55">
            <v>70</v>
          </cell>
          <cell r="AC55">
            <v>70</v>
          </cell>
          <cell r="AD55">
            <v>70</v>
          </cell>
          <cell r="AE55">
            <v>70</v>
          </cell>
          <cell r="AF55">
            <v>70</v>
          </cell>
          <cell r="AG55">
            <v>70</v>
          </cell>
          <cell r="AH55">
            <v>70</v>
          </cell>
        </row>
        <row r="56">
          <cell r="D56">
            <v>1.7476635514018692</v>
          </cell>
          <cell r="E56">
            <v>1.7476635514018692</v>
          </cell>
          <cell r="F56">
            <v>1.7476635514018692</v>
          </cell>
          <cell r="G56">
            <v>1.7476635514018692</v>
          </cell>
          <cell r="H56">
            <v>1.7476635514018692</v>
          </cell>
          <cell r="I56">
            <v>1.7476635514018692</v>
          </cell>
          <cell r="J56">
            <v>1.7476635514018692</v>
          </cell>
          <cell r="K56">
            <v>1.7476635514018692</v>
          </cell>
          <cell r="L56">
            <v>1.7476635514018692</v>
          </cell>
          <cell r="M56">
            <v>1.7476635514018692</v>
          </cell>
          <cell r="N56">
            <v>1.7476635514018692</v>
          </cell>
          <cell r="O56">
            <v>1.7476635514018692</v>
          </cell>
          <cell r="P56">
            <v>1.7476635514018692</v>
          </cell>
          <cell r="Q56">
            <v>1.7476635514018692</v>
          </cell>
          <cell r="R56">
            <v>1.7476635514018692</v>
          </cell>
          <cell r="S56">
            <v>1.7476635514018692</v>
          </cell>
          <cell r="T56">
            <v>1.7476635514018692</v>
          </cell>
          <cell r="U56">
            <v>1.7476635514018692</v>
          </cell>
          <cell r="V56">
            <v>1.7476635514018692</v>
          </cell>
          <cell r="W56">
            <v>1.7476635514018692</v>
          </cell>
          <cell r="X56">
            <v>1.7476635514018692</v>
          </cell>
          <cell r="Y56">
            <v>1.7476635514018692</v>
          </cell>
          <cell r="Z56">
            <v>1.7476635514018692</v>
          </cell>
          <cell r="AA56">
            <v>1.7476635514018692</v>
          </cell>
          <cell r="AB56">
            <v>1.7476635514018692</v>
          </cell>
          <cell r="AC56">
            <v>1.7476635514018692</v>
          </cell>
          <cell r="AD56">
            <v>1.7476635514018692</v>
          </cell>
          <cell r="AE56">
            <v>1.7476635514018692</v>
          </cell>
          <cell r="AF56">
            <v>1.7476635514018692</v>
          </cell>
          <cell r="AG56">
            <v>1.7476635514018692</v>
          </cell>
          <cell r="AH56">
            <v>1.7476635514018692</v>
          </cell>
        </row>
        <row r="63">
          <cell r="A63" t="str">
            <v>6L_E1 STOPE</v>
          </cell>
          <cell r="D63">
            <v>70</v>
          </cell>
          <cell r="E63">
            <v>70</v>
          </cell>
          <cell r="F63">
            <v>70</v>
          </cell>
          <cell r="G63">
            <v>70</v>
          </cell>
          <cell r="H63">
            <v>70</v>
          </cell>
          <cell r="I63">
            <v>70</v>
          </cell>
          <cell r="J63">
            <v>70</v>
          </cell>
          <cell r="K63">
            <v>70</v>
          </cell>
          <cell r="L63">
            <v>70</v>
          </cell>
          <cell r="M63">
            <v>70</v>
          </cell>
          <cell r="N63">
            <v>70</v>
          </cell>
          <cell r="O63">
            <v>70</v>
          </cell>
          <cell r="P63">
            <v>70</v>
          </cell>
          <cell r="Q63">
            <v>70</v>
          </cell>
          <cell r="R63">
            <v>70</v>
          </cell>
          <cell r="S63">
            <v>70</v>
          </cell>
          <cell r="T63">
            <v>70</v>
          </cell>
          <cell r="U63">
            <v>70</v>
          </cell>
          <cell r="V63">
            <v>70</v>
          </cell>
          <cell r="W63">
            <v>70</v>
          </cell>
          <cell r="X63">
            <v>70</v>
          </cell>
          <cell r="Y63">
            <v>70</v>
          </cell>
          <cell r="Z63">
            <v>70</v>
          </cell>
          <cell r="AA63">
            <v>70</v>
          </cell>
          <cell r="AB63">
            <v>70</v>
          </cell>
          <cell r="AC63">
            <v>70</v>
          </cell>
          <cell r="AD63">
            <v>70</v>
          </cell>
          <cell r="AE63">
            <v>70</v>
          </cell>
          <cell r="AF63">
            <v>70</v>
          </cell>
          <cell r="AG63">
            <v>70</v>
          </cell>
          <cell r="AH63">
            <v>70</v>
          </cell>
        </row>
        <row r="64">
          <cell r="D64">
            <v>3.1378504672897192</v>
          </cell>
          <cell r="E64">
            <v>3.1378504672897192</v>
          </cell>
          <cell r="F64">
            <v>3.1378504672897192</v>
          </cell>
          <cell r="G64">
            <v>3.1378504672897192</v>
          </cell>
          <cell r="H64">
            <v>3.1378504672897192</v>
          </cell>
          <cell r="I64">
            <v>3.1378504672897192</v>
          </cell>
          <cell r="J64">
            <v>3.1378504672897192</v>
          </cell>
          <cell r="K64">
            <v>3.1378504672897192</v>
          </cell>
          <cell r="L64">
            <v>3.1378504672897192</v>
          </cell>
          <cell r="M64">
            <v>3.1378504672897192</v>
          </cell>
          <cell r="N64">
            <v>3.1378504672897192</v>
          </cell>
          <cell r="O64">
            <v>3.1378504672897192</v>
          </cell>
          <cell r="P64">
            <v>3.1378504672897192</v>
          </cell>
          <cell r="Q64">
            <v>3.1378504672897192</v>
          </cell>
          <cell r="R64">
            <v>3.1378504672897192</v>
          </cell>
          <cell r="S64">
            <v>3.1378504672897192</v>
          </cell>
          <cell r="T64">
            <v>3.1378504672897192</v>
          </cell>
          <cell r="U64">
            <v>3.1378504672897192</v>
          </cell>
          <cell r="V64">
            <v>3.1378504672897192</v>
          </cell>
          <cell r="W64">
            <v>3.1378504672897192</v>
          </cell>
          <cell r="X64">
            <v>3.1378504672897192</v>
          </cell>
          <cell r="Y64">
            <v>3.1378504672897192</v>
          </cell>
          <cell r="Z64">
            <v>3.1378504672897192</v>
          </cell>
          <cell r="AA64">
            <v>3.1378504672897192</v>
          </cell>
          <cell r="AB64">
            <v>3.1378504672897192</v>
          </cell>
          <cell r="AC64">
            <v>3.1378504672897192</v>
          </cell>
          <cell r="AD64">
            <v>3.1378504672897192</v>
          </cell>
          <cell r="AE64">
            <v>3.1378504672897192</v>
          </cell>
          <cell r="AF64">
            <v>3.1378504672897192</v>
          </cell>
          <cell r="AG64">
            <v>3.1378504672897192</v>
          </cell>
          <cell r="AH64">
            <v>3.1378504672897192</v>
          </cell>
        </row>
        <row r="65">
          <cell r="A65" t="str">
            <v xml:space="preserve">6L_W1 STOPE </v>
          </cell>
          <cell r="D65">
            <v>70</v>
          </cell>
          <cell r="E65">
            <v>70</v>
          </cell>
          <cell r="F65">
            <v>70</v>
          </cell>
          <cell r="G65">
            <v>70</v>
          </cell>
          <cell r="H65">
            <v>70</v>
          </cell>
          <cell r="I65">
            <v>70</v>
          </cell>
          <cell r="J65">
            <v>70</v>
          </cell>
          <cell r="K65">
            <v>70</v>
          </cell>
          <cell r="L65">
            <v>70</v>
          </cell>
          <cell r="M65">
            <v>70</v>
          </cell>
          <cell r="N65">
            <v>70</v>
          </cell>
          <cell r="O65">
            <v>70</v>
          </cell>
          <cell r="P65">
            <v>70</v>
          </cell>
          <cell r="Q65">
            <v>70</v>
          </cell>
          <cell r="R65">
            <v>70</v>
          </cell>
          <cell r="S65">
            <v>70</v>
          </cell>
          <cell r="T65">
            <v>70</v>
          </cell>
          <cell r="U65">
            <v>70</v>
          </cell>
          <cell r="V65">
            <v>70</v>
          </cell>
          <cell r="W65">
            <v>70</v>
          </cell>
          <cell r="X65">
            <v>70</v>
          </cell>
          <cell r="Y65">
            <v>70</v>
          </cell>
          <cell r="Z65">
            <v>70</v>
          </cell>
          <cell r="AA65">
            <v>70</v>
          </cell>
          <cell r="AB65">
            <v>70</v>
          </cell>
          <cell r="AC65">
            <v>70</v>
          </cell>
          <cell r="AD65">
            <v>70</v>
          </cell>
          <cell r="AE65">
            <v>70</v>
          </cell>
          <cell r="AF65">
            <v>70</v>
          </cell>
          <cell r="AG65">
            <v>70</v>
          </cell>
          <cell r="AH65">
            <v>70</v>
          </cell>
        </row>
        <row r="66">
          <cell r="D66">
            <v>3.1378504672897192</v>
          </cell>
          <cell r="E66">
            <v>3.1378504672897192</v>
          </cell>
          <cell r="F66">
            <v>3.1378504672897192</v>
          </cell>
          <cell r="G66">
            <v>3.1378504672897192</v>
          </cell>
          <cell r="H66">
            <v>3.1378504672897192</v>
          </cell>
          <cell r="I66">
            <v>3.1378504672897192</v>
          </cell>
          <cell r="J66">
            <v>3.1378504672897192</v>
          </cell>
          <cell r="K66">
            <v>3.1378504672897192</v>
          </cell>
          <cell r="L66">
            <v>3.1378504672897192</v>
          </cell>
          <cell r="M66">
            <v>3.1378504672897192</v>
          </cell>
          <cell r="N66">
            <v>3.1378504672897192</v>
          </cell>
          <cell r="O66">
            <v>3.1378504672897192</v>
          </cell>
          <cell r="P66">
            <v>3.1378504672897192</v>
          </cell>
          <cell r="Q66">
            <v>3.1378504672897192</v>
          </cell>
          <cell r="R66">
            <v>3.1378504672897192</v>
          </cell>
          <cell r="S66">
            <v>3.1378504672897192</v>
          </cell>
          <cell r="T66">
            <v>3.1378504672897192</v>
          </cell>
          <cell r="U66">
            <v>3.1378504672897192</v>
          </cell>
          <cell r="V66">
            <v>3.1378504672897192</v>
          </cell>
          <cell r="W66">
            <v>3.1378504672897192</v>
          </cell>
          <cell r="X66">
            <v>3.1378504672897192</v>
          </cell>
          <cell r="Y66">
            <v>3.1378504672897192</v>
          </cell>
          <cell r="Z66">
            <v>3.1378504672897192</v>
          </cell>
          <cell r="AA66">
            <v>3.1378504672897192</v>
          </cell>
          <cell r="AB66">
            <v>3.1378504672897192</v>
          </cell>
          <cell r="AC66">
            <v>3.1378504672897192</v>
          </cell>
          <cell r="AD66">
            <v>3.1378504672897192</v>
          </cell>
          <cell r="AE66">
            <v>3.1378504672897192</v>
          </cell>
          <cell r="AF66">
            <v>3.1378504672897192</v>
          </cell>
          <cell r="AG66">
            <v>3.1378504672897192</v>
          </cell>
          <cell r="AH66">
            <v>3.1378504672897192</v>
          </cell>
        </row>
        <row r="67">
          <cell r="A67" t="str">
            <v xml:space="preserve">6L_W2 STOPE </v>
          </cell>
          <cell r="D67">
            <v>105</v>
          </cell>
          <cell r="E67">
            <v>105</v>
          </cell>
          <cell r="F67">
            <v>105</v>
          </cell>
          <cell r="G67">
            <v>105</v>
          </cell>
          <cell r="H67">
            <v>105</v>
          </cell>
          <cell r="I67">
            <v>105</v>
          </cell>
          <cell r="J67">
            <v>105</v>
          </cell>
          <cell r="K67">
            <v>105</v>
          </cell>
          <cell r="L67">
            <v>105</v>
          </cell>
          <cell r="M67">
            <v>105</v>
          </cell>
          <cell r="N67">
            <v>105</v>
          </cell>
          <cell r="O67">
            <v>105</v>
          </cell>
          <cell r="P67">
            <v>105</v>
          </cell>
          <cell r="Q67">
            <v>105</v>
          </cell>
          <cell r="R67">
            <v>105</v>
          </cell>
          <cell r="S67">
            <v>105</v>
          </cell>
          <cell r="T67">
            <v>105</v>
          </cell>
          <cell r="U67">
            <v>105</v>
          </cell>
          <cell r="V67">
            <v>105</v>
          </cell>
          <cell r="W67">
            <v>105</v>
          </cell>
          <cell r="X67">
            <v>105</v>
          </cell>
          <cell r="Y67">
            <v>105</v>
          </cell>
          <cell r="Z67">
            <v>105</v>
          </cell>
          <cell r="AA67">
            <v>105</v>
          </cell>
          <cell r="AB67">
            <v>105</v>
          </cell>
          <cell r="AC67">
            <v>105</v>
          </cell>
          <cell r="AD67">
            <v>105</v>
          </cell>
          <cell r="AE67">
            <v>105</v>
          </cell>
          <cell r="AF67">
            <v>105</v>
          </cell>
          <cell r="AG67">
            <v>105</v>
          </cell>
          <cell r="AH67">
            <v>105</v>
          </cell>
        </row>
        <row r="68">
          <cell r="D68">
            <v>2.3037383177570092</v>
          </cell>
          <cell r="E68">
            <v>2.3037383177570092</v>
          </cell>
          <cell r="F68">
            <v>2.3037383177570092</v>
          </cell>
          <cell r="G68">
            <v>2.3037383177570092</v>
          </cell>
          <cell r="H68">
            <v>2.3037383177570092</v>
          </cell>
          <cell r="I68">
            <v>2.3037383177570092</v>
          </cell>
          <cell r="J68">
            <v>2.3037383177570092</v>
          </cell>
          <cell r="K68">
            <v>2.3037383177570092</v>
          </cell>
          <cell r="L68">
            <v>2.3037383177570092</v>
          </cell>
          <cell r="M68">
            <v>2.3037383177570092</v>
          </cell>
          <cell r="N68">
            <v>2.3037383177570092</v>
          </cell>
          <cell r="O68">
            <v>2.3037383177570092</v>
          </cell>
          <cell r="P68">
            <v>2.3037383177570092</v>
          </cell>
          <cell r="Q68">
            <v>2.3037383177570092</v>
          </cell>
          <cell r="R68">
            <v>2.3037383177570092</v>
          </cell>
          <cell r="S68">
            <v>2.3037383177570092</v>
          </cell>
          <cell r="T68">
            <v>2.3037383177570092</v>
          </cell>
          <cell r="U68">
            <v>2.3037383177570092</v>
          </cell>
          <cell r="V68">
            <v>2.3037383177570092</v>
          </cell>
          <cell r="W68">
            <v>2.3037383177570092</v>
          </cell>
          <cell r="X68">
            <v>2.3037383177570092</v>
          </cell>
          <cell r="Y68">
            <v>2.3037383177570092</v>
          </cell>
          <cell r="Z68">
            <v>2.3037383177570092</v>
          </cell>
          <cell r="AA68">
            <v>2.3037383177570092</v>
          </cell>
          <cell r="AB68">
            <v>2.3037383177570092</v>
          </cell>
          <cell r="AC68">
            <v>2.3037383177570092</v>
          </cell>
          <cell r="AD68">
            <v>2.3037383177570092</v>
          </cell>
          <cell r="AE68">
            <v>2.3037383177570092</v>
          </cell>
          <cell r="AF68">
            <v>2.3037383177570092</v>
          </cell>
          <cell r="AG68">
            <v>2.3037383177570092</v>
          </cell>
          <cell r="AH68">
            <v>2.3037383177570092</v>
          </cell>
        </row>
        <row r="69">
          <cell r="A69" t="str">
            <v>6L_W3 STOPE</v>
          </cell>
          <cell r="D69">
            <v>70</v>
          </cell>
          <cell r="E69">
            <v>70</v>
          </cell>
          <cell r="F69">
            <v>70</v>
          </cell>
          <cell r="G69">
            <v>70</v>
          </cell>
          <cell r="H69">
            <v>70</v>
          </cell>
          <cell r="I69">
            <v>70</v>
          </cell>
          <cell r="J69">
            <v>70</v>
          </cell>
          <cell r="K69">
            <v>70</v>
          </cell>
          <cell r="L69">
            <v>70</v>
          </cell>
          <cell r="M69">
            <v>70</v>
          </cell>
          <cell r="N69">
            <v>70</v>
          </cell>
          <cell r="O69">
            <v>70</v>
          </cell>
          <cell r="P69">
            <v>70</v>
          </cell>
          <cell r="Q69">
            <v>70</v>
          </cell>
          <cell r="R69">
            <v>70</v>
          </cell>
          <cell r="S69">
            <v>70</v>
          </cell>
          <cell r="T69">
            <v>70</v>
          </cell>
          <cell r="U69">
            <v>70</v>
          </cell>
          <cell r="V69">
            <v>70</v>
          </cell>
          <cell r="W69">
            <v>70</v>
          </cell>
          <cell r="X69">
            <v>70</v>
          </cell>
          <cell r="Y69">
            <v>70</v>
          </cell>
          <cell r="Z69">
            <v>70</v>
          </cell>
          <cell r="AA69">
            <v>70</v>
          </cell>
          <cell r="AB69">
            <v>70</v>
          </cell>
          <cell r="AC69">
            <v>70</v>
          </cell>
          <cell r="AD69">
            <v>70</v>
          </cell>
          <cell r="AE69">
            <v>70</v>
          </cell>
          <cell r="AF69">
            <v>70</v>
          </cell>
          <cell r="AG69">
            <v>70</v>
          </cell>
          <cell r="AH69">
            <v>70</v>
          </cell>
        </row>
        <row r="70">
          <cell r="D70">
            <v>2.9</v>
          </cell>
          <cell r="E70">
            <v>2.9</v>
          </cell>
          <cell r="F70">
            <v>2.9</v>
          </cell>
          <cell r="G70">
            <v>2.9</v>
          </cell>
          <cell r="H70">
            <v>2.9</v>
          </cell>
          <cell r="I70">
            <v>2.9</v>
          </cell>
          <cell r="J70">
            <v>2.9</v>
          </cell>
          <cell r="K70">
            <v>2.9</v>
          </cell>
          <cell r="L70">
            <v>2.9</v>
          </cell>
          <cell r="M70">
            <v>2.9</v>
          </cell>
          <cell r="N70">
            <v>2.9</v>
          </cell>
          <cell r="O70">
            <v>2.9</v>
          </cell>
          <cell r="P70">
            <v>2.9</v>
          </cell>
          <cell r="Q70">
            <v>2.9</v>
          </cell>
          <cell r="R70">
            <v>2.9</v>
          </cell>
          <cell r="S70">
            <v>2.9</v>
          </cell>
          <cell r="T70">
            <v>2.9</v>
          </cell>
          <cell r="U70">
            <v>2.9</v>
          </cell>
          <cell r="V70">
            <v>2.9</v>
          </cell>
          <cell r="W70">
            <v>2.9</v>
          </cell>
          <cell r="X70">
            <v>2.9</v>
          </cell>
          <cell r="Y70">
            <v>2.9</v>
          </cell>
          <cell r="Z70">
            <v>2.9</v>
          </cell>
          <cell r="AA70">
            <v>2.9</v>
          </cell>
          <cell r="AB70">
            <v>2.9</v>
          </cell>
          <cell r="AC70">
            <v>2.9</v>
          </cell>
          <cell r="AD70">
            <v>2.9</v>
          </cell>
          <cell r="AE70">
            <v>2.9</v>
          </cell>
          <cell r="AF70">
            <v>2.9</v>
          </cell>
          <cell r="AG70">
            <v>2.9</v>
          </cell>
          <cell r="AH70">
            <v>2.9</v>
          </cell>
        </row>
        <row r="71">
          <cell r="A71" t="str">
            <v>6L_W4 STOPE</v>
          </cell>
          <cell r="D71">
            <v>70</v>
          </cell>
          <cell r="E71">
            <v>70</v>
          </cell>
          <cell r="F71">
            <v>70</v>
          </cell>
          <cell r="G71">
            <v>70</v>
          </cell>
          <cell r="H71">
            <v>70</v>
          </cell>
          <cell r="I71">
            <v>70</v>
          </cell>
          <cell r="J71">
            <v>70</v>
          </cell>
          <cell r="K71">
            <v>70</v>
          </cell>
          <cell r="L71">
            <v>70</v>
          </cell>
          <cell r="M71">
            <v>70</v>
          </cell>
          <cell r="N71">
            <v>70</v>
          </cell>
          <cell r="O71">
            <v>70</v>
          </cell>
          <cell r="P71">
            <v>70</v>
          </cell>
          <cell r="Q71">
            <v>70</v>
          </cell>
          <cell r="R71">
            <v>70</v>
          </cell>
          <cell r="S71">
            <v>70</v>
          </cell>
          <cell r="T71">
            <v>70</v>
          </cell>
          <cell r="U71">
            <v>70</v>
          </cell>
          <cell r="V71">
            <v>70</v>
          </cell>
          <cell r="W71">
            <v>70</v>
          </cell>
          <cell r="X71">
            <v>70</v>
          </cell>
          <cell r="Y71">
            <v>70</v>
          </cell>
          <cell r="Z71">
            <v>70</v>
          </cell>
          <cell r="AA71">
            <v>70</v>
          </cell>
          <cell r="AB71">
            <v>70</v>
          </cell>
          <cell r="AC71">
            <v>70</v>
          </cell>
          <cell r="AD71">
            <v>70</v>
          </cell>
          <cell r="AE71">
            <v>70</v>
          </cell>
          <cell r="AF71">
            <v>70</v>
          </cell>
          <cell r="AG71">
            <v>70</v>
          </cell>
          <cell r="AH71">
            <v>70</v>
          </cell>
        </row>
        <row r="72">
          <cell r="D72">
            <v>2.3831775700934577</v>
          </cell>
          <cell r="E72">
            <v>2.3831775700934577</v>
          </cell>
          <cell r="F72">
            <v>2.3831775700934577</v>
          </cell>
          <cell r="G72">
            <v>2.3831775700934577</v>
          </cell>
          <cell r="H72">
            <v>2.3831775700934577</v>
          </cell>
          <cell r="I72">
            <v>2.3831775700934577</v>
          </cell>
          <cell r="J72">
            <v>2.3831775700934577</v>
          </cell>
          <cell r="K72">
            <v>2.3831775700934577</v>
          </cell>
          <cell r="L72">
            <v>2.3831775700934577</v>
          </cell>
          <cell r="M72">
            <v>2.3831775700934577</v>
          </cell>
          <cell r="N72">
            <v>2.3831775700934577</v>
          </cell>
          <cell r="O72">
            <v>2.3831775700934577</v>
          </cell>
          <cell r="P72">
            <v>2.3831775700934577</v>
          </cell>
          <cell r="Q72">
            <v>2.3831775700934577</v>
          </cell>
          <cell r="R72">
            <v>2.3831775700934577</v>
          </cell>
          <cell r="S72">
            <v>2.3831775700934577</v>
          </cell>
          <cell r="T72">
            <v>2.3831775700934577</v>
          </cell>
          <cell r="U72">
            <v>2.3831775700934577</v>
          </cell>
          <cell r="V72">
            <v>2.3831775700934577</v>
          </cell>
          <cell r="W72">
            <v>2.3831775700934577</v>
          </cell>
          <cell r="X72">
            <v>2.3831775700934577</v>
          </cell>
          <cell r="Y72">
            <v>2.3831775700934577</v>
          </cell>
          <cell r="Z72">
            <v>2.3831775700934577</v>
          </cell>
          <cell r="AA72">
            <v>2.3831775700934577</v>
          </cell>
          <cell r="AB72">
            <v>2.3831775700934577</v>
          </cell>
          <cell r="AC72">
            <v>2.3831775700934577</v>
          </cell>
          <cell r="AD72">
            <v>2.3831775700934577</v>
          </cell>
          <cell r="AE72">
            <v>2.3831775700934577</v>
          </cell>
          <cell r="AF72">
            <v>2.3831775700934577</v>
          </cell>
          <cell r="AG72">
            <v>2.3831775700934577</v>
          </cell>
          <cell r="AH72">
            <v>2.3831775700934577</v>
          </cell>
        </row>
        <row r="73">
          <cell r="A73" t="str">
            <v>6L_W8 STOPE</v>
          </cell>
          <cell r="D73">
            <v>35</v>
          </cell>
          <cell r="E73">
            <v>35</v>
          </cell>
          <cell r="F73">
            <v>35</v>
          </cell>
          <cell r="G73">
            <v>35</v>
          </cell>
          <cell r="H73">
            <v>35</v>
          </cell>
          <cell r="I73">
            <v>35</v>
          </cell>
          <cell r="J73">
            <v>35</v>
          </cell>
          <cell r="K73">
            <v>35</v>
          </cell>
          <cell r="L73">
            <v>35</v>
          </cell>
          <cell r="M73">
            <v>35</v>
          </cell>
          <cell r="N73">
            <v>35</v>
          </cell>
          <cell r="O73">
            <v>35</v>
          </cell>
          <cell r="P73">
            <v>35</v>
          </cell>
          <cell r="Q73">
            <v>35</v>
          </cell>
          <cell r="R73">
            <v>35</v>
          </cell>
          <cell r="S73">
            <v>35</v>
          </cell>
          <cell r="T73">
            <v>35</v>
          </cell>
          <cell r="U73">
            <v>35</v>
          </cell>
          <cell r="V73">
            <v>35</v>
          </cell>
          <cell r="W73">
            <v>35</v>
          </cell>
          <cell r="X73">
            <v>35</v>
          </cell>
          <cell r="Y73">
            <v>35</v>
          </cell>
          <cell r="Z73">
            <v>35</v>
          </cell>
          <cell r="AA73">
            <v>35</v>
          </cell>
          <cell r="AB73">
            <v>35</v>
          </cell>
          <cell r="AC73">
            <v>35</v>
          </cell>
          <cell r="AD73">
            <v>35</v>
          </cell>
          <cell r="AE73">
            <v>35</v>
          </cell>
          <cell r="AF73">
            <v>35</v>
          </cell>
          <cell r="AG73">
            <v>35</v>
          </cell>
          <cell r="AH73">
            <v>35</v>
          </cell>
        </row>
        <row r="74">
          <cell r="D74">
            <v>2.4626168224299061</v>
          </cell>
          <cell r="E74">
            <v>2.4626168224299061</v>
          </cell>
          <cell r="F74">
            <v>2.4626168224299061</v>
          </cell>
          <cell r="G74">
            <v>2.4626168224299061</v>
          </cell>
          <cell r="H74">
            <v>2.4626168224299061</v>
          </cell>
          <cell r="I74">
            <v>2.4626168224299061</v>
          </cell>
          <cell r="J74">
            <v>2.4626168224299061</v>
          </cell>
          <cell r="K74">
            <v>2.4626168224299061</v>
          </cell>
          <cell r="L74">
            <v>2.4626168224299061</v>
          </cell>
          <cell r="M74">
            <v>2.4626168224299061</v>
          </cell>
          <cell r="N74">
            <v>2.4626168224299061</v>
          </cell>
          <cell r="O74">
            <v>2.4626168224299061</v>
          </cell>
          <cell r="P74">
            <v>2.4626168224299061</v>
          </cell>
          <cell r="Q74">
            <v>2.4626168224299061</v>
          </cell>
          <cell r="R74">
            <v>2.4626168224299061</v>
          </cell>
          <cell r="S74">
            <v>2.4626168224299061</v>
          </cell>
          <cell r="T74">
            <v>2.4626168224299061</v>
          </cell>
          <cell r="U74">
            <v>2.4626168224299061</v>
          </cell>
          <cell r="V74">
            <v>2.4626168224299061</v>
          </cell>
          <cell r="W74">
            <v>2.4626168224299061</v>
          </cell>
          <cell r="X74">
            <v>2.4626168224299061</v>
          </cell>
          <cell r="Y74">
            <v>2.4626168224299061</v>
          </cell>
          <cell r="Z74">
            <v>2.4626168224299061</v>
          </cell>
          <cell r="AA74">
            <v>2.4626168224299061</v>
          </cell>
          <cell r="AB74">
            <v>2.4626168224299061</v>
          </cell>
          <cell r="AC74">
            <v>2.4626168224299061</v>
          </cell>
          <cell r="AD74">
            <v>2.4626168224299061</v>
          </cell>
          <cell r="AE74">
            <v>2.4626168224299061</v>
          </cell>
          <cell r="AF74">
            <v>2.4626168224299061</v>
          </cell>
          <cell r="AG74">
            <v>2.4626168224299061</v>
          </cell>
          <cell r="AH74">
            <v>2.4626168224299061</v>
          </cell>
        </row>
        <row r="75">
          <cell r="A75" t="str">
            <v>6L_W14 STOPE</v>
          </cell>
          <cell r="D75">
            <v>70</v>
          </cell>
          <cell r="E75">
            <v>70</v>
          </cell>
          <cell r="F75">
            <v>70</v>
          </cell>
          <cell r="G75">
            <v>70</v>
          </cell>
          <cell r="H75">
            <v>70</v>
          </cell>
          <cell r="I75">
            <v>70</v>
          </cell>
          <cell r="J75">
            <v>70</v>
          </cell>
          <cell r="K75">
            <v>70</v>
          </cell>
          <cell r="L75">
            <v>70</v>
          </cell>
          <cell r="M75">
            <v>70</v>
          </cell>
          <cell r="N75">
            <v>70</v>
          </cell>
          <cell r="O75">
            <v>70</v>
          </cell>
          <cell r="P75">
            <v>70</v>
          </cell>
          <cell r="Q75">
            <v>70</v>
          </cell>
          <cell r="R75">
            <v>70</v>
          </cell>
          <cell r="S75">
            <v>70</v>
          </cell>
          <cell r="T75">
            <v>70</v>
          </cell>
          <cell r="U75">
            <v>70</v>
          </cell>
          <cell r="V75">
            <v>70</v>
          </cell>
          <cell r="W75">
            <v>70</v>
          </cell>
          <cell r="X75">
            <v>70</v>
          </cell>
          <cell r="Y75">
            <v>70</v>
          </cell>
          <cell r="Z75">
            <v>70</v>
          </cell>
          <cell r="AA75">
            <v>70</v>
          </cell>
          <cell r="AB75">
            <v>70</v>
          </cell>
          <cell r="AC75">
            <v>70</v>
          </cell>
          <cell r="AD75">
            <v>70</v>
          </cell>
          <cell r="AE75">
            <v>70</v>
          </cell>
          <cell r="AF75">
            <v>70</v>
          </cell>
          <cell r="AG75">
            <v>70</v>
          </cell>
          <cell r="AH75">
            <v>70</v>
          </cell>
        </row>
        <row r="76">
          <cell r="D76">
            <v>1.7476635514018692</v>
          </cell>
          <cell r="E76">
            <v>1.7476635514018692</v>
          </cell>
          <cell r="F76">
            <v>1.7476635514018692</v>
          </cell>
          <cell r="G76">
            <v>1.7476635514018692</v>
          </cell>
          <cell r="H76">
            <v>1.7476635514018692</v>
          </cell>
          <cell r="I76">
            <v>1.7476635514018692</v>
          </cell>
          <cell r="J76">
            <v>1.7476635514018692</v>
          </cell>
          <cell r="K76">
            <v>1.7476635514018692</v>
          </cell>
          <cell r="L76">
            <v>1.7476635514018692</v>
          </cell>
          <cell r="M76">
            <v>1.7476635514018692</v>
          </cell>
          <cell r="N76">
            <v>1.7476635514018692</v>
          </cell>
          <cell r="O76">
            <v>1.7476635514018692</v>
          </cell>
          <cell r="P76">
            <v>1.7476635514018692</v>
          </cell>
          <cell r="Q76">
            <v>1.7476635514018692</v>
          </cell>
          <cell r="R76">
            <v>1.7476635514018692</v>
          </cell>
          <cell r="S76">
            <v>1.7476635514018692</v>
          </cell>
          <cell r="T76">
            <v>1.7476635514018692</v>
          </cell>
          <cell r="U76">
            <v>1.7476635514018692</v>
          </cell>
          <cell r="V76">
            <v>1.7476635514018692</v>
          </cell>
          <cell r="W76">
            <v>1.7476635514018692</v>
          </cell>
          <cell r="X76">
            <v>1.7476635514018692</v>
          </cell>
          <cell r="Y76">
            <v>1.7476635514018692</v>
          </cell>
          <cell r="Z76">
            <v>1.7476635514018692</v>
          </cell>
          <cell r="AA76">
            <v>1.7476635514018692</v>
          </cell>
          <cell r="AB76">
            <v>1.7476635514018692</v>
          </cell>
          <cell r="AC76">
            <v>1.7476635514018692</v>
          </cell>
          <cell r="AD76">
            <v>1.7476635514018692</v>
          </cell>
          <cell r="AE76">
            <v>1.7476635514018692</v>
          </cell>
          <cell r="AF76">
            <v>1.7476635514018692</v>
          </cell>
          <cell r="AG76">
            <v>1.7476635514018692</v>
          </cell>
          <cell r="AH76">
            <v>1.7476635514018692</v>
          </cell>
        </row>
        <row r="77">
          <cell r="A77" t="str">
            <v>6L_W15_STOPE</v>
          </cell>
          <cell r="D77">
            <v>70</v>
          </cell>
          <cell r="E77">
            <v>70</v>
          </cell>
          <cell r="F77">
            <v>70</v>
          </cell>
          <cell r="G77">
            <v>70</v>
          </cell>
          <cell r="H77">
            <v>70</v>
          </cell>
          <cell r="I77">
            <v>70</v>
          </cell>
          <cell r="J77">
            <v>70</v>
          </cell>
          <cell r="K77">
            <v>70</v>
          </cell>
          <cell r="L77">
            <v>70</v>
          </cell>
          <cell r="M77">
            <v>70</v>
          </cell>
          <cell r="N77">
            <v>70</v>
          </cell>
          <cell r="O77">
            <v>70</v>
          </cell>
          <cell r="P77">
            <v>70</v>
          </cell>
          <cell r="Q77">
            <v>70</v>
          </cell>
          <cell r="R77">
            <v>70</v>
          </cell>
          <cell r="S77">
            <v>70</v>
          </cell>
          <cell r="T77">
            <v>70</v>
          </cell>
          <cell r="U77">
            <v>70</v>
          </cell>
          <cell r="V77">
            <v>70</v>
          </cell>
          <cell r="W77">
            <v>70</v>
          </cell>
          <cell r="X77">
            <v>70</v>
          </cell>
          <cell r="Y77">
            <v>70</v>
          </cell>
          <cell r="Z77">
            <v>70</v>
          </cell>
          <cell r="AA77">
            <v>70</v>
          </cell>
          <cell r="AB77">
            <v>70</v>
          </cell>
          <cell r="AC77">
            <v>70</v>
          </cell>
          <cell r="AD77">
            <v>70</v>
          </cell>
          <cell r="AE77">
            <v>70</v>
          </cell>
          <cell r="AF77">
            <v>70</v>
          </cell>
          <cell r="AG77">
            <v>70</v>
          </cell>
          <cell r="AH77">
            <v>70</v>
          </cell>
        </row>
        <row r="78">
          <cell r="D78">
            <v>1.7476635514018692</v>
          </cell>
          <cell r="E78">
            <v>1.7476635514018692</v>
          </cell>
          <cell r="F78">
            <v>1.7476635514018692</v>
          </cell>
          <cell r="G78">
            <v>1.7476635514018692</v>
          </cell>
          <cell r="H78">
            <v>1.7476635514018692</v>
          </cell>
          <cell r="I78">
            <v>1.7476635514018692</v>
          </cell>
          <cell r="J78">
            <v>1.7476635514018692</v>
          </cell>
          <cell r="K78">
            <v>1.7476635514018692</v>
          </cell>
          <cell r="L78">
            <v>1.7476635514018692</v>
          </cell>
          <cell r="M78">
            <v>1.7476635514018692</v>
          </cell>
          <cell r="N78">
            <v>1.7476635514018692</v>
          </cell>
          <cell r="O78">
            <v>1.7476635514018692</v>
          </cell>
          <cell r="P78">
            <v>1.7476635514018692</v>
          </cell>
          <cell r="Q78">
            <v>1.7476635514018692</v>
          </cell>
          <cell r="R78">
            <v>1.7476635514018692</v>
          </cell>
          <cell r="S78">
            <v>1.7476635514018692</v>
          </cell>
          <cell r="T78">
            <v>1.7476635514018692</v>
          </cell>
          <cell r="U78">
            <v>1.7476635514018692</v>
          </cell>
          <cell r="V78">
            <v>1.7476635514018692</v>
          </cell>
          <cell r="W78">
            <v>1.7476635514018692</v>
          </cell>
          <cell r="X78">
            <v>1.7476635514018692</v>
          </cell>
          <cell r="Y78">
            <v>1.7476635514018692</v>
          </cell>
          <cell r="Z78">
            <v>1.7476635514018692</v>
          </cell>
          <cell r="AA78">
            <v>1.7476635514018692</v>
          </cell>
          <cell r="AB78">
            <v>1.7476635514018692</v>
          </cell>
          <cell r="AC78">
            <v>1.7476635514018692</v>
          </cell>
          <cell r="AD78">
            <v>1.7476635514018692</v>
          </cell>
          <cell r="AE78">
            <v>1.7476635514018692</v>
          </cell>
          <cell r="AF78">
            <v>1.7476635514018692</v>
          </cell>
          <cell r="AG78">
            <v>1.7476635514018692</v>
          </cell>
          <cell r="AH78">
            <v>1.7476635514018692</v>
          </cell>
        </row>
      </sheetData>
      <sheetData sheetId="26"/>
      <sheetData sheetId="27"/>
      <sheetData sheetId="28"/>
      <sheetData sheetId="29"/>
      <sheetData sheetId="30"/>
      <sheetData sheetId="31"/>
      <sheetData sheetId="32"/>
      <sheetData sheetId="3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sheetName val="KPIs"/>
      <sheetName val="Actions"/>
      <sheetName val="&gt; PUG"/>
      <sheetName val="Activities"/>
      <sheetName val="Development"/>
      <sheetName val="Sheet1"/>
      <sheetName val="Generation"/>
      <sheetName val="D_Drilling"/>
      <sheetName val="Stoping"/>
      <sheetName val="Hoisting"/>
      <sheetName val="Sheet3"/>
      <sheetName val="Tramming"/>
      <sheetName val="PLANT"/>
      <sheetName val="Projects"/>
      <sheetName val="Tonnage Recon"/>
      <sheetName val="Hoisting Charts"/>
      <sheetName val="&gt; SAMPLING"/>
      <sheetName val="BENCHES."/>
      <sheetName val="HOISTING."/>
      <sheetName val="TRAMMING."/>
      <sheetName val="DEV."/>
      <sheetName val="DEV.TRKR"/>
      <sheetName val="&gt; PLANS"/>
      <sheetName val="DD."/>
      <sheetName val="Schedule"/>
      <sheetName val="Development."/>
      <sheetName val="Breaking."/>
      <sheetName val="UG_Hoisting"/>
      <sheetName val="Weekly"/>
      <sheetName val="Stope History"/>
      <sheetName val="Sheet2"/>
      <sheetName val="KPIs (2)"/>
      <sheetName val="Sheet4"/>
    </sheetNames>
    <sheetDataSet>
      <sheetData sheetId="0">
        <row r="6">
          <cell r="C6">
            <v>45809</v>
          </cell>
        </row>
        <row r="7">
          <cell r="C7">
            <v>30</v>
          </cell>
        </row>
        <row r="16">
          <cell r="I16">
            <v>45809</v>
          </cell>
          <cell r="J16">
            <v>45810</v>
          </cell>
          <cell r="K16">
            <v>45811</v>
          </cell>
          <cell r="L16">
            <v>45812</v>
          </cell>
          <cell r="M16">
            <v>45813</v>
          </cell>
          <cell r="N16">
            <v>45814</v>
          </cell>
          <cell r="O16">
            <v>45815</v>
          </cell>
          <cell r="P16">
            <v>45816</v>
          </cell>
          <cell r="Q16">
            <v>45817</v>
          </cell>
          <cell r="R16">
            <v>45818</v>
          </cell>
          <cell r="S16">
            <v>45819</v>
          </cell>
          <cell r="T16">
            <v>45820</v>
          </cell>
          <cell r="U16">
            <v>45821</v>
          </cell>
          <cell r="V16">
            <v>45822</v>
          </cell>
          <cell r="W16">
            <v>45823</v>
          </cell>
          <cell r="X16">
            <v>45824</v>
          </cell>
          <cell r="Y16">
            <v>45825</v>
          </cell>
          <cell r="Z16">
            <v>45826</v>
          </cell>
          <cell r="AA16">
            <v>45827</v>
          </cell>
          <cell r="AB16">
            <v>45828</v>
          </cell>
          <cell r="AC16">
            <v>45829</v>
          </cell>
          <cell r="AD16">
            <v>45830</v>
          </cell>
          <cell r="AE16">
            <v>45831</v>
          </cell>
          <cell r="AF16">
            <v>45832</v>
          </cell>
          <cell r="AG16">
            <v>45833</v>
          </cell>
          <cell r="AH16">
            <v>45834</v>
          </cell>
          <cell r="AI16">
            <v>45835</v>
          </cell>
          <cell r="AJ16">
            <v>45836</v>
          </cell>
          <cell r="AK16">
            <v>45837</v>
          </cell>
          <cell r="AL16">
            <v>45838</v>
          </cell>
          <cell r="AM16">
            <v>45839</v>
          </cell>
        </row>
      </sheetData>
      <sheetData sheetId="1"/>
      <sheetData sheetId="2"/>
      <sheetData sheetId="3"/>
      <sheetData sheetId="4"/>
      <sheetData sheetId="5"/>
      <sheetData sheetId="6"/>
      <sheetData sheetId="7"/>
      <sheetData sheetId="8"/>
      <sheetData sheetId="9">
        <row r="18">
          <cell r="C18" t="str">
            <v>1L W24 STOPE</v>
          </cell>
          <cell r="H18">
            <v>70</v>
          </cell>
          <cell r="I18">
            <v>70</v>
          </cell>
          <cell r="J18">
            <v>70</v>
          </cell>
          <cell r="K18">
            <v>70</v>
          </cell>
          <cell r="L18">
            <v>70</v>
          </cell>
          <cell r="M18">
            <v>70</v>
          </cell>
          <cell r="N18">
            <v>70</v>
          </cell>
          <cell r="O18">
            <v>70</v>
          </cell>
          <cell r="P18">
            <v>70</v>
          </cell>
          <cell r="Q18">
            <v>70</v>
          </cell>
          <cell r="R18">
            <v>70</v>
          </cell>
          <cell r="S18">
            <v>70</v>
          </cell>
          <cell r="T18">
            <v>70</v>
          </cell>
          <cell r="U18">
            <v>70</v>
          </cell>
          <cell r="V18">
            <v>70</v>
          </cell>
          <cell r="W18">
            <v>70</v>
          </cell>
          <cell r="X18">
            <v>70</v>
          </cell>
          <cell r="Y18">
            <v>70</v>
          </cell>
          <cell r="Z18">
            <v>70</v>
          </cell>
          <cell r="AA18">
            <v>70</v>
          </cell>
          <cell r="AB18">
            <v>70</v>
          </cell>
          <cell r="AC18">
            <v>70</v>
          </cell>
          <cell r="AD18">
            <v>70</v>
          </cell>
          <cell r="AE18">
            <v>70</v>
          </cell>
          <cell r="AF18">
            <v>70</v>
          </cell>
          <cell r="AG18">
            <v>70</v>
          </cell>
          <cell r="AH18">
            <v>70</v>
          </cell>
          <cell r="AI18">
            <v>70</v>
          </cell>
          <cell r="AJ18">
            <v>70</v>
          </cell>
          <cell r="AK18">
            <v>70</v>
          </cell>
          <cell r="AL18">
            <v>0</v>
          </cell>
        </row>
        <row r="21">
          <cell r="H21">
            <v>2.2999999999999998</v>
          </cell>
          <cell r="I21">
            <v>2.2999999999999998</v>
          </cell>
          <cell r="J21">
            <v>2.2999999999999998</v>
          </cell>
          <cell r="K21">
            <v>2.2999999999999998</v>
          </cell>
          <cell r="L21">
            <v>2.2999999999999998</v>
          </cell>
          <cell r="M21">
            <v>2.2999999999999998</v>
          </cell>
          <cell r="N21">
            <v>2.2999999999999998</v>
          </cell>
          <cell r="O21">
            <v>2.2999999999999998</v>
          </cell>
          <cell r="P21">
            <v>2.2999999999999998</v>
          </cell>
          <cell r="Q21">
            <v>2.2999999999999998</v>
          </cell>
          <cell r="R21">
            <v>2.2999999999999998</v>
          </cell>
          <cell r="S21">
            <v>2.2999999999999998</v>
          </cell>
          <cell r="T21">
            <v>2.2999999999999998</v>
          </cell>
          <cell r="U21">
            <v>2.2999999999999998</v>
          </cell>
          <cell r="V21">
            <v>2.2999999999999998</v>
          </cell>
          <cell r="W21">
            <v>2.2999999999999998</v>
          </cell>
          <cell r="X21">
            <v>2.2999999999999998</v>
          </cell>
          <cell r="Y21">
            <v>2.2999999999999998</v>
          </cell>
          <cell r="Z21">
            <v>2.2999999999999998</v>
          </cell>
          <cell r="AA21">
            <v>2.2999999999999998</v>
          </cell>
          <cell r="AB21">
            <v>2.2999999999999998</v>
          </cell>
          <cell r="AC21">
            <v>2.2999999999999998</v>
          </cell>
          <cell r="AD21">
            <v>2.2999999999999998</v>
          </cell>
          <cell r="AE21">
            <v>2.2999999999999998</v>
          </cell>
          <cell r="AF21">
            <v>2.2999999999999998</v>
          </cell>
          <cell r="AG21">
            <v>2.2999999999999998</v>
          </cell>
          <cell r="AH21">
            <v>2.2999999999999998</v>
          </cell>
          <cell r="AI21">
            <v>2.2999999999999998</v>
          </cell>
          <cell r="AJ21">
            <v>2.2999999999999998</v>
          </cell>
          <cell r="AK21">
            <v>2.2999999999999998</v>
          </cell>
        </row>
        <row r="32">
          <cell r="C32" t="str">
            <v>3L_W23B STOPE</v>
          </cell>
          <cell r="H32">
            <v>70</v>
          </cell>
          <cell r="I32">
            <v>70</v>
          </cell>
          <cell r="J32">
            <v>70</v>
          </cell>
          <cell r="K32">
            <v>70</v>
          </cell>
          <cell r="L32">
            <v>70</v>
          </cell>
          <cell r="M32">
            <v>70</v>
          </cell>
          <cell r="N32">
            <v>70</v>
          </cell>
          <cell r="O32">
            <v>70</v>
          </cell>
          <cell r="P32">
            <v>70</v>
          </cell>
          <cell r="Q32">
            <v>70</v>
          </cell>
          <cell r="R32">
            <v>70</v>
          </cell>
          <cell r="S32">
            <v>70</v>
          </cell>
          <cell r="T32">
            <v>70</v>
          </cell>
          <cell r="U32">
            <v>70</v>
          </cell>
          <cell r="V32">
            <v>70</v>
          </cell>
          <cell r="W32">
            <v>70</v>
          </cell>
          <cell r="X32">
            <v>70</v>
          </cell>
          <cell r="Y32">
            <v>70</v>
          </cell>
          <cell r="Z32">
            <v>70</v>
          </cell>
          <cell r="AA32">
            <v>70</v>
          </cell>
          <cell r="AB32">
            <v>70</v>
          </cell>
          <cell r="AC32">
            <v>70</v>
          </cell>
          <cell r="AD32">
            <v>70</v>
          </cell>
          <cell r="AE32">
            <v>70</v>
          </cell>
          <cell r="AF32">
            <v>70</v>
          </cell>
          <cell r="AG32">
            <v>70</v>
          </cell>
          <cell r="AH32">
            <v>70</v>
          </cell>
          <cell r="AI32">
            <v>70</v>
          </cell>
          <cell r="AJ32">
            <v>70</v>
          </cell>
          <cell r="AK32">
            <v>70</v>
          </cell>
          <cell r="AL32">
            <v>0</v>
          </cell>
        </row>
        <row r="35">
          <cell r="H35">
            <v>2.25</v>
          </cell>
          <cell r="I35">
            <v>2.25</v>
          </cell>
          <cell r="J35">
            <v>2.25</v>
          </cell>
          <cell r="K35">
            <v>2.25</v>
          </cell>
          <cell r="L35">
            <v>2.25</v>
          </cell>
          <cell r="M35">
            <v>2.25</v>
          </cell>
          <cell r="N35">
            <v>2.25</v>
          </cell>
          <cell r="O35">
            <v>2.25</v>
          </cell>
          <cell r="P35">
            <v>2.25</v>
          </cell>
          <cell r="Q35">
            <v>2.25</v>
          </cell>
          <cell r="R35">
            <v>2.25</v>
          </cell>
          <cell r="S35">
            <v>2.25</v>
          </cell>
          <cell r="T35">
            <v>2.25</v>
          </cell>
          <cell r="U35">
            <v>2.25</v>
          </cell>
          <cell r="V35">
            <v>2.25</v>
          </cell>
          <cell r="W35">
            <v>2.25</v>
          </cell>
          <cell r="X35">
            <v>2.25</v>
          </cell>
          <cell r="Y35">
            <v>2.25</v>
          </cell>
          <cell r="Z35">
            <v>2.25</v>
          </cell>
          <cell r="AA35">
            <v>2.25</v>
          </cell>
          <cell r="AB35">
            <v>2.25</v>
          </cell>
          <cell r="AC35">
            <v>2.25</v>
          </cell>
          <cell r="AD35">
            <v>2.25</v>
          </cell>
          <cell r="AE35">
            <v>2.25</v>
          </cell>
          <cell r="AF35">
            <v>2.25</v>
          </cell>
          <cell r="AG35">
            <v>2.25</v>
          </cell>
          <cell r="AH35">
            <v>2.25</v>
          </cell>
          <cell r="AI35">
            <v>2.25</v>
          </cell>
          <cell r="AJ35">
            <v>2.25</v>
          </cell>
          <cell r="AK35">
            <v>2.25</v>
          </cell>
        </row>
        <row r="39">
          <cell r="C39" t="str">
            <v>3L_W24A STOPE</v>
          </cell>
          <cell r="H39">
            <v>70</v>
          </cell>
          <cell r="I39">
            <v>70</v>
          </cell>
          <cell r="J39">
            <v>70</v>
          </cell>
          <cell r="K39">
            <v>70</v>
          </cell>
          <cell r="L39">
            <v>70</v>
          </cell>
          <cell r="M39">
            <v>70</v>
          </cell>
          <cell r="N39">
            <v>70</v>
          </cell>
          <cell r="O39">
            <v>70</v>
          </cell>
          <cell r="P39">
            <v>70</v>
          </cell>
          <cell r="Q39">
            <v>70</v>
          </cell>
          <cell r="R39">
            <v>70</v>
          </cell>
          <cell r="S39">
            <v>70</v>
          </cell>
          <cell r="T39">
            <v>70</v>
          </cell>
          <cell r="U39">
            <v>70</v>
          </cell>
          <cell r="V39">
            <v>70</v>
          </cell>
          <cell r="W39">
            <v>70</v>
          </cell>
          <cell r="X39">
            <v>70</v>
          </cell>
          <cell r="Y39">
            <v>70</v>
          </cell>
          <cell r="Z39">
            <v>70</v>
          </cell>
          <cell r="AA39">
            <v>70</v>
          </cell>
          <cell r="AB39">
            <v>70</v>
          </cell>
          <cell r="AC39">
            <v>70</v>
          </cell>
          <cell r="AD39">
            <v>70</v>
          </cell>
          <cell r="AE39">
            <v>70</v>
          </cell>
          <cell r="AF39">
            <v>70</v>
          </cell>
          <cell r="AG39">
            <v>70</v>
          </cell>
          <cell r="AH39">
            <v>70</v>
          </cell>
          <cell r="AI39">
            <v>70</v>
          </cell>
          <cell r="AJ39">
            <v>70</v>
          </cell>
          <cell r="AK39">
            <v>70</v>
          </cell>
          <cell r="AL39">
            <v>0</v>
          </cell>
        </row>
        <row r="42">
          <cell r="H42">
            <v>2.52</v>
          </cell>
          <cell r="I42">
            <v>2.52</v>
          </cell>
          <cell r="J42">
            <v>2.52</v>
          </cell>
          <cell r="K42">
            <v>2.52</v>
          </cell>
          <cell r="L42">
            <v>2.52</v>
          </cell>
          <cell r="M42">
            <v>2.52</v>
          </cell>
          <cell r="N42">
            <v>2.52</v>
          </cell>
          <cell r="O42">
            <v>2.52</v>
          </cell>
          <cell r="P42">
            <v>2.52</v>
          </cell>
          <cell r="Q42">
            <v>2.52</v>
          </cell>
          <cell r="R42">
            <v>2.52</v>
          </cell>
          <cell r="S42">
            <v>2.52</v>
          </cell>
          <cell r="T42">
            <v>2.52</v>
          </cell>
          <cell r="U42">
            <v>2.52</v>
          </cell>
          <cell r="V42">
            <v>2.52</v>
          </cell>
          <cell r="W42">
            <v>2.52</v>
          </cell>
          <cell r="X42">
            <v>2.52</v>
          </cell>
          <cell r="Y42">
            <v>2.52</v>
          </cell>
          <cell r="Z42">
            <v>2.52</v>
          </cell>
          <cell r="AA42">
            <v>2.52</v>
          </cell>
          <cell r="AB42">
            <v>2.52</v>
          </cell>
          <cell r="AC42">
            <v>2.52</v>
          </cell>
          <cell r="AD42">
            <v>2.52</v>
          </cell>
          <cell r="AE42">
            <v>2.52</v>
          </cell>
          <cell r="AF42">
            <v>2.52</v>
          </cell>
          <cell r="AG42">
            <v>2.52</v>
          </cell>
          <cell r="AH42">
            <v>2.52</v>
          </cell>
          <cell r="AI42">
            <v>2.52</v>
          </cell>
          <cell r="AJ42">
            <v>2.52</v>
          </cell>
          <cell r="AK42">
            <v>2.52</v>
          </cell>
        </row>
        <row r="46">
          <cell r="C46" t="str">
            <v>4L_W23B STOPE</v>
          </cell>
          <cell r="H46">
            <v>70</v>
          </cell>
          <cell r="I46">
            <v>70</v>
          </cell>
          <cell r="J46">
            <v>70</v>
          </cell>
          <cell r="K46">
            <v>70</v>
          </cell>
          <cell r="L46">
            <v>70</v>
          </cell>
          <cell r="M46">
            <v>70</v>
          </cell>
          <cell r="N46">
            <v>70</v>
          </cell>
          <cell r="O46">
            <v>70</v>
          </cell>
          <cell r="P46">
            <v>70</v>
          </cell>
          <cell r="Q46">
            <v>70</v>
          </cell>
          <cell r="R46">
            <v>70</v>
          </cell>
          <cell r="S46">
            <v>70</v>
          </cell>
          <cell r="T46">
            <v>70</v>
          </cell>
          <cell r="U46">
            <v>70</v>
          </cell>
          <cell r="V46">
            <v>70</v>
          </cell>
          <cell r="W46">
            <v>70</v>
          </cell>
          <cell r="X46">
            <v>70</v>
          </cell>
          <cell r="Y46">
            <v>70</v>
          </cell>
          <cell r="Z46">
            <v>70</v>
          </cell>
          <cell r="AA46">
            <v>70</v>
          </cell>
          <cell r="AB46">
            <v>70</v>
          </cell>
          <cell r="AC46">
            <v>70</v>
          </cell>
          <cell r="AD46">
            <v>70</v>
          </cell>
          <cell r="AE46">
            <v>70</v>
          </cell>
          <cell r="AF46">
            <v>70</v>
          </cell>
          <cell r="AG46">
            <v>70</v>
          </cell>
          <cell r="AH46">
            <v>70</v>
          </cell>
          <cell r="AI46">
            <v>70</v>
          </cell>
          <cell r="AJ46">
            <v>70</v>
          </cell>
          <cell r="AK46">
            <v>70</v>
          </cell>
          <cell r="AL46">
            <v>0</v>
          </cell>
        </row>
        <row r="49">
          <cell r="H49">
            <v>3.85</v>
          </cell>
          <cell r="I49">
            <v>3.85</v>
          </cell>
          <cell r="J49">
            <v>3.85</v>
          </cell>
          <cell r="K49">
            <v>3.85</v>
          </cell>
          <cell r="L49">
            <v>3.85</v>
          </cell>
          <cell r="M49">
            <v>3.85</v>
          </cell>
          <cell r="N49">
            <v>3.85</v>
          </cell>
          <cell r="O49">
            <v>3.85</v>
          </cell>
          <cell r="P49">
            <v>3.85</v>
          </cell>
          <cell r="Q49">
            <v>3.85</v>
          </cell>
          <cell r="R49">
            <v>3.85</v>
          </cell>
          <cell r="S49">
            <v>3.85</v>
          </cell>
          <cell r="T49">
            <v>3.85</v>
          </cell>
          <cell r="U49">
            <v>3.85</v>
          </cell>
          <cell r="V49">
            <v>3.85</v>
          </cell>
          <cell r="W49">
            <v>3.85</v>
          </cell>
          <cell r="X49">
            <v>3.85</v>
          </cell>
          <cell r="Y49">
            <v>3.85</v>
          </cell>
          <cell r="Z49">
            <v>3.85</v>
          </cell>
          <cell r="AA49">
            <v>3.85</v>
          </cell>
          <cell r="AB49">
            <v>3.85</v>
          </cell>
          <cell r="AC49">
            <v>3.85</v>
          </cell>
          <cell r="AD49">
            <v>3.85</v>
          </cell>
          <cell r="AE49">
            <v>3.85</v>
          </cell>
          <cell r="AF49">
            <v>3.85</v>
          </cell>
          <cell r="AG49">
            <v>3.85</v>
          </cell>
          <cell r="AH49">
            <v>3.85</v>
          </cell>
          <cell r="AI49">
            <v>3.85</v>
          </cell>
          <cell r="AJ49">
            <v>3.85</v>
          </cell>
          <cell r="AK49">
            <v>3.85</v>
          </cell>
        </row>
        <row r="53">
          <cell r="C53" t="str">
            <v xml:space="preserve">4L_W26 STOPE </v>
          </cell>
          <cell r="H53">
            <v>70</v>
          </cell>
          <cell r="I53">
            <v>70</v>
          </cell>
          <cell r="J53">
            <v>70</v>
          </cell>
          <cell r="K53">
            <v>70</v>
          </cell>
          <cell r="L53">
            <v>70</v>
          </cell>
          <cell r="M53">
            <v>70</v>
          </cell>
          <cell r="N53">
            <v>70</v>
          </cell>
          <cell r="O53">
            <v>70</v>
          </cell>
          <cell r="P53">
            <v>70</v>
          </cell>
          <cell r="Q53">
            <v>70</v>
          </cell>
          <cell r="R53">
            <v>70</v>
          </cell>
          <cell r="S53">
            <v>70</v>
          </cell>
          <cell r="T53">
            <v>70</v>
          </cell>
          <cell r="U53">
            <v>70</v>
          </cell>
          <cell r="V53">
            <v>70</v>
          </cell>
          <cell r="W53">
            <v>70</v>
          </cell>
          <cell r="X53">
            <v>70</v>
          </cell>
          <cell r="Y53">
            <v>70</v>
          </cell>
          <cell r="Z53">
            <v>70</v>
          </cell>
          <cell r="AA53">
            <v>70</v>
          </cell>
          <cell r="AB53">
            <v>70</v>
          </cell>
          <cell r="AC53">
            <v>70</v>
          </cell>
          <cell r="AD53">
            <v>70</v>
          </cell>
          <cell r="AE53">
            <v>70</v>
          </cell>
          <cell r="AF53">
            <v>70</v>
          </cell>
          <cell r="AG53">
            <v>70</v>
          </cell>
          <cell r="AH53">
            <v>70</v>
          </cell>
          <cell r="AI53">
            <v>70</v>
          </cell>
          <cell r="AJ53">
            <v>70</v>
          </cell>
          <cell r="AK53">
            <v>70</v>
          </cell>
          <cell r="AL53">
            <v>0</v>
          </cell>
        </row>
        <row r="56">
          <cell r="H56">
            <v>2.12</v>
          </cell>
          <cell r="I56">
            <v>2.12</v>
          </cell>
          <cell r="J56">
            <v>2.12</v>
          </cell>
          <cell r="K56">
            <v>2.12</v>
          </cell>
          <cell r="L56">
            <v>2.12</v>
          </cell>
          <cell r="M56">
            <v>2.12</v>
          </cell>
          <cell r="N56">
            <v>2.12</v>
          </cell>
          <cell r="O56">
            <v>2.12</v>
          </cell>
          <cell r="P56">
            <v>2.12</v>
          </cell>
          <cell r="Q56">
            <v>2.12</v>
          </cell>
          <cell r="R56">
            <v>2.12</v>
          </cell>
          <cell r="S56">
            <v>2.12</v>
          </cell>
          <cell r="T56">
            <v>2.12</v>
          </cell>
          <cell r="U56">
            <v>2.12</v>
          </cell>
          <cell r="V56">
            <v>2.12</v>
          </cell>
          <cell r="W56">
            <v>2.12</v>
          </cell>
          <cell r="X56">
            <v>2.12</v>
          </cell>
          <cell r="Y56">
            <v>2.12</v>
          </cell>
          <cell r="Z56">
            <v>2.12</v>
          </cell>
          <cell r="AA56">
            <v>2.12</v>
          </cell>
          <cell r="AB56">
            <v>2.12</v>
          </cell>
          <cell r="AC56">
            <v>2.12</v>
          </cell>
          <cell r="AD56">
            <v>2.12</v>
          </cell>
          <cell r="AE56">
            <v>2.12</v>
          </cell>
          <cell r="AF56">
            <v>2.12</v>
          </cell>
          <cell r="AG56">
            <v>2.12</v>
          </cell>
          <cell r="AH56">
            <v>2.12</v>
          </cell>
          <cell r="AI56">
            <v>2.12</v>
          </cell>
          <cell r="AJ56">
            <v>2.12</v>
          </cell>
          <cell r="AK56">
            <v>2.12</v>
          </cell>
        </row>
        <row r="60">
          <cell r="AL60">
            <v>0</v>
          </cell>
        </row>
        <row r="67">
          <cell r="C67" t="str">
            <v>5L_W12 STOPE</v>
          </cell>
          <cell r="H67">
            <v>0</v>
          </cell>
          <cell r="I67">
            <v>0</v>
          </cell>
          <cell r="J67">
            <v>0</v>
          </cell>
          <cell r="K67">
            <v>0</v>
          </cell>
          <cell r="L67">
            <v>0</v>
          </cell>
          <cell r="M67">
            <v>0</v>
          </cell>
          <cell r="N67">
            <v>0</v>
          </cell>
          <cell r="O67">
            <v>70</v>
          </cell>
          <cell r="P67">
            <v>70</v>
          </cell>
          <cell r="Q67">
            <v>70</v>
          </cell>
          <cell r="R67">
            <v>70</v>
          </cell>
          <cell r="S67">
            <v>70</v>
          </cell>
          <cell r="T67">
            <v>70</v>
          </cell>
          <cell r="U67">
            <v>70</v>
          </cell>
          <cell r="V67">
            <v>70</v>
          </cell>
          <cell r="W67">
            <v>70</v>
          </cell>
          <cell r="X67">
            <v>70</v>
          </cell>
          <cell r="Y67">
            <v>70</v>
          </cell>
          <cell r="Z67">
            <v>70</v>
          </cell>
          <cell r="AA67">
            <v>70</v>
          </cell>
          <cell r="AB67">
            <v>70</v>
          </cell>
          <cell r="AC67">
            <v>70</v>
          </cell>
          <cell r="AD67">
            <v>70</v>
          </cell>
          <cell r="AE67">
            <v>70</v>
          </cell>
          <cell r="AF67">
            <v>70</v>
          </cell>
          <cell r="AG67">
            <v>70</v>
          </cell>
          <cell r="AH67">
            <v>70</v>
          </cell>
          <cell r="AI67">
            <v>70</v>
          </cell>
          <cell r="AJ67">
            <v>70</v>
          </cell>
          <cell r="AK67">
            <v>70</v>
          </cell>
          <cell r="AL67">
            <v>0</v>
          </cell>
        </row>
        <row r="70">
          <cell r="O70">
            <v>2.2799999999999998</v>
          </cell>
          <cell r="P70">
            <v>2.2799999999999998</v>
          </cell>
          <cell r="Q70">
            <v>2.2799999999999998</v>
          </cell>
          <cell r="R70">
            <v>2.2799999999999998</v>
          </cell>
          <cell r="S70">
            <v>2.2799999999999998</v>
          </cell>
          <cell r="T70">
            <v>2.2799999999999998</v>
          </cell>
          <cell r="U70">
            <v>2.2799999999999998</v>
          </cell>
          <cell r="V70">
            <v>2.2799999999999998</v>
          </cell>
          <cell r="W70">
            <v>2.2799999999999998</v>
          </cell>
          <cell r="X70">
            <v>2.2799999999999998</v>
          </cell>
          <cell r="Y70">
            <v>2.2799999999999998</v>
          </cell>
          <cell r="Z70">
            <v>2.2799999999999998</v>
          </cell>
          <cell r="AA70">
            <v>2.2799999999999998</v>
          </cell>
          <cell r="AB70">
            <v>2.2799999999999998</v>
          </cell>
          <cell r="AC70">
            <v>2.2799999999999998</v>
          </cell>
          <cell r="AD70">
            <v>2.2799999999999998</v>
          </cell>
          <cell r="AE70">
            <v>2.2799999999999998</v>
          </cell>
          <cell r="AF70">
            <v>2.2799999999999998</v>
          </cell>
          <cell r="AG70">
            <v>2.2799999999999998</v>
          </cell>
          <cell r="AH70">
            <v>2.2799999999999998</v>
          </cell>
          <cell r="AI70">
            <v>2.2799999999999998</v>
          </cell>
          <cell r="AJ70">
            <v>2.2799999999999998</v>
          </cell>
          <cell r="AK70">
            <v>2.2799999999999998</v>
          </cell>
        </row>
        <row r="74">
          <cell r="C74" t="str">
            <v>5L_W8 STOPE</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row>
        <row r="81">
          <cell r="C81" t="str">
            <v>6L_E1 STOPE</v>
          </cell>
          <cell r="H81">
            <v>35</v>
          </cell>
          <cell r="I81">
            <v>35</v>
          </cell>
          <cell r="J81">
            <v>35</v>
          </cell>
          <cell r="K81">
            <v>35</v>
          </cell>
          <cell r="L81">
            <v>35</v>
          </cell>
          <cell r="M81">
            <v>35</v>
          </cell>
          <cell r="N81">
            <v>35</v>
          </cell>
          <cell r="O81">
            <v>35</v>
          </cell>
          <cell r="P81">
            <v>35</v>
          </cell>
          <cell r="Q81">
            <v>35</v>
          </cell>
          <cell r="R81">
            <v>35</v>
          </cell>
          <cell r="S81">
            <v>35</v>
          </cell>
          <cell r="T81">
            <v>35</v>
          </cell>
          <cell r="U81">
            <v>35</v>
          </cell>
          <cell r="V81">
            <v>35</v>
          </cell>
          <cell r="W81">
            <v>35</v>
          </cell>
          <cell r="X81">
            <v>35</v>
          </cell>
          <cell r="Y81">
            <v>35</v>
          </cell>
          <cell r="Z81">
            <v>35</v>
          </cell>
          <cell r="AA81">
            <v>35</v>
          </cell>
          <cell r="AB81">
            <v>35</v>
          </cell>
          <cell r="AC81">
            <v>35</v>
          </cell>
          <cell r="AD81">
            <v>35</v>
          </cell>
          <cell r="AE81">
            <v>35</v>
          </cell>
          <cell r="AF81">
            <v>35</v>
          </cell>
          <cell r="AG81">
            <v>35</v>
          </cell>
          <cell r="AH81">
            <v>35</v>
          </cell>
          <cell r="AI81">
            <v>35</v>
          </cell>
          <cell r="AJ81">
            <v>35</v>
          </cell>
          <cell r="AK81">
            <v>35</v>
          </cell>
          <cell r="AL81">
            <v>0</v>
          </cell>
        </row>
        <row r="84">
          <cell r="H84">
            <v>3.89</v>
          </cell>
          <cell r="I84">
            <v>3.89</v>
          </cell>
          <cell r="J84">
            <v>3.89</v>
          </cell>
          <cell r="K84">
            <v>3.89</v>
          </cell>
          <cell r="L84">
            <v>3.89</v>
          </cell>
          <cell r="M84">
            <v>3.89</v>
          </cell>
          <cell r="N84">
            <v>3.89</v>
          </cell>
          <cell r="O84">
            <v>3.89</v>
          </cell>
          <cell r="P84">
            <v>3.89</v>
          </cell>
          <cell r="Q84">
            <v>3.89</v>
          </cell>
          <cell r="R84">
            <v>3.89</v>
          </cell>
          <cell r="S84">
            <v>3.89</v>
          </cell>
          <cell r="T84">
            <v>3.89</v>
          </cell>
          <cell r="U84">
            <v>3.89</v>
          </cell>
          <cell r="V84">
            <v>3.89</v>
          </cell>
          <cell r="W84">
            <v>3.89</v>
          </cell>
          <cell r="X84">
            <v>3.89</v>
          </cell>
          <cell r="Y84">
            <v>3.89</v>
          </cell>
          <cell r="Z84">
            <v>3.89</v>
          </cell>
          <cell r="AA84">
            <v>3.89</v>
          </cell>
          <cell r="AB84">
            <v>3.89</v>
          </cell>
          <cell r="AC84">
            <v>3.89</v>
          </cell>
          <cell r="AD84">
            <v>3.89</v>
          </cell>
          <cell r="AE84">
            <v>3.89</v>
          </cell>
          <cell r="AF84">
            <v>3.89</v>
          </cell>
          <cell r="AG84">
            <v>3.89</v>
          </cell>
          <cell r="AH84">
            <v>3.89</v>
          </cell>
          <cell r="AI84">
            <v>3.89</v>
          </cell>
          <cell r="AJ84">
            <v>3.89</v>
          </cell>
          <cell r="AK84">
            <v>3.89</v>
          </cell>
        </row>
        <row r="88">
          <cell r="C88" t="str">
            <v xml:space="preserve">6L_W1 STOPE </v>
          </cell>
          <cell r="H88">
            <v>140</v>
          </cell>
          <cell r="I88">
            <v>140</v>
          </cell>
          <cell r="J88">
            <v>140</v>
          </cell>
          <cell r="K88">
            <v>140</v>
          </cell>
          <cell r="L88">
            <v>140</v>
          </cell>
          <cell r="M88">
            <v>140</v>
          </cell>
          <cell r="N88">
            <v>140</v>
          </cell>
          <cell r="O88">
            <v>140</v>
          </cell>
          <cell r="P88">
            <v>140</v>
          </cell>
          <cell r="Q88">
            <v>140</v>
          </cell>
          <cell r="R88">
            <v>140</v>
          </cell>
          <cell r="S88">
            <v>140</v>
          </cell>
          <cell r="T88">
            <v>140</v>
          </cell>
          <cell r="U88">
            <v>140</v>
          </cell>
          <cell r="V88">
            <v>140</v>
          </cell>
          <cell r="W88">
            <v>140</v>
          </cell>
          <cell r="X88">
            <v>140</v>
          </cell>
          <cell r="Y88">
            <v>140</v>
          </cell>
          <cell r="Z88">
            <v>140</v>
          </cell>
          <cell r="AA88">
            <v>140</v>
          </cell>
          <cell r="AB88">
            <v>140</v>
          </cell>
          <cell r="AC88">
            <v>140</v>
          </cell>
          <cell r="AD88">
            <v>140</v>
          </cell>
          <cell r="AE88">
            <v>140</v>
          </cell>
          <cell r="AF88">
            <v>140</v>
          </cell>
          <cell r="AG88">
            <v>140</v>
          </cell>
          <cell r="AH88">
            <v>140</v>
          </cell>
          <cell r="AI88">
            <v>140</v>
          </cell>
          <cell r="AJ88">
            <v>140</v>
          </cell>
          <cell r="AK88">
            <v>140</v>
          </cell>
        </row>
        <row r="91">
          <cell r="H91">
            <v>3.89</v>
          </cell>
          <cell r="I91">
            <v>3.89</v>
          </cell>
          <cell r="J91">
            <v>3.89</v>
          </cell>
          <cell r="K91">
            <v>3.89</v>
          </cell>
          <cell r="L91">
            <v>3.89</v>
          </cell>
          <cell r="M91">
            <v>3.89</v>
          </cell>
          <cell r="N91">
            <v>3.89</v>
          </cell>
          <cell r="O91">
            <v>3.89</v>
          </cell>
          <cell r="P91">
            <v>3.89</v>
          </cell>
          <cell r="Q91">
            <v>3.89</v>
          </cell>
          <cell r="R91">
            <v>3.89</v>
          </cell>
          <cell r="S91">
            <v>3.89</v>
          </cell>
          <cell r="T91">
            <v>3.89</v>
          </cell>
          <cell r="U91">
            <v>3.89</v>
          </cell>
          <cell r="V91">
            <v>3.89</v>
          </cell>
          <cell r="W91">
            <v>3.89</v>
          </cell>
          <cell r="X91">
            <v>3.89</v>
          </cell>
          <cell r="Y91">
            <v>3.89</v>
          </cell>
          <cell r="Z91">
            <v>3.89</v>
          </cell>
          <cell r="AA91">
            <v>3.89</v>
          </cell>
          <cell r="AB91">
            <v>3.89</v>
          </cell>
          <cell r="AC91">
            <v>3.89</v>
          </cell>
          <cell r="AD91">
            <v>3.89</v>
          </cell>
          <cell r="AE91">
            <v>3.89</v>
          </cell>
          <cell r="AF91">
            <v>3.89</v>
          </cell>
          <cell r="AG91">
            <v>3.89</v>
          </cell>
          <cell r="AH91">
            <v>3.89</v>
          </cell>
          <cell r="AI91">
            <v>3.89</v>
          </cell>
          <cell r="AJ91">
            <v>3.89</v>
          </cell>
          <cell r="AK91">
            <v>3.89</v>
          </cell>
        </row>
        <row r="95">
          <cell r="C95" t="str">
            <v xml:space="preserve">6L_W2 STOPE </v>
          </cell>
          <cell r="H95">
            <v>42</v>
          </cell>
          <cell r="I95">
            <v>42</v>
          </cell>
          <cell r="J95">
            <v>42</v>
          </cell>
          <cell r="K95">
            <v>42</v>
          </cell>
          <cell r="L95">
            <v>42</v>
          </cell>
          <cell r="M95">
            <v>42</v>
          </cell>
          <cell r="N95">
            <v>42</v>
          </cell>
          <cell r="O95">
            <v>42</v>
          </cell>
          <cell r="P95">
            <v>42</v>
          </cell>
          <cell r="Q95">
            <v>42</v>
          </cell>
          <cell r="R95">
            <v>42</v>
          </cell>
          <cell r="S95">
            <v>42</v>
          </cell>
          <cell r="T95">
            <v>42</v>
          </cell>
          <cell r="U95">
            <v>42</v>
          </cell>
          <cell r="V95">
            <v>42</v>
          </cell>
          <cell r="W95">
            <v>42</v>
          </cell>
          <cell r="X95">
            <v>42</v>
          </cell>
          <cell r="Y95">
            <v>42</v>
          </cell>
          <cell r="Z95">
            <v>42</v>
          </cell>
          <cell r="AA95">
            <v>42</v>
          </cell>
          <cell r="AB95">
            <v>42</v>
          </cell>
          <cell r="AC95">
            <v>42</v>
          </cell>
          <cell r="AD95">
            <v>42</v>
          </cell>
          <cell r="AE95">
            <v>42</v>
          </cell>
          <cell r="AF95">
            <v>42</v>
          </cell>
          <cell r="AG95">
            <v>42</v>
          </cell>
          <cell r="AH95">
            <v>42</v>
          </cell>
          <cell r="AI95">
            <v>42</v>
          </cell>
          <cell r="AJ95">
            <v>42</v>
          </cell>
          <cell r="AK95">
            <v>42</v>
          </cell>
          <cell r="AL95">
            <v>0</v>
          </cell>
        </row>
        <row r="98">
          <cell r="H98">
            <v>2.91</v>
          </cell>
          <cell r="I98">
            <v>2.91</v>
          </cell>
          <cell r="J98">
            <v>2.91</v>
          </cell>
          <cell r="K98">
            <v>2.91</v>
          </cell>
          <cell r="L98">
            <v>2.91</v>
          </cell>
          <cell r="M98">
            <v>2.91</v>
          </cell>
          <cell r="N98">
            <v>2.91</v>
          </cell>
          <cell r="O98">
            <v>2.91</v>
          </cell>
          <cell r="P98">
            <v>2.91</v>
          </cell>
          <cell r="Q98">
            <v>2.91</v>
          </cell>
          <cell r="R98">
            <v>2.91</v>
          </cell>
          <cell r="S98">
            <v>2.91</v>
          </cell>
          <cell r="T98">
            <v>2.91</v>
          </cell>
          <cell r="U98">
            <v>2.91</v>
          </cell>
          <cell r="V98">
            <v>2.91</v>
          </cell>
          <cell r="W98">
            <v>2.91</v>
          </cell>
          <cell r="X98">
            <v>2.91</v>
          </cell>
          <cell r="Y98">
            <v>2.91</v>
          </cell>
          <cell r="Z98">
            <v>2.91</v>
          </cell>
          <cell r="AA98">
            <v>2.91</v>
          </cell>
          <cell r="AB98">
            <v>2.91</v>
          </cell>
          <cell r="AC98">
            <v>2.91</v>
          </cell>
          <cell r="AD98">
            <v>2.91</v>
          </cell>
          <cell r="AE98">
            <v>2.91</v>
          </cell>
          <cell r="AF98">
            <v>2.91</v>
          </cell>
          <cell r="AG98">
            <v>2.91</v>
          </cell>
          <cell r="AH98">
            <v>2.91</v>
          </cell>
          <cell r="AI98">
            <v>2.91</v>
          </cell>
          <cell r="AJ98">
            <v>2.91</v>
          </cell>
          <cell r="AK98">
            <v>2.91</v>
          </cell>
        </row>
        <row r="102">
          <cell r="C102" t="str">
            <v>6L_W3 STOPE</v>
          </cell>
          <cell r="H102">
            <v>70</v>
          </cell>
          <cell r="I102">
            <v>70</v>
          </cell>
          <cell r="J102">
            <v>70</v>
          </cell>
          <cell r="K102">
            <v>70</v>
          </cell>
          <cell r="L102">
            <v>70</v>
          </cell>
          <cell r="M102">
            <v>70</v>
          </cell>
          <cell r="N102">
            <v>70</v>
          </cell>
          <cell r="O102">
            <v>70</v>
          </cell>
          <cell r="P102">
            <v>70</v>
          </cell>
          <cell r="Q102">
            <v>70</v>
          </cell>
          <cell r="R102">
            <v>70</v>
          </cell>
          <cell r="S102">
            <v>70</v>
          </cell>
          <cell r="T102">
            <v>70</v>
          </cell>
          <cell r="U102">
            <v>70</v>
          </cell>
          <cell r="V102">
            <v>70</v>
          </cell>
          <cell r="W102">
            <v>70</v>
          </cell>
          <cell r="X102">
            <v>70</v>
          </cell>
          <cell r="Y102">
            <v>70</v>
          </cell>
          <cell r="Z102">
            <v>70</v>
          </cell>
          <cell r="AA102">
            <v>70</v>
          </cell>
          <cell r="AB102">
            <v>70</v>
          </cell>
          <cell r="AC102">
            <v>70</v>
          </cell>
          <cell r="AD102">
            <v>70</v>
          </cell>
          <cell r="AE102">
            <v>70</v>
          </cell>
          <cell r="AF102">
            <v>70</v>
          </cell>
          <cell r="AG102">
            <v>70</v>
          </cell>
          <cell r="AH102">
            <v>70</v>
          </cell>
          <cell r="AI102">
            <v>70</v>
          </cell>
          <cell r="AJ102">
            <v>70</v>
          </cell>
          <cell r="AK102">
            <v>70</v>
          </cell>
          <cell r="AL102">
            <v>0</v>
          </cell>
        </row>
        <row r="105">
          <cell r="H105">
            <v>2.91</v>
          </cell>
          <cell r="I105">
            <v>2.91</v>
          </cell>
          <cell r="J105">
            <v>2.91</v>
          </cell>
          <cell r="K105">
            <v>2.91</v>
          </cell>
          <cell r="L105">
            <v>2.91</v>
          </cell>
          <cell r="M105">
            <v>2.91</v>
          </cell>
          <cell r="N105">
            <v>2.91</v>
          </cell>
          <cell r="O105">
            <v>2.91</v>
          </cell>
          <cell r="P105">
            <v>2.91</v>
          </cell>
          <cell r="Q105">
            <v>2.91</v>
          </cell>
          <cell r="R105">
            <v>2.91</v>
          </cell>
          <cell r="S105">
            <v>2.91</v>
          </cell>
          <cell r="T105">
            <v>2.91</v>
          </cell>
          <cell r="U105">
            <v>2.91</v>
          </cell>
          <cell r="V105">
            <v>2.91</v>
          </cell>
          <cell r="W105">
            <v>2.91</v>
          </cell>
          <cell r="X105">
            <v>2.91</v>
          </cell>
          <cell r="Y105">
            <v>2.91</v>
          </cell>
          <cell r="Z105">
            <v>2.91</v>
          </cell>
          <cell r="AA105">
            <v>2.91</v>
          </cell>
          <cell r="AB105">
            <v>2.91</v>
          </cell>
          <cell r="AC105">
            <v>2.91</v>
          </cell>
          <cell r="AD105">
            <v>2.91</v>
          </cell>
          <cell r="AE105">
            <v>2.91</v>
          </cell>
          <cell r="AF105">
            <v>2.91</v>
          </cell>
          <cell r="AG105">
            <v>2.91</v>
          </cell>
          <cell r="AH105">
            <v>2.91</v>
          </cell>
          <cell r="AI105">
            <v>2.91</v>
          </cell>
          <cell r="AJ105">
            <v>2.91</v>
          </cell>
          <cell r="AK105">
            <v>2.91</v>
          </cell>
        </row>
        <row r="109">
          <cell r="C109" t="str">
            <v>6L_W4 STOPE</v>
          </cell>
          <cell r="H109">
            <v>70</v>
          </cell>
          <cell r="I109">
            <v>70</v>
          </cell>
          <cell r="J109">
            <v>70</v>
          </cell>
          <cell r="K109">
            <v>70</v>
          </cell>
          <cell r="L109">
            <v>70</v>
          </cell>
          <cell r="M109">
            <v>70</v>
          </cell>
          <cell r="N109">
            <v>70</v>
          </cell>
          <cell r="O109">
            <v>70</v>
          </cell>
          <cell r="P109">
            <v>70</v>
          </cell>
          <cell r="Q109">
            <v>70</v>
          </cell>
          <cell r="R109">
            <v>70</v>
          </cell>
          <cell r="S109">
            <v>70</v>
          </cell>
          <cell r="T109">
            <v>70</v>
          </cell>
          <cell r="U109">
            <v>70</v>
          </cell>
          <cell r="V109">
            <v>70</v>
          </cell>
          <cell r="W109">
            <v>70</v>
          </cell>
          <cell r="X109">
            <v>70</v>
          </cell>
          <cell r="Y109">
            <v>70</v>
          </cell>
          <cell r="Z109">
            <v>70</v>
          </cell>
          <cell r="AA109">
            <v>70</v>
          </cell>
          <cell r="AB109">
            <v>70</v>
          </cell>
          <cell r="AC109">
            <v>70</v>
          </cell>
          <cell r="AD109">
            <v>70</v>
          </cell>
          <cell r="AE109">
            <v>70</v>
          </cell>
          <cell r="AF109">
            <v>70</v>
          </cell>
          <cell r="AG109">
            <v>70</v>
          </cell>
          <cell r="AH109">
            <v>70</v>
          </cell>
          <cell r="AI109">
            <v>70</v>
          </cell>
          <cell r="AJ109">
            <v>70</v>
          </cell>
          <cell r="AK109">
            <v>70</v>
          </cell>
          <cell r="AL109">
            <v>0</v>
          </cell>
        </row>
        <row r="112">
          <cell r="H112">
            <v>2.35</v>
          </cell>
          <cell r="I112">
            <v>2.35</v>
          </cell>
          <cell r="J112">
            <v>2.35</v>
          </cell>
          <cell r="K112">
            <v>2.35</v>
          </cell>
          <cell r="L112">
            <v>2.35</v>
          </cell>
          <cell r="M112">
            <v>2.35</v>
          </cell>
          <cell r="N112">
            <v>2.35</v>
          </cell>
          <cell r="O112">
            <v>2.35</v>
          </cell>
          <cell r="P112">
            <v>2.35</v>
          </cell>
          <cell r="Q112">
            <v>2.35</v>
          </cell>
          <cell r="R112">
            <v>2.35</v>
          </cell>
          <cell r="S112">
            <v>2.35</v>
          </cell>
          <cell r="T112">
            <v>2.35</v>
          </cell>
          <cell r="U112">
            <v>2.35</v>
          </cell>
          <cell r="V112">
            <v>2.35</v>
          </cell>
          <cell r="W112">
            <v>2.35</v>
          </cell>
          <cell r="X112">
            <v>2.35</v>
          </cell>
          <cell r="Y112">
            <v>2.35</v>
          </cell>
          <cell r="Z112">
            <v>2.35</v>
          </cell>
          <cell r="AA112">
            <v>2.35</v>
          </cell>
          <cell r="AB112">
            <v>2.35</v>
          </cell>
          <cell r="AC112">
            <v>2.35</v>
          </cell>
          <cell r="AD112">
            <v>2.35</v>
          </cell>
          <cell r="AE112">
            <v>2.35</v>
          </cell>
          <cell r="AF112">
            <v>2.35</v>
          </cell>
          <cell r="AG112">
            <v>2.35</v>
          </cell>
          <cell r="AH112">
            <v>2.35</v>
          </cell>
          <cell r="AI112">
            <v>2.35</v>
          </cell>
          <cell r="AJ112">
            <v>2.35</v>
          </cell>
          <cell r="AK112">
            <v>2.35</v>
          </cell>
        </row>
        <row r="116">
          <cell r="C116" t="str">
            <v>6L_W8 STOPE</v>
          </cell>
          <cell r="H116">
            <v>35</v>
          </cell>
          <cell r="I116">
            <v>35</v>
          </cell>
          <cell r="J116">
            <v>35</v>
          </cell>
          <cell r="K116">
            <v>35</v>
          </cell>
          <cell r="L116">
            <v>35</v>
          </cell>
          <cell r="M116">
            <v>35</v>
          </cell>
          <cell r="N116">
            <v>35</v>
          </cell>
          <cell r="O116">
            <v>35</v>
          </cell>
          <cell r="P116">
            <v>35</v>
          </cell>
          <cell r="Q116">
            <v>35</v>
          </cell>
          <cell r="R116">
            <v>35</v>
          </cell>
          <cell r="S116">
            <v>35</v>
          </cell>
          <cell r="T116">
            <v>35</v>
          </cell>
          <cell r="U116">
            <v>35</v>
          </cell>
          <cell r="V116">
            <v>35</v>
          </cell>
          <cell r="W116">
            <v>35</v>
          </cell>
          <cell r="X116">
            <v>35</v>
          </cell>
          <cell r="Y116">
            <v>35</v>
          </cell>
          <cell r="Z116">
            <v>35</v>
          </cell>
          <cell r="AA116">
            <v>35</v>
          </cell>
          <cell r="AB116">
            <v>35</v>
          </cell>
          <cell r="AC116">
            <v>35</v>
          </cell>
          <cell r="AD116">
            <v>35</v>
          </cell>
          <cell r="AE116">
            <v>35</v>
          </cell>
          <cell r="AF116">
            <v>35</v>
          </cell>
          <cell r="AG116">
            <v>35</v>
          </cell>
          <cell r="AH116">
            <v>35</v>
          </cell>
          <cell r="AI116">
            <v>35</v>
          </cell>
          <cell r="AJ116">
            <v>35</v>
          </cell>
          <cell r="AK116">
            <v>35</v>
          </cell>
          <cell r="AL116">
            <v>0</v>
          </cell>
        </row>
        <row r="119">
          <cell r="H119">
            <v>2.84</v>
          </cell>
          <cell r="I119">
            <v>2.84</v>
          </cell>
          <cell r="J119">
            <v>2.84</v>
          </cell>
          <cell r="K119">
            <v>2.84</v>
          </cell>
          <cell r="L119">
            <v>2.84</v>
          </cell>
          <cell r="M119">
            <v>2.84</v>
          </cell>
          <cell r="N119">
            <v>2.84</v>
          </cell>
          <cell r="O119">
            <v>2.84</v>
          </cell>
          <cell r="P119">
            <v>2.84</v>
          </cell>
          <cell r="Q119">
            <v>2.84</v>
          </cell>
          <cell r="R119">
            <v>2.84</v>
          </cell>
          <cell r="S119">
            <v>2.84</v>
          </cell>
          <cell r="T119">
            <v>2.84</v>
          </cell>
          <cell r="U119">
            <v>2.84</v>
          </cell>
          <cell r="V119">
            <v>2.84</v>
          </cell>
          <cell r="W119">
            <v>2.84</v>
          </cell>
          <cell r="X119">
            <v>2.84</v>
          </cell>
          <cell r="Y119">
            <v>2.84</v>
          </cell>
          <cell r="Z119">
            <v>2.84</v>
          </cell>
          <cell r="AA119">
            <v>2.84</v>
          </cell>
          <cell r="AB119">
            <v>2.84</v>
          </cell>
          <cell r="AC119">
            <v>2.84</v>
          </cell>
          <cell r="AD119">
            <v>2.84</v>
          </cell>
          <cell r="AE119">
            <v>2.84</v>
          </cell>
          <cell r="AF119">
            <v>2.84</v>
          </cell>
          <cell r="AG119">
            <v>2.84</v>
          </cell>
          <cell r="AH119">
            <v>2.84</v>
          </cell>
          <cell r="AI119">
            <v>2.84</v>
          </cell>
          <cell r="AJ119">
            <v>2.84</v>
          </cell>
          <cell r="AK119">
            <v>2.84</v>
          </cell>
        </row>
        <row r="123">
          <cell r="C123" t="str">
            <v>6L_W14 STOPE</v>
          </cell>
          <cell r="H123">
            <v>70</v>
          </cell>
          <cell r="I123">
            <v>70</v>
          </cell>
          <cell r="J123">
            <v>70</v>
          </cell>
          <cell r="K123">
            <v>70</v>
          </cell>
          <cell r="L123">
            <v>70</v>
          </cell>
          <cell r="M123">
            <v>70</v>
          </cell>
          <cell r="N123">
            <v>70</v>
          </cell>
          <cell r="O123">
            <v>70</v>
          </cell>
          <cell r="P123">
            <v>70</v>
          </cell>
          <cell r="Q123">
            <v>70</v>
          </cell>
          <cell r="R123">
            <v>70</v>
          </cell>
          <cell r="S123">
            <v>70</v>
          </cell>
          <cell r="T123">
            <v>70</v>
          </cell>
          <cell r="U123">
            <v>70</v>
          </cell>
          <cell r="V123">
            <v>70</v>
          </cell>
          <cell r="W123">
            <v>70</v>
          </cell>
          <cell r="X123">
            <v>70</v>
          </cell>
          <cell r="Y123">
            <v>70</v>
          </cell>
          <cell r="Z123">
            <v>70</v>
          </cell>
          <cell r="AA123">
            <v>70</v>
          </cell>
          <cell r="AB123">
            <v>70</v>
          </cell>
          <cell r="AC123">
            <v>70</v>
          </cell>
          <cell r="AD123">
            <v>70</v>
          </cell>
          <cell r="AE123">
            <v>70</v>
          </cell>
          <cell r="AF123">
            <v>70</v>
          </cell>
          <cell r="AG123">
            <v>70</v>
          </cell>
          <cell r="AH123">
            <v>70</v>
          </cell>
          <cell r="AI123">
            <v>70</v>
          </cell>
          <cell r="AJ123">
            <v>70</v>
          </cell>
          <cell r="AK123">
            <v>70</v>
          </cell>
          <cell r="AL123">
            <v>0</v>
          </cell>
        </row>
        <row r="126">
          <cell r="H126">
            <v>2.2000000000000002</v>
          </cell>
          <cell r="I126">
            <v>2.2000000000000002</v>
          </cell>
          <cell r="J126">
            <v>2.2000000000000002</v>
          </cell>
          <cell r="K126">
            <v>2.2000000000000002</v>
          </cell>
          <cell r="L126">
            <v>2.2000000000000002</v>
          </cell>
          <cell r="M126">
            <v>2.2000000000000002</v>
          </cell>
          <cell r="N126">
            <v>2.2000000000000002</v>
          </cell>
          <cell r="O126">
            <v>2.2000000000000002</v>
          </cell>
          <cell r="P126">
            <v>2.2000000000000002</v>
          </cell>
          <cell r="Q126">
            <v>2.2000000000000002</v>
          </cell>
          <cell r="R126">
            <v>2.2000000000000002</v>
          </cell>
          <cell r="S126">
            <v>2.2000000000000002</v>
          </cell>
          <cell r="T126">
            <v>2.2000000000000002</v>
          </cell>
          <cell r="U126">
            <v>2.2000000000000002</v>
          </cell>
          <cell r="V126">
            <v>2.2000000000000002</v>
          </cell>
          <cell r="W126">
            <v>2.2000000000000002</v>
          </cell>
          <cell r="X126">
            <v>2.2000000000000002</v>
          </cell>
          <cell r="Y126">
            <v>2.2000000000000002</v>
          </cell>
          <cell r="Z126">
            <v>2.2000000000000002</v>
          </cell>
          <cell r="AA126">
            <v>2.2000000000000002</v>
          </cell>
          <cell r="AB126">
            <v>2.2000000000000002</v>
          </cell>
          <cell r="AC126">
            <v>2.2000000000000002</v>
          </cell>
          <cell r="AD126">
            <v>2.2000000000000002</v>
          </cell>
          <cell r="AE126">
            <v>2.2000000000000002</v>
          </cell>
          <cell r="AF126">
            <v>2.2000000000000002</v>
          </cell>
          <cell r="AG126">
            <v>2.2000000000000002</v>
          </cell>
          <cell r="AH126">
            <v>2.2000000000000002</v>
          </cell>
          <cell r="AI126">
            <v>2.2000000000000002</v>
          </cell>
          <cell r="AJ126">
            <v>2.2000000000000002</v>
          </cell>
          <cell r="AK126">
            <v>2.2000000000000002</v>
          </cell>
        </row>
        <row r="130">
          <cell r="C130" t="str">
            <v>6L_W15_STOPE</v>
          </cell>
          <cell r="H130">
            <v>70</v>
          </cell>
          <cell r="I130">
            <v>70</v>
          </cell>
          <cell r="J130">
            <v>70</v>
          </cell>
          <cell r="K130">
            <v>70</v>
          </cell>
          <cell r="L130">
            <v>70</v>
          </cell>
          <cell r="M130">
            <v>70</v>
          </cell>
          <cell r="N130">
            <v>70</v>
          </cell>
          <cell r="O130">
            <v>70</v>
          </cell>
          <cell r="P130">
            <v>70</v>
          </cell>
          <cell r="Q130">
            <v>70</v>
          </cell>
          <cell r="R130">
            <v>70</v>
          </cell>
          <cell r="S130">
            <v>70</v>
          </cell>
          <cell r="T130">
            <v>70</v>
          </cell>
          <cell r="U130">
            <v>70</v>
          </cell>
          <cell r="V130">
            <v>70</v>
          </cell>
          <cell r="W130">
            <v>70</v>
          </cell>
          <cell r="X130">
            <v>70</v>
          </cell>
          <cell r="Y130">
            <v>70</v>
          </cell>
          <cell r="Z130">
            <v>70</v>
          </cell>
          <cell r="AA130">
            <v>70</v>
          </cell>
          <cell r="AB130">
            <v>70</v>
          </cell>
          <cell r="AC130">
            <v>70</v>
          </cell>
          <cell r="AD130">
            <v>70</v>
          </cell>
          <cell r="AE130">
            <v>70</v>
          </cell>
          <cell r="AF130">
            <v>70</v>
          </cell>
          <cell r="AG130">
            <v>70</v>
          </cell>
          <cell r="AH130">
            <v>70</v>
          </cell>
          <cell r="AI130">
            <v>70</v>
          </cell>
          <cell r="AJ130">
            <v>70</v>
          </cell>
          <cell r="AK130">
            <v>70</v>
          </cell>
        </row>
        <row r="133">
          <cell r="H133">
            <v>2.2000000000000002</v>
          </cell>
          <cell r="I133">
            <v>2.2000000000000002</v>
          </cell>
          <cell r="J133">
            <v>2.2000000000000002</v>
          </cell>
          <cell r="K133">
            <v>2.2000000000000002</v>
          </cell>
          <cell r="L133">
            <v>2.2000000000000002</v>
          </cell>
          <cell r="M133">
            <v>2.2000000000000002</v>
          </cell>
          <cell r="N133">
            <v>2.2000000000000002</v>
          </cell>
          <cell r="O133">
            <v>2.2000000000000002</v>
          </cell>
          <cell r="P133">
            <v>2.2000000000000002</v>
          </cell>
          <cell r="Q133">
            <v>2.2000000000000002</v>
          </cell>
          <cell r="R133">
            <v>2.2000000000000002</v>
          </cell>
          <cell r="S133">
            <v>2.2000000000000002</v>
          </cell>
          <cell r="T133">
            <v>2.2000000000000002</v>
          </cell>
          <cell r="U133">
            <v>2.2000000000000002</v>
          </cell>
          <cell r="V133">
            <v>2.2000000000000002</v>
          </cell>
          <cell r="W133">
            <v>2.2000000000000002</v>
          </cell>
          <cell r="X133">
            <v>2.2000000000000002</v>
          </cell>
          <cell r="Y133">
            <v>2.2000000000000002</v>
          </cell>
          <cell r="Z133">
            <v>2.2000000000000002</v>
          </cell>
          <cell r="AA133">
            <v>2.2000000000000002</v>
          </cell>
          <cell r="AB133">
            <v>2.2000000000000002</v>
          </cell>
          <cell r="AC133">
            <v>2.2000000000000002</v>
          </cell>
          <cell r="AD133">
            <v>2.2000000000000002</v>
          </cell>
          <cell r="AE133">
            <v>2.2000000000000002</v>
          </cell>
          <cell r="AF133">
            <v>2.2000000000000002</v>
          </cell>
          <cell r="AG133">
            <v>2.2000000000000002</v>
          </cell>
          <cell r="AH133">
            <v>2.2000000000000002</v>
          </cell>
          <cell r="AI133">
            <v>2.2000000000000002</v>
          </cell>
          <cell r="AJ133">
            <v>2.2000000000000002</v>
          </cell>
          <cell r="AK133">
            <v>2.2000000000000002</v>
          </cell>
        </row>
      </sheetData>
      <sheetData sheetId="10"/>
      <sheetData sheetId="11"/>
      <sheetData sheetId="12">
        <row r="19">
          <cell r="F19">
            <v>2916</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9">
          <cell r="A9" t="str">
            <v>1L W24 STOPE</v>
          </cell>
          <cell r="D9">
            <v>70</v>
          </cell>
          <cell r="E9">
            <v>70</v>
          </cell>
          <cell r="F9">
            <v>70</v>
          </cell>
          <cell r="G9">
            <v>70</v>
          </cell>
          <cell r="H9">
            <v>70</v>
          </cell>
          <cell r="I9">
            <v>70</v>
          </cell>
          <cell r="J9">
            <v>70</v>
          </cell>
          <cell r="K9">
            <v>70</v>
          </cell>
          <cell r="L9">
            <v>70</v>
          </cell>
          <cell r="M9">
            <v>70</v>
          </cell>
          <cell r="N9">
            <v>70</v>
          </cell>
          <cell r="O9">
            <v>70</v>
          </cell>
          <cell r="P9">
            <v>70</v>
          </cell>
          <cell r="Q9">
            <v>70</v>
          </cell>
          <cell r="R9">
            <v>70</v>
          </cell>
          <cell r="S9">
            <v>70</v>
          </cell>
          <cell r="T9">
            <v>70</v>
          </cell>
          <cell r="U9">
            <v>70</v>
          </cell>
          <cell r="V9">
            <v>70</v>
          </cell>
          <cell r="W9">
            <v>70</v>
          </cell>
          <cell r="X9">
            <v>70</v>
          </cell>
          <cell r="Y9">
            <v>70</v>
          </cell>
          <cell r="Z9">
            <v>70</v>
          </cell>
          <cell r="AA9">
            <v>70</v>
          </cell>
          <cell r="AB9">
            <v>70</v>
          </cell>
          <cell r="AC9">
            <v>70</v>
          </cell>
          <cell r="AD9">
            <v>70</v>
          </cell>
          <cell r="AE9">
            <v>70</v>
          </cell>
          <cell r="AF9">
            <v>70</v>
          </cell>
          <cell r="AG9">
            <v>70</v>
          </cell>
        </row>
        <row r="15">
          <cell r="D15">
            <v>70</v>
          </cell>
          <cell r="E15">
            <v>70</v>
          </cell>
          <cell r="F15">
            <v>70</v>
          </cell>
          <cell r="G15">
            <v>70</v>
          </cell>
          <cell r="H15">
            <v>70</v>
          </cell>
          <cell r="I15">
            <v>70</v>
          </cell>
          <cell r="J15">
            <v>70</v>
          </cell>
          <cell r="K15">
            <v>70</v>
          </cell>
          <cell r="L15">
            <v>70</v>
          </cell>
          <cell r="M15">
            <v>70</v>
          </cell>
          <cell r="N15">
            <v>70</v>
          </cell>
          <cell r="O15">
            <v>70</v>
          </cell>
          <cell r="P15">
            <v>70</v>
          </cell>
          <cell r="Q15">
            <v>70</v>
          </cell>
          <cell r="R15">
            <v>70</v>
          </cell>
          <cell r="S15">
            <v>70</v>
          </cell>
          <cell r="T15">
            <v>70</v>
          </cell>
          <cell r="U15">
            <v>70</v>
          </cell>
          <cell r="V15">
            <v>70</v>
          </cell>
          <cell r="W15">
            <v>70</v>
          </cell>
          <cell r="X15">
            <v>70</v>
          </cell>
          <cell r="Y15">
            <v>70</v>
          </cell>
          <cell r="Z15">
            <v>70</v>
          </cell>
          <cell r="AA15">
            <v>70</v>
          </cell>
          <cell r="AB15">
            <v>70</v>
          </cell>
          <cell r="AC15">
            <v>70</v>
          </cell>
          <cell r="AD15">
            <v>70</v>
          </cell>
          <cell r="AE15">
            <v>70</v>
          </cell>
          <cell r="AF15">
            <v>70</v>
          </cell>
          <cell r="AG15">
            <v>70</v>
          </cell>
        </row>
        <row r="17">
          <cell r="D17">
            <v>70</v>
          </cell>
          <cell r="E17">
            <v>70</v>
          </cell>
          <cell r="F17">
            <v>70</v>
          </cell>
          <cell r="G17">
            <v>70</v>
          </cell>
          <cell r="H17">
            <v>70</v>
          </cell>
          <cell r="I17">
            <v>70</v>
          </cell>
          <cell r="J17">
            <v>70</v>
          </cell>
          <cell r="K17">
            <v>70</v>
          </cell>
          <cell r="L17">
            <v>70</v>
          </cell>
          <cell r="M17">
            <v>70</v>
          </cell>
          <cell r="N17">
            <v>70</v>
          </cell>
          <cell r="O17">
            <v>70</v>
          </cell>
          <cell r="P17">
            <v>70</v>
          </cell>
          <cell r="Q17">
            <v>70</v>
          </cell>
          <cell r="R17">
            <v>70</v>
          </cell>
          <cell r="S17">
            <v>70</v>
          </cell>
          <cell r="T17">
            <v>70</v>
          </cell>
          <cell r="U17">
            <v>70</v>
          </cell>
          <cell r="V17">
            <v>70</v>
          </cell>
          <cell r="W17">
            <v>70</v>
          </cell>
          <cell r="X17">
            <v>70</v>
          </cell>
          <cell r="Y17">
            <v>70</v>
          </cell>
          <cell r="Z17">
            <v>70</v>
          </cell>
          <cell r="AA17">
            <v>70</v>
          </cell>
          <cell r="AB17">
            <v>70</v>
          </cell>
          <cell r="AC17">
            <v>70</v>
          </cell>
          <cell r="AD17">
            <v>70</v>
          </cell>
          <cell r="AE17">
            <v>70</v>
          </cell>
          <cell r="AF17">
            <v>70</v>
          </cell>
          <cell r="AG17">
            <v>70</v>
          </cell>
        </row>
        <row r="45">
          <cell r="D45">
            <v>70</v>
          </cell>
          <cell r="E45">
            <v>70</v>
          </cell>
          <cell r="F45">
            <v>70</v>
          </cell>
          <cell r="G45">
            <v>70</v>
          </cell>
          <cell r="H45">
            <v>70</v>
          </cell>
          <cell r="I45">
            <v>70</v>
          </cell>
          <cell r="J45">
            <v>70</v>
          </cell>
          <cell r="K45">
            <v>70</v>
          </cell>
          <cell r="L45">
            <v>70</v>
          </cell>
          <cell r="M45">
            <v>70</v>
          </cell>
          <cell r="N45">
            <v>70</v>
          </cell>
          <cell r="O45">
            <v>70</v>
          </cell>
          <cell r="P45">
            <v>70</v>
          </cell>
          <cell r="Q45">
            <v>70</v>
          </cell>
          <cell r="R45">
            <v>70</v>
          </cell>
          <cell r="S45">
            <v>70</v>
          </cell>
          <cell r="T45">
            <v>70</v>
          </cell>
          <cell r="U45">
            <v>70</v>
          </cell>
          <cell r="V45">
            <v>70</v>
          </cell>
          <cell r="W45">
            <v>70</v>
          </cell>
          <cell r="X45">
            <v>70</v>
          </cell>
          <cell r="Y45">
            <v>70</v>
          </cell>
          <cell r="Z45">
            <v>70</v>
          </cell>
          <cell r="AA45">
            <v>70</v>
          </cell>
          <cell r="AB45">
            <v>70</v>
          </cell>
          <cell r="AC45">
            <v>70</v>
          </cell>
          <cell r="AD45">
            <v>70</v>
          </cell>
          <cell r="AE45">
            <v>70</v>
          </cell>
          <cell r="AF45">
            <v>70</v>
          </cell>
          <cell r="AG45">
            <v>70</v>
          </cell>
        </row>
        <row r="47">
          <cell r="A47" t="str">
            <v xml:space="preserve">4L_W26 STOPE </v>
          </cell>
          <cell r="D47">
            <v>70</v>
          </cell>
          <cell r="E47">
            <v>70</v>
          </cell>
          <cell r="F47">
            <v>70</v>
          </cell>
          <cell r="G47">
            <v>70</v>
          </cell>
          <cell r="H47">
            <v>70</v>
          </cell>
          <cell r="I47">
            <v>70</v>
          </cell>
          <cell r="J47">
            <v>70</v>
          </cell>
          <cell r="K47">
            <v>70</v>
          </cell>
          <cell r="L47">
            <v>70</v>
          </cell>
          <cell r="M47">
            <v>70</v>
          </cell>
          <cell r="N47">
            <v>70</v>
          </cell>
          <cell r="O47">
            <v>70</v>
          </cell>
          <cell r="P47">
            <v>70</v>
          </cell>
          <cell r="Q47">
            <v>70</v>
          </cell>
          <cell r="R47">
            <v>70</v>
          </cell>
          <cell r="S47">
            <v>70</v>
          </cell>
          <cell r="T47">
            <v>70</v>
          </cell>
          <cell r="U47">
            <v>70</v>
          </cell>
          <cell r="V47">
            <v>70</v>
          </cell>
          <cell r="W47">
            <v>70</v>
          </cell>
          <cell r="X47">
            <v>70</v>
          </cell>
          <cell r="Y47">
            <v>70</v>
          </cell>
          <cell r="Z47">
            <v>70</v>
          </cell>
          <cell r="AA47">
            <v>70</v>
          </cell>
          <cell r="AB47">
            <v>70</v>
          </cell>
          <cell r="AC47">
            <v>70</v>
          </cell>
          <cell r="AD47">
            <v>70</v>
          </cell>
          <cell r="AE47">
            <v>70</v>
          </cell>
          <cell r="AF47">
            <v>70</v>
          </cell>
          <cell r="AG47">
            <v>70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X53">
            <v>0</v>
          </cell>
          <cell r="Y53">
            <v>0</v>
          </cell>
          <cell r="Z53">
            <v>0</v>
          </cell>
          <cell r="AA53">
            <v>0</v>
          </cell>
          <cell r="AB53">
            <v>0</v>
          </cell>
          <cell r="AC53">
            <v>0</v>
          </cell>
          <cell r="AD53">
            <v>0</v>
          </cell>
          <cell r="AE53">
            <v>0</v>
          </cell>
          <cell r="AF53">
            <v>0</v>
          </cell>
          <cell r="AG53">
            <v>0</v>
          </cell>
        </row>
        <row r="55">
          <cell r="A55" t="str">
            <v>5L_W12 STOPE</v>
          </cell>
          <cell r="K55">
            <v>70</v>
          </cell>
          <cell r="L55">
            <v>70</v>
          </cell>
          <cell r="M55">
            <v>70</v>
          </cell>
          <cell r="N55">
            <v>70</v>
          </cell>
          <cell r="O55">
            <v>70</v>
          </cell>
          <cell r="P55">
            <v>70</v>
          </cell>
          <cell r="Q55">
            <v>70</v>
          </cell>
          <cell r="R55">
            <v>70</v>
          </cell>
          <cell r="S55">
            <v>70</v>
          </cell>
          <cell r="T55">
            <v>70</v>
          </cell>
          <cell r="U55">
            <v>70</v>
          </cell>
          <cell r="V55">
            <v>70</v>
          </cell>
          <cell r="W55">
            <v>70</v>
          </cell>
          <cell r="X55">
            <v>70</v>
          </cell>
          <cell r="Y55">
            <v>70</v>
          </cell>
          <cell r="Z55">
            <v>70</v>
          </cell>
          <cell r="AA55">
            <v>70</v>
          </cell>
          <cell r="AB55">
            <v>70</v>
          </cell>
          <cell r="AC55">
            <v>70</v>
          </cell>
          <cell r="AD55">
            <v>70</v>
          </cell>
          <cell r="AE55">
            <v>70</v>
          </cell>
          <cell r="AF55">
            <v>70</v>
          </cell>
          <cell r="AG55">
            <v>70</v>
          </cell>
        </row>
        <row r="62">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row>
        <row r="63">
          <cell r="A63" t="str">
            <v>6L_E1 STOPE</v>
          </cell>
          <cell r="D63">
            <v>35</v>
          </cell>
          <cell r="E63">
            <v>35</v>
          </cell>
          <cell r="F63">
            <v>35</v>
          </cell>
          <cell r="G63">
            <v>35</v>
          </cell>
          <cell r="H63">
            <v>35</v>
          </cell>
          <cell r="I63">
            <v>35</v>
          </cell>
          <cell r="J63">
            <v>35</v>
          </cell>
          <cell r="K63">
            <v>35</v>
          </cell>
          <cell r="L63">
            <v>35</v>
          </cell>
          <cell r="M63">
            <v>35</v>
          </cell>
          <cell r="N63">
            <v>35</v>
          </cell>
          <cell r="O63">
            <v>35</v>
          </cell>
          <cell r="P63">
            <v>35</v>
          </cell>
          <cell r="Q63">
            <v>35</v>
          </cell>
          <cell r="R63">
            <v>35</v>
          </cell>
          <cell r="S63">
            <v>35</v>
          </cell>
          <cell r="T63">
            <v>35</v>
          </cell>
          <cell r="U63">
            <v>35</v>
          </cell>
          <cell r="V63">
            <v>35</v>
          </cell>
          <cell r="W63">
            <v>35</v>
          </cell>
          <cell r="X63">
            <v>35</v>
          </cell>
          <cell r="Y63">
            <v>35</v>
          </cell>
          <cell r="Z63">
            <v>35</v>
          </cell>
          <cell r="AA63">
            <v>35</v>
          </cell>
          <cell r="AB63">
            <v>35</v>
          </cell>
          <cell r="AC63">
            <v>35</v>
          </cell>
          <cell r="AD63">
            <v>35</v>
          </cell>
          <cell r="AE63">
            <v>35</v>
          </cell>
          <cell r="AF63">
            <v>35</v>
          </cell>
          <cell r="AG63">
            <v>35</v>
          </cell>
        </row>
        <row r="65">
          <cell r="A65" t="str">
            <v xml:space="preserve">6L_W1 STOPE </v>
          </cell>
          <cell r="D65">
            <v>140</v>
          </cell>
          <cell r="E65">
            <v>140</v>
          </cell>
          <cell r="F65">
            <v>140</v>
          </cell>
          <cell r="G65">
            <v>140</v>
          </cell>
          <cell r="H65">
            <v>140</v>
          </cell>
          <cell r="I65">
            <v>140</v>
          </cell>
          <cell r="J65">
            <v>140</v>
          </cell>
          <cell r="K65">
            <v>140</v>
          </cell>
          <cell r="L65">
            <v>140</v>
          </cell>
          <cell r="M65">
            <v>140</v>
          </cell>
          <cell r="N65">
            <v>140</v>
          </cell>
          <cell r="O65">
            <v>140</v>
          </cell>
          <cell r="P65">
            <v>140</v>
          </cell>
          <cell r="Q65">
            <v>140</v>
          </cell>
          <cell r="R65">
            <v>140</v>
          </cell>
          <cell r="S65">
            <v>140</v>
          </cell>
          <cell r="T65">
            <v>140</v>
          </cell>
          <cell r="U65">
            <v>140</v>
          </cell>
          <cell r="V65">
            <v>140</v>
          </cell>
          <cell r="W65">
            <v>140</v>
          </cell>
          <cell r="X65">
            <v>140</v>
          </cell>
          <cell r="Y65">
            <v>140</v>
          </cell>
          <cell r="Z65">
            <v>140</v>
          </cell>
          <cell r="AA65">
            <v>140</v>
          </cell>
          <cell r="AB65">
            <v>140</v>
          </cell>
          <cell r="AC65">
            <v>140</v>
          </cell>
          <cell r="AD65">
            <v>140</v>
          </cell>
          <cell r="AE65">
            <v>140</v>
          </cell>
          <cell r="AF65">
            <v>140</v>
          </cell>
          <cell r="AG65">
            <v>140</v>
          </cell>
        </row>
        <row r="67">
          <cell r="A67" t="str">
            <v xml:space="preserve">6L_W2 STOPE </v>
          </cell>
          <cell r="D67">
            <v>42</v>
          </cell>
          <cell r="E67">
            <v>42</v>
          </cell>
          <cell r="F67">
            <v>42</v>
          </cell>
          <cell r="G67">
            <v>42</v>
          </cell>
          <cell r="H67">
            <v>42</v>
          </cell>
          <cell r="I67">
            <v>42</v>
          </cell>
          <cell r="J67">
            <v>42</v>
          </cell>
          <cell r="K67">
            <v>42</v>
          </cell>
          <cell r="L67">
            <v>42</v>
          </cell>
          <cell r="M67">
            <v>42</v>
          </cell>
          <cell r="N67">
            <v>42</v>
          </cell>
          <cell r="O67">
            <v>42</v>
          </cell>
          <cell r="P67">
            <v>42</v>
          </cell>
          <cell r="Q67">
            <v>42</v>
          </cell>
          <cell r="R67">
            <v>42</v>
          </cell>
          <cell r="S67">
            <v>42</v>
          </cell>
          <cell r="T67">
            <v>42</v>
          </cell>
          <cell r="U67">
            <v>42</v>
          </cell>
          <cell r="V67">
            <v>42</v>
          </cell>
          <cell r="W67">
            <v>42</v>
          </cell>
          <cell r="X67">
            <v>42</v>
          </cell>
          <cell r="Y67">
            <v>42</v>
          </cell>
          <cell r="Z67">
            <v>42</v>
          </cell>
          <cell r="AA67">
            <v>42</v>
          </cell>
          <cell r="AB67">
            <v>42</v>
          </cell>
          <cell r="AC67">
            <v>42</v>
          </cell>
          <cell r="AD67">
            <v>42</v>
          </cell>
          <cell r="AE67">
            <v>42</v>
          </cell>
          <cell r="AF67">
            <v>42</v>
          </cell>
          <cell r="AG67">
            <v>42</v>
          </cell>
        </row>
        <row r="69">
          <cell r="A69" t="str">
            <v>6L_W3 STOPE</v>
          </cell>
          <cell r="D69">
            <v>70</v>
          </cell>
          <cell r="E69">
            <v>70</v>
          </cell>
          <cell r="F69">
            <v>70</v>
          </cell>
          <cell r="G69">
            <v>70</v>
          </cell>
          <cell r="H69">
            <v>70</v>
          </cell>
          <cell r="I69">
            <v>70</v>
          </cell>
          <cell r="J69">
            <v>70</v>
          </cell>
          <cell r="K69">
            <v>70</v>
          </cell>
          <cell r="L69">
            <v>70</v>
          </cell>
          <cell r="M69">
            <v>70</v>
          </cell>
          <cell r="N69">
            <v>70</v>
          </cell>
          <cell r="O69">
            <v>70</v>
          </cell>
          <cell r="P69">
            <v>70</v>
          </cell>
          <cell r="Q69">
            <v>70</v>
          </cell>
          <cell r="R69">
            <v>70</v>
          </cell>
          <cell r="S69">
            <v>70</v>
          </cell>
          <cell r="T69">
            <v>70</v>
          </cell>
          <cell r="U69">
            <v>70</v>
          </cell>
          <cell r="V69">
            <v>70</v>
          </cell>
          <cell r="W69">
            <v>70</v>
          </cell>
          <cell r="X69">
            <v>70</v>
          </cell>
          <cell r="Y69">
            <v>70</v>
          </cell>
          <cell r="Z69">
            <v>70</v>
          </cell>
          <cell r="AA69">
            <v>70</v>
          </cell>
          <cell r="AB69">
            <v>70</v>
          </cell>
          <cell r="AC69">
            <v>70</v>
          </cell>
          <cell r="AD69">
            <v>70</v>
          </cell>
          <cell r="AE69">
            <v>70</v>
          </cell>
          <cell r="AF69">
            <v>70</v>
          </cell>
          <cell r="AG69">
            <v>70</v>
          </cell>
        </row>
        <row r="71">
          <cell r="A71" t="str">
            <v>6L_W4 STOPE</v>
          </cell>
          <cell r="D71">
            <v>70</v>
          </cell>
          <cell r="E71">
            <v>70</v>
          </cell>
          <cell r="F71">
            <v>70</v>
          </cell>
          <cell r="G71">
            <v>70</v>
          </cell>
          <cell r="H71">
            <v>70</v>
          </cell>
          <cell r="I71">
            <v>70</v>
          </cell>
          <cell r="J71">
            <v>70</v>
          </cell>
          <cell r="K71">
            <v>70</v>
          </cell>
          <cell r="L71">
            <v>70</v>
          </cell>
          <cell r="M71">
            <v>70</v>
          </cell>
          <cell r="N71">
            <v>70</v>
          </cell>
          <cell r="O71">
            <v>70</v>
          </cell>
          <cell r="P71">
            <v>70</v>
          </cell>
          <cell r="Q71">
            <v>70</v>
          </cell>
          <cell r="R71">
            <v>70</v>
          </cell>
          <cell r="S71">
            <v>70</v>
          </cell>
          <cell r="T71">
            <v>70</v>
          </cell>
          <cell r="U71">
            <v>70</v>
          </cell>
          <cell r="V71">
            <v>70</v>
          </cell>
          <cell r="W71">
            <v>70</v>
          </cell>
          <cell r="X71">
            <v>70</v>
          </cell>
          <cell r="Y71">
            <v>70</v>
          </cell>
          <cell r="Z71">
            <v>70</v>
          </cell>
          <cell r="AA71">
            <v>70</v>
          </cell>
          <cell r="AB71">
            <v>70</v>
          </cell>
          <cell r="AC71">
            <v>70</v>
          </cell>
          <cell r="AD71">
            <v>70</v>
          </cell>
          <cell r="AE71">
            <v>70</v>
          </cell>
          <cell r="AF71">
            <v>70</v>
          </cell>
          <cell r="AG71">
            <v>70</v>
          </cell>
        </row>
        <row r="73">
          <cell r="A73" t="str">
            <v>6L_W8 STOPE</v>
          </cell>
          <cell r="D73">
            <v>35</v>
          </cell>
          <cell r="E73">
            <v>35</v>
          </cell>
          <cell r="F73">
            <v>35</v>
          </cell>
          <cell r="G73">
            <v>35</v>
          </cell>
          <cell r="H73">
            <v>35</v>
          </cell>
          <cell r="I73">
            <v>35</v>
          </cell>
          <cell r="J73">
            <v>35</v>
          </cell>
          <cell r="K73">
            <v>35</v>
          </cell>
          <cell r="L73">
            <v>35</v>
          </cell>
          <cell r="M73">
            <v>35</v>
          </cell>
          <cell r="N73">
            <v>35</v>
          </cell>
          <cell r="O73">
            <v>35</v>
          </cell>
          <cell r="P73">
            <v>35</v>
          </cell>
          <cell r="Q73">
            <v>35</v>
          </cell>
          <cell r="R73">
            <v>35</v>
          </cell>
          <cell r="S73">
            <v>35</v>
          </cell>
          <cell r="T73">
            <v>35</v>
          </cell>
          <cell r="U73">
            <v>35</v>
          </cell>
          <cell r="V73">
            <v>35</v>
          </cell>
          <cell r="W73">
            <v>35</v>
          </cell>
          <cell r="X73">
            <v>35</v>
          </cell>
          <cell r="Y73">
            <v>35</v>
          </cell>
          <cell r="Z73">
            <v>35</v>
          </cell>
          <cell r="AA73">
            <v>35</v>
          </cell>
          <cell r="AB73">
            <v>35</v>
          </cell>
          <cell r="AC73">
            <v>35</v>
          </cell>
          <cell r="AD73">
            <v>35</v>
          </cell>
          <cell r="AE73">
            <v>35</v>
          </cell>
          <cell r="AF73">
            <v>35</v>
          </cell>
          <cell r="AG73">
            <v>35</v>
          </cell>
        </row>
        <row r="75">
          <cell r="A75" t="str">
            <v>6L_W14 STOPE</v>
          </cell>
          <cell r="D75">
            <v>70</v>
          </cell>
          <cell r="E75">
            <v>70</v>
          </cell>
          <cell r="F75">
            <v>70</v>
          </cell>
          <cell r="G75">
            <v>70</v>
          </cell>
          <cell r="H75">
            <v>70</v>
          </cell>
          <cell r="I75">
            <v>70</v>
          </cell>
          <cell r="J75">
            <v>70</v>
          </cell>
          <cell r="K75">
            <v>70</v>
          </cell>
          <cell r="L75">
            <v>70</v>
          </cell>
          <cell r="M75">
            <v>70</v>
          </cell>
          <cell r="N75">
            <v>70</v>
          </cell>
          <cell r="O75">
            <v>70</v>
          </cell>
          <cell r="P75">
            <v>70</v>
          </cell>
          <cell r="Q75">
            <v>70</v>
          </cell>
          <cell r="R75">
            <v>70</v>
          </cell>
          <cell r="S75">
            <v>70</v>
          </cell>
          <cell r="T75">
            <v>70</v>
          </cell>
          <cell r="U75">
            <v>70</v>
          </cell>
          <cell r="V75">
            <v>70</v>
          </cell>
          <cell r="W75">
            <v>70</v>
          </cell>
          <cell r="X75">
            <v>70</v>
          </cell>
          <cell r="Y75">
            <v>70</v>
          </cell>
          <cell r="Z75">
            <v>70</v>
          </cell>
          <cell r="AA75">
            <v>70</v>
          </cell>
          <cell r="AB75">
            <v>70</v>
          </cell>
          <cell r="AC75">
            <v>70</v>
          </cell>
          <cell r="AD75">
            <v>70</v>
          </cell>
          <cell r="AE75">
            <v>70</v>
          </cell>
          <cell r="AF75">
            <v>70</v>
          </cell>
          <cell r="AG75">
            <v>70</v>
          </cell>
        </row>
        <row r="77">
          <cell r="A77" t="str">
            <v>6L_W15_STOPE</v>
          </cell>
          <cell r="D77">
            <v>70</v>
          </cell>
          <cell r="E77">
            <v>70</v>
          </cell>
          <cell r="F77">
            <v>70</v>
          </cell>
          <cell r="G77">
            <v>70</v>
          </cell>
          <cell r="H77">
            <v>70</v>
          </cell>
          <cell r="I77">
            <v>70</v>
          </cell>
          <cell r="J77">
            <v>70</v>
          </cell>
          <cell r="K77">
            <v>70</v>
          </cell>
          <cell r="L77">
            <v>70</v>
          </cell>
          <cell r="M77">
            <v>70</v>
          </cell>
          <cell r="N77">
            <v>70</v>
          </cell>
          <cell r="O77">
            <v>70</v>
          </cell>
          <cell r="P77">
            <v>70</v>
          </cell>
          <cell r="Q77">
            <v>70</v>
          </cell>
          <cell r="R77">
            <v>70</v>
          </cell>
          <cell r="S77">
            <v>70</v>
          </cell>
          <cell r="T77">
            <v>70</v>
          </cell>
          <cell r="U77">
            <v>70</v>
          </cell>
          <cell r="V77">
            <v>70</v>
          </cell>
          <cell r="W77">
            <v>70</v>
          </cell>
          <cell r="X77">
            <v>70</v>
          </cell>
          <cell r="Y77">
            <v>70</v>
          </cell>
          <cell r="Z77">
            <v>70</v>
          </cell>
          <cell r="AA77">
            <v>70</v>
          </cell>
          <cell r="AB77">
            <v>70</v>
          </cell>
          <cell r="AC77">
            <v>70</v>
          </cell>
          <cell r="AD77">
            <v>70</v>
          </cell>
          <cell r="AE77">
            <v>70</v>
          </cell>
          <cell r="AF77">
            <v>70</v>
          </cell>
          <cell r="AG77">
            <v>70</v>
          </cell>
        </row>
      </sheetData>
      <sheetData sheetId="28"/>
      <sheetData sheetId="29"/>
      <sheetData sheetId="30"/>
      <sheetData sheetId="31"/>
      <sheetData sheetId="32"/>
      <sheetData sheetId="3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Dashboard"/>
      <sheetName val="Summary"/>
      <sheetName val="2025"/>
      <sheetName val="2024"/>
      <sheetName val="2023"/>
      <sheetName val="DD_Fcast"/>
      <sheetName val="Graphs"/>
      <sheetName val="Q1_Fcast"/>
      <sheetName val="FY25_Budget"/>
      <sheetName val="NOTES"/>
      <sheetName val="Sheet1"/>
    </sheetNames>
    <sheetDataSet>
      <sheetData sheetId="0" refreshError="1"/>
      <sheetData sheetId="1" refreshError="1"/>
      <sheetData sheetId="2">
        <row r="317">
          <cell r="Z317">
            <v>20721</v>
          </cell>
          <cell r="AA317">
            <v>22145</v>
          </cell>
          <cell r="AB317">
            <v>22805.697</v>
          </cell>
          <cell r="AC317">
            <v>23526</v>
          </cell>
          <cell r="AD317">
            <v>25132.529300000002</v>
          </cell>
          <cell r="AE317">
            <v>23218</v>
          </cell>
        </row>
        <row r="322">
          <cell r="Z322">
            <v>2.0699999999999998</v>
          </cell>
          <cell r="AA322">
            <v>2.37</v>
          </cell>
          <cell r="AB322">
            <v>2.6930000000000001</v>
          </cell>
          <cell r="AC322">
            <v>2.5499999999999998</v>
          </cell>
        </row>
        <row r="323">
          <cell r="AD323">
            <v>2.0731186894853506</v>
          </cell>
          <cell r="AE323">
            <v>2.02</v>
          </cell>
        </row>
        <row r="327">
          <cell r="Z327">
            <v>42.892469999999996</v>
          </cell>
          <cell r="AA327">
            <v>52.483650000000004</v>
          </cell>
          <cell r="AB327">
            <v>61.415742021</v>
          </cell>
          <cell r="AC327">
            <v>59.991299999999995</v>
          </cell>
          <cell r="AD327">
            <v>52.102716205868177</v>
          </cell>
          <cell r="AE327">
            <v>46.900359999999999</v>
          </cell>
        </row>
        <row r="367">
          <cell r="Z367">
            <v>0.84053332233319822</v>
          </cell>
          <cell r="AA367">
            <v>0.86286995950800838</v>
          </cell>
          <cell r="AB367">
            <v>0.89378760000000002</v>
          </cell>
          <cell r="AC367">
            <v>0.88892307915931634</v>
          </cell>
          <cell r="AD367">
            <v>0.85317141669273999</v>
          </cell>
          <cell r="AE367">
            <v>0.84779437992728479</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igned_Off_Plan"/>
      <sheetName val="Graphs"/>
      <sheetName val="Summary"/>
      <sheetName val="Consolidated Mine to Mill Plan"/>
      <sheetName val="Underground Ore Hoisting Plan"/>
      <sheetName val="    Stope Perfomance"/>
      <sheetName val="Underground Breaking Plan"/>
      <sheetName val="Block Summary"/>
      <sheetName val="Developement "/>
      <sheetName val="DD Drilling "/>
      <sheetName val="FOB Stockpiles"/>
      <sheetName val="ROMPAD Inventory"/>
      <sheetName val="Sort Pads"/>
      <sheetName val="Sheet7"/>
    </sheetNames>
    <sheetDataSet>
      <sheetData sheetId="0" refreshError="1"/>
      <sheetData sheetId="1" refreshError="1"/>
      <sheetData sheetId="2" refreshError="1"/>
      <sheetData sheetId="3" refreshError="1"/>
      <sheetData sheetId="4" refreshError="1"/>
      <sheetData sheetId="5" refreshError="1"/>
      <sheetData sheetId="6">
        <row r="42">
          <cell r="C42">
            <v>1085</v>
          </cell>
        </row>
        <row r="43">
          <cell r="C43">
            <v>2.12</v>
          </cell>
        </row>
        <row r="44">
          <cell r="C44">
            <v>6510</v>
          </cell>
        </row>
        <row r="45">
          <cell r="C45">
            <v>2.4399999999999986</v>
          </cell>
        </row>
        <row r="48">
          <cell r="C48">
            <v>4060</v>
          </cell>
        </row>
        <row r="49">
          <cell r="C49">
            <v>2.0099999999999989</v>
          </cell>
        </row>
        <row r="50">
          <cell r="C50">
            <v>1085</v>
          </cell>
        </row>
        <row r="51">
          <cell r="C51">
            <v>1.8599999999999988</v>
          </cell>
        </row>
        <row r="52">
          <cell r="C52">
            <v>3255</v>
          </cell>
        </row>
        <row r="53">
          <cell r="C53">
            <v>1.8</v>
          </cell>
        </row>
        <row r="58">
          <cell r="C58">
            <v>1050</v>
          </cell>
        </row>
        <row r="59">
          <cell r="C59">
            <v>1.05</v>
          </cell>
        </row>
        <row r="60">
          <cell r="C60">
            <v>2100</v>
          </cell>
        </row>
        <row r="61">
          <cell r="C61">
            <v>3.1620000000000013</v>
          </cell>
        </row>
        <row r="62">
          <cell r="C62">
            <v>2100</v>
          </cell>
        </row>
        <row r="63">
          <cell r="C63">
            <v>2.1930000000000014</v>
          </cell>
        </row>
        <row r="64">
          <cell r="C64">
            <v>2100</v>
          </cell>
        </row>
        <row r="65">
          <cell r="C65">
            <v>2.6604999999999994</v>
          </cell>
        </row>
        <row r="66">
          <cell r="C66">
            <v>1050</v>
          </cell>
        </row>
        <row r="67">
          <cell r="C67">
            <v>2.728499999999999</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SUMMARY"/>
      <sheetName val="&gt; PUG"/>
      <sheetName val="Generation"/>
      <sheetName val="Activities"/>
      <sheetName val="Development"/>
      <sheetName val="Stoping"/>
      <sheetName val="Tramming"/>
      <sheetName val="Hoisting"/>
      <sheetName val="Sheet5"/>
      <sheetName val="&gt; TRACKERS"/>
      <sheetName val="PLANT"/>
      <sheetName val="DD"/>
      <sheetName val="&gt; SAMPLING"/>
      <sheetName val="Sheet3"/>
      <sheetName val="Sheet1"/>
      <sheetName val="DEV."/>
      <sheetName val="DEV.TRKR"/>
      <sheetName val="BENCHES."/>
      <sheetName val="TRAMMING."/>
      <sheetName val="HOISTING."/>
      <sheetName val="&gt; PLANS"/>
      <sheetName val="Schedule"/>
      <sheetName val="Breaking"/>
      <sheetName val="Development."/>
      <sheetName val="DD."/>
      <sheetName val="Sheet4"/>
      <sheetName val="Sheet2"/>
    </sheetNames>
    <sheetDataSet>
      <sheetData sheetId="0" refreshError="1"/>
      <sheetData sheetId="1" refreshError="1"/>
      <sheetData sheetId="2">
        <row r="11">
          <cell r="D11">
            <v>6179</v>
          </cell>
          <cell r="E11">
            <v>3.2601958245670826</v>
          </cell>
        </row>
        <row r="12">
          <cell r="D12">
            <v>1458</v>
          </cell>
          <cell r="E12">
            <v>1.2119204389574763</v>
          </cell>
        </row>
        <row r="15">
          <cell r="D15">
            <v>754</v>
          </cell>
          <cell r="E15">
            <v>0.46722811671087527</v>
          </cell>
        </row>
        <row r="16">
          <cell r="D16">
            <v>4555</v>
          </cell>
          <cell r="E16">
            <v>1.8785049396267839</v>
          </cell>
        </row>
        <row r="17">
          <cell r="D17">
            <v>2609.5</v>
          </cell>
          <cell r="E17">
            <v>2.4268116497413295</v>
          </cell>
        </row>
        <row r="20">
          <cell r="D20">
            <v>2028.2</v>
          </cell>
          <cell r="E20">
            <v>3.1833892121092591</v>
          </cell>
        </row>
        <row r="21">
          <cell r="D21">
            <v>0</v>
          </cell>
          <cell r="E21">
            <v>0</v>
          </cell>
        </row>
        <row r="22">
          <cell r="D22">
            <v>1949</v>
          </cell>
          <cell r="E22">
            <v>2.7855515649050795</v>
          </cell>
        </row>
        <row r="23">
          <cell r="D23">
            <v>804</v>
          </cell>
          <cell r="E23">
            <v>2.6023756218905474</v>
          </cell>
        </row>
        <row r="24">
          <cell r="D24">
            <v>3534.5</v>
          </cell>
          <cell r="E24">
            <v>2.2162979204979485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igned_Off_Plan"/>
      <sheetName val="Graphs"/>
      <sheetName val="Summary"/>
      <sheetName val="Consolidated Mine to Mill Plan"/>
      <sheetName val="Underground Ore Hoisting Plan"/>
      <sheetName val="    Stope Perfomance"/>
      <sheetName val="Underground Breaking Plan"/>
      <sheetName val="DD Drilling "/>
      <sheetName val="Block Summary"/>
    </sheetNames>
    <sheetDataSet>
      <sheetData sheetId="0" refreshError="1"/>
      <sheetData sheetId="1" refreshError="1"/>
      <sheetData sheetId="2">
        <row r="15">
          <cell r="C15">
            <v>0</v>
          </cell>
        </row>
      </sheetData>
      <sheetData sheetId="3" refreshError="1"/>
      <sheetData sheetId="4" refreshError="1"/>
      <sheetData sheetId="5" refreshError="1"/>
      <sheetData sheetId="6">
        <row r="12">
          <cell r="C12">
            <v>1960</v>
          </cell>
        </row>
        <row r="13">
          <cell r="C13">
            <v>2.85</v>
          </cell>
        </row>
        <row r="18">
          <cell r="C18">
            <v>980</v>
          </cell>
        </row>
        <row r="19">
          <cell r="C19">
            <v>1.8099999999999992</v>
          </cell>
        </row>
        <row r="42">
          <cell r="C42">
            <v>1960</v>
          </cell>
        </row>
        <row r="43">
          <cell r="C43">
            <v>1.31</v>
          </cell>
        </row>
        <row r="44">
          <cell r="C44">
            <v>2940</v>
          </cell>
        </row>
        <row r="45">
          <cell r="C45">
            <v>3.54</v>
          </cell>
        </row>
        <row r="48">
          <cell r="C48">
            <v>1960</v>
          </cell>
        </row>
        <row r="49">
          <cell r="C49">
            <v>1.6900000000000008</v>
          </cell>
        </row>
        <row r="52">
          <cell r="C52">
            <v>3920</v>
          </cell>
        </row>
        <row r="53">
          <cell r="C53">
            <v>2.8699999999999997</v>
          </cell>
        </row>
        <row r="60">
          <cell r="C60">
            <v>2940</v>
          </cell>
        </row>
        <row r="61">
          <cell r="C61">
            <v>3.2299999999999982</v>
          </cell>
        </row>
        <row r="62">
          <cell r="C62">
            <v>1960</v>
          </cell>
        </row>
        <row r="63">
          <cell r="C63">
            <v>2.6</v>
          </cell>
        </row>
        <row r="64">
          <cell r="C64">
            <v>2940</v>
          </cell>
        </row>
        <row r="65">
          <cell r="C65">
            <v>2.5299999999999989</v>
          </cell>
        </row>
        <row r="66">
          <cell r="C66">
            <v>980</v>
          </cell>
        </row>
        <row r="67">
          <cell r="C67">
            <v>2.9099999999999988</v>
          </cell>
        </row>
        <row r="68">
          <cell r="C68">
            <v>1960</v>
          </cell>
        </row>
        <row r="69">
          <cell r="C69">
            <v>2.75</v>
          </cell>
        </row>
        <row r="70">
          <cell r="C70">
            <v>980</v>
          </cell>
        </row>
        <row r="71">
          <cell r="C71">
            <v>2.75</v>
          </cell>
        </row>
      </sheetData>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sheetName val="Activities"/>
      <sheetName val="&gt; PUG"/>
      <sheetName val="Generation"/>
      <sheetName val="Development"/>
      <sheetName val="Tramming"/>
      <sheetName val="Stoping"/>
      <sheetName val="Hoisting"/>
      <sheetName val="PLANT"/>
      <sheetName val="DD"/>
      <sheetName val="Sheet3"/>
      <sheetName val="Sheet1"/>
      <sheetName val="DEV.TRKR"/>
      <sheetName val="&gt; SAMPLING"/>
      <sheetName val="DEV."/>
      <sheetName val="BENCHES."/>
      <sheetName val="TRAMMING."/>
      <sheetName val="HOISTING."/>
      <sheetName val="&gt; PLANS"/>
      <sheetName val="Schedule"/>
      <sheetName val="Development."/>
      <sheetName val="Breaking."/>
      <sheetName val="UG_Hoisting"/>
      <sheetName val="DD."/>
      <sheetName val="Sheet4"/>
      <sheetName val="Sheet2"/>
    </sheetNames>
    <sheetDataSet>
      <sheetData sheetId="0" refreshError="1"/>
      <sheetData sheetId="1" refreshError="1"/>
      <sheetData sheetId="2" refreshError="1"/>
      <sheetData sheetId="3">
        <row r="11">
          <cell r="D11">
            <v>1564</v>
          </cell>
          <cell r="E11">
            <v>1.9371099744245526</v>
          </cell>
        </row>
        <row r="12">
          <cell r="D12">
            <v>0</v>
          </cell>
          <cell r="E12">
            <v>0</v>
          </cell>
        </row>
        <row r="15">
          <cell r="D15">
            <v>5794</v>
          </cell>
          <cell r="E15">
            <v>2.9553227476700035</v>
          </cell>
        </row>
        <row r="16">
          <cell r="D16">
            <v>1105</v>
          </cell>
          <cell r="E16">
            <v>1.0324524886877826</v>
          </cell>
        </row>
        <row r="19">
          <cell r="D19">
            <v>2689</v>
          </cell>
          <cell r="E19">
            <v>2.1631721829676462</v>
          </cell>
        </row>
        <row r="20">
          <cell r="D20">
            <v>1603</v>
          </cell>
          <cell r="E20">
            <v>2.2452339363693072</v>
          </cell>
        </row>
        <row r="23">
          <cell r="D23">
            <v>4343</v>
          </cell>
          <cell r="E23">
            <v>3.6885033387059631</v>
          </cell>
        </row>
        <row r="24">
          <cell r="D24">
            <v>2329</v>
          </cell>
          <cell r="E24">
            <v>4.1762516101331046</v>
          </cell>
        </row>
        <row r="25">
          <cell r="D25">
            <v>353</v>
          </cell>
          <cell r="E25">
            <v>2.5405665722379602</v>
          </cell>
        </row>
        <row r="26">
          <cell r="D26">
            <v>4489</v>
          </cell>
          <cell r="E26">
            <v>3.0416930274003122</v>
          </cell>
        </row>
        <row r="27">
          <cell r="D27">
            <v>660</v>
          </cell>
          <cell r="E27">
            <v>1.2471969696969698</v>
          </cell>
        </row>
        <row r="28">
          <cell r="D28">
            <v>68</v>
          </cell>
          <cell r="E28">
            <v>0.79352941176470582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igned_Off_Plan"/>
      <sheetName val="Graphs"/>
      <sheetName val="Summary"/>
      <sheetName val="Consolidated Mine to Mill Plan"/>
      <sheetName val="Underground Breaking Plan"/>
      <sheetName val="    Stope Perfomance"/>
      <sheetName val="Underground Ore Hoisting Plan"/>
      <sheetName val="Diamond Drilling "/>
      <sheetName val="Block Summary"/>
    </sheetNames>
    <sheetDataSet>
      <sheetData sheetId="0" refreshError="1"/>
      <sheetData sheetId="1" refreshError="1"/>
      <sheetData sheetId="2" refreshError="1"/>
      <sheetData sheetId="3" refreshError="1"/>
      <sheetData sheetId="4">
        <row r="11">
          <cell r="C11">
            <v>1085</v>
          </cell>
        </row>
        <row r="12">
          <cell r="C12">
            <v>1.8271028037383188</v>
          </cell>
        </row>
        <row r="21">
          <cell r="C21">
            <v>1260</v>
          </cell>
        </row>
        <row r="22">
          <cell r="C22">
            <v>3.0584112149532694</v>
          </cell>
        </row>
        <row r="43">
          <cell r="C43">
            <v>2660</v>
          </cell>
        </row>
        <row r="44">
          <cell r="C44">
            <v>2.8121495327102815</v>
          </cell>
        </row>
        <row r="45">
          <cell r="C45">
            <v>4340</v>
          </cell>
        </row>
        <row r="46">
          <cell r="C46">
            <v>3.0584112149532698</v>
          </cell>
        </row>
        <row r="47">
          <cell r="C47">
            <v>1085</v>
          </cell>
        </row>
        <row r="48">
          <cell r="C48">
            <v>1.6841121495327112</v>
          </cell>
        </row>
        <row r="53">
          <cell r="C53">
            <v>2170</v>
          </cell>
        </row>
        <row r="54">
          <cell r="C54">
            <v>1.6900000000000008</v>
          </cell>
        </row>
        <row r="55">
          <cell r="C55">
            <v>1120</v>
          </cell>
        </row>
        <row r="56">
          <cell r="C56">
            <v>1.604672897196262</v>
          </cell>
        </row>
        <row r="63">
          <cell r="C63">
            <v>2170</v>
          </cell>
        </row>
        <row r="64">
          <cell r="C64">
            <v>3.0901869158878492</v>
          </cell>
        </row>
        <row r="65">
          <cell r="C65">
            <v>3255</v>
          </cell>
        </row>
        <row r="66">
          <cell r="C66">
            <v>3.0901869158878479</v>
          </cell>
        </row>
        <row r="67">
          <cell r="C67">
            <v>2170</v>
          </cell>
        </row>
        <row r="68">
          <cell r="C68">
            <v>2.3116822429906541</v>
          </cell>
        </row>
        <row r="69">
          <cell r="C69">
            <v>2170</v>
          </cell>
        </row>
        <row r="70">
          <cell r="C70">
            <v>2.2560747663551406</v>
          </cell>
        </row>
        <row r="71">
          <cell r="C71">
            <v>4340</v>
          </cell>
        </row>
        <row r="72">
          <cell r="C72">
            <v>2.0098130841121482</v>
          </cell>
        </row>
        <row r="73">
          <cell r="C73">
            <v>1085</v>
          </cell>
        </row>
        <row r="74">
          <cell r="C74">
            <v>1.7238317757009356</v>
          </cell>
        </row>
      </sheetData>
      <sheetData sheetId="5" refreshError="1"/>
      <sheetData sheetId="6" refreshError="1"/>
      <sheetData sheetId="7" refreshError="1"/>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SUMMARY"/>
      <sheetName val="KPIs"/>
      <sheetName val="Actions"/>
      <sheetName val="&gt; PUG"/>
      <sheetName val="Activities"/>
      <sheetName val="D_Drilling"/>
      <sheetName val="Development"/>
      <sheetName val="Generation"/>
      <sheetName val="Stoping"/>
      <sheetName val="Tramming"/>
      <sheetName val="Hoisting"/>
      <sheetName val="Hoisting Charts"/>
      <sheetName val="Projects"/>
      <sheetName val="PLANT"/>
      <sheetName val="Tonnage Recon"/>
      <sheetName val="&gt; SAMPLING"/>
      <sheetName val="DEV."/>
      <sheetName val="BENCHES."/>
      <sheetName val="TRAMMING."/>
      <sheetName val="HOISTING."/>
      <sheetName val="DEV.TRKR"/>
      <sheetName val="&gt; PLANS"/>
      <sheetName val="Schedule"/>
      <sheetName val="Development."/>
      <sheetName val="Breaking."/>
      <sheetName val="UG_Hoisting"/>
      <sheetName val="DD."/>
      <sheetName val="Sheet1"/>
      <sheetName val="Weekly"/>
      <sheetName val="Stope History"/>
      <sheetName val="KPIs (2)"/>
      <sheetName val="Sheet4"/>
    </sheetNames>
    <sheetDataSet>
      <sheetData sheetId="0"/>
      <sheetData sheetId="1"/>
      <sheetData sheetId="2"/>
      <sheetData sheetId="3"/>
      <sheetData sheetId="4"/>
      <sheetData sheetId="5"/>
      <sheetData sheetId="6"/>
      <sheetData sheetId="7">
        <row r="11">
          <cell r="D11">
            <v>279</v>
          </cell>
          <cell r="E11">
            <v>1.1235125448028676</v>
          </cell>
        </row>
        <row r="15">
          <cell r="D15">
            <v>1294</v>
          </cell>
          <cell r="E15">
            <v>3.3226816074188563</v>
          </cell>
        </row>
        <row r="19">
          <cell r="D19">
            <v>2821</v>
          </cell>
          <cell r="E19">
            <v>2.590361573909961</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AR_SVfHVh0GxMIG0oDGHx6Q_1BDg_A1AqJFCy862nHSbDWGxydT1QIkTFgI8yVVp" itemId="01UOFC3IX5PRZ2AH27TRA2UQGX3HISZRPG">
      <xxl21:absoluteUrl r:id="rId2"/>
    </xxl21:alternateUrls>
    <sheetNames>
      <sheetName val="SUMMARY"/>
      <sheetName val="KPIs"/>
      <sheetName val="Actions"/>
      <sheetName val="Activities"/>
      <sheetName val="&gt; PUG"/>
      <sheetName val="D_Drilling"/>
      <sheetName val="Generation"/>
      <sheetName val="Development"/>
      <sheetName val="Projects Weekly"/>
      <sheetName val="Projects"/>
      <sheetName val="Stoping"/>
      <sheetName val="Tramming"/>
      <sheetName val="Hoisting Charts"/>
      <sheetName val="Hoisting"/>
      <sheetName val="PLANT"/>
      <sheetName val="Tonnage Recon"/>
      <sheetName val="&gt; SAMPLING"/>
      <sheetName val="DEV."/>
      <sheetName val="BENCHES"/>
      <sheetName val="HOISTING."/>
      <sheetName val="TRAMMING."/>
      <sheetName val="DD."/>
      <sheetName val="DEV.TRKR"/>
      <sheetName val="&gt; PLANS"/>
      <sheetName val="Schedule"/>
      <sheetName val="Development."/>
      <sheetName val="Breaking."/>
      <sheetName val="Stope History"/>
      <sheetName val="UG_Hoisting"/>
      <sheetName val="Weekly"/>
      <sheetName val="KPIs (2)"/>
      <sheetName val="Sheet4"/>
    </sheetNames>
    <sheetDataSet>
      <sheetData sheetId="0">
        <row r="6">
          <cell r="C6">
            <v>45778</v>
          </cell>
        </row>
        <row r="16">
          <cell r="I16">
            <v>45778</v>
          </cell>
          <cell r="J16">
            <v>45779</v>
          </cell>
          <cell r="K16">
            <v>45780</v>
          </cell>
          <cell r="L16">
            <v>45781</v>
          </cell>
          <cell r="M16">
            <v>45782</v>
          </cell>
          <cell r="N16">
            <v>45783</v>
          </cell>
          <cell r="O16">
            <v>45784</v>
          </cell>
          <cell r="P16">
            <v>45785</v>
          </cell>
          <cell r="Q16">
            <v>45786</v>
          </cell>
          <cell r="R16">
            <v>45787</v>
          </cell>
          <cell r="S16">
            <v>45788</v>
          </cell>
          <cell r="T16">
            <v>45789</v>
          </cell>
          <cell r="U16">
            <v>45790</v>
          </cell>
          <cell r="V16">
            <v>45791</v>
          </cell>
          <cell r="W16">
            <v>45792</v>
          </cell>
          <cell r="X16">
            <v>45793</v>
          </cell>
          <cell r="Y16">
            <v>45794</v>
          </cell>
          <cell r="Z16">
            <v>45795</v>
          </cell>
          <cell r="AA16">
            <v>45796</v>
          </cell>
          <cell r="AB16">
            <v>45797</v>
          </cell>
          <cell r="AC16">
            <v>45798</v>
          </cell>
          <cell r="AD16">
            <v>45799</v>
          </cell>
          <cell r="AE16">
            <v>45800</v>
          </cell>
          <cell r="AF16">
            <v>45801</v>
          </cell>
          <cell r="AG16">
            <v>45802</v>
          </cell>
          <cell r="AH16">
            <v>45803</v>
          </cell>
          <cell r="AI16">
            <v>45804</v>
          </cell>
          <cell r="AJ16">
            <v>45805</v>
          </cell>
          <cell r="AK16">
            <v>45806</v>
          </cell>
          <cell r="AL16">
            <v>45807</v>
          </cell>
          <cell r="AM16">
            <v>45808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AR_SVfHVh0GxMIG0oDGHx6Q_1BDg_A1AqJFCy862nHSbDWGxydT1QIkTFgI8yVVp" itemId="01UOFC3IQ4DORJXHK5LRC264XABSMGTRJU">
      <xxl21:absoluteUrl r:id="rId3"/>
    </xxl21:alternateUrls>
    <sheetNames>
      <sheetName val="SUMMARY"/>
      <sheetName val="KPIs"/>
      <sheetName val="Actions"/>
      <sheetName val="Activities"/>
      <sheetName val="&gt; PUG"/>
      <sheetName val="D_Drilling"/>
      <sheetName val="Generation"/>
      <sheetName val="Development"/>
      <sheetName val="Projects Weekly"/>
      <sheetName val="Projects"/>
      <sheetName val="Stoping"/>
      <sheetName val="Tramming"/>
      <sheetName val="Hoisting Charts"/>
      <sheetName val="Hoisting"/>
      <sheetName val="PLANT"/>
      <sheetName val="Tonnage Recon"/>
      <sheetName val="&gt; SAMPLING"/>
      <sheetName val="DEV."/>
      <sheetName val="BENCHES"/>
      <sheetName val="HOISTING."/>
      <sheetName val="TRAMMING."/>
      <sheetName val="DD."/>
      <sheetName val="DEV.TRKR"/>
      <sheetName val="&gt; PLANS"/>
      <sheetName val="Schedule"/>
      <sheetName val="Development."/>
      <sheetName val="Breaking."/>
      <sheetName val="Stope History"/>
      <sheetName val="UG_Hoisting"/>
      <sheetName val="Weekly"/>
      <sheetName val="KPIs (2)"/>
      <sheetName val="Sheet4"/>
    </sheetNames>
    <sheetDataSet>
      <sheetData sheetId="0"/>
      <sheetData sheetId="1"/>
      <sheetData sheetId="2"/>
      <sheetData sheetId="3"/>
      <sheetData sheetId="4"/>
      <sheetData sheetId="5"/>
      <sheetData sheetId="6"/>
      <sheetData sheetId="7"/>
      <sheetData sheetId="8"/>
      <sheetData sheetId="9"/>
      <sheetData sheetId="10">
        <row r="18">
          <cell r="C18" t="str">
            <v>1L W24 STOPE</v>
          </cell>
          <cell r="D18" t="str">
            <v>Tonnes</v>
          </cell>
          <cell r="E18" t="str">
            <v>Budget (t)</v>
          </cell>
          <cell r="F18">
            <v>1960</v>
          </cell>
          <cell r="G18"/>
          <cell r="H18">
            <v>0</v>
          </cell>
          <cell r="I18">
            <v>70</v>
          </cell>
          <cell r="J18">
            <v>70</v>
          </cell>
          <cell r="K18">
            <v>70</v>
          </cell>
          <cell r="L18">
            <v>70</v>
          </cell>
          <cell r="M18">
            <v>70</v>
          </cell>
          <cell r="N18">
            <v>70</v>
          </cell>
          <cell r="O18">
            <v>70</v>
          </cell>
          <cell r="P18">
            <v>70</v>
          </cell>
          <cell r="Q18">
            <v>70</v>
          </cell>
          <cell r="R18">
            <v>70</v>
          </cell>
          <cell r="S18">
            <v>70</v>
          </cell>
          <cell r="T18">
            <v>70</v>
          </cell>
          <cell r="U18">
            <v>70</v>
          </cell>
          <cell r="V18">
            <v>70</v>
          </cell>
          <cell r="W18">
            <v>70</v>
          </cell>
          <cell r="X18">
            <v>70</v>
          </cell>
          <cell r="Y18">
            <v>70</v>
          </cell>
          <cell r="Z18">
            <v>70</v>
          </cell>
          <cell r="AA18">
            <v>70</v>
          </cell>
          <cell r="AB18">
            <v>70</v>
          </cell>
          <cell r="AC18">
            <v>70</v>
          </cell>
          <cell r="AD18">
            <v>70</v>
          </cell>
          <cell r="AE18">
            <v>70</v>
          </cell>
          <cell r="AF18">
            <v>0</v>
          </cell>
          <cell r="AG18">
            <v>70</v>
          </cell>
          <cell r="AH18">
            <v>70</v>
          </cell>
          <cell r="AI18">
            <v>70</v>
          </cell>
          <cell r="AJ18">
            <v>70</v>
          </cell>
          <cell r="AK18">
            <v>70</v>
          </cell>
          <cell r="AL18">
            <v>70</v>
          </cell>
        </row>
        <row r="19">
          <cell r="E19" t="str">
            <v>Actual (t)</v>
          </cell>
          <cell r="F19">
            <v>2017</v>
          </cell>
          <cell r="G19">
            <v>2.9081632653061223E-2</v>
          </cell>
          <cell r="H19">
            <v>89</v>
          </cell>
          <cell r="I19">
            <v>85</v>
          </cell>
          <cell r="J19">
            <v>64</v>
          </cell>
          <cell r="K19">
            <v>71</v>
          </cell>
          <cell r="L19">
            <v>74</v>
          </cell>
          <cell r="M19">
            <v>79</v>
          </cell>
          <cell r="N19">
            <v>70</v>
          </cell>
          <cell r="O19">
            <v>79</v>
          </cell>
          <cell r="P19">
            <v>70</v>
          </cell>
          <cell r="Q19">
            <v>70</v>
          </cell>
          <cell r="R19">
            <v>74</v>
          </cell>
          <cell r="S19">
            <v>68</v>
          </cell>
          <cell r="T19">
            <v>81</v>
          </cell>
          <cell r="U19">
            <v>70</v>
          </cell>
          <cell r="V19">
            <v>17</v>
          </cell>
          <cell r="W19">
            <v>40</v>
          </cell>
          <cell r="X19">
            <v>36</v>
          </cell>
          <cell r="Y19">
            <v>71</v>
          </cell>
          <cell r="Z19">
            <v>66</v>
          </cell>
          <cell r="AA19">
            <v>70</v>
          </cell>
          <cell r="AB19">
            <v>71</v>
          </cell>
          <cell r="AC19">
            <v>74</v>
          </cell>
          <cell r="AD19">
            <v>76</v>
          </cell>
          <cell r="AE19">
            <v>79</v>
          </cell>
          <cell r="AF19">
            <v>0</v>
          </cell>
          <cell r="AG19">
            <v>74</v>
          </cell>
          <cell r="AH19">
            <v>70</v>
          </cell>
          <cell r="AI19">
            <v>76</v>
          </cell>
          <cell r="AJ19">
            <v>72</v>
          </cell>
          <cell r="AK19">
            <v>81</v>
          </cell>
          <cell r="AL19">
            <v>77</v>
          </cell>
        </row>
        <row r="20">
          <cell r="E20" t="str">
            <v>Reason if Actual is RED</v>
          </cell>
          <cell r="F20"/>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row>
        <row r="21">
          <cell r="D21" t="str">
            <v>Grade</v>
          </cell>
          <cell r="E21" t="str">
            <v>Budget (g/t)</v>
          </cell>
          <cell r="F21">
            <v>2.2999999999999994</v>
          </cell>
          <cell r="G21"/>
          <cell r="H21"/>
          <cell r="I21">
            <v>2.2999999999999998</v>
          </cell>
          <cell r="J21">
            <v>2.2999999999999998</v>
          </cell>
          <cell r="K21">
            <v>2.2999999999999998</v>
          </cell>
          <cell r="L21">
            <v>2.2999999999999998</v>
          </cell>
          <cell r="M21">
            <v>2.2999999999999998</v>
          </cell>
          <cell r="N21">
            <v>2.2999999999999998</v>
          </cell>
          <cell r="O21">
            <v>2.2999999999999998</v>
          </cell>
          <cell r="P21">
            <v>2.2999999999999998</v>
          </cell>
          <cell r="Q21">
            <v>2.2999999999999998</v>
          </cell>
          <cell r="R21">
            <v>2.2999999999999998</v>
          </cell>
          <cell r="S21">
            <v>2.2999999999999998</v>
          </cell>
          <cell r="T21">
            <v>2.2999999999999998</v>
          </cell>
          <cell r="U21">
            <v>2.2999999999999998</v>
          </cell>
          <cell r="V21">
            <v>2.2999999999999998</v>
          </cell>
          <cell r="W21">
            <v>2.2999999999999998</v>
          </cell>
          <cell r="X21">
            <v>2.2999999999999998</v>
          </cell>
          <cell r="Y21">
            <v>2.2999999999999998</v>
          </cell>
          <cell r="Z21">
            <v>2.2999999999999998</v>
          </cell>
          <cell r="AA21">
            <v>2.2999999999999998</v>
          </cell>
          <cell r="AB21">
            <v>2.2999999999999998</v>
          </cell>
          <cell r="AC21">
            <v>2.2999999999999998</v>
          </cell>
          <cell r="AD21">
            <v>2.2999999999999998</v>
          </cell>
          <cell r="AE21">
            <v>2.2999999999999998</v>
          </cell>
          <cell r="AF21"/>
          <cell r="AG21">
            <v>2.2999999999999998</v>
          </cell>
          <cell r="AH21">
            <v>2.2999999999999998</v>
          </cell>
          <cell r="AI21">
            <v>2.2999999999999998</v>
          </cell>
          <cell r="AJ21">
            <v>2.2999999999999998</v>
          </cell>
          <cell r="AK21">
            <v>2.2999999999999998</v>
          </cell>
          <cell r="AL21">
            <v>2.2999999999999998</v>
          </cell>
        </row>
        <row r="22">
          <cell r="E22" t="str">
            <v>Actual (g/t)</v>
          </cell>
          <cell r="F22">
            <v>1.4907882994546355</v>
          </cell>
          <cell r="G22">
            <v>-0.3518311741501583</v>
          </cell>
          <cell r="H22">
            <v>1.24</v>
          </cell>
          <cell r="I22">
            <v>1.57</v>
          </cell>
          <cell r="J22">
            <v>2.42</v>
          </cell>
          <cell r="K22">
            <v>2.42</v>
          </cell>
          <cell r="L22">
            <v>1.92</v>
          </cell>
          <cell r="M22">
            <v>1.4</v>
          </cell>
          <cell r="N22">
            <v>1.04</v>
          </cell>
          <cell r="O22">
            <v>1.1000000000000001</v>
          </cell>
          <cell r="P22">
            <v>1.01</v>
          </cell>
          <cell r="Q22">
            <v>1.79</v>
          </cell>
          <cell r="R22">
            <v>1.79</v>
          </cell>
          <cell r="S22">
            <v>2.0299999999999998</v>
          </cell>
          <cell r="T22">
            <v>1.71</v>
          </cell>
          <cell r="U22">
            <v>1.77</v>
          </cell>
          <cell r="V22">
            <v>1.88</v>
          </cell>
          <cell r="W22">
            <v>1.21</v>
          </cell>
          <cell r="X22">
            <v>0.89</v>
          </cell>
          <cell r="Y22">
            <v>0.89</v>
          </cell>
          <cell r="Z22">
            <v>1.71</v>
          </cell>
          <cell r="AA22">
            <v>1.71</v>
          </cell>
          <cell r="AB22">
            <v>1.92</v>
          </cell>
          <cell r="AC22">
            <v>1.55</v>
          </cell>
          <cell r="AD22">
            <v>1.32</v>
          </cell>
          <cell r="AE22">
            <v>0.83</v>
          </cell>
          <cell r="AF22"/>
          <cell r="AG22">
            <v>0.83</v>
          </cell>
          <cell r="AH22">
            <v>1.1000000000000001</v>
          </cell>
          <cell r="AI22">
            <v>1.1000000000000001</v>
          </cell>
          <cell r="AJ22">
            <v>1.78</v>
          </cell>
          <cell r="AK22">
            <v>1.48</v>
          </cell>
          <cell r="AL22">
            <v>1.63</v>
          </cell>
        </row>
        <row r="23">
          <cell r="D23" t="str">
            <v>Gold</v>
          </cell>
          <cell r="E23" t="str">
            <v>Budget (kg)</v>
          </cell>
          <cell r="F23">
            <v>4.5079999999999991</v>
          </cell>
          <cell r="G23"/>
          <cell r="H23">
            <v>0</v>
          </cell>
          <cell r="I23">
            <v>0.161</v>
          </cell>
          <cell r="J23">
            <v>0.161</v>
          </cell>
          <cell r="K23">
            <v>0.161</v>
          </cell>
          <cell r="L23">
            <v>0.161</v>
          </cell>
          <cell r="M23">
            <v>0.161</v>
          </cell>
          <cell r="N23">
            <v>0.161</v>
          </cell>
          <cell r="O23">
            <v>0.161</v>
          </cell>
          <cell r="P23">
            <v>0.161</v>
          </cell>
          <cell r="Q23">
            <v>0.161</v>
          </cell>
          <cell r="R23">
            <v>0.161</v>
          </cell>
          <cell r="S23">
            <v>0.161</v>
          </cell>
          <cell r="T23">
            <v>0.161</v>
          </cell>
          <cell r="U23">
            <v>0.161</v>
          </cell>
          <cell r="V23">
            <v>0.161</v>
          </cell>
          <cell r="W23">
            <v>0.161</v>
          </cell>
          <cell r="X23">
            <v>0.161</v>
          </cell>
          <cell r="Y23">
            <v>0.161</v>
          </cell>
          <cell r="Z23">
            <v>0.161</v>
          </cell>
          <cell r="AA23">
            <v>0.161</v>
          </cell>
          <cell r="AB23">
            <v>0.161</v>
          </cell>
          <cell r="AC23">
            <v>0.161</v>
          </cell>
          <cell r="AD23">
            <v>0.161</v>
          </cell>
          <cell r="AE23">
            <v>0.161</v>
          </cell>
          <cell r="AF23">
            <v>0</v>
          </cell>
          <cell r="AG23">
            <v>0.161</v>
          </cell>
          <cell r="AH23">
            <v>0.161</v>
          </cell>
          <cell r="AI23">
            <v>0.161</v>
          </cell>
          <cell r="AJ23">
            <v>0.161</v>
          </cell>
          <cell r="AK23">
            <v>0.161</v>
          </cell>
          <cell r="AL23">
            <v>0.161</v>
          </cell>
        </row>
        <row r="24">
          <cell r="E24" t="str">
            <v>Actual (kg)</v>
          </cell>
          <cell r="F24">
            <v>3.00692</v>
          </cell>
          <cell r="G24">
            <v>-0.33298136645962717</v>
          </cell>
          <cell r="H24">
            <v>0.11036</v>
          </cell>
          <cell r="I24">
            <v>0.13345000000000001</v>
          </cell>
          <cell r="J24">
            <v>0.15487999999999999</v>
          </cell>
          <cell r="K24">
            <v>0.17182</v>
          </cell>
          <cell r="L24">
            <v>0.14207999999999998</v>
          </cell>
          <cell r="M24">
            <v>0.11059999999999999</v>
          </cell>
          <cell r="N24">
            <v>7.2800000000000004E-2</v>
          </cell>
          <cell r="O24">
            <v>8.6900000000000005E-2</v>
          </cell>
          <cell r="P24">
            <v>7.0699999999999999E-2</v>
          </cell>
          <cell r="Q24">
            <v>0.12529999999999999</v>
          </cell>
          <cell r="R24">
            <v>0.13245999999999999</v>
          </cell>
          <cell r="S24">
            <v>0.13804</v>
          </cell>
          <cell r="T24">
            <v>0.13850999999999999</v>
          </cell>
          <cell r="U24">
            <v>0.12390000000000001</v>
          </cell>
          <cell r="V24">
            <v>3.1959999999999995E-2</v>
          </cell>
          <cell r="W24">
            <v>4.8399999999999999E-2</v>
          </cell>
          <cell r="X24">
            <v>3.2039999999999999E-2</v>
          </cell>
          <cell r="Y24">
            <v>6.3189999999999996E-2</v>
          </cell>
          <cell r="Z24">
            <v>0.11286</v>
          </cell>
          <cell r="AA24">
            <v>0.1197</v>
          </cell>
          <cell r="AB24">
            <v>0.13632</v>
          </cell>
          <cell r="AC24">
            <v>0.1147</v>
          </cell>
          <cell r="AD24">
            <v>0.10032000000000001</v>
          </cell>
          <cell r="AE24">
            <v>6.5569999999999989E-2</v>
          </cell>
          <cell r="AF24">
            <v>0</v>
          </cell>
          <cell r="AG24">
            <v>6.1419999999999995E-2</v>
          </cell>
          <cell r="AH24">
            <v>7.6999999999999999E-2</v>
          </cell>
          <cell r="AI24">
            <v>8.3600000000000008E-2</v>
          </cell>
          <cell r="AJ24">
            <v>0.12816</v>
          </cell>
          <cell r="AK24">
            <v>0.11988</v>
          </cell>
          <cell r="AL24">
            <v>0.12550999999999998</v>
          </cell>
        </row>
        <row r="25">
          <cell r="C25" t="str">
            <v>2L_W23B STOPE</v>
          </cell>
          <cell r="D25" t="str">
            <v>Tonnes</v>
          </cell>
          <cell r="E25" t="str">
            <v>Budget (t)</v>
          </cell>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row>
        <row r="26">
          <cell r="E26" t="str">
            <v>Actual (t)</v>
          </cell>
          <cell r="F26">
            <v>310</v>
          </cell>
          <cell r="G26">
            <v>0</v>
          </cell>
          <cell r="H26"/>
          <cell r="I26"/>
          <cell r="J26"/>
          <cell r="K26"/>
          <cell r="L26"/>
          <cell r="M26"/>
          <cell r="N26"/>
          <cell r="O26"/>
          <cell r="P26"/>
          <cell r="Q26"/>
          <cell r="R26"/>
          <cell r="S26"/>
          <cell r="T26"/>
          <cell r="U26"/>
          <cell r="V26"/>
          <cell r="W26"/>
          <cell r="X26"/>
          <cell r="Y26"/>
          <cell r="Z26"/>
          <cell r="AA26">
            <v>35</v>
          </cell>
          <cell r="AB26">
            <v>39</v>
          </cell>
          <cell r="AC26">
            <v>0</v>
          </cell>
          <cell r="AD26">
            <v>35</v>
          </cell>
          <cell r="AE26">
            <v>36</v>
          </cell>
          <cell r="AF26"/>
          <cell r="AG26">
            <v>26</v>
          </cell>
          <cell r="AH26">
            <v>33</v>
          </cell>
          <cell r="AI26">
            <v>34</v>
          </cell>
          <cell r="AJ26">
            <v>36</v>
          </cell>
          <cell r="AK26">
            <v>36</v>
          </cell>
          <cell r="AL26">
            <v>38</v>
          </cell>
        </row>
        <row r="27">
          <cell r="E27" t="str">
            <v>Reason if Actual is RED</v>
          </cell>
          <cell r="F27"/>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row>
        <row r="28">
          <cell r="D28" t="str">
            <v>Grade</v>
          </cell>
          <cell r="E28" t="str">
            <v>Budget (g/t)</v>
          </cell>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row>
        <row r="29">
          <cell r="E29" t="str">
            <v>Actual (g/t)</v>
          </cell>
          <cell r="F29">
            <v>2.4865806451612902</v>
          </cell>
          <cell r="G29">
            <v>0</v>
          </cell>
          <cell r="H29"/>
          <cell r="I29"/>
          <cell r="J29"/>
          <cell r="K29"/>
          <cell r="L29"/>
          <cell r="M29"/>
          <cell r="N29"/>
          <cell r="O29"/>
          <cell r="P29"/>
          <cell r="Q29"/>
          <cell r="R29"/>
          <cell r="S29"/>
          <cell r="T29"/>
          <cell r="U29"/>
          <cell r="V29"/>
          <cell r="W29"/>
          <cell r="X29"/>
          <cell r="Y29"/>
          <cell r="Z29"/>
          <cell r="AA29">
            <v>2.98</v>
          </cell>
          <cell r="AB29">
            <v>2.33</v>
          </cell>
          <cell r="AC29"/>
          <cell r="AD29">
            <v>1.8</v>
          </cell>
          <cell r="AE29">
            <v>2.5099999999999998</v>
          </cell>
          <cell r="AF29"/>
          <cell r="AG29">
            <v>2.5099999999999998</v>
          </cell>
          <cell r="AH29">
            <v>2.0099999999999998</v>
          </cell>
          <cell r="AI29">
            <v>1.7</v>
          </cell>
          <cell r="AJ29">
            <v>2.99</v>
          </cell>
          <cell r="AK29">
            <v>3.48</v>
          </cell>
          <cell r="AL29">
            <v>1.66</v>
          </cell>
        </row>
        <row r="30">
          <cell r="D30" t="str">
            <v>Gold</v>
          </cell>
          <cell r="E30" t="str">
            <v>Budget (kg)</v>
          </cell>
          <cell r="F30">
            <v>0</v>
          </cell>
          <cell r="G30"/>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row>
        <row r="31">
          <cell r="E31" t="str">
            <v>Actual (kg)</v>
          </cell>
          <cell r="F31">
            <v>0.77083999999999997</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0.1043</v>
          </cell>
          <cell r="AB31">
            <v>9.0870000000000006E-2</v>
          </cell>
          <cell r="AC31">
            <v>0</v>
          </cell>
          <cell r="AD31">
            <v>6.3E-2</v>
          </cell>
          <cell r="AE31">
            <v>9.0359999999999982E-2</v>
          </cell>
          <cell r="AF31">
            <v>0</v>
          </cell>
          <cell r="AG31">
            <v>6.5259999999999985E-2</v>
          </cell>
          <cell r="AH31">
            <v>6.633E-2</v>
          </cell>
          <cell r="AI31">
            <v>5.7799999999999997E-2</v>
          </cell>
          <cell r="AJ31">
            <v>0.10764000000000001</v>
          </cell>
          <cell r="AK31">
            <v>0.12528</v>
          </cell>
          <cell r="AL31">
            <v>6.3079999999999997E-2</v>
          </cell>
        </row>
        <row r="32">
          <cell r="C32" t="str">
            <v>3L_W23A STOPE</v>
          </cell>
          <cell r="D32" t="str">
            <v>Tonnes</v>
          </cell>
          <cell r="E32" t="str">
            <v>Budget (t)</v>
          </cell>
          <cell r="F32">
            <v>1960</v>
          </cell>
          <cell r="G32"/>
          <cell r="H32">
            <v>0</v>
          </cell>
          <cell r="I32">
            <v>70</v>
          </cell>
          <cell r="J32">
            <v>70</v>
          </cell>
          <cell r="K32">
            <v>70</v>
          </cell>
          <cell r="L32">
            <v>70</v>
          </cell>
          <cell r="M32">
            <v>70</v>
          </cell>
          <cell r="N32">
            <v>70</v>
          </cell>
          <cell r="O32">
            <v>70</v>
          </cell>
          <cell r="P32">
            <v>70</v>
          </cell>
          <cell r="Q32">
            <v>70</v>
          </cell>
          <cell r="R32">
            <v>70</v>
          </cell>
          <cell r="S32">
            <v>70</v>
          </cell>
          <cell r="T32">
            <v>70</v>
          </cell>
          <cell r="U32">
            <v>70</v>
          </cell>
          <cell r="V32">
            <v>70</v>
          </cell>
          <cell r="W32">
            <v>70</v>
          </cell>
          <cell r="X32">
            <v>70</v>
          </cell>
          <cell r="Y32">
            <v>70</v>
          </cell>
          <cell r="Z32">
            <v>70</v>
          </cell>
          <cell r="AA32">
            <v>70</v>
          </cell>
          <cell r="AB32">
            <v>70</v>
          </cell>
          <cell r="AC32">
            <v>70</v>
          </cell>
          <cell r="AD32">
            <v>70</v>
          </cell>
          <cell r="AE32">
            <v>70</v>
          </cell>
          <cell r="AF32">
            <v>0</v>
          </cell>
          <cell r="AG32">
            <v>70</v>
          </cell>
          <cell r="AH32">
            <v>70</v>
          </cell>
          <cell r="AI32">
            <v>70</v>
          </cell>
          <cell r="AJ32">
            <v>70</v>
          </cell>
          <cell r="AK32">
            <v>70</v>
          </cell>
          <cell r="AL32">
            <v>70</v>
          </cell>
        </row>
        <row r="33">
          <cell r="E33" t="str">
            <v>Actual (t)</v>
          </cell>
          <cell r="F33">
            <v>2273</v>
          </cell>
          <cell r="G33">
            <v>0.15969387755102041</v>
          </cell>
          <cell r="H33">
            <v>73</v>
          </cell>
          <cell r="I33">
            <v>108</v>
          </cell>
          <cell r="J33">
            <v>70</v>
          </cell>
          <cell r="K33">
            <v>108</v>
          </cell>
          <cell r="L33">
            <v>110</v>
          </cell>
          <cell r="M33"/>
          <cell r="N33">
            <v>106</v>
          </cell>
          <cell r="O33">
            <v>70</v>
          </cell>
          <cell r="P33">
            <v>72</v>
          </cell>
          <cell r="Q33">
            <v>70</v>
          </cell>
          <cell r="R33">
            <v>71</v>
          </cell>
          <cell r="S33">
            <v>106</v>
          </cell>
          <cell r="T33">
            <v>74</v>
          </cell>
          <cell r="U33">
            <v>70</v>
          </cell>
          <cell r="V33">
            <v>61</v>
          </cell>
          <cell r="W33">
            <v>73</v>
          </cell>
          <cell r="X33">
            <v>108</v>
          </cell>
          <cell r="Y33">
            <v>109</v>
          </cell>
          <cell r="Z33">
            <v>73</v>
          </cell>
          <cell r="AA33">
            <v>70</v>
          </cell>
          <cell r="AB33">
            <v>74</v>
          </cell>
          <cell r="AC33">
            <v>70</v>
          </cell>
          <cell r="AD33">
            <v>76</v>
          </cell>
          <cell r="AE33">
            <v>73</v>
          </cell>
          <cell r="AF33"/>
          <cell r="AG33">
            <v>69</v>
          </cell>
          <cell r="AH33">
            <v>61</v>
          </cell>
          <cell r="AI33">
            <v>68</v>
          </cell>
          <cell r="AJ33">
            <v>73</v>
          </cell>
          <cell r="AK33">
            <v>107</v>
          </cell>
          <cell r="AL33">
            <v>109</v>
          </cell>
        </row>
        <row r="34">
          <cell r="E34" t="str">
            <v>Reason if Actual is RED</v>
          </cell>
          <cell r="F34"/>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row>
        <row r="35">
          <cell r="D35" t="str">
            <v>Grade</v>
          </cell>
          <cell r="E35" t="str">
            <v>Budget (g/t)</v>
          </cell>
          <cell r="F35">
            <v>3.8499999999999988</v>
          </cell>
          <cell r="G35"/>
          <cell r="H35"/>
          <cell r="I35">
            <v>3.85</v>
          </cell>
          <cell r="J35">
            <v>3.85</v>
          </cell>
          <cell r="K35">
            <v>3.85</v>
          </cell>
          <cell r="L35">
            <v>3.85</v>
          </cell>
          <cell r="M35">
            <v>3.85</v>
          </cell>
          <cell r="N35">
            <v>3.85</v>
          </cell>
          <cell r="O35">
            <v>3.85</v>
          </cell>
          <cell r="P35">
            <v>3.85</v>
          </cell>
          <cell r="Q35">
            <v>3.85</v>
          </cell>
          <cell r="R35">
            <v>3.85</v>
          </cell>
          <cell r="S35">
            <v>3.85</v>
          </cell>
          <cell r="T35">
            <v>3.85</v>
          </cell>
          <cell r="U35">
            <v>3.85</v>
          </cell>
          <cell r="V35">
            <v>3.85</v>
          </cell>
          <cell r="W35">
            <v>3.85</v>
          </cell>
          <cell r="X35">
            <v>3.85</v>
          </cell>
          <cell r="Y35">
            <v>3.85</v>
          </cell>
          <cell r="Z35">
            <v>3.85</v>
          </cell>
          <cell r="AA35">
            <v>3.85</v>
          </cell>
          <cell r="AB35">
            <v>3.85</v>
          </cell>
          <cell r="AC35">
            <v>3.85</v>
          </cell>
          <cell r="AD35">
            <v>3.85</v>
          </cell>
          <cell r="AE35">
            <v>3.85</v>
          </cell>
          <cell r="AF35">
            <v>0</v>
          </cell>
          <cell r="AG35">
            <v>3.85</v>
          </cell>
          <cell r="AH35">
            <v>3.85</v>
          </cell>
          <cell r="AI35">
            <v>3.85</v>
          </cell>
          <cell r="AJ35">
            <v>3.85</v>
          </cell>
          <cell r="AK35">
            <v>3.85</v>
          </cell>
          <cell r="AL35">
            <v>3.85</v>
          </cell>
        </row>
        <row r="36">
          <cell r="E36" t="str">
            <v>Actual (g/t)</v>
          </cell>
          <cell r="F36">
            <v>2.6462516498020237</v>
          </cell>
          <cell r="G36">
            <v>-0.31266190914233127</v>
          </cell>
          <cell r="H36">
            <v>2.1</v>
          </cell>
          <cell r="I36">
            <v>2.36</v>
          </cell>
          <cell r="J36">
            <v>2.23</v>
          </cell>
          <cell r="K36">
            <v>2.23</v>
          </cell>
          <cell r="L36">
            <v>3.44</v>
          </cell>
          <cell r="M36">
            <v>4.12</v>
          </cell>
          <cell r="N36">
            <v>2.59</v>
          </cell>
          <cell r="O36">
            <v>1.62</v>
          </cell>
          <cell r="P36">
            <v>1.22</v>
          </cell>
          <cell r="Q36">
            <v>1.45</v>
          </cell>
          <cell r="R36">
            <v>1.45</v>
          </cell>
          <cell r="S36">
            <v>3.6</v>
          </cell>
          <cell r="T36">
            <v>4.17</v>
          </cell>
          <cell r="U36">
            <v>3.84</v>
          </cell>
          <cell r="V36">
            <v>7</v>
          </cell>
          <cell r="W36">
            <v>2.35</v>
          </cell>
          <cell r="X36">
            <v>2.2400000000000002</v>
          </cell>
          <cell r="Y36">
            <v>2.2400000000000002</v>
          </cell>
          <cell r="Z36">
            <v>3.6</v>
          </cell>
          <cell r="AA36">
            <v>5.66</v>
          </cell>
          <cell r="AB36">
            <v>3.33</v>
          </cell>
          <cell r="AC36">
            <v>3.46</v>
          </cell>
          <cell r="AD36">
            <v>1.9</v>
          </cell>
          <cell r="AE36">
            <v>1.4</v>
          </cell>
          <cell r="AF36"/>
          <cell r="AG36">
            <v>1.4</v>
          </cell>
          <cell r="AH36">
            <v>1.57</v>
          </cell>
          <cell r="AI36">
            <v>1.7</v>
          </cell>
          <cell r="AJ36">
            <v>2.0499999999999998</v>
          </cell>
          <cell r="AK36">
            <v>2.39</v>
          </cell>
          <cell r="AL36">
            <v>1.67</v>
          </cell>
        </row>
        <row r="37">
          <cell r="D37" t="str">
            <v>Gold</v>
          </cell>
          <cell r="E37" t="str">
            <v>Budget (kg)</v>
          </cell>
          <cell r="F37">
            <v>7.5459999999999976</v>
          </cell>
          <cell r="G37"/>
          <cell r="H37">
            <v>0</v>
          </cell>
          <cell r="I37">
            <v>0.26950000000000002</v>
          </cell>
          <cell r="J37">
            <v>0.26950000000000002</v>
          </cell>
          <cell r="K37">
            <v>0.26950000000000002</v>
          </cell>
          <cell r="L37">
            <v>0.26950000000000002</v>
          </cell>
          <cell r="M37">
            <v>0.26950000000000002</v>
          </cell>
          <cell r="N37">
            <v>0.26950000000000002</v>
          </cell>
          <cell r="O37">
            <v>0.26950000000000002</v>
          </cell>
          <cell r="P37">
            <v>0.26950000000000002</v>
          </cell>
          <cell r="Q37">
            <v>0.26950000000000002</v>
          </cell>
          <cell r="R37">
            <v>0.26950000000000002</v>
          </cell>
          <cell r="S37">
            <v>0.26950000000000002</v>
          </cell>
          <cell r="T37">
            <v>0.26950000000000002</v>
          </cell>
          <cell r="U37">
            <v>0.26950000000000002</v>
          </cell>
          <cell r="V37">
            <v>0.26950000000000002</v>
          </cell>
          <cell r="W37">
            <v>0.26950000000000002</v>
          </cell>
          <cell r="X37">
            <v>0.26950000000000002</v>
          </cell>
          <cell r="Y37">
            <v>0.26950000000000002</v>
          </cell>
          <cell r="Z37">
            <v>0.26950000000000002</v>
          </cell>
          <cell r="AA37">
            <v>0.26950000000000002</v>
          </cell>
          <cell r="AB37">
            <v>0.26950000000000002</v>
          </cell>
          <cell r="AC37">
            <v>0.26950000000000002</v>
          </cell>
          <cell r="AD37">
            <v>0.26950000000000002</v>
          </cell>
          <cell r="AE37">
            <v>0.26950000000000002</v>
          </cell>
          <cell r="AF37">
            <v>0</v>
          </cell>
          <cell r="AG37">
            <v>0.26950000000000002</v>
          </cell>
          <cell r="AH37">
            <v>0.26950000000000002</v>
          </cell>
          <cell r="AI37">
            <v>0.26950000000000002</v>
          </cell>
          <cell r="AJ37">
            <v>0.26950000000000002</v>
          </cell>
          <cell r="AK37">
            <v>0.26950000000000002</v>
          </cell>
          <cell r="AL37">
            <v>0.26950000000000002</v>
          </cell>
        </row>
        <row r="38">
          <cell r="E38" t="str">
            <v>Actual (kg)</v>
          </cell>
          <cell r="F38">
            <v>6.0149299999999997</v>
          </cell>
          <cell r="G38">
            <v>-0.20289822422475462</v>
          </cell>
          <cell r="H38">
            <v>0.15330000000000002</v>
          </cell>
          <cell r="I38">
            <v>0.25488</v>
          </cell>
          <cell r="J38">
            <v>0.15609999999999999</v>
          </cell>
          <cell r="K38">
            <v>0.24084</v>
          </cell>
          <cell r="L38">
            <v>0.37839999999999996</v>
          </cell>
          <cell r="M38">
            <v>0</v>
          </cell>
          <cell r="N38">
            <v>0.27453999999999995</v>
          </cell>
          <cell r="O38">
            <v>0.1134</v>
          </cell>
          <cell r="P38">
            <v>8.7840000000000001E-2</v>
          </cell>
          <cell r="Q38">
            <v>0.10150000000000001</v>
          </cell>
          <cell r="R38">
            <v>0.10295</v>
          </cell>
          <cell r="S38">
            <v>0.38160000000000005</v>
          </cell>
          <cell r="T38">
            <v>0.30857999999999997</v>
          </cell>
          <cell r="U38">
            <v>0.26880000000000004</v>
          </cell>
          <cell r="V38">
            <v>0.42699999999999999</v>
          </cell>
          <cell r="W38">
            <v>0.17155000000000001</v>
          </cell>
          <cell r="X38">
            <v>0.24192000000000002</v>
          </cell>
          <cell r="Y38">
            <v>0.24416000000000002</v>
          </cell>
          <cell r="Z38">
            <v>0.26280000000000003</v>
          </cell>
          <cell r="AA38">
            <v>0.3962</v>
          </cell>
          <cell r="AB38">
            <v>0.24642000000000003</v>
          </cell>
          <cell r="AC38">
            <v>0.2422</v>
          </cell>
          <cell r="AD38">
            <v>0.1444</v>
          </cell>
          <cell r="AE38">
            <v>0.10219999999999999</v>
          </cell>
          <cell r="AF38">
            <v>0</v>
          </cell>
          <cell r="AG38">
            <v>9.6599999999999991E-2</v>
          </cell>
          <cell r="AH38">
            <v>9.5770000000000008E-2</v>
          </cell>
          <cell r="AI38">
            <v>0.11559999999999999</v>
          </cell>
          <cell r="AJ38">
            <v>0.14964999999999998</v>
          </cell>
          <cell r="AK38">
            <v>0.25573000000000001</v>
          </cell>
          <cell r="AL38">
            <v>0.18203</v>
          </cell>
        </row>
        <row r="39">
          <cell r="C39" t="str">
            <v>3L_W24A STOPE</v>
          </cell>
          <cell r="D39" t="str">
            <v>Tonnes</v>
          </cell>
          <cell r="E39" t="str">
            <v>Budget (t)</v>
          </cell>
          <cell r="F39">
            <v>1960</v>
          </cell>
          <cell r="G39"/>
          <cell r="H39">
            <v>0</v>
          </cell>
          <cell r="I39">
            <v>70</v>
          </cell>
          <cell r="J39">
            <v>70</v>
          </cell>
          <cell r="K39">
            <v>70</v>
          </cell>
          <cell r="L39">
            <v>70</v>
          </cell>
          <cell r="M39">
            <v>70</v>
          </cell>
          <cell r="N39">
            <v>70</v>
          </cell>
          <cell r="O39">
            <v>70</v>
          </cell>
          <cell r="P39">
            <v>70</v>
          </cell>
          <cell r="Q39">
            <v>70</v>
          </cell>
          <cell r="R39">
            <v>70</v>
          </cell>
          <cell r="S39">
            <v>70</v>
          </cell>
          <cell r="T39">
            <v>70</v>
          </cell>
          <cell r="U39">
            <v>70</v>
          </cell>
          <cell r="V39">
            <v>70</v>
          </cell>
          <cell r="W39">
            <v>70</v>
          </cell>
          <cell r="X39">
            <v>70</v>
          </cell>
          <cell r="Y39">
            <v>70</v>
          </cell>
          <cell r="Z39">
            <v>70</v>
          </cell>
          <cell r="AA39">
            <v>70</v>
          </cell>
          <cell r="AB39">
            <v>70</v>
          </cell>
          <cell r="AC39">
            <v>70</v>
          </cell>
          <cell r="AD39">
            <v>70</v>
          </cell>
          <cell r="AE39">
            <v>70</v>
          </cell>
          <cell r="AF39">
            <v>0</v>
          </cell>
          <cell r="AG39">
            <v>70</v>
          </cell>
          <cell r="AH39">
            <v>70</v>
          </cell>
          <cell r="AI39">
            <v>70</v>
          </cell>
          <cell r="AJ39">
            <v>70</v>
          </cell>
          <cell r="AK39">
            <v>70</v>
          </cell>
          <cell r="AL39">
            <v>70</v>
          </cell>
        </row>
        <row r="40">
          <cell r="E40" t="str">
            <v>Actual (t)</v>
          </cell>
          <cell r="F40">
            <v>480</v>
          </cell>
          <cell r="G40">
            <v>-0.75510204081632648</v>
          </cell>
          <cell r="H40">
            <v>81</v>
          </cell>
          <cell r="I40">
            <v>82</v>
          </cell>
          <cell r="J40">
            <v>77</v>
          </cell>
          <cell r="K40"/>
          <cell r="L40"/>
          <cell r="M40"/>
          <cell r="N40"/>
          <cell r="O40"/>
          <cell r="P40"/>
          <cell r="Q40"/>
          <cell r="R40"/>
          <cell r="S40"/>
          <cell r="T40"/>
          <cell r="U40"/>
          <cell r="V40"/>
          <cell r="W40"/>
          <cell r="X40"/>
          <cell r="Y40"/>
          <cell r="Z40"/>
          <cell r="AA40"/>
          <cell r="AB40"/>
          <cell r="AC40"/>
          <cell r="AD40"/>
          <cell r="AE40">
            <v>39</v>
          </cell>
          <cell r="AF40"/>
          <cell r="AG40"/>
          <cell r="AH40"/>
          <cell r="AI40">
            <v>67</v>
          </cell>
          <cell r="AJ40">
            <v>66</v>
          </cell>
          <cell r="AK40">
            <v>68</v>
          </cell>
          <cell r="AL40">
            <v>78</v>
          </cell>
        </row>
        <row r="41">
          <cell r="E41" t="str">
            <v>Reason if Actual is RED</v>
          </cell>
          <cell r="F41"/>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row>
        <row r="42">
          <cell r="D42" t="str">
            <v>Grade</v>
          </cell>
          <cell r="E42" t="str">
            <v>Budget (g/t)</v>
          </cell>
          <cell r="F42">
            <v>2.1696428571428581</v>
          </cell>
          <cell r="G42"/>
          <cell r="H42">
            <v>0</v>
          </cell>
          <cell r="I42">
            <v>2.25</v>
          </cell>
          <cell r="J42">
            <v>2.25</v>
          </cell>
          <cell r="K42">
            <v>2.25</v>
          </cell>
          <cell r="L42">
            <v>2.25</v>
          </cell>
          <cell r="M42">
            <v>2.25</v>
          </cell>
          <cell r="N42">
            <v>2.25</v>
          </cell>
          <cell r="O42">
            <v>2.25</v>
          </cell>
          <cell r="P42">
            <v>2.25</v>
          </cell>
          <cell r="Q42">
            <v>2.25</v>
          </cell>
          <cell r="R42">
            <v>2.25</v>
          </cell>
          <cell r="S42">
            <v>2.25</v>
          </cell>
          <cell r="T42">
            <v>2.25</v>
          </cell>
          <cell r="U42">
            <v>2.25</v>
          </cell>
          <cell r="V42">
            <v>2.25</v>
          </cell>
          <cell r="W42">
            <v>2.25</v>
          </cell>
          <cell r="X42">
            <v>2.25</v>
          </cell>
          <cell r="Y42">
            <v>2.25</v>
          </cell>
          <cell r="Z42">
            <v>2.25</v>
          </cell>
          <cell r="AA42">
            <v>2.25</v>
          </cell>
          <cell r="AB42">
            <v>2.25</v>
          </cell>
          <cell r="AC42">
            <v>2.25</v>
          </cell>
          <cell r="AD42">
            <v>2.25</v>
          </cell>
          <cell r="AE42">
            <v>2.25</v>
          </cell>
          <cell r="AF42">
            <v>0</v>
          </cell>
          <cell r="AG42">
            <v>2.25</v>
          </cell>
          <cell r="AH42">
            <v>2.25</v>
          </cell>
          <cell r="AI42">
            <v>2.25</v>
          </cell>
          <cell r="AJ42">
            <v>2.25</v>
          </cell>
          <cell r="AK42">
            <v>2.25</v>
          </cell>
          <cell r="AL42">
            <v>2.25</v>
          </cell>
        </row>
        <row r="43">
          <cell r="E43" t="str">
            <v>Actual (g/t)</v>
          </cell>
          <cell r="F43">
            <v>3.5084374999999999</v>
          </cell>
          <cell r="G43">
            <v>0.61705761316872354</v>
          </cell>
          <cell r="H43">
            <v>2.1</v>
          </cell>
          <cell r="I43">
            <v>4.8899999999999997</v>
          </cell>
          <cell r="J43">
            <v>3.95</v>
          </cell>
          <cell r="K43"/>
          <cell r="L43"/>
          <cell r="M43"/>
          <cell r="N43"/>
          <cell r="O43"/>
          <cell r="P43"/>
          <cell r="Q43"/>
          <cell r="R43"/>
          <cell r="S43"/>
          <cell r="T43"/>
          <cell r="U43"/>
          <cell r="V43">
            <v>3.72</v>
          </cell>
          <cell r="W43"/>
          <cell r="X43"/>
          <cell r="Y43"/>
          <cell r="Z43"/>
          <cell r="AA43"/>
          <cell r="AB43"/>
          <cell r="AC43"/>
          <cell r="AD43"/>
          <cell r="AE43">
            <v>2.37</v>
          </cell>
          <cell r="AF43"/>
          <cell r="AG43"/>
          <cell r="AH43"/>
          <cell r="AI43">
            <v>4.13</v>
          </cell>
          <cell r="AJ43">
            <v>2.86</v>
          </cell>
          <cell r="AK43">
            <v>3.69</v>
          </cell>
          <cell r="AL43">
            <v>2.1</v>
          </cell>
        </row>
        <row r="44">
          <cell r="D44" t="str">
            <v>Gold</v>
          </cell>
          <cell r="E44" t="str">
            <v>Budget (kg)</v>
          </cell>
          <cell r="F44">
            <v>4.2525000000000022</v>
          </cell>
          <cell r="G44"/>
          <cell r="H44">
            <v>0</v>
          </cell>
          <cell r="I44">
            <v>0.1575</v>
          </cell>
          <cell r="J44">
            <v>0.1575</v>
          </cell>
          <cell r="K44">
            <v>0.1575</v>
          </cell>
          <cell r="L44">
            <v>0.1575</v>
          </cell>
          <cell r="M44">
            <v>0.1575</v>
          </cell>
          <cell r="N44">
            <v>0.1575</v>
          </cell>
          <cell r="O44">
            <v>0.1575</v>
          </cell>
          <cell r="P44">
            <v>0.1575</v>
          </cell>
          <cell r="Q44">
            <v>0.1575</v>
          </cell>
          <cell r="R44">
            <v>0.1575</v>
          </cell>
          <cell r="S44">
            <v>0.1575</v>
          </cell>
          <cell r="T44">
            <v>0.1575</v>
          </cell>
          <cell r="U44">
            <v>0.1575</v>
          </cell>
          <cell r="V44">
            <v>0.1575</v>
          </cell>
          <cell r="W44">
            <v>0.1575</v>
          </cell>
          <cell r="X44">
            <v>0.1575</v>
          </cell>
          <cell r="Y44">
            <v>0.1575</v>
          </cell>
          <cell r="Z44">
            <v>0.1575</v>
          </cell>
          <cell r="AA44">
            <v>0.1575</v>
          </cell>
          <cell r="AB44">
            <v>0.1575</v>
          </cell>
          <cell r="AC44">
            <v>0.1575</v>
          </cell>
          <cell r="AD44">
            <v>0.1575</v>
          </cell>
          <cell r="AE44">
            <v>0.1575</v>
          </cell>
          <cell r="AF44">
            <v>0</v>
          </cell>
          <cell r="AG44">
            <v>0.1575</v>
          </cell>
          <cell r="AH44">
            <v>0.1575</v>
          </cell>
          <cell r="AI44"/>
          <cell r="AJ44">
            <v>0.1575</v>
          </cell>
          <cell r="AK44">
            <v>0.1575</v>
          </cell>
          <cell r="AL44">
            <v>0.1575</v>
          </cell>
        </row>
        <row r="45">
          <cell r="E45" t="str">
            <v>Actual (kg)</v>
          </cell>
          <cell r="F45">
            <v>1.68405</v>
          </cell>
          <cell r="G45">
            <v>-0.60398589065255748</v>
          </cell>
          <cell r="H45">
            <v>0.1701</v>
          </cell>
          <cell r="I45">
            <v>0.40097999999999995</v>
          </cell>
          <cell r="J45">
            <v>0.30415000000000003</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9.2430000000000012E-2</v>
          </cell>
          <cell r="AF45">
            <v>0</v>
          </cell>
          <cell r="AG45">
            <v>0</v>
          </cell>
          <cell r="AH45">
            <v>0</v>
          </cell>
          <cell r="AI45">
            <v>0.27670999999999996</v>
          </cell>
          <cell r="AJ45">
            <v>0.18875999999999998</v>
          </cell>
          <cell r="AK45">
            <v>0.25091999999999998</v>
          </cell>
          <cell r="AL45">
            <v>0.1638</v>
          </cell>
        </row>
        <row r="46">
          <cell r="C46" t="str">
            <v>4L_W23B STOPE</v>
          </cell>
          <cell r="D46" t="str">
            <v>Tonnes</v>
          </cell>
          <cell r="E46" t="str">
            <v>Budget (t)</v>
          </cell>
          <cell r="F46">
            <v>3920</v>
          </cell>
          <cell r="G46"/>
          <cell r="H46">
            <v>0</v>
          </cell>
          <cell r="I46">
            <v>140</v>
          </cell>
          <cell r="J46">
            <v>140</v>
          </cell>
          <cell r="K46">
            <v>140</v>
          </cell>
          <cell r="L46">
            <v>140</v>
          </cell>
          <cell r="M46">
            <v>140</v>
          </cell>
          <cell r="N46">
            <v>140</v>
          </cell>
          <cell r="O46">
            <v>140</v>
          </cell>
          <cell r="P46">
            <v>140</v>
          </cell>
          <cell r="Q46">
            <v>140</v>
          </cell>
          <cell r="R46">
            <v>140</v>
          </cell>
          <cell r="S46">
            <v>140</v>
          </cell>
          <cell r="T46">
            <v>140</v>
          </cell>
          <cell r="U46">
            <v>140</v>
          </cell>
          <cell r="V46">
            <v>140</v>
          </cell>
          <cell r="W46">
            <v>140</v>
          </cell>
          <cell r="X46">
            <v>140</v>
          </cell>
          <cell r="Y46">
            <v>140</v>
          </cell>
          <cell r="Z46">
            <v>140</v>
          </cell>
          <cell r="AA46">
            <v>140</v>
          </cell>
          <cell r="AB46">
            <v>140</v>
          </cell>
          <cell r="AC46">
            <v>140</v>
          </cell>
          <cell r="AD46">
            <v>140</v>
          </cell>
          <cell r="AE46">
            <v>140</v>
          </cell>
          <cell r="AF46">
            <v>0</v>
          </cell>
          <cell r="AG46">
            <v>140</v>
          </cell>
          <cell r="AH46">
            <v>140</v>
          </cell>
          <cell r="AI46">
            <v>140</v>
          </cell>
          <cell r="AJ46">
            <v>140</v>
          </cell>
          <cell r="AK46">
            <v>140</v>
          </cell>
          <cell r="AL46">
            <v>140</v>
          </cell>
        </row>
        <row r="47">
          <cell r="E47" t="str">
            <v>Actual (t)</v>
          </cell>
          <cell r="F47">
            <v>3328</v>
          </cell>
          <cell r="G47">
            <v>-0.15102040816326531</v>
          </cell>
          <cell r="H47">
            <v>86</v>
          </cell>
          <cell r="I47">
            <v>81</v>
          </cell>
          <cell r="J47">
            <v>139</v>
          </cell>
          <cell r="K47">
            <v>152</v>
          </cell>
          <cell r="L47">
            <v>115</v>
          </cell>
          <cell r="M47">
            <v>156</v>
          </cell>
          <cell r="N47">
            <v>140</v>
          </cell>
          <cell r="O47">
            <v>116</v>
          </cell>
          <cell r="P47"/>
          <cell r="Q47">
            <v>60</v>
          </cell>
          <cell r="R47">
            <v>136</v>
          </cell>
          <cell r="S47">
            <v>140</v>
          </cell>
          <cell r="T47">
            <v>110</v>
          </cell>
          <cell r="U47">
            <v>134</v>
          </cell>
          <cell r="V47">
            <v>120</v>
          </cell>
          <cell r="W47">
            <v>141</v>
          </cell>
          <cell r="X47">
            <v>142</v>
          </cell>
          <cell r="Y47">
            <v>149</v>
          </cell>
          <cell r="Z47">
            <v>145</v>
          </cell>
          <cell r="AA47">
            <v>127</v>
          </cell>
          <cell r="AB47">
            <v>34</v>
          </cell>
          <cell r="AC47">
            <v>138</v>
          </cell>
          <cell r="AD47">
            <v>144</v>
          </cell>
          <cell r="AE47">
            <v>151</v>
          </cell>
          <cell r="AF47"/>
          <cell r="AG47">
            <v>71</v>
          </cell>
          <cell r="AH47">
            <v>127</v>
          </cell>
          <cell r="AI47">
            <v>101</v>
          </cell>
          <cell r="AJ47">
            <v>133</v>
          </cell>
          <cell r="AK47">
            <v>40</v>
          </cell>
          <cell r="AL47">
            <v>38</v>
          </cell>
        </row>
        <row r="48">
          <cell r="E48" t="str">
            <v>Reason if Actual is RED</v>
          </cell>
          <cell r="F48"/>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row>
        <row r="49">
          <cell r="D49" t="str">
            <v>Grade</v>
          </cell>
          <cell r="E49" t="str">
            <v>Budget (g/t)</v>
          </cell>
          <cell r="F49">
            <v>3.8499999999999988</v>
          </cell>
          <cell r="G49"/>
          <cell r="H49">
            <v>3.85</v>
          </cell>
          <cell r="I49">
            <v>3.85</v>
          </cell>
          <cell r="J49">
            <v>3.85</v>
          </cell>
          <cell r="K49">
            <v>3.85</v>
          </cell>
          <cell r="L49">
            <v>3.85</v>
          </cell>
          <cell r="M49">
            <v>3.85</v>
          </cell>
          <cell r="N49">
            <v>3.85</v>
          </cell>
          <cell r="O49">
            <v>3.85</v>
          </cell>
          <cell r="P49">
            <v>3.85</v>
          </cell>
          <cell r="Q49">
            <v>3.85</v>
          </cell>
          <cell r="R49">
            <v>3.85</v>
          </cell>
          <cell r="S49">
            <v>3.85</v>
          </cell>
          <cell r="T49">
            <v>3.85</v>
          </cell>
          <cell r="U49">
            <v>3.85</v>
          </cell>
          <cell r="V49">
            <v>3.85</v>
          </cell>
          <cell r="W49">
            <v>3.85</v>
          </cell>
          <cell r="X49">
            <v>3.85</v>
          </cell>
          <cell r="Y49">
            <v>3.85</v>
          </cell>
          <cell r="Z49">
            <v>3.85</v>
          </cell>
          <cell r="AA49">
            <v>3.85</v>
          </cell>
          <cell r="AB49">
            <v>3.85</v>
          </cell>
          <cell r="AC49">
            <v>3.85</v>
          </cell>
          <cell r="AD49">
            <v>3.85</v>
          </cell>
          <cell r="AE49">
            <v>3.85</v>
          </cell>
          <cell r="AF49">
            <v>0</v>
          </cell>
          <cell r="AG49">
            <v>3.85</v>
          </cell>
          <cell r="AH49">
            <v>3.85</v>
          </cell>
          <cell r="AI49">
            <v>3.85</v>
          </cell>
          <cell r="AJ49">
            <v>3.85</v>
          </cell>
          <cell r="AK49">
            <v>3.85</v>
          </cell>
          <cell r="AL49">
            <v>3.85</v>
          </cell>
        </row>
        <row r="50">
          <cell r="E50" t="str">
            <v>Actual (g/t)</v>
          </cell>
          <cell r="F50">
            <v>2.9641123798076938</v>
          </cell>
          <cell r="G50">
            <v>-0.23010068056942992</v>
          </cell>
          <cell r="H50">
            <v>2.1110000000000002</v>
          </cell>
          <cell r="I50">
            <v>1.2</v>
          </cell>
          <cell r="J50">
            <v>2.42</v>
          </cell>
          <cell r="K50">
            <v>2.42</v>
          </cell>
          <cell r="L50">
            <v>1.96</v>
          </cell>
          <cell r="M50">
            <v>6.96</v>
          </cell>
          <cell r="N50">
            <v>3.15</v>
          </cell>
          <cell r="O50">
            <v>3.42</v>
          </cell>
          <cell r="P50"/>
          <cell r="Q50">
            <v>1.19</v>
          </cell>
          <cell r="R50">
            <v>1.19</v>
          </cell>
          <cell r="S50">
            <v>2.11</v>
          </cell>
          <cell r="T50">
            <v>3.82</v>
          </cell>
          <cell r="U50">
            <v>6.4</v>
          </cell>
          <cell r="V50">
            <v>2.5</v>
          </cell>
          <cell r="W50">
            <v>1.45</v>
          </cell>
          <cell r="X50">
            <v>3.04</v>
          </cell>
          <cell r="Y50">
            <v>3.04</v>
          </cell>
          <cell r="Z50">
            <v>2.33</v>
          </cell>
          <cell r="AA50">
            <v>5.73</v>
          </cell>
          <cell r="AB50">
            <v>4.3600000000000003</v>
          </cell>
          <cell r="AC50">
            <v>3.14</v>
          </cell>
          <cell r="AD50">
            <v>1.9</v>
          </cell>
          <cell r="AE50">
            <v>2.79</v>
          </cell>
          <cell r="AF50"/>
          <cell r="AG50">
            <v>2.79</v>
          </cell>
          <cell r="AH50">
            <v>2.52</v>
          </cell>
          <cell r="AI50">
            <v>2.42</v>
          </cell>
          <cell r="AJ50">
            <v>2.5099999999999998</v>
          </cell>
          <cell r="AK50">
            <v>2.4700000000000002</v>
          </cell>
          <cell r="AL50">
            <v>5</v>
          </cell>
        </row>
        <row r="51">
          <cell r="D51" t="str">
            <v>Gold</v>
          </cell>
          <cell r="E51" t="str">
            <v>Budget (kg)</v>
          </cell>
          <cell r="F51">
            <v>15.091999999999995</v>
          </cell>
          <cell r="G51"/>
          <cell r="H51">
            <v>0</v>
          </cell>
          <cell r="I51">
            <v>0.53900000000000003</v>
          </cell>
          <cell r="J51">
            <v>0.53900000000000003</v>
          </cell>
          <cell r="K51">
            <v>0.53900000000000003</v>
          </cell>
          <cell r="L51">
            <v>0.53900000000000003</v>
          </cell>
          <cell r="M51">
            <v>0.53900000000000003</v>
          </cell>
          <cell r="N51">
            <v>0.53900000000000003</v>
          </cell>
          <cell r="O51">
            <v>0.53900000000000003</v>
          </cell>
          <cell r="P51">
            <v>0.53900000000000003</v>
          </cell>
          <cell r="Q51">
            <v>0.53900000000000003</v>
          </cell>
          <cell r="R51">
            <v>0.53900000000000003</v>
          </cell>
          <cell r="S51">
            <v>0.53900000000000003</v>
          </cell>
          <cell r="T51">
            <v>0.53900000000000003</v>
          </cell>
          <cell r="U51">
            <v>0.53900000000000003</v>
          </cell>
          <cell r="V51">
            <v>0.53900000000000003</v>
          </cell>
          <cell r="W51">
            <v>0.53900000000000003</v>
          </cell>
          <cell r="X51">
            <v>0.53900000000000003</v>
          </cell>
          <cell r="Y51">
            <v>0.53900000000000003</v>
          </cell>
          <cell r="Z51">
            <v>0.53900000000000003</v>
          </cell>
          <cell r="AA51">
            <v>0.53900000000000003</v>
          </cell>
          <cell r="AB51">
            <v>0.53900000000000003</v>
          </cell>
          <cell r="AC51">
            <v>0.53900000000000003</v>
          </cell>
          <cell r="AD51">
            <v>0.53900000000000003</v>
          </cell>
          <cell r="AE51">
            <v>0.53900000000000003</v>
          </cell>
          <cell r="AF51">
            <v>0</v>
          </cell>
          <cell r="AG51">
            <v>0.53900000000000003</v>
          </cell>
          <cell r="AH51">
            <v>0.53900000000000003</v>
          </cell>
          <cell r="AI51">
            <v>0.53900000000000003</v>
          </cell>
          <cell r="AJ51">
            <v>0.53900000000000003</v>
          </cell>
          <cell r="AK51">
            <v>0.53900000000000003</v>
          </cell>
          <cell r="AL51">
            <v>0.53900000000000003</v>
          </cell>
        </row>
        <row r="52">
          <cell r="E52" t="str">
            <v>Actual (kg)</v>
          </cell>
          <cell r="F52">
            <v>9.8645660000000035</v>
          </cell>
          <cell r="G52">
            <v>-0.34637119003445488</v>
          </cell>
          <cell r="H52">
            <v>0.18154600000000001</v>
          </cell>
          <cell r="I52">
            <v>9.7200000000000009E-2</v>
          </cell>
          <cell r="J52">
            <v>0.33638000000000001</v>
          </cell>
          <cell r="K52">
            <v>0.36784</v>
          </cell>
          <cell r="L52">
            <v>0.22540000000000002</v>
          </cell>
          <cell r="M52">
            <v>1.0857600000000001</v>
          </cell>
          <cell r="N52">
            <v>0.441</v>
          </cell>
          <cell r="O52">
            <v>0.39671999999999996</v>
          </cell>
          <cell r="P52">
            <v>0</v>
          </cell>
          <cell r="Q52">
            <v>7.1399999999999991E-2</v>
          </cell>
          <cell r="R52">
            <v>0.16184000000000001</v>
          </cell>
          <cell r="S52">
            <v>0.2954</v>
          </cell>
          <cell r="T52">
            <v>0.42019999999999996</v>
          </cell>
          <cell r="U52">
            <v>0.85760000000000003</v>
          </cell>
          <cell r="V52">
            <v>0.3</v>
          </cell>
          <cell r="W52">
            <v>0.20444999999999999</v>
          </cell>
          <cell r="X52">
            <v>0.43168000000000001</v>
          </cell>
          <cell r="Y52">
            <v>0.45295999999999997</v>
          </cell>
          <cell r="Z52">
            <v>0.33785000000000004</v>
          </cell>
          <cell r="AA52">
            <v>0.72771000000000008</v>
          </cell>
          <cell r="AB52">
            <v>0.14824000000000001</v>
          </cell>
          <cell r="AC52">
            <v>0.43331999999999998</v>
          </cell>
          <cell r="AD52">
            <v>0.27359999999999995</v>
          </cell>
          <cell r="AE52">
            <v>0.42129</v>
          </cell>
          <cell r="AF52">
            <v>0</v>
          </cell>
          <cell r="AG52">
            <v>0.19809000000000002</v>
          </cell>
          <cell r="AH52">
            <v>0.32004000000000005</v>
          </cell>
          <cell r="AI52">
            <v>0.24442</v>
          </cell>
          <cell r="AJ52">
            <v>0.33382999999999996</v>
          </cell>
          <cell r="AK52">
            <v>9.8800000000000013E-2</v>
          </cell>
          <cell r="AL52">
            <v>0.19</v>
          </cell>
        </row>
        <row r="53">
          <cell r="C53" t="str">
            <v xml:space="preserve">4L_W26 STOPE </v>
          </cell>
          <cell r="D53" t="str">
            <v>Tonnes</v>
          </cell>
          <cell r="E53" t="str">
            <v>Budget (t)</v>
          </cell>
          <cell r="F53">
            <v>2940</v>
          </cell>
          <cell r="G53"/>
          <cell r="H53">
            <v>0</v>
          </cell>
          <cell r="I53">
            <v>105</v>
          </cell>
          <cell r="J53">
            <v>105</v>
          </cell>
          <cell r="K53">
            <v>105</v>
          </cell>
          <cell r="L53">
            <v>105</v>
          </cell>
          <cell r="M53">
            <v>105</v>
          </cell>
          <cell r="N53">
            <v>105</v>
          </cell>
          <cell r="O53">
            <v>105</v>
          </cell>
          <cell r="P53">
            <v>105</v>
          </cell>
          <cell r="Q53">
            <v>105</v>
          </cell>
          <cell r="R53">
            <v>105</v>
          </cell>
          <cell r="S53">
            <v>105</v>
          </cell>
          <cell r="T53">
            <v>105</v>
          </cell>
          <cell r="U53">
            <v>105</v>
          </cell>
          <cell r="V53">
            <v>105</v>
          </cell>
          <cell r="W53">
            <v>105</v>
          </cell>
          <cell r="X53">
            <v>105</v>
          </cell>
          <cell r="Y53">
            <v>105</v>
          </cell>
          <cell r="Z53">
            <v>105</v>
          </cell>
          <cell r="AA53">
            <v>105</v>
          </cell>
          <cell r="AB53">
            <v>105</v>
          </cell>
          <cell r="AC53">
            <v>105</v>
          </cell>
          <cell r="AD53">
            <v>105</v>
          </cell>
          <cell r="AE53">
            <v>105</v>
          </cell>
          <cell r="AF53">
            <v>0</v>
          </cell>
          <cell r="AG53">
            <v>105</v>
          </cell>
          <cell r="AH53">
            <v>105</v>
          </cell>
          <cell r="AI53">
            <v>105</v>
          </cell>
          <cell r="AJ53">
            <v>105</v>
          </cell>
          <cell r="AK53">
            <v>105</v>
          </cell>
          <cell r="AL53">
            <v>105</v>
          </cell>
        </row>
        <row r="54">
          <cell r="E54" t="str">
            <v>Actual (t)</v>
          </cell>
          <cell r="F54">
            <v>1242</v>
          </cell>
          <cell r="G54">
            <v>-0.57755102040816331</v>
          </cell>
          <cell r="H54">
            <v>73</v>
          </cell>
          <cell r="I54">
            <v>88</v>
          </cell>
          <cell r="J54">
            <v>88</v>
          </cell>
          <cell r="K54">
            <v>78</v>
          </cell>
          <cell r="L54">
            <v>76</v>
          </cell>
          <cell r="M54"/>
          <cell r="N54">
            <v>91</v>
          </cell>
          <cell r="O54">
            <v>58</v>
          </cell>
          <cell r="P54">
            <v>81</v>
          </cell>
          <cell r="Q54">
            <v>67</v>
          </cell>
          <cell r="R54">
            <v>62</v>
          </cell>
          <cell r="S54">
            <v>33</v>
          </cell>
          <cell r="T54">
            <v>38</v>
          </cell>
          <cell r="U54">
            <v>26</v>
          </cell>
          <cell r="V54">
            <v>44</v>
          </cell>
          <cell r="W54">
            <v>33</v>
          </cell>
          <cell r="X54">
            <v>0</v>
          </cell>
          <cell r="Y54">
            <v>0</v>
          </cell>
          <cell r="Z54">
            <v>72</v>
          </cell>
          <cell r="AA54">
            <v>65</v>
          </cell>
          <cell r="AB54">
            <v>33</v>
          </cell>
          <cell r="AC54">
            <v>62</v>
          </cell>
          <cell r="AD54">
            <v>0</v>
          </cell>
          <cell r="AE54">
            <v>0</v>
          </cell>
          <cell r="AF54"/>
          <cell r="AG54">
            <v>0</v>
          </cell>
          <cell r="AH54">
            <v>0</v>
          </cell>
          <cell r="AI54"/>
          <cell r="AJ54">
            <v>38</v>
          </cell>
          <cell r="AK54">
            <v>36</v>
          </cell>
          <cell r="AL54">
            <v>35</v>
          </cell>
        </row>
        <row r="55">
          <cell r="E55" t="str">
            <v>Reason if Actual is RED</v>
          </cell>
          <cell r="F55"/>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row>
        <row r="56">
          <cell r="D56" t="str">
            <v>Grade</v>
          </cell>
          <cell r="E56" t="str">
            <v>Budget (g/t)</v>
          </cell>
          <cell r="F56">
            <v>2.0782993197278903</v>
          </cell>
          <cell r="G56"/>
          <cell r="H56">
            <v>0</v>
          </cell>
          <cell r="I56">
            <v>2.12</v>
          </cell>
          <cell r="J56">
            <v>2.12</v>
          </cell>
          <cell r="K56">
            <v>2.12</v>
          </cell>
          <cell r="L56">
            <v>2.12</v>
          </cell>
          <cell r="M56">
            <v>2.12</v>
          </cell>
          <cell r="N56">
            <v>2.12</v>
          </cell>
          <cell r="O56">
            <v>2.12</v>
          </cell>
          <cell r="P56">
            <v>2.12</v>
          </cell>
          <cell r="Q56">
            <v>2.12</v>
          </cell>
          <cell r="R56">
            <v>2.12</v>
          </cell>
          <cell r="S56">
            <v>2.12</v>
          </cell>
          <cell r="T56">
            <v>2.12</v>
          </cell>
          <cell r="U56">
            <v>2.12</v>
          </cell>
          <cell r="V56">
            <v>2.12</v>
          </cell>
          <cell r="W56">
            <v>2.12</v>
          </cell>
          <cell r="X56">
            <v>2.12</v>
          </cell>
          <cell r="Y56">
            <v>2.12</v>
          </cell>
          <cell r="Z56">
            <v>2.12</v>
          </cell>
          <cell r="AA56">
            <v>2.12</v>
          </cell>
          <cell r="AB56">
            <v>2.12</v>
          </cell>
          <cell r="AC56">
            <v>2.12</v>
          </cell>
          <cell r="AD56">
            <v>2.12</v>
          </cell>
          <cell r="AE56">
            <v>2.12</v>
          </cell>
          <cell r="AF56">
            <v>0</v>
          </cell>
          <cell r="AG56">
            <v>2.12</v>
          </cell>
          <cell r="AH56">
            <v>2.12</v>
          </cell>
          <cell r="AI56">
            <v>2.12</v>
          </cell>
          <cell r="AJ56">
            <v>2.12</v>
          </cell>
          <cell r="AK56">
            <v>2.12</v>
          </cell>
          <cell r="AL56">
            <v>2.12</v>
          </cell>
        </row>
        <row r="57">
          <cell r="E57" t="str">
            <v>Actual (g/t)</v>
          </cell>
          <cell r="F57">
            <v>3.4237681159420288</v>
          </cell>
          <cell r="G57">
            <v>0.64738932618728828</v>
          </cell>
          <cell r="H57">
            <v>3.66</v>
          </cell>
          <cell r="I57">
            <v>4.8899999999999997</v>
          </cell>
          <cell r="J57">
            <v>3.23</v>
          </cell>
          <cell r="K57">
            <v>3.23</v>
          </cell>
          <cell r="L57">
            <v>4.29</v>
          </cell>
          <cell r="M57"/>
          <cell r="N57">
            <v>1.77</v>
          </cell>
          <cell r="O57">
            <v>3.52</v>
          </cell>
          <cell r="P57">
            <v>4.2699999999999996</v>
          </cell>
          <cell r="Q57">
            <v>2.66</v>
          </cell>
          <cell r="R57">
            <v>2.66</v>
          </cell>
          <cell r="S57">
            <v>2.95</v>
          </cell>
          <cell r="T57">
            <v>2.31</v>
          </cell>
          <cell r="U57">
            <v>4.1900000000000004</v>
          </cell>
          <cell r="V57">
            <v>6.71</v>
          </cell>
          <cell r="W57">
            <v>7</v>
          </cell>
          <cell r="X57">
            <v>4.4000000000000004</v>
          </cell>
          <cell r="Y57">
            <v>4.4000000000000004</v>
          </cell>
          <cell r="Z57">
            <v>2.41</v>
          </cell>
          <cell r="AA57">
            <v>2.41</v>
          </cell>
          <cell r="AB57">
            <v>4.58</v>
          </cell>
          <cell r="AC57">
            <v>3.02</v>
          </cell>
          <cell r="AD57"/>
          <cell r="AE57">
            <v>2.44</v>
          </cell>
          <cell r="AF57"/>
          <cell r="AG57"/>
          <cell r="AH57"/>
          <cell r="AI57"/>
          <cell r="AJ57">
            <v>2.21</v>
          </cell>
          <cell r="AK57">
            <v>1.82</v>
          </cell>
          <cell r="AL57">
            <v>2.11</v>
          </cell>
        </row>
        <row r="58">
          <cell r="D58" t="str">
            <v>Gold</v>
          </cell>
          <cell r="E58" t="str">
            <v>Budget (kg)</v>
          </cell>
          <cell r="F58">
            <v>6.1101999999999981</v>
          </cell>
          <cell r="G58"/>
          <cell r="H58">
            <v>0</v>
          </cell>
          <cell r="I58">
            <v>0.22260000000000002</v>
          </cell>
          <cell r="J58">
            <v>0.22260000000000002</v>
          </cell>
          <cell r="K58">
            <v>0.22260000000000002</v>
          </cell>
          <cell r="L58">
            <v>0.22260000000000002</v>
          </cell>
          <cell r="M58">
            <v>0.22260000000000002</v>
          </cell>
          <cell r="N58">
            <v>0.22260000000000002</v>
          </cell>
          <cell r="O58">
            <v>0.22260000000000002</v>
          </cell>
          <cell r="P58">
            <v>0.22260000000000002</v>
          </cell>
          <cell r="Q58">
            <v>0.22260000000000002</v>
          </cell>
          <cell r="R58">
            <v>0.22260000000000002</v>
          </cell>
          <cell r="S58">
            <v>0.22260000000000002</v>
          </cell>
          <cell r="T58">
            <v>0.22260000000000002</v>
          </cell>
          <cell r="U58">
            <v>0.22260000000000002</v>
          </cell>
          <cell r="V58">
            <v>0.22260000000000002</v>
          </cell>
          <cell r="W58">
            <v>0.22260000000000002</v>
          </cell>
          <cell r="X58">
            <v>0.22260000000000002</v>
          </cell>
          <cell r="Y58">
            <v>0.22260000000000002</v>
          </cell>
          <cell r="Z58">
            <v>0.22260000000000002</v>
          </cell>
          <cell r="AA58">
            <v>0.1</v>
          </cell>
          <cell r="AB58">
            <v>0.22260000000000002</v>
          </cell>
          <cell r="AC58">
            <v>0.22260000000000002</v>
          </cell>
          <cell r="AD58">
            <v>0.22260000000000002</v>
          </cell>
          <cell r="AE58">
            <v>0.22260000000000002</v>
          </cell>
          <cell r="AF58">
            <v>0</v>
          </cell>
          <cell r="AG58">
            <v>0.22260000000000002</v>
          </cell>
          <cell r="AH58">
            <v>0.22260000000000002</v>
          </cell>
          <cell r="AI58">
            <v>0.22260000000000002</v>
          </cell>
          <cell r="AJ58">
            <v>0.22260000000000002</v>
          </cell>
          <cell r="AK58">
            <v>0.22260000000000002</v>
          </cell>
          <cell r="AL58">
            <v>0.22260000000000002</v>
          </cell>
        </row>
        <row r="59">
          <cell r="E59" t="str">
            <v>Actual (kg)</v>
          </cell>
          <cell r="F59">
            <v>4.2523200000000001</v>
          </cell>
          <cell r="G59">
            <v>-0.30406206016169662</v>
          </cell>
          <cell r="H59">
            <v>0.26718000000000003</v>
          </cell>
          <cell r="I59">
            <v>0.43031999999999998</v>
          </cell>
          <cell r="J59">
            <v>0.28423999999999999</v>
          </cell>
          <cell r="K59">
            <v>0.25194</v>
          </cell>
          <cell r="L59">
            <v>0.32604</v>
          </cell>
          <cell r="M59">
            <v>0</v>
          </cell>
          <cell r="N59">
            <v>0.16106999999999999</v>
          </cell>
          <cell r="O59">
            <v>0.20416000000000001</v>
          </cell>
          <cell r="P59">
            <v>0.34586999999999996</v>
          </cell>
          <cell r="Q59">
            <v>0.17821999999999999</v>
          </cell>
          <cell r="R59">
            <v>0.16492000000000001</v>
          </cell>
          <cell r="S59">
            <v>9.7350000000000006E-2</v>
          </cell>
          <cell r="T59">
            <v>8.7779999999999997E-2</v>
          </cell>
          <cell r="U59">
            <v>0.10894000000000001</v>
          </cell>
          <cell r="V59">
            <v>0.29524</v>
          </cell>
          <cell r="W59">
            <v>0.23100000000000001</v>
          </cell>
          <cell r="X59">
            <v>0</v>
          </cell>
          <cell r="Y59">
            <v>0</v>
          </cell>
          <cell r="Z59">
            <v>0.17352000000000001</v>
          </cell>
          <cell r="AA59">
            <v>0.15665000000000001</v>
          </cell>
          <cell r="AB59">
            <v>0.15114000000000002</v>
          </cell>
          <cell r="AC59">
            <v>0.18724000000000002</v>
          </cell>
          <cell r="AD59">
            <v>0</v>
          </cell>
          <cell r="AE59">
            <v>0</v>
          </cell>
          <cell r="AF59">
            <v>0</v>
          </cell>
          <cell r="AG59">
            <v>0</v>
          </cell>
          <cell r="AH59">
            <v>0</v>
          </cell>
          <cell r="AI59">
            <v>0</v>
          </cell>
          <cell r="AJ59">
            <v>8.3979999999999999E-2</v>
          </cell>
          <cell r="AK59">
            <v>6.5519999999999995E-2</v>
          </cell>
          <cell r="AL59">
            <v>7.3849999999999999E-2</v>
          </cell>
        </row>
        <row r="60">
          <cell r="C60"/>
          <cell r="D60" t="str">
            <v>Tonnes</v>
          </cell>
          <cell r="E60" t="str">
            <v>Budget (t)</v>
          </cell>
          <cell r="F60">
            <v>0</v>
          </cell>
          <cell r="G60"/>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cell r="X60"/>
          <cell r="Y60"/>
          <cell r="Z60"/>
          <cell r="AA60"/>
          <cell r="AB60">
            <v>0</v>
          </cell>
          <cell r="AC60">
            <v>0</v>
          </cell>
          <cell r="AD60">
            <v>0</v>
          </cell>
          <cell r="AE60">
            <v>0</v>
          </cell>
          <cell r="AF60">
            <v>0</v>
          </cell>
          <cell r="AG60">
            <v>0</v>
          </cell>
          <cell r="AH60">
            <v>0</v>
          </cell>
          <cell r="AI60">
            <v>0</v>
          </cell>
          <cell r="AJ60">
            <v>0</v>
          </cell>
          <cell r="AK60">
            <v>0</v>
          </cell>
          <cell r="AL60">
            <v>0</v>
          </cell>
        </row>
        <row r="61">
          <cell r="E61" t="str">
            <v>Actual (t)</v>
          </cell>
          <cell r="F61">
            <v>0</v>
          </cell>
          <cell r="G61">
            <v>0</v>
          </cell>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row>
        <row r="62">
          <cell r="E62" t="str">
            <v>Reason if Actual is RED</v>
          </cell>
          <cell r="F62"/>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row>
        <row r="63">
          <cell r="D63" t="str">
            <v>Grade</v>
          </cell>
          <cell r="E63" t="str">
            <v>Budget (g/t)</v>
          </cell>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row>
        <row r="64">
          <cell r="E64" t="str">
            <v>Actual (g/t)</v>
          </cell>
          <cell r="F64">
            <v>0</v>
          </cell>
          <cell r="G64">
            <v>0</v>
          </cell>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row>
        <row r="65">
          <cell r="D65" t="str">
            <v>Gold</v>
          </cell>
          <cell r="E65" t="str">
            <v>Budget (kg)</v>
          </cell>
          <cell r="F65">
            <v>0</v>
          </cell>
          <cell r="G65"/>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row>
        <row r="66">
          <cell r="E66" t="str">
            <v>Actual (kg)</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row>
        <row r="67">
          <cell r="C67" t="str">
            <v>5L_W8 STOPE</v>
          </cell>
          <cell r="D67" t="str">
            <v>Tonnes</v>
          </cell>
          <cell r="E67" t="str">
            <v>Budget (t)</v>
          </cell>
          <cell r="F67">
            <v>1680</v>
          </cell>
          <cell r="G67"/>
          <cell r="H67">
            <v>0</v>
          </cell>
          <cell r="I67">
            <v>0</v>
          </cell>
          <cell r="J67">
            <v>0</v>
          </cell>
          <cell r="K67">
            <v>0</v>
          </cell>
          <cell r="L67">
            <v>0</v>
          </cell>
          <cell r="M67">
            <v>70</v>
          </cell>
          <cell r="N67">
            <v>70</v>
          </cell>
          <cell r="O67">
            <v>70</v>
          </cell>
          <cell r="P67">
            <v>70</v>
          </cell>
          <cell r="Q67">
            <v>70</v>
          </cell>
          <cell r="R67">
            <v>70</v>
          </cell>
          <cell r="S67">
            <v>70</v>
          </cell>
          <cell r="T67">
            <v>70</v>
          </cell>
          <cell r="U67">
            <v>70</v>
          </cell>
          <cell r="V67">
            <v>70</v>
          </cell>
          <cell r="W67">
            <v>70</v>
          </cell>
          <cell r="X67">
            <v>70</v>
          </cell>
          <cell r="Y67">
            <v>70</v>
          </cell>
          <cell r="Z67">
            <v>70</v>
          </cell>
          <cell r="AA67">
            <v>70</v>
          </cell>
          <cell r="AB67">
            <v>70</v>
          </cell>
          <cell r="AC67">
            <v>70</v>
          </cell>
          <cell r="AD67">
            <v>70</v>
          </cell>
          <cell r="AE67">
            <v>70</v>
          </cell>
          <cell r="AF67">
            <v>0</v>
          </cell>
          <cell r="AG67">
            <v>70</v>
          </cell>
          <cell r="AH67">
            <v>70</v>
          </cell>
          <cell r="AI67">
            <v>70</v>
          </cell>
          <cell r="AJ67">
            <v>70</v>
          </cell>
          <cell r="AK67">
            <v>70</v>
          </cell>
          <cell r="AL67">
            <v>70</v>
          </cell>
        </row>
        <row r="68">
          <cell r="E68" t="str">
            <v>Actual (t)</v>
          </cell>
          <cell r="F68">
            <v>3407</v>
          </cell>
          <cell r="G68">
            <v>1.0279761904761904</v>
          </cell>
          <cell r="H68">
            <v>83</v>
          </cell>
          <cell r="I68">
            <v>72</v>
          </cell>
          <cell r="J68">
            <v>66</v>
          </cell>
          <cell r="K68">
            <v>110</v>
          </cell>
          <cell r="L68">
            <v>144</v>
          </cell>
          <cell r="M68">
            <v>157</v>
          </cell>
          <cell r="N68">
            <v>136</v>
          </cell>
          <cell r="O68">
            <v>161</v>
          </cell>
          <cell r="P68">
            <v>174</v>
          </cell>
          <cell r="Q68">
            <v>147</v>
          </cell>
          <cell r="R68">
            <v>146</v>
          </cell>
          <cell r="S68">
            <v>133</v>
          </cell>
          <cell r="T68">
            <v>155</v>
          </cell>
          <cell r="U68">
            <v>146</v>
          </cell>
          <cell r="V68">
            <v>134</v>
          </cell>
          <cell r="W68">
            <v>152</v>
          </cell>
          <cell r="X68">
            <v>147</v>
          </cell>
          <cell r="Y68">
            <v>140</v>
          </cell>
          <cell r="Z68">
            <v>132</v>
          </cell>
          <cell r="AA68">
            <v>135</v>
          </cell>
          <cell r="AB68">
            <v>144</v>
          </cell>
          <cell r="AC68">
            <v>71</v>
          </cell>
          <cell r="AD68">
            <v>69</v>
          </cell>
          <cell r="AE68">
            <v>78</v>
          </cell>
          <cell r="AF68"/>
          <cell r="AG68">
            <v>69</v>
          </cell>
          <cell r="AH68">
            <v>75</v>
          </cell>
          <cell r="AI68">
            <v>76</v>
          </cell>
          <cell r="AJ68">
            <v>75</v>
          </cell>
          <cell r="AK68">
            <v>80</v>
          </cell>
          <cell r="AL68">
            <v>82</v>
          </cell>
        </row>
        <row r="69">
          <cell r="E69" t="str">
            <v>Reason if Actual is RED</v>
          </cell>
          <cell r="F69"/>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row>
        <row r="70">
          <cell r="D70" t="str">
            <v>Grade</v>
          </cell>
          <cell r="E70" t="str">
            <v>Budget (g/t)</v>
          </cell>
          <cell r="F70">
            <v>2.02</v>
          </cell>
          <cell r="G70"/>
          <cell r="H70">
            <v>0</v>
          </cell>
          <cell r="I70">
            <v>2.02</v>
          </cell>
          <cell r="J70">
            <v>2.02</v>
          </cell>
          <cell r="K70">
            <v>2.02</v>
          </cell>
          <cell r="L70">
            <v>2.02</v>
          </cell>
          <cell r="M70">
            <v>2.02</v>
          </cell>
          <cell r="N70">
            <v>2.02</v>
          </cell>
          <cell r="O70">
            <v>2.02</v>
          </cell>
          <cell r="P70">
            <v>2.02</v>
          </cell>
          <cell r="Q70">
            <v>2.02</v>
          </cell>
          <cell r="R70">
            <v>2.02</v>
          </cell>
          <cell r="S70">
            <v>2.02</v>
          </cell>
          <cell r="T70">
            <v>2.02</v>
          </cell>
          <cell r="U70">
            <v>2.02</v>
          </cell>
          <cell r="V70">
            <v>2.02</v>
          </cell>
          <cell r="W70">
            <v>2.02</v>
          </cell>
          <cell r="X70">
            <v>2.02</v>
          </cell>
          <cell r="Y70">
            <v>2.02</v>
          </cell>
          <cell r="Z70">
            <v>2.02</v>
          </cell>
          <cell r="AA70">
            <v>2.02</v>
          </cell>
          <cell r="AB70">
            <v>2.02</v>
          </cell>
          <cell r="AC70">
            <v>2.02</v>
          </cell>
          <cell r="AD70">
            <v>2.02</v>
          </cell>
          <cell r="AE70">
            <v>2.02</v>
          </cell>
          <cell r="AF70">
            <v>0</v>
          </cell>
          <cell r="AG70">
            <v>2.02</v>
          </cell>
          <cell r="AH70">
            <v>2.02</v>
          </cell>
          <cell r="AI70">
            <v>2.02</v>
          </cell>
          <cell r="AJ70">
            <v>2.02</v>
          </cell>
          <cell r="AK70">
            <v>2.02</v>
          </cell>
          <cell r="AL70">
            <v>2.02</v>
          </cell>
        </row>
        <row r="71">
          <cell r="E71" t="str">
            <v>Actual (g/t)</v>
          </cell>
          <cell r="F71">
            <v>2.9248576460228941</v>
          </cell>
          <cell r="G71">
            <v>0.44794932971430401</v>
          </cell>
          <cell r="H71">
            <v>1.69</v>
          </cell>
          <cell r="I71">
            <v>1.69</v>
          </cell>
          <cell r="J71">
            <v>7</v>
          </cell>
          <cell r="K71">
            <v>2.61</v>
          </cell>
          <cell r="L71">
            <v>2.31</v>
          </cell>
          <cell r="M71">
            <v>3.56</v>
          </cell>
          <cell r="N71">
            <v>2.1800000000000002</v>
          </cell>
          <cell r="O71">
            <v>2.4900000000000002</v>
          </cell>
          <cell r="P71">
            <v>1.1000000000000001</v>
          </cell>
          <cell r="Q71">
            <v>2.33</v>
          </cell>
          <cell r="R71">
            <v>2.33</v>
          </cell>
          <cell r="S71">
            <v>1.72</v>
          </cell>
          <cell r="T71">
            <v>7</v>
          </cell>
          <cell r="U71">
            <v>3.51</v>
          </cell>
          <cell r="V71">
            <v>6.43</v>
          </cell>
          <cell r="W71">
            <v>2.82</v>
          </cell>
          <cell r="X71">
            <v>2.2000000000000002</v>
          </cell>
          <cell r="Y71">
            <v>2.2000000000000002</v>
          </cell>
          <cell r="Z71">
            <v>1.91</v>
          </cell>
          <cell r="AA71">
            <v>4.3499999999999996</v>
          </cell>
          <cell r="AB71">
            <v>3.51</v>
          </cell>
          <cell r="AC71">
            <v>3.46</v>
          </cell>
          <cell r="AD71">
            <v>3.46</v>
          </cell>
          <cell r="AE71">
            <v>2.73</v>
          </cell>
          <cell r="AF71"/>
          <cell r="AG71">
            <v>2.73</v>
          </cell>
          <cell r="AH71">
            <v>0.91</v>
          </cell>
          <cell r="AI71">
            <v>1.82</v>
          </cell>
          <cell r="AJ71">
            <v>1.69</v>
          </cell>
          <cell r="AK71">
            <v>2.2400000000000002</v>
          </cell>
          <cell r="AL71">
            <v>3.32</v>
          </cell>
        </row>
        <row r="72">
          <cell r="D72" t="str">
            <v>Gold</v>
          </cell>
          <cell r="E72" t="str">
            <v>Budget (kg)</v>
          </cell>
          <cell r="F72">
            <v>3.3935999999999997</v>
          </cell>
          <cell r="G72"/>
          <cell r="H72">
            <v>0</v>
          </cell>
          <cell r="I72">
            <v>0</v>
          </cell>
          <cell r="J72">
            <v>0</v>
          </cell>
          <cell r="K72">
            <v>0</v>
          </cell>
          <cell r="L72">
            <v>0</v>
          </cell>
          <cell r="M72">
            <v>0.1414</v>
          </cell>
          <cell r="N72">
            <v>0.1414</v>
          </cell>
          <cell r="O72">
            <v>0.1414</v>
          </cell>
          <cell r="P72">
            <v>0.1414</v>
          </cell>
          <cell r="Q72">
            <v>0.1414</v>
          </cell>
          <cell r="R72">
            <v>0.1414</v>
          </cell>
          <cell r="S72">
            <v>0.1414</v>
          </cell>
          <cell r="T72">
            <v>0.1414</v>
          </cell>
          <cell r="U72">
            <v>0.1414</v>
          </cell>
          <cell r="V72">
            <v>0.1414</v>
          </cell>
          <cell r="W72">
            <v>0.1414</v>
          </cell>
          <cell r="X72">
            <v>0.1414</v>
          </cell>
          <cell r="Y72">
            <v>0.1414</v>
          </cell>
          <cell r="Z72">
            <v>0.1414</v>
          </cell>
          <cell r="AA72">
            <v>0.1414</v>
          </cell>
          <cell r="AB72">
            <v>0.1414</v>
          </cell>
          <cell r="AC72">
            <v>0.1414</v>
          </cell>
          <cell r="AD72">
            <v>0.1414</v>
          </cell>
          <cell r="AE72">
            <v>0.1414</v>
          </cell>
          <cell r="AF72">
            <v>0</v>
          </cell>
          <cell r="AG72">
            <v>0.1414</v>
          </cell>
          <cell r="AH72">
            <v>0.1414</v>
          </cell>
          <cell r="AI72">
            <v>0.1414</v>
          </cell>
          <cell r="AJ72">
            <v>0.1414</v>
          </cell>
          <cell r="AK72">
            <v>0.1414</v>
          </cell>
          <cell r="AL72">
            <v>0.1414</v>
          </cell>
        </row>
        <row r="73">
          <cell r="E73" t="str">
            <v>Actual (kg)</v>
          </cell>
          <cell r="F73">
            <v>9.9649900000000002</v>
          </cell>
          <cell r="G73">
            <v>1.936406765676568</v>
          </cell>
          <cell r="H73">
            <v>0.14026999999999998</v>
          </cell>
          <cell r="I73">
            <v>0.12168</v>
          </cell>
          <cell r="J73">
            <v>0.46200000000000002</v>
          </cell>
          <cell r="K73">
            <v>0.28709999999999997</v>
          </cell>
          <cell r="L73">
            <v>0.33263999999999999</v>
          </cell>
          <cell r="M73">
            <v>0.55891999999999997</v>
          </cell>
          <cell r="N73">
            <v>0.29648000000000002</v>
          </cell>
          <cell r="O73">
            <v>0.40089000000000002</v>
          </cell>
          <cell r="P73">
            <v>0.19140000000000001</v>
          </cell>
          <cell r="Q73">
            <v>0.34250999999999998</v>
          </cell>
          <cell r="R73">
            <v>0.34017999999999998</v>
          </cell>
          <cell r="S73">
            <v>0.22875999999999999</v>
          </cell>
          <cell r="T73">
            <v>1.085</v>
          </cell>
          <cell r="U73">
            <v>0.51245999999999992</v>
          </cell>
          <cell r="V73">
            <v>0.86162000000000005</v>
          </cell>
          <cell r="W73">
            <v>0.42863999999999997</v>
          </cell>
          <cell r="X73">
            <v>0.32340000000000002</v>
          </cell>
          <cell r="Y73">
            <v>0.308</v>
          </cell>
          <cell r="Z73">
            <v>0.25211999999999996</v>
          </cell>
          <cell r="AA73">
            <v>0.58725000000000005</v>
          </cell>
          <cell r="AB73">
            <v>0.50543999999999989</v>
          </cell>
          <cell r="AC73">
            <v>0.24565999999999999</v>
          </cell>
          <cell r="AD73">
            <v>0.23874000000000001</v>
          </cell>
          <cell r="AE73">
            <v>0.21293999999999999</v>
          </cell>
          <cell r="AF73">
            <v>0</v>
          </cell>
          <cell r="AG73">
            <v>0.18837000000000001</v>
          </cell>
          <cell r="AH73">
            <v>6.8250000000000005E-2</v>
          </cell>
          <cell r="AI73">
            <v>0.13832</v>
          </cell>
          <cell r="AJ73">
            <v>0.12675</v>
          </cell>
          <cell r="AK73">
            <v>0.17920000000000003</v>
          </cell>
          <cell r="AL73">
            <v>0.27223999999999998</v>
          </cell>
        </row>
        <row r="74">
          <cell r="C74" t="str">
            <v>6L_E1 STOPE</v>
          </cell>
          <cell r="D74" t="str">
            <v>Tonnes</v>
          </cell>
          <cell r="E74" t="str">
            <v>Budget (t)</v>
          </cell>
          <cell r="F74">
            <v>1960</v>
          </cell>
          <cell r="G74"/>
          <cell r="H74">
            <v>0</v>
          </cell>
          <cell r="I74">
            <v>70</v>
          </cell>
          <cell r="J74">
            <v>70</v>
          </cell>
          <cell r="K74">
            <v>70</v>
          </cell>
          <cell r="L74">
            <v>70</v>
          </cell>
          <cell r="M74">
            <v>70</v>
          </cell>
          <cell r="N74">
            <v>70</v>
          </cell>
          <cell r="O74">
            <v>70</v>
          </cell>
          <cell r="P74">
            <v>70</v>
          </cell>
          <cell r="Q74">
            <v>70</v>
          </cell>
          <cell r="R74">
            <v>70</v>
          </cell>
          <cell r="S74">
            <v>70</v>
          </cell>
          <cell r="T74">
            <v>70</v>
          </cell>
          <cell r="U74">
            <v>70</v>
          </cell>
          <cell r="V74">
            <v>70</v>
          </cell>
          <cell r="W74">
            <v>70</v>
          </cell>
          <cell r="X74">
            <v>70</v>
          </cell>
          <cell r="Y74">
            <v>70</v>
          </cell>
          <cell r="Z74">
            <v>70</v>
          </cell>
          <cell r="AA74">
            <v>70</v>
          </cell>
          <cell r="AB74">
            <v>70</v>
          </cell>
          <cell r="AC74">
            <v>70</v>
          </cell>
          <cell r="AD74">
            <v>70</v>
          </cell>
          <cell r="AE74">
            <v>70</v>
          </cell>
          <cell r="AF74">
            <v>0</v>
          </cell>
          <cell r="AG74">
            <v>70</v>
          </cell>
          <cell r="AH74">
            <v>70</v>
          </cell>
          <cell r="AI74">
            <v>70</v>
          </cell>
          <cell r="AJ74">
            <v>70</v>
          </cell>
          <cell r="AK74">
            <v>70</v>
          </cell>
          <cell r="AL74">
            <v>70</v>
          </cell>
        </row>
        <row r="75">
          <cell r="E75" t="str">
            <v>Actual (t)</v>
          </cell>
          <cell r="F75">
            <v>1975</v>
          </cell>
          <cell r="G75">
            <v>7.6530612244897957E-3</v>
          </cell>
          <cell r="H75">
            <v>72</v>
          </cell>
          <cell r="I75">
            <v>70</v>
          </cell>
          <cell r="J75">
            <v>72</v>
          </cell>
          <cell r="K75">
            <v>76</v>
          </cell>
          <cell r="L75">
            <v>78</v>
          </cell>
          <cell r="M75">
            <v>90</v>
          </cell>
          <cell r="N75">
            <v>88</v>
          </cell>
          <cell r="O75">
            <v>70</v>
          </cell>
          <cell r="P75">
            <v>70</v>
          </cell>
          <cell r="Q75">
            <v>70</v>
          </cell>
          <cell r="R75">
            <v>71</v>
          </cell>
          <cell r="S75">
            <v>64</v>
          </cell>
          <cell r="T75">
            <v>71</v>
          </cell>
          <cell r="U75">
            <v>73</v>
          </cell>
          <cell r="V75">
            <v>70</v>
          </cell>
          <cell r="W75">
            <v>74</v>
          </cell>
          <cell r="X75">
            <v>67</v>
          </cell>
          <cell r="Y75">
            <v>62</v>
          </cell>
          <cell r="Z75">
            <v>62</v>
          </cell>
          <cell r="AA75">
            <v>68</v>
          </cell>
          <cell r="AB75">
            <v>74</v>
          </cell>
          <cell r="AC75">
            <v>74</v>
          </cell>
          <cell r="AD75">
            <v>66</v>
          </cell>
          <cell r="AE75">
            <v>35</v>
          </cell>
          <cell r="AF75"/>
          <cell r="AG75">
            <v>70</v>
          </cell>
          <cell r="AH75">
            <v>72</v>
          </cell>
          <cell r="AI75">
            <v>70</v>
          </cell>
          <cell r="AJ75">
            <v>37</v>
          </cell>
          <cell r="AK75">
            <v>39</v>
          </cell>
          <cell r="AL75">
            <v>38</v>
          </cell>
        </row>
        <row r="76">
          <cell r="E76" t="str">
            <v>Reason if Actual is RED</v>
          </cell>
          <cell r="F76"/>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row>
        <row r="77">
          <cell r="D77" t="str">
            <v>Grade</v>
          </cell>
          <cell r="E77" t="str">
            <v>Budget (g/t)</v>
          </cell>
          <cell r="F77">
            <v>3.889999999999997</v>
          </cell>
          <cell r="G77"/>
          <cell r="H77">
            <v>0</v>
          </cell>
          <cell r="I77">
            <v>3.89</v>
          </cell>
          <cell r="J77">
            <v>3.89</v>
          </cell>
          <cell r="K77">
            <v>3.89</v>
          </cell>
          <cell r="L77">
            <v>3.89</v>
          </cell>
          <cell r="M77">
            <v>3.89</v>
          </cell>
          <cell r="N77">
            <v>3.89</v>
          </cell>
          <cell r="O77">
            <v>3.89</v>
          </cell>
          <cell r="P77">
            <v>3.89</v>
          </cell>
          <cell r="Q77">
            <v>3.89</v>
          </cell>
          <cell r="R77">
            <v>3.89</v>
          </cell>
          <cell r="S77">
            <v>3.89</v>
          </cell>
          <cell r="T77">
            <v>3.89</v>
          </cell>
          <cell r="U77">
            <v>3.89</v>
          </cell>
          <cell r="V77">
            <v>3.89</v>
          </cell>
          <cell r="W77">
            <v>3.89</v>
          </cell>
          <cell r="X77">
            <v>3.89</v>
          </cell>
          <cell r="Y77">
            <v>3.89</v>
          </cell>
          <cell r="Z77">
            <v>3.89</v>
          </cell>
          <cell r="AA77">
            <v>3.89</v>
          </cell>
          <cell r="AB77">
            <v>3.89</v>
          </cell>
          <cell r="AC77">
            <v>3.89</v>
          </cell>
          <cell r="AD77">
            <v>3.89</v>
          </cell>
          <cell r="AE77">
            <v>3.89</v>
          </cell>
          <cell r="AF77"/>
          <cell r="AG77">
            <v>3.89</v>
          </cell>
          <cell r="AH77">
            <v>3.89</v>
          </cell>
          <cell r="AI77">
            <v>3.89</v>
          </cell>
          <cell r="AJ77">
            <v>3.89</v>
          </cell>
          <cell r="AK77">
            <v>3.89</v>
          </cell>
          <cell r="AL77">
            <v>3.89</v>
          </cell>
        </row>
        <row r="78">
          <cell r="E78" t="str">
            <v>Actual (g/t)</v>
          </cell>
          <cell r="F78">
            <v>4.5140962025316451</v>
          </cell>
          <cell r="G78">
            <v>0.16043604178191481</v>
          </cell>
          <cell r="H78">
            <v>4.51</v>
          </cell>
          <cell r="I78">
            <v>2.54</v>
          </cell>
          <cell r="J78">
            <v>6.31</v>
          </cell>
          <cell r="K78">
            <v>6.31</v>
          </cell>
          <cell r="L78">
            <v>2.88</v>
          </cell>
          <cell r="M78">
            <v>4.6500000000000004</v>
          </cell>
          <cell r="N78">
            <v>5.0599999999999996</v>
          </cell>
          <cell r="O78">
            <v>4.25</v>
          </cell>
          <cell r="P78">
            <v>7</v>
          </cell>
          <cell r="Q78">
            <v>5.21</v>
          </cell>
          <cell r="R78">
            <v>5.21</v>
          </cell>
          <cell r="S78">
            <v>7</v>
          </cell>
          <cell r="T78">
            <v>4.82</v>
          </cell>
          <cell r="U78">
            <v>3.64</v>
          </cell>
          <cell r="V78">
            <v>7</v>
          </cell>
          <cell r="W78">
            <v>6.48</v>
          </cell>
          <cell r="X78">
            <v>2.65</v>
          </cell>
          <cell r="Y78">
            <v>2.65</v>
          </cell>
          <cell r="Z78">
            <v>3.9</v>
          </cell>
          <cell r="AA78">
            <v>2.0499999999999998</v>
          </cell>
          <cell r="AB78">
            <v>2.83</v>
          </cell>
          <cell r="AC78">
            <v>4.87</v>
          </cell>
          <cell r="AD78">
            <v>3.74</v>
          </cell>
          <cell r="AE78">
            <v>4.5199999999999996</v>
          </cell>
          <cell r="AF78"/>
          <cell r="AG78">
            <v>4.5199999999999996</v>
          </cell>
          <cell r="AH78">
            <v>3.56</v>
          </cell>
          <cell r="AI78">
            <v>3.05</v>
          </cell>
          <cell r="AJ78">
            <v>2.3199999999999998</v>
          </cell>
          <cell r="AK78">
            <v>7</v>
          </cell>
          <cell r="AL78">
            <v>7</v>
          </cell>
        </row>
        <row r="79">
          <cell r="D79" t="str">
            <v>Gold</v>
          </cell>
          <cell r="E79" t="str">
            <v>Budget (kg)</v>
          </cell>
          <cell r="F79">
            <v>7.6243999999999943</v>
          </cell>
          <cell r="G79"/>
          <cell r="H79">
            <v>0</v>
          </cell>
          <cell r="I79">
            <v>0.27229999999999999</v>
          </cell>
          <cell r="J79">
            <v>0.27229999999999999</v>
          </cell>
          <cell r="K79">
            <v>0.27229999999999999</v>
          </cell>
          <cell r="L79">
            <v>0.27229999999999999</v>
          </cell>
          <cell r="M79">
            <v>0.27229999999999999</v>
          </cell>
          <cell r="N79">
            <v>0.27229999999999999</v>
          </cell>
          <cell r="O79">
            <v>0.27229999999999999</v>
          </cell>
          <cell r="P79">
            <v>0.27229999999999999</v>
          </cell>
          <cell r="Q79">
            <v>0.27229999999999999</v>
          </cell>
          <cell r="R79">
            <v>0.27229999999999999</v>
          </cell>
          <cell r="S79">
            <v>0.27229999999999999</v>
          </cell>
          <cell r="T79">
            <v>0.27229999999999999</v>
          </cell>
          <cell r="U79">
            <v>0.27229999999999999</v>
          </cell>
          <cell r="V79">
            <v>0.27229999999999999</v>
          </cell>
          <cell r="W79">
            <v>0.27229999999999999</v>
          </cell>
          <cell r="X79">
            <v>0.27229999999999999</v>
          </cell>
          <cell r="Y79">
            <v>0.27229999999999999</v>
          </cell>
          <cell r="Z79">
            <v>0.27229999999999999</v>
          </cell>
          <cell r="AA79">
            <v>0.27229999999999999</v>
          </cell>
          <cell r="AB79">
            <v>0.27229999999999999</v>
          </cell>
          <cell r="AC79">
            <v>0.27229999999999999</v>
          </cell>
          <cell r="AD79">
            <v>0.27229999999999999</v>
          </cell>
          <cell r="AE79">
            <v>0.27229999999999999</v>
          </cell>
          <cell r="AF79">
            <v>0</v>
          </cell>
          <cell r="AG79">
            <v>0.27229999999999999</v>
          </cell>
          <cell r="AH79">
            <v>0.27229999999999999</v>
          </cell>
          <cell r="AI79">
            <v>0.27229999999999999</v>
          </cell>
          <cell r="AJ79">
            <v>0.27229999999999999</v>
          </cell>
          <cell r="AK79">
            <v>0.27229999999999999</v>
          </cell>
          <cell r="AL79">
            <v>0.27229999999999999</v>
          </cell>
        </row>
        <row r="80">
          <cell r="E80" t="str">
            <v>Actual (kg)</v>
          </cell>
          <cell r="F80">
            <v>8.9153399999999987</v>
          </cell>
          <cell r="G80">
            <v>0.16931692985677632</v>
          </cell>
          <cell r="H80">
            <v>0.32471999999999995</v>
          </cell>
          <cell r="I80">
            <v>0.17780000000000001</v>
          </cell>
          <cell r="J80">
            <v>0.45432</v>
          </cell>
          <cell r="K80">
            <v>0.47955999999999993</v>
          </cell>
          <cell r="L80">
            <v>0.22463999999999998</v>
          </cell>
          <cell r="M80">
            <v>0.41850000000000004</v>
          </cell>
          <cell r="N80">
            <v>0.44527999999999995</v>
          </cell>
          <cell r="O80">
            <v>0.29749999999999999</v>
          </cell>
          <cell r="P80">
            <v>0.49</v>
          </cell>
          <cell r="Q80">
            <v>0.36469999999999997</v>
          </cell>
          <cell r="R80">
            <v>0.36991000000000002</v>
          </cell>
          <cell r="S80">
            <v>0.44800000000000001</v>
          </cell>
          <cell r="T80">
            <v>0.34222000000000002</v>
          </cell>
          <cell r="U80">
            <v>0.26572000000000001</v>
          </cell>
          <cell r="V80">
            <v>0.49</v>
          </cell>
          <cell r="W80">
            <v>0.47952000000000006</v>
          </cell>
          <cell r="X80">
            <v>0.17754999999999999</v>
          </cell>
          <cell r="Y80">
            <v>0.16429999999999997</v>
          </cell>
          <cell r="Z80">
            <v>0.24179999999999999</v>
          </cell>
          <cell r="AA80">
            <v>0.13939999999999997</v>
          </cell>
          <cell r="AB80">
            <v>0.20942000000000002</v>
          </cell>
          <cell r="AC80">
            <v>0.36037999999999998</v>
          </cell>
          <cell r="AD80">
            <v>0.24684</v>
          </cell>
          <cell r="AE80">
            <v>0.15819999999999998</v>
          </cell>
          <cell r="AF80">
            <v>0</v>
          </cell>
          <cell r="AG80">
            <v>0.31639999999999996</v>
          </cell>
          <cell r="AH80">
            <v>0.25631999999999999</v>
          </cell>
          <cell r="AI80">
            <v>0.2135</v>
          </cell>
          <cell r="AJ80">
            <v>8.5839999999999986E-2</v>
          </cell>
          <cell r="AK80">
            <v>0.27300000000000002</v>
          </cell>
          <cell r="AL80">
            <v>0.26600000000000001</v>
          </cell>
        </row>
        <row r="81">
          <cell r="C81" t="str">
            <v xml:space="preserve">6L_W1 STOPE </v>
          </cell>
          <cell r="D81" t="str">
            <v>Tonnes</v>
          </cell>
          <cell r="E81" t="str">
            <v>Budget (t)</v>
          </cell>
          <cell r="F81">
            <v>1960</v>
          </cell>
          <cell r="G81"/>
          <cell r="H81">
            <v>0</v>
          </cell>
          <cell r="I81">
            <v>70</v>
          </cell>
          <cell r="J81">
            <v>70</v>
          </cell>
          <cell r="K81">
            <v>70</v>
          </cell>
          <cell r="L81">
            <v>70</v>
          </cell>
          <cell r="M81">
            <v>70</v>
          </cell>
          <cell r="N81">
            <v>70</v>
          </cell>
          <cell r="O81">
            <v>70</v>
          </cell>
          <cell r="P81">
            <v>70</v>
          </cell>
          <cell r="Q81">
            <v>70</v>
          </cell>
          <cell r="R81">
            <v>70</v>
          </cell>
          <cell r="S81">
            <v>70</v>
          </cell>
          <cell r="T81">
            <v>70</v>
          </cell>
          <cell r="U81">
            <v>70</v>
          </cell>
          <cell r="V81">
            <v>70</v>
          </cell>
          <cell r="W81">
            <v>70</v>
          </cell>
          <cell r="X81">
            <v>70</v>
          </cell>
          <cell r="Y81">
            <v>70</v>
          </cell>
          <cell r="Z81">
            <v>70</v>
          </cell>
          <cell r="AA81">
            <v>70</v>
          </cell>
          <cell r="AB81">
            <v>70</v>
          </cell>
          <cell r="AC81">
            <v>70</v>
          </cell>
          <cell r="AD81">
            <v>70</v>
          </cell>
          <cell r="AE81">
            <v>70</v>
          </cell>
          <cell r="AF81">
            <v>0</v>
          </cell>
          <cell r="AG81">
            <v>70</v>
          </cell>
          <cell r="AH81">
            <v>70</v>
          </cell>
          <cell r="AI81">
            <v>70</v>
          </cell>
          <cell r="AJ81">
            <v>70</v>
          </cell>
          <cell r="AK81">
            <v>70</v>
          </cell>
          <cell r="AL81">
            <v>70</v>
          </cell>
        </row>
        <row r="82">
          <cell r="E82" t="str">
            <v>Actual (t)</v>
          </cell>
          <cell r="F82">
            <v>2305</v>
          </cell>
          <cell r="G82">
            <v>0.17602040816326531</v>
          </cell>
          <cell r="H82">
            <v>86</v>
          </cell>
          <cell r="I82">
            <v>76</v>
          </cell>
          <cell r="J82">
            <v>73</v>
          </cell>
          <cell r="K82">
            <v>72</v>
          </cell>
          <cell r="L82">
            <v>76</v>
          </cell>
          <cell r="M82">
            <v>83</v>
          </cell>
          <cell r="N82">
            <v>86</v>
          </cell>
          <cell r="O82">
            <v>71</v>
          </cell>
          <cell r="P82">
            <v>70</v>
          </cell>
          <cell r="Q82">
            <v>70</v>
          </cell>
          <cell r="R82">
            <v>89</v>
          </cell>
          <cell r="S82">
            <v>66</v>
          </cell>
          <cell r="T82">
            <v>35</v>
          </cell>
          <cell r="U82">
            <v>73</v>
          </cell>
          <cell r="V82">
            <v>78</v>
          </cell>
          <cell r="W82">
            <v>74</v>
          </cell>
          <cell r="X82">
            <v>66</v>
          </cell>
          <cell r="Y82">
            <v>61</v>
          </cell>
          <cell r="Z82">
            <v>64</v>
          </cell>
          <cell r="AA82">
            <v>72</v>
          </cell>
          <cell r="AB82">
            <v>70</v>
          </cell>
          <cell r="AC82">
            <v>38</v>
          </cell>
          <cell r="AD82">
            <v>70</v>
          </cell>
          <cell r="AE82"/>
          <cell r="AF82"/>
          <cell r="AG82">
            <v>92</v>
          </cell>
          <cell r="AH82">
            <v>100</v>
          </cell>
          <cell r="AI82">
            <v>155</v>
          </cell>
          <cell r="AJ82">
            <v>148</v>
          </cell>
          <cell r="AK82">
            <v>191</v>
          </cell>
          <cell r="AL82">
            <v>194</v>
          </cell>
        </row>
        <row r="83">
          <cell r="E83" t="str">
            <v>Reason if Actual is RED</v>
          </cell>
          <cell r="F83"/>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row>
        <row r="84">
          <cell r="D84" t="str">
            <v>Grade</v>
          </cell>
          <cell r="E84" t="str">
            <v>Budget (g/t)</v>
          </cell>
          <cell r="F84">
            <v>3.889999999999997</v>
          </cell>
          <cell r="G84"/>
          <cell r="H84">
            <v>0</v>
          </cell>
          <cell r="I84">
            <v>3.89</v>
          </cell>
          <cell r="J84">
            <v>3.89</v>
          </cell>
          <cell r="K84">
            <v>3.89</v>
          </cell>
          <cell r="L84">
            <v>3.89</v>
          </cell>
          <cell r="M84">
            <v>3.89</v>
          </cell>
          <cell r="N84">
            <v>3.89</v>
          </cell>
          <cell r="O84">
            <v>3.89</v>
          </cell>
          <cell r="P84">
            <v>3.89</v>
          </cell>
          <cell r="Q84">
            <v>3.89</v>
          </cell>
          <cell r="R84">
            <v>3.89</v>
          </cell>
          <cell r="S84">
            <v>3.89</v>
          </cell>
          <cell r="T84">
            <v>3.89</v>
          </cell>
          <cell r="U84">
            <v>3.89</v>
          </cell>
          <cell r="V84">
            <v>3.89</v>
          </cell>
          <cell r="W84">
            <v>3.89</v>
          </cell>
          <cell r="X84">
            <v>3.89</v>
          </cell>
          <cell r="Y84">
            <v>3.89</v>
          </cell>
          <cell r="Z84">
            <v>3.89</v>
          </cell>
          <cell r="AA84">
            <v>3.89</v>
          </cell>
          <cell r="AB84">
            <v>3.89</v>
          </cell>
          <cell r="AC84">
            <v>3.89</v>
          </cell>
          <cell r="AD84">
            <v>3.89</v>
          </cell>
          <cell r="AE84">
            <v>3.89</v>
          </cell>
          <cell r="AF84"/>
          <cell r="AG84">
            <v>3.89</v>
          </cell>
          <cell r="AH84">
            <v>3.89</v>
          </cell>
          <cell r="AI84">
            <v>3.89</v>
          </cell>
          <cell r="AJ84">
            <v>3.89</v>
          </cell>
          <cell r="AK84">
            <v>3.89</v>
          </cell>
          <cell r="AL84">
            <v>3.89</v>
          </cell>
        </row>
        <row r="85">
          <cell r="E85" t="str">
            <v>Actual (g/t)</v>
          </cell>
          <cell r="F85">
            <v>4.0703036876355743</v>
          </cell>
          <cell r="G85">
            <v>4.6350562374184417E-2</v>
          </cell>
          <cell r="H85">
            <v>4.5999999999999996</v>
          </cell>
          <cell r="I85">
            <v>2.63</v>
          </cell>
          <cell r="J85">
            <v>4.05</v>
          </cell>
          <cell r="K85">
            <v>4.05</v>
          </cell>
          <cell r="L85">
            <v>2.65</v>
          </cell>
          <cell r="M85">
            <v>5.1100000000000003</v>
          </cell>
          <cell r="N85">
            <v>7</v>
          </cell>
          <cell r="O85">
            <v>5.82</v>
          </cell>
          <cell r="P85">
            <v>5.12</v>
          </cell>
          <cell r="Q85">
            <v>3.43</v>
          </cell>
          <cell r="R85">
            <v>3.43</v>
          </cell>
          <cell r="S85">
            <v>7</v>
          </cell>
          <cell r="T85">
            <v>5.0199999999999996</v>
          </cell>
          <cell r="U85">
            <v>3.67</v>
          </cell>
          <cell r="V85">
            <v>7</v>
          </cell>
          <cell r="W85">
            <v>4.43</v>
          </cell>
          <cell r="X85">
            <v>2.4500000000000002</v>
          </cell>
          <cell r="Y85">
            <v>2.4500000000000002</v>
          </cell>
          <cell r="Z85">
            <v>3.92</v>
          </cell>
          <cell r="AA85">
            <v>3.52</v>
          </cell>
          <cell r="AB85">
            <v>3.53</v>
          </cell>
          <cell r="AC85">
            <v>2.87</v>
          </cell>
          <cell r="AD85">
            <v>1.74</v>
          </cell>
          <cell r="AE85">
            <v>3.1</v>
          </cell>
          <cell r="AF85"/>
          <cell r="AG85">
            <v>3.1</v>
          </cell>
          <cell r="AH85">
            <v>3</v>
          </cell>
          <cell r="AI85">
            <v>2.36</v>
          </cell>
          <cell r="AJ85">
            <v>2.27</v>
          </cell>
          <cell r="AK85">
            <v>6.78</v>
          </cell>
          <cell r="AL85">
            <v>6.27</v>
          </cell>
        </row>
        <row r="86">
          <cell r="D86" t="str">
            <v>Gold</v>
          </cell>
          <cell r="E86" t="str">
            <v>Budget (kg)</v>
          </cell>
          <cell r="F86">
            <v>7.6243999999999943</v>
          </cell>
          <cell r="G86"/>
          <cell r="H86">
            <v>0</v>
          </cell>
          <cell r="I86">
            <v>0.27229999999999999</v>
          </cell>
          <cell r="J86">
            <v>0.27229999999999999</v>
          </cell>
          <cell r="K86">
            <v>0.27229999999999999</v>
          </cell>
          <cell r="L86">
            <v>0.27229999999999999</v>
          </cell>
          <cell r="M86">
            <v>0.27229999999999999</v>
          </cell>
          <cell r="N86">
            <v>0.27229999999999999</v>
          </cell>
          <cell r="O86">
            <v>0.27229999999999999</v>
          </cell>
          <cell r="P86">
            <v>0.27229999999999999</v>
          </cell>
          <cell r="Q86">
            <v>0.27229999999999999</v>
          </cell>
          <cell r="R86">
            <v>0.27229999999999999</v>
          </cell>
          <cell r="S86">
            <v>0.27229999999999999</v>
          </cell>
          <cell r="T86">
            <v>0.27229999999999999</v>
          </cell>
          <cell r="U86">
            <v>0.27229999999999999</v>
          </cell>
          <cell r="V86">
            <v>0.27229999999999999</v>
          </cell>
          <cell r="W86">
            <v>0.27229999999999999</v>
          </cell>
          <cell r="X86">
            <v>0.27229999999999999</v>
          </cell>
          <cell r="Y86">
            <v>0.27229999999999999</v>
          </cell>
          <cell r="Z86">
            <v>0.27229999999999999</v>
          </cell>
          <cell r="AA86">
            <v>0.27229999999999999</v>
          </cell>
          <cell r="AB86">
            <v>0.27229999999999999</v>
          </cell>
          <cell r="AC86">
            <v>0.27229999999999999</v>
          </cell>
          <cell r="AD86">
            <v>0.27229999999999999</v>
          </cell>
          <cell r="AE86">
            <v>0.27229999999999999</v>
          </cell>
          <cell r="AF86">
            <v>0</v>
          </cell>
          <cell r="AG86">
            <v>0.27229999999999999</v>
          </cell>
          <cell r="AH86">
            <v>0.27229999999999999</v>
          </cell>
          <cell r="AI86">
            <v>0.27229999999999999</v>
          </cell>
          <cell r="AJ86">
            <v>0.27229999999999999</v>
          </cell>
          <cell r="AK86">
            <v>0.27229999999999999</v>
          </cell>
          <cell r="AL86">
            <v>0.27229999999999999</v>
          </cell>
        </row>
        <row r="87">
          <cell r="E87" t="str">
            <v>Actual (kg)</v>
          </cell>
          <cell r="F87">
            <v>9.3820499999999996</v>
          </cell>
          <cell r="G87">
            <v>0.23052961544515063</v>
          </cell>
          <cell r="H87">
            <v>0.39559999999999995</v>
          </cell>
          <cell r="I87">
            <v>0.19988</v>
          </cell>
          <cell r="J87">
            <v>0.29564999999999997</v>
          </cell>
          <cell r="K87">
            <v>0.29159999999999997</v>
          </cell>
          <cell r="L87">
            <v>0.2014</v>
          </cell>
          <cell r="M87">
            <v>0.42413000000000006</v>
          </cell>
          <cell r="N87">
            <v>0.60199999999999998</v>
          </cell>
          <cell r="O87">
            <v>0.41322000000000003</v>
          </cell>
          <cell r="P87">
            <v>0.35840000000000005</v>
          </cell>
          <cell r="Q87">
            <v>0.24010000000000004</v>
          </cell>
          <cell r="R87">
            <v>0.30527000000000004</v>
          </cell>
          <cell r="S87">
            <v>0.46200000000000002</v>
          </cell>
          <cell r="T87">
            <v>0.1757</v>
          </cell>
          <cell r="U87">
            <v>0.26790999999999998</v>
          </cell>
          <cell r="V87">
            <v>0.54600000000000004</v>
          </cell>
          <cell r="W87">
            <v>0.32782</v>
          </cell>
          <cell r="X87">
            <v>0.16170000000000001</v>
          </cell>
          <cell r="Y87">
            <v>0.14945000000000003</v>
          </cell>
          <cell r="Z87">
            <v>0.25087999999999999</v>
          </cell>
          <cell r="AA87">
            <v>0.25344</v>
          </cell>
          <cell r="AB87">
            <v>0.24709999999999999</v>
          </cell>
          <cell r="AC87">
            <v>0.10906</v>
          </cell>
          <cell r="AD87">
            <v>0.12179999999999999</v>
          </cell>
          <cell r="AE87">
            <v>0</v>
          </cell>
          <cell r="AF87">
            <v>0</v>
          </cell>
          <cell r="AG87">
            <v>0.28520000000000001</v>
          </cell>
          <cell r="AH87">
            <v>0.3</v>
          </cell>
          <cell r="AI87">
            <v>0.36579999999999996</v>
          </cell>
          <cell r="AJ87">
            <v>0.33595999999999998</v>
          </cell>
          <cell r="AK87">
            <v>1.29498</v>
          </cell>
          <cell r="AL87">
            <v>1.2163799999999998</v>
          </cell>
        </row>
        <row r="88">
          <cell r="C88" t="str">
            <v xml:space="preserve">6L_W2 STOPE </v>
          </cell>
          <cell r="D88" t="str">
            <v>Tonnes</v>
          </cell>
          <cell r="E88" t="str">
            <v>Budget (t)</v>
          </cell>
          <cell r="F88">
            <v>1960</v>
          </cell>
          <cell r="G88"/>
          <cell r="H88">
            <v>0</v>
          </cell>
          <cell r="I88">
            <v>70</v>
          </cell>
          <cell r="J88">
            <v>70</v>
          </cell>
          <cell r="K88">
            <v>70</v>
          </cell>
          <cell r="L88">
            <v>70</v>
          </cell>
          <cell r="M88">
            <v>70</v>
          </cell>
          <cell r="N88">
            <v>70</v>
          </cell>
          <cell r="O88">
            <v>70</v>
          </cell>
          <cell r="P88">
            <v>70</v>
          </cell>
          <cell r="Q88">
            <v>70</v>
          </cell>
          <cell r="R88">
            <v>70</v>
          </cell>
          <cell r="S88">
            <v>70</v>
          </cell>
          <cell r="T88">
            <v>70</v>
          </cell>
          <cell r="U88">
            <v>70</v>
          </cell>
          <cell r="V88">
            <v>70</v>
          </cell>
          <cell r="W88">
            <v>70</v>
          </cell>
          <cell r="X88">
            <v>70</v>
          </cell>
          <cell r="Y88">
            <v>70</v>
          </cell>
          <cell r="Z88">
            <v>70</v>
          </cell>
          <cell r="AA88">
            <v>70</v>
          </cell>
          <cell r="AB88">
            <v>70</v>
          </cell>
          <cell r="AC88">
            <v>70</v>
          </cell>
          <cell r="AD88">
            <v>70</v>
          </cell>
          <cell r="AE88">
            <v>70</v>
          </cell>
          <cell r="AF88">
            <v>0</v>
          </cell>
          <cell r="AG88">
            <v>70</v>
          </cell>
          <cell r="AH88">
            <v>70</v>
          </cell>
          <cell r="AI88">
            <v>70</v>
          </cell>
          <cell r="AJ88">
            <v>70</v>
          </cell>
          <cell r="AK88">
            <v>70</v>
          </cell>
          <cell r="AL88">
            <v>70</v>
          </cell>
        </row>
        <row r="89">
          <cell r="E89" t="str">
            <v>Actual (t)</v>
          </cell>
          <cell r="F89">
            <v>1896</v>
          </cell>
          <cell r="G89">
            <v>-3.2653061224489799E-2</v>
          </cell>
          <cell r="H89">
            <v>70</v>
          </cell>
          <cell r="I89">
            <v>72</v>
          </cell>
          <cell r="J89">
            <v>76</v>
          </cell>
          <cell r="K89">
            <v>72</v>
          </cell>
          <cell r="L89">
            <v>71</v>
          </cell>
          <cell r="M89">
            <v>80</v>
          </cell>
          <cell r="N89">
            <v>80</v>
          </cell>
          <cell r="O89">
            <v>70</v>
          </cell>
          <cell r="P89">
            <v>70</v>
          </cell>
          <cell r="Q89">
            <v>70</v>
          </cell>
          <cell r="R89">
            <v>70</v>
          </cell>
          <cell r="S89">
            <v>96</v>
          </cell>
          <cell r="T89">
            <v>0</v>
          </cell>
          <cell r="U89">
            <v>80</v>
          </cell>
          <cell r="V89">
            <v>71</v>
          </cell>
          <cell r="W89">
            <v>76</v>
          </cell>
          <cell r="X89">
            <v>69</v>
          </cell>
          <cell r="Y89">
            <v>67</v>
          </cell>
          <cell r="Z89">
            <v>66</v>
          </cell>
          <cell r="AA89">
            <v>71</v>
          </cell>
          <cell r="AB89">
            <v>72</v>
          </cell>
          <cell r="AC89">
            <v>0</v>
          </cell>
          <cell r="AD89">
            <v>72</v>
          </cell>
          <cell r="AE89">
            <v>33</v>
          </cell>
          <cell r="AF89"/>
          <cell r="AG89"/>
          <cell r="AH89">
            <v>98</v>
          </cell>
          <cell r="AI89">
            <v>74</v>
          </cell>
          <cell r="AJ89">
            <v>73</v>
          </cell>
          <cell r="AK89">
            <v>77</v>
          </cell>
          <cell r="AL89">
            <v>77</v>
          </cell>
        </row>
        <row r="90">
          <cell r="E90" t="str">
            <v>Reason if Actual is RED</v>
          </cell>
          <cell r="F90"/>
          <cell r="G90"/>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row>
        <row r="91">
          <cell r="D91" t="str">
            <v>Grade</v>
          </cell>
          <cell r="E91" t="str">
            <v>Budget (g/t)</v>
          </cell>
          <cell r="F91">
            <v>3.8552040816326572</v>
          </cell>
          <cell r="G91"/>
          <cell r="H91">
            <v>0</v>
          </cell>
          <cell r="I91">
            <v>2.91</v>
          </cell>
          <cell r="J91">
            <v>2.91</v>
          </cell>
          <cell r="K91">
            <v>2.91</v>
          </cell>
          <cell r="L91">
            <v>2.91</v>
          </cell>
          <cell r="M91">
            <v>2.91</v>
          </cell>
          <cell r="N91">
            <v>2.91</v>
          </cell>
          <cell r="O91">
            <v>2.91</v>
          </cell>
          <cell r="P91">
            <v>2.91</v>
          </cell>
          <cell r="Q91">
            <v>2.91</v>
          </cell>
          <cell r="R91">
            <v>2.91</v>
          </cell>
          <cell r="S91">
            <v>2.91</v>
          </cell>
          <cell r="T91">
            <v>2.91</v>
          </cell>
          <cell r="U91">
            <v>2.91</v>
          </cell>
          <cell r="V91">
            <v>2.91</v>
          </cell>
          <cell r="W91">
            <v>2.91</v>
          </cell>
          <cell r="X91">
            <v>2.91</v>
          </cell>
          <cell r="Y91">
            <v>2.91</v>
          </cell>
          <cell r="Z91">
            <v>2.91</v>
          </cell>
          <cell r="AA91">
            <v>2.91</v>
          </cell>
          <cell r="AB91">
            <v>2.91</v>
          </cell>
          <cell r="AC91">
            <v>2.91</v>
          </cell>
          <cell r="AD91">
            <v>2.91</v>
          </cell>
          <cell r="AE91">
            <v>2.91</v>
          </cell>
          <cell r="AF91">
            <v>2.91</v>
          </cell>
          <cell r="AG91">
            <v>2.91</v>
          </cell>
          <cell r="AH91">
            <v>2.91</v>
          </cell>
          <cell r="AI91">
            <v>2.91</v>
          </cell>
          <cell r="AJ91">
            <v>2.91</v>
          </cell>
          <cell r="AK91">
            <v>2.91</v>
          </cell>
          <cell r="AL91">
            <v>2.91</v>
          </cell>
        </row>
        <row r="92">
          <cell r="E92" t="str">
            <v>Actual (g/t)</v>
          </cell>
          <cell r="F92">
            <v>3.1643565400843876</v>
          </cell>
          <cell r="G92">
            <v>-0.17919869530115759</v>
          </cell>
          <cell r="H92">
            <v>1.41</v>
          </cell>
          <cell r="I92">
            <v>1.38</v>
          </cell>
          <cell r="J92">
            <v>1.3</v>
          </cell>
          <cell r="K92">
            <v>1.3</v>
          </cell>
          <cell r="L92">
            <v>4.09</v>
          </cell>
          <cell r="M92">
            <v>4.75</v>
          </cell>
          <cell r="N92">
            <v>3.17</v>
          </cell>
          <cell r="O92">
            <v>5.6</v>
          </cell>
          <cell r="P92">
            <v>2.62</v>
          </cell>
          <cell r="Q92">
            <v>2.59</v>
          </cell>
          <cell r="R92">
            <v>2.59</v>
          </cell>
          <cell r="S92">
            <v>3.07</v>
          </cell>
          <cell r="T92"/>
          <cell r="U92">
            <v>3.73</v>
          </cell>
          <cell r="V92">
            <v>3.2</v>
          </cell>
          <cell r="W92">
            <v>4.38</v>
          </cell>
          <cell r="X92">
            <v>2.0699999999999998</v>
          </cell>
          <cell r="Y92">
            <v>2.0699999999999998</v>
          </cell>
          <cell r="Z92">
            <v>2.91</v>
          </cell>
          <cell r="AA92">
            <v>2.67</v>
          </cell>
          <cell r="AB92">
            <v>2.61</v>
          </cell>
          <cell r="AC92">
            <v>2.99</v>
          </cell>
          <cell r="AD92">
            <v>6</v>
          </cell>
          <cell r="AE92">
            <v>2.4</v>
          </cell>
          <cell r="AF92"/>
          <cell r="AG92"/>
          <cell r="AH92">
            <v>2.87</v>
          </cell>
          <cell r="AI92">
            <v>2.64</v>
          </cell>
          <cell r="AJ92">
            <v>2.96</v>
          </cell>
          <cell r="AK92">
            <v>7</v>
          </cell>
          <cell r="AL92">
            <v>2.74</v>
          </cell>
        </row>
        <row r="93">
          <cell r="D93" t="str">
            <v>Gold</v>
          </cell>
          <cell r="E93" t="str">
            <v>Budget (kg)</v>
          </cell>
          <cell r="F93">
            <v>7.5562000000000076</v>
          </cell>
          <cell r="G93"/>
          <cell r="H93">
            <v>0</v>
          </cell>
          <cell r="I93">
            <v>0.20370000000000002</v>
          </cell>
          <cell r="J93">
            <v>0.20370000000000002</v>
          </cell>
          <cell r="K93">
            <v>0.20370000000000002</v>
          </cell>
          <cell r="L93">
            <v>0.20370000000000002</v>
          </cell>
          <cell r="M93">
            <v>0.20370000000000002</v>
          </cell>
          <cell r="N93">
            <v>0.20370000000000002</v>
          </cell>
          <cell r="O93">
            <v>0.20370000000000002</v>
          </cell>
          <cell r="P93">
            <v>0.20370000000000002</v>
          </cell>
          <cell r="Q93">
            <v>0.20370000000000002</v>
          </cell>
          <cell r="R93">
            <v>0.20370000000000002</v>
          </cell>
          <cell r="S93">
            <v>0.20370000000000002</v>
          </cell>
          <cell r="T93">
            <v>2.06</v>
          </cell>
          <cell r="U93">
            <v>0.20370000000000002</v>
          </cell>
          <cell r="V93">
            <v>0.20370000000000002</v>
          </cell>
          <cell r="W93">
            <v>0.20370000000000002</v>
          </cell>
          <cell r="X93">
            <v>0.20370000000000002</v>
          </cell>
          <cell r="Y93">
            <v>0.20370000000000002</v>
          </cell>
          <cell r="Z93">
            <v>0.20370000000000002</v>
          </cell>
          <cell r="AA93">
            <v>0.2</v>
          </cell>
          <cell r="AB93">
            <v>0.20370000000000002</v>
          </cell>
          <cell r="AC93">
            <v>0.20370000000000002</v>
          </cell>
          <cell r="AD93">
            <v>0.20370000000000002</v>
          </cell>
          <cell r="AE93">
            <v>0.20370000000000002</v>
          </cell>
          <cell r="AF93">
            <v>0</v>
          </cell>
          <cell r="AG93">
            <v>0.20370000000000002</v>
          </cell>
          <cell r="AH93">
            <v>0.20370000000000002</v>
          </cell>
          <cell r="AI93">
            <v>0.20370000000000002</v>
          </cell>
          <cell r="AJ93">
            <v>0.20370000000000002</v>
          </cell>
          <cell r="AK93">
            <v>0.20370000000000002</v>
          </cell>
          <cell r="AL93">
            <v>0.20370000000000002</v>
          </cell>
        </row>
        <row r="94">
          <cell r="E94" t="str">
            <v>Actual (kg)</v>
          </cell>
          <cell r="F94">
            <v>5.9996199999999993</v>
          </cell>
          <cell r="G94">
            <v>-0.2060003705566299</v>
          </cell>
          <cell r="H94">
            <v>9.8699999999999982E-2</v>
          </cell>
          <cell r="I94">
            <v>9.935999999999999E-2</v>
          </cell>
          <cell r="J94">
            <v>9.8799999999999999E-2</v>
          </cell>
          <cell r="K94">
            <v>9.3600000000000003E-2</v>
          </cell>
          <cell r="L94">
            <v>0.29038999999999998</v>
          </cell>
          <cell r="M94">
            <v>0.38</v>
          </cell>
          <cell r="N94">
            <v>0.25359999999999999</v>
          </cell>
          <cell r="O94">
            <v>0.39200000000000002</v>
          </cell>
          <cell r="P94">
            <v>0.18340000000000001</v>
          </cell>
          <cell r="Q94">
            <v>0.18129999999999999</v>
          </cell>
          <cell r="R94">
            <v>0.18129999999999999</v>
          </cell>
          <cell r="S94">
            <v>0.29471999999999998</v>
          </cell>
          <cell r="T94">
            <v>0</v>
          </cell>
          <cell r="U94">
            <v>0.2984</v>
          </cell>
          <cell r="V94">
            <v>0.22720000000000001</v>
          </cell>
          <cell r="W94">
            <v>0.33288000000000001</v>
          </cell>
          <cell r="X94">
            <v>0.14282999999999998</v>
          </cell>
          <cell r="Y94">
            <v>0.13869000000000001</v>
          </cell>
          <cell r="Z94">
            <v>0.19206000000000001</v>
          </cell>
          <cell r="AA94">
            <v>0.18956999999999999</v>
          </cell>
          <cell r="AB94">
            <v>0.18791999999999998</v>
          </cell>
          <cell r="AC94">
            <v>0</v>
          </cell>
          <cell r="AD94">
            <v>0.432</v>
          </cell>
          <cell r="AE94">
            <v>7.9200000000000007E-2</v>
          </cell>
          <cell r="AF94">
            <v>0</v>
          </cell>
          <cell r="AG94">
            <v>0</v>
          </cell>
          <cell r="AH94">
            <v>0.28126000000000001</v>
          </cell>
          <cell r="AI94">
            <v>0.19536000000000001</v>
          </cell>
          <cell r="AJ94">
            <v>0.21607999999999999</v>
          </cell>
          <cell r="AK94">
            <v>0.53900000000000003</v>
          </cell>
          <cell r="AL94">
            <v>0.21098000000000003</v>
          </cell>
        </row>
        <row r="95">
          <cell r="C95" t="str">
            <v>6L_W3 STOPE</v>
          </cell>
          <cell r="D95" t="str">
            <v>Tonnes</v>
          </cell>
          <cell r="E95" t="str">
            <v>Budget (t)</v>
          </cell>
          <cell r="F95">
            <v>1960</v>
          </cell>
          <cell r="G95"/>
          <cell r="H95">
            <v>0</v>
          </cell>
          <cell r="I95">
            <v>70</v>
          </cell>
          <cell r="J95">
            <v>70</v>
          </cell>
          <cell r="K95">
            <v>70</v>
          </cell>
          <cell r="L95">
            <v>70</v>
          </cell>
          <cell r="M95">
            <v>70</v>
          </cell>
          <cell r="N95">
            <v>70</v>
          </cell>
          <cell r="O95">
            <v>70</v>
          </cell>
          <cell r="P95">
            <v>70</v>
          </cell>
          <cell r="Q95">
            <v>70</v>
          </cell>
          <cell r="R95">
            <v>70</v>
          </cell>
          <cell r="S95">
            <v>70</v>
          </cell>
          <cell r="T95">
            <v>70</v>
          </cell>
          <cell r="U95">
            <v>70</v>
          </cell>
          <cell r="V95">
            <v>70</v>
          </cell>
          <cell r="W95">
            <v>70</v>
          </cell>
          <cell r="X95">
            <v>70</v>
          </cell>
          <cell r="Y95">
            <v>70</v>
          </cell>
          <cell r="Z95">
            <v>70</v>
          </cell>
          <cell r="AA95">
            <v>70</v>
          </cell>
          <cell r="AB95">
            <v>70</v>
          </cell>
          <cell r="AC95">
            <v>70</v>
          </cell>
          <cell r="AD95">
            <v>70</v>
          </cell>
          <cell r="AE95">
            <v>70</v>
          </cell>
          <cell r="AF95">
            <v>0</v>
          </cell>
          <cell r="AG95">
            <v>70</v>
          </cell>
          <cell r="AH95">
            <v>70</v>
          </cell>
          <cell r="AI95">
            <v>70</v>
          </cell>
          <cell r="AJ95">
            <v>70</v>
          </cell>
          <cell r="AK95">
            <v>70</v>
          </cell>
          <cell r="AL95">
            <v>70</v>
          </cell>
        </row>
        <row r="96">
          <cell r="E96" t="str">
            <v>Actual (t)</v>
          </cell>
          <cell r="F96">
            <v>1376</v>
          </cell>
          <cell r="G96">
            <v>-0.29795918367346941</v>
          </cell>
          <cell r="H96">
            <v>72</v>
          </cell>
          <cell r="I96">
            <v>70</v>
          </cell>
          <cell r="J96">
            <v>78</v>
          </cell>
          <cell r="K96">
            <v>70</v>
          </cell>
          <cell r="L96">
            <v>18</v>
          </cell>
          <cell r="M96">
            <v>72</v>
          </cell>
          <cell r="N96">
            <v>78</v>
          </cell>
          <cell r="O96">
            <v>72</v>
          </cell>
          <cell r="P96">
            <v>71</v>
          </cell>
          <cell r="Q96">
            <v>72</v>
          </cell>
          <cell r="R96">
            <v>84</v>
          </cell>
          <cell r="S96">
            <v>38</v>
          </cell>
          <cell r="T96">
            <v>37</v>
          </cell>
          <cell r="U96">
            <v>69</v>
          </cell>
          <cell r="V96">
            <v>71</v>
          </cell>
          <cell r="W96">
            <v>70</v>
          </cell>
          <cell r="X96">
            <v>66</v>
          </cell>
          <cell r="Y96">
            <v>61</v>
          </cell>
          <cell r="Z96">
            <v>100</v>
          </cell>
          <cell r="AA96">
            <v>34</v>
          </cell>
          <cell r="AB96">
            <v>73</v>
          </cell>
          <cell r="AC96">
            <v>0</v>
          </cell>
          <cell r="AD96"/>
          <cell r="AE96"/>
          <cell r="AF96"/>
          <cell r="AG96"/>
          <cell r="AH96"/>
          <cell r="AI96"/>
          <cell r="AJ96"/>
          <cell r="AK96"/>
          <cell r="AL96"/>
        </row>
        <row r="97">
          <cell r="E97" t="str">
            <v>Reason if Actual is RED</v>
          </cell>
          <cell r="F97"/>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row>
        <row r="98">
          <cell r="D98" t="str">
            <v>Grade</v>
          </cell>
          <cell r="E98" t="str">
            <v>Budget (g/t)</v>
          </cell>
          <cell r="F98">
            <v>2.9081122448979615</v>
          </cell>
          <cell r="G98"/>
          <cell r="H98">
            <v>0</v>
          </cell>
          <cell r="I98">
            <v>2.91</v>
          </cell>
          <cell r="J98">
            <v>2.91</v>
          </cell>
          <cell r="K98">
            <v>2.91</v>
          </cell>
          <cell r="L98">
            <v>2.91</v>
          </cell>
          <cell r="M98">
            <v>2.91</v>
          </cell>
          <cell r="N98">
            <v>2.91</v>
          </cell>
          <cell r="O98">
            <v>2.91</v>
          </cell>
          <cell r="P98">
            <v>2.91</v>
          </cell>
          <cell r="Q98">
            <v>2.91</v>
          </cell>
          <cell r="R98">
            <v>2.91</v>
          </cell>
          <cell r="S98">
            <v>2.91</v>
          </cell>
          <cell r="T98">
            <v>2.91</v>
          </cell>
          <cell r="U98">
            <v>2.91</v>
          </cell>
          <cell r="V98">
            <v>2.91</v>
          </cell>
          <cell r="W98">
            <v>2.91</v>
          </cell>
          <cell r="X98">
            <v>2.91</v>
          </cell>
          <cell r="Y98">
            <v>2.91</v>
          </cell>
          <cell r="Z98">
            <v>2.91</v>
          </cell>
          <cell r="AA98">
            <v>2.91</v>
          </cell>
          <cell r="AB98">
            <v>2.91</v>
          </cell>
          <cell r="AC98">
            <v>2.91</v>
          </cell>
          <cell r="AD98">
            <v>2.91</v>
          </cell>
          <cell r="AE98">
            <v>2.91</v>
          </cell>
          <cell r="AF98"/>
          <cell r="AG98">
            <v>2.91</v>
          </cell>
          <cell r="AH98">
            <v>2.91</v>
          </cell>
          <cell r="AI98">
            <v>2.91</v>
          </cell>
          <cell r="AJ98">
            <v>2.91</v>
          </cell>
          <cell r="AK98">
            <v>2.91</v>
          </cell>
          <cell r="AL98">
            <v>2.91</v>
          </cell>
        </row>
        <row r="99">
          <cell r="E99" t="str">
            <v>Actual (g/t)</v>
          </cell>
          <cell r="F99">
            <v>2.347739825581395</v>
          </cell>
          <cell r="G99">
            <v>-0.19269284406050446</v>
          </cell>
          <cell r="H99"/>
          <cell r="I99">
            <v>2.38</v>
          </cell>
          <cell r="J99">
            <v>1.88</v>
          </cell>
          <cell r="K99">
            <v>1.88</v>
          </cell>
          <cell r="L99">
            <v>2.0099999999999998</v>
          </cell>
          <cell r="M99">
            <v>2.0099999999999998</v>
          </cell>
          <cell r="N99">
            <v>3.17</v>
          </cell>
          <cell r="O99">
            <v>3.44</v>
          </cell>
          <cell r="P99">
            <v>2.36</v>
          </cell>
          <cell r="Q99">
            <v>3.07</v>
          </cell>
          <cell r="R99">
            <v>3.07</v>
          </cell>
          <cell r="S99">
            <v>2.72</v>
          </cell>
          <cell r="T99">
            <v>0.4</v>
          </cell>
          <cell r="U99">
            <v>1.1399999999999999</v>
          </cell>
          <cell r="V99">
            <v>0.91</v>
          </cell>
          <cell r="W99">
            <v>5.48</v>
          </cell>
          <cell r="X99">
            <v>2.44</v>
          </cell>
          <cell r="Y99">
            <v>2.44</v>
          </cell>
          <cell r="Z99">
            <v>2.5</v>
          </cell>
          <cell r="AA99">
            <v>2.19</v>
          </cell>
          <cell r="AB99">
            <v>2.52</v>
          </cell>
          <cell r="AC99"/>
          <cell r="AD99"/>
          <cell r="AE99"/>
          <cell r="AF99"/>
          <cell r="AG99"/>
          <cell r="AH99"/>
          <cell r="AI99"/>
          <cell r="AJ99"/>
          <cell r="AK99"/>
          <cell r="AL99"/>
        </row>
        <row r="100">
          <cell r="D100" t="str">
            <v>Gold</v>
          </cell>
          <cell r="E100" t="str">
            <v>Budget (kg)</v>
          </cell>
          <cell r="F100">
            <v>5.699900000000004</v>
          </cell>
          <cell r="G100"/>
          <cell r="H100">
            <v>0</v>
          </cell>
          <cell r="I100">
            <v>0.20370000000000002</v>
          </cell>
          <cell r="J100">
            <v>0.20370000000000002</v>
          </cell>
          <cell r="K100">
            <v>0.20370000000000002</v>
          </cell>
          <cell r="L100">
            <v>0.20370000000000002</v>
          </cell>
          <cell r="M100">
            <v>0.20370000000000002</v>
          </cell>
          <cell r="N100">
            <v>0.20370000000000002</v>
          </cell>
          <cell r="O100">
            <v>0.20370000000000002</v>
          </cell>
          <cell r="P100">
            <v>0.20370000000000002</v>
          </cell>
          <cell r="Q100">
            <v>0.20370000000000002</v>
          </cell>
          <cell r="R100">
            <v>0.20370000000000002</v>
          </cell>
          <cell r="S100">
            <v>0.20370000000000002</v>
          </cell>
          <cell r="T100">
            <v>0.20370000000000002</v>
          </cell>
          <cell r="U100">
            <v>0.20370000000000002</v>
          </cell>
          <cell r="V100">
            <v>0.20370000000000002</v>
          </cell>
          <cell r="W100">
            <v>0.20370000000000002</v>
          </cell>
          <cell r="X100">
            <v>0.20370000000000002</v>
          </cell>
          <cell r="Y100">
            <v>0.20370000000000002</v>
          </cell>
          <cell r="Z100">
            <v>0.20370000000000002</v>
          </cell>
          <cell r="AA100">
            <v>0.2</v>
          </cell>
          <cell r="AB100">
            <v>0.20370000000000002</v>
          </cell>
          <cell r="AC100">
            <v>0.20370000000000002</v>
          </cell>
          <cell r="AD100">
            <v>0.20370000000000002</v>
          </cell>
          <cell r="AE100">
            <v>0.20370000000000002</v>
          </cell>
          <cell r="AF100">
            <v>0</v>
          </cell>
          <cell r="AG100">
            <v>0.20370000000000002</v>
          </cell>
          <cell r="AH100">
            <v>0.20370000000000002</v>
          </cell>
          <cell r="AI100">
            <v>0.20370000000000002</v>
          </cell>
          <cell r="AJ100">
            <v>0.20370000000000002</v>
          </cell>
          <cell r="AK100">
            <v>0.20370000000000002</v>
          </cell>
          <cell r="AL100">
            <v>0.20370000000000002</v>
          </cell>
        </row>
        <row r="101">
          <cell r="E101" t="str">
            <v>Actual (kg)</v>
          </cell>
          <cell r="F101">
            <v>3.2304899999999996</v>
          </cell>
          <cell r="G101">
            <v>-0.43323742521798675</v>
          </cell>
          <cell r="H101">
            <v>0</v>
          </cell>
          <cell r="I101">
            <v>0.1666</v>
          </cell>
          <cell r="J101">
            <v>0.14663999999999999</v>
          </cell>
          <cell r="K101">
            <v>0.13159999999999999</v>
          </cell>
          <cell r="L101">
            <v>3.617999999999999E-2</v>
          </cell>
          <cell r="M101">
            <v>0.14471999999999996</v>
          </cell>
          <cell r="N101">
            <v>0.24725999999999998</v>
          </cell>
          <cell r="O101">
            <v>0.24768000000000001</v>
          </cell>
          <cell r="P101">
            <v>0.16756000000000001</v>
          </cell>
          <cell r="Q101">
            <v>0.22103999999999999</v>
          </cell>
          <cell r="R101">
            <v>0.25788</v>
          </cell>
          <cell r="S101">
            <v>0.10336000000000001</v>
          </cell>
          <cell r="T101">
            <v>1.4800000000000001E-2</v>
          </cell>
          <cell r="U101">
            <v>7.8659999999999994E-2</v>
          </cell>
          <cell r="V101">
            <v>6.4610000000000001E-2</v>
          </cell>
          <cell r="W101">
            <v>0.3836</v>
          </cell>
          <cell r="X101">
            <v>0.16103999999999999</v>
          </cell>
          <cell r="Y101">
            <v>0.14884</v>
          </cell>
          <cell r="Z101">
            <v>0.25</v>
          </cell>
          <cell r="AA101">
            <v>7.4459999999999998E-2</v>
          </cell>
          <cell r="AB101">
            <v>0.18396000000000001</v>
          </cell>
          <cell r="AC101">
            <v>0</v>
          </cell>
          <cell r="AD101">
            <v>0</v>
          </cell>
          <cell r="AE101">
            <v>0</v>
          </cell>
          <cell r="AF101">
            <v>0</v>
          </cell>
          <cell r="AG101">
            <v>0</v>
          </cell>
          <cell r="AH101">
            <v>0</v>
          </cell>
          <cell r="AI101">
            <v>0</v>
          </cell>
          <cell r="AJ101">
            <v>0</v>
          </cell>
          <cell r="AK101">
            <v>0</v>
          </cell>
          <cell r="AL101">
            <v>0</v>
          </cell>
        </row>
        <row r="102">
          <cell r="C102" t="str">
            <v>6L_W8 STOPE</v>
          </cell>
          <cell r="D102" t="str">
            <v>Tonnes</v>
          </cell>
          <cell r="E102" t="str">
            <v>Budget (t)</v>
          </cell>
          <cell r="F102">
            <v>1960</v>
          </cell>
          <cell r="G102"/>
          <cell r="H102">
            <v>0</v>
          </cell>
          <cell r="I102">
            <v>70</v>
          </cell>
          <cell r="J102">
            <v>70</v>
          </cell>
          <cell r="K102">
            <v>70</v>
          </cell>
          <cell r="L102">
            <v>70</v>
          </cell>
          <cell r="M102">
            <v>70</v>
          </cell>
          <cell r="N102">
            <v>70</v>
          </cell>
          <cell r="O102">
            <v>70</v>
          </cell>
          <cell r="P102">
            <v>70</v>
          </cell>
          <cell r="Q102">
            <v>70</v>
          </cell>
          <cell r="R102">
            <v>70</v>
          </cell>
          <cell r="S102">
            <v>70</v>
          </cell>
          <cell r="T102">
            <v>70</v>
          </cell>
          <cell r="U102">
            <v>70</v>
          </cell>
          <cell r="V102">
            <v>70</v>
          </cell>
          <cell r="W102">
            <v>70</v>
          </cell>
          <cell r="X102">
            <v>70</v>
          </cell>
          <cell r="Y102">
            <v>70</v>
          </cell>
          <cell r="Z102">
            <v>70</v>
          </cell>
          <cell r="AA102">
            <v>70</v>
          </cell>
          <cell r="AB102">
            <v>70</v>
          </cell>
          <cell r="AC102">
            <v>70</v>
          </cell>
          <cell r="AD102">
            <v>70</v>
          </cell>
          <cell r="AE102">
            <v>70</v>
          </cell>
          <cell r="AF102">
            <v>0</v>
          </cell>
          <cell r="AG102">
            <v>70</v>
          </cell>
          <cell r="AH102">
            <v>70</v>
          </cell>
          <cell r="AI102">
            <v>70</v>
          </cell>
          <cell r="AJ102">
            <v>70</v>
          </cell>
          <cell r="AK102">
            <v>70</v>
          </cell>
          <cell r="AL102">
            <v>70</v>
          </cell>
        </row>
        <row r="103">
          <cell r="E103" t="str">
            <v>Actual (t)</v>
          </cell>
          <cell r="F103">
            <v>1833</v>
          </cell>
          <cell r="G103">
            <v>-6.4795918367346939E-2</v>
          </cell>
          <cell r="H103">
            <v>73</v>
          </cell>
          <cell r="I103">
            <v>80</v>
          </cell>
          <cell r="J103">
            <v>78</v>
          </cell>
          <cell r="K103">
            <v>72</v>
          </cell>
          <cell r="L103">
            <v>70</v>
          </cell>
          <cell r="M103">
            <v>86</v>
          </cell>
          <cell r="N103">
            <v>77</v>
          </cell>
          <cell r="O103">
            <v>28</v>
          </cell>
          <cell r="P103">
            <v>71</v>
          </cell>
          <cell r="Q103">
            <v>70</v>
          </cell>
          <cell r="R103">
            <v>73</v>
          </cell>
          <cell r="S103">
            <v>70</v>
          </cell>
          <cell r="T103">
            <v>68</v>
          </cell>
          <cell r="U103">
            <v>69</v>
          </cell>
          <cell r="V103">
            <v>70</v>
          </cell>
          <cell r="W103">
            <v>70</v>
          </cell>
          <cell r="X103">
            <v>70</v>
          </cell>
          <cell r="Y103">
            <v>63</v>
          </cell>
          <cell r="Z103">
            <v>66</v>
          </cell>
          <cell r="AA103">
            <v>70</v>
          </cell>
          <cell r="AB103">
            <v>72</v>
          </cell>
          <cell r="AC103">
            <v>78</v>
          </cell>
          <cell r="AD103">
            <v>72</v>
          </cell>
          <cell r="AE103">
            <v>34</v>
          </cell>
          <cell r="AF103"/>
          <cell r="AG103">
            <v>38</v>
          </cell>
          <cell r="AH103">
            <v>34</v>
          </cell>
          <cell r="AI103">
            <v>37</v>
          </cell>
          <cell r="AJ103">
            <v>36</v>
          </cell>
          <cell r="AK103">
            <v>38</v>
          </cell>
          <cell r="AL103">
            <v>39</v>
          </cell>
        </row>
        <row r="104">
          <cell r="E104" t="str">
            <v>Reason if Actual is RED</v>
          </cell>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row>
        <row r="105">
          <cell r="D105" t="str">
            <v>Grade</v>
          </cell>
          <cell r="E105" t="str">
            <v>Budget (g/t)</v>
          </cell>
          <cell r="F105">
            <v>2.9426530612244899</v>
          </cell>
          <cell r="G105"/>
          <cell r="H105"/>
          <cell r="I105">
            <v>2.84</v>
          </cell>
          <cell r="J105">
            <v>2.84</v>
          </cell>
          <cell r="K105">
            <v>2.84</v>
          </cell>
          <cell r="L105">
            <v>2.84</v>
          </cell>
          <cell r="M105">
            <v>2.84</v>
          </cell>
          <cell r="N105">
            <v>2.84</v>
          </cell>
          <cell r="O105">
            <v>2.84</v>
          </cell>
          <cell r="P105">
            <v>2.84</v>
          </cell>
          <cell r="Q105">
            <v>2.84</v>
          </cell>
          <cell r="R105">
            <v>2.84</v>
          </cell>
          <cell r="S105">
            <v>2.84</v>
          </cell>
          <cell r="T105">
            <v>2.84</v>
          </cell>
          <cell r="U105">
            <v>2.84</v>
          </cell>
          <cell r="V105">
            <v>2.84</v>
          </cell>
          <cell r="W105">
            <v>2.84</v>
          </cell>
          <cell r="X105">
            <v>2.84</v>
          </cell>
          <cell r="Y105">
            <v>2.84</v>
          </cell>
          <cell r="Z105">
            <v>2.84</v>
          </cell>
          <cell r="AA105">
            <v>2.84</v>
          </cell>
          <cell r="AB105">
            <v>2.84</v>
          </cell>
          <cell r="AC105">
            <v>2.84</v>
          </cell>
          <cell r="AD105">
            <v>2.84</v>
          </cell>
          <cell r="AE105">
            <v>2.84</v>
          </cell>
          <cell r="AF105"/>
          <cell r="AG105">
            <v>2.84</v>
          </cell>
          <cell r="AH105">
            <v>2.84</v>
          </cell>
          <cell r="AI105">
            <v>2.84</v>
          </cell>
          <cell r="AJ105">
            <v>2.84</v>
          </cell>
          <cell r="AK105">
            <v>2.84</v>
          </cell>
          <cell r="AL105">
            <v>2.84</v>
          </cell>
        </row>
        <row r="106">
          <cell r="E106" t="str">
            <v>Actual (g/t)</v>
          </cell>
          <cell r="F106">
            <v>3.8256519367157669</v>
          </cell>
          <cell r="G106">
            <v>0.30006897079598149</v>
          </cell>
          <cell r="H106">
            <v>4.42</v>
          </cell>
          <cell r="I106">
            <v>2.92</v>
          </cell>
          <cell r="J106">
            <v>3.81</v>
          </cell>
          <cell r="K106">
            <v>3.81</v>
          </cell>
          <cell r="L106">
            <v>2.63</v>
          </cell>
          <cell r="M106">
            <v>2.66</v>
          </cell>
          <cell r="N106">
            <v>3.31</v>
          </cell>
          <cell r="O106">
            <v>2.08</v>
          </cell>
          <cell r="P106">
            <v>2.23</v>
          </cell>
          <cell r="Q106">
            <v>5.95</v>
          </cell>
          <cell r="R106">
            <v>5.95</v>
          </cell>
          <cell r="S106">
            <v>3.27</v>
          </cell>
          <cell r="T106">
            <v>6.78</v>
          </cell>
          <cell r="U106">
            <v>2.15</v>
          </cell>
          <cell r="V106">
            <v>6.63</v>
          </cell>
          <cell r="W106">
            <v>4.12</v>
          </cell>
          <cell r="X106">
            <v>2.91</v>
          </cell>
          <cell r="Y106">
            <v>2.91</v>
          </cell>
          <cell r="Z106">
            <v>3.09</v>
          </cell>
          <cell r="AA106">
            <v>5.75</v>
          </cell>
          <cell r="AB106">
            <v>2.87</v>
          </cell>
          <cell r="AC106">
            <v>6.55</v>
          </cell>
          <cell r="AD106">
            <v>2.48</v>
          </cell>
          <cell r="AE106">
            <v>2.4</v>
          </cell>
          <cell r="AF106"/>
          <cell r="AG106">
            <v>2.4</v>
          </cell>
          <cell r="AH106">
            <v>2.17</v>
          </cell>
          <cell r="AI106">
            <v>2.4900000000000002</v>
          </cell>
          <cell r="AJ106">
            <v>1.79</v>
          </cell>
          <cell r="AK106">
            <v>7</v>
          </cell>
          <cell r="AL106">
            <v>3.3</v>
          </cell>
        </row>
        <row r="107">
          <cell r="D107" t="str">
            <v>Gold</v>
          </cell>
          <cell r="E107" t="str">
            <v>Budget (kg)</v>
          </cell>
          <cell r="F107">
            <v>5.7676000000000007</v>
          </cell>
          <cell r="G107"/>
          <cell r="H107">
            <v>0</v>
          </cell>
          <cell r="I107">
            <v>0.19879999999999998</v>
          </cell>
          <cell r="J107">
            <v>0.19879999999999998</v>
          </cell>
          <cell r="K107">
            <v>0.19879999999999998</v>
          </cell>
          <cell r="L107">
            <v>0.19879999999999998</v>
          </cell>
          <cell r="M107">
            <v>0.19879999999999998</v>
          </cell>
          <cell r="N107">
            <v>0.19879999999999998</v>
          </cell>
          <cell r="O107">
            <v>0.19879999999999998</v>
          </cell>
          <cell r="P107">
            <v>0.19879999999999998</v>
          </cell>
          <cell r="Q107">
            <v>0.19879999999999998</v>
          </cell>
          <cell r="R107">
            <v>0.19879999999999998</v>
          </cell>
          <cell r="S107">
            <v>0.19879999999999998</v>
          </cell>
          <cell r="T107">
            <v>0.19879999999999998</v>
          </cell>
          <cell r="U107">
            <v>0.19879999999999998</v>
          </cell>
          <cell r="V107">
            <v>0.19879999999999998</v>
          </cell>
          <cell r="W107">
            <v>0.19879999999999998</v>
          </cell>
          <cell r="X107">
            <v>0.19879999999999998</v>
          </cell>
          <cell r="Y107">
            <v>0.19879999999999998</v>
          </cell>
          <cell r="Z107">
            <v>0.19879999999999998</v>
          </cell>
          <cell r="AA107">
            <v>0.4</v>
          </cell>
          <cell r="AB107">
            <v>0.19879999999999998</v>
          </cell>
          <cell r="AC107">
            <v>0.19879999999999998</v>
          </cell>
          <cell r="AD107">
            <v>0.19879999999999998</v>
          </cell>
          <cell r="AE107">
            <v>0.19879999999999998</v>
          </cell>
          <cell r="AF107">
            <v>0</v>
          </cell>
          <cell r="AG107">
            <v>0.19879999999999998</v>
          </cell>
          <cell r="AH107">
            <v>0.19879999999999998</v>
          </cell>
          <cell r="AI107">
            <v>0.19879999999999998</v>
          </cell>
          <cell r="AJ107">
            <v>0.19879999999999998</v>
          </cell>
          <cell r="AK107">
            <v>0.19879999999999998</v>
          </cell>
          <cell r="AL107">
            <v>0.19879999999999998</v>
          </cell>
        </row>
        <row r="108">
          <cell r="E108" t="str">
            <v>Actual (kg)</v>
          </cell>
          <cell r="F108">
            <v>7.0124200000000014</v>
          </cell>
          <cell r="G108">
            <v>0.21582980789236433</v>
          </cell>
          <cell r="H108">
            <v>0.32265999999999995</v>
          </cell>
          <cell r="I108">
            <v>0.2336</v>
          </cell>
          <cell r="J108">
            <v>0.29718</v>
          </cell>
          <cell r="K108">
            <v>0.27432000000000001</v>
          </cell>
          <cell r="L108">
            <v>0.18409999999999999</v>
          </cell>
          <cell r="M108">
            <v>0.22876000000000002</v>
          </cell>
          <cell r="N108">
            <v>0.25486999999999999</v>
          </cell>
          <cell r="O108">
            <v>5.824E-2</v>
          </cell>
          <cell r="P108">
            <v>0.15833000000000003</v>
          </cell>
          <cell r="Q108">
            <v>0.41649999999999998</v>
          </cell>
          <cell r="R108">
            <v>0.43435000000000001</v>
          </cell>
          <cell r="S108">
            <v>0.22889999999999999</v>
          </cell>
          <cell r="T108">
            <v>0.46104000000000001</v>
          </cell>
          <cell r="U108">
            <v>0.14834999999999998</v>
          </cell>
          <cell r="V108">
            <v>0.46409999999999996</v>
          </cell>
          <cell r="W108">
            <v>0.28840000000000005</v>
          </cell>
          <cell r="X108">
            <v>0.20370000000000002</v>
          </cell>
          <cell r="Y108">
            <v>0.18333000000000002</v>
          </cell>
          <cell r="Z108">
            <v>0.20394000000000001</v>
          </cell>
          <cell r="AA108">
            <v>0.40250000000000002</v>
          </cell>
          <cell r="AB108">
            <v>0.20664000000000002</v>
          </cell>
          <cell r="AC108">
            <v>0.51090000000000002</v>
          </cell>
          <cell r="AD108">
            <v>0.17856</v>
          </cell>
          <cell r="AE108">
            <v>8.1599999999999992E-2</v>
          </cell>
          <cell r="AF108">
            <v>0</v>
          </cell>
          <cell r="AG108">
            <v>9.1200000000000003E-2</v>
          </cell>
          <cell r="AH108">
            <v>7.3779999999999998E-2</v>
          </cell>
          <cell r="AI108">
            <v>9.2130000000000004E-2</v>
          </cell>
          <cell r="AJ108">
            <v>6.4439999999999997E-2</v>
          </cell>
          <cell r="AK108">
            <v>0.26600000000000001</v>
          </cell>
          <cell r="AL108">
            <v>0.12869999999999998</v>
          </cell>
        </row>
        <row r="109">
          <cell r="C109" t="str">
            <v>6L_W14 STOPE</v>
          </cell>
          <cell r="D109" t="str">
            <v>Tonnes</v>
          </cell>
          <cell r="E109" t="str">
            <v>Budget (t)</v>
          </cell>
          <cell r="F109">
            <v>1960</v>
          </cell>
          <cell r="G109"/>
          <cell r="H109">
            <v>0</v>
          </cell>
          <cell r="I109">
            <v>70</v>
          </cell>
          <cell r="J109">
            <v>70</v>
          </cell>
          <cell r="K109">
            <v>70</v>
          </cell>
          <cell r="L109">
            <v>70</v>
          </cell>
          <cell r="M109">
            <v>70</v>
          </cell>
          <cell r="N109">
            <v>70</v>
          </cell>
          <cell r="O109">
            <v>70</v>
          </cell>
          <cell r="P109">
            <v>70</v>
          </cell>
          <cell r="Q109">
            <v>70</v>
          </cell>
          <cell r="R109">
            <v>70</v>
          </cell>
          <cell r="S109">
            <v>70</v>
          </cell>
          <cell r="T109">
            <v>70</v>
          </cell>
          <cell r="U109">
            <v>70</v>
          </cell>
          <cell r="V109">
            <v>70</v>
          </cell>
          <cell r="W109">
            <v>70</v>
          </cell>
          <cell r="X109">
            <v>70</v>
          </cell>
          <cell r="Y109">
            <v>70</v>
          </cell>
          <cell r="Z109">
            <v>70</v>
          </cell>
          <cell r="AA109">
            <v>70</v>
          </cell>
          <cell r="AB109">
            <v>70</v>
          </cell>
          <cell r="AC109">
            <v>70</v>
          </cell>
          <cell r="AD109">
            <v>70</v>
          </cell>
          <cell r="AE109">
            <v>70</v>
          </cell>
          <cell r="AF109">
            <v>0</v>
          </cell>
          <cell r="AG109">
            <v>70</v>
          </cell>
          <cell r="AH109">
            <v>70</v>
          </cell>
          <cell r="AI109">
            <v>70</v>
          </cell>
          <cell r="AJ109">
            <v>70</v>
          </cell>
          <cell r="AK109">
            <v>70</v>
          </cell>
          <cell r="AL109">
            <v>70</v>
          </cell>
        </row>
        <row r="110">
          <cell r="E110" t="str">
            <v>Actual (t)</v>
          </cell>
          <cell r="F110">
            <v>1694</v>
          </cell>
          <cell r="G110">
            <v>-0.1357142857142857</v>
          </cell>
          <cell r="H110">
            <v>70</v>
          </cell>
          <cell r="I110">
            <v>76</v>
          </cell>
          <cell r="J110">
            <v>80</v>
          </cell>
          <cell r="K110">
            <v>71</v>
          </cell>
          <cell r="L110">
            <v>43</v>
          </cell>
          <cell r="M110">
            <v>51</v>
          </cell>
          <cell r="N110">
            <v>37</v>
          </cell>
          <cell r="O110">
            <v>47</v>
          </cell>
          <cell r="P110">
            <v>58</v>
          </cell>
          <cell r="Q110">
            <v>70</v>
          </cell>
          <cell r="R110"/>
          <cell r="S110">
            <v>136</v>
          </cell>
          <cell r="T110">
            <v>72</v>
          </cell>
          <cell r="U110">
            <v>0</v>
          </cell>
          <cell r="V110">
            <v>0</v>
          </cell>
          <cell r="W110">
            <v>68</v>
          </cell>
          <cell r="X110">
            <v>70</v>
          </cell>
          <cell r="Y110">
            <v>72</v>
          </cell>
          <cell r="Z110">
            <v>70</v>
          </cell>
          <cell r="AA110">
            <v>70</v>
          </cell>
          <cell r="AB110">
            <v>0</v>
          </cell>
          <cell r="AC110">
            <v>73</v>
          </cell>
          <cell r="AD110">
            <v>60</v>
          </cell>
          <cell r="AE110">
            <v>67</v>
          </cell>
          <cell r="AF110"/>
          <cell r="AG110">
            <v>35</v>
          </cell>
          <cell r="AH110">
            <v>70</v>
          </cell>
          <cell r="AI110">
            <v>75</v>
          </cell>
          <cell r="AJ110">
            <v>75</v>
          </cell>
          <cell r="AK110">
            <v>78</v>
          </cell>
          <cell r="AL110">
            <v>77</v>
          </cell>
        </row>
        <row r="111">
          <cell r="E111" t="str">
            <v>Reason if Actual is RED</v>
          </cell>
          <cell r="F111"/>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row>
        <row r="112">
          <cell r="D112" t="str">
            <v>Grade</v>
          </cell>
          <cell r="E112" t="str">
            <v>Budget (g/t)</v>
          </cell>
          <cell r="F112">
            <v>2.2234693877551015</v>
          </cell>
          <cell r="G112"/>
          <cell r="H112">
            <v>0</v>
          </cell>
          <cell r="I112">
            <v>2.2000000000000002</v>
          </cell>
          <cell r="J112">
            <v>2.2000000000000002</v>
          </cell>
          <cell r="K112">
            <v>2.2000000000000002</v>
          </cell>
          <cell r="L112">
            <v>2.2000000000000002</v>
          </cell>
          <cell r="M112">
            <v>2.2000000000000002</v>
          </cell>
          <cell r="N112">
            <v>2.2000000000000002</v>
          </cell>
          <cell r="O112">
            <v>2.2000000000000002</v>
          </cell>
          <cell r="P112">
            <v>2.2000000000000002</v>
          </cell>
          <cell r="Q112">
            <v>2.2000000000000002</v>
          </cell>
          <cell r="R112">
            <v>2.2000000000000002</v>
          </cell>
          <cell r="S112">
            <v>2.2000000000000002</v>
          </cell>
          <cell r="T112">
            <v>2.2000000000000002</v>
          </cell>
          <cell r="U112">
            <v>2.2000000000000002</v>
          </cell>
          <cell r="V112">
            <v>2.2000000000000002</v>
          </cell>
          <cell r="W112">
            <v>2.2000000000000002</v>
          </cell>
          <cell r="X112">
            <v>2.2000000000000002</v>
          </cell>
          <cell r="Y112">
            <v>2.2000000000000002</v>
          </cell>
          <cell r="Z112">
            <v>2.2000000000000002</v>
          </cell>
          <cell r="AA112">
            <v>2.2000000000000002</v>
          </cell>
          <cell r="AB112">
            <v>2.2000000000000002</v>
          </cell>
          <cell r="AC112">
            <v>2.2000000000000002</v>
          </cell>
          <cell r="AD112">
            <v>2.2000000000000002</v>
          </cell>
          <cell r="AE112">
            <v>2.2000000000000002</v>
          </cell>
          <cell r="AF112"/>
          <cell r="AG112">
            <v>2.2000000000000002</v>
          </cell>
          <cell r="AH112">
            <v>2.2000000000000002</v>
          </cell>
          <cell r="AI112">
            <v>2.2000000000000002</v>
          </cell>
          <cell r="AJ112">
            <v>2.2000000000000002</v>
          </cell>
          <cell r="AK112">
            <v>2.2000000000000002</v>
          </cell>
          <cell r="AL112">
            <v>2.2000000000000002</v>
          </cell>
        </row>
        <row r="113">
          <cell r="E113" t="str">
            <v>Actual (g/t)</v>
          </cell>
          <cell r="F113">
            <v>2.9337662337662334</v>
          </cell>
          <cell r="G113">
            <v>0.31945429513121126</v>
          </cell>
          <cell r="H113"/>
          <cell r="I113">
            <v>3.47</v>
          </cell>
          <cell r="J113">
            <v>3.52</v>
          </cell>
          <cell r="K113">
            <v>3.52</v>
          </cell>
          <cell r="L113">
            <v>4.2</v>
          </cell>
          <cell r="M113">
            <v>1.56</v>
          </cell>
          <cell r="N113">
            <v>1.2</v>
          </cell>
          <cell r="O113">
            <v>1.01</v>
          </cell>
          <cell r="P113">
            <v>6.93</v>
          </cell>
          <cell r="Q113">
            <v>5.44</v>
          </cell>
          <cell r="R113"/>
          <cell r="S113">
            <v>2.8</v>
          </cell>
          <cell r="T113">
            <v>5.71</v>
          </cell>
          <cell r="U113"/>
          <cell r="V113">
            <v>3.12</v>
          </cell>
          <cell r="W113">
            <v>4.66</v>
          </cell>
          <cell r="X113">
            <v>1.03</v>
          </cell>
          <cell r="Y113">
            <v>1.03</v>
          </cell>
          <cell r="Z113">
            <v>1.85</v>
          </cell>
          <cell r="AA113">
            <v>1.94</v>
          </cell>
          <cell r="AB113"/>
          <cell r="AC113">
            <v>2.65</v>
          </cell>
          <cell r="AD113">
            <v>2.25</v>
          </cell>
          <cell r="AE113">
            <v>3.56</v>
          </cell>
          <cell r="AF113"/>
          <cell r="AG113">
            <v>3.56</v>
          </cell>
          <cell r="AH113">
            <v>1.27</v>
          </cell>
          <cell r="AI113">
            <v>3</v>
          </cell>
          <cell r="AJ113">
            <v>4.18</v>
          </cell>
          <cell r="AK113">
            <v>2.57</v>
          </cell>
          <cell r="AL113">
            <v>3.66</v>
          </cell>
        </row>
        <row r="114">
          <cell r="D114" t="str">
            <v>Gold</v>
          </cell>
          <cell r="E114" t="str">
            <v>Budget (kg)</v>
          </cell>
          <cell r="F114">
            <v>4.3579999999999988</v>
          </cell>
          <cell r="G114"/>
          <cell r="H114">
            <v>0</v>
          </cell>
          <cell r="I114">
            <v>0.154</v>
          </cell>
          <cell r="J114">
            <v>0.154</v>
          </cell>
          <cell r="K114">
            <v>0.154</v>
          </cell>
          <cell r="L114">
            <v>0.154</v>
          </cell>
          <cell r="M114">
            <v>0.154</v>
          </cell>
          <cell r="N114">
            <v>0.154</v>
          </cell>
          <cell r="O114">
            <v>0.154</v>
          </cell>
          <cell r="P114">
            <v>0.154</v>
          </cell>
          <cell r="Q114">
            <v>0.154</v>
          </cell>
          <cell r="R114">
            <v>0.154</v>
          </cell>
          <cell r="S114">
            <v>0.154</v>
          </cell>
          <cell r="T114">
            <v>0.154</v>
          </cell>
          <cell r="U114">
            <v>0.154</v>
          </cell>
          <cell r="V114">
            <v>0.154</v>
          </cell>
          <cell r="W114">
            <v>0.154</v>
          </cell>
          <cell r="X114">
            <v>0.154</v>
          </cell>
          <cell r="Y114">
            <v>0.154</v>
          </cell>
          <cell r="Z114">
            <v>0.154</v>
          </cell>
          <cell r="AA114">
            <v>0.2</v>
          </cell>
          <cell r="AB114">
            <v>0.154</v>
          </cell>
          <cell r="AC114">
            <v>0.154</v>
          </cell>
          <cell r="AD114">
            <v>0.154</v>
          </cell>
          <cell r="AE114">
            <v>0.154</v>
          </cell>
          <cell r="AF114">
            <v>0</v>
          </cell>
          <cell r="AG114">
            <v>0.154</v>
          </cell>
          <cell r="AH114">
            <v>0.154</v>
          </cell>
          <cell r="AI114">
            <v>0.154</v>
          </cell>
          <cell r="AJ114">
            <v>0.154</v>
          </cell>
          <cell r="AK114">
            <v>0.154</v>
          </cell>
          <cell r="AL114">
            <v>0.154</v>
          </cell>
        </row>
        <row r="115">
          <cell r="E115" t="str">
            <v>Actual (kg)</v>
          </cell>
          <cell r="F115">
            <v>4.9697999999999993</v>
          </cell>
          <cell r="G115">
            <v>0.14038549793483265</v>
          </cell>
          <cell r="H115">
            <v>0</v>
          </cell>
          <cell r="I115">
            <v>0.26372000000000001</v>
          </cell>
          <cell r="J115">
            <v>0.28160000000000002</v>
          </cell>
          <cell r="K115">
            <v>0.24991999999999998</v>
          </cell>
          <cell r="L115">
            <v>0.18059999999999998</v>
          </cell>
          <cell r="M115">
            <v>7.9560000000000006E-2</v>
          </cell>
          <cell r="N115">
            <v>4.4400000000000002E-2</v>
          </cell>
          <cell r="O115">
            <v>4.7469999999999998E-2</v>
          </cell>
          <cell r="P115">
            <v>0.40194000000000002</v>
          </cell>
          <cell r="Q115">
            <v>0.38080000000000003</v>
          </cell>
          <cell r="R115">
            <v>0</v>
          </cell>
          <cell r="S115">
            <v>0.38079999999999997</v>
          </cell>
          <cell r="T115">
            <v>0.41111999999999999</v>
          </cell>
          <cell r="U115">
            <v>0</v>
          </cell>
          <cell r="V115">
            <v>0</v>
          </cell>
          <cell r="W115">
            <v>0.31688</v>
          </cell>
          <cell r="X115">
            <v>7.2100000000000011E-2</v>
          </cell>
          <cell r="Y115">
            <v>7.415999999999999E-2</v>
          </cell>
          <cell r="Z115">
            <v>0.1295</v>
          </cell>
          <cell r="AA115">
            <v>0.13579999999999998</v>
          </cell>
          <cell r="AB115">
            <v>0</v>
          </cell>
          <cell r="AC115">
            <v>0.19344999999999998</v>
          </cell>
          <cell r="AD115">
            <v>0.13500000000000001</v>
          </cell>
          <cell r="AE115">
            <v>0.23852000000000001</v>
          </cell>
          <cell r="AF115">
            <v>0</v>
          </cell>
          <cell r="AG115">
            <v>0.1246</v>
          </cell>
          <cell r="AH115">
            <v>8.8900000000000007E-2</v>
          </cell>
          <cell r="AI115">
            <v>0.22500000000000001</v>
          </cell>
          <cell r="AJ115">
            <v>0.3135</v>
          </cell>
          <cell r="AK115">
            <v>0.20045999999999997</v>
          </cell>
          <cell r="AL115">
            <v>0.28182000000000001</v>
          </cell>
        </row>
        <row r="116">
          <cell r="C116" t="str">
            <v>6L_W15_STOPE</v>
          </cell>
          <cell r="D116" t="str">
            <v>Tonnes</v>
          </cell>
          <cell r="E116" t="str">
            <v>Budget (t)</v>
          </cell>
          <cell r="F116">
            <v>1960</v>
          </cell>
          <cell r="G116"/>
          <cell r="H116">
            <v>0</v>
          </cell>
          <cell r="I116">
            <v>70</v>
          </cell>
          <cell r="J116">
            <v>70</v>
          </cell>
          <cell r="K116">
            <v>70</v>
          </cell>
          <cell r="L116">
            <v>70</v>
          </cell>
          <cell r="M116">
            <v>70</v>
          </cell>
          <cell r="N116">
            <v>70</v>
          </cell>
          <cell r="O116">
            <v>70</v>
          </cell>
          <cell r="P116">
            <v>70</v>
          </cell>
          <cell r="Q116">
            <v>70</v>
          </cell>
          <cell r="R116">
            <v>70</v>
          </cell>
          <cell r="S116">
            <v>70</v>
          </cell>
          <cell r="T116">
            <v>70</v>
          </cell>
          <cell r="U116">
            <v>70</v>
          </cell>
          <cell r="V116">
            <v>70</v>
          </cell>
          <cell r="W116">
            <v>70</v>
          </cell>
          <cell r="X116">
            <v>70</v>
          </cell>
          <cell r="Y116">
            <v>70</v>
          </cell>
          <cell r="Z116">
            <v>70</v>
          </cell>
          <cell r="AA116">
            <v>70</v>
          </cell>
          <cell r="AB116">
            <v>70</v>
          </cell>
          <cell r="AC116">
            <v>70</v>
          </cell>
          <cell r="AD116">
            <v>70</v>
          </cell>
          <cell r="AE116">
            <v>70</v>
          </cell>
          <cell r="AF116">
            <v>0</v>
          </cell>
          <cell r="AG116">
            <v>70</v>
          </cell>
          <cell r="AH116">
            <v>70</v>
          </cell>
          <cell r="AI116">
            <v>70</v>
          </cell>
          <cell r="AJ116">
            <v>70</v>
          </cell>
          <cell r="AK116">
            <v>70</v>
          </cell>
          <cell r="AL116">
            <v>70</v>
          </cell>
        </row>
        <row r="117">
          <cell r="E117" t="str">
            <v>Actual (t)</v>
          </cell>
          <cell r="F117">
            <v>1541</v>
          </cell>
          <cell r="G117">
            <v>-0.21377551020408164</v>
          </cell>
          <cell r="H117">
            <v>46</v>
          </cell>
          <cell r="I117">
            <v>37</v>
          </cell>
          <cell r="J117">
            <v>30</v>
          </cell>
          <cell r="K117">
            <v>51</v>
          </cell>
          <cell r="L117"/>
          <cell r="M117"/>
          <cell r="N117">
            <v>30</v>
          </cell>
          <cell r="O117">
            <v>70</v>
          </cell>
          <cell r="P117">
            <v>70</v>
          </cell>
          <cell r="Q117">
            <v>42</v>
          </cell>
          <cell r="R117"/>
          <cell r="S117"/>
          <cell r="T117">
            <v>74</v>
          </cell>
          <cell r="U117">
            <v>67</v>
          </cell>
          <cell r="V117">
            <v>64</v>
          </cell>
          <cell r="W117">
            <v>70</v>
          </cell>
          <cell r="X117">
            <v>97</v>
          </cell>
          <cell r="Y117">
            <v>95</v>
          </cell>
          <cell r="Z117">
            <v>68</v>
          </cell>
          <cell r="AA117">
            <v>76</v>
          </cell>
          <cell r="AB117">
            <v>35</v>
          </cell>
          <cell r="AC117">
            <v>79</v>
          </cell>
          <cell r="AD117">
            <v>70</v>
          </cell>
          <cell r="AE117">
            <v>71</v>
          </cell>
          <cell r="AF117"/>
          <cell r="AG117">
            <v>40</v>
          </cell>
          <cell r="AH117">
            <v>31</v>
          </cell>
          <cell r="AI117">
            <v>76</v>
          </cell>
          <cell r="AJ117">
            <v>73</v>
          </cell>
          <cell r="AK117">
            <v>79</v>
          </cell>
          <cell r="AL117">
            <v>79</v>
          </cell>
        </row>
        <row r="118">
          <cell r="E118" t="str">
            <v>Reason if Actual is RED</v>
          </cell>
          <cell r="F118"/>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row>
        <row r="119">
          <cell r="D119" t="str">
            <v>Grade</v>
          </cell>
          <cell r="E119" t="str">
            <v>Budget (g/t)</v>
          </cell>
          <cell r="F119">
            <v>2.1724489795918362</v>
          </cell>
          <cell r="G119"/>
          <cell r="H119"/>
          <cell r="I119">
            <v>2.2000000000000002</v>
          </cell>
          <cell r="J119">
            <v>2.2000000000000002</v>
          </cell>
          <cell r="K119">
            <v>2.2000000000000002</v>
          </cell>
          <cell r="L119">
            <v>2.2000000000000002</v>
          </cell>
          <cell r="M119">
            <v>2.2000000000000002</v>
          </cell>
          <cell r="N119">
            <v>2.2000000000000002</v>
          </cell>
          <cell r="O119">
            <v>2.2000000000000002</v>
          </cell>
          <cell r="P119">
            <v>2.2000000000000002</v>
          </cell>
          <cell r="Q119">
            <v>2.2000000000000002</v>
          </cell>
          <cell r="R119">
            <v>2.2000000000000002</v>
          </cell>
          <cell r="S119">
            <v>2.2000000000000002</v>
          </cell>
          <cell r="T119">
            <v>2.2000000000000002</v>
          </cell>
          <cell r="U119">
            <v>2.2000000000000002</v>
          </cell>
          <cell r="V119">
            <v>2.2000000000000002</v>
          </cell>
          <cell r="W119">
            <v>2.2000000000000002</v>
          </cell>
          <cell r="X119">
            <v>2.2000000000000002</v>
          </cell>
          <cell r="Y119">
            <v>2.2000000000000002</v>
          </cell>
          <cell r="Z119">
            <v>2.2000000000000002</v>
          </cell>
          <cell r="AA119">
            <v>2.2000000000000002</v>
          </cell>
          <cell r="AB119">
            <v>2.2000000000000002</v>
          </cell>
          <cell r="AC119">
            <v>2.2000000000000002</v>
          </cell>
          <cell r="AD119">
            <v>2.2000000000000002</v>
          </cell>
          <cell r="AE119">
            <v>2.2000000000000002</v>
          </cell>
          <cell r="AF119"/>
          <cell r="AG119">
            <v>2.2000000000000002</v>
          </cell>
          <cell r="AH119">
            <v>2.2000000000000002</v>
          </cell>
          <cell r="AI119">
            <v>2.2000000000000002</v>
          </cell>
          <cell r="AJ119">
            <v>2.2000000000000002</v>
          </cell>
          <cell r="AK119">
            <v>2.2000000000000002</v>
          </cell>
          <cell r="AL119">
            <v>2.2000000000000002</v>
          </cell>
        </row>
        <row r="120">
          <cell r="E120" t="str">
            <v>Actual (g/t)</v>
          </cell>
          <cell r="F120">
            <v>2.320058403634004</v>
          </cell>
          <cell r="G120">
            <v>6.7946094674177726E-2</v>
          </cell>
          <cell r="H120"/>
          <cell r="I120">
            <v>3.47</v>
          </cell>
          <cell r="J120">
            <v>3.52</v>
          </cell>
          <cell r="K120">
            <v>3.52</v>
          </cell>
          <cell r="L120"/>
          <cell r="M120"/>
          <cell r="N120"/>
          <cell r="O120">
            <v>1.01</v>
          </cell>
          <cell r="P120">
            <v>1.79</v>
          </cell>
          <cell r="Q120">
            <v>3.74</v>
          </cell>
          <cell r="R120"/>
          <cell r="S120"/>
          <cell r="T120">
            <v>6.04</v>
          </cell>
          <cell r="U120">
            <v>3.22</v>
          </cell>
          <cell r="V120"/>
          <cell r="W120">
            <v>1.74</v>
          </cell>
          <cell r="X120">
            <v>1.69</v>
          </cell>
          <cell r="Y120">
            <v>1.69</v>
          </cell>
          <cell r="Z120">
            <v>1.85</v>
          </cell>
          <cell r="AA120">
            <v>2.2799999999999998</v>
          </cell>
          <cell r="AB120">
            <v>1.6</v>
          </cell>
          <cell r="AC120">
            <v>2.65</v>
          </cell>
          <cell r="AD120">
            <v>3.56</v>
          </cell>
          <cell r="AE120">
            <v>2.65</v>
          </cell>
          <cell r="AF120"/>
          <cell r="AG120">
            <v>2.65</v>
          </cell>
          <cell r="AH120">
            <v>1.46</v>
          </cell>
          <cell r="AI120">
            <v>2.76</v>
          </cell>
          <cell r="AJ120">
            <v>2.3199999999999998</v>
          </cell>
          <cell r="AK120">
            <v>2.12</v>
          </cell>
          <cell r="AL120">
            <v>4.29</v>
          </cell>
        </row>
        <row r="121">
          <cell r="D121" t="str">
            <v>Gold</v>
          </cell>
          <cell r="E121" t="str">
            <v>Budget (kg)</v>
          </cell>
          <cell r="F121">
            <v>4.2579999999999991</v>
          </cell>
          <cell r="G121"/>
          <cell r="H121">
            <v>0</v>
          </cell>
          <cell r="I121">
            <v>0.154</v>
          </cell>
          <cell r="J121">
            <v>0.154</v>
          </cell>
          <cell r="K121">
            <v>0.154</v>
          </cell>
          <cell r="L121">
            <v>0.154</v>
          </cell>
          <cell r="M121">
            <v>0.154</v>
          </cell>
          <cell r="N121">
            <v>0.154</v>
          </cell>
          <cell r="O121">
            <v>0.154</v>
          </cell>
          <cell r="P121">
            <v>0.154</v>
          </cell>
          <cell r="Q121">
            <v>0.154</v>
          </cell>
          <cell r="R121">
            <v>0.154</v>
          </cell>
          <cell r="S121">
            <v>0.154</v>
          </cell>
          <cell r="T121">
            <v>0.154</v>
          </cell>
          <cell r="U121">
            <v>0.154</v>
          </cell>
          <cell r="V121">
            <v>0.154</v>
          </cell>
          <cell r="W121">
            <v>0.154</v>
          </cell>
          <cell r="X121">
            <v>0.154</v>
          </cell>
          <cell r="Y121">
            <v>0.154</v>
          </cell>
          <cell r="Z121">
            <v>0.154</v>
          </cell>
          <cell r="AA121">
            <v>0.1</v>
          </cell>
          <cell r="AB121">
            <v>0.154</v>
          </cell>
          <cell r="AC121">
            <v>0.154</v>
          </cell>
          <cell r="AD121">
            <v>0.154</v>
          </cell>
          <cell r="AE121">
            <v>0.154</v>
          </cell>
          <cell r="AF121">
            <v>0</v>
          </cell>
          <cell r="AG121">
            <v>0.154</v>
          </cell>
          <cell r="AH121">
            <v>0.154</v>
          </cell>
          <cell r="AI121">
            <v>0.154</v>
          </cell>
          <cell r="AJ121">
            <v>0.154</v>
          </cell>
          <cell r="AK121">
            <v>0.154</v>
          </cell>
          <cell r="AL121">
            <v>0.154</v>
          </cell>
        </row>
        <row r="122">
          <cell r="E122" t="str">
            <v>Actual (kg)</v>
          </cell>
          <cell r="F122">
            <v>3.5752100000000002</v>
          </cell>
          <cell r="G122">
            <v>-0.16035462658525107</v>
          </cell>
          <cell r="H122">
            <v>0</v>
          </cell>
          <cell r="I122">
            <v>0.12839</v>
          </cell>
          <cell r="J122">
            <v>0.1056</v>
          </cell>
          <cell r="K122">
            <v>0.17952000000000001</v>
          </cell>
          <cell r="L122">
            <v>0</v>
          </cell>
          <cell r="M122">
            <v>0</v>
          </cell>
          <cell r="N122">
            <v>0</v>
          </cell>
          <cell r="O122">
            <v>7.0699999999999999E-2</v>
          </cell>
          <cell r="P122">
            <v>0.12529999999999999</v>
          </cell>
          <cell r="Q122">
            <v>0.15708000000000003</v>
          </cell>
          <cell r="R122">
            <v>0</v>
          </cell>
          <cell r="S122">
            <v>0</v>
          </cell>
          <cell r="T122">
            <v>0.44695999999999997</v>
          </cell>
          <cell r="U122">
            <v>0.21574000000000002</v>
          </cell>
          <cell r="V122">
            <v>0</v>
          </cell>
          <cell r="W122">
            <v>0.12179999999999999</v>
          </cell>
          <cell r="X122">
            <v>0.16393000000000002</v>
          </cell>
          <cell r="Y122">
            <v>0.16054999999999997</v>
          </cell>
          <cell r="Z122">
            <v>0.12580000000000002</v>
          </cell>
          <cell r="AA122">
            <v>0.17327999999999996</v>
          </cell>
          <cell r="AB122">
            <v>5.6000000000000001E-2</v>
          </cell>
          <cell r="AC122">
            <v>0.20934999999999998</v>
          </cell>
          <cell r="AD122">
            <v>0.2492</v>
          </cell>
          <cell r="AE122">
            <v>0.18815000000000001</v>
          </cell>
          <cell r="AF122">
            <v>0</v>
          </cell>
          <cell r="AG122">
            <v>0.106</v>
          </cell>
          <cell r="AH122">
            <v>4.5259999999999995E-2</v>
          </cell>
          <cell r="AI122">
            <v>0.20976</v>
          </cell>
          <cell r="AJ122">
            <v>0.16935999999999998</v>
          </cell>
          <cell r="AK122">
            <v>0.16748000000000002</v>
          </cell>
          <cell r="AL122">
            <v>0.33891000000000004</v>
          </cell>
        </row>
      </sheetData>
      <sheetData sheetId="11">
        <row r="18">
          <cell r="C18" t="str">
            <v>1L W24 STOPE</v>
          </cell>
          <cell r="H18">
            <v>0</v>
          </cell>
          <cell r="I18">
            <v>70</v>
          </cell>
          <cell r="J18">
            <v>70</v>
          </cell>
          <cell r="K18">
            <v>70</v>
          </cell>
          <cell r="L18">
            <v>70</v>
          </cell>
          <cell r="M18">
            <v>70</v>
          </cell>
          <cell r="N18">
            <v>70</v>
          </cell>
          <cell r="O18">
            <v>70</v>
          </cell>
          <cell r="P18">
            <v>70</v>
          </cell>
          <cell r="Q18">
            <v>70</v>
          </cell>
          <cell r="R18">
            <v>70</v>
          </cell>
          <cell r="S18">
            <v>70</v>
          </cell>
          <cell r="T18">
            <v>70</v>
          </cell>
          <cell r="U18">
            <v>70</v>
          </cell>
          <cell r="V18">
            <v>70</v>
          </cell>
          <cell r="W18">
            <v>70</v>
          </cell>
          <cell r="X18">
            <v>70</v>
          </cell>
          <cell r="Y18">
            <v>70</v>
          </cell>
          <cell r="Z18">
            <v>70</v>
          </cell>
          <cell r="AA18">
            <v>70</v>
          </cell>
          <cell r="AB18">
            <v>70</v>
          </cell>
          <cell r="AC18">
            <v>70</v>
          </cell>
          <cell r="AD18">
            <v>70</v>
          </cell>
          <cell r="AE18">
            <v>70</v>
          </cell>
          <cell r="AF18">
            <v>0</v>
          </cell>
          <cell r="AG18">
            <v>70</v>
          </cell>
          <cell r="AH18">
            <v>70</v>
          </cell>
          <cell r="AI18">
            <v>70</v>
          </cell>
          <cell r="AJ18">
            <v>70</v>
          </cell>
          <cell r="AK18">
            <v>70</v>
          </cell>
          <cell r="AL18">
            <v>70</v>
          </cell>
        </row>
        <row r="19">
          <cell r="H19">
            <v>60</v>
          </cell>
          <cell r="I19">
            <v>90</v>
          </cell>
          <cell r="J19">
            <v>90</v>
          </cell>
          <cell r="K19">
            <v>90</v>
          </cell>
          <cell r="L19">
            <v>90</v>
          </cell>
          <cell r="M19">
            <v>48</v>
          </cell>
          <cell r="N19">
            <v>130</v>
          </cell>
          <cell r="O19">
            <v>96</v>
          </cell>
          <cell r="P19">
            <v>90</v>
          </cell>
          <cell r="Q19">
            <v>90</v>
          </cell>
          <cell r="R19">
            <v>90</v>
          </cell>
          <cell r="S19">
            <v>120</v>
          </cell>
          <cell r="T19">
            <v>90</v>
          </cell>
          <cell r="U19">
            <v>95</v>
          </cell>
          <cell r="V19">
            <v>94</v>
          </cell>
          <cell r="W19">
            <v>95</v>
          </cell>
          <cell r="X19">
            <v>90</v>
          </cell>
          <cell r="Y19">
            <v>90</v>
          </cell>
          <cell r="Z19">
            <v>108</v>
          </cell>
          <cell r="AA19">
            <v>114</v>
          </cell>
          <cell r="AB19">
            <v>108</v>
          </cell>
          <cell r="AC19">
            <v>102</v>
          </cell>
          <cell r="AD19">
            <v>120</v>
          </cell>
          <cell r="AE19">
            <v>114</v>
          </cell>
          <cell r="AF19"/>
          <cell r="AG19">
            <v>120</v>
          </cell>
          <cell r="AH19">
            <v>90</v>
          </cell>
          <cell r="AI19">
            <v>120</v>
          </cell>
          <cell r="AJ19">
            <v>120</v>
          </cell>
          <cell r="AK19">
            <v>120</v>
          </cell>
          <cell r="AL19">
            <v>90</v>
          </cell>
        </row>
        <row r="21">
          <cell r="H21">
            <v>0</v>
          </cell>
          <cell r="I21">
            <v>2.2999999999999998</v>
          </cell>
          <cell r="J21">
            <v>2.2999999999999998</v>
          </cell>
          <cell r="K21">
            <v>2.2999999999999998</v>
          </cell>
          <cell r="L21">
            <v>2.2999999999999998</v>
          </cell>
          <cell r="M21">
            <v>2.2999999999999998</v>
          </cell>
          <cell r="N21">
            <v>2.2999999999999998</v>
          </cell>
          <cell r="O21">
            <v>2.2999999999999998</v>
          </cell>
          <cell r="P21">
            <v>2.2999999999999998</v>
          </cell>
          <cell r="Q21">
            <v>2.2999999999999998</v>
          </cell>
          <cell r="R21">
            <v>2.2999999999999998</v>
          </cell>
          <cell r="S21">
            <v>2.2999999999999998</v>
          </cell>
          <cell r="T21">
            <v>2.2999999999999998</v>
          </cell>
          <cell r="U21">
            <v>2.2999999999999998</v>
          </cell>
          <cell r="V21">
            <v>2.2999999999999998</v>
          </cell>
          <cell r="W21">
            <v>2.2999999999999998</v>
          </cell>
          <cell r="X21">
            <v>2.2999999999999998</v>
          </cell>
          <cell r="Y21">
            <v>2.2999999999999998</v>
          </cell>
          <cell r="Z21">
            <v>2.2999999999999998</v>
          </cell>
          <cell r="AA21">
            <v>2.2999999999999998</v>
          </cell>
          <cell r="AB21">
            <v>2.2999999999999998</v>
          </cell>
          <cell r="AC21">
            <v>2.2999999999999998</v>
          </cell>
          <cell r="AD21">
            <v>2.2999999999999998</v>
          </cell>
          <cell r="AE21">
            <v>2.2999999999999998</v>
          </cell>
          <cell r="AF21">
            <v>0</v>
          </cell>
          <cell r="AG21">
            <v>2.2999999999999998</v>
          </cell>
          <cell r="AH21">
            <v>2.2999999999999998</v>
          </cell>
          <cell r="AI21">
            <v>2.2999999999999998</v>
          </cell>
          <cell r="AJ21">
            <v>2.2999999999999998</v>
          </cell>
          <cell r="AK21">
            <v>2.2999999999999998</v>
          </cell>
          <cell r="AL21">
            <v>2.2999999999999998</v>
          </cell>
        </row>
        <row r="22">
          <cell r="H22">
            <v>0.56999999999999995</v>
          </cell>
          <cell r="I22">
            <v>0.49</v>
          </cell>
          <cell r="J22">
            <v>2.42</v>
          </cell>
          <cell r="K22">
            <v>0.49</v>
          </cell>
          <cell r="L22">
            <v>0.35</v>
          </cell>
          <cell r="M22">
            <v>0.32</v>
          </cell>
          <cell r="N22">
            <v>0.28999999999999998</v>
          </cell>
          <cell r="O22">
            <v>0.39</v>
          </cell>
          <cell r="P22">
            <v>0.31</v>
          </cell>
          <cell r="Q22">
            <v>1.79</v>
          </cell>
          <cell r="R22">
            <v>2.0299999999999998</v>
          </cell>
          <cell r="S22">
            <v>0.55000000000000004</v>
          </cell>
          <cell r="T22">
            <v>0.23</v>
          </cell>
          <cell r="U22">
            <v>1.85</v>
          </cell>
          <cell r="V22">
            <v>0.31</v>
          </cell>
          <cell r="W22">
            <v>0.89</v>
          </cell>
          <cell r="X22">
            <v>0.89</v>
          </cell>
          <cell r="Y22">
            <v>1.71</v>
          </cell>
          <cell r="Z22">
            <v>0.55000000000000004</v>
          </cell>
          <cell r="AA22">
            <v>1.22</v>
          </cell>
          <cell r="AB22">
            <v>1.92</v>
          </cell>
          <cell r="AC22">
            <v>0.83</v>
          </cell>
          <cell r="AD22">
            <v>0.84</v>
          </cell>
          <cell r="AE22">
            <v>0.88</v>
          </cell>
          <cell r="AF22"/>
          <cell r="AG22">
            <v>0.57999999999999996</v>
          </cell>
          <cell r="AH22">
            <v>1.1000000000000001</v>
          </cell>
          <cell r="AI22">
            <v>1.78</v>
          </cell>
          <cell r="AJ22">
            <v>1.48</v>
          </cell>
          <cell r="AK22">
            <v>2.2400000000000002</v>
          </cell>
          <cell r="AL22">
            <v>2.2400000000000002</v>
          </cell>
        </row>
        <row r="23">
          <cell r="H23">
            <v>0</v>
          </cell>
          <cell r="I23">
            <v>0.161</v>
          </cell>
          <cell r="J23">
            <v>0.161</v>
          </cell>
          <cell r="K23">
            <v>0.161</v>
          </cell>
          <cell r="L23">
            <v>0.161</v>
          </cell>
          <cell r="M23">
            <v>0.161</v>
          </cell>
          <cell r="N23">
            <v>0.161</v>
          </cell>
          <cell r="O23">
            <v>0.161</v>
          </cell>
          <cell r="P23">
            <v>0.161</v>
          </cell>
          <cell r="Q23">
            <v>0.161</v>
          </cell>
          <cell r="R23">
            <v>0.161</v>
          </cell>
          <cell r="S23">
            <v>0.161</v>
          </cell>
          <cell r="T23">
            <v>0.161</v>
          </cell>
          <cell r="U23">
            <v>0.161</v>
          </cell>
          <cell r="V23">
            <v>0.161</v>
          </cell>
          <cell r="W23">
            <v>0.161</v>
          </cell>
          <cell r="X23">
            <v>0.161</v>
          </cell>
          <cell r="Y23">
            <v>0.161</v>
          </cell>
          <cell r="Z23">
            <v>0.161</v>
          </cell>
          <cell r="AA23">
            <v>0.161</v>
          </cell>
          <cell r="AB23">
            <v>0.161</v>
          </cell>
          <cell r="AC23">
            <v>0.161</v>
          </cell>
          <cell r="AD23">
            <v>0.161</v>
          </cell>
          <cell r="AE23">
            <v>0.161</v>
          </cell>
          <cell r="AF23">
            <v>0</v>
          </cell>
          <cell r="AG23">
            <v>0.161</v>
          </cell>
          <cell r="AH23">
            <v>0.161</v>
          </cell>
          <cell r="AI23">
            <v>0.161</v>
          </cell>
          <cell r="AJ23">
            <v>0.161</v>
          </cell>
          <cell r="AK23">
            <v>0.161</v>
          </cell>
          <cell r="AL23">
            <v>0.161</v>
          </cell>
        </row>
        <row r="24">
          <cell r="H24">
            <v>3.4199999999999994E-2</v>
          </cell>
          <cell r="I24">
            <v>4.41E-2</v>
          </cell>
          <cell r="J24">
            <v>0.21779999999999999</v>
          </cell>
          <cell r="K24">
            <v>4.41E-2</v>
          </cell>
          <cell r="L24">
            <v>3.1499999999999993E-2</v>
          </cell>
          <cell r="M24">
            <v>1.5359999999999999E-2</v>
          </cell>
          <cell r="N24">
            <v>3.7699999999999997E-2</v>
          </cell>
          <cell r="O24">
            <v>3.7440000000000001E-2</v>
          </cell>
          <cell r="P24">
            <v>2.7899999999999998E-2</v>
          </cell>
          <cell r="Q24">
            <v>0.16109999999999999</v>
          </cell>
          <cell r="R24">
            <v>0.1827</v>
          </cell>
          <cell r="S24">
            <v>6.6000000000000003E-2</v>
          </cell>
          <cell r="T24">
            <v>2.07E-2</v>
          </cell>
          <cell r="U24">
            <v>0.17574999999999999</v>
          </cell>
          <cell r="V24">
            <v>2.9139999999999999E-2</v>
          </cell>
          <cell r="W24">
            <v>8.455E-2</v>
          </cell>
          <cell r="X24">
            <v>8.0099999999999991E-2</v>
          </cell>
          <cell r="Y24">
            <v>0.15390000000000001</v>
          </cell>
          <cell r="Z24">
            <v>5.9400000000000008E-2</v>
          </cell>
          <cell r="AA24">
            <v>0.13907999999999998</v>
          </cell>
          <cell r="AB24">
            <v>0.20735999999999999</v>
          </cell>
          <cell r="AC24">
            <v>8.4659999999999999E-2</v>
          </cell>
          <cell r="AD24">
            <v>0.1008</v>
          </cell>
          <cell r="AE24">
            <v>0.10032000000000001</v>
          </cell>
          <cell r="AF24">
            <v>0</v>
          </cell>
          <cell r="AG24">
            <v>6.9599999999999995E-2</v>
          </cell>
          <cell r="AH24">
            <v>9.9000000000000019E-2</v>
          </cell>
          <cell r="AI24">
            <v>0.21359999999999998</v>
          </cell>
          <cell r="AJ24">
            <v>0.17760000000000001</v>
          </cell>
          <cell r="AK24">
            <v>0.26880000000000004</v>
          </cell>
          <cell r="AL24">
            <v>0.20160000000000003</v>
          </cell>
        </row>
        <row r="25">
          <cell r="C25" t="str">
            <v>3L_W23A STOPE</v>
          </cell>
          <cell r="H25">
            <v>0</v>
          </cell>
          <cell r="I25">
            <v>70</v>
          </cell>
          <cell r="J25">
            <v>70</v>
          </cell>
          <cell r="K25">
            <v>70</v>
          </cell>
          <cell r="L25">
            <v>70</v>
          </cell>
          <cell r="M25">
            <v>70</v>
          </cell>
          <cell r="N25">
            <v>70</v>
          </cell>
          <cell r="O25">
            <v>70</v>
          </cell>
          <cell r="P25">
            <v>70</v>
          </cell>
          <cell r="Q25">
            <v>70</v>
          </cell>
          <cell r="R25">
            <v>70</v>
          </cell>
          <cell r="S25">
            <v>70</v>
          </cell>
          <cell r="T25">
            <v>70</v>
          </cell>
          <cell r="U25">
            <v>70</v>
          </cell>
          <cell r="V25">
            <v>70</v>
          </cell>
          <cell r="W25">
            <v>70</v>
          </cell>
          <cell r="X25">
            <v>70</v>
          </cell>
          <cell r="Y25">
            <v>70</v>
          </cell>
          <cell r="Z25">
            <v>70</v>
          </cell>
          <cell r="AA25">
            <v>70</v>
          </cell>
          <cell r="AB25">
            <v>70</v>
          </cell>
          <cell r="AC25">
            <v>70</v>
          </cell>
          <cell r="AD25">
            <v>70</v>
          </cell>
          <cell r="AE25">
            <v>70</v>
          </cell>
          <cell r="AF25">
            <v>0</v>
          </cell>
          <cell r="AG25">
            <v>70</v>
          </cell>
          <cell r="AH25">
            <v>70</v>
          </cell>
          <cell r="AI25">
            <v>70</v>
          </cell>
          <cell r="AJ25">
            <v>70</v>
          </cell>
          <cell r="AK25">
            <v>70</v>
          </cell>
          <cell r="AL25">
            <v>70</v>
          </cell>
        </row>
        <row r="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row>
        <row r="28">
          <cell r="H28">
            <v>0</v>
          </cell>
          <cell r="I28">
            <v>3.85</v>
          </cell>
          <cell r="J28">
            <v>3.85</v>
          </cell>
          <cell r="K28">
            <v>3.85</v>
          </cell>
          <cell r="L28">
            <v>3.85</v>
          </cell>
          <cell r="M28">
            <v>3.85</v>
          </cell>
          <cell r="N28">
            <v>3.85</v>
          </cell>
          <cell r="O28">
            <v>3.85</v>
          </cell>
          <cell r="P28">
            <v>3.85</v>
          </cell>
          <cell r="Q28">
            <v>3.85</v>
          </cell>
          <cell r="R28">
            <v>3.85</v>
          </cell>
          <cell r="S28">
            <v>3.85</v>
          </cell>
          <cell r="T28">
            <v>3.85</v>
          </cell>
          <cell r="U28">
            <v>3.85</v>
          </cell>
          <cell r="V28">
            <v>3.85</v>
          </cell>
          <cell r="W28">
            <v>3.85</v>
          </cell>
          <cell r="X28">
            <v>3.85</v>
          </cell>
          <cell r="Y28">
            <v>3.85</v>
          </cell>
          <cell r="Z28">
            <v>3.85</v>
          </cell>
          <cell r="AA28">
            <v>3.85</v>
          </cell>
          <cell r="AB28">
            <v>3.85</v>
          </cell>
          <cell r="AC28">
            <v>3.85</v>
          </cell>
          <cell r="AD28">
            <v>3.85</v>
          </cell>
          <cell r="AE28">
            <v>3.85</v>
          </cell>
          <cell r="AF28">
            <v>0</v>
          </cell>
          <cell r="AG28">
            <v>3.85</v>
          </cell>
          <cell r="AH28">
            <v>3.85</v>
          </cell>
          <cell r="AI28">
            <v>3.85</v>
          </cell>
          <cell r="AJ28">
            <v>3.85</v>
          </cell>
          <cell r="AK28">
            <v>3.85</v>
          </cell>
          <cell r="AL28">
            <v>3.85</v>
          </cell>
        </row>
        <row r="29">
          <cell r="H29">
            <v>2.11</v>
          </cell>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row>
        <row r="30">
          <cell r="H30">
            <v>0</v>
          </cell>
          <cell r="I30">
            <v>0.26950000000000002</v>
          </cell>
          <cell r="J30">
            <v>0.26950000000000002</v>
          </cell>
          <cell r="K30">
            <v>0.26950000000000002</v>
          </cell>
          <cell r="L30">
            <v>0.26950000000000002</v>
          </cell>
          <cell r="M30">
            <v>0.26950000000000002</v>
          </cell>
          <cell r="N30">
            <v>0.26950000000000002</v>
          </cell>
          <cell r="O30">
            <v>0.26950000000000002</v>
          </cell>
          <cell r="P30">
            <v>0.26950000000000002</v>
          </cell>
          <cell r="Q30">
            <v>0.26950000000000002</v>
          </cell>
          <cell r="R30">
            <v>0.26950000000000002</v>
          </cell>
          <cell r="S30">
            <v>0.26950000000000002</v>
          </cell>
          <cell r="T30">
            <v>0.26950000000000002</v>
          </cell>
          <cell r="U30">
            <v>0.26950000000000002</v>
          </cell>
          <cell r="V30">
            <v>0.26950000000000002</v>
          </cell>
          <cell r="W30">
            <v>0.26950000000000002</v>
          </cell>
          <cell r="X30">
            <v>0.26950000000000002</v>
          </cell>
          <cell r="Y30">
            <v>0.26950000000000002</v>
          </cell>
          <cell r="Z30">
            <v>0.26950000000000002</v>
          </cell>
          <cell r="AA30">
            <v>0.26950000000000002</v>
          </cell>
          <cell r="AB30">
            <v>0.26950000000000002</v>
          </cell>
          <cell r="AC30">
            <v>0.26950000000000002</v>
          </cell>
          <cell r="AD30">
            <v>0.26950000000000002</v>
          </cell>
          <cell r="AE30">
            <v>0.26950000000000002</v>
          </cell>
          <cell r="AF30">
            <v>0</v>
          </cell>
          <cell r="AG30">
            <v>0.26950000000000002</v>
          </cell>
          <cell r="AH30">
            <v>0.26950000000000002</v>
          </cell>
          <cell r="AI30">
            <v>0.26950000000000002</v>
          </cell>
          <cell r="AJ30">
            <v>0.26950000000000002</v>
          </cell>
          <cell r="AK30">
            <v>0.26950000000000002</v>
          </cell>
          <cell r="AL30">
            <v>0.26950000000000002</v>
          </cell>
        </row>
        <row r="31">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row>
        <row r="32">
          <cell r="C32" t="str">
            <v>3L_W24A STOPE</v>
          </cell>
          <cell r="H32">
            <v>0</v>
          </cell>
          <cell r="I32">
            <v>70</v>
          </cell>
          <cell r="J32">
            <v>70</v>
          </cell>
          <cell r="K32">
            <v>70</v>
          </cell>
          <cell r="L32">
            <v>70</v>
          </cell>
          <cell r="M32">
            <v>70</v>
          </cell>
          <cell r="N32">
            <v>70</v>
          </cell>
          <cell r="O32">
            <v>70</v>
          </cell>
          <cell r="P32">
            <v>70</v>
          </cell>
          <cell r="Q32">
            <v>70</v>
          </cell>
          <cell r="R32">
            <v>70</v>
          </cell>
          <cell r="S32">
            <v>70</v>
          </cell>
          <cell r="T32">
            <v>70</v>
          </cell>
          <cell r="U32">
            <v>70</v>
          </cell>
          <cell r="V32">
            <v>70</v>
          </cell>
          <cell r="W32">
            <v>70</v>
          </cell>
          <cell r="X32">
            <v>70</v>
          </cell>
          <cell r="Y32">
            <v>70</v>
          </cell>
          <cell r="Z32">
            <v>70</v>
          </cell>
          <cell r="AA32">
            <v>70</v>
          </cell>
          <cell r="AB32">
            <v>70</v>
          </cell>
          <cell r="AC32">
            <v>70</v>
          </cell>
          <cell r="AD32">
            <v>70</v>
          </cell>
          <cell r="AE32">
            <v>70</v>
          </cell>
          <cell r="AF32">
            <v>0</v>
          </cell>
          <cell r="AG32">
            <v>70</v>
          </cell>
          <cell r="AH32"/>
          <cell r="AI32">
            <v>70</v>
          </cell>
          <cell r="AJ32">
            <v>70</v>
          </cell>
          <cell r="AK32">
            <v>70</v>
          </cell>
          <cell r="AL32">
            <v>70</v>
          </cell>
        </row>
        <row r="33">
          <cell r="H33">
            <v>120</v>
          </cell>
          <cell r="I33">
            <v>228</v>
          </cell>
          <cell r="J33">
            <v>216</v>
          </cell>
          <cell r="K33">
            <v>162</v>
          </cell>
          <cell r="L33">
            <v>228</v>
          </cell>
          <cell r="M33">
            <v>180</v>
          </cell>
          <cell r="N33">
            <v>170</v>
          </cell>
          <cell r="O33">
            <v>36</v>
          </cell>
          <cell r="P33">
            <v>18</v>
          </cell>
          <cell r="Q33">
            <v>140</v>
          </cell>
          <cell r="R33">
            <v>159</v>
          </cell>
          <cell r="S33">
            <v>24</v>
          </cell>
          <cell r="T33">
            <v>90</v>
          </cell>
          <cell r="U33">
            <v>72</v>
          </cell>
          <cell r="V33">
            <v>130</v>
          </cell>
          <cell r="W33">
            <v>104</v>
          </cell>
          <cell r="X33">
            <v>114</v>
          </cell>
          <cell r="Y33">
            <v>72</v>
          </cell>
          <cell r="Z33">
            <v>0</v>
          </cell>
          <cell r="AA33">
            <v>0</v>
          </cell>
          <cell r="AB33">
            <v>72</v>
          </cell>
          <cell r="AC33">
            <v>68</v>
          </cell>
          <cell r="AD33">
            <v>70</v>
          </cell>
          <cell r="AE33">
            <v>72</v>
          </cell>
          <cell r="AF33"/>
          <cell r="AG33">
            <v>38</v>
          </cell>
          <cell r="AH33">
            <v>82</v>
          </cell>
          <cell r="AI33">
            <v>38</v>
          </cell>
          <cell r="AJ33">
            <v>40</v>
          </cell>
          <cell r="AK33"/>
          <cell r="AL33"/>
        </row>
        <row r="35">
          <cell r="H35">
            <v>0</v>
          </cell>
          <cell r="I35">
            <v>2.25</v>
          </cell>
          <cell r="J35">
            <v>2.25</v>
          </cell>
          <cell r="K35">
            <v>2.25</v>
          </cell>
          <cell r="L35">
            <v>2.25</v>
          </cell>
          <cell r="M35">
            <v>2.25</v>
          </cell>
          <cell r="N35">
            <v>2.25</v>
          </cell>
          <cell r="O35">
            <v>2.25</v>
          </cell>
          <cell r="P35">
            <v>2.25</v>
          </cell>
          <cell r="Q35">
            <v>2.25</v>
          </cell>
          <cell r="R35">
            <v>2.25</v>
          </cell>
          <cell r="S35">
            <v>2.25</v>
          </cell>
          <cell r="T35">
            <v>2.25</v>
          </cell>
          <cell r="U35">
            <v>2.25</v>
          </cell>
          <cell r="V35">
            <v>2.25</v>
          </cell>
          <cell r="W35">
            <v>2.25</v>
          </cell>
          <cell r="X35">
            <v>2.25</v>
          </cell>
          <cell r="Y35">
            <v>2.25</v>
          </cell>
          <cell r="Z35">
            <v>2.25</v>
          </cell>
          <cell r="AA35">
            <v>2.25</v>
          </cell>
          <cell r="AB35">
            <v>2.25</v>
          </cell>
          <cell r="AC35">
            <v>2.25</v>
          </cell>
          <cell r="AD35">
            <v>2.25</v>
          </cell>
          <cell r="AE35">
            <v>2.25</v>
          </cell>
          <cell r="AF35">
            <v>0</v>
          </cell>
          <cell r="AG35">
            <v>2.25</v>
          </cell>
          <cell r="AH35">
            <v>2.25</v>
          </cell>
          <cell r="AI35">
            <v>2.25</v>
          </cell>
          <cell r="AJ35">
            <v>2.25</v>
          </cell>
          <cell r="AK35">
            <v>2.25</v>
          </cell>
          <cell r="AL35">
            <v>2.25</v>
          </cell>
        </row>
        <row r="36">
          <cell r="H36">
            <v>1.85</v>
          </cell>
          <cell r="I36">
            <v>2.38</v>
          </cell>
          <cell r="J36">
            <v>4.18</v>
          </cell>
          <cell r="K36">
            <v>3</v>
          </cell>
          <cell r="L36">
            <v>2.2799999999999998</v>
          </cell>
          <cell r="M36">
            <v>3.15</v>
          </cell>
          <cell r="N36">
            <v>4.12</v>
          </cell>
          <cell r="O36">
            <v>1.22</v>
          </cell>
          <cell r="P36">
            <v>1.88</v>
          </cell>
          <cell r="Q36">
            <v>2.5</v>
          </cell>
          <cell r="R36">
            <v>1.1200000000000001</v>
          </cell>
          <cell r="S36">
            <v>2.02</v>
          </cell>
          <cell r="T36">
            <v>0.87</v>
          </cell>
          <cell r="U36">
            <v>1.61</v>
          </cell>
          <cell r="V36">
            <v>3.19</v>
          </cell>
          <cell r="W36">
            <v>1.62</v>
          </cell>
          <cell r="X36">
            <v>6.95</v>
          </cell>
          <cell r="Y36">
            <v>2.29</v>
          </cell>
          <cell r="Z36"/>
          <cell r="AA36"/>
          <cell r="AB36">
            <v>1.75</v>
          </cell>
          <cell r="AC36">
            <v>3.06</v>
          </cell>
          <cell r="AD36">
            <v>1.4</v>
          </cell>
          <cell r="AE36">
            <v>2.11</v>
          </cell>
          <cell r="AF36"/>
          <cell r="AG36">
            <v>1.76</v>
          </cell>
          <cell r="AH36">
            <v>1.94</v>
          </cell>
          <cell r="AI36">
            <v>0.99</v>
          </cell>
          <cell r="AJ36">
            <v>1.68</v>
          </cell>
          <cell r="AK36"/>
          <cell r="AL36"/>
        </row>
        <row r="37">
          <cell r="H37">
            <v>0</v>
          </cell>
          <cell r="I37">
            <v>0.1575</v>
          </cell>
          <cell r="J37">
            <v>0.1575</v>
          </cell>
          <cell r="K37">
            <v>0.1575</v>
          </cell>
          <cell r="L37">
            <v>0.1575</v>
          </cell>
          <cell r="M37">
            <v>0.1575</v>
          </cell>
          <cell r="N37">
            <v>0.1575</v>
          </cell>
          <cell r="O37">
            <v>0.1575</v>
          </cell>
          <cell r="P37">
            <v>0.1575</v>
          </cell>
          <cell r="Q37">
            <v>0.1575</v>
          </cell>
          <cell r="R37">
            <v>0.1575</v>
          </cell>
          <cell r="T37">
            <v>0.1575</v>
          </cell>
          <cell r="U37">
            <v>0.1575</v>
          </cell>
          <cell r="V37">
            <v>0.1575</v>
          </cell>
          <cell r="W37">
            <v>0.1575</v>
          </cell>
          <cell r="X37">
            <v>0.1575</v>
          </cell>
          <cell r="Y37">
            <v>0.1575</v>
          </cell>
          <cell r="Z37">
            <v>0.1575</v>
          </cell>
          <cell r="AA37">
            <v>0.1575</v>
          </cell>
          <cell r="AB37">
            <v>0.1575</v>
          </cell>
          <cell r="AC37">
            <v>0.1575</v>
          </cell>
          <cell r="AD37">
            <v>0.1575</v>
          </cell>
          <cell r="AE37">
            <v>0.1575</v>
          </cell>
          <cell r="AF37">
            <v>0</v>
          </cell>
          <cell r="AG37">
            <v>0.1575</v>
          </cell>
          <cell r="AH37">
            <v>0</v>
          </cell>
          <cell r="AI37">
            <v>0.1575</v>
          </cell>
          <cell r="AJ37">
            <v>0.1575</v>
          </cell>
          <cell r="AK37">
            <v>0.1575</v>
          </cell>
          <cell r="AL37">
            <v>0.1575</v>
          </cell>
        </row>
        <row r="38">
          <cell r="H38">
            <v>0.222</v>
          </cell>
          <cell r="I38">
            <v>0.54264000000000001</v>
          </cell>
          <cell r="J38">
            <v>0.9028799999999999</v>
          </cell>
          <cell r="K38">
            <v>0.48599999999999999</v>
          </cell>
          <cell r="L38">
            <v>0.51983999999999997</v>
          </cell>
          <cell r="M38">
            <v>0.56699999999999995</v>
          </cell>
          <cell r="N38">
            <v>0.70040000000000002</v>
          </cell>
          <cell r="O38">
            <v>4.3920000000000001E-2</v>
          </cell>
          <cell r="P38">
            <v>3.3839999999999995E-2</v>
          </cell>
          <cell r="Q38">
            <v>0.35</v>
          </cell>
          <cell r="R38">
            <v>0.17808000000000002</v>
          </cell>
          <cell r="S38">
            <v>4.8480000000000002E-2</v>
          </cell>
          <cell r="T38">
            <v>7.8299999999999995E-2</v>
          </cell>
          <cell r="U38">
            <v>0.11592</v>
          </cell>
          <cell r="V38">
            <v>0.41470000000000001</v>
          </cell>
          <cell r="W38">
            <v>0.16848000000000002</v>
          </cell>
          <cell r="X38">
            <v>0.79230000000000012</v>
          </cell>
          <cell r="Y38">
            <v>0.16488</v>
          </cell>
          <cell r="Z38">
            <v>0</v>
          </cell>
          <cell r="AA38">
            <v>0</v>
          </cell>
          <cell r="AB38">
            <v>0.126</v>
          </cell>
          <cell r="AC38">
            <v>0.20808000000000001</v>
          </cell>
          <cell r="AD38">
            <v>9.8000000000000004E-2</v>
          </cell>
          <cell r="AE38">
            <v>0.15192</v>
          </cell>
          <cell r="AF38">
            <v>0</v>
          </cell>
          <cell r="AG38">
            <v>6.6879999999999995E-2</v>
          </cell>
          <cell r="AH38">
            <v>0.15907999999999997</v>
          </cell>
          <cell r="AI38">
            <v>3.7620000000000001E-2</v>
          </cell>
          <cell r="AJ38">
            <v>6.720000000000001E-2</v>
          </cell>
          <cell r="AK38">
            <v>0</v>
          </cell>
          <cell r="AL38">
            <v>0</v>
          </cell>
        </row>
        <row r="39">
          <cell r="C39" t="str">
            <v>4L_W23B_STOPE</v>
          </cell>
          <cell r="H39">
            <v>0</v>
          </cell>
          <cell r="I39">
            <v>140</v>
          </cell>
          <cell r="J39">
            <v>140</v>
          </cell>
          <cell r="K39">
            <v>140</v>
          </cell>
          <cell r="L39">
            <v>140</v>
          </cell>
          <cell r="M39">
            <v>140</v>
          </cell>
          <cell r="N39">
            <v>140</v>
          </cell>
          <cell r="O39">
            <v>140</v>
          </cell>
          <cell r="P39">
            <v>140</v>
          </cell>
          <cell r="Q39">
            <v>140</v>
          </cell>
          <cell r="R39">
            <v>140</v>
          </cell>
          <cell r="S39">
            <v>140</v>
          </cell>
          <cell r="T39">
            <v>140</v>
          </cell>
          <cell r="U39">
            <v>140</v>
          </cell>
          <cell r="V39">
            <v>140</v>
          </cell>
          <cell r="W39">
            <v>140</v>
          </cell>
          <cell r="X39">
            <v>140</v>
          </cell>
          <cell r="Y39">
            <v>140</v>
          </cell>
          <cell r="Z39">
            <v>140</v>
          </cell>
          <cell r="AA39">
            <v>140</v>
          </cell>
          <cell r="AB39">
            <v>140</v>
          </cell>
          <cell r="AC39">
            <v>140</v>
          </cell>
          <cell r="AD39">
            <v>140</v>
          </cell>
          <cell r="AE39">
            <v>140</v>
          </cell>
          <cell r="AF39">
            <v>0</v>
          </cell>
          <cell r="AG39">
            <v>140</v>
          </cell>
          <cell r="AH39">
            <v>140</v>
          </cell>
          <cell r="AI39">
            <v>140</v>
          </cell>
          <cell r="AJ39">
            <v>140</v>
          </cell>
          <cell r="AK39">
            <v>140</v>
          </cell>
          <cell r="AL39">
            <v>140</v>
          </cell>
        </row>
        <row r="40">
          <cell r="H40">
            <v>132</v>
          </cell>
          <cell r="I40"/>
          <cell r="J40"/>
          <cell r="K40"/>
          <cell r="L40"/>
          <cell r="M40"/>
          <cell r="N40"/>
          <cell r="O40"/>
          <cell r="P40"/>
          <cell r="Q40"/>
          <cell r="R40"/>
          <cell r="S40"/>
          <cell r="T40">
            <v>50</v>
          </cell>
          <cell r="U40">
            <v>80</v>
          </cell>
          <cell r="V40"/>
          <cell r="W40">
            <v>100</v>
          </cell>
          <cell r="X40">
            <v>102</v>
          </cell>
          <cell r="Y40">
            <v>108</v>
          </cell>
          <cell r="Z40">
            <v>0</v>
          </cell>
          <cell r="AA40">
            <v>120</v>
          </cell>
          <cell r="AB40">
            <v>204</v>
          </cell>
          <cell r="AC40">
            <v>100</v>
          </cell>
          <cell r="AD40">
            <v>158</v>
          </cell>
          <cell r="AE40">
            <v>160</v>
          </cell>
          <cell r="AF40"/>
          <cell r="AG40">
            <v>142</v>
          </cell>
          <cell r="AH40">
            <v>150</v>
          </cell>
          <cell r="AI40">
            <v>152</v>
          </cell>
          <cell r="AJ40">
            <v>202</v>
          </cell>
          <cell r="AK40">
            <v>196</v>
          </cell>
          <cell r="AL40">
            <v>204</v>
          </cell>
        </row>
        <row r="42">
          <cell r="H42">
            <v>3.85</v>
          </cell>
          <cell r="I42">
            <v>3.85</v>
          </cell>
          <cell r="J42">
            <v>3.85</v>
          </cell>
          <cell r="K42">
            <v>3.85</v>
          </cell>
          <cell r="L42">
            <v>3.85</v>
          </cell>
          <cell r="M42">
            <v>3.85</v>
          </cell>
          <cell r="N42">
            <v>3.85</v>
          </cell>
          <cell r="O42">
            <v>3.85</v>
          </cell>
          <cell r="P42">
            <v>3.85</v>
          </cell>
          <cell r="Q42">
            <v>3.85</v>
          </cell>
          <cell r="R42">
            <v>3.85</v>
          </cell>
          <cell r="S42">
            <v>3.85</v>
          </cell>
          <cell r="T42">
            <v>3.85</v>
          </cell>
          <cell r="U42">
            <v>3.85</v>
          </cell>
          <cell r="V42">
            <v>3.85</v>
          </cell>
          <cell r="W42">
            <v>3.85</v>
          </cell>
          <cell r="X42">
            <v>3.85</v>
          </cell>
          <cell r="Y42">
            <v>3.85</v>
          </cell>
          <cell r="Z42">
            <v>3.85</v>
          </cell>
          <cell r="AA42">
            <v>3.85</v>
          </cell>
          <cell r="AB42">
            <v>3.85</v>
          </cell>
          <cell r="AC42">
            <v>3.85</v>
          </cell>
          <cell r="AD42">
            <v>3.85</v>
          </cell>
          <cell r="AE42">
            <v>3.85</v>
          </cell>
          <cell r="AF42">
            <v>0</v>
          </cell>
          <cell r="AG42">
            <v>3.85</v>
          </cell>
          <cell r="AH42">
            <v>3.85</v>
          </cell>
          <cell r="AI42">
            <v>3.85</v>
          </cell>
          <cell r="AJ42">
            <v>3.85</v>
          </cell>
          <cell r="AK42">
            <v>3.85</v>
          </cell>
          <cell r="AL42">
            <v>3.85</v>
          </cell>
        </row>
        <row r="43">
          <cell r="H43">
            <v>2.11</v>
          </cell>
          <cell r="I43"/>
          <cell r="J43"/>
          <cell r="K43"/>
          <cell r="L43"/>
          <cell r="M43"/>
          <cell r="N43"/>
          <cell r="O43"/>
          <cell r="P43"/>
          <cell r="Q43"/>
          <cell r="R43"/>
          <cell r="S43"/>
          <cell r="T43">
            <v>1.17</v>
          </cell>
          <cell r="U43">
            <v>2.5</v>
          </cell>
          <cell r="V43">
            <v>4.75</v>
          </cell>
          <cell r="W43">
            <v>3.33</v>
          </cell>
          <cell r="X43">
            <v>4.8099999999999996</v>
          </cell>
          <cell r="Y43">
            <v>3.5</v>
          </cell>
          <cell r="Z43"/>
          <cell r="AA43">
            <v>4.3600000000000003</v>
          </cell>
          <cell r="AB43">
            <v>4.17</v>
          </cell>
          <cell r="AC43">
            <v>3.42</v>
          </cell>
          <cell r="AD43">
            <v>2.79</v>
          </cell>
          <cell r="AE43">
            <v>2.52</v>
          </cell>
          <cell r="AF43"/>
          <cell r="AG43">
            <v>2.52</v>
          </cell>
          <cell r="AH43">
            <v>7</v>
          </cell>
          <cell r="AI43">
            <v>2.5099999999999998</v>
          </cell>
          <cell r="AJ43">
            <v>3.26</v>
          </cell>
          <cell r="AK43">
            <v>2</v>
          </cell>
          <cell r="AL43">
            <v>4.2699999999999996</v>
          </cell>
        </row>
        <row r="44">
          <cell r="H44">
            <v>0</v>
          </cell>
          <cell r="I44">
            <v>0.53900000000000003</v>
          </cell>
          <cell r="J44">
            <v>0.53900000000000003</v>
          </cell>
          <cell r="K44">
            <v>0.53900000000000003</v>
          </cell>
          <cell r="L44">
            <v>0.53900000000000003</v>
          </cell>
          <cell r="M44">
            <v>0.53900000000000003</v>
          </cell>
          <cell r="N44">
            <v>0.53900000000000003</v>
          </cell>
          <cell r="O44">
            <v>0.53900000000000003</v>
          </cell>
          <cell r="P44">
            <v>0.53900000000000003</v>
          </cell>
          <cell r="Q44">
            <v>0.53900000000000003</v>
          </cell>
          <cell r="R44">
            <v>0.53900000000000003</v>
          </cell>
          <cell r="S44">
            <v>0.53900000000000003</v>
          </cell>
          <cell r="T44">
            <v>0.53900000000000003</v>
          </cell>
          <cell r="U44">
            <v>0.53900000000000003</v>
          </cell>
          <cell r="V44">
            <v>0.53900000000000003</v>
          </cell>
          <cell r="W44">
            <v>0.53900000000000003</v>
          </cell>
          <cell r="X44">
            <v>0.53900000000000003</v>
          </cell>
          <cell r="Y44">
            <v>0.53900000000000003</v>
          </cell>
          <cell r="Z44">
            <v>0.53900000000000003</v>
          </cell>
          <cell r="AA44">
            <v>0.53900000000000003</v>
          </cell>
          <cell r="AB44">
            <v>0.53900000000000003</v>
          </cell>
          <cell r="AC44">
            <v>0.53900000000000003</v>
          </cell>
          <cell r="AD44">
            <v>0.53900000000000003</v>
          </cell>
          <cell r="AE44">
            <v>0.53900000000000003</v>
          </cell>
          <cell r="AF44">
            <v>0</v>
          </cell>
          <cell r="AG44">
            <v>0.53900000000000003</v>
          </cell>
          <cell r="AH44">
            <v>0.53900000000000003</v>
          </cell>
          <cell r="AI44">
            <v>0.53900000000000003</v>
          </cell>
          <cell r="AJ44">
            <v>0.53900000000000003</v>
          </cell>
          <cell r="AK44">
            <v>0.53900000000000003</v>
          </cell>
          <cell r="AL44">
            <v>0.53900000000000003</v>
          </cell>
        </row>
        <row r="45">
          <cell r="H45">
            <v>0.27851999999999999</v>
          </cell>
          <cell r="I45">
            <v>0</v>
          </cell>
          <cell r="J45">
            <v>0</v>
          </cell>
          <cell r="K45">
            <v>0</v>
          </cell>
          <cell r="L45">
            <v>0</v>
          </cell>
          <cell r="M45">
            <v>0</v>
          </cell>
          <cell r="N45">
            <v>0</v>
          </cell>
          <cell r="O45">
            <v>0</v>
          </cell>
          <cell r="P45">
            <v>0</v>
          </cell>
          <cell r="Q45">
            <v>0</v>
          </cell>
          <cell r="R45">
            <v>0</v>
          </cell>
          <cell r="S45">
            <v>0</v>
          </cell>
          <cell r="T45">
            <v>5.8500000000000003E-2</v>
          </cell>
          <cell r="U45">
            <v>0.2</v>
          </cell>
          <cell r="V45">
            <v>0</v>
          </cell>
          <cell r="W45">
            <v>0.33300000000000002</v>
          </cell>
          <cell r="X45">
            <v>0.49061999999999995</v>
          </cell>
          <cell r="Y45">
            <v>0.378</v>
          </cell>
          <cell r="Z45">
            <v>0</v>
          </cell>
          <cell r="AA45">
            <v>0.5232</v>
          </cell>
          <cell r="AB45">
            <v>0.85067999999999999</v>
          </cell>
          <cell r="AC45">
            <v>0.34200000000000003</v>
          </cell>
          <cell r="AD45">
            <v>0.44081999999999999</v>
          </cell>
          <cell r="AE45">
            <v>0.4032</v>
          </cell>
          <cell r="AF45">
            <v>0</v>
          </cell>
          <cell r="AG45">
            <v>0.35783999999999999</v>
          </cell>
          <cell r="AH45">
            <v>1.05</v>
          </cell>
          <cell r="AI45">
            <v>0.38151999999999997</v>
          </cell>
          <cell r="AJ45">
            <v>0.65851999999999999</v>
          </cell>
          <cell r="AK45">
            <v>0.39200000000000002</v>
          </cell>
          <cell r="AL45">
            <v>0.87107999999999997</v>
          </cell>
        </row>
        <row r="46">
          <cell r="C46" t="str">
            <v xml:space="preserve">4L_W26 STOPE </v>
          </cell>
          <cell r="H46">
            <v>0</v>
          </cell>
          <cell r="I46">
            <v>105</v>
          </cell>
          <cell r="J46">
            <v>105</v>
          </cell>
          <cell r="K46">
            <v>105</v>
          </cell>
          <cell r="L46">
            <v>105</v>
          </cell>
          <cell r="M46">
            <v>105</v>
          </cell>
          <cell r="N46">
            <v>105</v>
          </cell>
          <cell r="O46">
            <v>105</v>
          </cell>
          <cell r="P46">
            <v>105</v>
          </cell>
          <cell r="Q46">
            <v>105</v>
          </cell>
          <cell r="R46">
            <v>105</v>
          </cell>
          <cell r="S46">
            <v>105</v>
          </cell>
          <cell r="T46">
            <v>105</v>
          </cell>
          <cell r="U46">
            <v>105</v>
          </cell>
          <cell r="V46">
            <v>105</v>
          </cell>
          <cell r="W46">
            <v>105</v>
          </cell>
          <cell r="X46">
            <v>105</v>
          </cell>
          <cell r="Y46">
            <v>105</v>
          </cell>
          <cell r="Z46">
            <v>105</v>
          </cell>
          <cell r="AA46">
            <v>105</v>
          </cell>
          <cell r="AB46">
            <v>105</v>
          </cell>
          <cell r="AC46">
            <v>105</v>
          </cell>
          <cell r="AD46">
            <v>105</v>
          </cell>
          <cell r="AE46">
            <v>105</v>
          </cell>
          <cell r="AF46">
            <v>0</v>
          </cell>
          <cell r="AG46">
            <v>105</v>
          </cell>
          <cell r="AH46">
            <v>105</v>
          </cell>
          <cell r="AI46">
            <v>105</v>
          </cell>
          <cell r="AJ46">
            <v>105</v>
          </cell>
          <cell r="AK46">
            <v>105</v>
          </cell>
          <cell r="AL46">
            <v>105</v>
          </cell>
        </row>
        <row r="47">
          <cell r="H47">
            <v>36</v>
          </cell>
          <cell r="I47">
            <v>48</v>
          </cell>
          <cell r="J47">
            <v>12</v>
          </cell>
          <cell r="K47">
            <v>78</v>
          </cell>
          <cell r="L47">
            <v>48</v>
          </cell>
          <cell r="M47">
            <v>36</v>
          </cell>
          <cell r="N47">
            <v>22</v>
          </cell>
          <cell r="O47">
            <v>144</v>
          </cell>
          <cell r="P47">
            <v>114</v>
          </cell>
          <cell r="Q47">
            <v>93</v>
          </cell>
          <cell r="R47">
            <v>62</v>
          </cell>
          <cell r="S47">
            <v>30</v>
          </cell>
          <cell r="T47">
            <v>102</v>
          </cell>
          <cell r="U47">
            <v>72</v>
          </cell>
          <cell r="V47">
            <v>66</v>
          </cell>
          <cell r="W47">
            <v>60</v>
          </cell>
          <cell r="X47">
            <v>72</v>
          </cell>
          <cell r="Y47">
            <v>108</v>
          </cell>
          <cell r="Z47">
            <v>124</v>
          </cell>
          <cell r="AA47">
            <v>25</v>
          </cell>
          <cell r="AB47">
            <v>36</v>
          </cell>
          <cell r="AC47">
            <v>72</v>
          </cell>
          <cell r="AD47">
            <v>48</v>
          </cell>
          <cell r="AE47">
            <v>129</v>
          </cell>
          <cell r="AF47"/>
          <cell r="AG47">
            <v>48</v>
          </cell>
          <cell r="AH47">
            <v>42</v>
          </cell>
          <cell r="AI47">
            <v>104</v>
          </cell>
          <cell r="AJ47">
            <v>78</v>
          </cell>
          <cell r="AK47">
            <v>24</v>
          </cell>
          <cell r="AL47">
            <v>87</v>
          </cell>
        </row>
        <row r="49">
          <cell r="H49">
            <v>0</v>
          </cell>
          <cell r="I49">
            <v>2.12</v>
          </cell>
          <cell r="J49">
            <v>2.12</v>
          </cell>
          <cell r="K49">
            <v>2.12</v>
          </cell>
          <cell r="L49">
            <v>2.12</v>
          </cell>
          <cell r="M49">
            <v>2.12</v>
          </cell>
          <cell r="N49">
            <v>2.12</v>
          </cell>
          <cell r="O49">
            <v>2.12</v>
          </cell>
          <cell r="P49">
            <v>2.12</v>
          </cell>
          <cell r="Q49">
            <v>2.12</v>
          </cell>
          <cell r="R49">
            <v>2.12</v>
          </cell>
          <cell r="S49">
            <v>2.12</v>
          </cell>
          <cell r="T49">
            <v>2.12</v>
          </cell>
          <cell r="U49">
            <v>2.12</v>
          </cell>
          <cell r="V49">
            <v>2.12</v>
          </cell>
          <cell r="W49">
            <v>2.12</v>
          </cell>
          <cell r="X49">
            <v>2.12</v>
          </cell>
          <cell r="Y49">
            <v>2.12</v>
          </cell>
          <cell r="Z49">
            <v>2.12</v>
          </cell>
          <cell r="AA49">
            <v>2.12</v>
          </cell>
          <cell r="AB49">
            <v>2.12</v>
          </cell>
          <cell r="AC49">
            <v>2.12</v>
          </cell>
          <cell r="AD49">
            <v>2.12</v>
          </cell>
          <cell r="AE49">
            <v>2.12</v>
          </cell>
          <cell r="AF49">
            <v>0</v>
          </cell>
          <cell r="AG49">
            <v>2.12</v>
          </cell>
          <cell r="AH49">
            <v>2.12</v>
          </cell>
          <cell r="AI49">
            <v>2.12</v>
          </cell>
          <cell r="AJ49">
            <v>2.12</v>
          </cell>
          <cell r="AK49">
            <v>2.12</v>
          </cell>
          <cell r="AL49">
            <v>2.12</v>
          </cell>
        </row>
        <row r="50">
          <cell r="H50">
            <v>1.58</v>
          </cell>
          <cell r="I50">
            <v>2.0099999999999998</v>
          </cell>
          <cell r="J50">
            <v>1.99</v>
          </cell>
          <cell r="K50">
            <v>1.05</v>
          </cell>
          <cell r="L50">
            <v>1.75</v>
          </cell>
          <cell r="M50">
            <v>0.21</v>
          </cell>
          <cell r="N50">
            <v>3.45</v>
          </cell>
          <cell r="O50">
            <v>2.48</v>
          </cell>
          <cell r="P50">
            <v>1.71</v>
          </cell>
          <cell r="Q50">
            <v>2</v>
          </cell>
          <cell r="R50">
            <v>2.95</v>
          </cell>
          <cell r="S50">
            <v>2.0099999999999998</v>
          </cell>
          <cell r="T50">
            <v>4.45</v>
          </cell>
          <cell r="U50">
            <v>3.26</v>
          </cell>
          <cell r="V50">
            <v>2.62</v>
          </cell>
          <cell r="W50">
            <v>2.91</v>
          </cell>
          <cell r="X50">
            <v>7</v>
          </cell>
          <cell r="Y50">
            <v>2.06</v>
          </cell>
          <cell r="Z50">
            <v>2.31</v>
          </cell>
          <cell r="AA50">
            <v>4.58</v>
          </cell>
          <cell r="AB50">
            <v>3.02</v>
          </cell>
          <cell r="AC50">
            <v>2.93</v>
          </cell>
          <cell r="AD50">
            <v>2.444</v>
          </cell>
          <cell r="AE50">
            <v>1.61</v>
          </cell>
          <cell r="AF50"/>
          <cell r="AG50">
            <v>1.17</v>
          </cell>
          <cell r="AH50">
            <v>1.91</v>
          </cell>
          <cell r="AI50">
            <v>1.96</v>
          </cell>
          <cell r="AJ50">
            <v>2.1800000000000002</v>
          </cell>
          <cell r="AK50">
            <v>2.35</v>
          </cell>
          <cell r="AL50">
            <v>5.0999999999999996</v>
          </cell>
        </row>
        <row r="51">
          <cell r="H51">
            <v>0</v>
          </cell>
          <cell r="I51">
            <v>0.22260000000000002</v>
          </cell>
          <cell r="J51">
            <v>0.22260000000000002</v>
          </cell>
          <cell r="K51">
            <v>0.22260000000000002</v>
          </cell>
          <cell r="L51">
            <v>0.22260000000000002</v>
          </cell>
          <cell r="M51">
            <v>0.22260000000000002</v>
          </cell>
          <cell r="N51">
            <v>0.22260000000000002</v>
          </cell>
          <cell r="O51">
            <v>0.22260000000000002</v>
          </cell>
          <cell r="P51">
            <v>0.22260000000000002</v>
          </cell>
          <cell r="Q51">
            <v>0.22260000000000002</v>
          </cell>
          <cell r="R51">
            <v>0.22260000000000002</v>
          </cell>
          <cell r="S51">
            <v>0.22260000000000002</v>
          </cell>
          <cell r="T51">
            <v>0.22260000000000002</v>
          </cell>
          <cell r="U51">
            <v>0.22260000000000002</v>
          </cell>
          <cell r="V51">
            <v>0.22260000000000002</v>
          </cell>
          <cell r="W51">
            <v>0.22260000000000002</v>
          </cell>
          <cell r="X51">
            <v>0.22260000000000002</v>
          </cell>
          <cell r="Y51">
            <v>0.22260000000000002</v>
          </cell>
          <cell r="Z51">
            <v>0.22260000000000002</v>
          </cell>
          <cell r="AA51">
            <v>0.22260000000000002</v>
          </cell>
          <cell r="AB51">
            <v>0.22260000000000002</v>
          </cell>
          <cell r="AC51">
            <v>0.22260000000000002</v>
          </cell>
          <cell r="AD51">
            <v>0.22260000000000002</v>
          </cell>
          <cell r="AE51">
            <v>0.22260000000000002</v>
          </cell>
          <cell r="AF51">
            <v>0</v>
          </cell>
          <cell r="AG51">
            <v>0.22260000000000002</v>
          </cell>
          <cell r="AH51">
            <v>0.22260000000000002</v>
          </cell>
          <cell r="AI51">
            <v>0.22260000000000002</v>
          </cell>
          <cell r="AJ51">
            <v>0.22260000000000002</v>
          </cell>
          <cell r="AK51">
            <v>0.22260000000000002</v>
          </cell>
          <cell r="AL51">
            <v>0.22260000000000002</v>
          </cell>
        </row>
        <row r="52">
          <cell r="H52">
            <v>5.688E-2</v>
          </cell>
          <cell r="I52">
            <v>9.6479999999999996E-2</v>
          </cell>
          <cell r="J52">
            <v>2.3879999999999998E-2</v>
          </cell>
          <cell r="K52">
            <v>8.1900000000000001E-2</v>
          </cell>
          <cell r="L52">
            <v>8.4000000000000005E-2</v>
          </cell>
          <cell r="M52">
            <v>7.5599999999999999E-3</v>
          </cell>
          <cell r="N52">
            <v>7.5900000000000009E-2</v>
          </cell>
          <cell r="O52">
            <v>0.35711999999999999</v>
          </cell>
          <cell r="P52">
            <v>0.19494</v>
          </cell>
          <cell r="Q52">
            <v>0.186</v>
          </cell>
          <cell r="R52">
            <v>0.18290000000000001</v>
          </cell>
          <cell r="S52">
            <v>6.0299999999999999E-2</v>
          </cell>
          <cell r="T52">
            <v>0.45390000000000003</v>
          </cell>
          <cell r="U52">
            <v>0.23471999999999998</v>
          </cell>
          <cell r="V52">
            <v>0.17292000000000002</v>
          </cell>
          <cell r="W52">
            <v>0.17460000000000003</v>
          </cell>
          <cell r="X52">
            <v>0.504</v>
          </cell>
          <cell r="Y52">
            <v>0.22248000000000001</v>
          </cell>
          <cell r="Z52">
            <v>0.28643999999999997</v>
          </cell>
          <cell r="AA52">
            <v>0.1145</v>
          </cell>
          <cell r="AB52">
            <v>0.10872</v>
          </cell>
          <cell r="AC52">
            <v>0.21096000000000001</v>
          </cell>
          <cell r="AD52">
            <v>0.117312</v>
          </cell>
          <cell r="AE52">
            <v>0.20769000000000001</v>
          </cell>
          <cell r="AF52">
            <v>0</v>
          </cell>
          <cell r="AG52">
            <v>5.6159999999999995E-2</v>
          </cell>
          <cell r="AH52">
            <v>8.022E-2</v>
          </cell>
          <cell r="AI52">
            <v>0.20383999999999999</v>
          </cell>
          <cell r="AJ52">
            <v>0.17004000000000002</v>
          </cell>
          <cell r="AK52">
            <v>5.6400000000000006E-2</v>
          </cell>
          <cell r="AL52">
            <v>0.44369999999999998</v>
          </cell>
        </row>
        <row r="53">
          <cell r="C53" t="str">
            <v>5L_W7 STOPE</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row>
        <row r="54">
          <cell r="H54">
            <v>105</v>
          </cell>
          <cell r="I54"/>
          <cell r="J54"/>
          <cell r="K54"/>
          <cell r="L54"/>
          <cell r="M54"/>
          <cell r="N54"/>
          <cell r="O54"/>
          <cell r="P54"/>
          <cell r="Q54"/>
          <cell r="R54"/>
          <cell r="S54"/>
          <cell r="T54"/>
          <cell r="U54"/>
          <cell r="V54"/>
          <cell r="W54"/>
          <cell r="X54"/>
          <cell r="Y54"/>
          <cell r="Z54">
            <v>50</v>
          </cell>
          <cell r="AA54">
            <v>30</v>
          </cell>
          <cell r="AB54">
            <v>30</v>
          </cell>
          <cell r="AC54">
            <v>21</v>
          </cell>
          <cell r="AD54">
            <v>20</v>
          </cell>
          <cell r="AE54">
            <v>32</v>
          </cell>
          <cell r="AF54"/>
          <cell r="AG54">
            <v>50</v>
          </cell>
          <cell r="AH54"/>
          <cell r="AI54"/>
          <cell r="AJ54"/>
          <cell r="AK54"/>
          <cell r="AL54"/>
        </row>
        <row r="56">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row>
        <row r="57">
          <cell r="H57">
            <v>2.19</v>
          </cell>
          <cell r="I57"/>
          <cell r="J57"/>
          <cell r="K57"/>
          <cell r="L57"/>
          <cell r="M57"/>
          <cell r="N57"/>
          <cell r="O57"/>
          <cell r="P57"/>
          <cell r="Q57"/>
          <cell r="R57"/>
          <cell r="S57"/>
          <cell r="T57"/>
          <cell r="U57"/>
          <cell r="V57"/>
          <cell r="W57"/>
          <cell r="X57"/>
          <cell r="Y57"/>
          <cell r="Z57">
            <v>1.77</v>
          </cell>
          <cell r="AA57">
            <v>2.0299999999999998</v>
          </cell>
          <cell r="AB57">
            <v>2.41</v>
          </cell>
          <cell r="AC57">
            <v>4</v>
          </cell>
          <cell r="AD57">
            <v>1.05</v>
          </cell>
          <cell r="AE57">
            <v>0.98</v>
          </cell>
          <cell r="AF57"/>
          <cell r="AG57">
            <v>1.02</v>
          </cell>
          <cell r="AH57"/>
          <cell r="AI57"/>
          <cell r="AJ57"/>
          <cell r="AK57"/>
          <cell r="AL57"/>
        </row>
        <row r="58">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t="str">
            <v>.</v>
          </cell>
          <cell r="AH58">
            <v>0</v>
          </cell>
          <cell r="AI58">
            <v>0</v>
          </cell>
          <cell r="AJ58">
            <v>0</v>
          </cell>
          <cell r="AK58">
            <v>0</v>
          </cell>
          <cell r="AL58">
            <v>0</v>
          </cell>
        </row>
        <row r="59">
          <cell r="H59">
            <v>0.22994999999999999</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8.8499999999999995E-2</v>
          </cell>
          <cell r="AA59">
            <v>6.0899999999999989E-2</v>
          </cell>
          <cell r="AB59">
            <v>7.2300000000000017E-2</v>
          </cell>
          <cell r="AC59">
            <v>8.4000000000000005E-2</v>
          </cell>
          <cell r="AD59">
            <v>2.1000000000000001E-2</v>
          </cell>
          <cell r="AE59">
            <v>3.1359999999999999E-2</v>
          </cell>
          <cell r="AF59">
            <v>0</v>
          </cell>
          <cell r="AG59">
            <v>5.0999999999999997E-2</v>
          </cell>
          <cell r="AH59">
            <v>0</v>
          </cell>
          <cell r="AI59">
            <v>0</v>
          </cell>
          <cell r="AJ59">
            <v>0</v>
          </cell>
          <cell r="AK59">
            <v>0</v>
          </cell>
          <cell r="AL59">
            <v>0</v>
          </cell>
        </row>
        <row r="60">
          <cell r="C60" t="str">
            <v>5L_W8 STOPE</v>
          </cell>
          <cell r="H60">
            <v>0</v>
          </cell>
          <cell r="I60">
            <v>0</v>
          </cell>
          <cell r="J60">
            <v>0</v>
          </cell>
          <cell r="K60">
            <v>0</v>
          </cell>
          <cell r="L60">
            <v>0</v>
          </cell>
          <cell r="M60">
            <v>70</v>
          </cell>
          <cell r="N60">
            <v>70</v>
          </cell>
          <cell r="O60">
            <v>70</v>
          </cell>
          <cell r="P60">
            <v>70</v>
          </cell>
          <cell r="Q60">
            <v>70</v>
          </cell>
          <cell r="R60">
            <v>70</v>
          </cell>
          <cell r="S60">
            <v>70</v>
          </cell>
          <cell r="T60">
            <v>70</v>
          </cell>
          <cell r="U60">
            <v>70</v>
          </cell>
          <cell r="V60">
            <v>70</v>
          </cell>
          <cell r="W60">
            <v>70</v>
          </cell>
          <cell r="X60">
            <v>70</v>
          </cell>
          <cell r="Y60">
            <v>70</v>
          </cell>
          <cell r="Z60">
            <v>70</v>
          </cell>
          <cell r="AA60">
            <v>70</v>
          </cell>
          <cell r="AB60">
            <v>70</v>
          </cell>
          <cell r="AC60">
            <v>70</v>
          </cell>
          <cell r="AD60">
            <v>70</v>
          </cell>
          <cell r="AE60">
            <v>70</v>
          </cell>
          <cell r="AF60">
            <v>0</v>
          </cell>
          <cell r="AG60">
            <v>70</v>
          </cell>
          <cell r="AH60">
            <v>70</v>
          </cell>
          <cell r="AI60">
            <v>70</v>
          </cell>
          <cell r="AJ60">
            <v>70</v>
          </cell>
          <cell r="AK60">
            <v>70</v>
          </cell>
          <cell r="AL60">
            <v>70</v>
          </cell>
        </row>
        <row r="61">
          <cell r="H61">
            <v>84</v>
          </cell>
          <cell r="I61">
            <v>185</v>
          </cell>
          <cell r="J61">
            <v>165</v>
          </cell>
          <cell r="K61">
            <v>183</v>
          </cell>
          <cell r="L61">
            <v>146</v>
          </cell>
          <cell r="M61">
            <v>151</v>
          </cell>
          <cell r="N61">
            <v>154</v>
          </cell>
          <cell r="O61">
            <v>234</v>
          </cell>
          <cell r="P61">
            <v>144</v>
          </cell>
          <cell r="Q61">
            <v>163</v>
          </cell>
          <cell r="R61">
            <v>108</v>
          </cell>
          <cell r="S61">
            <v>72</v>
          </cell>
          <cell r="T61">
            <v>113</v>
          </cell>
          <cell r="U61">
            <v>130</v>
          </cell>
          <cell r="V61">
            <v>102</v>
          </cell>
          <cell r="W61">
            <v>181</v>
          </cell>
          <cell r="X61">
            <v>132</v>
          </cell>
          <cell r="Y61">
            <v>160</v>
          </cell>
          <cell r="Z61">
            <v>154</v>
          </cell>
          <cell r="AA61">
            <v>132</v>
          </cell>
          <cell r="AB61">
            <v>70</v>
          </cell>
          <cell r="AC61">
            <v>124</v>
          </cell>
          <cell r="AD61">
            <v>127</v>
          </cell>
          <cell r="AE61">
            <v>100</v>
          </cell>
          <cell r="AF61"/>
          <cell r="AG61">
            <v>106</v>
          </cell>
          <cell r="AH61">
            <v>82</v>
          </cell>
          <cell r="AI61">
            <v>90</v>
          </cell>
          <cell r="AJ61">
            <v>146</v>
          </cell>
          <cell r="AK61">
            <v>191</v>
          </cell>
          <cell r="AL61">
            <v>117</v>
          </cell>
        </row>
        <row r="63">
          <cell r="H63">
            <v>0</v>
          </cell>
          <cell r="I63">
            <v>2.02</v>
          </cell>
          <cell r="J63">
            <v>2.02</v>
          </cell>
          <cell r="K63">
            <v>2.02</v>
          </cell>
          <cell r="L63">
            <v>2.02</v>
          </cell>
          <cell r="M63">
            <v>2.02</v>
          </cell>
          <cell r="N63">
            <v>2.02</v>
          </cell>
          <cell r="O63">
            <v>2.02</v>
          </cell>
          <cell r="P63">
            <v>2.02</v>
          </cell>
          <cell r="Q63">
            <v>2.02</v>
          </cell>
          <cell r="R63">
            <v>2.02</v>
          </cell>
          <cell r="S63">
            <v>2.02</v>
          </cell>
          <cell r="T63">
            <v>2.02</v>
          </cell>
          <cell r="U63">
            <v>2.02</v>
          </cell>
          <cell r="V63">
            <v>2.02</v>
          </cell>
          <cell r="W63">
            <v>2.02</v>
          </cell>
          <cell r="X63">
            <v>2.02</v>
          </cell>
          <cell r="Y63">
            <v>2.02</v>
          </cell>
          <cell r="Z63">
            <v>2.02</v>
          </cell>
          <cell r="AA63">
            <v>2.02</v>
          </cell>
          <cell r="AB63">
            <v>2.02</v>
          </cell>
          <cell r="AC63">
            <v>2.02</v>
          </cell>
          <cell r="AD63">
            <v>2.02</v>
          </cell>
          <cell r="AE63">
            <v>2.02</v>
          </cell>
          <cell r="AF63">
            <v>0</v>
          </cell>
          <cell r="AG63">
            <v>2.02</v>
          </cell>
          <cell r="AH63">
            <v>2.02</v>
          </cell>
          <cell r="AI63">
            <v>2.02</v>
          </cell>
          <cell r="AJ63">
            <v>2.02</v>
          </cell>
          <cell r="AK63">
            <v>2.02</v>
          </cell>
          <cell r="AL63">
            <v>2.02</v>
          </cell>
        </row>
        <row r="64">
          <cell r="H64">
            <v>4.01</v>
          </cell>
          <cell r="I64">
            <v>1.59</v>
          </cell>
          <cell r="J64">
            <v>2.61</v>
          </cell>
          <cell r="K64">
            <v>2.31</v>
          </cell>
          <cell r="L64">
            <v>1.24</v>
          </cell>
          <cell r="M64">
            <v>1.62</v>
          </cell>
          <cell r="N64">
            <v>1.72</v>
          </cell>
          <cell r="O64">
            <v>1.1000000000000001</v>
          </cell>
          <cell r="P64">
            <v>0.72</v>
          </cell>
          <cell r="Q64">
            <v>1.24</v>
          </cell>
          <cell r="R64">
            <v>0.64</v>
          </cell>
          <cell r="S64">
            <v>2.12</v>
          </cell>
          <cell r="T64">
            <v>5.57</v>
          </cell>
          <cell r="U64">
            <v>1.1499999999999999</v>
          </cell>
          <cell r="V64">
            <v>2.17</v>
          </cell>
          <cell r="W64">
            <v>2.2000000000000002</v>
          </cell>
          <cell r="X64">
            <v>1.87</v>
          </cell>
          <cell r="Y64">
            <v>1.91</v>
          </cell>
          <cell r="Z64">
            <v>1.77</v>
          </cell>
          <cell r="AA64">
            <v>2.0299999999999998</v>
          </cell>
          <cell r="AB64">
            <v>3.58</v>
          </cell>
          <cell r="AC64">
            <v>2.63</v>
          </cell>
          <cell r="AD64">
            <v>2.73</v>
          </cell>
          <cell r="AE64">
            <v>1.74</v>
          </cell>
          <cell r="AF64"/>
          <cell r="AG64">
            <v>0.54</v>
          </cell>
          <cell r="AH64">
            <v>1.51</v>
          </cell>
          <cell r="AI64">
            <v>1.69</v>
          </cell>
          <cell r="AJ64">
            <v>2.2400000000000002</v>
          </cell>
          <cell r="AK64">
            <v>1.59</v>
          </cell>
          <cell r="AL64">
            <v>2.58</v>
          </cell>
        </row>
        <row r="65">
          <cell r="H65">
            <v>0</v>
          </cell>
          <cell r="I65">
            <v>0</v>
          </cell>
          <cell r="J65">
            <v>0</v>
          </cell>
          <cell r="K65">
            <v>0</v>
          </cell>
          <cell r="L65">
            <v>0</v>
          </cell>
          <cell r="M65">
            <v>0.1414</v>
          </cell>
          <cell r="N65">
            <v>0.1414</v>
          </cell>
          <cell r="O65">
            <v>0.1414</v>
          </cell>
          <cell r="P65">
            <v>0.1414</v>
          </cell>
          <cell r="Q65">
            <v>0.1414</v>
          </cell>
          <cell r="R65">
            <v>0.1414</v>
          </cell>
          <cell r="S65">
            <v>0.1414</v>
          </cell>
          <cell r="T65">
            <v>0.1414</v>
          </cell>
          <cell r="U65">
            <v>0.1414</v>
          </cell>
          <cell r="V65">
            <v>0.1414</v>
          </cell>
          <cell r="W65">
            <v>0.1414</v>
          </cell>
          <cell r="X65">
            <v>0.1414</v>
          </cell>
          <cell r="Y65">
            <v>0.1414</v>
          </cell>
          <cell r="Z65"/>
          <cell r="AA65">
            <v>0.1414</v>
          </cell>
          <cell r="AB65">
            <v>0.1414</v>
          </cell>
          <cell r="AC65">
            <v>0.1414</v>
          </cell>
          <cell r="AD65">
            <v>0.1414</v>
          </cell>
          <cell r="AE65">
            <v>0.1414</v>
          </cell>
          <cell r="AF65">
            <v>0</v>
          </cell>
          <cell r="AG65">
            <v>0.1414</v>
          </cell>
          <cell r="AH65">
            <v>0.1414</v>
          </cell>
          <cell r="AI65">
            <v>0.1414</v>
          </cell>
          <cell r="AJ65">
            <v>0.1414</v>
          </cell>
          <cell r="AK65">
            <v>0.1414</v>
          </cell>
          <cell r="AL65">
            <v>0.1414</v>
          </cell>
        </row>
        <row r="66">
          <cell r="H66">
            <v>0.33683999999999997</v>
          </cell>
          <cell r="I66">
            <v>0.29415000000000002</v>
          </cell>
          <cell r="J66">
            <v>0.43064999999999998</v>
          </cell>
          <cell r="K66">
            <v>0.42272999999999999</v>
          </cell>
          <cell r="L66">
            <v>0.18103999999999998</v>
          </cell>
          <cell r="M66">
            <v>0.24462</v>
          </cell>
          <cell r="N66">
            <v>0.26488</v>
          </cell>
          <cell r="O66">
            <v>0.25740000000000002</v>
          </cell>
          <cell r="P66">
            <v>0.10367999999999999</v>
          </cell>
          <cell r="Q66">
            <v>0.20211999999999999</v>
          </cell>
          <cell r="R66">
            <v>6.9120000000000001E-2</v>
          </cell>
          <cell r="S66">
            <v>0.15264000000000003</v>
          </cell>
          <cell r="T66">
            <v>0.62941000000000014</v>
          </cell>
          <cell r="U66">
            <v>0.14949999999999999</v>
          </cell>
          <cell r="V66">
            <v>0.22134000000000001</v>
          </cell>
          <cell r="W66">
            <v>0.39820000000000005</v>
          </cell>
          <cell r="X66">
            <v>0.24684</v>
          </cell>
          <cell r="Y66">
            <v>0.30559999999999998</v>
          </cell>
          <cell r="Z66">
            <v>0.27257999999999999</v>
          </cell>
          <cell r="AA66">
            <v>0.26795999999999998</v>
          </cell>
          <cell r="AB66">
            <v>0.25059999999999999</v>
          </cell>
          <cell r="AC66">
            <v>0.32612000000000002</v>
          </cell>
          <cell r="AD66">
            <v>0.34670999999999996</v>
          </cell>
          <cell r="AE66">
            <v>0.17399999999999999</v>
          </cell>
          <cell r="AF66">
            <v>0</v>
          </cell>
          <cell r="AG66">
            <v>5.7239999999999999E-2</v>
          </cell>
          <cell r="AH66">
            <v>0.12382000000000001</v>
          </cell>
          <cell r="AI66">
            <v>0.15209999999999999</v>
          </cell>
          <cell r="AJ66">
            <v>0.32704</v>
          </cell>
          <cell r="AK66">
            <v>0.30369000000000002</v>
          </cell>
          <cell r="AL66">
            <v>0.30186000000000002</v>
          </cell>
        </row>
        <row r="67">
          <cell r="C67" t="str">
            <v>6L_E1 STOPE</v>
          </cell>
          <cell r="H67">
            <v>0</v>
          </cell>
          <cell r="I67">
            <v>70</v>
          </cell>
          <cell r="J67">
            <v>70</v>
          </cell>
          <cell r="K67">
            <v>70</v>
          </cell>
          <cell r="L67">
            <v>70</v>
          </cell>
          <cell r="M67">
            <v>70</v>
          </cell>
          <cell r="N67">
            <v>70</v>
          </cell>
          <cell r="O67">
            <v>70</v>
          </cell>
          <cell r="P67">
            <v>70</v>
          </cell>
          <cell r="Q67">
            <v>70</v>
          </cell>
          <cell r="R67">
            <v>70</v>
          </cell>
          <cell r="S67">
            <v>70</v>
          </cell>
          <cell r="T67">
            <v>70</v>
          </cell>
          <cell r="U67">
            <v>70</v>
          </cell>
          <cell r="V67">
            <v>70</v>
          </cell>
          <cell r="W67">
            <v>70</v>
          </cell>
          <cell r="X67">
            <v>70</v>
          </cell>
          <cell r="Y67">
            <v>70</v>
          </cell>
          <cell r="Z67">
            <v>70</v>
          </cell>
          <cell r="AA67">
            <v>70</v>
          </cell>
          <cell r="AB67">
            <v>70</v>
          </cell>
          <cell r="AC67">
            <v>70</v>
          </cell>
          <cell r="AD67">
            <v>70</v>
          </cell>
          <cell r="AE67">
            <v>70</v>
          </cell>
          <cell r="AF67">
            <v>0</v>
          </cell>
          <cell r="AG67">
            <v>70</v>
          </cell>
          <cell r="AH67">
            <v>70</v>
          </cell>
          <cell r="AI67">
            <v>70</v>
          </cell>
          <cell r="AJ67">
            <v>70</v>
          </cell>
          <cell r="AK67">
            <v>70</v>
          </cell>
          <cell r="AL67">
            <v>70</v>
          </cell>
        </row>
        <row r="68">
          <cell r="H68">
            <v>139.19999999999999</v>
          </cell>
          <cell r="I68">
            <v>34.799999999999997</v>
          </cell>
          <cell r="J68">
            <v>112</v>
          </cell>
          <cell r="K68">
            <v>79.2</v>
          </cell>
          <cell r="L68">
            <v>92.4</v>
          </cell>
          <cell r="M68">
            <v>120</v>
          </cell>
          <cell r="N68">
            <v>73</v>
          </cell>
          <cell r="O68">
            <v>128</v>
          </cell>
          <cell r="P68">
            <v>56</v>
          </cell>
          <cell r="Q68">
            <v>48.8</v>
          </cell>
          <cell r="R68">
            <v>73</v>
          </cell>
          <cell r="S68">
            <v>288</v>
          </cell>
          <cell r="T68">
            <v>103</v>
          </cell>
          <cell r="U68">
            <v>117</v>
          </cell>
          <cell r="V68">
            <v>145</v>
          </cell>
          <cell r="W68">
            <v>157</v>
          </cell>
          <cell r="X68">
            <v>127</v>
          </cell>
          <cell r="Y68">
            <v>89</v>
          </cell>
          <cell r="Z68">
            <v>98</v>
          </cell>
          <cell r="AA68">
            <v>135</v>
          </cell>
          <cell r="AB68">
            <v>148</v>
          </cell>
          <cell r="AC68">
            <v>141</v>
          </cell>
          <cell r="AD68">
            <v>120</v>
          </cell>
          <cell r="AE68">
            <v>73</v>
          </cell>
          <cell r="AF68"/>
          <cell r="AG68">
            <v>141</v>
          </cell>
          <cell r="AH68">
            <v>178</v>
          </cell>
          <cell r="AI68">
            <v>217</v>
          </cell>
          <cell r="AJ68">
            <v>136</v>
          </cell>
          <cell r="AK68">
            <v>209</v>
          </cell>
          <cell r="AL68">
            <v>203</v>
          </cell>
        </row>
        <row r="70">
          <cell r="H70">
            <v>0</v>
          </cell>
          <cell r="I70">
            <v>3.89</v>
          </cell>
          <cell r="J70">
            <v>3.89</v>
          </cell>
          <cell r="K70">
            <v>3.89</v>
          </cell>
          <cell r="L70">
            <v>3.89</v>
          </cell>
          <cell r="M70">
            <v>3.89</v>
          </cell>
          <cell r="N70">
            <v>3.89</v>
          </cell>
          <cell r="O70">
            <v>3.89</v>
          </cell>
          <cell r="P70">
            <v>3.89</v>
          </cell>
          <cell r="Q70">
            <v>3.89</v>
          </cell>
          <cell r="R70">
            <v>3.89</v>
          </cell>
          <cell r="S70">
            <v>3.89</v>
          </cell>
          <cell r="T70">
            <v>3.89</v>
          </cell>
          <cell r="U70">
            <v>3.89</v>
          </cell>
          <cell r="V70">
            <v>3.89</v>
          </cell>
          <cell r="W70">
            <v>3.89</v>
          </cell>
          <cell r="X70">
            <v>3.89</v>
          </cell>
          <cell r="Y70">
            <v>3.89</v>
          </cell>
          <cell r="Z70">
            <v>3.89</v>
          </cell>
          <cell r="AA70">
            <v>3.89</v>
          </cell>
          <cell r="AB70">
            <v>3.89</v>
          </cell>
          <cell r="AC70">
            <v>3.89</v>
          </cell>
          <cell r="AD70">
            <v>3.89</v>
          </cell>
          <cell r="AE70">
            <v>3.89</v>
          </cell>
          <cell r="AF70">
            <v>0</v>
          </cell>
          <cell r="AG70">
            <v>3.89</v>
          </cell>
          <cell r="AH70">
            <v>3.89</v>
          </cell>
          <cell r="AI70">
            <v>3.89</v>
          </cell>
          <cell r="AJ70">
            <v>3.89</v>
          </cell>
          <cell r="AK70">
            <v>3.89</v>
          </cell>
          <cell r="AL70">
            <v>3.89</v>
          </cell>
        </row>
        <row r="71">
          <cell r="H71">
            <v>4.32</v>
          </cell>
          <cell r="I71">
            <v>6.91</v>
          </cell>
          <cell r="J71">
            <v>3.9</v>
          </cell>
          <cell r="K71">
            <v>4.46</v>
          </cell>
          <cell r="L71">
            <v>3.33</v>
          </cell>
          <cell r="M71">
            <v>6.74</v>
          </cell>
          <cell r="N71">
            <v>4.25</v>
          </cell>
          <cell r="O71">
            <v>5.31</v>
          </cell>
          <cell r="P71">
            <v>4.38</v>
          </cell>
          <cell r="Q71">
            <v>4.83</v>
          </cell>
          <cell r="R71">
            <v>5.92</v>
          </cell>
          <cell r="S71">
            <v>5.39</v>
          </cell>
          <cell r="T71">
            <v>4.99</v>
          </cell>
          <cell r="U71">
            <v>3.99</v>
          </cell>
          <cell r="V71">
            <v>2.06</v>
          </cell>
          <cell r="W71">
            <v>3.69</v>
          </cell>
          <cell r="X71">
            <v>6.31</v>
          </cell>
          <cell r="Y71">
            <v>3.42</v>
          </cell>
          <cell r="Z71">
            <v>2.48</v>
          </cell>
          <cell r="AA71">
            <v>2.97</v>
          </cell>
          <cell r="AB71">
            <v>4.5199999999999996</v>
          </cell>
          <cell r="AC71">
            <v>3.58</v>
          </cell>
          <cell r="AD71">
            <v>3.09</v>
          </cell>
          <cell r="AE71">
            <v>2.4700000000000002</v>
          </cell>
          <cell r="AF71"/>
          <cell r="AG71">
            <v>2.6</v>
          </cell>
          <cell r="AH71">
            <v>3.05</v>
          </cell>
          <cell r="AI71">
            <v>1.95</v>
          </cell>
          <cell r="AJ71">
            <v>1.32</v>
          </cell>
          <cell r="AK71">
            <v>3.81</v>
          </cell>
          <cell r="AL71">
            <v>5.01</v>
          </cell>
        </row>
        <row r="72">
          <cell r="H72">
            <v>0</v>
          </cell>
          <cell r="I72">
            <v>0.27229999999999999</v>
          </cell>
          <cell r="J72">
            <v>0.27229999999999999</v>
          </cell>
          <cell r="K72">
            <v>0.27229999999999999</v>
          </cell>
          <cell r="L72">
            <v>0.27229999999999999</v>
          </cell>
          <cell r="M72">
            <v>0.27229999999999999</v>
          </cell>
          <cell r="N72">
            <v>0.27229999999999999</v>
          </cell>
          <cell r="O72">
            <v>0.27229999999999999</v>
          </cell>
          <cell r="P72">
            <v>0.27229999999999999</v>
          </cell>
          <cell r="Q72">
            <v>0.27229999999999999</v>
          </cell>
          <cell r="R72">
            <v>0.27229999999999999</v>
          </cell>
          <cell r="S72">
            <v>0.27229999999999999</v>
          </cell>
          <cell r="T72">
            <v>0.27229999999999999</v>
          </cell>
          <cell r="U72">
            <v>0.27229999999999999</v>
          </cell>
          <cell r="V72">
            <v>0.27229999999999999</v>
          </cell>
          <cell r="W72">
            <v>0.27229999999999999</v>
          </cell>
          <cell r="X72">
            <v>0.27229999999999999</v>
          </cell>
          <cell r="Y72">
            <v>0.27229999999999999</v>
          </cell>
          <cell r="Z72">
            <v>0.27229999999999999</v>
          </cell>
          <cell r="AA72">
            <v>0.27229999999999999</v>
          </cell>
          <cell r="AB72">
            <v>0.27229999999999999</v>
          </cell>
          <cell r="AC72">
            <v>0.27229999999999999</v>
          </cell>
          <cell r="AD72">
            <v>0.27229999999999999</v>
          </cell>
          <cell r="AE72">
            <v>0.27229999999999999</v>
          </cell>
          <cell r="AF72">
            <v>0</v>
          </cell>
          <cell r="AG72">
            <v>0.27229999999999999</v>
          </cell>
          <cell r="AH72">
            <v>0.27229999999999999</v>
          </cell>
          <cell r="AI72">
            <v>0.27229999999999999</v>
          </cell>
          <cell r="AJ72">
            <v>0.27229999999999999</v>
          </cell>
          <cell r="AK72">
            <v>0.27229999999999999</v>
          </cell>
          <cell r="AL72">
            <v>0.27229999999999999</v>
          </cell>
        </row>
        <row r="73">
          <cell r="H73">
            <v>0.60134399999999999</v>
          </cell>
          <cell r="I73">
            <v>0.24046799999999999</v>
          </cell>
          <cell r="J73">
            <v>0.43680000000000002</v>
          </cell>
          <cell r="K73">
            <v>0.35323200000000005</v>
          </cell>
          <cell r="L73">
            <v>0.30769200000000002</v>
          </cell>
          <cell r="M73">
            <v>0.80880000000000007</v>
          </cell>
          <cell r="N73">
            <v>0.31025000000000003</v>
          </cell>
          <cell r="O73">
            <v>0.67967999999999995</v>
          </cell>
          <cell r="P73">
            <v>0.24528</v>
          </cell>
          <cell r="Q73">
            <v>0.23570399999999997</v>
          </cell>
          <cell r="R73">
            <v>0.43215999999999999</v>
          </cell>
          <cell r="S73">
            <v>1.5523199999999999</v>
          </cell>
          <cell r="T73">
            <v>0.51397000000000004</v>
          </cell>
          <cell r="U73">
            <v>0.46683000000000002</v>
          </cell>
          <cell r="V73">
            <v>0.29869999999999997</v>
          </cell>
          <cell r="W73">
            <v>0.57933000000000001</v>
          </cell>
          <cell r="X73">
            <v>0.80137000000000003</v>
          </cell>
          <cell r="Y73">
            <v>0.30437999999999998</v>
          </cell>
          <cell r="Z73">
            <v>0.24303999999999998</v>
          </cell>
          <cell r="AA73">
            <v>0.40095000000000003</v>
          </cell>
          <cell r="AB73">
            <v>0.66895999999999989</v>
          </cell>
          <cell r="AC73">
            <v>0.50478000000000001</v>
          </cell>
          <cell r="AD73">
            <v>0.37079999999999996</v>
          </cell>
          <cell r="AE73">
            <v>0.18031</v>
          </cell>
          <cell r="AF73">
            <v>0</v>
          </cell>
          <cell r="AG73">
            <v>0.36660000000000004</v>
          </cell>
          <cell r="AH73">
            <v>0.54289999999999994</v>
          </cell>
          <cell r="AI73">
            <v>0.42314999999999997</v>
          </cell>
          <cell r="AJ73">
            <v>0.17952000000000001</v>
          </cell>
          <cell r="AK73">
            <v>0.79628999999999994</v>
          </cell>
          <cell r="AL73">
            <v>1.0170299999999999</v>
          </cell>
        </row>
        <row r="74">
          <cell r="C74" t="str">
            <v xml:space="preserve">6L_W1 STOPE </v>
          </cell>
          <cell r="H74">
            <v>0</v>
          </cell>
          <cell r="I74">
            <v>70</v>
          </cell>
          <cell r="J74">
            <v>70</v>
          </cell>
          <cell r="K74">
            <v>70</v>
          </cell>
          <cell r="L74">
            <v>70</v>
          </cell>
          <cell r="M74">
            <v>70</v>
          </cell>
          <cell r="N74">
            <v>70</v>
          </cell>
          <cell r="O74">
            <v>70</v>
          </cell>
          <cell r="P74">
            <v>70</v>
          </cell>
          <cell r="Q74">
            <v>70</v>
          </cell>
          <cell r="R74">
            <v>70</v>
          </cell>
          <cell r="S74">
            <v>70</v>
          </cell>
          <cell r="T74">
            <v>70</v>
          </cell>
          <cell r="U74">
            <v>70</v>
          </cell>
          <cell r="V74">
            <v>70</v>
          </cell>
          <cell r="W74">
            <v>70</v>
          </cell>
          <cell r="X74">
            <v>70</v>
          </cell>
          <cell r="Y74">
            <v>70</v>
          </cell>
          <cell r="Z74">
            <v>70</v>
          </cell>
          <cell r="AA74">
            <v>70</v>
          </cell>
          <cell r="AB74">
            <v>70</v>
          </cell>
          <cell r="AC74">
            <v>70</v>
          </cell>
          <cell r="AD74">
            <v>70</v>
          </cell>
          <cell r="AE74">
            <v>70</v>
          </cell>
          <cell r="AF74">
            <v>0</v>
          </cell>
          <cell r="AG74">
            <v>70</v>
          </cell>
          <cell r="AH74">
            <v>70</v>
          </cell>
          <cell r="AI74">
            <v>70</v>
          </cell>
          <cell r="AJ74">
            <v>70</v>
          </cell>
          <cell r="AK74">
            <v>70</v>
          </cell>
          <cell r="AL74">
            <v>70</v>
          </cell>
        </row>
        <row r="75">
          <cell r="H75">
            <v>72</v>
          </cell>
          <cell r="I75"/>
          <cell r="J75">
            <v>93</v>
          </cell>
          <cell r="K75">
            <v>74.2</v>
          </cell>
          <cell r="L75">
            <v>84.4</v>
          </cell>
          <cell r="M75">
            <v>74.400000000000006</v>
          </cell>
          <cell r="N75">
            <v>76</v>
          </cell>
          <cell r="O75">
            <v>73</v>
          </cell>
          <cell r="P75">
            <v>55.2</v>
          </cell>
          <cell r="Q75">
            <v>76</v>
          </cell>
          <cell r="R75">
            <v>37</v>
          </cell>
          <cell r="S75"/>
          <cell r="T75">
            <v>84</v>
          </cell>
          <cell r="U75">
            <v>133</v>
          </cell>
          <cell r="V75">
            <v>117</v>
          </cell>
          <cell r="W75">
            <v>78</v>
          </cell>
          <cell r="X75">
            <v>56</v>
          </cell>
          <cell r="Y75">
            <v>41</v>
          </cell>
          <cell r="Z75">
            <v>98</v>
          </cell>
          <cell r="AA75">
            <v>20</v>
          </cell>
          <cell r="AB75">
            <v>68</v>
          </cell>
          <cell r="AC75">
            <v>4.8</v>
          </cell>
          <cell r="AD75">
            <v>44</v>
          </cell>
          <cell r="AE75">
            <v>44</v>
          </cell>
          <cell r="AF75"/>
          <cell r="AG75">
            <v>42</v>
          </cell>
          <cell r="AH75">
            <v>36</v>
          </cell>
          <cell r="AI75">
            <v>32</v>
          </cell>
          <cell r="AJ75">
            <v>57</v>
          </cell>
          <cell r="AK75"/>
          <cell r="AL75"/>
        </row>
        <row r="77">
          <cell r="H77">
            <v>0</v>
          </cell>
          <cell r="I77">
            <v>3.89</v>
          </cell>
          <cell r="J77">
            <v>3.89</v>
          </cell>
          <cell r="K77">
            <v>3.89</v>
          </cell>
          <cell r="L77">
            <v>3.89</v>
          </cell>
          <cell r="M77">
            <v>3.89</v>
          </cell>
          <cell r="N77">
            <v>3.89</v>
          </cell>
          <cell r="O77">
            <v>3.89</v>
          </cell>
          <cell r="P77">
            <v>3.89</v>
          </cell>
          <cell r="Q77">
            <v>3.89</v>
          </cell>
          <cell r="R77">
            <v>3.89</v>
          </cell>
          <cell r="S77">
            <v>3.89</v>
          </cell>
          <cell r="T77">
            <v>3.89</v>
          </cell>
          <cell r="U77">
            <v>3.89</v>
          </cell>
          <cell r="V77">
            <v>3.89</v>
          </cell>
          <cell r="W77">
            <v>3.89</v>
          </cell>
          <cell r="X77">
            <v>3.89</v>
          </cell>
          <cell r="Y77">
            <v>3.89</v>
          </cell>
          <cell r="Z77">
            <v>3.89</v>
          </cell>
          <cell r="AA77">
            <v>3.89</v>
          </cell>
          <cell r="AB77">
            <v>3.89</v>
          </cell>
          <cell r="AC77">
            <v>3.89</v>
          </cell>
          <cell r="AD77">
            <v>3.89</v>
          </cell>
          <cell r="AE77">
            <v>3.89</v>
          </cell>
          <cell r="AF77">
            <v>0</v>
          </cell>
          <cell r="AG77">
            <v>3.89</v>
          </cell>
          <cell r="AH77">
            <v>3.89</v>
          </cell>
          <cell r="AI77">
            <v>3.89</v>
          </cell>
          <cell r="AJ77">
            <v>3.89</v>
          </cell>
          <cell r="AK77">
            <v>3.89</v>
          </cell>
          <cell r="AL77">
            <v>3.89</v>
          </cell>
        </row>
        <row r="78">
          <cell r="H78">
            <v>1.63</v>
          </cell>
          <cell r="I78"/>
          <cell r="J78">
            <v>2.65</v>
          </cell>
          <cell r="K78">
            <v>4.12</v>
          </cell>
          <cell r="L78">
            <v>1.1599999999999999</v>
          </cell>
          <cell r="M78">
            <v>1.51</v>
          </cell>
          <cell r="N78">
            <v>1.51</v>
          </cell>
          <cell r="O78">
            <v>1.63</v>
          </cell>
          <cell r="P78">
            <v>1.0900000000000001</v>
          </cell>
          <cell r="Q78">
            <v>1.76</v>
          </cell>
          <cell r="R78">
            <v>2.64</v>
          </cell>
          <cell r="S78"/>
          <cell r="T78">
            <v>1.71</v>
          </cell>
          <cell r="U78">
            <v>2.98</v>
          </cell>
          <cell r="V78">
            <v>3</v>
          </cell>
          <cell r="W78">
            <v>2.58</v>
          </cell>
          <cell r="X78">
            <v>2.57</v>
          </cell>
          <cell r="Y78">
            <v>1.82</v>
          </cell>
          <cell r="Z78">
            <v>2.71</v>
          </cell>
          <cell r="AA78">
            <v>2.54</v>
          </cell>
          <cell r="AB78">
            <v>2.12</v>
          </cell>
          <cell r="AC78">
            <v>1.57</v>
          </cell>
          <cell r="AD78">
            <v>2.21</v>
          </cell>
          <cell r="AE78">
            <v>1.33</v>
          </cell>
          <cell r="AF78"/>
          <cell r="AG78">
            <v>2.5</v>
          </cell>
          <cell r="AH78">
            <v>1.29</v>
          </cell>
          <cell r="AI78">
            <v>2.9</v>
          </cell>
          <cell r="AJ78">
            <v>5.38</v>
          </cell>
          <cell r="AK78">
            <v>4.1399999999999997</v>
          </cell>
          <cell r="AL78"/>
        </row>
        <row r="79">
          <cell r="H79">
            <v>0</v>
          </cell>
          <cell r="I79">
            <v>0.27229999999999999</v>
          </cell>
          <cell r="J79">
            <v>0.27229999999999999</v>
          </cell>
          <cell r="K79">
            <v>0.27229999999999999</v>
          </cell>
          <cell r="L79">
            <v>0.27229999999999999</v>
          </cell>
          <cell r="M79">
            <v>0.27229999999999999</v>
          </cell>
          <cell r="N79">
            <v>0.27229999999999999</v>
          </cell>
          <cell r="O79">
            <v>0.27229999999999999</v>
          </cell>
          <cell r="P79">
            <v>0.27229999999999999</v>
          </cell>
          <cell r="Q79">
            <v>0.27229999999999999</v>
          </cell>
          <cell r="R79">
            <v>0.27229999999999999</v>
          </cell>
          <cell r="S79">
            <v>0.27229999999999999</v>
          </cell>
          <cell r="T79">
            <v>0.27229999999999999</v>
          </cell>
          <cell r="U79">
            <v>0.27229999999999999</v>
          </cell>
          <cell r="V79">
            <v>0.27229999999999999</v>
          </cell>
          <cell r="W79">
            <v>0.27229999999999999</v>
          </cell>
          <cell r="X79">
            <v>0.27229999999999999</v>
          </cell>
          <cell r="Y79">
            <v>0.27229999999999999</v>
          </cell>
          <cell r="Z79">
            <v>0.27229999999999999</v>
          </cell>
          <cell r="AA79">
            <v>0.27229999999999999</v>
          </cell>
          <cell r="AB79">
            <v>0.27229999999999999</v>
          </cell>
          <cell r="AC79">
            <v>0.27229999999999999</v>
          </cell>
          <cell r="AD79">
            <v>0.27229999999999999</v>
          </cell>
          <cell r="AE79">
            <v>0.27229999999999999</v>
          </cell>
          <cell r="AF79">
            <v>0</v>
          </cell>
          <cell r="AG79">
            <v>0.27229999999999999</v>
          </cell>
          <cell r="AH79">
            <v>0.27229999999999999</v>
          </cell>
          <cell r="AI79">
            <v>0.27229999999999999</v>
          </cell>
          <cell r="AJ79">
            <v>0.27229999999999999</v>
          </cell>
          <cell r="AK79">
            <v>0.27229999999999999</v>
          </cell>
          <cell r="AL79">
            <v>0.27229999999999999</v>
          </cell>
        </row>
        <row r="80">
          <cell r="H80">
            <v>0.11735999999999999</v>
          </cell>
          <cell r="I80">
            <v>0</v>
          </cell>
          <cell r="J80">
            <v>0.24645</v>
          </cell>
          <cell r="K80">
            <v>0.30570400000000003</v>
          </cell>
          <cell r="L80">
            <v>9.7903999999999991E-2</v>
          </cell>
          <cell r="M80"/>
          <cell r="N80">
            <v>0.11476</v>
          </cell>
          <cell r="O80">
            <v>0.11899</v>
          </cell>
          <cell r="P80">
            <v>6.0168000000000006E-2</v>
          </cell>
          <cell r="Q80">
            <v>0.13375999999999999</v>
          </cell>
          <cell r="R80">
            <v>9.7680000000000003E-2</v>
          </cell>
          <cell r="S80">
            <v>0</v>
          </cell>
          <cell r="T80">
            <v>0.14363999999999999</v>
          </cell>
          <cell r="U80">
            <v>0.39633999999999997</v>
          </cell>
          <cell r="V80">
            <v>0.35099999999999998</v>
          </cell>
          <cell r="W80">
            <v>0.20124</v>
          </cell>
          <cell r="X80">
            <v>0.14391999999999999</v>
          </cell>
          <cell r="Y80">
            <v>7.4620000000000006E-2</v>
          </cell>
          <cell r="Z80">
            <v>0.26557999999999998</v>
          </cell>
          <cell r="AA80">
            <v>5.0799999999999998E-2</v>
          </cell>
          <cell r="AB80">
            <v>0.14416000000000001</v>
          </cell>
          <cell r="AC80">
            <v>7.5359999999999993E-3</v>
          </cell>
          <cell r="AD80">
            <v>9.7239999999999993E-2</v>
          </cell>
          <cell r="AE80">
            <v>5.8520000000000003E-2</v>
          </cell>
          <cell r="AF80">
            <v>0</v>
          </cell>
          <cell r="AG80">
            <v>0.105</v>
          </cell>
          <cell r="AH80">
            <v>4.6439999999999995E-2</v>
          </cell>
          <cell r="AI80">
            <v>9.2799999999999994E-2</v>
          </cell>
          <cell r="AJ80">
            <v>0.30665999999999999</v>
          </cell>
          <cell r="AK80">
            <v>0</v>
          </cell>
          <cell r="AL80">
            <v>0</v>
          </cell>
        </row>
        <row r="81">
          <cell r="C81" t="str">
            <v xml:space="preserve">6L_W2 STOPE </v>
          </cell>
          <cell r="H81">
            <v>0</v>
          </cell>
          <cell r="I81">
            <v>70</v>
          </cell>
          <cell r="J81">
            <v>70</v>
          </cell>
          <cell r="K81">
            <v>70</v>
          </cell>
          <cell r="L81">
            <v>70</v>
          </cell>
          <cell r="M81">
            <v>70</v>
          </cell>
          <cell r="N81">
            <v>70</v>
          </cell>
          <cell r="O81">
            <v>70</v>
          </cell>
          <cell r="P81">
            <v>70</v>
          </cell>
          <cell r="Q81">
            <v>70</v>
          </cell>
          <cell r="R81">
            <v>70</v>
          </cell>
          <cell r="S81">
            <v>70</v>
          </cell>
          <cell r="T81">
            <v>70</v>
          </cell>
          <cell r="U81">
            <v>70</v>
          </cell>
          <cell r="V81">
            <v>70</v>
          </cell>
          <cell r="W81">
            <v>70</v>
          </cell>
          <cell r="X81">
            <v>70</v>
          </cell>
          <cell r="Y81">
            <v>70</v>
          </cell>
          <cell r="Z81">
            <v>70</v>
          </cell>
          <cell r="AA81">
            <v>70</v>
          </cell>
          <cell r="AB81">
            <v>70</v>
          </cell>
          <cell r="AC81">
            <v>70</v>
          </cell>
          <cell r="AD81">
            <v>70</v>
          </cell>
          <cell r="AE81">
            <v>70</v>
          </cell>
          <cell r="AF81">
            <v>0</v>
          </cell>
          <cell r="AG81">
            <v>70</v>
          </cell>
          <cell r="AH81">
            <v>70</v>
          </cell>
          <cell r="AI81">
            <v>70</v>
          </cell>
          <cell r="AJ81">
            <v>70</v>
          </cell>
          <cell r="AK81">
            <v>70</v>
          </cell>
          <cell r="AL81">
            <v>70</v>
          </cell>
        </row>
        <row r="82">
          <cell r="H82">
            <v>60</v>
          </cell>
          <cell r="I82">
            <v>40</v>
          </cell>
          <cell r="J82">
            <v>140</v>
          </cell>
          <cell r="K82">
            <v>122.2</v>
          </cell>
          <cell r="L82">
            <v>102</v>
          </cell>
          <cell r="M82">
            <v>50</v>
          </cell>
          <cell r="N82">
            <v>31</v>
          </cell>
          <cell r="O82">
            <v>60</v>
          </cell>
          <cell r="P82">
            <v>64</v>
          </cell>
          <cell r="Q82">
            <v>63.5</v>
          </cell>
          <cell r="R82">
            <v>39</v>
          </cell>
          <cell r="S82"/>
          <cell r="T82">
            <v>0</v>
          </cell>
          <cell r="U82">
            <v>30</v>
          </cell>
          <cell r="V82">
            <v>59</v>
          </cell>
          <cell r="W82">
            <v>65</v>
          </cell>
          <cell r="X82">
            <v>36</v>
          </cell>
          <cell r="Y82">
            <v>38</v>
          </cell>
          <cell r="Z82">
            <v>45</v>
          </cell>
          <cell r="AA82">
            <v>66</v>
          </cell>
          <cell r="AB82"/>
          <cell r="AC82"/>
          <cell r="AD82"/>
          <cell r="AE82">
            <v>61</v>
          </cell>
          <cell r="AF82"/>
          <cell r="AG82"/>
          <cell r="AH82"/>
          <cell r="AI82"/>
          <cell r="AJ82">
            <v>20</v>
          </cell>
          <cell r="AK82">
            <v>30</v>
          </cell>
          <cell r="AL82">
            <v>45</v>
          </cell>
        </row>
        <row r="84">
          <cell r="H84">
            <v>0</v>
          </cell>
          <cell r="I84">
            <v>2.91</v>
          </cell>
          <cell r="J84">
            <v>2.91</v>
          </cell>
          <cell r="K84">
            <v>2.91</v>
          </cell>
          <cell r="L84">
            <v>2.91</v>
          </cell>
          <cell r="M84">
            <v>2.91</v>
          </cell>
          <cell r="N84">
            <v>2.91</v>
          </cell>
          <cell r="O84">
            <v>2.91</v>
          </cell>
          <cell r="P84">
            <v>2.91</v>
          </cell>
          <cell r="Q84">
            <v>2.91</v>
          </cell>
          <cell r="R84">
            <v>2.91</v>
          </cell>
          <cell r="S84">
            <v>2.91</v>
          </cell>
          <cell r="T84">
            <v>2.91</v>
          </cell>
          <cell r="U84">
            <v>2.91</v>
          </cell>
          <cell r="V84">
            <v>2.91</v>
          </cell>
          <cell r="W84">
            <v>2.91</v>
          </cell>
          <cell r="X84">
            <v>2.91</v>
          </cell>
          <cell r="Y84">
            <v>2.91</v>
          </cell>
          <cell r="Z84">
            <v>2.91</v>
          </cell>
          <cell r="AA84">
            <v>2.91</v>
          </cell>
          <cell r="AB84">
            <v>2.91</v>
          </cell>
          <cell r="AC84">
            <v>2.91</v>
          </cell>
          <cell r="AD84">
            <v>2.91</v>
          </cell>
          <cell r="AE84">
            <v>2.91</v>
          </cell>
          <cell r="AF84">
            <v>2.91</v>
          </cell>
          <cell r="AG84">
            <v>2.91</v>
          </cell>
          <cell r="AH84">
            <v>2.91</v>
          </cell>
          <cell r="AI84">
            <v>2.91</v>
          </cell>
          <cell r="AJ84">
            <v>2.91</v>
          </cell>
          <cell r="AK84">
            <v>2.91</v>
          </cell>
          <cell r="AL84">
            <v>2.91</v>
          </cell>
        </row>
        <row r="85">
          <cell r="H85">
            <v>1.41</v>
          </cell>
          <cell r="I85">
            <v>5.14</v>
          </cell>
          <cell r="J85">
            <v>2.65</v>
          </cell>
          <cell r="K85">
            <v>1.18</v>
          </cell>
          <cell r="L85">
            <v>1.74</v>
          </cell>
          <cell r="M85">
            <v>1.91</v>
          </cell>
          <cell r="N85">
            <v>1.91</v>
          </cell>
          <cell r="O85">
            <v>1.24</v>
          </cell>
          <cell r="P85">
            <v>0.89</v>
          </cell>
          <cell r="Q85">
            <v>1.76</v>
          </cell>
          <cell r="R85">
            <v>1.76</v>
          </cell>
          <cell r="S85"/>
          <cell r="T85"/>
          <cell r="U85">
            <v>0.98</v>
          </cell>
          <cell r="V85">
            <v>3.21</v>
          </cell>
          <cell r="W85">
            <v>2.1</v>
          </cell>
          <cell r="X85">
            <v>2.62</v>
          </cell>
          <cell r="Y85">
            <v>1.6</v>
          </cell>
          <cell r="Z85">
            <v>0.86</v>
          </cell>
          <cell r="AA85">
            <v>2.39</v>
          </cell>
          <cell r="AB85"/>
          <cell r="AC85"/>
          <cell r="AD85"/>
          <cell r="AE85">
            <v>2.91</v>
          </cell>
          <cell r="AF85"/>
          <cell r="AG85"/>
          <cell r="AH85"/>
          <cell r="AI85"/>
          <cell r="AJ85">
            <v>2.99</v>
          </cell>
          <cell r="AK85">
            <v>2.74</v>
          </cell>
          <cell r="AL85">
            <v>2.87</v>
          </cell>
        </row>
        <row r="86">
          <cell r="H86">
            <v>0</v>
          </cell>
          <cell r="I86">
            <v>0.20370000000000002</v>
          </cell>
          <cell r="J86">
            <v>0.20370000000000002</v>
          </cell>
          <cell r="K86">
            <v>0.20370000000000002</v>
          </cell>
          <cell r="L86">
            <v>0.20370000000000002</v>
          </cell>
          <cell r="M86">
            <v>0.20370000000000002</v>
          </cell>
          <cell r="N86">
            <v>0.20370000000000002</v>
          </cell>
          <cell r="O86">
            <v>0.20370000000000002</v>
          </cell>
          <cell r="P86">
            <v>0.20370000000000002</v>
          </cell>
          <cell r="Q86">
            <v>0.20370000000000002</v>
          </cell>
          <cell r="R86">
            <v>0.20370000000000002</v>
          </cell>
          <cell r="S86">
            <v>0.20370000000000002</v>
          </cell>
          <cell r="T86">
            <v>0.20370000000000002</v>
          </cell>
          <cell r="U86">
            <v>0.20370000000000002</v>
          </cell>
          <cell r="V86">
            <v>0.20370000000000002</v>
          </cell>
          <cell r="W86">
            <v>0.20370000000000002</v>
          </cell>
          <cell r="X86">
            <v>0.20370000000000002</v>
          </cell>
          <cell r="Y86">
            <v>0.20370000000000002</v>
          </cell>
          <cell r="Z86">
            <v>0.20370000000000002</v>
          </cell>
          <cell r="AA86">
            <v>0.20370000000000002</v>
          </cell>
          <cell r="AB86">
            <v>0.20370000000000002</v>
          </cell>
          <cell r="AC86">
            <v>0.20370000000000002</v>
          </cell>
          <cell r="AD86">
            <v>0.20370000000000002</v>
          </cell>
          <cell r="AE86">
            <v>0.20370000000000002</v>
          </cell>
          <cell r="AF86">
            <v>0</v>
          </cell>
          <cell r="AG86">
            <v>0.20370000000000002</v>
          </cell>
          <cell r="AH86">
            <v>0.20370000000000002</v>
          </cell>
          <cell r="AI86">
            <v>0.20370000000000002</v>
          </cell>
          <cell r="AJ86">
            <v>0.20370000000000002</v>
          </cell>
          <cell r="AK86">
            <v>0.20370000000000002</v>
          </cell>
          <cell r="AL86">
            <v>0.20370000000000002</v>
          </cell>
        </row>
        <row r="87">
          <cell r="H87">
            <v>8.4599999999999995E-2</v>
          </cell>
          <cell r="I87">
            <v>0.2056</v>
          </cell>
          <cell r="J87">
            <v>0.371</v>
          </cell>
          <cell r="K87">
            <v>0.14419599999999999</v>
          </cell>
          <cell r="L87">
            <v>0.17748</v>
          </cell>
          <cell r="M87">
            <v>9.5500000000000002E-2</v>
          </cell>
          <cell r="N87">
            <v>5.9209999999999999E-2</v>
          </cell>
          <cell r="O87">
            <v>7.4400000000000008E-2</v>
          </cell>
          <cell r="P87">
            <v>5.6960000000000004E-2</v>
          </cell>
          <cell r="Q87">
            <v>0.11176</v>
          </cell>
          <cell r="R87">
            <v>6.8640000000000007E-2</v>
          </cell>
          <cell r="S87">
            <v>0</v>
          </cell>
          <cell r="T87">
            <v>0</v>
          </cell>
          <cell r="U87">
            <v>2.9399999999999999E-2</v>
          </cell>
          <cell r="V87">
            <v>0.18938999999999998</v>
          </cell>
          <cell r="W87">
            <v>0.13650000000000001</v>
          </cell>
          <cell r="X87">
            <v>9.4320000000000001E-2</v>
          </cell>
          <cell r="Y87">
            <v>6.0800000000000007E-2</v>
          </cell>
          <cell r="Z87">
            <v>3.8700000000000005E-2</v>
          </cell>
          <cell r="AA87">
            <v>0.15774000000000002</v>
          </cell>
          <cell r="AB87">
            <v>0</v>
          </cell>
          <cell r="AC87">
            <v>0</v>
          </cell>
          <cell r="AD87">
            <v>0</v>
          </cell>
          <cell r="AE87">
            <v>0.17751000000000003</v>
          </cell>
          <cell r="AF87">
            <v>0</v>
          </cell>
          <cell r="AG87">
            <v>0</v>
          </cell>
          <cell r="AH87">
            <v>0</v>
          </cell>
          <cell r="AI87">
            <v>0</v>
          </cell>
          <cell r="AJ87">
            <v>5.9800000000000006E-2</v>
          </cell>
          <cell r="AK87">
            <v>8.2200000000000009E-2</v>
          </cell>
          <cell r="AL87">
            <v>0.12915000000000001</v>
          </cell>
        </row>
        <row r="88">
          <cell r="C88" t="str">
            <v>6L_W8 STOPE</v>
          </cell>
          <cell r="H88">
            <v>0</v>
          </cell>
          <cell r="I88">
            <v>70</v>
          </cell>
          <cell r="J88">
            <v>70</v>
          </cell>
          <cell r="K88">
            <v>70</v>
          </cell>
          <cell r="L88">
            <v>70</v>
          </cell>
          <cell r="M88">
            <v>70</v>
          </cell>
          <cell r="N88">
            <v>70</v>
          </cell>
          <cell r="O88">
            <v>70</v>
          </cell>
          <cell r="P88">
            <v>70</v>
          </cell>
          <cell r="Q88">
            <v>70</v>
          </cell>
          <cell r="R88">
            <v>70</v>
          </cell>
          <cell r="S88">
            <v>70</v>
          </cell>
          <cell r="T88">
            <v>70</v>
          </cell>
          <cell r="U88">
            <v>70</v>
          </cell>
          <cell r="V88">
            <v>70</v>
          </cell>
          <cell r="W88">
            <v>70</v>
          </cell>
          <cell r="X88">
            <v>70</v>
          </cell>
          <cell r="Y88">
            <v>70</v>
          </cell>
          <cell r="Z88">
            <v>70</v>
          </cell>
          <cell r="AA88">
            <v>70</v>
          </cell>
          <cell r="AB88">
            <v>70</v>
          </cell>
          <cell r="AC88">
            <v>70</v>
          </cell>
          <cell r="AD88">
            <v>70</v>
          </cell>
          <cell r="AE88">
            <v>70</v>
          </cell>
          <cell r="AF88">
            <v>0</v>
          </cell>
          <cell r="AG88">
            <v>70</v>
          </cell>
          <cell r="AH88">
            <v>70</v>
          </cell>
          <cell r="AI88">
            <v>70</v>
          </cell>
          <cell r="AJ88">
            <v>70</v>
          </cell>
          <cell r="AK88">
            <v>70</v>
          </cell>
          <cell r="AL88">
            <v>70</v>
          </cell>
        </row>
        <row r="89">
          <cell r="H89">
            <v>18</v>
          </cell>
          <cell r="I89">
            <v>15</v>
          </cell>
          <cell r="J89">
            <v>71.599999999999994</v>
          </cell>
          <cell r="K89">
            <v>64</v>
          </cell>
          <cell r="L89">
            <v>64</v>
          </cell>
          <cell r="M89">
            <v>68.400000000000006</v>
          </cell>
          <cell r="N89">
            <v>59</v>
          </cell>
          <cell r="O89">
            <v>16</v>
          </cell>
          <cell r="P89">
            <v>44.4</v>
          </cell>
          <cell r="Q89">
            <v>115</v>
          </cell>
          <cell r="R89">
            <v>50</v>
          </cell>
          <cell r="S89"/>
          <cell r="T89">
            <v>89</v>
          </cell>
          <cell r="U89">
            <v>48</v>
          </cell>
          <cell r="V89">
            <v>63</v>
          </cell>
          <cell r="W89">
            <v>88</v>
          </cell>
          <cell r="X89">
            <v>82</v>
          </cell>
          <cell r="Y89">
            <v>62</v>
          </cell>
          <cell r="Z89">
            <v>83</v>
          </cell>
          <cell r="AA89">
            <v>108</v>
          </cell>
          <cell r="AB89">
            <v>111</v>
          </cell>
          <cell r="AC89">
            <v>108</v>
          </cell>
          <cell r="AD89">
            <v>108</v>
          </cell>
          <cell r="AE89">
            <v>88</v>
          </cell>
          <cell r="AF89"/>
          <cell r="AG89">
            <v>60</v>
          </cell>
          <cell r="AH89">
            <v>60</v>
          </cell>
          <cell r="AI89">
            <v>47</v>
          </cell>
          <cell r="AJ89">
            <v>17</v>
          </cell>
          <cell r="AK89">
            <v>32</v>
          </cell>
          <cell r="AL89">
            <v>58</v>
          </cell>
        </row>
        <row r="91">
          <cell r="H91">
            <v>0</v>
          </cell>
          <cell r="I91">
            <v>2.91</v>
          </cell>
          <cell r="J91">
            <v>2.91</v>
          </cell>
          <cell r="K91">
            <v>2.91</v>
          </cell>
          <cell r="L91">
            <v>2.91</v>
          </cell>
          <cell r="M91">
            <v>2.91</v>
          </cell>
          <cell r="N91">
            <v>2.91</v>
          </cell>
          <cell r="O91">
            <v>2.91</v>
          </cell>
          <cell r="P91">
            <v>2.91</v>
          </cell>
          <cell r="Q91">
            <v>2.91</v>
          </cell>
          <cell r="R91">
            <v>2.91</v>
          </cell>
          <cell r="S91">
            <v>2.91</v>
          </cell>
          <cell r="T91">
            <v>2.91</v>
          </cell>
          <cell r="U91">
            <v>2.91</v>
          </cell>
          <cell r="V91">
            <v>2.91</v>
          </cell>
          <cell r="W91">
            <v>2.91</v>
          </cell>
          <cell r="X91">
            <v>2.91</v>
          </cell>
          <cell r="Y91">
            <v>2.91</v>
          </cell>
          <cell r="Z91">
            <v>2.91</v>
          </cell>
          <cell r="AA91">
            <v>2.91</v>
          </cell>
          <cell r="AB91">
            <v>2.91</v>
          </cell>
          <cell r="AC91">
            <v>2.91</v>
          </cell>
          <cell r="AD91">
            <v>2.91</v>
          </cell>
          <cell r="AE91">
            <v>2.91</v>
          </cell>
          <cell r="AF91">
            <v>0</v>
          </cell>
          <cell r="AG91">
            <v>2.91</v>
          </cell>
          <cell r="AH91">
            <v>2.91</v>
          </cell>
          <cell r="AI91">
            <v>2.91</v>
          </cell>
          <cell r="AJ91">
            <v>2.91</v>
          </cell>
          <cell r="AK91">
            <v>2.91</v>
          </cell>
          <cell r="AL91">
            <v>2.91</v>
          </cell>
        </row>
        <row r="92">
          <cell r="H92">
            <v>4.01</v>
          </cell>
          <cell r="I92">
            <v>4.74</v>
          </cell>
          <cell r="J92">
            <v>4.9400000000000004</v>
          </cell>
          <cell r="K92">
            <v>4.9400000000000004</v>
          </cell>
          <cell r="L92">
            <v>4.9000000000000004</v>
          </cell>
          <cell r="M92">
            <v>2.54</v>
          </cell>
          <cell r="N92">
            <v>2.08</v>
          </cell>
          <cell r="O92">
            <v>2.59</v>
          </cell>
          <cell r="P92">
            <v>2.16</v>
          </cell>
          <cell r="Q92">
            <v>3.13</v>
          </cell>
          <cell r="R92">
            <v>2.6</v>
          </cell>
          <cell r="S92"/>
          <cell r="T92">
            <v>3.05</v>
          </cell>
          <cell r="U92">
            <v>4.9400000000000004</v>
          </cell>
          <cell r="V92">
            <v>5.16</v>
          </cell>
          <cell r="W92">
            <v>3.28</v>
          </cell>
          <cell r="X92">
            <v>3.17</v>
          </cell>
          <cell r="Y92">
            <v>3.32</v>
          </cell>
          <cell r="Z92">
            <v>3.72</v>
          </cell>
          <cell r="AA92">
            <v>4.7</v>
          </cell>
          <cell r="AB92">
            <v>2.5099999999999998</v>
          </cell>
          <cell r="AC92">
            <v>4.42</v>
          </cell>
          <cell r="AD92">
            <v>2.52</v>
          </cell>
          <cell r="AE92">
            <v>1.87</v>
          </cell>
          <cell r="AF92"/>
          <cell r="AG92">
            <v>2.0099999999999998</v>
          </cell>
          <cell r="AH92">
            <v>1.33</v>
          </cell>
          <cell r="AI92">
            <v>1.4</v>
          </cell>
          <cell r="AJ92">
            <v>1.53</v>
          </cell>
          <cell r="AK92">
            <v>4.53</v>
          </cell>
          <cell r="AL92">
            <v>2.04</v>
          </cell>
        </row>
        <row r="93">
          <cell r="H93">
            <v>0</v>
          </cell>
          <cell r="I93">
            <v>0.20370000000000002</v>
          </cell>
          <cell r="J93">
            <v>0.20370000000000002</v>
          </cell>
          <cell r="K93">
            <v>0.20370000000000002</v>
          </cell>
          <cell r="L93">
            <v>0.20370000000000002</v>
          </cell>
          <cell r="M93">
            <v>0.20370000000000002</v>
          </cell>
          <cell r="N93">
            <v>0.20370000000000002</v>
          </cell>
          <cell r="O93">
            <v>0.20370000000000002</v>
          </cell>
          <cell r="P93">
            <v>0.20370000000000002</v>
          </cell>
          <cell r="Q93">
            <v>0.20370000000000002</v>
          </cell>
          <cell r="R93">
            <v>0.20370000000000002</v>
          </cell>
          <cell r="S93">
            <v>0.20370000000000002</v>
          </cell>
          <cell r="T93">
            <v>0.20370000000000002</v>
          </cell>
          <cell r="U93">
            <v>0.20370000000000002</v>
          </cell>
          <cell r="V93">
            <v>0.20370000000000002</v>
          </cell>
          <cell r="W93">
            <v>0.20370000000000002</v>
          </cell>
          <cell r="X93">
            <v>0.20370000000000002</v>
          </cell>
          <cell r="Y93">
            <v>0.20370000000000002</v>
          </cell>
          <cell r="Z93">
            <v>0.20370000000000002</v>
          </cell>
          <cell r="AA93">
            <v>0.20370000000000002</v>
          </cell>
          <cell r="AB93">
            <v>0.20370000000000002</v>
          </cell>
          <cell r="AC93">
            <v>0.20370000000000002</v>
          </cell>
          <cell r="AD93">
            <v>0.20370000000000002</v>
          </cell>
          <cell r="AE93">
            <v>0.20370000000000002</v>
          </cell>
          <cell r="AF93">
            <v>0</v>
          </cell>
          <cell r="AG93">
            <v>0.20370000000000002</v>
          </cell>
          <cell r="AH93">
            <v>0.20370000000000002</v>
          </cell>
          <cell r="AI93">
            <v>0.20370000000000002</v>
          </cell>
          <cell r="AJ93">
            <v>0.20370000000000002</v>
          </cell>
          <cell r="AK93">
            <v>0.20370000000000002</v>
          </cell>
          <cell r="AL93">
            <v>0.20370000000000002</v>
          </cell>
        </row>
        <row r="94">
          <cell r="H94">
            <v>7.2179999999999994E-2</v>
          </cell>
          <cell r="I94">
            <v>7.110000000000001E-2</v>
          </cell>
          <cell r="J94">
            <v>0.35370400000000002</v>
          </cell>
          <cell r="K94">
            <v>0.31616000000000005</v>
          </cell>
          <cell r="L94">
            <v>0.31360000000000005</v>
          </cell>
          <cell r="M94">
            <v>0.17373600000000003</v>
          </cell>
          <cell r="N94">
            <v>0.12272</v>
          </cell>
          <cell r="O94">
            <v>4.1439999999999998E-2</v>
          </cell>
          <cell r="P94">
            <v>9.5904000000000003E-2</v>
          </cell>
          <cell r="Q94">
            <v>0.35994999999999999</v>
          </cell>
          <cell r="R94">
            <v>0.13</v>
          </cell>
          <cell r="S94">
            <v>0</v>
          </cell>
          <cell r="T94">
            <v>0.27144999999999997</v>
          </cell>
          <cell r="U94">
            <v>0.23712</v>
          </cell>
          <cell r="V94">
            <v>0.32507999999999998</v>
          </cell>
          <cell r="W94">
            <v>0.28864000000000001</v>
          </cell>
          <cell r="X94">
            <v>0.25994</v>
          </cell>
          <cell r="Y94">
            <v>0.20584</v>
          </cell>
          <cell r="Z94">
            <v>0.30875999999999998</v>
          </cell>
          <cell r="AA94">
            <v>0.50760000000000005</v>
          </cell>
          <cell r="AB94">
            <v>0.27860999999999997</v>
          </cell>
          <cell r="AC94">
            <v>0.47736000000000001</v>
          </cell>
          <cell r="AD94">
            <v>0.27216000000000001</v>
          </cell>
          <cell r="AE94">
            <v>0.16456000000000001</v>
          </cell>
          <cell r="AF94">
            <v>0</v>
          </cell>
          <cell r="AG94">
            <v>0.1206</v>
          </cell>
          <cell r="AH94">
            <v>7.980000000000001E-2</v>
          </cell>
          <cell r="AI94">
            <v>6.5799999999999997E-2</v>
          </cell>
          <cell r="AJ94">
            <v>2.6010000000000002E-2</v>
          </cell>
          <cell r="AK94">
            <v>0.14496000000000001</v>
          </cell>
          <cell r="AL94">
            <v>0.11832000000000001</v>
          </cell>
        </row>
        <row r="95">
          <cell r="C95" t="str">
            <v>6L_W14 STOPE</v>
          </cell>
          <cell r="H95">
            <v>0</v>
          </cell>
          <cell r="I95">
            <v>70</v>
          </cell>
          <cell r="J95">
            <v>70</v>
          </cell>
          <cell r="K95">
            <v>70</v>
          </cell>
          <cell r="L95">
            <v>70</v>
          </cell>
          <cell r="M95">
            <v>70</v>
          </cell>
          <cell r="N95">
            <v>70</v>
          </cell>
          <cell r="O95">
            <v>70</v>
          </cell>
          <cell r="P95">
            <v>70</v>
          </cell>
          <cell r="Q95">
            <v>70</v>
          </cell>
          <cell r="R95">
            <v>70</v>
          </cell>
          <cell r="S95">
            <v>70</v>
          </cell>
          <cell r="T95">
            <v>70</v>
          </cell>
          <cell r="U95">
            <v>70</v>
          </cell>
          <cell r="V95">
            <v>70</v>
          </cell>
          <cell r="W95">
            <v>70</v>
          </cell>
          <cell r="X95">
            <v>70</v>
          </cell>
          <cell r="Y95">
            <v>70</v>
          </cell>
          <cell r="Z95">
            <v>70</v>
          </cell>
          <cell r="AA95">
            <v>70</v>
          </cell>
          <cell r="AB95">
            <v>70</v>
          </cell>
          <cell r="AC95">
            <v>70</v>
          </cell>
          <cell r="AD95">
            <v>70</v>
          </cell>
          <cell r="AE95">
            <v>70</v>
          </cell>
          <cell r="AF95">
            <v>0</v>
          </cell>
          <cell r="AG95">
            <v>70</v>
          </cell>
          <cell r="AH95">
            <v>70</v>
          </cell>
          <cell r="AI95">
            <v>70</v>
          </cell>
          <cell r="AJ95">
            <v>70</v>
          </cell>
          <cell r="AK95">
            <v>70</v>
          </cell>
          <cell r="AL95">
            <v>70</v>
          </cell>
        </row>
        <row r="96">
          <cell r="H96">
            <v>36</v>
          </cell>
          <cell r="I96">
            <v>30</v>
          </cell>
          <cell r="J96">
            <v>96</v>
          </cell>
          <cell r="K96">
            <v>70</v>
          </cell>
          <cell r="L96">
            <v>76</v>
          </cell>
          <cell r="M96">
            <v>79.2</v>
          </cell>
          <cell r="N96">
            <v>48</v>
          </cell>
          <cell r="O96">
            <v>13</v>
          </cell>
          <cell r="P96">
            <v>40</v>
          </cell>
          <cell r="Q96">
            <v>49</v>
          </cell>
          <cell r="R96">
            <v>72</v>
          </cell>
          <cell r="S96"/>
          <cell r="T96">
            <v>24</v>
          </cell>
          <cell r="U96">
            <v>12</v>
          </cell>
          <cell r="V96">
            <v>15</v>
          </cell>
          <cell r="W96">
            <v>53</v>
          </cell>
          <cell r="X96">
            <v>12</v>
          </cell>
          <cell r="Y96">
            <v>38</v>
          </cell>
          <cell r="Z96">
            <v>0</v>
          </cell>
          <cell r="AA96">
            <v>0</v>
          </cell>
          <cell r="AB96">
            <v>39</v>
          </cell>
          <cell r="AC96">
            <v>127</v>
          </cell>
          <cell r="AD96">
            <v>60</v>
          </cell>
          <cell r="AE96">
            <v>100</v>
          </cell>
          <cell r="AF96"/>
          <cell r="AG96">
            <v>72</v>
          </cell>
          <cell r="AH96">
            <v>50</v>
          </cell>
          <cell r="AI96">
            <v>72</v>
          </cell>
          <cell r="AJ96">
            <v>175</v>
          </cell>
          <cell r="AK96">
            <v>184</v>
          </cell>
          <cell r="AL96">
            <v>163</v>
          </cell>
        </row>
        <row r="98">
          <cell r="H98">
            <v>0</v>
          </cell>
          <cell r="I98">
            <v>2.84</v>
          </cell>
          <cell r="J98">
            <v>2.84</v>
          </cell>
          <cell r="K98">
            <v>2.84</v>
          </cell>
          <cell r="L98">
            <v>2.84</v>
          </cell>
          <cell r="M98">
            <v>2.84</v>
          </cell>
          <cell r="N98">
            <v>2.84</v>
          </cell>
          <cell r="O98">
            <v>2.84</v>
          </cell>
          <cell r="P98">
            <v>2.84</v>
          </cell>
          <cell r="Q98">
            <v>2.84</v>
          </cell>
          <cell r="R98">
            <v>2.84</v>
          </cell>
          <cell r="S98">
            <v>2.84</v>
          </cell>
          <cell r="T98">
            <v>2.84</v>
          </cell>
          <cell r="U98">
            <v>2.84</v>
          </cell>
          <cell r="V98">
            <v>2.84</v>
          </cell>
          <cell r="W98">
            <v>2.84</v>
          </cell>
          <cell r="X98">
            <v>2.84</v>
          </cell>
          <cell r="Y98">
            <v>2.84</v>
          </cell>
          <cell r="Z98">
            <v>2.84</v>
          </cell>
          <cell r="AA98">
            <v>2.84</v>
          </cell>
          <cell r="AB98">
            <v>2.84</v>
          </cell>
          <cell r="AC98">
            <v>2.84</v>
          </cell>
          <cell r="AD98">
            <v>2.84</v>
          </cell>
          <cell r="AE98">
            <v>2.84</v>
          </cell>
          <cell r="AF98">
            <v>0</v>
          </cell>
          <cell r="AG98">
            <v>2.84</v>
          </cell>
          <cell r="AH98">
            <v>2.84</v>
          </cell>
          <cell r="AI98">
            <v>2.84</v>
          </cell>
          <cell r="AJ98">
            <v>2.84</v>
          </cell>
          <cell r="AK98">
            <v>2.84</v>
          </cell>
          <cell r="AL98">
            <v>2.84</v>
          </cell>
        </row>
        <row r="99">
          <cell r="H99">
            <v>1.75</v>
          </cell>
          <cell r="I99">
            <v>4.68</v>
          </cell>
          <cell r="J99">
            <v>2.4</v>
          </cell>
          <cell r="K99">
            <v>4.09</v>
          </cell>
          <cell r="L99">
            <v>2.1</v>
          </cell>
          <cell r="M99">
            <v>4.51</v>
          </cell>
          <cell r="N99">
            <v>1</v>
          </cell>
          <cell r="O99">
            <v>2.92</v>
          </cell>
          <cell r="P99">
            <v>2.95</v>
          </cell>
          <cell r="Q99">
            <v>2.4700000000000002</v>
          </cell>
          <cell r="R99">
            <v>1.64</v>
          </cell>
          <cell r="S99"/>
          <cell r="T99">
            <v>5.34</v>
          </cell>
          <cell r="U99">
            <v>6.82</v>
          </cell>
          <cell r="V99">
            <v>4.4400000000000004</v>
          </cell>
          <cell r="W99">
            <v>3.57</v>
          </cell>
          <cell r="X99">
            <v>3.18</v>
          </cell>
          <cell r="Y99">
            <v>1.58</v>
          </cell>
          <cell r="Z99"/>
          <cell r="AA99"/>
          <cell r="AB99">
            <v>3</v>
          </cell>
          <cell r="AC99">
            <v>3.63</v>
          </cell>
          <cell r="AD99">
            <v>1.21</v>
          </cell>
          <cell r="AE99">
            <v>4</v>
          </cell>
          <cell r="AF99"/>
          <cell r="AG99">
            <v>2.7</v>
          </cell>
          <cell r="AH99">
            <v>5.04</v>
          </cell>
          <cell r="AI99">
            <v>4.18</v>
          </cell>
          <cell r="AJ99">
            <v>2.92</v>
          </cell>
          <cell r="AK99">
            <v>4.7699999999999996</v>
          </cell>
          <cell r="AL99">
            <v>3.97</v>
          </cell>
        </row>
        <row r="100">
          <cell r="H100">
            <v>0</v>
          </cell>
          <cell r="I100">
            <v>0.19879999999999998</v>
          </cell>
          <cell r="J100">
            <v>0.19879999999999998</v>
          </cell>
          <cell r="K100">
            <v>0.19879999999999998</v>
          </cell>
          <cell r="L100">
            <v>0.19879999999999998</v>
          </cell>
          <cell r="M100">
            <v>0.19879999999999998</v>
          </cell>
          <cell r="N100">
            <v>0.19879999999999998</v>
          </cell>
          <cell r="O100">
            <v>0.19879999999999998</v>
          </cell>
          <cell r="P100">
            <v>0.19879999999999998</v>
          </cell>
          <cell r="Q100">
            <v>0.19879999999999998</v>
          </cell>
          <cell r="R100">
            <v>0.19879999999999998</v>
          </cell>
          <cell r="S100">
            <v>0.19879999999999998</v>
          </cell>
          <cell r="T100">
            <v>0.19879999999999998</v>
          </cell>
          <cell r="U100">
            <v>0.19879999999999998</v>
          </cell>
          <cell r="V100">
            <v>0.19879999999999998</v>
          </cell>
          <cell r="W100">
            <v>0.19879999999999998</v>
          </cell>
          <cell r="X100">
            <v>0.19879999999999998</v>
          </cell>
          <cell r="Y100">
            <v>0.19879999999999998</v>
          </cell>
          <cell r="Z100">
            <v>0.19879999999999998</v>
          </cell>
          <cell r="AA100">
            <v>0.19879999999999998</v>
          </cell>
          <cell r="AB100">
            <v>0.19879999999999998</v>
          </cell>
          <cell r="AC100">
            <v>0.19879999999999998</v>
          </cell>
          <cell r="AD100">
            <v>0.19879999999999998</v>
          </cell>
          <cell r="AE100">
            <v>0.19879999999999998</v>
          </cell>
          <cell r="AF100">
            <v>0</v>
          </cell>
          <cell r="AG100">
            <v>0.19879999999999998</v>
          </cell>
          <cell r="AH100">
            <v>0.19879999999999998</v>
          </cell>
          <cell r="AI100">
            <v>0.19879999999999998</v>
          </cell>
          <cell r="AJ100">
            <v>0.19879999999999998</v>
          </cell>
          <cell r="AK100">
            <v>0.19879999999999998</v>
          </cell>
          <cell r="AL100">
            <v>0.19879999999999998</v>
          </cell>
        </row>
        <row r="101">
          <cell r="H101">
            <v>6.3E-2</v>
          </cell>
          <cell r="I101">
            <v>0.14039999999999997</v>
          </cell>
          <cell r="J101">
            <v>0.23039999999999997</v>
          </cell>
          <cell r="K101">
            <v>0.2863</v>
          </cell>
          <cell r="L101">
            <v>0.15959999999999999</v>
          </cell>
          <cell r="M101">
            <v>0.35719200000000001</v>
          </cell>
          <cell r="N101">
            <v>4.8000000000000001E-2</v>
          </cell>
          <cell r="O101">
            <v>3.7960000000000001E-2</v>
          </cell>
          <cell r="P101">
            <v>0.11799999999999999</v>
          </cell>
          <cell r="Q101">
            <v>0.12103000000000001</v>
          </cell>
          <cell r="R101">
            <v>0.11808</v>
          </cell>
          <cell r="S101">
            <v>0</v>
          </cell>
          <cell r="T101">
            <v>0.12816</v>
          </cell>
          <cell r="U101">
            <v>8.184000000000001E-2</v>
          </cell>
          <cell r="V101">
            <v>6.6600000000000006E-2</v>
          </cell>
          <cell r="W101">
            <v>0.18920999999999999</v>
          </cell>
          <cell r="X101">
            <v>3.8160000000000006E-2</v>
          </cell>
          <cell r="Y101">
            <v>6.0040000000000003E-2</v>
          </cell>
          <cell r="Z101">
            <v>0</v>
          </cell>
          <cell r="AA101">
            <v>0</v>
          </cell>
          <cell r="AB101">
            <v>0.11700000000000001</v>
          </cell>
          <cell r="AC101">
            <v>0.46100999999999998</v>
          </cell>
          <cell r="AD101">
            <v>7.2599999999999998E-2</v>
          </cell>
          <cell r="AE101">
            <v>0.4</v>
          </cell>
          <cell r="AF101">
            <v>0</v>
          </cell>
          <cell r="AG101">
            <v>0.19440000000000002</v>
          </cell>
          <cell r="AH101">
            <v>0.252</v>
          </cell>
          <cell r="AI101">
            <v>0.30096000000000001</v>
          </cell>
          <cell r="AJ101">
            <v>0.51100000000000001</v>
          </cell>
          <cell r="AK101">
            <v>0.8776799999999999</v>
          </cell>
          <cell r="AL101">
            <v>0.64710999999999996</v>
          </cell>
        </row>
        <row r="102">
          <cell r="C102" t="str">
            <v>6L_W15_STOPE</v>
          </cell>
          <cell r="H102">
            <v>0</v>
          </cell>
          <cell r="I102">
            <v>70</v>
          </cell>
          <cell r="J102">
            <v>70</v>
          </cell>
          <cell r="K102">
            <v>70</v>
          </cell>
          <cell r="L102">
            <v>70</v>
          </cell>
          <cell r="M102">
            <v>70</v>
          </cell>
          <cell r="N102">
            <v>70</v>
          </cell>
          <cell r="O102">
            <v>70</v>
          </cell>
          <cell r="P102">
            <v>70</v>
          </cell>
          <cell r="Q102">
            <v>70</v>
          </cell>
          <cell r="R102">
            <v>70</v>
          </cell>
          <cell r="S102">
            <v>70</v>
          </cell>
          <cell r="T102">
            <v>70</v>
          </cell>
          <cell r="U102">
            <v>70</v>
          </cell>
          <cell r="V102">
            <v>70</v>
          </cell>
          <cell r="W102">
            <v>70</v>
          </cell>
          <cell r="X102">
            <v>70</v>
          </cell>
          <cell r="Y102">
            <v>70</v>
          </cell>
          <cell r="Z102">
            <v>70</v>
          </cell>
          <cell r="AA102">
            <v>70</v>
          </cell>
          <cell r="AB102">
            <v>70</v>
          </cell>
          <cell r="AC102">
            <v>70</v>
          </cell>
          <cell r="AD102">
            <v>70</v>
          </cell>
          <cell r="AE102">
            <v>70</v>
          </cell>
          <cell r="AF102">
            <v>0</v>
          </cell>
          <cell r="AG102">
            <v>70</v>
          </cell>
          <cell r="AH102">
            <v>70</v>
          </cell>
          <cell r="AI102">
            <v>70</v>
          </cell>
          <cell r="AJ102">
            <v>70</v>
          </cell>
          <cell r="AK102">
            <v>70</v>
          </cell>
          <cell r="AL102">
            <v>70</v>
          </cell>
        </row>
        <row r="103">
          <cell r="H103">
            <v>10.8</v>
          </cell>
          <cell r="I103">
            <v>25</v>
          </cell>
          <cell r="J103">
            <v>85</v>
          </cell>
          <cell r="K103">
            <v>113</v>
          </cell>
          <cell r="L103">
            <v>29</v>
          </cell>
          <cell r="M103">
            <v>71.599999999999994</v>
          </cell>
          <cell r="N103">
            <v>53</v>
          </cell>
          <cell r="O103">
            <v>62</v>
          </cell>
          <cell r="P103">
            <v>40</v>
          </cell>
          <cell r="Q103">
            <v>42.5</v>
          </cell>
          <cell r="R103">
            <v>116</v>
          </cell>
          <cell r="S103">
            <v>294</v>
          </cell>
          <cell r="T103">
            <v>15</v>
          </cell>
          <cell r="U103">
            <v>11</v>
          </cell>
          <cell r="V103">
            <v>62</v>
          </cell>
          <cell r="W103">
            <v>55</v>
          </cell>
          <cell r="X103">
            <v>84</v>
          </cell>
          <cell r="Y103">
            <v>207</v>
          </cell>
          <cell r="Z103">
            <v>192</v>
          </cell>
          <cell r="AA103">
            <v>0</v>
          </cell>
          <cell r="AB103">
            <v>80</v>
          </cell>
          <cell r="AC103">
            <v>91</v>
          </cell>
          <cell r="AD103">
            <v>70</v>
          </cell>
          <cell r="AE103">
            <v>61</v>
          </cell>
          <cell r="AF103"/>
          <cell r="AG103">
            <v>70</v>
          </cell>
          <cell r="AH103">
            <v>52</v>
          </cell>
          <cell r="AI103">
            <v>70</v>
          </cell>
          <cell r="AJ103">
            <v>25</v>
          </cell>
          <cell r="AK103">
            <v>25</v>
          </cell>
          <cell r="AL103">
            <v>60</v>
          </cell>
        </row>
        <row r="105">
          <cell r="H105">
            <v>0</v>
          </cell>
          <cell r="I105">
            <v>2.2000000000000002</v>
          </cell>
          <cell r="J105">
            <v>2.2000000000000002</v>
          </cell>
          <cell r="K105">
            <v>2.2000000000000002</v>
          </cell>
          <cell r="L105">
            <v>2.2000000000000002</v>
          </cell>
          <cell r="M105">
            <v>2.2000000000000002</v>
          </cell>
          <cell r="N105">
            <v>2.2000000000000002</v>
          </cell>
          <cell r="O105">
            <v>2.2000000000000002</v>
          </cell>
          <cell r="P105">
            <v>2.2000000000000002</v>
          </cell>
          <cell r="Q105">
            <v>2.2000000000000002</v>
          </cell>
          <cell r="R105">
            <v>2.2000000000000002</v>
          </cell>
          <cell r="S105">
            <v>2.2000000000000002</v>
          </cell>
          <cell r="T105">
            <v>2.2000000000000002</v>
          </cell>
          <cell r="U105">
            <v>2.2000000000000002</v>
          </cell>
          <cell r="V105">
            <v>2.2000000000000002</v>
          </cell>
          <cell r="W105">
            <v>2.2000000000000002</v>
          </cell>
          <cell r="X105">
            <v>2.2000000000000002</v>
          </cell>
          <cell r="Y105">
            <v>2.2000000000000002</v>
          </cell>
          <cell r="Z105">
            <v>2.2000000000000002</v>
          </cell>
          <cell r="AA105">
            <v>2.2000000000000002</v>
          </cell>
          <cell r="AB105">
            <v>2.2000000000000002</v>
          </cell>
          <cell r="AC105">
            <v>2.2000000000000002</v>
          </cell>
          <cell r="AD105">
            <v>2.2000000000000002</v>
          </cell>
          <cell r="AE105">
            <v>2.2000000000000002</v>
          </cell>
          <cell r="AF105">
            <v>0</v>
          </cell>
          <cell r="AG105">
            <v>2.2000000000000002</v>
          </cell>
          <cell r="AH105">
            <v>2.2000000000000002</v>
          </cell>
          <cell r="AI105">
            <v>2.2000000000000002</v>
          </cell>
          <cell r="AJ105">
            <v>2.2000000000000002</v>
          </cell>
          <cell r="AK105">
            <v>2.2000000000000002</v>
          </cell>
          <cell r="AL105">
            <v>2.2000000000000002</v>
          </cell>
        </row>
        <row r="106">
          <cell r="H106">
            <v>1.3</v>
          </cell>
          <cell r="I106">
            <v>4.71</v>
          </cell>
          <cell r="J106">
            <v>4.17</v>
          </cell>
          <cell r="K106">
            <v>3.79</v>
          </cell>
          <cell r="L106">
            <v>4.2</v>
          </cell>
          <cell r="M106">
            <v>3.82</v>
          </cell>
          <cell r="N106">
            <v>2.88</v>
          </cell>
          <cell r="O106">
            <v>2.95</v>
          </cell>
          <cell r="P106">
            <v>3.66</v>
          </cell>
          <cell r="Q106">
            <v>3.11</v>
          </cell>
          <cell r="R106">
            <v>2.97</v>
          </cell>
          <cell r="S106">
            <v>2.2799999999999998</v>
          </cell>
          <cell r="T106">
            <v>2.2799999999999998</v>
          </cell>
          <cell r="U106">
            <v>2.2799999999999998</v>
          </cell>
          <cell r="V106">
            <v>1.36</v>
          </cell>
          <cell r="W106">
            <v>3.01</v>
          </cell>
          <cell r="X106">
            <v>2.64</v>
          </cell>
          <cell r="Y106">
            <v>2.83</v>
          </cell>
          <cell r="Z106">
            <v>2.7</v>
          </cell>
          <cell r="AA106"/>
          <cell r="AB106">
            <v>2.4</v>
          </cell>
          <cell r="AC106">
            <v>3.06</v>
          </cell>
          <cell r="AD106">
            <v>1.21</v>
          </cell>
          <cell r="AE106">
            <v>3.04</v>
          </cell>
          <cell r="AF106"/>
          <cell r="AG106">
            <v>2.31</v>
          </cell>
          <cell r="AH106">
            <v>0.48</v>
          </cell>
          <cell r="AI106">
            <v>4.18</v>
          </cell>
          <cell r="AJ106">
            <v>1.41</v>
          </cell>
          <cell r="AK106">
            <v>1.27</v>
          </cell>
          <cell r="AL106">
            <v>3.97</v>
          </cell>
        </row>
        <row r="107">
          <cell r="H107">
            <v>0</v>
          </cell>
          <cell r="I107">
            <v>0.154</v>
          </cell>
          <cell r="J107">
            <v>0.154</v>
          </cell>
          <cell r="K107">
            <v>0.154</v>
          </cell>
          <cell r="L107">
            <v>0.154</v>
          </cell>
          <cell r="M107">
            <v>0.154</v>
          </cell>
          <cell r="N107">
            <v>0.154</v>
          </cell>
          <cell r="O107">
            <v>0.154</v>
          </cell>
          <cell r="P107">
            <v>0.154</v>
          </cell>
          <cell r="Q107">
            <v>0.154</v>
          </cell>
          <cell r="R107">
            <v>0.154</v>
          </cell>
          <cell r="S107">
            <v>0.154</v>
          </cell>
          <cell r="T107">
            <v>0.154</v>
          </cell>
          <cell r="U107">
            <v>0.154</v>
          </cell>
          <cell r="V107">
            <v>0.154</v>
          </cell>
          <cell r="W107">
            <v>0.154</v>
          </cell>
          <cell r="X107">
            <v>0.154</v>
          </cell>
          <cell r="Y107">
            <v>0.154</v>
          </cell>
          <cell r="Z107">
            <v>0.154</v>
          </cell>
          <cell r="AA107">
            <v>0.154</v>
          </cell>
          <cell r="AB107">
            <v>0.154</v>
          </cell>
          <cell r="AC107">
            <v>0.154</v>
          </cell>
          <cell r="AD107">
            <v>0.154</v>
          </cell>
          <cell r="AE107">
            <v>0.154</v>
          </cell>
          <cell r="AF107">
            <v>0</v>
          </cell>
          <cell r="AG107">
            <v>0.154</v>
          </cell>
          <cell r="AH107">
            <v>0.154</v>
          </cell>
          <cell r="AI107">
            <v>0.154</v>
          </cell>
          <cell r="AJ107">
            <v>0.154</v>
          </cell>
          <cell r="AK107">
            <v>0.154</v>
          </cell>
          <cell r="AL107">
            <v>0.154</v>
          </cell>
        </row>
        <row r="108">
          <cell r="H108">
            <v>1.404E-2</v>
          </cell>
          <cell r="I108">
            <v>0.11774999999999999</v>
          </cell>
          <cell r="J108">
            <v>0.35444999999999999</v>
          </cell>
          <cell r="K108">
            <v>0.42826999999999998</v>
          </cell>
          <cell r="L108">
            <v>0.12180000000000001</v>
          </cell>
          <cell r="M108">
            <v>0.27351199999999992</v>
          </cell>
          <cell r="N108">
            <v>0.15264</v>
          </cell>
          <cell r="O108">
            <v>0.18290000000000001</v>
          </cell>
          <cell r="P108">
            <v>0.1464</v>
          </cell>
          <cell r="Q108">
            <v>0.13217499999999999</v>
          </cell>
          <cell r="R108">
            <v>0.34452000000000005</v>
          </cell>
          <cell r="S108">
            <v>0.67031999999999992</v>
          </cell>
          <cell r="T108">
            <v>3.4199999999999994E-2</v>
          </cell>
          <cell r="U108">
            <v>2.5079999999999998E-2</v>
          </cell>
          <cell r="V108">
            <v>8.4320000000000006E-2</v>
          </cell>
          <cell r="W108">
            <v>0.16554999999999997</v>
          </cell>
          <cell r="X108">
            <v>0.22176000000000001</v>
          </cell>
          <cell r="Y108">
            <v>0.58581000000000005</v>
          </cell>
          <cell r="Z108">
            <v>0.51840000000000008</v>
          </cell>
          <cell r="AA108">
            <v>0</v>
          </cell>
          <cell r="AB108">
            <v>0.192</v>
          </cell>
          <cell r="AC108">
            <v>0.27845999999999999</v>
          </cell>
          <cell r="AD108">
            <v>8.4699999999999998E-2</v>
          </cell>
          <cell r="AE108">
            <v>0.18543999999999999</v>
          </cell>
          <cell r="AF108">
            <v>0</v>
          </cell>
          <cell r="AG108">
            <v>0.16170000000000001</v>
          </cell>
          <cell r="AH108">
            <v>2.496E-2</v>
          </cell>
          <cell r="AI108">
            <v>0.29259999999999997</v>
          </cell>
          <cell r="AJ108">
            <v>3.5249999999999997E-2</v>
          </cell>
          <cell r="AK108">
            <v>3.175E-2</v>
          </cell>
          <cell r="AL108">
            <v>0.23820000000000002</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Dashboard"/>
      <sheetName val="Summary"/>
      <sheetName val="2025"/>
      <sheetName val="2024"/>
      <sheetName val="2023"/>
      <sheetName val="Q1_Fcast"/>
      <sheetName val="FY25_Budget"/>
      <sheetName val="Objectives"/>
      <sheetName val="Graphs"/>
      <sheetName val="NOTES"/>
    </sheetNames>
    <sheetDataSet>
      <sheetData sheetId="0">
        <row r="4">
          <cell r="A4" t="str">
            <v>v2</v>
          </cell>
        </row>
      </sheetData>
      <sheetData sheetId="1"/>
      <sheetData sheetId="2">
        <row r="5">
          <cell r="Y5">
            <v>2</v>
          </cell>
          <cell r="AL5">
            <v>4</v>
          </cell>
        </row>
        <row r="6">
          <cell r="U6" t="str">
            <v>2025Q1</v>
          </cell>
          <cell r="V6" t="str">
            <v>2025Q2</v>
          </cell>
          <cell r="W6" t="str">
            <v>2025Q3</v>
          </cell>
          <cell r="X6" t="str">
            <v>2025Q4</v>
          </cell>
          <cell r="Z6">
            <v>45658</v>
          </cell>
          <cell r="AA6">
            <v>45689</v>
          </cell>
          <cell r="AB6">
            <v>45717</v>
          </cell>
          <cell r="AC6">
            <v>45748</v>
          </cell>
          <cell r="AD6">
            <v>45778</v>
          </cell>
          <cell r="AE6">
            <v>45809</v>
          </cell>
          <cell r="AF6">
            <v>45839</v>
          </cell>
          <cell r="AG6">
            <v>45870</v>
          </cell>
          <cell r="AH6">
            <v>45901</v>
          </cell>
          <cell r="AI6">
            <v>45931</v>
          </cell>
          <cell r="AJ6">
            <v>45962</v>
          </cell>
          <cell r="AK6">
            <v>45992</v>
          </cell>
        </row>
        <row r="9">
          <cell r="U9">
            <v>0</v>
          </cell>
          <cell r="V9">
            <v>0</v>
          </cell>
          <cell r="W9">
            <v>0</v>
          </cell>
          <cell r="X9">
            <v>0</v>
          </cell>
          <cell r="Z9"/>
          <cell r="AA9"/>
          <cell r="AB9"/>
          <cell r="AC9"/>
          <cell r="AD9"/>
          <cell r="AE9"/>
          <cell r="AF9"/>
          <cell r="AG9"/>
          <cell r="AH9"/>
          <cell r="AI9"/>
          <cell r="AJ9"/>
          <cell r="AK9"/>
          <cell r="AL9">
            <v>0</v>
          </cell>
        </row>
        <row r="14">
          <cell r="U14">
            <v>0</v>
          </cell>
          <cell r="V14">
            <v>0</v>
          </cell>
          <cell r="W14">
            <v>0</v>
          </cell>
          <cell r="X14">
            <v>0</v>
          </cell>
          <cell r="Z14"/>
          <cell r="AA14"/>
          <cell r="AB14"/>
          <cell r="AC14"/>
          <cell r="AD14"/>
          <cell r="AE14"/>
          <cell r="AF14"/>
          <cell r="AG14"/>
          <cell r="AH14"/>
          <cell r="AI14"/>
          <cell r="AJ14"/>
          <cell r="AK14"/>
          <cell r="AL14">
            <v>0</v>
          </cell>
        </row>
        <row r="19">
          <cell r="U19">
            <v>0</v>
          </cell>
          <cell r="V19">
            <v>0</v>
          </cell>
          <cell r="W19">
            <v>0</v>
          </cell>
          <cell r="X19">
            <v>0</v>
          </cell>
          <cell r="Z19"/>
          <cell r="AA19"/>
          <cell r="AB19"/>
          <cell r="AC19"/>
          <cell r="AD19"/>
          <cell r="AE19"/>
          <cell r="AF19"/>
          <cell r="AG19"/>
          <cell r="AH19"/>
          <cell r="AI19"/>
          <cell r="AJ19"/>
          <cell r="AK19"/>
          <cell r="AL19">
            <v>0</v>
          </cell>
        </row>
        <row r="24">
          <cell r="U24">
            <v>0</v>
          </cell>
          <cell r="V24">
            <v>0</v>
          </cell>
          <cell r="W24">
            <v>0</v>
          </cell>
          <cell r="X24">
            <v>0</v>
          </cell>
          <cell r="Z24"/>
          <cell r="AA24"/>
          <cell r="AB24"/>
          <cell r="AC24"/>
          <cell r="AD24"/>
          <cell r="AE24"/>
          <cell r="AF24"/>
          <cell r="AG24"/>
          <cell r="AH24"/>
          <cell r="AI24"/>
          <cell r="AJ24"/>
          <cell r="AK24"/>
          <cell r="AL24">
            <v>0</v>
          </cell>
        </row>
        <row r="29">
          <cell r="U29">
            <v>0</v>
          </cell>
          <cell r="V29">
            <v>0</v>
          </cell>
          <cell r="W29">
            <v>0</v>
          </cell>
          <cell r="X29">
            <v>0</v>
          </cell>
          <cell r="Z29"/>
          <cell r="AA29"/>
          <cell r="AB29"/>
          <cell r="AC29"/>
          <cell r="AD29"/>
          <cell r="AE29"/>
          <cell r="AF29"/>
          <cell r="AG29"/>
          <cell r="AH29"/>
          <cell r="AI29"/>
          <cell r="AJ29"/>
          <cell r="AK29"/>
          <cell r="AL29">
            <v>0</v>
          </cell>
        </row>
        <row r="34">
          <cell r="U34">
            <v>0</v>
          </cell>
          <cell r="V34">
            <v>0</v>
          </cell>
          <cell r="W34">
            <v>0</v>
          </cell>
          <cell r="X34">
            <v>0</v>
          </cell>
          <cell r="Z34"/>
          <cell r="AA34"/>
          <cell r="AB34"/>
          <cell r="AC34"/>
          <cell r="AD34"/>
          <cell r="AE34"/>
          <cell r="AF34"/>
          <cell r="AG34"/>
          <cell r="AH34"/>
          <cell r="AI34"/>
          <cell r="AJ34"/>
          <cell r="AK34"/>
          <cell r="AL34">
            <v>0</v>
          </cell>
        </row>
        <row r="39">
          <cell r="U39">
            <v>0</v>
          </cell>
          <cell r="V39">
            <v>0</v>
          </cell>
          <cell r="W39">
            <v>0</v>
          </cell>
          <cell r="X39">
            <v>0</v>
          </cell>
          <cell r="Z39"/>
          <cell r="AA39"/>
          <cell r="AB39"/>
          <cell r="AC39"/>
          <cell r="AD39"/>
          <cell r="AE39"/>
          <cell r="AF39"/>
          <cell r="AG39"/>
          <cell r="AH39"/>
          <cell r="AI39"/>
          <cell r="AJ39"/>
          <cell r="AK39"/>
          <cell r="AL39">
            <v>0</v>
          </cell>
        </row>
        <row r="44">
          <cell r="U44">
            <v>0</v>
          </cell>
          <cell r="V44">
            <v>0</v>
          </cell>
          <cell r="W44">
            <v>0</v>
          </cell>
          <cell r="X44">
            <v>0</v>
          </cell>
          <cell r="Z44">
            <v>0</v>
          </cell>
          <cell r="AA44">
            <v>0</v>
          </cell>
          <cell r="AB44">
            <v>0</v>
          </cell>
          <cell r="AC44">
            <v>0</v>
          </cell>
          <cell r="AD44">
            <v>0</v>
          </cell>
          <cell r="AE44">
            <v>0</v>
          </cell>
          <cell r="AF44">
            <v>0</v>
          </cell>
          <cell r="AG44">
            <v>0</v>
          </cell>
          <cell r="AH44">
            <v>0</v>
          </cell>
          <cell r="AI44">
            <v>0</v>
          </cell>
          <cell r="AJ44">
            <v>0</v>
          </cell>
          <cell r="AK44">
            <v>0</v>
          </cell>
          <cell r="AL44">
            <v>0</v>
          </cell>
        </row>
        <row r="50">
          <cell r="U50">
            <v>67107.312000000005</v>
          </cell>
          <cell r="V50">
            <v>23930.86</v>
          </cell>
          <cell r="W50">
            <v>0</v>
          </cell>
          <cell r="X50">
            <v>0</v>
          </cell>
          <cell r="Z50">
            <v>21223.727999999999</v>
          </cell>
          <cell r="AA50">
            <v>21097.583999999999</v>
          </cell>
          <cell r="AB50">
            <v>24786</v>
          </cell>
          <cell r="AC50">
            <v>23930.86</v>
          </cell>
          <cell r="AD50"/>
          <cell r="AE50"/>
          <cell r="AF50"/>
          <cell r="AG50"/>
          <cell r="AH50"/>
          <cell r="AI50"/>
          <cell r="AJ50"/>
          <cell r="AK50"/>
          <cell r="AL50">
            <v>91038.172000000006</v>
          </cell>
        </row>
        <row r="55">
          <cell r="U55">
            <v>2.3912761280022656</v>
          </cell>
          <cell r="V55">
            <v>2.5499999999999998</v>
          </cell>
          <cell r="W55">
            <v>0</v>
          </cell>
          <cell r="X55">
            <v>0</v>
          </cell>
          <cell r="Z55">
            <v>2.0699999999999998</v>
          </cell>
          <cell r="AA55">
            <v>2.36</v>
          </cell>
          <cell r="AB55">
            <v>2.6930000000000001</v>
          </cell>
          <cell r="AC55">
            <v>2.5499999999999998</v>
          </cell>
          <cell r="AD55"/>
          <cell r="AE55"/>
          <cell r="AF55"/>
          <cell r="AG55"/>
          <cell r="AH55"/>
          <cell r="AI55"/>
          <cell r="AJ55"/>
          <cell r="AK55"/>
          <cell r="AL55">
            <v>2.4329992719976845</v>
          </cell>
        </row>
        <row r="60">
          <cell r="U60">
            <v>160.4721132</v>
          </cell>
          <cell r="V60">
            <v>61.023693000000002</v>
          </cell>
          <cell r="W60">
            <v>0</v>
          </cell>
          <cell r="X60">
            <v>0</v>
          </cell>
          <cell r="Z60">
            <v>43.933116959999992</v>
          </cell>
          <cell r="AA60">
            <v>49.790298239999998</v>
          </cell>
          <cell r="AB60">
            <v>66.748698000000005</v>
          </cell>
          <cell r="AC60">
            <v>61.023693000000002</v>
          </cell>
          <cell r="AD60">
            <v>0</v>
          </cell>
          <cell r="AE60">
            <v>0</v>
          </cell>
          <cell r="AF60">
            <v>0</v>
          </cell>
          <cell r="AG60">
            <v>0</v>
          </cell>
          <cell r="AH60">
            <v>0</v>
          </cell>
          <cell r="AI60">
            <v>0</v>
          </cell>
          <cell r="AJ60">
            <v>0</v>
          </cell>
          <cell r="AK60">
            <v>0</v>
          </cell>
          <cell r="AL60">
            <v>221.4958062</v>
          </cell>
        </row>
        <row r="65">
          <cell r="U65">
            <v>2195.3000000000002</v>
          </cell>
          <cell r="V65">
            <v>710.29999999999984</v>
          </cell>
          <cell r="W65">
            <v>0</v>
          </cell>
          <cell r="X65">
            <v>0</v>
          </cell>
          <cell r="Z65">
            <v>597.19999999999993</v>
          </cell>
          <cell r="AA65">
            <v>711.9</v>
          </cell>
          <cell r="AB65">
            <v>886.2</v>
          </cell>
          <cell r="AC65">
            <v>710.29999999999984</v>
          </cell>
          <cell r="AD65"/>
          <cell r="AE65"/>
          <cell r="AF65"/>
          <cell r="AG65"/>
          <cell r="AH65"/>
          <cell r="AI65"/>
          <cell r="AJ65"/>
          <cell r="AK65"/>
          <cell r="AL65">
            <v>2905.6</v>
          </cell>
        </row>
        <row r="70">
          <cell r="U70">
            <v>74.900000000000006</v>
          </cell>
          <cell r="V70">
            <v>84.1</v>
          </cell>
          <cell r="W70">
            <v>0</v>
          </cell>
          <cell r="X70">
            <v>0</v>
          </cell>
          <cell r="Z70">
            <v>34.400000000000006</v>
          </cell>
          <cell r="AA70">
            <v>30.500000000000007</v>
          </cell>
          <cell r="AB70">
            <v>10</v>
          </cell>
          <cell r="AC70">
            <v>84.1</v>
          </cell>
          <cell r="AD70"/>
          <cell r="AE70"/>
          <cell r="AF70"/>
          <cell r="AG70"/>
          <cell r="AH70"/>
          <cell r="AI70"/>
          <cell r="AJ70"/>
          <cell r="AK70"/>
          <cell r="AL70">
            <v>159</v>
          </cell>
        </row>
        <row r="76">
          <cell r="U76">
            <v>1790.048</v>
          </cell>
          <cell r="V76">
            <v>413.47199999999992</v>
          </cell>
          <cell r="W76">
            <v>0</v>
          </cell>
          <cell r="X76">
            <v>0</v>
          </cell>
          <cell r="Z76">
            <v>234</v>
          </cell>
          <cell r="AA76">
            <v>606.048</v>
          </cell>
          <cell r="AB76">
            <v>950</v>
          </cell>
          <cell r="AC76">
            <v>413.47199999999992</v>
          </cell>
          <cell r="AD76"/>
          <cell r="AE76"/>
          <cell r="AF76"/>
          <cell r="AG76"/>
          <cell r="AH76"/>
          <cell r="AI76"/>
          <cell r="AJ76"/>
          <cell r="AK76"/>
          <cell r="AL76">
            <v>2203.52</v>
          </cell>
        </row>
        <row r="81">
          <cell r="U81">
            <v>1.6586010654462897</v>
          </cell>
          <cell r="V81">
            <v>1.51</v>
          </cell>
          <cell r="W81">
            <v>0</v>
          </cell>
          <cell r="X81">
            <v>0</v>
          </cell>
          <cell r="Z81">
            <v>1.1599999999999999</v>
          </cell>
          <cell r="AA81">
            <v>1.99</v>
          </cell>
          <cell r="AB81">
            <v>1.57</v>
          </cell>
          <cell r="AC81">
            <v>1.51</v>
          </cell>
          <cell r="AD81"/>
          <cell r="AE81"/>
          <cell r="AF81"/>
          <cell r="AG81"/>
          <cell r="AH81"/>
          <cell r="AI81"/>
          <cell r="AJ81"/>
          <cell r="AK81"/>
          <cell r="AL81">
            <v>1.6307173250072611</v>
          </cell>
        </row>
        <row r="86">
          <cell r="U86">
            <v>2.9689755199999999</v>
          </cell>
          <cell r="V86">
            <v>0.62434271999999991</v>
          </cell>
          <cell r="W86">
            <v>0</v>
          </cell>
          <cell r="X86">
            <v>0</v>
          </cell>
          <cell r="Z86">
            <v>0.27144000000000001</v>
          </cell>
          <cell r="AA86">
            <v>1.2060355199999999</v>
          </cell>
          <cell r="AB86">
            <v>1.4915</v>
          </cell>
          <cell r="AC86">
            <v>0.62434271999999991</v>
          </cell>
          <cell r="AD86">
            <v>0</v>
          </cell>
          <cell r="AE86">
            <v>0</v>
          </cell>
          <cell r="AF86">
            <v>0</v>
          </cell>
          <cell r="AG86">
            <v>0</v>
          </cell>
          <cell r="AH86">
            <v>0</v>
          </cell>
          <cell r="AI86">
            <v>0</v>
          </cell>
          <cell r="AJ86">
            <v>0</v>
          </cell>
          <cell r="AK86">
            <v>0</v>
          </cell>
          <cell r="AL86">
            <v>3.5933182399999999</v>
          </cell>
        </row>
        <row r="109">
          <cell r="U109">
            <v>1317</v>
          </cell>
          <cell r="V109">
            <v>334</v>
          </cell>
          <cell r="W109">
            <v>0</v>
          </cell>
          <cell r="X109">
            <v>0</v>
          </cell>
          <cell r="Z109">
            <v>424</v>
          </cell>
          <cell r="AA109">
            <v>475</v>
          </cell>
          <cell r="AB109">
            <v>418</v>
          </cell>
          <cell r="AC109">
            <v>334</v>
          </cell>
          <cell r="AD109"/>
          <cell r="AE109"/>
          <cell r="AF109"/>
          <cell r="AG109"/>
          <cell r="AH109"/>
          <cell r="AI109"/>
          <cell r="AJ109"/>
          <cell r="AK109"/>
          <cell r="AL109">
            <v>1651</v>
          </cell>
        </row>
        <row r="115">
          <cell r="U115">
            <v>0</v>
          </cell>
          <cell r="V115">
            <v>0</v>
          </cell>
          <cell r="W115">
            <v>0</v>
          </cell>
          <cell r="X115">
            <v>0</v>
          </cell>
          <cell r="Z115">
            <v>0</v>
          </cell>
          <cell r="AA115">
            <v>0</v>
          </cell>
          <cell r="AB115">
            <v>0</v>
          </cell>
          <cell r="AC115">
            <v>0</v>
          </cell>
          <cell r="AD115"/>
          <cell r="AE115"/>
          <cell r="AF115"/>
          <cell r="AG115"/>
          <cell r="AH115"/>
          <cell r="AI115"/>
          <cell r="AJ115"/>
          <cell r="AK115"/>
          <cell r="AL115">
            <v>0</v>
          </cell>
        </row>
        <row r="120">
          <cell r="U120">
            <v>595</v>
          </cell>
          <cell r="V120">
            <v>190</v>
          </cell>
          <cell r="W120">
            <v>0</v>
          </cell>
          <cell r="X120">
            <v>0</v>
          </cell>
          <cell r="Z120">
            <v>134</v>
          </cell>
          <cell r="AA120">
            <v>235</v>
          </cell>
          <cell r="AB120">
            <v>226</v>
          </cell>
          <cell r="AC120">
            <v>190</v>
          </cell>
          <cell r="AD120"/>
          <cell r="AE120"/>
          <cell r="AF120"/>
          <cell r="AG120"/>
          <cell r="AH120"/>
          <cell r="AI120"/>
          <cell r="AJ120"/>
          <cell r="AK120"/>
          <cell r="AL120">
            <v>785</v>
          </cell>
        </row>
        <row r="137">
          <cell r="U137">
            <v>3979</v>
          </cell>
          <cell r="V137">
            <v>0</v>
          </cell>
          <cell r="W137">
            <v>0</v>
          </cell>
          <cell r="X137">
            <v>0</v>
          </cell>
          <cell r="Z137">
            <v>1273</v>
          </cell>
          <cell r="AA137">
            <v>1633</v>
          </cell>
          <cell r="AB137">
            <v>1073</v>
          </cell>
          <cell r="AC137">
            <v>0</v>
          </cell>
          <cell r="AD137"/>
          <cell r="AE137"/>
          <cell r="AF137"/>
          <cell r="AG137"/>
          <cell r="AH137"/>
          <cell r="AI137"/>
          <cell r="AJ137"/>
          <cell r="AK137"/>
          <cell r="AL137">
            <v>3979</v>
          </cell>
        </row>
        <row r="142">
          <cell r="U142">
            <v>1125</v>
          </cell>
          <cell r="V142">
            <v>260</v>
          </cell>
          <cell r="W142">
            <v>0</v>
          </cell>
          <cell r="X142">
            <v>0</v>
          </cell>
          <cell r="Z142">
            <v>372</v>
          </cell>
          <cell r="AA142">
            <v>380</v>
          </cell>
          <cell r="AB142">
            <v>373</v>
          </cell>
          <cell r="AC142">
            <v>260</v>
          </cell>
          <cell r="AD142"/>
          <cell r="AE142"/>
          <cell r="AF142"/>
          <cell r="AG142"/>
          <cell r="AH142"/>
          <cell r="AI142"/>
          <cell r="AJ142"/>
          <cell r="AK142"/>
          <cell r="AL142">
            <v>1385</v>
          </cell>
        </row>
        <row r="153">
          <cell r="U153">
            <v>3979</v>
          </cell>
          <cell r="V153">
            <v>0</v>
          </cell>
          <cell r="W153">
            <v>0</v>
          </cell>
          <cell r="X153">
            <v>0</v>
          </cell>
          <cell r="Z153">
            <v>1273</v>
          </cell>
          <cell r="AA153">
            <v>1633</v>
          </cell>
          <cell r="AB153">
            <v>1073</v>
          </cell>
          <cell r="AC153">
            <v>0</v>
          </cell>
          <cell r="AD153">
            <v>0</v>
          </cell>
          <cell r="AE153">
            <v>0</v>
          </cell>
          <cell r="AF153">
            <v>0</v>
          </cell>
          <cell r="AG153">
            <v>0</v>
          </cell>
          <cell r="AH153">
            <v>0</v>
          </cell>
          <cell r="AI153">
            <v>0</v>
          </cell>
          <cell r="AJ153">
            <v>0</v>
          </cell>
          <cell r="AK153">
            <v>0</v>
          </cell>
          <cell r="AL153">
            <v>3979</v>
          </cell>
        </row>
        <row r="158">
          <cell r="U158">
            <v>1720</v>
          </cell>
          <cell r="V158">
            <v>450</v>
          </cell>
          <cell r="W158">
            <v>0</v>
          </cell>
          <cell r="X158">
            <v>0</v>
          </cell>
          <cell r="Z158">
            <v>506</v>
          </cell>
          <cell r="AA158">
            <v>615</v>
          </cell>
          <cell r="AB158">
            <v>599</v>
          </cell>
          <cell r="AC158">
            <v>450</v>
          </cell>
          <cell r="AD158">
            <v>0</v>
          </cell>
          <cell r="AE158">
            <v>0</v>
          </cell>
          <cell r="AF158">
            <v>0</v>
          </cell>
          <cell r="AG158">
            <v>0</v>
          </cell>
          <cell r="AH158">
            <v>0</v>
          </cell>
          <cell r="AI158">
            <v>0</v>
          </cell>
          <cell r="AJ158">
            <v>0</v>
          </cell>
          <cell r="AK158">
            <v>0</v>
          </cell>
          <cell r="AL158">
            <v>2170</v>
          </cell>
        </row>
        <row r="186">
          <cell r="U186">
            <v>77843.546617</v>
          </cell>
          <cell r="V186">
            <v>23089.683900000004</v>
          </cell>
          <cell r="W186">
            <v>0</v>
          </cell>
          <cell r="X186">
            <v>0</v>
          </cell>
          <cell r="Z186">
            <v>35396.111617000002</v>
          </cell>
          <cell r="AA186">
            <v>21742.435000000001</v>
          </cell>
          <cell r="AB186">
            <v>20705</v>
          </cell>
          <cell r="AC186">
            <v>23089.683900000004</v>
          </cell>
          <cell r="AD186"/>
          <cell r="AE186"/>
          <cell r="AF186"/>
          <cell r="AG186"/>
          <cell r="AH186"/>
          <cell r="AI186"/>
          <cell r="AJ186"/>
          <cell r="AK186"/>
          <cell r="AL186">
            <v>100933.230517</v>
          </cell>
        </row>
        <row r="191">
          <cell r="U191">
            <v>2.0668797375857157</v>
          </cell>
          <cell r="V191">
            <v>2.5392950794427005</v>
          </cell>
          <cell r="W191">
            <v>0</v>
          </cell>
          <cell r="X191">
            <v>0</v>
          </cell>
          <cell r="Z191">
            <v>1.6005882921591601</v>
          </cell>
          <cell r="AA191">
            <v>2.2297448451545261</v>
          </cell>
          <cell r="AB191">
            <v>2.6930000000000001</v>
          </cell>
          <cell r="AC191">
            <v>2.5392950794427005</v>
          </cell>
          <cell r="AD191"/>
          <cell r="AE191"/>
          <cell r="AF191"/>
          <cell r="AG191"/>
          <cell r="AH191"/>
          <cell r="AI191"/>
          <cell r="AJ191"/>
          <cell r="AK191"/>
          <cell r="AL191">
            <v>2.1749503983296123</v>
          </cell>
        </row>
        <row r="201">
          <cell r="U201">
            <v>83753.646017000006</v>
          </cell>
          <cell r="V201">
            <v>24001.069800000001</v>
          </cell>
          <cell r="W201">
            <v>0</v>
          </cell>
          <cell r="X201">
            <v>0</v>
          </cell>
          <cell r="Z201">
            <v>36077.331617000003</v>
          </cell>
          <cell r="AA201">
            <v>24870.617399999999</v>
          </cell>
          <cell r="AB201">
            <v>22805.697</v>
          </cell>
          <cell r="AC201">
            <v>24001.069800000001</v>
          </cell>
          <cell r="AD201"/>
          <cell r="AE201"/>
          <cell r="AF201"/>
          <cell r="AG201"/>
          <cell r="AH201"/>
          <cell r="AI201"/>
          <cell r="AJ201"/>
          <cell r="AK201"/>
          <cell r="AL201">
            <v>107754.715817</v>
          </cell>
        </row>
        <row r="206">
          <cell r="U206">
            <v>2.0848743412021884</v>
          </cell>
          <cell r="V206">
            <v>2.5392950794427005</v>
          </cell>
          <cell r="W206">
            <v>0</v>
          </cell>
          <cell r="X206">
            <v>0</v>
          </cell>
          <cell r="Z206">
            <v>1.6005882921591601</v>
          </cell>
          <cell r="AA206">
            <v>2.2297448451545261</v>
          </cell>
          <cell r="AB206">
            <v>2.6930000000000001</v>
          </cell>
          <cell r="AC206">
            <v>2.5392950794427005</v>
          </cell>
          <cell r="AD206"/>
          <cell r="AE206"/>
          <cell r="AF206"/>
          <cell r="AG206"/>
          <cell r="AH206"/>
          <cell r="AI206"/>
          <cell r="AJ206"/>
          <cell r="AK206"/>
        </row>
        <row r="216">
          <cell r="U216">
            <v>234</v>
          </cell>
          <cell r="V216">
            <v>475</v>
          </cell>
          <cell r="W216">
            <v>0</v>
          </cell>
          <cell r="X216">
            <v>0</v>
          </cell>
          <cell r="Z216">
            <v>234</v>
          </cell>
          <cell r="AA216">
            <v>0</v>
          </cell>
          <cell r="AB216">
            <v>0</v>
          </cell>
          <cell r="AC216">
            <v>475</v>
          </cell>
          <cell r="AD216"/>
          <cell r="AE216"/>
          <cell r="AF216"/>
          <cell r="AG216"/>
          <cell r="AH216"/>
          <cell r="AI216"/>
          <cell r="AJ216"/>
          <cell r="AK216"/>
          <cell r="AL216">
            <v>709</v>
          </cell>
        </row>
        <row r="221">
          <cell r="U221">
            <v>1.1599999999999999</v>
          </cell>
          <cell r="V221">
            <v>2.0499999999999998</v>
          </cell>
          <cell r="W221">
            <v>0</v>
          </cell>
          <cell r="X221">
            <v>0</v>
          </cell>
          <cell r="Z221">
            <v>1.1599999999999999</v>
          </cell>
          <cell r="AA221">
            <v>0</v>
          </cell>
          <cell r="AB221">
            <v>0</v>
          </cell>
          <cell r="AC221">
            <v>2.0499999999999998</v>
          </cell>
          <cell r="AD221"/>
          <cell r="AE221"/>
          <cell r="AF221"/>
          <cell r="AG221"/>
          <cell r="AH221"/>
          <cell r="AI221"/>
          <cell r="AJ221"/>
          <cell r="AK221"/>
          <cell r="AL221">
            <v>1.7562623413258112</v>
          </cell>
        </row>
        <row r="226">
          <cell r="U226">
            <v>0.27144000000000001</v>
          </cell>
          <cell r="V226">
            <v>0.97374999999999989</v>
          </cell>
          <cell r="W226">
            <v>0</v>
          </cell>
          <cell r="X226">
            <v>0</v>
          </cell>
          <cell r="Z226">
            <v>0.27144000000000001</v>
          </cell>
          <cell r="AA226">
            <v>0</v>
          </cell>
          <cell r="AB226">
            <v>0</v>
          </cell>
          <cell r="AC226">
            <v>0.97374999999999989</v>
          </cell>
          <cell r="AD226">
            <v>0</v>
          </cell>
          <cell r="AE226">
            <v>0</v>
          </cell>
          <cell r="AF226">
            <v>0</v>
          </cell>
          <cell r="AG226">
            <v>0</v>
          </cell>
          <cell r="AH226">
            <v>0</v>
          </cell>
          <cell r="AI226">
            <v>0</v>
          </cell>
          <cell r="AJ226">
            <v>0</v>
          </cell>
          <cell r="AK226">
            <v>0</v>
          </cell>
          <cell r="AL226">
            <v>1.24519</v>
          </cell>
        </row>
        <row r="231">
          <cell r="U231">
            <v>65671.697</v>
          </cell>
          <cell r="V231">
            <v>23526</v>
          </cell>
          <cell r="W231">
            <v>0</v>
          </cell>
          <cell r="X231">
            <v>0</v>
          </cell>
          <cell r="Z231">
            <v>20721</v>
          </cell>
          <cell r="AA231">
            <v>22145</v>
          </cell>
          <cell r="AB231">
            <v>22805.697</v>
          </cell>
          <cell r="AC231">
            <v>23526</v>
          </cell>
          <cell r="AD231"/>
          <cell r="AE231"/>
          <cell r="AF231"/>
          <cell r="AG231"/>
          <cell r="AH231"/>
          <cell r="AI231"/>
          <cell r="AJ231"/>
          <cell r="AK231"/>
          <cell r="AL231">
            <v>89197.697</v>
          </cell>
        </row>
        <row r="236">
          <cell r="U236">
            <v>2.3875104372740661</v>
          </cell>
          <cell r="V236">
            <v>2.5499999999999998</v>
          </cell>
          <cell r="W236">
            <v>0</v>
          </cell>
          <cell r="X236">
            <v>0</v>
          </cell>
          <cell r="Z236">
            <v>2.0699999999999998</v>
          </cell>
          <cell r="AA236">
            <v>2.37</v>
          </cell>
          <cell r="AB236">
            <v>2.6930000000000001</v>
          </cell>
          <cell r="AC236">
            <v>2.5499999999999998</v>
          </cell>
          <cell r="AD236"/>
          <cell r="AE236"/>
          <cell r="AF236"/>
          <cell r="AG236"/>
          <cell r="AH236"/>
          <cell r="AI236"/>
          <cell r="AJ236"/>
          <cell r="AK236"/>
          <cell r="AL236">
            <v>2.4303672551209474</v>
          </cell>
        </row>
        <row r="241">
          <cell r="U241">
            <v>156.79186202099999</v>
          </cell>
          <cell r="V241">
            <v>59.991299999999995</v>
          </cell>
          <cell r="W241">
            <v>0</v>
          </cell>
          <cell r="X241">
            <v>0</v>
          </cell>
          <cell r="Z241">
            <v>42.892469999999996</v>
          </cell>
          <cell r="AA241">
            <v>52.483650000000004</v>
          </cell>
          <cell r="AB241">
            <v>61.415742021</v>
          </cell>
          <cell r="AC241">
            <v>59.991299999999995</v>
          </cell>
          <cell r="AD241">
            <v>0</v>
          </cell>
          <cell r="AE241">
            <v>0</v>
          </cell>
          <cell r="AF241">
            <v>0</v>
          </cell>
          <cell r="AG241">
            <v>0</v>
          </cell>
          <cell r="AH241">
            <v>0</v>
          </cell>
          <cell r="AI241">
            <v>0</v>
          </cell>
          <cell r="AJ241">
            <v>0</v>
          </cell>
          <cell r="AK241">
            <v>0</v>
          </cell>
          <cell r="AL241">
            <v>216.78316202099998</v>
          </cell>
        </row>
        <row r="246">
          <cell r="U246">
            <v>17848</v>
          </cell>
          <cell r="V246">
            <v>0</v>
          </cell>
          <cell r="W246">
            <v>0</v>
          </cell>
          <cell r="X246">
            <v>0</v>
          </cell>
          <cell r="Z246">
            <v>15122</v>
          </cell>
          <cell r="AA246">
            <v>2726</v>
          </cell>
          <cell r="AB246">
            <v>0</v>
          </cell>
          <cell r="AC246">
            <v>0</v>
          </cell>
          <cell r="AD246"/>
          <cell r="AE246"/>
          <cell r="AF246"/>
          <cell r="AG246"/>
          <cell r="AH246"/>
          <cell r="AI246"/>
          <cell r="AJ246"/>
          <cell r="AK246"/>
          <cell r="AL246">
            <v>17848</v>
          </cell>
        </row>
        <row r="251">
          <cell r="U251">
            <v>0.97527341999103523</v>
          </cell>
          <cell r="V251">
            <v>0</v>
          </cell>
          <cell r="W251">
            <v>0</v>
          </cell>
          <cell r="X251">
            <v>0</v>
          </cell>
          <cell r="Z251">
            <v>0.96</v>
          </cell>
          <cell r="AA251">
            <v>1.06</v>
          </cell>
          <cell r="AB251"/>
          <cell r="AC251">
            <v>0</v>
          </cell>
          <cell r="AD251"/>
          <cell r="AE251"/>
          <cell r="AF251"/>
          <cell r="AG251"/>
          <cell r="AH251"/>
          <cell r="AI251"/>
          <cell r="AJ251"/>
          <cell r="AK251"/>
          <cell r="AL251">
            <v>0.97527341999103523</v>
          </cell>
        </row>
        <row r="256">
          <cell r="U256">
            <v>17.406679999999998</v>
          </cell>
          <cell r="V256">
            <v>0</v>
          </cell>
          <cell r="W256">
            <v>0</v>
          </cell>
          <cell r="X256">
            <v>0</v>
          </cell>
          <cell r="Z256">
            <v>14.517119999999998</v>
          </cell>
          <cell r="AA256">
            <v>2.8895599999999999</v>
          </cell>
          <cell r="AB256">
            <v>0</v>
          </cell>
          <cell r="AC256">
            <v>0</v>
          </cell>
          <cell r="AD256">
            <v>0</v>
          </cell>
          <cell r="AE256">
            <v>0</v>
          </cell>
          <cell r="AF256">
            <v>0</v>
          </cell>
          <cell r="AG256">
            <v>0</v>
          </cell>
          <cell r="AH256">
            <v>0</v>
          </cell>
          <cell r="AI256">
            <v>0</v>
          </cell>
          <cell r="AJ256">
            <v>0</v>
          </cell>
          <cell r="AK256">
            <v>0</v>
          </cell>
          <cell r="AL256">
            <v>17.406679999999998</v>
          </cell>
        </row>
        <row r="261">
          <cell r="U261">
            <v>0.27862755690307917</v>
          </cell>
          <cell r="V261">
            <v>0.27613255997926422</v>
          </cell>
          <cell r="W261">
            <v>0</v>
          </cell>
          <cell r="X261">
            <v>0</v>
          </cell>
          <cell r="Z261">
            <v>0.25524049726300146</v>
          </cell>
          <cell r="AA261">
            <v>0.3057650009028498</v>
          </cell>
          <cell r="AB261">
            <v>0.28604610000000003</v>
          </cell>
          <cell r="AC261">
            <v>0.27611127209827852</v>
          </cell>
          <cell r="AD261"/>
          <cell r="AE261"/>
          <cell r="AF261"/>
          <cell r="AG261"/>
          <cell r="AH261"/>
          <cell r="AI261"/>
          <cell r="AJ261"/>
          <cell r="AK261"/>
          <cell r="AL261">
            <v>0.27807182628038468</v>
          </cell>
        </row>
        <row r="266">
          <cell r="U266">
            <v>0.86635762578265707</v>
          </cell>
          <cell r="V266">
            <v>0.89125621428768054</v>
          </cell>
          <cell r="W266">
            <v>0</v>
          </cell>
          <cell r="X266">
            <v>0</v>
          </cell>
          <cell r="Z266">
            <v>0.84053332233319822</v>
          </cell>
          <cell r="AA266">
            <v>0.86286995950800838</v>
          </cell>
          <cell r="AB266">
            <v>0.89378760000000002</v>
          </cell>
          <cell r="AC266">
            <v>0.89125621428768054</v>
          </cell>
          <cell r="AD266"/>
          <cell r="AE266"/>
          <cell r="AF266"/>
          <cell r="AG266"/>
          <cell r="AH266"/>
          <cell r="AI266"/>
          <cell r="AJ266"/>
          <cell r="AK266"/>
          <cell r="AL266">
            <v>0.87279952543456196</v>
          </cell>
        </row>
        <row r="271">
          <cell r="U271">
            <v>151.27975379153216</v>
          </cell>
          <cell r="V271">
            <v>54.318321598385793</v>
          </cell>
          <cell r="W271">
            <v>0</v>
          </cell>
          <cell r="X271">
            <v>0</v>
          </cell>
          <cell r="Z271">
            <v>48.536558536668402</v>
          </cell>
          <cell r="AA271">
            <v>47.850566591694999</v>
          </cell>
          <cell r="AB271">
            <v>54.892628663168743</v>
          </cell>
          <cell r="AC271">
            <v>54.318321598385793</v>
          </cell>
          <cell r="AD271">
            <v>0</v>
          </cell>
          <cell r="AE271">
            <v>0</v>
          </cell>
          <cell r="AF271">
            <v>0</v>
          </cell>
          <cell r="AG271">
            <v>0</v>
          </cell>
          <cell r="AH271">
            <v>0</v>
          </cell>
          <cell r="AI271">
            <v>0</v>
          </cell>
          <cell r="AJ271">
            <v>0</v>
          </cell>
          <cell r="AK271">
            <v>0</v>
          </cell>
          <cell r="AL271">
            <v>205.59807538991794</v>
          </cell>
        </row>
        <row r="276">
          <cell r="U276">
            <v>155.83257107</v>
          </cell>
          <cell r="V276">
            <v>52.14756809</v>
          </cell>
          <cell r="W276">
            <v>0</v>
          </cell>
          <cell r="X276">
            <v>0</v>
          </cell>
          <cell r="Z276">
            <v>49.893434499999998</v>
          </cell>
          <cell r="AA276">
            <v>48.164211020000003</v>
          </cell>
          <cell r="AB276">
            <v>57.774925549999999</v>
          </cell>
          <cell r="AC276">
            <v>52.14756809</v>
          </cell>
          <cell r="AD276"/>
          <cell r="AE276"/>
          <cell r="AF276"/>
          <cell r="AG276"/>
          <cell r="AH276"/>
          <cell r="AI276"/>
          <cell r="AJ276"/>
          <cell r="AK276"/>
        </row>
        <row r="281">
          <cell r="U281">
            <v>4.552817278467856</v>
          </cell>
          <cell r="V281">
            <v>-2.1707535083857934</v>
          </cell>
          <cell r="W281">
            <v>0</v>
          </cell>
          <cell r="X281">
            <v>0</v>
          </cell>
          <cell r="Z281">
            <v>1.3568759633315963</v>
          </cell>
          <cell r="AA281">
            <v>0.31364442830500394</v>
          </cell>
          <cell r="AB281">
            <v>2.8822968868312557</v>
          </cell>
          <cell r="AC281">
            <v>-2.1707535083857934</v>
          </cell>
          <cell r="AD281">
            <v>0</v>
          </cell>
          <cell r="AE281">
            <v>0</v>
          </cell>
          <cell r="AF281">
            <v>0</v>
          </cell>
          <cell r="AG281">
            <v>0</v>
          </cell>
          <cell r="AH281">
            <v>0</v>
          </cell>
          <cell r="AI281">
            <v>0</v>
          </cell>
          <cell r="AJ281">
            <v>0</v>
          </cell>
          <cell r="AK281">
            <v>0</v>
          </cell>
          <cell r="AL281">
            <v>0</v>
          </cell>
        </row>
        <row r="282">
          <cell r="U282">
            <v>18.007181737821128</v>
          </cell>
          <cell r="V282">
            <v>6.1493939005503098</v>
          </cell>
          <cell r="W282">
            <v>0</v>
          </cell>
          <cell r="X282">
            <v>0</v>
          </cell>
          <cell r="Z282">
            <v>7.1707426887719903</v>
          </cell>
          <cell r="AA282">
            <v>6.8577990490491398</v>
          </cell>
          <cell r="AB282">
            <v>3.97864</v>
          </cell>
          <cell r="AC282">
            <v>6.1493939005503098</v>
          </cell>
          <cell r="AD282">
            <v>7.5049999999999999</v>
          </cell>
          <cell r="AE282">
            <v>10.264010679727123</v>
          </cell>
          <cell r="AF282">
            <v>10.650393456676801</v>
          </cell>
          <cell r="AG282">
            <v>15.0912703885603</v>
          </cell>
          <cell r="AH282">
            <v>18.2570526728902</v>
          </cell>
          <cell r="AI282">
            <v>26.917000000000002</v>
          </cell>
          <cell r="AJ282">
            <v>14.904</v>
          </cell>
          <cell r="AK282">
            <v>8.5280000000000005</v>
          </cell>
          <cell r="AL282">
            <v>8.5280000000000005</v>
          </cell>
        </row>
        <row r="291">
          <cell r="U291">
            <v>39644.106</v>
          </cell>
          <cell r="V291">
            <v>39611.845000000001</v>
          </cell>
          <cell r="W291">
            <v>0</v>
          </cell>
          <cell r="X291">
            <v>0</v>
          </cell>
          <cell r="Z291">
            <v>39123.42</v>
          </cell>
          <cell r="AA291">
            <v>39050.953000000001</v>
          </cell>
          <cell r="AB291">
            <v>39644.106</v>
          </cell>
          <cell r="AC291">
            <v>39611.845000000001</v>
          </cell>
          <cell r="AD291"/>
          <cell r="AE291"/>
          <cell r="AF291"/>
          <cell r="AG291"/>
          <cell r="AH291"/>
          <cell r="AI291"/>
          <cell r="AJ291"/>
          <cell r="AK291"/>
          <cell r="AL291"/>
        </row>
        <row r="296">
          <cell r="U296">
            <v>0.75</v>
          </cell>
          <cell r="V296">
            <v>0.75507543257351928</v>
          </cell>
          <cell r="W296">
            <v>0</v>
          </cell>
          <cell r="X296">
            <v>0</v>
          </cell>
          <cell r="Z296">
            <v>0.75724201457848006</v>
          </cell>
          <cell r="AA296">
            <v>0.78403689349009986</v>
          </cell>
          <cell r="AB296">
            <v>0.75</v>
          </cell>
          <cell r="AC296">
            <v>0.75507543257351928</v>
          </cell>
          <cell r="AD296"/>
          <cell r="AE296"/>
          <cell r="AF296"/>
          <cell r="AG296"/>
          <cell r="AH296"/>
          <cell r="AI296"/>
          <cell r="AJ296"/>
          <cell r="AK296"/>
          <cell r="AL296"/>
        </row>
        <row r="301">
          <cell r="U301">
            <v>29.733079499999999</v>
          </cell>
          <cell r="V301">
            <v>29.909930998410196</v>
          </cell>
          <cell r="W301">
            <v>0</v>
          </cell>
          <cell r="X301">
            <v>0</v>
          </cell>
          <cell r="Z301">
            <v>29.625897377999998</v>
          </cell>
          <cell r="AA301">
            <v>30.617387877947898</v>
          </cell>
          <cell r="AB301">
            <v>29.733079499999999</v>
          </cell>
          <cell r="AC301">
            <v>29.909930998410196</v>
          </cell>
          <cell r="AD301">
            <v>0</v>
          </cell>
          <cell r="AE301">
            <v>0</v>
          </cell>
          <cell r="AF301">
            <v>0</v>
          </cell>
          <cell r="AG301">
            <v>0</v>
          </cell>
          <cell r="AH301">
            <v>0</v>
          </cell>
          <cell r="AI301">
            <v>0</v>
          </cell>
          <cell r="AJ301">
            <v>0</v>
          </cell>
          <cell r="AK301">
            <v>0</v>
          </cell>
          <cell r="AL301">
            <v>0</v>
          </cell>
        </row>
        <row r="306">
          <cell r="U306">
            <v>1095</v>
          </cell>
          <cell r="V306">
            <v>124.36000000000001</v>
          </cell>
          <cell r="W306">
            <v>0</v>
          </cell>
          <cell r="X306">
            <v>0</v>
          </cell>
          <cell r="Z306">
            <v>610.54200000000003</v>
          </cell>
          <cell r="AA306">
            <v>2572.83</v>
          </cell>
          <cell r="AB306">
            <v>1095</v>
          </cell>
          <cell r="AC306">
            <v>124.36000000000001</v>
          </cell>
          <cell r="AD306"/>
          <cell r="AE306"/>
          <cell r="AF306"/>
          <cell r="AG306"/>
          <cell r="AH306"/>
          <cell r="AI306"/>
          <cell r="AJ306"/>
          <cell r="AK306"/>
          <cell r="AL306"/>
        </row>
        <row r="311">
          <cell r="U311">
            <v>2.15</v>
          </cell>
          <cell r="V311">
            <v>2.0674798970730137</v>
          </cell>
          <cell r="W311">
            <v>0</v>
          </cell>
          <cell r="X311">
            <v>0</v>
          </cell>
          <cell r="Z311">
            <v>1.6430579910964358</v>
          </cell>
          <cell r="AA311">
            <v>2.4498861370553051</v>
          </cell>
          <cell r="AB311">
            <v>2.15</v>
          </cell>
          <cell r="AC311">
            <v>2.0674798970730137</v>
          </cell>
          <cell r="AD311"/>
          <cell r="AE311"/>
          <cell r="AF311"/>
          <cell r="AG311"/>
          <cell r="AH311"/>
          <cell r="AI311"/>
          <cell r="AJ311"/>
          <cell r="AK311"/>
          <cell r="AL311"/>
        </row>
        <row r="316">
          <cell r="U316">
            <v>2.35425</v>
          </cell>
          <cell r="V316">
            <v>0.2571118</v>
          </cell>
          <cell r="W316">
            <v>0</v>
          </cell>
          <cell r="X316">
            <v>0</v>
          </cell>
          <cell r="Z316">
            <v>1.0031559120000002</v>
          </cell>
          <cell r="AA316">
            <v>6.3031405500000002</v>
          </cell>
          <cell r="AB316">
            <v>2.35425</v>
          </cell>
          <cell r="AC316">
            <v>0.2571118</v>
          </cell>
          <cell r="AD316"/>
          <cell r="AE316"/>
          <cell r="AF316"/>
          <cell r="AG316"/>
          <cell r="AH316"/>
          <cell r="AI316"/>
          <cell r="AJ316"/>
          <cell r="AK316"/>
          <cell r="AL316"/>
        </row>
        <row r="327">
          <cell r="U327">
            <v>0.94666666666666666</v>
          </cell>
          <cell r="V327">
            <v>0.97</v>
          </cell>
          <cell r="W327">
            <v>0</v>
          </cell>
          <cell r="X327">
            <v>0</v>
          </cell>
          <cell r="Z327">
            <v>0.89</v>
          </cell>
          <cell r="AA327">
            <v>0.97</v>
          </cell>
          <cell r="AB327">
            <v>0.98</v>
          </cell>
          <cell r="AC327">
            <v>0.97</v>
          </cell>
          <cell r="AD327"/>
          <cell r="AE327"/>
          <cell r="AF327"/>
          <cell r="AG327"/>
          <cell r="AH327"/>
          <cell r="AI327"/>
          <cell r="AJ327"/>
          <cell r="AK327"/>
          <cell r="AL327">
            <v>0.9524999999999999</v>
          </cell>
        </row>
        <row r="331">
          <cell r="U331">
            <v>0.97333333333333327</v>
          </cell>
          <cell r="V331">
            <v>0.97</v>
          </cell>
          <cell r="W331">
            <v>0</v>
          </cell>
          <cell r="X331">
            <v>0</v>
          </cell>
          <cell r="Z331">
            <v>0.97</v>
          </cell>
          <cell r="AA331">
            <v>0.99</v>
          </cell>
          <cell r="AB331">
            <v>0.96</v>
          </cell>
          <cell r="AC331">
            <v>0.97</v>
          </cell>
          <cell r="AD331"/>
          <cell r="AE331"/>
          <cell r="AF331"/>
          <cell r="AG331"/>
          <cell r="AH331"/>
          <cell r="AI331"/>
          <cell r="AJ331"/>
          <cell r="AK331"/>
          <cell r="AL331">
            <v>0.97249999999999992</v>
          </cell>
        </row>
        <row r="335">
          <cell r="U335">
            <v>1</v>
          </cell>
          <cell r="V335">
            <v>0.95</v>
          </cell>
          <cell r="W335">
            <v>0</v>
          </cell>
          <cell r="X335">
            <v>0</v>
          </cell>
          <cell r="Z335">
            <v>1</v>
          </cell>
          <cell r="AA335">
            <v>1</v>
          </cell>
          <cell r="AB335">
            <v>1</v>
          </cell>
          <cell r="AC335">
            <v>0.95</v>
          </cell>
          <cell r="AD335"/>
          <cell r="AE335"/>
          <cell r="AF335"/>
          <cell r="AG335"/>
          <cell r="AH335"/>
          <cell r="AI335"/>
          <cell r="AJ335"/>
          <cell r="AK335"/>
          <cell r="AL335">
            <v>0.98750000000000004</v>
          </cell>
        </row>
        <row r="339">
          <cell r="U339">
            <v>0.97666666666666668</v>
          </cell>
          <cell r="V339">
            <v>0.95</v>
          </cell>
          <cell r="W339">
            <v>0</v>
          </cell>
          <cell r="X339">
            <v>0</v>
          </cell>
          <cell r="Z339">
            <v>1</v>
          </cell>
          <cell r="AA339">
            <v>1</v>
          </cell>
          <cell r="AB339">
            <v>0.93</v>
          </cell>
          <cell r="AC339">
            <v>0.95</v>
          </cell>
          <cell r="AD339"/>
          <cell r="AE339"/>
          <cell r="AF339"/>
          <cell r="AG339"/>
          <cell r="AH339"/>
          <cell r="AI339"/>
          <cell r="AJ339"/>
          <cell r="AK339"/>
          <cell r="AL339">
            <v>0.97</v>
          </cell>
        </row>
        <row r="343">
          <cell r="U343">
            <v>0.90666666666666662</v>
          </cell>
          <cell r="V343">
            <v>0.88</v>
          </cell>
          <cell r="W343">
            <v>0</v>
          </cell>
          <cell r="X343">
            <v>0</v>
          </cell>
          <cell r="Z343">
            <v>0.9</v>
          </cell>
          <cell r="AA343">
            <v>0.94</v>
          </cell>
          <cell r="AB343">
            <v>0.88</v>
          </cell>
          <cell r="AC343">
            <v>0.88</v>
          </cell>
          <cell r="AD343"/>
          <cell r="AE343"/>
          <cell r="AF343"/>
          <cell r="AG343"/>
          <cell r="AH343"/>
          <cell r="AI343"/>
          <cell r="AJ343"/>
          <cell r="AK343"/>
          <cell r="AL343">
            <v>0.89999999999999991</v>
          </cell>
        </row>
        <row r="347">
          <cell r="U347">
            <v>1</v>
          </cell>
          <cell r="V347">
            <v>0.99</v>
          </cell>
          <cell r="W347">
            <v>0</v>
          </cell>
          <cell r="X347">
            <v>0</v>
          </cell>
          <cell r="Z347">
            <v>1</v>
          </cell>
          <cell r="AA347">
            <v>1</v>
          </cell>
          <cell r="AB347">
            <v>1</v>
          </cell>
          <cell r="AC347">
            <v>0.99</v>
          </cell>
          <cell r="AD347"/>
          <cell r="AE347"/>
          <cell r="AF347"/>
          <cell r="AG347"/>
          <cell r="AH347"/>
          <cell r="AI347"/>
          <cell r="AJ347"/>
          <cell r="AK347"/>
          <cell r="AL347">
            <v>0.99750000000000005</v>
          </cell>
        </row>
        <row r="353">
          <cell r="U353">
            <v>0.49843480210785973</v>
          </cell>
          <cell r="V353">
            <v>0.41</v>
          </cell>
          <cell r="W353">
            <v>0</v>
          </cell>
          <cell r="X353">
            <v>0</v>
          </cell>
          <cell r="Z353">
            <v>0.66530440632357901</v>
          </cell>
          <cell r="AA353">
            <v>0.43</v>
          </cell>
          <cell r="AB353">
            <v>0.4</v>
          </cell>
          <cell r="AC353">
            <v>0.41</v>
          </cell>
          <cell r="AD353"/>
          <cell r="AE353"/>
          <cell r="AF353"/>
          <cell r="AG353"/>
          <cell r="AH353"/>
          <cell r="AI353"/>
          <cell r="AJ353"/>
          <cell r="AK353"/>
          <cell r="AL353">
            <v>0.47632610158089478</v>
          </cell>
        </row>
        <row r="357">
          <cell r="U357">
            <v>0.75333333333333341</v>
          </cell>
          <cell r="V357">
            <v>0.67</v>
          </cell>
          <cell r="W357">
            <v>0</v>
          </cell>
          <cell r="X357">
            <v>0</v>
          </cell>
          <cell r="Z357">
            <v>0.88</v>
          </cell>
          <cell r="AA357">
            <v>0.72</v>
          </cell>
          <cell r="AB357">
            <v>0.66</v>
          </cell>
          <cell r="AC357">
            <v>0.67</v>
          </cell>
          <cell r="AD357"/>
          <cell r="AE357"/>
          <cell r="AF357"/>
          <cell r="AG357"/>
          <cell r="AH357"/>
          <cell r="AI357"/>
          <cell r="AJ357"/>
          <cell r="AK357"/>
          <cell r="AL357">
            <v>0.73250000000000004</v>
          </cell>
        </row>
      </sheetData>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AR_SVfHVh0GxMIG0oDGHx6Q_1BDg_A1AqJFCy862nHSbDWGxydT1QIkTFgI8yVVp" itemId="01UOFC3IVQTHT6LIJMAZAJH2K5RUMUI7LW">
      <xxl21:absoluteUrl r:id="rId3"/>
    </xxl21:alternateUrls>
    <sheetNames>
      <sheetName val="SUMMARY"/>
      <sheetName val="KPIs"/>
      <sheetName val="Actions"/>
      <sheetName val="&gt; PUG"/>
      <sheetName val="Activities"/>
      <sheetName val="D_Drilling"/>
      <sheetName val="Generation"/>
      <sheetName val="Development"/>
      <sheetName val="Stoping"/>
      <sheetName val="Tramming"/>
      <sheetName val="Hoisting"/>
      <sheetName val="Tonnage Recon"/>
      <sheetName val="Hoisting Charts"/>
      <sheetName val="Projects"/>
      <sheetName val="PLANT"/>
      <sheetName val="&gt; SAMPLING"/>
      <sheetName val="DEV."/>
      <sheetName val="BENCHES"/>
      <sheetName val="HOISTING."/>
      <sheetName val="TRAMMING."/>
      <sheetName val="DD."/>
      <sheetName val="DEV.TRKR"/>
      <sheetName val="&gt; PLANS"/>
      <sheetName val="Schedule"/>
      <sheetName val="Development."/>
      <sheetName val="Breaking."/>
      <sheetName val="UG_Hoisting"/>
      <sheetName val="Weekly"/>
      <sheetName val="Stope History"/>
      <sheetName val="KPIs (2)"/>
      <sheetName val="Sheet4"/>
    </sheetNames>
    <sheetDataSet>
      <sheetData sheetId="0">
        <row r="6">
          <cell r="C6">
            <v>45748</v>
          </cell>
        </row>
        <row r="7">
          <cell r="C7">
            <v>30</v>
          </cell>
        </row>
        <row r="16">
          <cell r="I16">
            <v>45748</v>
          </cell>
          <cell r="J16">
            <v>45749</v>
          </cell>
          <cell r="K16">
            <v>45750</v>
          </cell>
          <cell r="L16">
            <v>45751</v>
          </cell>
          <cell r="M16">
            <v>45752</v>
          </cell>
          <cell r="N16">
            <v>45753</v>
          </cell>
          <cell r="O16">
            <v>45754</v>
          </cell>
          <cell r="P16">
            <v>45755</v>
          </cell>
          <cell r="Q16">
            <v>45756</v>
          </cell>
          <cell r="R16">
            <v>45757</v>
          </cell>
          <cell r="S16">
            <v>45758</v>
          </cell>
          <cell r="T16">
            <v>45759</v>
          </cell>
          <cell r="U16">
            <v>45760</v>
          </cell>
          <cell r="V16">
            <v>45761</v>
          </cell>
          <cell r="W16">
            <v>45762</v>
          </cell>
          <cell r="X16">
            <v>45763</v>
          </cell>
          <cell r="Y16">
            <v>45764</v>
          </cell>
          <cell r="Z16">
            <v>45765</v>
          </cell>
          <cell r="AA16">
            <v>45766</v>
          </cell>
          <cell r="AB16">
            <v>45767</v>
          </cell>
          <cell r="AC16">
            <v>45768</v>
          </cell>
          <cell r="AD16">
            <v>45769</v>
          </cell>
          <cell r="AE16">
            <v>45770</v>
          </cell>
          <cell r="AF16">
            <v>45771</v>
          </cell>
          <cell r="AG16">
            <v>45772</v>
          </cell>
          <cell r="AH16">
            <v>45773</v>
          </cell>
          <cell r="AI16">
            <v>45774</v>
          </cell>
          <cell r="AJ16">
            <v>45775</v>
          </cell>
          <cell r="AK16">
            <v>45776</v>
          </cell>
          <cell r="AL16">
            <v>45777</v>
          </cell>
          <cell r="AM16">
            <v>45778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9">
          <cell r="A9" t="str">
            <v>1L W24 STOPE</v>
          </cell>
          <cell r="D9">
            <v>70</v>
          </cell>
          <cell r="E9">
            <v>70</v>
          </cell>
          <cell r="F9">
            <v>70</v>
          </cell>
          <cell r="G9">
            <v>70</v>
          </cell>
          <cell r="H9">
            <v>70</v>
          </cell>
          <cell r="I9">
            <v>70</v>
          </cell>
          <cell r="J9">
            <v>70</v>
          </cell>
          <cell r="K9">
            <v>70</v>
          </cell>
          <cell r="L9">
            <v>70</v>
          </cell>
          <cell r="M9">
            <v>70</v>
          </cell>
          <cell r="N9">
            <v>70</v>
          </cell>
          <cell r="O9">
            <v>70</v>
          </cell>
          <cell r="P9">
            <v>70</v>
          </cell>
          <cell r="Q9">
            <v>70</v>
          </cell>
          <cell r="R9">
            <v>70</v>
          </cell>
          <cell r="S9">
            <v>70</v>
          </cell>
          <cell r="T9">
            <v>70</v>
          </cell>
          <cell r="U9">
            <v>70</v>
          </cell>
          <cell r="X9">
            <v>0</v>
          </cell>
          <cell r="Y9">
            <v>70</v>
          </cell>
          <cell r="Z9">
            <v>70</v>
          </cell>
          <cell r="AA9">
            <v>70</v>
          </cell>
          <cell r="AB9">
            <v>70</v>
          </cell>
          <cell r="AC9">
            <v>70</v>
          </cell>
          <cell r="AD9">
            <v>70</v>
          </cell>
          <cell r="AE9">
            <v>70</v>
          </cell>
          <cell r="AF9">
            <v>70</v>
          </cell>
          <cell r="AG9">
            <v>70</v>
          </cell>
          <cell r="AH9"/>
        </row>
        <row r="21">
          <cell r="A21" t="str">
            <v>3L_W23A STOPE</v>
          </cell>
          <cell r="D21">
            <v>105</v>
          </cell>
          <cell r="E21">
            <v>105</v>
          </cell>
          <cell r="F21">
            <v>105</v>
          </cell>
          <cell r="G21">
            <v>105</v>
          </cell>
          <cell r="H21">
            <v>105</v>
          </cell>
          <cell r="I21">
            <v>105</v>
          </cell>
          <cell r="J21">
            <v>105</v>
          </cell>
          <cell r="K21">
            <v>105</v>
          </cell>
          <cell r="L21">
            <v>105</v>
          </cell>
          <cell r="M21">
            <v>105</v>
          </cell>
          <cell r="N21">
            <v>105</v>
          </cell>
          <cell r="O21">
            <v>105</v>
          </cell>
          <cell r="P21">
            <v>105</v>
          </cell>
          <cell r="Q21">
            <v>105</v>
          </cell>
          <cell r="R21">
            <v>105</v>
          </cell>
          <cell r="S21">
            <v>105</v>
          </cell>
          <cell r="T21">
            <v>105</v>
          </cell>
          <cell r="U21">
            <v>105</v>
          </cell>
          <cell r="V21">
            <v>105</v>
          </cell>
          <cell r="X21">
            <v>0</v>
          </cell>
          <cell r="Y21">
            <v>105</v>
          </cell>
          <cell r="Z21">
            <v>105</v>
          </cell>
          <cell r="AA21">
            <v>105</v>
          </cell>
          <cell r="AB21">
            <v>105</v>
          </cell>
          <cell r="AC21">
            <v>105</v>
          </cell>
          <cell r="AD21">
            <v>105</v>
          </cell>
          <cell r="AE21">
            <v>105</v>
          </cell>
          <cell r="AF21">
            <v>105</v>
          </cell>
          <cell r="AG21">
            <v>105</v>
          </cell>
          <cell r="AH21"/>
        </row>
        <row r="43">
          <cell r="A43" t="str">
            <v>4L_W23A STOPE</v>
          </cell>
          <cell r="D43"/>
          <cell r="E43"/>
          <cell r="F43"/>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row>
        <row r="45">
          <cell r="A45" t="str">
            <v>4L_W23B_STOPE</v>
          </cell>
          <cell r="D45">
            <v>140</v>
          </cell>
          <cell r="E45">
            <v>140</v>
          </cell>
          <cell r="F45">
            <v>140</v>
          </cell>
          <cell r="G45">
            <v>140</v>
          </cell>
          <cell r="H45">
            <v>140</v>
          </cell>
          <cell r="I45">
            <v>140</v>
          </cell>
          <cell r="J45">
            <v>140</v>
          </cell>
          <cell r="K45">
            <v>140</v>
          </cell>
          <cell r="L45">
            <v>140</v>
          </cell>
          <cell r="M45">
            <v>140</v>
          </cell>
          <cell r="N45">
            <v>140</v>
          </cell>
          <cell r="O45">
            <v>140</v>
          </cell>
          <cell r="P45">
            <v>140</v>
          </cell>
          <cell r="Q45">
            <v>140</v>
          </cell>
          <cell r="R45">
            <v>140</v>
          </cell>
          <cell r="S45">
            <v>140</v>
          </cell>
          <cell r="T45">
            <v>140</v>
          </cell>
          <cell r="U45">
            <v>140</v>
          </cell>
          <cell r="V45">
            <v>140</v>
          </cell>
          <cell r="X45">
            <v>0</v>
          </cell>
          <cell r="Y45">
            <v>140</v>
          </cell>
          <cell r="Z45">
            <v>140</v>
          </cell>
          <cell r="AA45">
            <v>140</v>
          </cell>
          <cell r="AB45">
            <v>140</v>
          </cell>
          <cell r="AC45">
            <v>140</v>
          </cell>
          <cell r="AD45">
            <v>140</v>
          </cell>
          <cell r="AE45">
            <v>140</v>
          </cell>
          <cell r="AF45">
            <v>140</v>
          </cell>
          <cell r="AG45">
            <v>140</v>
          </cell>
          <cell r="AH45"/>
        </row>
        <row r="47">
          <cell r="A47" t="str">
            <v xml:space="preserve">4L_W26 STOPE </v>
          </cell>
          <cell r="D47">
            <v>70</v>
          </cell>
          <cell r="E47">
            <v>70</v>
          </cell>
          <cell r="F47">
            <v>70</v>
          </cell>
          <cell r="G47">
            <v>70</v>
          </cell>
          <cell r="H47">
            <v>70</v>
          </cell>
          <cell r="I47">
            <v>70</v>
          </cell>
          <cell r="J47">
            <v>70</v>
          </cell>
          <cell r="K47">
            <v>70</v>
          </cell>
          <cell r="L47">
            <v>70</v>
          </cell>
          <cell r="M47">
            <v>70</v>
          </cell>
          <cell r="N47">
            <v>70</v>
          </cell>
          <cell r="O47">
            <v>70</v>
          </cell>
          <cell r="P47">
            <v>70</v>
          </cell>
          <cell r="Q47">
            <v>70</v>
          </cell>
          <cell r="R47">
            <v>70</v>
          </cell>
          <cell r="S47">
            <v>70</v>
          </cell>
          <cell r="T47">
            <v>70</v>
          </cell>
          <cell r="U47">
            <v>70</v>
          </cell>
          <cell r="V47">
            <v>70</v>
          </cell>
          <cell r="X47">
            <v>0</v>
          </cell>
          <cell r="Y47">
            <v>70</v>
          </cell>
          <cell r="Z47">
            <v>70</v>
          </cell>
          <cell r="AA47">
            <v>70</v>
          </cell>
          <cell r="AB47">
            <v>70</v>
          </cell>
          <cell r="AC47">
            <v>70</v>
          </cell>
          <cell r="AD47">
            <v>70</v>
          </cell>
          <cell r="AE47">
            <v>70</v>
          </cell>
          <cell r="AF47">
            <v>70</v>
          </cell>
          <cell r="AG47">
            <v>70</v>
          </cell>
          <cell r="AH47"/>
        </row>
        <row r="53">
          <cell r="A53" t="str">
            <v>5L_W7 STOPE</v>
          </cell>
          <cell r="D53">
            <v>70</v>
          </cell>
          <cell r="E53">
            <v>70</v>
          </cell>
          <cell r="F53">
            <v>70</v>
          </cell>
          <cell r="G53">
            <v>70</v>
          </cell>
          <cell r="H53">
            <v>70</v>
          </cell>
          <cell r="I53">
            <v>70</v>
          </cell>
          <cell r="J53">
            <v>70</v>
          </cell>
          <cell r="K53">
            <v>70</v>
          </cell>
          <cell r="L53">
            <v>70</v>
          </cell>
          <cell r="M53">
            <v>70</v>
          </cell>
          <cell r="N53">
            <v>70</v>
          </cell>
          <cell r="O53">
            <v>70</v>
          </cell>
          <cell r="P53">
            <v>70</v>
          </cell>
          <cell r="Q53">
            <v>70</v>
          </cell>
          <cell r="R53">
            <v>70</v>
          </cell>
          <cell r="X53"/>
          <cell r="Y53"/>
          <cell r="Z53"/>
          <cell r="AA53"/>
          <cell r="AB53"/>
          <cell r="AC53"/>
          <cell r="AD53"/>
          <cell r="AE53"/>
          <cell r="AF53"/>
          <cell r="AG53"/>
          <cell r="AH53"/>
        </row>
        <row r="55">
          <cell r="A55" t="str">
            <v>5L_W8 STOPE</v>
          </cell>
          <cell r="D55">
            <v>0</v>
          </cell>
          <cell r="E55">
            <v>0</v>
          </cell>
          <cell r="F55">
            <v>0</v>
          </cell>
          <cell r="G55">
            <v>0</v>
          </cell>
          <cell r="H55">
            <v>0</v>
          </cell>
          <cell r="I55">
            <v>0</v>
          </cell>
          <cell r="J55">
            <v>0</v>
          </cell>
          <cell r="K55">
            <v>70</v>
          </cell>
          <cell r="L55">
            <v>70</v>
          </cell>
          <cell r="M55">
            <v>70</v>
          </cell>
          <cell r="N55">
            <v>70</v>
          </cell>
          <cell r="O55">
            <v>70</v>
          </cell>
          <cell r="P55">
            <v>70</v>
          </cell>
          <cell r="Q55">
            <v>70</v>
          </cell>
          <cell r="R55">
            <v>70</v>
          </cell>
          <cell r="S55">
            <v>70</v>
          </cell>
          <cell r="T55">
            <v>70</v>
          </cell>
          <cell r="U55">
            <v>70</v>
          </cell>
          <cell r="V55">
            <v>70</v>
          </cell>
          <cell r="X55">
            <v>0</v>
          </cell>
          <cell r="Y55">
            <v>70</v>
          </cell>
          <cell r="Z55">
            <v>70</v>
          </cell>
          <cell r="AA55">
            <v>70</v>
          </cell>
          <cell r="AB55">
            <v>70</v>
          </cell>
          <cell r="AC55">
            <v>70</v>
          </cell>
          <cell r="AD55">
            <v>70</v>
          </cell>
          <cell r="AE55">
            <v>70</v>
          </cell>
          <cell r="AF55">
            <v>70</v>
          </cell>
          <cell r="AG55">
            <v>70</v>
          </cell>
          <cell r="AH55"/>
        </row>
        <row r="56">
          <cell r="D56">
            <v>0</v>
          </cell>
          <cell r="E56">
            <v>0</v>
          </cell>
          <cell r="F56">
            <v>0</v>
          </cell>
          <cell r="G56">
            <v>0</v>
          </cell>
          <cell r="H56">
            <v>0</v>
          </cell>
          <cell r="I56">
            <v>0</v>
          </cell>
          <cell r="J56">
            <v>0</v>
          </cell>
        </row>
        <row r="63">
          <cell r="A63" t="str">
            <v>6L_E1 STOPE</v>
          </cell>
          <cell r="D63">
            <v>70</v>
          </cell>
          <cell r="E63">
            <v>70</v>
          </cell>
          <cell r="F63">
            <v>70</v>
          </cell>
          <cell r="G63">
            <v>70</v>
          </cell>
          <cell r="H63">
            <v>70</v>
          </cell>
          <cell r="I63">
            <v>70</v>
          </cell>
          <cell r="J63">
            <v>70</v>
          </cell>
          <cell r="K63">
            <v>70</v>
          </cell>
          <cell r="L63">
            <v>70</v>
          </cell>
          <cell r="M63">
            <v>70</v>
          </cell>
          <cell r="N63">
            <v>70</v>
          </cell>
          <cell r="O63">
            <v>70</v>
          </cell>
          <cell r="P63">
            <v>70</v>
          </cell>
          <cell r="Q63">
            <v>70</v>
          </cell>
          <cell r="R63">
            <v>70</v>
          </cell>
          <cell r="S63">
            <v>70</v>
          </cell>
          <cell r="T63">
            <v>70</v>
          </cell>
          <cell r="U63">
            <v>70</v>
          </cell>
          <cell r="V63">
            <v>70</v>
          </cell>
          <cell r="X63"/>
          <cell r="Y63">
            <v>70</v>
          </cell>
          <cell r="Z63">
            <v>70</v>
          </cell>
          <cell r="AA63">
            <v>70</v>
          </cell>
          <cell r="AB63">
            <v>70</v>
          </cell>
          <cell r="AC63">
            <v>70</v>
          </cell>
          <cell r="AD63">
            <v>70</v>
          </cell>
          <cell r="AE63">
            <v>70</v>
          </cell>
          <cell r="AF63">
            <v>70</v>
          </cell>
          <cell r="AG63">
            <v>70</v>
          </cell>
          <cell r="AH63"/>
        </row>
        <row r="65">
          <cell r="A65" t="str">
            <v xml:space="preserve">6L_W1 STOPE </v>
          </cell>
          <cell r="D65">
            <v>70</v>
          </cell>
          <cell r="E65">
            <v>70</v>
          </cell>
          <cell r="F65">
            <v>70</v>
          </cell>
          <cell r="G65">
            <v>70</v>
          </cell>
          <cell r="H65">
            <v>70</v>
          </cell>
          <cell r="I65">
            <v>70</v>
          </cell>
          <cell r="J65">
            <v>70</v>
          </cell>
          <cell r="K65">
            <v>70</v>
          </cell>
          <cell r="L65">
            <v>70</v>
          </cell>
          <cell r="M65">
            <v>70</v>
          </cell>
          <cell r="N65">
            <v>70</v>
          </cell>
          <cell r="O65">
            <v>70</v>
          </cell>
          <cell r="P65">
            <v>70</v>
          </cell>
          <cell r="Q65">
            <v>70</v>
          </cell>
          <cell r="R65">
            <v>70</v>
          </cell>
          <cell r="S65">
            <v>70</v>
          </cell>
          <cell r="T65">
            <v>70</v>
          </cell>
          <cell r="U65">
            <v>70</v>
          </cell>
          <cell r="V65">
            <v>70</v>
          </cell>
          <cell r="W65"/>
          <cell r="X65"/>
          <cell r="Y65">
            <v>70</v>
          </cell>
          <cell r="Z65">
            <v>70</v>
          </cell>
          <cell r="AA65">
            <v>70</v>
          </cell>
          <cell r="AB65">
            <v>70</v>
          </cell>
          <cell r="AC65">
            <v>70</v>
          </cell>
          <cell r="AD65">
            <v>70</v>
          </cell>
          <cell r="AE65">
            <v>70</v>
          </cell>
          <cell r="AF65">
            <v>70</v>
          </cell>
          <cell r="AG65">
            <v>70</v>
          </cell>
          <cell r="AH65"/>
        </row>
        <row r="67">
          <cell r="A67" t="str">
            <v xml:space="preserve">6L_W2 STOPE </v>
          </cell>
          <cell r="D67">
            <v>70</v>
          </cell>
          <cell r="E67">
            <v>70</v>
          </cell>
          <cell r="F67">
            <v>70</v>
          </cell>
          <cell r="G67">
            <v>70</v>
          </cell>
          <cell r="H67">
            <v>70</v>
          </cell>
          <cell r="I67">
            <v>70</v>
          </cell>
          <cell r="J67">
            <v>70</v>
          </cell>
          <cell r="K67">
            <v>70</v>
          </cell>
          <cell r="L67">
            <v>70</v>
          </cell>
          <cell r="M67">
            <v>70</v>
          </cell>
          <cell r="N67">
            <v>70</v>
          </cell>
          <cell r="O67">
            <v>70</v>
          </cell>
          <cell r="P67">
            <v>70</v>
          </cell>
          <cell r="Q67">
            <v>70</v>
          </cell>
          <cell r="R67">
            <v>70</v>
          </cell>
          <cell r="S67">
            <v>70</v>
          </cell>
          <cell r="T67">
            <v>70</v>
          </cell>
          <cell r="U67">
            <v>70</v>
          </cell>
          <cell r="V67">
            <v>70</v>
          </cell>
          <cell r="W67"/>
          <cell r="X67"/>
          <cell r="Y67">
            <v>70</v>
          </cell>
          <cell r="Z67">
            <v>70</v>
          </cell>
          <cell r="AA67">
            <v>70</v>
          </cell>
          <cell r="AB67">
            <v>70</v>
          </cell>
          <cell r="AC67">
            <v>70</v>
          </cell>
          <cell r="AD67">
            <v>70</v>
          </cell>
          <cell r="AE67">
            <v>70</v>
          </cell>
          <cell r="AF67">
            <v>70</v>
          </cell>
          <cell r="AG67">
            <v>70</v>
          </cell>
          <cell r="AH67"/>
        </row>
        <row r="69">
          <cell r="A69" t="str">
            <v>6L_W8 STOPE</v>
          </cell>
          <cell r="D69">
            <v>70</v>
          </cell>
          <cell r="E69">
            <v>70</v>
          </cell>
          <cell r="F69">
            <v>70</v>
          </cell>
          <cell r="G69">
            <v>70</v>
          </cell>
          <cell r="H69">
            <v>70</v>
          </cell>
          <cell r="I69">
            <v>70</v>
          </cell>
          <cell r="J69">
            <v>70</v>
          </cell>
          <cell r="K69">
            <v>70</v>
          </cell>
          <cell r="L69">
            <v>70</v>
          </cell>
          <cell r="M69">
            <v>70</v>
          </cell>
          <cell r="N69">
            <v>70</v>
          </cell>
          <cell r="O69">
            <v>70</v>
          </cell>
          <cell r="P69">
            <v>70</v>
          </cell>
          <cell r="Q69">
            <v>70</v>
          </cell>
          <cell r="R69">
            <v>70</v>
          </cell>
          <cell r="S69">
            <v>70</v>
          </cell>
          <cell r="T69">
            <v>70</v>
          </cell>
          <cell r="U69">
            <v>70</v>
          </cell>
          <cell r="V69">
            <v>70</v>
          </cell>
          <cell r="W69"/>
          <cell r="X69"/>
          <cell r="Y69">
            <v>70</v>
          </cell>
          <cell r="Z69">
            <v>70</v>
          </cell>
          <cell r="AA69">
            <v>70</v>
          </cell>
          <cell r="AB69">
            <v>70</v>
          </cell>
          <cell r="AC69">
            <v>70</v>
          </cell>
          <cell r="AD69">
            <v>70</v>
          </cell>
          <cell r="AE69">
            <v>70</v>
          </cell>
          <cell r="AF69">
            <v>70</v>
          </cell>
          <cell r="AG69">
            <v>70</v>
          </cell>
          <cell r="AH69"/>
        </row>
        <row r="71">
          <cell r="A71" t="str">
            <v>6L_W9 STOPE</v>
          </cell>
          <cell r="D71">
            <v>140</v>
          </cell>
          <cell r="E71">
            <v>140</v>
          </cell>
          <cell r="F71">
            <v>140</v>
          </cell>
          <cell r="G71">
            <v>140</v>
          </cell>
          <cell r="H71">
            <v>140</v>
          </cell>
          <cell r="I71">
            <v>140</v>
          </cell>
          <cell r="J71">
            <v>140</v>
          </cell>
          <cell r="K71">
            <v>140</v>
          </cell>
          <cell r="L71">
            <v>140</v>
          </cell>
          <cell r="M71">
            <v>140</v>
          </cell>
          <cell r="N71">
            <v>140</v>
          </cell>
          <cell r="O71">
            <v>140</v>
          </cell>
          <cell r="P71">
            <v>140</v>
          </cell>
          <cell r="Q71">
            <v>140</v>
          </cell>
          <cell r="R71">
            <v>140</v>
          </cell>
          <cell r="S71">
            <v>140</v>
          </cell>
          <cell r="T71">
            <v>140</v>
          </cell>
          <cell r="U71">
            <v>140</v>
          </cell>
          <cell r="V71">
            <v>140</v>
          </cell>
          <cell r="W71"/>
          <cell r="X71"/>
          <cell r="Y71">
            <v>140</v>
          </cell>
          <cell r="Z71">
            <v>140</v>
          </cell>
          <cell r="AA71">
            <v>140</v>
          </cell>
          <cell r="AB71">
            <v>140</v>
          </cell>
          <cell r="AC71">
            <v>140</v>
          </cell>
          <cell r="AD71">
            <v>140</v>
          </cell>
          <cell r="AE71">
            <v>140</v>
          </cell>
          <cell r="AF71">
            <v>140</v>
          </cell>
          <cell r="AG71">
            <v>140</v>
          </cell>
          <cell r="AH71"/>
        </row>
        <row r="73">
          <cell r="A73" t="str">
            <v>6L_W10_STOPE</v>
          </cell>
          <cell r="D73">
            <v>70</v>
          </cell>
          <cell r="E73">
            <v>70</v>
          </cell>
          <cell r="F73">
            <v>70</v>
          </cell>
          <cell r="G73">
            <v>70</v>
          </cell>
          <cell r="H73">
            <v>70</v>
          </cell>
          <cell r="I73">
            <v>70</v>
          </cell>
          <cell r="J73">
            <v>70</v>
          </cell>
          <cell r="K73">
            <v>70</v>
          </cell>
          <cell r="L73">
            <v>70</v>
          </cell>
          <cell r="M73">
            <v>70</v>
          </cell>
          <cell r="N73">
            <v>70</v>
          </cell>
          <cell r="O73">
            <v>70</v>
          </cell>
          <cell r="P73">
            <v>70</v>
          </cell>
          <cell r="Q73">
            <v>70</v>
          </cell>
          <cell r="R73">
            <v>70</v>
          </cell>
          <cell r="S73">
            <v>70</v>
          </cell>
          <cell r="T73">
            <v>70</v>
          </cell>
          <cell r="U73">
            <v>70</v>
          </cell>
          <cell r="V73">
            <v>70</v>
          </cell>
          <cell r="W73"/>
          <cell r="X73"/>
          <cell r="Y73">
            <v>70</v>
          </cell>
          <cell r="Z73">
            <v>70</v>
          </cell>
          <cell r="AA73">
            <v>70</v>
          </cell>
          <cell r="AB73">
            <v>70</v>
          </cell>
          <cell r="AC73">
            <v>70</v>
          </cell>
          <cell r="AD73">
            <v>70</v>
          </cell>
          <cell r="AE73">
            <v>70</v>
          </cell>
          <cell r="AF73">
            <v>70</v>
          </cell>
          <cell r="AG73">
            <v>70</v>
          </cell>
          <cell r="AH73"/>
        </row>
        <row r="75">
          <cell r="D75">
            <v>35</v>
          </cell>
          <cell r="E75">
            <v>35</v>
          </cell>
          <cell r="F75">
            <v>35</v>
          </cell>
          <cell r="G75">
            <v>35</v>
          </cell>
          <cell r="H75">
            <v>35</v>
          </cell>
          <cell r="I75">
            <v>35</v>
          </cell>
          <cell r="J75">
            <v>35</v>
          </cell>
          <cell r="K75">
            <v>35</v>
          </cell>
          <cell r="L75">
            <v>35</v>
          </cell>
          <cell r="M75">
            <v>35</v>
          </cell>
          <cell r="N75">
            <v>35</v>
          </cell>
          <cell r="O75">
            <v>35</v>
          </cell>
          <cell r="P75">
            <v>35</v>
          </cell>
          <cell r="Q75">
            <v>35</v>
          </cell>
          <cell r="R75">
            <v>35</v>
          </cell>
          <cell r="S75">
            <v>35</v>
          </cell>
          <cell r="T75">
            <v>35</v>
          </cell>
          <cell r="U75">
            <v>35</v>
          </cell>
          <cell r="V75">
            <v>35</v>
          </cell>
          <cell r="W75"/>
          <cell r="X75"/>
          <cell r="Y75">
            <v>35</v>
          </cell>
          <cell r="Z75">
            <v>35</v>
          </cell>
          <cell r="AA75">
            <v>35</v>
          </cell>
          <cell r="AB75">
            <v>35</v>
          </cell>
          <cell r="AC75">
            <v>35</v>
          </cell>
          <cell r="AD75">
            <v>35</v>
          </cell>
          <cell r="AE75">
            <v>35</v>
          </cell>
          <cell r="AF75">
            <v>35</v>
          </cell>
          <cell r="AG75">
            <v>35</v>
          </cell>
        </row>
      </sheetData>
      <sheetData sheetId="26"/>
      <sheetData sheetId="27"/>
      <sheetData sheetId="28"/>
      <sheetData sheetId="29"/>
      <sheetData sheetId="3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AR_SVfHVh0GxMIG0oDGHx6Q_1BDg_A1AqJFCy862nHSbDWGxydT1QIkTFgI8yVVp" itemId="01UOFC3ISMOS4HWFBY7FFYLEIX6SC344LE">
      <xxl21:absoluteUrl r:id="rId3"/>
    </xxl21:alternateUrls>
    <sheetNames>
      <sheetName val="Dashboard"/>
      <sheetName val="Summary"/>
      <sheetName val="2025"/>
      <sheetName val="2024"/>
      <sheetName val="2023"/>
      <sheetName val="FY25_Budget"/>
      <sheetName val="H1_Fcast"/>
      <sheetName val="Graphs"/>
      <sheetName val="Objectives"/>
      <sheetName val="NOTES"/>
    </sheetNames>
    <sheetDataSet>
      <sheetData sheetId="0">
        <row r="4">
          <cell r="A4" t="str">
            <v>v2</v>
          </cell>
        </row>
      </sheetData>
      <sheetData sheetId="1"/>
      <sheetData sheetId="2">
        <row r="5">
          <cell r="Y5">
            <v>1</v>
          </cell>
          <cell r="AL5">
            <v>3</v>
          </cell>
        </row>
        <row r="6">
          <cell r="U6" t="str">
            <v>2025Q1</v>
          </cell>
          <cell r="V6" t="str">
            <v>2025Q2</v>
          </cell>
          <cell r="W6" t="str">
            <v>2025Q3</v>
          </cell>
          <cell r="X6" t="str">
            <v>2025Q4</v>
          </cell>
          <cell r="Z6">
            <v>45658</v>
          </cell>
          <cell r="AA6">
            <v>45689</v>
          </cell>
          <cell r="AB6">
            <v>45717</v>
          </cell>
          <cell r="AC6">
            <v>45748</v>
          </cell>
          <cell r="AD6">
            <v>45778</v>
          </cell>
          <cell r="AE6">
            <v>45809</v>
          </cell>
          <cell r="AF6">
            <v>45839</v>
          </cell>
          <cell r="AG6">
            <v>45870</v>
          </cell>
          <cell r="AH6">
            <v>45901</v>
          </cell>
          <cell r="AI6">
            <v>45931</v>
          </cell>
          <cell r="AJ6">
            <v>45962</v>
          </cell>
          <cell r="AK6">
            <v>45992</v>
          </cell>
        </row>
        <row r="9">
          <cell r="U9">
            <v>0</v>
          </cell>
          <cell r="V9">
            <v>0</v>
          </cell>
          <cell r="W9">
            <v>0</v>
          </cell>
          <cell r="X9">
            <v>0</v>
          </cell>
          <cell r="Z9"/>
          <cell r="AA9"/>
          <cell r="AB9"/>
          <cell r="AC9"/>
          <cell r="AD9"/>
          <cell r="AE9"/>
          <cell r="AF9"/>
          <cell r="AG9"/>
          <cell r="AH9"/>
          <cell r="AI9"/>
          <cell r="AJ9"/>
          <cell r="AK9"/>
          <cell r="AL9">
            <v>0</v>
          </cell>
          <cell r="AN9"/>
        </row>
        <row r="14">
          <cell r="U14">
            <v>0</v>
          </cell>
          <cell r="V14">
            <v>0</v>
          </cell>
          <cell r="W14">
            <v>0</v>
          </cell>
          <cell r="X14">
            <v>0</v>
          </cell>
          <cell r="Z14"/>
          <cell r="AA14"/>
          <cell r="AB14"/>
          <cell r="AC14"/>
          <cell r="AD14"/>
          <cell r="AE14"/>
          <cell r="AF14"/>
          <cell r="AG14"/>
          <cell r="AH14"/>
          <cell r="AI14"/>
          <cell r="AJ14"/>
          <cell r="AK14"/>
          <cell r="AL14">
            <v>0</v>
          </cell>
          <cell r="AN14"/>
        </row>
        <row r="19">
          <cell r="U19">
            <v>0</v>
          </cell>
          <cell r="V19">
            <v>0</v>
          </cell>
          <cell r="W19">
            <v>0</v>
          </cell>
          <cell r="X19">
            <v>0</v>
          </cell>
          <cell r="Z19"/>
          <cell r="AA19"/>
          <cell r="AB19"/>
          <cell r="AC19"/>
          <cell r="AD19"/>
          <cell r="AE19"/>
          <cell r="AF19"/>
          <cell r="AG19"/>
          <cell r="AH19"/>
          <cell r="AI19"/>
          <cell r="AJ19"/>
          <cell r="AK19"/>
          <cell r="AL19">
            <v>0</v>
          </cell>
          <cell r="AN19"/>
        </row>
        <row r="24">
          <cell r="U24">
            <v>0</v>
          </cell>
          <cell r="V24">
            <v>0</v>
          </cell>
          <cell r="W24">
            <v>0</v>
          </cell>
          <cell r="X24">
            <v>0</v>
          </cell>
          <cell r="Z24"/>
          <cell r="AA24"/>
          <cell r="AB24"/>
          <cell r="AC24"/>
          <cell r="AD24"/>
          <cell r="AE24"/>
          <cell r="AF24"/>
          <cell r="AG24"/>
          <cell r="AH24"/>
          <cell r="AI24"/>
          <cell r="AJ24"/>
          <cell r="AK24"/>
          <cell r="AL24">
            <v>0</v>
          </cell>
          <cell r="AN24"/>
        </row>
        <row r="29">
          <cell r="U29">
            <v>0</v>
          </cell>
          <cell r="V29">
            <v>0</v>
          </cell>
          <cell r="W29">
            <v>0</v>
          </cell>
          <cell r="X29">
            <v>0</v>
          </cell>
          <cell r="Z29"/>
          <cell r="AA29"/>
          <cell r="AB29"/>
          <cell r="AC29"/>
          <cell r="AD29"/>
          <cell r="AE29"/>
          <cell r="AF29"/>
          <cell r="AG29"/>
          <cell r="AH29"/>
          <cell r="AI29"/>
          <cell r="AJ29"/>
          <cell r="AK29"/>
          <cell r="AL29">
            <v>0</v>
          </cell>
          <cell r="AN29"/>
        </row>
        <row r="34">
          <cell r="U34">
            <v>0</v>
          </cell>
          <cell r="V34">
            <v>0</v>
          </cell>
          <cell r="W34">
            <v>0</v>
          </cell>
          <cell r="X34">
            <v>0</v>
          </cell>
          <cell r="Z34"/>
          <cell r="AA34"/>
          <cell r="AB34"/>
          <cell r="AC34"/>
          <cell r="AD34"/>
          <cell r="AE34"/>
          <cell r="AF34"/>
          <cell r="AG34"/>
          <cell r="AH34"/>
          <cell r="AI34"/>
          <cell r="AJ34"/>
          <cell r="AK34"/>
          <cell r="AL34">
            <v>0</v>
          </cell>
          <cell r="AN34"/>
        </row>
        <row r="39">
          <cell r="U39">
            <v>0</v>
          </cell>
          <cell r="V39">
            <v>0</v>
          </cell>
          <cell r="W39">
            <v>0</v>
          </cell>
          <cell r="X39">
            <v>0</v>
          </cell>
          <cell r="Z39"/>
          <cell r="AA39"/>
          <cell r="AB39"/>
          <cell r="AC39"/>
          <cell r="AD39"/>
          <cell r="AE39"/>
          <cell r="AF39"/>
          <cell r="AG39"/>
          <cell r="AH39"/>
          <cell r="AI39"/>
          <cell r="AJ39"/>
          <cell r="AK39"/>
          <cell r="AL39">
            <v>0</v>
          </cell>
          <cell r="AN39"/>
        </row>
        <row r="44">
          <cell r="U44">
            <v>0</v>
          </cell>
          <cell r="V44">
            <v>0</v>
          </cell>
          <cell r="W44">
            <v>0</v>
          </cell>
          <cell r="X44">
            <v>0</v>
          </cell>
          <cell r="Z44">
            <v>0</v>
          </cell>
          <cell r="AA44">
            <v>0</v>
          </cell>
          <cell r="AB44">
            <v>0</v>
          </cell>
          <cell r="AC44">
            <v>0</v>
          </cell>
          <cell r="AD44">
            <v>0</v>
          </cell>
          <cell r="AE44">
            <v>0</v>
          </cell>
          <cell r="AF44">
            <v>0</v>
          </cell>
          <cell r="AG44">
            <v>0</v>
          </cell>
          <cell r="AH44">
            <v>0</v>
          </cell>
          <cell r="AI44">
            <v>0</v>
          </cell>
          <cell r="AJ44">
            <v>0</v>
          </cell>
          <cell r="AK44">
            <v>0</v>
          </cell>
          <cell r="AL44">
            <v>0</v>
          </cell>
          <cell r="AN44"/>
        </row>
        <row r="50">
          <cell r="U50">
            <v>67107.312000000005</v>
          </cell>
          <cell r="V50">
            <v>0</v>
          </cell>
          <cell r="W50">
            <v>0</v>
          </cell>
          <cell r="X50">
            <v>0</v>
          </cell>
          <cell r="Z50">
            <v>21223.727999999999</v>
          </cell>
          <cell r="AA50">
            <v>21097.583999999999</v>
          </cell>
          <cell r="AB50">
            <v>24786</v>
          </cell>
          <cell r="AC50"/>
          <cell r="AD50"/>
          <cell r="AE50"/>
          <cell r="AF50"/>
          <cell r="AG50"/>
          <cell r="AH50"/>
          <cell r="AI50"/>
          <cell r="AJ50"/>
          <cell r="AK50"/>
          <cell r="AL50">
            <v>67107.312000000005</v>
          </cell>
          <cell r="AN50"/>
        </row>
        <row r="55">
          <cell r="U55">
            <v>2.268283003199413</v>
          </cell>
          <cell r="V55">
            <v>0</v>
          </cell>
          <cell r="W55">
            <v>0</v>
          </cell>
          <cell r="X55">
            <v>0</v>
          </cell>
          <cell r="Z55">
            <v>2.0699999999999998</v>
          </cell>
          <cell r="AA55">
            <v>2.36</v>
          </cell>
          <cell r="AB55">
            <v>2.36</v>
          </cell>
          <cell r="AC55"/>
          <cell r="AD55"/>
          <cell r="AE55"/>
          <cell r="AF55"/>
          <cell r="AG55"/>
          <cell r="AH55"/>
          <cell r="AI55"/>
          <cell r="AJ55"/>
          <cell r="AK55"/>
          <cell r="AL55">
            <v>2.268283003199413</v>
          </cell>
          <cell r="AN55"/>
        </row>
        <row r="60">
          <cell r="U60">
            <v>152.2183752</v>
          </cell>
          <cell r="V60">
            <v>0</v>
          </cell>
          <cell r="W60">
            <v>0</v>
          </cell>
          <cell r="X60">
            <v>0</v>
          </cell>
          <cell r="Z60">
            <v>43.933116959999992</v>
          </cell>
          <cell r="AA60">
            <v>49.790298239999998</v>
          </cell>
          <cell r="AB60">
            <v>58.494959999999999</v>
          </cell>
          <cell r="AC60">
            <v>0</v>
          </cell>
          <cell r="AD60">
            <v>0</v>
          </cell>
          <cell r="AE60">
            <v>0</v>
          </cell>
          <cell r="AF60">
            <v>0</v>
          </cell>
          <cell r="AG60">
            <v>0</v>
          </cell>
          <cell r="AH60">
            <v>0</v>
          </cell>
          <cell r="AI60">
            <v>0</v>
          </cell>
          <cell r="AJ60">
            <v>0</v>
          </cell>
          <cell r="AK60">
            <v>0</v>
          </cell>
          <cell r="AL60">
            <v>152.2183752</v>
          </cell>
          <cell r="AN60"/>
        </row>
        <row r="65">
          <cell r="U65">
            <v>2195.3000000000002</v>
          </cell>
          <cell r="V65">
            <v>0</v>
          </cell>
          <cell r="W65">
            <v>0</v>
          </cell>
          <cell r="X65">
            <v>0</v>
          </cell>
          <cell r="Z65">
            <v>597.19999999999993</v>
          </cell>
          <cell r="AA65">
            <v>711.9</v>
          </cell>
          <cell r="AB65">
            <v>886.2</v>
          </cell>
          <cell r="AC65"/>
          <cell r="AD65"/>
          <cell r="AE65"/>
          <cell r="AF65"/>
          <cell r="AG65"/>
          <cell r="AH65"/>
          <cell r="AI65"/>
          <cell r="AJ65"/>
          <cell r="AK65"/>
          <cell r="AL65">
            <v>2195.3000000000002</v>
          </cell>
          <cell r="AN65"/>
        </row>
        <row r="70">
          <cell r="U70">
            <v>0</v>
          </cell>
          <cell r="V70">
            <v>0</v>
          </cell>
          <cell r="W70">
            <v>0</v>
          </cell>
          <cell r="X70">
            <v>0</v>
          </cell>
          <cell r="Z70"/>
          <cell r="AA70"/>
          <cell r="AB70"/>
          <cell r="AC70"/>
          <cell r="AD70"/>
          <cell r="AE70"/>
          <cell r="AF70"/>
          <cell r="AG70"/>
          <cell r="AH70"/>
          <cell r="AI70"/>
          <cell r="AJ70"/>
          <cell r="AK70"/>
          <cell r="AL70">
            <v>0</v>
          </cell>
          <cell r="AN70"/>
        </row>
        <row r="76">
          <cell r="U76">
            <v>1790.048</v>
          </cell>
          <cell r="V76">
            <v>0</v>
          </cell>
          <cell r="W76">
            <v>0</v>
          </cell>
          <cell r="X76">
            <v>0</v>
          </cell>
          <cell r="Z76">
            <v>234</v>
          </cell>
          <cell r="AA76">
            <v>606.048</v>
          </cell>
          <cell r="AB76">
            <v>950</v>
          </cell>
          <cell r="AC76"/>
          <cell r="AD76"/>
          <cell r="AE76"/>
          <cell r="AF76"/>
          <cell r="AG76"/>
          <cell r="AH76"/>
          <cell r="AI76"/>
          <cell r="AJ76"/>
          <cell r="AK76"/>
          <cell r="AL76">
            <v>1790.048</v>
          </cell>
          <cell r="AN76"/>
        </row>
        <row r="81">
          <cell r="U81">
            <v>1.6586010654462897</v>
          </cell>
          <cell r="V81">
            <v>0</v>
          </cell>
          <cell r="W81">
            <v>0</v>
          </cell>
          <cell r="X81">
            <v>0</v>
          </cell>
          <cell r="Z81">
            <v>1.1599999999999999</v>
          </cell>
          <cell r="AA81">
            <v>1.99</v>
          </cell>
          <cell r="AB81">
            <v>1.57</v>
          </cell>
          <cell r="AC81"/>
          <cell r="AD81"/>
          <cell r="AE81"/>
          <cell r="AF81"/>
          <cell r="AG81"/>
          <cell r="AH81"/>
          <cell r="AI81"/>
          <cell r="AJ81"/>
          <cell r="AK81"/>
          <cell r="AL81">
            <v>1.6586010654462897</v>
          </cell>
          <cell r="AN81"/>
        </row>
        <row r="86">
          <cell r="U86">
            <v>2.9689755199999999</v>
          </cell>
          <cell r="V86">
            <v>0</v>
          </cell>
          <cell r="W86">
            <v>0</v>
          </cell>
          <cell r="X86">
            <v>0</v>
          </cell>
          <cell r="Z86">
            <v>0.27144000000000001</v>
          </cell>
          <cell r="AA86">
            <v>1.2060355199999999</v>
          </cell>
          <cell r="AB86">
            <v>1.4915</v>
          </cell>
          <cell r="AC86">
            <v>0</v>
          </cell>
          <cell r="AD86">
            <v>0</v>
          </cell>
          <cell r="AE86">
            <v>0</v>
          </cell>
          <cell r="AF86">
            <v>0</v>
          </cell>
          <cell r="AG86">
            <v>0</v>
          </cell>
          <cell r="AH86">
            <v>0</v>
          </cell>
          <cell r="AI86">
            <v>0</v>
          </cell>
          <cell r="AJ86">
            <v>0</v>
          </cell>
          <cell r="AK86">
            <v>0</v>
          </cell>
          <cell r="AL86">
            <v>2.9689755199999999</v>
          </cell>
          <cell r="AN86"/>
        </row>
        <row r="108">
          <cell r="U108">
            <v>3979</v>
          </cell>
          <cell r="V108">
            <v>0</v>
          </cell>
          <cell r="W108">
            <v>0</v>
          </cell>
          <cell r="X108">
            <v>0</v>
          </cell>
          <cell r="Z108">
            <v>1273</v>
          </cell>
          <cell r="AA108">
            <v>1633</v>
          </cell>
          <cell r="AB108">
            <v>1073</v>
          </cell>
          <cell r="AC108"/>
          <cell r="AD108"/>
          <cell r="AE108"/>
          <cell r="AF108"/>
          <cell r="AG108"/>
          <cell r="AH108"/>
          <cell r="AI108"/>
          <cell r="AJ108"/>
          <cell r="AK108"/>
          <cell r="AL108">
            <v>3979</v>
          </cell>
          <cell r="AN108"/>
        </row>
        <row r="113">
          <cell r="U113">
            <v>1125</v>
          </cell>
          <cell r="V113">
            <v>0</v>
          </cell>
          <cell r="W113">
            <v>0</v>
          </cell>
          <cell r="X113">
            <v>0</v>
          </cell>
          <cell r="Z113">
            <v>372</v>
          </cell>
          <cell r="AA113">
            <v>380</v>
          </cell>
          <cell r="AB113">
            <v>373</v>
          </cell>
          <cell r="AC113"/>
          <cell r="AD113"/>
          <cell r="AE113"/>
          <cell r="AF113"/>
          <cell r="AG113"/>
          <cell r="AH113"/>
          <cell r="AI113"/>
          <cell r="AJ113"/>
          <cell r="AK113"/>
          <cell r="AL113">
            <v>1125</v>
          </cell>
          <cell r="AN113"/>
        </row>
        <row r="118">
          <cell r="U118">
            <v>0</v>
          </cell>
          <cell r="V118">
            <v>0</v>
          </cell>
          <cell r="W118">
            <v>0</v>
          </cell>
          <cell r="X118">
            <v>0</v>
          </cell>
          <cell r="Z118">
            <v>0</v>
          </cell>
          <cell r="AA118">
            <v>0</v>
          </cell>
          <cell r="AB118">
            <v>0</v>
          </cell>
          <cell r="AC118"/>
          <cell r="AD118"/>
          <cell r="AE118"/>
          <cell r="AF118"/>
          <cell r="AG118"/>
          <cell r="AH118"/>
          <cell r="AI118"/>
          <cell r="AJ118"/>
          <cell r="AK118"/>
          <cell r="AL118">
            <v>0</v>
          </cell>
          <cell r="AN118"/>
        </row>
        <row r="123">
          <cell r="U123">
            <v>595</v>
          </cell>
          <cell r="V123">
            <v>0</v>
          </cell>
          <cell r="W123">
            <v>0</v>
          </cell>
          <cell r="X123">
            <v>0</v>
          </cell>
          <cell r="Z123">
            <v>134</v>
          </cell>
          <cell r="AA123">
            <v>235</v>
          </cell>
          <cell r="AB123">
            <v>226</v>
          </cell>
          <cell r="AC123"/>
          <cell r="AD123"/>
          <cell r="AE123"/>
          <cell r="AF123"/>
          <cell r="AG123"/>
          <cell r="AH123"/>
          <cell r="AI123"/>
          <cell r="AJ123"/>
          <cell r="AK123"/>
          <cell r="AL123">
            <v>595</v>
          </cell>
          <cell r="AN123"/>
        </row>
        <row r="128">
          <cell r="U128">
            <v>1317</v>
          </cell>
          <cell r="V128">
            <v>0</v>
          </cell>
          <cell r="W128">
            <v>0</v>
          </cell>
          <cell r="X128">
            <v>0</v>
          </cell>
          <cell r="Z128">
            <v>424</v>
          </cell>
          <cell r="AA128">
            <v>475</v>
          </cell>
          <cell r="AB128">
            <v>418</v>
          </cell>
          <cell r="AC128"/>
          <cell r="AD128"/>
          <cell r="AE128"/>
          <cell r="AF128"/>
          <cell r="AG128"/>
          <cell r="AH128"/>
          <cell r="AI128"/>
          <cell r="AJ128"/>
          <cell r="AK128"/>
          <cell r="AL128">
            <v>1317</v>
          </cell>
        </row>
        <row r="133">
          <cell r="U133">
            <v>3979</v>
          </cell>
          <cell r="V133">
            <v>0</v>
          </cell>
          <cell r="W133">
            <v>0</v>
          </cell>
          <cell r="X133">
            <v>0</v>
          </cell>
          <cell r="Z133">
            <v>1273</v>
          </cell>
          <cell r="AA133">
            <v>1633</v>
          </cell>
          <cell r="AB133">
            <v>1073</v>
          </cell>
          <cell r="AC133">
            <v>0</v>
          </cell>
          <cell r="AD133">
            <v>0</v>
          </cell>
          <cell r="AE133">
            <v>0</v>
          </cell>
          <cell r="AF133">
            <v>0</v>
          </cell>
          <cell r="AG133">
            <v>0</v>
          </cell>
          <cell r="AH133">
            <v>0</v>
          </cell>
          <cell r="AI133">
            <v>0</v>
          </cell>
          <cell r="AJ133">
            <v>0</v>
          </cell>
          <cell r="AK133">
            <v>0</v>
          </cell>
          <cell r="AL133">
            <v>3979</v>
          </cell>
        </row>
        <row r="138">
          <cell r="U138">
            <v>1720</v>
          </cell>
          <cell r="V138">
            <v>0</v>
          </cell>
          <cell r="W138">
            <v>0</v>
          </cell>
          <cell r="X138">
            <v>0</v>
          </cell>
          <cell r="Z138">
            <v>506</v>
          </cell>
          <cell r="AA138">
            <v>615</v>
          </cell>
          <cell r="AB138">
            <v>599</v>
          </cell>
          <cell r="AC138">
            <v>0</v>
          </cell>
          <cell r="AD138">
            <v>0</v>
          </cell>
          <cell r="AE138">
            <v>0</v>
          </cell>
          <cell r="AF138">
            <v>0</v>
          </cell>
          <cell r="AG138">
            <v>0</v>
          </cell>
          <cell r="AH138">
            <v>0</v>
          </cell>
          <cell r="AI138">
            <v>0</v>
          </cell>
          <cell r="AJ138">
            <v>0</v>
          </cell>
          <cell r="AK138">
            <v>0</v>
          </cell>
          <cell r="AL138">
            <v>1720</v>
          </cell>
        </row>
        <row r="150">
          <cell r="U150">
            <v>77843.546617</v>
          </cell>
          <cell r="V150">
            <v>0</v>
          </cell>
          <cell r="W150">
            <v>0</v>
          </cell>
          <cell r="X150">
            <v>0</v>
          </cell>
          <cell r="Z150">
            <v>35396.111617000002</v>
          </cell>
          <cell r="AA150">
            <v>21742.435000000001</v>
          </cell>
          <cell r="AB150">
            <v>20705</v>
          </cell>
          <cell r="AC150"/>
          <cell r="AD150"/>
          <cell r="AE150"/>
          <cell r="AF150"/>
          <cell r="AG150"/>
          <cell r="AH150"/>
          <cell r="AI150"/>
          <cell r="AJ150"/>
          <cell r="AK150"/>
          <cell r="AL150">
            <v>77843.546617</v>
          </cell>
          <cell r="AN150"/>
        </row>
        <row r="155">
          <cell r="U155">
            <v>2.0894041207505922</v>
          </cell>
          <cell r="V155">
            <v>0</v>
          </cell>
          <cell r="W155">
            <v>0</v>
          </cell>
          <cell r="X155">
            <v>0</v>
          </cell>
          <cell r="Z155">
            <v>1.6005882921591601</v>
          </cell>
          <cell r="AA155">
            <v>2.2297448451545261</v>
          </cell>
          <cell r="AB155">
            <v>2.7776837899499749</v>
          </cell>
          <cell r="AC155"/>
          <cell r="AD155"/>
          <cell r="AE155"/>
          <cell r="AF155"/>
          <cell r="AG155"/>
          <cell r="AH155"/>
          <cell r="AI155"/>
          <cell r="AJ155"/>
          <cell r="AK155"/>
          <cell r="AL155">
            <v>2.0894041207505922</v>
          </cell>
          <cell r="AN155"/>
        </row>
        <row r="165">
          <cell r="U165">
            <v>83753.646017000006</v>
          </cell>
          <cell r="V165">
            <v>0</v>
          </cell>
          <cell r="W165">
            <v>0</v>
          </cell>
          <cell r="X165">
            <v>0</v>
          </cell>
          <cell r="Z165">
            <v>36077.331617000003</v>
          </cell>
          <cell r="AA165">
            <v>24870.617399999999</v>
          </cell>
          <cell r="AB165">
            <v>22805.697</v>
          </cell>
          <cell r="AC165"/>
          <cell r="AD165"/>
          <cell r="AE165"/>
          <cell r="AF165"/>
          <cell r="AG165"/>
          <cell r="AH165"/>
          <cell r="AI165"/>
          <cell r="AJ165"/>
          <cell r="AK165"/>
          <cell r="AL165">
            <v>83753.646017000006</v>
          </cell>
          <cell r="AN165"/>
        </row>
        <row r="170">
          <cell r="U170">
            <v>2.1079333117217374</v>
          </cell>
          <cell r="V170">
            <v>0</v>
          </cell>
          <cell r="W170">
            <v>0</v>
          </cell>
          <cell r="X170">
            <v>0</v>
          </cell>
          <cell r="Z170">
            <v>1.6005882921591601</v>
          </cell>
          <cell r="AA170">
            <v>2.2297448451545261</v>
          </cell>
          <cell r="AB170">
            <v>2.7776837899499749</v>
          </cell>
          <cell r="AC170"/>
          <cell r="AD170"/>
          <cell r="AE170"/>
          <cell r="AF170"/>
          <cell r="AG170"/>
          <cell r="AH170"/>
          <cell r="AI170"/>
          <cell r="AJ170"/>
          <cell r="AK170"/>
        </row>
        <row r="180">
          <cell r="U180">
            <v>234</v>
          </cell>
          <cell r="V180">
            <v>0</v>
          </cell>
          <cell r="W180">
            <v>0</v>
          </cell>
          <cell r="X180">
            <v>0</v>
          </cell>
          <cell r="Z180">
            <v>234</v>
          </cell>
          <cell r="AA180">
            <v>0</v>
          </cell>
          <cell r="AB180"/>
          <cell r="AC180"/>
          <cell r="AD180"/>
          <cell r="AE180"/>
          <cell r="AF180"/>
          <cell r="AG180"/>
          <cell r="AH180"/>
          <cell r="AI180"/>
          <cell r="AJ180"/>
          <cell r="AK180"/>
          <cell r="AL180">
            <v>234</v>
          </cell>
          <cell r="AN180"/>
        </row>
        <row r="185">
          <cell r="U185">
            <v>1.1599999999999999</v>
          </cell>
          <cell r="V185">
            <v>0</v>
          </cell>
          <cell r="W185">
            <v>0</v>
          </cell>
          <cell r="X185">
            <v>0</v>
          </cell>
          <cell r="Z185">
            <v>1.1599999999999999</v>
          </cell>
          <cell r="AA185">
            <v>0</v>
          </cell>
          <cell r="AB185"/>
          <cell r="AC185"/>
          <cell r="AD185"/>
          <cell r="AE185"/>
          <cell r="AF185"/>
          <cell r="AG185"/>
          <cell r="AH185"/>
          <cell r="AI185"/>
          <cell r="AJ185"/>
          <cell r="AK185"/>
          <cell r="AL185">
            <v>1.1599999999999999</v>
          </cell>
          <cell r="AN185"/>
        </row>
        <row r="190">
          <cell r="U190">
            <v>0.27144000000000001</v>
          </cell>
          <cell r="V190">
            <v>0</v>
          </cell>
          <cell r="W190">
            <v>0</v>
          </cell>
          <cell r="X190">
            <v>0</v>
          </cell>
          <cell r="Z190">
            <v>0.27144000000000001</v>
          </cell>
          <cell r="AA190">
            <v>0</v>
          </cell>
          <cell r="AB190">
            <v>0</v>
          </cell>
          <cell r="AC190">
            <v>0</v>
          </cell>
          <cell r="AD190">
            <v>0</v>
          </cell>
          <cell r="AE190">
            <v>0</v>
          </cell>
          <cell r="AF190">
            <v>0</v>
          </cell>
          <cell r="AG190">
            <v>0</v>
          </cell>
          <cell r="AH190">
            <v>0</v>
          </cell>
          <cell r="AI190">
            <v>0</v>
          </cell>
          <cell r="AJ190">
            <v>0</v>
          </cell>
          <cell r="AK190">
            <v>0</v>
          </cell>
          <cell r="AL190">
            <v>0.27144000000000001</v>
          </cell>
          <cell r="AN190"/>
        </row>
        <row r="195">
          <cell r="U195">
            <v>42866</v>
          </cell>
          <cell r="V195">
            <v>0</v>
          </cell>
          <cell r="W195">
            <v>0</v>
          </cell>
          <cell r="X195">
            <v>0</v>
          </cell>
          <cell r="Z195">
            <v>20721</v>
          </cell>
          <cell r="AA195">
            <v>22145</v>
          </cell>
          <cell r="AB195"/>
          <cell r="AC195"/>
          <cell r="AD195"/>
          <cell r="AE195"/>
          <cell r="AF195"/>
          <cell r="AG195"/>
          <cell r="AH195"/>
          <cell r="AI195"/>
          <cell r="AJ195"/>
          <cell r="AK195"/>
          <cell r="AL195">
            <v>42866</v>
          </cell>
          <cell r="AN195"/>
        </row>
        <row r="200">
          <cell r="U200">
            <v>2.2249829701861614</v>
          </cell>
          <cell r="V200">
            <v>0</v>
          </cell>
          <cell r="W200">
            <v>0</v>
          </cell>
          <cell r="X200">
            <v>0</v>
          </cell>
          <cell r="Z200">
            <v>2.0699999999999998</v>
          </cell>
          <cell r="AA200">
            <v>2.37</v>
          </cell>
          <cell r="AB200"/>
          <cell r="AC200"/>
          <cell r="AD200"/>
          <cell r="AE200"/>
          <cell r="AF200"/>
          <cell r="AG200"/>
          <cell r="AH200"/>
          <cell r="AI200"/>
          <cell r="AJ200"/>
          <cell r="AK200"/>
          <cell r="AL200">
            <v>2.2249829701861614</v>
          </cell>
          <cell r="AN200"/>
        </row>
        <row r="205">
          <cell r="U205">
            <v>95.37612</v>
          </cell>
          <cell r="V205">
            <v>0</v>
          </cell>
          <cell r="W205">
            <v>0</v>
          </cell>
          <cell r="X205">
            <v>0</v>
          </cell>
          <cell r="Z205">
            <v>42.892469999999996</v>
          </cell>
          <cell r="AA205">
            <v>52.483650000000004</v>
          </cell>
          <cell r="AB205">
            <v>0</v>
          </cell>
          <cell r="AC205">
            <v>0</v>
          </cell>
          <cell r="AD205">
            <v>0</v>
          </cell>
          <cell r="AE205">
            <v>0</v>
          </cell>
          <cell r="AF205">
            <v>0</v>
          </cell>
          <cell r="AG205">
            <v>0</v>
          </cell>
          <cell r="AH205">
            <v>0</v>
          </cell>
          <cell r="AI205">
            <v>0</v>
          </cell>
          <cell r="AJ205">
            <v>0</v>
          </cell>
          <cell r="AK205">
            <v>0</v>
          </cell>
          <cell r="AL205">
            <v>95.37612</v>
          </cell>
          <cell r="AN205"/>
        </row>
        <row r="210">
          <cell r="U210">
            <v>17848</v>
          </cell>
          <cell r="V210">
            <v>0</v>
          </cell>
          <cell r="W210">
            <v>0</v>
          </cell>
          <cell r="X210">
            <v>0</v>
          </cell>
          <cell r="Z210">
            <v>15122</v>
          </cell>
          <cell r="AA210">
            <v>2726</v>
          </cell>
          <cell r="AB210"/>
          <cell r="AC210"/>
          <cell r="AD210"/>
          <cell r="AE210"/>
          <cell r="AF210"/>
          <cell r="AG210"/>
          <cell r="AH210"/>
          <cell r="AI210"/>
          <cell r="AJ210"/>
          <cell r="AK210"/>
          <cell r="AL210">
            <v>17848</v>
          </cell>
          <cell r="AN210"/>
        </row>
        <row r="215">
          <cell r="U215">
            <v>0.97527341999103523</v>
          </cell>
          <cell r="V215">
            <v>0</v>
          </cell>
          <cell r="W215">
            <v>0</v>
          </cell>
          <cell r="X215">
            <v>0</v>
          </cell>
          <cell r="Z215">
            <v>0.96</v>
          </cell>
          <cell r="AA215">
            <v>1.06</v>
          </cell>
          <cell r="AB215"/>
          <cell r="AC215"/>
          <cell r="AD215"/>
          <cell r="AE215"/>
          <cell r="AF215"/>
          <cell r="AG215"/>
          <cell r="AH215"/>
          <cell r="AI215"/>
          <cell r="AJ215"/>
          <cell r="AK215"/>
          <cell r="AL215">
            <v>0.97527341999103523</v>
          </cell>
          <cell r="AN215"/>
        </row>
        <row r="220">
          <cell r="U220">
            <v>17.406679999999998</v>
          </cell>
          <cell r="V220">
            <v>0</v>
          </cell>
          <cell r="W220">
            <v>0</v>
          </cell>
          <cell r="X220">
            <v>0</v>
          </cell>
          <cell r="Z220">
            <v>14.517119999999998</v>
          </cell>
          <cell r="AA220">
            <v>2.8895599999999999</v>
          </cell>
          <cell r="AB220">
            <v>0</v>
          </cell>
          <cell r="AC220">
            <v>0</v>
          </cell>
          <cell r="AD220">
            <v>0</v>
          </cell>
          <cell r="AE220">
            <v>0</v>
          </cell>
          <cell r="AF220">
            <v>0</v>
          </cell>
          <cell r="AG220">
            <v>0</v>
          </cell>
          <cell r="AH220">
            <v>0</v>
          </cell>
          <cell r="AI220">
            <v>0</v>
          </cell>
          <cell r="AJ220">
            <v>0</v>
          </cell>
          <cell r="AK220">
            <v>0</v>
          </cell>
          <cell r="AL220">
            <v>17.406679999999998</v>
          </cell>
          <cell r="AN220"/>
        </row>
        <row r="225">
          <cell r="U225">
            <v>0.2786319431500725</v>
          </cell>
          <cell r="V225">
            <v>0</v>
          </cell>
          <cell r="W225">
            <v>0</v>
          </cell>
          <cell r="X225">
            <v>0</v>
          </cell>
          <cell r="Z225">
            <v>0.25524049726300146</v>
          </cell>
          <cell r="AA225">
            <v>0.3057650009028498</v>
          </cell>
          <cell r="AB225">
            <v>0.28604610163895861</v>
          </cell>
          <cell r="AC225"/>
          <cell r="AD225"/>
          <cell r="AE225"/>
          <cell r="AF225"/>
          <cell r="AG225"/>
          <cell r="AH225"/>
          <cell r="AI225"/>
          <cell r="AJ225"/>
          <cell r="AK225"/>
          <cell r="AL225"/>
          <cell r="AN225"/>
        </row>
        <row r="230">
          <cell r="U230">
            <v>0.86781747714661384</v>
          </cell>
          <cell r="V230">
            <v>0</v>
          </cell>
          <cell r="W230">
            <v>0</v>
          </cell>
          <cell r="X230">
            <v>0</v>
          </cell>
          <cell r="Z230">
            <v>0.84053332233319822</v>
          </cell>
          <cell r="AA230">
            <v>0.86286995950800838</v>
          </cell>
          <cell r="AB230">
            <v>0.8970199190152921</v>
          </cell>
          <cell r="AC230"/>
          <cell r="AD230"/>
          <cell r="AE230"/>
          <cell r="AF230"/>
          <cell r="AG230"/>
          <cell r="AH230"/>
          <cell r="AI230"/>
          <cell r="AJ230"/>
          <cell r="AK230"/>
          <cell r="AL230"/>
          <cell r="AN230"/>
        </row>
        <row r="235">
          <cell r="U235">
            <v>153.21065928176489</v>
          </cell>
          <cell r="V235">
            <v>0</v>
          </cell>
          <cell r="W235">
            <v>0</v>
          </cell>
          <cell r="X235">
            <v>0</v>
          </cell>
          <cell r="Z235">
            <v>48.536558536668402</v>
          </cell>
          <cell r="AA235">
            <v>47.850566591694999</v>
          </cell>
          <cell r="AB235">
            <v>56.823534153401475</v>
          </cell>
          <cell r="AC235">
            <v>0</v>
          </cell>
          <cell r="AD235">
            <v>0</v>
          </cell>
          <cell r="AE235">
            <v>0</v>
          </cell>
          <cell r="AF235">
            <v>0</v>
          </cell>
          <cell r="AG235">
            <v>0</v>
          </cell>
          <cell r="AH235">
            <v>0</v>
          </cell>
          <cell r="AI235">
            <v>0</v>
          </cell>
          <cell r="AJ235">
            <v>0</v>
          </cell>
          <cell r="AK235">
            <v>0</v>
          </cell>
          <cell r="AL235">
            <v>153.21065928176489</v>
          </cell>
          <cell r="AN235"/>
        </row>
        <row r="240">
          <cell r="U240">
            <v>156.60833721</v>
          </cell>
          <cell r="V240">
            <v>0</v>
          </cell>
          <cell r="W240">
            <v>0</v>
          </cell>
          <cell r="X240">
            <v>0</v>
          </cell>
          <cell r="Z240">
            <v>49.893434499999998</v>
          </cell>
          <cell r="AA240">
            <v>48.164211020000003</v>
          </cell>
          <cell r="AB240">
            <v>58.550691690000001</v>
          </cell>
          <cell r="AC240"/>
          <cell r="AD240"/>
          <cell r="AE240"/>
          <cell r="AF240"/>
          <cell r="AG240"/>
          <cell r="AH240"/>
          <cell r="AI240"/>
          <cell r="AJ240"/>
          <cell r="AK240"/>
        </row>
        <row r="245">
          <cell r="U245">
            <v>3.3976779282351259</v>
          </cell>
          <cell r="V245">
            <v>0</v>
          </cell>
          <cell r="W245">
            <v>0</v>
          </cell>
          <cell r="X245">
            <v>0</v>
          </cell>
          <cell r="Z245">
            <v>1.3568759633315963</v>
          </cell>
          <cell r="AA245">
            <v>0.31364442830500394</v>
          </cell>
          <cell r="AB245">
            <v>1.7271575365985257</v>
          </cell>
          <cell r="AC245">
            <v>0</v>
          </cell>
          <cell r="AD245">
            <v>0</v>
          </cell>
          <cell r="AE245">
            <v>0</v>
          </cell>
          <cell r="AF245">
            <v>0</v>
          </cell>
          <cell r="AG245">
            <v>0</v>
          </cell>
          <cell r="AH245">
            <v>0</v>
          </cell>
          <cell r="AI245">
            <v>0</v>
          </cell>
          <cell r="AJ245">
            <v>0</v>
          </cell>
          <cell r="AK245">
            <v>0</v>
          </cell>
          <cell r="AL245">
            <v>3.3976779282351259</v>
          </cell>
          <cell r="AN245"/>
        </row>
        <row r="246">
          <cell r="U246">
            <v>19.159182129985638</v>
          </cell>
          <cell r="V246">
            <v>0</v>
          </cell>
          <cell r="W246">
            <v>0</v>
          </cell>
          <cell r="X246">
            <v>0</v>
          </cell>
          <cell r="Z246">
            <v>7.1707426887719903</v>
          </cell>
          <cell r="AA246">
            <v>6.8577990490491398</v>
          </cell>
          <cell r="AB246">
            <v>5.1306403921645103</v>
          </cell>
          <cell r="AC246">
            <v>10.879261890345607</v>
          </cell>
          <cell r="AD246">
            <v>7.5049999999999999</v>
          </cell>
          <cell r="AE246">
            <v>10.264010679727123</v>
          </cell>
          <cell r="AF246">
            <v>10.650393456676801</v>
          </cell>
          <cell r="AG246">
            <v>15.0912703885603</v>
          </cell>
          <cell r="AH246">
            <v>18.2570526728902</v>
          </cell>
          <cell r="AI246">
            <v>26.917000000000002</v>
          </cell>
          <cell r="AJ246">
            <v>14.904</v>
          </cell>
          <cell r="AK246">
            <v>8.5280000000000005</v>
          </cell>
          <cell r="AL246">
            <v>5.1306403921645103</v>
          </cell>
          <cell r="AN246"/>
        </row>
        <row r="255">
          <cell r="U255">
            <v>39644.106</v>
          </cell>
          <cell r="V255">
            <v>0</v>
          </cell>
          <cell r="W255">
            <v>0</v>
          </cell>
          <cell r="X255">
            <v>0</v>
          </cell>
          <cell r="Z255">
            <v>39123.42</v>
          </cell>
          <cell r="AA255">
            <v>39050.953000000001</v>
          </cell>
          <cell r="AB255">
            <v>39644.106</v>
          </cell>
          <cell r="AC255"/>
          <cell r="AD255"/>
          <cell r="AE255"/>
          <cell r="AF255"/>
          <cell r="AG255"/>
          <cell r="AH255"/>
          <cell r="AI255"/>
          <cell r="AJ255"/>
          <cell r="AK255"/>
          <cell r="AL255"/>
          <cell r="AN255"/>
        </row>
        <row r="260">
          <cell r="U260">
            <v>0.75</v>
          </cell>
          <cell r="V260">
            <v>0</v>
          </cell>
          <cell r="W260">
            <v>0</v>
          </cell>
          <cell r="X260">
            <v>0</v>
          </cell>
          <cell r="Z260">
            <v>0.75724201457848006</v>
          </cell>
          <cell r="AA260">
            <v>0.78403689349009986</v>
          </cell>
          <cell r="AB260">
            <v>0.75</v>
          </cell>
          <cell r="AC260"/>
          <cell r="AD260"/>
          <cell r="AE260"/>
          <cell r="AF260"/>
          <cell r="AG260"/>
          <cell r="AH260"/>
          <cell r="AI260"/>
          <cell r="AJ260"/>
          <cell r="AK260"/>
          <cell r="AL260"/>
          <cell r="AN260"/>
        </row>
        <row r="265">
          <cell r="U265">
            <v>29.733079499999999</v>
          </cell>
          <cell r="V265">
            <v>0</v>
          </cell>
          <cell r="W265">
            <v>0</v>
          </cell>
          <cell r="X265">
            <v>0</v>
          </cell>
          <cell r="Z265">
            <v>29.625897377999998</v>
          </cell>
          <cell r="AA265">
            <v>30.617387877947898</v>
          </cell>
          <cell r="AB265">
            <v>29.733079499999999</v>
          </cell>
          <cell r="AC265">
            <v>0</v>
          </cell>
          <cell r="AD265">
            <v>0</v>
          </cell>
          <cell r="AE265">
            <v>0</v>
          </cell>
          <cell r="AF265">
            <v>0</v>
          </cell>
          <cell r="AG265">
            <v>0</v>
          </cell>
          <cell r="AH265">
            <v>0</v>
          </cell>
          <cell r="AI265">
            <v>0</v>
          </cell>
          <cell r="AJ265">
            <v>0</v>
          </cell>
          <cell r="AK265">
            <v>0</v>
          </cell>
          <cell r="AL265">
            <v>0</v>
          </cell>
          <cell r="AN265"/>
        </row>
        <row r="270">
          <cell r="U270">
            <v>1095</v>
          </cell>
          <cell r="V270">
            <v>0</v>
          </cell>
          <cell r="W270">
            <v>0</v>
          </cell>
          <cell r="X270">
            <v>0</v>
          </cell>
          <cell r="Z270">
            <v>610.54200000000003</v>
          </cell>
          <cell r="AA270">
            <v>2572.83</v>
          </cell>
          <cell r="AB270">
            <v>1095</v>
          </cell>
          <cell r="AC270"/>
          <cell r="AD270"/>
          <cell r="AE270"/>
          <cell r="AF270"/>
          <cell r="AG270"/>
          <cell r="AH270"/>
          <cell r="AI270"/>
          <cell r="AJ270"/>
          <cell r="AK270"/>
          <cell r="AL270"/>
          <cell r="AN270"/>
        </row>
        <row r="275">
          <cell r="U275">
            <v>2.15</v>
          </cell>
          <cell r="V275">
            <v>0</v>
          </cell>
          <cell r="W275">
            <v>0</v>
          </cell>
          <cell r="X275">
            <v>0</v>
          </cell>
          <cell r="Z275">
            <v>1.6430579910964358</v>
          </cell>
          <cell r="AA275">
            <v>2.4498861370553051</v>
          </cell>
          <cell r="AB275">
            <v>2.15</v>
          </cell>
          <cell r="AC275"/>
          <cell r="AD275"/>
          <cell r="AE275"/>
          <cell r="AF275"/>
          <cell r="AG275"/>
          <cell r="AH275"/>
          <cell r="AI275"/>
          <cell r="AJ275"/>
          <cell r="AK275"/>
          <cell r="AL275"/>
          <cell r="AN275"/>
        </row>
        <row r="280">
          <cell r="U280">
            <v>2.35425</v>
          </cell>
          <cell r="V280">
            <v>0</v>
          </cell>
          <cell r="W280">
            <v>0</v>
          </cell>
          <cell r="X280">
            <v>0</v>
          </cell>
          <cell r="Z280">
            <v>1.0031559120000002</v>
          </cell>
          <cell r="AA280">
            <v>6.3031405500000002</v>
          </cell>
          <cell r="AB280">
            <v>2.35425</v>
          </cell>
          <cell r="AC280"/>
          <cell r="AD280"/>
          <cell r="AE280"/>
          <cell r="AF280"/>
          <cell r="AG280"/>
          <cell r="AH280"/>
          <cell r="AI280"/>
          <cell r="AJ280"/>
          <cell r="AK280"/>
          <cell r="AL280"/>
          <cell r="AN280"/>
        </row>
        <row r="291">
          <cell r="U291">
            <v>0.94666666666666666</v>
          </cell>
          <cell r="V291">
            <v>0</v>
          </cell>
          <cell r="W291">
            <v>0</v>
          </cell>
          <cell r="X291">
            <v>0</v>
          </cell>
          <cell r="Z291">
            <v>0.89</v>
          </cell>
          <cell r="AA291">
            <v>0.97</v>
          </cell>
          <cell r="AB291">
            <v>0.98</v>
          </cell>
          <cell r="AC291"/>
          <cell r="AD291"/>
          <cell r="AE291"/>
          <cell r="AF291"/>
          <cell r="AG291"/>
          <cell r="AH291"/>
          <cell r="AI291"/>
          <cell r="AJ291"/>
          <cell r="AK291"/>
          <cell r="AL291"/>
        </row>
        <row r="295">
          <cell r="U295">
            <v>0.97333333333333327</v>
          </cell>
          <cell r="V295">
            <v>0</v>
          </cell>
          <cell r="W295">
            <v>0</v>
          </cell>
          <cell r="X295">
            <v>0</v>
          </cell>
          <cell r="Z295">
            <v>0.97</v>
          </cell>
          <cell r="AA295">
            <v>0.99</v>
          </cell>
          <cell r="AB295">
            <v>0.96</v>
          </cell>
          <cell r="AC295"/>
          <cell r="AD295"/>
          <cell r="AE295"/>
          <cell r="AF295"/>
          <cell r="AG295"/>
          <cell r="AH295"/>
          <cell r="AI295"/>
          <cell r="AJ295"/>
          <cell r="AK295"/>
          <cell r="AL295"/>
        </row>
        <row r="299">
          <cell r="U299">
            <v>1</v>
          </cell>
          <cell r="V299">
            <v>0</v>
          </cell>
          <cell r="W299">
            <v>0</v>
          </cell>
          <cell r="X299">
            <v>0</v>
          </cell>
          <cell r="Z299">
            <v>1</v>
          </cell>
          <cell r="AA299">
            <v>1</v>
          </cell>
          <cell r="AB299">
            <v>1</v>
          </cell>
          <cell r="AC299"/>
          <cell r="AD299"/>
          <cell r="AE299"/>
          <cell r="AF299"/>
          <cell r="AG299"/>
          <cell r="AH299"/>
          <cell r="AI299"/>
          <cell r="AJ299"/>
          <cell r="AK299"/>
          <cell r="AL299"/>
        </row>
        <row r="303">
          <cell r="U303">
            <v>0.97666666666666668</v>
          </cell>
          <cell r="V303">
            <v>0</v>
          </cell>
          <cell r="W303">
            <v>0</v>
          </cell>
          <cell r="X303">
            <v>0</v>
          </cell>
          <cell r="Z303">
            <v>1</v>
          </cell>
          <cell r="AA303">
            <v>1</v>
          </cell>
          <cell r="AB303">
            <v>0.93</v>
          </cell>
          <cell r="AC303"/>
          <cell r="AD303"/>
          <cell r="AE303"/>
          <cell r="AF303"/>
          <cell r="AG303"/>
          <cell r="AH303"/>
          <cell r="AI303"/>
          <cell r="AJ303"/>
          <cell r="AK303"/>
          <cell r="AL303"/>
        </row>
        <row r="307">
          <cell r="U307">
            <v>0.90666666666666662</v>
          </cell>
          <cell r="V307">
            <v>0</v>
          </cell>
          <cell r="W307">
            <v>0</v>
          </cell>
          <cell r="X307">
            <v>0</v>
          </cell>
          <cell r="Z307">
            <v>0.9</v>
          </cell>
          <cell r="AA307">
            <v>0.94</v>
          </cell>
          <cell r="AB307">
            <v>0.88</v>
          </cell>
          <cell r="AC307"/>
          <cell r="AD307"/>
          <cell r="AE307"/>
          <cell r="AF307"/>
          <cell r="AG307"/>
          <cell r="AH307"/>
          <cell r="AI307"/>
          <cell r="AJ307"/>
          <cell r="AK307"/>
          <cell r="AL307"/>
        </row>
        <row r="311">
          <cell r="U311">
            <v>1</v>
          </cell>
          <cell r="V311">
            <v>0</v>
          </cell>
          <cell r="W311">
            <v>0</v>
          </cell>
          <cell r="X311">
            <v>0</v>
          </cell>
          <cell r="Z311">
            <v>1</v>
          </cell>
          <cell r="AA311">
            <v>1</v>
          </cell>
          <cell r="AB311">
            <v>1</v>
          </cell>
          <cell r="AC311"/>
          <cell r="AD311"/>
          <cell r="AE311"/>
          <cell r="AF311"/>
          <cell r="AG311"/>
          <cell r="AH311"/>
          <cell r="AI311"/>
          <cell r="AJ311"/>
          <cell r="AK311"/>
          <cell r="AL311"/>
        </row>
        <row r="317">
          <cell r="U317">
            <v>0.49843480210785973</v>
          </cell>
          <cell r="V317">
            <v>0</v>
          </cell>
          <cell r="W317">
            <v>0</v>
          </cell>
          <cell r="X317">
            <v>0</v>
          </cell>
          <cell r="Z317">
            <v>0.66530440632357901</v>
          </cell>
          <cell r="AA317">
            <v>0.43</v>
          </cell>
          <cell r="AB317">
            <v>0.4</v>
          </cell>
          <cell r="AC317"/>
          <cell r="AD317"/>
          <cell r="AE317"/>
          <cell r="AF317"/>
          <cell r="AG317"/>
          <cell r="AH317"/>
          <cell r="AI317"/>
          <cell r="AJ317"/>
          <cell r="AK317"/>
          <cell r="AL317"/>
        </row>
        <row r="321">
          <cell r="U321">
            <v>0.75333333333333341</v>
          </cell>
          <cell r="V321">
            <v>0</v>
          </cell>
          <cell r="W321">
            <v>0</v>
          </cell>
          <cell r="X321">
            <v>0</v>
          </cell>
          <cell r="Z321">
            <v>0.88</v>
          </cell>
          <cell r="AA321">
            <v>0.72</v>
          </cell>
          <cell r="AB321">
            <v>0.66</v>
          </cell>
          <cell r="AC321"/>
          <cell r="AD321"/>
          <cell r="AE321"/>
          <cell r="AF321"/>
          <cell r="AG321"/>
          <cell r="AH321"/>
          <cell r="AI321"/>
          <cell r="AJ321"/>
          <cell r="AK321"/>
          <cell r="AL321"/>
        </row>
      </sheetData>
      <sheetData sheetId="3"/>
      <sheetData sheetId="4"/>
      <sheetData sheetId="5"/>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AR_SVfHVh0GxMIG0oDGHx6Q_1BDg_A1AqJFCy862nHSbDWGxydT1QIkTFgI8yVVp" itemId="01UOFC3IWIWLD57P45BFHLWNZCXYFOAGBG">
      <xxl21:absoluteUrl r:id="rId3"/>
    </xxl21:alternateUrls>
    <sheetNames>
      <sheetName val="Dashboard"/>
      <sheetName val="Summary"/>
      <sheetName val="2025"/>
      <sheetName val="2024"/>
      <sheetName val="2023"/>
      <sheetName val="FY25_Budget"/>
      <sheetName val="H1_Fcast"/>
      <sheetName val="Graphs"/>
      <sheetName val="Objectives"/>
      <sheetName val="NOTES"/>
    </sheetNames>
    <sheetDataSet>
      <sheetData sheetId="0">
        <row r="4">
          <cell r="A4" t="str">
            <v>v2</v>
          </cell>
        </row>
      </sheetData>
      <sheetData sheetId="1"/>
      <sheetData sheetId="2">
        <row r="5">
          <cell r="Y5">
            <v>1</v>
          </cell>
          <cell r="AL5">
            <v>2</v>
          </cell>
        </row>
        <row r="6">
          <cell r="U6" t="str">
            <v>2025 Q1</v>
          </cell>
          <cell r="V6" t="str">
            <v>2025 Q2</v>
          </cell>
          <cell r="W6" t="str">
            <v>2025 Q3</v>
          </cell>
          <cell r="X6" t="str">
            <v>2025 Q4</v>
          </cell>
          <cell r="Z6">
            <v>45658</v>
          </cell>
          <cell r="AA6">
            <v>45689</v>
          </cell>
          <cell r="AB6">
            <v>45717</v>
          </cell>
          <cell r="AC6">
            <v>45748</v>
          </cell>
          <cell r="AD6">
            <v>45778</v>
          </cell>
          <cell r="AE6">
            <v>45809</v>
          </cell>
          <cell r="AF6">
            <v>45839</v>
          </cell>
          <cell r="AG6">
            <v>45870</v>
          </cell>
          <cell r="AH6">
            <v>45901</v>
          </cell>
          <cell r="AI6">
            <v>45931</v>
          </cell>
          <cell r="AJ6">
            <v>45962</v>
          </cell>
          <cell r="AK6">
            <v>45992</v>
          </cell>
        </row>
        <row r="9">
          <cell r="U9">
            <v>0</v>
          </cell>
          <cell r="V9">
            <v>0</v>
          </cell>
          <cell r="W9">
            <v>0</v>
          </cell>
          <cell r="X9">
            <v>0</v>
          </cell>
          <cell r="Z9"/>
          <cell r="AA9"/>
          <cell r="AB9"/>
          <cell r="AC9"/>
          <cell r="AD9"/>
          <cell r="AE9"/>
          <cell r="AF9"/>
          <cell r="AG9"/>
          <cell r="AH9"/>
          <cell r="AI9"/>
          <cell r="AJ9"/>
          <cell r="AK9"/>
          <cell r="AL9">
            <v>0</v>
          </cell>
          <cell r="AN9"/>
        </row>
        <row r="14">
          <cell r="U14">
            <v>0</v>
          </cell>
          <cell r="V14">
            <v>0</v>
          </cell>
          <cell r="W14">
            <v>0</v>
          </cell>
          <cell r="X14">
            <v>0</v>
          </cell>
          <cell r="Z14"/>
          <cell r="AA14"/>
          <cell r="AB14"/>
          <cell r="AC14"/>
          <cell r="AD14"/>
          <cell r="AE14"/>
          <cell r="AF14"/>
          <cell r="AG14"/>
          <cell r="AH14"/>
          <cell r="AI14"/>
          <cell r="AJ14"/>
          <cell r="AK14"/>
          <cell r="AL14">
            <v>0</v>
          </cell>
          <cell r="AN14"/>
        </row>
        <row r="19">
          <cell r="U19">
            <v>0</v>
          </cell>
          <cell r="V19">
            <v>0</v>
          </cell>
          <cell r="W19">
            <v>0</v>
          </cell>
          <cell r="X19">
            <v>0</v>
          </cell>
          <cell r="Z19"/>
          <cell r="AA19"/>
          <cell r="AB19"/>
          <cell r="AC19"/>
          <cell r="AD19"/>
          <cell r="AE19"/>
          <cell r="AF19"/>
          <cell r="AG19"/>
          <cell r="AH19"/>
          <cell r="AI19"/>
          <cell r="AJ19"/>
          <cell r="AK19"/>
          <cell r="AL19">
            <v>0</v>
          </cell>
          <cell r="AN19"/>
        </row>
        <row r="24">
          <cell r="U24">
            <v>0</v>
          </cell>
          <cell r="V24">
            <v>0</v>
          </cell>
          <cell r="W24">
            <v>0</v>
          </cell>
          <cell r="X24">
            <v>0</v>
          </cell>
          <cell r="Z24"/>
          <cell r="AA24"/>
          <cell r="AB24"/>
          <cell r="AC24"/>
          <cell r="AD24"/>
          <cell r="AE24"/>
          <cell r="AF24"/>
          <cell r="AG24"/>
          <cell r="AH24"/>
          <cell r="AI24"/>
          <cell r="AJ24"/>
          <cell r="AK24"/>
          <cell r="AL24">
            <v>0</v>
          </cell>
          <cell r="AN24"/>
        </row>
        <row r="29">
          <cell r="U29">
            <v>0</v>
          </cell>
          <cell r="V29">
            <v>0</v>
          </cell>
          <cell r="W29">
            <v>0</v>
          </cell>
          <cell r="X29">
            <v>0</v>
          </cell>
          <cell r="Z29"/>
          <cell r="AA29"/>
          <cell r="AB29"/>
          <cell r="AC29"/>
          <cell r="AD29"/>
          <cell r="AE29"/>
          <cell r="AF29"/>
          <cell r="AG29"/>
          <cell r="AH29"/>
          <cell r="AI29"/>
          <cell r="AJ29"/>
          <cell r="AK29"/>
          <cell r="AL29">
            <v>0</v>
          </cell>
          <cell r="AN29"/>
        </row>
        <row r="34">
          <cell r="U34">
            <v>0</v>
          </cell>
          <cell r="V34">
            <v>0</v>
          </cell>
          <cell r="W34">
            <v>0</v>
          </cell>
          <cell r="X34">
            <v>0</v>
          </cell>
          <cell r="Z34"/>
          <cell r="AA34"/>
          <cell r="AB34"/>
          <cell r="AC34"/>
          <cell r="AD34"/>
          <cell r="AE34"/>
          <cell r="AF34"/>
          <cell r="AG34"/>
          <cell r="AH34"/>
          <cell r="AI34"/>
          <cell r="AJ34"/>
          <cell r="AK34"/>
          <cell r="AL34">
            <v>0</v>
          </cell>
          <cell r="AN34"/>
        </row>
        <row r="39">
          <cell r="U39">
            <v>0</v>
          </cell>
          <cell r="V39">
            <v>0</v>
          </cell>
          <cell r="W39">
            <v>0</v>
          </cell>
          <cell r="X39">
            <v>0</v>
          </cell>
          <cell r="Z39"/>
          <cell r="AA39"/>
          <cell r="AB39"/>
          <cell r="AC39"/>
          <cell r="AD39"/>
          <cell r="AE39"/>
          <cell r="AF39"/>
          <cell r="AG39"/>
          <cell r="AH39"/>
          <cell r="AI39"/>
          <cell r="AJ39"/>
          <cell r="AK39"/>
          <cell r="AL39">
            <v>0</v>
          </cell>
          <cell r="AN39"/>
        </row>
        <row r="44">
          <cell r="U44">
            <v>0</v>
          </cell>
          <cell r="V44">
            <v>0</v>
          </cell>
          <cell r="W44">
            <v>0</v>
          </cell>
          <cell r="X44">
            <v>0</v>
          </cell>
          <cell r="Z44">
            <v>0</v>
          </cell>
          <cell r="AA44">
            <v>0</v>
          </cell>
          <cell r="AB44">
            <v>0</v>
          </cell>
          <cell r="AC44">
            <v>0</v>
          </cell>
          <cell r="AD44">
            <v>0</v>
          </cell>
          <cell r="AE44">
            <v>0</v>
          </cell>
          <cell r="AF44">
            <v>0</v>
          </cell>
          <cell r="AG44">
            <v>0</v>
          </cell>
          <cell r="AH44">
            <v>0</v>
          </cell>
          <cell r="AI44">
            <v>0</v>
          </cell>
          <cell r="AJ44">
            <v>0</v>
          </cell>
          <cell r="AK44">
            <v>0</v>
          </cell>
          <cell r="AL44">
            <v>0</v>
          </cell>
          <cell r="AN44"/>
        </row>
        <row r="50">
          <cell r="U50">
            <v>42321.311999999998</v>
          </cell>
          <cell r="V50">
            <v>0</v>
          </cell>
          <cell r="W50">
            <v>0</v>
          </cell>
          <cell r="X50">
            <v>0</v>
          </cell>
          <cell r="Z50">
            <v>21223.727999999999</v>
          </cell>
          <cell r="AA50">
            <v>21097.583999999999</v>
          </cell>
          <cell r="AB50"/>
          <cell r="AC50"/>
          <cell r="AD50"/>
          <cell r="AE50"/>
          <cell r="AF50"/>
          <cell r="AG50"/>
          <cell r="AH50"/>
          <cell r="AI50"/>
          <cell r="AJ50"/>
          <cell r="AK50"/>
          <cell r="AL50">
            <v>42321.311999999998</v>
          </cell>
          <cell r="AN50"/>
        </row>
        <row r="55">
          <cell r="U55">
            <v>2.2145678092399401</v>
          </cell>
          <cell r="V55">
            <v>0</v>
          </cell>
          <cell r="W55">
            <v>0</v>
          </cell>
          <cell r="X55">
            <v>0</v>
          </cell>
          <cell r="Z55">
            <v>2.0699999999999998</v>
          </cell>
          <cell r="AA55">
            <v>2.36</v>
          </cell>
          <cell r="AB55"/>
          <cell r="AC55"/>
          <cell r="AD55"/>
          <cell r="AE55"/>
          <cell r="AF55"/>
          <cell r="AG55"/>
          <cell r="AH55"/>
          <cell r="AI55"/>
          <cell r="AJ55"/>
          <cell r="AK55"/>
          <cell r="AL55">
            <v>2.2145678092399401</v>
          </cell>
          <cell r="AN55"/>
        </row>
        <row r="60">
          <cell r="U60">
            <v>93.723415199999991</v>
          </cell>
          <cell r="V60">
            <v>0</v>
          </cell>
          <cell r="W60">
            <v>0</v>
          </cell>
          <cell r="X60">
            <v>0</v>
          </cell>
          <cell r="Z60">
            <v>43.933116959999992</v>
          </cell>
          <cell r="AA60">
            <v>49.790298239999998</v>
          </cell>
          <cell r="AB60">
            <v>0</v>
          </cell>
          <cell r="AC60">
            <v>0</v>
          </cell>
          <cell r="AD60">
            <v>0</v>
          </cell>
          <cell r="AE60">
            <v>0</v>
          </cell>
          <cell r="AF60">
            <v>0</v>
          </cell>
          <cell r="AG60">
            <v>0</v>
          </cell>
          <cell r="AH60">
            <v>0</v>
          </cell>
          <cell r="AI60">
            <v>0</v>
          </cell>
          <cell r="AJ60">
            <v>0</v>
          </cell>
          <cell r="AK60">
            <v>0</v>
          </cell>
          <cell r="AL60">
            <v>93.723415199999991</v>
          </cell>
          <cell r="AN60"/>
        </row>
        <row r="65">
          <cell r="U65">
            <v>1309.0999999999999</v>
          </cell>
          <cell r="V65">
            <v>0</v>
          </cell>
          <cell r="W65">
            <v>0</v>
          </cell>
          <cell r="X65">
            <v>0</v>
          </cell>
          <cell r="Z65">
            <v>597.19999999999993</v>
          </cell>
          <cell r="AA65">
            <v>711.9</v>
          </cell>
          <cell r="AB65"/>
          <cell r="AC65"/>
          <cell r="AD65"/>
          <cell r="AE65"/>
          <cell r="AF65"/>
          <cell r="AG65"/>
          <cell r="AH65"/>
          <cell r="AI65"/>
          <cell r="AJ65"/>
          <cell r="AK65"/>
          <cell r="AL65">
            <v>1309.0999999999999</v>
          </cell>
          <cell r="AN65"/>
        </row>
        <row r="70">
          <cell r="U70">
            <v>0</v>
          </cell>
          <cell r="V70">
            <v>0</v>
          </cell>
          <cell r="W70">
            <v>0</v>
          </cell>
          <cell r="X70">
            <v>0</v>
          </cell>
          <cell r="Z70"/>
          <cell r="AA70"/>
          <cell r="AB70"/>
          <cell r="AC70"/>
          <cell r="AD70"/>
          <cell r="AE70"/>
          <cell r="AF70"/>
          <cell r="AG70"/>
          <cell r="AH70"/>
          <cell r="AI70"/>
          <cell r="AJ70"/>
          <cell r="AK70"/>
          <cell r="AL70">
            <v>0</v>
          </cell>
          <cell r="AN70"/>
        </row>
        <row r="76">
          <cell r="U76">
            <v>840.048</v>
          </cell>
          <cell r="V76">
            <v>0</v>
          </cell>
          <cell r="W76">
            <v>0</v>
          </cell>
          <cell r="X76">
            <v>0</v>
          </cell>
          <cell r="Z76">
            <v>234</v>
          </cell>
          <cell r="AA76">
            <v>606.048</v>
          </cell>
          <cell r="AB76"/>
          <cell r="AC76"/>
          <cell r="AD76"/>
          <cell r="AE76"/>
          <cell r="AF76"/>
          <cell r="AG76"/>
          <cell r="AH76"/>
          <cell r="AI76"/>
          <cell r="AJ76"/>
          <cell r="AK76"/>
          <cell r="AL76">
            <v>840.048</v>
          </cell>
          <cell r="AN76"/>
        </row>
        <row r="81">
          <cell r="U81">
            <v>1.75879892577567</v>
          </cell>
          <cell r="V81">
            <v>0</v>
          </cell>
          <cell r="W81">
            <v>0</v>
          </cell>
          <cell r="X81">
            <v>0</v>
          </cell>
          <cell r="Z81">
            <v>1.1599999999999999</v>
          </cell>
          <cell r="AA81">
            <v>1.99</v>
          </cell>
          <cell r="AB81"/>
          <cell r="AC81"/>
          <cell r="AD81"/>
          <cell r="AE81"/>
          <cell r="AF81"/>
          <cell r="AG81"/>
          <cell r="AH81"/>
          <cell r="AI81"/>
          <cell r="AJ81"/>
          <cell r="AK81"/>
          <cell r="AL81">
            <v>1.75879892577567</v>
          </cell>
          <cell r="AN81"/>
        </row>
        <row r="86">
          <cell r="U86">
            <v>1.47747552</v>
          </cell>
          <cell r="V86">
            <v>0</v>
          </cell>
          <cell r="W86">
            <v>0</v>
          </cell>
          <cell r="X86">
            <v>0</v>
          </cell>
          <cell r="Z86">
            <v>0.27144000000000001</v>
          </cell>
          <cell r="AA86">
            <v>1.2060355199999999</v>
          </cell>
          <cell r="AB86">
            <v>0</v>
          </cell>
          <cell r="AC86">
            <v>0</v>
          </cell>
          <cell r="AD86">
            <v>0</v>
          </cell>
          <cell r="AE86">
            <v>0</v>
          </cell>
          <cell r="AF86">
            <v>0</v>
          </cell>
          <cell r="AG86">
            <v>0</v>
          </cell>
          <cell r="AH86">
            <v>0</v>
          </cell>
          <cell r="AI86">
            <v>0</v>
          </cell>
          <cell r="AJ86">
            <v>0</v>
          </cell>
          <cell r="AK86">
            <v>0</v>
          </cell>
          <cell r="AL86">
            <v>1.47747552</v>
          </cell>
          <cell r="AN86"/>
        </row>
        <row r="108">
          <cell r="U108">
            <v>2906</v>
          </cell>
          <cell r="V108">
            <v>0</v>
          </cell>
          <cell r="W108">
            <v>0</v>
          </cell>
          <cell r="X108">
            <v>0</v>
          </cell>
          <cell r="Z108">
            <v>1273</v>
          </cell>
          <cell r="AA108">
            <v>1633</v>
          </cell>
          <cell r="AB108"/>
          <cell r="AC108"/>
          <cell r="AD108"/>
          <cell r="AE108"/>
          <cell r="AF108"/>
          <cell r="AG108"/>
          <cell r="AH108"/>
          <cell r="AI108"/>
          <cell r="AJ108"/>
          <cell r="AK108"/>
          <cell r="AL108">
            <v>2906</v>
          </cell>
          <cell r="AN108"/>
        </row>
        <row r="113">
          <cell r="U113">
            <v>752</v>
          </cell>
          <cell r="V113">
            <v>0</v>
          </cell>
          <cell r="W113">
            <v>0</v>
          </cell>
          <cell r="X113">
            <v>0</v>
          </cell>
          <cell r="Z113">
            <v>372</v>
          </cell>
          <cell r="AA113">
            <v>380</v>
          </cell>
          <cell r="AB113"/>
          <cell r="AC113"/>
          <cell r="AD113"/>
          <cell r="AE113"/>
          <cell r="AF113"/>
          <cell r="AG113"/>
          <cell r="AH113"/>
          <cell r="AI113"/>
          <cell r="AJ113"/>
          <cell r="AK113"/>
          <cell r="AL113">
            <v>752</v>
          </cell>
          <cell r="AN113"/>
        </row>
        <row r="118">
          <cell r="U118">
            <v>0</v>
          </cell>
          <cell r="V118">
            <v>0</v>
          </cell>
          <cell r="W118">
            <v>0</v>
          </cell>
          <cell r="X118">
            <v>0</v>
          </cell>
          <cell r="Z118">
            <v>0</v>
          </cell>
          <cell r="AA118">
            <v>0</v>
          </cell>
          <cell r="AB118"/>
          <cell r="AC118"/>
          <cell r="AD118"/>
          <cell r="AE118"/>
          <cell r="AF118"/>
          <cell r="AG118"/>
          <cell r="AH118"/>
          <cell r="AI118"/>
          <cell r="AJ118"/>
          <cell r="AK118"/>
          <cell r="AL118">
            <v>0</v>
          </cell>
          <cell r="AN118"/>
        </row>
        <row r="123">
          <cell r="U123">
            <v>369</v>
          </cell>
          <cell r="V123">
            <v>0</v>
          </cell>
          <cell r="W123">
            <v>0</v>
          </cell>
          <cell r="X123">
            <v>0</v>
          </cell>
          <cell r="Z123">
            <v>134</v>
          </cell>
          <cell r="AA123">
            <v>235</v>
          </cell>
          <cell r="AB123"/>
          <cell r="AC123"/>
          <cell r="AD123"/>
          <cell r="AE123"/>
          <cell r="AF123"/>
          <cell r="AG123"/>
          <cell r="AH123"/>
          <cell r="AI123"/>
          <cell r="AJ123"/>
          <cell r="AK123"/>
          <cell r="AL123">
            <v>369</v>
          </cell>
          <cell r="AN123"/>
        </row>
        <row r="128">
          <cell r="U128">
            <v>899</v>
          </cell>
          <cell r="V128">
            <v>0</v>
          </cell>
          <cell r="W128">
            <v>0</v>
          </cell>
          <cell r="X128">
            <v>0</v>
          </cell>
          <cell r="Z128">
            <v>424</v>
          </cell>
          <cell r="AA128">
            <v>475</v>
          </cell>
          <cell r="AB128"/>
          <cell r="AC128"/>
          <cell r="AD128"/>
          <cell r="AE128"/>
          <cell r="AF128"/>
          <cell r="AG128"/>
          <cell r="AH128"/>
          <cell r="AI128"/>
          <cell r="AJ128"/>
          <cell r="AK128"/>
          <cell r="AL128">
            <v>899</v>
          </cell>
        </row>
        <row r="133">
          <cell r="U133">
            <v>2906</v>
          </cell>
          <cell r="V133">
            <v>0</v>
          </cell>
          <cell r="W133">
            <v>0</v>
          </cell>
          <cell r="X133">
            <v>0</v>
          </cell>
          <cell r="Z133">
            <v>1273</v>
          </cell>
          <cell r="AA133">
            <v>1633</v>
          </cell>
          <cell r="AB133">
            <v>0</v>
          </cell>
          <cell r="AC133">
            <v>0</v>
          </cell>
          <cell r="AD133">
            <v>0</v>
          </cell>
          <cell r="AE133">
            <v>0</v>
          </cell>
          <cell r="AF133">
            <v>0</v>
          </cell>
          <cell r="AG133">
            <v>0</v>
          </cell>
          <cell r="AH133">
            <v>0</v>
          </cell>
          <cell r="AI133">
            <v>0</v>
          </cell>
          <cell r="AJ133">
            <v>0</v>
          </cell>
          <cell r="AK133">
            <v>0</v>
          </cell>
          <cell r="AL133">
            <v>2906</v>
          </cell>
        </row>
        <row r="138">
          <cell r="U138">
            <v>1121</v>
          </cell>
          <cell r="V138">
            <v>0</v>
          </cell>
          <cell r="W138">
            <v>0</v>
          </cell>
          <cell r="X138">
            <v>0</v>
          </cell>
          <cell r="Z138">
            <v>506</v>
          </cell>
          <cell r="AA138">
            <v>615</v>
          </cell>
          <cell r="AB138">
            <v>0</v>
          </cell>
          <cell r="AC138">
            <v>0</v>
          </cell>
          <cell r="AD138">
            <v>0</v>
          </cell>
          <cell r="AE138">
            <v>0</v>
          </cell>
          <cell r="AF138">
            <v>0</v>
          </cell>
          <cell r="AG138">
            <v>0</v>
          </cell>
          <cell r="AH138">
            <v>0</v>
          </cell>
          <cell r="AI138">
            <v>0</v>
          </cell>
          <cell r="AJ138">
            <v>0</v>
          </cell>
          <cell r="AK138">
            <v>0</v>
          </cell>
          <cell r="AL138">
            <v>1121</v>
          </cell>
        </row>
        <row r="150">
          <cell r="U150">
            <v>57138.546617</v>
          </cell>
          <cell r="V150">
            <v>0</v>
          </cell>
          <cell r="W150">
            <v>0</v>
          </cell>
          <cell r="X150">
            <v>0</v>
          </cell>
          <cell r="Z150">
            <v>35396.111617000002</v>
          </cell>
          <cell r="AA150">
            <v>21742.435000000001</v>
          </cell>
          <cell r="AB150"/>
          <cell r="AC150"/>
          <cell r="AD150"/>
          <cell r="AE150"/>
          <cell r="AF150"/>
          <cell r="AG150"/>
          <cell r="AH150"/>
          <cell r="AI150"/>
          <cell r="AJ150"/>
          <cell r="AK150"/>
          <cell r="AL150">
            <v>57138.546617</v>
          </cell>
          <cell r="AN150"/>
        </row>
        <row r="155">
          <cell r="U155">
            <v>1.8399957721921905</v>
          </cell>
          <cell r="V155">
            <v>0</v>
          </cell>
          <cell r="W155">
            <v>0</v>
          </cell>
          <cell r="X155">
            <v>0</v>
          </cell>
          <cell r="Z155">
            <v>1.6005882921591601</v>
          </cell>
          <cell r="AA155">
            <v>2.2297448451545261</v>
          </cell>
          <cell r="AB155"/>
          <cell r="AC155"/>
          <cell r="AD155"/>
          <cell r="AE155"/>
          <cell r="AF155"/>
          <cell r="AG155"/>
          <cell r="AH155"/>
          <cell r="AI155"/>
          <cell r="AJ155"/>
          <cell r="AK155"/>
          <cell r="AL155">
            <v>1.8399957721921905</v>
          </cell>
          <cell r="AN155"/>
        </row>
        <row r="165">
          <cell r="U165">
            <v>60947.949017000006</v>
          </cell>
          <cell r="V165">
            <v>0</v>
          </cell>
          <cell r="W165">
            <v>0</v>
          </cell>
          <cell r="X165">
            <v>0</v>
          </cell>
          <cell r="Z165">
            <v>36077.331617000003</v>
          </cell>
          <cell r="AA165">
            <v>24870.617399999999</v>
          </cell>
          <cell r="AB165"/>
          <cell r="AC165"/>
          <cell r="AD165"/>
          <cell r="AE165"/>
          <cell r="AF165"/>
          <cell r="AG165"/>
          <cell r="AH165"/>
          <cell r="AI165"/>
          <cell r="AJ165"/>
          <cell r="AK165"/>
          <cell r="AL165">
            <v>60947.949017000006</v>
          </cell>
          <cell r="AN165"/>
        </row>
        <row r="170">
          <cell r="U170">
            <v>1.8573239521218285</v>
          </cell>
          <cell r="V170">
            <v>0</v>
          </cell>
          <cell r="W170">
            <v>0</v>
          </cell>
          <cell r="X170">
            <v>0</v>
          </cell>
          <cell r="Z170">
            <v>1.6005882921591601</v>
          </cell>
          <cell r="AA170">
            <v>2.2297448451545261</v>
          </cell>
          <cell r="AB170"/>
          <cell r="AC170"/>
          <cell r="AD170"/>
          <cell r="AE170"/>
          <cell r="AF170"/>
          <cell r="AG170"/>
          <cell r="AH170"/>
          <cell r="AI170"/>
          <cell r="AJ170"/>
          <cell r="AK170"/>
        </row>
        <row r="180">
          <cell r="U180">
            <v>234</v>
          </cell>
          <cell r="V180">
            <v>0</v>
          </cell>
          <cell r="W180">
            <v>0</v>
          </cell>
          <cell r="X180">
            <v>0</v>
          </cell>
          <cell r="Z180">
            <v>234</v>
          </cell>
          <cell r="AA180">
            <v>0</v>
          </cell>
          <cell r="AB180"/>
          <cell r="AC180"/>
          <cell r="AD180"/>
          <cell r="AE180"/>
          <cell r="AF180"/>
          <cell r="AG180"/>
          <cell r="AH180"/>
          <cell r="AI180"/>
          <cell r="AJ180"/>
          <cell r="AK180"/>
          <cell r="AL180">
            <v>234</v>
          </cell>
          <cell r="AN180"/>
        </row>
        <row r="185">
          <cell r="U185">
            <v>1.1599999999999999</v>
          </cell>
          <cell r="V185">
            <v>0</v>
          </cell>
          <cell r="W185">
            <v>0</v>
          </cell>
          <cell r="X185">
            <v>0</v>
          </cell>
          <cell r="Z185">
            <v>1.1599999999999999</v>
          </cell>
          <cell r="AA185">
            <v>0</v>
          </cell>
          <cell r="AB185"/>
          <cell r="AC185"/>
          <cell r="AD185"/>
          <cell r="AE185"/>
          <cell r="AF185"/>
          <cell r="AG185"/>
          <cell r="AH185"/>
          <cell r="AI185"/>
          <cell r="AJ185"/>
          <cell r="AK185"/>
          <cell r="AL185">
            <v>1.1599999999999999</v>
          </cell>
          <cell r="AN185"/>
        </row>
        <row r="190">
          <cell r="U190">
            <v>0.27144000000000001</v>
          </cell>
          <cell r="V190">
            <v>0</v>
          </cell>
          <cell r="W190">
            <v>0</v>
          </cell>
          <cell r="X190">
            <v>0</v>
          </cell>
          <cell r="Z190">
            <v>0.27144000000000001</v>
          </cell>
          <cell r="AA190">
            <v>0</v>
          </cell>
          <cell r="AB190">
            <v>0</v>
          </cell>
          <cell r="AC190">
            <v>0</v>
          </cell>
          <cell r="AD190">
            <v>0</v>
          </cell>
          <cell r="AE190">
            <v>0</v>
          </cell>
          <cell r="AF190">
            <v>0</v>
          </cell>
          <cell r="AG190">
            <v>0</v>
          </cell>
          <cell r="AH190">
            <v>0</v>
          </cell>
          <cell r="AI190">
            <v>0</v>
          </cell>
          <cell r="AJ190">
            <v>0</v>
          </cell>
          <cell r="AK190">
            <v>0</v>
          </cell>
          <cell r="AL190">
            <v>0.27144000000000001</v>
          </cell>
          <cell r="AN190"/>
        </row>
        <row r="195">
          <cell r="U195">
            <v>42866</v>
          </cell>
          <cell r="V195">
            <v>0</v>
          </cell>
          <cell r="W195">
            <v>0</v>
          </cell>
          <cell r="X195">
            <v>0</v>
          </cell>
          <cell r="Z195">
            <v>20721</v>
          </cell>
          <cell r="AA195">
            <v>22145</v>
          </cell>
          <cell r="AB195"/>
          <cell r="AC195"/>
          <cell r="AD195"/>
          <cell r="AE195"/>
          <cell r="AF195"/>
          <cell r="AG195"/>
          <cell r="AH195"/>
          <cell r="AI195"/>
          <cell r="AJ195"/>
          <cell r="AK195"/>
          <cell r="AL195">
            <v>42866</v>
          </cell>
          <cell r="AN195"/>
        </row>
        <row r="200">
          <cell r="U200">
            <v>2.2249829701861614</v>
          </cell>
          <cell r="V200">
            <v>0</v>
          </cell>
          <cell r="W200">
            <v>0</v>
          </cell>
          <cell r="X200">
            <v>0</v>
          </cell>
          <cell r="Z200">
            <v>2.0699999999999998</v>
          </cell>
          <cell r="AA200">
            <v>2.37</v>
          </cell>
          <cell r="AB200"/>
          <cell r="AC200"/>
          <cell r="AD200"/>
          <cell r="AE200"/>
          <cell r="AF200"/>
          <cell r="AG200"/>
          <cell r="AH200"/>
          <cell r="AI200"/>
          <cell r="AJ200"/>
          <cell r="AK200"/>
          <cell r="AL200">
            <v>2.2249829701861614</v>
          </cell>
          <cell r="AN200"/>
        </row>
        <row r="205">
          <cell r="U205">
            <v>95.37612</v>
          </cell>
          <cell r="V205">
            <v>0</v>
          </cell>
          <cell r="W205">
            <v>0</v>
          </cell>
          <cell r="X205">
            <v>0</v>
          </cell>
          <cell r="Z205">
            <v>42.892469999999996</v>
          </cell>
          <cell r="AA205">
            <v>52.483650000000004</v>
          </cell>
          <cell r="AB205">
            <v>0</v>
          </cell>
          <cell r="AC205">
            <v>0</v>
          </cell>
          <cell r="AD205">
            <v>0</v>
          </cell>
          <cell r="AE205">
            <v>0</v>
          </cell>
          <cell r="AF205">
            <v>0</v>
          </cell>
          <cell r="AG205">
            <v>0</v>
          </cell>
          <cell r="AH205">
            <v>0</v>
          </cell>
          <cell r="AI205">
            <v>0</v>
          </cell>
          <cell r="AJ205">
            <v>0</v>
          </cell>
          <cell r="AK205">
            <v>0</v>
          </cell>
          <cell r="AL205">
            <v>95.37612</v>
          </cell>
          <cell r="AN205"/>
        </row>
        <row r="210">
          <cell r="U210">
            <v>17848</v>
          </cell>
          <cell r="V210">
            <v>0</v>
          </cell>
          <cell r="W210">
            <v>0</v>
          </cell>
          <cell r="X210">
            <v>0</v>
          </cell>
          <cell r="Z210">
            <v>15122</v>
          </cell>
          <cell r="AA210">
            <v>2726</v>
          </cell>
          <cell r="AB210"/>
          <cell r="AC210"/>
          <cell r="AD210"/>
          <cell r="AE210"/>
          <cell r="AF210"/>
          <cell r="AG210"/>
          <cell r="AH210"/>
          <cell r="AI210"/>
          <cell r="AJ210"/>
          <cell r="AK210"/>
          <cell r="AL210">
            <v>17848</v>
          </cell>
          <cell r="AN210"/>
        </row>
        <row r="215">
          <cell r="U215">
            <v>0.97527341999103523</v>
          </cell>
          <cell r="V215">
            <v>0</v>
          </cell>
          <cell r="W215">
            <v>0</v>
          </cell>
          <cell r="X215">
            <v>0</v>
          </cell>
          <cell r="Z215">
            <v>0.96</v>
          </cell>
          <cell r="AA215">
            <v>1.06</v>
          </cell>
          <cell r="AB215"/>
          <cell r="AC215"/>
          <cell r="AD215"/>
          <cell r="AE215"/>
          <cell r="AF215"/>
          <cell r="AG215"/>
          <cell r="AH215"/>
          <cell r="AI215"/>
          <cell r="AJ215"/>
          <cell r="AK215"/>
          <cell r="AL215">
            <v>0.97527341999103523</v>
          </cell>
          <cell r="AN215"/>
        </row>
        <row r="220">
          <cell r="U220">
            <v>17.406679999999998</v>
          </cell>
          <cell r="V220">
            <v>0</v>
          </cell>
          <cell r="W220">
            <v>0</v>
          </cell>
          <cell r="X220">
            <v>0</v>
          </cell>
          <cell r="Z220">
            <v>14.517119999999998</v>
          </cell>
          <cell r="AA220">
            <v>2.8895599999999999</v>
          </cell>
          <cell r="AB220">
            <v>0</v>
          </cell>
          <cell r="AC220">
            <v>0</v>
          </cell>
          <cell r="AD220">
            <v>0</v>
          </cell>
          <cell r="AE220">
            <v>0</v>
          </cell>
          <cell r="AF220">
            <v>0</v>
          </cell>
          <cell r="AG220">
            <v>0</v>
          </cell>
          <cell r="AH220">
            <v>0</v>
          </cell>
          <cell r="AI220">
            <v>0</v>
          </cell>
          <cell r="AJ220">
            <v>0</v>
          </cell>
          <cell r="AK220">
            <v>0</v>
          </cell>
          <cell r="AL220">
            <v>17.406679999999998</v>
          </cell>
          <cell r="AN220"/>
        </row>
        <row r="225">
          <cell r="U225">
            <v>0.27585768979561859</v>
          </cell>
          <cell r="V225">
            <v>0</v>
          </cell>
          <cell r="W225">
            <v>0</v>
          </cell>
          <cell r="X225">
            <v>0</v>
          </cell>
          <cell r="Z225">
            <v>0.25524049726300146</v>
          </cell>
          <cell r="AA225">
            <v>0.3057650009028498</v>
          </cell>
          <cell r="AB225"/>
          <cell r="AC225"/>
          <cell r="AD225"/>
          <cell r="AE225"/>
          <cell r="AF225"/>
          <cell r="AG225"/>
          <cell r="AH225"/>
          <cell r="AI225"/>
          <cell r="AJ225"/>
          <cell r="AK225"/>
          <cell r="AL225"/>
          <cell r="AN225"/>
        </row>
        <row r="230">
          <cell r="U230">
            <v>0.85147572695626117</v>
          </cell>
          <cell r="V230">
            <v>0</v>
          </cell>
          <cell r="W230">
            <v>0</v>
          </cell>
          <cell r="X230">
            <v>0</v>
          </cell>
          <cell r="Z230">
            <v>0.84053332233319822</v>
          </cell>
          <cell r="AA230">
            <v>0.86286995950800838</v>
          </cell>
          <cell r="AB230"/>
          <cell r="AC230"/>
          <cell r="AD230"/>
          <cell r="AE230"/>
          <cell r="AF230"/>
          <cell r="AG230"/>
          <cell r="AH230"/>
          <cell r="AI230"/>
          <cell r="AJ230"/>
          <cell r="AK230"/>
          <cell r="AL230"/>
          <cell r="AN230"/>
        </row>
        <row r="235">
          <cell r="U235">
            <v>96.387125128363408</v>
          </cell>
          <cell r="V235">
            <v>0</v>
          </cell>
          <cell r="W235">
            <v>0</v>
          </cell>
          <cell r="X235">
            <v>0</v>
          </cell>
          <cell r="Z235">
            <v>48.536558536668402</v>
          </cell>
          <cell r="AA235">
            <v>47.850566591694999</v>
          </cell>
          <cell r="AB235">
            <v>0</v>
          </cell>
          <cell r="AC235">
            <v>0</v>
          </cell>
          <cell r="AD235">
            <v>0</v>
          </cell>
          <cell r="AE235">
            <v>0</v>
          </cell>
          <cell r="AF235">
            <v>0</v>
          </cell>
          <cell r="AG235">
            <v>0</v>
          </cell>
          <cell r="AH235">
            <v>0</v>
          </cell>
          <cell r="AI235">
            <v>0</v>
          </cell>
          <cell r="AJ235">
            <v>0</v>
          </cell>
          <cell r="AK235">
            <v>0</v>
          </cell>
          <cell r="AL235">
            <v>96.387125128363408</v>
          </cell>
          <cell r="AN235"/>
        </row>
        <row r="240">
          <cell r="U240">
            <v>98.057645519999994</v>
          </cell>
          <cell r="V240">
            <v>0</v>
          </cell>
          <cell r="W240">
            <v>0</v>
          </cell>
          <cell r="X240">
            <v>0</v>
          </cell>
          <cell r="Z240">
            <v>49.893434499999998</v>
          </cell>
          <cell r="AA240">
            <v>48.164211020000003</v>
          </cell>
          <cell r="AB240"/>
          <cell r="AC240"/>
          <cell r="AD240"/>
          <cell r="AE240"/>
          <cell r="AF240"/>
          <cell r="AG240"/>
          <cell r="AH240"/>
          <cell r="AI240"/>
          <cell r="AJ240"/>
          <cell r="AK240"/>
        </row>
        <row r="245">
          <cell r="U245">
            <v>1.6705203916366003</v>
          </cell>
          <cell r="V245">
            <v>0</v>
          </cell>
          <cell r="W245">
            <v>0</v>
          </cell>
          <cell r="X245">
            <v>0</v>
          </cell>
          <cell r="Z245">
            <v>1.3568759633315963</v>
          </cell>
          <cell r="AA245">
            <v>0.31364442830500394</v>
          </cell>
          <cell r="AB245">
            <v>0</v>
          </cell>
          <cell r="AC245">
            <v>0</v>
          </cell>
          <cell r="AD245">
            <v>0</v>
          </cell>
          <cell r="AE245">
            <v>0</v>
          </cell>
          <cell r="AF245">
            <v>0</v>
          </cell>
          <cell r="AG245">
            <v>0</v>
          </cell>
          <cell r="AH245">
            <v>0</v>
          </cell>
          <cell r="AI245">
            <v>0</v>
          </cell>
          <cell r="AJ245">
            <v>0</v>
          </cell>
          <cell r="AK245">
            <v>0</v>
          </cell>
          <cell r="AL245">
            <v>1.6705203916366003</v>
          </cell>
          <cell r="AN245"/>
        </row>
        <row r="246">
          <cell r="U246">
            <v>14.028541737821129</v>
          </cell>
          <cell r="V246">
            <v>0</v>
          </cell>
          <cell r="W246">
            <v>0</v>
          </cell>
          <cell r="X246">
            <v>0</v>
          </cell>
          <cell r="Z246">
            <v>7.1707426887719903</v>
          </cell>
          <cell r="AA246">
            <v>6.8577990490491398</v>
          </cell>
          <cell r="AB246">
            <v>6.6289999999999996</v>
          </cell>
          <cell r="AC246">
            <v>10.879261890345607</v>
          </cell>
          <cell r="AD246">
            <v>7.5049999999999999</v>
          </cell>
          <cell r="AE246">
            <v>10.264010679727123</v>
          </cell>
          <cell r="AF246">
            <v>10.650393456676801</v>
          </cell>
          <cell r="AG246">
            <v>15.0912703885603</v>
          </cell>
          <cell r="AH246">
            <v>18.2570526728902</v>
          </cell>
          <cell r="AI246">
            <v>26.917000000000002</v>
          </cell>
          <cell r="AJ246">
            <v>14.904</v>
          </cell>
          <cell r="AK246">
            <v>8.5280000000000005</v>
          </cell>
          <cell r="AL246">
            <v>6.8577990490491398</v>
          </cell>
          <cell r="AN246"/>
        </row>
        <row r="255">
          <cell r="U255">
            <v>39050.953000000001</v>
          </cell>
          <cell r="V255">
            <v>0</v>
          </cell>
          <cell r="W255">
            <v>0</v>
          </cell>
          <cell r="X255">
            <v>0</v>
          </cell>
          <cell r="Z255">
            <v>39123.42</v>
          </cell>
          <cell r="AA255">
            <v>39050.953000000001</v>
          </cell>
          <cell r="AB255"/>
          <cell r="AC255"/>
          <cell r="AD255"/>
          <cell r="AE255"/>
          <cell r="AF255"/>
          <cell r="AG255"/>
          <cell r="AH255"/>
          <cell r="AI255"/>
          <cell r="AJ255"/>
          <cell r="AK255"/>
          <cell r="AL255"/>
          <cell r="AN255"/>
        </row>
        <row r="260">
          <cell r="U260">
            <v>0.78403689349009986</v>
          </cell>
          <cell r="V260">
            <v>0</v>
          </cell>
          <cell r="W260">
            <v>0</v>
          </cell>
          <cell r="X260">
            <v>0</v>
          </cell>
          <cell r="Z260">
            <v>0.75724201457848006</v>
          </cell>
          <cell r="AA260">
            <v>0.78403689349009986</v>
          </cell>
          <cell r="AB260"/>
          <cell r="AC260"/>
          <cell r="AD260"/>
          <cell r="AE260"/>
          <cell r="AF260"/>
          <cell r="AG260"/>
          <cell r="AH260"/>
          <cell r="AI260"/>
          <cell r="AJ260"/>
          <cell r="AK260"/>
          <cell r="AL260"/>
          <cell r="AN260"/>
        </row>
        <row r="265">
          <cell r="U265">
            <v>30.617387877947898</v>
          </cell>
          <cell r="V265">
            <v>0</v>
          </cell>
          <cell r="W265">
            <v>0</v>
          </cell>
          <cell r="X265">
            <v>0</v>
          </cell>
          <cell r="Z265">
            <v>29.625897377999998</v>
          </cell>
          <cell r="AA265">
            <v>30.617387877947898</v>
          </cell>
          <cell r="AB265">
            <v>0</v>
          </cell>
          <cell r="AC265">
            <v>0</v>
          </cell>
          <cell r="AD265">
            <v>0</v>
          </cell>
          <cell r="AE265">
            <v>0</v>
          </cell>
          <cell r="AF265">
            <v>0</v>
          </cell>
          <cell r="AG265">
            <v>0</v>
          </cell>
          <cell r="AH265">
            <v>0</v>
          </cell>
          <cell r="AI265">
            <v>0</v>
          </cell>
          <cell r="AJ265">
            <v>0</v>
          </cell>
          <cell r="AK265">
            <v>0</v>
          </cell>
          <cell r="AL265">
            <v>0</v>
          </cell>
          <cell r="AN265"/>
        </row>
        <row r="270">
          <cell r="U270">
            <v>2572.83</v>
          </cell>
          <cell r="V270">
            <v>0</v>
          </cell>
          <cell r="W270">
            <v>0</v>
          </cell>
          <cell r="X270">
            <v>0</v>
          </cell>
          <cell r="Z270">
            <v>610.54200000000003</v>
          </cell>
          <cell r="AA270">
            <v>2572.83</v>
          </cell>
          <cell r="AB270"/>
          <cell r="AC270"/>
          <cell r="AD270"/>
          <cell r="AE270"/>
          <cell r="AF270"/>
          <cell r="AG270"/>
          <cell r="AH270"/>
          <cell r="AI270"/>
          <cell r="AJ270"/>
          <cell r="AK270"/>
          <cell r="AL270"/>
          <cell r="AN270"/>
        </row>
        <row r="275">
          <cell r="U275">
            <v>2.4498861370553051</v>
          </cell>
          <cell r="V275">
            <v>0</v>
          </cell>
          <cell r="W275">
            <v>0</v>
          </cell>
          <cell r="X275">
            <v>0</v>
          </cell>
          <cell r="Z275">
            <v>1.6430579910964358</v>
          </cell>
          <cell r="AA275">
            <v>2.4498861370553051</v>
          </cell>
          <cell r="AB275"/>
          <cell r="AC275"/>
          <cell r="AD275"/>
          <cell r="AE275"/>
          <cell r="AF275"/>
          <cell r="AG275"/>
          <cell r="AH275"/>
          <cell r="AI275"/>
          <cell r="AJ275"/>
          <cell r="AK275"/>
          <cell r="AL275"/>
          <cell r="AN275"/>
        </row>
        <row r="280">
          <cell r="U280">
            <v>6.3031405500000002</v>
          </cell>
          <cell r="V280">
            <v>0</v>
          </cell>
          <cell r="W280">
            <v>0</v>
          </cell>
          <cell r="X280">
            <v>0</v>
          </cell>
          <cell r="Z280">
            <v>1.0031559120000002</v>
          </cell>
          <cell r="AA280">
            <v>6.3031405500000002</v>
          </cell>
          <cell r="AB280"/>
          <cell r="AC280"/>
          <cell r="AD280"/>
          <cell r="AE280"/>
          <cell r="AF280"/>
          <cell r="AG280"/>
          <cell r="AH280"/>
          <cell r="AI280"/>
          <cell r="AJ280"/>
          <cell r="AK280"/>
          <cell r="AL280"/>
          <cell r="AN280"/>
        </row>
        <row r="291">
          <cell r="U291">
            <v>0.92999999999999994</v>
          </cell>
          <cell r="V291">
            <v>0</v>
          </cell>
          <cell r="W291">
            <v>0</v>
          </cell>
          <cell r="X291">
            <v>0</v>
          </cell>
          <cell r="Z291">
            <v>0.89</v>
          </cell>
          <cell r="AA291">
            <v>0.97</v>
          </cell>
          <cell r="AB291"/>
          <cell r="AC291"/>
          <cell r="AD291"/>
          <cell r="AE291"/>
          <cell r="AF291"/>
          <cell r="AG291"/>
          <cell r="AH291"/>
          <cell r="AI291"/>
          <cell r="AJ291"/>
          <cell r="AK291"/>
          <cell r="AL291"/>
        </row>
        <row r="295">
          <cell r="U295">
            <v>0.98</v>
          </cell>
          <cell r="V295">
            <v>0</v>
          </cell>
          <cell r="W295">
            <v>0</v>
          </cell>
          <cell r="X295">
            <v>0</v>
          </cell>
          <cell r="Z295">
            <v>0.97</v>
          </cell>
          <cell r="AA295">
            <v>0.99</v>
          </cell>
          <cell r="AB295"/>
          <cell r="AC295"/>
          <cell r="AD295"/>
          <cell r="AE295"/>
          <cell r="AF295"/>
          <cell r="AG295"/>
          <cell r="AH295"/>
          <cell r="AI295"/>
          <cell r="AJ295"/>
          <cell r="AK295"/>
          <cell r="AL295"/>
        </row>
        <row r="299">
          <cell r="U299">
            <v>1</v>
          </cell>
          <cell r="V299">
            <v>0</v>
          </cell>
          <cell r="W299">
            <v>0</v>
          </cell>
          <cell r="X299">
            <v>0</v>
          </cell>
          <cell r="Z299">
            <v>1</v>
          </cell>
          <cell r="AA299">
            <v>1</v>
          </cell>
          <cell r="AB299"/>
          <cell r="AC299"/>
          <cell r="AD299"/>
          <cell r="AE299"/>
          <cell r="AF299"/>
          <cell r="AG299"/>
          <cell r="AH299"/>
          <cell r="AI299"/>
          <cell r="AJ299"/>
          <cell r="AK299"/>
          <cell r="AL299"/>
        </row>
        <row r="303">
          <cell r="U303">
            <v>1</v>
          </cell>
          <cell r="V303">
            <v>0</v>
          </cell>
          <cell r="W303">
            <v>0</v>
          </cell>
          <cell r="X303">
            <v>0</v>
          </cell>
          <cell r="Z303">
            <v>1</v>
          </cell>
          <cell r="AA303">
            <v>1</v>
          </cell>
          <cell r="AB303"/>
          <cell r="AC303"/>
          <cell r="AD303"/>
          <cell r="AE303"/>
          <cell r="AF303"/>
          <cell r="AG303"/>
          <cell r="AH303"/>
          <cell r="AI303"/>
          <cell r="AJ303"/>
          <cell r="AK303"/>
          <cell r="AL303"/>
        </row>
        <row r="307">
          <cell r="U307">
            <v>0.91999999999999993</v>
          </cell>
          <cell r="V307">
            <v>0</v>
          </cell>
          <cell r="W307">
            <v>0</v>
          </cell>
          <cell r="X307">
            <v>0</v>
          </cell>
          <cell r="Z307">
            <v>0.9</v>
          </cell>
          <cell r="AA307">
            <v>0.94</v>
          </cell>
          <cell r="AB307"/>
          <cell r="AC307"/>
          <cell r="AD307"/>
          <cell r="AE307"/>
          <cell r="AF307"/>
          <cell r="AG307"/>
          <cell r="AH307"/>
          <cell r="AI307"/>
          <cell r="AJ307"/>
          <cell r="AK307"/>
          <cell r="AL307"/>
        </row>
        <row r="311">
          <cell r="U311">
            <v>1</v>
          </cell>
          <cell r="V311">
            <v>0</v>
          </cell>
          <cell r="W311">
            <v>0</v>
          </cell>
          <cell r="X311">
            <v>0</v>
          </cell>
          <cell r="Z311">
            <v>1</v>
          </cell>
          <cell r="AA311">
            <v>1</v>
          </cell>
          <cell r="AB311"/>
          <cell r="AC311"/>
          <cell r="AD311"/>
          <cell r="AE311"/>
          <cell r="AF311"/>
          <cell r="AG311"/>
          <cell r="AH311"/>
          <cell r="AI311"/>
          <cell r="AJ311"/>
          <cell r="AK311"/>
          <cell r="AL311"/>
        </row>
        <row r="317">
          <cell r="U317">
            <v>0.54765220316178953</v>
          </cell>
          <cell r="V317">
            <v>0</v>
          </cell>
          <cell r="W317">
            <v>0</v>
          </cell>
          <cell r="X317">
            <v>0</v>
          </cell>
          <cell r="Z317">
            <v>0.66530440632357901</v>
          </cell>
          <cell r="AA317">
            <v>0.43</v>
          </cell>
          <cell r="AB317"/>
          <cell r="AC317"/>
          <cell r="AD317"/>
          <cell r="AE317"/>
          <cell r="AF317"/>
          <cell r="AG317"/>
          <cell r="AH317"/>
          <cell r="AI317"/>
          <cell r="AJ317"/>
          <cell r="AK317"/>
          <cell r="AL317"/>
        </row>
        <row r="321">
          <cell r="U321">
            <v>0.8</v>
          </cell>
          <cell r="V321">
            <v>0</v>
          </cell>
          <cell r="W321">
            <v>0</v>
          </cell>
          <cell r="X321">
            <v>0</v>
          </cell>
          <cell r="Z321">
            <v>0.88</v>
          </cell>
          <cell r="AA321">
            <v>0.72</v>
          </cell>
          <cell r="AB321"/>
          <cell r="AC321"/>
          <cell r="AD321"/>
          <cell r="AE321"/>
          <cell r="AF321"/>
          <cell r="AG321"/>
          <cell r="AH321"/>
          <cell r="AI321"/>
          <cell r="AJ321"/>
          <cell r="AK321"/>
          <cell r="AL321"/>
        </row>
      </sheetData>
      <sheetData sheetId="3"/>
      <sheetData sheetId="4"/>
      <sheetData sheetId="5"/>
      <sheetData sheetId="6"/>
      <sheetData sheetId="7"/>
      <sheetData sheetId="8"/>
      <sheetData sheetId="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AR_SVfHVh0GxMIG0oDGHx6Q_1BDg_A1AqJFCy862nHSbDWGxydT1QIkTFgI8yVVp" itemId="01UOFC3IXFPME3KFOH5RFJXEUW3YECLYWC">
      <xxl21:absoluteUrl r:id="rId3"/>
    </xxl21:alternateUrls>
    <sheetNames>
      <sheetName val="Dashboard"/>
      <sheetName val="Summary"/>
      <sheetName val="2025"/>
      <sheetName val="FY25_Budget"/>
      <sheetName val="H1_Fcast"/>
      <sheetName val="Graphs"/>
      <sheetName val="Objectives"/>
      <sheetName val="NOTES"/>
    </sheetNames>
    <sheetDataSet>
      <sheetData sheetId="0">
        <row r="4">
          <cell r="A4" t="str">
            <v>v2</v>
          </cell>
        </row>
      </sheetData>
      <sheetData sheetId="1" refreshError="1"/>
      <sheetData sheetId="2">
        <row r="5">
          <cell r="F5">
            <v>1</v>
          </cell>
          <cell r="S5">
            <v>1</v>
          </cell>
        </row>
        <row r="6">
          <cell r="B6" t="str">
            <v>2025 Q1</v>
          </cell>
          <cell r="C6" t="str">
            <v>2025 Q2</v>
          </cell>
          <cell r="D6" t="str">
            <v>2025 Q3</v>
          </cell>
          <cell r="E6" t="str">
            <v>2025 Q4</v>
          </cell>
          <cell r="G6">
            <v>45658</v>
          </cell>
          <cell r="H6">
            <v>45689</v>
          </cell>
          <cell r="I6">
            <v>45717</v>
          </cell>
          <cell r="J6">
            <v>45748</v>
          </cell>
          <cell r="K6">
            <v>45778</v>
          </cell>
          <cell r="L6">
            <v>45809</v>
          </cell>
          <cell r="M6">
            <v>45839</v>
          </cell>
          <cell r="N6">
            <v>45870</v>
          </cell>
          <cell r="O6">
            <v>45901</v>
          </cell>
          <cell r="P6">
            <v>45931</v>
          </cell>
          <cell r="Q6">
            <v>45962</v>
          </cell>
          <cell r="R6">
            <v>45992</v>
          </cell>
          <cell r="S6" t="str">
            <v>WHOLE YEAR</v>
          </cell>
        </row>
        <row r="9">
          <cell r="B9">
            <v>0</v>
          </cell>
          <cell r="C9">
            <v>0</v>
          </cell>
          <cell r="D9">
            <v>0</v>
          </cell>
          <cell r="E9">
            <v>0</v>
          </cell>
          <cell r="S9">
            <v>0</v>
          </cell>
        </row>
        <row r="14">
          <cell r="B14">
            <v>0</v>
          </cell>
          <cell r="C14">
            <v>0</v>
          </cell>
          <cell r="D14">
            <v>0</v>
          </cell>
          <cell r="E14">
            <v>0</v>
          </cell>
          <cell r="S14">
            <v>0</v>
          </cell>
        </row>
        <row r="19">
          <cell r="B19">
            <v>0</v>
          </cell>
          <cell r="C19">
            <v>0</v>
          </cell>
          <cell r="D19">
            <v>0</v>
          </cell>
          <cell r="E19">
            <v>0</v>
          </cell>
          <cell r="S19">
            <v>0</v>
          </cell>
        </row>
        <row r="24">
          <cell r="B24">
            <v>0</v>
          </cell>
          <cell r="C24">
            <v>0</v>
          </cell>
          <cell r="D24">
            <v>0</v>
          </cell>
          <cell r="E24">
            <v>0</v>
          </cell>
          <cell r="S24">
            <v>0</v>
          </cell>
        </row>
        <row r="29">
          <cell r="B29">
            <v>0</v>
          </cell>
          <cell r="C29">
            <v>0</v>
          </cell>
          <cell r="D29">
            <v>0</v>
          </cell>
          <cell r="E29">
            <v>0</v>
          </cell>
          <cell r="S29">
            <v>0</v>
          </cell>
        </row>
        <row r="34">
          <cell r="B34">
            <v>0</v>
          </cell>
          <cell r="C34">
            <v>0</v>
          </cell>
          <cell r="D34">
            <v>0</v>
          </cell>
          <cell r="E34">
            <v>0</v>
          </cell>
          <cell r="S34">
            <v>0</v>
          </cell>
        </row>
        <row r="39">
          <cell r="B39">
            <v>0</v>
          </cell>
          <cell r="C39">
            <v>0</v>
          </cell>
          <cell r="D39">
            <v>0</v>
          </cell>
          <cell r="E39">
            <v>0</v>
          </cell>
          <cell r="S39">
            <v>0</v>
          </cell>
        </row>
        <row r="44">
          <cell r="B44">
            <v>0</v>
          </cell>
          <cell r="C44">
            <v>0</v>
          </cell>
          <cell r="D44">
            <v>0</v>
          </cell>
          <cell r="E44">
            <v>0</v>
          </cell>
          <cell r="G44">
            <v>0</v>
          </cell>
          <cell r="H44">
            <v>0</v>
          </cell>
          <cell r="I44">
            <v>0</v>
          </cell>
          <cell r="J44">
            <v>0</v>
          </cell>
          <cell r="K44">
            <v>0</v>
          </cell>
          <cell r="L44">
            <v>0</v>
          </cell>
          <cell r="M44">
            <v>0</v>
          </cell>
          <cell r="N44">
            <v>0</v>
          </cell>
          <cell r="O44">
            <v>0</v>
          </cell>
          <cell r="P44">
            <v>0</v>
          </cell>
          <cell r="Q44">
            <v>0</v>
          </cell>
          <cell r="R44">
            <v>0</v>
          </cell>
          <cell r="S44">
            <v>0</v>
          </cell>
        </row>
        <row r="50">
          <cell r="B50">
            <v>21223.727999999999</v>
          </cell>
          <cell r="C50">
            <v>0</v>
          </cell>
          <cell r="D50">
            <v>0</v>
          </cell>
          <cell r="E50">
            <v>0</v>
          </cell>
          <cell r="G50">
            <v>21223.727999999999</v>
          </cell>
          <cell r="S50">
            <v>21223.727999999999</v>
          </cell>
        </row>
        <row r="55">
          <cell r="B55">
            <v>2.0699999999999998</v>
          </cell>
          <cell r="C55">
            <v>0</v>
          </cell>
          <cell r="D55">
            <v>0</v>
          </cell>
          <cell r="E55">
            <v>0</v>
          </cell>
          <cell r="G55">
            <v>2.0699999999999998</v>
          </cell>
          <cell r="S55">
            <v>2.0699999999999998</v>
          </cell>
        </row>
        <row r="60">
          <cell r="B60">
            <v>43.933116959999992</v>
          </cell>
          <cell r="C60">
            <v>0</v>
          </cell>
          <cell r="D60">
            <v>0</v>
          </cell>
          <cell r="E60">
            <v>0</v>
          </cell>
          <cell r="G60">
            <v>43.933116959999992</v>
          </cell>
          <cell r="H60">
            <v>0</v>
          </cell>
          <cell r="I60">
            <v>0</v>
          </cell>
          <cell r="J60">
            <v>0</v>
          </cell>
          <cell r="K60">
            <v>0</v>
          </cell>
          <cell r="L60">
            <v>0</v>
          </cell>
          <cell r="M60">
            <v>0</v>
          </cell>
          <cell r="N60">
            <v>0</v>
          </cell>
          <cell r="O60">
            <v>0</v>
          </cell>
          <cell r="P60">
            <v>0</v>
          </cell>
          <cell r="Q60">
            <v>0</v>
          </cell>
          <cell r="R60">
            <v>0</v>
          </cell>
          <cell r="S60">
            <v>43.933116959999992</v>
          </cell>
        </row>
        <row r="65">
          <cell r="B65">
            <v>597.19999999999993</v>
          </cell>
          <cell r="C65">
            <v>0</v>
          </cell>
          <cell r="D65">
            <v>0</v>
          </cell>
          <cell r="E65">
            <v>0</v>
          </cell>
          <cell r="G65">
            <v>597.19999999999993</v>
          </cell>
          <cell r="S65">
            <v>597.19999999999993</v>
          </cell>
        </row>
        <row r="70">
          <cell r="B70">
            <v>0</v>
          </cell>
          <cell r="C70">
            <v>0</v>
          </cell>
          <cell r="D70">
            <v>0</v>
          </cell>
          <cell r="E70">
            <v>0</v>
          </cell>
          <cell r="S70">
            <v>0</v>
          </cell>
        </row>
        <row r="76">
          <cell r="B76">
            <v>234</v>
          </cell>
          <cell r="C76">
            <v>0</v>
          </cell>
          <cell r="D76">
            <v>0</v>
          </cell>
          <cell r="E76">
            <v>0</v>
          </cell>
          <cell r="G76">
            <v>234</v>
          </cell>
          <cell r="S76">
            <v>234</v>
          </cell>
        </row>
        <row r="81">
          <cell r="B81">
            <v>1.1599999999999999</v>
          </cell>
          <cell r="C81">
            <v>0</v>
          </cell>
          <cell r="D81">
            <v>0</v>
          </cell>
          <cell r="E81">
            <v>0</v>
          </cell>
          <cell r="G81">
            <v>1.1599999999999999</v>
          </cell>
          <cell r="S81">
            <v>1.1599999999999999</v>
          </cell>
        </row>
        <row r="86">
          <cell r="B86">
            <v>0.27144000000000001</v>
          </cell>
          <cell r="C86">
            <v>0</v>
          </cell>
          <cell r="D86">
            <v>0</v>
          </cell>
          <cell r="E86">
            <v>0</v>
          </cell>
          <cell r="G86">
            <v>0.27144000000000001</v>
          </cell>
          <cell r="H86">
            <v>0</v>
          </cell>
          <cell r="I86">
            <v>0</v>
          </cell>
          <cell r="J86">
            <v>0</v>
          </cell>
          <cell r="K86">
            <v>0</v>
          </cell>
          <cell r="L86">
            <v>0</v>
          </cell>
          <cell r="M86">
            <v>0</v>
          </cell>
          <cell r="N86">
            <v>0</v>
          </cell>
          <cell r="O86">
            <v>0</v>
          </cell>
          <cell r="P86">
            <v>0</v>
          </cell>
          <cell r="Q86">
            <v>0</v>
          </cell>
          <cell r="R86">
            <v>0</v>
          </cell>
          <cell r="S86">
            <v>0.27144000000000001</v>
          </cell>
        </row>
        <row r="108">
          <cell r="B108">
            <v>1273</v>
          </cell>
          <cell r="C108">
            <v>0</v>
          </cell>
          <cell r="D108">
            <v>0</v>
          </cell>
          <cell r="E108">
            <v>0</v>
          </cell>
          <cell r="G108">
            <v>1273</v>
          </cell>
          <cell r="S108">
            <v>1273</v>
          </cell>
        </row>
        <row r="113">
          <cell r="B113">
            <v>372</v>
          </cell>
          <cell r="C113">
            <v>0</v>
          </cell>
          <cell r="D113">
            <v>0</v>
          </cell>
          <cell r="E113">
            <v>0</v>
          </cell>
          <cell r="G113">
            <v>372</v>
          </cell>
          <cell r="S113">
            <v>372</v>
          </cell>
        </row>
        <row r="118">
          <cell r="B118">
            <v>0</v>
          </cell>
          <cell r="C118">
            <v>0</v>
          </cell>
          <cell r="D118">
            <v>0</v>
          </cell>
          <cell r="E118">
            <v>0</v>
          </cell>
          <cell r="G118">
            <v>0</v>
          </cell>
          <cell r="S118">
            <v>0</v>
          </cell>
        </row>
        <row r="123">
          <cell r="B123">
            <v>134</v>
          </cell>
          <cell r="C123">
            <v>0</v>
          </cell>
          <cell r="D123">
            <v>0</v>
          </cell>
          <cell r="E123">
            <v>0</v>
          </cell>
          <cell r="G123">
            <v>134</v>
          </cell>
          <cell r="S123">
            <v>134</v>
          </cell>
        </row>
        <row r="128">
          <cell r="B128">
            <v>424</v>
          </cell>
          <cell r="C128">
            <v>0</v>
          </cell>
          <cell r="D128">
            <v>0</v>
          </cell>
          <cell r="E128">
            <v>0</v>
          </cell>
          <cell r="G128">
            <v>424</v>
          </cell>
          <cell r="S128">
            <v>424</v>
          </cell>
        </row>
        <row r="133">
          <cell r="B133">
            <v>1273</v>
          </cell>
          <cell r="C133">
            <v>0</v>
          </cell>
          <cell r="D133">
            <v>0</v>
          </cell>
          <cell r="E133">
            <v>0</v>
          </cell>
          <cell r="G133">
            <v>1273</v>
          </cell>
          <cell r="H133">
            <v>0</v>
          </cell>
          <cell r="I133">
            <v>0</v>
          </cell>
          <cell r="J133">
            <v>0</v>
          </cell>
          <cell r="K133">
            <v>0</v>
          </cell>
          <cell r="L133">
            <v>0</v>
          </cell>
          <cell r="M133">
            <v>0</v>
          </cell>
          <cell r="N133">
            <v>0</v>
          </cell>
          <cell r="O133">
            <v>0</v>
          </cell>
          <cell r="P133">
            <v>0</v>
          </cell>
          <cell r="Q133">
            <v>0</v>
          </cell>
          <cell r="R133">
            <v>0</v>
          </cell>
          <cell r="S133">
            <v>1273</v>
          </cell>
        </row>
        <row r="138">
          <cell r="B138">
            <v>506</v>
          </cell>
          <cell r="C138">
            <v>0</v>
          </cell>
          <cell r="E138">
            <v>0</v>
          </cell>
          <cell r="G138">
            <v>506</v>
          </cell>
          <cell r="H138">
            <v>0</v>
          </cell>
          <cell r="I138">
            <v>0</v>
          </cell>
          <cell r="J138">
            <v>0</v>
          </cell>
          <cell r="K138">
            <v>0</v>
          </cell>
          <cell r="L138">
            <v>0</v>
          </cell>
          <cell r="M138">
            <v>0</v>
          </cell>
          <cell r="N138">
            <v>0</v>
          </cell>
          <cell r="O138">
            <v>0</v>
          </cell>
          <cell r="P138">
            <v>0</v>
          </cell>
          <cell r="Q138">
            <v>0</v>
          </cell>
          <cell r="R138">
            <v>0</v>
          </cell>
          <cell r="S138">
            <v>506</v>
          </cell>
        </row>
        <row r="150">
          <cell r="B150">
            <v>35396.111617000002</v>
          </cell>
          <cell r="C150">
            <v>0</v>
          </cell>
          <cell r="D150">
            <v>0</v>
          </cell>
          <cell r="E150">
            <v>0</v>
          </cell>
          <cell r="G150">
            <v>35396.111617000002</v>
          </cell>
          <cell r="S150">
            <v>35396.111617000002</v>
          </cell>
        </row>
        <row r="155">
          <cell r="B155">
            <v>1.6005882921591601</v>
          </cell>
          <cell r="C155">
            <v>0</v>
          </cell>
          <cell r="D155">
            <v>0</v>
          </cell>
          <cell r="E155">
            <v>0</v>
          </cell>
          <cell r="G155">
            <v>1.6005882921591601</v>
          </cell>
          <cell r="S155">
            <v>1.6005882921591601</v>
          </cell>
        </row>
        <row r="165">
          <cell r="B165">
            <v>36077.331617000003</v>
          </cell>
          <cell r="C165">
            <v>0</v>
          </cell>
          <cell r="D165">
            <v>0</v>
          </cell>
          <cell r="E165">
            <v>0</v>
          </cell>
          <cell r="G165">
            <v>36077.331617000003</v>
          </cell>
          <cell r="S165">
            <v>36077.331617000003</v>
          </cell>
        </row>
        <row r="170">
          <cell r="B170">
            <v>1.6005882921591601</v>
          </cell>
          <cell r="C170">
            <v>0</v>
          </cell>
          <cell r="D170">
            <v>0</v>
          </cell>
          <cell r="E170">
            <v>0</v>
          </cell>
          <cell r="G170">
            <v>1.6005882921591601</v>
          </cell>
          <cell r="S170">
            <v>1.6005882921591601</v>
          </cell>
        </row>
        <row r="180">
          <cell r="B180">
            <v>234</v>
          </cell>
          <cell r="C180">
            <v>0</v>
          </cell>
          <cell r="D180">
            <v>0</v>
          </cell>
          <cell r="E180">
            <v>0</v>
          </cell>
          <cell r="G180">
            <v>234</v>
          </cell>
          <cell r="S180">
            <v>234</v>
          </cell>
        </row>
        <row r="185">
          <cell r="B185">
            <v>1.1599999999999999</v>
          </cell>
          <cell r="C185">
            <v>0</v>
          </cell>
          <cell r="D185">
            <v>0</v>
          </cell>
          <cell r="E185">
            <v>0</v>
          </cell>
          <cell r="G185">
            <v>1.1599999999999999</v>
          </cell>
          <cell r="S185">
            <v>1.1599999999999999</v>
          </cell>
        </row>
        <row r="190">
          <cell r="B190">
            <v>0.27144000000000001</v>
          </cell>
          <cell r="C190">
            <v>0</v>
          </cell>
          <cell r="D190">
            <v>0</v>
          </cell>
          <cell r="E190">
            <v>0</v>
          </cell>
          <cell r="G190">
            <v>0.27144000000000001</v>
          </cell>
          <cell r="H190">
            <v>0</v>
          </cell>
          <cell r="I190">
            <v>0</v>
          </cell>
          <cell r="J190">
            <v>0</v>
          </cell>
          <cell r="K190">
            <v>0</v>
          </cell>
          <cell r="L190">
            <v>0</v>
          </cell>
          <cell r="M190">
            <v>0</v>
          </cell>
          <cell r="N190">
            <v>0</v>
          </cell>
          <cell r="O190">
            <v>0</v>
          </cell>
          <cell r="P190">
            <v>0</v>
          </cell>
          <cell r="Q190">
            <v>0</v>
          </cell>
          <cell r="R190">
            <v>0</v>
          </cell>
          <cell r="S190">
            <v>0.27144000000000001</v>
          </cell>
        </row>
        <row r="195">
          <cell r="B195">
            <v>20721</v>
          </cell>
          <cell r="C195">
            <v>0</v>
          </cell>
          <cell r="D195">
            <v>0</v>
          </cell>
          <cell r="E195">
            <v>0</v>
          </cell>
          <cell r="G195">
            <v>20721</v>
          </cell>
          <cell r="S195">
            <v>20721</v>
          </cell>
        </row>
        <row r="200">
          <cell r="B200">
            <v>2.0699999999999998</v>
          </cell>
          <cell r="C200">
            <v>0</v>
          </cell>
          <cell r="D200">
            <v>0</v>
          </cell>
          <cell r="E200">
            <v>0</v>
          </cell>
          <cell r="G200">
            <v>2.0699999999999998</v>
          </cell>
          <cell r="S200">
            <v>2.0699999999999998</v>
          </cell>
        </row>
        <row r="205">
          <cell r="B205">
            <v>42.892469999999996</v>
          </cell>
          <cell r="C205">
            <v>0</v>
          </cell>
          <cell r="D205">
            <v>0</v>
          </cell>
          <cell r="E205">
            <v>0</v>
          </cell>
          <cell r="G205">
            <v>42.892469999999996</v>
          </cell>
          <cell r="H205">
            <v>0</v>
          </cell>
          <cell r="I205">
            <v>0</v>
          </cell>
          <cell r="J205">
            <v>0</v>
          </cell>
          <cell r="K205">
            <v>0</v>
          </cell>
          <cell r="L205">
            <v>0</v>
          </cell>
          <cell r="M205">
            <v>0</v>
          </cell>
          <cell r="N205">
            <v>0</v>
          </cell>
          <cell r="O205">
            <v>0</v>
          </cell>
          <cell r="P205">
            <v>0</v>
          </cell>
          <cell r="Q205">
            <v>0</v>
          </cell>
          <cell r="R205">
            <v>0</v>
          </cell>
          <cell r="S205">
            <v>42.892469999999996</v>
          </cell>
        </row>
        <row r="210">
          <cell r="B210">
            <v>15122</v>
          </cell>
          <cell r="C210">
            <v>0</v>
          </cell>
          <cell r="D210">
            <v>0</v>
          </cell>
          <cell r="E210">
            <v>0</v>
          </cell>
          <cell r="G210">
            <v>15122</v>
          </cell>
          <cell r="S210">
            <v>15122</v>
          </cell>
        </row>
        <row r="215">
          <cell r="B215">
            <v>0.96</v>
          </cell>
          <cell r="C215">
            <v>0</v>
          </cell>
          <cell r="D215">
            <v>0</v>
          </cell>
          <cell r="E215">
            <v>0</v>
          </cell>
          <cell r="G215">
            <v>0.96</v>
          </cell>
          <cell r="S215">
            <v>0.96</v>
          </cell>
        </row>
        <row r="220">
          <cell r="B220">
            <v>14.517119999999998</v>
          </cell>
          <cell r="C220">
            <v>0</v>
          </cell>
          <cell r="D220">
            <v>0</v>
          </cell>
          <cell r="E220">
            <v>0</v>
          </cell>
          <cell r="G220">
            <v>14.517119999999998</v>
          </cell>
          <cell r="H220">
            <v>0</v>
          </cell>
          <cell r="I220">
            <v>0</v>
          </cell>
          <cell r="J220">
            <v>0</v>
          </cell>
          <cell r="K220">
            <v>0</v>
          </cell>
          <cell r="L220">
            <v>0</v>
          </cell>
          <cell r="M220">
            <v>0</v>
          </cell>
          <cell r="N220">
            <v>0</v>
          </cell>
          <cell r="O220">
            <v>0</v>
          </cell>
          <cell r="P220">
            <v>0</v>
          </cell>
          <cell r="Q220">
            <v>0</v>
          </cell>
          <cell r="R220">
            <v>0</v>
          </cell>
          <cell r="S220">
            <v>14.517119999999998</v>
          </cell>
        </row>
        <row r="225">
          <cell r="B225">
            <v>0.25524049726300208</v>
          </cell>
          <cell r="C225">
            <v>0</v>
          </cell>
          <cell r="D225">
            <v>0</v>
          </cell>
          <cell r="E225">
            <v>0</v>
          </cell>
          <cell r="G225">
            <v>0.25524049726300146</v>
          </cell>
        </row>
        <row r="230">
          <cell r="B230">
            <v>0.84053332233319789</v>
          </cell>
          <cell r="C230">
            <v>0</v>
          </cell>
          <cell r="D230">
            <v>0</v>
          </cell>
          <cell r="E230">
            <v>0</v>
          </cell>
          <cell r="G230">
            <v>0.84053332233319822</v>
          </cell>
        </row>
        <row r="235">
          <cell r="B235">
            <v>48.536558536668402</v>
          </cell>
          <cell r="C235">
            <v>0</v>
          </cell>
          <cell r="D235">
            <v>0</v>
          </cell>
          <cell r="E235">
            <v>0</v>
          </cell>
          <cell r="G235">
            <v>48.536558536668402</v>
          </cell>
          <cell r="H235">
            <v>0</v>
          </cell>
          <cell r="I235">
            <v>0</v>
          </cell>
          <cell r="J235">
            <v>0</v>
          </cell>
          <cell r="K235">
            <v>0</v>
          </cell>
          <cell r="L235">
            <v>0</v>
          </cell>
          <cell r="M235">
            <v>0</v>
          </cell>
          <cell r="N235">
            <v>0</v>
          </cell>
          <cell r="O235">
            <v>0</v>
          </cell>
          <cell r="P235">
            <v>0</v>
          </cell>
          <cell r="Q235">
            <v>0</v>
          </cell>
          <cell r="R235">
            <v>0</v>
          </cell>
          <cell r="S235">
            <v>48.536558536668402</v>
          </cell>
        </row>
        <row r="240">
          <cell r="B240">
            <v>49.893434499999998</v>
          </cell>
          <cell r="C240">
            <v>0</v>
          </cell>
          <cell r="D240">
            <v>0</v>
          </cell>
          <cell r="E240">
            <v>0</v>
          </cell>
          <cell r="G240">
            <v>49.893434499999998</v>
          </cell>
        </row>
        <row r="245">
          <cell r="B245">
            <v>1.3568759633315963</v>
          </cell>
          <cell r="C245">
            <v>0</v>
          </cell>
          <cell r="D245">
            <v>0</v>
          </cell>
          <cell r="E245">
            <v>0</v>
          </cell>
          <cell r="G245">
            <v>1.3568759633315963</v>
          </cell>
          <cell r="H245">
            <v>0</v>
          </cell>
          <cell r="I245">
            <v>0</v>
          </cell>
          <cell r="J245">
            <v>0</v>
          </cell>
          <cell r="K245">
            <v>0</v>
          </cell>
          <cell r="L245">
            <v>0</v>
          </cell>
          <cell r="M245">
            <v>0</v>
          </cell>
          <cell r="N245">
            <v>0</v>
          </cell>
          <cell r="O245">
            <v>0</v>
          </cell>
          <cell r="P245">
            <v>0</v>
          </cell>
          <cell r="Q245">
            <v>0</v>
          </cell>
          <cell r="R245">
            <v>0</v>
          </cell>
          <cell r="S245">
            <v>1.3568759633315963</v>
          </cell>
        </row>
        <row r="246">
          <cell r="B246">
            <v>7.1707426887719903</v>
          </cell>
          <cell r="C246">
            <v>0</v>
          </cell>
          <cell r="D246">
            <v>0</v>
          </cell>
          <cell r="E246">
            <v>0</v>
          </cell>
          <cell r="G246">
            <v>7.1707426887719903</v>
          </cell>
          <cell r="H246">
            <v>13.138</v>
          </cell>
          <cell r="I246">
            <v>6.6289999999999996</v>
          </cell>
          <cell r="J246">
            <v>10.879261890345607</v>
          </cell>
          <cell r="K246">
            <v>7.5049999999999999</v>
          </cell>
          <cell r="L246">
            <v>10.264010679727123</v>
          </cell>
          <cell r="M246">
            <v>10.650393456676801</v>
          </cell>
          <cell r="N246">
            <v>15.0912703885603</v>
          </cell>
          <cell r="O246">
            <v>18.2570526728902</v>
          </cell>
          <cell r="P246">
            <v>26.917000000000002</v>
          </cell>
          <cell r="Q246">
            <v>14.904</v>
          </cell>
          <cell r="R246">
            <v>8.5280000000000005</v>
          </cell>
          <cell r="S246">
            <v>7.1707426887719903</v>
          </cell>
        </row>
        <row r="255">
          <cell r="B255">
            <v>39123.42</v>
          </cell>
          <cell r="C255">
            <v>0</v>
          </cell>
          <cell r="D255">
            <v>0</v>
          </cell>
          <cell r="E255">
            <v>0</v>
          </cell>
          <cell r="G255">
            <v>39123.42</v>
          </cell>
        </row>
        <row r="260">
          <cell r="B260">
            <v>0.75724201457848006</v>
          </cell>
          <cell r="C260">
            <v>0</v>
          </cell>
          <cell r="D260">
            <v>0</v>
          </cell>
          <cell r="E260">
            <v>0</v>
          </cell>
          <cell r="G260">
            <v>0.75724201457848006</v>
          </cell>
        </row>
        <row r="265">
          <cell r="B265">
            <v>29.625897377999998</v>
          </cell>
          <cell r="C265">
            <v>0</v>
          </cell>
          <cell r="D265">
            <v>0</v>
          </cell>
          <cell r="E265">
            <v>0</v>
          </cell>
          <cell r="G265">
            <v>29.625897377999998</v>
          </cell>
          <cell r="H265">
            <v>0</v>
          </cell>
          <cell r="I265">
            <v>0</v>
          </cell>
          <cell r="J265">
            <v>0</v>
          </cell>
          <cell r="K265">
            <v>0</v>
          </cell>
          <cell r="L265">
            <v>0</v>
          </cell>
          <cell r="M265">
            <v>0</v>
          </cell>
          <cell r="N265">
            <v>0</v>
          </cell>
          <cell r="O265">
            <v>0</v>
          </cell>
          <cell r="P265">
            <v>0</v>
          </cell>
          <cell r="Q265">
            <v>0</v>
          </cell>
          <cell r="R265">
            <v>0</v>
          </cell>
          <cell r="S265">
            <v>0</v>
          </cell>
        </row>
        <row r="270">
          <cell r="B270">
            <v>0</v>
          </cell>
          <cell r="C270">
            <v>0</v>
          </cell>
          <cell r="D270">
            <v>0</v>
          </cell>
          <cell r="E270">
            <v>0</v>
          </cell>
        </row>
        <row r="275">
          <cell r="B275">
            <v>1.6430579910964358</v>
          </cell>
          <cell r="C275">
            <v>0</v>
          </cell>
          <cell r="D275">
            <v>0</v>
          </cell>
          <cell r="E275">
            <v>0</v>
          </cell>
          <cell r="G275">
            <v>1.6430579910964358</v>
          </cell>
        </row>
        <row r="280">
          <cell r="B280">
            <v>1.0031559120000002</v>
          </cell>
          <cell r="C280">
            <v>0</v>
          </cell>
          <cell r="D280">
            <v>0</v>
          </cell>
          <cell r="E280">
            <v>0</v>
          </cell>
          <cell r="G280">
            <v>1.0031559120000002</v>
          </cell>
        </row>
        <row r="291">
          <cell r="B291">
            <v>0.89</v>
          </cell>
          <cell r="C291">
            <v>0</v>
          </cell>
          <cell r="D291">
            <v>0</v>
          </cell>
          <cell r="E291">
            <v>0</v>
          </cell>
          <cell r="G291">
            <v>0.89</v>
          </cell>
        </row>
        <row r="295">
          <cell r="B295">
            <v>0.97</v>
          </cell>
          <cell r="C295">
            <v>0</v>
          </cell>
          <cell r="D295">
            <v>0</v>
          </cell>
          <cell r="E295">
            <v>0</v>
          </cell>
          <cell r="G295">
            <v>0.97</v>
          </cell>
        </row>
        <row r="299">
          <cell r="B299">
            <v>1</v>
          </cell>
          <cell r="C299">
            <v>0</v>
          </cell>
          <cell r="D299">
            <v>0</v>
          </cell>
          <cell r="E299">
            <v>0</v>
          </cell>
          <cell r="G299">
            <v>1</v>
          </cell>
        </row>
        <row r="303">
          <cell r="B303">
            <v>1</v>
          </cell>
          <cell r="C303">
            <v>0</v>
          </cell>
          <cell r="D303">
            <v>0</v>
          </cell>
          <cell r="E303">
            <v>0</v>
          </cell>
          <cell r="G303">
            <v>1</v>
          </cell>
        </row>
        <row r="307">
          <cell r="B307">
            <v>0.9</v>
          </cell>
          <cell r="C307">
            <v>0</v>
          </cell>
          <cell r="D307">
            <v>0</v>
          </cell>
          <cell r="E307">
            <v>0</v>
          </cell>
          <cell r="G307">
            <v>0.9</v>
          </cell>
        </row>
        <row r="311">
          <cell r="B311">
            <v>1</v>
          </cell>
          <cell r="C311">
            <v>0</v>
          </cell>
          <cell r="D311">
            <v>0</v>
          </cell>
          <cell r="E311">
            <v>0</v>
          </cell>
          <cell r="G311">
            <v>1</v>
          </cell>
        </row>
        <row r="317">
          <cell r="B317">
            <v>0.66530440632357901</v>
          </cell>
          <cell r="C317">
            <v>0</v>
          </cell>
          <cell r="D317">
            <v>0</v>
          </cell>
          <cell r="E317">
            <v>0</v>
          </cell>
          <cell r="G317">
            <v>0.66530440632357901</v>
          </cell>
        </row>
        <row r="321">
          <cell r="B321">
            <v>0.88</v>
          </cell>
          <cell r="C321">
            <v>0</v>
          </cell>
          <cell r="D321">
            <v>0</v>
          </cell>
          <cell r="E321">
            <v>0</v>
          </cell>
          <cell r="G321">
            <v>0.88</v>
          </cell>
        </row>
      </sheetData>
      <sheetData sheetId="3" refreshError="1"/>
      <sheetData sheetId="4" refreshError="1"/>
      <sheetData sheetId="5" refreshError="1"/>
      <sheetData sheetId="6" refreshError="1"/>
      <sheetData sheetId="7" refreshError="1"/>
    </sheetDataSet>
  </externalBook>
</externalLink>
</file>

<file path=xl/persons/person.xml><?xml version="1.0" encoding="utf-8"?>
<personList xmlns="http://schemas.microsoft.com/office/spreadsheetml/2018/threadedcomments" xmlns:x="http://schemas.openxmlformats.org/spreadsheetml/2006/main">
  <person displayName="Noidy Dondo" id="{E42FB195-6F9E-4D97-9000-50DE22316B67}" userId="S::noidy.dondo@dallaglio.co.zw::c88784b6-ef85-4ec6-806b-3ab142990334" providerId="AD"/>
  <person displayName="Rugota Mabika" id="{CD0FC582-7D54-4286-B54C-191C08ABD6D1}" userId="S::rugota.mabika@dallaglio.co.zw::fc2c5b73-bd87-4bb7-b2ae-44cca2346ca4" providerId="AD"/>
  <person displayName="Tinashe Jacha" id="{D8CF5E2C-0417-4468-9418-F09794DDBB76}" userId="S::tinashe.jacha@dallaglio.co.zw::42b73414-4d5e-4fa3-8524-cffbf00800fc" providerId="AD"/>
  <person displayName="Kevin Kalongonda" id="{7DD73DA1-C958-4869-A33F-18556C908969}" userId="S::kevin.kalongonda@dallaglio.co.zw::7335be6a-4197-4bd0-8953-602079e4b45e" providerId="AD"/>
  <person displayName="Alfred Chikandiwa" id="{CF8A13F1-C2D3-49AF-A38F-84B96D1BF65C}" userId="S::alfred.chikandiwa@dallaglio.co.zw::88cc85fd-e0a3-4117-af51-a533b3f7e16d" providerId="AD"/>
  <person displayName="Renias Tirivabaya" id="{46A9EB79-C2B8-45F6-B4D1-49E6B89F6349}" userId="S::renias.tirivabaya@dallaglio.co.zw::88963bec-c774-4c5d-99bc-684c9a5407a9" providerId="AD"/>
  <person displayName="Thamsanqa Mlotshwa" id="{8FAC794C-7F68-471A-875D-528AAC11E696}" userId="S::thamsanqa.mlotshwa@dallaglio.co.zw::2af27388-4dee-447d-9b19-421cf3cb7c54" providerId="AD"/>
  <person displayName="Charles Mwachikorera" id="{8D4427CA-0287-44F8-9CE0-4FBAF6550C26}" userId="S::charles.mwachikorera@dallaglio.co.zw::2d5e757b-26e6-4488-b10e-12b9970bcb4d" providerId="AD"/>
  <person displayName="Hatherington Tavadya" id="{994C6E65-2BBF-4319-A746-A5B6CF7B6790}" userId="S::hatherington.tavadya@dallaglio.co.zw::b321c62d-58ca-4006-84e0-4c208a940daf" providerId="AD"/>
  <person displayName="Thembelani Maphuzukhunotha" id="{3AC10C52-AAC1-4420-83E7-15412D0CA4BB}" userId="S::Thembelani.Maphuzukhunotha@dallaglio.co.zw::0051e25f-e8c7-4c92-bfac-c073317dd59a" providerId="AD"/>
  <person displayName="Thembelani Maphuzukhunotha" id="{BAD3C6A7-31B7-4725-BBD3-62DE70EC1E70}" userId="S::thembelani.maphuzukhunotha@dallaglio.co.zw::0051e25f-e8c7-4c92-bfac-c073317dd59a"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Monthly%20Stope%20Performance_BRK_TJ.xlsx#BgEIDA4ADAMGBAcBBAQECw=412.0"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mothy Jones" refreshedDate="45806.40972974537" createdVersion="8" refreshedVersion="8" minRefreshableVersion="3" recordCount="3328" xr:uid="{DF28F8DF-F904-4D43-8B04-7C8360591768}">
  <cacheSource type="worksheet">
    <worksheetSource ref="A1:Y3329" sheet="STOPE SUMMARY PIVOT" r:id="rId2"/>
  </cacheSource>
  <cacheFields count="28">
    <cacheField name="Stope Name" numFmtId="0">
      <sharedItems count="133">
        <s v="1L_W24_STOPE"/>
        <s v="1L_W27_STOPE"/>
        <s v="1L_W28_STOPE"/>
        <s v="1L_W30_STOPE"/>
        <s v="2L_E1_STOPE"/>
        <s v="2L_E7_STOPE"/>
        <s v="2L_E8_STOPE"/>
        <s v="3L_E7_STOPE"/>
        <s v="3L_E8_STOPE"/>
        <s v="3L_E9B_CONNING_STOPE"/>
        <s v="3L_W23_STOPE"/>
        <s v="3L_W24A_STOPE"/>
        <s v="3L_W24B_STOPE"/>
        <s v="3L_W26A_STOPE"/>
        <s v="3L_W26B_STOPE"/>
        <s v="3L_W28A_STOPE"/>
        <s v="3L_W28B_STOPE"/>
        <s v="4LDEV CONCE BOX_STOPE"/>
        <s v="4L_W5B_STOPE"/>
        <s v="4L_W5C_STOPE"/>
        <s v="4L_W6_STOPE"/>
        <s v="4L_W10A_STOPE"/>
        <s v="4L_W10B_STOPE"/>
        <s v="4L_W11A_STOPE"/>
        <s v="4L_W11B_STOPE"/>
        <s v="4L_W11C_STOPE"/>
        <s v="4L_W13A_STOPE"/>
        <s v="4L_W13B_STOPE"/>
        <s v="4L_W13C_STOPE"/>
        <s v="4L_W14A_STOPE"/>
        <s v="4L_W14B_STOPE"/>
        <s v="4L_W14C_STOPE"/>
        <s v="4L_W15A_STOPE"/>
        <s v="4L_W15B_STOPE"/>
        <s v="4L_W15C_STOPE"/>
        <s v="4L_W16A_STOPE"/>
        <s v="4L_W16B_STOPE"/>
        <s v="4L_W16C_STOPE"/>
        <s v="4L_W17A_STOPE"/>
        <s v="4L_W17B_STOPE"/>
        <s v="4L_W17C_STOPE"/>
        <s v="4L_W18A_STOPE"/>
        <s v="4L_W18B_STOPE"/>
        <s v="4L_W19A_STOPE"/>
        <s v="4L_W21B_STOPE"/>
        <s v="4L_W23A_STOPE"/>
        <s v="4L_W23B_STOPE"/>
        <s v="4L_W24_STOPE"/>
        <s v="4L_W25_STOPE"/>
        <s v="4L_W26_STOPE"/>
        <s v="5L_E1B_STOPE"/>
        <s v="5L_W1_STOPE"/>
        <s v="5L_W4_STOPE"/>
        <s v="5L_W5A_STOPE"/>
        <s v="5L_W5B_STOPE"/>
        <s v="5L_W6A_STOPE"/>
        <s v="5L_W6B_STOPE"/>
        <s v="5L_W7A_STOPE"/>
        <s v="5L_W7B_STOPE"/>
        <s v="5L_W8A_STOPE"/>
        <s v="5L_W8B_STOPE"/>
        <s v="5L_W10B_STOPE"/>
        <s v="5L_W11A_STOPE"/>
        <s v="5L_W11B_STOPE"/>
        <s v="5L_W16A_STOPE"/>
        <s v="5L_W16B_STOPE"/>
        <s v="5L_W18A_STOPE"/>
        <s v="5L_W18B_STOPE"/>
        <s v="5L_W25A_STOPE"/>
        <s v="5L_W25B_STOPE"/>
        <s v="6L_E1_STOPE"/>
        <s v="6L_E5_STOPE"/>
        <s v="6L_W1_STOPE"/>
        <s v="6L_W2_STOPE"/>
        <s v="6L_W3_STOPE"/>
        <s v="6L_W4_STOPE"/>
        <s v="6L_W6_STOPE"/>
        <s v="6L_W8_STOPE"/>
        <s v="6L_W9_STOPE"/>
        <s v="6L_W10_STOPE"/>
        <s v="6L_W13_STOPE"/>
        <s v="6L_W14A_STOPE"/>
        <s v="6L_W15_STOPE"/>
        <s v="6L_W19A_STOPE"/>
        <s v="6L_W19B_STOPE"/>
        <s v="6L_W27_STOPE"/>
        <s v="6L_W28_STOPE"/>
        <s v="6L_A_E4_STOPE"/>
        <s v="6L_A_E5_STOPE"/>
        <s v="6L_A_W2_STOPE"/>
        <s v="6L_A_W4_STOPE"/>
        <s v="6L_A_W6_STOPE"/>
        <s v="6L_A_W8_STOPE"/>
        <s v="6L_A_W11_STOPE"/>
        <s v="6L_A_W12_STOPE"/>
        <s v="6L_A_W14_STOPE"/>
        <s v="6L_A_W19_STOPE"/>
        <s v="6L_A_W26_STOPE"/>
        <s v="7L_W10A_STOPE"/>
        <s v="7L_W10B_STOPE"/>
        <s v="7L_W14A_STOPE"/>
        <s v="7L_W14B_STOPE"/>
        <s v="7L_W18A_STOPE"/>
        <s v="7L_W18B_STOPE"/>
        <s v="7L_W1B_STOPE"/>
        <s v="7L_W20A_STOPE"/>
        <s v="7L_W20B_STOPE"/>
        <s v="7L_W22A_STOPE"/>
        <s v="7L_W22B_STOPE"/>
        <s v="7L_W6_STOPE"/>
        <s v="8L_E5A_STOPE"/>
        <s v="8L_E5B_STOPE"/>
        <s v="8L_W10A_STOPE"/>
        <s v="8L_W10B_STOPE"/>
        <s v="8L_W14A_STOPE"/>
        <s v="8L_W14B_STOPE"/>
        <s v="8L_W16A_STOPE"/>
        <s v="8L_W16B_STOPE"/>
        <s v="8L_W18A_STOPE"/>
        <s v="8L_W18B_STOPE"/>
        <s v="8L_W20A_STOPE"/>
        <s v="8L_W20B_STOPE"/>
        <s v="8L_W22A_STOPE"/>
        <s v="8L_W22B_STOPE"/>
        <s v="8L_W24A_STOPE"/>
        <s v="8L_W24B_STOPE"/>
        <s v="8L_W7A_STOPE"/>
        <s v="8L_W7B_STOPE"/>
        <s v="1L_W24" u="1"/>
        <s v="1L_W27" u="1"/>
        <s v="1L_W28" u="1"/>
        <s v="1L_W30" u="1"/>
        <s v="6L_W14B_STOPE" u="1"/>
      </sharedItems>
    </cacheField>
    <cacheField name="Period" numFmtId="17">
      <sharedItems containsSemiMixedTypes="0" containsNonDate="0" containsDate="1" containsString="0" minDate="2024-01-01T00:00:00" maxDate="2026-02-02T00:00:00" count="26">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sharedItems>
      <fieldGroup par="27"/>
    </cacheField>
    <cacheField name="Level" numFmtId="0">
      <sharedItems count="8">
        <s v="1L"/>
        <s v="2L"/>
        <s v="3L"/>
        <s v="4L"/>
        <s v="5L"/>
        <s v="6L"/>
        <s v="7L"/>
        <s v="8L"/>
      </sharedItems>
    </cacheField>
    <cacheField name="Long-Term Plan Tonnage (t)" numFmtId="0">
      <sharedItems containsString="0" containsBlank="1" containsNumber="1" containsInteger="1" minValue="2" maxValue="4494"/>
    </cacheField>
    <cacheField name="Long-Term Plan Grade (g/t)" numFmtId="0">
      <sharedItems containsString="0" containsBlank="1" containsNumber="1" minValue="0.52" maxValue="3.97"/>
    </cacheField>
    <cacheField name="Long-Term Plan Gold (kg)" numFmtId="0">
      <sharedItems containsString="0" containsBlank="1" containsNumber="1" minValue="0" maxValue="9.7969200000000001"/>
    </cacheField>
    <cacheField name="Short-Term Plan Tonnage (t)" numFmtId="0">
      <sharedItems containsString="0" containsBlank="1" containsNumber="1" containsInteger="1" minValue="0" maxValue="6510"/>
    </cacheField>
    <cacheField name="Short-Term Plan Grade (g/t)" numFmtId="0">
      <sharedItems containsString="0" containsBlank="1" containsNumber="1" minValue="0" maxValue="4.8199999999999976"/>
    </cacheField>
    <cacheField name="Short-Term Plan Gold (kg)" numFmtId="170">
      <sharedItems containsString="0" containsBlank="1" containsNumber="1" minValue="0" maxValue="15.884399999999989"/>
    </cacheField>
    <cacheField name="Actual Tonnage (t)" numFmtId="0">
      <sharedItems containsString="0" containsBlank="1" containsNumber="1" minValue="0" maxValue="6902"/>
    </cacheField>
    <cacheField name="Actual Grade (g/t)" numFmtId="0">
      <sharedItems containsString="0" containsBlank="1" containsNumber="1" minValue="0" maxValue="5.9900000000000011"/>
    </cacheField>
    <cacheField name="Actual Gold (kg)" numFmtId="170">
      <sharedItems containsString="0" containsBlank="1" containsNumber="1" minValue="0" maxValue="20.144750000000002"/>
    </cacheField>
    <cacheField name="Variance Gold" numFmtId="9">
      <sharedItems containsBlank="1" containsMixedTypes="1" containsNumber="1" minValue="-1" maxValue="3.4518629875017353"/>
    </cacheField>
    <cacheField name="Tonnage Variance" numFmtId="1">
      <sharedItems containsString="0" containsBlank="1" containsNumber="1" minValue="-4060" maxValue="5178.2201685240561"/>
    </cacheField>
    <cacheField name="Gold Variance" numFmtId="170">
      <sharedItems containsBlank="1" containsMixedTypes="1" containsNumber="1" minValue="-11.250399999999999" maxValue="16"/>
    </cacheField>
    <cacheField name="Revenue" numFmtId="166">
      <sharedItems containsBlank="1" containsMixedTypes="1" containsNumber="1" minValue="-334686.74367935804" maxValue="1223253.75825"/>
    </cacheField>
    <cacheField name="Cost per ton" numFmtId="43">
      <sharedItems containsString="0" containsBlank="1" containsNumber="1" minValue="116.88487613461319" maxValue="116.88487613461319"/>
    </cacheField>
    <cacheField name="Gold oz price" numFmtId="0">
      <sharedItems containsString="0" containsBlank="1" containsNumber="1" containsInteger="1" minValue="2225" maxValue="2225"/>
    </cacheField>
    <cacheField name="Gold kg price" numFmtId="1">
      <sharedItems containsString="0" containsBlank="1" containsNumber="1" minValue="71535.307499999995" maxValue="71535.307499999995"/>
    </cacheField>
    <cacheField name="Expected Revenue (USD)" numFmtId="1">
      <sharedItems containsString="0" containsBlank="1" containsNumber="1" minValue="0" maxValue="1136295.4384529991"/>
    </cacheField>
    <cacheField name="Actual Revenue (USD)" numFmtId="166">
      <sharedItems containsBlank="1" containsMixedTypes="1" containsNumber="1" minValue="0" maxValue="1441060.8857606251"/>
    </cacheField>
    <cacheField name="Expected cost per ton" numFmtId="166">
      <sharedItems containsString="0" containsBlank="1" containsNumber="1" minValue="0" maxValue="760920.54363633192"/>
    </cacheField>
    <cacheField name="Actual  Cost per ton" numFmtId="166">
      <sharedItems containsBlank="1" containsMixedTypes="1" containsNumber="1" minValue="0" maxValue="806739.41508110031"/>
    </cacheField>
    <cacheField name="Expected Gross profit" numFmtId="166">
      <sharedItems containsString="0" containsBlank="1" containsNumber="1" minValue="-237276.29855326479" maxValue="480973.11929397093"/>
    </cacheField>
    <cacheField name="Gross Profit" numFmtId="166">
      <sharedItems containsBlank="1" containsMixedTypes="1" containsNumber="1" minValue="-334686.74367935804" maxValue="1223253.75825"/>
    </cacheField>
    <cacheField name="Months (Period)" numFmtId="0" databaseField="0">
      <fieldGroup base="1">
        <rangePr groupBy="months" startDate="2024-01-01T00:00:00" endDate="2026-02-02T00:00:00"/>
        <groupItems count="14">
          <s v="&lt;1/1/2024"/>
          <s v="Jan"/>
          <s v="Feb"/>
          <s v="Mar"/>
          <s v="Apr"/>
          <s v="May"/>
          <s v="Jun"/>
          <s v="Jul"/>
          <s v="Aug"/>
          <s v="Sept"/>
          <s v="Oct"/>
          <s v="Nov"/>
          <s v="Dec"/>
          <s v="&gt;2/2/2026"/>
        </groupItems>
      </fieldGroup>
    </cacheField>
    <cacheField name="Quarters (Period)" numFmtId="0" databaseField="0">
      <fieldGroup base="1">
        <rangePr groupBy="quarters" startDate="2024-01-01T00:00:00" endDate="2026-02-02T00:00:00"/>
        <groupItems count="6">
          <s v="&lt;1/1/2024"/>
          <s v="Qtr1"/>
          <s v="Qtr2"/>
          <s v="Qtr3"/>
          <s v="Qtr4"/>
          <s v="&gt;2/2/2026"/>
        </groupItems>
      </fieldGroup>
    </cacheField>
    <cacheField name="Years (Period)" numFmtId="0" databaseField="0">
      <fieldGroup base="1">
        <rangePr groupBy="years" startDate="2024-01-01T00:00:00" endDate="2026-02-02T00:00:00"/>
        <groupItems count="5">
          <s v="&lt;1/1/2024"/>
          <s v="2024"/>
          <s v="2025"/>
          <s v="2026"/>
          <s v="&gt;2/2/202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28">
  <r>
    <x v="0"/>
    <x v="0"/>
    <x v="0"/>
    <m/>
    <m/>
    <m/>
    <m/>
    <m/>
    <n v="0"/>
    <m/>
    <m/>
    <n v="0"/>
    <s v=""/>
    <n v="0"/>
    <n v="0"/>
    <n v="0"/>
    <n v="116.88487613461319"/>
    <n v="2225"/>
    <n v="71535.307499999995"/>
    <n v="0"/>
    <n v="0"/>
    <n v="0"/>
    <n v="0"/>
    <n v="0"/>
    <n v="0"/>
  </r>
  <r>
    <x v="1"/>
    <x v="0"/>
    <x v="0"/>
    <m/>
    <m/>
    <m/>
    <m/>
    <m/>
    <n v="0"/>
    <m/>
    <m/>
    <n v="0"/>
    <s v=""/>
    <n v="0"/>
    <n v="0"/>
    <n v="0"/>
    <n v="116.88487613461319"/>
    <n v="2225"/>
    <n v="71535.307499999995"/>
    <n v="0"/>
    <n v="0"/>
    <n v="0"/>
    <n v="0"/>
    <n v="0"/>
    <n v="0"/>
  </r>
  <r>
    <x v="2"/>
    <x v="0"/>
    <x v="0"/>
    <m/>
    <m/>
    <m/>
    <m/>
    <m/>
    <n v="0"/>
    <m/>
    <m/>
    <n v="0"/>
    <s v=""/>
    <n v="0"/>
    <n v="0"/>
    <n v="0"/>
    <n v="116.88487613461319"/>
    <n v="2225"/>
    <n v="71535.307499999995"/>
    <n v="0"/>
    <n v="0"/>
    <n v="0"/>
    <n v="0"/>
    <n v="0"/>
    <n v="0"/>
  </r>
  <r>
    <x v="3"/>
    <x v="0"/>
    <x v="0"/>
    <m/>
    <m/>
    <m/>
    <m/>
    <m/>
    <n v="0"/>
    <m/>
    <m/>
    <n v="0"/>
    <s v=""/>
    <n v="0"/>
    <n v="0"/>
    <n v="0"/>
    <n v="116.88487613461319"/>
    <n v="2225"/>
    <n v="71535.307499999995"/>
    <n v="0"/>
    <n v="0"/>
    <n v="0"/>
    <n v="0"/>
    <n v="0"/>
    <n v="0"/>
  </r>
  <r>
    <x v="4"/>
    <x v="0"/>
    <x v="1"/>
    <m/>
    <m/>
    <m/>
    <m/>
    <m/>
    <n v="0"/>
    <m/>
    <m/>
    <n v="0"/>
    <s v=""/>
    <n v="0"/>
    <n v="0"/>
    <n v="0"/>
    <n v="116.88487613461319"/>
    <n v="2225"/>
    <n v="71535.307499999995"/>
    <n v="0"/>
    <n v="0"/>
    <n v="0"/>
    <n v="0"/>
    <n v="0"/>
    <n v="0"/>
  </r>
  <r>
    <x v="5"/>
    <x v="0"/>
    <x v="1"/>
    <m/>
    <m/>
    <m/>
    <m/>
    <m/>
    <n v="0"/>
    <m/>
    <m/>
    <n v="0"/>
    <s v=""/>
    <n v="0"/>
    <n v="0"/>
    <n v="0"/>
    <n v="116.88487613461319"/>
    <n v="2225"/>
    <n v="71535.307499999995"/>
    <n v="0"/>
    <n v="0"/>
    <n v="0"/>
    <n v="0"/>
    <n v="0"/>
    <n v="0"/>
  </r>
  <r>
    <x v="6"/>
    <x v="0"/>
    <x v="1"/>
    <m/>
    <m/>
    <m/>
    <n v="2100"/>
    <n v="2.9"/>
    <n v="6.09"/>
    <n v="2258"/>
    <n v="3.11"/>
    <n v="7.0223800000000001"/>
    <n v="0.15310016420361253"/>
    <n v="158"/>
    <n v="0.93238000000000021"/>
    <n v="238422.06236989336"/>
    <n v="116.88487613461319"/>
    <n v="2225"/>
    <n v="71535.307499999995"/>
    <n v="435650.02267499996"/>
    <n v="502348.11268184998"/>
    <n v="245458.23988268772"/>
    <n v="263926.05031195661"/>
    <n v="190191.78279231224"/>
    <n v="238422.06236989336"/>
  </r>
  <r>
    <x v="7"/>
    <x v="0"/>
    <x v="2"/>
    <m/>
    <m/>
    <m/>
    <m/>
    <m/>
    <n v="0"/>
    <m/>
    <m/>
    <n v="0"/>
    <s v=""/>
    <n v="0"/>
    <n v="0"/>
    <n v="0"/>
    <n v="116.88487613461319"/>
    <n v="2225"/>
    <n v="71535.307499999995"/>
    <n v="0"/>
    <n v="0"/>
    <n v="0"/>
    <n v="0"/>
    <n v="0"/>
    <n v="0"/>
  </r>
  <r>
    <x v="8"/>
    <x v="0"/>
    <x v="2"/>
    <m/>
    <m/>
    <m/>
    <m/>
    <m/>
    <n v="0"/>
    <m/>
    <m/>
    <n v="0"/>
    <s v=""/>
    <n v="0"/>
    <n v="0"/>
    <n v="0"/>
    <n v="116.88487613461319"/>
    <n v="2225"/>
    <n v="71535.307499999995"/>
    <n v="0"/>
    <n v="0"/>
    <n v="0"/>
    <n v="0"/>
    <n v="0"/>
    <n v="0"/>
  </r>
  <r>
    <x v="9"/>
    <x v="0"/>
    <x v="2"/>
    <m/>
    <m/>
    <m/>
    <m/>
    <m/>
    <n v="0"/>
    <m/>
    <m/>
    <n v="0"/>
    <s v=""/>
    <n v="0"/>
    <n v="0"/>
    <n v="0"/>
    <n v="116.88487613461319"/>
    <n v="2225"/>
    <n v="71535.307499999995"/>
    <n v="0"/>
    <n v="0"/>
    <n v="0"/>
    <n v="0"/>
    <n v="0"/>
    <n v="0"/>
  </r>
  <r>
    <x v="10"/>
    <x v="0"/>
    <x v="2"/>
    <m/>
    <m/>
    <m/>
    <m/>
    <m/>
    <n v="0"/>
    <m/>
    <m/>
    <n v="0"/>
    <s v=""/>
    <n v="0"/>
    <n v="0"/>
    <n v="0"/>
    <n v="116.88487613461319"/>
    <n v="2225"/>
    <n v="71535.307499999995"/>
    <n v="0"/>
    <n v="0"/>
    <n v="0"/>
    <n v="0"/>
    <n v="0"/>
    <n v="0"/>
  </r>
  <r>
    <x v="11"/>
    <x v="0"/>
    <x v="2"/>
    <m/>
    <m/>
    <m/>
    <m/>
    <m/>
    <n v="0"/>
    <m/>
    <m/>
    <n v="0"/>
    <s v=""/>
    <n v="0"/>
    <n v="0"/>
    <n v="0"/>
    <n v="116.88487613461319"/>
    <n v="2225"/>
    <n v="71535.307499999995"/>
    <n v="0"/>
    <n v="0"/>
    <n v="0"/>
    <n v="0"/>
    <n v="0"/>
    <n v="0"/>
  </r>
  <r>
    <x v="12"/>
    <x v="0"/>
    <x v="2"/>
    <m/>
    <m/>
    <m/>
    <m/>
    <m/>
    <n v="0"/>
    <m/>
    <m/>
    <n v="0"/>
    <s v=""/>
    <n v="0"/>
    <n v="0"/>
    <n v="0"/>
    <n v="116.88487613461319"/>
    <n v="2225"/>
    <n v="71535.307499999995"/>
    <n v="0"/>
    <n v="0"/>
    <n v="0"/>
    <n v="0"/>
    <n v="0"/>
    <n v="0"/>
  </r>
  <r>
    <x v="13"/>
    <x v="0"/>
    <x v="2"/>
    <m/>
    <m/>
    <m/>
    <m/>
    <m/>
    <n v="0"/>
    <m/>
    <m/>
    <n v="0"/>
    <s v=""/>
    <n v="0"/>
    <n v="0"/>
    <n v="0"/>
    <n v="116.88487613461319"/>
    <n v="2225"/>
    <n v="71535.307499999995"/>
    <n v="0"/>
    <n v="0"/>
    <n v="0"/>
    <n v="0"/>
    <n v="0"/>
    <n v="0"/>
  </r>
  <r>
    <x v="14"/>
    <x v="0"/>
    <x v="2"/>
    <m/>
    <m/>
    <m/>
    <m/>
    <m/>
    <n v="0"/>
    <m/>
    <m/>
    <n v="0"/>
    <s v=""/>
    <n v="0"/>
    <n v="0"/>
    <n v="0"/>
    <n v="116.88487613461319"/>
    <n v="2225"/>
    <n v="71535.307499999995"/>
    <n v="0"/>
    <n v="0"/>
    <n v="0"/>
    <n v="0"/>
    <n v="0"/>
    <n v="0"/>
  </r>
  <r>
    <x v="15"/>
    <x v="0"/>
    <x v="2"/>
    <m/>
    <m/>
    <m/>
    <m/>
    <m/>
    <n v="0"/>
    <m/>
    <m/>
    <n v="0"/>
    <s v=""/>
    <n v="0"/>
    <n v="0"/>
    <n v="0"/>
    <n v="116.88487613461319"/>
    <n v="2225"/>
    <n v="71535.307499999995"/>
    <n v="0"/>
    <n v="0"/>
    <n v="0"/>
    <n v="0"/>
    <n v="0"/>
    <n v="0"/>
  </r>
  <r>
    <x v="16"/>
    <x v="0"/>
    <x v="2"/>
    <m/>
    <m/>
    <m/>
    <m/>
    <m/>
    <n v="0"/>
    <m/>
    <m/>
    <n v="0"/>
    <s v=""/>
    <n v="0"/>
    <n v="0"/>
    <n v="0"/>
    <n v="116.88487613461319"/>
    <n v="2225"/>
    <n v="71535.307499999995"/>
    <n v="0"/>
    <n v="0"/>
    <n v="0"/>
    <n v="0"/>
    <n v="0"/>
    <n v="0"/>
  </r>
  <r>
    <x v="17"/>
    <x v="0"/>
    <x v="3"/>
    <m/>
    <m/>
    <m/>
    <m/>
    <m/>
    <n v="0"/>
    <m/>
    <m/>
    <n v="0"/>
    <s v=""/>
    <n v="0"/>
    <n v="0"/>
    <n v="0"/>
    <n v="116.88487613461319"/>
    <n v="2225"/>
    <n v="71535.307499999995"/>
    <n v="0"/>
    <n v="0"/>
    <n v="0"/>
    <n v="0"/>
    <n v="0"/>
    <n v="0"/>
  </r>
  <r>
    <x v="18"/>
    <x v="0"/>
    <x v="3"/>
    <m/>
    <m/>
    <m/>
    <n v="0"/>
    <n v="0"/>
    <n v="0"/>
    <n v="2471.9389999999999"/>
    <n v="2.35"/>
    <n v="5.8090566499999996"/>
    <s v=""/>
    <n v="2471.9389999999999"/>
    <n v="5.8090566499999996"/>
    <n v="126620.36991535022"/>
    <n v="116.88487613461319"/>
    <n v="2225"/>
    <n v="71535.307499999995"/>
    <n v="0"/>
    <n v="415552.65374266979"/>
    <n v="0"/>
    <n v="288932.28382731957"/>
    <n v="0"/>
    <n v="126620.36991535022"/>
  </r>
  <r>
    <x v="19"/>
    <x v="0"/>
    <x v="3"/>
    <m/>
    <m/>
    <m/>
    <m/>
    <m/>
    <n v="0"/>
    <n v="1027.2550000000001"/>
    <n v="2.2999999999999998"/>
    <n v="2.3626865000000001"/>
    <s v=""/>
    <n v="1027.2550000000001"/>
    <n v="2.3626865000000001"/>
    <n v="48944.931869936641"/>
    <n v="116.88487613461319"/>
    <n v="2225"/>
    <n v="71535.307499999995"/>
    <n v="0"/>
    <n v="169015.50530359874"/>
    <n v="0"/>
    <n v="120070.5734336621"/>
    <n v="0"/>
    <n v="48944.931869936641"/>
  </r>
  <r>
    <x v="20"/>
    <x v="0"/>
    <x v="3"/>
    <m/>
    <m/>
    <m/>
    <n v="1890"/>
    <n v="2.4"/>
    <n v="4.5359999999999996"/>
    <n v="0"/>
    <n v="0"/>
    <n v="0"/>
    <n v="-1"/>
    <n v="-1890"/>
    <n v="-4.5359999999999996"/>
    <n v="0"/>
    <n v="116.88487613461319"/>
    <n v="2225"/>
    <n v="71535.307499999995"/>
    <n v="324484.15481999994"/>
    <n v="0"/>
    <n v="220912.41589441893"/>
    <n v="0"/>
    <n v="103571.73892558101"/>
    <n v="0"/>
  </r>
  <r>
    <x v="21"/>
    <x v="0"/>
    <x v="3"/>
    <m/>
    <m/>
    <m/>
    <n v="1050"/>
    <n v="2.15"/>
    <n v="2.2574999999999998"/>
    <n v="747"/>
    <n v="2.38"/>
    <n v="1.77786"/>
    <n v="-0.21246511627906972"/>
    <n v="-303"/>
    <n v="-0.47963999999999984"/>
    <n v="39866.759319393939"/>
    <n v="116.88487613461319"/>
    <n v="2225"/>
    <n v="71535.307499999995"/>
    <n v="161490.95668124998"/>
    <n v="127179.76179194999"/>
    <n v="122729.11994134386"/>
    <n v="87313.002472556051"/>
    <n v="38761.836739906124"/>
    <n v="39866.759319393939"/>
  </r>
  <r>
    <x v="22"/>
    <x v="0"/>
    <x v="3"/>
    <m/>
    <m/>
    <m/>
    <m/>
    <m/>
    <n v="0"/>
    <m/>
    <m/>
    <n v="0"/>
    <s v=""/>
    <n v="0"/>
    <n v="0"/>
    <n v="0"/>
    <n v="116.88487613461319"/>
    <n v="2225"/>
    <n v="71535.307499999995"/>
    <n v="0"/>
    <n v="0"/>
    <n v="0"/>
    <n v="0"/>
    <n v="0"/>
    <n v="0"/>
  </r>
  <r>
    <x v="23"/>
    <x v="0"/>
    <x v="3"/>
    <m/>
    <m/>
    <m/>
    <n v="3150"/>
    <n v="2.2399999999999989"/>
    <n v="7.0559999999999965"/>
    <n v="1122"/>
    <n v="2.5299999999999998"/>
    <n v="2.83866"/>
    <n v="-0.59769557823129227"/>
    <n v="-2028"/>
    <n v="-4.2173399999999965"/>
    <n v="71919.584964913985"/>
    <n v="116.88487613461319"/>
    <n v="2225"/>
    <n v="71535.307499999995"/>
    <n v="504753.12971999974"/>
    <n v="203064.41598794999"/>
    <n v="368187.35982403153"/>
    <n v="131144.83102303601"/>
    <n v="136565.7698959682"/>
    <n v="71919.584964913985"/>
  </r>
  <r>
    <x v="24"/>
    <x v="0"/>
    <x v="3"/>
    <m/>
    <m/>
    <m/>
    <m/>
    <m/>
    <n v="0"/>
    <n v="463"/>
    <n v="1.69"/>
    <n v="0.78247"/>
    <s v=""/>
    <n v="463"/>
    <n v="0.78247"/>
    <n v="1856.5344091990919"/>
    <n v="116.88487613461319"/>
    <n v="2225"/>
    <n v="71535.307499999995"/>
    <n v="0"/>
    <n v="55974.232059524998"/>
    <n v="0"/>
    <n v="54117.697650325907"/>
    <n v="0"/>
    <n v="1856.5344091990919"/>
  </r>
  <r>
    <x v="25"/>
    <x v="0"/>
    <x v="3"/>
    <m/>
    <m/>
    <m/>
    <m/>
    <m/>
    <n v="0"/>
    <n v="211"/>
    <n v="2.6"/>
    <n v="0.54859999999999998"/>
    <s v=""/>
    <n v="211"/>
    <n v="0.54859999999999998"/>
    <n v="14581.560830096616"/>
    <n v="116.88487613461319"/>
    <n v="2225"/>
    <n v="71535.307499999995"/>
    <n v="0"/>
    <n v="39244.269694499999"/>
    <n v="0"/>
    <n v="24662.708864403383"/>
    <n v="0"/>
    <n v="14581.560830096616"/>
  </r>
  <r>
    <x v="26"/>
    <x v="0"/>
    <x v="3"/>
    <m/>
    <m/>
    <m/>
    <n v="2100"/>
    <n v="2.3400000000000012"/>
    <n v="4.9140000000000024"/>
    <n v="436"/>
    <n v="1.84"/>
    <n v="0.80224000000000006"/>
    <n v="-0.8367439967439968"/>
    <n v="-1664"/>
    <n v="-4.1117600000000021"/>
    <n v="6426.679094108651"/>
    <n v="116.88487613461319"/>
    <n v="2225"/>
    <n v="71535.307499999995"/>
    <n v="351524.50105500018"/>
    <n v="57388.4850888"/>
    <n v="245458.23988268772"/>
    <n v="50961.805994691349"/>
    <n v="106066.26117231246"/>
    <n v="6426.679094108651"/>
  </r>
  <r>
    <x v="27"/>
    <x v="0"/>
    <x v="3"/>
    <m/>
    <m/>
    <m/>
    <m/>
    <m/>
    <n v="0"/>
    <m/>
    <m/>
    <n v="0"/>
    <s v=""/>
    <n v="0"/>
    <n v="0"/>
    <n v="0"/>
    <n v="116.88487613461319"/>
    <n v="2225"/>
    <n v="71535.307499999995"/>
    <n v="0"/>
    <n v="0"/>
    <n v="0"/>
    <n v="0"/>
    <n v="0"/>
    <n v="0"/>
  </r>
  <r>
    <x v="28"/>
    <x v="0"/>
    <x v="3"/>
    <m/>
    <m/>
    <m/>
    <m/>
    <m/>
    <n v="0"/>
    <n v="223"/>
    <n v="3.01"/>
    <n v="0.67122999999999988"/>
    <s v=""/>
    <n v="223"/>
    <n v="0.67122999999999988"/>
    <n v="21951.317075206247"/>
    <n v="116.88487613461319"/>
    <n v="2225"/>
    <n v="71535.307499999995"/>
    <n v="0"/>
    <n v="48016.644453224988"/>
    <n v="0"/>
    <n v="26065.327378018741"/>
    <n v="0"/>
    <n v="21951.317075206247"/>
  </r>
  <r>
    <x v="29"/>
    <x v="0"/>
    <x v="3"/>
    <m/>
    <m/>
    <m/>
    <n v="3150"/>
    <n v="2.3899999999999988"/>
    <n v="7.5284999999999966"/>
    <n v="1105"/>
    <n v="2.39"/>
    <n v="2.6409500000000001"/>
    <n v="-0.64920634920634901"/>
    <n v="-2045"/>
    <n v="-4.8875499999999965"/>
    <n v="59763.382213377423"/>
    <n v="116.88487613461319"/>
    <n v="2225"/>
    <n v="71535.307499999995"/>
    <n v="538553.5625137497"/>
    <n v="188921.170342125"/>
    <n v="368187.35982403153"/>
    <n v="129157.78812874758"/>
    <n v="170366.20268971816"/>
    <n v="59763.382213377423"/>
  </r>
  <r>
    <x v="30"/>
    <x v="0"/>
    <x v="3"/>
    <m/>
    <m/>
    <m/>
    <m/>
    <m/>
    <n v="0"/>
    <n v="2209"/>
    <n v="2.33"/>
    <n v="5.1469700000000005"/>
    <s v=""/>
    <n v="2209"/>
    <n v="5.1469700000000005"/>
    <n v="109991.39026191444"/>
    <n v="116.88487613461319"/>
    <n v="2225"/>
    <n v="71535.307499999995"/>
    <n v="0"/>
    <n v="368190.08164327499"/>
    <n v="0"/>
    <n v="258198.69138136055"/>
    <n v="0"/>
    <n v="109991.39026191444"/>
  </r>
  <r>
    <x v="31"/>
    <x v="0"/>
    <x v="3"/>
    <m/>
    <m/>
    <m/>
    <n v="1050"/>
    <n v="2.3900000000000015"/>
    <n v="2.5095000000000014"/>
    <n v="2266"/>
    <n v="2.35"/>
    <n v="5.3250999999999999"/>
    <n v="1.1219764893405049"/>
    <n v="1216"/>
    <n v="2.8155999999999985"/>
    <n v="116071.53664721648"/>
    <n v="116.88487613461319"/>
    <n v="2225"/>
    <n v="71535.307499999995"/>
    <n v="179517.85417125007"/>
    <n v="380932.66596824996"/>
    <n v="122729.11994134386"/>
    <n v="264861.12932103348"/>
    <n v="56788.734229906215"/>
    <n v="116071.53664721648"/>
  </r>
  <r>
    <x v="32"/>
    <x v="0"/>
    <x v="3"/>
    <m/>
    <m/>
    <m/>
    <n v="2100"/>
    <n v="3.1620000000000013"/>
    <n v="6.6402000000000028"/>
    <n v="0"/>
    <n v="0"/>
    <n v="0"/>
    <n v="-1"/>
    <n v="-2100"/>
    <n v="-6.6402000000000028"/>
    <n v="0"/>
    <n v="116.88487613461319"/>
    <n v="2225"/>
    <n v="71535.307499999995"/>
    <n v="475008.74886150018"/>
    <n v="0"/>
    <n v="245458.23988268772"/>
    <n v="0"/>
    <n v="229550.50897881246"/>
    <n v="0"/>
  </r>
  <r>
    <x v="33"/>
    <x v="0"/>
    <x v="3"/>
    <m/>
    <m/>
    <m/>
    <n v="2100"/>
    <n v="3.1620000000000013"/>
    <n v="6.6402000000000028"/>
    <n v="0"/>
    <n v="0"/>
    <n v="0"/>
    <n v="-1"/>
    <n v="-2100"/>
    <n v="-6.6402000000000028"/>
    <n v="0"/>
    <n v="116.88487613461319"/>
    <n v="2225"/>
    <n v="71535.307499999995"/>
    <n v="475008.74886150018"/>
    <n v="0"/>
    <n v="245458.23988268772"/>
    <n v="0"/>
    <n v="229550.50897881246"/>
    <n v="0"/>
  </r>
  <r>
    <x v="34"/>
    <x v="0"/>
    <x v="3"/>
    <m/>
    <m/>
    <m/>
    <m/>
    <m/>
    <n v="0"/>
    <n v="1622"/>
    <n v="3.4"/>
    <n v="5.5148000000000001"/>
    <s v=""/>
    <n v="1622"/>
    <n v="5.5148000000000001"/>
    <n v="204915.64471065739"/>
    <n v="116.88487613461319"/>
    <n v="2225"/>
    <n v="71535.307499999995"/>
    <n v="0"/>
    <n v="394502.91380099999"/>
    <n v="0"/>
    <n v="189587.2690903426"/>
    <n v="0"/>
    <n v="204915.64471065739"/>
  </r>
  <r>
    <x v="35"/>
    <x v="0"/>
    <x v="3"/>
    <m/>
    <m/>
    <m/>
    <m/>
    <m/>
    <n v="0"/>
    <n v="326"/>
    <n v="2.2000000000000002"/>
    <n v="0.71720000000000006"/>
    <s v=""/>
    <n v="326"/>
    <n v="0.71720000000000006"/>
    <n v="13200.652919116103"/>
    <n v="116.88487613461319"/>
    <n v="2225"/>
    <n v="71535.307499999995"/>
    <n v="0"/>
    <n v="51305.122539000004"/>
    <n v="0"/>
    <n v="38104.469619883901"/>
    <n v="0"/>
    <n v="13200.652919116103"/>
  </r>
  <r>
    <x v="36"/>
    <x v="0"/>
    <x v="3"/>
    <m/>
    <m/>
    <m/>
    <m/>
    <m/>
    <n v="0"/>
    <n v="0"/>
    <n v="0"/>
    <n v="0"/>
    <s v=""/>
    <n v="0"/>
    <n v="0"/>
    <n v="0"/>
    <n v="116.88487613461319"/>
    <n v="2225"/>
    <n v="71535.307499999995"/>
    <n v="0"/>
    <n v="0"/>
    <n v="0"/>
    <n v="0"/>
    <n v="0"/>
    <n v="0"/>
  </r>
  <r>
    <x v="37"/>
    <x v="0"/>
    <x v="3"/>
    <m/>
    <m/>
    <m/>
    <m/>
    <m/>
    <n v="0"/>
    <n v="1615"/>
    <n v="2.68"/>
    <n v="4.3281999999999998"/>
    <s v=""/>
    <n v="1615"/>
    <n v="4.3281999999999998"/>
    <n v="120850.04296409964"/>
    <n v="116.88487613461319"/>
    <n v="2225"/>
    <n v="71535.307499999995"/>
    <n v="0"/>
    <n v="309619.11792149994"/>
    <n v="0"/>
    <n v="188769.0749574003"/>
    <n v="0"/>
    <n v="120850.04296409964"/>
  </r>
  <r>
    <x v="38"/>
    <x v="0"/>
    <x v="3"/>
    <m/>
    <m/>
    <m/>
    <m/>
    <m/>
    <n v="0"/>
    <m/>
    <m/>
    <n v="0"/>
    <s v=""/>
    <n v="0"/>
    <n v="0"/>
    <n v="0"/>
    <n v="116.88487613461319"/>
    <n v="2225"/>
    <n v="71535.307499999995"/>
    <n v="0"/>
    <n v="0"/>
    <n v="0"/>
    <n v="0"/>
    <n v="0"/>
    <n v="0"/>
  </r>
  <r>
    <x v="39"/>
    <x v="0"/>
    <x v="3"/>
    <m/>
    <m/>
    <m/>
    <m/>
    <m/>
    <n v="0"/>
    <m/>
    <m/>
    <n v="0"/>
    <s v=""/>
    <n v="0"/>
    <n v="0"/>
    <n v="0"/>
    <n v="116.88487613461319"/>
    <n v="2225"/>
    <n v="71535.307499999995"/>
    <n v="0"/>
    <n v="0"/>
    <n v="0"/>
    <n v="0"/>
    <n v="0"/>
    <n v="0"/>
  </r>
  <r>
    <x v="40"/>
    <x v="0"/>
    <x v="3"/>
    <m/>
    <m/>
    <m/>
    <m/>
    <m/>
    <n v="0"/>
    <m/>
    <m/>
    <n v="0"/>
    <s v=""/>
    <n v="0"/>
    <n v="0"/>
    <n v="0"/>
    <n v="116.88487613461319"/>
    <n v="2225"/>
    <n v="71535.307499999995"/>
    <n v="0"/>
    <n v="0"/>
    <n v="0"/>
    <n v="0"/>
    <n v="0"/>
    <n v="0"/>
  </r>
  <r>
    <x v="41"/>
    <x v="0"/>
    <x v="3"/>
    <m/>
    <m/>
    <m/>
    <m/>
    <m/>
    <n v="0"/>
    <m/>
    <m/>
    <n v="0"/>
    <s v=""/>
    <n v="0"/>
    <n v="0"/>
    <n v="0"/>
    <n v="116.88487613461319"/>
    <n v="2225"/>
    <n v="71535.307499999995"/>
    <n v="0"/>
    <n v="0"/>
    <n v="0"/>
    <n v="0"/>
    <n v="0"/>
    <n v="0"/>
  </r>
  <r>
    <x v="42"/>
    <x v="0"/>
    <x v="3"/>
    <m/>
    <m/>
    <m/>
    <m/>
    <m/>
    <n v="0"/>
    <m/>
    <m/>
    <n v="0"/>
    <s v=""/>
    <n v="0"/>
    <n v="0"/>
    <n v="0"/>
    <n v="116.88487613461319"/>
    <n v="2225"/>
    <n v="71535.307499999995"/>
    <n v="0"/>
    <n v="0"/>
    <n v="0"/>
    <n v="0"/>
    <n v="0"/>
    <n v="0"/>
  </r>
  <r>
    <x v="43"/>
    <x v="0"/>
    <x v="3"/>
    <m/>
    <m/>
    <m/>
    <m/>
    <m/>
    <n v="0"/>
    <m/>
    <m/>
    <n v="0"/>
    <s v=""/>
    <n v="0"/>
    <n v="0"/>
    <n v="0"/>
    <n v="116.88487613461319"/>
    <n v="2225"/>
    <n v="71535.307499999995"/>
    <n v="0"/>
    <n v="0"/>
    <n v="0"/>
    <n v="0"/>
    <n v="0"/>
    <n v="0"/>
  </r>
  <r>
    <x v="44"/>
    <x v="0"/>
    <x v="3"/>
    <m/>
    <m/>
    <m/>
    <m/>
    <m/>
    <n v="0"/>
    <m/>
    <m/>
    <n v="0"/>
    <s v=""/>
    <n v="0"/>
    <n v="0"/>
    <n v="0"/>
    <n v="116.88487613461319"/>
    <n v="2225"/>
    <n v="71535.307499999995"/>
    <n v="0"/>
    <n v="0"/>
    <n v="0"/>
    <n v="0"/>
    <n v="0"/>
    <n v="0"/>
  </r>
  <r>
    <x v="45"/>
    <x v="0"/>
    <x v="3"/>
    <m/>
    <m/>
    <m/>
    <m/>
    <m/>
    <n v="0"/>
    <m/>
    <m/>
    <n v="0"/>
    <s v=""/>
    <n v="0"/>
    <n v="0"/>
    <n v="0"/>
    <n v="116.88487613461319"/>
    <n v="2225"/>
    <n v="71535.307499999995"/>
    <n v="0"/>
    <n v="0"/>
    <n v="0"/>
    <n v="0"/>
    <n v="0"/>
    <n v="0"/>
  </r>
  <r>
    <x v="46"/>
    <x v="0"/>
    <x v="3"/>
    <m/>
    <m/>
    <m/>
    <m/>
    <m/>
    <m/>
    <m/>
    <m/>
    <m/>
    <m/>
    <m/>
    <m/>
    <m/>
    <m/>
    <m/>
    <m/>
    <m/>
    <m/>
    <m/>
    <m/>
    <m/>
    <m/>
  </r>
  <r>
    <x v="47"/>
    <x v="0"/>
    <x v="3"/>
    <m/>
    <m/>
    <m/>
    <m/>
    <m/>
    <m/>
    <m/>
    <m/>
    <m/>
    <m/>
    <m/>
    <m/>
    <m/>
    <m/>
    <m/>
    <m/>
    <m/>
    <m/>
    <m/>
    <m/>
    <m/>
    <m/>
  </r>
  <r>
    <x v="48"/>
    <x v="0"/>
    <x v="3"/>
    <m/>
    <m/>
    <m/>
    <m/>
    <m/>
    <m/>
    <m/>
    <m/>
    <m/>
    <m/>
    <m/>
    <m/>
    <m/>
    <m/>
    <m/>
    <m/>
    <m/>
    <m/>
    <m/>
    <m/>
    <m/>
    <m/>
  </r>
  <r>
    <x v="49"/>
    <x v="0"/>
    <x v="3"/>
    <m/>
    <m/>
    <m/>
    <m/>
    <m/>
    <n v="0"/>
    <m/>
    <m/>
    <n v="0"/>
    <s v=""/>
    <n v="0"/>
    <n v="0"/>
    <n v="0"/>
    <n v="116.88487613461319"/>
    <n v="2225"/>
    <n v="71535.307499999995"/>
    <n v="0"/>
    <n v="0"/>
    <n v="0"/>
    <n v="0"/>
    <n v="0"/>
    <n v="0"/>
  </r>
  <r>
    <x v="50"/>
    <x v="0"/>
    <x v="4"/>
    <m/>
    <m/>
    <m/>
    <n v="1050"/>
    <n v="3.5300000000000016"/>
    <n v="3.7065000000000019"/>
    <n v="1628"/>
    <n v="2.9"/>
    <n v="4.7211999999999996"/>
    <n v="0.27376230945635971"/>
    <n v="578"/>
    <n v="1.0146999999999977"/>
    <n v="147443.91542184967"/>
    <n v="116.88487613461319"/>
    <n v="2225"/>
    <n v="71535.307499999995"/>
    <n v="265145.61724875012"/>
    <n v="337732.49376899994"/>
    <n v="122729.11994134386"/>
    <n v="190288.57834715027"/>
    <n v="142416.49730740627"/>
    <n v="147443.91542184967"/>
  </r>
  <r>
    <x v="51"/>
    <x v="0"/>
    <x v="4"/>
    <m/>
    <m/>
    <m/>
    <n v="3150"/>
    <n v="3.5299999999999985"/>
    <n v="11.119499999999995"/>
    <n v="3412"/>
    <n v="3.53"/>
    <n v="12.044359999999999"/>
    <n v="8.3174603174603595E-2"/>
    <n v="262"/>
    <n v="0.92486000000000423"/>
    <n v="462785.7988693997"/>
    <n v="116.88487613461319"/>
    <n v="2225"/>
    <n v="71535.307499999995"/>
    <n v="795436.85174624959"/>
    <n v="861596.9962406999"/>
    <n v="368187.35982403153"/>
    <n v="398811.19737130019"/>
    <n v="427249.49192221806"/>
    <n v="462785.7988693997"/>
  </r>
  <r>
    <x v="52"/>
    <x v="0"/>
    <x v="4"/>
    <m/>
    <m/>
    <m/>
    <m/>
    <m/>
    <n v="0"/>
    <m/>
    <m/>
    <n v="0"/>
    <s v=""/>
    <n v="0"/>
    <n v="0"/>
    <n v="0"/>
    <n v="116.88487613461319"/>
    <n v="2225"/>
    <n v="71535.307499999995"/>
    <n v="0"/>
    <n v="0"/>
    <n v="0"/>
    <n v="0"/>
    <n v="0"/>
    <n v="0"/>
  </r>
  <r>
    <x v="53"/>
    <x v="0"/>
    <x v="4"/>
    <m/>
    <m/>
    <m/>
    <m/>
    <m/>
    <n v="0"/>
    <m/>
    <m/>
    <n v="0"/>
    <s v=""/>
    <n v="0"/>
    <n v="0"/>
    <n v="0"/>
    <n v="116.88487613461319"/>
    <n v="2225"/>
    <n v="71535.307499999995"/>
    <n v="0"/>
    <n v="0"/>
    <n v="0"/>
    <n v="0"/>
    <n v="0"/>
    <n v="0"/>
  </r>
  <r>
    <x v="54"/>
    <x v="0"/>
    <x v="4"/>
    <m/>
    <m/>
    <m/>
    <m/>
    <m/>
    <n v="0"/>
    <m/>
    <m/>
    <n v="0"/>
    <s v=""/>
    <n v="0"/>
    <n v="0"/>
    <n v="0"/>
    <n v="116.88487613461319"/>
    <n v="2225"/>
    <n v="71535.307499999995"/>
    <n v="0"/>
    <n v="0"/>
    <n v="0"/>
    <n v="0"/>
    <n v="0"/>
    <n v="0"/>
  </r>
  <r>
    <x v="55"/>
    <x v="0"/>
    <x v="4"/>
    <m/>
    <m/>
    <m/>
    <m/>
    <m/>
    <n v="0"/>
    <m/>
    <m/>
    <n v="0"/>
    <s v=""/>
    <n v="0"/>
    <n v="0"/>
    <n v="0"/>
    <n v="116.88487613461319"/>
    <n v="2225"/>
    <n v="71535.307499999995"/>
    <n v="0"/>
    <n v="0"/>
    <n v="0"/>
    <n v="0"/>
    <n v="0"/>
    <n v="0"/>
  </r>
  <r>
    <x v="56"/>
    <x v="0"/>
    <x v="4"/>
    <m/>
    <m/>
    <m/>
    <m/>
    <m/>
    <n v="0"/>
    <m/>
    <m/>
    <n v="0"/>
    <s v=""/>
    <n v="0"/>
    <n v="0"/>
    <n v="0"/>
    <n v="116.88487613461319"/>
    <n v="2225"/>
    <n v="71535.307499999995"/>
    <n v="0"/>
    <n v="0"/>
    <n v="0"/>
    <n v="0"/>
    <n v="0"/>
    <n v="0"/>
  </r>
  <r>
    <x v="57"/>
    <x v="0"/>
    <x v="4"/>
    <m/>
    <m/>
    <m/>
    <m/>
    <m/>
    <n v="0"/>
    <m/>
    <m/>
    <n v="0"/>
    <s v=""/>
    <n v="0"/>
    <n v="0"/>
    <n v="0"/>
    <n v="116.88487613461319"/>
    <n v="2225"/>
    <n v="71535.307499999995"/>
    <n v="0"/>
    <n v="0"/>
    <n v="0"/>
    <n v="0"/>
    <n v="0"/>
    <n v="0"/>
  </r>
  <r>
    <x v="58"/>
    <x v="0"/>
    <x v="4"/>
    <m/>
    <m/>
    <m/>
    <m/>
    <m/>
    <n v="0"/>
    <m/>
    <m/>
    <n v="0"/>
    <s v=""/>
    <n v="0"/>
    <n v="0"/>
    <n v="0"/>
    <n v="116.88487613461319"/>
    <n v="2225"/>
    <n v="71535.307499999995"/>
    <n v="0"/>
    <n v="0"/>
    <n v="0"/>
    <n v="0"/>
    <n v="0"/>
    <n v="0"/>
  </r>
  <r>
    <x v="59"/>
    <x v="0"/>
    <x v="4"/>
    <m/>
    <m/>
    <m/>
    <m/>
    <m/>
    <n v="0"/>
    <m/>
    <m/>
    <n v="0"/>
    <s v=""/>
    <n v="0"/>
    <n v="0"/>
    <n v="0"/>
    <n v="116.88487613461319"/>
    <n v="2225"/>
    <n v="71535.307499999995"/>
    <n v="0"/>
    <n v="0"/>
    <n v="0"/>
    <n v="0"/>
    <n v="0"/>
    <n v="0"/>
  </r>
  <r>
    <x v="60"/>
    <x v="0"/>
    <x v="4"/>
    <m/>
    <m/>
    <m/>
    <m/>
    <m/>
    <n v="0"/>
    <m/>
    <m/>
    <n v="0"/>
    <s v=""/>
    <n v="0"/>
    <n v="0"/>
    <n v="0"/>
    <n v="116.88487613461319"/>
    <n v="2225"/>
    <n v="71535.307499999995"/>
    <n v="0"/>
    <n v="0"/>
    <n v="0"/>
    <n v="0"/>
    <n v="0"/>
    <n v="0"/>
  </r>
  <r>
    <x v="61"/>
    <x v="0"/>
    <x v="4"/>
    <m/>
    <m/>
    <m/>
    <m/>
    <m/>
    <n v="0"/>
    <m/>
    <m/>
    <n v="0"/>
    <s v=""/>
    <n v="0"/>
    <n v="0"/>
    <n v="0"/>
    <n v="116.88487613461319"/>
    <n v="2225"/>
    <n v="71535.307499999995"/>
    <n v="0"/>
    <n v="0"/>
    <n v="0"/>
    <n v="0"/>
    <n v="0"/>
    <n v="0"/>
  </r>
  <r>
    <x v="62"/>
    <x v="0"/>
    <x v="4"/>
    <m/>
    <m/>
    <m/>
    <m/>
    <m/>
    <n v="0"/>
    <m/>
    <m/>
    <n v="0"/>
    <s v=""/>
    <n v="0"/>
    <n v="0"/>
    <n v="0"/>
    <n v="116.88487613461319"/>
    <n v="2225"/>
    <n v="71535.307499999995"/>
    <n v="0"/>
    <n v="0"/>
    <n v="0"/>
    <n v="0"/>
    <n v="0"/>
    <n v="0"/>
  </r>
  <r>
    <x v="63"/>
    <x v="0"/>
    <x v="4"/>
    <m/>
    <m/>
    <m/>
    <m/>
    <m/>
    <n v="0"/>
    <m/>
    <m/>
    <n v="0"/>
    <s v=""/>
    <n v="0"/>
    <n v="0"/>
    <n v="0"/>
    <n v="116.88487613461319"/>
    <n v="2225"/>
    <n v="71535.307499999995"/>
    <n v="0"/>
    <n v="0"/>
    <n v="0"/>
    <n v="0"/>
    <n v="0"/>
    <n v="0"/>
  </r>
  <r>
    <x v="64"/>
    <x v="0"/>
    <x v="4"/>
    <m/>
    <m/>
    <m/>
    <m/>
    <m/>
    <n v="0"/>
    <m/>
    <m/>
    <n v="0"/>
    <s v=""/>
    <n v="0"/>
    <n v="0"/>
    <n v="0"/>
    <n v="116.88487613461319"/>
    <n v="2225"/>
    <n v="71535.307499999995"/>
    <n v="0"/>
    <n v="0"/>
    <n v="0"/>
    <n v="0"/>
    <n v="0"/>
    <n v="0"/>
  </r>
  <r>
    <x v="65"/>
    <x v="0"/>
    <x v="4"/>
    <m/>
    <m/>
    <m/>
    <m/>
    <m/>
    <n v="0"/>
    <m/>
    <m/>
    <n v="0"/>
    <s v=""/>
    <n v="0"/>
    <n v="0"/>
    <n v="0"/>
    <n v="116.88487613461319"/>
    <n v="2225"/>
    <n v="71535.307499999995"/>
    <n v="0"/>
    <n v="0"/>
    <n v="0"/>
    <n v="0"/>
    <n v="0"/>
    <n v="0"/>
  </r>
  <r>
    <x v="66"/>
    <x v="0"/>
    <x v="4"/>
    <m/>
    <m/>
    <m/>
    <m/>
    <m/>
    <n v="0"/>
    <m/>
    <m/>
    <n v="0"/>
    <s v=""/>
    <n v="0"/>
    <n v="0"/>
    <n v="0"/>
    <n v="116.88487613461319"/>
    <n v="2225"/>
    <n v="71535.307499999995"/>
    <n v="0"/>
    <n v="0"/>
    <n v="0"/>
    <n v="0"/>
    <n v="0"/>
    <n v="0"/>
  </r>
  <r>
    <x v="67"/>
    <x v="0"/>
    <x v="4"/>
    <m/>
    <m/>
    <m/>
    <m/>
    <m/>
    <n v="0"/>
    <m/>
    <m/>
    <n v="0"/>
    <s v=""/>
    <n v="0"/>
    <n v="0"/>
    <n v="0"/>
    <n v="116.88487613461319"/>
    <n v="2225"/>
    <n v="71535.307499999995"/>
    <n v="0"/>
    <n v="0"/>
    <n v="0"/>
    <n v="0"/>
    <n v="0"/>
    <n v="0"/>
  </r>
  <r>
    <x v="68"/>
    <x v="0"/>
    <x v="4"/>
    <m/>
    <m/>
    <m/>
    <m/>
    <m/>
    <n v="0"/>
    <m/>
    <m/>
    <n v="0"/>
    <s v=""/>
    <n v="0"/>
    <n v="0"/>
    <n v="0"/>
    <n v="116.88487613461319"/>
    <n v="2225"/>
    <n v="71535.307499999995"/>
    <n v="0"/>
    <n v="0"/>
    <n v="0"/>
    <n v="0"/>
    <n v="0"/>
    <n v="0"/>
  </r>
  <r>
    <x v="69"/>
    <x v="0"/>
    <x v="4"/>
    <m/>
    <m/>
    <m/>
    <m/>
    <m/>
    <n v="0"/>
    <m/>
    <m/>
    <n v="0"/>
    <s v=""/>
    <n v="0"/>
    <n v="0"/>
    <n v="0"/>
    <n v="116.88487613461319"/>
    <n v="2225"/>
    <n v="71535.307499999995"/>
    <n v="0"/>
    <n v="0"/>
    <n v="0"/>
    <n v="0"/>
    <n v="0"/>
    <n v="0"/>
  </r>
  <r>
    <x v="70"/>
    <x v="0"/>
    <x v="5"/>
    <m/>
    <m/>
    <m/>
    <m/>
    <m/>
    <n v="0"/>
    <m/>
    <m/>
    <n v="0"/>
    <s v=""/>
    <n v="0"/>
    <n v="0"/>
    <n v="0"/>
    <n v="116.88487613461319"/>
    <n v="2225"/>
    <n v="71535.307499999995"/>
    <n v="0"/>
    <n v="0"/>
    <n v="0"/>
    <n v="0"/>
    <n v="0"/>
    <n v="0"/>
  </r>
  <r>
    <x v="71"/>
    <x v="0"/>
    <x v="5"/>
    <m/>
    <m/>
    <m/>
    <m/>
    <m/>
    <n v="0"/>
    <m/>
    <m/>
    <n v="0"/>
    <s v=""/>
    <n v="0"/>
    <n v="0"/>
    <n v="0"/>
    <n v="116.88487613461319"/>
    <n v="2225"/>
    <n v="71535.307499999995"/>
    <n v="0"/>
    <n v="0"/>
    <n v="0"/>
    <n v="0"/>
    <n v="0"/>
    <n v="0"/>
  </r>
  <r>
    <x v="72"/>
    <x v="0"/>
    <x v="5"/>
    <m/>
    <m/>
    <m/>
    <m/>
    <m/>
    <m/>
    <m/>
    <m/>
    <m/>
    <m/>
    <m/>
    <m/>
    <m/>
    <m/>
    <m/>
    <m/>
    <m/>
    <m/>
    <m/>
    <m/>
    <m/>
    <m/>
  </r>
  <r>
    <x v="73"/>
    <x v="0"/>
    <x v="5"/>
    <m/>
    <m/>
    <m/>
    <m/>
    <m/>
    <n v="0"/>
    <m/>
    <m/>
    <n v="0"/>
    <s v=""/>
    <n v="0"/>
    <n v="0"/>
    <n v="0"/>
    <n v="116.88487613461319"/>
    <n v="2225"/>
    <n v="71535.307499999995"/>
    <n v="0"/>
    <n v="0"/>
    <n v="0"/>
    <n v="0"/>
    <n v="0"/>
    <n v="0"/>
  </r>
  <r>
    <x v="74"/>
    <x v="0"/>
    <x v="5"/>
    <m/>
    <m/>
    <m/>
    <m/>
    <m/>
    <m/>
    <m/>
    <m/>
    <m/>
    <m/>
    <m/>
    <m/>
    <m/>
    <m/>
    <m/>
    <m/>
    <m/>
    <m/>
    <m/>
    <m/>
    <m/>
    <m/>
  </r>
  <r>
    <x v="75"/>
    <x v="0"/>
    <x v="5"/>
    <m/>
    <m/>
    <m/>
    <m/>
    <m/>
    <n v="0"/>
    <m/>
    <m/>
    <n v="0"/>
    <s v=""/>
    <n v="0"/>
    <n v="0"/>
    <n v="0"/>
    <n v="116.88487613461319"/>
    <n v="2225"/>
    <n v="71535.307499999995"/>
    <n v="0"/>
    <n v="0"/>
    <n v="0"/>
    <n v="0"/>
    <n v="0"/>
    <n v="0"/>
  </r>
  <r>
    <x v="76"/>
    <x v="0"/>
    <x v="5"/>
    <m/>
    <m/>
    <m/>
    <m/>
    <m/>
    <n v="0"/>
    <m/>
    <m/>
    <n v="0"/>
    <s v=""/>
    <n v="0"/>
    <n v="0"/>
    <n v="0"/>
    <n v="116.88487613461319"/>
    <n v="2225"/>
    <n v="71535.307499999995"/>
    <n v="0"/>
    <n v="0"/>
    <n v="0"/>
    <n v="0"/>
    <n v="0"/>
    <n v="0"/>
  </r>
  <r>
    <x v="77"/>
    <x v="0"/>
    <x v="5"/>
    <m/>
    <m/>
    <m/>
    <m/>
    <m/>
    <n v="0"/>
    <m/>
    <m/>
    <n v="0"/>
    <s v=""/>
    <n v="0"/>
    <n v="0"/>
    <n v="0"/>
    <n v="116.88487613461319"/>
    <n v="2225"/>
    <n v="71535.307499999995"/>
    <n v="0"/>
    <n v="0"/>
    <n v="0"/>
    <n v="0"/>
    <n v="0"/>
    <n v="0"/>
  </r>
  <r>
    <x v="78"/>
    <x v="0"/>
    <x v="5"/>
    <m/>
    <m/>
    <m/>
    <m/>
    <m/>
    <n v="0"/>
    <m/>
    <m/>
    <n v="0"/>
    <s v=""/>
    <n v="0"/>
    <n v="0"/>
    <n v="0"/>
    <n v="116.88487613461319"/>
    <n v="2225"/>
    <n v="71535.307499999995"/>
    <n v="0"/>
    <n v="0"/>
    <n v="0"/>
    <n v="0"/>
    <n v="0"/>
    <n v="0"/>
  </r>
  <r>
    <x v="79"/>
    <x v="0"/>
    <x v="5"/>
    <m/>
    <m/>
    <m/>
    <m/>
    <m/>
    <n v="0"/>
    <m/>
    <m/>
    <n v="0"/>
    <s v=""/>
    <n v="0"/>
    <n v="0"/>
    <n v="0"/>
    <n v="116.88487613461319"/>
    <n v="2225"/>
    <n v="71535.307499999995"/>
    <n v="0"/>
    <n v="0"/>
    <n v="0"/>
    <n v="0"/>
    <n v="0"/>
    <n v="0"/>
  </r>
  <r>
    <x v="80"/>
    <x v="0"/>
    <x v="5"/>
    <m/>
    <m/>
    <m/>
    <m/>
    <m/>
    <n v="0"/>
    <m/>
    <m/>
    <n v="0"/>
    <s v=""/>
    <n v="0"/>
    <n v="0"/>
    <n v="0"/>
    <n v="116.88487613461319"/>
    <n v="2225"/>
    <n v="71535.307499999995"/>
    <n v="0"/>
    <n v="0"/>
    <n v="0"/>
    <n v="0"/>
    <n v="0"/>
    <n v="0"/>
  </r>
  <r>
    <x v="81"/>
    <x v="0"/>
    <x v="5"/>
    <m/>
    <m/>
    <m/>
    <m/>
    <m/>
    <n v="0"/>
    <m/>
    <m/>
    <n v="0"/>
    <s v=""/>
    <n v="0"/>
    <n v="0"/>
    <n v="0"/>
    <n v="116.88487613461319"/>
    <n v="2225"/>
    <n v="71535.307499999995"/>
    <n v="0"/>
    <n v="0"/>
    <n v="0"/>
    <n v="0"/>
    <n v="0"/>
    <n v="0"/>
  </r>
  <r>
    <x v="82"/>
    <x v="0"/>
    <x v="5"/>
    <m/>
    <m/>
    <m/>
    <m/>
    <m/>
    <n v="0"/>
    <m/>
    <m/>
    <n v="0"/>
    <s v=""/>
    <n v="0"/>
    <n v="0"/>
    <n v="0"/>
    <n v="116.88487613461319"/>
    <n v="2225"/>
    <n v="71535.307499999995"/>
    <n v="0"/>
    <n v="0"/>
    <n v="0"/>
    <n v="0"/>
    <n v="0"/>
    <n v="0"/>
  </r>
  <r>
    <x v="83"/>
    <x v="0"/>
    <x v="5"/>
    <m/>
    <m/>
    <m/>
    <m/>
    <m/>
    <n v="0"/>
    <m/>
    <m/>
    <n v="0"/>
    <s v=""/>
    <n v="0"/>
    <n v="0"/>
    <n v="0"/>
    <n v="116.88487613461319"/>
    <n v="2225"/>
    <n v="71535.307499999995"/>
    <n v="0"/>
    <n v="0"/>
    <n v="0"/>
    <n v="0"/>
    <n v="0"/>
    <n v="0"/>
  </r>
  <r>
    <x v="84"/>
    <x v="0"/>
    <x v="5"/>
    <m/>
    <m/>
    <m/>
    <m/>
    <m/>
    <n v="0"/>
    <m/>
    <m/>
    <n v="0"/>
    <s v=""/>
    <n v="0"/>
    <n v="0"/>
    <n v="0"/>
    <n v="116.88487613461319"/>
    <n v="2225"/>
    <n v="71535.307499999995"/>
    <n v="0"/>
    <n v="0"/>
    <n v="0"/>
    <n v="0"/>
    <n v="0"/>
    <n v="0"/>
  </r>
  <r>
    <x v="85"/>
    <x v="0"/>
    <x v="5"/>
    <m/>
    <m/>
    <m/>
    <m/>
    <m/>
    <n v="0"/>
    <m/>
    <m/>
    <n v="0"/>
    <s v=""/>
    <n v="0"/>
    <n v="0"/>
    <n v="0"/>
    <n v="116.88487613461319"/>
    <n v="2225"/>
    <n v="71535.307499999995"/>
    <n v="0"/>
    <n v="0"/>
    <n v="0"/>
    <n v="0"/>
    <n v="0"/>
    <n v="0"/>
  </r>
  <r>
    <x v="86"/>
    <x v="0"/>
    <x v="5"/>
    <m/>
    <m/>
    <m/>
    <m/>
    <m/>
    <n v="0"/>
    <m/>
    <m/>
    <n v="0"/>
    <s v=""/>
    <n v="0"/>
    <n v="0"/>
    <n v="0"/>
    <n v="116.88487613461319"/>
    <n v="2225"/>
    <n v="71535.307499999995"/>
    <n v="0"/>
    <n v="0"/>
    <n v="0"/>
    <n v="0"/>
    <n v="0"/>
    <n v="0"/>
  </r>
  <r>
    <x v="87"/>
    <x v="0"/>
    <x v="5"/>
    <m/>
    <m/>
    <m/>
    <m/>
    <m/>
    <n v="0"/>
    <m/>
    <m/>
    <n v="0"/>
    <s v=""/>
    <n v="0"/>
    <n v="0"/>
    <n v="0"/>
    <n v="116.88487613461319"/>
    <n v="2225"/>
    <n v="71535.307499999995"/>
    <n v="0"/>
    <n v="0"/>
    <n v="0"/>
    <n v="0"/>
    <n v="0"/>
    <n v="0"/>
  </r>
  <r>
    <x v="88"/>
    <x v="0"/>
    <x v="5"/>
    <m/>
    <m/>
    <m/>
    <m/>
    <m/>
    <n v="0"/>
    <m/>
    <m/>
    <n v="0"/>
    <s v=""/>
    <n v="0"/>
    <n v="0"/>
    <n v="0"/>
    <n v="116.88487613461319"/>
    <n v="2225"/>
    <n v="71535.307499999995"/>
    <n v="0"/>
    <n v="0"/>
    <n v="0"/>
    <n v="0"/>
    <n v="0"/>
    <n v="0"/>
  </r>
  <r>
    <x v="89"/>
    <x v="0"/>
    <x v="5"/>
    <m/>
    <m/>
    <m/>
    <m/>
    <m/>
    <n v="0"/>
    <m/>
    <m/>
    <n v="0"/>
    <s v=""/>
    <n v="0"/>
    <n v="0"/>
    <n v="0"/>
    <n v="116.88487613461319"/>
    <n v="2225"/>
    <n v="71535.307499999995"/>
    <n v="0"/>
    <n v="0"/>
    <n v="0"/>
    <n v="0"/>
    <n v="0"/>
    <n v="0"/>
  </r>
  <r>
    <x v="90"/>
    <x v="0"/>
    <x v="5"/>
    <m/>
    <m/>
    <m/>
    <m/>
    <m/>
    <n v="0"/>
    <m/>
    <m/>
    <n v="0"/>
    <s v=""/>
    <n v="0"/>
    <n v="0"/>
    <n v="0"/>
    <n v="116.88487613461319"/>
    <n v="2225"/>
    <n v="71535.307499999995"/>
    <n v="0"/>
    <n v="0"/>
    <n v="0"/>
    <n v="0"/>
    <n v="0"/>
    <n v="0"/>
  </r>
  <r>
    <x v="91"/>
    <x v="0"/>
    <x v="5"/>
    <m/>
    <m/>
    <m/>
    <m/>
    <m/>
    <n v="0"/>
    <m/>
    <m/>
    <n v="0"/>
    <s v=""/>
    <n v="0"/>
    <n v="0"/>
    <n v="0"/>
    <n v="116.88487613461319"/>
    <n v="2225"/>
    <n v="71535.307499999995"/>
    <n v="0"/>
    <n v="0"/>
    <n v="0"/>
    <n v="0"/>
    <n v="0"/>
    <n v="0"/>
  </r>
  <r>
    <x v="92"/>
    <x v="0"/>
    <x v="5"/>
    <m/>
    <m/>
    <m/>
    <m/>
    <m/>
    <n v="0"/>
    <m/>
    <m/>
    <n v="0"/>
    <s v=""/>
    <n v="0"/>
    <n v="0"/>
    <n v="0"/>
    <n v="116.88487613461319"/>
    <n v="2225"/>
    <n v="71535.307499999995"/>
    <n v="0"/>
    <n v="0"/>
    <n v="0"/>
    <n v="0"/>
    <n v="0"/>
    <n v="0"/>
  </r>
  <r>
    <x v="93"/>
    <x v="0"/>
    <x v="5"/>
    <m/>
    <m/>
    <m/>
    <m/>
    <m/>
    <n v="0"/>
    <m/>
    <m/>
    <n v="0"/>
    <s v=""/>
    <n v="0"/>
    <n v="0"/>
    <n v="0"/>
    <n v="116.88487613461319"/>
    <n v="2225"/>
    <n v="71535.307499999995"/>
    <n v="0"/>
    <n v="0"/>
    <n v="0"/>
    <n v="0"/>
    <n v="0"/>
    <n v="0"/>
  </r>
  <r>
    <x v="94"/>
    <x v="0"/>
    <x v="5"/>
    <m/>
    <m/>
    <m/>
    <m/>
    <m/>
    <n v="0"/>
    <m/>
    <m/>
    <n v="0"/>
    <s v=""/>
    <n v="0"/>
    <n v="0"/>
    <n v="0"/>
    <n v="116.88487613461319"/>
    <n v="2225"/>
    <n v="71535.307499999995"/>
    <n v="0"/>
    <n v="0"/>
    <n v="0"/>
    <n v="0"/>
    <n v="0"/>
    <n v="0"/>
  </r>
  <r>
    <x v="95"/>
    <x v="0"/>
    <x v="5"/>
    <m/>
    <m/>
    <m/>
    <m/>
    <m/>
    <n v="0"/>
    <m/>
    <m/>
    <n v="0"/>
    <s v=""/>
    <n v="0"/>
    <n v="0"/>
    <n v="0"/>
    <n v="116.88487613461319"/>
    <n v="2225"/>
    <n v="71535.307499999995"/>
    <n v="0"/>
    <n v="0"/>
    <n v="0"/>
    <n v="0"/>
    <n v="0"/>
    <n v="0"/>
  </r>
  <r>
    <x v="96"/>
    <x v="0"/>
    <x v="5"/>
    <m/>
    <m/>
    <m/>
    <m/>
    <m/>
    <n v="0"/>
    <m/>
    <m/>
    <n v="0"/>
    <s v=""/>
    <n v="0"/>
    <n v="0"/>
    <n v="0"/>
    <n v="116.88487613461319"/>
    <n v="2225"/>
    <n v="71535.307499999995"/>
    <n v="0"/>
    <n v="0"/>
    <n v="0"/>
    <n v="0"/>
    <n v="0"/>
    <n v="0"/>
  </r>
  <r>
    <x v="97"/>
    <x v="0"/>
    <x v="5"/>
    <m/>
    <m/>
    <m/>
    <m/>
    <m/>
    <n v="0"/>
    <m/>
    <m/>
    <n v="0"/>
    <s v=""/>
    <n v="0"/>
    <n v="0"/>
    <n v="0"/>
    <n v="116.88487613461319"/>
    <n v="2225"/>
    <n v="71535.307499999995"/>
    <n v="0"/>
    <n v="0"/>
    <n v="0"/>
    <n v="0"/>
    <n v="0"/>
    <n v="0"/>
  </r>
  <r>
    <x v="98"/>
    <x v="0"/>
    <x v="6"/>
    <m/>
    <m/>
    <m/>
    <m/>
    <m/>
    <n v="0"/>
    <m/>
    <m/>
    <n v="0"/>
    <s v=""/>
    <n v="0"/>
    <n v="0"/>
    <n v="0"/>
    <n v="116.88487613461319"/>
    <n v="2225"/>
    <n v="71535.307499999995"/>
    <n v="0"/>
    <n v="0"/>
    <n v="0"/>
    <n v="0"/>
    <n v="0"/>
    <n v="0"/>
  </r>
  <r>
    <x v="99"/>
    <x v="0"/>
    <x v="6"/>
    <m/>
    <m/>
    <m/>
    <m/>
    <m/>
    <n v="0"/>
    <m/>
    <m/>
    <n v="0"/>
    <s v=""/>
    <n v="0"/>
    <n v="0"/>
    <n v="0"/>
    <n v="116.88487613461319"/>
    <n v="2225"/>
    <n v="71535.307499999995"/>
    <n v="0"/>
    <n v="0"/>
    <n v="0"/>
    <n v="0"/>
    <n v="0"/>
    <n v="0"/>
  </r>
  <r>
    <x v="100"/>
    <x v="0"/>
    <x v="6"/>
    <m/>
    <m/>
    <m/>
    <m/>
    <m/>
    <n v="0"/>
    <m/>
    <m/>
    <n v="0"/>
    <s v=""/>
    <n v="0"/>
    <n v="0"/>
    <n v="0"/>
    <n v="116.88487613461319"/>
    <n v="2225"/>
    <n v="71535.307499999995"/>
    <n v="0"/>
    <n v="0"/>
    <n v="0"/>
    <n v="0"/>
    <n v="0"/>
    <n v="0"/>
  </r>
  <r>
    <x v="101"/>
    <x v="0"/>
    <x v="6"/>
    <m/>
    <m/>
    <m/>
    <m/>
    <m/>
    <n v="0"/>
    <m/>
    <m/>
    <n v="0"/>
    <s v=""/>
    <n v="0"/>
    <n v="0"/>
    <n v="0"/>
    <n v="116.88487613461319"/>
    <n v="2225"/>
    <n v="71535.307499999995"/>
    <n v="0"/>
    <n v="0"/>
    <n v="0"/>
    <n v="0"/>
    <n v="0"/>
    <n v="0"/>
  </r>
  <r>
    <x v="102"/>
    <x v="0"/>
    <x v="6"/>
    <m/>
    <m/>
    <m/>
    <m/>
    <m/>
    <n v="0"/>
    <m/>
    <m/>
    <n v="0"/>
    <s v=""/>
    <n v="0"/>
    <n v="0"/>
    <n v="0"/>
    <n v="116.88487613461319"/>
    <n v="2225"/>
    <n v="71535.307499999995"/>
    <n v="0"/>
    <n v="0"/>
    <n v="0"/>
    <n v="0"/>
    <n v="0"/>
    <n v="0"/>
  </r>
  <r>
    <x v="103"/>
    <x v="0"/>
    <x v="6"/>
    <m/>
    <m/>
    <m/>
    <m/>
    <m/>
    <n v="0"/>
    <m/>
    <m/>
    <n v="0"/>
    <s v=""/>
    <n v="0"/>
    <n v="0"/>
    <n v="0"/>
    <n v="116.88487613461319"/>
    <n v="2225"/>
    <n v="71535.307499999995"/>
    <n v="0"/>
    <n v="0"/>
    <n v="0"/>
    <n v="0"/>
    <n v="0"/>
    <n v="0"/>
  </r>
  <r>
    <x v="104"/>
    <x v="0"/>
    <x v="6"/>
    <m/>
    <m/>
    <m/>
    <m/>
    <m/>
    <n v="0"/>
    <m/>
    <m/>
    <n v="0"/>
    <s v=""/>
    <n v="0"/>
    <n v="0"/>
    <n v="0"/>
    <n v="116.88487613461319"/>
    <n v="2225"/>
    <n v="71535.307499999995"/>
    <n v="0"/>
    <n v="0"/>
    <n v="0"/>
    <n v="0"/>
    <n v="0"/>
    <n v="0"/>
  </r>
  <r>
    <x v="105"/>
    <x v="0"/>
    <x v="6"/>
    <m/>
    <m/>
    <m/>
    <m/>
    <m/>
    <n v="0"/>
    <m/>
    <m/>
    <n v="0"/>
    <s v=""/>
    <n v="0"/>
    <n v="0"/>
    <n v="0"/>
    <n v="116.88487613461319"/>
    <n v="2225"/>
    <n v="71535.307499999995"/>
    <n v="0"/>
    <n v="0"/>
    <n v="0"/>
    <n v="0"/>
    <n v="0"/>
    <n v="0"/>
  </r>
  <r>
    <x v="106"/>
    <x v="0"/>
    <x v="6"/>
    <m/>
    <m/>
    <m/>
    <m/>
    <m/>
    <n v="0"/>
    <m/>
    <m/>
    <n v="0"/>
    <s v=""/>
    <n v="0"/>
    <n v="0"/>
    <n v="0"/>
    <n v="116.88487613461319"/>
    <n v="2225"/>
    <n v="71535.307499999995"/>
    <n v="0"/>
    <n v="0"/>
    <n v="0"/>
    <n v="0"/>
    <n v="0"/>
    <n v="0"/>
  </r>
  <r>
    <x v="107"/>
    <x v="0"/>
    <x v="6"/>
    <m/>
    <m/>
    <m/>
    <m/>
    <m/>
    <n v="0"/>
    <m/>
    <m/>
    <n v="0"/>
    <s v=""/>
    <n v="0"/>
    <n v="0"/>
    <n v="0"/>
    <n v="116.88487613461319"/>
    <n v="2225"/>
    <n v="71535.307499999995"/>
    <n v="0"/>
    <n v="0"/>
    <n v="0"/>
    <n v="0"/>
    <n v="0"/>
    <n v="0"/>
  </r>
  <r>
    <x v="108"/>
    <x v="0"/>
    <x v="6"/>
    <m/>
    <m/>
    <m/>
    <m/>
    <m/>
    <n v="0"/>
    <m/>
    <m/>
    <n v="0"/>
    <s v=""/>
    <n v="0"/>
    <n v="0"/>
    <n v="0"/>
    <n v="116.88487613461319"/>
    <n v="2225"/>
    <n v="71535.307499999995"/>
    <n v="0"/>
    <n v="0"/>
    <n v="0"/>
    <n v="0"/>
    <n v="0"/>
    <n v="0"/>
  </r>
  <r>
    <x v="109"/>
    <x v="0"/>
    <x v="6"/>
    <m/>
    <m/>
    <m/>
    <m/>
    <m/>
    <n v="0"/>
    <m/>
    <m/>
    <n v="0"/>
    <s v=""/>
    <n v="0"/>
    <n v="0"/>
    <n v="0"/>
    <n v="116.88487613461319"/>
    <n v="2225"/>
    <n v="71535.307499999995"/>
    <n v="0"/>
    <n v="0"/>
    <n v="0"/>
    <n v="0"/>
    <n v="0"/>
    <n v="0"/>
  </r>
  <r>
    <x v="110"/>
    <x v="0"/>
    <x v="7"/>
    <m/>
    <m/>
    <m/>
    <m/>
    <m/>
    <n v="0"/>
    <m/>
    <m/>
    <n v="0"/>
    <s v=""/>
    <n v="0"/>
    <n v="0"/>
    <n v="0"/>
    <n v="116.88487613461319"/>
    <n v="2225"/>
    <n v="71535.307499999995"/>
    <n v="0"/>
    <n v="0"/>
    <n v="0"/>
    <n v="0"/>
    <n v="0"/>
    <n v="0"/>
  </r>
  <r>
    <x v="111"/>
    <x v="0"/>
    <x v="7"/>
    <m/>
    <m/>
    <m/>
    <m/>
    <m/>
    <n v="0"/>
    <m/>
    <m/>
    <n v="0"/>
    <s v=""/>
    <n v="0"/>
    <n v="0"/>
    <n v="0"/>
    <n v="116.88487613461319"/>
    <n v="2225"/>
    <n v="71535.307499999995"/>
    <n v="0"/>
    <n v="0"/>
    <n v="0"/>
    <n v="0"/>
    <n v="0"/>
    <n v="0"/>
  </r>
  <r>
    <x v="112"/>
    <x v="0"/>
    <x v="7"/>
    <m/>
    <m/>
    <m/>
    <m/>
    <m/>
    <n v="0"/>
    <m/>
    <m/>
    <n v="0"/>
    <s v=""/>
    <n v="0"/>
    <n v="0"/>
    <n v="0"/>
    <n v="116.88487613461319"/>
    <n v="2225"/>
    <n v="71535.307499999995"/>
    <n v="0"/>
    <n v="0"/>
    <n v="0"/>
    <n v="0"/>
    <n v="0"/>
    <n v="0"/>
  </r>
  <r>
    <x v="113"/>
    <x v="0"/>
    <x v="7"/>
    <m/>
    <m/>
    <m/>
    <m/>
    <m/>
    <n v="0"/>
    <m/>
    <m/>
    <n v="0"/>
    <s v=""/>
    <n v="0"/>
    <n v="0"/>
    <n v="0"/>
    <n v="116.88487613461319"/>
    <n v="2225"/>
    <n v="71535.307499999995"/>
    <n v="0"/>
    <n v="0"/>
    <n v="0"/>
    <n v="0"/>
    <n v="0"/>
    <n v="0"/>
  </r>
  <r>
    <x v="114"/>
    <x v="0"/>
    <x v="7"/>
    <m/>
    <m/>
    <m/>
    <m/>
    <m/>
    <n v="0"/>
    <m/>
    <m/>
    <n v="0"/>
    <s v=""/>
    <n v="0"/>
    <n v="0"/>
    <n v="0"/>
    <n v="116.88487613461319"/>
    <n v="2225"/>
    <n v="71535.307499999995"/>
    <n v="0"/>
    <n v="0"/>
    <n v="0"/>
    <n v="0"/>
    <n v="0"/>
    <n v="0"/>
  </r>
  <r>
    <x v="115"/>
    <x v="0"/>
    <x v="7"/>
    <m/>
    <m/>
    <m/>
    <m/>
    <m/>
    <n v="0"/>
    <m/>
    <m/>
    <n v="0"/>
    <s v=""/>
    <n v="0"/>
    <n v="0"/>
    <n v="0"/>
    <n v="116.88487613461319"/>
    <n v="2225"/>
    <n v="71535.307499999995"/>
    <n v="0"/>
    <n v="0"/>
    <n v="0"/>
    <n v="0"/>
    <n v="0"/>
    <n v="0"/>
  </r>
  <r>
    <x v="116"/>
    <x v="0"/>
    <x v="7"/>
    <m/>
    <m/>
    <m/>
    <m/>
    <m/>
    <n v="0"/>
    <m/>
    <m/>
    <n v="0"/>
    <s v=""/>
    <n v="0"/>
    <n v="0"/>
    <n v="0"/>
    <n v="116.88487613461319"/>
    <n v="2225"/>
    <n v="71535.307499999995"/>
    <n v="0"/>
    <n v="0"/>
    <n v="0"/>
    <n v="0"/>
    <n v="0"/>
    <n v="0"/>
  </r>
  <r>
    <x v="117"/>
    <x v="0"/>
    <x v="7"/>
    <m/>
    <m/>
    <m/>
    <m/>
    <m/>
    <n v="0"/>
    <m/>
    <m/>
    <n v="0"/>
    <s v=""/>
    <n v="0"/>
    <n v="0"/>
    <n v="0"/>
    <n v="116.88487613461319"/>
    <n v="2225"/>
    <n v="71535.307499999995"/>
    <n v="0"/>
    <n v="0"/>
    <n v="0"/>
    <n v="0"/>
    <n v="0"/>
    <n v="0"/>
  </r>
  <r>
    <x v="118"/>
    <x v="0"/>
    <x v="7"/>
    <m/>
    <m/>
    <m/>
    <m/>
    <m/>
    <n v="0"/>
    <m/>
    <m/>
    <n v="0"/>
    <s v=""/>
    <n v="0"/>
    <n v="0"/>
    <n v="0"/>
    <n v="116.88487613461319"/>
    <n v="2225"/>
    <n v="71535.307499999995"/>
    <n v="0"/>
    <n v="0"/>
    <n v="0"/>
    <n v="0"/>
    <n v="0"/>
    <n v="0"/>
  </r>
  <r>
    <x v="119"/>
    <x v="0"/>
    <x v="7"/>
    <m/>
    <m/>
    <m/>
    <m/>
    <m/>
    <n v="0"/>
    <m/>
    <m/>
    <n v="0"/>
    <s v=""/>
    <n v="0"/>
    <n v="0"/>
    <n v="0"/>
    <n v="116.88487613461319"/>
    <n v="2225"/>
    <n v="71535.307499999995"/>
    <n v="0"/>
    <n v="0"/>
    <n v="0"/>
    <n v="0"/>
    <n v="0"/>
    <n v="0"/>
  </r>
  <r>
    <x v="120"/>
    <x v="0"/>
    <x v="7"/>
    <m/>
    <m/>
    <m/>
    <m/>
    <m/>
    <n v="0"/>
    <m/>
    <m/>
    <n v="0"/>
    <s v=""/>
    <n v="0"/>
    <n v="0"/>
    <n v="0"/>
    <n v="116.88487613461319"/>
    <n v="2225"/>
    <n v="71535.307499999995"/>
    <n v="0"/>
    <n v="0"/>
    <n v="0"/>
    <n v="0"/>
    <n v="0"/>
    <n v="0"/>
  </r>
  <r>
    <x v="121"/>
    <x v="0"/>
    <x v="7"/>
    <m/>
    <m/>
    <m/>
    <m/>
    <m/>
    <n v="0"/>
    <m/>
    <m/>
    <n v="0"/>
    <s v=""/>
    <n v="0"/>
    <n v="0"/>
    <n v="0"/>
    <n v="116.88487613461319"/>
    <n v="2225"/>
    <n v="71535.307499999995"/>
    <n v="0"/>
    <n v="0"/>
    <n v="0"/>
    <n v="0"/>
    <n v="0"/>
    <n v="0"/>
  </r>
  <r>
    <x v="122"/>
    <x v="0"/>
    <x v="7"/>
    <m/>
    <m/>
    <m/>
    <m/>
    <m/>
    <n v="0"/>
    <m/>
    <m/>
    <n v="0"/>
    <s v=""/>
    <n v="0"/>
    <n v="0"/>
    <n v="0"/>
    <n v="116.88487613461319"/>
    <n v="2225"/>
    <n v="71535.307499999995"/>
    <n v="0"/>
    <n v="0"/>
    <n v="0"/>
    <n v="0"/>
    <n v="0"/>
    <n v="0"/>
  </r>
  <r>
    <x v="123"/>
    <x v="0"/>
    <x v="7"/>
    <m/>
    <m/>
    <m/>
    <m/>
    <m/>
    <n v="0"/>
    <m/>
    <m/>
    <n v="0"/>
    <s v=""/>
    <n v="0"/>
    <n v="0"/>
    <n v="0"/>
    <n v="116.88487613461319"/>
    <n v="2225"/>
    <n v="71535.307499999995"/>
    <n v="0"/>
    <n v="0"/>
    <n v="0"/>
    <n v="0"/>
    <n v="0"/>
    <n v="0"/>
  </r>
  <r>
    <x v="124"/>
    <x v="0"/>
    <x v="7"/>
    <m/>
    <m/>
    <m/>
    <m/>
    <m/>
    <n v="0"/>
    <m/>
    <m/>
    <n v="0"/>
    <s v=""/>
    <n v="0"/>
    <n v="0"/>
    <n v="0"/>
    <n v="116.88487613461319"/>
    <n v="2225"/>
    <n v="71535.307499999995"/>
    <n v="0"/>
    <n v="0"/>
    <n v="0"/>
    <n v="0"/>
    <n v="0"/>
    <n v="0"/>
  </r>
  <r>
    <x v="125"/>
    <x v="0"/>
    <x v="7"/>
    <m/>
    <m/>
    <m/>
    <m/>
    <m/>
    <n v="0"/>
    <m/>
    <m/>
    <n v="0"/>
    <s v=""/>
    <n v="0"/>
    <n v="0"/>
    <n v="0"/>
    <n v="116.88487613461319"/>
    <n v="2225"/>
    <n v="71535.307499999995"/>
    <n v="0"/>
    <n v="0"/>
    <n v="0"/>
    <n v="0"/>
    <n v="0"/>
    <n v="0"/>
  </r>
  <r>
    <x v="126"/>
    <x v="0"/>
    <x v="7"/>
    <m/>
    <m/>
    <m/>
    <m/>
    <m/>
    <n v="0"/>
    <m/>
    <m/>
    <n v="0"/>
    <s v=""/>
    <n v="0"/>
    <n v="0"/>
    <n v="0"/>
    <n v="116.88487613461319"/>
    <n v="2225"/>
    <n v="71535.307499999995"/>
    <n v="0"/>
    <n v="0"/>
    <n v="0"/>
    <n v="0"/>
    <n v="0"/>
    <n v="0"/>
  </r>
  <r>
    <x v="127"/>
    <x v="0"/>
    <x v="7"/>
    <m/>
    <m/>
    <m/>
    <m/>
    <m/>
    <n v="0"/>
    <m/>
    <m/>
    <n v="0"/>
    <s v=""/>
    <n v="0"/>
    <n v="0"/>
    <n v="0"/>
    <n v="116.88487613461319"/>
    <n v="2225"/>
    <n v="71535.307499999995"/>
    <n v="0"/>
    <n v="0"/>
    <n v="0"/>
    <n v="0"/>
    <n v="0"/>
    <n v="0"/>
  </r>
  <r>
    <x v="0"/>
    <x v="1"/>
    <x v="0"/>
    <m/>
    <m/>
    <m/>
    <m/>
    <m/>
    <n v="0"/>
    <m/>
    <m/>
    <n v="0"/>
    <s v=""/>
    <n v="0"/>
    <n v="0"/>
    <n v="0"/>
    <n v="116.88487613461319"/>
    <n v="2225"/>
    <n v="71535.307499999995"/>
    <n v="0"/>
    <n v="0"/>
    <n v="0"/>
    <n v="0"/>
    <n v="0"/>
    <n v="0"/>
  </r>
  <r>
    <x v="1"/>
    <x v="1"/>
    <x v="0"/>
    <m/>
    <m/>
    <m/>
    <m/>
    <m/>
    <n v="0"/>
    <m/>
    <m/>
    <n v="0"/>
    <s v=""/>
    <n v="0"/>
    <n v="0"/>
    <n v="0"/>
    <n v="116.88487613461319"/>
    <n v="2225"/>
    <n v="71535.307499999995"/>
    <n v="0"/>
    <n v="0"/>
    <n v="0"/>
    <n v="0"/>
    <n v="0"/>
    <n v="0"/>
  </r>
  <r>
    <x v="2"/>
    <x v="1"/>
    <x v="0"/>
    <m/>
    <m/>
    <m/>
    <m/>
    <m/>
    <n v="0"/>
    <m/>
    <m/>
    <n v="0"/>
    <s v=""/>
    <n v="0"/>
    <n v="0"/>
    <n v="0"/>
    <n v="116.88487613461319"/>
    <n v="2225"/>
    <n v="71535.307499999995"/>
    <n v="0"/>
    <n v="0"/>
    <n v="0"/>
    <n v="0"/>
    <n v="0"/>
    <n v="0"/>
  </r>
  <r>
    <x v="3"/>
    <x v="1"/>
    <x v="0"/>
    <m/>
    <m/>
    <m/>
    <m/>
    <m/>
    <n v="0"/>
    <m/>
    <m/>
    <n v="0"/>
    <s v=""/>
    <n v="0"/>
    <n v="0"/>
    <n v="0"/>
    <n v="116.88487613461319"/>
    <n v="2225"/>
    <n v="71535.307499999995"/>
    <n v="0"/>
    <n v="0"/>
    <n v="0"/>
    <n v="0"/>
    <n v="0"/>
    <n v="0"/>
  </r>
  <r>
    <x v="4"/>
    <x v="1"/>
    <x v="1"/>
    <m/>
    <m/>
    <m/>
    <m/>
    <m/>
    <n v="0"/>
    <m/>
    <m/>
    <n v="0"/>
    <s v=""/>
    <n v="0"/>
    <n v="0"/>
    <n v="0"/>
    <n v="116.88487613461319"/>
    <n v="2225"/>
    <n v="71535.307499999995"/>
    <n v="0"/>
    <n v="0"/>
    <n v="0"/>
    <n v="0"/>
    <n v="0"/>
    <n v="0"/>
  </r>
  <r>
    <x v="5"/>
    <x v="1"/>
    <x v="1"/>
    <m/>
    <m/>
    <m/>
    <m/>
    <m/>
    <n v="0"/>
    <m/>
    <m/>
    <n v="0"/>
    <s v=""/>
    <n v="0"/>
    <n v="0"/>
    <n v="0"/>
    <n v="116.88487613461319"/>
    <n v="2225"/>
    <n v="71535.307499999995"/>
    <n v="0"/>
    <n v="0"/>
    <n v="0"/>
    <n v="0"/>
    <n v="0"/>
    <n v="0"/>
  </r>
  <r>
    <x v="6"/>
    <x v="1"/>
    <x v="1"/>
    <m/>
    <m/>
    <m/>
    <m/>
    <m/>
    <n v="0"/>
    <n v="866"/>
    <n v="3.26"/>
    <n v="2.8231599999999997"/>
    <s v=""/>
    <n v="866"/>
    <n v="2.8231599999999997"/>
    <n v="100733.31598912492"/>
    <n v="116.88487613461319"/>
    <n v="2225"/>
    <n v="71535.307499999995"/>
    <n v="0"/>
    <n v="201955.61872169995"/>
    <n v="0"/>
    <n v="101222.30273257503"/>
    <n v="0"/>
    <n v="100733.31598912492"/>
  </r>
  <r>
    <x v="7"/>
    <x v="1"/>
    <x v="2"/>
    <m/>
    <m/>
    <m/>
    <m/>
    <m/>
    <n v="0"/>
    <m/>
    <m/>
    <n v="0"/>
    <s v=""/>
    <n v="0"/>
    <n v="0"/>
    <n v="0"/>
    <n v="116.88487613461319"/>
    <n v="2225"/>
    <n v="71535.307499999995"/>
    <n v="0"/>
    <n v="0"/>
    <n v="0"/>
    <n v="0"/>
    <n v="0"/>
    <n v="0"/>
  </r>
  <r>
    <x v="8"/>
    <x v="1"/>
    <x v="2"/>
    <m/>
    <m/>
    <m/>
    <m/>
    <m/>
    <n v="0"/>
    <m/>
    <m/>
    <n v="0"/>
    <s v=""/>
    <n v="0"/>
    <n v="0"/>
    <n v="0"/>
    <n v="116.88487613461319"/>
    <n v="2225"/>
    <n v="71535.307499999995"/>
    <n v="0"/>
    <n v="0"/>
    <n v="0"/>
    <n v="0"/>
    <n v="0"/>
    <n v="0"/>
  </r>
  <r>
    <x v="9"/>
    <x v="1"/>
    <x v="2"/>
    <m/>
    <m/>
    <m/>
    <m/>
    <m/>
    <n v="0"/>
    <m/>
    <m/>
    <n v="0"/>
    <s v=""/>
    <n v="0"/>
    <n v="0"/>
    <n v="0"/>
    <n v="116.88487613461319"/>
    <n v="2225"/>
    <n v="71535.307499999995"/>
    <n v="0"/>
    <n v="0"/>
    <n v="0"/>
    <n v="0"/>
    <n v="0"/>
    <n v="0"/>
  </r>
  <r>
    <x v="10"/>
    <x v="1"/>
    <x v="2"/>
    <m/>
    <m/>
    <m/>
    <m/>
    <m/>
    <n v="0"/>
    <m/>
    <m/>
    <n v="0"/>
    <s v=""/>
    <n v="0"/>
    <n v="0"/>
    <n v="0"/>
    <n v="116.88487613461319"/>
    <n v="2225"/>
    <n v="71535.307499999995"/>
    <n v="0"/>
    <n v="0"/>
    <n v="0"/>
    <n v="0"/>
    <n v="0"/>
    <n v="0"/>
  </r>
  <r>
    <x v="11"/>
    <x v="1"/>
    <x v="2"/>
    <m/>
    <m/>
    <m/>
    <m/>
    <m/>
    <n v="0"/>
    <m/>
    <m/>
    <n v="0"/>
    <s v=""/>
    <n v="0"/>
    <n v="0"/>
    <n v="0"/>
    <n v="116.88487613461319"/>
    <n v="2225"/>
    <n v="71535.307499999995"/>
    <n v="0"/>
    <n v="0"/>
    <n v="0"/>
    <n v="0"/>
    <n v="0"/>
    <n v="0"/>
  </r>
  <r>
    <x v="12"/>
    <x v="1"/>
    <x v="2"/>
    <m/>
    <m/>
    <m/>
    <m/>
    <m/>
    <n v="0"/>
    <m/>
    <m/>
    <n v="0"/>
    <s v=""/>
    <n v="0"/>
    <n v="0"/>
    <n v="0"/>
    <n v="116.88487613461319"/>
    <n v="2225"/>
    <n v="71535.307499999995"/>
    <n v="0"/>
    <n v="0"/>
    <n v="0"/>
    <n v="0"/>
    <n v="0"/>
    <n v="0"/>
  </r>
  <r>
    <x v="13"/>
    <x v="1"/>
    <x v="2"/>
    <m/>
    <m/>
    <m/>
    <m/>
    <m/>
    <n v="0"/>
    <m/>
    <m/>
    <n v="0"/>
    <s v=""/>
    <n v="0"/>
    <n v="0"/>
    <n v="0"/>
    <n v="116.88487613461319"/>
    <n v="2225"/>
    <n v="71535.307499999995"/>
    <n v="0"/>
    <n v="0"/>
    <n v="0"/>
    <n v="0"/>
    <n v="0"/>
    <n v="0"/>
  </r>
  <r>
    <x v="14"/>
    <x v="1"/>
    <x v="2"/>
    <m/>
    <m/>
    <m/>
    <m/>
    <m/>
    <n v="0"/>
    <m/>
    <m/>
    <n v="0"/>
    <s v=""/>
    <n v="0"/>
    <n v="0"/>
    <n v="0"/>
    <n v="116.88487613461319"/>
    <n v="2225"/>
    <n v="71535.307499999995"/>
    <n v="0"/>
    <n v="0"/>
    <n v="0"/>
    <n v="0"/>
    <n v="0"/>
    <n v="0"/>
  </r>
  <r>
    <x v="15"/>
    <x v="1"/>
    <x v="2"/>
    <m/>
    <m/>
    <m/>
    <m/>
    <m/>
    <n v="0"/>
    <m/>
    <m/>
    <n v="0"/>
    <s v=""/>
    <n v="0"/>
    <n v="0"/>
    <n v="0"/>
    <n v="116.88487613461319"/>
    <n v="2225"/>
    <n v="71535.307499999995"/>
    <n v="0"/>
    <n v="0"/>
    <n v="0"/>
    <n v="0"/>
    <n v="0"/>
    <n v="0"/>
  </r>
  <r>
    <x v="16"/>
    <x v="1"/>
    <x v="2"/>
    <m/>
    <m/>
    <m/>
    <m/>
    <m/>
    <n v="0"/>
    <m/>
    <m/>
    <n v="0"/>
    <s v=""/>
    <n v="0"/>
    <n v="0"/>
    <n v="0"/>
    <n v="116.88487613461319"/>
    <n v="2225"/>
    <n v="71535.307499999995"/>
    <n v="0"/>
    <n v="0"/>
    <n v="0"/>
    <n v="0"/>
    <n v="0"/>
    <n v="0"/>
  </r>
  <r>
    <x v="17"/>
    <x v="1"/>
    <x v="3"/>
    <m/>
    <m/>
    <m/>
    <m/>
    <m/>
    <n v="0"/>
    <m/>
    <m/>
    <n v="0"/>
    <s v=""/>
    <n v="0"/>
    <n v="0"/>
    <n v="0"/>
    <n v="116.88487613461319"/>
    <n v="2225"/>
    <n v="71535.307499999995"/>
    <n v="0"/>
    <n v="0"/>
    <n v="0"/>
    <n v="0"/>
    <n v="0"/>
    <n v="0"/>
  </r>
  <r>
    <x v="18"/>
    <x v="1"/>
    <x v="3"/>
    <m/>
    <m/>
    <m/>
    <m/>
    <m/>
    <n v="0"/>
    <m/>
    <m/>
    <n v="0"/>
    <s v=""/>
    <n v="0"/>
    <n v="0"/>
    <n v="0"/>
    <n v="116.88487613461319"/>
    <n v="2225"/>
    <n v="71535.307499999995"/>
    <n v="0"/>
    <n v="0"/>
    <n v="0"/>
    <n v="0"/>
    <n v="0"/>
    <n v="0"/>
  </r>
  <r>
    <x v="19"/>
    <x v="1"/>
    <x v="3"/>
    <m/>
    <m/>
    <m/>
    <m/>
    <m/>
    <n v="0"/>
    <m/>
    <m/>
    <n v="0"/>
    <s v=""/>
    <n v="0"/>
    <n v="0"/>
    <n v="0"/>
    <n v="116.88487613461319"/>
    <n v="2225"/>
    <n v="71535.307499999995"/>
    <n v="0"/>
    <n v="0"/>
    <n v="0"/>
    <n v="0"/>
    <n v="0"/>
    <n v="0"/>
  </r>
  <r>
    <x v="20"/>
    <x v="1"/>
    <x v="3"/>
    <m/>
    <m/>
    <m/>
    <n v="1820"/>
    <n v="2.0400000000000009"/>
    <n v="3.7128000000000014"/>
    <m/>
    <m/>
    <n v="0"/>
    <n v="-1"/>
    <n v="-1820"/>
    <n v="-3.7128000000000014"/>
    <n v="0"/>
    <n v="116.88487613461319"/>
    <n v="2225"/>
    <n v="71535.307499999995"/>
    <n v="265596.28968600009"/>
    <n v="0"/>
    <n v="212730.47456499602"/>
    <n v="0"/>
    <n v="52865.815121004067"/>
    <n v="0"/>
  </r>
  <r>
    <x v="21"/>
    <x v="1"/>
    <x v="3"/>
    <m/>
    <m/>
    <m/>
    <n v="2030"/>
    <n v="2.3900000000000015"/>
    <n v="4.8517000000000028"/>
    <m/>
    <m/>
    <n v="0"/>
    <n v="-1"/>
    <n v="-2030"/>
    <n v="-4.8517000000000028"/>
    <n v="0"/>
    <n v="116.88487613461319"/>
    <n v="2225"/>
    <n v="71535.307499999995"/>
    <n v="347067.8513977502"/>
    <n v="0"/>
    <n v="237276.29855326479"/>
    <n v="0"/>
    <n v="109791.55284448541"/>
    <n v="0"/>
  </r>
  <r>
    <x v="22"/>
    <x v="1"/>
    <x v="3"/>
    <m/>
    <m/>
    <m/>
    <m/>
    <m/>
    <n v="0"/>
    <m/>
    <m/>
    <n v="0"/>
    <s v=""/>
    <n v="0"/>
    <n v="0"/>
    <n v="0"/>
    <n v="116.88487613461319"/>
    <n v="2225"/>
    <n v="71535.307499999995"/>
    <n v="0"/>
    <n v="0"/>
    <n v="0"/>
    <n v="0"/>
    <n v="0"/>
    <n v="0"/>
  </r>
  <r>
    <x v="23"/>
    <x v="1"/>
    <x v="3"/>
    <m/>
    <m/>
    <m/>
    <n v="3045"/>
    <n v="2.5"/>
    <n v="7.6124999999999998"/>
    <m/>
    <m/>
    <n v="0"/>
    <n v="-1"/>
    <n v="-3045"/>
    <n v="-7.6124999999999998"/>
    <n v="0"/>
    <n v="116.88487613461319"/>
    <n v="2225"/>
    <n v="71535.307499999995"/>
    <n v="544562.52834374993"/>
    <n v="0"/>
    <n v="355914.44782989717"/>
    <n v="0"/>
    <n v="188648.08051385276"/>
    <n v="0"/>
  </r>
  <r>
    <x v="24"/>
    <x v="1"/>
    <x v="3"/>
    <m/>
    <m/>
    <m/>
    <m/>
    <m/>
    <n v="0"/>
    <m/>
    <m/>
    <n v="0"/>
    <s v=""/>
    <n v="0"/>
    <n v="0"/>
    <n v="0"/>
    <n v="116.88487613461319"/>
    <n v="2225"/>
    <n v="71535.307499999995"/>
    <n v="0"/>
    <n v="0"/>
    <n v="0"/>
    <n v="0"/>
    <n v="0"/>
    <n v="0"/>
  </r>
  <r>
    <x v="25"/>
    <x v="1"/>
    <x v="3"/>
    <m/>
    <m/>
    <m/>
    <m/>
    <m/>
    <n v="0"/>
    <m/>
    <m/>
    <n v="0"/>
    <s v=""/>
    <n v="0"/>
    <n v="0"/>
    <n v="0"/>
    <n v="116.88487613461319"/>
    <n v="2225"/>
    <n v="71535.307499999995"/>
    <n v="0"/>
    <n v="0"/>
    <n v="0"/>
    <n v="0"/>
    <n v="0"/>
    <n v="0"/>
  </r>
  <r>
    <x v="26"/>
    <x v="1"/>
    <x v="3"/>
    <m/>
    <m/>
    <m/>
    <n v="1015"/>
    <n v="1.7799999999999991"/>
    <n v="1.8066999999999991"/>
    <n v="1192"/>
    <n v="1.75"/>
    <n v="2.0859999999999999"/>
    <n v="0.15459124370399122"/>
    <n v="177"/>
    <n v="0.27930000000000077"/>
    <n v="9895.8790925410285"/>
    <n v="116.88487613461319"/>
    <n v="2225"/>
    <n v="71535.307499999995"/>
    <n v="129242.84006024993"/>
    <n v="149222.65144499997"/>
    <n v="118638.14927663239"/>
    <n v="139326.77235245894"/>
    <n v="10604.690783617538"/>
    <n v="9895.8790925410285"/>
  </r>
  <r>
    <x v="27"/>
    <x v="1"/>
    <x v="3"/>
    <m/>
    <m/>
    <m/>
    <m/>
    <m/>
    <n v="0"/>
    <m/>
    <m/>
    <n v="0"/>
    <s v=""/>
    <n v="0"/>
    <n v="0"/>
    <n v="0"/>
    <n v="116.88487613461319"/>
    <n v="2225"/>
    <n v="71535.307499999995"/>
    <n v="0"/>
    <n v="0"/>
    <n v="0"/>
    <n v="0"/>
    <n v="0"/>
    <n v="0"/>
  </r>
  <r>
    <x v="28"/>
    <x v="1"/>
    <x v="3"/>
    <m/>
    <m/>
    <m/>
    <m/>
    <m/>
    <n v="0"/>
    <m/>
    <m/>
    <n v="0"/>
    <s v=""/>
    <n v="0"/>
    <n v="0"/>
    <n v="0"/>
    <n v="116.88487613461319"/>
    <n v="2225"/>
    <n v="71535.307499999995"/>
    <n v="0"/>
    <n v="0"/>
    <n v="0"/>
    <n v="0"/>
    <n v="0"/>
    <n v="0"/>
  </r>
  <r>
    <x v="29"/>
    <x v="1"/>
    <x v="3"/>
    <m/>
    <m/>
    <m/>
    <n v="4060"/>
    <n v="2.2599999999999989"/>
    <n v="9.1755999999999958"/>
    <n v="5606"/>
    <n v="2.5099999999999998"/>
    <n v="14.071059999999999"/>
    <n v="0.53353023235537789"/>
    <n v="1546"/>
    <n v="4.8954600000000035"/>
    <n v="351320.98834030831"/>
    <n v="116.88487613461319"/>
    <n v="2225"/>
    <n v="71535.307499999995"/>
    <n v="656379.36749699968"/>
    <n v="1006577.6039509499"/>
    <n v="474552.59710652957"/>
    <n v="655256.61561064154"/>
    <n v="181826.7703904701"/>
    <n v="351320.98834030831"/>
  </r>
  <r>
    <x v="30"/>
    <x v="1"/>
    <x v="3"/>
    <m/>
    <m/>
    <m/>
    <m/>
    <m/>
    <n v="0"/>
    <m/>
    <m/>
    <n v="0"/>
    <s v=""/>
    <n v="0"/>
    <n v="0"/>
    <n v="0"/>
    <n v="116.88487613461319"/>
    <n v="2225"/>
    <n v="71535.307499999995"/>
    <n v="0"/>
    <n v="0"/>
    <n v="0"/>
    <n v="0"/>
    <n v="0"/>
    <n v="0"/>
  </r>
  <r>
    <x v="31"/>
    <x v="1"/>
    <x v="3"/>
    <m/>
    <m/>
    <m/>
    <m/>
    <m/>
    <n v="0"/>
    <m/>
    <m/>
    <n v="0"/>
    <s v=""/>
    <n v="0"/>
    <n v="0"/>
    <n v="0"/>
    <n v="116.88487613461319"/>
    <n v="2225"/>
    <n v="71535.307499999995"/>
    <n v="0"/>
    <n v="0"/>
    <n v="0"/>
    <n v="0"/>
    <n v="0"/>
    <n v="0"/>
  </r>
  <r>
    <x v="32"/>
    <x v="1"/>
    <x v="3"/>
    <m/>
    <m/>
    <m/>
    <n v="1015"/>
    <n v="2.7800000000000007"/>
    <n v="2.8217000000000008"/>
    <m/>
    <m/>
    <n v="0"/>
    <n v="-1"/>
    <n v="-1015"/>
    <n v="-2.8217000000000008"/>
    <n v="0"/>
    <n v="116.88487613461319"/>
    <n v="2225"/>
    <n v="71535.307499999995"/>
    <n v="201851.17717275003"/>
    <n v="0"/>
    <n v="118638.14927663239"/>
    <n v="0"/>
    <n v="83213.027896117637"/>
    <n v="0"/>
  </r>
  <r>
    <x v="33"/>
    <x v="1"/>
    <x v="3"/>
    <m/>
    <m/>
    <m/>
    <m/>
    <m/>
    <n v="0"/>
    <m/>
    <m/>
    <n v="0"/>
    <s v=""/>
    <n v="0"/>
    <n v="0"/>
    <n v="0"/>
    <n v="116.88487613461319"/>
    <n v="2225"/>
    <n v="71535.307499999995"/>
    <n v="0"/>
    <n v="0"/>
    <n v="0"/>
    <n v="0"/>
    <n v="0"/>
    <n v="0"/>
  </r>
  <r>
    <x v="34"/>
    <x v="1"/>
    <x v="3"/>
    <m/>
    <m/>
    <m/>
    <m/>
    <m/>
    <n v="0"/>
    <m/>
    <m/>
    <n v="0"/>
    <s v=""/>
    <n v="0"/>
    <n v="0"/>
    <n v="0"/>
    <n v="116.88487613461319"/>
    <n v="2225"/>
    <n v="71535.307499999995"/>
    <n v="0"/>
    <n v="0"/>
    <n v="0"/>
    <n v="0"/>
    <n v="0"/>
    <n v="0"/>
  </r>
  <r>
    <x v="35"/>
    <x v="1"/>
    <x v="3"/>
    <m/>
    <m/>
    <m/>
    <n v="3045"/>
    <n v="1.9"/>
    <n v="5.7854999999999999"/>
    <n v="3795"/>
    <n v="1.82"/>
    <n v="6.9069000000000003"/>
    <n v="0.19382940108892929"/>
    <n v="750"/>
    <n v="1.1214000000000004"/>
    <n v="50509.110440892924"/>
    <n v="116.88487613461319"/>
    <n v="2225"/>
    <n v="71535.307499999995"/>
    <n v="413867.52154124994"/>
    <n v="494087.21537175"/>
    <n v="355914.44782989717"/>
    <n v="443578.10493085708"/>
    <n v="57953.073711352772"/>
    <n v="50509.110440892924"/>
  </r>
  <r>
    <x v="36"/>
    <x v="1"/>
    <x v="3"/>
    <m/>
    <m/>
    <m/>
    <m/>
    <m/>
    <n v="0"/>
    <m/>
    <m/>
    <n v="0"/>
    <s v=""/>
    <n v="0"/>
    <n v="0"/>
    <n v="0"/>
    <n v="116.88487613461319"/>
    <n v="2225"/>
    <n v="71535.307499999995"/>
    <n v="0"/>
    <n v="0"/>
    <n v="0"/>
    <n v="0"/>
    <n v="0"/>
    <n v="0"/>
  </r>
  <r>
    <x v="37"/>
    <x v="1"/>
    <x v="3"/>
    <m/>
    <m/>
    <m/>
    <m/>
    <m/>
    <n v="0"/>
    <m/>
    <m/>
    <n v="0"/>
    <s v=""/>
    <n v="0"/>
    <n v="0"/>
    <n v="0"/>
    <n v="116.88487613461319"/>
    <n v="2225"/>
    <n v="71535.307499999995"/>
    <n v="0"/>
    <n v="0"/>
    <n v="0"/>
    <n v="0"/>
    <n v="0"/>
    <n v="0"/>
  </r>
  <r>
    <x v="38"/>
    <x v="1"/>
    <x v="3"/>
    <m/>
    <m/>
    <m/>
    <m/>
    <m/>
    <n v="0"/>
    <m/>
    <m/>
    <n v="0"/>
    <s v=""/>
    <n v="0"/>
    <n v="0"/>
    <n v="0"/>
    <n v="116.88487613461319"/>
    <n v="2225"/>
    <n v="71535.307499999995"/>
    <n v="0"/>
    <n v="0"/>
    <n v="0"/>
    <n v="0"/>
    <n v="0"/>
    <n v="0"/>
  </r>
  <r>
    <x v="39"/>
    <x v="1"/>
    <x v="3"/>
    <m/>
    <m/>
    <m/>
    <m/>
    <m/>
    <n v="0"/>
    <m/>
    <m/>
    <n v="0"/>
    <s v=""/>
    <n v="0"/>
    <n v="0"/>
    <n v="0"/>
    <n v="116.88487613461319"/>
    <n v="2225"/>
    <n v="71535.307499999995"/>
    <n v="0"/>
    <n v="0"/>
    <n v="0"/>
    <n v="0"/>
    <n v="0"/>
    <n v="0"/>
  </r>
  <r>
    <x v="40"/>
    <x v="1"/>
    <x v="3"/>
    <m/>
    <m/>
    <m/>
    <m/>
    <m/>
    <n v="0"/>
    <m/>
    <m/>
    <n v="0"/>
    <s v=""/>
    <n v="0"/>
    <n v="0"/>
    <n v="0"/>
    <n v="116.88487613461319"/>
    <n v="2225"/>
    <n v="71535.307499999995"/>
    <n v="0"/>
    <n v="0"/>
    <n v="0"/>
    <n v="0"/>
    <n v="0"/>
    <n v="0"/>
  </r>
  <r>
    <x v="41"/>
    <x v="1"/>
    <x v="3"/>
    <m/>
    <m/>
    <m/>
    <m/>
    <m/>
    <n v="0"/>
    <m/>
    <m/>
    <n v="0"/>
    <s v=""/>
    <n v="0"/>
    <n v="0"/>
    <n v="0"/>
    <n v="116.88487613461319"/>
    <n v="2225"/>
    <n v="71535.307499999995"/>
    <n v="0"/>
    <n v="0"/>
    <n v="0"/>
    <n v="0"/>
    <n v="0"/>
    <n v="0"/>
  </r>
  <r>
    <x v="42"/>
    <x v="1"/>
    <x v="3"/>
    <m/>
    <m/>
    <m/>
    <m/>
    <m/>
    <n v="0"/>
    <m/>
    <m/>
    <n v="0"/>
    <s v=""/>
    <n v="0"/>
    <n v="0"/>
    <n v="0"/>
    <n v="116.88487613461319"/>
    <n v="2225"/>
    <n v="71535.307499999995"/>
    <n v="0"/>
    <n v="0"/>
    <n v="0"/>
    <n v="0"/>
    <n v="0"/>
    <n v="0"/>
  </r>
  <r>
    <x v="43"/>
    <x v="1"/>
    <x v="3"/>
    <m/>
    <m/>
    <m/>
    <m/>
    <m/>
    <n v="0"/>
    <m/>
    <m/>
    <n v="0"/>
    <s v=""/>
    <n v="0"/>
    <n v="0"/>
    <n v="0"/>
    <n v="116.88487613461319"/>
    <n v="2225"/>
    <n v="71535.307499999995"/>
    <n v="0"/>
    <n v="0"/>
    <n v="0"/>
    <n v="0"/>
    <n v="0"/>
    <n v="0"/>
  </r>
  <r>
    <x v="44"/>
    <x v="1"/>
    <x v="3"/>
    <m/>
    <m/>
    <m/>
    <m/>
    <m/>
    <n v="0"/>
    <m/>
    <m/>
    <n v="0"/>
    <s v=""/>
    <n v="0"/>
    <n v="0"/>
    <n v="0"/>
    <n v="116.88487613461319"/>
    <n v="2225"/>
    <n v="71535.307499999995"/>
    <n v="0"/>
    <n v="0"/>
    <n v="0"/>
    <n v="0"/>
    <n v="0"/>
    <n v="0"/>
  </r>
  <r>
    <x v="45"/>
    <x v="1"/>
    <x v="3"/>
    <m/>
    <m/>
    <m/>
    <m/>
    <m/>
    <n v="0"/>
    <m/>
    <m/>
    <n v="0"/>
    <s v=""/>
    <n v="0"/>
    <n v="0"/>
    <n v="0"/>
    <n v="116.88487613461319"/>
    <n v="2225"/>
    <n v="71535.307499999995"/>
    <n v="0"/>
    <n v="0"/>
    <n v="0"/>
    <n v="0"/>
    <n v="0"/>
    <n v="0"/>
  </r>
  <r>
    <x v="46"/>
    <x v="1"/>
    <x v="3"/>
    <m/>
    <m/>
    <m/>
    <m/>
    <m/>
    <m/>
    <m/>
    <m/>
    <m/>
    <m/>
    <m/>
    <m/>
    <m/>
    <m/>
    <m/>
    <m/>
    <m/>
    <m/>
    <m/>
    <m/>
    <m/>
    <m/>
  </r>
  <r>
    <x v="47"/>
    <x v="1"/>
    <x v="3"/>
    <m/>
    <m/>
    <m/>
    <m/>
    <m/>
    <m/>
    <m/>
    <m/>
    <m/>
    <m/>
    <m/>
    <m/>
    <m/>
    <m/>
    <m/>
    <m/>
    <m/>
    <m/>
    <m/>
    <m/>
    <m/>
    <m/>
  </r>
  <r>
    <x v="48"/>
    <x v="1"/>
    <x v="3"/>
    <m/>
    <m/>
    <m/>
    <m/>
    <m/>
    <m/>
    <m/>
    <m/>
    <m/>
    <m/>
    <m/>
    <m/>
    <m/>
    <m/>
    <m/>
    <m/>
    <m/>
    <m/>
    <m/>
    <m/>
    <m/>
    <m/>
  </r>
  <r>
    <x v="49"/>
    <x v="1"/>
    <x v="3"/>
    <m/>
    <m/>
    <m/>
    <m/>
    <m/>
    <n v="0"/>
    <m/>
    <m/>
    <n v="0"/>
    <s v=""/>
    <n v="0"/>
    <n v="0"/>
    <n v="0"/>
    <n v="116.88487613461319"/>
    <n v="2225"/>
    <n v="71535.307499999995"/>
    <n v="0"/>
    <n v="0"/>
    <n v="0"/>
    <n v="0"/>
    <n v="0"/>
    <n v="0"/>
  </r>
  <r>
    <x v="50"/>
    <x v="1"/>
    <x v="4"/>
    <m/>
    <m/>
    <m/>
    <m/>
    <m/>
    <n v="0"/>
    <m/>
    <m/>
    <n v="0"/>
    <s v=""/>
    <n v="0"/>
    <n v="0"/>
    <n v="0"/>
    <n v="116.88487613461319"/>
    <n v="2225"/>
    <n v="71535.307499999995"/>
    <n v="0"/>
    <n v="0"/>
    <n v="0"/>
    <n v="0"/>
    <n v="0"/>
    <n v="0"/>
  </r>
  <r>
    <x v="51"/>
    <x v="1"/>
    <x v="4"/>
    <m/>
    <m/>
    <m/>
    <m/>
    <m/>
    <n v="0"/>
    <m/>
    <m/>
    <n v="0"/>
    <s v=""/>
    <n v="0"/>
    <n v="0"/>
    <n v="0"/>
    <n v="116.88487613461319"/>
    <n v="2225"/>
    <n v="71535.307499999995"/>
    <n v="0"/>
    <n v="0"/>
    <n v="0"/>
    <n v="0"/>
    <n v="0"/>
    <n v="0"/>
  </r>
  <r>
    <x v="52"/>
    <x v="1"/>
    <x v="4"/>
    <m/>
    <m/>
    <m/>
    <n v="2030"/>
    <n v="3.4599999999999982"/>
    <n v="7.0237999999999969"/>
    <m/>
    <m/>
    <n v="0"/>
    <n v="-1"/>
    <n v="-2030"/>
    <n v="-7.0237999999999969"/>
    <n v="0"/>
    <n v="116.88487613461319"/>
    <n v="2225"/>
    <n v="71535.307499999995"/>
    <n v="502449.69281849975"/>
    <n v="0"/>
    <n v="237276.29855326479"/>
    <n v="0"/>
    <n v="265173.39426523494"/>
    <n v="0"/>
  </r>
  <r>
    <x v="53"/>
    <x v="1"/>
    <x v="4"/>
    <m/>
    <m/>
    <m/>
    <n v="1820"/>
    <n v="4.8199999999999976"/>
    <n v="8.7723999999999958"/>
    <n v="5361"/>
    <n v="3.27"/>
    <n v="17.530470000000001"/>
    <n v="0.99836646755734004"/>
    <n v="3541"/>
    <n v="8.7580700000000054"/>
    <n v="627427.74111186364"/>
    <n v="116.88487613461319"/>
    <n v="2225"/>
    <n v="71535.307499999995"/>
    <n v="627536.3315129996"/>
    <n v="1254047.562069525"/>
    <n v="212730.47456499602"/>
    <n v="626619.82095766137"/>
    <n v="414805.85694800358"/>
    <n v="627427.74111186364"/>
  </r>
  <r>
    <x v="54"/>
    <x v="1"/>
    <x v="4"/>
    <m/>
    <m/>
    <m/>
    <m/>
    <m/>
    <n v="0"/>
    <m/>
    <m/>
    <n v="0"/>
    <s v=""/>
    <n v="0"/>
    <n v="0"/>
    <n v="0"/>
    <n v="116.88487613461319"/>
    <n v="2225"/>
    <n v="71535.307499999995"/>
    <n v="0"/>
    <n v="0"/>
    <n v="0"/>
    <n v="0"/>
    <n v="0"/>
    <n v="0"/>
  </r>
  <r>
    <x v="55"/>
    <x v="1"/>
    <x v="4"/>
    <m/>
    <m/>
    <m/>
    <m/>
    <m/>
    <n v="0"/>
    <m/>
    <m/>
    <n v="0"/>
    <s v=""/>
    <n v="0"/>
    <n v="0"/>
    <n v="0"/>
    <n v="116.88487613461319"/>
    <n v="2225"/>
    <n v="71535.307499999995"/>
    <n v="0"/>
    <n v="0"/>
    <n v="0"/>
    <n v="0"/>
    <n v="0"/>
    <n v="0"/>
  </r>
  <r>
    <x v="56"/>
    <x v="1"/>
    <x v="4"/>
    <m/>
    <m/>
    <m/>
    <m/>
    <m/>
    <n v="0"/>
    <m/>
    <m/>
    <n v="0"/>
    <s v=""/>
    <n v="0"/>
    <n v="0"/>
    <n v="0"/>
    <n v="116.88487613461319"/>
    <n v="2225"/>
    <n v="71535.307499999995"/>
    <n v="0"/>
    <n v="0"/>
    <n v="0"/>
    <n v="0"/>
    <n v="0"/>
    <n v="0"/>
  </r>
  <r>
    <x v="57"/>
    <x v="1"/>
    <x v="4"/>
    <m/>
    <m/>
    <m/>
    <m/>
    <m/>
    <n v="0"/>
    <m/>
    <m/>
    <n v="0"/>
    <s v=""/>
    <n v="0"/>
    <n v="0"/>
    <n v="0"/>
    <n v="116.88487613461319"/>
    <n v="2225"/>
    <n v="71535.307499999995"/>
    <n v="0"/>
    <n v="0"/>
    <n v="0"/>
    <n v="0"/>
    <n v="0"/>
    <n v="0"/>
  </r>
  <r>
    <x v="58"/>
    <x v="1"/>
    <x v="4"/>
    <m/>
    <m/>
    <m/>
    <m/>
    <m/>
    <n v="0"/>
    <m/>
    <m/>
    <n v="0"/>
    <s v=""/>
    <n v="0"/>
    <n v="0"/>
    <n v="0"/>
    <n v="116.88487613461319"/>
    <n v="2225"/>
    <n v="71535.307499999995"/>
    <n v="0"/>
    <n v="0"/>
    <n v="0"/>
    <n v="0"/>
    <n v="0"/>
    <n v="0"/>
  </r>
  <r>
    <x v="59"/>
    <x v="1"/>
    <x v="4"/>
    <m/>
    <m/>
    <m/>
    <m/>
    <m/>
    <n v="0"/>
    <m/>
    <m/>
    <n v="0"/>
    <s v=""/>
    <n v="0"/>
    <n v="0"/>
    <n v="0"/>
    <n v="116.88487613461319"/>
    <n v="2225"/>
    <n v="71535.307499999995"/>
    <n v="0"/>
    <n v="0"/>
    <n v="0"/>
    <n v="0"/>
    <n v="0"/>
    <n v="0"/>
  </r>
  <r>
    <x v="60"/>
    <x v="1"/>
    <x v="4"/>
    <m/>
    <m/>
    <m/>
    <m/>
    <m/>
    <n v="0"/>
    <m/>
    <m/>
    <n v="0"/>
    <s v=""/>
    <n v="0"/>
    <n v="0"/>
    <n v="0"/>
    <n v="116.88487613461319"/>
    <n v="2225"/>
    <n v="71535.307499999995"/>
    <n v="0"/>
    <n v="0"/>
    <n v="0"/>
    <n v="0"/>
    <n v="0"/>
    <n v="0"/>
  </r>
  <r>
    <x v="61"/>
    <x v="1"/>
    <x v="4"/>
    <m/>
    <m/>
    <m/>
    <m/>
    <m/>
    <n v="0"/>
    <m/>
    <m/>
    <n v="0"/>
    <s v=""/>
    <n v="0"/>
    <n v="0"/>
    <n v="0"/>
    <n v="116.88487613461319"/>
    <n v="2225"/>
    <n v="71535.307499999995"/>
    <n v="0"/>
    <n v="0"/>
    <n v="0"/>
    <n v="0"/>
    <n v="0"/>
    <n v="0"/>
  </r>
  <r>
    <x v="62"/>
    <x v="1"/>
    <x v="4"/>
    <m/>
    <m/>
    <m/>
    <m/>
    <m/>
    <n v="0"/>
    <m/>
    <m/>
    <n v="0"/>
    <s v=""/>
    <n v="0"/>
    <n v="0"/>
    <n v="0"/>
    <n v="116.88487613461319"/>
    <n v="2225"/>
    <n v="71535.307499999995"/>
    <n v="0"/>
    <n v="0"/>
    <n v="0"/>
    <n v="0"/>
    <n v="0"/>
    <n v="0"/>
  </r>
  <r>
    <x v="63"/>
    <x v="1"/>
    <x v="4"/>
    <m/>
    <m/>
    <m/>
    <m/>
    <m/>
    <n v="0"/>
    <m/>
    <m/>
    <n v="0"/>
    <s v=""/>
    <n v="0"/>
    <n v="0"/>
    <n v="0"/>
    <n v="116.88487613461319"/>
    <n v="2225"/>
    <n v="71535.307499999995"/>
    <n v="0"/>
    <n v="0"/>
    <n v="0"/>
    <n v="0"/>
    <n v="0"/>
    <n v="0"/>
  </r>
  <r>
    <x v="64"/>
    <x v="1"/>
    <x v="4"/>
    <m/>
    <m/>
    <m/>
    <m/>
    <m/>
    <n v="0"/>
    <m/>
    <m/>
    <n v="0"/>
    <s v=""/>
    <n v="0"/>
    <n v="0"/>
    <n v="0"/>
    <n v="116.88487613461319"/>
    <n v="2225"/>
    <n v="71535.307499999995"/>
    <n v="0"/>
    <n v="0"/>
    <n v="0"/>
    <n v="0"/>
    <n v="0"/>
    <n v="0"/>
  </r>
  <r>
    <x v="65"/>
    <x v="1"/>
    <x v="4"/>
    <m/>
    <m/>
    <m/>
    <m/>
    <m/>
    <n v="0"/>
    <m/>
    <m/>
    <n v="0"/>
    <s v=""/>
    <n v="0"/>
    <n v="0"/>
    <n v="0"/>
    <n v="116.88487613461319"/>
    <n v="2225"/>
    <n v="71535.307499999995"/>
    <n v="0"/>
    <n v="0"/>
    <n v="0"/>
    <n v="0"/>
    <n v="0"/>
    <n v="0"/>
  </r>
  <r>
    <x v="66"/>
    <x v="1"/>
    <x v="4"/>
    <m/>
    <m/>
    <m/>
    <m/>
    <m/>
    <n v="0"/>
    <m/>
    <m/>
    <n v="0"/>
    <s v=""/>
    <n v="0"/>
    <n v="0"/>
    <n v="0"/>
    <n v="116.88487613461319"/>
    <n v="2225"/>
    <n v="71535.307499999995"/>
    <n v="0"/>
    <n v="0"/>
    <n v="0"/>
    <n v="0"/>
    <n v="0"/>
    <n v="0"/>
  </r>
  <r>
    <x v="67"/>
    <x v="1"/>
    <x v="4"/>
    <m/>
    <m/>
    <m/>
    <m/>
    <m/>
    <n v="0"/>
    <m/>
    <m/>
    <n v="0"/>
    <s v=""/>
    <n v="0"/>
    <n v="0"/>
    <n v="0"/>
    <n v="116.88487613461319"/>
    <n v="2225"/>
    <n v="71535.307499999995"/>
    <n v="0"/>
    <n v="0"/>
    <n v="0"/>
    <n v="0"/>
    <n v="0"/>
    <n v="0"/>
  </r>
  <r>
    <x v="68"/>
    <x v="1"/>
    <x v="4"/>
    <m/>
    <m/>
    <m/>
    <m/>
    <m/>
    <n v="0"/>
    <m/>
    <m/>
    <n v="0"/>
    <s v=""/>
    <n v="0"/>
    <n v="0"/>
    <n v="0"/>
    <n v="116.88487613461319"/>
    <n v="2225"/>
    <n v="71535.307499999995"/>
    <n v="0"/>
    <n v="0"/>
    <n v="0"/>
    <n v="0"/>
    <n v="0"/>
    <n v="0"/>
  </r>
  <r>
    <x v="69"/>
    <x v="1"/>
    <x v="4"/>
    <m/>
    <m/>
    <m/>
    <m/>
    <m/>
    <n v="0"/>
    <m/>
    <m/>
    <n v="0"/>
    <s v=""/>
    <n v="0"/>
    <n v="0"/>
    <n v="0"/>
    <n v="116.88487613461319"/>
    <n v="2225"/>
    <n v="71535.307499999995"/>
    <n v="0"/>
    <n v="0"/>
    <n v="0"/>
    <n v="0"/>
    <n v="0"/>
    <n v="0"/>
  </r>
  <r>
    <x v="70"/>
    <x v="1"/>
    <x v="5"/>
    <m/>
    <m/>
    <m/>
    <m/>
    <m/>
    <n v="0"/>
    <m/>
    <m/>
    <n v="0"/>
    <s v=""/>
    <n v="0"/>
    <n v="0"/>
    <n v="0"/>
    <n v="116.88487613461319"/>
    <n v="2225"/>
    <n v="71535.307499999995"/>
    <n v="0"/>
    <n v="0"/>
    <n v="0"/>
    <n v="0"/>
    <n v="0"/>
    <n v="0"/>
  </r>
  <r>
    <x v="71"/>
    <x v="1"/>
    <x v="5"/>
    <m/>
    <m/>
    <m/>
    <m/>
    <m/>
    <n v="0"/>
    <m/>
    <m/>
    <n v="0"/>
    <s v=""/>
    <n v="0"/>
    <n v="0"/>
    <n v="0"/>
    <n v="116.88487613461319"/>
    <n v="2225"/>
    <n v="71535.307499999995"/>
    <n v="0"/>
    <n v="0"/>
    <n v="0"/>
    <n v="0"/>
    <n v="0"/>
    <n v="0"/>
  </r>
  <r>
    <x v="72"/>
    <x v="1"/>
    <x v="5"/>
    <m/>
    <m/>
    <m/>
    <m/>
    <m/>
    <m/>
    <m/>
    <m/>
    <m/>
    <m/>
    <m/>
    <m/>
    <m/>
    <m/>
    <m/>
    <m/>
    <m/>
    <m/>
    <m/>
    <m/>
    <m/>
    <m/>
  </r>
  <r>
    <x v="73"/>
    <x v="1"/>
    <x v="5"/>
    <m/>
    <m/>
    <m/>
    <m/>
    <m/>
    <m/>
    <m/>
    <m/>
    <m/>
    <m/>
    <m/>
    <m/>
    <m/>
    <m/>
    <m/>
    <m/>
    <m/>
    <m/>
    <m/>
    <m/>
    <m/>
    <m/>
  </r>
  <r>
    <x v="74"/>
    <x v="1"/>
    <x v="5"/>
    <m/>
    <m/>
    <m/>
    <m/>
    <m/>
    <m/>
    <m/>
    <m/>
    <m/>
    <m/>
    <m/>
    <m/>
    <m/>
    <m/>
    <m/>
    <m/>
    <m/>
    <m/>
    <m/>
    <m/>
    <m/>
    <m/>
  </r>
  <r>
    <x v="75"/>
    <x v="1"/>
    <x v="5"/>
    <m/>
    <m/>
    <m/>
    <m/>
    <m/>
    <n v="0"/>
    <m/>
    <m/>
    <n v="0"/>
    <s v=""/>
    <n v="0"/>
    <n v="0"/>
    <n v="0"/>
    <n v="116.88487613461319"/>
    <n v="2225"/>
    <n v="71535.307499999995"/>
    <n v="0"/>
    <n v="0"/>
    <n v="0"/>
    <n v="0"/>
    <n v="0"/>
    <n v="0"/>
  </r>
  <r>
    <x v="76"/>
    <x v="1"/>
    <x v="5"/>
    <m/>
    <m/>
    <m/>
    <m/>
    <m/>
    <m/>
    <m/>
    <m/>
    <m/>
    <m/>
    <m/>
    <m/>
    <m/>
    <m/>
    <m/>
    <m/>
    <m/>
    <m/>
    <m/>
    <m/>
    <m/>
    <m/>
  </r>
  <r>
    <x v="77"/>
    <x v="1"/>
    <x v="5"/>
    <m/>
    <m/>
    <m/>
    <m/>
    <m/>
    <n v="0"/>
    <m/>
    <m/>
    <n v="0"/>
    <s v=""/>
    <n v="0"/>
    <n v="0"/>
    <n v="0"/>
    <n v="116.88487613461319"/>
    <n v="2225"/>
    <n v="71535.307499999995"/>
    <n v="0"/>
    <n v="0"/>
    <n v="0"/>
    <n v="0"/>
    <n v="0"/>
    <n v="0"/>
  </r>
  <r>
    <x v="78"/>
    <x v="1"/>
    <x v="5"/>
    <m/>
    <m/>
    <m/>
    <m/>
    <m/>
    <n v="0"/>
    <m/>
    <m/>
    <n v="0"/>
    <s v=""/>
    <n v="0"/>
    <n v="0"/>
    <n v="0"/>
    <n v="116.88487613461319"/>
    <n v="2225"/>
    <n v="71535.307499999995"/>
    <n v="0"/>
    <n v="0"/>
    <n v="0"/>
    <n v="0"/>
    <n v="0"/>
    <n v="0"/>
  </r>
  <r>
    <x v="79"/>
    <x v="1"/>
    <x v="5"/>
    <m/>
    <m/>
    <m/>
    <m/>
    <m/>
    <n v="0"/>
    <m/>
    <m/>
    <n v="0"/>
    <s v=""/>
    <n v="0"/>
    <n v="0"/>
    <n v="0"/>
    <n v="116.88487613461319"/>
    <n v="2225"/>
    <n v="71535.307499999995"/>
    <n v="0"/>
    <n v="0"/>
    <n v="0"/>
    <n v="0"/>
    <n v="0"/>
    <n v="0"/>
  </r>
  <r>
    <x v="80"/>
    <x v="1"/>
    <x v="5"/>
    <m/>
    <m/>
    <m/>
    <m/>
    <m/>
    <n v="0"/>
    <m/>
    <m/>
    <n v="0"/>
    <s v=""/>
    <n v="0"/>
    <n v="0"/>
    <n v="0"/>
    <n v="116.88487613461319"/>
    <n v="2225"/>
    <n v="71535.307499999995"/>
    <n v="0"/>
    <n v="0"/>
    <n v="0"/>
    <n v="0"/>
    <n v="0"/>
    <n v="0"/>
  </r>
  <r>
    <x v="81"/>
    <x v="1"/>
    <x v="5"/>
    <m/>
    <m/>
    <m/>
    <m/>
    <m/>
    <n v="0"/>
    <m/>
    <m/>
    <n v="0"/>
    <s v=""/>
    <n v="0"/>
    <n v="0"/>
    <n v="0"/>
    <n v="116.88487613461319"/>
    <n v="2225"/>
    <n v="71535.307499999995"/>
    <n v="0"/>
    <n v="0"/>
    <n v="0"/>
    <n v="0"/>
    <n v="0"/>
    <n v="0"/>
  </r>
  <r>
    <x v="82"/>
    <x v="1"/>
    <x v="5"/>
    <m/>
    <m/>
    <m/>
    <m/>
    <m/>
    <n v="0"/>
    <m/>
    <m/>
    <n v="0"/>
    <s v=""/>
    <n v="0"/>
    <n v="0"/>
    <n v="0"/>
    <n v="116.88487613461319"/>
    <n v="2225"/>
    <n v="71535.307499999995"/>
    <n v="0"/>
    <n v="0"/>
    <n v="0"/>
    <n v="0"/>
    <n v="0"/>
    <n v="0"/>
  </r>
  <r>
    <x v="83"/>
    <x v="1"/>
    <x v="5"/>
    <m/>
    <m/>
    <m/>
    <m/>
    <m/>
    <n v="0"/>
    <m/>
    <m/>
    <n v="0"/>
    <s v=""/>
    <n v="0"/>
    <n v="0"/>
    <n v="0"/>
    <n v="116.88487613461319"/>
    <n v="2225"/>
    <n v="71535.307499999995"/>
    <n v="0"/>
    <n v="0"/>
    <n v="0"/>
    <n v="0"/>
    <n v="0"/>
    <n v="0"/>
  </r>
  <r>
    <x v="84"/>
    <x v="1"/>
    <x v="5"/>
    <m/>
    <m/>
    <m/>
    <m/>
    <m/>
    <n v="0"/>
    <m/>
    <m/>
    <n v="0"/>
    <s v=""/>
    <n v="0"/>
    <n v="0"/>
    <n v="0"/>
    <n v="116.88487613461319"/>
    <n v="2225"/>
    <n v="71535.307499999995"/>
    <n v="0"/>
    <n v="0"/>
    <n v="0"/>
    <n v="0"/>
    <n v="0"/>
    <n v="0"/>
  </r>
  <r>
    <x v="85"/>
    <x v="1"/>
    <x v="5"/>
    <m/>
    <m/>
    <m/>
    <m/>
    <m/>
    <n v="0"/>
    <m/>
    <m/>
    <n v="0"/>
    <s v=""/>
    <n v="0"/>
    <n v="0"/>
    <n v="0"/>
    <n v="116.88487613461319"/>
    <n v="2225"/>
    <n v="71535.307499999995"/>
    <n v="0"/>
    <n v="0"/>
    <n v="0"/>
    <n v="0"/>
    <n v="0"/>
    <n v="0"/>
  </r>
  <r>
    <x v="86"/>
    <x v="1"/>
    <x v="5"/>
    <m/>
    <m/>
    <m/>
    <m/>
    <m/>
    <n v="0"/>
    <m/>
    <m/>
    <n v="0"/>
    <s v=""/>
    <n v="0"/>
    <n v="0"/>
    <n v="0"/>
    <n v="116.88487613461319"/>
    <n v="2225"/>
    <n v="71535.307499999995"/>
    <n v="0"/>
    <n v="0"/>
    <n v="0"/>
    <n v="0"/>
    <n v="0"/>
    <n v="0"/>
  </r>
  <r>
    <x v="87"/>
    <x v="1"/>
    <x v="5"/>
    <m/>
    <m/>
    <m/>
    <m/>
    <m/>
    <n v="0"/>
    <m/>
    <m/>
    <n v="0"/>
    <s v=""/>
    <n v="0"/>
    <n v="0"/>
    <n v="0"/>
    <n v="116.88487613461319"/>
    <n v="2225"/>
    <n v="71535.307499999995"/>
    <n v="0"/>
    <n v="0"/>
    <n v="0"/>
    <n v="0"/>
    <n v="0"/>
    <n v="0"/>
  </r>
  <r>
    <x v="88"/>
    <x v="1"/>
    <x v="5"/>
    <m/>
    <m/>
    <m/>
    <m/>
    <m/>
    <n v="0"/>
    <m/>
    <m/>
    <n v="0"/>
    <s v=""/>
    <n v="0"/>
    <n v="0"/>
    <n v="0"/>
    <n v="116.88487613461319"/>
    <n v="2225"/>
    <n v="71535.307499999995"/>
    <n v="0"/>
    <n v="0"/>
    <n v="0"/>
    <n v="0"/>
    <n v="0"/>
    <n v="0"/>
  </r>
  <r>
    <x v="89"/>
    <x v="1"/>
    <x v="5"/>
    <m/>
    <m/>
    <m/>
    <m/>
    <m/>
    <n v="0"/>
    <m/>
    <m/>
    <n v="0"/>
    <s v=""/>
    <n v="0"/>
    <n v="0"/>
    <n v="0"/>
    <n v="116.88487613461319"/>
    <n v="2225"/>
    <n v="71535.307499999995"/>
    <n v="0"/>
    <n v="0"/>
    <n v="0"/>
    <n v="0"/>
    <n v="0"/>
    <n v="0"/>
  </r>
  <r>
    <x v="90"/>
    <x v="1"/>
    <x v="5"/>
    <m/>
    <m/>
    <m/>
    <m/>
    <m/>
    <n v="0"/>
    <m/>
    <m/>
    <n v="0"/>
    <s v=""/>
    <n v="0"/>
    <n v="0"/>
    <n v="0"/>
    <n v="116.88487613461319"/>
    <n v="2225"/>
    <n v="71535.307499999995"/>
    <n v="0"/>
    <n v="0"/>
    <n v="0"/>
    <n v="0"/>
    <n v="0"/>
    <n v="0"/>
  </r>
  <r>
    <x v="91"/>
    <x v="1"/>
    <x v="5"/>
    <m/>
    <m/>
    <m/>
    <m/>
    <m/>
    <n v="0"/>
    <m/>
    <m/>
    <n v="0"/>
    <s v=""/>
    <n v="0"/>
    <n v="0"/>
    <n v="0"/>
    <n v="116.88487613461319"/>
    <n v="2225"/>
    <n v="71535.307499999995"/>
    <n v="0"/>
    <n v="0"/>
    <n v="0"/>
    <n v="0"/>
    <n v="0"/>
    <n v="0"/>
  </r>
  <r>
    <x v="92"/>
    <x v="1"/>
    <x v="5"/>
    <m/>
    <m/>
    <m/>
    <m/>
    <m/>
    <n v="0"/>
    <m/>
    <m/>
    <n v="0"/>
    <s v=""/>
    <n v="0"/>
    <n v="0"/>
    <n v="0"/>
    <n v="116.88487613461319"/>
    <n v="2225"/>
    <n v="71535.307499999995"/>
    <n v="0"/>
    <n v="0"/>
    <n v="0"/>
    <n v="0"/>
    <n v="0"/>
    <n v="0"/>
  </r>
  <r>
    <x v="93"/>
    <x v="1"/>
    <x v="5"/>
    <m/>
    <m/>
    <m/>
    <m/>
    <m/>
    <n v="0"/>
    <m/>
    <m/>
    <n v="0"/>
    <s v=""/>
    <n v="0"/>
    <n v="0"/>
    <n v="0"/>
    <n v="116.88487613461319"/>
    <n v="2225"/>
    <n v="71535.307499999995"/>
    <n v="0"/>
    <n v="0"/>
    <n v="0"/>
    <n v="0"/>
    <n v="0"/>
    <n v="0"/>
  </r>
  <r>
    <x v="94"/>
    <x v="1"/>
    <x v="5"/>
    <m/>
    <m/>
    <m/>
    <m/>
    <m/>
    <n v="0"/>
    <m/>
    <m/>
    <n v="0"/>
    <s v=""/>
    <n v="0"/>
    <n v="0"/>
    <n v="0"/>
    <n v="116.88487613461319"/>
    <n v="2225"/>
    <n v="71535.307499999995"/>
    <n v="0"/>
    <n v="0"/>
    <n v="0"/>
    <n v="0"/>
    <n v="0"/>
    <n v="0"/>
  </r>
  <r>
    <x v="95"/>
    <x v="1"/>
    <x v="5"/>
    <m/>
    <m/>
    <m/>
    <m/>
    <m/>
    <n v="0"/>
    <m/>
    <m/>
    <n v="0"/>
    <s v=""/>
    <n v="0"/>
    <n v="0"/>
    <n v="0"/>
    <n v="116.88487613461319"/>
    <n v="2225"/>
    <n v="71535.307499999995"/>
    <n v="0"/>
    <n v="0"/>
    <n v="0"/>
    <n v="0"/>
    <n v="0"/>
    <n v="0"/>
  </r>
  <r>
    <x v="96"/>
    <x v="1"/>
    <x v="5"/>
    <m/>
    <m/>
    <m/>
    <m/>
    <m/>
    <n v="0"/>
    <m/>
    <m/>
    <n v="0"/>
    <s v=""/>
    <n v="0"/>
    <n v="0"/>
    <n v="0"/>
    <n v="116.88487613461319"/>
    <n v="2225"/>
    <n v="71535.307499999995"/>
    <n v="0"/>
    <n v="0"/>
    <n v="0"/>
    <n v="0"/>
    <n v="0"/>
    <n v="0"/>
  </r>
  <r>
    <x v="97"/>
    <x v="1"/>
    <x v="5"/>
    <m/>
    <m/>
    <m/>
    <m/>
    <m/>
    <n v="0"/>
    <m/>
    <m/>
    <n v="0"/>
    <s v=""/>
    <n v="0"/>
    <n v="0"/>
    <n v="0"/>
    <n v="116.88487613461319"/>
    <n v="2225"/>
    <n v="71535.307499999995"/>
    <n v="0"/>
    <n v="0"/>
    <n v="0"/>
    <n v="0"/>
    <n v="0"/>
    <n v="0"/>
  </r>
  <r>
    <x v="98"/>
    <x v="1"/>
    <x v="6"/>
    <m/>
    <m/>
    <m/>
    <m/>
    <m/>
    <n v="0"/>
    <m/>
    <m/>
    <n v="0"/>
    <s v=""/>
    <n v="0"/>
    <n v="0"/>
    <n v="0"/>
    <n v="116.88487613461319"/>
    <n v="2225"/>
    <n v="71535.307499999995"/>
    <n v="0"/>
    <n v="0"/>
    <n v="0"/>
    <n v="0"/>
    <n v="0"/>
    <n v="0"/>
  </r>
  <r>
    <x v="99"/>
    <x v="1"/>
    <x v="6"/>
    <m/>
    <m/>
    <m/>
    <m/>
    <m/>
    <n v="0"/>
    <m/>
    <m/>
    <n v="0"/>
    <s v=""/>
    <n v="0"/>
    <n v="0"/>
    <n v="0"/>
    <n v="116.88487613461319"/>
    <n v="2225"/>
    <n v="71535.307499999995"/>
    <n v="0"/>
    <n v="0"/>
    <n v="0"/>
    <n v="0"/>
    <n v="0"/>
    <n v="0"/>
  </r>
  <r>
    <x v="100"/>
    <x v="1"/>
    <x v="6"/>
    <m/>
    <m/>
    <m/>
    <m/>
    <m/>
    <n v="0"/>
    <m/>
    <m/>
    <n v="0"/>
    <s v=""/>
    <n v="0"/>
    <n v="0"/>
    <n v="0"/>
    <n v="116.88487613461319"/>
    <n v="2225"/>
    <n v="71535.307499999995"/>
    <n v="0"/>
    <n v="0"/>
    <n v="0"/>
    <n v="0"/>
    <n v="0"/>
    <n v="0"/>
  </r>
  <r>
    <x v="101"/>
    <x v="1"/>
    <x v="6"/>
    <m/>
    <m/>
    <m/>
    <m/>
    <m/>
    <n v="0"/>
    <m/>
    <m/>
    <n v="0"/>
    <s v=""/>
    <n v="0"/>
    <n v="0"/>
    <n v="0"/>
    <n v="116.88487613461319"/>
    <n v="2225"/>
    <n v="71535.307499999995"/>
    <n v="0"/>
    <n v="0"/>
    <n v="0"/>
    <n v="0"/>
    <n v="0"/>
    <n v="0"/>
  </r>
  <r>
    <x v="102"/>
    <x v="1"/>
    <x v="6"/>
    <m/>
    <m/>
    <m/>
    <m/>
    <m/>
    <n v="0"/>
    <m/>
    <m/>
    <n v="0"/>
    <s v=""/>
    <n v="0"/>
    <n v="0"/>
    <n v="0"/>
    <n v="116.88487613461319"/>
    <n v="2225"/>
    <n v="71535.307499999995"/>
    <n v="0"/>
    <n v="0"/>
    <n v="0"/>
    <n v="0"/>
    <n v="0"/>
    <n v="0"/>
  </r>
  <r>
    <x v="103"/>
    <x v="1"/>
    <x v="6"/>
    <m/>
    <m/>
    <m/>
    <m/>
    <m/>
    <n v="0"/>
    <m/>
    <m/>
    <n v="0"/>
    <s v=""/>
    <n v="0"/>
    <n v="0"/>
    <n v="0"/>
    <n v="116.88487613461319"/>
    <n v="2225"/>
    <n v="71535.307499999995"/>
    <n v="0"/>
    <n v="0"/>
    <n v="0"/>
    <n v="0"/>
    <n v="0"/>
    <n v="0"/>
  </r>
  <r>
    <x v="104"/>
    <x v="1"/>
    <x v="6"/>
    <m/>
    <m/>
    <m/>
    <m/>
    <m/>
    <n v="0"/>
    <m/>
    <m/>
    <n v="0"/>
    <s v=""/>
    <n v="0"/>
    <n v="0"/>
    <n v="0"/>
    <n v="116.88487613461319"/>
    <n v="2225"/>
    <n v="71535.307499999995"/>
    <n v="0"/>
    <n v="0"/>
    <n v="0"/>
    <n v="0"/>
    <n v="0"/>
    <n v="0"/>
  </r>
  <r>
    <x v="105"/>
    <x v="1"/>
    <x v="6"/>
    <m/>
    <m/>
    <m/>
    <m/>
    <m/>
    <n v="0"/>
    <m/>
    <m/>
    <n v="0"/>
    <s v=""/>
    <n v="0"/>
    <n v="0"/>
    <n v="0"/>
    <n v="116.88487613461319"/>
    <n v="2225"/>
    <n v="71535.307499999995"/>
    <n v="0"/>
    <n v="0"/>
    <n v="0"/>
    <n v="0"/>
    <n v="0"/>
    <n v="0"/>
  </r>
  <r>
    <x v="106"/>
    <x v="1"/>
    <x v="6"/>
    <m/>
    <m/>
    <m/>
    <m/>
    <m/>
    <n v="0"/>
    <m/>
    <m/>
    <n v="0"/>
    <s v=""/>
    <n v="0"/>
    <n v="0"/>
    <n v="0"/>
    <n v="116.88487613461319"/>
    <n v="2225"/>
    <n v="71535.307499999995"/>
    <n v="0"/>
    <n v="0"/>
    <n v="0"/>
    <n v="0"/>
    <n v="0"/>
    <n v="0"/>
  </r>
  <r>
    <x v="107"/>
    <x v="1"/>
    <x v="6"/>
    <m/>
    <m/>
    <m/>
    <m/>
    <m/>
    <n v="0"/>
    <m/>
    <m/>
    <n v="0"/>
    <s v=""/>
    <n v="0"/>
    <n v="0"/>
    <n v="0"/>
    <n v="116.88487613461319"/>
    <n v="2225"/>
    <n v="71535.307499999995"/>
    <n v="0"/>
    <n v="0"/>
    <n v="0"/>
    <n v="0"/>
    <n v="0"/>
    <n v="0"/>
  </r>
  <r>
    <x v="108"/>
    <x v="1"/>
    <x v="6"/>
    <m/>
    <m/>
    <m/>
    <m/>
    <m/>
    <n v="0"/>
    <m/>
    <m/>
    <n v="0"/>
    <s v=""/>
    <n v="0"/>
    <n v="0"/>
    <n v="0"/>
    <n v="116.88487613461319"/>
    <n v="2225"/>
    <n v="71535.307499999995"/>
    <n v="0"/>
    <n v="0"/>
    <n v="0"/>
    <n v="0"/>
    <n v="0"/>
    <n v="0"/>
  </r>
  <r>
    <x v="109"/>
    <x v="1"/>
    <x v="6"/>
    <m/>
    <m/>
    <m/>
    <m/>
    <m/>
    <n v="0"/>
    <m/>
    <m/>
    <n v="0"/>
    <s v=""/>
    <n v="0"/>
    <n v="0"/>
    <n v="0"/>
    <n v="116.88487613461319"/>
    <n v="2225"/>
    <n v="71535.307499999995"/>
    <n v="0"/>
    <n v="0"/>
    <n v="0"/>
    <n v="0"/>
    <n v="0"/>
    <n v="0"/>
  </r>
  <r>
    <x v="110"/>
    <x v="1"/>
    <x v="7"/>
    <m/>
    <m/>
    <m/>
    <m/>
    <m/>
    <n v="0"/>
    <m/>
    <m/>
    <n v="0"/>
    <s v=""/>
    <n v="0"/>
    <n v="0"/>
    <n v="0"/>
    <n v="116.88487613461319"/>
    <n v="2225"/>
    <n v="71535.307499999995"/>
    <n v="0"/>
    <n v="0"/>
    <n v="0"/>
    <n v="0"/>
    <n v="0"/>
    <n v="0"/>
  </r>
  <r>
    <x v="111"/>
    <x v="1"/>
    <x v="7"/>
    <m/>
    <m/>
    <m/>
    <m/>
    <m/>
    <n v="0"/>
    <m/>
    <m/>
    <n v="0"/>
    <s v=""/>
    <n v="0"/>
    <n v="0"/>
    <n v="0"/>
    <n v="116.88487613461319"/>
    <n v="2225"/>
    <n v="71535.307499999995"/>
    <n v="0"/>
    <n v="0"/>
    <n v="0"/>
    <n v="0"/>
    <n v="0"/>
    <n v="0"/>
  </r>
  <r>
    <x v="112"/>
    <x v="1"/>
    <x v="7"/>
    <m/>
    <m/>
    <m/>
    <m/>
    <m/>
    <n v="0"/>
    <m/>
    <m/>
    <n v="0"/>
    <s v=""/>
    <n v="0"/>
    <n v="0"/>
    <n v="0"/>
    <n v="116.88487613461319"/>
    <n v="2225"/>
    <n v="71535.307499999995"/>
    <n v="0"/>
    <n v="0"/>
    <n v="0"/>
    <n v="0"/>
    <n v="0"/>
    <n v="0"/>
  </r>
  <r>
    <x v="113"/>
    <x v="1"/>
    <x v="7"/>
    <m/>
    <m/>
    <m/>
    <m/>
    <m/>
    <n v="0"/>
    <m/>
    <m/>
    <n v="0"/>
    <s v=""/>
    <n v="0"/>
    <n v="0"/>
    <n v="0"/>
    <n v="116.88487613461319"/>
    <n v="2225"/>
    <n v="71535.307499999995"/>
    <n v="0"/>
    <n v="0"/>
    <n v="0"/>
    <n v="0"/>
    <n v="0"/>
    <n v="0"/>
  </r>
  <r>
    <x v="114"/>
    <x v="1"/>
    <x v="7"/>
    <m/>
    <m/>
    <m/>
    <m/>
    <m/>
    <n v="0"/>
    <m/>
    <m/>
    <n v="0"/>
    <s v=""/>
    <n v="0"/>
    <n v="0"/>
    <n v="0"/>
    <n v="116.88487613461319"/>
    <n v="2225"/>
    <n v="71535.307499999995"/>
    <n v="0"/>
    <n v="0"/>
    <n v="0"/>
    <n v="0"/>
    <n v="0"/>
    <n v="0"/>
  </r>
  <r>
    <x v="115"/>
    <x v="1"/>
    <x v="7"/>
    <m/>
    <m/>
    <m/>
    <m/>
    <m/>
    <n v="0"/>
    <m/>
    <m/>
    <n v="0"/>
    <s v=""/>
    <n v="0"/>
    <n v="0"/>
    <n v="0"/>
    <n v="116.88487613461319"/>
    <n v="2225"/>
    <n v="71535.307499999995"/>
    <n v="0"/>
    <n v="0"/>
    <n v="0"/>
    <n v="0"/>
    <n v="0"/>
    <n v="0"/>
  </r>
  <r>
    <x v="116"/>
    <x v="1"/>
    <x v="7"/>
    <m/>
    <m/>
    <m/>
    <m/>
    <m/>
    <n v="0"/>
    <m/>
    <m/>
    <n v="0"/>
    <s v=""/>
    <n v="0"/>
    <n v="0"/>
    <n v="0"/>
    <n v="116.88487613461319"/>
    <n v="2225"/>
    <n v="71535.307499999995"/>
    <n v="0"/>
    <n v="0"/>
    <n v="0"/>
    <n v="0"/>
    <n v="0"/>
    <n v="0"/>
  </r>
  <r>
    <x v="117"/>
    <x v="1"/>
    <x v="7"/>
    <m/>
    <m/>
    <m/>
    <m/>
    <m/>
    <n v="0"/>
    <m/>
    <m/>
    <n v="0"/>
    <s v=""/>
    <n v="0"/>
    <n v="0"/>
    <n v="0"/>
    <n v="116.88487613461319"/>
    <n v="2225"/>
    <n v="71535.307499999995"/>
    <n v="0"/>
    <n v="0"/>
    <n v="0"/>
    <n v="0"/>
    <n v="0"/>
    <n v="0"/>
  </r>
  <r>
    <x v="118"/>
    <x v="1"/>
    <x v="7"/>
    <m/>
    <m/>
    <m/>
    <m/>
    <m/>
    <n v="0"/>
    <m/>
    <m/>
    <n v="0"/>
    <s v=""/>
    <n v="0"/>
    <n v="0"/>
    <n v="0"/>
    <n v="116.88487613461319"/>
    <n v="2225"/>
    <n v="71535.307499999995"/>
    <n v="0"/>
    <n v="0"/>
    <n v="0"/>
    <n v="0"/>
    <n v="0"/>
    <n v="0"/>
  </r>
  <r>
    <x v="119"/>
    <x v="1"/>
    <x v="7"/>
    <m/>
    <m/>
    <m/>
    <m/>
    <m/>
    <n v="0"/>
    <m/>
    <m/>
    <n v="0"/>
    <s v=""/>
    <n v="0"/>
    <n v="0"/>
    <n v="0"/>
    <n v="116.88487613461319"/>
    <n v="2225"/>
    <n v="71535.307499999995"/>
    <n v="0"/>
    <n v="0"/>
    <n v="0"/>
    <n v="0"/>
    <n v="0"/>
    <n v="0"/>
  </r>
  <r>
    <x v="120"/>
    <x v="1"/>
    <x v="7"/>
    <m/>
    <m/>
    <m/>
    <m/>
    <m/>
    <n v="0"/>
    <m/>
    <m/>
    <n v="0"/>
    <s v=""/>
    <n v="0"/>
    <n v="0"/>
    <n v="0"/>
    <n v="116.88487613461319"/>
    <n v="2225"/>
    <n v="71535.307499999995"/>
    <n v="0"/>
    <n v="0"/>
    <n v="0"/>
    <n v="0"/>
    <n v="0"/>
    <n v="0"/>
  </r>
  <r>
    <x v="121"/>
    <x v="1"/>
    <x v="7"/>
    <m/>
    <m/>
    <m/>
    <m/>
    <m/>
    <n v="0"/>
    <m/>
    <m/>
    <n v="0"/>
    <s v=""/>
    <n v="0"/>
    <n v="0"/>
    <n v="0"/>
    <n v="116.88487613461319"/>
    <n v="2225"/>
    <n v="71535.307499999995"/>
    <n v="0"/>
    <n v="0"/>
    <n v="0"/>
    <n v="0"/>
    <n v="0"/>
    <n v="0"/>
  </r>
  <r>
    <x v="122"/>
    <x v="1"/>
    <x v="7"/>
    <m/>
    <m/>
    <m/>
    <m/>
    <m/>
    <n v="0"/>
    <m/>
    <m/>
    <n v="0"/>
    <s v=""/>
    <n v="0"/>
    <n v="0"/>
    <n v="0"/>
    <n v="116.88487613461319"/>
    <n v="2225"/>
    <n v="71535.307499999995"/>
    <n v="0"/>
    <n v="0"/>
    <n v="0"/>
    <n v="0"/>
    <n v="0"/>
    <n v="0"/>
  </r>
  <r>
    <x v="123"/>
    <x v="1"/>
    <x v="7"/>
    <m/>
    <m/>
    <m/>
    <m/>
    <m/>
    <n v="0"/>
    <m/>
    <m/>
    <n v="0"/>
    <s v=""/>
    <n v="0"/>
    <n v="0"/>
    <n v="0"/>
    <n v="116.88487613461319"/>
    <n v="2225"/>
    <n v="71535.307499999995"/>
    <n v="0"/>
    <n v="0"/>
    <n v="0"/>
    <n v="0"/>
    <n v="0"/>
    <n v="0"/>
  </r>
  <r>
    <x v="124"/>
    <x v="1"/>
    <x v="7"/>
    <m/>
    <m/>
    <m/>
    <m/>
    <m/>
    <n v="0"/>
    <m/>
    <m/>
    <n v="0"/>
    <s v=""/>
    <n v="0"/>
    <n v="0"/>
    <n v="0"/>
    <n v="116.88487613461319"/>
    <n v="2225"/>
    <n v="71535.307499999995"/>
    <n v="0"/>
    <n v="0"/>
    <n v="0"/>
    <n v="0"/>
    <n v="0"/>
    <n v="0"/>
  </r>
  <r>
    <x v="125"/>
    <x v="1"/>
    <x v="7"/>
    <m/>
    <m/>
    <m/>
    <m/>
    <m/>
    <n v="0"/>
    <m/>
    <m/>
    <n v="0"/>
    <s v=""/>
    <n v="0"/>
    <n v="0"/>
    <n v="0"/>
    <n v="116.88487613461319"/>
    <n v="2225"/>
    <n v="71535.307499999995"/>
    <n v="0"/>
    <n v="0"/>
    <n v="0"/>
    <n v="0"/>
    <n v="0"/>
    <n v="0"/>
  </r>
  <r>
    <x v="126"/>
    <x v="1"/>
    <x v="7"/>
    <m/>
    <m/>
    <m/>
    <m/>
    <m/>
    <n v="0"/>
    <m/>
    <m/>
    <n v="0"/>
    <s v=""/>
    <n v="0"/>
    <n v="0"/>
    <n v="0"/>
    <n v="116.88487613461319"/>
    <n v="2225"/>
    <n v="71535.307499999995"/>
    <n v="0"/>
    <n v="0"/>
    <n v="0"/>
    <n v="0"/>
    <n v="0"/>
    <n v="0"/>
  </r>
  <r>
    <x v="127"/>
    <x v="1"/>
    <x v="7"/>
    <m/>
    <m/>
    <m/>
    <m/>
    <m/>
    <n v="0"/>
    <m/>
    <m/>
    <n v="0"/>
    <s v=""/>
    <n v="0"/>
    <n v="0"/>
    <n v="0"/>
    <n v="116.88487613461319"/>
    <n v="2225"/>
    <n v="71535.307499999995"/>
    <n v="0"/>
    <n v="0"/>
    <n v="0"/>
    <n v="0"/>
    <n v="0"/>
    <n v="0"/>
  </r>
  <r>
    <x v="0"/>
    <x v="2"/>
    <x v="0"/>
    <m/>
    <m/>
    <m/>
    <m/>
    <m/>
    <n v="0"/>
    <m/>
    <m/>
    <n v="0"/>
    <s v=""/>
    <n v="0"/>
    <n v="0"/>
    <n v="0"/>
    <n v="116.88487613461319"/>
    <n v="2225"/>
    <n v="71535.307499999995"/>
    <n v="0"/>
    <n v="0"/>
    <n v="0"/>
    <n v="0"/>
    <n v="0"/>
    <n v="0"/>
  </r>
  <r>
    <x v="1"/>
    <x v="2"/>
    <x v="0"/>
    <m/>
    <m/>
    <m/>
    <m/>
    <m/>
    <n v="0"/>
    <m/>
    <m/>
    <n v="0"/>
    <s v=""/>
    <n v="0"/>
    <n v="0"/>
    <n v="0"/>
    <n v="116.88487613461319"/>
    <n v="2225"/>
    <n v="71535.307499999995"/>
    <n v="0"/>
    <n v="0"/>
    <n v="0"/>
    <n v="0"/>
    <n v="0"/>
    <n v="0"/>
  </r>
  <r>
    <x v="2"/>
    <x v="2"/>
    <x v="0"/>
    <m/>
    <m/>
    <m/>
    <m/>
    <m/>
    <n v="0"/>
    <m/>
    <m/>
    <n v="0"/>
    <s v=""/>
    <n v="0"/>
    <n v="0"/>
    <n v="0"/>
    <n v="116.88487613461319"/>
    <n v="2225"/>
    <n v="71535.307499999995"/>
    <n v="0"/>
    <n v="0"/>
    <n v="0"/>
    <n v="0"/>
    <n v="0"/>
    <n v="0"/>
  </r>
  <r>
    <x v="3"/>
    <x v="2"/>
    <x v="0"/>
    <m/>
    <m/>
    <m/>
    <m/>
    <m/>
    <n v="0"/>
    <m/>
    <m/>
    <n v="0"/>
    <s v=""/>
    <n v="0"/>
    <n v="0"/>
    <n v="0"/>
    <n v="116.88487613461319"/>
    <n v="2225"/>
    <n v="71535.307499999995"/>
    <n v="0"/>
    <n v="0"/>
    <n v="0"/>
    <n v="0"/>
    <n v="0"/>
    <n v="0"/>
  </r>
  <r>
    <x v="4"/>
    <x v="2"/>
    <x v="1"/>
    <m/>
    <m/>
    <m/>
    <m/>
    <m/>
    <n v="0"/>
    <m/>
    <m/>
    <n v="0"/>
    <s v=""/>
    <n v="0"/>
    <n v="0"/>
    <n v="0"/>
    <n v="116.88487613461319"/>
    <n v="2225"/>
    <n v="71535.307499999995"/>
    <n v="0"/>
    <n v="0"/>
    <n v="0"/>
    <n v="0"/>
    <n v="0"/>
    <n v="0"/>
  </r>
  <r>
    <x v="5"/>
    <x v="2"/>
    <x v="1"/>
    <m/>
    <m/>
    <m/>
    <m/>
    <m/>
    <n v="0"/>
    <m/>
    <m/>
    <n v="0"/>
    <s v=""/>
    <n v="0"/>
    <n v="0"/>
    <n v="0"/>
    <n v="116.88487613461319"/>
    <n v="2225"/>
    <n v="71535.307499999995"/>
    <n v="0"/>
    <n v="0"/>
    <n v="0"/>
    <n v="0"/>
    <n v="0"/>
    <n v="0"/>
  </r>
  <r>
    <x v="6"/>
    <x v="2"/>
    <x v="1"/>
    <m/>
    <m/>
    <m/>
    <m/>
    <m/>
    <n v="0"/>
    <n v="390"/>
    <n v="2.37"/>
    <n v="0.92430000000000012"/>
    <s v=""/>
    <n v="390"/>
    <n v="0.92430000000000012"/>
    <n v="20534.983029750852"/>
    <n v="116.88487613461319"/>
    <n v="2225"/>
    <n v="71535.307499999995"/>
    <n v="0"/>
    <n v="66120.084722250002"/>
    <n v="0"/>
    <n v="45585.101692499149"/>
    <n v="0"/>
    <n v="20534.983029750852"/>
  </r>
  <r>
    <x v="7"/>
    <x v="2"/>
    <x v="2"/>
    <m/>
    <m/>
    <m/>
    <m/>
    <m/>
    <n v="0"/>
    <m/>
    <m/>
    <n v="0"/>
    <s v=""/>
    <n v="0"/>
    <n v="0"/>
    <n v="0"/>
    <n v="116.88487613461319"/>
    <n v="2225"/>
    <n v="71535.307499999995"/>
    <n v="0"/>
    <n v="0"/>
    <n v="0"/>
    <n v="0"/>
    <n v="0"/>
    <n v="0"/>
  </r>
  <r>
    <x v="8"/>
    <x v="2"/>
    <x v="2"/>
    <m/>
    <m/>
    <m/>
    <m/>
    <m/>
    <n v="0"/>
    <m/>
    <m/>
    <n v="0"/>
    <s v=""/>
    <n v="0"/>
    <n v="0"/>
    <n v="0"/>
    <n v="116.88487613461319"/>
    <n v="2225"/>
    <n v="71535.307499999995"/>
    <n v="0"/>
    <n v="0"/>
    <n v="0"/>
    <n v="0"/>
    <n v="0"/>
    <n v="0"/>
  </r>
  <r>
    <x v="9"/>
    <x v="2"/>
    <x v="2"/>
    <m/>
    <m/>
    <m/>
    <m/>
    <m/>
    <n v="0"/>
    <m/>
    <m/>
    <n v="0"/>
    <s v=""/>
    <n v="0"/>
    <n v="0"/>
    <n v="0"/>
    <n v="116.88487613461319"/>
    <n v="2225"/>
    <n v="71535.307499999995"/>
    <n v="0"/>
    <n v="0"/>
    <n v="0"/>
    <n v="0"/>
    <n v="0"/>
    <n v="0"/>
  </r>
  <r>
    <x v="10"/>
    <x v="2"/>
    <x v="2"/>
    <m/>
    <m/>
    <m/>
    <m/>
    <m/>
    <n v="0"/>
    <m/>
    <m/>
    <n v="0"/>
    <s v=""/>
    <n v="0"/>
    <n v="0"/>
    <n v="0"/>
    <n v="116.88487613461319"/>
    <n v="2225"/>
    <n v="71535.307499999995"/>
    <n v="0"/>
    <n v="0"/>
    <n v="0"/>
    <n v="0"/>
    <n v="0"/>
    <n v="0"/>
  </r>
  <r>
    <x v="11"/>
    <x v="2"/>
    <x v="2"/>
    <m/>
    <m/>
    <m/>
    <m/>
    <m/>
    <n v="0"/>
    <m/>
    <m/>
    <n v="0"/>
    <s v=""/>
    <n v="0"/>
    <n v="0"/>
    <n v="0"/>
    <n v="116.88487613461319"/>
    <n v="2225"/>
    <n v="71535.307499999995"/>
    <n v="0"/>
    <n v="0"/>
    <n v="0"/>
    <n v="0"/>
    <n v="0"/>
    <n v="0"/>
  </r>
  <r>
    <x v="12"/>
    <x v="2"/>
    <x v="2"/>
    <m/>
    <m/>
    <m/>
    <m/>
    <m/>
    <n v="0"/>
    <m/>
    <m/>
    <n v="0"/>
    <s v=""/>
    <n v="0"/>
    <n v="0"/>
    <n v="0"/>
    <n v="116.88487613461319"/>
    <n v="2225"/>
    <n v="71535.307499999995"/>
    <n v="0"/>
    <n v="0"/>
    <n v="0"/>
    <n v="0"/>
    <n v="0"/>
    <n v="0"/>
  </r>
  <r>
    <x v="13"/>
    <x v="2"/>
    <x v="2"/>
    <m/>
    <m/>
    <m/>
    <m/>
    <m/>
    <n v="0"/>
    <m/>
    <m/>
    <n v="0"/>
    <s v=""/>
    <n v="0"/>
    <n v="0"/>
    <n v="0"/>
    <n v="116.88487613461319"/>
    <n v="2225"/>
    <n v="71535.307499999995"/>
    <n v="0"/>
    <n v="0"/>
    <n v="0"/>
    <n v="0"/>
    <n v="0"/>
    <n v="0"/>
  </r>
  <r>
    <x v="14"/>
    <x v="2"/>
    <x v="2"/>
    <m/>
    <m/>
    <m/>
    <m/>
    <m/>
    <n v="0"/>
    <m/>
    <m/>
    <n v="0"/>
    <s v=""/>
    <n v="0"/>
    <n v="0"/>
    <n v="0"/>
    <n v="116.88487613461319"/>
    <n v="2225"/>
    <n v="71535.307499999995"/>
    <n v="0"/>
    <n v="0"/>
    <n v="0"/>
    <n v="0"/>
    <n v="0"/>
    <n v="0"/>
  </r>
  <r>
    <x v="15"/>
    <x v="2"/>
    <x v="2"/>
    <m/>
    <m/>
    <m/>
    <m/>
    <m/>
    <n v="0"/>
    <m/>
    <m/>
    <n v="0"/>
    <s v=""/>
    <n v="0"/>
    <n v="0"/>
    <n v="0"/>
    <n v="116.88487613461319"/>
    <n v="2225"/>
    <n v="71535.307499999995"/>
    <n v="0"/>
    <n v="0"/>
    <n v="0"/>
    <n v="0"/>
    <n v="0"/>
    <n v="0"/>
  </r>
  <r>
    <x v="16"/>
    <x v="2"/>
    <x v="2"/>
    <m/>
    <m/>
    <m/>
    <m/>
    <m/>
    <n v="0"/>
    <m/>
    <m/>
    <n v="0"/>
    <s v=""/>
    <n v="0"/>
    <n v="0"/>
    <n v="0"/>
    <n v="116.88487613461319"/>
    <n v="2225"/>
    <n v="71535.307499999995"/>
    <n v="0"/>
    <n v="0"/>
    <n v="0"/>
    <n v="0"/>
    <n v="0"/>
    <n v="0"/>
  </r>
  <r>
    <x v="17"/>
    <x v="2"/>
    <x v="3"/>
    <m/>
    <m/>
    <m/>
    <m/>
    <m/>
    <n v="0"/>
    <m/>
    <m/>
    <n v="0"/>
    <s v=""/>
    <n v="0"/>
    <n v="0"/>
    <n v="0"/>
    <n v="116.88487613461319"/>
    <n v="2225"/>
    <n v="71535.307499999995"/>
    <n v="0"/>
    <n v="0"/>
    <n v="0"/>
    <n v="0"/>
    <n v="0"/>
    <n v="0"/>
  </r>
  <r>
    <x v="18"/>
    <x v="2"/>
    <x v="3"/>
    <m/>
    <m/>
    <m/>
    <m/>
    <m/>
    <n v="0"/>
    <m/>
    <m/>
    <n v="0"/>
    <s v=""/>
    <n v="0"/>
    <n v="0"/>
    <n v="0"/>
    <n v="116.88487613461319"/>
    <n v="2225"/>
    <n v="71535.307499999995"/>
    <n v="0"/>
    <n v="0"/>
    <n v="0"/>
    <n v="0"/>
    <n v="0"/>
    <n v="0"/>
  </r>
  <r>
    <x v="19"/>
    <x v="2"/>
    <x v="3"/>
    <m/>
    <m/>
    <m/>
    <m/>
    <m/>
    <n v="0"/>
    <m/>
    <m/>
    <n v="0"/>
    <s v=""/>
    <n v="0"/>
    <n v="0"/>
    <n v="0"/>
    <n v="116.88487613461319"/>
    <n v="2225"/>
    <n v="71535.307499999995"/>
    <n v="0"/>
    <n v="0"/>
    <n v="0"/>
    <n v="0"/>
    <n v="0"/>
    <n v="0"/>
  </r>
  <r>
    <x v="20"/>
    <x v="2"/>
    <x v="3"/>
    <m/>
    <m/>
    <m/>
    <n v="2030"/>
    <n v="2.4"/>
    <n v="4.8719999999999999"/>
    <n v="1492"/>
    <n v="1.75"/>
    <n v="2.6110000000000002"/>
    <n v="-0.46408045977011486"/>
    <n v="-538"/>
    <n v="-2.2609999999999997"/>
    <n v="12386.452689657104"/>
    <n v="116.88487613461319"/>
    <n v="2225"/>
    <n v="71535.307499999995"/>
    <n v="348520.01813999994"/>
    <n v="186778.6878825"/>
    <n v="237276.29855326479"/>
    <n v="174392.2351928429"/>
    <n v="111243.71958673515"/>
    <n v="12386.452689657104"/>
  </r>
  <r>
    <x v="21"/>
    <x v="2"/>
    <x v="3"/>
    <m/>
    <m/>
    <m/>
    <n v="2030"/>
    <n v="2.1"/>
    <n v="4.2629999999999999"/>
    <n v="1685"/>
    <n v="1.81"/>
    <n v="3.0498499999999997"/>
    <n v="-0.28457658925639223"/>
    <n v="-345"/>
    <n v="-1.2131500000000002"/>
    <n v="21220.94129205175"/>
    <n v="116.88487613461319"/>
    <n v="2225"/>
    <n v="71535.307499999995"/>
    <n v="304955.01587249996"/>
    <n v="218171.95757887498"/>
    <n v="237276.29855326479"/>
    <n v="196951.01628682323"/>
    <n v="67678.717319235177"/>
    <n v="21220.94129205175"/>
  </r>
  <r>
    <x v="22"/>
    <x v="2"/>
    <x v="3"/>
    <m/>
    <m/>
    <m/>
    <m/>
    <m/>
    <n v="0"/>
    <m/>
    <m/>
    <n v="0"/>
    <s v=""/>
    <n v="0"/>
    <n v="0"/>
    <n v="0"/>
    <n v="116.88487613461319"/>
    <n v="2225"/>
    <n v="71535.307499999995"/>
    <n v="0"/>
    <n v="0"/>
    <n v="0"/>
    <n v="0"/>
    <n v="0"/>
    <n v="0"/>
  </r>
  <r>
    <x v="23"/>
    <x v="2"/>
    <x v="3"/>
    <m/>
    <m/>
    <m/>
    <m/>
    <m/>
    <n v="0"/>
    <n v="612"/>
    <n v="0.98"/>
    <n v="0.59975999999999996"/>
    <s v=""/>
    <n v="612"/>
    <n v="0.59975999999999996"/>
    <n v="-28629.528168183278"/>
    <n v="116.88487613461319"/>
    <n v="2225"/>
    <n v="71535.307499999995"/>
    <n v="0"/>
    <n v="42904.016026199992"/>
    <n v="0"/>
    <n v="71533.54419438327"/>
    <n v="0"/>
    <n v="-28629.528168183278"/>
  </r>
  <r>
    <x v="24"/>
    <x v="2"/>
    <x v="3"/>
    <m/>
    <m/>
    <m/>
    <m/>
    <m/>
    <n v="0"/>
    <m/>
    <m/>
    <n v="0"/>
    <s v=""/>
    <n v="0"/>
    <n v="0"/>
    <n v="0"/>
    <n v="116.88487613461319"/>
    <n v="2225"/>
    <n v="71535.307499999995"/>
    <n v="0"/>
    <n v="0"/>
    <n v="0"/>
    <n v="0"/>
    <n v="0"/>
    <n v="0"/>
  </r>
  <r>
    <x v="25"/>
    <x v="2"/>
    <x v="3"/>
    <m/>
    <m/>
    <m/>
    <m/>
    <m/>
    <n v="0"/>
    <m/>
    <m/>
    <n v="0"/>
    <s v=""/>
    <n v="0"/>
    <n v="0"/>
    <n v="0"/>
    <n v="116.88487613461319"/>
    <n v="2225"/>
    <n v="71535.307499999995"/>
    <n v="0"/>
    <n v="0"/>
    <n v="0"/>
    <n v="0"/>
    <n v="0"/>
    <n v="0"/>
  </r>
  <r>
    <x v="26"/>
    <x v="2"/>
    <x v="3"/>
    <m/>
    <m/>
    <m/>
    <n v="3045"/>
    <n v="2.339999999999999"/>
    <n v="7.1252999999999966"/>
    <n v="2150"/>
    <n v="1.1000000000000001"/>
    <n v="2.3650000000000002"/>
    <n v="-0.6680841508427714"/>
    <n v="-895"/>
    <n v="-4.7602999999999964"/>
    <n v="-82121.481451918342"/>
    <n v="116.88487613461319"/>
    <n v="2225"/>
    <n v="71535.307499999995"/>
    <n v="509710.52652974974"/>
    <n v="169181.00223750001"/>
    <n v="355914.44782989717"/>
    <n v="251302.48368941835"/>
    <n v="153796.07869985257"/>
    <n v="-82121.481451918342"/>
  </r>
  <r>
    <x v="27"/>
    <x v="2"/>
    <x v="3"/>
    <m/>
    <m/>
    <m/>
    <m/>
    <m/>
    <n v="0"/>
    <m/>
    <m/>
    <n v="0"/>
    <s v=""/>
    <n v="0"/>
    <n v="0"/>
    <n v="0"/>
    <n v="116.88487613461319"/>
    <n v="2225"/>
    <n v="71535.307499999995"/>
    <n v="0"/>
    <n v="0"/>
    <n v="0"/>
    <n v="0"/>
    <n v="0"/>
    <n v="0"/>
  </r>
  <r>
    <x v="28"/>
    <x v="2"/>
    <x v="3"/>
    <m/>
    <m/>
    <m/>
    <m/>
    <m/>
    <n v="0"/>
    <m/>
    <m/>
    <n v="0"/>
    <s v=""/>
    <n v="0"/>
    <n v="0"/>
    <n v="0"/>
    <n v="116.88487613461319"/>
    <n v="2225"/>
    <n v="71535.307499999995"/>
    <n v="0"/>
    <n v="0"/>
    <n v="0"/>
    <n v="0"/>
    <n v="0"/>
    <n v="0"/>
  </r>
  <r>
    <x v="29"/>
    <x v="2"/>
    <x v="3"/>
    <m/>
    <m/>
    <m/>
    <n v="4060"/>
    <n v="3.2900000000000018"/>
    <n v="13.357400000000007"/>
    <n v="5282"/>
    <n v="2.86"/>
    <n v="15.106519999999998"/>
    <n v="0.13094763951068245"/>
    <n v="1222"/>
    <n v="1.7491199999999907"/>
    <n v="463263.63771187281"/>
    <n v="116.88487613461319"/>
    <n v="2225"/>
    <n v="71535.307499999995"/>
    <n v="955525.7164005005"/>
    <n v="1080649.5534548997"/>
    <n v="474552.59710652957"/>
    <n v="617385.91574302688"/>
    <n v="480973.11929397093"/>
    <n v="463263.63771187281"/>
  </r>
  <r>
    <x v="30"/>
    <x v="2"/>
    <x v="3"/>
    <m/>
    <m/>
    <m/>
    <m/>
    <m/>
    <n v="0"/>
    <m/>
    <m/>
    <n v="0"/>
    <s v=""/>
    <n v="0"/>
    <n v="0"/>
    <n v="0"/>
    <n v="116.88487613461319"/>
    <n v="2225"/>
    <n v="71535.307499999995"/>
    <n v="0"/>
    <n v="0"/>
    <n v="0"/>
    <n v="0"/>
    <n v="0"/>
    <n v="0"/>
  </r>
  <r>
    <x v="31"/>
    <x v="2"/>
    <x v="3"/>
    <m/>
    <m/>
    <m/>
    <m/>
    <m/>
    <n v="0"/>
    <m/>
    <m/>
    <n v="0"/>
    <s v=""/>
    <n v="0"/>
    <n v="0"/>
    <n v="0"/>
    <n v="116.88487613461319"/>
    <n v="2225"/>
    <n v="71535.307499999995"/>
    <n v="0"/>
    <n v="0"/>
    <n v="0"/>
    <n v="0"/>
    <n v="0"/>
    <n v="0"/>
  </r>
  <r>
    <x v="32"/>
    <x v="2"/>
    <x v="3"/>
    <m/>
    <m/>
    <m/>
    <n v="2030"/>
    <n v="2.4"/>
    <n v="4.8719999999999999"/>
    <n v="715"/>
    <n v="1.38"/>
    <n v="0.98669999999999991"/>
    <n v="-0.79747536945812814"/>
    <n v="-1315"/>
    <n v="-3.8853"/>
    <n v="-12988.798525998442"/>
    <n v="116.88487613461319"/>
    <n v="2225"/>
    <n v="71535.307499999995"/>
    <n v="348520.01813999994"/>
    <n v="70583.887910249992"/>
    <n v="237276.29855326479"/>
    <n v="83572.686436248434"/>
    <n v="111243.71958673515"/>
    <n v="-12988.798525998442"/>
  </r>
  <r>
    <x v="33"/>
    <x v="2"/>
    <x v="3"/>
    <m/>
    <m/>
    <m/>
    <m/>
    <m/>
    <n v="0"/>
    <m/>
    <m/>
    <n v="0"/>
    <s v=""/>
    <n v="0"/>
    <n v="0"/>
    <n v="0"/>
    <n v="116.88487613461319"/>
    <n v="2225"/>
    <n v="71535.307499999995"/>
    <n v="0"/>
    <n v="0"/>
    <n v="0"/>
    <n v="0"/>
    <n v="0"/>
    <n v="0"/>
  </r>
  <r>
    <x v="34"/>
    <x v="2"/>
    <x v="3"/>
    <m/>
    <m/>
    <m/>
    <m/>
    <m/>
    <n v="0"/>
    <m/>
    <m/>
    <n v="0"/>
    <s v=""/>
    <n v="0"/>
    <n v="0"/>
    <n v="0"/>
    <n v="116.88487613461319"/>
    <n v="2225"/>
    <n v="71535.307499999995"/>
    <n v="0"/>
    <n v="0"/>
    <n v="0"/>
    <n v="0"/>
    <n v="0"/>
    <n v="0"/>
  </r>
  <r>
    <x v="35"/>
    <x v="2"/>
    <x v="3"/>
    <m/>
    <m/>
    <m/>
    <n v="4060"/>
    <n v="2.5"/>
    <n v="10.15"/>
    <n v="5812"/>
    <n v="1.76"/>
    <n v="10.22912"/>
    <n v="7.7950738916255794E-3"/>
    <n v="1752"/>
    <n v="7.9119999999999635E-2"/>
    <n v="52408.344560028054"/>
    <n v="116.88487613461319"/>
    <n v="2225"/>
    <n v="71535.307499999995"/>
    <n v="726083.37112499995"/>
    <n v="731743.24465439992"/>
    <n v="474552.59710652957"/>
    <n v="679334.90009437187"/>
    <n v="251530.77401847037"/>
    <n v="52408.344560028054"/>
  </r>
  <r>
    <x v="36"/>
    <x v="2"/>
    <x v="3"/>
    <m/>
    <m/>
    <m/>
    <m/>
    <m/>
    <n v="0"/>
    <m/>
    <m/>
    <n v="0"/>
    <s v=""/>
    <n v="0"/>
    <n v="0"/>
    <n v="0"/>
    <n v="116.88487613461319"/>
    <n v="2225"/>
    <n v="71535.307499999995"/>
    <n v="0"/>
    <n v="0"/>
    <n v="0"/>
    <n v="0"/>
    <n v="0"/>
    <n v="0"/>
  </r>
  <r>
    <x v="37"/>
    <x v="2"/>
    <x v="3"/>
    <m/>
    <m/>
    <m/>
    <m/>
    <m/>
    <n v="0"/>
    <m/>
    <m/>
    <n v="0"/>
    <s v=""/>
    <n v="0"/>
    <n v="0"/>
    <n v="0"/>
    <n v="116.88487613461319"/>
    <n v="2225"/>
    <n v="71535.307499999995"/>
    <n v="0"/>
    <n v="0"/>
    <n v="0"/>
    <n v="0"/>
    <n v="0"/>
    <n v="0"/>
  </r>
  <r>
    <x v="38"/>
    <x v="2"/>
    <x v="3"/>
    <m/>
    <m/>
    <m/>
    <n v="2030"/>
    <n v="2.4800000000000004"/>
    <n v="5.0344000000000007"/>
    <n v="2196"/>
    <n v="1.94"/>
    <n v="4.2602399999999996"/>
    <n v="-0.15377403464166553"/>
    <n v="166"/>
    <n v="-0.77416000000000107"/>
    <n v="48078.390432189364"/>
    <n v="116.88487613461319"/>
    <n v="2225"/>
    <n v="71535.307499999995"/>
    <n v="360137.35207800003"/>
    <n v="304757.57842379995"/>
    <n v="237276.29855326479"/>
    <n v="256679.18799161058"/>
    <n v="122861.05352473524"/>
    <n v="48078.390432189364"/>
  </r>
  <r>
    <x v="39"/>
    <x v="2"/>
    <x v="3"/>
    <m/>
    <m/>
    <m/>
    <m/>
    <m/>
    <n v="0"/>
    <m/>
    <m/>
    <n v="0"/>
    <s v=""/>
    <n v="0"/>
    <n v="0"/>
    <n v="0"/>
    <n v="116.88487613461319"/>
    <n v="2225"/>
    <n v="71535.307499999995"/>
    <n v="0"/>
    <n v="0"/>
    <n v="0"/>
    <n v="0"/>
    <n v="0"/>
    <n v="0"/>
  </r>
  <r>
    <x v="40"/>
    <x v="2"/>
    <x v="3"/>
    <m/>
    <m/>
    <m/>
    <m/>
    <m/>
    <n v="0"/>
    <m/>
    <m/>
    <n v="0"/>
    <s v=""/>
    <n v="0"/>
    <n v="0"/>
    <n v="0"/>
    <n v="116.88487613461319"/>
    <n v="2225"/>
    <n v="71535.307499999995"/>
    <n v="0"/>
    <n v="0"/>
    <n v="0"/>
    <n v="0"/>
    <n v="0"/>
    <n v="0"/>
  </r>
  <r>
    <x v="41"/>
    <x v="2"/>
    <x v="3"/>
    <m/>
    <m/>
    <m/>
    <m/>
    <m/>
    <n v="0"/>
    <m/>
    <m/>
    <n v="0"/>
    <s v=""/>
    <n v="0"/>
    <n v="0"/>
    <n v="0"/>
    <n v="116.88487613461319"/>
    <n v="2225"/>
    <n v="71535.307499999995"/>
    <n v="0"/>
    <n v="0"/>
    <n v="0"/>
    <n v="0"/>
    <n v="0"/>
    <n v="0"/>
  </r>
  <r>
    <x v="42"/>
    <x v="2"/>
    <x v="3"/>
    <m/>
    <m/>
    <m/>
    <m/>
    <m/>
    <n v="0"/>
    <m/>
    <m/>
    <n v="0"/>
    <s v=""/>
    <n v="0"/>
    <n v="0"/>
    <n v="0"/>
    <n v="116.88487613461319"/>
    <n v="2225"/>
    <n v="71535.307499999995"/>
    <n v="0"/>
    <n v="0"/>
    <n v="0"/>
    <n v="0"/>
    <n v="0"/>
    <n v="0"/>
  </r>
  <r>
    <x v="43"/>
    <x v="2"/>
    <x v="3"/>
    <m/>
    <m/>
    <m/>
    <m/>
    <m/>
    <n v="0"/>
    <m/>
    <m/>
    <n v="0"/>
    <s v=""/>
    <n v="0"/>
    <n v="0"/>
    <n v="0"/>
    <n v="116.88487613461319"/>
    <n v="2225"/>
    <n v="71535.307499999995"/>
    <n v="0"/>
    <n v="0"/>
    <n v="0"/>
    <n v="0"/>
    <n v="0"/>
    <n v="0"/>
  </r>
  <r>
    <x v="44"/>
    <x v="2"/>
    <x v="3"/>
    <m/>
    <m/>
    <m/>
    <m/>
    <m/>
    <n v="0"/>
    <m/>
    <m/>
    <n v="0"/>
    <s v=""/>
    <n v="0"/>
    <n v="0"/>
    <n v="0"/>
    <n v="116.88487613461319"/>
    <n v="2225"/>
    <n v="71535.307499999995"/>
    <n v="0"/>
    <n v="0"/>
    <n v="0"/>
    <n v="0"/>
    <n v="0"/>
    <n v="0"/>
  </r>
  <r>
    <x v="45"/>
    <x v="2"/>
    <x v="3"/>
    <m/>
    <m/>
    <m/>
    <m/>
    <m/>
    <n v="0"/>
    <m/>
    <m/>
    <n v="0"/>
    <s v=""/>
    <n v="0"/>
    <n v="0"/>
    <n v="0"/>
    <n v="116.88487613461319"/>
    <n v="2225"/>
    <n v="71535.307499999995"/>
    <n v="0"/>
    <n v="0"/>
    <n v="0"/>
    <n v="0"/>
    <n v="0"/>
    <n v="0"/>
  </r>
  <r>
    <x v="46"/>
    <x v="2"/>
    <x v="3"/>
    <m/>
    <m/>
    <m/>
    <m/>
    <m/>
    <m/>
    <m/>
    <m/>
    <m/>
    <m/>
    <m/>
    <m/>
    <m/>
    <m/>
    <m/>
    <m/>
    <m/>
    <m/>
    <m/>
    <m/>
    <m/>
    <m/>
  </r>
  <r>
    <x v="47"/>
    <x v="2"/>
    <x v="3"/>
    <m/>
    <m/>
    <m/>
    <m/>
    <m/>
    <m/>
    <m/>
    <m/>
    <m/>
    <m/>
    <m/>
    <m/>
    <m/>
    <m/>
    <m/>
    <m/>
    <m/>
    <m/>
    <m/>
    <m/>
    <m/>
    <m/>
  </r>
  <r>
    <x v="48"/>
    <x v="2"/>
    <x v="3"/>
    <m/>
    <m/>
    <m/>
    <m/>
    <m/>
    <m/>
    <m/>
    <m/>
    <m/>
    <m/>
    <m/>
    <m/>
    <m/>
    <m/>
    <m/>
    <m/>
    <m/>
    <m/>
    <m/>
    <m/>
    <m/>
    <m/>
  </r>
  <r>
    <x v="49"/>
    <x v="2"/>
    <x v="3"/>
    <m/>
    <m/>
    <m/>
    <m/>
    <m/>
    <n v="0"/>
    <m/>
    <m/>
    <n v="0"/>
    <s v=""/>
    <n v="0"/>
    <n v="0"/>
    <n v="0"/>
    <n v="116.88487613461319"/>
    <n v="2225"/>
    <n v="71535.307499999995"/>
    <n v="0"/>
    <n v="0"/>
    <n v="0"/>
    <n v="0"/>
    <n v="0"/>
    <n v="0"/>
  </r>
  <r>
    <x v="50"/>
    <x v="2"/>
    <x v="4"/>
    <m/>
    <m/>
    <m/>
    <m/>
    <m/>
    <n v="0"/>
    <m/>
    <m/>
    <n v="0"/>
    <s v=""/>
    <n v="0"/>
    <n v="0"/>
    <n v="0"/>
    <n v="116.88487613461319"/>
    <n v="2225"/>
    <n v="71535.307499999995"/>
    <n v="0"/>
    <n v="0"/>
    <n v="0"/>
    <n v="0"/>
    <n v="0"/>
    <n v="0"/>
  </r>
  <r>
    <x v="51"/>
    <x v="2"/>
    <x v="4"/>
    <m/>
    <m/>
    <m/>
    <n v="3045"/>
    <n v="3.3099999999999996"/>
    <n v="10.078949999999999"/>
    <n v="5002"/>
    <n v="2.46"/>
    <n v="12.304919999999999"/>
    <n v="0.22085336270147193"/>
    <n v="1957"/>
    <n v="2.2259700000000002"/>
    <n v="295578.08553756471"/>
    <n v="116.88487613461319"/>
    <n v="2225"/>
    <n v="71535.307499999995"/>
    <n v="721000.78752712486"/>
    <n v="880236.23596289987"/>
    <n v="355914.44782989717"/>
    <n v="584658.15042533516"/>
    <n v="365086.3396972277"/>
    <n v="295578.08553756471"/>
  </r>
  <r>
    <x v="52"/>
    <x v="2"/>
    <x v="4"/>
    <m/>
    <m/>
    <m/>
    <m/>
    <m/>
    <n v="0"/>
    <m/>
    <m/>
    <n v="0"/>
    <s v=""/>
    <n v="0"/>
    <n v="0"/>
    <n v="0"/>
    <n v="116.88487613461319"/>
    <n v="2225"/>
    <n v="71535.307499999995"/>
    <n v="0"/>
    <n v="0"/>
    <n v="0"/>
    <n v="0"/>
    <n v="0"/>
    <n v="0"/>
  </r>
  <r>
    <x v="53"/>
    <x v="2"/>
    <x v="4"/>
    <m/>
    <m/>
    <m/>
    <m/>
    <m/>
    <n v="0"/>
    <m/>
    <m/>
    <n v="0"/>
    <s v=""/>
    <n v="0"/>
    <n v="0"/>
    <n v="0"/>
    <n v="116.88487613461319"/>
    <n v="2225"/>
    <n v="71535.307499999995"/>
    <n v="0"/>
    <n v="0"/>
    <n v="0"/>
    <n v="0"/>
    <n v="0"/>
    <n v="0"/>
  </r>
  <r>
    <x v="54"/>
    <x v="2"/>
    <x v="4"/>
    <m/>
    <m/>
    <m/>
    <m/>
    <m/>
    <n v="0"/>
    <m/>
    <m/>
    <n v="0"/>
    <s v=""/>
    <n v="0"/>
    <n v="0"/>
    <n v="0"/>
    <n v="116.88487613461319"/>
    <n v="2225"/>
    <n v="71535.307499999995"/>
    <n v="0"/>
    <n v="0"/>
    <n v="0"/>
    <n v="0"/>
    <n v="0"/>
    <n v="0"/>
  </r>
  <r>
    <x v="55"/>
    <x v="2"/>
    <x v="4"/>
    <m/>
    <m/>
    <m/>
    <m/>
    <m/>
    <n v="0"/>
    <m/>
    <m/>
    <n v="0"/>
    <s v=""/>
    <n v="0"/>
    <n v="0"/>
    <n v="0"/>
    <n v="116.88487613461319"/>
    <n v="2225"/>
    <n v="71535.307499999995"/>
    <n v="0"/>
    <n v="0"/>
    <n v="0"/>
    <n v="0"/>
    <n v="0"/>
    <n v="0"/>
  </r>
  <r>
    <x v="56"/>
    <x v="2"/>
    <x v="4"/>
    <m/>
    <m/>
    <m/>
    <m/>
    <m/>
    <n v="0"/>
    <m/>
    <m/>
    <n v="0"/>
    <s v=""/>
    <n v="0"/>
    <n v="0"/>
    <n v="0"/>
    <n v="116.88487613461319"/>
    <n v="2225"/>
    <n v="71535.307499999995"/>
    <n v="0"/>
    <n v="0"/>
    <n v="0"/>
    <n v="0"/>
    <n v="0"/>
    <n v="0"/>
  </r>
  <r>
    <x v="57"/>
    <x v="2"/>
    <x v="4"/>
    <m/>
    <m/>
    <m/>
    <m/>
    <m/>
    <n v="0"/>
    <m/>
    <m/>
    <n v="0"/>
    <s v=""/>
    <n v="0"/>
    <n v="0"/>
    <n v="0"/>
    <n v="116.88487613461319"/>
    <n v="2225"/>
    <n v="71535.307499999995"/>
    <n v="0"/>
    <n v="0"/>
    <n v="0"/>
    <n v="0"/>
    <n v="0"/>
    <n v="0"/>
  </r>
  <r>
    <x v="58"/>
    <x v="2"/>
    <x v="4"/>
    <m/>
    <m/>
    <m/>
    <m/>
    <m/>
    <n v="0"/>
    <m/>
    <m/>
    <n v="0"/>
    <s v=""/>
    <n v="0"/>
    <n v="0"/>
    <n v="0"/>
    <n v="116.88487613461319"/>
    <n v="2225"/>
    <n v="71535.307499999995"/>
    <n v="0"/>
    <n v="0"/>
    <n v="0"/>
    <n v="0"/>
    <n v="0"/>
    <n v="0"/>
  </r>
  <r>
    <x v="59"/>
    <x v="2"/>
    <x v="4"/>
    <m/>
    <m/>
    <m/>
    <m/>
    <m/>
    <n v="0"/>
    <m/>
    <m/>
    <n v="0"/>
    <s v=""/>
    <n v="0"/>
    <n v="0"/>
    <n v="0"/>
    <n v="116.88487613461319"/>
    <n v="2225"/>
    <n v="71535.307499999995"/>
    <n v="0"/>
    <n v="0"/>
    <n v="0"/>
    <n v="0"/>
    <n v="0"/>
    <n v="0"/>
  </r>
  <r>
    <x v="60"/>
    <x v="2"/>
    <x v="4"/>
    <m/>
    <m/>
    <m/>
    <m/>
    <m/>
    <n v="0"/>
    <m/>
    <m/>
    <n v="0"/>
    <s v=""/>
    <n v="0"/>
    <n v="0"/>
    <n v="0"/>
    <n v="116.88487613461319"/>
    <n v="2225"/>
    <n v="71535.307499999995"/>
    <n v="0"/>
    <n v="0"/>
    <n v="0"/>
    <n v="0"/>
    <n v="0"/>
    <n v="0"/>
  </r>
  <r>
    <x v="61"/>
    <x v="2"/>
    <x v="4"/>
    <m/>
    <m/>
    <m/>
    <m/>
    <m/>
    <n v="0"/>
    <m/>
    <m/>
    <n v="0"/>
    <s v=""/>
    <n v="0"/>
    <n v="0"/>
    <n v="0"/>
    <n v="116.88487613461319"/>
    <n v="2225"/>
    <n v="71535.307499999995"/>
    <n v="0"/>
    <n v="0"/>
    <n v="0"/>
    <n v="0"/>
    <n v="0"/>
    <n v="0"/>
  </r>
  <r>
    <x v="62"/>
    <x v="2"/>
    <x v="4"/>
    <m/>
    <m/>
    <m/>
    <m/>
    <m/>
    <n v="0"/>
    <m/>
    <m/>
    <n v="0"/>
    <s v=""/>
    <n v="0"/>
    <n v="0"/>
    <n v="0"/>
    <n v="116.88487613461319"/>
    <n v="2225"/>
    <n v="71535.307499999995"/>
    <n v="0"/>
    <n v="0"/>
    <n v="0"/>
    <n v="0"/>
    <n v="0"/>
    <n v="0"/>
  </r>
  <r>
    <x v="63"/>
    <x v="2"/>
    <x v="4"/>
    <m/>
    <m/>
    <m/>
    <m/>
    <m/>
    <n v="0"/>
    <m/>
    <m/>
    <n v="0"/>
    <s v=""/>
    <n v="0"/>
    <n v="0"/>
    <n v="0"/>
    <n v="116.88487613461319"/>
    <n v="2225"/>
    <n v="71535.307499999995"/>
    <n v="0"/>
    <n v="0"/>
    <n v="0"/>
    <n v="0"/>
    <n v="0"/>
    <n v="0"/>
  </r>
  <r>
    <x v="64"/>
    <x v="2"/>
    <x v="4"/>
    <m/>
    <m/>
    <m/>
    <m/>
    <m/>
    <n v="0"/>
    <m/>
    <m/>
    <n v="0"/>
    <s v=""/>
    <n v="0"/>
    <n v="0"/>
    <n v="0"/>
    <n v="116.88487613461319"/>
    <n v="2225"/>
    <n v="71535.307499999995"/>
    <n v="0"/>
    <n v="0"/>
    <n v="0"/>
    <n v="0"/>
    <n v="0"/>
    <n v="0"/>
  </r>
  <r>
    <x v="65"/>
    <x v="2"/>
    <x v="4"/>
    <m/>
    <m/>
    <m/>
    <m/>
    <m/>
    <n v="0"/>
    <m/>
    <m/>
    <n v="0"/>
    <s v=""/>
    <n v="0"/>
    <n v="0"/>
    <n v="0"/>
    <n v="116.88487613461319"/>
    <n v="2225"/>
    <n v="71535.307499999995"/>
    <n v="0"/>
    <n v="0"/>
    <n v="0"/>
    <n v="0"/>
    <n v="0"/>
    <n v="0"/>
  </r>
  <r>
    <x v="66"/>
    <x v="2"/>
    <x v="4"/>
    <m/>
    <m/>
    <m/>
    <m/>
    <m/>
    <n v="0"/>
    <m/>
    <m/>
    <n v="0"/>
    <s v=""/>
    <n v="0"/>
    <n v="0"/>
    <n v="0"/>
    <n v="116.88487613461319"/>
    <n v="2225"/>
    <n v="71535.307499999995"/>
    <n v="0"/>
    <n v="0"/>
    <n v="0"/>
    <n v="0"/>
    <n v="0"/>
    <n v="0"/>
  </r>
  <r>
    <x v="67"/>
    <x v="2"/>
    <x v="4"/>
    <m/>
    <m/>
    <m/>
    <m/>
    <m/>
    <n v="0"/>
    <m/>
    <m/>
    <n v="0"/>
    <s v=""/>
    <n v="0"/>
    <n v="0"/>
    <n v="0"/>
    <n v="116.88487613461319"/>
    <n v="2225"/>
    <n v="71535.307499999995"/>
    <n v="0"/>
    <n v="0"/>
    <n v="0"/>
    <n v="0"/>
    <n v="0"/>
    <n v="0"/>
  </r>
  <r>
    <x v="68"/>
    <x v="2"/>
    <x v="4"/>
    <m/>
    <m/>
    <m/>
    <m/>
    <m/>
    <n v="0"/>
    <m/>
    <m/>
    <n v="0"/>
    <s v=""/>
    <n v="0"/>
    <n v="0"/>
    <n v="0"/>
    <n v="116.88487613461319"/>
    <n v="2225"/>
    <n v="71535.307499999995"/>
    <n v="0"/>
    <n v="0"/>
    <n v="0"/>
    <n v="0"/>
    <n v="0"/>
    <n v="0"/>
  </r>
  <r>
    <x v="69"/>
    <x v="2"/>
    <x v="4"/>
    <m/>
    <m/>
    <m/>
    <m/>
    <m/>
    <n v="0"/>
    <m/>
    <m/>
    <n v="0"/>
    <s v=""/>
    <n v="0"/>
    <n v="0"/>
    <n v="0"/>
    <n v="116.88487613461319"/>
    <n v="2225"/>
    <n v="71535.307499999995"/>
    <n v="0"/>
    <n v="0"/>
    <n v="0"/>
    <n v="0"/>
    <n v="0"/>
    <n v="0"/>
  </r>
  <r>
    <x v="70"/>
    <x v="2"/>
    <x v="5"/>
    <m/>
    <m/>
    <m/>
    <m/>
    <m/>
    <n v="0"/>
    <m/>
    <m/>
    <n v="0"/>
    <s v=""/>
    <n v="0"/>
    <n v="0"/>
    <n v="0"/>
    <n v="116.88487613461319"/>
    <n v="2225"/>
    <n v="71535.307499999995"/>
    <n v="0"/>
    <n v="0"/>
    <n v="0"/>
    <n v="0"/>
    <n v="0"/>
    <n v="0"/>
  </r>
  <r>
    <x v="71"/>
    <x v="2"/>
    <x v="5"/>
    <m/>
    <m/>
    <m/>
    <m/>
    <m/>
    <n v="0"/>
    <m/>
    <m/>
    <n v="0"/>
    <s v=""/>
    <n v="0"/>
    <n v="0"/>
    <n v="0"/>
    <n v="116.88487613461319"/>
    <n v="2225"/>
    <n v="71535.307499999995"/>
    <n v="0"/>
    <n v="0"/>
    <n v="0"/>
    <n v="0"/>
    <n v="0"/>
    <n v="0"/>
  </r>
  <r>
    <x v="72"/>
    <x v="2"/>
    <x v="5"/>
    <m/>
    <m/>
    <m/>
    <m/>
    <m/>
    <m/>
    <m/>
    <m/>
    <m/>
    <m/>
    <m/>
    <m/>
    <m/>
    <m/>
    <m/>
    <m/>
    <m/>
    <m/>
    <m/>
    <m/>
    <m/>
    <m/>
  </r>
  <r>
    <x v="73"/>
    <x v="2"/>
    <x v="5"/>
    <m/>
    <m/>
    <m/>
    <m/>
    <m/>
    <m/>
    <m/>
    <m/>
    <m/>
    <m/>
    <m/>
    <m/>
    <m/>
    <m/>
    <m/>
    <m/>
    <m/>
    <m/>
    <m/>
    <m/>
    <m/>
    <m/>
  </r>
  <r>
    <x v="74"/>
    <x v="2"/>
    <x v="5"/>
    <m/>
    <m/>
    <m/>
    <m/>
    <m/>
    <m/>
    <m/>
    <m/>
    <m/>
    <m/>
    <m/>
    <m/>
    <m/>
    <m/>
    <m/>
    <m/>
    <m/>
    <m/>
    <m/>
    <m/>
    <m/>
    <m/>
  </r>
  <r>
    <x v="75"/>
    <x v="2"/>
    <x v="5"/>
    <m/>
    <m/>
    <m/>
    <m/>
    <m/>
    <n v="0"/>
    <m/>
    <m/>
    <n v="0"/>
    <s v=""/>
    <n v="0"/>
    <n v="0"/>
    <n v="0"/>
    <n v="116.88487613461319"/>
    <n v="2225"/>
    <n v="71535.307499999995"/>
    <n v="0"/>
    <n v="0"/>
    <n v="0"/>
    <n v="0"/>
    <n v="0"/>
    <n v="0"/>
  </r>
  <r>
    <x v="76"/>
    <x v="2"/>
    <x v="5"/>
    <m/>
    <m/>
    <m/>
    <m/>
    <m/>
    <m/>
    <m/>
    <m/>
    <m/>
    <m/>
    <m/>
    <m/>
    <m/>
    <m/>
    <m/>
    <m/>
    <m/>
    <m/>
    <m/>
    <m/>
    <m/>
    <m/>
  </r>
  <r>
    <x v="77"/>
    <x v="2"/>
    <x v="5"/>
    <m/>
    <m/>
    <m/>
    <m/>
    <m/>
    <n v="0"/>
    <m/>
    <m/>
    <n v="0"/>
    <s v=""/>
    <n v="0"/>
    <n v="0"/>
    <n v="0"/>
    <n v="116.88487613461319"/>
    <n v="2225"/>
    <n v="71535.307499999995"/>
    <n v="0"/>
    <n v="0"/>
    <n v="0"/>
    <n v="0"/>
    <n v="0"/>
    <n v="0"/>
  </r>
  <r>
    <x v="78"/>
    <x v="2"/>
    <x v="5"/>
    <m/>
    <m/>
    <m/>
    <m/>
    <m/>
    <n v="0"/>
    <m/>
    <m/>
    <n v="0"/>
    <s v=""/>
    <n v="0"/>
    <n v="0"/>
    <n v="0"/>
    <n v="116.88487613461319"/>
    <n v="2225"/>
    <n v="71535.307499999995"/>
    <n v="0"/>
    <n v="0"/>
    <n v="0"/>
    <n v="0"/>
    <n v="0"/>
    <n v="0"/>
  </r>
  <r>
    <x v="79"/>
    <x v="2"/>
    <x v="5"/>
    <m/>
    <m/>
    <m/>
    <m/>
    <m/>
    <n v="0"/>
    <m/>
    <m/>
    <n v="0"/>
    <s v=""/>
    <n v="0"/>
    <n v="0"/>
    <n v="0"/>
    <n v="116.88487613461319"/>
    <n v="2225"/>
    <n v="71535.307499999995"/>
    <n v="0"/>
    <n v="0"/>
    <n v="0"/>
    <n v="0"/>
    <n v="0"/>
    <n v="0"/>
  </r>
  <r>
    <x v="80"/>
    <x v="2"/>
    <x v="5"/>
    <m/>
    <m/>
    <m/>
    <m/>
    <m/>
    <n v="0"/>
    <m/>
    <m/>
    <n v="0"/>
    <s v=""/>
    <n v="0"/>
    <n v="0"/>
    <n v="0"/>
    <n v="116.88487613461319"/>
    <n v="2225"/>
    <n v="71535.307499999995"/>
    <n v="0"/>
    <n v="0"/>
    <n v="0"/>
    <n v="0"/>
    <n v="0"/>
    <n v="0"/>
  </r>
  <r>
    <x v="81"/>
    <x v="2"/>
    <x v="5"/>
    <m/>
    <m/>
    <m/>
    <m/>
    <m/>
    <n v="0"/>
    <m/>
    <m/>
    <n v="0"/>
    <s v=""/>
    <n v="0"/>
    <n v="0"/>
    <n v="0"/>
    <n v="116.88487613461319"/>
    <n v="2225"/>
    <n v="71535.307499999995"/>
    <n v="0"/>
    <n v="0"/>
    <n v="0"/>
    <n v="0"/>
    <n v="0"/>
    <n v="0"/>
  </r>
  <r>
    <x v="82"/>
    <x v="2"/>
    <x v="5"/>
    <m/>
    <m/>
    <m/>
    <m/>
    <m/>
    <n v="0"/>
    <m/>
    <m/>
    <n v="0"/>
    <s v=""/>
    <n v="0"/>
    <n v="0"/>
    <n v="0"/>
    <n v="116.88487613461319"/>
    <n v="2225"/>
    <n v="71535.307499999995"/>
    <n v="0"/>
    <n v="0"/>
    <n v="0"/>
    <n v="0"/>
    <n v="0"/>
    <n v="0"/>
  </r>
  <r>
    <x v="83"/>
    <x v="2"/>
    <x v="5"/>
    <m/>
    <m/>
    <m/>
    <m/>
    <m/>
    <n v="0"/>
    <m/>
    <m/>
    <n v="0"/>
    <s v=""/>
    <n v="0"/>
    <n v="0"/>
    <n v="0"/>
    <n v="116.88487613461319"/>
    <n v="2225"/>
    <n v="71535.307499999995"/>
    <n v="0"/>
    <n v="0"/>
    <n v="0"/>
    <n v="0"/>
    <n v="0"/>
    <n v="0"/>
  </r>
  <r>
    <x v="84"/>
    <x v="2"/>
    <x v="5"/>
    <m/>
    <m/>
    <m/>
    <m/>
    <m/>
    <n v="0"/>
    <m/>
    <m/>
    <n v="0"/>
    <s v=""/>
    <n v="0"/>
    <n v="0"/>
    <n v="0"/>
    <n v="116.88487613461319"/>
    <n v="2225"/>
    <n v="71535.307499999995"/>
    <n v="0"/>
    <n v="0"/>
    <n v="0"/>
    <n v="0"/>
    <n v="0"/>
    <n v="0"/>
  </r>
  <r>
    <x v="85"/>
    <x v="2"/>
    <x v="5"/>
    <m/>
    <m/>
    <m/>
    <m/>
    <m/>
    <n v="0"/>
    <m/>
    <m/>
    <n v="0"/>
    <s v=""/>
    <n v="0"/>
    <n v="0"/>
    <n v="0"/>
    <n v="116.88487613461319"/>
    <n v="2225"/>
    <n v="71535.307499999995"/>
    <n v="0"/>
    <n v="0"/>
    <n v="0"/>
    <n v="0"/>
    <n v="0"/>
    <n v="0"/>
  </r>
  <r>
    <x v="86"/>
    <x v="2"/>
    <x v="5"/>
    <m/>
    <m/>
    <m/>
    <m/>
    <m/>
    <n v="0"/>
    <m/>
    <m/>
    <n v="0"/>
    <s v=""/>
    <n v="0"/>
    <n v="0"/>
    <n v="0"/>
    <n v="116.88487613461319"/>
    <n v="2225"/>
    <n v="71535.307499999995"/>
    <n v="0"/>
    <n v="0"/>
    <n v="0"/>
    <n v="0"/>
    <n v="0"/>
    <n v="0"/>
  </r>
  <r>
    <x v="87"/>
    <x v="2"/>
    <x v="5"/>
    <m/>
    <m/>
    <m/>
    <m/>
    <m/>
    <n v="0"/>
    <m/>
    <m/>
    <n v="0"/>
    <s v=""/>
    <n v="0"/>
    <n v="0"/>
    <n v="0"/>
    <n v="116.88487613461319"/>
    <n v="2225"/>
    <n v="71535.307499999995"/>
    <n v="0"/>
    <n v="0"/>
    <n v="0"/>
    <n v="0"/>
    <n v="0"/>
    <n v="0"/>
  </r>
  <r>
    <x v="88"/>
    <x v="2"/>
    <x v="5"/>
    <m/>
    <m/>
    <m/>
    <m/>
    <m/>
    <n v="0"/>
    <m/>
    <m/>
    <n v="0"/>
    <s v=""/>
    <n v="0"/>
    <n v="0"/>
    <n v="0"/>
    <n v="116.88487613461319"/>
    <n v="2225"/>
    <n v="71535.307499999995"/>
    <n v="0"/>
    <n v="0"/>
    <n v="0"/>
    <n v="0"/>
    <n v="0"/>
    <n v="0"/>
  </r>
  <r>
    <x v="89"/>
    <x v="2"/>
    <x v="5"/>
    <m/>
    <m/>
    <m/>
    <m/>
    <m/>
    <n v="0"/>
    <m/>
    <m/>
    <n v="0"/>
    <s v=""/>
    <n v="0"/>
    <n v="0"/>
    <n v="0"/>
    <n v="116.88487613461319"/>
    <n v="2225"/>
    <n v="71535.307499999995"/>
    <n v="0"/>
    <n v="0"/>
    <n v="0"/>
    <n v="0"/>
    <n v="0"/>
    <n v="0"/>
  </r>
  <r>
    <x v="90"/>
    <x v="2"/>
    <x v="5"/>
    <m/>
    <m/>
    <m/>
    <m/>
    <m/>
    <n v="0"/>
    <m/>
    <m/>
    <n v="0"/>
    <s v=""/>
    <n v="0"/>
    <n v="0"/>
    <n v="0"/>
    <n v="116.88487613461319"/>
    <n v="2225"/>
    <n v="71535.307499999995"/>
    <n v="0"/>
    <n v="0"/>
    <n v="0"/>
    <n v="0"/>
    <n v="0"/>
    <n v="0"/>
  </r>
  <r>
    <x v="91"/>
    <x v="2"/>
    <x v="5"/>
    <m/>
    <m/>
    <m/>
    <m/>
    <m/>
    <n v="0"/>
    <m/>
    <m/>
    <n v="0"/>
    <s v=""/>
    <n v="0"/>
    <n v="0"/>
    <n v="0"/>
    <n v="116.88487613461319"/>
    <n v="2225"/>
    <n v="71535.307499999995"/>
    <n v="0"/>
    <n v="0"/>
    <n v="0"/>
    <n v="0"/>
    <n v="0"/>
    <n v="0"/>
  </r>
  <r>
    <x v="92"/>
    <x v="2"/>
    <x v="5"/>
    <m/>
    <m/>
    <m/>
    <m/>
    <m/>
    <n v="0"/>
    <m/>
    <m/>
    <n v="0"/>
    <s v=""/>
    <n v="0"/>
    <n v="0"/>
    <n v="0"/>
    <n v="116.88487613461319"/>
    <n v="2225"/>
    <n v="71535.307499999995"/>
    <n v="0"/>
    <n v="0"/>
    <n v="0"/>
    <n v="0"/>
    <n v="0"/>
    <n v="0"/>
  </r>
  <r>
    <x v="93"/>
    <x v="2"/>
    <x v="5"/>
    <m/>
    <m/>
    <m/>
    <m/>
    <m/>
    <n v="0"/>
    <m/>
    <m/>
    <n v="0"/>
    <s v=""/>
    <n v="0"/>
    <n v="0"/>
    <n v="0"/>
    <n v="116.88487613461319"/>
    <n v="2225"/>
    <n v="71535.307499999995"/>
    <n v="0"/>
    <n v="0"/>
    <n v="0"/>
    <n v="0"/>
    <n v="0"/>
    <n v="0"/>
  </r>
  <r>
    <x v="94"/>
    <x v="2"/>
    <x v="5"/>
    <m/>
    <m/>
    <m/>
    <m/>
    <m/>
    <n v="0"/>
    <m/>
    <m/>
    <n v="0"/>
    <s v=""/>
    <n v="0"/>
    <n v="0"/>
    <n v="0"/>
    <n v="116.88487613461319"/>
    <n v="2225"/>
    <n v="71535.307499999995"/>
    <n v="0"/>
    <n v="0"/>
    <n v="0"/>
    <n v="0"/>
    <n v="0"/>
    <n v="0"/>
  </r>
  <r>
    <x v="95"/>
    <x v="2"/>
    <x v="5"/>
    <m/>
    <m/>
    <m/>
    <m/>
    <m/>
    <n v="0"/>
    <m/>
    <m/>
    <n v="0"/>
    <s v=""/>
    <n v="0"/>
    <n v="0"/>
    <n v="0"/>
    <n v="116.88487613461319"/>
    <n v="2225"/>
    <n v="71535.307499999995"/>
    <n v="0"/>
    <n v="0"/>
    <n v="0"/>
    <n v="0"/>
    <n v="0"/>
    <n v="0"/>
  </r>
  <r>
    <x v="96"/>
    <x v="2"/>
    <x v="5"/>
    <m/>
    <m/>
    <m/>
    <m/>
    <m/>
    <n v="0"/>
    <m/>
    <m/>
    <n v="0"/>
    <s v=""/>
    <n v="0"/>
    <n v="0"/>
    <n v="0"/>
    <n v="116.88487613461319"/>
    <n v="2225"/>
    <n v="71535.307499999995"/>
    <n v="0"/>
    <n v="0"/>
    <n v="0"/>
    <n v="0"/>
    <n v="0"/>
    <n v="0"/>
  </r>
  <r>
    <x v="97"/>
    <x v="2"/>
    <x v="5"/>
    <m/>
    <m/>
    <m/>
    <m/>
    <m/>
    <n v="0"/>
    <m/>
    <m/>
    <n v="0"/>
    <s v=""/>
    <n v="0"/>
    <n v="0"/>
    <n v="0"/>
    <n v="116.88487613461319"/>
    <n v="2225"/>
    <n v="71535.307499999995"/>
    <n v="0"/>
    <n v="0"/>
    <n v="0"/>
    <n v="0"/>
    <n v="0"/>
    <n v="0"/>
  </r>
  <r>
    <x v="98"/>
    <x v="2"/>
    <x v="6"/>
    <m/>
    <m/>
    <m/>
    <m/>
    <m/>
    <n v="0"/>
    <m/>
    <m/>
    <n v="0"/>
    <s v=""/>
    <n v="0"/>
    <n v="0"/>
    <n v="0"/>
    <n v="116.88487613461319"/>
    <n v="2225"/>
    <n v="71535.307499999995"/>
    <n v="0"/>
    <n v="0"/>
    <n v="0"/>
    <n v="0"/>
    <n v="0"/>
    <n v="0"/>
  </r>
  <r>
    <x v="99"/>
    <x v="2"/>
    <x v="6"/>
    <m/>
    <m/>
    <m/>
    <m/>
    <m/>
    <n v="0"/>
    <m/>
    <m/>
    <n v="0"/>
    <s v=""/>
    <n v="0"/>
    <n v="0"/>
    <n v="0"/>
    <n v="116.88487613461319"/>
    <n v="2225"/>
    <n v="71535.307499999995"/>
    <n v="0"/>
    <n v="0"/>
    <n v="0"/>
    <n v="0"/>
    <n v="0"/>
    <n v="0"/>
  </r>
  <r>
    <x v="100"/>
    <x v="2"/>
    <x v="6"/>
    <m/>
    <m/>
    <m/>
    <m/>
    <m/>
    <n v="0"/>
    <m/>
    <m/>
    <n v="0"/>
    <s v=""/>
    <n v="0"/>
    <n v="0"/>
    <n v="0"/>
    <n v="116.88487613461319"/>
    <n v="2225"/>
    <n v="71535.307499999995"/>
    <n v="0"/>
    <n v="0"/>
    <n v="0"/>
    <n v="0"/>
    <n v="0"/>
    <n v="0"/>
  </r>
  <r>
    <x v="101"/>
    <x v="2"/>
    <x v="6"/>
    <m/>
    <m/>
    <m/>
    <m/>
    <m/>
    <n v="0"/>
    <m/>
    <m/>
    <n v="0"/>
    <s v=""/>
    <n v="0"/>
    <n v="0"/>
    <n v="0"/>
    <n v="116.88487613461319"/>
    <n v="2225"/>
    <n v="71535.307499999995"/>
    <n v="0"/>
    <n v="0"/>
    <n v="0"/>
    <n v="0"/>
    <n v="0"/>
    <n v="0"/>
  </r>
  <r>
    <x v="102"/>
    <x v="2"/>
    <x v="6"/>
    <m/>
    <m/>
    <m/>
    <m/>
    <m/>
    <n v="0"/>
    <m/>
    <m/>
    <n v="0"/>
    <s v=""/>
    <n v="0"/>
    <n v="0"/>
    <n v="0"/>
    <n v="116.88487613461319"/>
    <n v="2225"/>
    <n v="71535.307499999995"/>
    <n v="0"/>
    <n v="0"/>
    <n v="0"/>
    <n v="0"/>
    <n v="0"/>
    <n v="0"/>
  </r>
  <r>
    <x v="103"/>
    <x v="2"/>
    <x v="6"/>
    <m/>
    <m/>
    <m/>
    <m/>
    <m/>
    <n v="0"/>
    <m/>
    <m/>
    <n v="0"/>
    <s v=""/>
    <n v="0"/>
    <n v="0"/>
    <n v="0"/>
    <n v="116.88487613461319"/>
    <n v="2225"/>
    <n v="71535.307499999995"/>
    <n v="0"/>
    <n v="0"/>
    <n v="0"/>
    <n v="0"/>
    <n v="0"/>
    <n v="0"/>
  </r>
  <r>
    <x v="104"/>
    <x v="2"/>
    <x v="6"/>
    <m/>
    <m/>
    <m/>
    <m/>
    <m/>
    <n v="0"/>
    <m/>
    <m/>
    <n v="0"/>
    <s v=""/>
    <n v="0"/>
    <n v="0"/>
    <n v="0"/>
    <n v="116.88487613461319"/>
    <n v="2225"/>
    <n v="71535.307499999995"/>
    <n v="0"/>
    <n v="0"/>
    <n v="0"/>
    <n v="0"/>
    <n v="0"/>
    <n v="0"/>
  </r>
  <r>
    <x v="105"/>
    <x v="2"/>
    <x v="6"/>
    <m/>
    <m/>
    <m/>
    <m/>
    <m/>
    <n v="0"/>
    <m/>
    <m/>
    <n v="0"/>
    <s v=""/>
    <n v="0"/>
    <n v="0"/>
    <n v="0"/>
    <n v="116.88487613461319"/>
    <n v="2225"/>
    <n v="71535.307499999995"/>
    <n v="0"/>
    <n v="0"/>
    <n v="0"/>
    <n v="0"/>
    <n v="0"/>
    <n v="0"/>
  </r>
  <r>
    <x v="106"/>
    <x v="2"/>
    <x v="6"/>
    <m/>
    <m/>
    <m/>
    <m/>
    <m/>
    <n v="0"/>
    <m/>
    <m/>
    <n v="0"/>
    <s v=""/>
    <n v="0"/>
    <n v="0"/>
    <n v="0"/>
    <n v="116.88487613461319"/>
    <n v="2225"/>
    <n v="71535.307499999995"/>
    <n v="0"/>
    <n v="0"/>
    <n v="0"/>
    <n v="0"/>
    <n v="0"/>
    <n v="0"/>
  </r>
  <r>
    <x v="107"/>
    <x v="2"/>
    <x v="6"/>
    <m/>
    <m/>
    <m/>
    <m/>
    <m/>
    <n v="0"/>
    <m/>
    <m/>
    <n v="0"/>
    <s v=""/>
    <n v="0"/>
    <n v="0"/>
    <n v="0"/>
    <n v="116.88487613461319"/>
    <n v="2225"/>
    <n v="71535.307499999995"/>
    <n v="0"/>
    <n v="0"/>
    <n v="0"/>
    <n v="0"/>
    <n v="0"/>
    <n v="0"/>
  </r>
  <r>
    <x v="108"/>
    <x v="2"/>
    <x v="6"/>
    <m/>
    <m/>
    <m/>
    <m/>
    <m/>
    <n v="0"/>
    <m/>
    <m/>
    <n v="0"/>
    <s v=""/>
    <n v="0"/>
    <n v="0"/>
    <n v="0"/>
    <n v="116.88487613461319"/>
    <n v="2225"/>
    <n v="71535.307499999995"/>
    <n v="0"/>
    <n v="0"/>
    <n v="0"/>
    <n v="0"/>
    <n v="0"/>
    <n v="0"/>
  </r>
  <r>
    <x v="109"/>
    <x v="2"/>
    <x v="6"/>
    <m/>
    <m/>
    <m/>
    <m/>
    <m/>
    <n v="0"/>
    <m/>
    <m/>
    <n v="0"/>
    <s v=""/>
    <n v="0"/>
    <n v="0"/>
    <n v="0"/>
    <n v="116.88487613461319"/>
    <n v="2225"/>
    <n v="71535.307499999995"/>
    <n v="0"/>
    <n v="0"/>
    <n v="0"/>
    <n v="0"/>
    <n v="0"/>
    <n v="0"/>
  </r>
  <r>
    <x v="110"/>
    <x v="2"/>
    <x v="7"/>
    <m/>
    <m/>
    <m/>
    <m/>
    <m/>
    <n v="0"/>
    <m/>
    <m/>
    <n v="0"/>
    <s v=""/>
    <n v="0"/>
    <n v="0"/>
    <n v="0"/>
    <n v="116.88487613461319"/>
    <n v="2225"/>
    <n v="71535.307499999995"/>
    <n v="0"/>
    <n v="0"/>
    <n v="0"/>
    <n v="0"/>
    <n v="0"/>
    <n v="0"/>
  </r>
  <r>
    <x v="111"/>
    <x v="2"/>
    <x v="7"/>
    <m/>
    <m/>
    <m/>
    <m/>
    <m/>
    <n v="0"/>
    <m/>
    <m/>
    <n v="0"/>
    <s v=""/>
    <n v="0"/>
    <n v="0"/>
    <n v="0"/>
    <n v="116.88487613461319"/>
    <n v="2225"/>
    <n v="71535.307499999995"/>
    <n v="0"/>
    <n v="0"/>
    <n v="0"/>
    <n v="0"/>
    <n v="0"/>
    <n v="0"/>
  </r>
  <r>
    <x v="112"/>
    <x v="2"/>
    <x v="7"/>
    <m/>
    <m/>
    <m/>
    <m/>
    <m/>
    <n v="0"/>
    <m/>
    <m/>
    <n v="0"/>
    <s v=""/>
    <n v="0"/>
    <n v="0"/>
    <n v="0"/>
    <n v="116.88487613461319"/>
    <n v="2225"/>
    <n v="71535.307499999995"/>
    <n v="0"/>
    <n v="0"/>
    <n v="0"/>
    <n v="0"/>
    <n v="0"/>
    <n v="0"/>
  </r>
  <r>
    <x v="113"/>
    <x v="2"/>
    <x v="7"/>
    <m/>
    <m/>
    <m/>
    <m/>
    <m/>
    <n v="0"/>
    <m/>
    <m/>
    <n v="0"/>
    <s v=""/>
    <n v="0"/>
    <n v="0"/>
    <n v="0"/>
    <n v="116.88487613461319"/>
    <n v="2225"/>
    <n v="71535.307499999995"/>
    <n v="0"/>
    <n v="0"/>
    <n v="0"/>
    <n v="0"/>
    <n v="0"/>
    <n v="0"/>
  </r>
  <r>
    <x v="114"/>
    <x v="2"/>
    <x v="7"/>
    <m/>
    <m/>
    <m/>
    <m/>
    <m/>
    <n v="0"/>
    <m/>
    <m/>
    <n v="0"/>
    <s v=""/>
    <n v="0"/>
    <n v="0"/>
    <n v="0"/>
    <n v="116.88487613461319"/>
    <n v="2225"/>
    <n v="71535.307499999995"/>
    <n v="0"/>
    <n v="0"/>
    <n v="0"/>
    <n v="0"/>
    <n v="0"/>
    <n v="0"/>
  </r>
  <r>
    <x v="115"/>
    <x v="2"/>
    <x v="7"/>
    <m/>
    <m/>
    <m/>
    <m/>
    <m/>
    <n v="0"/>
    <m/>
    <m/>
    <n v="0"/>
    <s v=""/>
    <n v="0"/>
    <n v="0"/>
    <n v="0"/>
    <n v="116.88487613461319"/>
    <n v="2225"/>
    <n v="71535.307499999995"/>
    <n v="0"/>
    <n v="0"/>
    <n v="0"/>
    <n v="0"/>
    <n v="0"/>
    <n v="0"/>
  </r>
  <r>
    <x v="116"/>
    <x v="2"/>
    <x v="7"/>
    <m/>
    <m/>
    <m/>
    <m/>
    <m/>
    <n v="0"/>
    <m/>
    <m/>
    <n v="0"/>
    <s v=""/>
    <n v="0"/>
    <n v="0"/>
    <n v="0"/>
    <n v="116.88487613461319"/>
    <n v="2225"/>
    <n v="71535.307499999995"/>
    <n v="0"/>
    <n v="0"/>
    <n v="0"/>
    <n v="0"/>
    <n v="0"/>
    <n v="0"/>
  </r>
  <r>
    <x v="117"/>
    <x v="2"/>
    <x v="7"/>
    <m/>
    <m/>
    <m/>
    <m/>
    <m/>
    <n v="0"/>
    <m/>
    <m/>
    <n v="0"/>
    <s v=""/>
    <n v="0"/>
    <n v="0"/>
    <n v="0"/>
    <n v="116.88487613461319"/>
    <n v="2225"/>
    <n v="71535.307499999995"/>
    <n v="0"/>
    <n v="0"/>
    <n v="0"/>
    <n v="0"/>
    <n v="0"/>
    <n v="0"/>
  </r>
  <r>
    <x v="118"/>
    <x v="2"/>
    <x v="7"/>
    <m/>
    <m/>
    <m/>
    <m/>
    <m/>
    <n v="0"/>
    <m/>
    <m/>
    <n v="0"/>
    <s v=""/>
    <n v="0"/>
    <n v="0"/>
    <n v="0"/>
    <n v="116.88487613461319"/>
    <n v="2225"/>
    <n v="71535.307499999995"/>
    <n v="0"/>
    <n v="0"/>
    <n v="0"/>
    <n v="0"/>
    <n v="0"/>
    <n v="0"/>
  </r>
  <r>
    <x v="119"/>
    <x v="2"/>
    <x v="7"/>
    <m/>
    <m/>
    <m/>
    <m/>
    <m/>
    <n v="0"/>
    <m/>
    <m/>
    <n v="0"/>
    <s v=""/>
    <n v="0"/>
    <n v="0"/>
    <n v="0"/>
    <n v="116.88487613461319"/>
    <n v="2225"/>
    <n v="71535.307499999995"/>
    <n v="0"/>
    <n v="0"/>
    <n v="0"/>
    <n v="0"/>
    <n v="0"/>
    <n v="0"/>
  </r>
  <r>
    <x v="120"/>
    <x v="2"/>
    <x v="7"/>
    <m/>
    <m/>
    <m/>
    <m/>
    <m/>
    <n v="0"/>
    <m/>
    <m/>
    <n v="0"/>
    <s v=""/>
    <n v="0"/>
    <n v="0"/>
    <n v="0"/>
    <n v="116.88487613461319"/>
    <n v="2225"/>
    <n v="71535.307499999995"/>
    <n v="0"/>
    <n v="0"/>
    <n v="0"/>
    <n v="0"/>
    <n v="0"/>
    <n v="0"/>
  </r>
  <r>
    <x v="121"/>
    <x v="2"/>
    <x v="7"/>
    <m/>
    <m/>
    <m/>
    <m/>
    <m/>
    <n v="0"/>
    <m/>
    <m/>
    <n v="0"/>
    <s v=""/>
    <n v="0"/>
    <n v="0"/>
    <n v="0"/>
    <n v="116.88487613461319"/>
    <n v="2225"/>
    <n v="71535.307499999995"/>
    <n v="0"/>
    <n v="0"/>
    <n v="0"/>
    <n v="0"/>
    <n v="0"/>
    <n v="0"/>
  </r>
  <r>
    <x v="122"/>
    <x v="2"/>
    <x v="7"/>
    <m/>
    <m/>
    <m/>
    <m/>
    <m/>
    <n v="0"/>
    <m/>
    <m/>
    <n v="0"/>
    <s v=""/>
    <n v="0"/>
    <n v="0"/>
    <n v="0"/>
    <n v="116.88487613461319"/>
    <n v="2225"/>
    <n v="71535.307499999995"/>
    <n v="0"/>
    <n v="0"/>
    <n v="0"/>
    <n v="0"/>
    <n v="0"/>
    <n v="0"/>
  </r>
  <r>
    <x v="123"/>
    <x v="2"/>
    <x v="7"/>
    <m/>
    <m/>
    <m/>
    <m/>
    <m/>
    <n v="0"/>
    <m/>
    <m/>
    <n v="0"/>
    <s v=""/>
    <n v="0"/>
    <n v="0"/>
    <n v="0"/>
    <n v="116.88487613461319"/>
    <n v="2225"/>
    <n v="71535.307499999995"/>
    <n v="0"/>
    <n v="0"/>
    <n v="0"/>
    <n v="0"/>
    <n v="0"/>
    <n v="0"/>
  </r>
  <r>
    <x v="124"/>
    <x v="2"/>
    <x v="7"/>
    <m/>
    <m/>
    <m/>
    <m/>
    <m/>
    <n v="0"/>
    <m/>
    <m/>
    <n v="0"/>
    <s v=""/>
    <n v="0"/>
    <n v="0"/>
    <n v="0"/>
    <n v="116.88487613461319"/>
    <n v="2225"/>
    <n v="71535.307499999995"/>
    <n v="0"/>
    <n v="0"/>
    <n v="0"/>
    <n v="0"/>
    <n v="0"/>
    <n v="0"/>
  </r>
  <r>
    <x v="125"/>
    <x v="2"/>
    <x v="7"/>
    <m/>
    <m/>
    <m/>
    <m/>
    <m/>
    <n v="0"/>
    <m/>
    <m/>
    <n v="0"/>
    <s v=""/>
    <n v="0"/>
    <n v="0"/>
    <n v="0"/>
    <n v="116.88487613461319"/>
    <n v="2225"/>
    <n v="71535.307499999995"/>
    <n v="0"/>
    <n v="0"/>
    <n v="0"/>
    <n v="0"/>
    <n v="0"/>
    <n v="0"/>
  </r>
  <r>
    <x v="126"/>
    <x v="2"/>
    <x v="7"/>
    <m/>
    <m/>
    <m/>
    <m/>
    <m/>
    <n v="0"/>
    <m/>
    <m/>
    <n v="0"/>
    <s v=""/>
    <n v="0"/>
    <n v="0"/>
    <n v="0"/>
    <n v="116.88487613461319"/>
    <n v="2225"/>
    <n v="71535.307499999995"/>
    <n v="0"/>
    <n v="0"/>
    <n v="0"/>
    <n v="0"/>
    <n v="0"/>
    <n v="0"/>
  </r>
  <r>
    <x v="127"/>
    <x v="2"/>
    <x v="7"/>
    <m/>
    <m/>
    <m/>
    <m/>
    <m/>
    <n v="0"/>
    <m/>
    <m/>
    <n v="0"/>
    <s v=""/>
    <n v="0"/>
    <n v="0"/>
    <n v="0"/>
    <n v="116.88487613461319"/>
    <n v="2225"/>
    <n v="71535.307499999995"/>
    <n v="0"/>
    <n v="0"/>
    <n v="0"/>
    <n v="0"/>
    <n v="0"/>
    <n v="0"/>
  </r>
  <r>
    <x v="0"/>
    <x v="3"/>
    <x v="0"/>
    <m/>
    <m/>
    <m/>
    <m/>
    <m/>
    <n v="0"/>
    <m/>
    <m/>
    <n v="0"/>
    <s v=""/>
    <n v="0"/>
    <n v="0"/>
    <n v="0"/>
    <n v="116.88487613461319"/>
    <n v="2225"/>
    <n v="71535.307499999995"/>
    <n v="0"/>
    <n v="0"/>
    <n v="0"/>
    <n v="0"/>
    <n v="0"/>
    <n v="0"/>
  </r>
  <r>
    <x v="1"/>
    <x v="3"/>
    <x v="0"/>
    <m/>
    <m/>
    <m/>
    <m/>
    <m/>
    <n v="0"/>
    <m/>
    <m/>
    <n v="0"/>
    <s v=""/>
    <n v="0"/>
    <n v="0"/>
    <n v="0"/>
    <n v="116.88487613461319"/>
    <n v="2225"/>
    <n v="71535.307499999995"/>
    <n v="0"/>
    <n v="0"/>
    <n v="0"/>
    <n v="0"/>
    <n v="0"/>
    <n v="0"/>
  </r>
  <r>
    <x v="2"/>
    <x v="3"/>
    <x v="0"/>
    <m/>
    <m/>
    <m/>
    <m/>
    <m/>
    <n v="0"/>
    <m/>
    <m/>
    <n v="0"/>
    <s v=""/>
    <n v="0"/>
    <n v="0"/>
    <n v="0"/>
    <n v="116.88487613461319"/>
    <n v="2225"/>
    <n v="71535.307499999995"/>
    <n v="0"/>
    <n v="0"/>
    <n v="0"/>
    <n v="0"/>
    <n v="0"/>
    <n v="0"/>
  </r>
  <r>
    <x v="3"/>
    <x v="3"/>
    <x v="0"/>
    <m/>
    <m/>
    <m/>
    <m/>
    <m/>
    <n v="0"/>
    <m/>
    <m/>
    <n v="0"/>
    <s v=""/>
    <n v="0"/>
    <n v="0"/>
    <n v="0"/>
    <n v="116.88487613461319"/>
    <n v="2225"/>
    <n v="71535.307499999995"/>
    <n v="0"/>
    <n v="0"/>
    <n v="0"/>
    <n v="0"/>
    <n v="0"/>
    <n v="0"/>
  </r>
  <r>
    <x v="4"/>
    <x v="3"/>
    <x v="1"/>
    <m/>
    <m/>
    <m/>
    <m/>
    <m/>
    <n v="0"/>
    <n v="1783"/>
    <n v="0.9"/>
    <n v="1.6047"/>
    <s v=""/>
    <n v="1783"/>
    <n v="1.6047"/>
    <n v="-93613.026202765337"/>
    <n v="116.88487613461319"/>
    <n v="2225"/>
    <n v="71535.307499999995"/>
    <n v="0"/>
    <n v="114792.70794524999"/>
    <n v="0"/>
    <n v="208405.73414801533"/>
    <n v="0"/>
    <n v="-93613.026202765337"/>
  </r>
  <r>
    <x v="5"/>
    <x v="3"/>
    <x v="1"/>
    <m/>
    <m/>
    <m/>
    <m/>
    <m/>
    <n v="0"/>
    <m/>
    <m/>
    <n v="0"/>
    <s v=""/>
    <n v="0"/>
    <n v="0"/>
    <n v="0"/>
    <n v="116.88487613461319"/>
    <n v="2225"/>
    <n v="71535.307499999995"/>
    <n v="0"/>
    <n v="0"/>
    <n v="0"/>
    <n v="0"/>
    <n v="0"/>
    <n v="0"/>
  </r>
  <r>
    <x v="6"/>
    <x v="3"/>
    <x v="1"/>
    <m/>
    <m/>
    <m/>
    <n v="1960"/>
    <n v="1.5200000000000009"/>
    <n v="2.9792000000000018"/>
    <n v="2025"/>
    <n v="1.83"/>
    <n v="3.7057500000000001"/>
    <n v="0.2438741944146072"/>
    <n v="65"/>
    <n v="0.72654999999999825"/>
    <n v="28400.091595533246"/>
    <n v="116.88487613461319"/>
    <n v="2225"/>
    <n v="71535.307499999995"/>
    <n v="213117.98810400011"/>
    <n v="265091.96576812497"/>
    <n v="229094.35722384186"/>
    <n v="236691.87417259172"/>
    <n v="-15976.369119841751"/>
    <n v="28400.091595533246"/>
  </r>
  <r>
    <x v="7"/>
    <x v="3"/>
    <x v="2"/>
    <m/>
    <m/>
    <m/>
    <m/>
    <m/>
    <n v="0"/>
    <m/>
    <m/>
    <n v="0"/>
    <s v=""/>
    <n v="0"/>
    <n v="0"/>
    <n v="0"/>
    <n v="116.88487613461319"/>
    <n v="2225"/>
    <n v="71535.307499999995"/>
    <n v="0"/>
    <n v="0"/>
    <n v="0"/>
    <n v="0"/>
    <n v="0"/>
    <n v="0"/>
  </r>
  <r>
    <x v="8"/>
    <x v="3"/>
    <x v="2"/>
    <m/>
    <m/>
    <m/>
    <m/>
    <m/>
    <n v="0"/>
    <m/>
    <m/>
    <n v="0"/>
    <s v=""/>
    <n v="0"/>
    <n v="0"/>
    <n v="0"/>
    <n v="116.88487613461319"/>
    <n v="2225"/>
    <n v="71535.307499999995"/>
    <n v="0"/>
    <n v="0"/>
    <n v="0"/>
    <n v="0"/>
    <n v="0"/>
    <n v="0"/>
  </r>
  <r>
    <x v="9"/>
    <x v="3"/>
    <x v="2"/>
    <m/>
    <m/>
    <m/>
    <m/>
    <m/>
    <n v="0"/>
    <m/>
    <m/>
    <n v="0"/>
    <s v=""/>
    <n v="0"/>
    <n v="0"/>
    <n v="0"/>
    <n v="116.88487613461319"/>
    <n v="2225"/>
    <n v="71535.307499999995"/>
    <n v="0"/>
    <n v="0"/>
    <n v="0"/>
    <n v="0"/>
    <n v="0"/>
    <n v="0"/>
  </r>
  <r>
    <x v="10"/>
    <x v="3"/>
    <x v="2"/>
    <m/>
    <m/>
    <m/>
    <m/>
    <m/>
    <n v="0"/>
    <m/>
    <m/>
    <n v="0"/>
    <s v=""/>
    <n v="0"/>
    <n v="0"/>
    <n v="0"/>
    <n v="116.88487613461319"/>
    <n v="2225"/>
    <n v="71535.307499999995"/>
    <n v="0"/>
    <n v="0"/>
    <n v="0"/>
    <n v="0"/>
    <n v="0"/>
    <n v="0"/>
  </r>
  <r>
    <x v="11"/>
    <x v="3"/>
    <x v="2"/>
    <m/>
    <m/>
    <m/>
    <m/>
    <m/>
    <n v="0"/>
    <m/>
    <m/>
    <n v="0"/>
    <s v=""/>
    <n v="0"/>
    <n v="0"/>
    <n v="0"/>
    <n v="116.88487613461319"/>
    <n v="2225"/>
    <n v="71535.307499999995"/>
    <n v="0"/>
    <n v="0"/>
    <n v="0"/>
    <n v="0"/>
    <n v="0"/>
    <n v="0"/>
  </r>
  <r>
    <x v="12"/>
    <x v="3"/>
    <x v="2"/>
    <m/>
    <m/>
    <m/>
    <m/>
    <m/>
    <n v="0"/>
    <m/>
    <m/>
    <n v="0"/>
    <s v=""/>
    <n v="0"/>
    <n v="0"/>
    <n v="0"/>
    <n v="116.88487613461319"/>
    <n v="2225"/>
    <n v="71535.307499999995"/>
    <n v="0"/>
    <n v="0"/>
    <n v="0"/>
    <n v="0"/>
    <n v="0"/>
    <n v="0"/>
  </r>
  <r>
    <x v="13"/>
    <x v="3"/>
    <x v="2"/>
    <m/>
    <m/>
    <m/>
    <m/>
    <m/>
    <n v="0"/>
    <m/>
    <m/>
    <n v="0"/>
    <s v=""/>
    <n v="0"/>
    <n v="0"/>
    <n v="0"/>
    <n v="116.88487613461319"/>
    <n v="2225"/>
    <n v="71535.307499999995"/>
    <n v="0"/>
    <n v="0"/>
    <n v="0"/>
    <n v="0"/>
    <n v="0"/>
    <n v="0"/>
  </r>
  <r>
    <x v="14"/>
    <x v="3"/>
    <x v="2"/>
    <m/>
    <m/>
    <m/>
    <m/>
    <m/>
    <n v="0"/>
    <m/>
    <m/>
    <n v="0"/>
    <s v=""/>
    <n v="0"/>
    <n v="0"/>
    <n v="0"/>
    <n v="116.88487613461319"/>
    <n v="2225"/>
    <n v="71535.307499999995"/>
    <n v="0"/>
    <n v="0"/>
    <n v="0"/>
    <n v="0"/>
    <n v="0"/>
    <n v="0"/>
  </r>
  <r>
    <x v="15"/>
    <x v="3"/>
    <x v="2"/>
    <m/>
    <m/>
    <m/>
    <m/>
    <m/>
    <n v="0"/>
    <m/>
    <m/>
    <n v="0"/>
    <s v=""/>
    <n v="0"/>
    <n v="0"/>
    <n v="0"/>
    <n v="116.88487613461319"/>
    <n v="2225"/>
    <n v="71535.307499999995"/>
    <n v="0"/>
    <n v="0"/>
    <n v="0"/>
    <n v="0"/>
    <n v="0"/>
    <n v="0"/>
  </r>
  <r>
    <x v="16"/>
    <x v="3"/>
    <x v="2"/>
    <m/>
    <m/>
    <m/>
    <m/>
    <m/>
    <n v="0"/>
    <m/>
    <m/>
    <n v="0"/>
    <s v=""/>
    <n v="0"/>
    <n v="0"/>
    <n v="0"/>
    <n v="116.88487613461319"/>
    <n v="2225"/>
    <n v="71535.307499999995"/>
    <n v="0"/>
    <n v="0"/>
    <n v="0"/>
    <n v="0"/>
    <n v="0"/>
    <n v="0"/>
  </r>
  <r>
    <x v="17"/>
    <x v="3"/>
    <x v="3"/>
    <m/>
    <m/>
    <m/>
    <m/>
    <m/>
    <n v="0"/>
    <m/>
    <m/>
    <n v="0"/>
    <s v=""/>
    <n v="0"/>
    <n v="0"/>
    <n v="0"/>
    <n v="116.88487613461319"/>
    <n v="2225"/>
    <n v="71535.307499999995"/>
    <n v="0"/>
    <n v="0"/>
    <n v="0"/>
    <n v="0"/>
    <n v="0"/>
    <n v="0"/>
  </r>
  <r>
    <x v="18"/>
    <x v="3"/>
    <x v="3"/>
    <m/>
    <m/>
    <m/>
    <m/>
    <m/>
    <n v="0"/>
    <m/>
    <m/>
    <n v="0"/>
    <s v=""/>
    <n v="0"/>
    <n v="0"/>
    <n v="0"/>
    <n v="116.88487613461319"/>
    <n v="2225"/>
    <n v="71535.307499999995"/>
    <n v="0"/>
    <n v="0"/>
    <n v="0"/>
    <n v="0"/>
    <n v="0"/>
    <n v="0"/>
  </r>
  <r>
    <x v="19"/>
    <x v="3"/>
    <x v="3"/>
    <m/>
    <m/>
    <m/>
    <m/>
    <m/>
    <n v="0"/>
    <m/>
    <m/>
    <n v="0"/>
    <s v=""/>
    <n v="0"/>
    <n v="0"/>
    <n v="0"/>
    <n v="116.88487613461319"/>
    <n v="2225"/>
    <n v="71535.307499999995"/>
    <n v="0"/>
    <n v="0"/>
    <n v="0"/>
    <n v="0"/>
    <n v="0"/>
    <n v="0"/>
  </r>
  <r>
    <x v="20"/>
    <x v="3"/>
    <x v="3"/>
    <m/>
    <m/>
    <m/>
    <m/>
    <m/>
    <n v="0"/>
    <m/>
    <m/>
    <n v="0"/>
    <s v=""/>
    <n v="0"/>
    <n v="0"/>
    <n v="0"/>
    <n v="116.88487613461319"/>
    <n v="2225"/>
    <n v="71535.307499999995"/>
    <n v="0"/>
    <n v="0"/>
    <n v="0"/>
    <n v="0"/>
    <n v="0"/>
    <n v="0"/>
  </r>
  <r>
    <x v="21"/>
    <x v="3"/>
    <x v="3"/>
    <m/>
    <m/>
    <m/>
    <m/>
    <m/>
    <n v="0"/>
    <m/>
    <m/>
    <n v="0"/>
    <s v=""/>
    <n v="0"/>
    <n v="0"/>
    <n v="0"/>
    <n v="116.88487613461319"/>
    <n v="2225"/>
    <n v="71535.307499999995"/>
    <n v="0"/>
    <n v="0"/>
    <n v="0"/>
    <n v="0"/>
    <n v="0"/>
    <n v="0"/>
  </r>
  <r>
    <x v="22"/>
    <x v="3"/>
    <x v="3"/>
    <m/>
    <m/>
    <m/>
    <m/>
    <m/>
    <n v="0"/>
    <m/>
    <m/>
    <n v="0"/>
    <s v=""/>
    <n v="0"/>
    <n v="0"/>
    <n v="0"/>
    <n v="116.88487613461319"/>
    <n v="2225"/>
    <n v="71535.307499999995"/>
    <n v="0"/>
    <n v="0"/>
    <n v="0"/>
    <n v="0"/>
    <n v="0"/>
    <n v="0"/>
  </r>
  <r>
    <x v="23"/>
    <x v="3"/>
    <x v="3"/>
    <m/>
    <m/>
    <m/>
    <m/>
    <m/>
    <n v="0"/>
    <m/>
    <m/>
    <n v="0"/>
    <s v=""/>
    <n v="0"/>
    <n v="0"/>
    <n v="0"/>
    <n v="116.88487613461319"/>
    <n v="2225"/>
    <n v="71535.307499999995"/>
    <n v="0"/>
    <n v="0"/>
    <n v="0"/>
    <n v="0"/>
    <n v="0"/>
    <n v="0"/>
  </r>
  <r>
    <x v="24"/>
    <x v="3"/>
    <x v="3"/>
    <m/>
    <m/>
    <m/>
    <m/>
    <m/>
    <n v="0"/>
    <m/>
    <m/>
    <n v="0"/>
    <s v=""/>
    <n v="0"/>
    <n v="0"/>
    <n v="0"/>
    <n v="116.88487613461319"/>
    <n v="2225"/>
    <n v="71535.307499999995"/>
    <n v="0"/>
    <n v="0"/>
    <n v="0"/>
    <n v="0"/>
    <n v="0"/>
    <n v="0"/>
  </r>
  <r>
    <x v="25"/>
    <x v="3"/>
    <x v="3"/>
    <m/>
    <m/>
    <m/>
    <m/>
    <m/>
    <n v="0"/>
    <m/>
    <m/>
    <n v="0"/>
    <s v=""/>
    <n v="0"/>
    <n v="0"/>
    <n v="0"/>
    <n v="116.88487613461319"/>
    <n v="2225"/>
    <n v="71535.307499999995"/>
    <n v="0"/>
    <n v="0"/>
    <n v="0"/>
    <n v="0"/>
    <n v="0"/>
    <n v="0"/>
  </r>
  <r>
    <x v="26"/>
    <x v="3"/>
    <x v="3"/>
    <m/>
    <m/>
    <m/>
    <n v="3920"/>
    <n v="1.9700000000000009"/>
    <n v="7.722400000000003"/>
    <n v="3065"/>
    <n v="1.58"/>
    <n v="4.8426999999999998"/>
    <n v="-0.37290220656790662"/>
    <n v="-855"/>
    <n v="-2.8797000000000033"/>
    <n v="-11828.111722339469"/>
    <n v="116.88487613461319"/>
    <n v="2225"/>
    <n v="71535.307499999995"/>
    <n v="552424.25863800023"/>
    <n v="346424.03363024996"/>
    <n v="458188.71444768371"/>
    <n v="358252.14535258943"/>
    <n v="94235.544190316519"/>
    <n v="-11828.111722339469"/>
  </r>
  <r>
    <x v="27"/>
    <x v="3"/>
    <x v="3"/>
    <m/>
    <m/>
    <m/>
    <m/>
    <m/>
    <n v="0"/>
    <m/>
    <m/>
    <n v="0"/>
    <s v=""/>
    <n v="0"/>
    <n v="0"/>
    <n v="0"/>
    <n v="116.88487613461319"/>
    <n v="2225"/>
    <n v="71535.307499999995"/>
    <n v="0"/>
    <n v="0"/>
    <n v="0"/>
    <n v="0"/>
    <n v="0"/>
    <n v="0"/>
  </r>
  <r>
    <x v="28"/>
    <x v="3"/>
    <x v="3"/>
    <m/>
    <m/>
    <m/>
    <m/>
    <m/>
    <n v="0"/>
    <m/>
    <m/>
    <n v="0"/>
    <s v=""/>
    <n v="0"/>
    <n v="0"/>
    <n v="0"/>
    <n v="116.88487613461319"/>
    <n v="2225"/>
    <n v="71535.307499999995"/>
    <n v="0"/>
    <n v="0"/>
    <n v="0"/>
    <n v="0"/>
    <n v="0"/>
    <n v="0"/>
  </r>
  <r>
    <x v="29"/>
    <x v="3"/>
    <x v="3"/>
    <m/>
    <m/>
    <m/>
    <n v="1960"/>
    <n v="2.1799999999999997"/>
    <n v="4.2727999999999993"/>
    <m/>
    <m/>
    <n v="0"/>
    <n v="-1"/>
    <n v="-1960"/>
    <n v="-4.2727999999999993"/>
    <n v="0"/>
    <n v="116.88487613461319"/>
    <n v="2225"/>
    <n v="71535.307499999995"/>
    <n v="305656.06188599992"/>
    <n v="0"/>
    <n v="229094.35722384186"/>
    <n v="0"/>
    <n v="76561.704662158067"/>
    <n v="0"/>
  </r>
  <r>
    <x v="30"/>
    <x v="3"/>
    <x v="3"/>
    <m/>
    <m/>
    <m/>
    <n v="1960"/>
    <n v="1.8"/>
    <n v="3.528"/>
    <n v="4174"/>
    <n v="1.44"/>
    <n v="6.0105599999999999"/>
    <n v="0.7036734693877551"/>
    <n v="2214"/>
    <n v="2.4825599999999999"/>
    <n v="-57910.21513867547"/>
    <n v="116.88487613461319"/>
    <n v="2225"/>
    <n v="71535.307499999995"/>
    <n v="252376.56485999998"/>
    <n v="429967.25784719997"/>
    <n v="229094.35722384186"/>
    <n v="487877.47298587544"/>
    <n v="23282.207636158128"/>
    <n v="-57910.21513867547"/>
  </r>
  <r>
    <x v="31"/>
    <x v="3"/>
    <x v="3"/>
    <m/>
    <m/>
    <m/>
    <n v="1960"/>
    <n v="1.8799999999999992"/>
    <n v="3.6847999999999983"/>
    <n v="141"/>
    <n v="1.72"/>
    <n v="0.24252000000000001"/>
    <n v="-0.9341836734693878"/>
    <n v="-1819"/>
    <n v="-3.4422799999999985"/>
    <n v="867.97523991953858"/>
    <n v="116.88487613461319"/>
    <n v="2225"/>
    <n v="71535.307499999995"/>
    <n v="263593.30107599986"/>
    <n v="17348.742774899998"/>
    <n v="229094.35722384186"/>
    <n v="16480.767534980459"/>
    <n v="34498.943852158001"/>
    <n v="867.97523991953858"/>
  </r>
  <r>
    <x v="32"/>
    <x v="3"/>
    <x v="3"/>
    <m/>
    <m/>
    <m/>
    <n v="1960"/>
    <n v="2.3400000000000012"/>
    <n v="4.586400000000002"/>
    <n v="6902"/>
    <n v="1.91"/>
    <n v="13.18282"/>
    <n v="1.8743284493284482"/>
    <n v="4942"/>
    <n v="8.5964199999999984"/>
    <n v="136297.66733604961"/>
    <n v="116.88487613461319"/>
    <n v="2225"/>
    <n v="71535.307499999995"/>
    <n v="328089.53431800014"/>
    <n v="943037.08241714991"/>
    <n v="229094.35722384186"/>
    <n v="806739.41508110031"/>
    <n v="98995.17709415828"/>
    <n v="136297.66733604961"/>
  </r>
  <r>
    <x v="33"/>
    <x v="3"/>
    <x v="3"/>
    <m/>
    <m/>
    <m/>
    <n v="1960"/>
    <n v="2.8800000000000003"/>
    <n v="5.6448000000000009"/>
    <m/>
    <m/>
    <n v="0"/>
    <n v="-1"/>
    <n v="-1960"/>
    <n v="-5.6448000000000009"/>
    <n v="0"/>
    <n v="116.88487613461319"/>
    <n v="2225"/>
    <n v="71535.307499999995"/>
    <n v="403802.50377600006"/>
    <n v="0"/>
    <n v="229094.35722384186"/>
    <n v="0"/>
    <n v="174708.1465521582"/>
    <n v="0"/>
  </r>
  <r>
    <x v="34"/>
    <x v="3"/>
    <x v="3"/>
    <m/>
    <m/>
    <m/>
    <n v="1960"/>
    <n v="2.2299999999999995"/>
    <n v="4.3707999999999991"/>
    <n v="1369"/>
    <n v="1.31"/>
    <n v="1.79339"/>
    <n v="-0.58968838656538836"/>
    <n v="-591"/>
    <n v="-2.5774099999999991"/>
    <n v="-31724.690310860475"/>
    <n v="116.88487613461319"/>
    <n v="2225"/>
    <n v="71535.307499999995"/>
    <n v="312666.52202099992"/>
    <n v="128290.70511742499"/>
    <n v="229094.35722384186"/>
    <n v="160015.39542828547"/>
    <n v="83572.164797158068"/>
    <n v="-31724.690310860475"/>
  </r>
  <r>
    <x v="35"/>
    <x v="3"/>
    <x v="3"/>
    <m/>
    <m/>
    <m/>
    <m/>
    <m/>
    <n v="0"/>
    <m/>
    <m/>
    <n v="0"/>
    <s v=""/>
    <n v="0"/>
    <n v="0"/>
    <n v="0"/>
    <n v="116.88487613461319"/>
    <n v="2225"/>
    <n v="71535.307499999995"/>
    <n v="0"/>
    <n v="0"/>
    <n v="0"/>
    <n v="0"/>
    <n v="0"/>
    <n v="0"/>
  </r>
  <r>
    <x v="36"/>
    <x v="3"/>
    <x v="3"/>
    <m/>
    <m/>
    <m/>
    <m/>
    <m/>
    <n v="0"/>
    <m/>
    <m/>
    <n v="0"/>
    <s v=""/>
    <n v="0"/>
    <n v="0"/>
    <n v="0"/>
    <n v="116.88487613461319"/>
    <n v="2225"/>
    <n v="71535.307499999995"/>
    <n v="0"/>
    <n v="0"/>
    <n v="0"/>
    <n v="0"/>
    <n v="0"/>
    <n v="0"/>
  </r>
  <r>
    <x v="37"/>
    <x v="3"/>
    <x v="3"/>
    <m/>
    <m/>
    <m/>
    <n v="1960"/>
    <n v="2.4"/>
    <n v="4.7039999999999997"/>
    <n v="317"/>
    <n v="4.09"/>
    <n v="1.29653"/>
    <n v="-0.7243771258503402"/>
    <n v="-1643"/>
    <n v="-3.40747"/>
    <n v="55695.166498302606"/>
    <n v="116.88487613461319"/>
    <n v="2225"/>
    <n v="71535.307499999995"/>
    <n v="336502.08647999994"/>
    <n v="92747.67223297499"/>
    <n v="229094.35722384186"/>
    <n v="37052.505734672384"/>
    <n v="107407.72925615808"/>
    <n v="55695.166498302606"/>
  </r>
  <r>
    <x v="38"/>
    <x v="3"/>
    <x v="3"/>
    <m/>
    <m/>
    <m/>
    <n v="1960"/>
    <n v="2.95"/>
    <n v="5.782"/>
    <n v="3510"/>
    <n v="2.9"/>
    <n v="10.179"/>
    <n v="0.76046350743687308"/>
    <n v="1550"/>
    <n v="4.3970000000000002"/>
    <n v="317891.97981000767"/>
    <n v="116.88487613461319"/>
    <n v="2225"/>
    <n v="71535.307499999995"/>
    <n v="413617.14796499995"/>
    <n v="728157.89504249999"/>
    <n v="229094.35722384186"/>
    <n v="410265.91523249232"/>
    <n v="184522.7907411581"/>
    <n v="317891.97981000767"/>
  </r>
  <r>
    <x v="39"/>
    <x v="3"/>
    <x v="3"/>
    <m/>
    <m/>
    <m/>
    <m/>
    <m/>
    <n v="0"/>
    <m/>
    <m/>
    <n v="0"/>
    <s v=""/>
    <n v="0"/>
    <n v="0"/>
    <n v="0"/>
    <n v="116.88487613461319"/>
    <n v="2225"/>
    <n v="71535.307499999995"/>
    <n v="0"/>
    <n v="0"/>
    <n v="0"/>
    <n v="0"/>
    <n v="0"/>
    <n v="0"/>
  </r>
  <r>
    <x v="40"/>
    <x v="3"/>
    <x v="3"/>
    <m/>
    <m/>
    <m/>
    <m/>
    <m/>
    <n v="0"/>
    <m/>
    <m/>
    <n v="0"/>
    <s v=""/>
    <n v="0"/>
    <n v="0"/>
    <n v="0"/>
    <n v="116.88487613461319"/>
    <n v="2225"/>
    <n v="71535.307499999995"/>
    <n v="0"/>
    <n v="0"/>
    <n v="0"/>
    <n v="0"/>
    <n v="0"/>
    <n v="0"/>
  </r>
  <r>
    <x v="41"/>
    <x v="3"/>
    <x v="3"/>
    <m/>
    <m/>
    <m/>
    <m/>
    <m/>
    <n v="0"/>
    <m/>
    <m/>
    <n v="0"/>
    <s v=""/>
    <n v="0"/>
    <n v="0"/>
    <n v="0"/>
    <n v="116.88487613461319"/>
    <n v="2225"/>
    <n v="71535.307499999995"/>
    <n v="0"/>
    <n v="0"/>
    <n v="0"/>
    <n v="0"/>
    <n v="0"/>
    <n v="0"/>
  </r>
  <r>
    <x v="42"/>
    <x v="3"/>
    <x v="3"/>
    <m/>
    <m/>
    <m/>
    <m/>
    <m/>
    <n v="0"/>
    <m/>
    <m/>
    <n v="0"/>
    <s v=""/>
    <n v="0"/>
    <n v="0"/>
    <n v="0"/>
    <n v="116.88487613461319"/>
    <n v="2225"/>
    <n v="71535.307499999995"/>
    <n v="0"/>
    <n v="0"/>
    <n v="0"/>
    <n v="0"/>
    <n v="0"/>
    <n v="0"/>
  </r>
  <r>
    <x v="43"/>
    <x v="3"/>
    <x v="3"/>
    <m/>
    <m/>
    <m/>
    <m/>
    <m/>
    <n v="0"/>
    <m/>
    <m/>
    <n v="0"/>
    <s v=""/>
    <n v="0"/>
    <n v="0"/>
    <n v="0"/>
    <n v="116.88487613461319"/>
    <n v="2225"/>
    <n v="71535.307499999995"/>
    <n v="0"/>
    <n v="0"/>
    <n v="0"/>
    <n v="0"/>
    <n v="0"/>
    <n v="0"/>
  </r>
  <r>
    <x v="44"/>
    <x v="3"/>
    <x v="3"/>
    <m/>
    <m/>
    <m/>
    <m/>
    <m/>
    <n v="0"/>
    <m/>
    <m/>
    <n v="0"/>
    <s v=""/>
    <n v="0"/>
    <n v="0"/>
    <n v="0"/>
    <n v="116.88487613461319"/>
    <n v="2225"/>
    <n v="71535.307499999995"/>
    <n v="0"/>
    <n v="0"/>
    <n v="0"/>
    <n v="0"/>
    <n v="0"/>
    <n v="0"/>
  </r>
  <r>
    <x v="45"/>
    <x v="3"/>
    <x v="3"/>
    <m/>
    <m/>
    <m/>
    <m/>
    <m/>
    <n v="0"/>
    <m/>
    <m/>
    <n v="0"/>
    <s v=""/>
    <n v="0"/>
    <n v="0"/>
    <n v="0"/>
    <n v="116.88487613461319"/>
    <n v="2225"/>
    <n v="71535.307499999995"/>
    <n v="0"/>
    <n v="0"/>
    <n v="0"/>
    <n v="0"/>
    <n v="0"/>
    <n v="0"/>
  </r>
  <r>
    <x v="46"/>
    <x v="3"/>
    <x v="3"/>
    <m/>
    <m/>
    <m/>
    <m/>
    <m/>
    <m/>
    <m/>
    <m/>
    <m/>
    <m/>
    <m/>
    <m/>
    <m/>
    <m/>
    <m/>
    <m/>
    <m/>
    <m/>
    <m/>
    <m/>
    <m/>
    <m/>
  </r>
  <r>
    <x v="47"/>
    <x v="3"/>
    <x v="3"/>
    <m/>
    <m/>
    <m/>
    <m/>
    <m/>
    <m/>
    <m/>
    <m/>
    <m/>
    <m/>
    <m/>
    <m/>
    <m/>
    <m/>
    <m/>
    <m/>
    <m/>
    <m/>
    <m/>
    <m/>
    <m/>
    <m/>
  </r>
  <r>
    <x v="48"/>
    <x v="3"/>
    <x v="3"/>
    <m/>
    <m/>
    <m/>
    <m/>
    <m/>
    <m/>
    <m/>
    <m/>
    <m/>
    <m/>
    <m/>
    <m/>
    <m/>
    <m/>
    <m/>
    <m/>
    <m/>
    <m/>
    <m/>
    <m/>
    <m/>
    <m/>
  </r>
  <r>
    <x v="49"/>
    <x v="3"/>
    <x v="3"/>
    <m/>
    <m/>
    <m/>
    <m/>
    <m/>
    <n v="0"/>
    <m/>
    <m/>
    <n v="0"/>
    <s v=""/>
    <n v="0"/>
    <n v="0"/>
    <n v="0"/>
    <n v="116.88487613461319"/>
    <n v="2225"/>
    <n v="71535.307499999995"/>
    <n v="0"/>
    <n v="0"/>
    <n v="0"/>
    <n v="0"/>
    <n v="0"/>
    <n v="0"/>
  </r>
  <r>
    <x v="50"/>
    <x v="3"/>
    <x v="4"/>
    <m/>
    <m/>
    <m/>
    <m/>
    <m/>
    <n v="0"/>
    <m/>
    <m/>
    <n v="0"/>
    <s v=""/>
    <n v="0"/>
    <n v="0"/>
    <n v="0"/>
    <n v="116.88487613461319"/>
    <n v="2225"/>
    <n v="71535.307499999995"/>
    <n v="0"/>
    <n v="0"/>
    <n v="0"/>
    <n v="0"/>
    <n v="0"/>
    <n v="0"/>
  </r>
  <r>
    <x v="51"/>
    <x v="3"/>
    <x v="4"/>
    <m/>
    <m/>
    <m/>
    <m/>
    <m/>
    <n v="0"/>
    <m/>
    <m/>
    <n v="0"/>
    <s v=""/>
    <n v="0"/>
    <n v="0"/>
    <n v="0"/>
    <n v="116.88487613461319"/>
    <n v="2225"/>
    <n v="71535.307499999995"/>
    <n v="0"/>
    <n v="0"/>
    <n v="0"/>
    <n v="0"/>
    <n v="0"/>
    <n v="0"/>
  </r>
  <r>
    <x v="52"/>
    <x v="3"/>
    <x v="4"/>
    <m/>
    <m/>
    <m/>
    <m/>
    <m/>
    <n v="0"/>
    <m/>
    <m/>
    <n v="0"/>
    <s v=""/>
    <n v="0"/>
    <n v="0"/>
    <n v="0"/>
    <n v="116.88487613461319"/>
    <n v="2225"/>
    <n v="71535.307499999995"/>
    <n v="0"/>
    <n v="0"/>
    <n v="0"/>
    <n v="0"/>
    <n v="0"/>
    <n v="0"/>
  </r>
  <r>
    <x v="53"/>
    <x v="3"/>
    <x v="4"/>
    <m/>
    <m/>
    <m/>
    <m/>
    <m/>
    <n v="0"/>
    <m/>
    <m/>
    <n v="0"/>
    <s v=""/>
    <n v="0"/>
    <n v="0"/>
    <n v="0"/>
    <n v="116.88487613461319"/>
    <n v="2225"/>
    <n v="71535.307499999995"/>
    <n v="0"/>
    <n v="0"/>
    <n v="0"/>
    <n v="0"/>
    <n v="0"/>
    <n v="0"/>
  </r>
  <r>
    <x v="54"/>
    <x v="3"/>
    <x v="4"/>
    <m/>
    <m/>
    <m/>
    <m/>
    <m/>
    <n v="0"/>
    <m/>
    <m/>
    <n v="0"/>
    <s v=""/>
    <n v="0"/>
    <n v="0"/>
    <n v="0"/>
    <n v="116.88487613461319"/>
    <n v="2225"/>
    <n v="71535.307499999995"/>
    <n v="0"/>
    <n v="0"/>
    <n v="0"/>
    <n v="0"/>
    <n v="0"/>
    <n v="0"/>
  </r>
  <r>
    <x v="55"/>
    <x v="3"/>
    <x v="4"/>
    <m/>
    <m/>
    <m/>
    <m/>
    <m/>
    <n v="0"/>
    <m/>
    <m/>
    <n v="0"/>
    <s v=""/>
    <n v="0"/>
    <n v="0"/>
    <n v="0"/>
    <n v="116.88487613461319"/>
    <n v="2225"/>
    <n v="71535.307499999995"/>
    <n v="0"/>
    <n v="0"/>
    <n v="0"/>
    <n v="0"/>
    <n v="0"/>
    <n v="0"/>
  </r>
  <r>
    <x v="56"/>
    <x v="3"/>
    <x v="4"/>
    <m/>
    <m/>
    <m/>
    <m/>
    <m/>
    <n v="0"/>
    <m/>
    <m/>
    <n v="0"/>
    <s v=""/>
    <n v="0"/>
    <n v="0"/>
    <n v="0"/>
    <n v="116.88487613461319"/>
    <n v="2225"/>
    <n v="71535.307499999995"/>
    <n v="0"/>
    <n v="0"/>
    <n v="0"/>
    <n v="0"/>
    <n v="0"/>
    <n v="0"/>
  </r>
  <r>
    <x v="57"/>
    <x v="3"/>
    <x v="4"/>
    <m/>
    <m/>
    <m/>
    <m/>
    <m/>
    <n v="0"/>
    <m/>
    <m/>
    <n v="0"/>
    <s v=""/>
    <n v="0"/>
    <n v="0"/>
    <n v="0"/>
    <n v="116.88487613461319"/>
    <n v="2225"/>
    <n v="71535.307499999995"/>
    <n v="0"/>
    <n v="0"/>
    <n v="0"/>
    <n v="0"/>
    <n v="0"/>
    <n v="0"/>
  </r>
  <r>
    <x v="58"/>
    <x v="3"/>
    <x v="4"/>
    <m/>
    <m/>
    <m/>
    <m/>
    <m/>
    <n v="0"/>
    <m/>
    <m/>
    <n v="0"/>
    <s v=""/>
    <n v="0"/>
    <n v="0"/>
    <n v="0"/>
    <n v="116.88487613461319"/>
    <n v="2225"/>
    <n v="71535.307499999995"/>
    <n v="0"/>
    <n v="0"/>
    <n v="0"/>
    <n v="0"/>
    <n v="0"/>
    <n v="0"/>
  </r>
  <r>
    <x v="59"/>
    <x v="3"/>
    <x v="4"/>
    <m/>
    <m/>
    <m/>
    <m/>
    <m/>
    <n v="0"/>
    <m/>
    <m/>
    <n v="0"/>
    <s v=""/>
    <n v="0"/>
    <n v="0"/>
    <n v="0"/>
    <n v="116.88487613461319"/>
    <n v="2225"/>
    <n v="71535.307499999995"/>
    <n v="0"/>
    <n v="0"/>
    <n v="0"/>
    <n v="0"/>
    <n v="0"/>
    <n v="0"/>
  </r>
  <r>
    <x v="60"/>
    <x v="3"/>
    <x v="4"/>
    <m/>
    <m/>
    <m/>
    <m/>
    <m/>
    <n v="0"/>
    <m/>
    <m/>
    <n v="0"/>
    <s v=""/>
    <n v="0"/>
    <n v="0"/>
    <n v="0"/>
    <n v="116.88487613461319"/>
    <n v="2225"/>
    <n v="71535.307499999995"/>
    <n v="0"/>
    <n v="0"/>
    <n v="0"/>
    <n v="0"/>
    <n v="0"/>
    <n v="0"/>
  </r>
  <r>
    <x v="61"/>
    <x v="3"/>
    <x v="4"/>
    <m/>
    <m/>
    <m/>
    <m/>
    <m/>
    <n v="0"/>
    <m/>
    <m/>
    <n v="0"/>
    <s v=""/>
    <n v="0"/>
    <n v="0"/>
    <n v="0"/>
    <n v="116.88487613461319"/>
    <n v="2225"/>
    <n v="71535.307499999995"/>
    <n v="0"/>
    <n v="0"/>
    <n v="0"/>
    <n v="0"/>
    <n v="0"/>
    <n v="0"/>
  </r>
  <r>
    <x v="62"/>
    <x v="3"/>
    <x v="4"/>
    <m/>
    <m/>
    <m/>
    <m/>
    <m/>
    <n v="0"/>
    <m/>
    <m/>
    <n v="0"/>
    <s v=""/>
    <n v="0"/>
    <n v="0"/>
    <n v="0"/>
    <n v="116.88487613461319"/>
    <n v="2225"/>
    <n v="71535.307499999995"/>
    <n v="0"/>
    <n v="0"/>
    <n v="0"/>
    <n v="0"/>
    <n v="0"/>
    <n v="0"/>
  </r>
  <r>
    <x v="63"/>
    <x v="3"/>
    <x v="4"/>
    <m/>
    <m/>
    <m/>
    <m/>
    <m/>
    <n v="0"/>
    <m/>
    <m/>
    <n v="0"/>
    <s v=""/>
    <n v="0"/>
    <n v="0"/>
    <n v="0"/>
    <n v="116.88487613461319"/>
    <n v="2225"/>
    <n v="71535.307499999995"/>
    <n v="0"/>
    <n v="0"/>
    <n v="0"/>
    <n v="0"/>
    <n v="0"/>
    <n v="0"/>
  </r>
  <r>
    <x v="64"/>
    <x v="3"/>
    <x v="4"/>
    <m/>
    <m/>
    <m/>
    <m/>
    <m/>
    <n v="0"/>
    <m/>
    <m/>
    <n v="0"/>
    <s v=""/>
    <n v="0"/>
    <n v="0"/>
    <n v="0"/>
    <n v="116.88487613461319"/>
    <n v="2225"/>
    <n v="71535.307499999995"/>
    <n v="0"/>
    <n v="0"/>
    <n v="0"/>
    <n v="0"/>
    <n v="0"/>
    <n v="0"/>
  </r>
  <r>
    <x v="65"/>
    <x v="3"/>
    <x v="4"/>
    <m/>
    <m/>
    <m/>
    <m/>
    <m/>
    <n v="0"/>
    <m/>
    <m/>
    <n v="0"/>
    <s v=""/>
    <n v="0"/>
    <n v="0"/>
    <n v="0"/>
    <n v="116.88487613461319"/>
    <n v="2225"/>
    <n v="71535.307499999995"/>
    <n v="0"/>
    <n v="0"/>
    <n v="0"/>
    <n v="0"/>
    <n v="0"/>
    <n v="0"/>
  </r>
  <r>
    <x v="66"/>
    <x v="3"/>
    <x v="4"/>
    <m/>
    <m/>
    <m/>
    <m/>
    <m/>
    <n v="0"/>
    <m/>
    <m/>
    <n v="0"/>
    <s v=""/>
    <n v="0"/>
    <n v="0"/>
    <n v="0"/>
    <n v="116.88487613461319"/>
    <n v="2225"/>
    <n v="71535.307499999995"/>
    <n v="0"/>
    <n v="0"/>
    <n v="0"/>
    <n v="0"/>
    <n v="0"/>
    <n v="0"/>
  </r>
  <r>
    <x v="67"/>
    <x v="3"/>
    <x v="4"/>
    <m/>
    <m/>
    <m/>
    <m/>
    <m/>
    <n v="0"/>
    <m/>
    <m/>
    <n v="0"/>
    <s v=""/>
    <n v="0"/>
    <n v="0"/>
    <n v="0"/>
    <n v="116.88487613461319"/>
    <n v="2225"/>
    <n v="71535.307499999995"/>
    <n v="0"/>
    <n v="0"/>
    <n v="0"/>
    <n v="0"/>
    <n v="0"/>
    <n v="0"/>
  </r>
  <r>
    <x v="68"/>
    <x v="3"/>
    <x v="4"/>
    <m/>
    <m/>
    <m/>
    <m/>
    <m/>
    <n v="0"/>
    <m/>
    <m/>
    <n v="0"/>
    <s v=""/>
    <n v="0"/>
    <n v="0"/>
    <n v="0"/>
    <n v="116.88487613461319"/>
    <n v="2225"/>
    <n v="71535.307499999995"/>
    <n v="0"/>
    <n v="0"/>
    <n v="0"/>
    <n v="0"/>
    <n v="0"/>
    <n v="0"/>
  </r>
  <r>
    <x v="69"/>
    <x v="3"/>
    <x v="4"/>
    <m/>
    <m/>
    <m/>
    <m/>
    <m/>
    <n v="0"/>
    <m/>
    <m/>
    <n v="0"/>
    <s v=""/>
    <n v="0"/>
    <n v="0"/>
    <n v="0"/>
    <n v="116.88487613461319"/>
    <n v="2225"/>
    <n v="71535.307499999995"/>
    <n v="0"/>
    <n v="0"/>
    <n v="0"/>
    <n v="0"/>
    <n v="0"/>
    <n v="0"/>
  </r>
  <r>
    <x v="70"/>
    <x v="3"/>
    <x v="5"/>
    <m/>
    <m/>
    <m/>
    <m/>
    <m/>
    <n v="0"/>
    <m/>
    <m/>
    <n v="0"/>
    <s v=""/>
    <n v="0"/>
    <n v="0"/>
    <n v="0"/>
    <n v="116.88487613461319"/>
    <n v="2225"/>
    <n v="71535.307499999995"/>
    <n v="0"/>
    <n v="0"/>
    <n v="0"/>
    <n v="0"/>
    <n v="0"/>
    <n v="0"/>
  </r>
  <r>
    <x v="71"/>
    <x v="3"/>
    <x v="5"/>
    <m/>
    <m/>
    <m/>
    <m/>
    <m/>
    <n v="0"/>
    <m/>
    <m/>
    <n v="0"/>
    <s v=""/>
    <n v="0"/>
    <n v="0"/>
    <n v="0"/>
    <n v="116.88487613461319"/>
    <n v="2225"/>
    <n v="71535.307499999995"/>
    <n v="0"/>
    <n v="0"/>
    <n v="0"/>
    <n v="0"/>
    <n v="0"/>
    <n v="0"/>
  </r>
  <r>
    <x v="72"/>
    <x v="3"/>
    <x v="5"/>
    <m/>
    <m/>
    <m/>
    <m/>
    <m/>
    <m/>
    <m/>
    <m/>
    <m/>
    <m/>
    <m/>
    <m/>
    <m/>
    <m/>
    <m/>
    <m/>
    <m/>
    <m/>
    <m/>
    <m/>
    <m/>
    <m/>
  </r>
  <r>
    <x v="73"/>
    <x v="3"/>
    <x v="5"/>
    <m/>
    <m/>
    <m/>
    <m/>
    <m/>
    <n v="0"/>
    <m/>
    <m/>
    <n v="0"/>
    <s v=""/>
    <n v="0"/>
    <n v="0"/>
    <n v="0"/>
    <n v="116.88487613461319"/>
    <n v="2225"/>
    <n v="71535.307499999995"/>
    <n v="0"/>
    <n v="0"/>
    <n v="0"/>
    <n v="0"/>
    <n v="0"/>
    <n v="0"/>
  </r>
  <r>
    <x v="74"/>
    <x v="3"/>
    <x v="5"/>
    <m/>
    <m/>
    <m/>
    <m/>
    <m/>
    <m/>
    <m/>
    <m/>
    <m/>
    <m/>
    <m/>
    <m/>
    <m/>
    <m/>
    <m/>
    <m/>
    <m/>
    <m/>
    <m/>
    <m/>
    <m/>
    <m/>
  </r>
  <r>
    <x v="75"/>
    <x v="3"/>
    <x v="5"/>
    <m/>
    <m/>
    <m/>
    <m/>
    <m/>
    <n v="0"/>
    <m/>
    <m/>
    <n v="0"/>
    <s v=""/>
    <n v="0"/>
    <n v="0"/>
    <n v="0"/>
    <n v="116.88487613461319"/>
    <n v="2225"/>
    <n v="71535.307499999995"/>
    <n v="0"/>
    <n v="0"/>
    <n v="0"/>
    <n v="0"/>
    <n v="0"/>
    <n v="0"/>
  </r>
  <r>
    <x v="76"/>
    <x v="3"/>
    <x v="5"/>
    <m/>
    <m/>
    <m/>
    <m/>
    <m/>
    <n v="0"/>
    <m/>
    <m/>
    <n v="0"/>
    <s v=""/>
    <n v="0"/>
    <n v="0"/>
    <n v="0"/>
    <n v="116.88487613461319"/>
    <n v="2225"/>
    <n v="71535.307499999995"/>
    <n v="0"/>
    <n v="0"/>
    <n v="0"/>
    <n v="0"/>
    <n v="0"/>
    <n v="0"/>
  </r>
  <r>
    <x v="77"/>
    <x v="3"/>
    <x v="5"/>
    <m/>
    <m/>
    <m/>
    <m/>
    <m/>
    <n v="0"/>
    <m/>
    <m/>
    <n v="0"/>
    <s v=""/>
    <n v="0"/>
    <n v="0"/>
    <n v="0"/>
    <n v="116.88487613461319"/>
    <n v="2225"/>
    <n v="71535.307499999995"/>
    <n v="0"/>
    <n v="0"/>
    <n v="0"/>
    <n v="0"/>
    <n v="0"/>
    <n v="0"/>
  </r>
  <r>
    <x v="78"/>
    <x v="3"/>
    <x v="5"/>
    <m/>
    <m/>
    <m/>
    <m/>
    <m/>
    <n v="0"/>
    <m/>
    <m/>
    <n v="0"/>
    <s v=""/>
    <n v="0"/>
    <n v="0"/>
    <n v="0"/>
    <n v="116.88487613461319"/>
    <n v="2225"/>
    <n v="71535.307499999995"/>
    <n v="0"/>
    <n v="0"/>
    <n v="0"/>
    <n v="0"/>
    <n v="0"/>
    <n v="0"/>
  </r>
  <r>
    <x v="79"/>
    <x v="3"/>
    <x v="5"/>
    <m/>
    <m/>
    <m/>
    <m/>
    <m/>
    <n v="0"/>
    <m/>
    <m/>
    <n v="0"/>
    <s v=""/>
    <n v="0"/>
    <n v="0"/>
    <n v="0"/>
    <n v="116.88487613461319"/>
    <n v="2225"/>
    <n v="71535.307499999995"/>
    <n v="0"/>
    <n v="0"/>
    <n v="0"/>
    <n v="0"/>
    <n v="0"/>
    <n v="0"/>
  </r>
  <r>
    <x v="80"/>
    <x v="3"/>
    <x v="5"/>
    <m/>
    <m/>
    <m/>
    <m/>
    <m/>
    <n v="0"/>
    <m/>
    <m/>
    <n v="0"/>
    <s v=""/>
    <n v="0"/>
    <n v="0"/>
    <n v="0"/>
    <n v="116.88487613461319"/>
    <n v="2225"/>
    <n v="71535.307499999995"/>
    <n v="0"/>
    <n v="0"/>
    <n v="0"/>
    <n v="0"/>
    <n v="0"/>
    <n v="0"/>
  </r>
  <r>
    <x v="81"/>
    <x v="3"/>
    <x v="5"/>
    <m/>
    <m/>
    <m/>
    <m/>
    <m/>
    <n v="0"/>
    <m/>
    <m/>
    <n v="0"/>
    <s v=""/>
    <n v="0"/>
    <n v="0"/>
    <n v="0"/>
    <n v="116.88487613461319"/>
    <n v="2225"/>
    <n v="71535.307499999995"/>
    <n v="0"/>
    <n v="0"/>
    <n v="0"/>
    <n v="0"/>
    <n v="0"/>
    <n v="0"/>
  </r>
  <r>
    <x v="82"/>
    <x v="3"/>
    <x v="5"/>
    <m/>
    <m/>
    <m/>
    <m/>
    <m/>
    <n v="0"/>
    <m/>
    <m/>
    <n v="0"/>
    <s v=""/>
    <n v="0"/>
    <n v="0"/>
    <n v="0"/>
    <n v="116.88487613461319"/>
    <n v="2225"/>
    <n v="71535.307499999995"/>
    <n v="0"/>
    <n v="0"/>
    <n v="0"/>
    <n v="0"/>
    <n v="0"/>
    <n v="0"/>
  </r>
  <r>
    <x v="83"/>
    <x v="3"/>
    <x v="5"/>
    <m/>
    <m/>
    <m/>
    <m/>
    <m/>
    <n v="0"/>
    <m/>
    <m/>
    <n v="0"/>
    <s v=""/>
    <n v="0"/>
    <n v="0"/>
    <n v="0"/>
    <n v="116.88487613461319"/>
    <n v="2225"/>
    <n v="71535.307499999995"/>
    <n v="0"/>
    <n v="0"/>
    <n v="0"/>
    <n v="0"/>
    <n v="0"/>
    <n v="0"/>
  </r>
  <r>
    <x v="84"/>
    <x v="3"/>
    <x v="5"/>
    <m/>
    <m/>
    <m/>
    <m/>
    <m/>
    <n v="0"/>
    <m/>
    <m/>
    <n v="0"/>
    <s v=""/>
    <n v="0"/>
    <n v="0"/>
    <n v="0"/>
    <n v="116.88487613461319"/>
    <n v="2225"/>
    <n v="71535.307499999995"/>
    <n v="0"/>
    <n v="0"/>
    <n v="0"/>
    <n v="0"/>
    <n v="0"/>
    <n v="0"/>
  </r>
  <r>
    <x v="85"/>
    <x v="3"/>
    <x v="5"/>
    <m/>
    <m/>
    <m/>
    <m/>
    <m/>
    <n v="0"/>
    <m/>
    <m/>
    <n v="0"/>
    <s v=""/>
    <n v="0"/>
    <n v="0"/>
    <n v="0"/>
    <n v="116.88487613461319"/>
    <n v="2225"/>
    <n v="71535.307499999995"/>
    <n v="0"/>
    <n v="0"/>
    <n v="0"/>
    <n v="0"/>
    <n v="0"/>
    <n v="0"/>
  </r>
  <r>
    <x v="86"/>
    <x v="3"/>
    <x v="5"/>
    <m/>
    <m/>
    <m/>
    <m/>
    <m/>
    <n v="0"/>
    <m/>
    <m/>
    <n v="0"/>
    <s v=""/>
    <n v="0"/>
    <n v="0"/>
    <n v="0"/>
    <n v="116.88487613461319"/>
    <n v="2225"/>
    <n v="71535.307499999995"/>
    <n v="0"/>
    <n v="0"/>
    <n v="0"/>
    <n v="0"/>
    <n v="0"/>
    <n v="0"/>
  </r>
  <r>
    <x v="87"/>
    <x v="3"/>
    <x v="5"/>
    <m/>
    <m/>
    <m/>
    <m/>
    <m/>
    <n v="0"/>
    <m/>
    <m/>
    <n v="0"/>
    <s v=""/>
    <n v="0"/>
    <n v="0"/>
    <n v="0"/>
    <n v="116.88487613461319"/>
    <n v="2225"/>
    <n v="71535.307499999995"/>
    <n v="0"/>
    <n v="0"/>
    <n v="0"/>
    <n v="0"/>
    <n v="0"/>
    <n v="0"/>
  </r>
  <r>
    <x v="88"/>
    <x v="3"/>
    <x v="5"/>
    <m/>
    <m/>
    <m/>
    <m/>
    <m/>
    <n v="0"/>
    <m/>
    <m/>
    <n v="0"/>
    <s v=""/>
    <n v="0"/>
    <n v="0"/>
    <n v="0"/>
    <n v="116.88487613461319"/>
    <n v="2225"/>
    <n v="71535.307499999995"/>
    <n v="0"/>
    <n v="0"/>
    <n v="0"/>
    <n v="0"/>
    <n v="0"/>
    <n v="0"/>
  </r>
  <r>
    <x v="89"/>
    <x v="3"/>
    <x v="5"/>
    <m/>
    <m/>
    <m/>
    <m/>
    <m/>
    <n v="0"/>
    <m/>
    <m/>
    <n v="0"/>
    <s v=""/>
    <n v="0"/>
    <n v="0"/>
    <n v="0"/>
    <n v="116.88487613461319"/>
    <n v="2225"/>
    <n v="71535.307499999995"/>
    <n v="0"/>
    <n v="0"/>
    <n v="0"/>
    <n v="0"/>
    <n v="0"/>
    <n v="0"/>
  </r>
  <r>
    <x v="90"/>
    <x v="3"/>
    <x v="5"/>
    <m/>
    <m/>
    <m/>
    <m/>
    <m/>
    <n v="0"/>
    <m/>
    <m/>
    <n v="0"/>
    <s v=""/>
    <n v="0"/>
    <n v="0"/>
    <n v="0"/>
    <n v="116.88487613461319"/>
    <n v="2225"/>
    <n v="71535.307499999995"/>
    <n v="0"/>
    <n v="0"/>
    <n v="0"/>
    <n v="0"/>
    <n v="0"/>
    <n v="0"/>
  </r>
  <r>
    <x v="91"/>
    <x v="3"/>
    <x v="5"/>
    <m/>
    <m/>
    <m/>
    <m/>
    <m/>
    <n v="0"/>
    <m/>
    <m/>
    <n v="0"/>
    <s v=""/>
    <n v="0"/>
    <n v="0"/>
    <n v="0"/>
    <n v="116.88487613461319"/>
    <n v="2225"/>
    <n v="71535.307499999995"/>
    <n v="0"/>
    <n v="0"/>
    <n v="0"/>
    <n v="0"/>
    <n v="0"/>
    <n v="0"/>
  </r>
  <r>
    <x v="92"/>
    <x v="3"/>
    <x v="5"/>
    <m/>
    <m/>
    <m/>
    <m/>
    <m/>
    <n v="0"/>
    <m/>
    <m/>
    <n v="0"/>
    <s v=""/>
    <n v="0"/>
    <n v="0"/>
    <n v="0"/>
    <n v="116.88487613461319"/>
    <n v="2225"/>
    <n v="71535.307499999995"/>
    <n v="0"/>
    <n v="0"/>
    <n v="0"/>
    <n v="0"/>
    <n v="0"/>
    <n v="0"/>
  </r>
  <r>
    <x v="93"/>
    <x v="3"/>
    <x v="5"/>
    <m/>
    <m/>
    <m/>
    <m/>
    <m/>
    <n v="0"/>
    <m/>
    <m/>
    <n v="0"/>
    <s v=""/>
    <n v="0"/>
    <n v="0"/>
    <n v="0"/>
    <n v="116.88487613461319"/>
    <n v="2225"/>
    <n v="71535.307499999995"/>
    <n v="0"/>
    <n v="0"/>
    <n v="0"/>
    <n v="0"/>
    <n v="0"/>
    <n v="0"/>
  </r>
  <r>
    <x v="94"/>
    <x v="3"/>
    <x v="5"/>
    <m/>
    <m/>
    <m/>
    <m/>
    <m/>
    <n v="0"/>
    <m/>
    <m/>
    <n v="0"/>
    <s v=""/>
    <n v="0"/>
    <n v="0"/>
    <n v="0"/>
    <n v="116.88487613461319"/>
    <n v="2225"/>
    <n v="71535.307499999995"/>
    <n v="0"/>
    <n v="0"/>
    <n v="0"/>
    <n v="0"/>
    <n v="0"/>
    <n v="0"/>
  </r>
  <r>
    <x v="95"/>
    <x v="3"/>
    <x v="5"/>
    <m/>
    <m/>
    <m/>
    <m/>
    <m/>
    <n v="0"/>
    <m/>
    <m/>
    <n v="0"/>
    <s v=""/>
    <n v="0"/>
    <n v="0"/>
    <n v="0"/>
    <n v="116.88487613461319"/>
    <n v="2225"/>
    <n v="71535.307499999995"/>
    <n v="0"/>
    <n v="0"/>
    <n v="0"/>
    <n v="0"/>
    <n v="0"/>
    <n v="0"/>
  </r>
  <r>
    <x v="96"/>
    <x v="3"/>
    <x v="5"/>
    <m/>
    <m/>
    <m/>
    <m/>
    <m/>
    <n v="0"/>
    <m/>
    <m/>
    <n v="0"/>
    <s v=""/>
    <n v="0"/>
    <n v="0"/>
    <n v="0"/>
    <n v="116.88487613461319"/>
    <n v="2225"/>
    <n v="71535.307499999995"/>
    <n v="0"/>
    <n v="0"/>
    <n v="0"/>
    <n v="0"/>
    <n v="0"/>
    <n v="0"/>
  </r>
  <r>
    <x v="97"/>
    <x v="3"/>
    <x v="5"/>
    <m/>
    <m/>
    <m/>
    <m/>
    <m/>
    <n v="0"/>
    <m/>
    <m/>
    <n v="0"/>
    <s v=""/>
    <n v="0"/>
    <n v="0"/>
    <n v="0"/>
    <n v="116.88487613461319"/>
    <n v="2225"/>
    <n v="71535.307499999995"/>
    <n v="0"/>
    <n v="0"/>
    <n v="0"/>
    <n v="0"/>
    <n v="0"/>
    <n v="0"/>
  </r>
  <r>
    <x v="98"/>
    <x v="3"/>
    <x v="6"/>
    <m/>
    <m/>
    <m/>
    <m/>
    <m/>
    <n v="0"/>
    <m/>
    <m/>
    <n v="0"/>
    <s v=""/>
    <n v="0"/>
    <n v="0"/>
    <n v="0"/>
    <n v="116.88487613461319"/>
    <n v="2225"/>
    <n v="71535.307499999995"/>
    <n v="0"/>
    <n v="0"/>
    <n v="0"/>
    <n v="0"/>
    <n v="0"/>
    <n v="0"/>
  </r>
  <r>
    <x v="99"/>
    <x v="3"/>
    <x v="6"/>
    <m/>
    <m/>
    <m/>
    <m/>
    <m/>
    <n v="0"/>
    <m/>
    <m/>
    <n v="0"/>
    <s v=""/>
    <n v="0"/>
    <n v="0"/>
    <n v="0"/>
    <n v="116.88487613461319"/>
    <n v="2225"/>
    <n v="71535.307499999995"/>
    <n v="0"/>
    <n v="0"/>
    <n v="0"/>
    <n v="0"/>
    <n v="0"/>
    <n v="0"/>
  </r>
  <r>
    <x v="100"/>
    <x v="3"/>
    <x v="6"/>
    <m/>
    <m/>
    <m/>
    <m/>
    <m/>
    <n v="0"/>
    <m/>
    <m/>
    <n v="0"/>
    <s v=""/>
    <n v="0"/>
    <n v="0"/>
    <n v="0"/>
    <n v="116.88487613461319"/>
    <n v="2225"/>
    <n v="71535.307499999995"/>
    <n v="0"/>
    <n v="0"/>
    <n v="0"/>
    <n v="0"/>
    <n v="0"/>
    <n v="0"/>
  </r>
  <r>
    <x v="101"/>
    <x v="3"/>
    <x v="6"/>
    <m/>
    <m/>
    <m/>
    <m/>
    <m/>
    <n v="0"/>
    <m/>
    <m/>
    <n v="0"/>
    <s v=""/>
    <n v="0"/>
    <n v="0"/>
    <n v="0"/>
    <n v="116.88487613461319"/>
    <n v="2225"/>
    <n v="71535.307499999995"/>
    <n v="0"/>
    <n v="0"/>
    <n v="0"/>
    <n v="0"/>
    <n v="0"/>
    <n v="0"/>
  </r>
  <r>
    <x v="102"/>
    <x v="3"/>
    <x v="6"/>
    <m/>
    <m/>
    <m/>
    <m/>
    <m/>
    <n v="0"/>
    <m/>
    <m/>
    <n v="0"/>
    <s v=""/>
    <n v="0"/>
    <n v="0"/>
    <n v="0"/>
    <n v="116.88487613461319"/>
    <n v="2225"/>
    <n v="71535.307499999995"/>
    <n v="0"/>
    <n v="0"/>
    <n v="0"/>
    <n v="0"/>
    <n v="0"/>
    <n v="0"/>
  </r>
  <r>
    <x v="103"/>
    <x v="3"/>
    <x v="6"/>
    <m/>
    <m/>
    <m/>
    <m/>
    <m/>
    <n v="0"/>
    <m/>
    <m/>
    <n v="0"/>
    <s v=""/>
    <n v="0"/>
    <n v="0"/>
    <n v="0"/>
    <n v="116.88487613461319"/>
    <n v="2225"/>
    <n v="71535.307499999995"/>
    <n v="0"/>
    <n v="0"/>
    <n v="0"/>
    <n v="0"/>
    <n v="0"/>
    <n v="0"/>
  </r>
  <r>
    <x v="104"/>
    <x v="3"/>
    <x v="6"/>
    <m/>
    <m/>
    <m/>
    <m/>
    <m/>
    <n v="0"/>
    <m/>
    <m/>
    <n v="0"/>
    <s v=""/>
    <n v="0"/>
    <n v="0"/>
    <n v="0"/>
    <n v="116.88487613461319"/>
    <n v="2225"/>
    <n v="71535.307499999995"/>
    <n v="0"/>
    <n v="0"/>
    <n v="0"/>
    <n v="0"/>
    <n v="0"/>
    <n v="0"/>
  </r>
  <r>
    <x v="105"/>
    <x v="3"/>
    <x v="6"/>
    <m/>
    <m/>
    <m/>
    <m/>
    <m/>
    <n v="0"/>
    <m/>
    <m/>
    <n v="0"/>
    <s v=""/>
    <n v="0"/>
    <n v="0"/>
    <n v="0"/>
    <n v="116.88487613461319"/>
    <n v="2225"/>
    <n v="71535.307499999995"/>
    <n v="0"/>
    <n v="0"/>
    <n v="0"/>
    <n v="0"/>
    <n v="0"/>
    <n v="0"/>
  </r>
  <r>
    <x v="106"/>
    <x v="3"/>
    <x v="6"/>
    <m/>
    <m/>
    <m/>
    <m/>
    <m/>
    <n v="0"/>
    <m/>
    <m/>
    <n v="0"/>
    <s v=""/>
    <n v="0"/>
    <n v="0"/>
    <n v="0"/>
    <n v="116.88487613461319"/>
    <n v="2225"/>
    <n v="71535.307499999995"/>
    <n v="0"/>
    <n v="0"/>
    <n v="0"/>
    <n v="0"/>
    <n v="0"/>
    <n v="0"/>
  </r>
  <r>
    <x v="107"/>
    <x v="3"/>
    <x v="6"/>
    <m/>
    <m/>
    <m/>
    <m/>
    <m/>
    <n v="0"/>
    <m/>
    <m/>
    <n v="0"/>
    <s v=""/>
    <n v="0"/>
    <n v="0"/>
    <n v="0"/>
    <n v="116.88487613461319"/>
    <n v="2225"/>
    <n v="71535.307499999995"/>
    <n v="0"/>
    <n v="0"/>
    <n v="0"/>
    <n v="0"/>
    <n v="0"/>
    <n v="0"/>
  </r>
  <r>
    <x v="108"/>
    <x v="3"/>
    <x v="6"/>
    <m/>
    <m/>
    <m/>
    <m/>
    <m/>
    <n v="0"/>
    <m/>
    <m/>
    <n v="0"/>
    <s v=""/>
    <n v="0"/>
    <n v="0"/>
    <n v="0"/>
    <n v="116.88487613461319"/>
    <n v="2225"/>
    <n v="71535.307499999995"/>
    <n v="0"/>
    <n v="0"/>
    <n v="0"/>
    <n v="0"/>
    <n v="0"/>
    <n v="0"/>
  </r>
  <r>
    <x v="109"/>
    <x v="3"/>
    <x v="6"/>
    <m/>
    <m/>
    <m/>
    <m/>
    <m/>
    <n v="0"/>
    <m/>
    <m/>
    <n v="0"/>
    <s v=""/>
    <n v="0"/>
    <n v="0"/>
    <n v="0"/>
    <n v="116.88487613461319"/>
    <n v="2225"/>
    <n v="71535.307499999995"/>
    <n v="0"/>
    <n v="0"/>
    <n v="0"/>
    <n v="0"/>
    <n v="0"/>
    <n v="0"/>
  </r>
  <r>
    <x v="110"/>
    <x v="3"/>
    <x v="7"/>
    <m/>
    <m/>
    <m/>
    <m/>
    <m/>
    <n v="0"/>
    <m/>
    <m/>
    <n v="0"/>
    <s v=""/>
    <n v="0"/>
    <n v="0"/>
    <n v="0"/>
    <n v="116.88487613461319"/>
    <n v="2225"/>
    <n v="71535.307499999995"/>
    <n v="0"/>
    <n v="0"/>
    <n v="0"/>
    <n v="0"/>
    <n v="0"/>
    <n v="0"/>
  </r>
  <r>
    <x v="111"/>
    <x v="3"/>
    <x v="7"/>
    <m/>
    <m/>
    <m/>
    <m/>
    <m/>
    <n v="0"/>
    <m/>
    <m/>
    <n v="0"/>
    <s v=""/>
    <n v="0"/>
    <n v="0"/>
    <n v="0"/>
    <n v="116.88487613461319"/>
    <n v="2225"/>
    <n v="71535.307499999995"/>
    <n v="0"/>
    <n v="0"/>
    <n v="0"/>
    <n v="0"/>
    <n v="0"/>
    <n v="0"/>
  </r>
  <r>
    <x v="112"/>
    <x v="3"/>
    <x v="7"/>
    <m/>
    <m/>
    <m/>
    <m/>
    <m/>
    <n v="0"/>
    <m/>
    <m/>
    <n v="0"/>
    <s v=""/>
    <n v="0"/>
    <n v="0"/>
    <n v="0"/>
    <n v="116.88487613461319"/>
    <n v="2225"/>
    <n v="71535.307499999995"/>
    <n v="0"/>
    <n v="0"/>
    <n v="0"/>
    <n v="0"/>
    <n v="0"/>
    <n v="0"/>
  </r>
  <r>
    <x v="113"/>
    <x v="3"/>
    <x v="7"/>
    <m/>
    <m/>
    <m/>
    <m/>
    <m/>
    <n v="0"/>
    <m/>
    <m/>
    <n v="0"/>
    <s v=""/>
    <n v="0"/>
    <n v="0"/>
    <n v="0"/>
    <n v="116.88487613461319"/>
    <n v="2225"/>
    <n v="71535.307499999995"/>
    <n v="0"/>
    <n v="0"/>
    <n v="0"/>
    <n v="0"/>
    <n v="0"/>
    <n v="0"/>
  </r>
  <r>
    <x v="114"/>
    <x v="3"/>
    <x v="7"/>
    <m/>
    <m/>
    <m/>
    <m/>
    <m/>
    <n v="0"/>
    <m/>
    <m/>
    <n v="0"/>
    <s v=""/>
    <n v="0"/>
    <n v="0"/>
    <n v="0"/>
    <n v="116.88487613461319"/>
    <n v="2225"/>
    <n v="71535.307499999995"/>
    <n v="0"/>
    <n v="0"/>
    <n v="0"/>
    <n v="0"/>
    <n v="0"/>
    <n v="0"/>
  </r>
  <r>
    <x v="115"/>
    <x v="3"/>
    <x v="7"/>
    <m/>
    <m/>
    <m/>
    <m/>
    <m/>
    <n v="0"/>
    <m/>
    <m/>
    <n v="0"/>
    <s v=""/>
    <n v="0"/>
    <n v="0"/>
    <n v="0"/>
    <n v="116.88487613461319"/>
    <n v="2225"/>
    <n v="71535.307499999995"/>
    <n v="0"/>
    <n v="0"/>
    <n v="0"/>
    <n v="0"/>
    <n v="0"/>
    <n v="0"/>
  </r>
  <r>
    <x v="116"/>
    <x v="3"/>
    <x v="7"/>
    <m/>
    <m/>
    <m/>
    <m/>
    <m/>
    <n v="0"/>
    <m/>
    <m/>
    <n v="0"/>
    <s v=""/>
    <n v="0"/>
    <n v="0"/>
    <n v="0"/>
    <n v="116.88487613461319"/>
    <n v="2225"/>
    <n v="71535.307499999995"/>
    <n v="0"/>
    <n v="0"/>
    <n v="0"/>
    <n v="0"/>
    <n v="0"/>
    <n v="0"/>
  </r>
  <r>
    <x v="117"/>
    <x v="3"/>
    <x v="7"/>
    <m/>
    <m/>
    <m/>
    <m/>
    <m/>
    <n v="0"/>
    <m/>
    <m/>
    <n v="0"/>
    <s v=""/>
    <n v="0"/>
    <n v="0"/>
    <n v="0"/>
    <n v="116.88487613461319"/>
    <n v="2225"/>
    <n v="71535.307499999995"/>
    <n v="0"/>
    <n v="0"/>
    <n v="0"/>
    <n v="0"/>
    <n v="0"/>
    <n v="0"/>
  </r>
  <r>
    <x v="118"/>
    <x v="3"/>
    <x v="7"/>
    <m/>
    <m/>
    <m/>
    <m/>
    <m/>
    <n v="0"/>
    <m/>
    <m/>
    <n v="0"/>
    <s v=""/>
    <n v="0"/>
    <n v="0"/>
    <n v="0"/>
    <n v="116.88487613461319"/>
    <n v="2225"/>
    <n v="71535.307499999995"/>
    <n v="0"/>
    <n v="0"/>
    <n v="0"/>
    <n v="0"/>
    <n v="0"/>
    <n v="0"/>
  </r>
  <r>
    <x v="119"/>
    <x v="3"/>
    <x v="7"/>
    <m/>
    <m/>
    <m/>
    <m/>
    <m/>
    <n v="0"/>
    <m/>
    <m/>
    <n v="0"/>
    <s v=""/>
    <n v="0"/>
    <n v="0"/>
    <n v="0"/>
    <n v="116.88487613461319"/>
    <n v="2225"/>
    <n v="71535.307499999995"/>
    <n v="0"/>
    <n v="0"/>
    <n v="0"/>
    <n v="0"/>
    <n v="0"/>
    <n v="0"/>
  </r>
  <r>
    <x v="120"/>
    <x v="3"/>
    <x v="7"/>
    <m/>
    <m/>
    <m/>
    <m/>
    <m/>
    <n v="0"/>
    <m/>
    <m/>
    <n v="0"/>
    <s v=""/>
    <n v="0"/>
    <n v="0"/>
    <n v="0"/>
    <n v="116.88487613461319"/>
    <n v="2225"/>
    <n v="71535.307499999995"/>
    <n v="0"/>
    <n v="0"/>
    <n v="0"/>
    <n v="0"/>
    <n v="0"/>
    <n v="0"/>
  </r>
  <r>
    <x v="121"/>
    <x v="3"/>
    <x v="7"/>
    <m/>
    <m/>
    <m/>
    <m/>
    <m/>
    <n v="0"/>
    <m/>
    <m/>
    <n v="0"/>
    <s v=""/>
    <n v="0"/>
    <n v="0"/>
    <n v="0"/>
    <n v="116.88487613461319"/>
    <n v="2225"/>
    <n v="71535.307499999995"/>
    <n v="0"/>
    <n v="0"/>
    <n v="0"/>
    <n v="0"/>
    <n v="0"/>
    <n v="0"/>
  </r>
  <r>
    <x v="122"/>
    <x v="3"/>
    <x v="7"/>
    <m/>
    <m/>
    <m/>
    <m/>
    <m/>
    <n v="0"/>
    <m/>
    <m/>
    <n v="0"/>
    <s v=""/>
    <n v="0"/>
    <n v="0"/>
    <n v="0"/>
    <n v="116.88487613461319"/>
    <n v="2225"/>
    <n v="71535.307499999995"/>
    <n v="0"/>
    <n v="0"/>
    <n v="0"/>
    <n v="0"/>
    <n v="0"/>
    <n v="0"/>
  </r>
  <r>
    <x v="123"/>
    <x v="3"/>
    <x v="7"/>
    <m/>
    <m/>
    <m/>
    <m/>
    <m/>
    <n v="0"/>
    <m/>
    <m/>
    <n v="0"/>
    <s v=""/>
    <n v="0"/>
    <n v="0"/>
    <n v="0"/>
    <n v="116.88487613461319"/>
    <n v="2225"/>
    <n v="71535.307499999995"/>
    <n v="0"/>
    <n v="0"/>
    <n v="0"/>
    <n v="0"/>
    <n v="0"/>
    <n v="0"/>
  </r>
  <r>
    <x v="124"/>
    <x v="3"/>
    <x v="7"/>
    <m/>
    <m/>
    <m/>
    <m/>
    <m/>
    <n v="0"/>
    <m/>
    <m/>
    <n v="0"/>
    <s v=""/>
    <n v="0"/>
    <n v="0"/>
    <n v="0"/>
    <n v="116.88487613461319"/>
    <n v="2225"/>
    <n v="71535.307499999995"/>
    <n v="0"/>
    <n v="0"/>
    <n v="0"/>
    <n v="0"/>
    <n v="0"/>
    <n v="0"/>
  </r>
  <r>
    <x v="125"/>
    <x v="3"/>
    <x v="7"/>
    <m/>
    <m/>
    <m/>
    <m/>
    <m/>
    <n v="0"/>
    <m/>
    <m/>
    <n v="0"/>
    <s v=""/>
    <n v="0"/>
    <n v="0"/>
    <n v="0"/>
    <n v="116.88487613461319"/>
    <n v="2225"/>
    <n v="71535.307499999995"/>
    <n v="0"/>
    <n v="0"/>
    <n v="0"/>
    <n v="0"/>
    <n v="0"/>
    <n v="0"/>
  </r>
  <r>
    <x v="126"/>
    <x v="3"/>
    <x v="7"/>
    <m/>
    <m/>
    <m/>
    <m/>
    <m/>
    <n v="0"/>
    <m/>
    <m/>
    <n v="0"/>
    <s v=""/>
    <n v="0"/>
    <n v="0"/>
    <n v="0"/>
    <n v="116.88487613461319"/>
    <n v="2225"/>
    <n v="71535.307499999995"/>
    <n v="0"/>
    <n v="0"/>
    <n v="0"/>
    <n v="0"/>
    <n v="0"/>
    <n v="0"/>
  </r>
  <r>
    <x v="127"/>
    <x v="3"/>
    <x v="7"/>
    <m/>
    <m/>
    <m/>
    <m/>
    <m/>
    <n v="0"/>
    <m/>
    <m/>
    <n v="0"/>
    <s v=""/>
    <n v="0"/>
    <n v="0"/>
    <n v="0"/>
    <n v="116.88487613461319"/>
    <n v="2225"/>
    <n v="71535.307499999995"/>
    <n v="0"/>
    <n v="0"/>
    <n v="0"/>
    <n v="0"/>
    <n v="0"/>
    <n v="0"/>
  </r>
  <r>
    <x v="0"/>
    <x v="4"/>
    <x v="0"/>
    <m/>
    <m/>
    <m/>
    <m/>
    <m/>
    <n v="0"/>
    <m/>
    <m/>
    <n v="0"/>
    <s v=""/>
    <n v="0"/>
    <n v="0"/>
    <n v="0"/>
    <n v="116.88487613461319"/>
    <n v="2225"/>
    <n v="71535.307499999995"/>
    <n v="0"/>
    <n v="0"/>
    <n v="0"/>
    <n v="0"/>
    <n v="0"/>
    <n v="0"/>
  </r>
  <r>
    <x v="1"/>
    <x v="4"/>
    <x v="0"/>
    <m/>
    <m/>
    <m/>
    <m/>
    <m/>
    <n v="0"/>
    <m/>
    <m/>
    <n v="0"/>
    <s v=""/>
    <n v="0"/>
    <n v="0"/>
    <n v="0"/>
    <n v="116.88487613461319"/>
    <n v="2225"/>
    <n v="71535.307499999995"/>
    <n v="0"/>
    <n v="0"/>
    <n v="0"/>
    <n v="0"/>
    <n v="0"/>
    <n v="0"/>
  </r>
  <r>
    <x v="2"/>
    <x v="4"/>
    <x v="0"/>
    <m/>
    <m/>
    <m/>
    <m/>
    <m/>
    <n v="0"/>
    <m/>
    <m/>
    <n v="0"/>
    <s v=""/>
    <n v="0"/>
    <n v="0"/>
    <n v="0"/>
    <n v="116.88487613461319"/>
    <n v="2225"/>
    <n v="71535.307499999995"/>
    <n v="0"/>
    <n v="0"/>
    <n v="0"/>
    <n v="0"/>
    <n v="0"/>
    <n v="0"/>
  </r>
  <r>
    <x v="3"/>
    <x v="4"/>
    <x v="0"/>
    <m/>
    <m/>
    <m/>
    <m/>
    <m/>
    <n v="0"/>
    <m/>
    <m/>
    <n v="0"/>
    <s v=""/>
    <n v="0"/>
    <n v="0"/>
    <n v="0"/>
    <n v="116.88487613461319"/>
    <n v="2225"/>
    <n v="71535.307499999995"/>
    <n v="0"/>
    <n v="0"/>
    <n v="0"/>
    <n v="0"/>
    <n v="0"/>
    <n v="0"/>
  </r>
  <r>
    <x v="4"/>
    <x v="4"/>
    <x v="1"/>
    <m/>
    <m/>
    <m/>
    <n v="2030"/>
    <n v="2.9"/>
    <n v="5.8869999999999996"/>
    <n v="4343.8"/>
    <n v="1.4562093762346915"/>
    <n v="6.3254822884882529"/>
    <n v="7.4483147356591367E-2"/>
    <n v="2313.8000000000002"/>
    <n v="0.43848228848825332"/>
    <n v="-55229.204360721924"/>
    <n v="116.88487613461319"/>
    <n v="2225"/>
    <n v="71535.307499999995"/>
    <n v="421128.35525249992"/>
    <n v="452495.32059281087"/>
    <n v="237276.29855326479"/>
    <n v="507724.52495353279"/>
    <n v="183852.05669923514"/>
    <n v="-55229.204360721924"/>
  </r>
  <r>
    <x v="5"/>
    <x v="4"/>
    <x v="1"/>
    <m/>
    <m/>
    <m/>
    <m/>
    <m/>
    <n v="0"/>
    <m/>
    <m/>
    <n v="0"/>
    <s v=""/>
    <n v="0"/>
    <n v="0"/>
    <n v="0"/>
    <n v="116.88487613461319"/>
    <n v="2225"/>
    <n v="71535.307499999995"/>
    <n v="0"/>
    <n v="0"/>
    <n v="0"/>
    <n v="0"/>
    <n v="0"/>
    <n v="0"/>
  </r>
  <r>
    <x v="6"/>
    <x v="4"/>
    <x v="1"/>
    <m/>
    <m/>
    <m/>
    <m/>
    <m/>
    <n v="0"/>
    <n v="1787.6"/>
    <n v="1.7682542425706969"/>
    <n v="3.1609312840193775"/>
    <s v=""/>
    <n v="1787.6"/>
    <n v="3.1609312840193775"/>
    <n v="17174.786810461461"/>
    <n v="116.88487613461319"/>
    <n v="2225"/>
    <n v="71535.307499999995"/>
    <n v="0"/>
    <n v="226118.191388696"/>
    <n v="0"/>
    <n v="208943.40457823453"/>
    <n v="0"/>
    <n v="17174.786810461461"/>
  </r>
  <r>
    <x v="7"/>
    <x v="4"/>
    <x v="2"/>
    <m/>
    <m/>
    <m/>
    <m/>
    <m/>
    <n v="0"/>
    <m/>
    <m/>
    <n v="0"/>
    <s v=""/>
    <n v="0"/>
    <n v="0"/>
    <n v="0"/>
    <n v="116.88487613461319"/>
    <n v="2225"/>
    <n v="71535.307499999995"/>
    <n v="0"/>
    <n v="0"/>
    <n v="0"/>
    <n v="0"/>
    <n v="0"/>
    <n v="0"/>
  </r>
  <r>
    <x v="8"/>
    <x v="4"/>
    <x v="2"/>
    <m/>
    <m/>
    <m/>
    <m/>
    <m/>
    <n v="0"/>
    <m/>
    <m/>
    <n v="0"/>
    <s v=""/>
    <n v="0"/>
    <n v="0"/>
    <n v="0"/>
    <n v="116.88487613461319"/>
    <n v="2225"/>
    <n v="71535.307499999995"/>
    <n v="0"/>
    <n v="0"/>
    <n v="0"/>
    <n v="0"/>
    <n v="0"/>
    <n v="0"/>
  </r>
  <r>
    <x v="9"/>
    <x v="4"/>
    <x v="2"/>
    <m/>
    <m/>
    <m/>
    <m/>
    <m/>
    <n v="0"/>
    <m/>
    <m/>
    <n v="0"/>
    <s v=""/>
    <n v="0"/>
    <n v="0"/>
    <n v="0"/>
    <n v="116.88487613461319"/>
    <n v="2225"/>
    <n v="71535.307499999995"/>
    <n v="0"/>
    <n v="0"/>
    <n v="0"/>
    <n v="0"/>
    <n v="0"/>
    <n v="0"/>
  </r>
  <r>
    <x v="10"/>
    <x v="4"/>
    <x v="2"/>
    <m/>
    <m/>
    <m/>
    <m/>
    <m/>
    <n v="0"/>
    <m/>
    <m/>
    <n v="0"/>
    <s v=""/>
    <n v="0"/>
    <n v="0"/>
    <n v="0"/>
    <n v="116.88487613461319"/>
    <n v="2225"/>
    <n v="71535.307499999995"/>
    <n v="0"/>
    <n v="0"/>
    <n v="0"/>
    <n v="0"/>
    <n v="0"/>
    <n v="0"/>
  </r>
  <r>
    <x v="11"/>
    <x v="4"/>
    <x v="2"/>
    <m/>
    <m/>
    <m/>
    <m/>
    <m/>
    <n v="0"/>
    <m/>
    <m/>
    <n v="0"/>
    <s v=""/>
    <n v="0"/>
    <n v="0"/>
    <n v="0"/>
    <n v="116.88487613461319"/>
    <n v="2225"/>
    <n v="71535.307499999995"/>
    <n v="0"/>
    <n v="0"/>
    <n v="0"/>
    <n v="0"/>
    <n v="0"/>
    <n v="0"/>
  </r>
  <r>
    <x v="12"/>
    <x v="4"/>
    <x v="2"/>
    <m/>
    <m/>
    <m/>
    <m/>
    <m/>
    <n v="0"/>
    <m/>
    <m/>
    <n v="0"/>
    <s v=""/>
    <n v="0"/>
    <n v="0"/>
    <n v="0"/>
    <n v="116.88487613461319"/>
    <n v="2225"/>
    <n v="71535.307499999995"/>
    <n v="0"/>
    <n v="0"/>
    <n v="0"/>
    <n v="0"/>
    <n v="0"/>
    <n v="0"/>
  </r>
  <r>
    <x v="13"/>
    <x v="4"/>
    <x v="2"/>
    <m/>
    <m/>
    <m/>
    <m/>
    <m/>
    <n v="0"/>
    <m/>
    <m/>
    <n v="0"/>
    <s v=""/>
    <n v="0"/>
    <n v="0"/>
    <n v="0"/>
    <n v="116.88487613461319"/>
    <n v="2225"/>
    <n v="71535.307499999995"/>
    <n v="0"/>
    <n v="0"/>
    <n v="0"/>
    <n v="0"/>
    <n v="0"/>
    <n v="0"/>
  </r>
  <r>
    <x v="14"/>
    <x v="4"/>
    <x v="2"/>
    <m/>
    <m/>
    <m/>
    <m/>
    <m/>
    <n v="0"/>
    <m/>
    <m/>
    <n v="0"/>
    <s v=""/>
    <n v="0"/>
    <n v="0"/>
    <n v="0"/>
    <n v="116.88487613461319"/>
    <n v="2225"/>
    <n v="71535.307499999995"/>
    <n v="0"/>
    <n v="0"/>
    <n v="0"/>
    <n v="0"/>
    <n v="0"/>
    <n v="0"/>
  </r>
  <r>
    <x v="15"/>
    <x v="4"/>
    <x v="2"/>
    <m/>
    <m/>
    <m/>
    <m/>
    <m/>
    <n v="0"/>
    <m/>
    <m/>
    <n v="0"/>
    <s v=""/>
    <n v="0"/>
    <n v="0"/>
    <n v="0"/>
    <n v="116.88487613461319"/>
    <n v="2225"/>
    <n v="71535.307499999995"/>
    <n v="0"/>
    <n v="0"/>
    <n v="0"/>
    <n v="0"/>
    <n v="0"/>
    <n v="0"/>
  </r>
  <r>
    <x v="16"/>
    <x v="4"/>
    <x v="2"/>
    <m/>
    <m/>
    <m/>
    <m/>
    <m/>
    <n v="0"/>
    <m/>
    <m/>
    <n v="0"/>
    <s v=""/>
    <n v="0"/>
    <n v="0"/>
    <n v="0"/>
    <n v="116.88487613461319"/>
    <n v="2225"/>
    <n v="71535.307499999995"/>
    <n v="0"/>
    <n v="0"/>
    <n v="0"/>
    <n v="0"/>
    <n v="0"/>
    <n v="0"/>
  </r>
  <r>
    <x v="17"/>
    <x v="4"/>
    <x v="3"/>
    <m/>
    <m/>
    <m/>
    <m/>
    <m/>
    <n v="0"/>
    <m/>
    <m/>
    <n v="0"/>
    <s v=""/>
    <n v="0"/>
    <n v="0"/>
    <n v="0"/>
    <n v="116.88487613461319"/>
    <n v="2225"/>
    <n v="71535.307499999995"/>
    <n v="0"/>
    <n v="0"/>
    <n v="0"/>
    <n v="0"/>
    <n v="0"/>
    <n v="0"/>
  </r>
  <r>
    <x v="18"/>
    <x v="4"/>
    <x v="3"/>
    <m/>
    <m/>
    <m/>
    <m/>
    <m/>
    <n v="0"/>
    <m/>
    <m/>
    <n v="0"/>
    <s v=""/>
    <n v="0"/>
    <n v="0"/>
    <n v="0"/>
    <n v="116.88487613461319"/>
    <n v="2225"/>
    <n v="71535.307499999995"/>
    <n v="0"/>
    <n v="0"/>
    <n v="0"/>
    <n v="0"/>
    <n v="0"/>
    <n v="0"/>
  </r>
  <r>
    <x v="19"/>
    <x v="4"/>
    <x v="3"/>
    <m/>
    <m/>
    <m/>
    <m/>
    <m/>
    <n v="0"/>
    <m/>
    <m/>
    <n v="0"/>
    <s v=""/>
    <n v="0"/>
    <n v="0"/>
    <n v="0"/>
    <n v="116.88487613461319"/>
    <n v="2225"/>
    <n v="71535.307499999995"/>
    <n v="0"/>
    <n v="0"/>
    <n v="0"/>
    <n v="0"/>
    <n v="0"/>
    <n v="0"/>
  </r>
  <r>
    <x v="20"/>
    <x v="4"/>
    <x v="3"/>
    <m/>
    <m/>
    <m/>
    <m/>
    <m/>
    <n v="0"/>
    <n v="1075"/>
    <n v="3.3388800697952568"/>
    <n v="3.589296075029901"/>
    <s v=""/>
    <n v="1075"/>
    <n v="3.589296075029901"/>
    <n v="131110.15659109785"/>
    <n v="116.88487613461319"/>
    <n v="2225"/>
    <n v="71535.307499999995"/>
    <n v="0"/>
    <n v="256761.39843580703"/>
    <n v="0"/>
    <n v="125651.24184470918"/>
    <n v="0"/>
    <n v="131110.15659109785"/>
  </r>
  <r>
    <x v="21"/>
    <x v="4"/>
    <x v="3"/>
    <m/>
    <m/>
    <m/>
    <n v="4060"/>
    <n v="1.5200000000000009"/>
    <n v="6.1712000000000033"/>
    <m/>
    <m/>
    <n v="0"/>
    <n v="-1"/>
    <n v="-4060"/>
    <n v="-6.1712000000000033"/>
    <n v="0"/>
    <n v="116.88487613461319"/>
    <n v="2225"/>
    <n v="71535.307499999995"/>
    <n v="441458.6896440002"/>
    <n v="0"/>
    <n v="474552.59710652957"/>
    <n v="0"/>
    <n v="-33093.907462529372"/>
    <n v="0"/>
  </r>
  <r>
    <x v="22"/>
    <x v="4"/>
    <x v="3"/>
    <m/>
    <m/>
    <m/>
    <m/>
    <m/>
    <n v="0"/>
    <m/>
    <m/>
    <n v="0"/>
    <s v=""/>
    <n v="0"/>
    <n v="0"/>
    <n v="0"/>
    <n v="116.88487613461319"/>
    <n v="2225"/>
    <n v="71535.307499999995"/>
    <n v="0"/>
    <n v="0"/>
    <n v="0"/>
    <n v="0"/>
    <n v="0"/>
    <n v="0"/>
  </r>
  <r>
    <x v="23"/>
    <x v="4"/>
    <x v="3"/>
    <m/>
    <m/>
    <m/>
    <n v="2030"/>
    <n v="2.23"/>
    <n v="4.5268999999999995"/>
    <m/>
    <m/>
    <n v="0"/>
    <n v="-1"/>
    <n v="-2030"/>
    <n v="-4.5268999999999995"/>
    <n v="0"/>
    <n v="116.88487613461319"/>
    <n v="2225"/>
    <n v="71535.307499999995"/>
    <n v="323833.18352174992"/>
    <n v="0"/>
    <n v="237276.29855326479"/>
    <n v="0"/>
    <n v="86556.88496848513"/>
    <n v="0"/>
  </r>
  <r>
    <x v="24"/>
    <x v="4"/>
    <x v="3"/>
    <m/>
    <m/>
    <m/>
    <m/>
    <m/>
    <n v="0"/>
    <m/>
    <m/>
    <n v="0"/>
    <s v=""/>
    <n v="0"/>
    <n v="0"/>
    <n v="0"/>
    <n v="116.88487613461319"/>
    <n v="2225"/>
    <n v="71535.307499999995"/>
    <n v="0"/>
    <n v="0"/>
    <n v="0"/>
    <n v="0"/>
    <n v="0"/>
    <n v="0"/>
  </r>
  <r>
    <x v="25"/>
    <x v="4"/>
    <x v="3"/>
    <m/>
    <m/>
    <m/>
    <m/>
    <m/>
    <n v="0"/>
    <m/>
    <m/>
    <n v="0"/>
    <s v=""/>
    <n v="0"/>
    <n v="0"/>
    <n v="0"/>
    <n v="116.88487613461319"/>
    <n v="2225"/>
    <n v="71535.307499999995"/>
    <n v="0"/>
    <n v="0"/>
    <n v="0"/>
    <n v="0"/>
    <n v="0"/>
    <n v="0"/>
  </r>
  <r>
    <x v="26"/>
    <x v="4"/>
    <x v="3"/>
    <m/>
    <m/>
    <m/>
    <m/>
    <m/>
    <n v="0"/>
    <n v="130"/>
    <n v="1.695443773758962"/>
    <n v="0.22040769058866508"/>
    <s v=""/>
    <n v="130"/>
    <n v="0.22040769058866508"/>
    <n v="571.89802412529571"/>
    <n v="116.88487613461319"/>
    <n v="2225"/>
    <n v="71535.307499999995"/>
    <n v="0"/>
    <n v="15766.931921625011"/>
    <n v="0"/>
    <n v="15195.033897499716"/>
    <n v="0"/>
    <n v="571.89802412529571"/>
  </r>
  <r>
    <x v="27"/>
    <x v="4"/>
    <x v="3"/>
    <m/>
    <m/>
    <m/>
    <m/>
    <m/>
    <n v="0"/>
    <m/>
    <m/>
    <n v="0"/>
    <s v=""/>
    <n v="0"/>
    <n v="0"/>
    <n v="0"/>
    <n v="116.88487613461319"/>
    <n v="2225"/>
    <n v="71535.307499999995"/>
    <n v="0"/>
    <n v="0"/>
    <n v="0"/>
    <n v="0"/>
    <n v="0"/>
    <n v="0"/>
  </r>
  <r>
    <x v="28"/>
    <x v="4"/>
    <x v="3"/>
    <m/>
    <m/>
    <m/>
    <n v="2030"/>
    <n v="1.9700000000000009"/>
    <n v="3.9991000000000017"/>
    <n v="2245.8000000000002"/>
    <n v="1.7266482603925628"/>
    <n v="3.8777066631896178"/>
    <n v="-3.0355164114521726E-2"/>
    <n v="215.80000000000018"/>
    <n v="-0.12139333681038389"/>
    <n v="14892.883722953906"/>
    <n v="116.88487613461319"/>
    <n v="2225"/>
    <n v="71535.307499999995"/>
    <n v="286076.84822325013"/>
    <n v="277392.93854606821"/>
    <n v="237276.29855326479"/>
    <n v="262500.0548231143"/>
    <n v="48800.549669985339"/>
    <n v="14892.883722953906"/>
  </r>
  <r>
    <x v="29"/>
    <x v="4"/>
    <x v="3"/>
    <m/>
    <m/>
    <m/>
    <n v="2030"/>
    <n v="2.1799999999999997"/>
    <n v="4.4253999999999998"/>
    <m/>
    <m/>
    <n v="0"/>
    <n v="-1"/>
    <n v="-2030"/>
    <n v="-4.4253999999999998"/>
    <n v="0"/>
    <n v="116.88487613461319"/>
    <n v="2225"/>
    <n v="71535.307499999995"/>
    <n v="316572.34981049999"/>
    <n v="0"/>
    <n v="237276.29855326479"/>
    <n v="0"/>
    <n v="79296.051257235202"/>
    <n v="0"/>
  </r>
  <r>
    <x v="30"/>
    <x v="4"/>
    <x v="3"/>
    <m/>
    <m/>
    <m/>
    <m/>
    <m/>
    <n v="0"/>
    <n v="684"/>
    <n v="1.3417929252448231"/>
    <n v="0.91778636086745891"/>
    <s v=""/>
    <n v="684"/>
    <n v="0.91778636086745891"/>
    <n v="-14295.12573211579"/>
    <n v="116.88487613461319"/>
    <n v="2225"/>
    <n v="71535.307499999995"/>
    <n v="0"/>
    <n v="65654.129543959629"/>
    <n v="0"/>
    <n v="79949.255276075419"/>
    <n v="0"/>
    <n v="-14295.12573211579"/>
  </r>
  <r>
    <x v="31"/>
    <x v="4"/>
    <x v="3"/>
    <m/>
    <m/>
    <m/>
    <m/>
    <m/>
    <n v="0"/>
    <n v="276.8"/>
    <n v="1.6330348004917614"/>
    <n v="0.45202403277611958"/>
    <s v=""/>
    <n v="276.8"/>
    <n v="0.45202403277611958"/>
    <n v="-18.05553203114323"/>
    <n v="116.88487613461319"/>
    <n v="2225"/>
    <n v="71535.307499999995"/>
    <n v="0"/>
    <n v="32335.678182029791"/>
    <n v="0"/>
    <n v="32353.733714060934"/>
    <n v="0"/>
    <n v="-18.05553203114323"/>
  </r>
  <r>
    <x v="32"/>
    <x v="4"/>
    <x v="3"/>
    <m/>
    <m/>
    <m/>
    <n v="2030"/>
    <n v="1.8"/>
    <n v="3.6539999999999999"/>
    <n v="2547.8000000000002"/>
    <n v="2.2883290197973722"/>
    <n v="5.8302046766397453"/>
    <n v="0.59556778233162166"/>
    <n v="517.80000000000018"/>
    <n v="2.1762046766397454"/>
    <n v="119266.19691559474"/>
    <n v="116.88487613461319"/>
    <n v="2225"/>
    <n v="71535.307499999995"/>
    <n v="261390.01360499999"/>
    <n v="417065.48433136224"/>
    <n v="237276.29855326479"/>
    <n v="297799.2874157675"/>
    <n v="24113.715051735198"/>
    <n v="119266.19691559474"/>
  </r>
  <r>
    <x v="33"/>
    <x v="4"/>
    <x v="3"/>
    <m/>
    <m/>
    <m/>
    <n v="2030"/>
    <n v="1.8799999999999992"/>
    <n v="3.8163999999999985"/>
    <m/>
    <m/>
    <n v="0"/>
    <n v="-1"/>
    <n v="-2030"/>
    <n v="-3.8163999999999985"/>
    <n v="0"/>
    <n v="116.88487613461319"/>
    <n v="2225"/>
    <n v="71535.307499999995"/>
    <n v="273007.34754299989"/>
    <n v="0"/>
    <n v="237276.29855326479"/>
    <n v="0"/>
    <n v="35731.048989735107"/>
    <n v="0"/>
  </r>
  <r>
    <x v="34"/>
    <x v="4"/>
    <x v="3"/>
    <m/>
    <m/>
    <m/>
    <n v="2030"/>
    <n v="2.3400000000000012"/>
    <n v="4.7502000000000022"/>
    <n v="2600.0000000000005"/>
    <n v="1.5810273227690934"/>
    <n v="4.1106710391996435"/>
    <n v="-0.1346320072418758"/>
    <n v="570.00000000000045"/>
    <n v="-0.6395289608003587"/>
    <n v="-9842.5611295033013"/>
    <n v="116.88487613461319"/>
    <n v="2225"/>
    <n v="71535.307499999995"/>
    <n v="339807.01768650016"/>
    <n v="294058.11682049104"/>
    <n v="237276.29855326479"/>
    <n v="303900.67794999434"/>
    <n v="102530.71913323537"/>
    <n v="-9842.5611295033013"/>
  </r>
  <r>
    <x v="35"/>
    <x v="4"/>
    <x v="3"/>
    <m/>
    <m/>
    <m/>
    <n v="4060"/>
    <n v="2.8800000000000008"/>
    <n v="11.692800000000004"/>
    <n v="2052"/>
    <n v="2.1635110732629701"/>
    <n v="4.4395247223356149"/>
    <n v="-0.62031979317737296"/>
    <n v="-2008"/>
    <n v="-7.2532752776643887"/>
    <n v="77735.000337904028"/>
    <n v="116.88487613461319"/>
    <n v="2225"/>
    <n v="71535.307499999995"/>
    <n v="836448.04353600019"/>
    <n v="317582.76616613031"/>
    <n v="474552.59710652957"/>
    <n v="239847.76582822629"/>
    <n v="361895.44642947061"/>
    <n v="77735.000337904028"/>
  </r>
  <r>
    <x v="36"/>
    <x v="4"/>
    <x v="3"/>
    <m/>
    <m/>
    <m/>
    <m/>
    <m/>
    <n v="0"/>
    <m/>
    <m/>
    <n v="0"/>
    <s v=""/>
    <n v="0"/>
    <n v="0"/>
    <n v="0"/>
    <n v="116.88487613461319"/>
    <n v="2225"/>
    <n v="71535.307499999995"/>
    <n v="0"/>
    <n v="0"/>
    <n v="0"/>
    <n v="0"/>
    <n v="0"/>
    <n v="0"/>
  </r>
  <r>
    <x v="37"/>
    <x v="4"/>
    <x v="3"/>
    <m/>
    <m/>
    <m/>
    <m/>
    <m/>
    <n v="0"/>
    <n v="151"/>
    <n v="0.73850618366187926"/>
    <n v="0.11151443373294377"/>
    <s v=""/>
    <n v="151"/>
    <n v="0.11151443373294377"/>
    <n v="-9672.3969885520874"/>
    <n v="116.88487613461319"/>
    <n v="2225"/>
    <n v="71535.307499999995"/>
    <n v="0"/>
    <n v="7977.2193077745051"/>
    <n v="0"/>
    <n v="17649.616296326592"/>
    <n v="0"/>
    <n v="-9672.3969885520874"/>
  </r>
  <r>
    <x v="38"/>
    <x v="4"/>
    <x v="3"/>
    <m/>
    <m/>
    <m/>
    <m/>
    <m/>
    <n v="0"/>
    <n v="1077"/>
    <n v="1.7370497559370961"/>
    <n v="1.8708025871442526"/>
    <s v=""/>
    <n v="1077"/>
    <n v="1.8708025871442526"/>
    <n v="7943.4267461812415"/>
    <n v="116.88487613461319"/>
    <n v="2225"/>
    <n v="71535.307499999995"/>
    <n v="0"/>
    <n v="133828.43834315965"/>
    <n v="0"/>
    <n v="125885.01159697841"/>
    <n v="0"/>
    <n v="7943.4267461812415"/>
  </r>
  <r>
    <x v="39"/>
    <x v="4"/>
    <x v="3"/>
    <m/>
    <m/>
    <m/>
    <m/>
    <m/>
    <n v="0"/>
    <m/>
    <m/>
    <n v="0"/>
    <s v=""/>
    <n v="0"/>
    <n v="0"/>
    <n v="0"/>
    <n v="116.88487613461319"/>
    <n v="2225"/>
    <n v="71535.307499999995"/>
    <n v="0"/>
    <n v="0"/>
    <n v="0"/>
    <n v="0"/>
    <n v="0"/>
    <n v="0"/>
  </r>
  <r>
    <x v="40"/>
    <x v="4"/>
    <x v="3"/>
    <m/>
    <m/>
    <m/>
    <m/>
    <m/>
    <n v="0"/>
    <m/>
    <m/>
    <n v="0"/>
    <s v=""/>
    <n v="0"/>
    <n v="0"/>
    <n v="0"/>
    <n v="116.88487613461319"/>
    <n v="2225"/>
    <n v="71535.307499999995"/>
    <n v="0"/>
    <n v="0"/>
    <n v="0"/>
    <n v="0"/>
    <n v="0"/>
    <n v="0"/>
  </r>
  <r>
    <x v="41"/>
    <x v="4"/>
    <x v="3"/>
    <m/>
    <m/>
    <m/>
    <m/>
    <m/>
    <n v="0"/>
    <m/>
    <m/>
    <n v="0"/>
    <s v=""/>
    <n v="0"/>
    <n v="0"/>
    <n v="0"/>
    <n v="116.88487613461319"/>
    <n v="2225"/>
    <n v="71535.307499999995"/>
    <n v="0"/>
    <n v="0"/>
    <n v="0"/>
    <n v="0"/>
    <n v="0"/>
    <n v="0"/>
  </r>
  <r>
    <x v="42"/>
    <x v="4"/>
    <x v="3"/>
    <m/>
    <m/>
    <m/>
    <m/>
    <m/>
    <n v="0"/>
    <m/>
    <m/>
    <n v="0"/>
    <s v=""/>
    <n v="0"/>
    <n v="0"/>
    <n v="0"/>
    <n v="116.88487613461319"/>
    <n v="2225"/>
    <n v="71535.307499999995"/>
    <n v="0"/>
    <n v="0"/>
    <n v="0"/>
    <n v="0"/>
    <n v="0"/>
    <n v="0"/>
  </r>
  <r>
    <x v="43"/>
    <x v="4"/>
    <x v="3"/>
    <m/>
    <m/>
    <m/>
    <m/>
    <m/>
    <n v="0"/>
    <m/>
    <m/>
    <n v="0"/>
    <s v=""/>
    <n v="0"/>
    <n v="0"/>
    <n v="0"/>
    <n v="116.88487613461319"/>
    <n v="2225"/>
    <n v="71535.307499999995"/>
    <n v="0"/>
    <n v="0"/>
    <n v="0"/>
    <n v="0"/>
    <n v="0"/>
    <n v="0"/>
  </r>
  <r>
    <x v="44"/>
    <x v="4"/>
    <x v="3"/>
    <m/>
    <m/>
    <m/>
    <m/>
    <m/>
    <n v="0"/>
    <m/>
    <m/>
    <n v="0"/>
    <s v=""/>
    <n v="0"/>
    <n v="0"/>
    <n v="0"/>
    <n v="116.88487613461319"/>
    <n v="2225"/>
    <n v="71535.307499999995"/>
    <n v="0"/>
    <n v="0"/>
    <n v="0"/>
    <n v="0"/>
    <n v="0"/>
    <n v="0"/>
  </r>
  <r>
    <x v="45"/>
    <x v="4"/>
    <x v="3"/>
    <m/>
    <m/>
    <m/>
    <m/>
    <m/>
    <n v="0"/>
    <m/>
    <m/>
    <n v="0"/>
    <s v=""/>
    <n v="0"/>
    <n v="0"/>
    <n v="0"/>
    <n v="116.88487613461319"/>
    <n v="2225"/>
    <n v="71535.307499999995"/>
    <n v="0"/>
    <n v="0"/>
    <n v="0"/>
    <n v="0"/>
    <n v="0"/>
    <n v="0"/>
  </r>
  <r>
    <x v="46"/>
    <x v="4"/>
    <x v="3"/>
    <m/>
    <m/>
    <m/>
    <m/>
    <m/>
    <m/>
    <m/>
    <m/>
    <m/>
    <m/>
    <m/>
    <m/>
    <m/>
    <m/>
    <m/>
    <m/>
    <m/>
    <m/>
    <m/>
    <m/>
    <m/>
    <m/>
  </r>
  <r>
    <x v="47"/>
    <x v="4"/>
    <x v="3"/>
    <m/>
    <m/>
    <m/>
    <m/>
    <m/>
    <m/>
    <m/>
    <m/>
    <m/>
    <m/>
    <m/>
    <m/>
    <m/>
    <m/>
    <m/>
    <m/>
    <m/>
    <m/>
    <m/>
    <m/>
    <m/>
    <m/>
  </r>
  <r>
    <x v="48"/>
    <x v="4"/>
    <x v="3"/>
    <m/>
    <m/>
    <m/>
    <m/>
    <m/>
    <m/>
    <m/>
    <m/>
    <m/>
    <m/>
    <m/>
    <m/>
    <m/>
    <m/>
    <m/>
    <m/>
    <m/>
    <m/>
    <m/>
    <m/>
    <m/>
    <m/>
  </r>
  <r>
    <x v="49"/>
    <x v="4"/>
    <x v="3"/>
    <m/>
    <m/>
    <m/>
    <m/>
    <m/>
    <n v="0"/>
    <m/>
    <m/>
    <n v="0"/>
    <s v=""/>
    <n v="0"/>
    <n v="0"/>
    <n v="0"/>
    <n v="116.88487613461319"/>
    <n v="2225"/>
    <n v="71535.307499999995"/>
    <n v="0"/>
    <n v="0"/>
    <n v="0"/>
    <n v="0"/>
    <n v="0"/>
    <n v="0"/>
  </r>
  <r>
    <x v="50"/>
    <x v="4"/>
    <x v="4"/>
    <m/>
    <m/>
    <m/>
    <m/>
    <m/>
    <n v="0"/>
    <m/>
    <m/>
    <n v="0"/>
    <s v=""/>
    <n v="0"/>
    <n v="0"/>
    <n v="0"/>
    <n v="116.88487613461319"/>
    <n v="2225"/>
    <n v="71535.307499999995"/>
    <n v="0"/>
    <n v="0"/>
    <n v="0"/>
    <n v="0"/>
    <n v="0"/>
    <n v="0"/>
  </r>
  <r>
    <x v="51"/>
    <x v="4"/>
    <x v="4"/>
    <m/>
    <m/>
    <m/>
    <m/>
    <m/>
    <n v="0"/>
    <m/>
    <m/>
    <n v="0"/>
    <s v=""/>
    <n v="0"/>
    <n v="0"/>
    <n v="0"/>
    <n v="116.88487613461319"/>
    <n v="2225"/>
    <n v="71535.307499999995"/>
    <n v="0"/>
    <n v="0"/>
    <n v="0"/>
    <n v="0"/>
    <n v="0"/>
    <n v="0"/>
  </r>
  <r>
    <x v="52"/>
    <x v="4"/>
    <x v="4"/>
    <m/>
    <m/>
    <m/>
    <m/>
    <m/>
    <n v="0"/>
    <m/>
    <m/>
    <n v="0"/>
    <s v=""/>
    <n v="0"/>
    <n v="0"/>
    <n v="0"/>
    <n v="116.88487613461319"/>
    <n v="2225"/>
    <n v="71535.307499999995"/>
    <n v="0"/>
    <n v="0"/>
    <n v="0"/>
    <n v="0"/>
    <n v="0"/>
    <n v="0"/>
  </r>
  <r>
    <x v="53"/>
    <x v="4"/>
    <x v="4"/>
    <m/>
    <m/>
    <m/>
    <m/>
    <m/>
    <n v="0"/>
    <m/>
    <m/>
    <n v="0"/>
    <s v=""/>
    <n v="0"/>
    <n v="0"/>
    <n v="0"/>
    <n v="116.88487613461319"/>
    <n v="2225"/>
    <n v="71535.307499999995"/>
    <n v="0"/>
    <n v="0"/>
    <n v="0"/>
    <n v="0"/>
    <n v="0"/>
    <n v="0"/>
  </r>
  <r>
    <x v="54"/>
    <x v="4"/>
    <x v="4"/>
    <m/>
    <m/>
    <m/>
    <m/>
    <m/>
    <n v="0"/>
    <m/>
    <m/>
    <n v="0"/>
    <s v=""/>
    <n v="0"/>
    <n v="0"/>
    <n v="0"/>
    <n v="116.88487613461319"/>
    <n v="2225"/>
    <n v="71535.307499999995"/>
    <n v="0"/>
    <n v="0"/>
    <n v="0"/>
    <n v="0"/>
    <n v="0"/>
    <n v="0"/>
  </r>
  <r>
    <x v="55"/>
    <x v="4"/>
    <x v="4"/>
    <m/>
    <m/>
    <m/>
    <m/>
    <m/>
    <n v="0"/>
    <m/>
    <m/>
    <n v="0"/>
    <s v=""/>
    <n v="0"/>
    <n v="0"/>
    <n v="0"/>
    <n v="116.88487613461319"/>
    <n v="2225"/>
    <n v="71535.307499999995"/>
    <n v="0"/>
    <n v="0"/>
    <n v="0"/>
    <n v="0"/>
    <n v="0"/>
    <n v="0"/>
  </r>
  <r>
    <x v="56"/>
    <x v="4"/>
    <x v="4"/>
    <m/>
    <m/>
    <m/>
    <m/>
    <m/>
    <n v="0"/>
    <m/>
    <m/>
    <n v="0"/>
    <s v=""/>
    <n v="0"/>
    <n v="0"/>
    <n v="0"/>
    <n v="116.88487613461319"/>
    <n v="2225"/>
    <n v="71535.307499999995"/>
    <n v="0"/>
    <n v="0"/>
    <n v="0"/>
    <n v="0"/>
    <n v="0"/>
    <n v="0"/>
  </r>
  <r>
    <x v="57"/>
    <x v="4"/>
    <x v="4"/>
    <m/>
    <m/>
    <m/>
    <m/>
    <m/>
    <n v="0"/>
    <m/>
    <m/>
    <n v="0"/>
    <s v=""/>
    <n v="0"/>
    <n v="0"/>
    <n v="0"/>
    <n v="116.88487613461319"/>
    <n v="2225"/>
    <n v="71535.307499999995"/>
    <n v="0"/>
    <n v="0"/>
    <n v="0"/>
    <n v="0"/>
    <n v="0"/>
    <n v="0"/>
  </r>
  <r>
    <x v="58"/>
    <x v="4"/>
    <x v="4"/>
    <m/>
    <m/>
    <m/>
    <m/>
    <m/>
    <n v="0"/>
    <m/>
    <m/>
    <n v="0"/>
    <s v=""/>
    <n v="0"/>
    <n v="0"/>
    <n v="0"/>
    <n v="116.88487613461319"/>
    <n v="2225"/>
    <n v="71535.307499999995"/>
    <n v="0"/>
    <n v="0"/>
    <n v="0"/>
    <n v="0"/>
    <n v="0"/>
    <n v="0"/>
  </r>
  <r>
    <x v="59"/>
    <x v="4"/>
    <x v="4"/>
    <m/>
    <m/>
    <m/>
    <m/>
    <m/>
    <n v="0"/>
    <m/>
    <m/>
    <n v="0"/>
    <s v=""/>
    <n v="0"/>
    <n v="0"/>
    <n v="0"/>
    <n v="116.88487613461319"/>
    <n v="2225"/>
    <n v="71535.307499999995"/>
    <n v="0"/>
    <n v="0"/>
    <n v="0"/>
    <n v="0"/>
    <n v="0"/>
    <n v="0"/>
  </r>
  <r>
    <x v="60"/>
    <x v="4"/>
    <x v="4"/>
    <m/>
    <m/>
    <m/>
    <m/>
    <m/>
    <n v="0"/>
    <m/>
    <m/>
    <n v="0"/>
    <s v=""/>
    <n v="0"/>
    <n v="0"/>
    <n v="0"/>
    <n v="116.88487613461319"/>
    <n v="2225"/>
    <n v="71535.307499999995"/>
    <n v="0"/>
    <n v="0"/>
    <n v="0"/>
    <n v="0"/>
    <n v="0"/>
    <n v="0"/>
  </r>
  <r>
    <x v="61"/>
    <x v="4"/>
    <x v="4"/>
    <m/>
    <m/>
    <m/>
    <m/>
    <m/>
    <n v="0"/>
    <m/>
    <m/>
    <n v="0"/>
    <s v=""/>
    <n v="0"/>
    <n v="0"/>
    <n v="0"/>
    <n v="116.88487613461319"/>
    <n v="2225"/>
    <n v="71535.307499999995"/>
    <n v="0"/>
    <n v="0"/>
    <n v="0"/>
    <n v="0"/>
    <n v="0"/>
    <n v="0"/>
  </r>
  <r>
    <x v="62"/>
    <x v="4"/>
    <x v="4"/>
    <m/>
    <m/>
    <m/>
    <m/>
    <m/>
    <n v="0"/>
    <m/>
    <m/>
    <n v="0"/>
    <s v=""/>
    <n v="0"/>
    <n v="0"/>
    <n v="0"/>
    <n v="116.88487613461319"/>
    <n v="2225"/>
    <n v="71535.307499999995"/>
    <n v="0"/>
    <n v="0"/>
    <n v="0"/>
    <n v="0"/>
    <n v="0"/>
    <n v="0"/>
  </r>
  <r>
    <x v="63"/>
    <x v="4"/>
    <x v="4"/>
    <m/>
    <m/>
    <m/>
    <m/>
    <m/>
    <n v="0"/>
    <m/>
    <m/>
    <n v="0"/>
    <s v=""/>
    <n v="0"/>
    <n v="0"/>
    <n v="0"/>
    <n v="116.88487613461319"/>
    <n v="2225"/>
    <n v="71535.307499999995"/>
    <n v="0"/>
    <n v="0"/>
    <n v="0"/>
    <n v="0"/>
    <n v="0"/>
    <n v="0"/>
  </r>
  <r>
    <x v="64"/>
    <x v="4"/>
    <x v="4"/>
    <m/>
    <m/>
    <m/>
    <m/>
    <m/>
    <n v="0"/>
    <m/>
    <m/>
    <n v="0"/>
    <s v=""/>
    <n v="0"/>
    <n v="0"/>
    <n v="0"/>
    <n v="116.88487613461319"/>
    <n v="2225"/>
    <n v="71535.307499999995"/>
    <n v="0"/>
    <n v="0"/>
    <n v="0"/>
    <n v="0"/>
    <n v="0"/>
    <n v="0"/>
  </r>
  <r>
    <x v="65"/>
    <x v="4"/>
    <x v="4"/>
    <m/>
    <m/>
    <m/>
    <m/>
    <m/>
    <n v="0"/>
    <m/>
    <m/>
    <n v="0"/>
    <s v=""/>
    <n v="0"/>
    <n v="0"/>
    <n v="0"/>
    <n v="116.88487613461319"/>
    <n v="2225"/>
    <n v="71535.307499999995"/>
    <n v="0"/>
    <n v="0"/>
    <n v="0"/>
    <n v="0"/>
    <n v="0"/>
    <n v="0"/>
  </r>
  <r>
    <x v="66"/>
    <x v="4"/>
    <x v="4"/>
    <m/>
    <m/>
    <m/>
    <m/>
    <m/>
    <n v="0"/>
    <m/>
    <m/>
    <n v="0"/>
    <s v=""/>
    <n v="0"/>
    <n v="0"/>
    <n v="0"/>
    <n v="116.88487613461319"/>
    <n v="2225"/>
    <n v="71535.307499999995"/>
    <n v="0"/>
    <n v="0"/>
    <n v="0"/>
    <n v="0"/>
    <n v="0"/>
    <n v="0"/>
  </r>
  <r>
    <x v="67"/>
    <x v="4"/>
    <x v="4"/>
    <m/>
    <m/>
    <m/>
    <m/>
    <m/>
    <n v="0"/>
    <m/>
    <m/>
    <n v="0"/>
    <s v=""/>
    <n v="0"/>
    <n v="0"/>
    <n v="0"/>
    <n v="116.88487613461319"/>
    <n v="2225"/>
    <n v="71535.307499999995"/>
    <n v="0"/>
    <n v="0"/>
    <n v="0"/>
    <n v="0"/>
    <n v="0"/>
    <n v="0"/>
  </r>
  <r>
    <x v="68"/>
    <x v="4"/>
    <x v="4"/>
    <m/>
    <m/>
    <m/>
    <m/>
    <m/>
    <n v="0"/>
    <m/>
    <m/>
    <n v="0"/>
    <s v=""/>
    <n v="0"/>
    <n v="0"/>
    <n v="0"/>
    <n v="116.88487613461319"/>
    <n v="2225"/>
    <n v="71535.307499999995"/>
    <n v="0"/>
    <n v="0"/>
    <n v="0"/>
    <n v="0"/>
    <n v="0"/>
    <n v="0"/>
  </r>
  <r>
    <x v="69"/>
    <x v="4"/>
    <x v="4"/>
    <m/>
    <m/>
    <m/>
    <m/>
    <m/>
    <n v="0"/>
    <m/>
    <m/>
    <n v="0"/>
    <s v=""/>
    <n v="0"/>
    <n v="0"/>
    <n v="0"/>
    <n v="116.88487613461319"/>
    <n v="2225"/>
    <n v="71535.307499999995"/>
    <n v="0"/>
    <n v="0"/>
    <n v="0"/>
    <n v="0"/>
    <n v="0"/>
    <n v="0"/>
  </r>
  <r>
    <x v="70"/>
    <x v="4"/>
    <x v="5"/>
    <m/>
    <m/>
    <m/>
    <m/>
    <m/>
    <n v="0"/>
    <m/>
    <m/>
    <n v="0"/>
    <s v=""/>
    <n v="0"/>
    <n v="0"/>
    <n v="0"/>
    <n v="116.88487613461319"/>
    <n v="2225"/>
    <n v="71535.307499999995"/>
    <n v="0"/>
    <n v="0"/>
    <n v="0"/>
    <n v="0"/>
    <n v="0"/>
    <n v="0"/>
  </r>
  <r>
    <x v="71"/>
    <x v="4"/>
    <x v="5"/>
    <m/>
    <m/>
    <m/>
    <m/>
    <m/>
    <n v="0"/>
    <m/>
    <m/>
    <n v="0"/>
    <s v=""/>
    <n v="0"/>
    <n v="0"/>
    <n v="0"/>
    <n v="116.88487613461319"/>
    <n v="2225"/>
    <n v="71535.307499999995"/>
    <n v="0"/>
    <n v="0"/>
    <n v="0"/>
    <n v="0"/>
    <n v="0"/>
    <n v="0"/>
  </r>
  <r>
    <x v="72"/>
    <x v="4"/>
    <x v="5"/>
    <m/>
    <m/>
    <m/>
    <m/>
    <m/>
    <n v="0"/>
    <m/>
    <m/>
    <m/>
    <m/>
    <m/>
    <m/>
    <m/>
    <m/>
    <m/>
    <m/>
    <m/>
    <m/>
    <m/>
    <m/>
    <m/>
    <m/>
  </r>
  <r>
    <x v="73"/>
    <x v="4"/>
    <x v="5"/>
    <m/>
    <m/>
    <m/>
    <m/>
    <m/>
    <n v="0"/>
    <m/>
    <m/>
    <m/>
    <m/>
    <m/>
    <m/>
    <m/>
    <m/>
    <m/>
    <m/>
    <m/>
    <m/>
    <m/>
    <m/>
    <m/>
    <m/>
  </r>
  <r>
    <x v="74"/>
    <x v="4"/>
    <x v="5"/>
    <m/>
    <m/>
    <m/>
    <m/>
    <m/>
    <n v="0"/>
    <m/>
    <m/>
    <m/>
    <m/>
    <m/>
    <m/>
    <m/>
    <m/>
    <m/>
    <m/>
    <m/>
    <m/>
    <m/>
    <m/>
    <m/>
    <m/>
  </r>
  <r>
    <x v="75"/>
    <x v="4"/>
    <x v="5"/>
    <m/>
    <m/>
    <m/>
    <m/>
    <m/>
    <n v="0"/>
    <m/>
    <m/>
    <n v="0"/>
    <s v=""/>
    <n v="0"/>
    <n v="0"/>
    <n v="0"/>
    <n v="116.88487613461319"/>
    <n v="2225"/>
    <n v="71535.307499999995"/>
    <n v="0"/>
    <n v="0"/>
    <n v="0"/>
    <n v="0"/>
    <n v="0"/>
    <n v="0"/>
  </r>
  <r>
    <x v="76"/>
    <x v="4"/>
    <x v="5"/>
    <m/>
    <m/>
    <m/>
    <m/>
    <m/>
    <n v="0"/>
    <m/>
    <m/>
    <m/>
    <m/>
    <m/>
    <m/>
    <m/>
    <m/>
    <m/>
    <m/>
    <m/>
    <m/>
    <m/>
    <m/>
    <m/>
    <m/>
  </r>
  <r>
    <x v="77"/>
    <x v="4"/>
    <x v="5"/>
    <m/>
    <m/>
    <m/>
    <m/>
    <m/>
    <n v="0"/>
    <m/>
    <m/>
    <n v="0"/>
    <s v=""/>
    <n v="0"/>
    <n v="0"/>
    <n v="0"/>
    <n v="116.88487613461319"/>
    <n v="2225"/>
    <n v="71535.307499999995"/>
    <n v="0"/>
    <n v="0"/>
    <n v="0"/>
    <n v="0"/>
    <n v="0"/>
    <n v="0"/>
  </r>
  <r>
    <x v="78"/>
    <x v="4"/>
    <x v="5"/>
    <m/>
    <m/>
    <m/>
    <m/>
    <m/>
    <n v="0"/>
    <m/>
    <m/>
    <n v="0"/>
    <s v=""/>
    <n v="0"/>
    <n v="0"/>
    <n v="0"/>
    <n v="116.88487613461319"/>
    <n v="2225"/>
    <n v="71535.307499999995"/>
    <n v="0"/>
    <n v="0"/>
    <n v="0"/>
    <n v="0"/>
    <n v="0"/>
    <n v="0"/>
  </r>
  <r>
    <x v="79"/>
    <x v="4"/>
    <x v="5"/>
    <m/>
    <m/>
    <m/>
    <m/>
    <m/>
    <n v="0"/>
    <m/>
    <m/>
    <n v="0"/>
    <s v=""/>
    <n v="0"/>
    <n v="0"/>
    <n v="0"/>
    <n v="116.88487613461319"/>
    <n v="2225"/>
    <n v="71535.307499999995"/>
    <n v="0"/>
    <n v="0"/>
    <n v="0"/>
    <n v="0"/>
    <n v="0"/>
    <n v="0"/>
  </r>
  <r>
    <x v="80"/>
    <x v="4"/>
    <x v="5"/>
    <m/>
    <m/>
    <m/>
    <m/>
    <m/>
    <n v="0"/>
    <m/>
    <m/>
    <n v="0"/>
    <s v=""/>
    <n v="0"/>
    <n v="0"/>
    <n v="0"/>
    <n v="116.88487613461319"/>
    <n v="2225"/>
    <n v="71535.307499999995"/>
    <n v="0"/>
    <n v="0"/>
    <n v="0"/>
    <n v="0"/>
    <n v="0"/>
    <n v="0"/>
  </r>
  <r>
    <x v="81"/>
    <x v="4"/>
    <x v="5"/>
    <m/>
    <m/>
    <m/>
    <m/>
    <m/>
    <n v="0"/>
    <m/>
    <m/>
    <n v="0"/>
    <s v=""/>
    <n v="0"/>
    <n v="0"/>
    <n v="0"/>
    <n v="116.88487613461319"/>
    <n v="2225"/>
    <n v="71535.307499999995"/>
    <n v="0"/>
    <n v="0"/>
    <n v="0"/>
    <n v="0"/>
    <n v="0"/>
    <n v="0"/>
  </r>
  <r>
    <x v="82"/>
    <x v="4"/>
    <x v="5"/>
    <m/>
    <m/>
    <m/>
    <m/>
    <m/>
    <n v="0"/>
    <m/>
    <m/>
    <n v="0"/>
    <s v=""/>
    <n v="0"/>
    <n v="0"/>
    <n v="0"/>
    <n v="116.88487613461319"/>
    <n v="2225"/>
    <n v="71535.307499999995"/>
    <n v="0"/>
    <n v="0"/>
    <n v="0"/>
    <n v="0"/>
    <n v="0"/>
    <n v="0"/>
  </r>
  <r>
    <x v="83"/>
    <x v="4"/>
    <x v="5"/>
    <m/>
    <m/>
    <m/>
    <m/>
    <m/>
    <n v="0"/>
    <m/>
    <m/>
    <n v="0"/>
    <s v=""/>
    <n v="0"/>
    <n v="0"/>
    <n v="0"/>
    <n v="116.88487613461319"/>
    <n v="2225"/>
    <n v="71535.307499999995"/>
    <n v="0"/>
    <n v="0"/>
    <n v="0"/>
    <n v="0"/>
    <n v="0"/>
    <n v="0"/>
  </r>
  <r>
    <x v="84"/>
    <x v="4"/>
    <x v="5"/>
    <m/>
    <m/>
    <m/>
    <m/>
    <m/>
    <n v="0"/>
    <m/>
    <m/>
    <n v="0"/>
    <s v=""/>
    <n v="0"/>
    <n v="0"/>
    <n v="0"/>
    <n v="116.88487613461319"/>
    <n v="2225"/>
    <n v="71535.307499999995"/>
    <n v="0"/>
    <n v="0"/>
    <n v="0"/>
    <n v="0"/>
    <n v="0"/>
    <n v="0"/>
  </r>
  <r>
    <x v="85"/>
    <x v="4"/>
    <x v="5"/>
    <m/>
    <m/>
    <m/>
    <m/>
    <m/>
    <n v="0"/>
    <m/>
    <m/>
    <n v="0"/>
    <s v=""/>
    <n v="0"/>
    <n v="0"/>
    <n v="0"/>
    <n v="116.88487613461319"/>
    <n v="2225"/>
    <n v="71535.307499999995"/>
    <n v="0"/>
    <n v="0"/>
    <n v="0"/>
    <n v="0"/>
    <n v="0"/>
    <n v="0"/>
  </r>
  <r>
    <x v="86"/>
    <x v="4"/>
    <x v="5"/>
    <m/>
    <m/>
    <m/>
    <m/>
    <m/>
    <n v="0"/>
    <m/>
    <m/>
    <n v="0"/>
    <s v=""/>
    <n v="0"/>
    <n v="0"/>
    <n v="0"/>
    <n v="116.88487613461319"/>
    <n v="2225"/>
    <n v="71535.307499999995"/>
    <n v="0"/>
    <n v="0"/>
    <n v="0"/>
    <n v="0"/>
    <n v="0"/>
    <n v="0"/>
  </r>
  <r>
    <x v="87"/>
    <x v="4"/>
    <x v="5"/>
    <m/>
    <m/>
    <m/>
    <m/>
    <m/>
    <n v="0"/>
    <m/>
    <m/>
    <n v="0"/>
    <s v=""/>
    <n v="0"/>
    <n v="0"/>
    <n v="0"/>
    <n v="116.88487613461319"/>
    <n v="2225"/>
    <n v="71535.307499999995"/>
    <n v="0"/>
    <n v="0"/>
    <n v="0"/>
    <n v="0"/>
    <n v="0"/>
    <n v="0"/>
  </r>
  <r>
    <x v="88"/>
    <x v="4"/>
    <x v="5"/>
    <m/>
    <m/>
    <m/>
    <m/>
    <m/>
    <n v="0"/>
    <m/>
    <m/>
    <n v="0"/>
    <s v=""/>
    <n v="0"/>
    <n v="0"/>
    <n v="0"/>
    <n v="116.88487613461319"/>
    <n v="2225"/>
    <n v="71535.307499999995"/>
    <n v="0"/>
    <n v="0"/>
    <n v="0"/>
    <n v="0"/>
    <n v="0"/>
    <n v="0"/>
  </r>
  <r>
    <x v="89"/>
    <x v="4"/>
    <x v="5"/>
    <m/>
    <m/>
    <m/>
    <m/>
    <m/>
    <n v="0"/>
    <m/>
    <m/>
    <n v="0"/>
    <s v=""/>
    <n v="0"/>
    <n v="0"/>
    <n v="0"/>
    <n v="116.88487613461319"/>
    <n v="2225"/>
    <n v="71535.307499999995"/>
    <n v="0"/>
    <n v="0"/>
    <n v="0"/>
    <n v="0"/>
    <n v="0"/>
    <n v="0"/>
  </r>
  <r>
    <x v="90"/>
    <x v="4"/>
    <x v="5"/>
    <m/>
    <m/>
    <m/>
    <m/>
    <m/>
    <n v="0"/>
    <m/>
    <m/>
    <n v="0"/>
    <s v=""/>
    <n v="0"/>
    <n v="0"/>
    <n v="0"/>
    <n v="116.88487613461319"/>
    <n v="2225"/>
    <n v="71535.307499999995"/>
    <n v="0"/>
    <n v="0"/>
    <n v="0"/>
    <n v="0"/>
    <n v="0"/>
    <n v="0"/>
  </r>
  <r>
    <x v="91"/>
    <x v="4"/>
    <x v="5"/>
    <m/>
    <m/>
    <m/>
    <m/>
    <m/>
    <n v="0"/>
    <m/>
    <m/>
    <n v="0"/>
    <s v=""/>
    <n v="0"/>
    <n v="0"/>
    <n v="0"/>
    <n v="116.88487613461319"/>
    <n v="2225"/>
    <n v="71535.307499999995"/>
    <n v="0"/>
    <n v="0"/>
    <n v="0"/>
    <n v="0"/>
    <n v="0"/>
    <n v="0"/>
  </r>
  <r>
    <x v="92"/>
    <x v="4"/>
    <x v="5"/>
    <m/>
    <m/>
    <m/>
    <m/>
    <m/>
    <n v="0"/>
    <m/>
    <m/>
    <n v="0"/>
    <s v=""/>
    <n v="0"/>
    <n v="0"/>
    <n v="0"/>
    <n v="116.88487613461319"/>
    <n v="2225"/>
    <n v="71535.307499999995"/>
    <n v="0"/>
    <n v="0"/>
    <n v="0"/>
    <n v="0"/>
    <n v="0"/>
    <n v="0"/>
  </r>
  <r>
    <x v="93"/>
    <x v="4"/>
    <x v="5"/>
    <m/>
    <m/>
    <m/>
    <m/>
    <m/>
    <n v="0"/>
    <m/>
    <m/>
    <n v="0"/>
    <s v=""/>
    <n v="0"/>
    <n v="0"/>
    <n v="0"/>
    <n v="116.88487613461319"/>
    <n v="2225"/>
    <n v="71535.307499999995"/>
    <n v="0"/>
    <n v="0"/>
    <n v="0"/>
    <n v="0"/>
    <n v="0"/>
    <n v="0"/>
  </r>
  <r>
    <x v="94"/>
    <x v="4"/>
    <x v="5"/>
    <m/>
    <m/>
    <m/>
    <m/>
    <m/>
    <n v="0"/>
    <m/>
    <m/>
    <n v="0"/>
    <s v=""/>
    <n v="0"/>
    <n v="0"/>
    <n v="0"/>
    <n v="116.88487613461319"/>
    <n v="2225"/>
    <n v="71535.307499999995"/>
    <n v="0"/>
    <n v="0"/>
    <n v="0"/>
    <n v="0"/>
    <n v="0"/>
    <n v="0"/>
  </r>
  <r>
    <x v="95"/>
    <x v="4"/>
    <x v="5"/>
    <m/>
    <m/>
    <m/>
    <m/>
    <m/>
    <n v="0"/>
    <m/>
    <m/>
    <n v="0"/>
    <s v=""/>
    <n v="0"/>
    <n v="0"/>
    <n v="0"/>
    <n v="116.88487613461319"/>
    <n v="2225"/>
    <n v="71535.307499999995"/>
    <n v="0"/>
    <n v="0"/>
    <n v="0"/>
    <n v="0"/>
    <n v="0"/>
    <n v="0"/>
  </r>
  <r>
    <x v="96"/>
    <x v="4"/>
    <x v="5"/>
    <m/>
    <m/>
    <m/>
    <m/>
    <m/>
    <n v="0"/>
    <m/>
    <m/>
    <n v="0"/>
    <s v=""/>
    <n v="0"/>
    <n v="0"/>
    <n v="0"/>
    <n v="116.88487613461319"/>
    <n v="2225"/>
    <n v="71535.307499999995"/>
    <n v="0"/>
    <n v="0"/>
    <n v="0"/>
    <n v="0"/>
    <n v="0"/>
    <n v="0"/>
  </r>
  <r>
    <x v="97"/>
    <x v="4"/>
    <x v="5"/>
    <m/>
    <m/>
    <m/>
    <m/>
    <m/>
    <n v="0"/>
    <m/>
    <m/>
    <n v="0"/>
    <s v=""/>
    <n v="0"/>
    <n v="0"/>
    <n v="0"/>
    <n v="116.88487613461319"/>
    <n v="2225"/>
    <n v="71535.307499999995"/>
    <n v="0"/>
    <n v="0"/>
    <n v="0"/>
    <n v="0"/>
    <n v="0"/>
    <n v="0"/>
  </r>
  <r>
    <x v="98"/>
    <x v="4"/>
    <x v="6"/>
    <m/>
    <m/>
    <m/>
    <m/>
    <m/>
    <n v="0"/>
    <m/>
    <m/>
    <n v="0"/>
    <s v=""/>
    <n v="0"/>
    <n v="0"/>
    <n v="0"/>
    <n v="116.88487613461319"/>
    <n v="2225"/>
    <n v="71535.307499999995"/>
    <n v="0"/>
    <n v="0"/>
    <n v="0"/>
    <n v="0"/>
    <n v="0"/>
    <n v="0"/>
  </r>
  <r>
    <x v="99"/>
    <x v="4"/>
    <x v="6"/>
    <m/>
    <m/>
    <m/>
    <m/>
    <m/>
    <n v="0"/>
    <m/>
    <m/>
    <n v="0"/>
    <s v=""/>
    <n v="0"/>
    <n v="0"/>
    <n v="0"/>
    <n v="116.88487613461319"/>
    <n v="2225"/>
    <n v="71535.307499999995"/>
    <n v="0"/>
    <n v="0"/>
    <n v="0"/>
    <n v="0"/>
    <n v="0"/>
    <n v="0"/>
  </r>
  <r>
    <x v="100"/>
    <x v="4"/>
    <x v="6"/>
    <m/>
    <m/>
    <m/>
    <m/>
    <m/>
    <n v="0"/>
    <m/>
    <m/>
    <n v="0"/>
    <s v=""/>
    <n v="0"/>
    <n v="0"/>
    <n v="0"/>
    <n v="116.88487613461319"/>
    <n v="2225"/>
    <n v="71535.307499999995"/>
    <n v="0"/>
    <n v="0"/>
    <n v="0"/>
    <n v="0"/>
    <n v="0"/>
    <n v="0"/>
  </r>
  <r>
    <x v="101"/>
    <x v="4"/>
    <x v="6"/>
    <m/>
    <m/>
    <m/>
    <m/>
    <m/>
    <n v="0"/>
    <m/>
    <m/>
    <n v="0"/>
    <s v=""/>
    <n v="0"/>
    <n v="0"/>
    <n v="0"/>
    <n v="116.88487613461319"/>
    <n v="2225"/>
    <n v="71535.307499999995"/>
    <n v="0"/>
    <n v="0"/>
    <n v="0"/>
    <n v="0"/>
    <n v="0"/>
    <n v="0"/>
  </r>
  <r>
    <x v="102"/>
    <x v="4"/>
    <x v="6"/>
    <m/>
    <m/>
    <m/>
    <m/>
    <m/>
    <n v="0"/>
    <m/>
    <m/>
    <n v="0"/>
    <s v=""/>
    <n v="0"/>
    <n v="0"/>
    <n v="0"/>
    <n v="116.88487613461319"/>
    <n v="2225"/>
    <n v="71535.307499999995"/>
    <n v="0"/>
    <n v="0"/>
    <n v="0"/>
    <n v="0"/>
    <n v="0"/>
    <n v="0"/>
  </r>
  <r>
    <x v="103"/>
    <x v="4"/>
    <x v="6"/>
    <m/>
    <m/>
    <m/>
    <m/>
    <m/>
    <n v="0"/>
    <m/>
    <m/>
    <n v="0"/>
    <s v=""/>
    <n v="0"/>
    <n v="0"/>
    <n v="0"/>
    <n v="116.88487613461319"/>
    <n v="2225"/>
    <n v="71535.307499999995"/>
    <n v="0"/>
    <n v="0"/>
    <n v="0"/>
    <n v="0"/>
    <n v="0"/>
    <n v="0"/>
  </r>
  <r>
    <x v="104"/>
    <x v="4"/>
    <x v="6"/>
    <m/>
    <m/>
    <m/>
    <m/>
    <m/>
    <n v="0"/>
    <m/>
    <m/>
    <n v="0"/>
    <s v=""/>
    <n v="0"/>
    <n v="0"/>
    <n v="0"/>
    <n v="116.88487613461319"/>
    <n v="2225"/>
    <n v="71535.307499999995"/>
    <n v="0"/>
    <n v="0"/>
    <n v="0"/>
    <n v="0"/>
    <n v="0"/>
    <n v="0"/>
  </r>
  <r>
    <x v="105"/>
    <x v="4"/>
    <x v="6"/>
    <m/>
    <m/>
    <m/>
    <m/>
    <m/>
    <n v="0"/>
    <m/>
    <m/>
    <n v="0"/>
    <s v=""/>
    <n v="0"/>
    <n v="0"/>
    <n v="0"/>
    <n v="116.88487613461319"/>
    <n v="2225"/>
    <n v="71535.307499999995"/>
    <n v="0"/>
    <n v="0"/>
    <n v="0"/>
    <n v="0"/>
    <n v="0"/>
    <n v="0"/>
  </r>
  <r>
    <x v="106"/>
    <x v="4"/>
    <x v="6"/>
    <m/>
    <m/>
    <m/>
    <m/>
    <m/>
    <n v="0"/>
    <m/>
    <m/>
    <n v="0"/>
    <s v=""/>
    <n v="0"/>
    <n v="0"/>
    <n v="0"/>
    <n v="116.88487613461319"/>
    <n v="2225"/>
    <n v="71535.307499999995"/>
    <n v="0"/>
    <n v="0"/>
    <n v="0"/>
    <n v="0"/>
    <n v="0"/>
    <n v="0"/>
  </r>
  <r>
    <x v="107"/>
    <x v="4"/>
    <x v="6"/>
    <m/>
    <m/>
    <m/>
    <m/>
    <m/>
    <n v="0"/>
    <m/>
    <m/>
    <n v="0"/>
    <s v=""/>
    <n v="0"/>
    <n v="0"/>
    <n v="0"/>
    <n v="116.88487613461319"/>
    <n v="2225"/>
    <n v="71535.307499999995"/>
    <n v="0"/>
    <n v="0"/>
    <n v="0"/>
    <n v="0"/>
    <n v="0"/>
    <n v="0"/>
  </r>
  <r>
    <x v="108"/>
    <x v="4"/>
    <x v="6"/>
    <m/>
    <m/>
    <m/>
    <m/>
    <m/>
    <n v="0"/>
    <m/>
    <m/>
    <n v="0"/>
    <s v=""/>
    <n v="0"/>
    <n v="0"/>
    <n v="0"/>
    <n v="116.88487613461319"/>
    <n v="2225"/>
    <n v="71535.307499999995"/>
    <n v="0"/>
    <n v="0"/>
    <n v="0"/>
    <n v="0"/>
    <n v="0"/>
    <n v="0"/>
  </r>
  <r>
    <x v="109"/>
    <x v="4"/>
    <x v="6"/>
    <m/>
    <m/>
    <m/>
    <m/>
    <m/>
    <n v="0"/>
    <m/>
    <m/>
    <n v="0"/>
    <s v=""/>
    <n v="0"/>
    <n v="0"/>
    <n v="0"/>
    <n v="116.88487613461319"/>
    <n v="2225"/>
    <n v="71535.307499999995"/>
    <n v="0"/>
    <n v="0"/>
    <n v="0"/>
    <n v="0"/>
    <n v="0"/>
    <n v="0"/>
  </r>
  <r>
    <x v="110"/>
    <x v="4"/>
    <x v="7"/>
    <m/>
    <m/>
    <m/>
    <m/>
    <m/>
    <n v="0"/>
    <m/>
    <m/>
    <n v="0"/>
    <s v=""/>
    <n v="0"/>
    <n v="0"/>
    <n v="0"/>
    <n v="116.88487613461319"/>
    <n v="2225"/>
    <n v="71535.307499999995"/>
    <n v="0"/>
    <n v="0"/>
    <n v="0"/>
    <n v="0"/>
    <n v="0"/>
    <n v="0"/>
  </r>
  <r>
    <x v="111"/>
    <x v="4"/>
    <x v="7"/>
    <m/>
    <m/>
    <m/>
    <m/>
    <m/>
    <n v="0"/>
    <m/>
    <m/>
    <n v="0"/>
    <s v=""/>
    <n v="0"/>
    <n v="0"/>
    <n v="0"/>
    <n v="116.88487613461319"/>
    <n v="2225"/>
    <n v="71535.307499999995"/>
    <n v="0"/>
    <n v="0"/>
    <n v="0"/>
    <n v="0"/>
    <n v="0"/>
    <n v="0"/>
  </r>
  <r>
    <x v="112"/>
    <x v="4"/>
    <x v="7"/>
    <m/>
    <m/>
    <m/>
    <m/>
    <m/>
    <n v="0"/>
    <m/>
    <m/>
    <n v="0"/>
    <s v=""/>
    <n v="0"/>
    <n v="0"/>
    <n v="0"/>
    <n v="116.88487613461319"/>
    <n v="2225"/>
    <n v="71535.307499999995"/>
    <n v="0"/>
    <n v="0"/>
    <n v="0"/>
    <n v="0"/>
    <n v="0"/>
    <n v="0"/>
  </r>
  <r>
    <x v="113"/>
    <x v="4"/>
    <x v="7"/>
    <m/>
    <m/>
    <m/>
    <m/>
    <m/>
    <n v="0"/>
    <m/>
    <m/>
    <n v="0"/>
    <s v=""/>
    <n v="0"/>
    <n v="0"/>
    <n v="0"/>
    <n v="116.88487613461319"/>
    <n v="2225"/>
    <n v="71535.307499999995"/>
    <n v="0"/>
    <n v="0"/>
    <n v="0"/>
    <n v="0"/>
    <n v="0"/>
    <n v="0"/>
  </r>
  <r>
    <x v="114"/>
    <x v="4"/>
    <x v="7"/>
    <m/>
    <m/>
    <m/>
    <m/>
    <m/>
    <n v="0"/>
    <m/>
    <m/>
    <n v="0"/>
    <s v=""/>
    <n v="0"/>
    <n v="0"/>
    <n v="0"/>
    <n v="116.88487613461319"/>
    <n v="2225"/>
    <n v="71535.307499999995"/>
    <n v="0"/>
    <n v="0"/>
    <n v="0"/>
    <n v="0"/>
    <n v="0"/>
    <n v="0"/>
  </r>
  <r>
    <x v="115"/>
    <x v="4"/>
    <x v="7"/>
    <m/>
    <m/>
    <m/>
    <m/>
    <m/>
    <n v="0"/>
    <m/>
    <m/>
    <n v="0"/>
    <s v=""/>
    <n v="0"/>
    <n v="0"/>
    <n v="0"/>
    <n v="116.88487613461319"/>
    <n v="2225"/>
    <n v="71535.307499999995"/>
    <n v="0"/>
    <n v="0"/>
    <n v="0"/>
    <n v="0"/>
    <n v="0"/>
    <n v="0"/>
  </r>
  <r>
    <x v="116"/>
    <x v="4"/>
    <x v="7"/>
    <m/>
    <m/>
    <m/>
    <m/>
    <m/>
    <n v="0"/>
    <m/>
    <m/>
    <n v="0"/>
    <s v=""/>
    <n v="0"/>
    <n v="0"/>
    <n v="0"/>
    <n v="116.88487613461319"/>
    <n v="2225"/>
    <n v="71535.307499999995"/>
    <n v="0"/>
    <n v="0"/>
    <n v="0"/>
    <n v="0"/>
    <n v="0"/>
    <n v="0"/>
  </r>
  <r>
    <x v="117"/>
    <x v="4"/>
    <x v="7"/>
    <m/>
    <m/>
    <m/>
    <m/>
    <m/>
    <n v="0"/>
    <m/>
    <m/>
    <n v="0"/>
    <s v=""/>
    <n v="0"/>
    <n v="0"/>
    <n v="0"/>
    <n v="116.88487613461319"/>
    <n v="2225"/>
    <n v="71535.307499999995"/>
    <n v="0"/>
    <n v="0"/>
    <n v="0"/>
    <n v="0"/>
    <n v="0"/>
    <n v="0"/>
  </r>
  <r>
    <x v="118"/>
    <x v="4"/>
    <x v="7"/>
    <m/>
    <m/>
    <m/>
    <m/>
    <m/>
    <n v="0"/>
    <m/>
    <m/>
    <n v="0"/>
    <s v=""/>
    <n v="0"/>
    <n v="0"/>
    <n v="0"/>
    <n v="116.88487613461319"/>
    <n v="2225"/>
    <n v="71535.307499999995"/>
    <n v="0"/>
    <n v="0"/>
    <n v="0"/>
    <n v="0"/>
    <n v="0"/>
    <n v="0"/>
  </r>
  <r>
    <x v="119"/>
    <x v="4"/>
    <x v="7"/>
    <m/>
    <m/>
    <m/>
    <m/>
    <m/>
    <n v="0"/>
    <m/>
    <m/>
    <n v="0"/>
    <s v=""/>
    <n v="0"/>
    <n v="0"/>
    <n v="0"/>
    <n v="116.88487613461319"/>
    <n v="2225"/>
    <n v="71535.307499999995"/>
    <n v="0"/>
    <n v="0"/>
    <n v="0"/>
    <n v="0"/>
    <n v="0"/>
    <n v="0"/>
  </r>
  <r>
    <x v="120"/>
    <x v="4"/>
    <x v="7"/>
    <m/>
    <m/>
    <m/>
    <m/>
    <m/>
    <n v="0"/>
    <m/>
    <m/>
    <n v="0"/>
    <s v=""/>
    <n v="0"/>
    <n v="0"/>
    <n v="0"/>
    <n v="116.88487613461319"/>
    <n v="2225"/>
    <n v="71535.307499999995"/>
    <n v="0"/>
    <n v="0"/>
    <n v="0"/>
    <n v="0"/>
    <n v="0"/>
    <n v="0"/>
  </r>
  <r>
    <x v="121"/>
    <x v="4"/>
    <x v="7"/>
    <m/>
    <m/>
    <m/>
    <m/>
    <m/>
    <n v="0"/>
    <m/>
    <m/>
    <n v="0"/>
    <s v=""/>
    <n v="0"/>
    <n v="0"/>
    <n v="0"/>
    <n v="116.88487613461319"/>
    <n v="2225"/>
    <n v="71535.307499999995"/>
    <n v="0"/>
    <n v="0"/>
    <n v="0"/>
    <n v="0"/>
    <n v="0"/>
    <n v="0"/>
  </r>
  <r>
    <x v="122"/>
    <x v="4"/>
    <x v="7"/>
    <m/>
    <m/>
    <m/>
    <m/>
    <m/>
    <n v="0"/>
    <m/>
    <m/>
    <n v="0"/>
    <s v=""/>
    <n v="0"/>
    <n v="0"/>
    <n v="0"/>
    <n v="116.88487613461319"/>
    <n v="2225"/>
    <n v="71535.307499999995"/>
    <n v="0"/>
    <n v="0"/>
    <n v="0"/>
    <n v="0"/>
    <n v="0"/>
    <n v="0"/>
  </r>
  <r>
    <x v="123"/>
    <x v="4"/>
    <x v="7"/>
    <m/>
    <m/>
    <m/>
    <m/>
    <m/>
    <n v="0"/>
    <m/>
    <m/>
    <n v="0"/>
    <s v=""/>
    <n v="0"/>
    <n v="0"/>
    <n v="0"/>
    <n v="116.88487613461319"/>
    <n v="2225"/>
    <n v="71535.307499999995"/>
    <n v="0"/>
    <n v="0"/>
    <n v="0"/>
    <n v="0"/>
    <n v="0"/>
    <n v="0"/>
  </r>
  <r>
    <x v="124"/>
    <x v="4"/>
    <x v="7"/>
    <m/>
    <m/>
    <m/>
    <m/>
    <m/>
    <n v="0"/>
    <m/>
    <m/>
    <n v="0"/>
    <s v=""/>
    <n v="0"/>
    <n v="0"/>
    <n v="0"/>
    <n v="116.88487613461319"/>
    <n v="2225"/>
    <n v="71535.307499999995"/>
    <n v="0"/>
    <n v="0"/>
    <n v="0"/>
    <n v="0"/>
    <n v="0"/>
    <n v="0"/>
  </r>
  <r>
    <x v="125"/>
    <x v="4"/>
    <x v="7"/>
    <m/>
    <m/>
    <m/>
    <m/>
    <m/>
    <n v="0"/>
    <m/>
    <m/>
    <n v="0"/>
    <s v=""/>
    <n v="0"/>
    <n v="0"/>
    <n v="0"/>
    <n v="116.88487613461319"/>
    <n v="2225"/>
    <n v="71535.307499999995"/>
    <n v="0"/>
    <n v="0"/>
    <n v="0"/>
    <n v="0"/>
    <n v="0"/>
    <n v="0"/>
  </r>
  <r>
    <x v="126"/>
    <x v="4"/>
    <x v="7"/>
    <m/>
    <m/>
    <m/>
    <m/>
    <m/>
    <n v="0"/>
    <m/>
    <m/>
    <n v="0"/>
    <s v=""/>
    <n v="0"/>
    <n v="0"/>
    <n v="0"/>
    <n v="116.88487613461319"/>
    <n v="2225"/>
    <n v="71535.307499999995"/>
    <n v="0"/>
    <n v="0"/>
    <n v="0"/>
    <n v="0"/>
    <n v="0"/>
    <n v="0"/>
  </r>
  <r>
    <x v="127"/>
    <x v="4"/>
    <x v="7"/>
    <m/>
    <m/>
    <m/>
    <m/>
    <m/>
    <n v="0"/>
    <m/>
    <m/>
    <n v="0"/>
    <s v=""/>
    <n v="0"/>
    <n v="0"/>
    <n v="0"/>
    <n v="116.88487613461319"/>
    <n v="2225"/>
    <n v="71535.307499999995"/>
    <n v="0"/>
    <n v="0"/>
    <n v="0"/>
    <n v="0"/>
    <n v="0"/>
    <n v="0"/>
  </r>
  <r>
    <x v="0"/>
    <x v="5"/>
    <x v="0"/>
    <m/>
    <m/>
    <m/>
    <m/>
    <m/>
    <n v="0"/>
    <m/>
    <m/>
    <n v="0"/>
    <s v=""/>
    <n v="0"/>
    <n v="0"/>
    <n v="0"/>
    <n v="116.88487613461319"/>
    <n v="2225"/>
    <n v="71535.307499999995"/>
    <n v="0"/>
    <n v="0"/>
    <n v="0"/>
    <n v="0"/>
    <n v="0"/>
    <n v="0"/>
  </r>
  <r>
    <x v="1"/>
    <x v="5"/>
    <x v="0"/>
    <m/>
    <m/>
    <m/>
    <m/>
    <m/>
    <n v="0"/>
    <m/>
    <m/>
    <n v="0"/>
    <s v=""/>
    <n v="0"/>
    <n v="0"/>
    <n v="0"/>
    <n v="116.88487613461319"/>
    <n v="2225"/>
    <n v="71535.307499999995"/>
    <n v="0"/>
    <n v="0"/>
    <n v="0"/>
    <n v="0"/>
    <n v="0"/>
    <n v="0"/>
  </r>
  <r>
    <x v="2"/>
    <x v="5"/>
    <x v="0"/>
    <m/>
    <m/>
    <m/>
    <m/>
    <m/>
    <n v="0"/>
    <m/>
    <m/>
    <n v="0"/>
    <s v=""/>
    <n v="0"/>
    <n v="0"/>
    <n v="0"/>
    <n v="116.88487613461319"/>
    <n v="2225"/>
    <n v="71535.307499999995"/>
    <n v="0"/>
    <n v="0"/>
    <n v="0"/>
    <n v="0"/>
    <n v="0"/>
    <n v="0"/>
  </r>
  <r>
    <x v="3"/>
    <x v="5"/>
    <x v="0"/>
    <m/>
    <m/>
    <m/>
    <m/>
    <m/>
    <n v="0"/>
    <m/>
    <m/>
    <n v="0"/>
    <s v=""/>
    <n v="0"/>
    <n v="0"/>
    <n v="0"/>
    <n v="116.88487613461319"/>
    <n v="2225"/>
    <n v="71535.307499999995"/>
    <n v="0"/>
    <n v="0"/>
    <n v="0"/>
    <n v="0"/>
    <n v="0"/>
    <n v="0"/>
  </r>
  <r>
    <x v="4"/>
    <x v="5"/>
    <x v="1"/>
    <m/>
    <m/>
    <m/>
    <n v="4200"/>
    <n v="2.9"/>
    <n v="12.18"/>
    <n v="1643"/>
    <n v="1.2369255589036321"/>
    <n v="2.0322686932786675"/>
    <n v="-0.83314706951735085"/>
    <n v="-2557"/>
    <n v="-10.147731306721333"/>
    <n v="-46662.885592856794"/>
    <n v="116.88487613461319"/>
    <n v="2225"/>
    <n v="71535.307499999995"/>
    <n v="871300.04534999991"/>
    <n v="145378.96589631267"/>
    <n v="490916.47976537544"/>
    <n v="192041.85148916946"/>
    <n v="380383.56558462448"/>
    <n v="-46662.885592856794"/>
  </r>
  <r>
    <x v="5"/>
    <x v="5"/>
    <x v="1"/>
    <m/>
    <m/>
    <m/>
    <m/>
    <m/>
    <n v="0"/>
    <m/>
    <m/>
    <n v="0"/>
    <s v=""/>
    <n v="0"/>
    <n v="0"/>
    <n v="0"/>
    <n v="116.88487613461319"/>
    <n v="2225"/>
    <n v="71535.307499999995"/>
    <n v="0"/>
    <n v="0"/>
    <n v="0"/>
    <n v="0"/>
    <n v="0"/>
    <n v="0"/>
  </r>
  <r>
    <x v="6"/>
    <x v="5"/>
    <x v="1"/>
    <m/>
    <m/>
    <m/>
    <m/>
    <m/>
    <n v="0"/>
    <n v="1635.6000000000001"/>
    <n v="1.4707461371394124"/>
    <n v="2.4055523819052231"/>
    <s v=""/>
    <n v="1635.6000000000001"/>
    <n v="2.4055523819052231"/>
    <n v="-19094.974058825814"/>
    <n v="116.88487613461319"/>
    <n v="2225"/>
    <n v="71535.307499999995"/>
    <n v="0"/>
    <n v="172081.92934694755"/>
    <n v="0"/>
    <n v="191176.90340577337"/>
    <n v="0"/>
    <n v="-19094.974058825814"/>
  </r>
  <r>
    <x v="7"/>
    <x v="5"/>
    <x v="2"/>
    <m/>
    <m/>
    <m/>
    <m/>
    <m/>
    <n v="0"/>
    <m/>
    <m/>
    <n v="0"/>
    <s v=""/>
    <n v="0"/>
    <n v="0"/>
    <n v="0"/>
    <n v="116.88487613461319"/>
    <n v="2225"/>
    <n v="71535.307499999995"/>
    <n v="0"/>
    <n v="0"/>
    <n v="0"/>
    <n v="0"/>
    <n v="0"/>
    <n v="0"/>
  </r>
  <r>
    <x v="8"/>
    <x v="5"/>
    <x v="2"/>
    <m/>
    <m/>
    <m/>
    <m/>
    <m/>
    <n v="0"/>
    <m/>
    <m/>
    <n v="0"/>
    <s v=""/>
    <n v="0"/>
    <n v="0"/>
    <n v="0"/>
    <n v="116.88487613461319"/>
    <n v="2225"/>
    <n v="71535.307499999995"/>
    <n v="0"/>
    <n v="0"/>
    <n v="0"/>
    <n v="0"/>
    <n v="0"/>
    <n v="0"/>
  </r>
  <r>
    <x v="9"/>
    <x v="5"/>
    <x v="2"/>
    <m/>
    <m/>
    <m/>
    <m/>
    <m/>
    <n v="0"/>
    <m/>
    <m/>
    <n v="0"/>
    <s v=""/>
    <n v="0"/>
    <n v="0"/>
    <n v="0"/>
    <n v="116.88487613461319"/>
    <n v="2225"/>
    <n v="71535.307499999995"/>
    <n v="0"/>
    <n v="0"/>
    <n v="0"/>
    <n v="0"/>
    <n v="0"/>
    <n v="0"/>
  </r>
  <r>
    <x v="10"/>
    <x v="5"/>
    <x v="2"/>
    <m/>
    <m/>
    <m/>
    <m/>
    <m/>
    <n v="0"/>
    <m/>
    <m/>
    <n v="0"/>
    <s v=""/>
    <n v="0"/>
    <n v="0"/>
    <n v="0"/>
    <n v="116.88487613461319"/>
    <n v="2225"/>
    <n v="71535.307499999995"/>
    <n v="0"/>
    <n v="0"/>
    <n v="0"/>
    <n v="0"/>
    <n v="0"/>
    <n v="0"/>
  </r>
  <r>
    <x v="11"/>
    <x v="5"/>
    <x v="2"/>
    <m/>
    <m/>
    <m/>
    <m/>
    <m/>
    <n v="0"/>
    <m/>
    <m/>
    <n v="0"/>
    <s v=""/>
    <n v="0"/>
    <n v="0"/>
    <n v="0"/>
    <n v="116.88487613461319"/>
    <n v="2225"/>
    <n v="71535.307499999995"/>
    <n v="0"/>
    <n v="0"/>
    <n v="0"/>
    <n v="0"/>
    <n v="0"/>
    <n v="0"/>
  </r>
  <r>
    <x v="12"/>
    <x v="5"/>
    <x v="2"/>
    <m/>
    <m/>
    <m/>
    <m/>
    <m/>
    <n v="0"/>
    <m/>
    <m/>
    <n v="0"/>
    <s v=""/>
    <n v="0"/>
    <n v="0"/>
    <n v="0"/>
    <n v="116.88487613461319"/>
    <n v="2225"/>
    <n v="71535.307499999995"/>
    <n v="0"/>
    <n v="0"/>
    <n v="0"/>
    <n v="0"/>
    <n v="0"/>
    <n v="0"/>
  </r>
  <r>
    <x v="13"/>
    <x v="5"/>
    <x v="2"/>
    <m/>
    <m/>
    <m/>
    <m/>
    <m/>
    <n v="0"/>
    <m/>
    <m/>
    <n v="0"/>
    <s v=""/>
    <n v="0"/>
    <n v="0"/>
    <n v="0"/>
    <n v="116.88487613461319"/>
    <n v="2225"/>
    <n v="71535.307499999995"/>
    <n v="0"/>
    <n v="0"/>
    <n v="0"/>
    <n v="0"/>
    <n v="0"/>
    <n v="0"/>
  </r>
  <r>
    <x v="14"/>
    <x v="5"/>
    <x v="2"/>
    <m/>
    <m/>
    <m/>
    <m/>
    <m/>
    <n v="0"/>
    <m/>
    <m/>
    <n v="0"/>
    <s v=""/>
    <n v="0"/>
    <n v="0"/>
    <n v="0"/>
    <n v="116.88487613461319"/>
    <n v="2225"/>
    <n v="71535.307499999995"/>
    <n v="0"/>
    <n v="0"/>
    <n v="0"/>
    <n v="0"/>
    <n v="0"/>
    <n v="0"/>
  </r>
  <r>
    <x v="15"/>
    <x v="5"/>
    <x v="2"/>
    <m/>
    <m/>
    <m/>
    <m/>
    <m/>
    <n v="0"/>
    <m/>
    <m/>
    <n v="0"/>
    <s v=""/>
    <n v="0"/>
    <n v="0"/>
    <n v="0"/>
    <n v="116.88487613461319"/>
    <n v="2225"/>
    <n v="71535.307499999995"/>
    <n v="0"/>
    <n v="0"/>
    <n v="0"/>
    <n v="0"/>
    <n v="0"/>
    <n v="0"/>
  </r>
  <r>
    <x v="16"/>
    <x v="5"/>
    <x v="2"/>
    <m/>
    <m/>
    <m/>
    <m/>
    <m/>
    <n v="0"/>
    <m/>
    <m/>
    <n v="0"/>
    <s v=""/>
    <n v="0"/>
    <n v="0"/>
    <n v="0"/>
    <n v="116.88487613461319"/>
    <n v="2225"/>
    <n v="71535.307499999995"/>
    <n v="0"/>
    <n v="0"/>
    <n v="0"/>
    <n v="0"/>
    <n v="0"/>
    <n v="0"/>
  </r>
  <r>
    <x v="17"/>
    <x v="5"/>
    <x v="3"/>
    <m/>
    <m/>
    <m/>
    <m/>
    <m/>
    <n v="0"/>
    <m/>
    <m/>
    <n v="0"/>
    <s v=""/>
    <n v="0"/>
    <n v="0"/>
    <n v="0"/>
    <n v="116.88487613461319"/>
    <n v="2225"/>
    <n v="71535.307499999995"/>
    <n v="0"/>
    <n v="0"/>
    <n v="0"/>
    <n v="0"/>
    <n v="0"/>
    <n v="0"/>
  </r>
  <r>
    <x v="18"/>
    <x v="5"/>
    <x v="3"/>
    <m/>
    <m/>
    <m/>
    <m/>
    <m/>
    <n v="0"/>
    <m/>
    <m/>
    <n v="0"/>
    <s v=""/>
    <n v="0"/>
    <n v="0"/>
    <n v="0"/>
    <n v="116.88487613461319"/>
    <n v="2225"/>
    <n v="71535.307499999995"/>
    <n v="0"/>
    <n v="0"/>
    <n v="0"/>
    <n v="0"/>
    <n v="0"/>
    <n v="0"/>
  </r>
  <r>
    <x v="19"/>
    <x v="5"/>
    <x v="3"/>
    <m/>
    <m/>
    <m/>
    <m/>
    <m/>
    <n v="0"/>
    <m/>
    <m/>
    <n v="0"/>
    <s v=""/>
    <n v="0"/>
    <n v="0"/>
    <n v="0"/>
    <n v="116.88487613461319"/>
    <n v="2225"/>
    <n v="71535.307499999995"/>
    <n v="0"/>
    <n v="0"/>
    <n v="0"/>
    <n v="0"/>
    <n v="0"/>
    <n v="0"/>
  </r>
  <r>
    <x v="20"/>
    <x v="5"/>
    <x v="3"/>
    <m/>
    <m/>
    <m/>
    <m/>
    <m/>
    <n v="0"/>
    <m/>
    <m/>
    <n v="0"/>
    <s v=""/>
    <n v="0"/>
    <n v="0"/>
    <n v="0"/>
    <n v="116.88487613461319"/>
    <n v="2225"/>
    <n v="71535.307499999995"/>
    <n v="0"/>
    <n v="0"/>
    <n v="0"/>
    <n v="0"/>
    <n v="0"/>
    <n v="0"/>
  </r>
  <r>
    <x v="21"/>
    <x v="5"/>
    <x v="3"/>
    <m/>
    <m/>
    <m/>
    <n v="1050"/>
    <n v="1.5200000000000009"/>
    <n v="1.596000000000001"/>
    <m/>
    <m/>
    <n v="0"/>
    <n v="-1"/>
    <n v="-1050"/>
    <n v="-1.596000000000001"/>
    <n v="0"/>
    <n v="116.88487613461319"/>
    <n v="2225"/>
    <n v="71535.307499999995"/>
    <n v="114170.35077000006"/>
    <n v="0"/>
    <n v="122729.11994134386"/>
    <n v="0"/>
    <n v="-8558.7691713437962"/>
    <n v="0"/>
  </r>
  <r>
    <x v="22"/>
    <x v="5"/>
    <x v="3"/>
    <m/>
    <m/>
    <m/>
    <m/>
    <m/>
    <n v="0"/>
    <m/>
    <m/>
    <n v="0"/>
    <s v=""/>
    <n v="0"/>
    <n v="0"/>
    <n v="0"/>
    <n v="116.88487613461319"/>
    <n v="2225"/>
    <n v="71535.307499999995"/>
    <n v="0"/>
    <n v="0"/>
    <n v="0"/>
    <n v="0"/>
    <n v="0"/>
    <n v="0"/>
  </r>
  <r>
    <x v="23"/>
    <x v="5"/>
    <x v="3"/>
    <m/>
    <m/>
    <m/>
    <n v="2100"/>
    <n v="2.23"/>
    <n v="4.6829999999999998"/>
    <m/>
    <m/>
    <n v="0"/>
    <n v="-1"/>
    <n v="-2100"/>
    <n v="-4.6829999999999998"/>
    <n v="0"/>
    <n v="116.88487613461319"/>
    <n v="2225"/>
    <n v="71535.307499999995"/>
    <n v="334999.84502249997"/>
    <n v="0"/>
    <n v="245458.23988268772"/>
    <n v="0"/>
    <n v="89541.605139812251"/>
    <n v="0"/>
  </r>
  <r>
    <x v="24"/>
    <x v="5"/>
    <x v="3"/>
    <m/>
    <m/>
    <m/>
    <m/>
    <m/>
    <n v="0"/>
    <n v="66"/>
    <n v="2.061818181818182"/>
    <n v="0.13608000000000001"/>
    <s v=""/>
    <n v="66"/>
    <n v="0.13608000000000001"/>
    <n v="2020.1228197155297"/>
    <n v="116.88487613461319"/>
    <n v="2225"/>
    <n v="71535.307499999995"/>
    <n v="0"/>
    <n v="9734.5246446000001"/>
    <n v="0"/>
    <n v="7714.4018248844704"/>
    <n v="0"/>
    <n v="2020.1228197155297"/>
  </r>
  <r>
    <x v="25"/>
    <x v="5"/>
    <x v="3"/>
    <m/>
    <m/>
    <m/>
    <m/>
    <m/>
    <n v="0"/>
    <m/>
    <m/>
    <n v="0"/>
    <s v=""/>
    <n v="0"/>
    <n v="0"/>
    <n v="0"/>
    <n v="116.88487613461319"/>
    <n v="2225"/>
    <n v="71535.307499999995"/>
    <n v="0"/>
    <n v="0"/>
    <n v="0"/>
    <n v="0"/>
    <n v="0"/>
    <n v="0"/>
  </r>
  <r>
    <x v="26"/>
    <x v="5"/>
    <x v="3"/>
    <m/>
    <m/>
    <m/>
    <m/>
    <m/>
    <n v="0"/>
    <n v="108"/>
    <n v="1.0472409231488971"/>
    <n v="0.11310201970008089"/>
    <s v=""/>
    <n v="108"/>
    <n v="0.11310201970008089"/>
    <n v="-4532.7788644218808"/>
    <n v="116.88487613461319"/>
    <n v="2225"/>
    <n v="71535.307499999995"/>
    <n v="0"/>
    <n v="8090.7877581163439"/>
    <n v="0"/>
    <n v="12623.566622538225"/>
    <n v="0"/>
    <n v="-4532.7788644218808"/>
  </r>
  <r>
    <x v="27"/>
    <x v="5"/>
    <x v="3"/>
    <m/>
    <m/>
    <m/>
    <m/>
    <m/>
    <n v="0"/>
    <m/>
    <m/>
    <n v="0"/>
    <s v=""/>
    <n v="0"/>
    <n v="0"/>
    <n v="0"/>
    <n v="116.88487613461319"/>
    <n v="2225"/>
    <n v="71535.307499999995"/>
    <n v="0"/>
    <n v="0"/>
    <n v="0"/>
    <n v="0"/>
    <n v="0"/>
    <n v="0"/>
  </r>
  <r>
    <x v="28"/>
    <x v="5"/>
    <x v="3"/>
    <m/>
    <m/>
    <m/>
    <n v="1050"/>
    <n v="1.9700000000000009"/>
    <n v="2.0685000000000011"/>
    <n v="846"/>
    <n v="1.5525913395417199"/>
    <n v="1.3134922732522951"/>
    <n v="-0.36500252682992779"/>
    <n v="-204"/>
    <n v="-0.755007726747706"/>
    <n v="-4923.5315439058177"/>
    <n v="116.88487613461319"/>
    <n v="2225"/>
    <n v="71535.307499999995"/>
    <n v="147970.78356375007"/>
    <n v="93961.073665976946"/>
    <n v="122729.11994134386"/>
    <n v="98884.605209882764"/>
    <n v="25241.663622406209"/>
    <n v="-4923.5315439058177"/>
  </r>
  <r>
    <x v="29"/>
    <x v="5"/>
    <x v="3"/>
    <m/>
    <m/>
    <m/>
    <n v="2100"/>
    <n v="2.1800000000000002"/>
    <n v="4.5780000000000003"/>
    <n v="746.8"/>
    <n v="1.4487568701195914"/>
    <n v="1.0819316306053108"/>
    <n v="-0.76366718422776081"/>
    <n v="-1353.2"/>
    <n v="-3.4960683693946892"/>
    <n v="-9893.3136080018012"/>
    <n v="116.88487613461319"/>
    <n v="2225"/>
    <n v="71535.307499999995"/>
    <n v="327488.637735"/>
    <n v="77396.31188932732"/>
    <n v="245458.23988268772"/>
    <n v="87289.625497329122"/>
    <n v="82030.397852312279"/>
    <n v="-9893.3136080018012"/>
  </r>
  <r>
    <x v="30"/>
    <x v="5"/>
    <x v="3"/>
    <m/>
    <m/>
    <m/>
    <m/>
    <m/>
    <n v="0"/>
    <m/>
    <m/>
    <n v="0"/>
    <s v=""/>
    <n v="0"/>
    <n v="0"/>
    <n v="0"/>
    <n v="116.88487613461319"/>
    <n v="2225"/>
    <n v="71535.307499999995"/>
    <n v="0"/>
    <n v="0"/>
    <n v="0"/>
    <n v="0"/>
    <n v="0"/>
    <n v="0"/>
  </r>
  <r>
    <x v="31"/>
    <x v="5"/>
    <x v="3"/>
    <m/>
    <m/>
    <m/>
    <m/>
    <m/>
    <n v="0"/>
    <n v="2100.3999999999996"/>
    <n v="2.0633848980057983"/>
    <n v="4.3339336397713781"/>
    <s v=""/>
    <n v="2100.3999999999996"/>
    <n v="4.3339336397713781"/>
    <n v="64524.281772498216"/>
    <n v="116.88487613461319"/>
    <n v="2225"/>
    <n v="71535.307499999995"/>
    <n v="0"/>
    <n v="310029.27560563973"/>
    <n v="0"/>
    <n v="245504.99383314152"/>
    <n v="0"/>
    <n v="64524.281772498216"/>
  </r>
  <r>
    <x v="32"/>
    <x v="5"/>
    <x v="3"/>
    <m/>
    <m/>
    <m/>
    <n v="2100"/>
    <n v="1.8"/>
    <n v="3.78"/>
    <n v="351.6"/>
    <n v="1.6873037542662117"/>
    <n v="0.59325600000000012"/>
    <n v="-0.84305396825396817"/>
    <n v="-1748.4"/>
    <n v="-3.1867439999999996"/>
    <n v="1342.027937290004"/>
    <n v="116.88487613461319"/>
    <n v="2225"/>
    <n v="71535.307499999995"/>
    <n v="270403.46234999999"/>
    <n v="42438.750386220003"/>
    <n v="245458.23988268772"/>
    <n v="41096.722448929999"/>
    <n v="24945.222467312269"/>
    <n v="1342.027937290004"/>
  </r>
  <r>
    <x v="33"/>
    <x v="5"/>
    <x v="3"/>
    <m/>
    <m/>
    <m/>
    <n v="2100"/>
    <n v="1.8799999999999992"/>
    <n v="3.9479999999999982"/>
    <m/>
    <m/>
    <n v="0"/>
    <n v="-1"/>
    <n v="-2100"/>
    <n v="-3.9479999999999982"/>
    <n v="0"/>
    <n v="116.88487613461319"/>
    <n v="2225"/>
    <n v="71535.307499999995"/>
    <n v="282421.39400999987"/>
    <n v="0"/>
    <n v="245458.23988268772"/>
    <n v="0"/>
    <n v="36963.154127312155"/>
    <n v="0"/>
  </r>
  <r>
    <x v="34"/>
    <x v="5"/>
    <x v="3"/>
    <m/>
    <m/>
    <m/>
    <n v="4200"/>
    <n v="2.3400000000000012"/>
    <n v="9.8280000000000047"/>
    <n v="2715.6"/>
    <n v="1.6474812196199735"/>
    <n v="4.4738999999999995"/>
    <n v="-0.54478021978022007"/>
    <n v="-1484.4"/>
    <n v="-5.3541000000000052"/>
    <n v="2629.2425930943573"/>
    <n v="116.88487613461319"/>
    <n v="2225"/>
    <n v="71535.307499999995"/>
    <n v="703049.00211000035"/>
    <n v="320041.81222424994"/>
    <n v="490916.47976537544"/>
    <n v="317412.56963115558"/>
    <n v="212132.52234462491"/>
    <n v="2629.2425930943573"/>
  </r>
  <r>
    <x v="35"/>
    <x v="5"/>
    <x v="3"/>
    <m/>
    <m/>
    <m/>
    <n v="4200"/>
    <n v="2.8800000000000008"/>
    <n v="12.096000000000004"/>
    <n v="2508.8000000000002"/>
    <n v="2.0065481505102039"/>
    <n v="5.0340280000000002"/>
    <n v="-0.5838270502645504"/>
    <n v="-1691.1999999999998"/>
    <n v="-7.0619720000000035"/>
    <n v="66869.963697092375"/>
    <n v="116.88487613461319"/>
    <n v="2225"/>
    <n v="71535.307499999995"/>
    <n v="865291.07952000026"/>
    <n v="360110.74094360997"/>
    <n v="490916.47976537544"/>
    <n v="293240.77724651759"/>
    <n v="374374.59975462483"/>
    <n v="66869.963697092375"/>
  </r>
  <r>
    <x v="36"/>
    <x v="5"/>
    <x v="3"/>
    <m/>
    <m/>
    <m/>
    <m/>
    <m/>
    <n v="0"/>
    <m/>
    <m/>
    <n v="0"/>
    <s v=""/>
    <n v="0"/>
    <n v="0"/>
    <n v="0"/>
    <n v="116.88487613461319"/>
    <n v="2225"/>
    <n v="71535.307499999995"/>
    <n v="0"/>
    <n v="0"/>
    <n v="0"/>
    <n v="0"/>
    <n v="0"/>
    <n v="0"/>
  </r>
  <r>
    <x v="37"/>
    <x v="5"/>
    <x v="3"/>
    <m/>
    <m/>
    <m/>
    <m/>
    <m/>
    <n v="0"/>
    <n v="702.4"/>
    <n v="1.5485706150341685"/>
    <n v="1.0877159999999999"/>
    <s v=""/>
    <n v="702.4"/>
    <n v="1.0877159999999999"/>
    <n v="-4289.8384642823221"/>
    <n v="116.88487613461319"/>
    <n v="2225"/>
    <n v="71535.307499999995"/>
    <n v="0"/>
    <n v="77810.098532669988"/>
    <n v="0"/>
    <n v="82099.93699695231"/>
    <n v="0"/>
    <n v="-4289.8384642823221"/>
  </r>
  <r>
    <x v="38"/>
    <x v="5"/>
    <x v="3"/>
    <m/>
    <m/>
    <m/>
    <m/>
    <m/>
    <n v="0"/>
    <n v="610.79999999999995"/>
    <n v="2.5716502946954813"/>
    <n v="1.5707639999999998"/>
    <s v=""/>
    <n v="610.79999999999995"/>
    <n v="1.5707639999999998"/>
    <n v="40971.803406908235"/>
    <n v="116.88487613461319"/>
    <n v="2225"/>
    <n v="71535.307499999995"/>
    <n v="0"/>
    <n v="112365.08574992997"/>
    <n v="0"/>
    <n v="71393.28234302174"/>
    <n v="0"/>
    <n v="40971.803406908235"/>
  </r>
  <r>
    <x v="39"/>
    <x v="5"/>
    <x v="3"/>
    <m/>
    <m/>
    <m/>
    <m/>
    <m/>
    <n v="0"/>
    <m/>
    <m/>
    <n v="0"/>
    <s v=""/>
    <n v="0"/>
    <n v="0"/>
    <n v="0"/>
    <n v="116.88487613461319"/>
    <n v="2225"/>
    <n v="71535.307499999995"/>
    <n v="0"/>
    <n v="0"/>
    <n v="0"/>
    <n v="0"/>
    <n v="0"/>
    <n v="0"/>
  </r>
  <r>
    <x v="40"/>
    <x v="5"/>
    <x v="3"/>
    <m/>
    <m/>
    <m/>
    <m/>
    <m/>
    <n v="0"/>
    <m/>
    <m/>
    <n v="0"/>
    <s v=""/>
    <n v="0"/>
    <n v="0"/>
    <n v="0"/>
    <n v="116.88487613461319"/>
    <n v="2225"/>
    <n v="71535.307499999995"/>
    <n v="0"/>
    <n v="0"/>
    <n v="0"/>
    <n v="0"/>
    <n v="0"/>
    <n v="0"/>
  </r>
  <r>
    <x v="41"/>
    <x v="5"/>
    <x v="3"/>
    <m/>
    <m/>
    <m/>
    <m/>
    <m/>
    <n v="0"/>
    <m/>
    <m/>
    <n v="0"/>
    <s v=""/>
    <n v="0"/>
    <n v="0"/>
    <n v="0"/>
    <n v="116.88487613461319"/>
    <n v="2225"/>
    <n v="71535.307499999995"/>
    <n v="0"/>
    <n v="0"/>
    <n v="0"/>
    <n v="0"/>
    <n v="0"/>
    <n v="0"/>
  </r>
  <r>
    <x v="42"/>
    <x v="5"/>
    <x v="3"/>
    <m/>
    <m/>
    <m/>
    <m/>
    <m/>
    <n v="0"/>
    <m/>
    <m/>
    <n v="0"/>
    <s v=""/>
    <n v="0"/>
    <n v="0"/>
    <n v="0"/>
    <n v="116.88487613461319"/>
    <n v="2225"/>
    <n v="71535.307499999995"/>
    <n v="0"/>
    <n v="0"/>
    <n v="0"/>
    <n v="0"/>
    <n v="0"/>
    <n v="0"/>
  </r>
  <r>
    <x v="43"/>
    <x v="5"/>
    <x v="3"/>
    <m/>
    <m/>
    <m/>
    <m/>
    <m/>
    <n v="0"/>
    <m/>
    <m/>
    <n v="0"/>
    <s v=""/>
    <n v="0"/>
    <n v="0"/>
    <n v="0"/>
    <n v="116.88487613461319"/>
    <n v="2225"/>
    <n v="71535.307499999995"/>
    <n v="0"/>
    <n v="0"/>
    <n v="0"/>
    <n v="0"/>
    <n v="0"/>
    <n v="0"/>
  </r>
  <r>
    <x v="44"/>
    <x v="5"/>
    <x v="3"/>
    <m/>
    <m/>
    <m/>
    <m/>
    <m/>
    <n v="0"/>
    <m/>
    <m/>
    <n v="0"/>
    <s v=""/>
    <n v="0"/>
    <n v="0"/>
    <n v="0"/>
    <n v="116.88487613461319"/>
    <n v="2225"/>
    <n v="71535.307499999995"/>
    <n v="0"/>
    <n v="0"/>
    <n v="0"/>
    <n v="0"/>
    <n v="0"/>
    <n v="0"/>
  </r>
  <r>
    <x v="45"/>
    <x v="5"/>
    <x v="3"/>
    <m/>
    <m/>
    <m/>
    <m/>
    <m/>
    <n v="0"/>
    <m/>
    <m/>
    <n v="0"/>
    <s v=""/>
    <n v="0"/>
    <n v="0"/>
    <n v="0"/>
    <n v="116.88487613461319"/>
    <n v="2225"/>
    <n v="71535.307499999995"/>
    <n v="0"/>
    <n v="0"/>
    <n v="0"/>
    <n v="0"/>
    <n v="0"/>
    <n v="0"/>
  </r>
  <r>
    <x v="46"/>
    <x v="5"/>
    <x v="3"/>
    <m/>
    <m/>
    <m/>
    <m/>
    <m/>
    <m/>
    <m/>
    <m/>
    <m/>
    <m/>
    <m/>
    <m/>
    <m/>
    <m/>
    <m/>
    <m/>
    <m/>
    <m/>
    <m/>
    <m/>
    <m/>
    <m/>
  </r>
  <r>
    <x v="47"/>
    <x v="5"/>
    <x v="3"/>
    <m/>
    <m/>
    <m/>
    <m/>
    <m/>
    <m/>
    <m/>
    <m/>
    <m/>
    <m/>
    <m/>
    <m/>
    <m/>
    <m/>
    <m/>
    <m/>
    <m/>
    <m/>
    <m/>
    <m/>
    <m/>
    <m/>
  </r>
  <r>
    <x v="48"/>
    <x v="5"/>
    <x v="3"/>
    <m/>
    <m/>
    <m/>
    <m/>
    <m/>
    <m/>
    <m/>
    <m/>
    <m/>
    <m/>
    <m/>
    <m/>
    <m/>
    <m/>
    <m/>
    <m/>
    <m/>
    <m/>
    <m/>
    <m/>
    <m/>
    <m/>
  </r>
  <r>
    <x v="49"/>
    <x v="5"/>
    <x v="3"/>
    <m/>
    <m/>
    <m/>
    <m/>
    <m/>
    <n v="0"/>
    <m/>
    <m/>
    <n v="0"/>
    <s v=""/>
    <n v="0"/>
    <n v="0"/>
    <n v="0"/>
    <n v="116.88487613461319"/>
    <n v="2225"/>
    <n v="71535.307499999995"/>
    <n v="0"/>
    <n v="0"/>
    <n v="0"/>
    <n v="0"/>
    <n v="0"/>
    <n v="0"/>
  </r>
  <r>
    <x v="50"/>
    <x v="5"/>
    <x v="4"/>
    <m/>
    <m/>
    <m/>
    <m/>
    <m/>
    <n v="0"/>
    <n v="369.78"/>
    <n v="1.2369255589036321"/>
    <n v="0.45739033317138506"/>
    <s v=""/>
    <n v="369.78"/>
    <n v="0.45739033317138506"/>
    <n v="-10502.131366114783"/>
    <n v="116.88487613461319"/>
    <n v="2225"/>
    <n v="71535.307499999995"/>
    <n v="0"/>
    <n v="32719.558130942478"/>
    <n v="0"/>
    <n v="43221.689497057261"/>
    <n v="0"/>
    <n v="-10502.131366114783"/>
  </r>
  <r>
    <x v="51"/>
    <x v="5"/>
    <x v="4"/>
    <m/>
    <m/>
    <m/>
    <m/>
    <m/>
    <n v="0"/>
    <m/>
    <m/>
    <n v="0"/>
    <s v=""/>
    <n v="0"/>
    <n v="0"/>
    <n v="0"/>
    <n v="116.88487613461319"/>
    <n v="2225"/>
    <n v="71535.307499999995"/>
    <n v="0"/>
    <n v="0"/>
    <n v="0"/>
    <n v="0"/>
    <n v="0"/>
    <n v="0"/>
  </r>
  <r>
    <x v="52"/>
    <x v="5"/>
    <x v="4"/>
    <m/>
    <m/>
    <m/>
    <m/>
    <m/>
    <n v="0"/>
    <m/>
    <m/>
    <n v="0"/>
    <s v=""/>
    <n v="0"/>
    <n v="0"/>
    <n v="0"/>
    <n v="116.88487613461319"/>
    <n v="2225"/>
    <n v="71535.307499999995"/>
    <n v="0"/>
    <n v="0"/>
    <n v="0"/>
    <n v="0"/>
    <n v="0"/>
    <n v="0"/>
  </r>
  <r>
    <x v="53"/>
    <x v="5"/>
    <x v="4"/>
    <m/>
    <m/>
    <m/>
    <m/>
    <m/>
    <n v="0"/>
    <m/>
    <m/>
    <n v="0"/>
    <s v=""/>
    <n v="0"/>
    <n v="0"/>
    <n v="0"/>
    <n v="116.88487613461319"/>
    <n v="2225"/>
    <n v="71535.307499999995"/>
    <n v="0"/>
    <n v="0"/>
    <n v="0"/>
    <n v="0"/>
    <n v="0"/>
    <n v="0"/>
  </r>
  <r>
    <x v="54"/>
    <x v="5"/>
    <x v="4"/>
    <m/>
    <m/>
    <m/>
    <m/>
    <m/>
    <n v="0"/>
    <m/>
    <m/>
    <n v="0"/>
    <s v=""/>
    <n v="0"/>
    <n v="0"/>
    <n v="0"/>
    <n v="116.88487613461319"/>
    <n v="2225"/>
    <n v="71535.307499999995"/>
    <n v="0"/>
    <n v="0"/>
    <n v="0"/>
    <n v="0"/>
    <n v="0"/>
    <n v="0"/>
  </r>
  <r>
    <x v="55"/>
    <x v="5"/>
    <x v="4"/>
    <m/>
    <m/>
    <m/>
    <m/>
    <m/>
    <n v="0"/>
    <m/>
    <m/>
    <n v="0"/>
    <s v=""/>
    <n v="0"/>
    <n v="0"/>
    <n v="0"/>
    <n v="116.88487613461319"/>
    <n v="2225"/>
    <n v="71535.307499999995"/>
    <n v="0"/>
    <n v="0"/>
    <n v="0"/>
    <n v="0"/>
    <n v="0"/>
    <n v="0"/>
  </r>
  <r>
    <x v="56"/>
    <x v="5"/>
    <x v="4"/>
    <m/>
    <m/>
    <m/>
    <m/>
    <m/>
    <n v="0"/>
    <m/>
    <m/>
    <n v="0"/>
    <s v=""/>
    <n v="0"/>
    <n v="0"/>
    <n v="0"/>
    <n v="116.88487613461319"/>
    <n v="2225"/>
    <n v="71535.307499999995"/>
    <n v="0"/>
    <n v="0"/>
    <n v="0"/>
    <n v="0"/>
    <n v="0"/>
    <n v="0"/>
  </r>
  <r>
    <x v="57"/>
    <x v="5"/>
    <x v="4"/>
    <m/>
    <m/>
    <m/>
    <m/>
    <m/>
    <n v="0"/>
    <m/>
    <m/>
    <n v="0"/>
    <s v=""/>
    <n v="0"/>
    <n v="0"/>
    <n v="0"/>
    <n v="116.88487613461319"/>
    <n v="2225"/>
    <n v="71535.307499999995"/>
    <n v="0"/>
    <n v="0"/>
    <n v="0"/>
    <n v="0"/>
    <n v="0"/>
    <n v="0"/>
  </r>
  <r>
    <x v="58"/>
    <x v="5"/>
    <x v="4"/>
    <m/>
    <m/>
    <m/>
    <m/>
    <m/>
    <n v="0"/>
    <m/>
    <m/>
    <n v="0"/>
    <s v=""/>
    <n v="0"/>
    <n v="0"/>
    <n v="0"/>
    <n v="116.88487613461319"/>
    <n v="2225"/>
    <n v="71535.307499999995"/>
    <n v="0"/>
    <n v="0"/>
    <n v="0"/>
    <n v="0"/>
    <n v="0"/>
    <n v="0"/>
  </r>
  <r>
    <x v="59"/>
    <x v="5"/>
    <x v="4"/>
    <m/>
    <m/>
    <m/>
    <m/>
    <m/>
    <n v="0"/>
    <m/>
    <m/>
    <n v="0"/>
    <s v=""/>
    <n v="0"/>
    <n v="0"/>
    <n v="0"/>
    <n v="116.88487613461319"/>
    <n v="2225"/>
    <n v="71535.307499999995"/>
    <n v="0"/>
    <n v="0"/>
    <n v="0"/>
    <n v="0"/>
    <n v="0"/>
    <n v="0"/>
  </r>
  <r>
    <x v="60"/>
    <x v="5"/>
    <x v="4"/>
    <m/>
    <m/>
    <m/>
    <m/>
    <m/>
    <n v="0"/>
    <m/>
    <m/>
    <n v="0"/>
    <s v=""/>
    <n v="0"/>
    <n v="0"/>
    <n v="0"/>
    <n v="116.88487613461319"/>
    <n v="2225"/>
    <n v="71535.307499999995"/>
    <n v="0"/>
    <n v="0"/>
    <n v="0"/>
    <n v="0"/>
    <n v="0"/>
    <n v="0"/>
  </r>
  <r>
    <x v="61"/>
    <x v="5"/>
    <x v="4"/>
    <m/>
    <m/>
    <m/>
    <m/>
    <m/>
    <n v="0"/>
    <m/>
    <m/>
    <n v="0"/>
    <s v=""/>
    <n v="0"/>
    <n v="0"/>
    <n v="0"/>
    <n v="116.88487613461319"/>
    <n v="2225"/>
    <n v="71535.307499999995"/>
    <n v="0"/>
    <n v="0"/>
    <n v="0"/>
    <n v="0"/>
    <n v="0"/>
    <n v="0"/>
  </r>
  <r>
    <x v="62"/>
    <x v="5"/>
    <x v="4"/>
    <m/>
    <m/>
    <m/>
    <m/>
    <m/>
    <n v="0"/>
    <m/>
    <m/>
    <n v="0"/>
    <s v=""/>
    <n v="0"/>
    <n v="0"/>
    <n v="0"/>
    <n v="116.88487613461319"/>
    <n v="2225"/>
    <n v="71535.307499999995"/>
    <n v="0"/>
    <n v="0"/>
    <n v="0"/>
    <n v="0"/>
    <n v="0"/>
    <n v="0"/>
  </r>
  <r>
    <x v="63"/>
    <x v="5"/>
    <x v="4"/>
    <m/>
    <m/>
    <m/>
    <m/>
    <m/>
    <n v="0"/>
    <m/>
    <m/>
    <n v="0"/>
    <s v=""/>
    <n v="0"/>
    <n v="0"/>
    <n v="0"/>
    <n v="116.88487613461319"/>
    <n v="2225"/>
    <n v="71535.307499999995"/>
    <n v="0"/>
    <n v="0"/>
    <n v="0"/>
    <n v="0"/>
    <n v="0"/>
    <n v="0"/>
  </r>
  <r>
    <x v="64"/>
    <x v="5"/>
    <x v="4"/>
    <m/>
    <m/>
    <m/>
    <m/>
    <m/>
    <n v="0"/>
    <m/>
    <m/>
    <n v="0"/>
    <s v=""/>
    <n v="0"/>
    <n v="0"/>
    <n v="0"/>
    <n v="116.88487613461319"/>
    <n v="2225"/>
    <n v="71535.307499999995"/>
    <n v="0"/>
    <n v="0"/>
    <n v="0"/>
    <n v="0"/>
    <n v="0"/>
    <n v="0"/>
  </r>
  <r>
    <x v="65"/>
    <x v="5"/>
    <x v="4"/>
    <m/>
    <m/>
    <m/>
    <m/>
    <m/>
    <n v="0"/>
    <m/>
    <m/>
    <n v="0"/>
    <s v=""/>
    <n v="0"/>
    <n v="0"/>
    <n v="0"/>
    <n v="116.88487613461319"/>
    <n v="2225"/>
    <n v="71535.307499999995"/>
    <n v="0"/>
    <n v="0"/>
    <n v="0"/>
    <n v="0"/>
    <n v="0"/>
    <n v="0"/>
  </r>
  <r>
    <x v="66"/>
    <x v="5"/>
    <x v="4"/>
    <m/>
    <m/>
    <m/>
    <m/>
    <m/>
    <n v="0"/>
    <m/>
    <m/>
    <n v="0"/>
    <s v=""/>
    <n v="0"/>
    <n v="0"/>
    <n v="0"/>
    <n v="116.88487613461319"/>
    <n v="2225"/>
    <n v="71535.307499999995"/>
    <n v="0"/>
    <n v="0"/>
    <n v="0"/>
    <n v="0"/>
    <n v="0"/>
    <n v="0"/>
  </r>
  <r>
    <x v="67"/>
    <x v="5"/>
    <x v="4"/>
    <m/>
    <m/>
    <m/>
    <m/>
    <m/>
    <n v="0"/>
    <m/>
    <m/>
    <n v="0"/>
    <s v=""/>
    <n v="0"/>
    <n v="0"/>
    <n v="0"/>
    <n v="116.88487613461319"/>
    <n v="2225"/>
    <n v="71535.307499999995"/>
    <n v="0"/>
    <n v="0"/>
    <n v="0"/>
    <n v="0"/>
    <n v="0"/>
    <n v="0"/>
  </r>
  <r>
    <x v="68"/>
    <x v="5"/>
    <x v="4"/>
    <m/>
    <m/>
    <m/>
    <m/>
    <m/>
    <n v="0"/>
    <m/>
    <m/>
    <n v="0"/>
    <s v=""/>
    <n v="0"/>
    <n v="0"/>
    <n v="0"/>
    <n v="116.88487613461319"/>
    <n v="2225"/>
    <n v="71535.307499999995"/>
    <n v="0"/>
    <n v="0"/>
    <n v="0"/>
    <n v="0"/>
    <n v="0"/>
    <n v="0"/>
  </r>
  <r>
    <x v="69"/>
    <x v="5"/>
    <x v="4"/>
    <m/>
    <m/>
    <m/>
    <m/>
    <m/>
    <n v="0"/>
    <m/>
    <m/>
    <n v="0"/>
    <s v=""/>
    <n v="0"/>
    <n v="0"/>
    <n v="0"/>
    <n v="116.88487613461319"/>
    <n v="2225"/>
    <n v="71535.307499999995"/>
    <n v="0"/>
    <n v="0"/>
    <n v="0"/>
    <n v="0"/>
    <n v="0"/>
    <n v="0"/>
  </r>
  <r>
    <x v="70"/>
    <x v="5"/>
    <x v="5"/>
    <m/>
    <m/>
    <m/>
    <m/>
    <m/>
    <n v="0"/>
    <m/>
    <m/>
    <n v="0"/>
    <s v=""/>
    <n v="0"/>
    <n v="0"/>
    <n v="0"/>
    <n v="116.88487613461319"/>
    <n v="2225"/>
    <n v="71535.307499999995"/>
    <n v="0"/>
    <n v="0"/>
    <n v="0"/>
    <n v="0"/>
    <n v="0"/>
    <n v="0"/>
  </r>
  <r>
    <x v="71"/>
    <x v="5"/>
    <x v="5"/>
    <m/>
    <m/>
    <m/>
    <m/>
    <m/>
    <n v="0"/>
    <m/>
    <m/>
    <n v="0"/>
    <s v=""/>
    <n v="0"/>
    <n v="0"/>
    <n v="0"/>
    <n v="116.88487613461319"/>
    <n v="2225"/>
    <n v="71535.307499999995"/>
    <n v="0"/>
    <n v="0"/>
    <n v="0"/>
    <n v="0"/>
    <n v="0"/>
    <n v="0"/>
  </r>
  <r>
    <x v="72"/>
    <x v="5"/>
    <x v="5"/>
    <m/>
    <m/>
    <m/>
    <m/>
    <m/>
    <m/>
    <m/>
    <m/>
    <m/>
    <m/>
    <m/>
    <m/>
    <m/>
    <m/>
    <m/>
    <m/>
    <m/>
    <m/>
    <m/>
    <m/>
    <m/>
    <m/>
  </r>
  <r>
    <x v="73"/>
    <x v="5"/>
    <x v="5"/>
    <m/>
    <m/>
    <m/>
    <m/>
    <m/>
    <m/>
    <m/>
    <m/>
    <m/>
    <m/>
    <m/>
    <m/>
    <m/>
    <m/>
    <m/>
    <m/>
    <m/>
    <m/>
    <m/>
    <m/>
    <m/>
    <m/>
  </r>
  <r>
    <x v="74"/>
    <x v="5"/>
    <x v="5"/>
    <m/>
    <m/>
    <m/>
    <m/>
    <m/>
    <m/>
    <m/>
    <m/>
    <m/>
    <m/>
    <m/>
    <m/>
    <m/>
    <m/>
    <m/>
    <m/>
    <m/>
    <m/>
    <m/>
    <m/>
    <m/>
    <m/>
  </r>
  <r>
    <x v="75"/>
    <x v="5"/>
    <x v="5"/>
    <m/>
    <m/>
    <m/>
    <m/>
    <m/>
    <n v="0"/>
    <m/>
    <m/>
    <n v="0"/>
    <s v=""/>
    <n v="0"/>
    <n v="0"/>
    <n v="0"/>
    <n v="116.88487613461319"/>
    <n v="2225"/>
    <n v="71535.307499999995"/>
    <n v="0"/>
    <n v="0"/>
    <n v="0"/>
    <n v="0"/>
    <n v="0"/>
    <n v="0"/>
  </r>
  <r>
    <x v="76"/>
    <x v="5"/>
    <x v="5"/>
    <m/>
    <m/>
    <m/>
    <m/>
    <m/>
    <m/>
    <m/>
    <m/>
    <m/>
    <m/>
    <m/>
    <m/>
    <m/>
    <m/>
    <m/>
    <m/>
    <m/>
    <m/>
    <m/>
    <m/>
    <m/>
    <m/>
  </r>
  <r>
    <x v="77"/>
    <x v="5"/>
    <x v="5"/>
    <m/>
    <m/>
    <m/>
    <m/>
    <m/>
    <n v="0"/>
    <m/>
    <m/>
    <n v="0"/>
    <s v=""/>
    <n v="0"/>
    <n v="0"/>
    <n v="0"/>
    <n v="116.88487613461319"/>
    <n v="2225"/>
    <n v="71535.307499999995"/>
    <n v="0"/>
    <n v="0"/>
    <n v="0"/>
    <n v="0"/>
    <n v="0"/>
    <n v="0"/>
  </r>
  <r>
    <x v="78"/>
    <x v="5"/>
    <x v="5"/>
    <m/>
    <m/>
    <m/>
    <m/>
    <m/>
    <n v="0"/>
    <m/>
    <m/>
    <n v="0"/>
    <s v=""/>
    <n v="0"/>
    <n v="0"/>
    <n v="0"/>
    <n v="116.88487613461319"/>
    <n v="2225"/>
    <n v="71535.307499999995"/>
    <n v="0"/>
    <n v="0"/>
    <n v="0"/>
    <n v="0"/>
    <n v="0"/>
    <n v="0"/>
  </r>
  <r>
    <x v="79"/>
    <x v="5"/>
    <x v="5"/>
    <m/>
    <m/>
    <m/>
    <m/>
    <m/>
    <n v="0"/>
    <m/>
    <m/>
    <n v="0"/>
    <s v=""/>
    <n v="0"/>
    <n v="0"/>
    <n v="0"/>
    <n v="116.88487613461319"/>
    <n v="2225"/>
    <n v="71535.307499999995"/>
    <n v="0"/>
    <n v="0"/>
    <n v="0"/>
    <n v="0"/>
    <n v="0"/>
    <n v="0"/>
  </r>
  <r>
    <x v="80"/>
    <x v="5"/>
    <x v="5"/>
    <m/>
    <m/>
    <m/>
    <m/>
    <m/>
    <n v="0"/>
    <m/>
    <m/>
    <n v="0"/>
    <s v=""/>
    <n v="0"/>
    <n v="0"/>
    <n v="0"/>
    <n v="116.88487613461319"/>
    <n v="2225"/>
    <n v="71535.307499999995"/>
    <n v="0"/>
    <n v="0"/>
    <n v="0"/>
    <n v="0"/>
    <n v="0"/>
    <n v="0"/>
  </r>
  <r>
    <x v="81"/>
    <x v="5"/>
    <x v="5"/>
    <m/>
    <m/>
    <m/>
    <m/>
    <m/>
    <n v="0"/>
    <m/>
    <m/>
    <n v="0"/>
    <s v=""/>
    <n v="0"/>
    <n v="0"/>
    <n v="0"/>
    <n v="116.88487613461319"/>
    <n v="2225"/>
    <n v="71535.307499999995"/>
    <n v="0"/>
    <n v="0"/>
    <n v="0"/>
    <n v="0"/>
    <n v="0"/>
    <n v="0"/>
  </r>
  <r>
    <x v="82"/>
    <x v="5"/>
    <x v="5"/>
    <m/>
    <m/>
    <m/>
    <m/>
    <m/>
    <n v="0"/>
    <m/>
    <m/>
    <n v="0"/>
    <s v=""/>
    <n v="0"/>
    <n v="0"/>
    <n v="0"/>
    <n v="116.88487613461319"/>
    <n v="2225"/>
    <n v="71535.307499999995"/>
    <n v="0"/>
    <n v="0"/>
    <n v="0"/>
    <n v="0"/>
    <n v="0"/>
    <n v="0"/>
  </r>
  <r>
    <x v="83"/>
    <x v="5"/>
    <x v="5"/>
    <m/>
    <m/>
    <m/>
    <m/>
    <m/>
    <n v="0"/>
    <m/>
    <m/>
    <n v="0"/>
    <s v=""/>
    <n v="0"/>
    <n v="0"/>
    <n v="0"/>
    <n v="116.88487613461319"/>
    <n v="2225"/>
    <n v="71535.307499999995"/>
    <n v="0"/>
    <n v="0"/>
    <n v="0"/>
    <n v="0"/>
    <n v="0"/>
    <n v="0"/>
  </r>
  <r>
    <x v="84"/>
    <x v="5"/>
    <x v="5"/>
    <m/>
    <m/>
    <m/>
    <m/>
    <m/>
    <n v="0"/>
    <m/>
    <m/>
    <n v="0"/>
    <s v=""/>
    <n v="0"/>
    <n v="0"/>
    <n v="0"/>
    <n v="116.88487613461319"/>
    <n v="2225"/>
    <n v="71535.307499999995"/>
    <n v="0"/>
    <n v="0"/>
    <n v="0"/>
    <n v="0"/>
    <n v="0"/>
    <n v="0"/>
  </r>
  <r>
    <x v="85"/>
    <x v="5"/>
    <x v="5"/>
    <m/>
    <m/>
    <m/>
    <m/>
    <m/>
    <n v="0"/>
    <m/>
    <m/>
    <n v="0"/>
    <s v=""/>
    <n v="0"/>
    <n v="0"/>
    <n v="0"/>
    <n v="116.88487613461319"/>
    <n v="2225"/>
    <n v="71535.307499999995"/>
    <n v="0"/>
    <n v="0"/>
    <n v="0"/>
    <n v="0"/>
    <n v="0"/>
    <n v="0"/>
  </r>
  <r>
    <x v="86"/>
    <x v="5"/>
    <x v="5"/>
    <m/>
    <m/>
    <m/>
    <m/>
    <m/>
    <n v="0"/>
    <m/>
    <m/>
    <n v="0"/>
    <s v=""/>
    <n v="0"/>
    <n v="0"/>
    <n v="0"/>
    <n v="116.88487613461319"/>
    <n v="2225"/>
    <n v="71535.307499999995"/>
    <n v="0"/>
    <n v="0"/>
    <n v="0"/>
    <n v="0"/>
    <n v="0"/>
    <n v="0"/>
  </r>
  <r>
    <x v="87"/>
    <x v="5"/>
    <x v="5"/>
    <m/>
    <m/>
    <m/>
    <m/>
    <m/>
    <n v="0"/>
    <m/>
    <m/>
    <n v="0"/>
    <s v=""/>
    <n v="0"/>
    <n v="0"/>
    <n v="0"/>
    <n v="116.88487613461319"/>
    <n v="2225"/>
    <n v="71535.307499999995"/>
    <n v="0"/>
    <n v="0"/>
    <n v="0"/>
    <n v="0"/>
    <n v="0"/>
    <n v="0"/>
  </r>
  <r>
    <x v="88"/>
    <x v="5"/>
    <x v="5"/>
    <m/>
    <m/>
    <m/>
    <m/>
    <m/>
    <n v="0"/>
    <m/>
    <m/>
    <n v="0"/>
    <s v=""/>
    <n v="0"/>
    <n v="0"/>
    <n v="0"/>
    <n v="116.88487613461319"/>
    <n v="2225"/>
    <n v="71535.307499999995"/>
    <n v="0"/>
    <n v="0"/>
    <n v="0"/>
    <n v="0"/>
    <n v="0"/>
    <n v="0"/>
  </r>
  <r>
    <x v="89"/>
    <x v="5"/>
    <x v="5"/>
    <m/>
    <m/>
    <m/>
    <m/>
    <m/>
    <n v="0"/>
    <m/>
    <m/>
    <n v="0"/>
    <s v=""/>
    <n v="0"/>
    <n v="0"/>
    <n v="0"/>
    <n v="116.88487613461319"/>
    <n v="2225"/>
    <n v="71535.307499999995"/>
    <n v="0"/>
    <n v="0"/>
    <n v="0"/>
    <n v="0"/>
    <n v="0"/>
    <n v="0"/>
  </r>
  <r>
    <x v="90"/>
    <x v="5"/>
    <x v="5"/>
    <m/>
    <m/>
    <m/>
    <m/>
    <m/>
    <n v="0"/>
    <m/>
    <m/>
    <n v="0"/>
    <s v=""/>
    <n v="0"/>
    <n v="0"/>
    <n v="0"/>
    <n v="116.88487613461319"/>
    <n v="2225"/>
    <n v="71535.307499999995"/>
    <n v="0"/>
    <n v="0"/>
    <n v="0"/>
    <n v="0"/>
    <n v="0"/>
    <n v="0"/>
  </r>
  <r>
    <x v="91"/>
    <x v="5"/>
    <x v="5"/>
    <m/>
    <m/>
    <m/>
    <m/>
    <m/>
    <n v="0"/>
    <m/>
    <m/>
    <n v="0"/>
    <s v=""/>
    <n v="0"/>
    <n v="0"/>
    <n v="0"/>
    <n v="116.88487613461319"/>
    <n v="2225"/>
    <n v="71535.307499999995"/>
    <n v="0"/>
    <n v="0"/>
    <n v="0"/>
    <n v="0"/>
    <n v="0"/>
    <n v="0"/>
  </r>
  <r>
    <x v="92"/>
    <x v="5"/>
    <x v="5"/>
    <m/>
    <m/>
    <m/>
    <m/>
    <m/>
    <n v="0"/>
    <m/>
    <m/>
    <n v="0"/>
    <s v=""/>
    <n v="0"/>
    <n v="0"/>
    <n v="0"/>
    <n v="116.88487613461319"/>
    <n v="2225"/>
    <n v="71535.307499999995"/>
    <n v="0"/>
    <n v="0"/>
    <n v="0"/>
    <n v="0"/>
    <n v="0"/>
    <n v="0"/>
  </r>
  <r>
    <x v="93"/>
    <x v="5"/>
    <x v="5"/>
    <m/>
    <m/>
    <m/>
    <m/>
    <m/>
    <n v="0"/>
    <m/>
    <m/>
    <n v="0"/>
    <s v=""/>
    <n v="0"/>
    <n v="0"/>
    <n v="0"/>
    <n v="116.88487613461319"/>
    <n v="2225"/>
    <n v="71535.307499999995"/>
    <n v="0"/>
    <n v="0"/>
    <n v="0"/>
    <n v="0"/>
    <n v="0"/>
    <n v="0"/>
  </r>
  <r>
    <x v="94"/>
    <x v="5"/>
    <x v="5"/>
    <m/>
    <m/>
    <m/>
    <m/>
    <m/>
    <n v="0"/>
    <m/>
    <m/>
    <n v="0"/>
    <s v=""/>
    <n v="0"/>
    <n v="0"/>
    <n v="0"/>
    <n v="116.88487613461319"/>
    <n v="2225"/>
    <n v="71535.307499999995"/>
    <n v="0"/>
    <n v="0"/>
    <n v="0"/>
    <n v="0"/>
    <n v="0"/>
    <n v="0"/>
  </r>
  <r>
    <x v="95"/>
    <x v="5"/>
    <x v="5"/>
    <m/>
    <m/>
    <m/>
    <m/>
    <m/>
    <n v="0"/>
    <m/>
    <m/>
    <n v="0"/>
    <s v=""/>
    <n v="0"/>
    <n v="0"/>
    <n v="0"/>
    <n v="116.88487613461319"/>
    <n v="2225"/>
    <n v="71535.307499999995"/>
    <n v="0"/>
    <n v="0"/>
    <n v="0"/>
    <n v="0"/>
    <n v="0"/>
    <n v="0"/>
  </r>
  <r>
    <x v="96"/>
    <x v="5"/>
    <x v="5"/>
    <m/>
    <m/>
    <m/>
    <m/>
    <m/>
    <n v="0"/>
    <m/>
    <m/>
    <n v="0"/>
    <s v=""/>
    <n v="0"/>
    <n v="0"/>
    <n v="0"/>
    <n v="116.88487613461319"/>
    <n v="2225"/>
    <n v="71535.307499999995"/>
    <n v="0"/>
    <n v="0"/>
    <n v="0"/>
    <n v="0"/>
    <n v="0"/>
    <n v="0"/>
  </r>
  <r>
    <x v="97"/>
    <x v="5"/>
    <x v="5"/>
    <m/>
    <m/>
    <m/>
    <m/>
    <m/>
    <n v="0"/>
    <m/>
    <m/>
    <n v="0"/>
    <s v=""/>
    <n v="0"/>
    <n v="0"/>
    <n v="0"/>
    <n v="116.88487613461319"/>
    <n v="2225"/>
    <n v="71535.307499999995"/>
    <n v="0"/>
    <n v="0"/>
    <n v="0"/>
    <n v="0"/>
    <n v="0"/>
    <n v="0"/>
  </r>
  <r>
    <x v="98"/>
    <x v="5"/>
    <x v="6"/>
    <m/>
    <m/>
    <m/>
    <m/>
    <m/>
    <n v="0"/>
    <m/>
    <m/>
    <n v="0"/>
    <s v=""/>
    <n v="0"/>
    <n v="0"/>
    <n v="0"/>
    <n v="116.88487613461319"/>
    <n v="2225"/>
    <n v="71535.307499999995"/>
    <n v="0"/>
    <n v="0"/>
    <n v="0"/>
    <n v="0"/>
    <n v="0"/>
    <n v="0"/>
  </r>
  <r>
    <x v="99"/>
    <x v="5"/>
    <x v="6"/>
    <m/>
    <m/>
    <m/>
    <m/>
    <m/>
    <n v="0"/>
    <m/>
    <m/>
    <n v="0"/>
    <s v=""/>
    <n v="0"/>
    <n v="0"/>
    <n v="0"/>
    <n v="116.88487613461319"/>
    <n v="2225"/>
    <n v="71535.307499999995"/>
    <n v="0"/>
    <n v="0"/>
    <n v="0"/>
    <n v="0"/>
    <n v="0"/>
    <n v="0"/>
  </r>
  <r>
    <x v="100"/>
    <x v="5"/>
    <x v="6"/>
    <m/>
    <m/>
    <m/>
    <m/>
    <m/>
    <n v="0"/>
    <m/>
    <m/>
    <n v="0"/>
    <s v=""/>
    <n v="0"/>
    <n v="0"/>
    <n v="0"/>
    <n v="116.88487613461319"/>
    <n v="2225"/>
    <n v="71535.307499999995"/>
    <n v="0"/>
    <n v="0"/>
    <n v="0"/>
    <n v="0"/>
    <n v="0"/>
    <n v="0"/>
  </r>
  <r>
    <x v="101"/>
    <x v="5"/>
    <x v="6"/>
    <m/>
    <m/>
    <m/>
    <m/>
    <m/>
    <n v="0"/>
    <m/>
    <m/>
    <n v="0"/>
    <s v=""/>
    <n v="0"/>
    <n v="0"/>
    <n v="0"/>
    <n v="116.88487613461319"/>
    <n v="2225"/>
    <n v="71535.307499999995"/>
    <n v="0"/>
    <n v="0"/>
    <n v="0"/>
    <n v="0"/>
    <n v="0"/>
    <n v="0"/>
  </r>
  <r>
    <x v="102"/>
    <x v="5"/>
    <x v="6"/>
    <m/>
    <m/>
    <m/>
    <m/>
    <m/>
    <n v="0"/>
    <m/>
    <m/>
    <n v="0"/>
    <s v=""/>
    <n v="0"/>
    <n v="0"/>
    <n v="0"/>
    <n v="116.88487613461319"/>
    <n v="2225"/>
    <n v="71535.307499999995"/>
    <n v="0"/>
    <n v="0"/>
    <n v="0"/>
    <n v="0"/>
    <n v="0"/>
    <n v="0"/>
  </r>
  <r>
    <x v="103"/>
    <x v="5"/>
    <x v="6"/>
    <m/>
    <m/>
    <m/>
    <m/>
    <m/>
    <n v="0"/>
    <m/>
    <m/>
    <n v="0"/>
    <s v=""/>
    <n v="0"/>
    <n v="0"/>
    <n v="0"/>
    <n v="116.88487613461319"/>
    <n v="2225"/>
    <n v="71535.307499999995"/>
    <n v="0"/>
    <n v="0"/>
    <n v="0"/>
    <n v="0"/>
    <n v="0"/>
    <n v="0"/>
  </r>
  <r>
    <x v="104"/>
    <x v="5"/>
    <x v="6"/>
    <m/>
    <m/>
    <m/>
    <m/>
    <m/>
    <n v="0"/>
    <m/>
    <m/>
    <n v="0"/>
    <s v=""/>
    <n v="0"/>
    <n v="0"/>
    <n v="0"/>
    <n v="116.88487613461319"/>
    <n v="2225"/>
    <n v="71535.307499999995"/>
    <n v="0"/>
    <n v="0"/>
    <n v="0"/>
    <n v="0"/>
    <n v="0"/>
    <n v="0"/>
  </r>
  <r>
    <x v="105"/>
    <x v="5"/>
    <x v="6"/>
    <m/>
    <m/>
    <m/>
    <m/>
    <m/>
    <n v="0"/>
    <m/>
    <m/>
    <n v="0"/>
    <s v=""/>
    <n v="0"/>
    <n v="0"/>
    <n v="0"/>
    <n v="116.88487613461319"/>
    <n v="2225"/>
    <n v="71535.307499999995"/>
    <n v="0"/>
    <n v="0"/>
    <n v="0"/>
    <n v="0"/>
    <n v="0"/>
    <n v="0"/>
  </r>
  <r>
    <x v="106"/>
    <x v="5"/>
    <x v="6"/>
    <m/>
    <m/>
    <m/>
    <m/>
    <m/>
    <n v="0"/>
    <m/>
    <m/>
    <n v="0"/>
    <s v=""/>
    <n v="0"/>
    <n v="0"/>
    <n v="0"/>
    <n v="116.88487613461319"/>
    <n v="2225"/>
    <n v="71535.307499999995"/>
    <n v="0"/>
    <n v="0"/>
    <n v="0"/>
    <n v="0"/>
    <n v="0"/>
    <n v="0"/>
  </r>
  <r>
    <x v="107"/>
    <x v="5"/>
    <x v="6"/>
    <m/>
    <m/>
    <m/>
    <m/>
    <m/>
    <n v="0"/>
    <m/>
    <m/>
    <n v="0"/>
    <s v=""/>
    <n v="0"/>
    <n v="0"/>
    <n v="0"/>
    <n v="116.88487613461319"/>
    <n v="2225"/>
    <n v="71535.307499999995"/>
    <n v="0"/>
    <n v="0"/>
    <n v="0"/>
    <n v="0"/>
    <n v="0"/>
    <n v="0"/>
  </r>
  <r>
    <x v="108"/>
    <x v="5"/>
    <x v="6"/>
    <m/>
    <m/>
    <m/>
    <m/>
    <m/>
    <n v="0"/>
    <m/>
    <m/>
    <n v="0"/>
    <s v=""/>
    <n v="0"/>
    <n v="0"/>
    <n v="0"/>
    <n v="116.88487613461319"/>
    <n v="2225"/>
    <n v="71535.307499999995"/>
    <n v="0"/>
    <n v="0"/>
    <n v="0"/>
    <n v="0"/>
    <n v="0"/>
    <n v="0"/>
  </r>
  <r>
    <x v="109"/>
    <x v="5"/>
    <x v="6"/>
    <m/>
    <m/>
    <m/>
    <m/>
    <m/>
    <n v="0"/>
    <m/>
    <m/>
    <n v="0"/>
    <s v=""/>
    <n v="0"/>
    <n v="0"/>
    <n v="0"/>
    <n v="116.88487613461319"/>
    <n v="2225"/>
    <n v="71535.307499999995"/>
    <n v="0"/>
    <n v="0"/>
    <n v="0"/>
    <n v="0"/>
    <n v="0"/>
    <n v="0"/>
  </r>
  <r>
    <x v="110"/>
    <x v="5"/>
    <x v="7"/>
    <m/>
    <m/>
    <m/>
    <m/>
    <m/>
    <n v="0"/>
    <m/>
    <m/>
    <n v="0"/>
    <s v=""/>
    <n v="0"/>
    <n v="0"/>
    <n v="0"/>
    <n v="116.88487613461319"/>
    <n v="2225"/>
    <n v="71535.307499999995"/>
    <n v="0"/>
    <n v="0"/>
    <n v="0"/>
    <n v="0"/>
    <n v="0"/>
    <n v="0"/>
  </r>
  <r>
    <x v="111"/>
    <x v="5"/>
    <x v="7"/>
    <m/>
    <m/>
    <m/>
    <m/>
    <m/>
    <n v="0"/>
    <m/>
    <m/>
    <n v="0"/>
    <s v=""/>
    <n v="0"/>
    <n v="0"/>
    <n v="0"/>
    <n v="116.88487613461319"/>
    <n v="2225"/>
    <n v="71535.307499999995"/>
    <n v="0"/>
    <n v="0"/>
    <n v="0"/>
    <n v="0"/>
    <n v="0"/>
    <n v="0"/>
  </r>
  <r>
    <x v="112"/>
    <x v="5"/>
    <x v="7"/>
    <m/>
    <m/>
    <m/>
    <m/>
    <m/>
    <n v="0"/>
    <m/>
    <m/>
    <n v="0"/>
    <s v=""/>
    <n v="0"/>
    <n v="0"/>
    <n v="0"/>
    <n v="116.88487613461319"/>
    <n v="2225"/>
    <n v="71535.307499999995"/>
    <n v="0"/>
    <n v="0"/>
    <n v="0"/>
    <n v="0"/>
    <n v="0"/>
    <n v="0"/>
  </r>
  <r>
    <x v="113"/>
    <x v="5"/>
    <x v="7"/>
    <m/>
    <m/>
    <m/>
    <m/>
    <m/>
    <n v="0"/>
    <m/>
    <m/>
    <n v="0"/>
    <s v=""/>
    <n v="0"/>
    <n v="0"/>
    <n v="0"/>
    <n v="116.88487613461319"/>
    <n v="2225"/>
    <n v="71535.307499999995"/>
    <n v="0"/>
    <n v="0"/>
    <n v="0"/>
    <n v="0"/>
    <n v="0"/>
    <n v="0"/>
  </r>
  <r>
    <x v="114"/>
    <x v="5"/>
    <x v="7"/>
    <m/>
    <m/>
    <m/>
    <m/>
    <m/>
    <n v="0"/>
    <m/>
    <m/>
    <n v="0"/>
    <s v=""/>
    <n v="0"/>
    <n v="0"/>
    <n v="0"/>
    <n v="116.88487613461319"/>
    <n v="2225"/>
    <n v="71535.307499999995"/>
    <n v="0"/>
    <n v="0"/>
    <n v="0"/>
    <n v="0"/>
    <n v="0"/>
    <n v="0"/>
  </r>
  <r>
    <x v="115"/>
    <x v="5"/>
    <x v="7"/>
    <m/>
    <m/>
    <m/>
    <m/>
    <m/>
    <n v="0"/>
    <m/>
    <m/>
    <n v="0"/>
    <s v=""/>
    <n v="0"/>
    <n v="0"/>
    <n v="0"/>
    <n v="116.88487613461319"/>
    <n v="2225"/>
    <n v="71535.307499999995"/>
    <n v="0"/>
    <n v="0"/>
    <n v="0"/>
    <n v="0"/>
    <n v="0"/>
    <n v="0"/>
  </r>
  <r>
    <x v="116"/>
    <x v="5"/>
    <x v="7"/>
    <m/>
    <m/>
    <m/>
    <m/>
    <m/>
    <n v="0"/>
    <m/>
    <m/>
    <n v="0"/>
    <s v=""/>
    <n v="0"/>
    <n v="0"/>
    <n v="0"/>
    <n v="116.88487613461319"/>
    <n v="2225"/>
    <n v="71535.307499999995"/>
    <n v="0"/>
    <n v="0"/>
    <n v="0"/>
    <n v="0"/>
    <n v="0"/>
    <n v="0"/>
  </r>
  <r>
    <x v="117"/>
    <x v="5"/>
    <x v="7"/>
    <m/>
    <m/>
    <m/>
    <m/>
    <m/>
    <n v="0"/>
    <m/>
    <m/>
    <n v="0"/>
    <s v=""/>
    <n v="0"/>
    <n v="0"/>
    <n v="0"/>
    <n v="116.88487613461319"/>
    <n v="2225"/>
    <n v="71535.307499999995"/>
    <n v="0"/>
    <n v="0"/>
    <n v="0"/>
    <n v="0"/>
    <n v="0"/>
    <n v="0"/>
  </r>
  <r>
    <x v="118"/>
    <x v="5"/>
    <x v="7"/>
    <m/>
    <m/>
    <m/>
    <m/>
    <m/>
    <n v="0"/>
    <m/>
    <m/>
    <n v="0"/>
    <s v=""/>
    <n v="0"/>
    <n v="0"/>
    <n v="0"/>
    <n v="116.88487613461319"/>
    <n v="2225"/>
    <n v="71535.307499999995"/>
    <n v="0"/>
    <n v="0"/>
    <n v="0"/>
    <n v="0"/>
    <n v="0"/>
    <n v="0"/>
  </r>
  <r>
    <x v="119"/>
    <x v="5"/>
    <x v="7"/>
    <m/>
    <m/>
    <m/>
    <m/>
    <m/>
    <n v="0"/>
    <m/>
    <m/>
    <n v="0"/>
    <s v=""/>
    <n v="0"/>
    <n v="0"/>
    <n v="0"/>
    <n v="116.88487613461319"/>
    <n v="2225"/>
    <n v="71535.307499999995"/>
    <n v="0"/>
    <n v="0"/>
    <n v="0"/>
    <n v="0"/>
    <n v="0"/>
    <n v="0"/>
  </r>
  <r>
    <x v="120"/>
    <x v="5"/>
    <x v="7"/>
    <m/>
    <m/>
    <m/>
    <m/>
    <m/>
    <n v="0"/>
    <m/>
    <m/>
    <n v="0"/>
    <s v=""/>
    <n v="0"/>
    <n v="0"/>
    <n v="0"/>
    <n v="116.88487613461319"/>
    <n v="2225"/>
    <n v="71535.307499999995"/>
    <n v="0"/>
    <n v="0"/>
    <n v="0"/>
    <n v="0"/>
    <n v="0"/>
    <n v="0"/>
  </r>
  <r>
    <x v="121"/>
    <x v="5"/>
    <x v="7"/>
    <m/>
    <m/>
    <m/>
    <m/>
    <m/>
    <n v="0"/>
    <m/>
    <m/>
    <n v="0"/>
    <s v=""/>
    <n v="0"/>
    <n v="0"/>
    <n v="0"/>
    <n v="116.88487613461319"/>
    <n v="2225"/>
    <n v="71535.307499999995"/>
    <n v="0"/>
    <n v="0"/>
    <n v="0"/>
    <n v="0"/>
    <n v="0"/>
    <n v="0"/>
  </r>
  <r>
    <x v="122"/>
    <x v="5"/>
    <x v="7"/>
    <m/>
    <m/>
    <m/>
    <m/>
    <m/>
    <n v="0"/>
    <m/>
    <m/>
    <n v="0"/>
    <s v=""/>
    <n v="0"/>
    <n v="0"/>
    <n v="0"/>
    <n v="116.88487613461319"/>
    <n v="2225"/>
    <n v="71535.307499999995"/>
    <n v="0"/>
    <n v="0"/>
    <n v="0"/>
    <n v="0"/>
    <n v="0"/>
    <n v="0"/>
  </r>
  <r>
    <x v="123"/>
    <x v="5"/>
    <x v="7"/>
    <m/>
    <m/>
    <m/>
    <m/>
    <m/>
    <n v="0"/>
    <m/>
    <m/>
    <n v="0"/>
    <s v=""/>
    <n v="0"/>
    <n v="0"/>
    <n v="0"/>
    <n v="116.88487613461319"/>
    <n v="2225"/>
    <n v="71535.307499999995"/>
    <n v="0"/>
    <n v="0"/>
    <n v="0"/>
    <n v="0"/>
    <n v="0"/>
    <n v="0"/>
  </r>
  <r>
    <x v="124"/>
    <x v="5"/>
    <x v="7"/>
    <m/>
    <m/>
    <m/>
    <m/>
    <m/>
    <n v="0"/>
    <m/>
    <m/>
    <n v="0"/>
    <s v=""/>
    <n v="0"/>
    <n v="0"/>
    <n v="0"/>
    <n v="116.88487613461319"/>
    <n v="2225"/>
    <n v="71535.307499999995"/>
    <n v="0"/>
    <n v="0"/>
    <n v="0"/>
    <n v="0"/>
    <n v="0"/>
    <n v="0"/>
  </r>
  <r>
    <x v="125"/>
    <x v="5"/>
    <x v="7"/>
    <m/>
    <m/>
    <m/>
    <m/>
    <m/>
    <n v="0"/>
    <m/>
    <m/>
    <n v="0"/>
    <s v=""/>
    <n v="0"/>
    <n v="0"/>
    <n v="0"/>
    <n v="116.88487613461319"/>
    <n v="2225"/>
    <n v="71535.307499999995"/>
    <n v="0"/>
    <n v="0"/>
    <n v="0"/>
    <n v="0"/>
    <n v="0"/>
    <n v="0"/>
  </r>
  <r>
    <x v="126"/>
    <x v="5"/>
    <x v="7"/>
    <m/>
    <m/>
    <m/>
    <m/>
    <m/>
    <n v="0"/>
    <m/>
    <m/>
    <n v="0"/>
    <s v=""/>
    <n v="0"/>
    <n v="0"/>
    <n v="0"/>
    <n v="116.88487613461319"/>
    <n v="2225"/>
    <n v="71535.307499999995"/>
    <n v="0"/>
    <n v="0"/>
    <n v="0"/>
    <n v="0"/>
    <n v="0"/>
    <n v="0"/>
  </r>
  <r>
    <x v="127"/>
    <x v="5"/>
    <x v="7"/>
    <m/>
    <m/>
    <m/>
    <m/>
    <m/>
    <n v="0"/>
    <m/>
    <m/>
    <n v="0"/>
    <s v=""/>
    <n v="0"/>
    <n v="0"/>
    <n v="0"/>
    <n v="116.88487613461319"/>
    <n v="2225"/>
    <n v="71535.307499999995"/>
    <n v="0"/>
    <n v="0"/>
    <n v="0"/>
    <n v="0"/>
    <n v="0"/>
    <n v="0"/>
  </r>
  <r>
    <x v="0"/>
    <x v="6"/>
    <x v="0"/>
    <m/>
    <m/>
    <m/>
    <m/>
    <m/>
    <n v="0"/>
    <m/>
    <m/>
    <n v="0"/>
    <s v=""/>
    <n v="0"/>
    <n v="0"/>
    <n v="0"/>
    <n v="116.88487613461319"/>
    <n v="2225"/>
    <n v="71535.307499999995"/>
    <n v="0"/>
    <n v="0"/>
    <n v="0"/>
    <n v="0"/>
    <n v="0"/>
    <n v="0"/>
  </r>
  <r>
    <x v="1"/>
    <x v="6"/>
    <x v="0"/>
    <m/>
    <m/>
    <m/>
    <m/>
    <m/>
    <n v="0"/>
    <m/>
    <m/>
    <n v="0"/>
    <s v=""/>
    <n v="0"/>
    <n v="0"/>
    <n v="0"/>
    <n v="116.88487613461319"/>
    <n v="2225"/>
    <n v="71535.307499999995"/>
    <n v="0"/>
    <n v="0"/>
    <n v="0"/>
    <n v="0"/>
    <n v="0"/>
    <n v="0"/>
  </r>
  <r>
    <x v="2"/>
    <x v="6"/>
    <x v="0"/>
    <m/>
    <m/>
    <m/>
    <m/>
    <m/>
    <n v="0"/>
    <m/>
    <m/>
    <n v="0"/>
    <s v=""/>
    <n v="0"/>
    <n v="0"/>
    <n v="0"/>
    <n v="116.88487613461319"/>
    <n v="2225"/>
    <n v="71535.307499999995"/>
    <n v="0"/>
    <n v="0"/>
    <n v="0"/>
    <n v="0"/>
    <n v="0"/>
    <n v="0"/>
  </r>
  <r>
    <x v="3"/>
    <x v="6"/>
    <x v="0"/>
    <m/>
    <m/>
    <m/>
    <m/>
    <m/>
    <n v="0"/>
    <m/>
    <m/>
    <n v="0"/>
    <s v=""/>
    <n v="0"/>
    <n v="0"/>
    <n v="0"/>
    <n v="116.88487613461319"/>
    <n v="2225"/>
    <n v="71535.307499999995"/>
    <n v="0"/>
    <n v="0"/>
    <n v="0"/>
    <n v="0"/>
    <n v="0"/>
    <n v="0"/>
  </r>
  <r>
    <x v="4"/>
    <x v="6"/>
    <x v="1"/>
    <m/>
    <m/>
    <m/>
    <m/>
    <m/>
    <n v="0"/>
    <m/>
    <m/>
    <n v="0"/>
    <s v=""/>
    <n v="0"/>
    <n v="0"/>
    <n v="0"/>
    <n v="116.88487613461319"/>
    <n v="2225"/>
    <n v="71535.307499999995"/>
    <n v="0"/>
    <n v="0"/>
    <n v="0"/>
    <n v="0"/>
    <n v="0"/>
    <n v="0"/>
  </r>
  <r>
    <x v="5"/>
    <x v="6"/>
    <x v="1"/>
    <m/>
    <m/>
    <m/>
    <m/>
    <m/>
    <n v="0"/>
    <m/>
    <m/>
    <n v="0"/>
    <s v=""/>
    <n v="0"/>
    <n v="0"/>
    <n v="0"/>
    <n v="116.88487613461319"/>
    <n v="2225"/>
    <n v="71535.307499999995"/>
    <n v="0"/>
    <n v="0"/>
    <n v="0"/>
    <n v="0"/>
    <n v="0"/>
    <n v="0"/>
  </r>
  <r>
    <x v="6"/>
    <x v="6"/>
    <x v="1"/>
    <m/>
    <m/>
    <m/>
    <m/>
    <m/>
    <n v="0"/>
    <m/>
    <m/>
    <n v="0"/>
    <s v=""/>
    <n v="0"/>
    <n v="0"/>
    <n v="0"/>
    <n v="116.88487613461319"/>
    <n v="2225"/>
    <n v="71535.307499999995"/>
    <n v="0"/>
    <n v="0"/>
    <n v="0"/>
    <n v="0"/>
    <n v="0"/>
    <n v="0"/>
  </r>
  <r>
    <x v="7"/>
    <x v="6"/>
    <x v="2"/>
    <m/>
    <m/>
    <m/>
    <n v="2170"/>
    <n v="1.49"/>
    <n v="3.2333000000000003"/>
    <m/>
    <m/>
    <n v="0"/>
    <n v="-1"/>
    <n v="-2170"/>
    <n v="-3.2333000000000003"/>
    <n v="0"/>
    <n v="116.88487613461319"/>
    <n v="2225"/>
    <n v="71535.307499999995"/>
    <n v="231295.10973975001"/>
    <n v="0"/>
    <n v="253640.18121211062"/>
    <n v="0"/>
    <n v="-22345.071472360607"/>
    <n v="0"/>
  </r>
  <r>
    <x v="8"/>
    <x v="6"/>
    <x v="2"/>
    <m/>
    <m/>
    <m/>
    <n v="3255"/>
    <n v="1.49"/>
    <n v="4.8499499999999998"/>
    <n v="3289.2"/>
    <n v="1.2739732816225988"/>
    <n v="4.1903529179130521"/>
    <n v="-0.13600080043855045"/>
    <n v="34.199999999999818"/>
    <n v="-0.65959708208694767"/>
    <n v="-84699.550065537274"/>
    <n v="116.88487613461319"/>
    <n v="2225"/>
    <n v="71535.307499999995"/>
    <n v="346942.66460962495"/>
    <n v="299758.1845164324"/>
    <n v="380460.27181816596"/>
    <n v="384457.73458196968"/>
    <n v="-33517.607208541012"/>
    <n v="-84699.550065537274"/>
  </r>
  <r>
    <x v="9"/>
    <x v="6"/>
    <x v="2"/>
    <m/>
    <m/>
    <m/>
    <m/>
    <m/>
    <n v="0"/>
    <m/>
    <m/>
    <n v="0"/>
    <s v=""/>
    <n v="0"/>
    <n v="0"/>
    <n v="0"/>
    <n v="116.88487613461319"/>
    <n v="2225"/>
    <n v="71535.307499999995"/>
    <n v="0"/>
    <n v="0"/>
    <n v="0"/>
    <n v="0"/>
    <n v="0"/>
    <n v="0"/>
  </r>
  <r>
    <x v="10"/>
    <x v="6"/>
    <x v="2"/>
    <m/>
    <m/>
    <m/>
    <m/>
    <m/>
    <n v="0"/>
    <m/>
    <m/>
    <n v="0"/>
    <s v=""/>
    <n v="0"/>
    <n v="0"/>
    <n v="0"/>
    <n v="116.88487613461319"/>
    <n v="2225"/>
    <n v="71535.307499999995"/>
    <n v="0"/>
    <n v="0"/>
    <n v="0"/>
    <n v="0"/>
    <n v="0"/>
    <n v="0"/>
  </r>
  <r>
    <x v="11"/>
    <x v="6"/>
    <x v="2"/>
    <m/>
    <m/>
    <m/>
    <m/>
    <m/>
    <n v="0"/>
    <m/>
    <m/>
    <n v="0"/>
    <s v=""/>
    <n v="0"/>
    <n v="0"/>
    <n v="0"/>
    <n v="116.88487613461319"/>
    <n v="2225"/>
    <n v="71535.307499999995"/>
    <n v="0"/>
    <n v="0"/>
    <n v="0"/>
    <n v="0"/>
    <n v="0"/>
    <n v="0"/>
  </r>
  <r>
    <x v="12"/>
    <x v="6"/>
    <x v="2"/>
    <m/>
    <m/>
    <m/>
    <m/>
    <m/>
    <n v="0"/>
    <m/>
    <m/>
    <n v="0"/>
    <s v=""/>
    <n v="0"/>
    <n v="0"/>
    <n v="0"/>
    <n v="116.88487613461319"/>
    <n v="2225"/>
    <n v="71535.307499999995"/>
    <n v="0"/>
    <n v="0"/>
    <n v="0"/>
    <n v="0"/>
    <n v="0"/>
    <n v="0"/>
  </r>
  <r>
    <x v="13"/>
    <x v="6"/>
    <x v="2"/>
    <m/>
    <m/>
    <m/>
    <m/>
    <m/>
    <n v="0"/>
    <m/>
    <m/>
    <n v="0"/>
    <s v=""/>
    <n v="0"/>
    <n v="0"/>
    <n v="0"/>
    <n v="116.88487613461319"/>
    <n v="2225"/>
    <n v="71535.307499999995"/>
    <n v="0"/>
    <n v="0"/>
    <n v="0"/>
    <n v="0"/>
    <n v="0"/>
    <n v="0"/>
  </r>
  <r>
    <x v="14"/>
    <x v="6"/>
    <x v="2"/>
    <m/>
    <m/>
    <m/>
    <m/>
    <m/>
    <n v="0"/>
    <m/>
    <m/>
    <n v="0"/>
    <s v=""/>
    <n v="0"/>
    <n v="0"/>
    <n v="0"/>
    <n v="116.88487613461319"/>
    <n v="2225"/>
    <n v="71535.307499999995"/>
    <n v="0"/>
    <n v="0"/>
    <n v="0"/>
    <n v="0"/>
    <n v="0"/>
    <n v="0"/>
  </r>
  <r>
    <x v="15"/>
    <x v="6"/>
    <x v="2"/>
    <m/>
    <m/>
    <m/>
    <m/>
    <m/>
    <n v="0"/>
    <m/>
    <m/>
    <n v="0"/>
    <s v=""/>
    <n v="0"/>
    <n v="0"/>
    <n v="0"/>
    <n v="116.88487613461319"/>
    <n v="2225"/>
    <n v="71535.307499999995"/>
    <n v="0"/>
    <n v="0"/>
    <n v="0"/>
    <n v="0"/>
    <n v="0"/>
    <n v="0"/>
  </r>
  <r>
    <x v="16"/>
    <x v="6"/>
    <x v="2"/>
    <m/>
    <m/>
    <m/>
    <m/>
    <m/>
    <n v="0"/>
    <m/>
    <m/>
    <n v="0"/>
    <s v=""/>
    <n v="0"/>
    <n v="0"/>
    <n v="0"/>
    <n v="116.88487613461319"/>
    <n v="2225"/>
    <n v="71535.307499999995"/>
    <n v="0"/>
    <n v="0"/>
    <n v="0"/>
    <n v="0"/>
    <n v="0"/>
    <n v="0"/>
  </r>
  <r>
    <x v="17"/>
    <x v="6"/>
    <x v="3"/>
    <m/>
    <m/>
    <m/>
    <m/>
    <m/>
    <n v="0"/>
    <n v="549.39999999999986"/>
    <n v="1.1537871229789576"/>
    <n v="0.63389064536463913"/>
    <s v=""/>
    <n v="549.39999999999986"/>
    <n v="0.63389064536463913"/>
    <n v="-18870.988710823571"/>
    <n v="116.88487613461319"/>
    <n v="2225"/>
    <n v="71535.307499999995"/>
    <n v="0"/>
    <n v="45345.562237532904"/>
    <n v="0"/>
    <n v="64216.550948356475"/>
    <n v="0"/>
    <n v="-18870.988710823571"/>
  </r>
  <r>
    <x v="18"/>
    <x v="6"/>
    <x v="3"/>
    <m/>
    <m/>
    <m/>
    <m/>
    <m/>
    <n v="0"/>
    <m/>
    <m/>
    <n v="0"/>
    <s v=""/>
    <n v="0"/>
    <n v="0"/>
    <n v="0"/>
    <n v="116.88487613461319"/>
    <n v="2225"/>
    <n v="71535.307499999995"/>
    <n v="0"/>
    <n v="0"/>
    <n v="0"/>
    <n v="0"/>
    <n v="0"/>
    <n v="0"/>
  </r>
  <r>
    <x v="19"/>
    <x v="6"/>
    <x v="3"/>
    <m/>
    <m/>
    <m/>
    <m/>
    <m/>
    <n v="0"/>
    <m/>
    <m/>
    <n v="0"/>
    <s v=""/>
    <n v="0"/>
    <n v="0"/>
    <n v="0"/>
    <n v="116.88487613461319"/>
    <n v="2225"/>
    <n v="71535.307499999995"/>
    <n v="0"/>
    <n v="0"/>
    <n v="0"/>
    <n v="0"/>
    <n v="0"/>
    <n v="0"/>
  </r>
  <r>
    <x v="20"/>
    <x v="6"/>
    <x v="3"/>
    <m/>
    <m/>
    <m/>
    <m/>
    <m/>
    <n v="0"/>
    <m/>
    <m/>
    <n v="0"/>
    <s v=""/>
    <n v="0"/>
    <n v="0"/>
    <n v="0"/>
    <n v="116.88487613461319"/>
    <n v="2225"/>
    <n v="71535.307499999995"/>
    <n v="0"/>
    <n v="0"/>
    <n v="0"/>
    <n v="0"/>
    <n v="0"/>
    <n v="0"/>
  </r>
  <r>
    <x v="21"/>
    <x v="6"/>
    <x v="3"/>
    <m/>
    <m/>
    <m/>
    <n v="2170"/>
    <n v="1.33"/>
    <n v="2.8861000000000003"/>
    <n v="2480"/>
    <n v="1.2980105133513273"/>
    <n v="3.2190660731112914"/>
    <n v="0.11536886217085031"/>
    <n v="310"/>
    <n v="0.33296607311129112"/>
    <n v="-59597.611411007034"/>
    <n v="116.88487613461319"/>
    <n v="2225"/>
    <n v="71535.307499999995"/>
    <n v="206458.05097575"/>
    <n v="230276.88140283371"/>
    <n v="253640.18121211062"/>
    <n v="289874.49281384074"/>
    <n v="-47182.130236360623"/>
    <n v="-59597.611411007034"/>
  </r>
  <r>
    <x v="22"/>
    <x v="6"/>
    <x v="3"/>
    <m/>
    <m/>
    <m/>
    <m/>
    <m/>
    <n v="0"/>
    <m/>
    <m/>
    <n v="0"/>
    <s v=""/>
    <n v="0"/>
    <n v="0"/>
    <n v="0"/>
    <n v="116.88487613461319"/>
    <n v="2225"/>
    <n v="71535.307499999995"/>
    <n v="0"/>
    <n v="0"/>
    <n v="0"/>
    <n v="0"/>
    <n v="0"/>
    <n v="0"/>
  </r>
  <r>
    <x v="23"/>
    <x v="6"/>
    <x v="3"/>
    <m/>
    <m/>
    <m/>
    <m/>
    <m/>
    <n v="0"/>
    <m/>
    <m/>
    <n v="0"/>
    <s v=""/>
    <n v="0"/>
    <n v="0"/>
    <n v="0"/>
    <n v="116.88487613461319"/>
    <n v="2225"/>
    <n v="71535.307499999995"/>
    <n v="0"/>
    <n v="0"/>
    <n v="0"/>
    <n v="0"/>
    <n v="0"/>
    <n v="0"/>
  </r>
  <r>
    <x v="24"/>
    <x v="6"/>
    <x v="3"/>
    <m/>
    <m/>
    <m/>
    <m/>
    <m/>
    <n v="0"/>
    <m/>
    <m/>
    <n v="0"/>
    <s v=""/>
    <n v="0"/>
    <n v="0"/>
    <n v="0"/>
    <n v="116.88487613461319"/>
    <n v="2225"/>
    <n v="71535.307499999995"/>
    <n v="0"/>
    <n v="0"/>
    <n v="0"/>
    <n v="0"/>
    <n v="0"/>
    <n v="0"/>
  </r>
  <r>
    <x v="25"/>
    <x v="6"/>
    <x v="3"/>
    <m/>
    <m/>
    <m/>
    <m/>
    <m/>
    <n v="0"/>
    <m/>
    <m/>
    <n v="0"/>
    <s v=""/>
    <n v="0"/>
    <n v="0"/>
    <n v="0"/>
    <n v="116.88487613461319"/>
    <n v="2225"/>
    <n v="71535.307499999995"/>
    <n v="0"/>
    <n v="0"/>
    <n v="0"/>
    <n v="0"/>
    <n v="0"/>
    <n v="0"/>
  </r>
  <r>
    <x v="26"/>
    <x v="6"/>
    <x v="3"/>
    <m/>
    <m/>
    <m/>
    <m/>
    <m/>
    <n v="0"/>
    <m/>
    <m/>
    <n v="0"/>
    <s v=""/>
    <n v="0"/>
    <n v="0"/>
    <n v="0"/>
    <n v="116.88487613461319"/>
    <n v="2225"/>
    <n v="71535.307499999995"/>
    <n v="0"/>
    <n v="0"/>
    <n v="0"/>
    <n v="0"/>
    <n v="0"/>
    <n v="0"/>
  </r>
  <r>
    <x v="27"/>
    <x v="6"/>
    <x v="3"/>
    <m/>
    <m/>
    <m/>
    <n v="2170"/>
    <n v="1.54"/>
    <n v="3.3418000000000001"/>
    <n v="1878"/>
    <n v="1.2579484604701134"/>
    <n v="2.362427208762873"/>
    <n v="-0.29306744605815038"/>
    <n v="-292"/>
    <n v="-0.97937279123712706"/>
    <n v="-50512.840555584786"/>
    <n v="116.88487613461319"/>
    <n v="2225"/>
    <n v="71535.307499999995"/>
    <n v="239056.6906035"/>
    <n v="168996.9568252188"/>
    <n v="253640.18121211062"/>
    <n v="219509.79738080359"/>
    <n v="-14583.49060861062"/>
    <n v="-50512.840555584786"/>
  </r>
  <r>
    <x v="28"/>
    <x v="6"/>
    <x v="3"/>
    <m/>
    <m/>
    <m/>
    <m/>
    <m/>
    <n v="0"/>
    <m/>
    <m/>
    <n v="0"/>
    <s v=""/>
    <n v="0"/>
    <n v="0"/>
    <n v="0"/>
    <n v="116.88487613461319"/>
    <n v="2225"/>
    <n v="71535.307499999995"/>
    <n v="0"/>
    <n v="0"/>
    <n v="0"/>
    <n v="0"/>
    <n v="0"/>
    <n v="0"/>
  </r>
  <r>
    <x v="29"/>
    <x v="6"/>
    <x v="3"/>
    <m/>
    <m/>
    <m/>
    <n v="3255"/>
    <n v="2.15"/>
    <n v="6.9982499999999996"/>
    <n v="3222.6"/>
    <n v="1.5063331883336391"/>
    <n v="4.854309332723985"/>
    <n v="-0.30635382663894756"/>
    <n v="-32.400000000000091"/>
    <n v="-2.1439406672760146"/>
    <n v="-29418.691014874435"/>
    <n v="116.88487613461319"/>
    <n v="2225"/>
    <n v="71535.307499999995"/>
    <n v="500621.96571187495"/>
    <n v="347254.51081653003"/>
    <n v="380460.27181816596"/>
    <n v="376673.20183140447"/>
    <n v="120161.69389370899"/>
    <n v="-29418.691014874435"/>
  </r>
  <r>
    <x v="30"/>
    <x v="6"/>
    <x v="3"/>
    <m/>
    <m/>
    <m/>
    <m/>
    <m/>
    <n v="0"/>
    <n v="144"/>
    <n v="0"/>
    <n v="0"/>
    <s v=""/>
    <n v="144"/>
    <n v="0"/>
    <n v="-16831.422163384301"/>
    <n v="116.88487613461319"/>
    <n v="2225"/>
    <n v="71535.307499999995"/>
    <n v="0"/>
    <n v="0"/>
    <n v="0"/>
    <n v="16831.422163384301"/>
    <n v="0"/>
    <n v="-16831.422163384301"/>
  </r>
  <r>
    <x v="31"/>
    <x v="6"/>
    <x v="3"/>
    <m/>
    <m/>
    <m/>
    <m/>
    <m/>
    <n v="0"/>
    <m/>
    <m/>
    <n v="0"/>
    <s v=""/>
    <n v="0"/>
    <n v="0"/>
    <n v="0"/>
    <n v="116.88487613461319"/>
    <n v="2225"/>
    <n v="71535.307499999995"/>
    <n v="0"/>
    <n v="0"/>
    <n v="0"/>
    <n v="0"/>
    <n v="0"/>
    <n v="0"/>
  </r>
  <r>
    <x v="32"/>
    <x v="6"/>
    <x v="3"/>
    <m/>
    <m/>
    <m/>
    <m/>
    <m/>
    <n v="0"/>
    <m/>
    <m/>
    <n v="0"/>
    <s v=""/>
    <n v="0"/>
    <n v="0"/>
    <n v="0"/>
    <n v="116.88487613461319"/>
    <n v="2225"/>
    <n v="71535.307499999995"/>
    <n v="0"/>
    <n v="0"/>
    <n v="0"/>
    <n v="0"/>
    <n v="0"/>
    <n v="0"/>
  </r>
  <r>
    <x v="33"/>
    <x v="6"/>
    <x v="3"/>
    <m/>
    <m/>
    <m/>
    <m/>
    <m/>
    <n v="0"/>
    <m/>
    <m/>
    <n v="0"/>
    <s v=""/>
    <n v="0"/>
    <n v="0"/>
    <n v="0"/>
    <n v="116.88487613461319"/>
    <n v="2225"/>
    <n v="71535.307499999995"/>
    <n v="0"/>
    <n v="0"/>
    <n v="0"/>
    <n v="0"/>
    <n v="0"/>
    <n v="0"/>
  </r>
  <r>
    <x v="34"/>
    <x v="6"/>
    <x v="3"/>
    <m/>
    <m/>
    <m/>
    <m/>
    <m/>
    <n v="0"/>
    <m/>
    <m/>
    <n v="0"/>
    <s v=""/>
    <n v="0"/>
    <n v="0"/>
    <n v="0"/>
    <n v="116.88487613461319"/>
    <n v="2225"/>
    <n v="71535.307499999995"/>
    <n v="0"/>
    <n v="0"/>
    <n v="0"/>
    <n v="0"/>
    <n v="0"/>
    <n v="0"/>
  </r>
  <r>
    <x v="35"/>
    <x v="6"/>
    <x v="3"/>
    <m/>
    <m/>
    <m/>
    <n v="4340"/>
    <n v="1.87"/>
    <n v="8.1158000000000001"/>
    <n v="3566"/>
    <n v="1.4983207777573964"/>
    <n v="5.343011893482875"/>
    <n v="-0.34165308491056029"/>
    <n v="-774"/>
    <n v="-2.7727881065171252"/>
    <n v="-34597.469519575941"/>
    <n v="116.88487613461319"/>
    <n v="2225"/>
    <n v="71535.307499999995"/>
    <n v="580566.2486085"/>
    <n v="382213.99877645471"/>
    <n v="507280.36242422124"/>
    <n v="416811.46829603065"/>
    <n v="73285.886184278759"/>
    <n v="-34597.469519575941"/>
  </r>
  <r>
    <x v="36"/>
    <x v="6"/>
    <x v="3"/>
    <m/>
    <m/>
    <m/>
    <m/>
    <m/>
    <n v="0"/>
    <m/>
    <m/>
    <n v="0"/>
    <s v=""/>
    <n v="0"/>
    <n v="0"/>
    <n v="0"/>
    <n v="116.88487613461319"/>
    <n v="2225"/>
    <n v="71535.307499999995"/>
    <n v="0"/>
    <n v="0"/>
    <n v="0"/>
    <n v="0"/>
    <n v="0"/>
    <n v="0"/>
  </r>
  <r>
    <x v="37"/>
    <x v="6"/>
    <x v="3"/>
    <m/>
    <m/>
    <m/>
    <n v="3255"/>
    <n v="1.82"/>
    <n v="5.9241000000000001"/>
    <n v="3110.2"/>
    <n v="1.4582587248761827"/>
    <n v="4.5354762861099038"/>
    <n v="-0.23440247698217387"/>
    <n v="-144.80000000000018"/>
    <n v="-1.3886237138900963"/>
    <n v="-39088.650968044007"/>
    <n v="116.88487613461319"/>
    <n v="2225"/>
    <n v="71535.307499999995"/>
    <n v="423782.31516075"/>
    <n v="324446.69078582991"/>
    <n v="380460.27181816596"/>
    <n v="363535.34175387392"/>
    <n v="43322.043342584046"/>
    <n v="-39088.650968044007"/>
  </r>
  <r>
    <x v="38"/>
    <x v="6"/>
    <x v="3"/>
    <m/>
    <m/>
    <m/>
    <n v="1085"/>
    <n v="0.91"/>
    <n v="0.98735000000000006"/>
    <m/>
    <m/>
    <n v="0"/>
    <n v="-1"/>
    <n v="-1085"/>
    <n v="-0.98735000000000006"/>
    <n v="0"/>
    <n v="116.88487613461319"/>
    <n v="2225"/>
    <n v="71535.307499999995"/>
    <n v="70630.385860124996"/>
    <n v="0"/>
    <n v="126820.09060605531"/>
    <n v="0"/>
    <n v="-56189.704745930314"/>
    <n v="0"/>
  </r>
  <r>
    <x v="39"/>
    <x v="6"/>
    <x v="3"/>
    <m/>
    <m/>
    <m/>
    <n v="2170"/>
    <n v="1.72"/>
    <n v="3.7324000000000002"/>
    <n v="1336.8000000000002"/>
    <n v="1.3781346191137549"/>
    <n v="1.8422903588312678"/>
    <n v="-0.50640596966261175"/>
    <n v="-833.19999999999982"/>
    <n v="-1.8901096411687324"/>
    <n v="-24462.89509347087"/>
    <n v="116.88487613461319"/>
    <n v="2225"/>
    <n v="71535.307499999995"/>
    <n v="266998.38171300001"/>
    <n v="131788.80732328008"/>
    <n v="253640.18121211062"/>
    <n v="156251.70241675095"/>
    <n v="13358.20050088939"/>
    <n v="-24462.89509347087"/>
  </r>
  <r>
    <x v="40"/>
    <x v="6"/>
    <x v="3"/>
    <m/>
    <m/>
    <m/>
    <m/>
    <m/>
    <n v="0"/>
    <m/>
    <m/>
    <n v="0"/>
    <s v=""/>
    <n v="0"/>
    <n v="0"/>
    <n v="0"/>
    <n v="116.88487613461319"/>
    <n v="2225"/>
    <n v="71535.307499999995"/>
    <n v="0"/>
    <n v="0"/>
    <n v="0"/>
    <n v="0"/>
    <n v="0"/>
    <n v="0"/>
  </r>
  <r>
    <x v="41"/>
    <x v="6"/>
    <x v="3"/>
    <m/>
    <m/>
    <m/>
    <m/>
    <m/>
    <n v="0"/>
    <m/>
    <m/>
    <n v="0"/>
    <s v=""/>
    <n v="0"/>
    <n v="0"/>
    <n v="0"/>
    <n v="116.88487613461319"/>
    <n v="2225"/>
    <n v="71535.307499999995"/>
    <n v="0"/>
    <n v="0"/>
    <n v="0"/>
    <n v="0"/>
    <n v="0"/>
    <n v="0"/>
  </r>
  <r>
    <x v="42"/>
    <x v="6"/>
    <x v="3"/>
    <m/>
    <m/>
    <m/>
    <m/>
    <m/>
    <n v="0"/>
    <m/>
    <m/>
    <n v="0"/>
    <s v=""/>
    <n v="0"/>
    <n v="0"/>
    <n v="0"/>
    <n v="116.88487613461319"/>
    <n v="2225"/>
    <n v="71535.307499999995"/>
    <n v="0"/>
    <n v="0"/>
    <n v="0"/>
    <n v="0"/>
    <n v="0"/>
    <n v="0"/>
  </r>
  <r>
    <x v="43"/>
    <x v="6"/>
    <x v="3"/>
    <m/>
    <m/>
    <m/>
    <m/>
    <m/>
    <n v="0"/>
    <m/>
    <m/>
    <n v="0"/>
    <s v=""/>
    <n v="0"/>
    <n v="0"/>
    <n v="0"/>
    <n v="116.88487613461319"/>
    <n v="2225"/>
    <n v="71535.307499999995"/>
    <n v="0"/>
    <n v="0"/>
    <n v="0"/>
    <n v="0"/>
    <n v="0"/>
    <n v="0"/>
  </r>
  <r>
    <x v="44"/>
    <x v="6"/>
    <x v="3"/>
    <m/>
    <m/>
    <m/>
    <m/>
    <m/>
    <n v="0"/>
    <m/>
    <m/>
    <n v="0"/>
    <s v=""/>
    <n v="0"/>
    <n v="0"/>
    <n v="0"/>
    <n v="116.88487613461319"/>
    <n v="2225"/>
    <n v="71535.307499999995"/>
    <n v="0"/>
    <n v="0"/>
    <n v="0"/>
    <n v="0"/>
    <n v="0"/>
    <n v="0"/>
  </r>
  <r>
    <x v="45"/>
    <x v="6"/>
    <x v="3"/>
    <m/>
    <m/>
    <m/>
    <m/>
    <m/>
    <n v="0"/>
    <m/>
    <m/>
    <n v="0"/>
    <s v=""/>
    <n v="0"/>
    <n v="0"/>
    <n v="0"/>
    <n v="116.88487613461319"/>
    <n v="2225"/>
    <n v="71535.307499999995"/>
    <n v="0"/>
    <n v="0"/>
    <n v="0"/>
    <n v="0"/>
    <n v="0"/>
    <n v="0"/>
  </r>
  <r>
    <x v="46"/>
    <x v="6"/>
    <x v="3"/>
    <m/>
    <m/>
    <m/>
    <m/>
    <m/>
    <m/>
    <m/>
    <m/>
    <m/>
    <m/>
    <m/>
    <m/>
    <m/>
    <m/>
    <m/>
    <m/>
    <m/>
    <m/>
    <m/>
    <m/>
    <m/>
    <m/>
  </r>
  <r>
    <x v="47"/>
    <x v="6"/>
    <x v="3"/>
    <m/>
    <m/>
    <m/>
    <m/>
    <m/>
    <m/>
    <m/>
    <m/>
    <m/>
    <m/>
    <m/>
    <m/>
    <m/>
    <m/>
    <m/>
    <m/>
    <m/>
    <m/>
    <m/>
    <m/>
    <m/>
    <m/>
  </r>
  <r>
    <x v="48"/>
    <x v="6"/>
    <x v="3"/>
    <m/>
    <m/>
    <m/>
    <m/>
    <m/>
    <m/>
    <m/>
    <m/>
    <m/>
    <m/>
    <m/>
    <m/>
    <m/>
    <m/>
    <m/>
    <m/>
    <m/>
    <m/>
    <m/>
    <m/>
    <m/>
    <m/>
  </r>
  <r>
    <x v="49"/>
    <x v="6"/>
    <x v="3"/>
    <m/>
    <m/>
    <m/>
    <m/>
    <m/>
    <n v="0"/>
    <m/>
    <m/>
    <n v="0"/>
    <s v=""/>
    <n v="0"/>
    <n v="0"/>
    <n v="0"/>
    <n v="116.88487613461319"/>
    <n v="2225"/>
    <n v="71535.307499999995"/>
    <n v="0"/>
    <n v="0"/>
    <n v="0"/>
    <n v="0"/>
    <n v="0"/>
    <n v="0"/>
  </r>
  <r>
    <x v="50"/>
    <x v="6"/>
    <x v="4"/>
    <m/>
    <m/>
    <m/>
    <m/>
    <m/>
    <n v="0"/>
    <m/>
    <m/>
    <n v="0"/>
    <s v=""/>
    <n v="0"/>
    <n v="0"/>
    <n v="0"/>
    <n v="116.88487613461319"/>
    <n v="2225"/>
    <n v="71535.307499999995"/>
    <n v="0"/>
    <n v="0"/>
    <n v="0"/>
    <n v="0"/>
    <n v="0"/>
    <n v="0"/>
  </r>
  <r>
    <x v="51"/>
    <x v="6"/>
    <x v="4"/>
    <m/>
    <m/>
    <m/>
    <m/>
    <m/>
    <n v="0"/>
    <m/>
    <m/>
    <n v="0"/>
    <s v=""/>
    <n v="0"/>
    <n v="0"/>
    <n v="0"/>
    <n v="116.88487613461319"/>
    <n v="2225"/>
    <n v="71535.307499999995"/>
    <n v="0"/>
    <n v="0"/>
    <n v="0"/>
    <n v="0"/>
    <n v="0"/>
    <n v="0"/>
  </r>
  <r>
    <x v="52"/>
    <x v="6"/>
    <x v="4"/>
    <m/>
    <m/>
    <m/>
    <m/>
    <m/>
    <n v="0"/>
    <m/>
    <m/>
    <n v="0"/>
    <s v=""/>
    <n v="0"/>
    <n v="0"/>
    <n v="0"/>
    <n v="116.88487613461319"/>
    <n v="2225"/>
    <n v="71535.307499999995"/>
    <n v="0"/>
    <n v="0"/>
    <n v="0"/>
    <n v="0"/>
    <n v="0"/>
    <n v="0"/>
  </r>
  <r>
    <x v="53"/>
    <x v="6"/>
    <x v="4"/>
    <m/>
    <m/>
    <m/>
    <m/>
    <m/>
    <n v="0"/>
    <m/>
    <m/>
    <n v="0"/>
    <s v=""/>
    <n v="0"/>
    <n v="0"/>
    <n v="0"/>
    <n v="116.88487613461319"/>
    <n v="2225"/>
    <n v="71535.307499999995"/>
    <n v="0"/>
    <n v="0"/>
    <n v="0"/>
    <n v="0"/>
    <n v="0"/>
    <n v="0"/>
  </r>
  <r>
    <x v="54"/>
    <x v="6"/>
    <x v="4"/>
    <m/>
    <m/>
    <m/>
    <m/>
    <m/>
    <n v="0"/>
    <m/>
    <m/>
    <n v="0"/>
    <s v=""/>
    <n v="0"/>
    <n v="0"/>
    <n v="0"/>
    <n v="116.88487613461319"/>
    <n v="2225"/>
    <n v="71535.307499999995"/>
    <n v="0"/>
    <n v="0"/>
    <n v="0"/>
    <n v="0"/>
    <n v="0"/>
    <n v="0"/>
  </r>
  <r>
    <x v="55"/>
    <x v="6"/>
    <x v="4"/>
    <m/>
    <m/>
    <m/>
    <m/>
    <m/>
    <n v="0"/>
    <m/>
    <m/>
    <n v="0"/>
    <s v=""/>
    <n v="0"/>
    <n v="0"/>
    <n v="0"/>
    <n v="116.88487613461319"/>
    <n v="2225"/>
    <n v="71535.307499999995"/>
    <n v="0"/>
    <n v="0"/>
    <n v="0"/>
    <n v="0"/>
    <n v="0"/>
    <n v="0"/>
  </r>
  <r>
    <x v="56"/>
    <x v="6"/>
    <x v="4"/>
    <m/>
    <m/>
    <m/>
    <m/>
    <m/>
    <n v="0"/>
    <m/>
    <m/>
    <n v="0"/>
    <s v=""/>
    <n v="0"/>
    <n v="0"/>
    <n v="0"/>
    <n v="116.88487613461319"/>
    <n v="2225"/>
    <n v="71535.307499999995"/>
    <n v="0"/>
    <n v="0"/>
    <n v="0"/>
    <n v="0"/>
    <n v="0"/>
    <n v="0"/>
  </r>
  <r>
    <x v="57"/>
    <x v="6"/>
    <x v="4"/>
    <m/>
    <m/>
    <m/>
    <m/>
    <m/>
    <n v="0"/>
    <m/>
    <m/>
    <n v="0"/>
    <s v=""/>
    <n v="0"/>
    <n v="0"/>
    <n v="0"/>
    <n v="116.88487613461319"/>
    <n v="2225"/>
    <n v="71535.307499999995"/>
    <n v="0"/>
    <n v="0"/>
    <n v="0"/>
    <n v="0"/>
    <n v="0"/>
    <n v="0"/>
  </r>
  <r>
    <x v="58"/>
    <x v="6"/>
    <x v="4"/>
    <m/>
    <m/>
    <m/>
    <m/>
    <m/>
    <n v="0"/>
    <m/>
    <m/>
    <n v="0"/>
    <s v=""/>
    <n v="0"/>
    <n v="0"/>
    <n v="0"/>
    <n v="116.88487613461319"/>
    <n v="2225"/>
    <n v="71535.307499999995"/>
    <n v="0"/>
    <n v="0"/>
    <n v="0"/>
    <n v="0"/>
    <n v="0"/>
    <n v="0"/>
  </r>
  <r>
    <x v="59"/>
    <x v="6"/>
    <x v="4"/>
    <m/>
    <m/>
    <m/>
    <m/>
    <m/>
    <n v="0"/>
    <m/>
    <m/>
    <n v="0"/>
    <s v=""/>
    <n v="0"/>
    <n v="0"/>
    <n v="0"/>
    <n v="116.88487613461319"/>
    <n v="2225"/>
    <n v="71535.307499999995"/>
    <n v="0"/>
    <n v="0"/>
    <n v="0"/>
    <n v="0"/>
    <n v="0"/>
    <n v="0"/>
  </r>
  <r>
    <x v="60"/>
    <x v="6"/>
    <x v="4"/>
    <m/>
    <m/>
    <m/>
    <m/>
    <m/>
    <n v="0"/>
    <m/>
    <m/>
    <n v="0"/>
    <s v=""/>
    <n v="0"/>
    <n v="0"/>
    <n v="0"/>
    <n v="116.88487613461319"/>
    <n v="2225"/>
    <n v="71535.307499999995"/>
    <n v="0"/>
    <n v="0"/>
    <n v="0"/>
    <n v="0"/>
    <n v="0"/>
    <n v="0"/>
  </r>
  <r>
    <x v="61"/>
    <x v="6"/>
    <x v="4"/>
    <m/>
    <m/>
    <m/>
    <m/>
    <m/>
    <n v="0"/>
    <m/>
    <m/>
    <n v="0"/>
    <s v=""/>
    <n v="0"/>
    <n v="0"/>
    <n v="0"/>
    <n v="116.88487613461319"/>
    <n v="2225"/>
    <n v="71535.307499999995"/>
    <n v="0"/>
    <n v="0"/>
    <n v="0"/>
    <n v="0"/>
    <n v="0"/>
    <n v="0"/>
  </r>
  <r>
    <x v="62"/>
    <x v="6"/>
    <x v="4"/>
    <m/>
    <m/>
    <m/>
    <m/>
    <m/>
    <n v="0"/>
    <m/>
    <m/>
    <n v="0"/>
    <s v=""/>
    <n v="0"/>
    <n v="0"/>
    <n v="0"/>
    <n v="116.88487613461319"/>
    <n v="2225"/>
    <n v="71535.307499999995"/>
    <n v="0"/>
    <n v="0"/>
    <n v="0"/>
    <n v="0"/>
    <n v="0"/>
    <n v="0"/>
  </r>
  <r>
    <x v="63"/>
    <x v="6"/>
    <x v="4"/>
    <m/>
    <m/>
    <m/>
    <m/>
    <m/>
    <n v="0"/>
    <m/>
    <m/>
    <n v="0"/>
    <s v=""/>
    <n v="0"/>
    <n v="0"/>
    <n v="0"/>
    <n v="116.88487613461319"/>
    <n v="2225"/>
    <n v="71535.307499999995"/>
    <n v="0"/>
    <n v="0"/>
    <n v="0"/>
    <n v="0"/>
    <n v="0"/>
    <n v="0"/>
  </r>
  <r>
    <x v="64"/>
    <x v="6"/>
    <x v="4"/>
    <m/>
    <m/>
    <m/>
    <m/>
    <m/>
    <n v="0"/>
    <m/>
    <m/>
    <n v="0"/>
    <s v=""/>
    <n v="0"/>
    <n v="0"/>
    <n v="0"/>
    <n v="116.88487613461319"/>
    <n v="2225"/>
    <n v="71535.307499999995"/>
    <n v="0"/>
    <n v="0"/>
    <n v="0"/>
    <n v="0"/>
    <n v="0"/>
    <n v="0"/>
  </r>
  <r>
    <x v="65"/>
    <x v="6"/>
    <x v="4"/>
    <m/>
    <m/>
    <m/>
    <m/>
    <m/>
    <n v="0"/>
    <m/>
    <m/>
    <n v="0"/>
    <s v=""/>
    <n v="0"/>
    <n v="0"/>
    <n v="0"/>
    <n v="116.88487613461319"/>
    <n v="2225"/>
    <n v="71535.307499999995"/>
    <n v="0"/>
    <n v="0"/>
    <n v="0"/>
    <n v="0"/>
    <n v="0"/>
    <n v="0"/>
  </r>
  <r>
    <x v="66"/>
    <x v="6"/>
    <x v="4"/>
    <m/>
    <m/>
    <m/>
    <m/>
    <m/>
    <n v="0"/>
    <m/>
    <m/>
    <n v="0"/>
    <s v=""/>
    <n v="0"/>
    <n v="0"/>
    <n v="0"/>
    <n v="116.88487613461319"/>
    <n v="2225"/>
    <n v="71535.307499999995"/>
    <n v="0"/>
    <n v="0"/>
    <n v="0"/>
    <n v="0"/>
    <n v="0"/>
    <n v="0"/>
  </r>
  <r>
    <x v="67"/>
    <x v="6"/>
    <x v="4"/>
    <m/>
    <m/>
    <m/>
    <m/>
    <m/>
    <n v="0"/>
    <m/>
    <m/>
    <n v="0"/>
    <s v=""/>
    <n v="0"/>
    <n v="0"/>
    <n v="0"/>
    <n v="116.88487613461319"/>
    <n v="2225"/>
    <n v="71535.307499999995"/>
    <n v="0"/>
    <n v="0"/>
    <n v="0"/>
    <n v="0"/>
    <n v="0"/>
    <n v="0"/>
  </r>
  <r>
    <x v="68"/>
    <x v="6"/>
    <x v="4"/>
    <m/>
    <m/>
    <m/>
    <m/>
    <m/>
    <n v="0"/>
    <m/>
    <m/>
    <n v="0"/>
    <s v=""/>
    <n v="0"/>
    <n v="0"/>
    <n v="0"/>
    <n v="116.88487613461319"/>
    <n v="2225"/>
    <n v="71535.307499999995"/>
    <n v="0"/>
    <n v="0"/>
    <n v="0"/>
    <n v="0"/>
    <n v="0"/>
    <n v="0"/>
  </r>
  <r>
    <x v="69"/>
    <x v="6"/>
    <x v="4"/>
    <m/>
    <m/>
    <m/>
    <m/>
    <m/>
    <n v="0"/>
    <m/>
    <m/>
    <n v="0"/>
    <s v=""/>
    <n v="0"/>
    <n v="0"/>
    <n v="0"/>
    <n v="116.88487613461319"/>
    <n v="2225"/>
    <n v="71535.307499999995"/>
    <n v="0"/>
    <n v="0"/>
    <n v="0"/>
    <n v="0"/>
    <n v="0"/>
    <n v="0"/>
  </r>
  <r>
    <x v="70"/>
    <x v="6"/>
    <x v="5"/>
    <m/>
    <m/>
    <m/>
    <m/>
    <m/>
    <n v="0"/>
    <m/>
    <m/>
    <n v="0"/>
    <s v=""/>
    <n v="0"/>
    <n v="0"/>
    <n v="0"/>
    <n v="116.88487613461319"/>
    <n v="2225"/>
    <n v="71535.307499999995"/>
    <n v="0"/>
    <n v="0"/>
    <n v="0"/>
    <n v="0"/>
    <n v="0"/>
    <n v="0"/>
  </r>
  <r>
    <x v="71"/>
    <x v="6"/>
    <x v="5"/>
    <m/>
    <m/>
    <m/>
    <m/>
    <m/>
    <n v="0"/>
    <m/>
    <m/>
    <n v="0"/>
    <s v=""/>
    <n v="0"/>
    <n v="0"/>
    <n v="0"/>
    <n v="116.88487613461319"/>
    <n v="2225"/>
    <n v="71535.307499999995"/>
    <n v="0"/>
    <n v="0"/>
    <n v="0"/>
    <n v="0"/>
    <n v="0"/>
    <n v="0"/>
  </r>
  <r>
    <x v="72"/>
    <x v="6"/>
    <x v="5"/>
    <m/>
    <m/>
    <m/>
    <m/>
    <m/>
    <m/>
    <m/>
    <m/>
    <m/>
    <m/>
    <m/>
    <m/>
    <m/>
    <m/>
    <m/>
    <m/>
    <m/>
    <m/>
    <m/>
    <m/>
    <m/>
    <m/>
  </r>
  <r>
    <x v="73"/>
    <x v="6"/>
    <x v="5"/>
    <m/>
    <m/>
    <m/>
    <m/>
    <m/>
    <m/>
    <m/>
    <m/>
    <m/>
    <m/>
    <m/>
    <m/>
    <m/>
    <m/>
    <m/>
    <m/>
    <m/>
    <m/>
    <m/>
    <m/>
    <m/>
    <m/>
  </r>
  <r>
    <x v="74"/>
    <x v="6"/>
    <x v="5"/>
    <m/>
    <m/>
    <m/>
    <m/>
    <m/>
    <m/>
    <m/>
    <m/>
    <m/>
    <m/>
    <m/>
    <m/>
    <m/>
    <m/>
    <m/>
    <m/>
    <m/>
    <m/>
    <m/>
    <m/>
    <m/>
    <m/>
  </r>
  <r>
    <x v="75"/>
    <x v="6"/>
    <x v="5"/>
    <m/>
    <m/>
    <m/>
    <m/>
    <m/>
    <n v="0"/>
    <m/>
    <m/>
    <n v="0"/>
    <s v=""/>
    <n v="0"/>
    <n v="0"/>
    <n v="0"/>
    <n v="116.88487613461319"/>
    <n v="2225"/>
    <n v="71535.307499999995"/>
    <n v="0"/>
    <n v="0"/>
    <n v="0"/>
    <n v="0"/>
    <n v="0"/>
    <n v="0"/>
  </r>
  <r>
    <x v="76"/>
    <x v="6"/>
    <x v="5"/>
    <m/>
    <m/>
    <m/>
    <m/>
    <m/>
    <m/>
    <m/>
    <m/>
    <m/>
    <m/>
    <m/>
    <m/>
    <m/>
    <m/>
    <m/>
    <m/>
    <m/>
    <m/>
    <m/>
    <m/>
    <m/>
    <m/>
  </r>
  <r>
    <x v="77"/>
    <x v="6"/>
    <x v="5"/>
    <m/>
    <m/>
    <m/>
    <m/>
    <m/>
    <n v="0"/>
    <m/>
    <m/>
    <n v="0"/>
    <s v=""/>
    <n v="0"/>
    <n v="0"/>
    <n v="0"/>
    <n v="116.88487613461319"/>
    <n v="2225"/>
    <n v="71535.307499999995"/>
    <n v="0"/>
    <n v="0"/>
    <n v="0"/>
    <n v="0"/>
    <n v="0"/>
    <n v="0"/>
  </r>
  <r>
    <x v="78"/>
    <x v="6"/>
    <x v="5"/>
    <m/>
    <m/>
    <m/>
    <m/>
    <m/>
    <n v="0"/>
    <m/>
    <m/>
    <n v="0"/>
    <s v=""/>
    <n v="0"/>
    <n v="0"/>
    <n v="0"/>
    <n v="116.88487613461319"/>
    <n v="2225"/>
    <n v="71535.307499999995"/>
    <n v="0"/>
    <n v="0"/>
    <n v="0"/>
    <n v="0"/>
    <n v="0"/>
    <n v="0"/>
  </r>
  <r>
    <x v="79"/>
    <x v="6"/>
    <x v="5"/>
    <m/>
    <m/>
    <m/>
    <m/>
    <m/>
    <n v="0"/>
    <m/>
    <m/>
    <n v="0"/>
    <s v=""/>
    <n v="0"/>
    <n v="0"/>
    <n v="0"/>
    <n v="116.88487613461319"/>
    <n v="2225"/>
    <n v="71535.307499999995"/>
    <n v="0"/>
    <n v="0"/>
    <n v="0"/>
    <n v="0"/>
    <n v="0"/>
    <n v="0"/>
  </r>
  <r>
    <x v="80"/>
    <x v="6"/>
    <x v="5"/>
    <m/>
    <m/>
    <m/>
    <m/>
    <m/>
    <n v="0"/>
    <m/>
    <m/>
    <n v="0"/>
    <s v=""/>
    <n v="0"/>
    <n v="0"/>
    <n v="0"/>
    <n v="116.88487613461319"/>
    <n v="2225"/>
    <n v="71535.307499999995"/>
    <n v="0"/>
    <n v="0"/>
    <n v="0"/>
    <n v="0"/>
    <n v="0"/>
    <n v="0"/>
  </r>
  <r>
    <x v="81"/>
    <x v="6"/>
    <x v="5"/>
    <m/>
    <m/>
    <m/>
    <m/>
    <m/>
    <n v="0"/>
    <m/>
    <m/>
    <n v="0"/>
    <s v=""/>
    <n v="0"/>
    <n v="0"/>
    <n v="0"/>
    <n v="116.88487613461319"/>
    <n v="2225"/>
    <n v="71535.307499999995"/>
    <n v="0"/>
    <n v="0"/>
    <n v="0"/>
    <n v="0"/>
    <n v="0"/>
    <n v="0"/>
  </r>
  <r>
    <x v="82"/>
    <x v="6"/>
    <x v="5"/>
    <m/>
    <m/>
    <m/>
    <m/>
    <m/>
    <n v="0"/>
    <m/>
    <m/>
    <n v="0"/>
    <s v=""/>
    <n v="0"/>
    <n v="0"/>
    <n v="0"/>
    <n v="116.88487613461319"/>
    <n v="2225"/>
    <n v="71535.307499999995"/>
    <n v="0"/>
    <n v="0"/>
    <n v="0"/>
    <n v="0"/>
    <n v="0"/>
    <n v="0"/>
  </r>
  <r>
    <x v="83"/>
    <x v="6"/>
    <x v="5"/>
    <m/>
    <m/>
    <m/>
    <m/>
    <m/>
    <n v="0"/>
    <m/>
    <m/>
    <n v="0"/>
    <s v=""/>
    <n v="0"/>
    <n v="0"/>
    <n v="0"/>
    <n v="116.88487613461319"/>
    <n v="2225"/>
    <n v="71535.307499999995"/>
    <n v="0"/>
    <n v="0"/>
    <n v="0"/>
    <n v="0"/>
    <n v="0"/>
    <n v="0"/>
  </r>
  <r>
    <x v="84"/>
    <x v="6"/>
    <x v="5"/>
    <m/>
    <m/>
    <m/>
    <m/>
    <m/>
    <n v="0"/>
    <m/>
    <m/>
    <n v="0"/>
    <s v=""/>
    <n v="0"/>
    <n v="0"/>
    <n v="0"/>
    <n v="116.88487613461319"/>
    <n v="2225"/>
    <n v="71535.307499999995"/>
    <n v="0"/>
    <n v="0"/>
    <n v="0"/>
    <n v="0"/>
    <n v="0"/>
    <n v="0"/>
  </r>
  <r>
    <x v="85"/>
    <x v="6"/>
    <x v="5"/>
    <m/>
    <m/>
    <m/>
    <m/>
    <m/>
    <n v="0"/>
    <m/>
    <m/>
    <n v="0"/>
    <s v=""/>
    <n v="0"/>
    <n v="0"/>
    <n v="0"/>
    <n v="116.88487613461319"/>
    <n v="2225"/>
    <n v="71535.307499999995"/>
    <n v="0"/>
    <n v="0"/>
    <n v="0"/>
    <n v="0"/>
    <n v="0"/>
    <n v="0"/>
  </r>
  <r>
    <x v="86"/>
    <x v="6"/>
    <x v="5"/>
    <m/>
    <m/>
    <m/>
    <m/>
    <m/>
    <n v="0"/>
    <m/>
    <m/>
    <n v="0"/>
    <s v=""/>
    <n v="0"/>
    <n v="0"/>
    <n v="0"/>
    <n v="116.88487613461319"/>
    <n v="2225"/>
    <n v="71535.307499999995"/>
    <n v="0"/>
    <n v="0"/>
    <n v="0"/>
    <n v="0"/>
    <n v="0"/>
    <n v="0"/>
  </r>
  <r>
    <x v="87"/>
    <x v="6"/>
    <x v="5"/>
    <m/>
    <m/>
    <m/>
    <m/>
    <m/>
    <n v="0"/>
    <m/>
    <m/>
    <n v="0"/>
    <s v=""/>
    <n v="0"/>
    <n v="0"/>
    <n v="0"/>
    <n v="116.88487613461319"/>
    <n v="2225"/>
    <n v="71535.307499999995"/>
    <n v="0"/>
    <n v="0"/>
    <n v="0"/>
    <n v="0"/>
    <n v="0"/>
    <n v="0"/>
  </r>
  <r>
    <x v="88"/>
    <x v="6"/>
    <x v="5"/>
    <m/>
    <m/>
    <m/>
    <m/>
    <m/>
    <n v="0"/>
    <m/>
    <m/>
    <n v="0"/>
    <s v=""/>
    <n v="0"/>
    <n v="0"/>
    <n v="0"/>
    <n v="116.88487613461319"/>
    <n v="2225"/>
    <n v="71535.307499999995"/>
    <n v="0"/>
    <n v="0"/>
    <n v="0"/>
    <n v="0"/>
    <n v="0"/>
    <n v="0"/>
  </r>
  <r>
    <x v="89"/>
    <x v="6"/>
    <x v="5"/>
    <m/>
    <m/>
    <m/>
    <m/>
    <m/>
    <n v="0"/>
    <m/>
    <m/>
    <n v="0"/>
    <s v=""/>
    <n v="0"/>
    <n v="0"/>
    <n v="0"/>
    <n v="116.88487613461319"/>
    <n v="2225"/>
    <n v="71535.307499999995"/>
    <n v="0"/>
    <n v="0"/>
    <n v="0"/>
    <n v="0"/>
    <n v="0"/>
    <n v="0"/>
  </r>
  <r>
    <x v="90"/>
    <x v="6"/>
    <x v="5"/>
    <m/>
    <m/>
    <m/>
    <m/>
    <m/>
    <n v="0"/>
    <m/>
    <m/>
    <n v="0"/>
    <s v=""/>
    <n v="0"/>
    <n v="0"/>
    <n v="0"/>
    <n v="116.88487613461319"/>
    <n v="2225"/>
    <n v="71535.307499999995"/>
    <n v="0"/>
    <n v="0"/>
    <n v="0"/>
    <n v="0"/>
    <n v="0"/>
    <n v="0"/>
  </r>
  <r>
    <x v="91"/>
    <x v="6"/>
    <x v="5"/>
    <m/>
    <m/>
    <m/>
    <m/>
    <m/>
    <n v="0"/>
    <m/>
    <m/>
    <n v="0"/>
    <s v=""/>
    <n v="0"/>
    <n v="0"/>
    <n v="0"/>
    <n v="116.88487613461319"/>
    <n v="2225"/>
    <n v="71535.307499999995"/>
    <n v="0"/>
    <n v="0"/>
    <n v="0"/>
    <n v="0"/>
    <n v="0"/>
    <n v="0"/>
  </r>
  <r>
    <x v="92"/>
    <x v="6"/>
    <x v="5"/>
    <m/>
    <m/>
    <m/>
    <m/>
    <m/>
    <n v="0"/>
    <m/>
    <m/>
    <n v="0"/>
    <s v=""/>
    <n v="0"/>
    <n v="0"/>
    <n v="0"/>
    <n v="116.88487613461319"/>
    <n v="2225"/>
    <n v="71535.307499999995"/>
    <n v="0"/>
    <n v="0"/>
    <n v="0"/>
    <n v="0"/>
    <n v="0"/>
    <n v="0"/>
  </r>
  <r>
    <x v="93"/>
    <x v="6"/>
    <x v="5"/>
    <m/>
    <m/>
    <m/>
    <m/>
    <m/>
    <n v="0"/>
    <m/>
    <m/>
    <n v="0"/>
    <s v=""/>
    <n v="0"/>
    <n v="0"/>
    <n v="0"/>
    <n v="116.88487613461319"/>
    <n v="2225"/>
    <n v="71535.307499999995"/>
    <n v="0"/>
    <n v="0"/>
    <n v="0"/>
    <n v="0"/>
    <n v="0"/>
    <n v="0"/>
  </r>
  <r>
    <x v="94"/>
    <x v="6"/>
    <x v="5"/>
    <m/>
    <m/>
    <m/>
    <m/>
    <m/>
    <n v="0"/>
    <m/>
    <m/>
    <n v="0"/>
    <s v=""/>
    <n v="0"/>
    <n v="0"/>
    <n v="0"/>
    <n v="116.88487613461319"/>
    <n v="2225"/>
    <n v="71535.307499999995"/>
    <n v="0"/>
    <n v="0"/>
    <n v="0"/>
    <n v="0"/>
    <n v="0"/>
    <n v="0"/>
  </r>
  <r>
    <x v="95"/>
    <x v="6"/>
    <x v="5"/>
    <m/>
    <m/>
    <m/>
    <m/>
    <m/>
    <n v="0"/>
    <m/>
    <m/>
    <n v="0"/>
    <s v=""/>
    <n v="0"/>
    <n v="0"/>
    <n v="0"/>
    <n v="116.88487613461319"/>
    <n v="2225"/>
    <n v="71535.307499999995"/>
    <n v="0"/>
    <n v="0"/>
    <n v="0"/>
    <n v="0"/>
    <n v="0"/>
    <n v="0"/>
  </r>
  <r>
    <x v="96"/>
    <x v="6"/>
    <x v="5"/>
    <m/>
    <m/>
    <m/>
    <m/>
    <m/>
    <n v="0"/>
    <m/>
    <m/>
    <n v="0"/>
    <s v=""/>
    <n v="0"/>
    <n v="0"/>
    <n v="0"/>
    <n v="116.88487613461319"/>
    <n v="2225"/>
    <n v="71535.307499999995"/>
    <n v="0"/>
    <n v="0"/>
    <n v="0"/>
    <n v="0"/>
    <n v="0"/>
    <n v="0"/>
  </r>
  <r>
    <x v="97"/>
    <x v="6"/>
    <x v="5"/>
    <m/>
    <m/>
    <m/>
    <m/>
    <m/>
    <n v="0"/>
    <m/>
    <m/>
    <n v="0"/>
    <s v=""/>
    <n v="0"/>
    <n v="0"/>
    <n v="0"/>
    <n v="116.88487613461319"/>
    <n v="2225"/>
    <n v="71535.307499999995"/>
    <n v="0"/>
    <n v="0"/>
    <n v="0"/>
    <n v="0"/>
    <n v="0"/>
    <n v="0"/>
  </r>
  <r>
    <x v="98"/>
    <x v="6"/>
    <x v="6"/>
    <m/>
    <m/>
    <m/>
    <m/>
    <m/>
    <n v="0"/>
    <m/>
    <m/>
    <n v="0"/>
    <s v=""/>
    <n v="0"/>
    <n v="0"/>
    <n v="0"/>
    <n v="116.88487613461319"/>
    <n v="2225"/>
    <n v="71535.307499999995"/>
    <n v="0"/>
    <n v="0"/>
    <n v="0"/>
    <n v="0"/>
    <n v="0"/>
    <n v="0"/>
  </r>
  <r>
    <x v="99"/>
    <x v="6"/>
    <x v="6"/>
    <m/>
    <m/>
    <m/>
    <m/>
    <m/>
    <n v="0"/>
    <m/>
    <m/>
    <n v="0"/>
    <s v=""/>
    <n v="0"/>
    <n v="0"/>
    <n v="0"/>
    <n v="116.88487613461319"/>
    <n v="2225"/>
    <n v="71535.307499999995"/>
    <n v="0"/>
    <n v="0"/>
    <n v="0"/>
    <n v="0"/>
    <n v="0"/>
    <n v="0"/>
  </r>
  <r>
    <x v="100"/>
    <x v="6"/>
    <x v="6"/>
    <m/>
    <m/>
    <m/>
    <m/>
    <m/>
    <n v="0"/>
    <m/>
    <m/>
    <n v="0"/>
    <s v=""/>
    <n v="0"/>
    <n v="0"/>
    <n v="0"/>
    <n v="116.88487613461319"/>
    <n v="2225"/>
    <n v="71535.307499999995"/>
    <n v="0"/>
    <n v="0"/>
    <n v="0"/>
    <n v="0"/>
    <n v="0"/>
    <n v="0"/>
  </r>
  <r>
    <x v="101"/>
    <x v="6"/>
    <x v="6"/>
    <m/>
    <m/>
    <m/>
    <m/>
    <m/>
    <n v="0"/>
    <m/>
    <m/>
    <n v="0"/>
    <s v=""/>
    <n v="0"/>
    <n v="0"/>
    <n v="0"/>
    <n v="116.88487613461319"/>
    <n v="2225"/>
    <n v="71535.307499999995"/>
    <n v="0"/>
    <n v="0"/>
    <n v="0"/>
    <n v="0"/>
    <n v="0"/>
    <n v="0"/>
  </r>
  <r>
    <x v="102"/>
    <x v="6"/>
    <x v="6"/>
    <m/>
    <m/>
    <m/>
    <m/>
    <m/>
    <n v="0"/>
    <m/>
    <m/>
    <n v="0"/>
    <s v=""/>
    <n v="0"/>
    <n v="0"/>
    <n v="0"/>
    <n v="116.88487613461319"/>
    <n v="2225"/>
    <n v="71535.307499999995"/>
    <n v="0"/>
    <n v="0"/>
    <n v="0"/>
    <n v="0"/>
    <n v="0"/>
    <n v="0"/>
  </r>
  <r>
    <x v="103"/>
    <x v="6"/>
    <x v="6"/>
    <m/>
    <m/>
    <m/>
    <m/>
    <m/>
    <n v="0"/>
    <m/>
    <m/>
    <n v="0"/>
    <s v=""/>
    <n v="0"/>
    <n v="0"/>
    <n v="0"/>
    <n v="116.88487613461319"/>
    <n v="2225"/>
    <n v="71535.307499999995"/>
    <n v="0"/>
    <n v="0"/>
    <n v="0"/>
    <n v="0"/>
    <n v="0"/>
    <n v="0"/>
  </r>
  <r>
    <x v="104"/>
    <x v="6"/>
    <x v="6"/>
    <m/>
    <m/>
    <m/>
    <m/>
    <m/>
    <n v="0"/>
    <m/>
    <m/>
    <n v="0"/>
    <s v=""/>
    <n v="0"/>
    <n v="0"/>
    <n v="0"/>
    <n v="116.88487613461319"/>
    <n v="2225"/>
    <n v="71535.307499999995"/>
    <n v="0"/>
    <n v="0"/>
    <n v="0"/>
    <n v="0"/>
    <n v="0"/>
    <n v="0"/>
  </r>
  <r>
    <x v="105"/>
    <x v="6"/>
    <x v="6"/>
    <m/>
    <m/>
    <m/>
    <m/>
    <m/>
    <n v="0"/>
    <m/>
    <m/>
    <n v="0"/>
    <s v=""/>
    <n v="0"/>
    <n v="0"/>
    <n v="0"/>
    <n v="116.88487613461319"/>
    <n v="2225"/>
    <n v="71535.307499999995"/>
    <n v="0"/>
    <n v="0"/>
    <n v="0"/>
    <n v="0"/>
    <n v="0"/>
    <n v="0"/>
  </r>
  <r>
    <x v="106"/>
    <x v="6"/>
    <x v="6"/>
    <m/>
    <m/>
    <m/>
    <m/>
    <m/>
    <n v="0"/>
    <m/>
    <m/>
    <n v="0"/>
    <s v=""/>
    <n v="0"/>
    <n v="0"/>
    <n v="0"/>
    <n v="116.88487613461319"/>
    <n v="2225"/>
    <n v="71535.307499999995"/>
    <n v="0"/>
    <n v="0"/>
    <n v="0"/>
    <n v="0"/>
    <n v="0"/>
    <n v="0"/>
  </r>
  <r>
    <x v="107"/>
    <x v="6"/>
    <x v="6"/>
    <m/>
    <m/>
    <m/>
    <m/>
    <m/>
    <n v="0"/>
    <m/>
    <m/>
    <n v="0"/>
    <s v=""/>
    <n v="0"/>
    <n v="0"/>
    <n v="0"/>
    <n v="116.88487613461319"/>
    <n v="2225"/>
    <n v="71535.307499999995"/>
    <n v="0"/>
    <n v="0"/>
    <n v="0"/>
    <n v="0"/>
    <n v="0"/>
    <n v="0"/>
  </r>
  <r>
    <x v="108"/>
    <x v="6"/>
    <x v="6"/>
    <m/>
    <m/>
    <m/>
    <m/>
    <m/>
    <n v="0"/>
    <m/>
    <m/>
    <n v="0"/>
    <s v=""/>
    <n v="0"/>
    <n v="0"/>
    <n v="0"/>
    <n v="116.88487613461319"/>
    <n v="2225"/>
    <n v="71535.307499999995"/>
    <n v="0"/>
    <n v="0"/>
    <n v="0"/>
    <n v="0"/>
    <n v="0"/>
    <n v="0"/>
  </r>
  <r>
    <x v="109"/>
    <x v="6"/>
    <x v="6"/>
    <m/>
    <m/>
    <m/>
    <m/>
    <m/>
    <n v="0"/>
    <m/>
    <m/>
    <n v="0"/>
    <s v=""/>
    <n v="0"/>
    <n v="0"/>
    <n v="0"/>
    <n v="116.88487613461319"/>
    <n v="2225"/>
    <n v="71535.307499999995"/>
    <n v="0"/>
    <n v="0"/>
    <n v="0"/>
    <n v="0"/>
    <n v="0"/>
    <n v="0"/>
  </r>
  <r>
    <x v="110"/>
    <x v="6"/>
    <x v="7"/>
    <m/>
    <m/>
    <m/>
    <m/>
    <m/>
    <n v="0"/>
    <m/>
    <m/>
    <n v="0"/>
    <s v=""/>
    <n v="0"/>
    <n v="0"/>
    <n v="0"/>
    <n v="116.88487613461319"/>
    <n v="2225"/>
    <n v="71535.307499999995"/>
    <n v="0"/>
    <n v="0"/>
    <n v="0"/>
    <n v="0"/>
    <n v="0"/>
    <n v="0"/>
  </r>
  <r>
    <x v="111"/>
    <x v="6"/>
    <x v="7"/>
    <m/>
    <m/>
    <m/>
    <m/>
    <m/>
    <n v="0"/>
    <m/>
    <m/>
    <n v="0"/>
    <s v=""/>
    <n v="0"/>
    <n v="0"/>
    <n v="0"/>
    <n v="116.88487613461319"/>
    <n v="2225"/>
    <n v="71535.307499999995"/>
    <n v="0"/>
    <n v="0"/>
    <n v="0"/>
    <n v="0"/>
    <n v="0"/>
    <n v="0"/>
  </r>
  <r>
    <x v="112"/>
    <x v="6"/>
    <x v="7"/>
    <m/>
    <m/>
    <m/>
    <m/>
    <m/>
    <n v="0"/>
    <m/>
    <m/>
    <n v="0"/>
    <s v=""/>
    <n v="0"/>
    <n v="0"/>
    <n v="0"/>
    <n v="116.88487613461319"/>
    <n v="2225"/>
    <n v="71535.307499999995"/>
    <n v="0"/>
    <n v="0"/>
    <n v="0"/>
    <n v="0"/>
    <n v="0"/>
    <n v="0"/>
  </r>
  <r>
    <x v="113"/>
    <x v="6"/>
    <x v="7"/>
    <m/>
    <m/>
    <m/>
    <m/>
    <m/>
    <n v="0"/>
    <m/>
    <m/>
    <n v="0"/>
    <s v=""/>
    <n v="0"/>
    <n v="0"/>
    <n v="0"/>
    <n v="116.88487613461319"/>
    <n v="2225"/>
    <n v="71535.307499999995"/>
    <n v="0"/>
    <n v="0"/>
    <n v="0"/>
    <n v="0"/>
    <n v="0"/>
    <n v="0"/>
  </r>
  <r>
    <x v="114"/>
    <x v="6"/>
    <x v="7"/>
    <m/>
    <m/>
    <m/>
    <m/>
    <m/>
    <n v="0"/>
    <m/>
    <m/>
    <n v="0"/>
    <s v=""/>
    <n v="0"/>
    <n v="0"/>
    <n v="0"/>
    <n v="116.88487613461319"/>
    <n v="2225"/>
    <n v="71535.307499999995"/>
    <n v="0"/>
    <n v="0"/>
    <n v="0"/>
    <n v="0"/>
    <n v="0"/>
    <n v="0"/>
  </r>
  <r>
    <x v="115"/>
    <x v="6"/>
    <x v="7"/>
    <m/>
    <m/>
    <m/>
    <m/>
    <m/>
    <n v="0"/>
    <m/>
    <m/>
    <n v="0"/>
    <s v=""/>
    <n v="0"/>
    <n v="0"/>
    <n v="0"/>
    <n v="116.88487613461319"/>
    <n v="2225"/>
    <n v="71535.307499999995"/>
    <n v="0"/>
    <n v="0"/>
    <n v="0"/>
    <n v="0"/>
    <n v="0"/>
    <n v="0"/>
  </r>
  <r>
    <x v="116"/>
    <x v="6"/>
    <x v="7"/>
    <m/>
    <m/>
    <m/>
    <m/>
    <m/>
    <n v="0"/>
    <m/>
    <m/>
    <n v="0"/>
    <s v=""/>
    <n v="0"/>
    <n v="0"/>
    <n v="0"/>
    <n v="116.88487613461319"/>
    <n v="2225"/>
    <n v="71535.307499999995"/>
    <n v="0"/>
    <n v="0"/>
    <n v="0"/>
    <n v="0"/>
    <n v="0"/>
    <n v="0"/>
  </r>
  <r>
    <x v="117"/>
    <x v="6"/>
    <x v="7"/>
    <m/>
    <m/>
    <m/>
    <m/>
    <m/>
    <n v="0"/>
    <m/>
    <m/>
    <n v="0"/>
    <s v=""/>
    <n v="0"/>
    <n v="0"/>
    <n v="0"/>
    <n v="116.88487613461319"/>
    <n v="2225"/>
    <n v="71535.307499999995"/>
    <n v="0"/>
    <n v="0"/>
    <n v="0"/>
    <n v="0"/>
    <n v="0"/>
    <n v="0"/>
  </r>
  <r>
    <x v="118"/>
    <x v="6"/>
    <x v="7"/>
    <m/>
    <m/>
    <m/>
    <m/>
    <m/>
    <n v="0"/>
    <m/>
    <m/>
    <n v="0"/>
    <s v=""/>
    <n v="0"/>
    <n v="0"/>
    <n v="0"/>
    <n v="116.88487613461319"/>
    <n v="2225"/>
    <n v="71535.307499999995"/>
    <n v="0"/>
    <n v="0"/>
    <n v="0"/>
    <n v="0"/>
    <n v="0"/>
    <n v="0"/>
  </r>
  <r>
    <x v="119"/>
    <x v="6"/>
    <x v="7"/>
    <m/>
    <m/>
    <m/>
    <m/>
    <m/>
    <n v="0"/>
    <m/>
    <m/>
    <n v="0"/>
    <s v=""/>
    <n v="0"/>
    <n v="0"/>
    <n v="0"/>
    <n v="116.88487613461319"/>
    <n v="2225"/>
    <n v="71535.307499999995"/>
    <n v="0"/>
    <n v="0"/>
    <n v="0"/>
    <n v="0"/>
    <n v="0"/>
    <n v="0"/>
  </r>
  <r>
    <x v="120"/>
    <x v="6"/>
    <x v="7"/>
    <m/>
    <m/>
    <m/>
    <m/>
    <m/>
    <n v="0"/>
    <m/>
    <m/>
    <n v="0"/>
    <s v=""/>
    <n v="0"/>
    <n v="0"/>
    <n v="0"/>
    <n v="116.88487613461319"/>
    <n v="2225"/>
    <n v="71535.307499999995"/>
    <n v="0"/>
    <n v="0"/>
    <n v="0"/>
    <n v="0"/>
    <n v="0"/>
    <n v="0"/>
  </r>
  <r>
    <x v="121"/>
    <x v="6"/>
    <x v="7"/>
    <m/>
    <m/>
    <m/>
    <m/>
    <m/>
    <n v="0"/>
    <m/>
    <m/>
    <n v="0"/>
    <s v=""/>
    <n v="0"/>
    <n v="0"/>
    <n v="0"/>
    <n v="116.88487613461319"/>
    <n v="2225"/>
    <n v="71535.307499999995"/>
    <n v="0"/>
    <n v="0"/>
    <n v="0"/>
    <n v="0"/>
    <n v="0"/>
    <n v="0"/>
  </r>
  <r>
    <x v="122"/>
    <x v="6"/>
    <x v="7"/>
    <m/>
    <m/>
    <m/>
    <m/>
    <m/>
    <n v="0"/>
    <m/>
    <m/>
    <n v="0"/>
    <s v=""/>
    <n v="0"/>
    <n v="0"/>
    <n v="0"/>
    <n v="116.88487613461319"/>
    <n v="2225"/>
    <n v="71535.307499999995"/>
    <n v="0"/>
    <n v="0"/>
    <n v="0"/>
    <n v="0"/>
    <n v="0"/>
    <n v="0"/>
  </r>
  <r>
    <x v="123"/>
    <x v="6"/>
    <x v="7"/>
    <m/>
    <m/>
    <m/>
    <m/>
    <m/>
    <n v="0"/>
    <m/>
    <m/>
    <n v="0"/>
    <s v=""/>
    <n v="0"/>
    <n v="0"/>
    <n v="0"/>
    <n v="116.88487613461319"/>
    <n v="2225"/>
    <n v="71535.307499999995"/>
    <n v="0"/>
    <n v="0"/>
    <n v="0"/>
    <n v="0"/>
    <n v="0"/>
    <n v="0"/>
  </r>
  <r>
    <x v="124"/>
    <x v="6"/>
    <x v="7"/>
    <m/>
    <m/>
    <m/>
    <m/>
    <m/>
    <n v="0"/>
    <m/>
    <m/>
    <n v="0"/>
    <s v=""/>
    <n v="0"/>
    <n v="0"/>
    <n v="0"/>
    <n v="116.88487613461319"/>
    <n v="2225"/>
    <n v="71535.307499999995"/>
    <n v="0"/>
    <n v="0"/>
    <n v="0"/>
    <n v="0"/>
    <n v="0"/>
    <n v="0"/>
  </r>
  <r>
    <x v="125"/>
    <x v="6"/>
    <x v="7"/>
    <m/>
    <m/>
    <m/>
    <m/>
    <m/>
    <n v="0"/>
    <m/>
    <m/>
    <n v="0"/>
    <s v=""/>
    <n v="0"/>
    <n v="0"/>
    <n v="0"/>
    <n v="116.88487613461319"/>
    <n v="2225"/>
    <n v="71535.307499999995"/>
    <n v="0"/>
    <n v="0"/>
    <n v="0"/>
    <n v="0"/>
    <n v="0"/>
    <n v="0"/>
  </r>
  <r>
    <x v="126"/>
    <x v="6"/>
    <x v="7"/>
    <m/>
    <m/>
    <m/>
    <m/>
    <m/>
    <n v="0"/>
    <m/>
    <m/>
    <n v="0"/>
    <s v=""/>
    <n v="0"/>
    <n v="0"/>
    <n v="0"/>
    <n v="116.88487613461319"/>
    <n v="2225"/>
    <n v="71535.307499999995"/>
    <n v="0"/>
    <n v="0"/>
    <n v="0"/>
    <n v="0"/>
    <n v="0"/>
    <n v="0"/>
  </r>
  <r>
    <x v="127"/>
    <x v="6"/>
    <x v="7"/>
    <m/>
    <m/>
    <m/>
    <m/>
    <m/>
    <n v="0"/>
    <m/>
    <m/>
    <n v="0"/>
    <s v=""/>
    <n v="0"/>
    <n v="0"/>
    <n v="0"/>
    <n v="116.88487613461319"/>
    <n v="2225"/>
    <n v="71535.307499999995"/>
    <n v="0"/>
    <n v="0"/>
    <n v="0"/>
    <n v="0"/>
    <n v="0"/>
    <n v="0"/>
  </r>
  <r>
    <x v="0"/>
    <x v="7"/>
    <x v="0"/>
    <m/>
    <m/>
    <m/>
    <m/>
    <m/>
    <n v="0"/>
    <m/>
    <m/>
    <n v="0"/>
    <s v=""/>
    <n v="0"/>
    <n v="0"/>
    <n v="0"/>
    <n v="116.88487613461319"/>
    <n v="2225"/>
    <n v="71535.307499999995"/>
    <n v="0"/>
    <n v="0"/>
    <n v="0"/>
    <n v="0"/>
    <n v="0"/>
    <n v="0"/>
  </r>
  <r>
    <x v="1"/>
    <x v="7"/>
    <x v="0"/>
    <m/>
    <m/>
    <m/>
    <m/>
    <m/>
    <n v="0"/>
    <m/>
    <m/>
    <n v="0"/>
    <s v=""/>
    <n v="0"/>
    <n v="0"/>
    <n v="0"/>
    <n v="116.88487613461319"/>
    <n v="2225"/>
    <n v="71535.307499999995"/>
    <n v="0"/>
    <n v="0"/>
    <n v="0"/>
    <n v="0"/>
    <n v="0"/>
    <n v="0"/>
  </r>
  <r>
    <x v="2"/>
    <x v="7"/>
    <x v="0"/>
    <m/>
    <m/>
    <m/>
    <m/>
    <m/>
    <n v="0"/>
    <m/>
    <m/>
    <n v="0"/>
    <s v=""/>
    <n v="0"/>
    <n v="0"/>
    <n v="0"/>
    <n v="116.88487613461319"/>
    <n v="2225"/>
    <n v="71535.307499999995"/>
    <n v="0"/>
    <n v="0"/>
    <n v="0"/>
    <n v="0"/>
    <n v="0"/>
    <n v="0"/>
  </r>
  <r>
    <x v="3"/>
    <x v="7"/>
    <x v="0"/>
    <m/>
    <m/>
    <m/>
    <m/>
    <m/>
    <n v="0"/>
    <m/>
    <m/>
    <n v="0"/>
    <s v=""/>
    <n v="0"/>
    <n v="0"/>
    <n v="0"/>
    <n v="116.88487613461319"/>
    <n v="2225"/>
    <n v="71535.307499999995"/>
    <n v="0"/>
    <n v="0"/>
    <n v="0"/>
    <n v="0"/>
    <n v="0"/>
    <n v="0"/>
  </r>
  <r>
    <x v="4"/>
    <x v="7"/>
    <x v="1"/>
    <m/>
    <m/>
    <m/>
    <m/>
    <m/>
    <n v="0"/>
    <m/>
    <m/>
    <n v="0"/>
    <s v=""/>
    <n v="0"/>
    <n v="0"/>
    <n v="0"/>
    <n v="116.88487613461319"/>
    <n v="2225"/>
    <n v="71535.307499999995"/>
    <n v="0"/>
    <n v="0"/>
    <n v="0"/>
    <n v="0"/>
    <n v="0"/>
    <n v="0"/>
  </r>
  <r>
    <x v="5"/>
    <x v="7"/>
    <x v="1"/>
    <m/>
    <m/>
    <m/>
    <m/>
    <m/>
    <n v="0"/>
    <m/>
    <m/>
    <n v="0"/>
    <s v=""/>
    <n v="0"/>
    <n v="0"/>
    <n v="0"/>
    <n v="116.88487613461319"/>
    <n v="2225"/>
    <n v="71535.307499999995"/>
    <n v="0"/>
    <n v="0"/>
    <n v="0"/>
    <n v="0"/>
    <n v="0"/>
    <n v="0"/>
  </r>
  <r>
    <x v="6"/>
    <x v="7"/>
    <x v="1"/>
    <m/>
    <m/>
    <m/>
    <m/>
    <m/>
    <n v="0"/>
    <m/>
    <m/>
    <n v="0"/>
    <s v=""/>
    <n v="0"/>
    <n v="0"/>
    <n v="0"/>
    <n v="116.88487613461319"/>
    <n v="2225"/>
    <n v="71535.307499999995"/>
    <n v="0"/>
    <n v="0"/>
    <n v="0"/>
    <n v="0"/>
    <n v="0"/>
    <n v="0"/>
  </r>
  <r>
    <x v="7"/>
    <x v="7"/>
    <x v="2"/>
    <m/>
    <m/>
    <m/>
    <n v="2030"/>
    <n v="1.59"/>
    <n v="3.2277000000000005"/>
    <m/>
    <m/>
    <n v="0"/>
    <n v="-1"/>
    <n v="-2030"/>
    <n v="-3.2277000000000005"/>
    <n v="0"/>
    <n v="116.88487613461319"/>
    <n v="2225"/>
    <n v="71535.307499999995"/>
    <n v="230894.51201775001"/>
    <n v="0"/>
    <n v="237276.29855326479"/>
    <n v="0"/>
    <n v="-6381.7865355147806"/>
    <n v="0"/>
  </r>
  <r>
    <x v="8"/>
    <x v="7"/>
    <x v="2"/>
    <m/>
    <m/>
    <m/>
    <n v="3045"/>
    <n v="2.0099999999999998"/>
    <n v="6.1204499999999991"/>
    <n v="3149.7999999999997"/>
    <n v="1.2903291541489252"/>
    <n v="4.0642787697382845"/>
    <n v="-0.33595098894063585"/>
    <n v="104.79999999999973"/>
    <n v="-2.0561712302617146"/>
    <n v="-77424.551289854746"/>
    <n v="116.88487613461319"/>
    <n v="2225"/>
    <n v="71535.307499999995"/>
    <n v="437828.27278837492"/>
    <n v="290739.43155894987"/>
    <n v="355914.44782989717"/>
    <n v="368163.98284880462"/>
    <n v="81913.824958477751"/>
    <n v="-77424.551289854746"/>
  </r>
  <r>
    <x v="9"/>
    <x v="7"/>
    <x v="2"/>
    <m/>
    <m/>
    <m/>
    <m/>
    <m/>
    <n v="0"/>
    <m/>
    <m/>
    <n v="0"/>
    <s v=""/>
    <n v="0"/>
    <n v="0"/>
    <n v="0"/>
    <n v="116.88487613461319"/>
    <n v="2225"/>
    <n v="71535.307499999995"/>
    <n v="0"/>
    <n v="0"/>
    <n v="0"/>
    <n v="0"/>
    <n v="0"/>
    <n v="0"/>
  </r>
  <r>
    <x v="10"/>
    <x v="7"/>
    <x v="2"/>
    <m/>
    <m/>
    <m/>
    <m/>
    <m/>
    <n v="0"/>
    <m/>
    <m/>
    <n v="0"/>
    <s v=""/>
    <n v="0"/>
    <n v="0"/>
    <n v="0"/>
    <n v="116.88487613461319"/>
    <n v="2225"/>
    <n v="71535.307499999995"/>
    <n v="0"/>
    <n v="0"/>
    <n v="0"/>
    <n v="0"/>
    <n v="0"/>
    <n v="0"/>
  </r>
  <r>
    <x v="11"/>
    <x v="7"/>
    <x v="2"/>
    <m/>
    <m/>
    <m/>
    <m/>
    <m/>
    <n v="0"/>
    <m/>
    <m/>
    <n v="0"/>
    <s v=""/>
    <n v="0"/>
    <n v="0"/>
    <n v="0"/>
    <n v="116.88487613461319"/>
    <n v="2225"/>
    <n v="71535.307499999995"/>
    <n v="0"/>
    <n v="0"/>
    <n v="0"/>
    <n v="0"/>
    <n v="0"/>
    <n v="0"/>
  </r>
  <r>
    <x v="12"/>
    <x v="7"/>
    <x v="2"/>
    <m/>
    <m/>
    <m/>
    <m/>
    <m/>
    <n v="0"/>
    <m/>
    <m/>
    <n v="0"/>
    <s v=""/>
    <n v="0"/>
    <n v="0"/>
    <n v="0"/>
    <n v="116.88487613461319"/>
    <n v="2225"/>
    <n v="71535.307499999995"/>
    <n v="0"/>
    <n v="0"/>
    <n v="0"/>
    <n v="0"/>
    <n v="0"/>
    <n v="0"/>
  </r>
  <r>
    <x v="13"/>
    <x v="7"/>
    <x v="2"/>
    <m/>
    <m/>
    <m/>
    <m/>
    <m/>
    <n v="0"/>
    <m/>
    <m/>
    <n v="0"/>
    <s v=""/>
    <n v="0"/>
    <n v="0"/>
    <n v="0"/>
    <n v="116.88487613461319"/>
    <n v="2225"/>
    <n v="71535.307499999995"/>
    <n v="0"/>
    <n v="0"/>
    <n v="0"/>
    <n v="0"/>
    <n v="0"/>
    <n v="0"/>
  </r>
  <r>
    <x v="14"/>
    <x v="7"/>
    <x v="2"/>
    <m/>
    <m/>
    <m/>
    <m/>
    <m/>
    <n v="0"/>
    <m/>
    <m/>
    <n v="0"/>
    <s v=""/>
    <n v="0"/>
    <n v="0"/>
    <n v="0"/>
    <n v="116.88487613461319"/>
    <n v="2225"/>
    <n v="71535.307499999995"/>
    <n v="0"/>
    <n v="0"/>
    <n v="0"/>
    <n v="0"/>
    <n v="0"/>
    <n v="0"/>
  </r>
  <r>
    <x v="15"/>
    <x v="7"/>
    <x v="2"/>
    <m/>
    <m/>
    <m/>
    <m/>
    <m/>
    <n v="0"/>
    <m/>
    <m/>
    <n v="0"/>
    <s v=""/>
    <n v="0"/>
    <n v="0"/>
    <n v="0"/>
    <n v="116.88487613461319"/>
    <n v="2225"/>
    <n v="71535.307499999995"/>
    <n v="0"/>
    <n v="0"/>
    <n v="0"/>
    <n v="0"/>
    <n v="0"/>
    <n v="0"/>
  </r>
  <r>
    <x v="16"/>
    <x v="7"/>
    <x v="2"/>
    <m/>
    <m/>
    <m/>
    <m/>
    <m/>
    <n v="0"/>
    <m/>
    <m/>
    <n v="0"/>
    <s v=""/>
    <n v="0"/>
    <n v="0"/>
    <n v="0"/>
    <n v="116.88487613461319"/>
    <n v="2225"/>
    <n v="71535.307499999995"/>
    <n v="0"/>
    <n v="0"/>
    <n v="0"/>
    <n v="0"/>
    <n v="0"/>
    <n v="0"/>
  </r>
  <r>
    <x v="17"/>
    <x v="7"/>
    <x v="3"/>
    <m/>
    <m/>
    <m/>
    <m/>
    <m/>
    <n v="0"/>
    <n v="35"/>
    <n v="0.8361332918885036"/>
    <n v="2.9264665216097625E-2"/>
    <s v=""/>
    <n v="35"/>
    <n v="2.9264665216097625E-2"/>
    <n v="-1997.5138395933645"/>
    <n v="116.88487613461319"/>
    <n v="2225"/>
    <n v="71535.307499999995"/>
    <n v="0"/>
    <n v="2093.4568251180972"/>
    <n v="0"/>
    <n v="4090.9706647114617"/>
    <n v="0"/>
    <n v="-1997.5138395933645"/>
  </r>
  <r>
    <x v="18"/>
    <x v="7"/>
    <x v="3"/>
    <m/>
    <m/>
    <m/>
    <m/>
    <m/>
    <n v="0"/>
    <m/>
    <m/>
    <n v="0"/>
    <s v=""/>
    <n v="0"/>
    <n v="0"/>
    <n v="0"/>
    <n v="116.88487613461319"/>
    <n v="2225"/>
    <n v="71535.307499999995"/>
    <n v="0"/>
    <n v="0"/>
    <n v="0"/>
    <n v="0"/>
    <n v="0"/>
    <n v="0"/>
  </r>
  <r>
    <x v="19"/>
    <x v="7"/>
    <x v="3"/>
    <m/>
    <m/>
    <m/>
    <m/>
    <m/>
    <n v="0"/>
    <m/>
    <m/>
    <n v="0"/>
    <s v=""/>
    <n v="0"/>
    <n v="0"/>
    <n v="0"/>
    <n v="116.88487613461319"/>
    <n v="2225"/>
    <n v="71535.307499999995"/>
    <n v="0"/>
    <n v="0"/>
    <n v="0"/>
    <n v="0"/>
    <n v="0"/>
    <n v="0"/>
  </r>
  <r>
    <x v="20"/>
    <x v="7"/>
    <x v="3"/>
    <m/>
    <m/>
    <m/>
    <m/>
    <m/>
    <n v="0"/>
    <m/>
    <m/>
    <n v="0"/>
    <s v=""/>
    <n v="0"/>
    <n v="0"/>
    <n v="0"/>
    <n v="116.88487613461319"/>
    <n v="2225"/>
    <n v="71535.307499999995"/>
    <n v="0"/>
    <n v="0"/>
    <n v="0"/>
    <n v="0"/>
    <n v="0"/>
    <n v="0"/>
  </r>
  <r>
    <x v="21"/>
    <x v="7"/>
    <x v="3"/>
    <m/>
    <m/>
    <m/>
    <n v="2030"/>
    <n v="1.3"/>
    <n v="2.6389999999999998"/>
    <n v="2264"/>
    <n v="1.4864591855795619"/>
    <n v="3.3653435961521283"/>
    <n v="0.27523440551425865"/>
    <n v="234"/>
    <n v="0.72634359615212851"/>
    <n v="-23886.470574865991"/>
    <n v="116.88487613461319"/>
    <n v="2225"/>
    <n v="71535.307499999995"/>
    <n v="188781.67649249997"/>
    <n v="240740.88899389829"/>
    <n v="237276.29855326479"/>
    <n v="264627.35956876428"/>
    <n v="-48494.622060764814"/>
    <n v="-23886.470574865991"/>
  </r>
  <r>
    <x v="22"/>
    <x v="7"/>
    <x v="3"/>
    <m/>
    <m/>
    <m/>
    <m/>
    <m/>
    <n v="0"/>
    <m/>
    <m/>
    <n v="0"/>
    <s v=""/>
    <n v="0"/>
    <n v="0"/>
    <n v="0"/>
    <n v="116.88487613461319"/>
    <n v="2225"/>
    <n v="71535.307499999995"/>
    <n v="0"/>
    <n v="0"/>
    <n v="0"/>
    <n v="0"/>
    <n v="0"/>
    <n v="0"/>
  </r>
  <r>
    <x v="23"/>
    <x v="7"/>
    <x v="3"/>
    <m/>
    <m/>
    <m/>
    <m/>
    <m/>
    <n v="0"/>
    <m/>
    <m/>
    <n v="0"/>
    <s v=""/>
    <n v="0"/>
    <n v="0"/>
    <n v="0"/>
    <n v="116.88487613461319"/>
    <n v="2225"/>
    <n v="71535.307499999995"/>
    <n v="0"/>
    <n v="0"/>
    <n v="0"/>
    <n v="0"/>
    <n v="0"/>
    <n v="0"/>
  </r>
  <r>
    <x v="24"/>
    <x v="7"/>
    <x v="3"/>
    <m/>
    <m/>
    <m/>
    <m/>
    <m/>
    <n v="0"/>
    <m/>
    <m/>
    <n v="0"/>
    <s v=""/>
    <n v="0"/>
    <n v="0"/>
    <n v="0"/>
    <n v="116.88487613461319"/>
    <n v="2225"/>
    <n v="71535.307499999995"/>
    <n v="0"/>
    <n v="0"/>
    <n v="0"/>
    <n v="0"/>
    <n v="0"/>
    <n v="0"/>
  </r>
  <r>
    <x v="25"/>
    <x v="7"/>
    <x v="3"/>
    <m/>
    <m/>
    <m/>
    <m/>
    <m/>
    <n v="0"/>
    <m/>
    <m/>
    <n v="0"/>
    <s v=""/>
    <n v="0"/>
    <n v="0"/>
    <n v="0"/>
    <n v="116.88487613461319"/>
    <n v="2225"/>
    <n v="71535.307499999995"/>
    <n v="0"/>
    <n v="0"/>
    <n v="0"/>
    <n v="0"/>
    <n v="0"/>
    <n v="0"/>
  </r>
  <r>
    <x v="26"/>
    <x v="7"/>
    <x v="3"/>
    <m/>
    <m/>
    <m/>
    <m/>
    <m/>
    <n v="0"/>
    <m/>
    <m/>
    <n v="0"/>
    <s v=""/>
    <n v="0"/>
    <n v="0"/>
    <n v="0"/>
    <n v="116.88487613461319"/>
    <n v="2225"/>
    <n v="71535.307499999995"/>
    <n v="0"/>
    <n v="0"/>
    <n v="0"/>
    <n v="0"/>
    <n v="0"/>
    <n v="0"/>
  </r>
  <r>
    <x v="27"/>
    <x v="7"/>
    <x v="3"/>
    <m/>
    <m/>
    <m/>
    <m/>
    <m/>
    <n v="0"/>
    <n v="850"/>
    <n v="1.4245233861804134"/>
    <n v="1.2108448782533514"/>
    <s v=""/>
    <n v="850"/>
    <n v="1.2108448782533514"/>
    <n v="-12733.984013767666"/>
    <n v="116.88487613461319"/>
    <n v="2225"/>
    <n v="71535.307499999995"/>
    <n v="0"/>
    <n v="86618.160700653549"/>
    <n v="0"/>
    <n v="99352.144714421214"/>
    <n v="0"/>
    <n v="-12733.984013767666"/>
  </r>
  <r>
    <x v="28"/>
    <x v="7"/>
    <x v="3"/>
    <m/>
    <m/>
    <m/>
    <m/>
    <m/>
    <n v="0"/>
    <m/>
    <m/>
    <n v="0"/>
    <s v=""/>
    <n v="0"/>
    <n v="0"/>
    <n v="0"/>
    <n v="116.88487613461319"/>
    <n v="2225"/>
    <n v="71535.307499999995"/>
    <n v="0"/>
    <n v="0"/>
    <n v="0"/>
    <n v="0"/>
    <n v="0"/>
    <n v="0"/>
  </r>
  <r>
    <x v="29"/>
    <x v="7"/>
    <x v="3"/>
    <m/>
    <m/>
    <m/>
    <n v="2030"/>
    <n v="1.99"/>
    <n v="4.0396999999999998"/>
    <n v="1464.6"/>
    <n v="2.384528276867214"/>
    <n v="3.4923801142997215"/>
    <n v="-0.13548528002086252"/>
    <n v="-565.40000000000009"/>
    <n v="-0.54731988570027834"/>
    <n v="78638.895796561235"/>
    <n v="116.88487613461319"/>
    <n v="2225"/>
    <n v="71535.307499999995"/>
    <n v="288981.18170774996"/>
    <n v="249828.48538331571"/>
    <n v="237276.29855326479"/>
    <n v="171189.58958675448"/>
    <n v="51704.883154485171"/>
    <n v="78638.895796561235"/>
  </r>
  <r>
    <x v="30"/>
    <x v="7"/>
    <x v="3"/>
    <m/>
    <m/>
    <m/>
    <n v="3045"/>
    <n v="2.87"/>
    <n v="8.7391500000000004"/>
    <n v="2252"/>
    <n v="1.7032344834765811"/>
    <n v="3.8356840567892609"/>
    <n v="-0.56109186170402603"/>
    <n v="-793"/>
    <n v="-4.9034659432107395"/>
    <n v="11162.097420118342"/>
    <n v="116.88487613461319"/>
    <n v="2225"/>
    <n v="71535.307499999995"/>
    <n v="625157.78253862495"/>
    <n v="274386.83847526723"/>
    <n v="355914.44782989717"/>
    <n v="263224.74105514889"/>
    <n v="269243.33470872778"/>
    <n v="11162.097420118342"/>
  </r>
  <r>
    <x v="31"/>
    <x v="7"/>
    <x v="3"/>
    <m/>
    <m/>
    <m/>
    <m/>
    <m/>
    <n v="0"/>
    <m/>
    <m/>
    <n v="0"/>
    <s v=""/>
    <n v="0"/>
    <n v="0"/>
    <n v="0"/>
    <n v="116.88487613461319"/>
    <n v="2225"/>
    <n v="71535.307499999995"/>
    <n v="0"/>
    <n v="0"/>
    <n v="0"/>
    <n v="0"/>
    <n v="0"/>
    <n v="0"/>
  </r>
  <r>
    <x v="32"/>
    <x v="7"/>
    <x v="3"/>
    <m/>
    <m/>
    <m/>
    <m/>
    <m/>
    <n v="0"/>
    <m/>
    <m/>
    <n v="0"/>
    <s v=""/>
    <n v="0"/>
    <n v="0"/>
    <n v="0"/>
    <n v="116.88487613461319"/>
    <n v="2225"/>
    <n v="71535.307499999995"/>
    <n v="0"/>
    <n v="0"/>
    <n v="0"/>
    <n v="0"/>
    <n v="0"/>
    <n v="0"/>
  </r>
  <r>
    <x v="33"/>
    <x v="7"/>
    <x v="3"/>
    <m/>
    <m/>
    <m/>
    <m/>
    <m/>
    <n v="0"/>
    <m/>
    <m/>
    <n v="0"/>
    <s v=""/>
    <n v="0"/>
    <n v="0"/>
    <n v="0"/>
    <n v="116.88487613461319"/>
    <n v="2225"/>
    <n v="71535.307499999995"/>
    <n v="0"/>
    <n v="0"/>
    <n v="0"/>
    <n v="0"/>
    <n v="0"/>
    <n v="0"/>
  </r>
  <r>
    <x v="34"/>
    <x v="7"/>
    <x v="3"/>
    <m/>
    <m/>
    <m/>
    <m/>
    <m/>
    <n v="0"/>
    <m/>
    <m/>
    <n v="0"/>
    <s v=""/>
    <n v="0"/>
    <n v="0"/>
    <n v="0"/>
    <n v="116.88487613461319"/>
    <n v="2225"/>
    <n v="71535.307499999995"/>
    <n v="0"/>
    <n v="0"/>
    <n v="0"/>
    <n v="0"/>
    <n v="0"/>
    <n v="0"/>
  </r>
  <r>
    <x v="35"/>
    <x v="7"/>
    <x v="3"/>
    <m/>
    <m/>
    <m/>
    <n v="3063"/>
    <n v="2.36"/>
    <n v="7.2286799999999998"/>
    <n v="1636"/>
    <n v="1.9509776810731752"/>
    <n v="3.1917994862357144"/>
    <n v="-0.55845334331638496"/>
    <n v="-1427"/>
    <n v="-4.0368805137642854"/>
    <n v="37102.700369986647"/>
    <n v="116.88487613461319"/>
    <n v="2225"/>
    <n v="71535.307499999995"/>
    <n v="517105.84661909996"/>
    <n v="228326.35772621384"/>
    <n v="358018.37560032023"/>
    <n v="191223.6573562272"/>
    <n v="159087.47101877973"/>
    <n v="37102.700369986647"/>
  </r>
  <r>
    <x v="36"/>
    <x v="7"/>
    <x v="3"/>
    <m/>
    <m/>
    <m/>
    <n v="3045"/>
    <n v="1.9299999999999995"/>
    <n v="5.8768499999999984"/>
    <n v="3288.6000000000004"/>
    <n v="4.2838927917744325"/>
    <n v="14.088009835029402"/>
    <n v="1.3972042565369891"/>
    <n v="243.60000000000036"/>
    <n v="8.2111598350294024"/>
    <n v="623402.51195556344"/>
    <n v="116.88487613461319"/>
    <n v="2225"/>
    <n v="71535.307499999995"/>
    <n v="420402.27188137488"/>
    <n v="1007790.1156118525"/>
    <n v="355914.44782989717"/>
    <n v="384387.60365628899"/>
    <n v="64487.824051477714"/>
    <n v="623402.51195556344"/>
  </r>
  <r>
    <x v="37"/>
    <x v="7"/>
    <x v="3"/>
    <m/>
    <m/>
    <m/>
    <m/>
    <m/>
    <n v="0"/>
    <m/>
    <m/>
    <n v="0"/>
    <s v=""/>
    <n v="0"/>
    <n v="0"/>
    <n v="0"/>
    <n v="116.88487613461319"/>
    <n v="2225"/>
    <n v="71535.307499999995"/>
    <n v="0"/>
    <n v="0"/>
    <n v="0"/>
    <n v="0"/>
    <n v="0"/>
    <n v="0"/>
  </r>
  <r>
    <x v="38"/>
    <x v="7"/>
    <x v="3"/>
    <m/>
    <m/>
    <m/>
    <m/>
    <m/>
    <n v="0"/>
    <m/>
    <m/>
    <n v="0"/>
    <s v=""/>
    <n v="0"/>
    <n v="0"/>
    <n v="0"/>
    <n v="116.88487613461319"/>
    <n v="2225"/>
    <n v="71535.307499999995"/>
    <n v="0"/>
    <n v="0"/>
    <n v="0"/>
    <n v="0"/>
    <n v="0"/>
    <n v="0"/>
  </r>
  <r>
    <x v="39"/>
    <x v="7"/>
    <x v="3"/>
    <m/>
    <m/>
    <m/>
    <n v="2030"/>
    <n v="1.36"/>
    <n v="2.7608000000000001"/>
    <n v="300"/>
    <n v="1.6619439505438158"/>
    <n v="0.49858318516314476"/>
    <n v="-0.81940626442946074"/>
    <n v="-1730"/>
    <n v="-2.2622168148368553"/>
    <n v="600.83862459103693"/>
    <n v="116.88487613461319"/>
    <n v="2225"/>
    <n v="71535.307499999995"/>
    <n v="197494.67694599999"/>
    <n v="35666.301464974997"/>
    <n v="237276.29855326479"/>
    <n v="35065.46284038396"/>
    <n v="-39781.621607264795"/>
    <n v="600.83862459103693"/>
  </r>
  <r>
    <x v="40"/>
    <x v="7"/>
    <x v="3"/>
    <m/>
    <m/>
    <m/>
    <m/>
    <m/>
    <n v="0"/>
    <m/>
    <m/>
    <n v="0"/>
    <s v=""/>
    <n v="0"/>
    <n v="0"/>
    <n v="0"/>
    <n v="116.88487613461319"/>
    <n v="2225"/>
    <n v="71535.307499999995"/>
    <n v="0"/>
    <n v="0"/>
    <n v="0"/>
    <n v="0"/>
    <n v="0"/>
    <n v="0"/>
  </r>
  <r>
    <x v="41"/>
    <x v="7"/>
    <x v="3"/>
    <m/>
    <m/>
    <m/>
    <m/>
    <m/>
    <n v="0"/>
    <m/>
    <m/>
    <n v="0"/>
    <s v=""/>
    <n v="0"/>
    <n v="0"/>
    <n v="0"/>
    <n v="116.88487613461319"/>
    <n v="2225"/>
    <n v="71535.307499999995"/>
    <n v="0"/>
    <n v="0"/>
    <n v="0"/>
    <n v="0"/>
    <n v="0"/>
    <n v="0"/>
  </r>
  <r>
    <x v="42"/>
    <x v="7"/>
    <x v="3"/>
    <m/>
    <m/>
    <m/>
    <m/>
    <m/>
    <n v="0"/>
    <m/>
    <m/>
    <n v="0"/>
    <s v=""/>
    <n v="0"/>
    <n v="0"/>
    <n v="0"/>
    <n v="116.88487613461319"/>
    <n v="2225"/>
    <n v="71535.307499999995"/>
    <n v="0"/>
    <n v="0"/>
    <n v="0"/>
    <n v="0"/>
    <n v="0"/>
    <n v="0"/>
  </r>
  <r>
    <x v="43"/>
    <x v="7"/>
    <x v="3"/>
    <m/>
    <m/>
    <m/>
    <n v="2030"/>
    <n v="0"/>
    <n v="0"/>
    <m/>
    <m/>
    <n v="0"/>
    <s v=""/>
    <n v="-2030"/>
    <n v="0"/>
    <n v="0"/>
    <n v="116.88487613461319"/>
    <n v="2225"/>
    <n v="71535.307499999995"/>
    <n v="0"/>
    <n v="0"/>
    <n v="237276.29855326479"/>
    <n v="0"/>
    <n v="-237276.29855326479"/>
    <n v="0"/>
  </r>
  <r>
    <x v="44"/>
    <x v="7"/>
    <x v="3"/>
    <m/>
    <m/>
    <m/>
    <m/>
    <m/>
    <n v="0"/>
    <n v="647.59999999999991"/>
    <n v="1.8064608158084954"/>
    <n v="1.1698640243175815"/>
    <s v=""/>
    <n v="647.59999999999991"/>
    <n v="1.1698640243175815"/>
    <n v="7991.9369279701787"/>
    <n v="116.88487613461319"/>
    <n v="2225"/>
    <n v="71535.307499999995"/>
    <n v="0"/>
    <n v="83686.582712745672"/>
    <n v="0"/>
    <n v="75694.645784775494"/>
    <n v="0"/>
    <n v="7991.9369279701787"/>
  </r>
  <r>
    <x v="45"/>
    <x v="7"/>
    <x v="3"/>
    <m/>
    <m/>
    <m/>
    <m/>
    <m/>
    <n v="0"/>
    <m/>
    <m/>
    <n v="0"/>
    <s v=""/>
    <n v="0"/>
    <n v="0"/>
    <n v="0"/>
    <n v="116.88487613461319"/>
    <n v="2225"/>
    <n v="71535.307499999995"/>
    <n v="0"/>
    <n v="0"/>
    <n v="0"/>
    <n v="0"/>
    <n v="0"/>
    <n v="0"/>
  </r>
  <r>
    <x v="46"/>
    <x v="7"/>
    <x v="3"/>
    <m/>
    <m/>
    <m/>
    <m/>
    <m/>
    <m/>
    <m/>
    <m/>
    <m/>
    <m/>
    <m/>
    <m/>
    <m/>
    <m/>
    <m/>
    <m/>
    <m/>
    <m/>
    <m/>
    <m/>
    <m/>
    <m/>
  </r>
  <r>
    <x v="47"/>
    <x v="7"/>
    <x v="3"/>
    <m/>
    <m/>
    <m/>
    <m/>
    <m/>
    <m/>
    <m/>
    <m/>
    <m/>
    <m/>
    <m/>
    <m/>
    <m/>
    <m/>
    <m/>
    <m/>
    <m/>
    <m/>
    <m/>
    <m/>
    <m/>
    <m/>
  </r>
  <r>
    <x v="48"/>
    <x v="7"/>
    <x v="3"/>
    <m/>
    <m/>
    <m/>
    <m/>
    <m/>
    <m/>
    <m/>
    <m/>
    <m/>
    <m/>
    <m/>
    <m/>
    <m/>
    <m/>
    <m/>
    <m/>
    <m/>
    <m/>
    <m/>
    <m/>
    <m/>
    <m/>
  </r>
  <r>
    <x v="49"/>
    <x v="7"/>
    <x v="3"/>
    <m/>
    <m/>
    <m/>
    <m/>
    <m/>
    <n v="0"/>
    <m/>
    <m/>
    <n v="0"/>
    <s v=""/>
    <n v="0"/>
    <n v="0"/>
    <n v="0"/>
    <n v="116.88487613461319"/>
    <n v="2225"/>
    <n v="71535.307499999995"/>
    <n v="0"/>
    <n v="0"/>
    <n v="0"/>
    <n v="0"/>
    <n v="0"/>
    <n v="0"/>
  </r>
  <r>
    <x v="50"/>
    <x v="7"/>
    <x v="4"/>
    <m/>
    <m/>
    <m/>
    <m/>
    <m/>
    <n v="0"/>
    <m/>
    <m/>
    <n v="0"/>
    <s v=""/>
    <n v="0"/>
    <n v="0"/>
    <n v="0"/>
    <n v="116.88487613461319"/>
    <n v="2225"/>
    <n v="71535.307499999995"/>
    <n v="0"/>
    <n v="0"/>
    <n v="0"/>
    <n v="0"/>
    <n v="0"/>
    <n v="0"/>
  </r>
  <r>
    <x v="51"/>
    <x v="7"/>
    <x v="4"/>
    <m/>
    <m/>
    <m/>
    <m/>
    <m/>
    <n v="0"/>
    <m/>
    <m/>
    <n v="0"/>
    <s v=""/>
    <n v="0"/>
    <n v="0"/>
    <n v="0"/>
    <n v="116.88487613461319"/>
    <n v="2225"/>
    <n v="71535.307499999995"/>
    <n v="0"/>
    <n v="0"/>
    <n v="0"/>
    <n v="0"/>
    <n v="0"/>
    <n v="0"/>
  </r>
  <r>
    <x v="52"/>
    <x v="7"/>
    <x v="4"/>
    <m/>
    <m/>
    <m/>
    <m/>
    <m/>
    <n v="0"/>
    <m/>
    <m/>
    <n v="0"/>
    <s v=""/>
    <n v="0"/>
    <n v="0"/>
    <n v="0"/>
    <n v="116.88487613461319"/>
    <n v="2225"/>
    <n v="71535.307499999995"/>
    <n v="0"/>
    <n v="0"/>
    <n v="0"/>
    <n v="0"/>
    <n v="0"/>
    <n v="0"/>
  </r>
  <r>
    <x v="53"/>
    <x v="7"/>
    <x v="4"/>
    <m/>
    <m/>
    <m/>
    <m/>
    <m/>
    <n v="0"/>
    <m/>
    <m/>
    <n v="0"/>
    <s v=""/>
    <n v="0"/>
    <n v="0"/>
    <n v="0"/>
    <n v="116.88487613461319"/>
    <n v="2225"/>
    <n v="71535.307499999995"/>
    <n v="0"/>
    <n v="0"/>
    <n v="0"/>
    <n v="0"/>
    <n v="0"/>
    <n v="0"/>
  </r>
  <r>
    <x v="54"/>
    <x v="7"/>
    <x v="4"/>
    <m/>
    <m/>
    <m/>
    <m/>
    <m/>
    <n v="0"/>
    <m/>
    <m/>
    <n v="0"/>
    <s v=""/>
    <n v="0"/>
    <n v="0"/>
    <n v="0"/>
    <n v="116.88487613461319"/>
    <n v="2225"/>
    <n v="71535.307499999995"/>
    <n v="0"/>
    <n v="0"/>
    <n v="0"/>
    <n v="0"/>
    <n v="0"/>
    <n v="0"/>
  </r>
  <r>
    <x v="55"/>
    <x v="7"/>
    <x v="4"/>
    <m/>
    <m/>
    <m/>
    <m/>
    <m/>
    <n v="0"/>
    <m/>
    <m/>
    <n v="0"/>
    <s v=""/>
    <n v="0"/>
    <n v="0"/>
    <n v="0"/>
    <n v="116.88487613461319"/>
    <n v="2225"/>
    <n v="71535.307499999995"/>
    <n v="0"/>
    <n v="0"/>
    <n v="0"/>
    <n v="0"/>
    <n v="0"/>
    <n v="0"/>
  </r>
  <r>
    <x v="56"/>
    <x v="7"/>
    <x v="4"/>
    <m/>
    <m/>
    <m/>
    <m/>
    <m/>
    <n v="0"/>
    <m/>
    <m/>
    <n v="0"/>
    <s v=""/>
    <n v="0"/>
    <n v="0"/>
    <n v="0"/>
    <n v="116.88487613461319"/>
    <n v="2225"/>
    <n v="71535.307499999995"/>
    <n v="0"/>
    <n v="0"/>
    <n v="0"/>
    <n v="0"/>
    <n v="0"/>
    <n v="0"/>
  </r>
  <r>
    <x v="57"/>
    <x v="7"/>
    <x v="4"/>
    <m/>
    <m/>
    <m/>
    <m/>
    <m/>
    <n v="0"/>
    <m/>
    <m/>
    <n v="0"/>
    <s v=""/>
    <n v="0"/>
    <n v="0"/>
    <n v="0"/>
    <n v="116.88487613461319"/>
    <n v="2225"/>
    <n v="71535.307499999995"/>
    <n v="0"/>
    <n v="0"/>
    <n v="0"/>
    <n v="0"/>
    <n v="0"/>
    <n v="0"/>
  </r>
  <r>
    <x v="58"/>
    <x v="7"/>
    <x v="4"/>
    <m/>
    <m/>
    <m/>
    <m/>
    <m/>
    <n v="0"/>
    <m/>
    <m/>
    <n v="0"/>
    <s v=""/>
    <n v="0"/>
    <n v="0"/>
    <n v="0"/>
    <n v="116.88487613461319"/>
    <n v="2225"/>
    <n v="71535.307499999995"/>
    <n v="0"/>
    <n v="0"/>
    <n v="0"/>
    <n v="0"/>
    <n v="0"/>
    <n v="0"/>
  </r>
  <r>
    <x v="59"/>
    <x v="7"/>
    <x v="4"/>
    <m/>
    <m/>
    <m/>
    <m/>
    <m/>
    <n v="0"/>
    <m/>
    <m/>
    <n v="0"/>
    <s v=""/>
    <n v="0"/>
    <n v="0"/>
    <n v="0"/>
    <n v="116.88487613461319"/>
    <n v="2225"/>
    <n v="71535.307499999995"/>
    <n v="0"/>
    <n v="0"/>
    <n v="0"/>
    <n v="0"/>
    <n v="0"/>
    <n v="0"/>
  </r>
  <r>
    <x v="60"/>
    <x v="7"/>
    <x v="4"/>
    <m/>
    <m/>
    <m/>
    <m/>
    <m/>
    <n v="0"/>
    <m/>
    <m/>
    <n v="0"/>
    <s v=""/>
    <n v="0"/>
    <n v="0"/>
    <n v="0"/>
    <n v="116.88487613461319"/>
    <n v="2225"/>
    <n v="71535.307499999995"/>
    <n v="0"/>
    <n v="0"/>
    <n v="0"/>
    <n v="0"/>
    <n v="0"/>
    <n v="0"/>
  </r>
  <r>
    <x v="61"/>
    <x v="7"/>
    <x v="4"/>
    <m/>
    <m/>
    <m/>
    <m/>
    <m/>
    <n v="0"/>
    <m/>
    <m/>
    <n v="0"/>
    <s v=""/>
    <n v="0"/>
    <n v="0"/>
    <n v="0"/>
    <n v="116.88487613461319"/>
    <n v="2225"/>
    <n v="71535.307499999995"/>
    <n v="0"/>
    <n v="0"/>
    <n v="0"/>
    <n v="0"/>
    <n v="0"/>
    <n v="0"/>
  </r>
  <r>
    <x v="62"/>
    <x v="7"/>
    <x v="4"/>
    <m/>
    <m/>
    <m/>
    <m/>
    <m/>
    <n v="0"/>
    <m/>
    <m/>
    <n v="0"/>
    <s v=""/>
    <n v="0"/>
    <n v="0"/>
    <n v="0"/>
    <n v="116.88487613461319"/>
    <n v="2225"/>
    <n v="71535.307499999995"/>
    <n v="0"/>
    <n v="0"/>
    <n v="0"/>
    <n v="0"/>
    <n v="0"/>
    <n v="0"/>
  </r>
  <r>
    <x v="63"/>
    <x v="7"/>
    <x v="4"/>
    <m/>
    <m/>
    <m/>
    <m/>
    <m/>
    <n v="0"/>
    <m/>
    <m/>
    <n v="0"/>
    <s v=""/>
    <n v="0"/>
    <n v="0"/>
    <n v="0"/>
    <n v="116.88487613461319"/>
    <n v="2225"/>
    <n v="71535.307499999995"/>
    <n v="0"/>
    <n v="0"/>
    <n v="0"/>
    <n v="0"/>
    <n v="0"/>
    <n v="0"/>
  </r>
  <r>
    <x v="64"/>
    <x v="7"/>
    <x v="4"/>
    <m/>
    <m/>
    <m/>
    <m/>
    <m/>
    <n v="0"/>
    <m/>
    <m/>
    <n v="0"/>
    <s v=""/>
    <n v="0"/>
    <n v="0"/>
    <n v="0"/>
    <n v="116.88487613461319"/>
    <n v="2225"/>
    <n v="71535.307499999995"/>
    <n v="0"/>
    <n v="0"/>
    <n v="0"/>
    <n v="0"/>
    <n v="0"/>
    <n v="0"/>
  </r>
  <r>
    <x v="65"/>
    <x v="7"/>
    <x v="4"/>
    <m/>
    <m/>
    <m/>
    <m/>
    <m/>
    <n v="0"/>
    <m/>
    <m/>
    <n v="0"/>
    <s v=""/>
    <n v="0"/>
    <n v="0"/>
    <n v="0"/>
    <n v="116.88487613461319"/>
    <n v="2225"/>
    <n v="71535.307499999995"/>
    <n v="0"/>
    <n v="0"/>
    <n v="0"/>
    <n v="0"/>
    <n v="0"/>
    <n v="0"/>
  </r>
  <r>
    <x v="66"/>
    <x v="7"/>
    <x v="4"/>
    <m/>
    <m/>
    <m/>
    <m/>
    <m/>
    <n v="0"/>
    <m/>
    <m/>
    <n v="0"/>
    <s v=""/>
    <n v="0"/>
    <n v="0"/>
    <n v="0"/>
    <n v="116.88487613461319"/>
    <n v="2225"/>
    <n v="71535.307499999995"/>
    <n v="0"/>
    <n v="0"/>
    <n v="0"/>
    <n v="0"/>
    <n v="0"/>
    <n v="0"/>
  </r>
  <r>
    <x v="67"/>
    <x v="7"/>
    <x v="4"/>
    <m/>
    <m/>
    <m/>
    <m/>
    <m/>
    <n v="0"/>
    <m/>
    <m/>
    <n v="0"/>
    <s v=""/>
    <n v="0"/>
    <n v="0"/>
    <n v="0"/>
    <n v="116.88487613461319"/>
    <n v="2225"/>
    <n v="71535.307499999995"/>
    <n v="0"/>
    <n v="0"/>
    <n v="0"/>
    <n v="0"/>
    <n v="0"/>
    <n v="0"/>
  </r>
  <r>
    <x v="68"/>
    <x v="7"/>
    <x v="4"/>
    <m/>
    <m/>
    <m/>
    <m/>
    <m/>
    <n v="0"/>
    <m/>
    <m/>
    <n v="0"/>
    <s v=""/>
    <n v="0"/>
    <n v="0"/>
    <n v="0"/>
    <n v="116.88487613461319"/>
    <n v="2225"/>
    <n v="71535.307499999995"/>
    <n v="0"/>
    <n v="0"/>
    <n v="0"/>
    <n v="0"/>
    <n v="0"/>
    <n v="0"/>
  </r>
  <r>
    <x v="69"/>
    <x v="7"/>
    <x v="4"/>
    <m/>
    <m/>
    <m/>
    <m/>
    <m/>
    <n v="0"/>
    <m/>
    <m/>
    <n v="0"/>
    <s v=""/>
    <n v="0"/>
    <n v="0"/>
    <n v="0"/>
    <n v="116.88487613461319"/>
    <n v="2225"/>
    <n v="71535.307499999995"/>
    <n v="0"/>
    <n v="0"/>
    <n v="0"/>
    <n v="0"/>
    <n v="0"/>
    <n v="0"/>
  </r>
  <r>
    <x v="70"/>
    <x v="7"/>
    <x v="5"/>
    <m/>
    <m/>
    <m/>
    <m/>
    <m/>
    <n v="0"/>
    <m/>
    <m/>
    <n v="0"/>
    <s v=""/>
    <n v="0"/>
    <n v="0"/>
    <n v="0"/>
    <n v="116.88487613461319"/>
    <n v="2225"/>
    <n v="71535.307499999995"/>
    <n v="0"/>
    <n v="0"/>
    <n v="0"/>
    <n v="0"/>
    <n v="0"/>
    <n v="0"/>
  </r>
  <r>
    <x v="71"/>
    <x v="7"/>
    <x v="5"/>
    <m/>
    <m/>
    <m/>
    <m/>
    <m/>
    <n v="0"/>
    <m/>
    <m/>
    <n v="0"/>
    <s v=""/>
    <n v="0"/>
    <n v="0"/>
    <n v="0"/>
    <n v="116.88487613461319"/>
    <n v="2225"/>
    <n v="71535.307499999995"/>
    <n v="0"/>
    <n v="0"/>
    <n v="0"/>
    <n v="0"/>
    <n v="0"/>
    <n v="0"/>
  </r>
  <r>
    <x v="72"/>
    <x v="7"/>
    <x v="5"/>
    <m/>
    <m/>
    <m/>
    <m/>
    <m/>
    <m/>
    <m/>
    <m/>
    <m/>
    <m/>
    <m/>
    <m/>
    <m/>
    <m/>
    <m/>
    <m/>
    <m/>
    <m/>
    <m/>
    <m/>
    <m/>
    <m/>
  </r>
  <r>
    <x v="73"/>
    <x v="7"/>
    <x v="5"/>
    <m/>
    <m/>
    <m/>
    <m/>
    <m/>
    <n v="0"/>
    <m/>
    <m/>
    <n v="0"/>
    <s v=""/>
    <n v="0"/>
    <n v="0"/>
    <n v="0"/>
    <n v="116.88487613461319"/>
    <n v="2225"/>
    <n v="71535.307499999995"/>
    <n v="0"/>
    <n v="0"/>
    <n v="0"/>
    <n v="0"/>
    <n v="0"/>
    <n v="0"/>
  </r>
  <r>
    <x v="74"/>
    <x v="7"/>
    <x v="5"/>
    <m/>
    <m/>
    <m/>
    <m/>
    <m/>
    <m/>
    <m/>
    <m/>
    <m/>
    <m/>
    <m/>
    <m/>
    <m/>
    <m/>
    <m/>
    <m/>
    <m/>
    <m/>
    <m/>
    <m/>
    <m/>
    <m/>
  </r>
  <r>
    <x v="75"/>
    <x v="7"/>
    <x v="5"/>
    <m/>
    <m/>
    <m/>
    <m/>
    <m/>
    <n v="0"/>
    <m/>
    <m/>
    <n v="0"/>
    <s v=""/>
    <n v="0"/>
    <n v="0"/>
    <n v="0"/>
    <n v="116.88487613461319"/>
    <n v="2225"/>
    <n v="71535.307499999995"/>
    <n v="0"/>
    <n v="0"/>
    <n v="0"/>
    <n v="0"/>
    <n v="0"/>
    <n v="0"/>
  </r>
  <r>
    <x v="76"/>
    <x v="7"/>
    <x v="5"/>
    <m/>
    <m/>
    <m/>
    <m/>
    <m/>
    <n v="0"/>
    <m/>
    <m/>
    <n v="0"/>
    <s v=""/>
    <n v="0"/>
    <n v="0"/>
    <n v="0"/>
    <n v="116.88487613461319"/>
    <n v="2225"/>
    <n v="71535.307499999995"/>
    <n v="0"/>
    <n v="0"/>
    <n v="0"/>
    <n v="0"/>
    <n v="0"/>
    <n v="0"/>
  </r>
  <r>
    <x v="77"/>
    <x v="7"/>
    <x v="5"/>
    <m/>
    <m/>
    <m/>
    <m/>
    <m/>
    <n v="0"/>
    <m/>
    <m/>
    <n v="0"/>
    <s v=""/>
    <n v="0"/>
    <n v="0"/>
    <n v="0"/>
    <n v="116.88487613461319"/>
    <n v="2225"/>
    <n v="71535.307499999995"/>
    <n v="0"/>
    <n v="0"/>
    <n v="0"/>
    <n v="0"/>
    <n v="0"/>
    <n v="0"/>
  </r>
  <r>
    <x v="78"/>
    <x v="7"/>
    <x v="5"/>
    <m/>
    <m/>
    <m/>
    <m/>
    <m/>
    <n v="0"/>
    <m/>
    <m/>
    <n v="0"/>
    <s v=""/>
    <n v="0"/>
    <n v="0"/>
    <n v="0"/>
    <n v="116.88487613461319"/>
    <n v="2225"/>
    <n v="71535.307499999995"/>
    <n v="0"/>
    <n v="0"/>
    <n v="0"/>
    <n v="0"/>
    <n v="0"/>
    <n v="0"/>
  </r>
  <r>
    <x v="79"/>
    <x v="7"/>
    <x v="5"/>
    <m/>
    <m/>
    <m/>
    <m/>
    <m/>
    <n v="0"/>
    <m/>
    <m/>
    <n v="0"/>
    <s v=""/>
    <n v="0"/>
    <n v="0"/>
    <n v="0"/>
    <n v="116.88487613461319"/>
    <n v="2225"/>
    <n v="71535.307499999995"/>
    <n v="0"/>
    <n v="0"/>
    <n v="0"/>
    <n v="0"/>
    <n v="0"/>
    <n v="0"/>
  </r>
  <r>
    <x v="80"/>
    <x v="7"/>
    <x v="5"/>
    <m/>
    <m/>
    <m/>
    <m/>
    <m/>
    <n v="0"/>
    <m/>
    <m/>
    <n v="0"/>
    <s v=""/>
    <n v="0"/>
    <n v="0"/>
    <n v="0"/>
    <n v="116.88487613461319"/>
    <n v="2225"/>
    <n v="71535.307499999995"/>
    <n v="0"/>
    <n v="0"/>
    <n v="0"/>
    <n v="0"/>
    <n v="0"/>
    <n v="0"/>
  </r>
  <r>
    <x v="81"/>
    <x v="7"/>
    <x v="5"/>
    <m/>
    <m/>
    <m/>
    <m/>
    <m/>
    <n v="0"/>
    <m/>
    <m/>
    <n v="0"/>
    <s v=""/>
    <n v="0"/>
    <n v="0"/>
    <n v="0"/>
    <n v="116.88487613461319"/>
    <n v="2225"/>
    <n v="71535.307499999995"/>
    <n v="0"/>
    <n v="0"/>
    <n v="0"/>
    <n v="0"/>
    <n v="0"/>
    <n v="0"/>
  </r>
  <r>
    <x v="82"/>
    <x v="7"/>
    <x v="5"/>
    <m/>
    <m/>
    <m/>
    <m/>
    <m/>
    <n v="0"/>
    <m/>
    <m/>
    <n v="0"/>
    <s v=""/>
    <n v="0"/>
    <n v="0"/>
    <n v="0"/>
    <n v="116.88487613461319"/>
    <n v="2225"/>
    <n v="71535.307499999995"/>
    <n v="0"/>
    <n v="0"/>
    <n v="0"/>
    <n v="0"/>
    <n v="0"/>
    <n v="0"/>
  </r>
  <r>
    <x v="83"/>
    <x v="7"/>
    <x v="5"/>
    <m/>
    <m/>
    <m/>
    <m/>
    <m/>
    <n v="0"/>
    <m/>
    <m/>
    <n v="0"/>
    <s v=""/>
    <n v="0"/>
    <n v="0"/>
    <n v="0"/>
    <n v="116.88487613461319"/>
    <n v="2225"/>
    <n v="71535.307499999995"/>
    <n v="0"/>
    <n v="0"/>
    <n v="0"/>
    <n v="0"/>
    <n v="0"/>
    <n v="0"/>
  </r>
  <r>
    <x v="84"/>
    <x v="7"/>
    <x v="5"/>
    <m/>
    <m/>
    <m/>
    <m/>
    <m/>
    <n v="0"/>
    <m/>
    <m/>
    <n v="0"/>
    <s v=""/>
    <n v="0"/>
    <n v="0"/>
    <n v="0"/>
    <n v="116.88487613461319"/>
    <n v="2225"/>
    <n v="71535.307499999995"/>
    <n v="0"/>
    <n v="0"/>
    <n v="0"/>
    <n v="0"/>
    <n v="0"/>
    <n v="0"/>
  </r>
  <r>
    <x v="85"/>
    <x v="7"/>
    <x v="5"/>
    <m/>
    <m/>
    <m/>
    <m/>
    <m/>
    <n v="0"/>
    <m/>
    <m/>
    <n v="0"/>
    <s v=""/>
    <n v="0"/>
    <n v="0"/>
    <n v="0"/>
    <n v="116.88487613461319"/>
    <n v="2225"/>
    <n v="71535.307499999995"/>
    <n v="0"/>
    <n v="0"/>
    <n v="0"/>
    <n v="0"/>
    <n v="0"/>
    <n v="0"/>
  </r>
  <r>
    <x v="86"/>
    <x v="7"/>
    <x v="5"/>
    <m/>
    <m/>
    <m/>
    <m/>
    <m/>
    <n v="0"/>
    <m/>
    <m/>
    <n v="0"/>
    <s v=""/>
    <n v="0"/>
    <n v="0"/>
    <n v="0"/>
    <n v="116.88487613461319"/>
    <n v="2225"/>
    <n v="71535.307499999995"/>
    <n v="0"/>
    <n v="0"/>
    <n v="0"/>
    <n v="0"/>
    <n v="0"/>
    <n v="0"/>
  </r>
  <r>
    <x v="87"/>
    <x v="7"/>
    <x v="5"/>
    <m/>
    <m/>
    <m/>
    <m/>
    <m/>
    <n v="0"/>
    <m/>
    <m/>
    <n v="0"/>
    <s v=""/>
    <n v="0"/>
    <n v="0"/>
    <n v="0"/>
    <n v="116.88487613461319"/>
    <n v="2225"/>
    <n v="71535.307499999995"/>
    <n v="0"/>
    <n v="0"/>
    <n v="0"/>
    <n v="0"/>
    <n v="0"/>
    <n v="0"/>
  </r>
  <r>
    <x v="88"/>
    <x v="7"/>
    <x v="5"/>
    <m/>
    <m/>
    <m/>
    <m/>
    <m/>
    <n v="0"/>
    <m/>
    <m/>
    <n v="0"/>
    <s v=""/>
    <n v="0"/>
    <n v="0"/>
    <n v="0"/>
    <n v="116.88487613461319"/>
    <n v="2225"/>
    <n v="71535.307499999995"/>
    <n v="0"/>
    <n v="0"/>
    <n v="0"/>
    <n v="0"/>
    <n v="0"/>
    <n v="0"/>
  </r>
  <r>
    <x v="89"/>
    <x v="7"/>
    <x v="5"/>
    <m/>
    <m/>
    <m/>
    <m/>
    <m/>
    <n v="0"/>
    <m/>
    <m/>
    <n v="0"/>
    <s v=""/>
    <n v="0"/>
    <n v="0"/>
    <n v="0"/>
    <n v="116.88487613461319"/>
    <n v="2225"/>
    <n v="71535.307499999995"/>
    <n v="0"/>
    <n v="0"/>
    <n v="0"/>
    <n v="0"/>
    <n v="0"/>
    <n v="0"/>
  </r>
  <r>
    <x v="90"/>
    <x v="7"/>
    <x v="5"/>
    <m/>
    <m/>
    <m/>
    <m/>
    <m/>
    <n v="0"/>
    <m/>
    <m/>
    <n v="0"/>
    <s v=""/>
    <n v="0"/>
    <n v="0"/>
    <n v="0"/>
    <n v="116.88487613461319"/>
    <n v="2225"/>
    <n v="71535.307499999995"/>
    <n v="0"/>
    <n v="0"/>
    <n v="0"/>
    <n v="0"/>
    <n v="0"/>
    <n v="0"/>
  </r>
  <r>
    <x v="91"/>
    <x v="7"/>
    <x v="5"/>
    <m/>
    <m/>
    <m/>
    <m/>
    <m/>
    <n v="0"/>
    <m/>
    <m/>
    <n v="0"/>
    <s v=""/>
    <n v="0"/>
    <n v="0"/>
    <n v="0"/>
    <n v="116.88487613461319"/>
    <n v="2225"/>
    <n v="71535.307499999995"/>
    <n v="0"/>
    <n v="0"/>
    <n v="0"/>
    <n v="0"/>
    <n v="0"/>
    <n v="0"/>
  </r>
  <r>
    <x v="92"/>
    <x v="7"/>
    <x v="5"/>
    <m/>
    <m/>
    <m/>
    <m/>
    <m/>
    <n v="0"/>
    <m/>
    <m/>
    <n v="0"/>
    <s v=""/>
    <n v="0"/>
    <n v="0"/>
    <n v="0"/>
    <n v="116.88487613461319"/>
    <n v="2225"/>
    <n v="71535.307499999995"/>
    <n v="0"/>
    <n v="0"/>
    <n v="0"/>
    <n v="0"/>
    <n v="0"/>
    <n v="0"/>
  </r>
  <r>
    <x v="93"/>
    <x v="7"/>
    <x v="5"/>
    <m/>
    <m/>
    <m/>
    <m/>
    <m/>
    <n v="0"/>
    <m/>
    <m/>
    <n v="0"/>
    <s v=""/>
    <n v="0"/>
    <n v="0"/>
    <n v="0"/>
    <n v="116.88487613461319"/>
    <n v="2225"/>
    <n v="71535.307499999995"/>
    <n v="0"/>
    <n v="0"/>
    <n v="0"/>
    <n v="0"/>
    <n v="0"/>
    <n v="0"/>
  </r>
  <r>
    <x v="94"/>
    <x v="7"/>
    <x v="5"/>
    <m/>
    <m/>
    <m/>
    <m/>
    <m/>
    <n v="0"/>
    <m/>
    <m/>
    <n v="0"/>
    <s v=""/>
    <n v="0"/>
    <n v="0"/>
    <n v="0"/>
    <n v="116.88487613461319"/>
    <n v="2225"/>
    <n v="71535.307499999995"/>
    <n v="0"/>
    <n v="0"/>
    <n v="0"/>
    <n v="0"/>
    <n v="0"/>
    <n v="0"/>
  </r>
  <r>
    <x v="95"/>
    <x v="7"/>
    <x v="5"/>
    <m/>
    <m/>
    <m/>
    <m/>
    <m/>
    <n v="0"/>
    <m/>
    <m/>
    <n v="0"/>
    <s v=""/>
    <n v="0"/>
    <n v="0"/>
    <n v="0"/>
    <n v="116.88487613461319"/>
    <n v="2225"/>
    <n v="71535.307499999995"/>
    <n v="0"/>
    <n v="0"/>
    <n v="0"/>
    <n v="0"/>
    <n v="0"/>
    <n v="0"/>
  </r>
  <r>
    <x v="96"/>
    <x v="7"/>
    <x v="5"/>
    <m/>
    <m/>
    <m/>
    <m/>
    <m/>
    <n v="0"/>
    <m/>
    <m/>
    <n v="0"/>
    <s v=""/>
    <n v="0"/>
    <n v="0"/>
    <n v="0"/>
    <n v="116.88487613461319"/>
    <n v="2225"/>
    <n v="71535.307499999995"/>
    <n v="0"/>
    <n v="0"/>
    <n v="0"/>
    <n v="0"/>
    <n v="0"/>
    <n v="0"/>
  </r>
  <r>
    <x v="97"/>
    <x v="7"/>
    <x v="5"/>
    <m/>
    <m/>
    <m/>
    <m/>
    <m/>
    <n v="0"/>
    <m/>
    <m/>
    <n v="0"/>
    <s v=""/>
    <n v="0"/>
    <n v="0"/>
    <n v="0"/>
    <n v="116.88487613461319"/>
    <n v="2225"/>
    <n v="71535.307499999995"/>
    <n v="0"/>
    <n v="0"/>
    <n v="0"/>
    <n v="0"/>
    <n v="0"/>
    <n v="0"/>
  </r>
  <r>
    <x v="98"/>
    <x v="7"/>
    <x v="6"/>
    <m/>
    <m/>
    <m/>
    <m/>
    <m/>
    <n v="0"/>
    <m/>
    <m/>
    <n v="0"/>
    <s v=""/>
    <n v="0"/>
    <n v="0"/>
    <n v="0"/>
    <n v="116.88487613461319"/>
    <n v="2225"/>
    <n v="71535.307499999995"/>
    <n v="0"/>
    <n v="0"/>
    <n v="0"/>
    <n v="0"/>
    <n v="0"/>
    <n v="0"/>
  </r>
  <r>
    <x v="99"/>
    <x v="7"/>
    <x v="6"/>
    <m/>
    <m/>
    <m/>
    <m/>
    <m/>
    <n v="0"/>
    <m/>
    <m/>
    <n v="0"/>
    <s v=""/>
    <n v="0"/>
    <n v="0"/>
    <n v="0"/>
    <n v="116.88487613461319"/>
    <n v="2225"/>
    <n v="71535.307499999995"/>
    <n v="0"/>
    <n v="0"/>
    <n v="0"/>
    <n v="0"/>
    <n v="0"/>
    <n v="0"/>
  </r>
  <r>
    <x v="100"/>
    <x v="7"/>
    <x v="6"/>
    <m/>
    <m/>
    <m/>
    <m/>
    <m/>
    <n v="0"/>
    <m/>
    <m/>
    <n v="0"/>
    <s v=""/>
    <n v="0"/>
    <n v="0"/>
    <n v="0"/>
    <n v="116.88487613461319"/>
    <n v="2225"/>
    <n v="71535.307499999995"/>
    <n v="0"/>
    <n v="0"/>
    <n v="0"/>
    <n v="0"/>
    <n v="0"/>
    <n v="0"/>
  </r>
  <r>
    <x v="101"/>
    <x v="7"/>
    <x v="6"/>
    <m/>
    <m/>
    <m/>
    <m/>
    <m/>
    <n v="0"/>
    <m/>
    <m/>
    <n v="0"/>
    <s v=""/>
    <n v="0"/>
    <n v="0"/>
    <n v="0"/>
    <n v="116.88487613461319"/>
    <n v="2225"/>
    <n v="71535.307499999995"/>
    <n v="0"/>
    <n v="0"/>
    <n v="0"/>
    <n v="0"/>
    <n v="0"/>
    <n v="0"/>
  </r>
  <r>
    <x v="102"/>
    <x v="7"/>
    <x v="6"/>
    <m/>
    <m/>
    <m/>
    <m/>
    <m/>
    <n v="0"/>
    <m/>
    <m/>
    <n v="0"/>
    <s v=""/>
    <n v="0"/>
    <n v="0"/>
    <n v="0"/>
    <n v="116.88487613461319"/>
    <n v="2225"/>
    <n v="71535.307499999995"/>
    <n v="0"/>
    <n v="0"/>
    <n v="0"/>
    <n v="0"/>
    <n v="0"/>
    <n v="0"/>
  </r>
  <r>
    <x v="103"/>
    <x v="7"/>
    <x v="6"/>
    <m/>
    <m/>
    <m/>
    <m/>
    <m/>
    <n v="0"/>
    <m/>
    <m/>
    <n v="0"/>
    <s v=""/>
    <n v="0"/>
    <n v="0"/>
    <n v="0"/>
    <n v="116.88487613461319"/>
    <n v="2225"/>
    <n v="71535.307499999995"/>
    <n v="0"/>
    <n v="0"/>
    <n v="0"/>
    <n v="0"/>
    <n v="0"/>
    <n v="0"/>
  </r>
  <r>
    <x v="104"/>
    <x v="7"/>
    <x v="6"/>
    <m/>
    <m/>
    <m/>
    <m/>
    <m/>
    <n v="0"/>
    <m/>
    <m/>
    <n v="0"/>
    <s v=""/>
    <n v="0"/>
    <n v="0"/>
    <n v="0"/>
    <n v="116.88487613461319"/>
    <n v="2225"/>
    <n v="71535.307499999995"/>
    <n v="0"/>
    <n v="0"/>
    <n v="0"/>
    <n v="0"/>
    <n v="0"/>
    <n v="0"/>
  </r>
  <r>
    <x v="105"/>
    <x v="7"/>
    <x v="6"/>
    <m/>
    <m/>
    <m/>
    <m/>
    <m/>
    <n v="0"/>
    <m/>
    <m/>
    <n v="0"/>
    <s v=""/>
    <n v="0"/>
    <n v="0"/>
    <n v="0"/>
    <n v="116.88487613461319"/>
    <n v="2225"/>
    <n v="71535.307499999995"/>
    <n v="0"/>
    <n v="0"/>
    <n v="0"/>
    <n v="0"/>
    <n v="0"/>
    <n v="0"/>
  </r>
  <r>
    <x v="106"/>
    <x v="7"/>
    <x v="6"/>
    <m/>
    <m/>
    <m/>
    <m/>
    <m/>
    <n v="0"/>
    <m/>
    <m/>
    <n v="0"/>
    <s v=""/>
    <n v="0"/>
    <n v="0"/>
    <n v="0"/>
    <n v="116.88487613461319"/>
    <n v="2225"/>
    <n v="71535.307499999995"/>
    <n v="0"/>
    <n v="0"/>
    <n v="0"/>
    <n v="0"/>
    <n v="0"/>
    <n v="0"/>
  </r>
  <r>
    <x v="107"/>
    <x v="7"/>
    <x v="6"/>
    <m/>
    <m/>
    <m/>
    <m/>
    <m/>
    <n v="0"/>
    <m/>
    <m/>
    <n v="0"/>
    <s v=""/>
    <n v="0"/>
    <n v="0"/>
    <n v="0"/>
    <n v="116.88487613461319"/>
    <n v="2225"/>
    <n v="71535.307499999995"/>
    <n v="0"/>
    <n v="0"/>
    <n v="0"/>
    <n v="0"/>
    <n v="0"/>
    <n v="0"/>
  </r>
  <r>
    <x v="108"/>
    <x v="7"/>
    <x v="6"/>
    <m/>
    <m/>
    <m/>
    <m/>
    <m/>
    <n v="0"/>
    <m/>
    <m/>
    <n v="0"/>
    <s v=""/>
    <n v="0"/>
    <n v="0"/>
    <n v="0"/>
    <n v="116.88487613461319"/>
    <n v="2225"/>
    <n v="71535.307499999995"/>
    <n v="0"/>
    <n v="0"/>
    <n v="0"/>
    <n v="0"/>
    <n v="0"/>
    <n v="0"/>
  </r>
  <r>
    <x v="109"/>
    <x v="7"/>
    <x v="6"/>
    <m/>
    <m/>
    <m/>
    <m/>
    <m/>
    <n v="0"/>
    <m/>
    <m/>
    <n v="0"/>
    <s v=""/>
    <n v="0"/>
    <n v="0"/>
    <n v="0"/>
    <n v="116.88487613461319"/>
    <n v="2225"/>
    <n v="71535.307499999995"/>
    <n v="0"/>
    <n v="0"/>
    <n v="0"/>
    <n v="0"/>
    <n v="0"/>
    <n v="0"/>
  </r>
  <r>
    <x v="110"/>
    <x v="7"/>
    <x v="7"/>
    <m/>
    <m/>
    <m/>
    <m/>
    <m/>
    <n v="0"/>
    <m/>
    <m/>
    <n v="0"/>
    <s v=""/>
    <n v="0"/>
    <n v="0"/>
    <n v="0"/>
    <n v="116.88487613461319"/>
    <n v="2225"/>
    <n v="71535.307499999995"/>
    <n v="0"/>
    <n v="0"/>
    <n v="0"/>
    <n v="0"/>
    <n v="0"/>
    <n v="0"/>
  </r>
  <r>
    <x v="111"/>
    <x v="7"/>
    <x v="7"/>
    <m/>
    <m/>
    <m/>
    <m/>
    <m/>
    <n v="0"/>
    <m/>
    <m/>
    <n v="0"/>
    <s v=""/>
    <n v="0"/>
    <n v="0"/>
    <n v="0"/>
    <n v="116.88487613461319"/>
    <n v="2225"/>
    <n v="71535.307499999995"/>
    <n v="0"/>
    <n v="0"/>
    <n v="0"/>
    <n v="0"/>
    <n v="0"/>
    <n v="0"/>
  </r>
  <r>
    <x v="112"/>
    <x v="7"/>
    <x v="7"/>
    <m/>
    <m/>
    <m/>
    <m/>
    <m/>
    <n v="0"/>
    <m/>
    <m/>
    <n v="0"/>
    <s v=""/>
    <n v="0"/>
    <n v="0"/>
    <n v="0"/>
    <n v="116.88487613461319"/>
    <n v="2225"/>
    <n v="71535.307499999995"/>
    <n v="0"/>
    <n v="0"/>
    <n v="0"/>
    <n v="0"/>
    <n v="0"/>
    <n v="0"/>
  </r>
  <r>
    <x v="113"/>
    <x v="7"/>
    <x v="7"/>
    <m/>
    <m/>
    <m/>
    <m/>
    <m/>
    <n v="0"/>
    <m/>
    <m/>
    <n v="0"/>
    <s v=""/>
    <n v="0"/>
    <n v="0"/>
    <n v="0"/>
    <n v="116.88487613461319"/>
    <n v="2225"/>
    <n v="71535.307499999995"/>
    <n v="0"/>
    <n v="0"/>
    <n v="0"/>
    <n v="0"/>
    <n v="0"/>
    <n v="0"/>
  </r>
  <r>
    <x v="114"/>
    <x v="7"/>
    <x v="7"/>
    <m/>
    <m/>
    <m/>
    <m/>
    <m/>
    <n v="0"/>
    <m/>
    <m/>
    <n v="0"/>
    <s v=""/>
    <n v="0"/>
    <n v="0"/>
    <n v="0"/>
    <n v="116.88487613461319"/>
    <n v="2225"/>
    <n v="71535.307499999995"/>
    <n v="0"/>
    <n v="0"/>
    <n v="0"/>
    <n v="0"/>
    <n v="0"/>
    <n v="0"/>
  </r>
  <r>
    <x v="115"/>
    <x v="7"/>
    <x v="7"/>
    <m/>
    <m/>
    <m/>
    <m/>
    <m/>
    <n v="0"/>
    <m/>
    <m/>
    <n v="0"/>
    <s v=""/>
    <n v="0"/>
    <n v="0"/>
    <n v="0"/>
    <n v="116.88487613461319"/>
    <n v="2225"/>
    <n v="71535.307499999995"/>
    <n v="0"/>
    <n v="0"/>
    <n v="0"/>
    <n v="0"/>
    <n v="0"/>
    <n v="0"/>
  </r>
  <r>
    <x v="116"/>
    <x v="7"/>
    <x v="7"/>
    <m/>
    <m/>
    <m/>
    <m/>
    <m/>
    <n v="0"/>
    <m/>
    <m/>
    <n v="0"/>
    <s v=""/>
    <n v="0"/>
    <n v="0"/>
    <n v="0"/>
    <n v="116.88487613461319"/>
    <n v="2225"/>
    <n v="71535.307499999995"/>
    <n v="0"/>
    <n v="0"/>
    <n v="0"/>
    <n v="0"/>
    <n v="0"/>
    <n v="0"/>
  </r>
  <r>
    <x v="117"/>
    <x v="7"/>
    <x v="7"/>
    <m/>
    <m/>
    <m/>
    <m/>
    <m/>
    <n v="0"/>
    <m/>
    <m/>
    <n v="0"/>
    <s v=""/>
    <n v="0"/>
    <n v="0"/>
    <n v="0"/>
    <n v="116.88487613461319"/>
    <n v="2225"/>
    <n v="71535.307499999995"/>
    <n v="0"/>
    <n v="0"/>
    <n v="0"/>
    <n v="0"/>
    <n v="0"/>
    <n v="0"/>
  </r>
  <r>
    <x v="118"/>
    <x v="7"/>
    <x v="7"/>
    <m/>
    <m/>
    <m/>
    <m/>
    <m/>
    <n v="0"/>
    <m/>
    <m/>
    <n v="0"/>
    <s v=""/>
    <n v="0"/>
    <n v="0"/>
    <n v="0"/>
    <n v="116.88487613461319"/>
    <n v="2225"/>
    <n v="71535.307499999995"/>
    <n v="0"/>
    <n v="0"/>
    <n v="0"/>
    <n v="0"/>
    <n v="0"/>
    <n v="0"/>
  </r>
  <r>
    <x v="119"/>
    <x v="7"/>
    <x v="7"/>
    <m/>
    <m/>
    <m/>
    <m/>
    <m/>
    <n v="0"/>
    <m/>
    <m/>
    <n v="0"/>
    <s v=""/>
    <n v="0"/>
    <n v="0"/>
    <n v="0"/>
    <n v="116.88487613461319"/>
    <n v="2225"/>
    <n v="71535.307499999995"/>
    <n v="0"/>
    <n v="0"/>
    <n v="0"/>
    <n v="0"/>
    <n v="0"/>
    <n v="0"/>
  </r>
  <r>
    <x v="120"/>
    <x v="7"/>
    <x v="7"/>
    <m/>
    <m/>
    <m/>
    <m/>
    <m/>
    <n v="0"/>
    <m/>
    <m/>
    <n v="0"/>
    <s v=""/>
    <n v="0"/>
    <n v="0"/>
    <n v="0"/>
    <n v="116.88487613461319"/>
    <n v="2225"/>
    <n v="71535.307499999995"/>
    <n v="0"/>
    <n v="0"/>
    <n v="0"/>
    <n v="0"/>
    <n v="0"/>
    <n v="0"/>
  </r>
  <r>
    <x v="121"/>
    <x v="7"/>
    <x v="7"/>
    <m/>
    <m/>
    <m/>
    <m/>
    <m/>
    <n v="0"/>
    <m/>
    <m/>
    <n v="0"/>
    <s v=""/>
    <n v="0"/>
    <n v="0"/>
    <n v="0"/>
    <n v="116.88487613461319"/>
    <n v="2225"/>
    <n v="71535.307499999995"/>
    <n v="0"/>
    <n v="0"/>
    <n v="0"/>
    <n v="0"/>
    <n v="0"/>
    <n v="0"/>
  </r>
  <r>
    <x v="122"/>
    <x v="7"/>
    <x v="7"/>
    <m/>
    <m/>
    <m/>
    <m/>
    <m/>
    <n v="0"/>
    <m/>
    <m/>
    <n v="0"/>
    <s v=""/>
    <n v="0"/>
    <n v="0"/>
    <n v="0"/>
    <n v="116.88487613461319"/>
    <n v="2225"/>
    <n v="71535.307499999995"/>
    <n v="0"/>
    <n v="0"/>
    <n v="0"/>
    <n v="0"/>
    <n v="0"/>
    <n v="0"/>
  </r>
  <r>
    <x v="123"/>
    <x v="7"/>
    <x v="7"/>
    <m/>
    <m/>
    <m/>
    <m/>
    <m/>
    <n v="0"/>
    <m/>
    <m/>
    <n v="0"/>
    <s v=""/>
    <n v="0"/>
    <n v="0"/>
    <n v="0"/>
    <n v="116.88487613461319"/>
    <n v="2225"/>
    <n v="71535.307499999995"/>
    <n v="0"/>
    <n v="0"/>
    <n v="0"/>
    <n v="0"/>
    <n v="0"/>
    <n v="0"/>
  </r>
  <r>
    <x v="124"/>
    <x v="7"/>
    <x v="7"/>
    <m/>
    <m/>
    <m/>
    <m/>
    <m/>
    <n v="0"/>
    <m/>
    <m/>
    <n v="0"/>
    <s v=""/>
    <n v="0"/>
    <n v="0"/>
    <n v="0"/>
    <n v="116.88487613461319"/>
    <n v="2225"/>
    <n v="71535.307499999995"/>
    <n v="0"/>
    <n v="0"/>
    <n v="0"/>
    <n v="0"/>
    <n v="0"/>
    <n v="0"/>
  </r>
  <r>
    <x v="125"/>
    <x v="7"/>
    <x v="7"/>
    <m/>
    <m/>
    <m/>
    <m/>
    <m/>
    <n v="0"/>
    <m/>
    <m/>
    <n v="0"/>
    <s v=""/>
    <n v="0"/>
    <n v="0"/>
    <n v="0"/>
    <n v="116.88487613461319"/>
    <n v="2225"/>
    <n v="71535.307499999995"/>
    <n v="0"/>
    <n v="0"/>
    <n v="0"/>
    <n v="0"/>
    <n v="0"/>
    <n v="0"/>
  </r>
  <r>
    <x v="126"/>
    <x v="7"/>
    <x v="7"/>
    <m/>
    <m/>
    <m/>
    <m/>
    <m/>
    <n v="0"/>
    <m/>
    <m/>
    <n v="0"/>
    <s v=""/>
    <n v="0"/>
    <n v="0"/>
    <n v="0"/>
    <n v="116.88487613461319"/>
    <n v="2225"/>
    <n v="71535.307499999995"/>
    <n v="0"/>
    <n v="0"/>
    <n v="0"/>
    <n v="0"/>
    <n v="0"/>
    <n v="0"/>
  </r>
  <r>
    <x v="127"/>
    <x v="7"/>
    <x v="7"/>
    <m/>
    <m/>
    <m/>
    <m/>
    <m/>
    <n v="0"/>
    <m/>
    <m/>
    <n v="0"/>
    <s v=""/>
    <n v="0"/>
    <n v="0"/>
    <n v="0"/>
    <n v="116.88487613461319"/>
    <n v="2225"/>
    <n v="71535.307499999995"/>
    <n v="0"/>
    <n v="0"/>
    <n v="0"/>
    <n v="0"/>
    <n v="0"/>
    <n v="0"/>
  </r>
  <r>
    <x v="0"/>
    <x v="8"/>
    <x v="0"/>
    <m/>
    <m/>
    <m/>
    <m/>
    <m/>
    <n v="0"/>
    <m/>
    <m/>
    <n v="0"/>
    <s v=""/>
    <n v="0"/>
    <n v="0"/>
    <n v="0"/>
    <n v="116.88487613461319"/>
    <n v="2225"/>
    <n v="71535.307499999995"/>
    <n v="0"/>
    <n v="0"/>
    <n v="0"/>
    <n v="0"/>
    <n v="0"/>
    <n v="0"/>
  </r>
  <r>
    <x v="1"/>
    <x v="8"/>
    <x v="0"/>
    <m/>
    <m/>
    <m/>
    <m/>
    <m/>
    <n v="0"/>
    <m/>
    <m/>
    <n v="0"/>
    <s v=""/>
    <n v="0"/>
    <n v="0"/>
    <n v="0"/>
    <n v="116.88487613461319"/>
    <n v="2225"/>
    <n v="71535.307499999995"/>
    <n v="0"/>
    <n v="0"/>
    <n v="0"/>
    <n v="0"/>
    <n v="0"/>
    <n v="0"/>
  </r>
  <r>
    <x v="2"/>
    <x v="8"/>
    <x v="0"/>
    <m/>
    <m/>
    <m/>
    <m/>
    <m/>
    <n v="0"/>
    <m/>
    <m/>
    <n v="0"/>
    <s v=""/>
    <n v="0"/>
    <n v="0"/>
    <n v="0"/>
    <n v="116.88487613461319"/>
    <n v="2225"/>
    <n v="71535.307499999995"/>
    <n v="0"/>
    <n v="0"/>
    <n v="0"/>
    <n v="0"/>
    <n v="0"/>
    <n v="0"/>
  </r>
  <r>
    <x v="3"/>
    <x v="8"/>
    <x v="0"/>
    <m/>
    <m/>
    <m/>
    <m/>
    <m/>
    <n v="0"/>
    <m/>
    <m/>
    <n v="0"/>
    <s v=""/>
    <n v="0"/>
    <n v="0"/>
    <n v="0"/>
    <n v="116.88487613461319"/>
    <n v="2225"/>
    <n v="71535.307499999995"/>
    <n v="0"/>
    <n v="0"/>
    <n v="0"/>
    <n v="0"/>
    <n v="0"/>
    <n v="0"/>
  </r>
  <r>
    <x v="4"/>
    <x v="8"/>
    <x v="1"/>
    <m/>
    <m/>
    <m/>
    <m/>
    <m/>
    <n v="0"/>
    <m/>
    <m/>
    <n v="0"/>
    <s v=""/>
    <n v="0"/>
    <n v="0"/>
    <n v="0"/>
    <n v="116.88487613461319"/>
    <n v="2225"/>
    <n v="71535.307499999995"/>
    <n v="0"/>
    <n v="0"/>
    <n v="0"/>
    <n v="0"/>
    <n v="0"/>
    <n v="0"/>
  </r>
  <r>
    <x v="5"/>
    <x v="8"/>
    <x v="1"/>
    <m/>
    <m/>
    <m/>
    <m/>
    <m/>
    <n v="0"/>
    <m/>
    <m/>
    <n v="0"/>
    <s v=""/>
    <n v="0"/>
    <n v="0"/>
    <n v="0"/>
    <n v="116.88487613461319"/>
    <n v="2225"/>
    <n v="71535.307499999995"/>
    <n v="0"/>
    <n v="0"/>
    <n v="0"/>
    <n v="0"/>
    <n v="0"/>
    <n v="0"/>
  </r>
  <r>
    <x v="6"/>
    <x v="8"/>
    <x v="1"/>
    <m/>
    <m/>
    <m/>
    <m/>
    <m/>
    <n v="0"/>
    <m/>
    <m/>
    <n v="0"/>
    <s v=""/>
    <n v="0"/>
    <n v="0"/>
    <n v="0"/>
    <n v="116.88487613461319"/>
    <n v="2225"/>
    <n v="71535.307499999995"/>
    <n v="0"/>
    <n v="0"/>
    <n v="0"/>
    <n v="0"/>
    <n v="0"/>
    <n v="0"/>
  </r>
  <r>
    <x v="7"/>
    <x v="8"/>
    <x v="2"/>
    <m/>
    <m/>
    <m/>
    <m/>
    <m/>
    <n v="0"/>
    <m/>
    <m/>
    <n v="0"/>
    <s v=""/>
    <n v="0"/>
    <n v="0"/>
    <n v="0"/>
    <n v="116.88487613461319"/>
    <n v="2225"/>
    <n v="71535.307499999995"/>
    <n v="0"/>
    <n v="0"/>
    <n v="0"/>
    <n v="0"/>
    <n v="0"/>
    <n v="0"/>
  </r>
  <r>
    <x v="8"/>
    <x v="8"/>
    <x v="2"/>
    <m/>
    <m/>
    <m/>
    <m/>
    <m/>
    <n v="0"/>
    <m/>
    <m/>
    <n v="0"/>
    <s v=""/>
    <n v="0"/>
    <n v="0"/>
    <n v="0"/>
    <n v="116.88487613461319"/>
    <n v="2225"/>
    <n v="71535.307499999995"/>
    <n v="0"/>
    <n v="0"/>
    <n v="0"/>
    <n v="0"/>
    <n v="0"/>
    <n v="0"/>
  </r>
  <r>
    <x v="9"/>
    <x v="8"/>
    <x v="2"/>
    <m/>
    <m/>
    <m/>
    <m/>
    <m/>
    <n v="0"/>
    <m/>
    <m/>
    <n v="0"/>
    <s v=""/>
    <n v="0"/>
    <n v="0"/>
    <n v="0"/>
    <n v="116.88487613461319"/>
    <n v="2225"/>
    <n v="71535.307499999995"/>
    <n v="0"/>
    <n v="0"/>
    <n v="0"/>
    <n v="0"/>
    <n v="0"/>
    <n v="0"/>
  </r>
  <r>
    <x v="10"/>
    <x v="8"/>
    <x v="2"/>
    <m/>
    <m/>
    <m/>
    <m/>
    <m/>
    <n v="0"/>
    <m/>
    <m/>
    <n v="0"/>
    <s v=""/>
    <n v="0"/>
    <n v="0"/>
    <n v="0"/>
    <n v="116.88487613461319"/>
    <n v="2225"/>
    <n v="71535.307499999995"/>
    <n v="0"/>
    <n v="0"/>
    <n v="0"/>
    <n v="0"/>
    <n v="0"/>
    <n v="0"/>
  </r>
  <r>
    <x v="11"/>
    <x v="8"/>
    <x v="2"/>
    <m/>
    <m/>
    <m/>
    <m/>
    <m/>
    <n v="0"/>
    <m/>
    <m/>
    <n v="0"/>
    <s v=""/>
    <n v="0"/>
    <n v="0"/>
    <n v="0"/>
    <n v="116.88487613461319"/>
    <n v="2225"/>
    <n v="71535.307499999995"/>
    <n v="0"/>
    <n v="0"/>
    <n v="0"/>
    <n v="0"/>
    <n v="0"/>
    <n v="0"/>
  </r>
  <r>
    <x v="12"/>
    <x v="8"/>
    <x v="2"/>
    <m/>
    <m/>
    <m/>
    <m/>
    <m/>
    <n v="0"/>
    <m/>
    <m/>
    <n v="0"/>
    <s v=""/>
    <n v="0"/>
    <n v="0"/>
    <n v="0"/>
    <n v="116.88487613461319"/>
    <n v="2225"/>
    <n v="71535.307499999995"/>
    <n v="0"/>
    <n v="0"/>
    <n v="0"/>
    <n v="0"/>
    <n v="0"/>
    <n v="0"/>
  </r>
  <r>
    <x v="13"/>
    <x v="8"/>
    <x v="2"/>
    <m/>
    <m/>
    <m/>
    <m/>
    <m/>
    <n v="0"/>
    <m/>
    <m/>
    <n v="0"/>
    <s v=""/>
    <n v="0"/>
    <n v="0"/>
    <n v="0"/>
    <n v="116.88487613461319"/>
    <n v="2225"/>
    <n v="71535.307499999995"/>
    <n v="0"/>
    <n v="0"/>
    <n v="0"/>
    <n v="0"/>
    <n v="0"/>
    <n v="0"/>
  </r>
  <r>
    <x v="14"/>
    <x v="8"/>
    <x v="2"/>
    <m/>
    <m/>
    <m/>
    <m/>
    <m/>
    <n v="0"/>
    <m/>
    <m/>
    <n v="0"/>
    <s v=""/>
    <n v="0"/>
    <n v="0"/>
    <n v="0"/>
    <n v="116.88487613461319"/>
    <n v="2225"/>
    <n v="71535.307499999995"/>
    <n v="0"/>
    <n v="0"/>
    <n v="0"/>
    <n v="0"/>
    <n v="0"/>
    <n v="0"/>
  </r>
  <r>
    <x v="15"/>
    <x v="8"/>
    <x v="2"/>
    <m/>
    <m/>
    <m/>
    <m/>
    <m/>
    <n v="0"/>
    <m/>
    <m/>
    <n v="0"/>
    <s v=""/>
    <n v="0"/>
    <n v="0"/>
    <n v="0"/>
    <n v="116.88487613461319"/>
    <n v="2225"/>
    <n v="71535.307499999995"/>
    <n v="0"/>
    <n v="0"/>
    <n v="0"/>
    <n v="0"/>
    <n v="0"/>
    <n v="0"/>
  </r>
  <r>
    <x v="16"/>
    <x v="8"/>
    <x v="2"/>
    <m/>
    <m/>
    <m/>
    <m/>
    <m/>
    <n v="0"/>
    <m/>
    <m/>
    <n v="0"/>
    <s v=""/>
    <n v="0"/>
    <n v="0"/>
    <n v="0"/>
    <n v="116.88487613461319"/>
    <n v="2225"/>
    <n v="71535.307499999995"/>
    <n v="0"/>
    <n v="0"/>
    <n v="0"/>
    <n v="0"/>
    <n v="0"/>
    <n v="0"/>
  </r>
  <r>
    <x v="17"/>
    <x v="8"/>
    <x v="3"/>
    <m/>
    <m/>
    <m/>
    <m/>
    <m/>
    <n v="0"/>
    <m/>
    <m/>
    <n v="0"/>
    <s v=""/>
    <n v="0"/>
    <n v="0"/>
    <n v="0"/>
    <n v="116.88487613461319"/>
    <n v="2225"/>
    <n v="71535.307499999995"/>
    <n v="0"/>
    <n v="0"/>
    <n v="0"/>
    <n v="0"/>
    <n v="0"/>
    <n v="0"/>
  </r>
  <r>
    <x v="18"/>
    <x v="8"/>
    <x v="3"/>
    <m/>
    <m/>
    <m/>
    <m/>
    <m/>
    <n v="0"/>
    <m/>
    <m/>
    <n v="0"/>
    <s v=""/>
    <n v="0"/>
    <n v="0"/>
    <n v="0"/>
    <n v="116.88487613461319"/>
    <n v="2225"/>
    <n v="71535.307499999995"/>
    <n v="0"/>
    <n v="0"/>
    <n v="0"/>
    <n v="0"/>
    <n v="0"/>
    <n v="0"/>
  </r>
  <r>
    <x v="19"/>
    <x v="8"/>
    <x v="3"/>
    <m/>
    <m/>
    <m/>
    <m/>
    <m/>
    <n v="0"/>
    <m/>
    <m/>
    <n v="0"/>
    <s v=""/>
    <n v="0"/>
    <n v="0"/>
    <n v="0"/>
    <n v="116.88487613461319"/>
    <n v="2225"/>
    <n v="71535.307499999995"/>
    <n v="0"/>
    <n v="0"/>
    <n v="0"/>
    <n v="0"/>
    <n v="0"/>
    <n v="0"/>
  </r>
  <r>
    <x v="20"/>
    <x v="8"/>
    <x v="3"/>
    <m/>
    <m/>
    <m/>
    <m/>
    <m/>
    <n v="0"/>
    <m/>
    <m/>
    <n v="0"/>
    <s v=""/>
    <n v="0"/>
    <n v="0"/>
    <n v="0"/>
    <n v="116.88487613461319"/>
    <n v="2225"/>
    <n v="71535.307499999995"/>
    <n v="0"/>
    <n v="0"/>
    <n v="0"/>
    <n v="0"/>
    <n v="0"/>
    <n v="0"/>
  </r>
  <r>
    <x v="21"/>
    <x v="8"/>
    <x v="3"/>
    <m/>
    <m/>
    <m/>
    <m/>
    <m/>
    <n v="0"/>
    <m/>
    <m/>
    <n v="0"/>
    <s v=""/>
    <n v="0"/>
    <n v="0"/>
    <n v="0"/>
    <n v="116.88487613461319"/>
    <n v="2225"/>
    <n v="71535.307499999995"/>
    <n v="0"/>
    <n v="0"/>
    <n v="0"/>
    <n v="0"/>
    <n v="0"/>
    <n v="0"/>
  </r>
  <r>
    <x v="22"/>
    <x v="8"/>
    <x v="3"/>
    <m/>
    <m/>
    <m/>
    <m/>
    <m/>
    <n v="0"/>
    <m/>
    <m/>
    <n v="0"/>
    <s v=""/>
    <n v="0"/>
    <n v="0"/>
    <n v="0"/>
    <n v="116.88487613461319"/>
    <n v="2225"/>
    <n v="71535.307499999995"/>
    <n v="0"/>
    <n v="0"/>
    <n v="0"/>
    <n v="0"/>
    <n v="0"/>
    <n v="0"/>
  </r>
  <r>
    <x v="23"/>
    <x v="8"/>
    <x v="3"/>
    <m/>
    <m/>
    <m/>
    <m/>
    <m/>
    <n v="0"/>
    <m/>
    <m/>
    <n v="0"/>
    <s v=""/>
    <n v="0"/>
    <n v="0"/>
    <n v="0"/>
    <n v="116.88487613461319"/>
    <n v="2225"/>
    <n v="71535.307499999995"/>
    <n v="0"/>
    <n v="0"/>
    <n v="0"/>
    <n v="0"/>
    <n v="0"/>
    <n v="0"/>
  </r>
  <r>
    <x v="24"/>
    <x v="8"/>
    <x v="3"/>
    <m/>
    <m/>
    <m/>
    <m/>
    <m/>
    <n v="0"/>
    <m/>
    <m/>
    <n v="0"/>
    <s v=""/>
    <n v="0"/>
    <n v="0"/>
    <n v="0"/>
    <n v="116.88487613461319"/>
    <n v="2225"/>
    <n v="71535.307499999995"/>
    <n v="0"/>
    <n v="0"/>
    <n v="0"/>
    <n v="0"/>
    <n v="0"/>
    <n v="0"/>
  </r>
  <r>
    <x v="25"/>
    <x v="8"/>
    <x v="3"/>
    <m/>
    <m/>
    <m/>
    <m/>
    <m/>
    <n v="0"/>
    <m/>
    <m/>
    <n v="0"/>
    <s v=""/>
    <n v="0"/>
    <n v="0"/>
    <n v="0"/>
    <n v="116.88487613461319"/>
    <n v="2225"/>
    <n v="71535.307499999995"/>
    <n v="0"/>
    <n v="0"/>
    <n v="0"/>
    <n v="0"/>
    <n v="0"/>
    <n v="0"/>
  </r>
  <r>
    <x v="26"/>
    <x v="8"/>
    <x v="3"/>
    <m/>
    <m/>
    <m/>
    <m/>
    <m/>
    <n v="0"/>
    <m/>
    <m/>
    <n v="0"/>
    <s v=""/>
    <n v="0"/>
    <n v="0"/>
    <n v="0"/>
    <n v="116.88487613461319"/>
    <n v="2225"/>
    <n v="71535.307499999995"/>
    <n v="0"/>
    <n v="0"/>
    <n v="0"/>
    <n v="0"/>
    <n v="0"/>
    <n v="0"/>
  </r>
  <r>
    <x v="27"/>
    <x v="8"/>
    <x v="3"/>
    <m/>
    <m/>
    <m/>
    <m/>
    <m/>
    <n v="0"/>
    <m/>
    <m/>
    <n v="0"/>
    <s v=""/>
    <n v="0"/>
    <n v="0"/>
    <n v="0"/>
    <n v="116.88487613461319"/>
    <n v="2225"/>
    <n v="71535.307499999995"/>
    <n v="0"/>
    <n v="0"/>
    <n v="0"/>
    <n v="0"/>
    <n v="0"/>
    <n v="0"/>
  </r>
  <r>
    <x v="28"/>
    <x v="8"/>
    <x v="3"/>
    <m/>
    <m/>
    <m/>
    <m/>
    <m/>
    <n v="0"/>
    <m/>
    <m/>
    <n v="0"/>
    <s v=""/>
    <n v="0"/>
    <n v="0"/>
    <n v="0"/>
    <n v="116.88487613461319"/>
    <n v="2225"/>
    <n v="71535.307499999995"/>
    <n v="0"/>
    <n v="0"/>
    <n v="0"/>
    <n v="0"/>
    <n v="0"/>
    <n v="0"/>
  </r>
  <r>
    <x v="29"/>
    <x v="8"/>
    <x v="3"/>
    <m/>
    <m/>
    <m/>
    <m/>
    <m/>
    <n v="0"/>
    <m/>
    <m/>
    <n v="0"/>
    <s v=""/>
    <n v="0"/>
    <n v="0"/>
    <n v="0"/>
    <n v="116.88487613461319"/>
    <n v="2225"/>
    <n v="71535.307499999995"/>
    <n v="0"/>
    <n v="0"/>
    <n v="0"/>
    <n v="0"/>
    <n v="0"/>
    <n v="0"/>
  </r>
  <r>
    <x v="30"/>
    <x v="8"/>
    <x v="3"/>
    <m/>
    <m/>
    <m/>
    <m/>
    <m/>
    <n v="0"/>
    <m/>
    <m/>
    <n v="0"/>
    <s v=""/>
    <n v="0"/>
    <n v="0"/>
    <n v="0"/>
    <n v="116.88487613461319"/>
    <n v="2225"/>
    <n v="71535.307499999995"/>
    <n v="0"/>
    <n v="0"/>
    <n v="0"/>
    <n v="0"/>
    <n v="0"/>
    <n v="0"/>
  </r>
  <r>
    <x v="31"/>
    <x v="8"/>
    <x v="3"/>
    <m/>
    <m/>
    <m/>
    <m/>
    <m/>
    <n v="0"/>
    <m/>
    <m/>
    <n v="0"/>
    <s v=""/>
    <n v="0"/>
    <n v="0"/>
    <n v="0"/>
    <n v="116.88487613461319"/>
    <n v="2225"/>
    <n v="71535.307499999995"/>
    <n v="0"/>
    <n v="0"/>
    <n v="0"/>
    <n v="0"/>
    <n v="0"/>
    <n v="0"/>
  </r>
  <r>
    <x v="32"/>
    <x v="8"/>
    <x v="3"/>
    <m/>
    <m/>
    <m/>
    <m/>
    <m/>
    <n v="0"/>
    <m/>
    <m/>
    <n v="0"/>
    <s v=""/>
    <n v="0"/>
    <n v="0"/>
    <n v="0"/>
    <n v="116.88487613461319"/>
    <n v="2225"/>
    <n v="71535.307499999995"/>
    <n v="0"/>
    <n v="0"/>
    <n v="0"/>
    <n v="0"/>
    <n v="0"/>
    <n v="0"/>
  </r>
  <r>
    <x v="33"/>
    <x v="8"/>
    <x v="3"/>
    <m/>
    <m/>
    <m/>
    <m/>
    <m/>
    <n v="0"/>
    <m/>
    <m/>
    <n v="0"/>
    <s v=""/>
    <n v="0"/>
    <n v="0"/>
    <n v="0"/>
    <n v="116.88487613461319"/>
    <n v="2225"/>
    <n v="71535.307499999995"/>
    <n v="0"/>
    <n v="0"/>
    <n v="0"/>
    <n v="0"/>
    <n v="0"/>
    <n v="0"/>
  </r>
  <r>
    <x v="34"/>
    <x v="8"/>
    <x v="3"/>
    <m/>
    <m/>
    <m/>
    <m/>
    <m/>
    <n v="0"/>
    <m/>
    <m/>
    <n v="0"/>
    <s v=""/>
    <n v="0"/>
    <n v="0"/>
    <n v="0"/>
    <n v="116.88487613461319"/>
    <n v="2225"/>
    <n v="71535.307499999995"/>
    <n v="0"/>
    <n v="0"/>
    <n v="0"/>
    <n v="0"/>
    <n v="0"/>
    <n v="0"/>
  </r>
  <r>
    <x v="35"/>
    <x v="8"/>
    <x v="3"/>
    <m/>
    <m/>
    <m/>
    <m/>
    <m/>
    <n v="0"/>
    <m/>
    <m/>
    <n v="0"/>
    <s v=""/>
    <n v="0"/>
    <n v="0"/>
    <n v="0"/>
    <n v="116.88487613461319"/>
    <n v="2225"/>
    <n v="71535.307499999995"/>
    <n v="0"/>
    <n v="0"/>
    <n v="0"/>
    <n v="0"/>
    <n v="0"/>
    <n v="0"/>
  </r>
  <r>
    <x v="36"/>
    <x v="8"/>
    <x v="3"/>
    <m/>
    <m/>
    <m/>
    <m/>
    <m/>
    <n v="0"/>
    <m/>
    <m/>
    <n v="0"/>
    <s v=""/>
    <n v="0"/>
    <n v="0"/>
    <n v="0"/>
    <n v="116.88487613461319"/>
    <n v="2225"/>
    <n v="71535.307499999995"/>
    <n v="0"/>
    <n v="0"/>
    <n v="0"/>
    <n v="0"/>
    <n v="0"/>
    <n v="0"/>
  </r>
  <r>
    <x v="37"/>
    <x v="8"/>
    <x v="3"/>
    <m/>
    <m/>
    <m/>
    <m/>
    <m/>
    <n v="0"/>
    <m/>
    <m/>
    <n v="0"/>
    <s v=""/>
    <n v="0"/>
    <n v="0"/>
    <n v="0"/>
    <n v="116.88487613461319"/>
    <n v="2225"/>
    <n v="71535.307499999995"/>
    <n v="0"/>
    <n v="0"/>
    <n v="0"/>
    <n v="0"/>
    <n v="0"/>
    <n v="0"/>
  </r>
  <r>
    <x v="38"/>
    <x v="8"/>
    <x v="3"/>
    <m/>
    <m/>
    <m/>
    <m/>
    <m/>
    <n v="0"/>
    <m/>
    <m/>
    <n v="0"/>
    <s v=""/>
    <n v="0"/>
    <n v="0"/>
    <n v="0"/>
    <n v="116.88487613461319"/>
    <n v="2225"/>
    <n v="71535.307499999995"/>
    <n v="0"/>
    <n v="0"/>
    <n v="0"/>
    <n v="0"/>
    <n v="0"/>
    <n v="0"/>
  </r>
  <r>
    <x v="39"/>
    <x v="8"/>
    <x v="3"/>
    <m/>
    <m/>
    <m/>
    <m/>
    <m/>
    <n v="0"/>
    <m/>
    <m/>
    <n v="0"/>
    <s v=""/>
    <n v="0"/>
    <n v="0"/>
    <n v="0"/>
    <n v="116.88487613461319"/>
    <n v="2225"/>
    <n v="71535.307499999995"/>
    <n v="0"/>
    <n v="0"/>
    <n v="0"/>
    <n v="0"/>
    <n v="0"/>
    <n v="0"/>
  </r>
  <r>
    <x v="40"/>
    <x v="8"/>
    <x v="3"/>
    <m/>
    <m/>
    <m/>
    <m/>
    <m/>
    <n v="0"/>
    <m/>
    <m/>
    <n v="0"/>
    <s v=""/>
    <n v="0"/>
    <n v="0"/>
    <n v="0"/>
    <n v="116.88487613461319"/>
    <n v="2225"/>
    <n v="71535.307499999995"/>
    <n v="0"/>
    <n v="0"/>
    <n v="0"/>
    <n v="0"/>
    <n v="0"/>
    <n v="0"/>
  </r>
  <r>
    <x v="41"/>
    <x v="8"/>
    <x v="3"/>
    <m/>
    <m/>
    <m/>
    <m/>
    <m/>
    <n v="0"/>
    <m/>
    <m/>
    <n v="0"/>
    <s v=""/>
    <n v="0"/>
    <n v="0"/>
    <n v="0"/>
    <n v="116.88487613461319"/>
    <n v="2225"/>
    <n v="71535.307499999995"/>
    <n v="0"/>
    <n v="0"/>
    <n v="0"/>
    <n v="0"/>
    <n v="0"/>
    <n v="0"/>
  </r>
  <r>
    <x v="42"/>
    <x v="8"/>
    <x v="3"/>
    <m/>
    <m/>
    <m/>
    <m/>
    <m/>
    <n v="0"/>
    <m/>
    <m/>
    <n v="0"/>
    <s v=""/>
    <n v="0"/>
    <n v="0"/>
    <n v="0"/>
    <n v="116.88487613461319"/>
    <n v="2225"/>
    <n v="71535.307499999995"/>
    <n v="0"/>
    <n v="0"/>
    <n v="0"/>
    <n v="0"/>
    <n v="0"/>
    <n v="0"/>
  </r>
  <r>
    <x v="43"/>
    <x v="8"/>
    <x v="3"/>
    <m/>
    <m/>
    <m/>
    <m/>
    <m/>
    <n v="0"/>
    <m/>
    <m/>
    <n v="0"/>
    <s v=""/>
    <n v="0"/>
    <n v="0"/>
    <n v="0"/>
    <n v="116.88487613461319"/>
    <n v="2225"/>
    <n v="71535.307499999995"/>
    <n v="0"/>
    <n v="0"/>
    <n v="0"/>
    <n v="0"/>
    <n v="0"/>
    <n v="0"/>
  </r>
  <r>
    <x v="44"/>
    <x v="8"/>
    <x v="3"/>
    <m/>
    <m/>
    <m/>
    <m/>
    <m/>
    <n v="0"/>
    <m/>
    <m/>
    <n v="0"/>
    <s v=""/>
    <n v="0"/>
    <n v="0"/>
    <n v="0"/>
    <n v="116.88487613461319"/>
    <n v="2225"/>
    <n v="71535.307499999995"/>
    <n v="0"/>
    <n v="0"/>
    <n v="0"/>
    <n v="0"/>
    <n v="0"/>
    <n v="0"/>
  </r>
  <r>
    <x v="45"/>
    <x v="8"/>
    <x v="3"/>
    <m/>
    <m/>
    <m/>
    <m/>
    <m/>
    <n v="0"/>
    <m/>
    <m/>
    <n v="0"/>
    <s v=""/>
    <n v="0"/>
    <n v="0"/>
    <n v="0"/>
    <n v="116.88487613461319"/>
    <n v="2225"/>
    <n v="71535.307499999995"/>
    <n v="0"/>
    <n v="0"/>
    <n v="0"/>
    <n v="0"/>
    <n v="0"/>
    <n v="0"/>
  </r>
  <r>
    <x v="46"/>
    <x v="8"/>
    <x v="3"/>
    <m/>
    <m/>
    <m/>
    <m/>
    <m/>
    <m/>
    <m/>
    <m/>
    <m/>
    <m/>
    <m/>
    <m/>
    <m/>
    <m/>
    <m/>
    <m/>
    <m/>
    <m/>
    <m/>
    <m/>
    <m/>
    <m/>
  </r>
  <r>
    <x v="47"/>
    <x v="8"/>
    <x v="3"/>
    <m/>
    <m/>
    <m/>
    <m/>
    <m/>
    <m/>
    <m/>
    <m/>
    <m/>
    <m/>
    <m/>
    <m/>
    <m/>
    <m/>
    <m/>
    <m/>
    <m/>
    <m/>
    <m/>
    <m/>
    <m/>
    <m/>
  </r>
  <r>
    <x v="48"/>
    <x v="8"/>
    <x v="3"/>
    <m/>
    <m/>
    <m/>
    <m/>
    <m/>
    <m/>
    <m/>
    <m/>
    <m/>
    <m/>
    <m/>
    <m/>
    <m/>
    <m/>
    <m/>
    <m/>
    <m/>
    <m/>
    <m/>
    <m/>
    <m/>
    <m/>
  </r>
  <r>
    <x v="49"/>
    <x v="8"/>
    <x v="3"/>
    <m/>
    <m/>
    <m/>
    <m/>
    <m/>
    <n v="0"/>
    <m/>
    <m/>
    <n v="0"/>
    <s v=""/>
    <n v="0"/>
    <n v="0"/>
    <n v="0"/>
    <n v="116.88487613461319"/>
    <n v="2225"/>
    <n v="71535.307499999995"/>
    <n v="0"/>
    <n v="0"/>
    <n v="0"/>
    <n v="0"/>
    <n v="0"/>
    <n v="0"/>
  </r>
  <r>
    <x v="50"/>
    <x v="8"/>
    <x v="4"/>
    <m/>
    <m/>
    <m/>
    <m/>
    <m/>
    <n v="0"/>
    <m/>
    <m/>
    <n v="0"/>
    <s v=""/>
    <n v="0"/>
    <n v="0"/>
    <n v="0"/>
    <n v="116.88487613461319"/>
    <n v="2225"/>
    <n v="71535.307499999995"/>
    <n v="0"/>
    <n v="0"/>
    <n v="0"/>
    <n v="0"/>
    <n v="0"/>
    <n v="0"/>
  </r>
  <r>
    <x v="51"/>
    <x v="8"/>
    <x v="4"/>
    <m/>
    <m/>
    <m/>
    <m/>
    <m/>
    <n v="0"/>
    <m/>
    <m/>
    <n v="0"/>
    <s v=""/>
    <n v="0"/>
    <n v="0"/>
    <n v="0"/>
    <n v="116.88487613461319"/>
    <n v="2225"/>
    <n v="71535.307499999995"/>
    <n v="0"/>
    <n v="0"/>
    <n v="0"/>
    <n v="0"/>
    <n v="0"/>
    <n v="0"/>
  </r>
  <r>
    <x v="52"/>
    <x v="8"/>
    <x v="4"/>
    <m/>
    <m/>
    <m/>
    <m/>
    <m/>
    <n v="0"/>
    <m/>
    <m/>
    <n v="0"/>
    <s v=""/>
    <n v="0"/>
    <n v="0"/>
    <n v="0"/>
    <n v="116.88487613461319"/>
    <n v="2225"/>
    <n v="71535.307499999995"/>
    <n v="0"/>
    <n v="0"/>
    <n v="0"/>
    <n v="0"/>
    <n v="0"/>
    <n v="0"/>
  </r>
  <r>
    <x v="53"/>
    <x v="8"/>
    <x v="4"/>
    <m/>
    <m/>
    <m/>
    <m/>
    <m/>
    <n v="0"/>
    <m/>
    <m/>
    <n v="0"/>
    <s v=""/>
    <n v="0"/>
    <n v="0"/>
    <n v="0"/>
    <n v="116.88487613461319"/>
    <n v="2225"/>
    <n v="71535.307499999995"/>
    <n v="0"/>
    <n v="0"/>
    <n v="0"/>
    <n v="0"/>
    <n v="0"/>
    <n v="0"/>
  </r>
  <r>
    <x v="54"/>
    <x v="8"/>
    <x v="4"/>
    <m/>
    <m/>
    <m/>
    <m/>
    <m/>
    <n v="0"/>
    <m/>
    <m/>
    <n v="0"/>
    <s v=""/>
    <n v="0"/>
    <n v="0"/>
    <n v="0"/>
    <n v="116.88487613461319"/>
    <n v="2225"/>
    <n v="71535.307499999995"/>
    <n v="0"/>
    <n v="0"/>
    <n v="0"/>
    <n v="0"/>
    <n v="0"/>
    <n v="0"/>
  </r>
  <r>
    <x v="55"/>
    <x v="8"/>
    <x v="4"/>
    <m/>
    <m/>
    <m/>
    <m/>
    <m/>
    <n v="0"/>
    <m/>
    <m/>
    <n v="0"/>
    <s v=""/>
    <n v="0"/>
    <n v="0"/>
    <n v="0"/>
    <n v="116.88487613461319"/>
    <n v="2225"/>
    <n v="71535.307499999995"/>
    <n v="0"/>
    <n v="0"/>
    <n v="0"/>
    <n v="0"/>
    <n v="0"/>
    <n v="0"/>
  </r>
  <r>
    <x v="56"/>
    <x v="8"/>
    <x v="4"/>
    <m/>
    <m/>
    <m/>
    <m/>
    <m/>
    <n v="0"/>
    <m/>
    <m/>
    <n v="0"/>
    <s v=""/>
    <n v="0"/>
    <n v="0"/>
    <n v="0"/>
    <n v="116.88487613461319"/>
    <n v="2225"/>
    <n v="71535.307499999995"/>
    <n v="0"/>
    <n v="0"/>
    <n v="0"/>
    <n v="0"/>
    <n v="0"/>
    <n v="0"/>
  </r>
  <r>
    <x v="57"/>
    <x v="8"/>
    <x v="4"/>
    <m/>
    <m/>
    <m/>
    <m/>
    <m/>
    <n v="0"/>
    <m/>
    <m/>
    <n v="0"/>
    <s v=""/>
    <n v="0"/>
    <n v="0"/>
    <n v="0"/>
    <n v="116.88487613461319"/>
    <n v="2225"/>
    <n v="71535.307499999995"/>
    <n v="0"/>
    <n v="0"/>
    <n v="0"/>
    <n v="0"/>
    <n v="0"/>
    <n v="0"/>
  </r>
  <r>
    <x v="58"/>
    <x v="8"/>
    <x v="4"/>
    <m/>
    <m/>
    <m/>
    <m/>
    <m/>
    <n v="0"/>
    <m/>
    <m/>
    <n v="0"/>
    <s v=""/>
    <n v="0"/>
    <n v="0"/>
    <n v="0"/>
    <n v="116.88487613461319"/>
    <n v="2225"/>
    <n v="71535.307499999995"/>
    <n v="0"/>
    <n v="0"/>
    <n v="0"/>
    <n v="0"/>
    <n v="0"/>
    <n v="0"/>
  </r>
  <r>
    <x v="59"/>
    <x v="8"/>
    <x v="4"/>
    <m/>
    <m/>
    <m/>
    <m/>
    <m/>
    <n v="0"/>
    <m/>
    <m/>
    <n v="0"/>
    <s v=""/>
    <n v="0"/>
    <n v="0"/>
    <n v="0"/>
    <n v="116.88487613461319"/>
    <n v="2225"/>
    <n v="71535.307499999995"/>
    <n v="0"/>
    <n v="0"/>
    <n v="0"/>
    <n v="0"/>
    <n v="0"/>
    <n v="0"/>
  </r>
  <r>
    <x v="60"/>
    <x v="8"/>
    <x v="4"/>
    <m/>
    <m/>
    <m/>
    <m/>
    <m/>
    <n v="0"/>
    <m/>
    <m/>
    <n v="0"/>
    <s v=""/>
    <n v="0"/>
    <n v="0"/>
    <n v="0"/>
    <n v="116.88487613461319"/>
    <n v="2225"/>
    <n v="71535.307499999995"/>
    <n v="0"/>
    <n v="0"/>
    <n v="0"/>
    <n v="0"/>
    <n v="0"/>
    <n v="0"/>
  </r>
  <r>
    <x v="61"/>
    <x v="8"/>
    <x v="4"/>
    <m/>
    <m/>
    <m/>
    <m/>
    <m/>
    <n v="0"/>
    <m/>
    <m/>
    <n v="0"/>
    <s v=""/>
    <n v="0"/>
    <n v="0"/>
    <n v="0"/>
    <n v="116.88487613461319"/>
    <n v="2225"/>
    <n v="71535.307499999995"/>
    <n v="0"/>
    <n v="0"/>
    <n v="0"/>
    <n v="0"/>
    <n v="0"/>
    <n v="0"/>
  </r>
  <r>
    <x v="62"/>
    <x v="8"/>
    <x v="4"/>
    <m/>
    <m/>
    <m/>
    <m/>
    <m/>
    <n v="0"/>
    <m/>
    <m/>
    <n v="0"/>
    <s v=""/>
    <n v="0"/>
    <n v="0"/>
    <n v="0"/>
    <n v="116.88487613461319"/>
    <n v="2225"/>
    <n v="71535.307499999995"/>
    <n v="0"/>
    <n v="0"/>
    <n v="0"/>
    <n v="0"/>
    <n v="0"/>
    <n v="0"/>
  </r>
  <r>
    <x v="63"/>
    <x v="8"/>
    <x v="4"/>
    <m/>
    <m/>
    <m/>
    <m/>
    <m/>
    <n v="0"/>
    <m/>
    <m/>
    <n v="0"/>
    <s v=""/>
    <n v="0"/>
    <n v="0"/>
    <n v="0"/>
    <n v="116.88487613461319"/>
    <n v="2225"/>
    <n v="71535.307499999995"/>
    <n v="0"/>
    <n v="0"/>
    <n v="0"/>
    <n v="0"/>
    <n v="0"/>
    <n v="0"/>
  </r>
  <r>
    <x v="64"/>
    <x v="8"/>
    <x v="4"/>
    <m/>
    <m/>
    <m/>
    <m/>
    <m/>
    <n v="0"/>
    <m/>
    <m/>
    <n v="0"/>
    <s v=""/>
    <n v="0"/>
    <n v="0"/>
    <n v="0"/>
    <n v="116.88487613461319"/>
    <n v="2225"/>
    <n v="71535.307499999995"/>
    <n v="0"/>
    <n v="0"/>
    <n v="0"/>
    <n v="0"/>
    <n v="0"/>
    <n v="0"/>
  </r>
  <r>
    <x v="65"/>
    <x v="8"/>
    <x v="4"/>
    <m/>
    <m/>
    <m/>
    <m/>
    <m/>
    <n v="0"/>
    <m/>
    <m/>
    <n v="0"/>
    <s v=""/>
    <n v="0"/>
    <n v="0"/>
    <n v="0"/>
    <n v="116.88487613461319"/>
    <n v="2225"/>
    <n v="71535.307499999995"/>
    <n v="0"/>
    <n v="0"/>
    <n v="0"/>
    <n v="0"/>
    <n v="0"/>
    <n v="0"/>
  </r>
  <r>
    <x v="66"/>
    <x v="8"/>
    <x v="4"/>
    <m/>
    <m/>
    <m/>
    <m/>
    <m/>
    <n v="0"/>
    <m/>
    <m/>
    <n v="0"/>
    <s v=""/>
    <n v="0"/>
    <n v="0"/>
    <n v="0"/>
    <n v="116.88487613461319"/>
    <n v="2225"/>
    <n v="71535.307499999995"/>
    <n v="0"/>
    <n v="0"/>
    <n v="0"/>
    <n v="0"/>
    <n v="0"/>
    <n v="0"/>
  </r>
  <r>
    <x v="67"/>
    <x v="8"/>
    <x v="4"/>
    <m/>
    <m/>
    <m/>
    <m/>
    <m/>
    <n v="0"/>
    <m/>
    <m/>
    <n v="0"/>
    <s v=""/>
    <n v="0"/>
    <n v="0"/>
    <n v="0"/>
    <n v="116.88487613461319"/>
    <n v="2225"/>
    <n v="71535.307499999995"/>
    <n v="0"/>
    <n v="0"/>
    <n v="0"/>
    <n v="0"/>
    <n v="0"/>
    <n v="0"/>
  </r>
  <r>
    <x v="68"/>
    <x v="8"/>
    <x v="4"/>
    <m/>
    <m/>
    <m/>
    <m/>
    <m/>
    <n v="0"/>
    <m/>
    <m/>
    <n v="0"/>
    <s v=""/>
    <n v="0"/>
    <n v="0"/>
    <n v="0"/>
    <n v="116.88487613461319"/>
    <n v="2225"/>
    <n v="71535.307499999995"/>
    <n v="0"/>
    <n v="0"/>
    <n v="0"/>
    <n v="0"/>
    <n v="0"/>
    <n v="0"/>
  </r>
  <r>
    <x v="69"/>
    <x v="8"/>
    <x v="4"/>
    <m/>
    <m/>
    <m/>
    <m/>
    <m/>
    <n v="0"/>
    <m/>
    <m/>
    <n v="0"/>
    <s v=""/>
    <n v="0"/>
    <n v="0"/>
    <n v="0"/>
    <n v="116.88487613461319"/>
    <n v="2225"/>
    <n v="71535.307499999995"/>
    <n v="0"/>
    <n v="0"/>
    <n v="0"/>
    <n v="0"/>
    <n v="0"/>
    <n v="0"/>
  </r>
  <r>
    <x v="70"/>
    <x v="8"/>
    <x v="5"/>
    <m/>
    <m/>
    <m/>
    <m/>
    <m/>
    <n v="0"/>
    <m/>
    <m/>
    <n v="0"/>
    <s v=""/>
    <n v="0"/>
    <n v="0"/>
    <n v="0"/>
    <n v="116.88487613461319"/>
    <n v="2225"/>
    <n v="71535.307499999995"/>
    <n v="0"/>
    <n v="0"/>
    <n v="0"/>
    <n v="0"/>
    <n v="0"/>
    <n v="0"/>
  </r>
  <r>
    <x v="71"/>
    <x v="8"/>
    <x v="5"/>
    <m/>
    <m/>
    <m/>
    <m/>
    <m/>
    <n v="0"/>
    <m/>
    <m/>
    <n v="0"/>
    <s v=""/>
    <n v="0"/>
    <n v="0"/>
    <n v="0"/>
    <n v="116.88487613461319"/>
    <n v="2225"/>
    <n v="71535.307499999995"/>
    <n v="0"/>
    <n v="0"/>
    <n v="0"/>
    <n v="0"/>
    <n v="0"/>
    <n v="0"/>
  </r>
  <r>
    <x v="72"/>
    <x v="8"/>
    <x v="5"/>
    <m/>
    <m/>
    <m/>
    <m/>
    <m/>
    <m/>
    <m/>
    <m/>
    <m/>
    <m/>
    <m/>
    <m/>
    <m/>
    <m/>
    <m/>
    <m/>
    <m/>
    <m/>
    <m/>
    <m/>
    <m/>
    <m/>
  </r>
  <r>
    <x v="73"/>
    <x v="8"/>
    <x v="5"/>
    <m/>
    <m/>
    <m/>
    <m/>
    <m/>
    <m/>
    <m/>
    <m/>
    <m/>
    <m/>
    <m/>
    <m/>
    <m/>
    <m/>
    <m/>
    <m/>
    <m/>
    <m/>
    <m/>
    <m/>
    <m/>
    <m/>
  </r>
  <r>
    <x v="74"/>
    <x v="8"/>
    <x v="5"/>
    <m/>
    <m/>
    <m/>
    <m/>
    <m/>
    <m/>
    <m/>
    <m/>
    <m/>
    <m/>
    <m/>
    <m/>
    <m/>
    <m/>
    <m/>
    <m/>
    <m/>
    <m/>
    <m/>
    <m/>
    <m/>
    <m/>
  </r>
  <r>
    <x v="75"/>
    <x v="8"/>
    <x v="5"/>
    <m/>
    <m/>
    <m/>
    <m/>
    <m/>
    <n v="0"/>
    <m/>
    <m/>
    <n v="0"/>
    <s v=""/>
    <n v="0"/>
    <n v="0"/>
    <n v="0"/>
    <n v="116.88487613461319"/>
    <n v="2225"/>
    <n v="71535.307499999995"/>
    <n v="0"/>
    <n v="0"/>
    <n v="0"/>
    <n v="0"/>
    <n v="0"/>
    <n v="0"/>
  </r>
  <r>
    <x v="76"/>
    <x v="8"/>
    <x v="5"/>
    <m/>
    <m/>
    <m/>
    <m/>
    <m/>
    <m/>
    <m/>
    <m/>
    <m/>
    <m/>
    <m/>
    <m/>
    <m/>
    <m/>
    <m/>
    <m/>
    <m/>
    <m/>
    <m/>
    <m/>
    <m/>
    <m/>
  </r>
  <r>
    <x v="77"/>
    <x v="8"/>
    <x v="5"/>
    <m/>
    <m/>
    <m/>
    <m/>
    <m/>
    <n v="0"/>
    <m/>
    <m/>
    <n v="0"/>
    <s v=""/>
    <n v="0"/>
    <n v="0"/>
    <n v="0"/>
    <n v="116.88487613461319"/>
    <n v="2225"/>
    <n v="71535.307499999995"/>
    <n v="0"/>
    <n v="0"/>
    <n v="0"/>
    <n v="0"/>
    <n v="0"/>
    <n v="0"/>
  </r>
  <r>
    <x v="78"/>
    <x v="8"/>
    <x v="5"/>
    <m/>
    <m/>
    <m/>
    <m/>
    <m/>
    <n v="0"/>
    <m/>
    <m/>
    <n v="0"/>
    <s v=""/>
    <n v="0"/>
    <n v="0"/>
    <n v="0"/>
    <n v="116.88487613461319"/>
    <n v="2225"/>
    <n v="71535.307499999995"/>
    <n v="0"/>
    <n v="0"/>
    <n v="0"/>
    <n v="0"/>
    <n v="0"/>
    <n v="0"/>
  </r>
  <r>
    <x v="79"/>
    <x v="8"/>
    <x v="5"/>
    <m/>
    <m/>
    <m/>
    <m/>
    <m/>
    <n v="0"/>
    <m/>
    <m/>
    <n v="0"/>
    <s v=""/>
    <n v="0"/>
    <n v="0"/>
    <n v="0"/>
    <n v="116.88487613461319"/>
    <n v="2225"/>
    <n v="71535.307499999995"/>
    <n v="0"/>
    <n v="0"/>
    <n v="0"/>
    <n v="0"/>
    <n v="0"/>
    <n v="0"/>
  </r>
  <r>
    <x v="80"/>
    <x v="8"/>
    <x v="5"/>
    <m/>
    <m/>
    <m/>
    <m/>
    <m/>
    <n v="0"/>
    <m/>
    <m/>
    <n v="0"/>
    <s v=""/>
    <n v="0"/>
    <n v="0"/>
    <n v="0"/>
    <n v="116.88487613461319"/>
    <n v="2225"/>
    <n v="71535.307499999995"/>
    <n v="0"/>
    <n v="0"/>
    <n v="0"/>
    <n v="0"/>
    <n v="0"/>
    <n v="0"/>
  </r>
  <r>
    <x v="81"/>
    <x v="8"/>
    <x v="5"/>
    <m/>
    <m/>
    <m/>
    <m/>
    <m/>
    <n v="0"/>
    <m/>
    <m/>
    <n v="0"/>
    <s v=""/>
    <n v="0"/>
    <n v="0"/>
    <n v="0"/>
    <n v="116.88487613461319"/>
    <n v="2225"/>
    <n v="71535.307499999995"/>
    <n v="0"/>
    <n v="0"/>
    <n v="0"/>
    <n v="0"/>
    <n v="0"/>
    <n v="0"/>
  </r>
  <r>
    <x v="82"/>
    <x v="8"/>
    <x v="5"/>
    <m/>
    <m/>
    <m/>
    <m/>
    <m/>
    <n v="0"/>
    <m/>
    <m/>
    <n v="0"/>
    <s v=""/>
    <n v="0"/>
    <n v="0"/>
    <n v="0"/>
    <n v="116.88487613461319"/>
    <n v="2225"/>
    <n v="71535.307499999995"/>
    <n v="0"/>
    <n v="0"/>
    <n v="0"/>
    <n v="0"/>
    <n v="0"/>
    <n v="0"/>
  </r>
  <r>
    <x v="83"/>
    <x v="8"/>
    <x v="5"/>
    <m/>
    <m/>
    <m/>
    <m/>
    <m/>
    <n v="0"/>
    <m/>
    <m/>
    <n v="0"/>
    <s v=""/>
    <n v="0"/>
    <n v="0"/>
    <n v="0"/>
    <n v="116.88487613461319"/>
    <n v="2225"/>
    <n v="71535.307499999995"/>
    <n v="0"/>
    <n v="0"/>
    <n v="0"/>
    <n v="0"/>
    <n v="0"/>
    <n v="0"/>
  </r>
  <r>
    <x v="84"/>
    <x v="8"/>
    <x v="5"/>
    <m/>
    <m/>
    <m/>
    <m/>
    <m/>
    <n v="0"/>
    <m/>
    <m/>
    <n v="0"/>
    <s v=""/>
    <n v="0"/>
    <n v="0"/>
    <n v="0"/>
    <n v="116.88487613461319"/>
    <n v="2225"/>
    <n v="71535.307499999995"/>
    <n v="0"/>
    <n v="0"/>
    <n v="0"/>
    <n v="0"/>
    <n v="0"/>
    <n v="0"/>
  </r>
  <r>
    <x v="85"/>
    <x v="8"/>
    <x v="5"/>
    <m/>
    <m/>
    <m/>
    <m/>
    <m/>
    <n v="0"/>
    <m/>
    <m/>
    <n v="0"/>
    <s v=""/>
    <n v="0"/>
    <n v="0"/>
    <n v="0"/>
    <n v="116.88487613461319"/>
    <n v="2225"/>
    <n v="71535.307499999995"/>
    <n v="0"/>
    <n v="0"/>
    <n v="0"/>
    <n v="0"/>
    <n v="0"/>
    <n v="0"/>
  </r>
  <r>
    <x v="86"/>
    <x v="8"/>
    <x v="5"/>
    <m/>
    <m/>
    <m/>
    <m/>
    <m/>
    <n v="0"/>
    <m/>
    <m/>
    <n v="0"/>
    <s v=""/>
    <n v="0"/>
    <n v="0"/>
    <n v="0"/>
    <n v="116.88487613461319"/>
    <n v="2225"/>
    <n v="71535.307499999995"/>
    <n v="0"/>
    <n v="0"/>
    <n v="0"/>
    <n v="0"/>
    <n v="0"/>
    <n v="0"/>
  </r>
  <r>
    <x v="87"/>
    <x v="8"/>
    <x v="5"/>
    <m/>
    <m/>
    <m/>
    <m/>
    <m/>
    <n v="0"/>
    <m/>
    <m/>
    <n v="0"/>
    <s v=""/>
    <n v="0"/>
    <n v="0"/>
    <n v="0"/>
    <n v="116.88487613461319"/>
    <n v="2225"/>
    <n v="71535.307499999995"/>
    <n v="0"/>
    <n v="0"/>
    <n v="0"/>
    <n v="0"/>
    <n v="0"/>
    <n v="0"/>
  </r>
  <r>
    <x v="88"/>
    <x v="8"/>
    <x v="5"/>
    <m/>
    <m/>
    <m/>
    <m/>
    <m/>
    <n v="0"/>
    <m/>
    <m/>
    <n v="0"/>
    <s v=""/>
    <n v="0"/>
    <n v="0"/>
    <n v="0"/>
    <n v="116.88487613461319"/>
    <n v="2225"/>
    <n v="71535.307499999995"/>
    <n v="0"/>
    <n v="0"/>
    <n v="0"/>
    <n v="0"/>
    <n v="0"/>
    <n v="0"/>
  </r>
  <r>
    <x v="89"/>
    <x v="8"/>
    <x v="5"/>
    <m/>
    <m/>
    <m/>
    <m/>
    <m/>
    <n v="0"/>
    <m/>
    <m/>
    <n v="0"/>
    <s v=""/>
    <n v="0"/>
    <n v="0"/>
    <n v="0"/>
    <n v="116.88487613461319"/>
    <n v="2225"/>
    <n v="71535.307499999995"/>
    <n v="0"/>
    <n v="0"/>
    <n v="0"/>
    <n v="0"/>
    <n v="0"/>
    <n v="0"/>
  </r>
  <r>
    <x v="90"/>
    <x v="8"/>
    <x v="5"/>
    <m/>
    <m/>
    <m/>
    <m/>
    <m/>
    <n v="0"/>
    <m/>
    <m/>
    <n v="0"/>
    <s v=""/>
    <n v="0"/>
    <n v="0"/>
    <n v="0"/>
    <n v="116.88487613461319"/>
    <n v="2225"/>
    <n v="71535.307499999995"/>
    <n v="0"/>
    <n v="0"/>
    <n v="0"/>
    <n v="0"/>
    <n v="0"/>
    <n v="0"/>
  </r>
  <r>
    <x v="91"/>
    <x v="8"/>
    <x v="5"/>
    <m/>
    <m/>
    <m/>
    <m/>
    <m/>
    <n v="0"/>
    <m/>
    <m/>
    <n v="0"/>
    <s v=""/>
    <n v="0"/>
    <n v="0"/>
    <n v="0"/>
    <n v="116.88487613461319"/>
    <n v="2225"/>
    <n v="71535.307499999995"/>
    <n v="0"/>
    <n v="0"/>
    <n v="0"/>
    <n v="0"/>
    <n v="0"/>
    <n v="0"/>
  </r>
  <r>
    <x v="92"/>
    <x v="8"/>
    <x v="5"/>
    <m/>
    <m/>
    <m/>
    <m/>
    <m/>
    <n v="0"/>
    <m/>
    <m/>
    <n v="0"/>
    <s v=""/>
    <n v="0"/>
    <n v="0"/>
    <n v="0"/>
    <n v="116.88487613461319"/>
    <n v="2225"/>
    <n v="71535.307499999995"/>
    <n v="0"/>
    <n v="0"/>
    <n v="0"/>
    <n v="0"/>
    <n v="0"/>
    <n v="0"/>
  </r>
  <r>
    <x v="93"/>
    <x v="8"/>
    <x v="5"/>
    <m/>
    <m/>
    <m/>
    <m/>
    <m/>
    <n v="0"/>
    <m/>
    <m/>
    <n v="0"/>
    <s v=""/>
    <n v="0"/>
    <n v="0"/>
    <n v="0"/>
    <n v="116.88487613461319"/>
    <n v="2225"/>
    <n v="71535.307499999995"/>
    <n v="0"/>
    <n v="0"/>
    <n v="0"/>
    <n v="0"/>
    <n v="0"/>
    <n v="0"/>
  </r>
  <r>
    <x v="94"/>
    <x v="8"/>
    <x v="5"/>
    <m/>
    <m/>
    <m/>
    <m/>
    <m/>
    <n v="0"/>
    <m/>
    <m/>
    <n v="0"/>
    <s v=""/>
    <n v="0"/>
    <n v="0"/>
    <n v="0"/>
    <n v="116.88487613461319"/>
    <n v="2225"/>
    <n v="71535.307499999995"/>
    <n v="0"/>
    <n v="0"/>
    <n v="0"/>
    <n v="0"/>
    <n v="0"/>
    <n v="0"/>
  </r>
  <r>
    <x v="95"/>
    <x v="8"/>
    <x v="5"/>
    <m/>
    <m/>
    <m/>
    <m/>
    <m/>
    <n v="0"/>
    <m/>
    <m/>
    <n v="0"/>
    <s v=""/>
    <n v="0"/>
    <n v="0"/>
    <n v="0"/>
    <n v="116.88487613461319"/>
    <n v="2225"/>
    <n v="71535.307499999995"/>
    <n v="0"/>
    <n v="0"/>
    <n v="0"/>
    <n v="0"/>
    <n v="0"/>
    <n v="0"/>
  </r>
  <r>
    <x v="96"/>
    <x v="8"/>
    <x v="5"/>
    <m/>
    <m/>
    <m/>
    <m/>
    <m/>
    <n v="0"/>
    <m/>
    <m/>
    <n v="0"/>
    <s v=""/>
    <n v="0"/>
    <n v="0"/>
    <n v="0"/>
    <n v="116.88487613461319"/>
    <n v="2225"/>
    <n v="71535.307499999995"/>
    <n v="0"/>
    <n v="0"/>
    <n v="0"/>
    <n v="0"/>
    <n v="0"/>
    <n v="0"/>
  </r>
  <r>
    <x v="97"/>
    <x v="8"/>
    <x v="5"/>
    <m/>
    <m/>
    <m/>
    <m/>
    <m/>
    <n v="0"/>
    <m/>
    <m/>
    <n v="0"/>
    <s v=""/>
    <n v="0"/>
    <n v="0"/>
    <n v="0"/>
    <n v="116.88487613461319"/>
    <n v="2225"/>
    <n v="71535.307499999995"/>
    <n v="0"/>
    <n v="0"/>
    <n v="0"/>
    <n v="0"/>
    <n v="0"/>
    <n v="0"/>
  </r>
  <r>
    <x v="98"/>
    <x v="8"/>
    <x v="6"/>
    <m/>
    <m/>
    <m/>
    <m/>
    <m/>
    <n v="0"/>
    <m/>
    <m/>
    <n v="0"/>
    <s v=""/>
    <n v="0"/>
    <n v="0"/>
    <n v="0"/>
    <n v="116.88487613461319"/>
    <n v="2225"/>
    <n v="71535.307499999995"/>
    <n v="0"/>
    <n v="0"/>
    <n v="0"/>
    <n v="0"/>
    <n v="0"/>
    <n v="0"/>
  </r>
  <r>
    <x v="99"/>
    <x v="8"/>
    <x v="6"/>
    <m/>
    <m/>
    <m/>
    <m/>
    <m/>
    <n v="0"/>
    <m/>
    <m/>
    <n v="0"/>
    <s v=""/>
    <n v="0"/>
    <n v="0"/>
    <n v="0"/>
    <n v="116.88487613461319"/>
    <n v="2225"/>
    <n v="71535.307499999995"/>
    <n v="0"/>
    <n v="0"/>
    <n v="0"/>
    <n v="0"/>
    <n v="0"/>
    <n v="0"/>
  </r>
  <r>
    <x v="100"/>
    <x v="8"/>
    <x v="6"/>
    <m/>
    <m/>
    <m/>
    <m/>
    <m/>
    <n v="0"/>
    <m/>
    <m/>
    <n v="0"/>
    <s v=""/>
    <n v="0"/>
    <n v="0"/>
    <n v="0"/>
    <n v="116.88487613461319"/>
    <n v="2225"/>
    <n v="71535.307499999995"/>
    <n v="0"/>
    <n v="0"/>
    <n v="0"/>
    <n v="0"/>
    <n v="0"/>
    <n v="0"/>
  </r>
  <r>
    <x v="101"/>
    <x v="8"/>
    <x v="6"/>
    <m/>
    <m/>
    <m/>
    <m/>
    <m/>
    <n v="0"/>
    <m/>
    <m/>
    <n v="0"/>
    <s v=""/>
    <n v="0"/>
    <n v="0"/>
    <n v="0"/>
    <n v="116.88487613461319"/>
    <n v="2225"/>
    <n v="71535.307499999995"/>
    <n v="0"/>
    <n v="0"/>
    <n v="0"/>
    <n v="0"/>
    <n v="0"/>
    <n v="0"/>
  </r>
  <r>
    <x v="102"/>
    <x v="8"/>
    <x v="6"/>
    <m/>
    <m/>
    <m/>
    <m/>
    <m/>
    <n v="0"/>
    <m/>
    <m/>
    <n v="0"/>
    <s v=""/>
    <n v="0"/>
    <n v="0"/>
    <n v="0"/>
    <n v="116.88487613461319"/>
    <n v="2225"/>
    <n v="71535.307499999995"/>
    <n v="0"/>
    <n v="0"/>
    <n v="0"/>
    <n v="0"/>
    <n v="0"/>
    <n v="0"/>
  </r>
  <r>
    <x v="103"/>
    <x v="8"/>
    <x v="6"/>
    <m/>
    <m/>
    <m/>
    <m/>
    <m/>
    <n v="0"/>
    <m/>
    <m/>
    <n v="0"/>
    <s v=""/>
    <n v="0"/>
    <n v="0"/>
    <n v="0"/>
    <n v="116.88487613461319"/>
    <n v="2225"/>
    <n v="71535.307499999995"/>
    <n v="0"/>
    <n v="0"/>
    <n v="0"/>
    <n v="0"/>
    <n v="0"/>
    <n v="0"/>
  </r>
  <r>
    <x v="104"/>
    <x v="8"/>
    <x v="6"/>
    <m/>
    <m/>
    <m/>
    <m/>
    <m/>
    <n v="0"/>
    <m/>
    <m/>
    <n v="0"/>
    <s v=""/>
    <n v="0"/>
    <n v="0"/>
    <n v="0"/>
    <n v="116.88487613461319"/>
    <n v="2225"/>
    <n v="71535.307499999995"/>
    <n v="0"/>
    <n v="0"/>
    <n v="0"/>
    <n v="0"/>
    <n v="0"/>
    <n v="0"/>
  </r>
  <r>
    <x v="105"/>
    <x v="8"/>
    <x v="6"/>
    <m/>
    <m/>
    <m/>
    <m/>
    <m/>
    <n v="0"/>
    <m/>
    <m/>
    <n v="0"/>
    <s v=""/>
    <n v="0"/>
    <n v="0"/>
    <n v="0"/>
    <n v="116.88487613461319"/>
    <n v="2225"/>
    <n v="71535.307499999995"/>
    <n v="0"/>
    <n v="0"/>
    <n v="0"/>
    <n v="0"/>
    <n v="0"/>
    <n v="0"/>
  </r>
  <r>
    <x v="106"/>
    <x v="8"/>
    <x v="6"/>
    <m/>
    <m/>
    <m/>
    <m/>
    <m/>
    <n v="0"/>
    <m/>
    <m/>
    <n v="0"/>
    <s v=""/>
    <n v="0"/>
    <n v="0"/>
    <n v="0"/>
    <n v="116.88487613461319"/>
    <n v="2225"/>
    <n v="71535.307499999995"/>
    <n v="0"/>
    <n v="0"/>
    <n v="0"/>
    <n v="0"/>
    <n v="0"/>
    <n v="0"/>
  </r>
  <r>
    <x v="107"/>
    <x v="8"/>
    <x v="6"/>
    <m/>
    <m/>
    <m/>
    <m/>
    <m/>
    <n v="0"/>
    <m/>
    <m/>
    <n v="0"/>
    <s v=""/>
    <n v="0"/>
    <n v="0"/>
    <n v="0"/>
    <n v="116.88487613461319"/>
    <n v="2225"/>
    <n v="71535.307499999995"/>
    <n v="0"/>
    <n v="0"/>
    <n v="0"/>
    <n v="0"/>
    <n v="0"/>
    <n v="0"/>
  </r>
  <r>
    <x v="108"/>
    <x v="8"/>
    <x v="6"/>
    <m/>
    <m/>
    <m/>
    <m/>
    <m/>
    <n v="0"/>
    <m/>
    <m/>
    <n v="0"/>
    <s v=""/>
    <n v="0"/>
    <n v="0"/>
    <n v="0"/>
    <n v="116.88487613461319"/>
    <n v="2225"/>
    <n v="71535.307499999995"/>
    <n v="0"/>
    <n v="0"/>
    <n v="0"/>
    <n v="0"/>
    <n v="0"/>
    <n v="0"/>
  </r>
  <r>
    <x v="109"/>
    <x v="8"/>
    <x v="6"/>
    <m/>
    <m/>
    <m/>
    <m/>
    <m/>
    <n v="0"/>
    <m/>
    <m/>
    <n v="0"/>
    <s v=""/>
    <n v="0"/>
    <n v="0"/>
    <n v="0"/>
    <n v="116.88487613461319"/>
    <n v="2225"/>
    <n v="71535.307499999995"/>
    <n v="0"/>
    <n v="0"/>
    <n v="0"/>
    <n v="0"/>
    <n v="0"/>
    <n v="0"/>
  </r>
  <r>
    <x v="110"/>
    <x v="8"/>
    <x v="7"/>
    <m/>
    <m/>
    <m/>
    <m/>
    <m/>
    <n v="0"/>
    <m/>
    <m/>
    <n v="0"/>
    <s v=""/>
    <n v="0"/>
    <n v="0"/>
    <n v="0"/>
    <n v="116.88487613461319"/>
    <n v="2225"/>
    <n v="71535.307499999995"/>
    <n v="0"/>
    <n v="0"/>
    <n v="0"/>
    <n v="0"/>
    <n v="0"/>
    <n v="0"/>
  </r>
  <r>
    <x v="111"/>
    <x v="8"/>
    <x v="7"/>
    <m/>
    <m/>
    <m/>
    <m/>
    <m/>
    <n v="0"/>
    <m/>
    <m/>
    <n v="0"/>
    <s v=""/>
    <n v="0"/>
    <n v="0"/>
    <n v="0"/>
    <n v="116.88487613461319"/>
    <n v="2225"/>
    <n v="71535.307499999995"/>
    <n v="0"/>
    <n v="0"/>
    <n v="0"/>
    <n v="0"/>
    <n v="0"/>
    <n v="0"/>
  </r>
  <r>
    <x v="112"/>
    <x v="8"/>
    <x v="7"/>
    <m/>
    <m/>
    <m/>
    <m/>
    <m/>
    <n v="0"/>
    <m/>
    <m/>
    <n v="0"/>
    <s v=""/>
    <n v="0"/>
    <n v="0"/>
    <n v="0"/>
    <n v="116.88487613461319"/>
    <n v="2225"/>
    <n v="71535.307499999995"/>
    <n v="0"/>
    <n v="0"/>
    <n v="0"/>
    <n v="0"/>
    <n v="0"/>
    <n v="0"/>
  </r>
  <r>
    <x v="113"/>
    <x v="8"/>
    <x v="7"/>
    <m/>
    <m/>
    <m/>
    <m/>
    <m/>
    <n v="0"/>
    <m/>
    <m/>
    <n v="0"/>
    <s v=""/>
    <n v="0"/>
    <n v="0"/>
    <n v="0"/>
    <n v="116.88487613461319"/>
    <n v="2225"/>
    <n v="71535.307499999995"/>
    <n v="0"/>
    <n v="0"/>
    <n v="0"/>
    <n v="0"/>
    <n v="0"/>
    <n v="0"/>
  </r>
  <r>
    <x v="114"/>
    <x v="8"/>
    <x v="7"/>
    <m/>
    <m/>
    <m/>
    <m/>
    <m/>
    <n v="0"/>
    <m/>
    <m/>
    <n v="0"/>
    <s v=""/>
    <n v="0"/>
    <n v="0"/>
    <n v="0"/>
    <n v="116.88487613461319"/>
    <n v="2225"/>
    <n v="71535.307499999995"/>
    <n v="0"/>
    <n v="0"/>
    <n v="0"/>
    <n v="0"/>
    <n v="0"/>
    <n v="0"/>
  </r>
  <r>
    <x v="115"/>
    <x v="8"/>
    <x v="7"/>
    <m/>
    <m/>
    <m/>
    <m/>
    <m/>
    <n v="0"/>
    <m/>
    <m/>
    <n v="0"/>
    <s v=""/>
    <n v="0"/>
    <n v="0"/>
    <n v="0"/>
    <n v="116.88487613461319"/>
    <n v="2225"/>
    <n v="71535.307499999995"/>
    <n v="0"/>
    <n v="0"/>
    <n v="0"/>
    <n v="0"/>
    <n v="0"/>
    <n v="0"/>
  </r>
  <r>
    <x v="116"/>
    <x v="8"/>
    <x v="7"/>
    <m/>
    <m/>
    <m/>
    <m/>
    <m/>
    <n v="0"/>
    <m/>
    <m/>
    <n v="0"/>
    <s v=""/>
    <n v="0"/>
    <n v="0"/>
    <n v="0"/>
    <n v="116.88487613461319"/>
    <n v="2225"/>
    <n v="71535.307499999995"/>
    <n v="0"/>
    <n v="0"/>
    <n v="0"/>
    <n v="0"/>
    <n v="0"/>
    <n v="0"/>
  </r>
  <r>
    <x v="117"/>
    <x v="8"/>
    <x v="7"/>
    <m/>
    <m/>
    <m/>
    <m/>
    <m/>
    <n v="0"/>
    <m/>
    <m/>
    <n v="0"/>
    <s v=""/>
    <n v="0"/>
    <n v="0"/>
    <n v="0"/>
    <n v="116.88487613461319"/>
    <n v="2225"/>
    <n v="71535.307499999995"/>
    <n v="0"/>
    <n v="0"/>
    <n v="0"/>
    <n v="0"/>
    <n v="0"/>
    <n v="0"/>
  </r>
  <r>
    <x v="118"/>
    <x v="8"/>
    <x v="7"/>
    <m/>
    <m/>
    <m/>
    <m/>
    <m/>
    <n v="0"/>
    <m/>
    <m/>
    <n v="0"/>
    <s v=""/>
    <n v="0"/>
    <n v="0"/>
    <n v="0"/>
    <n v="116.88487613461319"/>
    <n v="2225"/>
    <n v="71535.307499999995"/>
    <n v="0"/>
    <n v="0"/>
    <n v="0"/>
    <n v="0"/>
    <n v="0"/>
    <n v="0"/>
  </r>
  <r>
    <x v="119"/>
    <x v="8"/>
    <x v="7"/>
    <m/>
    <m/>
    <m/>
    <m/>
    <m/>
    <n v="0"/>
    <m/>
    <m/>
    <n v="0"/>
    <s v=""/>
    <n v="0"/>
    <n v="0"/>
    <n v="0"/>
    <n v="116.88487613461319"/>
    <n v="2225"/>
    <n v="71535.307499999995"/>
    <n v="0"/>
    <n v="0"/>
    <n v="0"/>
    <n v="0"/>
    <n v="0"/>
    <n v="0"/>
  </r>
  <r>
    <x v="120"/>
    <x v="8"/>
    <x v="7"/>
    <m/>
    <m/>
    <m/>
    <m/>
    <m/>
    <n v="0"/>
    <m/>
    <m/>
    <n v="0"/>
    <s v=""/>
    <n v="0"/>
    <n v="0"/>
    <n v="0"/>
    <n v="116.88487613461319"/>
    <n v="2225"/>
    <n v="71535.307499999995"/>
    <n v="0"/>
    <n v="0"/>
    <n v="0"/>
    <n v="0"/>
    <n v="0"/>
    <n v="0"/>
  </r>
  <r>
    <x v="121"/>
    <x v="8"/>
    <x v="7"/>
    <m/>
    <m/>
    <m/>
    <m/>
    <m/>
    <n v="0"/>
    <m/>
    <m/>
    <n v="0"/>
    <s v=""/>
    <n v="0"/>
    <n v="0"/>
    <n v="0"/>
    <n v="116.88487613461319"/>
    <n v="2225"/>
    <n v="71535.307499999995"/>
    <n v="0"/>
    <n v="0"/>
    <n v="0"/>
    <n v="0"/>
    <n v="0"/>
    <n v="0"/>
  </r>
  <r>
    <x v="122"/>
    <x v="8"/>
    <x v="7"/>
    <m/>
    <m/>
    <m/>
    <m/>
    <m/>
    <n v="0"/>
    <m/>
    <m/>
    <n v="0"/>
    <s v=""/>
    <n v="0"/>
    <n v="0"/>
    <n v="0"/>
    <n v="116.88487613461319"/>
    <n v="2225"/>
    <n v="71535.307499999995"/>
    <n v="0"/>
    <n v="0"/>
    <n v="0"/>
    <n v="0"/>
    <n v="0"/>
    <n v="0"/>
  </r>
  <r>
    <x v="123"/>
    <x v="8"/>
    <x v="7"/>
    <m/>
    <m/>
    <m/>
    <m/>
    <m/>
    <n v="0"/>
    <m/>
    <m/>
    <n v="0"/>
    <s v=""/>
    <n v="0"/>
    <n v="0"/>
    <n v="0"/>
    <n v="116.88487613461319"/>
    <n v="2225"/>
    <n v="71535.307499999995"/>
    <n v="0"/>
    <n v="0"/>
    <n v="0"/>
    <n v="0"/>
    <n v="0"/>
    <n v="0"/>
  </r>
  <r>
    <x v="124"/>
    <x v="8"/>
    <x v="7"/>
    <m/>
    <m/>
    <m/>
    <m/>
    <m/>
    <n v="0"/>
    <m/>
    <m/>
    <n v="0"/>
    <s v=""/>
    <n v="0"/>
    <n v="0"/>
    <n v="0"/>
    <n v="116.88487613461319"/>
    <n v="2225"/>
    <n v="71535.307499999995"/>
    <n v="0"/>
    <n v="0"/>
    <n v="0"/>
    <n v="0"/>
    <n v="0"/>
    <n v="0"/>
  </r>
  <r>
    <x v="125"/>
    <x v="8"/>
    <x v="7"/>
    <m/>
    <m/>
    <m/>
    <m/>
    <m/>
    <n v="0"/>
    <m/>
    <m/>
    <n v="0"/>
    <s v=""/>
    <n v="0"/>
    <n v="0"/>
    <n v="0"/>
    <n v="116.88487613461319"/>
    <n v="2225"/>
    <n v="71535.307499999995"/>
    <n v="0"/>
    <n v="0"/>
    <n v="0"/>
    <n v="0"/>
    <n v="0"/>
    <n v="0"/>
  </r>
  <r>
    <x v="126"/>
    <x v="8"/>
    <x v="7"/>
    <m/>
    <m/>
    <m/>
    <m/>
    <m/>
    <n v="0"/>
    <m/>
    <m/>
    <n v="0"/>
    <s v=""/>
    <n v="0"/>
    <n v="0"/>
    <n v="0"/>
    <n v="116.88487613461319"/>
    <n v="2225"/>
    <n v="71535.307499999995"/>
    <n v="0"/>
    <n v="0"/>
    <n v="0"/>
    <n v="0"/>
    <n v="0"/>
    <n v="0"/>
  </r>
  <r>
    <x v="127"/>
    <x v="8"/>
    <x v="7"/>
    <m/>
    <m/>
    <m/>
    <m/>
    <m/>
    <n v="0"/>
    <m/>
    <m/>
    <n v="0"/>
    <s v=""/>
    <n v="0"/>
    <n v="0"/>
    <n v="0"/>
    <n v="116.88487613461319"/>
    <n v="2225"/>
    <n v="71535.307499999995"/>
    <n v="0"/>
    <n v="0"/>
    <n v="0"/>
    <n v="0"/>
    <n v="0"/>
    <n v="0"/>
  </r>
  <r>
    <x v="0"/>
    <x v="9"/>
    <x v="0"/>
    <m/>
    <m/>
    <m/>
    <m/>
    <m/>
    <n v="0"/>
    <m/>
    <m/>
    <n v="0"/>
    <s v=""/>
    <n v="0"/>
    <n v="0"/>
    <n v="0"/>
    <n v="116.88487613461319"/>
    <n v="2225"/>
    <n v="71535.307499999995"/>
    <n v="0"/>
    <n v="0"/>
    <n v="0"/>
    <n v="0"/>
    <n v="0"/>
    <n v="0"/>
  </r>
  <r>
    <x v="1"/>
    <x v="9"/>
    <x v="0"/>
    <m/>
    <m/>
    <m/>
    <m/>
    <m/>
    <n v="0"/>
    <m/>
    <m/>
    <n v="0"/>
    <s v=""/>
    <n v="0"/>
    <n v="0"/>
    <n v="0"/>
    <n v="116.88487613461319"/>
    <n v="2225"/>
    <n v="71535.307499999995"/>
    <n v="0"/>
    <n v="0"/>
    <n v="0"/>
    <n v="0"/>
    <n v="0"/>
    <n v="0"/>
  </r>
  <r>
    <x v="2"/>
    <x v="9"/>
    <x v="0"/>
    <m/>
    <m/>
    <m/>
    <m/>
    <m/>
    <n v="0"/>
    <m/>
    <m/>
    <n v="0"/>
    <s v=""/>
    <n v="0"/>
    <n v="0"/>
    <n v="0"/>
    <n v="116.88487613461319"/>
    <n v="2225"/>
    <n v="71535.307499999995"/>
    <n v="0"/>
    <n v="0"/>
    <n v="0"/>
    <n v="0"/>
    <n v="0"/>
    <n v="0"/>
  </r>
  <r>
    <x v="3"/>
    <x v="9"/>
    <x v="0"/>
    <m/>
    <m/>
    <m/>
    <m/>
    <m/>
    <n v="0"/>
    <m/>
    <m/>
    <n v="0"/>
    <s v=""/>
    <n v="0"/>
    <n v="0"/>
    <n v="0"/>
    <n v="116.88487613461319"/>
    <n v="2225"/>
    <n v="71535.307499999995"/>
    <n v="0"/>
    <n v="0"/>
    <n v="0"/>
    <n v="0"/>
    <n v="0"/>
    <n v="0"/>
  </r>
  <r>
    <x v="4"/>
    <x v="9"/>
    <x v="1"/>
    <m/>
    <m/>
    <m/>
    <m/>
    <m/>
    <n v="0"/>
    <m/>
    <m/>
    <n v="0"/>
    <s v=""/>
    <n v="0"/>
    <n v="0"/>
    <n v="0"/>
    <n v="116.88487613461319"/>
    <n v="2225"/>
    <n v="71535.307499999995"/>
    <n v="0"/>
    <n v="0"/>
    <n v="0"/>
    <n v="0"/>
    <n v="0"/>
    <n v="0"/>
  </r>
  <r>
    <x v="5"/>
    <x v="9"/>
    <x v="1"/>
    <m/>
    <m/>
    <m/>
    <n v="2100"/>
    <n v="1.8"/>
    <n v="3.78"/>
    <m/>
    <m/>
    <n v="0"/>
    <n v="-1"/>
    <n v="-2100"/>
    <n v="-3.78"/>
    <n v="0"/>
    <n v="116.88487613461319"/>
    <n v="2225"/>
    <n v="71535.307499999995"/>
    <n v="270403.46234999999"/>
    <n v="0"/>
    <n v="245458.23988268772"/>
    <n v="0"/>
    <n v="24945.222467312269"/>
    <n v="0"/>
  </r>
  <r>
    <x v="6"/>
    <x v="9"/>
    <x v="1"/>
    <m/>
    <m/>
    <m/>
    <m/>
    <m/>
    <n v="0"/>
    <m/>
    <m/>
    <n v="0"/>
    <s v=""/>
    <n v="0"/>
    <n v="0"/>
    <n v="0"/>
    <n v="116.88487613461319"/>
    <n v="2225"/>
    <n v="71535.307499999995"/>
    <n v="0"/>
    <n v="0"/>
    <n v="0"/>
    <n v="0"/>
    <n v="0"/>
    <n v="0"/>
  </r>
  <r>
    <x v="7"/>
    <x v="9"/>
    <x v="2"/>
    <m/>
    <m/>
    <m/>
    <n v="2170"/>
    <n v="1.1299999999999992"/>
    <n v="2.4520999999999984"/>
    <m/>
    <m/>
    <n v="0"/>
    <n v="-1"/>
    <n v="-2170"/>
    <n v="-2.4520999999999984"/>
    <n v="0"/>
    <n v="116.88487613461319"/>
    <n v="2225"/>
    <n v="71535.307499999995"/>
    <n v="175411.72752074988"/>
    <n v="0"/>
    <n v="253640.18121211062"/>
    <n v="0"/>
    <n v="-78228.453691360744"/>
    <n v="0"/>
  </r>
  <r>
    <x v="8"/>
    <x v="9"/>
    <x v="2"/>
    <m/>
    <m/>
    <m/>
    <n v="3255"/>
    <n v="1.1600000000000006"/>
    <n v="3.775800000000002"/>
    <n v="4939.3"/>
    <n v="2.729374863475261"/>
    <n v="13.481201263163356"/>
    <n v="2.5704224967327054"/>
    <n v="1684.3000000000002"/>
    <n v="9.7054012631633544"/>
    <n v="387052.40913808404"/>
    <n v="116.88487613461319"/>
    <n v="2225"/>
    <n v="71535.307499999995"/>
    <n v="270103.01405850012"/>
    <n v="964381.87782977906"/>
    <n v="380460.27181816596"/>
    <n v="577329.46869169502"/>
    <n v="-110357.25775966584"/>
    <n v="387052.40913808404"/>
  </r>
  <r>
    <x v="9"/>
    <x v="9"/>
    <x v="2"/>
    <m/>
    <m/>
    <m/>
    <m/>
    <m/>
    <n v="0"/>
    <m/>
    <m/>
    <n v="0"/>
    <s v=""/>
    <n v="0"/>
    <n v="0"/>
    <n v="0"/>
    <n v="116.88487613461319"/>
    <n v="2225"/>
    <n v="71535.307499999995"/>
    <n v="0"/>
    <n v="0"/>
    <n v="0"/>
    <n v="0"/>
    <n v="0"/>
    <n v="0"/>
  </r>
  <r>
    <x v="10"/>
    <x v="9"/>
    <x v="2"/>
    <m/>
    <m/>
    <m/>
    <m/>
    <m/>
    <n v="0"/>
    <m/>
    <m/>
    <n v="0"/>
    <s v=""/>
    <n v="0"/>
    <n v="0"/>
    <n v="0"/>
    <n v="116.88487613461319"/>
    <n v="2225"/>
    <n v="71535.307499999995"/>
    <n v="0"/>
    <n v="0"/>
    <n v="0"/>
    <n v="0"/>
    <n v="0"/>
    <n v="0"/>
  </r>
  <r>
    <x v="11"/>
    <x v="9"/>
    <x v="2"/>
    <m/>
    <m/>
    <m/>
    <m/>
    <m/>
    <n v="0"/>
    <m/>
    <m/>
    <n v="0"/>
    <s v=""/>
    <n v="0"/>
    <n v="0"/>
    <n v="0"/>
    <n v="116.88487613461319"/>
    <n v="2225"/>
    <n v="71535.307499999995"/>
    <n v="0"/>
    <n v="0"/>
    <n v="0"/>
    <n v="0"/>
    <n v="0"/>
    <n v="0"/>
  </r>
  <r>
    <x v="12"/>
    <x v="9"/>
    <x v="2"/>
    <m/>
    <m/>
    <m/>
    <m/>
    <m/>
    <n v="0"/>
    <m/>
    <m/>
    <n v="0"/>
    <s v=""/>
    <n v="0"/>
    <n v="0"/>
    <n v="0"/>
    <n v="116.88487613461319"/>
    <n v="2225"/>
    <n v="71535.307499999995"/>
    <n v="0"/>
    <n v="0"/>
    <n v="0"/>
    <n v="0"/>
    <n v="0"/>
    <n v="0"/>
  </r>
  <r>
    <x v="13"/>
    <x v="9"/>
    <x v="2"/>
    <m/>
    <m/>
    <m/>
    <m/>
    <m/>
    <n v="0"/>
    <m/>
    <m/>
    <n v="0"/>
    <s v=""/>
    <n v="0"/>
    <n v="0"/>
    <n v="0"/>
    <n v="116.88487613461319"/>
    <n v="2225"/>
    <n v="71535.307499999995"/>
    <n v="0"/>
    <n v="0"/>
    <n v="0"/>
    <n v="0"/>
    <n v="0"/>
    <n v="0"/>
  </r>
  <r>
    <x v="14"/>
    <x v="9"/>
    <x v="2"/>
    <m/>
    <m/>
    <m/>
    <m/>
    <m/>
    <n v="0"/>
    <m/>
    <m/>
    <n v="0"/>
    <s v=""/>
    <n v="0"/>
    <n v="0"/>
    <n v="0"/>
    <n v="116.88487613461319"/>
    <n v="2225"/>
    <n v="71535.307499999995"/>
    <n v="0"/>
    <n v="0"/>
    <n v="0"/>
    <n v="0"/>
    <n v="0"/>
    <n v="0"/>
  </r>
  <r>
    <x v="15"/>
    <x v="9"/>
    <x v="2"/>
    <m/>
    <m/>
    <m/>
    <m/>
    <m/>
    <n v="0"/>
    <m/>
    <m/>
    <n v="0"/>
    <s v=""/>
    <n v="0"/>
    <n v="0"/>
    <n v="0"/>
    <n v="116.88487613461319"/>
    <n v="2225"/>
    <n v="71535.307499999995"/>
    <n v="0"/>
    <n v="0"/>
    <n v="0"/>
    <n v="0"/>
    <n v="0"/>
    <n v="0"/>
  </r>
  <r>
    <x v="16"/>
    <x v="9"/>
    <x v="2"/>
    <m/>
    <m/>
    <m/>
    <m/>
    <m/>
    <n v="0"/>
    <m/>
    <m/>
    <n v="0"/>
    <s v=""/>
    <n v="0"/>
    <n v="0"/>
    <n v="0"/>
    <n v="116.88487613461319"/>
    <n v="2225"/>
    <n v="71535.307499999995"/>
    <n v="0"/>
    <n v="0"/>
    <n v="0"/>
    <n v="0"/>
    <n v="0"/>
    <n v="0"/>
  </r>
  <r>
    <x v="17"/>
    <x v="9"/>
    <x v="3"/>
    <m/>
    <m/>
    <m/>
    <m/>
    <m/>
    <n v="0"/>
    <m/>
    <m/>
    <n v="0"/>
    <s v=""/>
    <n v="0"/>
    <n v="0"/>
    <n v="0"/>
    <n v="116.88487613461319"/>
    <n v="2225"/>
    <n v="71535.307499999995"/>
    <n v="0"/>
    <n v="0"/>
    <n v="0"/>
    <n v="0"/>
    <n v="0"/>
    <n v="0"/>
  </r>
  <r>
    <x v="18"/>
    <x v="9"/>
    <x v="3"/>
    <m/>
    <m/>
    <m/>
    <m/>
    <m/>
    <n v="0"/>
    <m/>
    <m/>
    <n v="0"/>
    <s v=""/>
    <n v="0"/>
    <n v="0"/>
    <n v="0"/>
    <n v="116.88487613461319"/>
    <n v="2225"/>
    <n v="71535.307499999995"/>
    <n v="0"/>
    <n v="0"/>
    <n v="0"/>
    <n v="0"/>
    <n v="0"/>
    <n v="0"/>
  </r>
  <r>
    <x v="19"/>
    <x v="9"/>
    <x v="3"/>
    <m/>
    <m/>
    <m/>
    <m/>
    <m/>
    <n v="0"/>
    <m/>
    <m/>
    <n v="0"/>
    <s v=""/>
    <n v="0"/>
    <n v="0"/>
    <n v="0"/>
    <n v="116.88487613461319"/>
    <n v="2225"/>
    <n v="71535.307499999995"/>
    <n v="0"/>
    <n v="0"/>
    <n v="0"/>
    <n v="0"/>
    <n v="0"/>
    <n v="0"/>
  </r>
  <r>
    <x v="20"/>
    <x v="9"/>
    <x v="3"/>
    <m/>
    <m/>
    <m/>
    <m/>
    <m/>
    <n v="0"/>
    <m/>
    <m/>
    <n v="0"/>
    <s v=""/>
    <n v="0"/>
    <n v="0"/>
    <n v="0"/>
    <n v="116.88487613461319"/>
    <n v="2225"/>
    <n v="71535.307499999995"/>
    <n v="0"/>
    <n v="0"/>
    <n v="0"/>
    <n v="0"/>
    <n v="0"/>
    <n v="0"/>
  </r>
  <r>
    <x v="21"/>
    <x v="9"/>
    <x v="3"/>
    <m/>
    <m/>
    <m/>
    <m/>
    <m/>
    <n v="0"/>
    <m/>
    <m/>
    <n v="0"/>
    <s v=""/>
    <n v="0"/>
    <n v="0"/>
    <n v="0"/>
    <n v="116.88487613461319"/>
    <n v="2225"/>
    <n v="71535.307499999995"/>
    <n v="0"/>
    <n v="0"/>
    <n v="0"/>
    <n v="0"/>
    <n v="0"/>
    <n v="0"/>
  </r>
  <r>
    <x v="22"/>
    <x v="9"/>
    <x v="3"/>
    <m/>
    <m/>
    <m/>
    <m/>
    <m/>
    <n v="0"/>
    <m/>
    <m/>
    <n v="0"/>
    <s v=""/>
    <n v="0"/>
    <n v="0"/>
    <n v="0"/>
    <n v="116.88487613461319"/>
    <n v="2225"/>
    <n v="71535.307499999995"/>
    <n v="0"/>
    <n v="0"/>
    <n v="0"/>
    <n v="0"/>
    <n v="0"/>
    <n v="0"/>
  </r>
  <r>
    <x v="23"/>
    <x v="9"/>
    <x v="3"/>
    <m/>
    <m/>
    <m/>
    <m/>
    <m/>
    <n v="0"/>
    <m/>
    <m/>
    <n v="0"/>
    <s v=""/>
    <n v="0"/>
    <n v="0"/>
    <n v="0"/>
    <n v="116.88487613461319"/>
    <n v="2225"/>
    <n v="71535.307499999995"/>
    <n v="0"/>
    <n v="0"/>
    <n v="0"/>
    <n v="0"/>
    <n v="0"/>
    <n v="0"/>
  </r>
  <r>
    <x v="24"/>
    <x v="9"/>
    <x v="3"/>
    <m/>
    <m/>
    <m/>
    <n v="1085"/>
    <n v="1.39"/>
    <n v="1.5081499999999999"/>
    <m/>
    <m/>
    <n v="0"/>
    <n v="-1"/>
    <n v="-1085"/>
    <n v="-1.5081499999999999"/>
    <n v="0"/>
    <n v="116.88487613461319"/>
    <n v="2225"/>
    <n v="71535.307499999995"/>
    <n v="107885.97400612499"/>
    <n v="0"/>
    <n v="126820.09060605531"/>
    <n v="0"/>
    <n v="-18934.116599930319"/>
    <n v="0"/>
  </r>
  <r>
    <x v="25"/>
    <x v="9"/>
    <x v="3"/>
    <m/>
    <m/>
    <m/>
    <m/>
    <m/>
    <n v="0"/>
    <m/>
    <m/>
    <n v="0"/>
    <s v=""/>
    <n v="0"/>
    <n v="0"/>
    <n v="0"/>
    <n v="116.88487613461319"/>
    <n v="2225"/>
    <n v="71535.307499999995"/>
    <n v="0"/>
    <n v="0"/>
    <n v="0"/>
    <n v="0"/>
    <n v="0"/>
    <n v="0"/>
  </r>
  <r>
    <x v="26"/>
    <x v="9"/>
    <x v="3"/>
    <m/>
    <m/>
    <m/>
    <m/>
    <m/>
    <n v="0"/>
    <m/>
    <m/>
    <n v="0"/>
    <s v=""/>
    <n v="0"/>
    <n v="0"/>
    <n v="0"/>
    <n v="116.88487613461319"/>
    <n v="2225"/>
    <n v="71535.307499999995"/>
    <n v="0"/>
    <n v="0"/>
    <n v="0"/>
    <n v="0"/>
    <n v="0"/>
    <n v="0"/>
  </r>
  <r>
    <x v="27"/>
    <x v="9"/>
    <x v="3"/>
    <m/>
    <m/>
    <m/>
    <m/>
    <m/>
    <n v="0"/>
    <n v="1913.8"/>
    <n v="1.155806702390034"/>
    <n v="2.2119828670340471"/>
    <s v=""/>
    <n v="1913.8"/>
    <n v="2.2119828670340471"/>
    <n v="-65459.401368410559"/>
    <n v="116.88487613461319"/>
    <n v="2225"/>
    <n v="71535.307499999995"/>
    <n v="0"/>
    <n v="158234.87457801215"/>
    <n v="0"/>
    <n v="223694.27594642271"/>
    <n v="0"/>
    <n v="-65459.401368410559"/>
  </r>
  <r>
    <x v="28"/>
    <x v="9"/>
    <x v="3"/>
    <m/>
    <m/>
    <m/>
    <m/>
    <m/>
    <n v="0"/>
    <m/>
    <m/>
    <n v="0"/>
    <s v=""/>
    <n v="0"/>
    <n v="0"/>
    <n v="0"/>
    <n v="116.88487613461319"/>
    <n v="2225"/>
    <n v="71535.307499999995"/>
    <n v="0"/>
    <n v="0"/>
    <n v="0"/>
    <n v="0"/>
    <n v="0"/>
    <n v="0"/>
  </r>
  <r>
    <x v="29"/>
    <x v="9"/>
    <x v="3"/>
    <m/>
    <m/>
    <m/>
    <m/>
    <m/>
    <n v="0"/>
    <m/>
    <m/>
    <n v="0"/>
    <s v=""/>
    <n v="0"/>
    <n v="0"/>
    <n v="0"/>
    <n v="116.88487613461319"/>
    <n v="2225"/>
    <n v="71535.307499999995"/>
    <n v="0"/>
    <n v="0"/>
    <n v="0"/>
    <n v="0"/>
    <n v="0"/>
    <n v="0"/>
  </r>
  <r>
    <x v="30"/>
    <x v="9"/>
    <x v="3"/>
    <m/>
    <m/>
    <m/>
    <n v="2480"/>
    <n v="2.84"/>
    <n v="7.0431999999999997"/>
    <n v="1406"/>
    <n v="2.019180383693433"/>
    <n v="2.8389676194729669"/>
    <n v="-0.59692077188309767"/>
    <n v="-1074"/>
    <n v="-4.2042323805270332"/>
    <n v="38746.285796275537"/>
    <n v="116.88487613461319"/>
    <n v="2225"/>
    <n v="71535.307499999995"/>
    <n v="503837.47778399993"/>
    <n v="203086.42164154167"/>
    <n v="289874.49281384074"/>
    <n v="164340.13584526614"/>
    <n v="213962.98497015919"/>
    <n v="38746.285796275537"/>
  </r>
  <r>
    <x v="31"/>
    <x v="9"/>
    <x v="3"/>
    <m/>
    <m/>
    <m/>
    <n v="2170"/>
    <n v="2.84"/>
    <n v="6.1627999999999989"/>
    <m/>
    <m/>
    <n v="0"/>
    <n v="-1"/>
    <n v="-2170"/>
    <n v="-6.1627999999999989"/>
    <n v="0"/>
    <n v="116.88487613461319"/>
    <n v="2225"/>
    <n v="71535.307499999995"/>
    <n v="440857.79306099989"/>
    <n v="0"/>
    <n v="253640.18121211062"/>
    <n v="0"/>
    <n v="187217.61184888927"/>
    <n v="0"/>
  </r>
  <r>
    <x v="32"/>
    <x v="9"/>
    <x v="3"/>
    <m/>
    <m/>
    <m/>
    <m/>
    <m/>
    <n v="0"/>
    <m/>
    <m/>
    <n v="0"/>
    <s v=""/>
    <n v="0"/>
    <n v="0"/>
    <n v="0"/>
    <n v="116.88487613461319"/>
    <n v="2225"/>
    <n v="71535.307499999995"/>
    <n v="0"/>
    <n v="0"/>
    <n v="0"/>
    <n v="0"/>
    <n v="0"/>
    <n v="0"/>
  </r>
  <r>
    <x v="33"/>
    <x v="9"/>
    <x v="3"/>
    <m/>
    <m/>
    <m/>
    <m/>
    <m/>
    <n v="0"/>
    <m/>
    <m/>
    <n v="0"/>
    <s v=""/>
    <n v="0"/>
    <n v="0"/>
    <n v="0"/>
    <n v="116.88487613461319"/>
    <n v="2225"/>
    <n v="71535.307499999995"/>
    <n v="0"/>
    <n v="0"/>
    <n v="0"/>
    <n v="0"/>
    <n v="0"/>
    <n v="0"/>
  </r>
  <r>
    <x v="34"/>
    <x v="9"/>
    <x v="3"/>
    <m/>
    <m/>
    <m/>
    <m/>
    <m/>
    <n v="0"/>
    <m/>
    <m/>
    <n v="0"/>
    <s v=""/>
    <n v="0"/>
    <n v="0"/>
    <n v="0"/>
    <n v="116.88487613461319"/>
    <n v="2225"/>
    <n v="71535.307499999995"/>
    <n v="0"/>
    <n v="0"/>
    <n v="0"/>
    <n v="0"/>
    <n v="0"/>
    <n v="0"/>
  </r>
  <r>
    <x v="35"/>
    <x v="9"/>
    <x v="3"/>
    <m/>
    <m/>
    <m/>
    <m/>
    <m/>
    <n v="0"/>
    <m/>
    <m/>
    <n v="0"/>
    <s v=""/>
    <n v="0"/>
    <n v="0"/>
    <n v="0"/>
    <n v="116.88487613461319"/>
    <n v="2225"/>
    <n v="71535.307499999995"/>
    <n v="0"/>
    <n v="0"/>
    <n v="0"/>
    <n v="0"/>
    <n v="0"/>
    <n v="0"/>
  </r>
  <r>
    <x v="36"/>
    <x v="9"/>
    <x v="3"/>
    <m/>
    <m/>
    <m/>
    <m/>
    <m/>
    <n v="0"/>
    <n v="2258.6"/>
    <n v="1.7824488904328233"/>
    <n v="4.0258390639315742"/>
    <s v=""/>
    <n v="2258.6"/>
    <n v="4.0258390639315742"/>
    <n v="23993.454146219941"/>
    <n v="116.88487613461319"/>
    <n v="2225"/>
    <n v="71535.307499999995"/>
    <n v="0"/>
    <n v="287989.6353838573"/>
    <n v="0"/>
    <n v="263996.18123763736"/>
    <n v="0"/>
    <n v="23993.454146219941"/>
  </r>
  <r>
    <x v="37"/>
    <x v="9"/>
    <x v="3"/>
    <m/>
    <m/>
    <m/>
    <n v="1240"/>
    <n v="2.98"/>
    <n v="3.6951999999999998"/>
    <n v="2636.7"/>
    <n v="2.5622702799971844"/>
    <n v="6.7559380472685753"/>
    <n v="0.82830105197785653"/>
    <n v="1396.6999999999998"/>
    <n v="3.0607380472685755"/>
    <n v="175097.75275817246"/>
    <n v="116.88487613461319"/>
    <n v="2225"/>
    <n v="71535.307499999995"/>
    <n v="264337.26827399997"/>
    <n v="483288.10566230706"/>
    <n v="144937.24640692037"/>
    <n v="308190.3529041346"/>
    <n v="119400.0218670796"/>
    <n v="175097.75275817246"/>
  </r>
  <r>
    <x v="38"/>
    <x v="9"/>
    <x v="3"/>
    <m/>
    <m/>
    <m/>
    <m/>
    <m/>
    <n v="0"/>
    <m/>
    <m/>
    <n v="0"/>
    <s v=""/>
    <n v="0"/>
    <n v="0"/>
    <n v="0"/>
    <n v="116.88487613461319"/>
    <n v="2225"/>
    <n v="71535.307499999995"/>
    <n v="0"/>
    <n v="0"/>
    <n v="0"/>
    <n v="0"/>
    <n v="0"/>
    <n v="0"/>
  </r>
  <r>
    <x v="39"/>
    <x v="9"/>
    <x v="3"/>
    <m/>
    <m/>
    <m/>
    <m/>
    <m/>
    <n v="0"/>
    <m/>
    <m/>
    <n v="0"/>
    <s v=""/>
    <n v="0"/>
    <n v="0"/>
    <n v="0"/>
    <n v="116.88487613461319"/>
    <n v="2225"/>
    <n v="71535.307499999995"/>
    <n v="0"/>
    <n v="0"/>
    <n v="0"/>
    <n v="0"/>
    <n v="0"/>
    <n v="0"/>
  </r>
  <r>
    <x v="40"/>
    <x v="9"/>
    <x v="3"/>
    <m/>
    <m/>
    <m/>
    <n v="1240"/>
    <n v="2.98"/>
    <n v="3.6951999999999998"/>
    <n v="1587"/>
    <n v="3.328166287605038"/>
    <n v="5.2817998984291954"/>
    <n v="0.42936780104708694"/>
    <n v="347"/>
    <n v="1.5865998984291956"/>
    <n v="192338.8814619701"/>
    <n v="116.88487613461319"/>
    <n v="2225"/>
    <n v="71535.307499999995"/>
    <n v="264337.26827399997"/>
    <n v="377835.17988760123"/>
    <n v="144937.24640692037"/>
    <n v="185496.29842563113"/>
    <n v="119400.0218670796"/>
    <n v="192338.8814619701"/>
  </r>
  <r>
    <x v="41"/>
    <x v="9"/>
    <x v="3"/>
    <m/>
    <m/>
    <m/>
    <m/>
    <m/>
    <n v="0"/>
    <m/>
    <m/>
    <n v="0"/>
    <s v=""/>
    <n v="0"/>
    <n v="0"/>
    <n v="0"/>
    <n v="116.88487613461319"/>
    <n v="2225"/>
    <n v="71535.307499999995"/>
    <n v="0"/>
    <n v="0"/>
    <n v="0"/>
    <n v="0"/>
    <n v="0"/>
    <n v="0"/>
  </r>
  <r>
    <x v="42"/>
    <x v="9"/>
    <x v="3"/>
    <m/>
    <m/>
    <m/>
    <m/>
    <m/>
    <n v="0"/>
    <m/>
    <m/>
    <n v="0"/>
    <s v=""/>
    <n v="0"/>
    <n v="0"/>
    <n v="0"/>
    <n v="116.88487613461319"/>
    <n v="2225"/>
    <n v="71535.307499999995"/>
    <n v="0"/>
    <n v="0"/>
    <n v="0"/>
    <n v="0"/>
    <n v="0"/>
    <n v="0"/>
  </r>
  <r>
    <x v="43"/>
    <x v="9"/>
    <x v="3"/>
    <m/>
    <m/>
    <m/>
    <n v="2170"/>
    <n v="1.92"/>
    <n v="4.1663999999999994"/>
    <n v="926"/>
    <n v="3.2585393778225051"/>
    <n v="3.0174074638636399"/>
    <n v="-0.27577585832765927"/>
    <n v="-1244"/>
    <n v="-1.1489925361363595"/>
    <n v="107615.77547962879"/>
    <n v="116.88487613461319"/>
    <n v="2225"/>
    <n v="71535.307499999995"/>
    <n v="298044.70516799996"/>
    <n v="215851.1707802806"/>
    <n v="253640.18121211062"/>
    <n v="108235.39530065181"/>
    <n v="44404.523955889337"/>
    <n v="107615.77547962879"/>
  </r>
  <r>
    <x v="44"/>
    <x v="9"/>
    <x v="3"/>
    <m/>
    <m/>
    <m/>
    <m/>
    <m/>
    <n v="0"/>
    <m/>
    <m/>
    <n v="0"/>
    <s v=""/>
    <n v="0"/>
    <n v="0"/>
    <n v="0"/>
    <n v="116.88487613461319"/>
    <n v="2225"/>
    <n v="71535.307499999995"/>
    <n v="0"/>
    <n v="0"/>
    <n v="0"/>
    <n v="0"/>
    <n v="0"/>
    <n v="0"/>
  </r>
  <r>
    <x v="45"/>
    <x v="9"/>
    <x v="3"/>
    <m/>
    <m/>
    <m/>
    <n v="2170"/>
    <n v="1.64"/>
    <n v="3.5587999999999997"/>
    <n v="3500.7"/>
    <n v="4.5257491358645909"/>
    <n v="15.843289999921174"/>
    <n v="3.4518629875017353"/>
    <n v="1330.6999999999998"/>
    <n v="12.284489999921174"/>
    <n v="724175.73607159557"/>
    <n v="116.88487613461319"/>
    <n v="2225"/>
    <n v="71535.307499999995"/>
    <n v="254579.85233099997"/>
    <n v="1133354.621956036"/>
    <n v="253640.18121211062"/>
    <n v="409178.88588444039"/>
    <n v="939.67111888935324"/>
    <n v="724175.73607159557"/>
  </r>
  <r>
    <x v="46"/>
    <x v="9"/>
    <x v="3"/>
    <m/>
    <m/>
    <m/>
    <m/>
    <m/>
    <m/>
    <m/>
    <m/>
    <m/>
    <m/>
    <m/>
    <m/>
    <m/>
    <m/>
    <m/>
    <m/>
    <m/>
    <m/>
    <m/>
    <m/>
    <m/>
    <m/>
  </r>
  <r>
    <x v="47"/>
    <x v="9"/>
    <x v="3"/>
    <m/>
    <m/>
    <m/>
    <m/>
    <m/>
    <m/>
    <m/>
    <m/>
    <m/>
    <m/>
    <m/>
    <m/>
    <m/>
    <m/>
    <m/>
    <m/>
    <m/>
    <m/>
    <m/>
    <m/>
    <m/>
    <m/>
  </r>
  <r>
    <x v="48"/>
    <x v="9"/>
    <x v="3"/>
    <m/>
    <m/>
    <m/>
    <m/>
    <m/>
    <m/>
    <m/>
    <m/>
    <m/>
    <m/>
    <m/>
    <m/>
    <m/>
    <m/>
    <m/>
    <m/>
    <m/>
    <m/>
    <m/>
    <m/>
    <m/>
    <m/>
  </r>
  <r>
    <x v="49"/>
    <x v="9"/>
    <x v="3"/>
    <m/>
    <m/>
    <m/>
    <m/>
    <m/>
    <n v="0"/>
    <m/>
    <m/>
    <n v="0"/>
    <s v=""/>
    <n v="0"/>
    <n v="0"/>
    <n v="0"/>
    <n v="116.88487613461319"/>
    <n v="2225"/>
    <n v="71535.307499999995"/>
    <n v="0"/>
    <n v="0"/>
    <n v="0"/>
    <n v="0"/>
    <n v="0"/>
    <n v="0"/>
  </r>
  <r>
    <x v="50"/>
    <x v="9"/>
    <x v="4"/>
    <m/>
    <m/>
    <m/>
    <m/>
    <m/>
    <n v="0"/>
    <m/>
    <m/>
    <n v="0"/>
    <s v=""/>
    <n v="0"/>
    <n v="0"/>
    <n v="0"/>
    <n v="116.88487613461319"/>
    <n v="2225"/>
    <n v="71535.307499999995"/>
    <n v="0"/>
    <n v="0"/>
    <n v="0"/>
    <n v="0"/>
    <n v="0"/>
    <n v="0"/>
  </r>
  <r>
    <x v="51"/>
    <x v="9"/>
    <x v="4"/>
    <m/>
    <m/>
    <m/>
    <m/>
    <m/>
    <n v="0"/>
    <m/>
    <m/>
    <n v="0"/>
    <s v=""/>
    <n v="0"/>
    <n v="0"/>
    <n v="0"/>
    <n v="116.88487613461319"/>
    <n v="2225"/>
    <n v="71535.307499999995"/>
    <n v="0"/>
    <n v="0"/>
    <n v="0"/>
    <n v="0"/>
    <n v="0"/>
    <n v="0"/>
  </r>
  <r>
    <x v="52"/>
    <x v="9"/>
    <x v="4"/>
    <m/>
    <m/>
    <m/>
    <n v="2100"/>
    <n v="1.66"/>
    <n v="3.4860000000000002"/>
    <n v="1255"/>
    <n v="3.9548084756478263"/>
    <n v="4.9632846369380221"/>
    <n v="0.42377643056168152"/>
    <n v="-845"/>
    <n v="1.4772846369380219"/>
    <n v="208359.57316444771"/>
    <n v="116.88487613461319"/>
    <n v="2225"/>
    <n v="71535.307499999995"/>
    <n v="249372.08194500001"/>
    <n v="355050.09271338728"/>
    <n v="245458.23988268772"/>
    <n v="146690.51954893957"/>
    <n v="3913.8420623122947"/>
    <n v="208359.57316444771"/>
  </r>
  <r>
    <x v="53"/>
    <x v="9"/>
    <x v="4"/>
    <m/>
    <m/>
    <m/>
    <m/>
    <m/>
    <n v="0"/>
    <m/>
    <m/>
    <n v="0"/>
    <s v=""/>
    <n v="0"/>
    <n v="0"/>
    <n v="0"/>
    <n v="116.88487613461319"/>
    <n v="2225"/>
    <n v="71535.307499999995"/>
    <n v="0"/>
    <n v="0"/>
    <n v="0"/>
    <n v="0"/>
    <n v="0"/>
    <n v="0"/>
  </r>
  <r>
    <x v="54"/>
    <x v="9"/>
    <x v="4"/>
    <m/>
    <m/>
    <m/>
    <m/>
    <m/>
    <n v="0"/>
    <m/>
    <m/>
    <n v="0"/>
    <s v=""/>
    <n v="0"/>
    <n v="0"/>
    <n v="0"/>
    <n v="116.88487613461319"/>
    <n v="2225"/>
    <n v="71535.307499999995"/>
    <n v="0"/>
    <n v="0"/>
    <n v="0"/>
    <n v="0"/>
    <n v="0"/>
    <n v="0"/>
  </r>
  <r>
    <x v="55"/>
    <x v="9"/>
    <x v="4"/>
    <m/>
    <m/>
    <m/>
    <m/>
    <m/>
    <n v="0"/>
    <m/>
    <m/>
    <n v="0"/>
    <s v=""/>
    <n v="0"/>
    <n v="0"/>
    <n v="0"/>
    <n v="116.88487613461319"/>
    <n v="2225"/>
    <n v="71535.307499999995"/>
    <n v="0"/>
    <n v="0"/>
    <n v="0"/>
    <n v="0"/>
    <n v="0"/>
    <n v="0"/>
  </r>
  <r>
    <x v="56"/>
    <x v="9"/>
    <x v="4"/>
    <m/>
    <m/>
    <m/>
    <m/>
    <m/>
    <n v="0"/>
    <m/>
    <m/>
    <n v="0"/>
    <s v=""/>
    <n v="0"/>
    <n v="0"/>
    <n v="0"/>
    <n v="116.88487613461319"/>
    <n v="2225"/>
    <n v="71535.307499999995"/>
    <n v="0"/>
    <n v="0"/>
    <n v="0"/>
    <n v="0"/>
    <n v="0"/>
    <n v="0"/>
  </r>
  <r>
    <x v="57"/>
    <x v="9"/>
    <x v="4"/>
    <m/>
    <m/>
    <m/>
    <m/>
    <m/>
    <n v="0"/>
    <m/>
    <m/>
    <n v="0"/>
    <s v=""/>
    <n v="0"/>
    <n v="0"/>
    <n v="0"/>
    <n v="116.88487613461319"/>
    <n v="2225"/>
    <n v="71535.307499999995"/>
    <n v="0"/>
    <n v="0"/>
    <n v="0"/>
    <n v="0"/>
    <n v="0"/>
    <n v="0"/>
  </r>
  <r>
    <x v="58"/>
    <x v="9"/>
    <x v="4"/>
    <m/>
    <m/>
    <m/>
    <m/>
    <m/>
    <n v="0"/>
    <m/>
    <m/>
    <n v="0"/>
    <s v=""/>
    <n v="0"/>
    <n v="0"/>
    <n v="0"/>
    <n v="116.88487613461319"/>
    <n v="2225"/>
    <n v="71535.307499999995"/>
    <n v="0"/>
    <n v="0"/>
    <n v="0"/>
    <n v="0"/>
    <n v="0"/>
    <n v="0"/>
  </r>
  <r>
    <x v="59"/>
    <x v="9"/>
    <x v="4"/>
    <m/>
    <m/>
    <m/>
    <m/>
    <m/>
    <n v="0"/>
    <m/>
    <m/>
    <n v="0"/>
    <s v=""/>
    <n v="0"/>
    <n v="0"/>
    <n v="0"/>
    <n v="116.88487613461319"/>
    <n v="2225"/>
    <n v="71535.307499999995"/>
    <n v="0"/>
    <n v="0"/>
    <n v="0"/>
    <n v="0"/>
    <n v="0"/>
    <n v="0"/>
  </r>
  <r>
    <x v="60"/>
    <x v="9"/>
    <x v="4"/>
    <m/>
    <m/>
    <m/>
    <m/>
    <m/>
    <n v="0"/>
    <m/>
    <m/>
    <n v="0"/>
    <s v=""/>
    <n v="0"/>
    <n v="0"/>
    <n v="0"/>
    <n v="116.88487613461319"/>
    <n v="2225"/>
    <n v="71535.307499999995"/>
    <n v="0"/>
    <n v="0"/>
    <n v="0"/>
    <n v="0"/>
    <n v="0"/>
    <n v="0"/>
  </r>
  <r>
    <x v="61"/>
    <x v="9"/>
    <x v="4"/>
    <m/>
    <m/>
    <m/>
    <m/>
    <m/>
    <n v="0"/>
    <m/>
    <m/>
    <n v="0"/>
    <s v=""/>
    <n v="0"/>
    <n v="0"/>
    <n v="0"/>
    <n v="116.88487613461319"/>
    <n v="2225"/>
    <n v="71535.307499999995"/>
    <n v="0"/>
    <n v="0"/>
    <n v="0"/>
    <n v="0"/>
    <n v="0"/>
    <n v="0"/>
  </r>
  <r>
    <x v="62"/>
    <x v="9"/>
    <x v="4"/>
    <m/>
    <m/>
    <m/>
    <m/>
    <m/>
    <n v="0"/>
    <m/>
    <m/>
    <n v="0"/>
    <s v=""/>
    <n v="0"/>
    <n v="0"/>
    <n v="0"/>
    <n v="116.88487613461319"/>
    <n v="2225"/>
    <n v="71535.307499999995"/>
    <n v="0"/>
    <n v="0"/>
    <n v="0"/>
    <n v="0"/>
    <n v="0"/>
    <n v="0"/>
  </r>
  <r>
    <x v="63"/>
    <x v="9"/>
    <x v="4"/>
    <m/>
    <m/>
    <m/>
    <m/>
    <m/>
    <n v="0"/>
    <m/>
    <m/>
    <n v="0"/>
    <s v=""/>
    <n v="0"/>
    <n v="0"/>
    <n v="0"/>
    <n v="116.88487613461319"/>
    <n v="2225"/>
    <n v="71535.307499999995"/>
    <n v="0"/>
    <n v="0"/>
    <n v="0"/>
    <n v="0"/>
    <n v="0"/>
    <n v="0"/>
  </r>
  <r>
    <x v="64"/>
    <x v="9"/>
    <x v="4"/>
    <m/>
    <m/>
    <m/>
    <m/>
    <m/>
    <n v="0"/>
    <m/>
    <m/>
    <n v="0"/>
    <s v=""/>
    <n v="0"/>
    <n v="0"/>
    <n v="0"/>
    <n v="116.88487613461319"/>
    <n v="2225"/>
    <n v="71535.307499999995"/>
    <n v="0"/>
    <n v="0"/>
    <n v="0"/>
    <n v="0"/>
    <n v="0"/>
    <n v="0"/>
  </r>
  <r>
    <x v="65"/>
    <x v="9"/>
    <x v="4"/>
    <m/>
    <m/>
    <m/>
    <m/>
    <m/>
    <n v="0"/>
    <m/>
    <m/>
    <n v="0"/>
    <s v=""/>
    <n v="0"/>
    <n v="0"/>
    <n v="0"/>
    <n v="116.88487613461319"/>
    <n v="2225"/>
    <n v="71535.307499999995"/>
    <n v="0"/>
    <n v="0"/>
    <n v="0"/>
    <n v="0"/>
    <n v="0"/>
    <n v="0"/>
  </r>
  <r>
    <x v="66"/>
    <x v="9"/>
    <x v="4"/>
    <m/>
    <m/>
    <m/>
    <m/>
    <m/>
    <n v="0"/>
    <m/>
    <m/>
    <n v="0"/>
    <s v=""/>
    <n v="0"/>
    <n v="0"/>
    <n v="0"/>
    <n v="116.88487613461319"/>
    <n v="2225"/>
    <n v="71535.307499999995"/>
    <n v="0"/>
    <n v="0"/>
    <n v="0"/>
    <n v="0"/>
    <n v="0"/>
    <n v="0"/>
  </r>
  <r>
    <x v="67"/>
    <x v="9"/>
    <x v="4"/>
    <m/>
    <m/>
    <m/>
    <m/>
    <m/>
    <n v="0"/>
    <m/>
    <m/>
    <n v="0"/>
    <s v=""/>
    <n v="0"/>
    <n v="0"/>
    <n v="0"/>
    <n v="116.88487613461319"/>
    <n v="2225"/>
    <n v="71535.307499999995"/>
    <n v="0"/>
    <n v="0"/>
    <n v="0"/>
    <n v="0"/>
    <n v="0"/>
    <n v="0"/>
  </r>
  <r>
    <x v="68"/>
    <x v="9"/>
    <x v="4"/>
    <m/>
    <m/>
    <m/>
    <m/>
    <m/>
    <n v="0"/>
    <m/>
    <m/>
    <n v="0"/>
    <s v=""/>
    <n v="0"/>
    <n v="0"/>
    <n v="0"/>
    <n v="116.88487613461319"/>
    <n v="2225"/>
    <n v="71535.307499999995"/>
    <n v="0"/>
    <n v="0"/>
    <n v="0"/>
    <n v="0"/>
    <n v="0"/>
    <n v="0"/>
  </r>
  <r>
    <x v="69"/>
    <x v="9"/>
    <x v="4"/>
    <m/>
    <m/>
    <m/>
    <m/>
    <m/>
    <n v="0"/>
    <m/>
    <m/>
    <n v="0"/>
    <s v=""/>
    <n v="0"/>
    <n v="0"/>
    <n v="0"/>
    <n v="116.88487613461319"/>
    <n v="2225"/>
    <n v="71535.307499999995"/>
    <n v="0"/>
    <n v="0"/>
    <n v="0"/>
    <n v="0"/>
    <n v="0"/>
    <n v="0"/>
  </r>
  <r>
    <x v="70"/>
    <x v="9"/>
    <x v="5"/>
    <m/>
    <m/>
    <m/>
    <m/>
    <m/>
    <n v="0"/>
    <m/>
    <m/>
    <n v="0"/>
    <s v=""/>
    <n v="0"/>
    <n v="0"/>
    <n v="0"/>
    <n v="116.88487613461319"/>
    <n v="2225"/>
    <n v="71535.307499999995"/>
    <n v="0"/>
    <n v="0"/>
    <n v="0"/>
    <n v="0"/>
    <n v="0"/>
    <n v="0"/>
  </r>
  <r>
    <x v="71"/>
    <x v="9"/>
    <x v="5"/>
    <m/>
    <m/>
    <m/>
    <m/>
    <m/>
    <n v="0"/>
    <m/>
    <m/>
    <n v="0"/>
    <s v=""/>
    <n v="0"/>
    <n v="0"/>
    <n v="0"/>
    <n v="116.88487613461319"/>
    <n v="2225"/>
    <n v="71535.307499999995"/>
    <n v="0"/>
    <n v="0"/>
    <n v="0"/>
    <n v="0"/>
    <n v="0"/>
    <n v="0"/>
  </r>
  <r>
    <x v="72"/>
    <x v="9"/>
    <x v="5"/>
    <m/>
    <m/>
    <m/>
    <m/>
    <m/>
    <m/>
    <m/>
    <m/>
    <m/>
    <m/>
    <m/>
    <m/>
    <m/>
    <m/>
    <m/>
    <m/>
    <m/>
    <m/>
    <m/>
    <m/>
    <m/>
    <m/>
  </r>
  <r>
    <x v="73"/>
    <x v="9"/>
    <x v="5"/>
    <m/>
    <m/>
    <m/>
    <m/>
    <m/>
    <m/>
    <m/>
    <m/>
    <m/>
    <m/>
    <m/>
    <m/>
    <m/>
    <m/>
    <m/>
    <m/>
    <m/>
    <m/>
    <m/>
    <m/>
    <m/>
    <m/>
  </r>
  <r>
    <x v="74"/>
    <x v="9"/>
    <x v="5"/>
    <m/>
    <m/>
    <m/>
    <m/>
    <m/>
    <m/>
    <m/>
    <m/>
    <m/>
    <m/>
    <m/>
    <m/>
    <m/>
    <m/>
    <m/>
    <m/>
    <m/>
    <m/>
    <m/>
    <m/>
    <m/>
    <m/>
  </r>
  <r>
    <x v="75"/>
    <x v="9"/>
    <x v="5"/>
    <m/>
    <m/>
    <m/>
    <m/>
    <m/>
    <n v="0"/>
    <m/>
    <m/>
    <n v="0"/>
    <s v=""/>
    <n v="0"/>
    <n v="0"/>
    <n v="0"/>
    <n v="116.88487613461319"/>
    <n v="2225"/>
    <n v="71535.307499999995"/>
    <n v="0"/>
    <n v="0"/>
    <n v="0"/>
    <n v="0"/>
    <n v="0"/>
    <n v="0"/>
  </r>
  <r>
    <x v="76"/>
    <x v="9"/>
    <x v="5"/>
    <m/>
    <m/>
    <m/>
    <m/>
    <m/>
    <m/>
    <m/>
    <m/>
    <m/>
    <m/>
    <m/>
    <m/>
    <m/>
    <m/>
    <m/>
    <m/>
    <m/>
    <m/>
    <m/>
    <m/>
    <m/>
    <m/>
  </r>
  <r>
    <x v="77"/>
    <x v="9"/>
    <x v="5"/>
    <m/>
    <m/>
    <m/>
    <m/>
    <m/>
    <n v="0"/>
    <m/>
    <m/>
    <n v="0"/>
    <s v=""/>
    <n v="0"/>
    <n v="0"/>
    <n v="0"/>
    <n v="116.88487613461319"/>
    <n v="2225"/>
    <n v="71535.307499999995"/>
    <n v="0"/>
    <n v="0"/>
    <n v="0"/>
    <n v="0"/>
    <n v="0"/>
    <n v="0"/>
  </r>
  <r>
    <x v="78"/>
    <x v="9"/>
    <x v="5"/>
    <m/>
    <m/>
    <m/>
    <m/>
    <m/>
    <n v="0"/>
    <m/>
    <m/>
    <n v="0"/>
    <s v=""/>
    <n v="0"/>
    <n v="0"/>
    <n v="0"/>
    <n v="116.88487613461319"/>
    <n v="2225"/>
    <n v="71535.307499999995"/>
    <n v="0"/>
    <n v="0"/>
    <n v="0"/>
    <n v="0"/>
    <n v="0"/>
    <n v="0"/>
  </r>
  <r>
    <x v="79"/>
    <x v="9"/>
    <x v="5"/>
    <m/>
    <m/>
    <m/>
    <m/>
    <m/>
    <n v="0"/>
    <m/>
    <m/>
    <n v="0"/>
    <s v=""/>
    <n v="0"/>
    <n v="0"/>
    <n v="0"/>
    <n v="116.88487613461319"/>
    <n v="2225"/>
    <n v="71535.307499999995"/>
    <n v="0"/>
    <n v="0"/>
    <n v="0"/>
    <n v="0"/>
    <n v="0"/>
    <n v="0"/>
  </r>
  <r>
    <x v="80"/>
    <x v="9"/>
    <x v="5"/>
    <m/>
    <m/>
    <m/>
    <m/>
    <m/>
    <n v="0"/>
    <m/>
    <m/>
    <n v="0"/>
    <s v=""/>
    <n v="0"/>
    <n v="0"/>
    <n v="0"/>
    <n v="116.88487613461319"/>
    <n v="2225"/>
    <n v="71535.307499999995"/>
    <n v="0"/>
    <n v="0"/>
    <n v="0"/>
    <n v="0"/>
    <n v="0"/>
    <n v="0"/>
  </r>
  <r>
    <x v="81"/>
    <x v="9"/>
    <x v="5"/>
    <m/>
    <m/>
    <m/>
    <m/>
    <m/>
    <n v="0"/>
    <m/>
    <m/>
    <n v="0"/>
    <s v=""/>
    <n v="0"/>
    <n v="0"/>
    <n v="0"/>
    <n v="116.88487613461319"/>
    <n v="2225"/>
    <n v="71535.307499999995"/>
    <n v="0"/>
    <n v="0"/>
    <n v="0"/>
    <n v="0"/>
    <n v="0"/>
    <n v="0"/>
  </r>
  <r>
    <x v="82"/>
    <x v="9"/>
    <x v="5"/>
    <m/>
    <m/>
    <m/>
    <m/>
    <m/>
    <n v="0"/>
    <m/>
    <m/>
    <n v="0"/>
    <s v=""/>
    <n v="0"/>
    <n v="0"/>
    <n v="0"/>
    <n v="116.88487613461319"/>
    <n v="2225"/>
    <n v="71535.307499999995"/>
    <n v="0"/>
    <n v="0"/>
    <n v="0"/>
    <n v="0"/>
    <n v="0"/>
    <n v="0"/>
  </r>
  <r>
    <x v="83"/>
    <x v="9"/>
    <x v="5"/>
    <m/>
    <m/>
    <m/>
    <m/>
    <m/>
    <n v="0"/>
    <m/>
    <m/>
    <n v="0"/>
    <s v=""/>
    <n v="0"/>
    <n v="0"/>
    <n v="0"/>
    <n v="116.88487613461319"/>
    <n v="2225"/>
    <n v="71535.307499999995"/>
    <n v="0"/>
    <n v="0"/>
    <n v="0"/>
    <n v="0"/>
    <n v="0"/>
    <n v="0"/>
  </r>
  <r>
    <x v="84"/>
    <x v="9"/>
    <x v="5"/>
    <m/>
    <m/>
    <m/>
    <m/>
    <m/>
    <n v="0"/>
    <m/>
    <m/>
    <n v="0"/>
    <s v=""/>
    <n v="0"/>
    <n v="0"/>
    <n v="0"/>
    <n v="116.88487613461319"/>
    <n v="2225"/>
    <n v="71535.307499999995"/>
    <n v="0"/>
    <n v="0"/>
    <n v="0"/>
    <n v="0"/>
    <n v="0"/>
    <n v="0"/>
  </r>
  <r>
    <x v="85"/>
    <x v="9"/>
    <x v="5"/>
    <m/>
    <m/>
    <m/>
    <m/>
    <m/>
    <n v="0"/>
    <m/>
    <m/>
    <n v="0"/>
    <s v=""/>
    <n v="0"/>
    <n v="0"/>
    <n v="0"/>
    <n v="116.88487613461319"/>
    <n v="2225"/>
    <n v="71535.307499999995"/>
    <n v="0"/>
    <n v="0"/>
    <n v="0"/>
    <n v="0"/>
    <n v="0"/>
    <n v="0"/>
  </r>
  <r>
    <x v="86"/>
    <x v="9"/>
    <x v="5"/>
    <m/>
    <m/>
    <m/>
    <m/>
    <m/>
    <n v="0"/>
    <m/>
    <m/>
    <n v="0"/>
    <s v=""/>
    <n v="0"/>
    <n v="0"/>
    <n v="0"/>
    <n v="116.88487613461319"/>
    <n v="2225"/>
    <n v="71535.307499999995"/>
    <n v="0"/>
    <n v="0"/>
    <n v="0"/>
    <n v="0"/>
    <n v="0"/>
    <n v="0"/>
  </r>
  <r>
    <x v="87"/>
    <x v="9"/>
    <x v="5"/>
    <m/>
    <m/>
    <m/>
    <m/>
    <m/>
    <n v="0"/>
    <m/>
    <m/>
    <n v="0"/>
    <s v=""/>
    <n v="0"/>
    <n v="0"/>
    <n v="0"/>
    <n v="116.88487613461319"/>
    <n v="2225"/>
    <n v="71535.307499999995"/>
    <n v="0"/>
    <n v="0"/>
    <n v="0"/>
    <n v="0"/>
    <n v="0"/>
    <n v="0"/>
  </r>
  <r>
    <x v="88"/>
    <x v="9"/>
    <x v="5"/>
    <m/>
    <m/>
    <m/>
    <m/>
    <m/>
    <n v="0"/>
    <m/>
    <m/>
    <n v="0"/>
    <s v=""/>
    <n v="0"/>
    <n v="0"/>
    <n v="0"/>
    <n v="116.88487613461319"/>
    <n v="2225"/>
    <n v="71535.307499999995"/>
    <n v="0"/>
    <n v="0"/>
    <n v="0"/>
    <n v="0"/>
    <n v="0"/>
    <n v="0"/>
  </r>
  <r>
    <x v="89"/>
    <x v="9"/>
    <x v="5"/>
    <m/>
    <m/>
    <m/>
    <m/>
    <m/>
    <n v="0"/>
    <m/>
    <m/>
    <n v="0"/>
    <s v=""/>
    <n v="0"/>
    <n v="0"/>
    <n v="0"/>
    <n v="116.88487613461319"/>
    <n v="2225"/>
    <n v="71535.307499999995"/>
    <n v="0"/>
    <n v="0"/>
    <n v="0"/>
    <n v="0"/>
    <n v="0"/>
    <n v="0"/>
  </r>
  <r>
    <x v="90"/>
    <x v="9"/>
    <x v="5"/>
    <m/>
    <m/>
    <m/>
    <m/>
    <m/>
    <n v="0"/>
    <m/>
    <m/>
    <n v="0"/>
    <s v=""/>
    <n v="0"/>
    <n v="0"/>
    <n v="0"/>
    <n v="116.88487613461319"/>
    <n v="2225"/>
    <n v="71535.307499999995"/>
    <n v="0"/>
    <n v="0"/>
    <n v="0"/>
    <n v="0"/>
    <n v="0"/>
    <n v="0"/>
  </r>
  <r>
    <x v="91"/>
    <x v="9"/>
    <x v="5"/>
    <m/>
    <m/>
    <m/>
    <m/>
    <m/>
    <n v="0"/>
    <m/>
    <m/>
    <n v="0"/>
    <s v=""/>
    <n v="0"/>
    <n v="0"/>
    <n v="0"/>
    <n v="116.88487613461319"/>
    <n v="2225"/>
    <n v="71535.307499999995"/>
    <n v="0"/>
    <n v="0"/>
    <n v="0"/>
    <n v="0"/>
    <n v="0"/>
    <n v="0"/>
  </r>
  <r>
    <x v="92"/>
    <x v="9"/>
    <x v="5"/>
    <m/>
    <m/>
    <m/>
    <m/>
    <m/>
    <n v="0"/>
    <m/>
    <m/>
    <n v="0"/>
    <s v=""/>
    <n v="0"/>
    <n v="0"/>
    <n v="0"/>
    <n v="116.88487613461319"/>
    <n v="2225"/>
    <n v="71535.307499999995"/>
    <n v="0"/>
    <n v="0"/>
    <n v="0"/>
    <n v="0"/>
    <n v="0"/>
    <n v="0"/>
  </r>
  <r>
    <x v="93"/>
    <x v="9"/>
    <x v="5"/>
    <m/>
    <m/>
    <m/>
    <m/>
    <m/>
    <n v="0"/>
    <m/>
    <m/>
    <n v="0"/>
    <s v=""/>
    <n v="0"/>
    <n v="0"/>
    <n v="0"/>
    <n v="116.88487613461319"/>
    <n v="2225"/>
    <n v="71535.307499999995"/>
    <n v="0"/>
    <n v="0"/>
    <n v="0"/>
    <n v="0"/>
    <n v="0"/>
    <n v="0"/>
  </r>
  <r>
    <x v="94"/>
    <x v="9"/>
    <x v="5"/>
    <m/>
    <m/>
    <m/>
    <m/>
    <m/>
    <n v="0"/>
    <m/>
    <m/>
    <n v="0"/>
    <s v=""/>
    <n v="0"/>
    <n v="0"/>
    <n v="0"/>
    <n v="116.88487613461319"/>
    <n v="2225"/>
    <n v="71535.307499999995"/>
    <n v="0"/>
    <n v="0"/>
    <n v="0"/>
    <n v="0"/>
    <n v="0"/>
    <n v="0"/>
  </r>
  <r>
    <x v="95"/>
    <x v="9"/>
    <x v="5"/>
    <m/>
    <m/>
    <m/>
    <m/>
    <m/>
    <n v="0"/>
    <m/>
    <m/>
    <n v="0"/>
    <s v=""/>
    <n v="0"/>
    <n v="0"/>
    <n v="0"/>
    <n v="116.88487613461319"/>
    <n v="2225"/>
    <n v="71535.307499999995"/>
    <n v="0"/>
    <n v="0"/>
    <n v="0"/>
    <n v="0"/>
    <n v="0"/>
    <n v="0"/>
  </r>
  <r>
    <x v="96"/>
    <x v="9"/>
    <x v="5"/>
    <m/>
    <m/>
    <m/>
    <m/>
    <m/>
    <n v="0"/>
    <m/>
    <m/>
    <n v="0"/>
    <s v=""/>
    <n v="0"/>
    <n v="0"/>
    <n v="0"/>
    <n v="116.88487613461319"/>
    <n v="2225"/>
    <n v="71535.307499999995"/>
    <n v="0"/>
    <n v="0"/>
    <n v="0"/>
    <n v="0"/>
    <n v="0"/>
    <n v="0"/>
  </r>
  <r>
    <x v="97"/>
    <x v="9"/>
    <x v="5"/>
    <m/>
    <m/>
    <m/>
    <m/>
    <m/>
    <n v="0"/>
    <m/>
    <m/>
    <n v="0"/>
    <s v=""/>
    <n v="0"/>
    <n v="0"/>
    <n v="0"/>
    <n v="116.88487613461319"/>
    <n v="2225"/>
    <n v="71535.307499999995"/>
    <n v="0"/>
    <n v="0"/>
    <n v="0"/>
    <n v="0"/>
    <n v="0"/>
    <n v="0"/>
  </r>
  <r>
    <x v="98"/>
    <x v="9"/>
    <x v="6"/>
    <m/>
    <m/>
    <m/>
    <m/>
    <m/>
    <n v="0"/>
    <m/>
    <m/>
    <n v="0"/>
    <s v=""/>
    <n v="0"/>
    <n v="0"/>
    <n v="0"/>
    <n v="116.88487613461319"/>
    <n v="2225"/>
    <n v="71535.307499999995"/>
    <n v="0"/>
    <n v="0"/>
    <n v="0"/>
    <n v="0"/>
    <n v="0"/>
    <n v="0"/>
  </r>
  <r>
    <x v="99"/>
    <x v="9"/>
    <x v="6"/>
    <m/>
    <m/>
    <m/>
    <m/>
    <m/>
    <n v="0"/>
    <m/>
    <m/>
    <n v="0"/>
    <s v=""/>
    <n v="0"/>
    <n v="0"/>
    <n v="0"/>
    <n v="116.88487613461319"/>
    <n v="2225"/>
    <n v="71535.307499999995"/>
    <n v="0"/>
    <n v="0"/>
    <n v="0"/>
    <n v="0"/>
    <n v="0"/>
    <n v="0"/>
  </r>
  <r>
    <x v="100"/>
    <x v="9"/>
    <x v="6"/>
    <m/>
    <m/>
    <m/>
    <m/>
    <m/>
    <n v="0"/>
    <m/>
    <m/>
    <n v="0"/>
    <s v=""/>
    <n v="0"/>
    <n v="0"/>
    <n v="0"/>
    <n v="116.88487613461319"/>
    <n v="2225"/>
    <n v="71535.307499999995"/>
    <n v="0"/>
    <n v="0"/>
    <n v="0"/>
    <n v="0"/>
    <n v="0"/>
    <n v="0"/>
  </r>
  <r>
    <x v="101"/>
    <x v="9"/>
    <x v="6"/>
    <m/>
    <m/>
    <m/>
    <m/>
    <m/>
    <n v="0"/>
    <m/>
    <m/>
    <n v="0"/>
    <s v=""/>
    <n v="0"/>
    <n v="0"/>
    <n v="0"/>
    <n v="116.88487613461319"/>
    <n v="2225"/>
    <n v="71535.307499999995"/>
    <n v="0"/>
    <n v="0"/>
    <n v="0"/>
    <n v="0"/>
    <n v="0"/>
    <n v="0"/>
  </r>
  <r>
    <x v="102"/>
    <x v="9"/>
    <x v="6"/>
    <m/>
    <m/>
    <m/>
    <m/>
    <m/>
    <n v="0"/>
    <m/>
    <m/>
    <n v="0"/>
    <s v=""/>
    <n v="0"/>
    <n v="0"/>
    <n v="0"/>
    <n v="116.88487613461319"/>
    <n v="2225"/>
    <n v="71535.307499999995"/>
    <n v="0"/>
    <n v="0"/>
    <n v="0"/>
    <n v="0"/>
    <n v="0"/>
    <n v="0"/>
  </r>
  <r>
    <x v="103"/>
    <x v="9"/>
    <x v="6"/>
    <m/>
    <m/>
    <m/>
    <m/>
    <m/>
    <n v="0"/>
    <m/>
    <m/>
    <n v="0"/>
    <s v=""/>
    <n v="0"/>
    <n v="0"/>
    <n v="0"/>
    <n v="116.88487613461319"/>
    <n v="2225"/>
    <n v="71535.307499999995"/>
    <n v="0"/>
    <n v="0"/>
    <n v="0"/>
    <n v="0"/>
    <n v="0"/>
    <n v="0"/>
  </r>
  <r>
    <x v="104"/>
    <x v="9"/>
    <x v="6"/>
    <m/>
    <m/>
    <m/>
    <m/>
    <m/>
    <n v="0"/>
    <m/>
    <m/>
    <n v="0"/>
    <s v=""/>
    <n v="0"/>
    <n v="0"/>
    <n v="0"/>
    <n v="116.88487613461319"/>
    <n v="2225"/>
    <n v="71535.307499999995"/>
    <n v="0"/>
    <n v="0"/>
    <n v="0"/>
    <n v="0"/>
    <n v="0"/>
    <n v="0"/>
  </r>
  <r>
    <x v="105"/>
    <x v="9"/>
    <x v="6"/>
    <m/>
    <m/>
    <m/>
    <m/>
    <m/>
    <n v="0"/>
    <m/>
    <m/>
    <n v="0"/>
    <s v=""/>
    <n v="0"/>
    <n v="0"/>
    <n v="0"/>
    <n v="116.88487613461319"/>
    <n v="2225"/>
    <n v="71535.307499999995"/>
    <n v="0"/>
    <n v="0"/>
    <n v="0"/>
    <n v="0"/>
    <n v="0"/>
    <n v="0"/>
  </r>
  <r>
    <x v="106"/>
    <x v="9"/>
    <x v="6"/>
    <m/>
    <m/>
    <m/>
    <m/>
    <m/>
    <n v="0"/>
    <m/>
    <m/>
    <n v="0"/>
    <s v=""/>
    <n v="0"/>
    <n v="0"/>
    <n v="0"/>
    <n v="116.88487613461319"/>
    <n v="2225"/>
    <n v="71535.307499999995"/>
    <n v="0"/>
    <n v="0"/>
    <n v="0"/>
    <n v="0"/>
    <n v="0"/>
    <n v="0"/>
  </r>
  <r>
    <x v="107"/>
    <x v="9"/>
    <x v="6"/>
    <m/>
    <m/>
    <m/>
    <m/>
    <m/>
    <n v="0"/>
    <m/>
    <m/>
    <n v="0"/>
    <s v=""/>
    <n v="0"/>
    <n v="0"/>
    <n v="0"/>
    <n v="116.88487613461319"/>
    <n v="2225"/>
    <n v="71535.307499999995"/>
    <n v="0"/>
    <n v="0"/>
    <n v="0"/>
    <n v="0"/>
    <n v="0"/>
    <n v="0"/>
  </r>
  <r>
    <x v="108"/>
    <x v="9"/>
    <x v="6"/>
    <m/>
    <m/>
    <m/>
    <m/>
    <m/>
    <n v="0"/>
    <m/>
    <m/>
    <n v="0"/>
    <s v=""/>
    <n v="0"/>
    <n v="0"/>
    <n v="0"/>
    <n v="116.88487613461319"/>
    <n v="2225"/>
    <n v="71535.307499999995"/>
    <n v="0"/>
    <n v="0"/>
    <n v="0"/>
    <n v="0"/>
    <n v="0"/>
    <n v="0"/>
  </r>
  <r>
    <x v="109"/>
    <x v="9"/>
    <x v="6"/>
    <m/>
    <m/>
    <m/>
    <m/>
    <m/>
    <n v="0"/>
    <m/>
    <m/>
    <n v="0"/>
    <s v=""/>
    <n v="0"/>
    <n v="0"/>
    <n v="0"/>
    <n v="116.88487613461319"/>
    <n v="2225"/>
    <n v="71535.307499999995"/>
    <n v="0"/>
    <n v="0"/>
    <n v="0"/>
    <n v="0"/>
    <n v="0"/>
    <n v="0"/>
  </r>
  <r>
    <x v="110"/>
    <x v="9"/>
    <x v="7"/>
    <m/>
    <m/>
    <m/>
    <m/>
    <m/>
    <n v="0"/>
    <m/>
    <m/>
    <n v="0"/>
    <s v=""/>
    <n v="0"/>
    <n v="0"/>
    <n v="0"/>
    <n v="116.88487613461319"/>
    <n v="2225"/>
    <n v="71535.307499999995"/>
    <n v="0"/>
    <n v="0"/>
    <n v="0"/>
    <n v="0"/>
    <n v="0"/>
    <n v="0"/>
  </r>
  <r>
    <x v="111"/>
    <x v="9"/>
    <x v="7"/>
    <m/>
    <m/>
    <m/>
    <m/>
    <m/>
    <n v="0"/>
    <m/>
    <m/>
    <n v="0"/>
    <s v=""/>
    <n v="0"/>
    <n v="0"/>
    <n v="0"/>
    <n v="116.88487613461319"/>
    <n v="2225"/>
    <n v="71535.307499999995"/>
    <n v="0"/>
    <n v="0"/>
    <n v="0"/>
    <n v="0"/>
    <n v="0"/>
    <n v="0"/>
  </r>
  <r>
    <x v="112"/>
    <x v="9"/>
    <x v="7"/>
    <m/>
    <m/>
    <m/>
    <m/>
    <m/>
    <n v="0"/>
    <m/>
    <m/>
    <n v="0"/>
    <s v=""/>
    <n v="0"/>
    <n v="0"/>
    <n v="0"/>
    <n v="116.88487613461319"/>
    <n v="2225"/>
    <n v="71535.307499999995"/>
    <n v="0"/>
    <n v="0"/>
    <n v="0"/>
    <n v="0"/>
    <n v="0"/>
    <n v="0"/>
  </r>
  <r>
    <x v="113"/>
    <x v="9"/>
    <x v="7"/>
    <m/>
    <m/>
    <m/>
    <m/>
    <m/>
    <n v="0"/>
    <m/>
    <m/>
    <n v="0"/>
    <s v=""/>
    <n v="0"/>
    <n v="0"/>
    <n v="0"/>
    <n v="116.88487613461319"/>
    <n v="2225"/>
    <n v="71535.307499999995"/>
    <n v="0"/>
    <n v="0"/>
    <n v="0"/>
    <n v="0"/>
    <n v="0"/>
    <n v="0"/>
  </r>
  <r>
    <x v="114"/>
    <x v="9"/>
    <x v="7"/>
    <m/>
    <m/>
    <m/>
    <m/>
    <m/>
    <n v="0"/>
    <m/>
    <m/>
    <n v="0"/>
    <s v=""/>
    <n v="0"/>
    <n v="0"/>
    <n v="0"/>
    <n v="116.88487613461319"/>
    <n v="2225"/>
    <n v="71535.307499999995"/>
    <n v="0"/>
    <n v="0"/>
    <n v="0"/>
    <n v="0"/>
    <n v="0"/>
    <n v="0"/>
  </r>
  <r>
    <x v="115"/>
    <x v="9"/>
    <x v="7"/>
    <m/>
    <m/>
    <m/>
    <m/>
    <m/>
    <n v="0"/>
    <m/>
    <m/>
    <n v="0"/>
    <s v=""/>
    <n v="0"/>
    <n v="0"/>
    <n v="0"/>
    <n v="116.88487613461319"/>
    <n v="2225"/>
    <n v="71535.307499999995"/>
    <n v="0"/>
    <n v="0"/>
    <n v="0"/>
    <n v="0"/>
    <n v="0"/>
    <n v="0"/>
  </r>
  <r>
    <x v="116"/>
    <x v="9"/>
    <x v="7"/>
    <m/>
    <m/>
    <m/>
    <m/>
    <m/>
    <n v="0"/>
    <m/>
    <m/>
    <n v="0"/>
    <s v=""/>
    <n v="0"/>
    <n v="0"/>
    <n v="0"/>
    <n v="116.88487613461319"/>
    <n v="2225"/>
    <n v="71535.307499999995"/>
    <n v="0"/>
    <n v="0"/>
    <n v="0"/>
    <n v="0"/>
    <n v="0"/>
    <n v="0"/>
  </r>
  <r>
    <x v="117"/>
    <x v="9"/>
    <x v="7"/>
    <m/>
    <m/>
    <m/>
    <m/>
    <m/>
    <n v="0"/>
    <m/>
    <m/>
    <n v="0"/>
    <s v=""/>
    <n v="0"/>
    <n v="0"/>
    <n v="0"/>
    <n v="116.88487613461319"/>
    <n v="2225"/>
    <n v="71535.307499999995"/>
    <n v="0"/>
    <n v="0"/>
    <n v="0"/>
    <n v="0"/>
    <n v="0"/>
    <n v="0"/>
  </r>
  <r>
    <x v="118"/>
    <x v="9"/>
    <x v="7"/>
    <m/>
    <m/>
    <m/>
    <m/>
    <m/>
    <n v="0"/>
    <m/>
    <m/>
    <n v="0"/>
    <s v=""/>
    <n v="0"/>
    <n v="0"/>
    <n v="0"/>
    <n v="116.88487613461319"/>
    <n v="2225"/>
    <n v="71535.307499999995"/>
    <n v="0"/>
    <n v="0"/>
    <n v="0"/>
    <n v="0"/>
    <n v="0"/>
    <n v="0"/>
  </r>
  <r>
    <x v="119"/>
    <x v="9"/>
    <x v="7"/>
    <m/>
    <m/>
    <m/>
    <m/>
    <m/>
    <n v="0"/>
    <m/>
    <m/>
    <n v="0"/>
    <s v=""/>
    <n v="0"/>
    <n v="0"/>
    <n v="0"/>
    <n v="116.88487613461319"/>
    <n v="2225"/>
    <n v="71535.307499999995"/>
    <n v="0"/>
    <n v="0"/>
    <n v="0"/>
    <n v="0"/>
    <n v="0"/>
    <n v="0"/>
  </r>
  <r>
    <x v="120"/>
    <x v="9"/>
    <x v="7"/>
    <m/>
    <m/>
    <m/>
    <m/>
    <m/>
    <n v="0"/>
    <m/>
    <m/>
    <n v="0"/>
    <s v=""/>
    <n v="0"/>
    <n v="0"/>
    <n v="0"/>
    <n v="116.88487613461319"/>
    <n v="2225"/>
    <n v="71535.307499999995"/>
    <n v="0"/>
    <n v="0"/>
    <n v="0"/>
    <n v="0"/>
    <n v="0"/>
    <n v="0"/>
  </r>
  <r>
    <x v="121"/>
    <x v="9"/>
    <x v="7"/>
    <m/>
    <m/>
    <m/>
    <m/>
    <m/>
    <n v="0"/>
    <m/>
    <m/>
    <n v="0"/>
    <s v=""/>
    <n v="0"/>
    <n v="0"/>
    <n v="0"/>
    <n v="116.88487613461319"/>
    <n v="2225"/>
    <n v="71535.307499999995"/>
    <n v="0"/>
    <n v="0"/>
    <n v="0"/>
    <n v="0"/>
    <n v="0"/>
    <n v="0"/>
  </r>
  <r>
    <x v="122"/>
    <x v="9"/>
    <x v="7"/>
    <m/>
    <m/>
    <m/>
    <m/>
    <m/>
    <n v="0"/>
    <m/>
    <m/>
    <n v="0"/>
    <s v=""/>
    <n v="0"/>
    <n v="0"/>
    <n v="0"/>
    <n v="116.88487613461319"/>
    <n v="2225"/>
    <n v="71535.307499999995"/>
    <n v="0"/>
    <n v="0"/>
    <n v="0"/>
    <n v="0"/>
    <n v="0"/>
    <n v="0"/>
  </r>
  <r>
    <x v="123"/>
    <x v="9"/>
    <x v="7"/>
    <m/>
    <m/>
    <m/>
    <m/>
    <m/>
    <n v="0"/>
    <m/>
    <m/>
    <n v="0"/>
    <s v=""/>
    <n v="0"/>
    <n v="0"/>
    <n v="0"/>
    <n v="116.88487613461319"/>
    <n v="2225"/>
    <n v="71535.307499999995"/>
    <n v="0"/>
    <n v="0"/>
    <n v="0"/>
    <n v="0"/>
    <n v="0"/>
    <n v="0"/>
  </r>
  <r>
    <x v="124"/>
    <x v="9"/>
    <x v="7"/>
    <m/>
    <m/>
    <m/>
    <m/>
    <m/>
    <n v="0"/>
    <m/>
    <m/>
    <n v="0"/>
    <s v=""/>
    <n v="0"/>
    <n v="0"/>
    <n v="0"/>
    <n v="116.88487613461319"/>
    <n v="2225"/>
    <n v="71535.307499999995"/>
    <n v="0"/>
    <n v="0"/>
    <n v="0"/>
    <n v="0"/>
    <n v="0"/>
    <n v="0"/>
  </r>
  <r>
    <x v="125"/>
    <x v="9"/>
    <x v="7"/>
    <m/>
    <m/>
    <m/>
    <m/>
    <m/>
    <n v="0"/>
    <m/>
    <m/>
    <n v="0"/>
    <s v=""/>
    <n v="0"/>
    <n v="0"/>
    <n v="0"/>
    <n v="116.88487613461319"/>
    <n v="2225"/>
    <n v="71535.307499999995"/>
    <n v="0"/>
    <n v="0"/>
    <n v="0"/>
    <n v="0"/>
    <n v="0"/>
    <n v="0"/>
  </r>
  <r>
    <x v="126"/>
    <x v="9"/>
    <x v="7"/>
    <m/>
    <m/>
    <m/>
    <m/>
    <m/>
    <n v="0"/>
    <m/>
    <m/>
    <n v="0"/>
    <s v=""/>
    <n v="0"/>
    <n v="0"/>
    <n v="0"/>
    <n v="116.88487613461319"/>
    <n v="2225"/>
    <n v="71535.307499999995"/>
    <n v="0"/>
    <n v="0"/>
    <n v="0"/>
    <n v="0"/>
    <n v="0"/>
    <n v="0"/>
  </r>
  <r>
    <x v="127"/>
    <x v="9"/>
    <x v="7"/>
    <m/>
    <m/>
    <m/>
    <m/>
    <m/>
    <n v="0"/>
    <m/>
    <m/>
    <n v="0"/>
    <s v=""/>
    <n v="0"/>
    <n v="0"/>
    <n v="0"/>
    <n v="116.88487613461319"/>
    <n v="2225"/>
    <n v="71535.307499999995"/>
    <n v="0"/>
    <n v="0"/>
    <n v="0"/>
    <n v="0"/>
    <n v="0"/>
    <n v="0"/>
  </r>
  <r>
    <x v="0"/>
    <x v="10"/>
    <x v="0"/>
    <m/>
    <m/>
    <m/>
    <m/>
    <m/>
    <n v="0"/>
    <m/>
    <m/>
    <n v="0"/>
    <s v=""/>
    <n v="0"/>
    <n v="0"/>
    <n v="0"/>
    <n v="116.88487613461319"/>
    <n v="2225"/>
    <n v="71535.307499999995"/>
    <n v="0"/>
    <n v="0"/>
    <n v="0"/>
    <n v="0"/>
    <n v="0"/>
    <n v="0"/>
  </r>
  <r>
    <x v="1"/>
    <x v="10"/>
    <x v="0"/>
    <m/>
    <m/>
    <m/>
    <m/>
    <m/>
    <n v="0"/>
    <m/>
    <m/>
    <n v="0"/>
    <s v=""/>
    <n v="0"/>
    <n v="0"/>
    <n v="0"/>
    <n v="116.88487613461319"/>
    <n v="2225"/>
    <n v="71535.307499999995"/>
    <n v="0"/>
    <n v="0"/>
    <n v="0"/>
    <n v="0"/>
    <n v="0"/>
    <n v="0"/>
  </r>
  <r>
    <x v="2"/>
    <x v="10"/>
    <x v="0"/>
    <m/>
    <m/>
    <m/>
    <m/>
    <m/>
    <n v="0"/>
    <m/>
    <m/>
    <n v="0"/>
    <s v=""/>
    <n v="0"/>
    <n v="0"/>
    <n v="0"/>
    <n v="116.88487613461319"/>
    <n v="2225"/>
    <n v="71535.307499999995"/>
    <n v="0"/>
    <n v="0"/>
    <n v="0"/>
    <n v="0"/>
    <n v="0"/>
    <n v="0"/>
  </r>
  <r>
    <x v="3"/>
    <x v="10"/>
    <x v="0"/>
    <m/>
    <m/>
    <m/>
    <m/>
    <m/>
    <n v="0"/>
    <m/>
    <m/>
    <n v="0"/>
    <s v=""/>
    <n v="0"/>
    <n v="0"/>
    <n v="0"/>
    <n v="116.88487613461319"/>
    <n v="2225"/>
    <n v="71535.307499999995"/>
    <n v="0"/>
    <n v="0"/>
    <n v="0"/>
    <n v="0"/>
    <n v="0"/>
    <n v="0"/>
  </r>
  <r>
    <x v="4"/>
    <x v="10"/>
    <x v="1"/>
    <m/>
    <m/>
    <m/>
    <m/>
    <m/>
    <n v="0"/>
    <m/>
    <m/>
    <n v="0"/>
    <s v=""/>
    <n v="0"/>
    <n v="0"/>
    <n v="0"/>
    <n v="116.88487613461319"/>
    <n v="2225"/>
    <n v="71535.307499999995"/>
    <n v="0"/>
    <n v="0"/>
    <n v="0"/>
    <n v="0"/>
    <n v="0"/>
    <n v="0"/>
  </r>
  <r>
    <x v="5"/>
    <x v="10"/>
    <x v="1"/>
    <m/>
    <m/>
    <m/>
    <n v="2100"/>
    <n v="1.8"/>
    <n v="3.78"/>
    <m/>
    <m/>
    <n v="0"/>
    <n v="-1"/>
    <n v="-2100"/>
    <n v="-3.78"/>
    <n v="0"/>
    <n v="116.88487613461319"/>
    <n v="2225"/>
    <n v="71535.307499999995"/>
    <n v="270403.46234999999"/>
    <n v="0"/>
    <n v="245458.23988268772"/>
    <n v="0"/>
    <n v="24945.222467312269"/>
    <n v="0"/>
  </r>
  <r>
    <x v="6"/>
    <x v="10"/>
    <x v="1"/>
    <m/>
    <m/>
    <m/>
    <m/>
    <m/>
    <n v="0"/>
    <m/>
    <m/>
    <n v="0"/>
    <s v=""/>
    <n v="0"/>
    <n v="0"/>
    <n v="0"/>
    <n v="116.88487613461319"/>
    <n v="2225"/>
    <n v="71535.307499999995"/>
    <n v="0"/>
    <n v="0"/>
    <n v="0"/>
    <n v="0"/>
    <n v="0"/>
    <n v="0"/>
  </r>
  <r>
    <x v="7"/>
    <x v="10"/>
    <x v="2"/>
    <m/>
    <m/>
    <m/>
    <m/>
    <m/>
    <n v="0"/>
    <n v="259"/>
    <n v="1.7470859077380949"/>
    <n v="0.45249525010416658"/>
    <s v=""/>
    <n v="259"/>
    <n v="0.45249525010416658"/>
    <n v="2096.2039396261425"/>
    <n v="116.88487613461319"/>
    <n v="2225"/>
    <n v="71535.307499999995"/>
    <n v="0"/>
    <n v="32369.386858490961"/>
    <n v="0"/>
    <n v="30273.182918864819"/>
    <n v="0"/>
    <n v="2096.2039396261425"/>
  </r>
  <r>
    <x v="8"/>
    <x v="10"/>
    <x v="2"/>
    <m/>
    <m/>
    <m/>
    <n v="4200"/>
    <n v="1.86"/>
    <n v="7.8120000000000003"/>
    <n v="2757"/>
    <n v="2.0504720833333332"/>
    <n v="5.6531515337499991"/>
    <n v="-0.27635029009856643"/>
    <n v="-1443"/>
    <n v="-2.1588484662500012"/>
    <n v="82148.329807774222"/>
    <n v="116.88487613461319"/>
    <n v="2225"/>
    <n v="71535.307499999995"/>
    <n v="558833.82218999998"/>
    <n v="404399.93331090279"/>
    <n v="490916.47976537544"/>
    <n v="322251.60350312857"/>
    <n v="67917.342424624541"/>
    <n v="82148.329807774222"/>
  </r>
  <r>
    <x v="9"/>
    <x v="10"/>
    <x v="2"/>
    <m/>
    <m/>
    <m/>
    <n v="2100"/>
    <n v="1.59"/>
    <n v="3.339"/>
    <n v="1546.7"/>
    <n v="1.0024969040515581"/>
    <n v="1.5505619614965449"/>
    <n v="-0.53562085609567389"/>
    <n v="-553.29999999999995"/>
    <n v="-1.7884380385034551"/>
    <n v="-69865.911203947733"/>
    <n v="116.88487613461319"/>
    <n v="2225"/>
    <n v="71535.307499999995"/>
    <n v="238856.39174249998"/>
    <n v="110919.9267134585"/>
    <n v="245458.23988268772"/>
    <n v="180785.83791740623"/>
    <n v="-6601.8481401877361"/>
    <n v="-69865.911203947733"/>
  </r>
  <r>
    <x v="10"/>
    <x v="10"/>
    <x v="2"/>
    <m/>
    <m/>
    <m/>
    <m/>
    <m/>
    <n v="0"/>
    <m/>
    <m/>
    <n v="0"/>
    <s v=""/>
    <n v="0"/>
    <n v="0"/>
    <n v="0"/>
    <n v="116.88487613461319"/>
    <n v="2225"/>
    <n v="71535.307499999995"/>
    <n v="0"/>
    <n v="0"/>
    <n v="0"/>
    <n v="0"/>
    <n v="0"/>
    <n v="0"/>
  </r>
  <r>
    <x v="11"/>
    <x v="10"/>
    <x v="2"/>
    <m/>
    <m/>
    <m/>
    <m/>
    <m/>
    <n v="0"/>
    <m/>
    <m/>
    <n v="0"/>
    <s v=""/>
    <n v="0"/>
    <n v="0"/>
    <n v="0"/>
    <n v="116.88487613461319"/>
    <n v="2225"/>
    <n v="71535.307499999995"/>
    <n v="0"/>
    <n v="0"/>
    <n v="0"/>
    <n v="0"/>
    <n v="0"/>
    <n v="0"/>
  </r>
  <r>
    <x v="12"/>
    <x v="10"/>
    <x v="2"/>
    <m/>
    <m/>
    <m/>
    <m/>
    <m/>
    <n v="0"/>
    <m/>
    <m/>
    <n v="0"/>
    <s v=""/>
    <n v="0"/>
    <n v="0"/>
    <n v="0"/>
    <n v="116.88487613461319"/>
    <n v="2225"/>
    <n v="71535.307499999995"/>
    <n v="0"/>
    <n v="0"/>
    <n v="0"/>
    <n v="0"/>
    <n v="0"/>
    <n v="0"/>
  </r>
  <r>
    <x v="13"/>
    <x v="10"/>
    <x v="2"/>
    <m/>
    <m/>
    <m/>
    <m/>
    <m/>
    <n v="0"/>
    <m/>
    <m/>
    <n v="0"/>
    <s v=""/>
    <n v="0"/>
    <n v="0"/>
    <n v="0"/>
    <n v="116.88487613461319"/>
    <n v="2225"/>
    <n v="71535.307499999995"/>
    <n v="0"/>
    <n v="0"/>
    <n v="0"/>
    <n v="0"/>
    <n v="0"/>
    <n v="0"/>
  </r>
  <r>
    <x v="14"/>
    <x v="10"/>
    <x v="2"/>
    <m/>
    <m/>
    <m/>
    <m/>
    <m/>
    <n v="0"/>
    <m/>
    <m/>
    <n v="0"/>
    <s v=""/>
    <n v="0"/>
    <n v="0"/>
    <n v="0"/>
    <n v="116.88487613461319"/>
    <n v="2225"/>
    <n v="71535.307499999995"/>
    <n v="0"/>
    <n v="0"/>
    <n v="0"/>
    <n v="0"/>
    <n v="0"/>
    <n v="0"/>
  </r>
  <r>
    <x v="15"/>
    <x v="10"/>
    <x v="2"/>
    <m/>
    <m/>
    <m/>
    <m/>
    <m/>
    <n v="0"/>
    <m/>
    <m/>
    <n v="0"/>
    <s v=""/>
    <n v="0"/>
    <n v="0"/>
    <n v="0"/>
    <n v="116.88487613461319"/>
    <n v="2225"/>
    <n v="71535.307499999995"/>
    <n v="0"/>
    <n v="0"/>
    <n v="0"/>
    <n v="0"/>
    <n v="0"/>
    <n v="0"/>
  </r>
  <r>
    <x v="16"/>
    <x v="10"/>
    <x v="2"/>
    <m/>
    <m/>
    <m/>
    <m/>
    <m/>
    <n v="0"/>
    <m/>
    <m/>
    <n v="0"/>
    <s v=""/>
    <n v="0"/>
    <n v="0"/>
    <n v="0"/>
    <n v="116.88487613461319"/>
    <n v="2225"/>
    <n v="71535.307499999995"/>
    <n v="0"/>
    <n v="0"/>
    <n v="0"/>
    <n v="0"/>
    <n v="0"/>
    <n v="0"/>
  </r>
  <r>
    <x v="17"/>
    <x v="10"/>
    <x v="3"/>
    <m/>
    <m/>
    <m/>
    <m/>
    <m/>
    <n v="0"/>
    <m/>
    <m/>
    <n v="0"/>
    <s v=""/>
    <n v="0"/>
    <n v="0"/>
    <n v="0"/>
    <n v="116.88487613461319"/>
    <n v="2225"/>
    <n v="71535.307499999995"/>
    <n v="0"/>
    <n v="0"/>
    <n v="0"/>
    <n v="0"/>
    <n v="0"/>
    <n v="0"/>
  </r>
  <r>
    <x v="18"/>
    <x v="10"/>
    <x v="3"/>
    <m/>
    <m/>
    <m/>
    <m/>
    <m/>
    <n v="0"/>
    <m/>
    <m/>
    <n v="0"/>
    <s v=""/>
    <n v="0"/>
    <n v="0"/>
    <n v="0"/>
    <n v="116.88487613461319"/>
    <n v="2225"/>
    <n v="71535.307499999995"/>
    <n v="0"/>
    <n v="0"/>
    <n v="0"/>
    <n v="0"/>
    <n v="0"/>
    <n v="0"/>
  </r>
  <r>
    <x v="19"/>
    <x v="10"/>
    <x v="3"/>
    <m/>
    <m/>
    <m/>
    <m/>
    <m/>
    <n v="0"/>
    <m/>
    <m/>
    <n v="0"/>
    <s v=""/>
    <n v="0"/>
    <n v="0"/>
    <n v="0"/>
    <n v="116.88487613461319"/>
    <n v="2225"/>
    <n v="71535.307499999995"/>
    <n v="0"/>
    <n v="0"/>
    <n v="0"/>
    <n v="0"/>
    <n v="0"/>
    <n v="0"/>
  </r>
  <r>
    <x v="20"/>
    <x v="10"/>
    <x v="3"/>
    <m/>
    <m/>
    <m/>
    <m/>
    <m/>
    <n v="0"/>
    <m/>
    <m/>
    <n v="0"/>
    <s v=""/>
    <n v="0"/>
    <n v="0"/>
    <n v="0"/>
    <n v="116.88487613461319"/>
    <n v="2225"/>
    <n v="71535.307499999995"/>
    <n v="0"/>
    <n v="0"/>
    <n v="0"/>
    <n v="0"/>
    <n v="0"/>
    <n v="0"/>
  </r>
  <r>
    <x v="21"/>
    <x v="10"/>
    <x v="3"/>
    <m/>
    <m/>
    <m/>
    <m/>
    <m/>
    <n v="0"/>
    <m/>
    <m/>
    <n v="0"/>
    <s v=""/>
    <n v="0"/>
    <n v="0"/>
    <n v="0"/>
    <n v="116.88487613461319"/>
    <n v="2225"/>
    <n v="71535.307499999995"/>
    <n v="0"/>
    <n v="0"/>
    <n v="0"/>
    <n v="0"/>
    <n v="0"/>
    <n v="0"/>
  </r>
  <r>
    <x v="22"/>
    <x v="10"/>
    <x v="3"/>
    <m/>
    <m/>
    <m/>
    <m/>
    <m/>
    <n v="0"/>
    <m/>
    <m/>
    <n v="0"/>
    <s v=""/>
    <n v="0"/>
    <n v="0"/>
    <n v="0"/>
    <n v="116.88487613461319"/>
    <n v="2225"/>
    <n v="71535.307499999995"/>
    <n v="0"/>
    <n v="0"/>
    <n v="0"/>
    <n v="0"/>
    <n v="0"/>
    <n v="0"/>
  </r>
  <r>
    <x v="23"/>
    <x v="10"/>
    <x v="3"/>
    <m/>
    <m/>
    <m/>
    <m/>
    <m/>
    <n v="0"/>
    <m/>
    <m/>
    <n v="0"/>
    <s v=""/>
    <n v="0"/>
    <n v="0"/>
    <n v="0"/>
    <n v="116.88487613461319"/>
    <n v="2225"/>
    <n v="71535.307499999995"/>
    <n v="0"/>
    <n v="0"/>
    <n v="0"/>
    <n v="0"/>
    <n v="0"/>
    <n v="0"/>
  </r>
  <r>
    <x v="24"/>
    <x v="10"/>
    <x v="3"/>
    <m/>
    <m/>
    <m/>
    <m/>
    <m/>
    <n v="0"/>
    <n v="597"/>
    <n v="1.4855461011904763"/>
    <n v="0.88687102241071436"/>
    <s v=""/>
    <n v="597"/>
    <n v="0.88687102241071436"/>
    <n v="-6337.6797513742349"/>
    <n v="116.88487613461319"/>
    <n v="2225"/>
    <n v="71535.307499999995"/>
    <n v="0"/>
    <n v="63442.591300989836"/>
    <n v="0"/>
    <n v="69780.271052364071"/>
    <n v="0"/>
    <n v="-6337.6797513742349"/>
  </r>
  <r>
    <x v="25"/>
    <x v="10"/>
    <x v="3"/>
    <m/>
    <m/>
    <m/>
    <m/>
    <m/>
    <n v="0"/>
    <m/>
    <m/>
    <n v="0"/>
    <s v=""/>
    <n v="0"/>
    <n v="0"/>
    <n v="0"/>
    <n v="116.88487613461319"/>
    <n v="2225"/>
    <n v="71535.307499999995"/>
    <n v="0"/>
    <n v="0"/>
    <n v="0"/>
    <n v="0"/>
    <n v="0"/>
    <n v="0"/>
  </r>
  <r>
    <x v="26"/>
    <x v="10"/>
    <x v="3"/>
    <m/>
    <m/>
    <m/>
    <m/>
    <m/>
    <n v="0"/>
    <m/>
    <m/>
    <n v="0"/>
    <s v=""/>
    <n v="0"/>
    <n v="0"/>
    <n v="0"/>
    <n v="116.88487613461319"/>
    <n v="2225"/>
    <n v="71535.307499999995"/>
    <n v="0"/>
    <n v="0"/>
    <n v="0"/>
    <n v="0"/>
    <n v="0"/>
    <n v="0"/>
  </r>
  <r>
    <x v="27"/>
    <x v="10"/>
    <x v="3"/>
    <m/>
    <m/>
    <m/>
    <m/>
    <m/>
    <n v="0"/>
    <m/>
    <m/>
    <n v="0"/>
    <s v=""/>
    <n v="0"/>
    <n v="0"/>
    <n v="0"/>
    <n v="116.88487613461319"/>
    <n v="2225"/>
    <n v="71535.307499999995"/>
    <n v="0"/>
    <n v="0"/>
    <n v="0"/>
    <n v="0"/>
    <n v="0"/>
    <n v="0"/>
  </r>
  <r>
    <x v="28"/>
    <x v="10"/>
    <x v="3"/>
    <m/>
    <m/>
    <m/>
    <m/>
    <m/>
    <n v="0"/>
    <m/>
    <m/>
    <n v="0"/>
    <s v=""/>
    <n v="0"/>
    <n v="0"/>
    <n v="0"/>
    <n v="116.88487613461319"/>
    <n v="2225"/>
    <n v="71535.307499999995"/>
    <n v="0"/>
    <n v="0"/>
    <n v="0"/>
    <n v="0"/>
    <n v="0"/>
    <n v="0"/>
  </r>
  <r>
    <x v="29"/>
    <x v="10"/>
    <x v="3"/>
    <m/>
    <m/>
    <m/>
    <m/>
    <m/>
    <n v="0"/>
    <m/>
    <m/>
    <n v="0"/>
    <s v=""/>
    <n v="0"/>
    <n v="0"/>
    <n v="0"/>
    <n v="116.88487613461319"/>
    <n v="2225"/>
    <n v="71535.307499999995"/>
    <n v="0"/>
    <n v="0"/>
    <n v="0"/>
    <n v="0"/>
    <n v="0"/>
    <n v="0"/>
  </r>
  <r>
    <x v="30"/>
    <x v="10"/>
    <x v="3"/>
    <m/>
    <m/>
    <m/>
    <m/>
    <m/>
    <n v="0"/>
    <m/>
    <m/>
    <n v="0"/>
    <s v=""/>
    <n v="0"/>
    <n v="0"/>
    <n v="0"/>
    <n v="116.88487613461319"/>
    <n v="2225"/>
    <n v="71535.307499999995"/>
    <n v="0"/>
    <n v="0"/>
    <n v="0"/>
    <n v="0"/>
    <n v="0"/>
    <n v="0"/>
  </r>
  <r>
    <x v="31"/>
    <x v="10"/>
    <x v="3"/>
    <m/>
    <m/>
    <m/>
    <n v="2100"/>
    <n v="1.4"/>
    <n v="2.94"/>
    <n v="1715"/>
    <n v="1.8307786458333333"/>
    <n v="3.1397853776041664"/>
    <n v="6.7954210069444382E-2"/>
    <n v="-385"/>
    <n v="0.19978537760416648"/>
    <n v="24147.949900056003"/>
    <n v="116.88487613461319"/>
    <n v="2225"/>
    <n v="71535.307499999995"/>
    <n v="210313.80404999998"/>
    <n v="224605.51247091763"/>
    <n v="245458.23988268772"/>
    <n v="200457.56257086163"/>
    <n v="-35144.435832687741"/>
    <n v="24147.949900056003"/>
  </r>
  <r>
    <x v="32"/>
    <x v="10"/>
    <x v="3"/>
    <m/>
    <m/>
    <m/>
    <m/>
    <m/>
    <n v="0"/>
    <m/>
    <m/>
    <n v="0"/>
    <s v=""/>
    <n v="0"/>
    <n v="0"/>
    <n v="0"/>
    <n v="116.88487613461319"/>
    <n v="2225"/>
    <n v="71535.307499999995"/>
    <n v="0"/>
    <n v="0"/>
    <n v="0"/>
    <n v="0"/>
    <n v="0"/>
    <n v="0"/>
  </r>
  <r>
    <x v="33"/>
    <x v="10"/>
    <x v="3"/>
    <m/>
    <m/>
    <m/>
    <m/>
    <m/>
    <n v="0"/>
    <m/>
    <m/>
    <n v="0"/>
    <s v=""/>
    <n v="0"/>
    <n v="0"/>
    <n v="0"/>
    <n v="116.88487613461319"/>
    <n v="2225"/>
    <n v="71535.307499999995"/>
    <n v="0"/>
    <n v="0"/>
    <n v="0"/>
    <n v="0"/>
    <n v="0"/>
    <n v="0"/>
  </r>
  <r>
    <x v="34"/>
    <x v="10"/>
    <x v="3"/>
    <m/>
    <m/>
    <m/>
    <m/>
    <m/>
    <n v="0"/>
    <m/>
    <m/>
    <n v="0"/>
    <s v=""/>
    <n v="0"/>
    <n v="0"/>
    <n v="0"/>
    <n v="116.88487613461319"/>
    <n v="2225"/>
    <n v="71535.307499999995"/>
    <n v="0"/>
    <n v="0"/>
    <n v="0"/>
    <n v="0"/>
    <n v="0"/>
    <n v="0"/>
  </r>
  <r>
    <x v="35"/>
    <x v="10"/>
    <x v="3"/>
    <m/>
    <m/>
    <m/>
    <m/>
    <m/>
    <n v="0"/>
    <m/>
    <m/>
    <n v="0"/>
    <s v=""/>
    <n v="0"/>
    <n v="0"/>
    <n v="0"/>
    <n v="116.88487613461319"/>
    <n v="2225"/>
    <n v="71535.307499999995"/>
    <n v="0"/>
    <n v="0"/>
    <n v="0"/>
    <n v="0"/>
    <n v="0"/>
    <n v="0"/>
  </r>
  <r>
    <x v="36"/>
    <x v="10"/>
    <x v="3"/>
    <m/>
    <m/>
    <m/>
    <m/>
    <m/>
    <n v="0"/>
    <n v="895"/>
    <n v="2.0400104910714285"/>
    <n v="1.8258093895089285"/>
    <s v=""/>
    <n v="895"/>
    <n v="1.8258093895089285"/>
    <n v="25997.871974429654"/>
    <n v="116.88487613461319"/>
    <n v="2225"/>
    <n v="71535.307499999995"/>
    <n v="0"/>
    <n v="130609.83611490847"/>
    <n v="0"/>
    <n v="104611.96414047881"/>
    <n v="0"/>
    <n v="25997.871974429654"/>
  </r>
  <r>
    <x v="37"/>
    <x v="10"/>
    <x v="3"/>
    <m/>
    <m/>
    <m/>
    <n v="2100"/>
    <n v="1.4"/>
    <n v="2.94"/>
    <n v="4371"/>
    <n v="1.8307786458333333"/>
    <n v="8.0023334609374999"/>
    <n v="1.7218821295705784"/>
    <n v="2271"/>
    <n v="5.0623334609375004"/>
    <n v="61545.591261308989"/>
    <n v="116.88487613461319"/>
    <n v="2225"/>
    <n v="71535.307499999995"/>
    <n v="210313.80404999998"/>
    <n v="572449.38484570326"/>
    <n v="245458.23988268772"/>
    <n v="510903.79358439427"/>
    <n v="-35144.435832687741"/>
    <n v="61545.591261308989"/>
  </r>
  <r>
    <x v="38"/>
    <x v="10"/>
    <x v="3"/>
    <m/>
    <m/>
    <m/>
    <m/>
    <m/>
    <n v="0"/>
    <m/>
    <m/>
    <n v="0"/>
    <s v=""/>
    <n v="0"/>
    <n v="0"/>
    <n v="0"/>
    <n v="116.88487613461319"/>
    <n v="2225"/>
    <n v="71535.307499999995"/>
    <n v="0"/>
    <n v="0"/>
    <n v="0"/>
    <n v="0"/>
    <n v="0"/>
    <n v="0"/>
  </r>
  <r>
    <x v="39"/>
    <x v="10"/>
    <x v="3"/>
    <m/>
    <m/>
    <m/>
    <m/>
    <m/>
    <n v="0"/>
    <m/>
    <m/>
    <n v="0"/>
    <s v=""/>
    <n v="0"/>
    <n v="0"/>
    <n v="0"/>
    <n v="116.88487613461319"/>
    <n v="2225"/>
    <n v="71535.307499999995"/>
    <n v="0"/>
    <n v="0"/>
    <n v="0"/>
    <n v="0"/>
    <n v="0"/>
    <n v="0"/>
  </r>
  <r>
    <x v="40"/>
    <x v="10"/>
    <x v="3"/>
    <m/>
    <m/>
    <m/>
    <n v="1050"/>
    <n v="2.48"/>
    <n v="2.6040000000000001"/>
    <n v="295"/>
    <n v="1.6006236160714287"/>
    <n v="0.47218396674107144"/>
    <n v="-0.81866975163553324"/>
    <n v="-755"/>
    <n v="-2.1318160332589287"/>
    <n v="-703.2132023185768"/>
    <n v="116.88487613461319"/>
    <n v="2225"/>
    <n v="71535.307499999995"/>
    <n v="186277.94073"/>
    <n v="33777.825257392316"/>
    <n v="122729.11994134386"/>
    <n v="34481.038459710893"/>
    <n v="63548.820788656143"/>
    <n v="-703.2132023185768"/>
  </r>
  <r>
    <x v="41"/>
    <x v="10"/>
    <x v="3"/>
    <m/>
    <m/>
    <m/>
    <m/>
    <m/>
    <n v="0"/>
    <m/>
    <m/>
    <n v="0"/>
    <s v=""/>
    <n v="0"/>
    <n v="0"/>
    <n v="0"/>
    <n v="116.88487613461319"/>
    <n v="2225"/>
    <n v="71535.307499999995"/>
    <n v="0"/>
    <n v="0"/>
    <n v="0"/>
    <n v="0"/>
    <n v="0"/>
    <n v="0"/>
  </r>
  <r>
    <x v="42"/>
    <x v="10"/>
    <x v="3"/>
    <m/>
    <m/>
    <m/>
    <m/>
    <m/>
    <n v="0"/>
    <m/>
    <m/>
    <n v="0"/>
    <s v=""/>
    <n v="0"/>
    <n v="0"/>
    <n v="0"/>
    <n v="116.88487613461319"/>
    <n v="2225"/>
    <n v="71535.307499999995"/>
    <n v="0"/>
    <n v="0"/>
    <n v="0"/>
    <n v="0"/>
    <n v="0"/>
    <n v="0"/>
  </r>
  <r>
    <x v="43"/>
    <x v="10"/>
    <x v="3"/>
    <m/>
    <m/>
    <m/>
    <m/>
    <m/>
    <n v="0"/>
    <n v="581"/>
    <n v="1.5587772470238095"/>
    <n v="0.90564958052083333"/>
    <s v=""/>
    <n v="581"/>
    <n v="0.90564958052083333"/>
    <n v="-3124.1918044064514"/>
    <n v="116.88487613461319"/>
    <n v="2225"/>
    <n v="71535.307499999995"/>
    <n v="0"/>
    <n v="64785.921229803818"/>
    <n v="0"/>
    <n v="67910.11303421027"/>
    <n v="0"/>
    <n v="-3124.1918044064514"/>
  </r>
  <r>
    <x v="44"/>
    <x v="10"/>
    <x v="3"/>
    <m/>
    <m/>
    <m/>
    <m/>
    <m/>
    <n v="0"/>
    <m/>
    <m/>
    <n v="0"/>
    <s v=""/>
    <n v="0"/>
    <n v="0"/>
    <n v="0"/>
    <n v="116.88487613461319"/>
    <n v="2225"/>
    <n v="71535.307499999995"/>
    <n v="0"/>
    <n v="0"/>
    <n v="0"/>
    <n v="0"/>
    <n v="0"/>
    <n v="0"/>
  </r>
  <r>
    <x v="45"/>
    <x v="10"/>
    <x v="3"/>
    <m/>
    <m/>
    <m/>
    <n v="4200"/>
    <n v="3.17"/>
    <n v="13.314"/>
    <n v="4385"/>
    <n v="2.6677060267857144"/>
    <n v="11.697890927455358"/>
    <n v="-0.12138418751274163"/>
    <n v="185"/>
    <n v="-1.6161090725446421"/>
    <n v="324272.04274670035"/>
    <n v="116.88487613461319"/>
    <n v="2225"/>
    <n v="71535.307499999995"/>
    <n v="952421.08405499998"/>
    <n v="836812.22459697921"/>
    <n v="490916.47976537544"/>
    <n v="512540.18185027887"/>
    <n v="461504.60428962455"/>
    <n v="324272.04274670035"/>
  </r>
  <r>
    <x v="46"/>
    <x v="10"/>
    <x v="3"/>
    <m/>
    <m/>
    <m/>
    <m/>
    <m/>
    <m/>
    <m/>
    <m/>
    <m/>
    <m/>
    <m/>
    <m/>
    <m/>
    <m/>
    <m/>
    <m/>
    <m/>
    <m/>
    <m/>
    <m/>
    <m/>
    <m/>
  </r>
  <r>
    <x v="47"/>
    <x v="10"/>
    <x v="3"/>
    <m/>
    <m/>
    <m/>
    <m/>
    <m/>
    <m/>
    <m/>
    <m/>
    <m/>
    <m/>
    <m/>
    <m/>
    <m/>
    <m/>
    <m/>
    <m/>
    <m/>
    <m/>
    <m/>
    <m/>
    <m/>
    <m/>
  </r>
  <r>
    <x v="48"/>
    <x v="10"/>
    <x v="3"/>
    <m/>
    <m/>
    <m/>
    <m/>
    <m/>
    <m/>
    <m/>
    <m/>
    <m/>
    <m/>
    <m/>
    <m/>
    <m/>
    <m/>
    <m/>
    <m/>
    <m/>
    <m/>
    <m/>
    <m/>
    <m/>
    <m/>
  </r>
  <r>
    <x v="49"/>
    <x v="10"/>
    <x v="3"/>
    <m/>
    <m/>
    <m/>
    <m/>
    <m/>
    <n v="0"/>
    <m/>
    <m/>
    <n v="0"/>
    <s v=""/>
    <n v="0"/>
    <n v="0"/>
    <n v="0"/>
    <n v="116.88487613461319"/>
    <n v="2225"/>
    <n v="71535.307499999995"/>
    <n v="0"/>
    <n v="0"/>
    <n v="0"/>
    <n v="0"/>
    <n v="0"/>
    <n v="0"/>
  </r>
  <r>
    <x v="50"/>
    <x v="10"/>
    <x v="4"/>
    <m/>
    <m/>
    <m/>
    <m/>
    <m/>
    <n v="0"/>
    <m/>
    <m/>
    <n v="0"/>
    <s v=""/>
    <n v="0"/>
    <n v="0"/>
    <n v="0"/>
    <n v="116.88487613461319"/>
    <n v="2225"/>
    <n v="71535.307499999995"/>
    <n v="0"/>
    <n v="0"/>
    <n v="0"/>
    <n v="0"/>
    <n v="0"/>
    <n v="0"/>
  </r>
  <r>
    <x v="51"/>
    <x v="10"/>
    <x v="4"/>
    <m/>
    <m/>
    <m/>
    <m/>
    <m/>
    <n v="0"/>
    <m/>
    <m/>
    <n v="0"/>
    <s v=""/>
    <n v="0"/>
    <n v="0"/>
    <n v="0"/>
    <n v="116.88487613461319"/>
    <n v="2225"/>
    <n v="71535.307499999995"/>
    <n v="0"/>
    <n v="0"/>
    <n v="0"/>
    <n v="0"/>
    <n v="0"/>
    <n v="0"/>
  </r>
  <r>
    <x v="52"/>
    <x v="10"/>
    <x v="4"/>
    <m/>
    <m/>
    <m/>
    <n v="2100"/>
    <n v="2.17"/>
    <n v="4.5570000000000004"/>
    <n v="1490"/>
    <n v="1.9667793452380951"/>
    <n v="2.9305012244047615"/>
    <n v="-0.3569231458405176"/>
    <n v="-610"/>
    <n v="-1.6264987755952389"/>
    <n v="35475.840776347439"/>
    <n v="116.88487613461319"/>
    <n v="2225"/>
    <n v="71535.307499999995"/>
    <n v="325986.39627750003"/>
    <n v="209634.3062169211"/>
    <n v="245458.23988268772"/>
    <n v="174158.46544057367"/>
    <n v="80528.156394812308"/>
    <n v="35475.840776347439"/>
  </r>
  <r>
    <x v="53"/>
    <x v="10"/>
    <x v="4"/>
    <m/>
    <m/>
    <m/>
    <m/>
    <m/>
    <n v="0"/>
    <m/>
    <m/>
    <n v="0"/>
    <s v=""/>
    <n v="0"/>
    <n v="0"/>
    <n v="0"/>
    <n v="116.88487613461319"/>
    <n v="2225"/>
    <n v="71535.307499999995"/>
    <n v="0"/>
    <n v="0"/>
    <n v="0"/>
    <n v="0"/>
    <n v="0"/>
    <n v="0"/>
  </r>
  <r>
    <x v="54"/>
    <x v="10"/>
    <x v="4"/>
    <m/>
    <m/>
    <m/>
    <m/>
    <m/>
    <n v="0"/>
    <m/>
    <m/>
    <n v="0"/>
    <s v=""/>
    <n v="0"/>
    <n v="0"/>
    <n v="0"/>
    <n v="116.88487613461319"/>
    <n v="2225"/>
    <n v="71535.307499999995"/>
    <n v="0"/>
    <n v="0"/>
    <n v="0"/>
    <n v="0"/>
    <n v="0"/>
    <n v="0"/>
  </r>
  <r>
    <x v="55"/>
    <x v="10"/>
    <x v="4"/>
    <m/>
    <m/>
    <m/>
    <m/>
    <m/>
    <n v="0"/>
    <m/>
    <m/>
    <n v="0"/>
    <s v=""/>
    <n v="0"/>
    <n v="0"/>
    <n v="0"/>
    <n v="116.88487613461319"/>
    <n v="2225"/>
    <n v="71535.307499999995"/>
    <n v="0"/>
    <n v="0"/>
    <n v="0"/>
    <n v="0"/>
    <n v="0"/>
    <n v="0"/>
  </r>
  <r>
    <x v="56"/>
    <x v="10"/>
    <x v="4"/>
    <m/>
    <m/>
    <m/>
    <m/>
    <m/>
    <n v="0"/>
    <m/>
    <m/>
    <n v="0"/>
    <s v=""/>
    <n v="0"/>
    <n v="0"/>
    <n v="0"/>
    <n v="116.88487613461319"/>
    <n v="2225"/>
    <n v="71535.307499999995"/>
    <n v="0"/>
    <n v="0"/>
    <n v="0"/>
    <n v="0"/>
    <n v="0"/>
    <n v="0"/>
  </r>
  <r>
    <x v="57"/>
    <x v="10"/>
    <x v="4"/>
    <m/>
    <m/>
    <m/>
    <m/>
    <m/>
    <n v="0"/>
    <m/>
    <m/>
    <n v="0"/>
    <s v=""/>
    <n v="0"/>
    <n v="0"/>
    <n v="0"/>
    <n v="116.88487613461319"/>
    <n v="2225"/>
    <n v="71535.307499999995"/>
    <n v="0"/>
    <n v="0"/>
    <n v="0"/>
    <n v="0"/>
    <n v="0"/>
    <n v="0"/>
  </r>
  <r>
    <x v="58"/>
    <x v="10"/>
    <x v="4"/>
    <m/>
    <m/>
    <m/>
    <m/>
    <m/>
    <n v="0"/>
    <m/>
    <m/>
    <n v="0"/>
    <s v=""/>
    <n v="0"/>
    <n v="0"/>
    <n v="0"/>
    <n v="116.88487613461319"/>
    <n v="2225"/>
    <n v="71535.307499999995"/>
    <n v="0"/>
    <n v="0"/>
    <n v="0"/>
    <n v="0"/>
    <n v="0"/>
    <n v="0"/>
  </r>
  <r>
    <x v="59"/>
    <x v="10"/>
    <x v="4"/>
    <m/>
    <m/>
    <m/>
    <m/>
    <m/>
    <n v="0"/>
    <m/>
    <m/>
    <n v="0"/>
    <s v=""/>
    <n v="0"/>
    <n v="0"/>
    <n v="0"/>
    <n v="116.88487613461319"/>
    <n v="2225"/>
    <n v="71535.307499999995"/>
    <n v="0"/>
    <n v="0"/>
    <n v="0"/>
    <n v="0"/>
    <n v="0"/>
    <n v="0"/>
  </r>
  <r>
    <x v="60"/>
    <x v="10"/>
    <x v="4"/>
    <m/>
    <m/>
    <m/>
    <m/>
    <m/>
    <n v="0"/>
    <m/>
    <m/>
    <n v="0"/>
    <s v=""/>
    <n v="0"/>
    <n v="0"/>
    <n v="0"/>
    <n v="116.88487613461319"/>
    <n v="2225"/>
    <n v="71535.307499999995"/>
    <n v="0"/>
    <n v="0"/>
    <n v="0"/>
    <n v="0"/>
    <n v="0"/>
    <n v="0"/>
  </r>
  <r>
    <x v="61"/>
    <x v="10"/>
    <x v="4"/>
    <m/>
    <m/>
    <m/>
    <m/>
    <m/>
    <n v="0"/>
    <m/>
    <m/>
    <n v="0"/>
    <s v=""/>
    <n v="0"/>
    <n v="0"/>
    <n v="0"/>
    <n v="116.88487613461319"/>
    <n v="2225"/>
    <n v="71535.307499999995"/>
    <n v="0"/>
    <n v="0"/>
    <n v="0"/>
    <n v="0"/>
    <n v="0"/>
    <n v="0"/>
  </r>
  <r>
    <x v="62"/>
    <x v="10"/>
    <x v="4"/>
    <m/>
    <m/>
    <m/>
    <m/>
    <m/>
    <n v="0"/>
    <m/>
    <m/>
    <n v="0"/>
    <s v=""/>
    <n v="0"/>
    <n v="0"/>
    <n v="0"/>
    <n v="116.88487613461319"/>
    <n v="2225"/>
    <n v="71535.307499999995"/>
    <n v="0"/>
    <n v="0"/>
    <n v="0"/>
    <n v="0"/>
    <n v="0"/>
    <n v="0"/>
  </r>
  <r>
    <x v="63"/>
    <x v="10"/>
    <x v="4"/>
    <m/>
    <m/>
    <m/>
    <m/>
    <m/>
    <n v="0"/>
    <m/>
    <m/>
    <n v="0"/>
    <s v=""/>
    <n v="0"/>
    <n v="0"/>
    <n v="0"/>
    <n v="116.88487613461319"/>
    <n v="2225"/>
    <n v="71535.307499999995"/>
    <n v="0"/>
    <n v="0"/>
    <n v="0"/>
    <n v="0"/>
    <n v="0"/>
    <n v="0"/>
  </r>
  <r>
    <x v="64"/>
    <x v="10"/>
    <x v="4"/>
    <m/>
    <m/>
    <m/>
    <m/>
    <m/>
    <n v="0"/>
    <m/>
    <m/>
    <n v="0"/>
    <s v=""/>
    <n v="0"/>
    <n v="0"/>
    <n v="0"/>
    <n v="116.88487613461319"/>
    <n v="2225"/>
    <n v="71535.307499999995"/>
    <n v="0"/>
    <n v="0"/>
    <n v="0"/>
    <n v="0"/>
    <n v="0"/>
    <n v="0"/>
  </r>
  <r>
    <x v="65"/>
    <x v="10"/>
    <x v="4"/>
    <m/>
    <m/>
    <m/>
    <m/>
    <m/>
    <n v="0"/>
    <m/>
    <m/>
    <n v="0"/>
    <s v=""/>
    <n v="0"/>
    <n v="0"/>
    <n v="0"/>
    <n v="116.88487613461319"/>
    <n v="2225"/>
    <n v="71535.307499999995"/>
    <n v="0"/>
    <n v="0"/>
    <n v="0"/>
    <n v="0"/>
    <n v="0"/>
    <n v="0"/>
  </r>
  <r>
    <x v="66"/>
    <x v="10"/>
    <x v="4"/>
    <m/>
    <m/>
    <m/>
    <m/>
    <m/>
    <n v="0"/>
    <m/>
    <m/>
    <n v="0"/>
    <s v=""/>
    <n v="0"/>
    <n v="0"/>
    <n v="0"/>
    <n v="116.88487613461319"/>
    <n v="2225"/>
    <n v="71535.307499999995"/>
    <n v="0"/>
    <n v="0"/>
    <n v="0"/>
    <n v="0"/>
    <n v="0"/>
    <n v="0"/>
  </r>
  <r>
    <x v="67"/>
    <x v="10"/>
    <x v="4"/>
    <m/>
    <m/>
    <m/>
    <m/>
    <m/>
    <n v="0"/>
    <m/>
    <m/>
    <n v="0"/>
    <s v=""/>
    <n v="0"/>
    <n v="0"/>
    <n v="0"/>
    <n v="116.88487613461319"/>
    <n v="2225"/>
    <n v="71535.307499999995"/>
    <n v="0"/>
    <n v="0"/>
    <n v="0"/>
    <n v="0"/>
    <n v="0"/>
    <n v="0"/>
  </r>
  <r>
    <x v="68"/>
    <x v="10"/>
    <x v="4"/>
    <m/>
    <m/>
    <m/>
    <m/>
    <m/>
    <n v="0"/>
    <m/>
    <m/>
    <n v="0"/>
    <s v=""/>
    <n v="0"/>
    <n v="0"/>
    <n v="0"/>
    <n v="116.88487613461319"/>
    <n v="2225"/>
    <n v="71535.307499999995"/>
    <n v="0"/>
    <n v="0"/>
    <n v="0"/>
    <n v="0"/>
    <n v="0"/>
    <n v="0"/>
  </r>
  <r>
    <x v="69"/>
    <x v="10"/>
    <x v="4"/>
    <m/>
    <m/>
    <m/>
    <m/>
    <m/>
    <n v="0"/>
    <m/>
    <m/>
    <n v="0"/>
    <s v=""/>
    <n v="0"/>
    <n v="0"/>
    <n v="0"/>
    <n v="116.88487613461319"/>
    <n v="2225"/>
    <n v="71535.307499999995"/>
    <n v="0"/>
    <n v="0"/>
    <n v="0"/>
    <n v="0"/>
    <n v="0"/>
    <n v="0"/>
  </r>
  <r>
    <x v="70"/>
    <x v="10"/>
    <x v="5"/>
    <m/>
    <m/>
    <m/>
    <m/>
    <m/>
    <n v="0"/>
    <m/>
    <m/>
    <n v="0"/>
    <s v=""/>
    <n v="0"/>
    <n v="0"/>
    <n v="0"/>
    <n v="116.88487613461319"/>
    <n v="2225"/>
    <n v="71535.307499999995"/>
    <n v="0"/>
    <n v="0"/>
    <n v="0"/>
    <n v="0"/>
    <n v="0"/>
    <n v="0"/>
  </r>
  <r>
    <x v="71"/>
    <x v="10"/>
    <x v="5"/>
    <m/>
    <m/>
    <m/>
    <m/>
    <m/>
    <n v="0"/>
    <m/>
    <m/>
    <n v="0"/>
    <s v=""/>
    <n v="0"/>
    <n v="0"/>
    <n v="0"/>
    <n v="116.88487613461319"/>
    <n v="2225"/>
    <n v="71535.307499999995"/>
    <n v="0"/>
    <n v="0"/>
    <n v="0"/>
    <n v="0"/>
    <n v="0"/>
    <n v="0"/>
  </r>
  <r>
    <x v="72"/>
    <x v="10"/>
    <x v="5"/>
    <m/>
    <m/>
    <m/>
    <m/>
    <m/>
    <m/>
    <m/>
    <m/>
    <m/>
    <m/>
    <m/>
    <m/>
    <m/>
    <m/>
    <m/>
    <m/>
    <m/>
    <m/>
    <m/>
    <m/>
    <m/>
    <m/>
  </r>
  <r>
    <x v="73"/>
    <x v="10"/>
    <x v="5"/>
    <m/>
    <m/>
    <m/>
    <m/>
    <m/>
    <m/>
    <m/>
    <m/>
    <m/>
    <m/>
    <m/>
    <m/>
    <m/>
    <m/>
    <m/>
    <m/>
    <m/>
    <m/>
    <m/>
    <m/>
    <m/>
    <m/>
  </r>
  <r>
    <x v="74"/>
    <x v="10"/>
    <x v="5"/>
    <m/>
    <m/>
    <m/>
    <m/>
    <m/>
    <m/>
    <m/>
    <m/>
    <m/>
    <m/>
    <m/>
    <m/>
    <m/>
    <m/>
    <m/>
    <m/>
    <m/>
    <m/>
    <m/>
    <m/>
    <m/>
    <m/>
  </r>
  <r>
    <x v="75"/>
    <x v="10"/>
    <x v="5"/>
    <m/>
    <m/>
    <m/>
    <m/>
    <m/>
    <n v="0"/>
    <m/>
    <m/>
    <n v="0"/>
    <s v=""/>
    <n v="0"/>
    <n v="0"/>
    <n v="0"/>
    <n v="116.88487613461319"/>
    <n v="2225"/>
    <n v="71535.307499999995"/>
    <n v="0"/>
    <n v="0"/>
    <n v="0"/>
    <n v="0"/>
    <n v="0"/>
    <n v="0"/>
  </r>
  <r>
    <x v="76"/>
    <x v="10"/>
    <x v="5"/>
    <m/>
    <m/>
    <m/>
    <m/>
    <m/>
    <m/>
    <m/>
    <m/>
    <m/>
    <m/>
    <m/>
    <m/>
    <m/>
    <m/>
    <m/>
    <m/>
    <m/>
    <m/>
    <m/>
    <m/>
    <m/>
    <m/>
  </r>
  <r>
    <x v="77"/>
    <x v="10"/>
    <x v="5"/>
    <m/>
    <m/>
    <m/>
    <m/>
    <m/>
    <n v="0"/>
    <m/>
    <m/>
    <n v="0"/>
    <s v=""/>
    <n v="0"/>
    <n v="0"/>
    <n v="0"/>
    <n v="116.88487613461319"/>
    <n v="2225"/>
    <n v="71535.307499999995"/>
    <n v="0"/>
    <n v="0"/>
    <n v="0"/>
    <n v="0"/>
    <n v="0"/>
    <n v="0"/>
  </r>
  <r>
    <x v="78"/>
    <x v="10"/>
    <x v="5"/>
    <m/>
    <m/>
    <m/>
    <m/>
    <m/>
    <n v="0"/>
    <m/>
    <m/>
    <n v="0"/>
    <s v=""/>
    <n v="0"/>
    <n v="0"/>
    <n v="0"/>
    <n v="116.88487613461319"/>
    <n v="2225"/>
    <n v="71535.307499999995"/>
    <n v="0"/>
    <n v="0"/>
    <n v="0"/>
    <n v="0"/>
    <n v="0"/>
    <n v="0"/>
  </r>
  <r>
    <x v="79"/>
    <x v="10"/>
    <x v="5"/>
    <m/>
    <m/>
    <m/>
    <m/>
    <m/>
    <n v="0"/>
    <m/>
    <m/>
    <n v="0"/>
    <s v=""/>
    <n v="0"/>
    <n v="0"/>
    <n v="0"/>
    <n v="116.88487613461319"/>
    <n v="2225"/>
    <n v="71535.307499999995"/>
    <n v="0"/>
    <n v="0"/>
    <n v="0"/>
    <n v="0"/>
    <n v="0"/>
    <n v="0"/>
  </r>
  <r>
    <x v="80"/>
    <x v="10"/>
    <x v="5"/>
    <m/>
    <m/>
    <m/>
    <m/>
    <m/>
    <n v="0"/>
    <m/>
    <m/>
    <n v="0"/>
    <s v=""/>
    <n v="0"/>
    <n v="0"/>
    <n v="0"/>
    <n v="116.88487613461319"/>
    <n v="2225"/>
    <n v="71535.307499999995"/>
    <n v="0"/>
    <n v="0"/>
    <n v="0"/>
    <n v="0"/>
    <n v="0"/>
    <n v="0"/>
  </r>
  <r>
    <x v="81"/>
    <x v="10"/>
    <x v="5"/>
    <m/>
    <m/>
    <m/>
    <m/>
    <m/>
    <n v="0"/>
    <m/>
    <m/>
    <n v="0"/>
    <s v=""/>
    <n v="0"/>
    <n v="0"/>
    <n v="0"/>
    <n v="116.88487613461319"/>
    <n v="2225"/>
    <n v="71535.307499999995"/>
    <n v="0"/>
    <n v="0"/>
    <n v="0"/>
    <n v="0"/>
    <n v="0"/>
    <n v="0"/>
  </r>
  <r>
    <x v="82"/>
    <x v="10"/>
    <x v="5"/>
    <m/>
    <m/>
    <m/>
    <m/>
    <m/>
    <n v="0"/>
    <m/>
    <m/>
    <n v="0"/>
    <s v=""/>
    <n v="0"/>
    <n v="0"/>
    <n v="0"/>
    <n v="116.88487613461319"/>
    <n v="2225"/>
    <n v="71535.307499999995"/>
    <n v="0"/>
    <n v="0"/>
    <n v="0"/>
    <n v="0"/>
    <n v="0"/>
    <n v="0"/>
  </r>
  <r>
    <x v="83"/>
    <x v="10"/>
    <x v="5"/>
    <m/>
    <m/>
    <m/>
    <m/>
    <m/>
    <n v="0"/>
    <m/>
    <m/>
    <n v="0"/>
    <s v=""/>
    <n v="0"/>
    <n v="0"/>
    <n v="0"/>
    <n v="116.88487613461319"/>
    <n v="2225"/>
    <n v="71535.307499999995"/>
    <n v="0"/>
    <n v="0"/>
    <n v="0"/>
    <n v="0"/>
    <n v="0"/>
    <n v="0"/>
  </r>
  <r>
    <x v="84"/>
    <x v="10"/>
    <x v="5"/>
    <m/>
    <m/>
    <m/>
    <m/>
    <m/>
    <n v="0"/>
    <m/>
    <m/>
    <n v="0"/>
    <s v=""/>
    <n v="0"/>
    <n v="0"/>
    <n v="0"/>
    <n v="116.88487613461319"/>
    <n v="2225"/>
    <n v="71535.307499999995"/>
    <n v="0"/>
    <n v="0"/>
    <n v="0"/>
    <n v="0"/>
    <n v="0"/>
    <n v="0"/>
  </r>
  <r>
    <x v="85"/>
    <x v="10"/>
    <x v="5"/>
    <m/>
    <m/>
    <m/>
    <m/>
    <m/>
    <n v="0"/>
    <m/>
    <m/>
    <n v="0"/>
    <s v=""/>
    <n v="0"/>
    <n v="0"/>
    <n v="0"/>
    <n v="116.88487613461319"/>
    <n v="2225"/>
    <n v="71535.307499999995"/>
    <n v="0"/>
    <n v="0"/>
    <n v="0"/>
    <n v="0"/>
    <n v="0"/>
    <n v="0"/>
  </r>
  <r>
    <x v="86"/>
    <x v="10"/>
    <x v="5"/>
    <m/>
    <m/>
    <m/>
    <m/>
    <m/>
    <n v="0"/>
    <m/>
    <m/>
    <n v="0"/>
    <s v=""/>
    <n v="0"/>
    <n v="0"/>
    <n v="0"/>
    <n v="116.88487613461319"/>
    <n v="2225"/>
    <n v="71535.307499999995"/>
    <n v="0"/>
    <n v="0"/>
    <n v="0"/>
    <n v="0"/>
    <n v="0"/>
    <n v="0"/>
  </r>
  <r>
    <x v="87"/>
    <x v="10"/>
    <x v="5"/>
    <m/>
    <m/>
    <m/>
    <m/>
    <m/>
    <n v="0"/>
    <m/>
    <m/>
    <n v="0"/>
    <s v=""/>
    <n v="0"/>
    <n v="0"/>
    <n v="0"/>
    <n v="116.88487613461319"/>
    <n v="2225"/>
    <n v="71535.307499999995"/>
    <n v="0"/>
    <n v="0"/>
    <n v="0"/>
    <n v="0"/>
    <n v="0"/>
    <n v="0"/>
  </r>
  <r>
    <x v="88"/>
    <x v="10"/>
    <x v="5"/>
    <m/>
    <m/>
    <m/>
    <m/>
    <m/>
    <n v="0"/>
    <m/>
    <m/>
    <n v="0"/>
    <s v=""/>
    <n v="0"/>
    <n v="0"/>
    <n v="0"/>
    <n v="116.88487613461319"/>
    <n v="2225"/>
    <n v="71535.307499999995"/>
    <n v="0"/>
    <n v="0"/>
    <n v="0"/>
    <n v="0"/>
    <n v="0"/>
    <n v="0"/>
  </r>
  <r>
    <x v="89"/>
    <x v="10"/>
    <x v="5"/>
    <m/>
    <m/>
    <m/>
    <m/>
    <m/>
    <n v="0"/>
    <m/>
    <m/>
    <n v="0"/>
    <s v=""/>
    <n v="0"/>
    <n v="0"/>
    <n v="0"/>
    <n v="116.88487613461319"/>
    <n v="2225"/>
    <n v="71535.307499999995"/>
    <n v="0"/>
    <n v="0"/>
    <n v="0"/>
    <n v="0"/>
    <n v="0"/>
    <n v="0"/>
  </r>
  <r>
    <x v="90"/>
    <x v="10"/>
    <x v="5"/>
    <m/>
    <m/>
    <m/>
    <m/>
    <m/>
    <n v="0"/>
    <m/>
    <m/>
    <n v="0"/>
    <s v=""/>
    <n v="0"/>
    <n v="0"/>
    <n v="0"/>
    <n v="116.88487613461319"/>
    <n v="2225"/>
    <n v="71535.307499999995"/>
    <n v="0"/>
    <n v="0"/>
    <n v="0"/>
    <n v="0"/>
    <n v="0"/>
    <n v="0"/>
  </r>
  <r>
    <x v="91"/>
    <x v="10"/>
    <x v="5"/>
    <m/>
    <m/>
    <m/>
    <m/>
    <m/>
    <n v="0"/>
    <m/>
    <m/>
    <n v="0"/>
    <s v=""/>
    <n v="0"/>
    <n v="0"/>
    <n v="0"/>
    <n v="116.88487613461319"/>
    <n v="2225"/>
    <n v="71535.307499999995"/>
    <n v="0"/>
    <n v="0"/>
    <n v="0"/>
    <n v="0"/>
    <n v="0"/>
    <n v="0"/>
  </r>
  <r>
    <x v="92"/>
    <x v="10"/>
    <x v="5"/>
    <m/>
    <m/>
    <m/>
    <m/>
    <m/>
    <n v="0"/>
    <m/>
    <m/>
    <n v="0"/>
    <s v=""/>
    <n v="0"/>
    <n v="0"/>
    <n v="0"/>
    <n v="116.88487613461319"/>
    <n v="2225"/>
    <n v="71535.307499999995"/>
    <n v="0"/>
    <n v="0"/>
    <n v="0"/>
    <n v="0"/>
    <n v="0"/>
    <n v="0"/>
  </r>
  <r>
    <x v="93"/>
    <x v="10"/>
    <x v="5"/>
    <m/>
    <m/>
    <m/>
    <m/>
    <m/>
    <n v="0"/>
    <m/>
    <m/>
    <n v="0"/>
    <s v=""/>
    <n v="0"/>
    <n v="0"/>
    <n v="0"/>
    <n v="116.88487613461319"/>
    <n v="2225"/>
    <n v="71535.307499999995"/>
    <n v="0"/>
    <n v="0"/>
    <n v="0"/>
    <n v="0"/>
    <n v="0"/>
    <n v="0"/>
  </r>
  <r>
    <x v="94"/>
    <x v="10"/>
    <x v="5"/>
    <m/>
    <m/>
    <m/>
    <m/>
    <m/>
    <n v="0"/>
    <m/>
    <m/>
    <n v="0"/>
    <s v=""/>
    <n v="0"/>
    <n v="0"/>
    <n v="0"/>
    <n v="116.88487613461319"/>
    <n v="2225"/>
    <n v="71535.307499999995"/>
    <n v="0"/>
    <n v="0"/>
    <n v="0"/>
    <n v="0"/>
    <n v="0"/>
    <n v="0"/>
  </r>
  <r>
    <x v="95"/>
    <x v="10"/>
    <x v="5"/>
    <m/>
    <m/>
    <m/>
    <m/>
    <m/>
    <n v="0"/>
    <m/>
    <m/>
    <n v="0"/>
    <s v=""/>
    <n v="0"/>
    <n v="0"/>
    <n v="0"/>
    <n v="116.88487613461319"/>
    <n v="2225"/>
    <n v="71535.307499999995"/>
    <n v="0"/>
    <n v="0"/>
    <n v="0"/>
    <n v="0"/>
    <n v="0"/>
    <n v="0"/>
  </r>
  <r>
    <x v="96"/>
    <x v="10"/>
    <x v="5"/>
    <m/>
    <m/>
    <m/>
    <m/>
    <m/>
    <n v="0"/>
    <m/>
    <m/>
    <n v="0"/>
    <s v=""/>
    <n v="0"/>
    <n v="0"/>
    <n v="0"/>
    <n v="116.88487613461319"/>
    <n v="2225"/>
    <n v="71535.307499999995"/>
    <n v="0"/>
    <n v="0"/>
    <n v="0"/>
    <n v="0"/>
    <n v="0"/>
    <n v="0"/>
  </r>
  <r>
    <x v="97"/>
    <x v="10"/>
    <x v="5"/>
    <m/>
    <m/>
    <m/>
    <m/>
    <m/>
    <n v="0"/>
    <m/>
    <m/>
    <n v="0"/>
    <s v=""/>
    <n v="0"/>
    <n v="0"/>
    <n v="0"/>
    <n v="116.88487613461319"/>
    <n v="2225"/>
    <n v="71535.307499999995"/>
    <n v="0"/>
    <n v="0"/>
    <n v="0"/>
    <n v="0"/>
    <n v="0"/>
    <n v="0"/>
  </r>
  <r>
    <x v="98"/>
    <x v="10"/>
    <x v="6"/>
    <m/>
    <m/>
    <m/>
    <m/>
    <m/>
    <n v="0"/>
    <m/>
    <m/>
    <n v="0"/>
    <s v=""/>
    <n v="0"/>
    <n v="0"/>
    <n v="0"/>
    <n v="116.88487613461319"/>
    <n v="2225"/>
    <n v="71535.307499999995"/>
    <n v="0"/>
    <n v="0"/>
    <n v="0"/>
    <n v="0"/>
    <n v="0"/>
    <n v="0"/>
  </r>
  <r>
    <x v="99"/>
    <x v="10"/>
    <x v="6"/>
    <m/>
    <m/>
    <m/>
    <m/>
    <m/>
    <n v="0"/>
    <m/>
    <m/>
    <n v="0"/>
    <s v=""/>
    <n v="0"/>
    <n v="0"/>
    <n v="0"/>
    <n v="116.88487613461319"/>
    <n v="2225"/>
    <n v="71535.307499999995"/>
    <n v="0"/>
    <n v="0"/>
    <n v="0"/>
    <n v="0"/>
    <n v="0"/>
    <n v="0"/>
  </r>
  <r>
    <x v="100"/>
    <x v="10"/>
    <x v="6"/>
    <m/>
    <m/>
    <m/>
    <m/>
    <m/>
    <n v="0"/>
    <m/>
    <m/>
    <n v="0"/>
    <s v=""/>
    <n v="0"/>
    <n v="0"/>
    <n v="0"/>
    <n v="116.88487613461319"/>
    <n v="2225"/>
    <n v="71535.307499999995"/>
    <n v="0"/>
    <n v="0"/>
    <n v="0"/>
    <n v="0"/>
    <n v="0"/>
    <n v="0"/>
  </r>
  <r>
    <x v="101"/>
    <x v="10"/>
    <x v="6"/>
    <m/>
    <m/>
    <m/>
    <m/>
    <m/>
    <n v="0"/>
    <m/>
    <m/>
    <n v="0"/>
    <s v=""/>
    <n v="0"/>
    <n v="0"/>
    <n v="0"/>
    <n v="116.88487613461319"/>
    <n v="2225"/>
    <n v="71535.307499999995"/>
    <n v="0"/>
    <n v="0"/>
    <n v="0"/>
    <n v="0"/>
    <n v="0"/>
    <n v="0"/>
  </r>
  <r>
    <x v="102"/>
    <x v="10"/>
    <x v="6"/>
    <m/>
    <m/>
    <m/>
    <m/>
    <m/>
    <n v="0"/>
    <m/>
    <m/>
    <n v="0"/>
    <s v=""/>
    <n v="0"/>
    <n v="0"/>
    <n v="0"/>
    <n v="116.88487613461319"/>
    <n v="2225"/>
    <n v="71535.307499999995"/>
    <n v="0"/>
    <n v="0"/>
    <n v="0"/>
    <n v="0"/>
    <n v="0"/>
    <n v="0"/>
  </r>
  <r>
    <x v="103"/>
    <x v="10"/>
    <x v="6"/>
    <m/>
    <m/>
    <m/>
    <m/>
    <m/>
    <n v="0"/>
    <m/>
    <m/>
    <n v="0"/>
    <s v=""/>
    <n v="0"/>
    <n v="0"/>
    <n v="0"/>
    <n v="116.88487613461319"/>
    <n v="2225"/>
    <n v="71535.307499999995"/>
    <n v="0"/>
    <n v="0"/>
    <n v="0"/>
    <n v="0"/>
    <n v="0"/>
    <n v="0"/>
  </r>
  <r>
    <x v="104"/>
    <x v="10"/>
    <x v="6"/>
    <m/>
    <m/>
    <m/>
    <m/>
    <m/>
    <n v="0"/>
    <m/>
    <m/>
    <n v="0"/>
    <s v=""/>
    <n v="0"/>
    <n v="0"/>
    <n v="0"/>
    <n v="116.88487613461319"/>
    <n v="2225"/>
    <n v="71535.307499999995"/>
    <n v="0"/>
    <n v="0"/>
    <n v="0"/>
    <n v="0"/>
    <n v="0"/>
    <n v="0"/>
  </r>
  <r>
    <x v="105"/>
    <x v="10"/>
    <x v="6"/>
    <m/>
    <m/>
    <m/>
    <m/>
    <m/>
    <n v="0"/>
    <m/>
    <m/>
    <n v="0"/>
    <s v=""/>
    <n v="0"/>
    <n v="0"/>
    <n v="0"/>
    <n v="116.88487613461319"/>
    <n v="2225"/>
    <n v="71535.307499999995"/>
    <n v="0"/>
    <n v="0"/>
    <n v="0"/>
    <n v="0"/>
    <n v="0"/>
    <n v="0"/>
  </r>
  <r>
    <x v="106"/>
    <x v="10"/>
    <x v="6"/>
    <m/>
    <m/>
    <m/>
    <m/>
    <m/>
    <n v="0"/>
    <m/>
    <m/>
    <n v="0"/>
    <s v=""/>
    <n v="0"/>
    <n v="0"/>
    <n v="0"/>
    <n v="116.88487613461319"/>
    <n v="2225"/>
    <n v="71535.307499999995"/>
    <n v="0"/>
    <n v="0"/>
    <n v="0"/>
    <n v="0"/>
    <n v="0"/>
    <n v="0"/>
  </r>
  <r>
    <x v="107"/>
    <x v="10"/>
    <x v="6"/>
    <m/>
    <m/>
    <m/>
    <m/>
    <m/>
    <n v="0"/>
    <m/>
    <m/>
    <n v="0"/>
    <s v=""/>
    <n v="0"/>
    <n v="0"/>
    <n v="0"/>
    <n v="116.88487613461319"/>
    <n v="2225"/>
    <n v="71535.307499999995"/>
    <n v="0"/>
    <n v="0"/>
    <n v="0"/>
    <n v="0"/>
    <n v="0"/>
    <n v="0"/>
  </r>
  <r>
    <x v="108"/>
    <x v="10"/>
    <x v="6"/>
    <m/>
    <m/>
    <m/>
    <m/>
    <m/>
    <n v="0"/>
    <m/>
    <m/>
    <n v="0"/>
    <s v=""/>
    <n v="0"/>
    <n v="0"/>
    <n v="0"/>
    <n v="116.88487613461319"/>
    <n v="2225"/>
    <n v="71535.307499999995"/>
    <n v="0"/>
    <n v="0"/>
    <n v="0"/>
    <n v="0"/>
    <n v="0"/>
    <n v="0"/>
  </r>
  <r>
    <x v="109"/>
    <x v="10"/>
    <x v="6"/>
    <m/>
    <m/>
    <m/>
    <m/>
    <m/>
    <n v="0"/>
    <m/>
    <m/>
    <n v="0"/>
    <s v=""/>
    <n v="0"/>
    <n v="0"/>
    <n v="0"/>
    <n v="116.88487613461319"/>
    <n v="2225"/>
    <n v="71535.307499999995"/>
    <n v="0"/>
    <n v="0"/>
    <n v="0"/>
    <n v="0"/>
    <n v="0"/>
    <n v="0"/>
  </r>
  <r>
    <x v="110"/>
    <x v="10"/>
    <x v="7"/>
    <m/>
    <m/>
    <m/>
    <m/>
    <m/>
    <n v="0"/>
    <m/>
    <m/>
    <n v="0"/>
    <s v=""/>
    <n v="0"/>
    <n v="0"/>
    <n v="0"/>
    <n v="116.88487613461319"/>
    <n v="2225"/>
    <n v="71535.307499999995"/>
    <n v="0"/>
    <n v="0"/>
    <n v="0"/>
    <n v="0"/>
    <n v="0"/>
    <n v="0"/>
  </r>
  <r>
    <x v="111"/>
    <x v="10"/>
    <x v="7"/>
    <m/>
    <m/>
    <m/>
    <m/>
    <m/>
    <n v="0"/>
    <m/>
    <m/>
    <n v="0"/>
    <s v=""/>
    <n v="0"/>
    <n v="0"/>
    <n v="0"/>
    <n v="116.88487613461319"/>
    <n v="2225"/>
    <n v="71535.307499999995"/>
    <n v="0"/>
    <n v="0"/>
    <n v="0"/>
    <n v="0"/>
    <n v="0"/>
    <n v="0"/>
  </r>
  <r>
    <x v="112"/>
    <x v="10"/>
    <x v="7"/>
    <m/>
    <m/>
    <m/>
    <m/>
    <m/>
    <n v="0"/>
    <m/>
    <m/>
    <n v="0"/>
    <s v=""/>
    <n v="0"/>
    <n v="0"/>
    <n v="0"/>
    <n v="116.88487613461319"/>
    <n v="2225"/>
    <n v="71535.307499999995"/>
    <n v="0"/>
    <n v="0"/>
    <n v="0"/>
    <n v="0"/>
    <n v="0"/>
    <n v="0"/>
  </r>
  <r>
    <x v="113"/>
    <x v="10"/>
    <x v="7"/>
    <m/>
    <m/>
    <m/>
    <m/>
    <m/>
    <n v="0"/>
    <m/>
    <m/>
    <n v="0"/>
    <s v=""/>
    <n v="0"/>
    <n v="0"/>
    <n v="0"/>
    <n v="116.88487613461319"/>
    <n v="2225"/>
    <n v="71535.307499999995"/>
    <n v="0"/>
    <n v="0"/>
    <n v="0"/>
    <n v="0"/>
    <n v="0"/>
    <n v="0"/>
  </r>
  <r>
    <x v="114"/>
    <x v="10"/>
    <x v="7"/>
    <m/>
    <m/>
    <m/>
    <m/>
    <m/>
    <n v="0"/>
    <m/>
    <m/>
    <n v="0"/>
    <s v=""/>
    <n v="0"/>
    <n v="0"/>
    <n v="0"/>
    <n v="116.88487613461319"/>
    <n v="2225"/>
    <n v="71535.307499999995"/>
    <n v="0"/>
    <n v="0"/>
    <n v="0"/>
    <n v="0"/>
    <n v="0"/>
    <n v="0"/>
  </r>
  <r>
    <x v="115"/>
    <x v="10"/>
    <x v="7"/>
    <m/>
    <m/>
    <m/>
    <m/>
    <m/>
    <n v="0"/>
    <m/>
    <m/>
    <n v="0"/>
    <s v=""/>
    <n v="0"/>
    <n v="0"/>
    <n v="0"/>
    <n v="116.88487613461319"/>
    <n v="2225"/>
    <n v="71535.307499999995"/>
    <n v="0"/>
    <n v="0"/>
    <n v="0"/>
    <n v="0"/>
    <n v="0"/>
    <n v="0"/>
  </r>
  <r>
    <x v="116"/>
    <x v="10"/>
    <x v="7"/>
    <m/>
    <m/>
    <m/>
    <m/>
    <m/>
    <n v="0"/>
    <m/>
    <m/>
    <n v="0"/>
    <s v=""/>
    <n v="0"/>
    <n v="0"/>
    <n v="0"/>
    <n v="116.88487613461319"/>
    <n v="2225"/>
    <n v="71535.307499999995"/>
    <n v="0"/>
    <n v="0"/>
    <n v="0"/>
    <n v="0"/>
    <n v="0"/>
    <n v="0"/>
  </r>
  <r>
    <x v="117"/>
    <x v="10"/>
    <x v="7"/>
    <m/>
    <m/>
    <m/>
    <m/>
    <m/>
    <n v="0"/>
    <m/>
    <m/>
    <n v="0"/>
    <s v=""/>
    <n v="0"/>
    <n v="0"/>
    <n v="0"/>
    <n v="116.88487613461319"/>
    <n v="2225"/>
    <n v="71535.307499999995"/>
    <n v="0"/>
    <n v="0"/>
    <n v="0"/>
    <n v="0"/>
    <n v="0"/>
    <n v="0"/>
  </r>
  <r>
    <x v="118"/>
    <x v="10"/>
    <x v="7"/>
    <m/>
    <m/>
    <m/>
    <m/>
    <m/>
    <n v="0"/>
    <m/>
    <m/>
    <n v="0"/>
    <s v=""/>
    <n v="0"/>
    <n v="0"/>
    <n v="0"/>
    <n v="116.88487613461319"/>
    <n v="2225"/>
    <n v="71535.307499999995"/>
    <n v="0"/>
    <n v="0"/>
    <n v="0"/>
    <n v="0"/>
    <n v="0"/>
    <n v="0"/>
  </r>
  <r>
    <x v="119"/>
    <x v="10"/>
    <x v="7"/>
    <m/>
    <m/>
    <m/>
    <m/>
    <m/>
    <n v="0"/>
    <m/>
    <m/>
    <n v="0"/>
    <s v=""/>
    <n v="0"/>
    <n v="0"/>
    <n v="0"/>
    <n v="116.88487613461319"/>
    <n v="2225"/>
    <n v="71535.307499999995"/>
    <n v="0"/>
    <n v="0"/>
    <n v="0"/>
    <n v="0"/>
    <n v="0"/>
    <n v="0"/>
  </r>
  <r>
    <x v="120"/>
    <x v="10"/>
    <x v="7"/>
    <m/>
    <m/>
    <m/>
    <m/>
    <m/>
    <n v="0"/>
    <m/>
    <m/>
    <n v="0"/>
    <s v=""/>
    <n v="0"/>
    <n v="0"/>
    <n v="0"/>
    <n v="116.88487613461319"/>
    <n v="2225"/>
    <n v="71535.307499999995"/>
    <n v="0"/>
    <n v="0"/>
    <n v="0"/>
    <n v="0"/>
    <n v="0"/>
    <n v="0"/>
  </r>
  <r>
    <x v="121"/>
    <x v="10"/>
    <x v="7"/>
    <m/>
    <m/>
    <m/>
    <m/>
    <m/>
    <n v="0"/>
    <m/>
    <m/>
    <n v="0"/>
    <s v=""/>
    <n v="0"/>
    <n v="0"/>
    <n v="0"/>
    <n v="116.88487613461319"/>
    <n v="2225"/>
    <n v="71535.307499999995"/>
    <n v="0"/>
    <n v="0"/>
    <n v="0"/>
    <n v="0"/>
    <n v="0"/>
    <n v="0"/>
  </r>
  <r>
    <x v="122"/>
    <x v="10"/>
    <x v="7"/>
    <m/>
    <m/>
    <m/>
    <m/>
    <m/>
    <n v="0"/>
    <m/>
    <m/>
    <n v="0"/>
    <s v=""/>
    <n v="0"/>
    <n v="0"/>
    <n v="0"/>
    <n v="116.88487613461319"/>
    <n v="2225"/>
    <n v="71535.307499999995"/>
    <n v="0"/>
    <n v="0"/>
    <n v="0"/>
    <n v="0"/>
    <n v="0"/>
    <n v="0"/>
  </r>
  <r>
    <x v="123"/>
    <x v="10"/>
    <x v="7"/>
    <m/>
    <m/>
    <m/>
    <m/>
    <m/>
    <n v="0"/>
    <m/>
    <m/>
    <n v="0"/>
    <s v=""/>
    <n v="0"/>
    <n v="0"/>
    <n v="0"/>
    <n v="116.88487613461319"/>
    <n v="2225"/>
    <n v="71535.307499999995"/>
    <n v="0"/>
    <n v="0"/>
    <n v="0"/>
    <n v="0"/>
    <n v="0"/>
    <n v="0"/>
  </r>
  <r>
    <x v="124"/>
    <x v="10"/>
    <x v="7"/>
    <m/>
    <m/>
    <m/>
    <m/>
    <m/>
    <n v="0"/>
    <m/>
    <m/>
    <n v="0"/>
    <s v=""/>
    <n v="0"/>
    <n v="0"/>
    <n v="0"/>
    <n v="116.88487613461319"/>
    <n v="2225"/>
    <n v="71535.307499999995"/>
    <n v="0"/>
    <n v="0"/>
    <n v="0"/>
    <n v="0"/>
    <n v="0"/>
    <n v="0"/>
  </r>
  <r>
    <x v="125"/>
    <x v="10"/>
    <x v="7"/>
    <m/>
    <m/>
    <m/>
    <m/>
    <m/>
    <n v="0"/>
    <m/>
    <m/>
    <n v="0"/>
    <s v=""/>
    <n v="0"/>
    <n v="0"/>
    <n v="0"/>
    <n v="116.88487613461319"/>
    <n v="2225"/>
    <n v="71535.307499999995"/>
    <n v="0"/>
    <n v="0"/>
    <n v="0"/>
    <n v="0"/>
    <n v="0"/>
    <n v="0"/>
  </r>
  <r>
    <x v="126"/>
    <x v="10"/>
    <x v="7"/>
    <m/>
    <m/>
    <m/>
    <m/>
    <m/>
    <n v="0"/>
    <m/>
    <m/>
    <n v="0"/>
    <s v=""/>
    <n v="0"/>
    <n v="0"/>
    <n v="0"/>
    <n v="116.88487613461319"/>
    <n v="2225"/>
    <n v="71535.307499999995"/>
    <n v="0"/>
    <n v="0"/>
    <n v="0"/>
    <n v="0"/>
    <n v="0"/>
    <n v="0"/>
  </r>
  <r>
    <x v="127"/>
    <x v="10"/>
    <x v="7"/>
    <m/>
    <m/>
    <m/>
    <m/>
    <m/>
    <n v="0"/>
    <m/>
    <m/>
    <n v="0"/>
    <s v=""/>
    <n v="0"/>
    <n v="0"/>
    <n v="0"/>
    <n v="116.88487613461319"/>
    <n v="2225"/>
    <n v="71535.307499999995"/>
    <n v="0"/>
    <n v="0"/>
    <n v="0"/>
    <n v="0"/>
    <n v="0"/>
    <n v="0"/>
  </r>
  <r>
    <x v="0"/>
    <x v="11"/>
    <x v="0"/>
    <m/>
    <m/>
    <m/>
    <m/>
    <m/>
    <n v="0"/>
    <m/>
    <m/>
    <n v="0"/>
    <s v=""/>
    <n v="0"/>
    <n v="0"/>
    <n v="0"/>
    <n v="116.88487613461319"/>
    <n v="2225"/>
    <n v="71535.307499999995"/>
    <n v="0"/>
    <n v="0"/>
    <n v="0"/>
    <n v="0"/>
    <n v="0"/>
    <n v="0"/>
  </r>
  <r>
    <x v="1"/>
    <x v="11"/>
    <x v="0"/>
    <m/>
    <m/>
    <m/>
    <m/>
    <m/>
    <n v="0"/>
    <m/>
    <m/>
    <n v="0"/>
    <s v=""/>
    <n v="0"/>
    <n v="0"/>
    <n v="0"/>
    <n v="116.88487613461319"/>
    <n v="2225"/>
    <n v="71535.307499999995"/>
    <n v="0"/>
    <n v="0"/>
    <n v="0"/>
    <n v="0"/>
    <n v="0"/>
    <n v="0"/>
  </r>
  <r>
    <x v="2"/>
    <x v="11"/>
    <x v="0"/>
    <m/>
    <m/>
    <m/>
    <m/>
    <m/>
    <n v="0"/>
    <m/>
    <m/>
    <n v="0"/>
    <s v=""/>
    <n v="0"/>
    <n v="0"/>
    <n v="0"/>
    <n v="116.88487613461319"/>
    <n v="2225"/>
    <n v="71535.307499999995"/>
    <n v="0"/>
    <n v="0"/>
    <n v="0"/>
    <n v="0"/>
    <n v="0"/>
    <n v="0"/>
  </r>
  <r>
    <x v="3"/>
    <x v="11"/>
    <x v="0"/>
    <m/>
    <m/>
    <m/>
    <m/>
    <m/>
    <n v="0"/>
    <m/>
    <m/>
    <n v="0"/>
    <s v=""/>
    <n v="0"/>
    <n v="0"/>
    <n v="0"/>
    <n v="116.88487613461319"/>
    <n v="2225"/>
    <n v="71535.307499999995"/>
    <n v="0"/>
    <n v="0"/>
    <n v="0"/>
    <n v="0"/>
    <n v="0"/>
    <n v="0"/>
  </r>
  <r>
    <x v="4"/>
    <x v="11"/>
    <x v="1"/>
    <m/>
    <m/>
    <m/>
    <m/>
    <m/>
    <n v="0"/>
    <m/>
    <m/>
    <n v="0"/>
    <s v=""/>
    <n v="0"/>
    <n v="0"/>
    <n v="0"/>
    <n v="116.88487613461319"/>
    <n v="2225"/>
    <n v="71535.307499999995"/>
    <n v="0"/>
    <n v="0"/>
    <n v="0"/>
    <n v="0"/>
    <n v="0"/>
    <n v="0"/>
  </r>
  <r>
    <x v="5"/>
    <x v="11"/>
    <x v="1"/>
    <m/>
    <m/>
    <m/>
    <m/>
    <m/>
    <n v="0"/>
    <m/>
    <m/>
    <n v="0"/>
    <s v=""/>
    <n v="0"/>
    <n v="0"/>
    <n v="0"/>
    <n v="116.88487613461319"/>
    <n v="2225"/>
    <n v="71535.307499999995"/>
    <n v="0"/>
    <n v="0"/>
    <n v="0"/>
    <n v="0"/>
    <n v="0"/>
    <n v="0"/>
  </r>
  <r>
    <x v="6"/>
    <x v="11"/>
    <x v="1"/>
    <m/>
    <m/>
    <m/>
    <m/>
    <m/>
    <n v="0"/>
    <m/>
    <m/>
    <n v="0"/>
    <s v=""/>
    <n v="0"/>
    <n v="0"/>
    <n v="0"/>
    <n v="116.88487613461319"/>
    <n v="2225"/>
    <n v="71535.307499999995"/>
    <n v="0"/>
    <n v="0"/>
    <n v="0"/>
    <n v="0"/>
    <n v="0"/>
    <n v="0"/>
  </r>
  <r>
    <x v="7"/>
    <x v="11"/>
    <x v="2"/>
    <m/>
    <m/>
    <m/>
    <n v="4060"/>
    <n v="2.0299999999999998"/>
    <n v="8.2417999999999996"/>
    <m/>
    <m/>
    <n v="0"/>
    <n v="-1"/>
    <n v="-4060"/>
    <n v="-8.2417999999999996"/>
    <n v="0"/>
    <n v="116.88487613461319"/>
    <n v="2225"/>
    <n v="71535.307499999995"/>
    <n v="589579.69735349994"/>
    <n v="0"/>
    <n v="474552.59710652957"/>
    <n v="0"/>
    <n v="115027.10024697037"/>
    <n v="0"/>
  </r>
  <r>
    <x v="8"/>
    <x v="11"/>
    <x v="2"/>
    <m/>
    <m/>
    <m/>
    <m/>
    <m/>
    <n v="0"/>
    <n v="2822"/>
    <n v="3.15"/>
    <n v="8.8892999999999986"/>
    <s v=""/>
    <n v="2822"/>
    <n v="8.8892999999999986"/>
    <n v="306049.68850787147"/>
    <n v="116.88487613461319"/>
    <n v="2225"/>
    <n v="71535.307499999995"/>
    <n v="0"/>
    <n v="635898.80895974988"/>
    <n v="0"/>
    <n v="329849.12045187841"/>
    <n v="0"/>
    <n v="306049.68850787147"/>
  </r>
  <r>
    <x v="9"/>
    <x v="11"/>
    <x v="2"/>
    <m/>
    <m/>
    <m/>
    <m/>
    <m/>
    <n v="0"/>
    <m/>
    <m/>
    <n v="0"/>
    <s v=""/>
    <n v="0"/>
    <n v="0"/>
    <n v="0"/>
    <n v="116.88487613461319"/>
    <n v="2225"/>
    <n v="71535.307499999995"/>
    <n v="0"/>
    <n v="0"/>
    <n v="0"/>
    <n v="0"/>
    <n v="0"/>
    <n v="0"/>
  </r>
  <r>
    <x v="10"/>
    <x v="11"/>
    <x v="2"/>
    <m/>
    <m/>
    <m/>
    <m/>
    <m/>
    <n v="0"/>
    <m/>
    <m/>
    <n v="0"/>
    <s v=""/>
    <n v="0"/>
    <n v="0"/>
    <n v="0"/>
    <n v="116.88487613461319"/>
    <n v="2225"/>
    <n v="71535.307499999995"/>
    <n v="0"/>
    <n v="0"/>
    <n v="0"/>
    <n v="0"/>
    <n v="0"/>
    <n v="0"/>
  </r>
  <r>
    <x v="11"/>
    <x v="11"/>
    <x v="2"/>
    <m/>
    <m/>
    <m/>
    <m/>
    <m/>
    <n v="0"/>
    <m/>
    <m/>
    <n v="0"/>
    <s v=""/>
    <n v="0"/>
    <n v="0"/>
    <n v="0"/>
    <n v="116.88487613461319"/>
    <n v="2225"/>
    <n v="71535.307499999995"/>
    <n v="0"/>
    <n v="0"/>
    <n v="0"/>
    <n v="0"/>
    <n v="0"/>
    <n v="0"/>
  </r>
  <r>
    <x v="12"/>
    <x v="11"/>
    <x v="2"/>
    <m/>
    <m/>
    <m/>
    <m/>
    <m/>
    <n v="0"/>
    <m/>
    <m/>
    <n v="0"/>
    <s v=""/>
    <n v="0"/>
    <n v="0"/>
    <n v="0"/>
    <n v="116.88487613461319"/>
    <n v="2225"/>
    <n v="71535.307499999995"/>
    <n v="0"/>
    <n v="0"/>
    <n v="0"/>
    <n v="0"/>
    <n v="0"/>
    <n v="0"/>
  </r>
  <r>
    <x v="13"/>
    <x v="11"/>
    <x v="2"/>
    <m/>
    <m/>
    <m/>
    <m/>
    <m/>
    <n v="0"/>
    <m/>
    <m/>
    <n v="0"/>
    <s v=""/>
    <n v="0"/>
    <n v="0"/>
    <n v="0"/>
    <n v="116.88487613461319"/>
    <n v="2225"/>
    <n v="71535.307499999995"/>
    <n v="0"/>
    <n v="0"/>
    <n v="0"/>
    <n v="0"/>
    <n v="0"/>
    <n v="0"/>
  </r>
  <r>
    <x v="14"/>
    <x v="11"/>
    <x v="2"/>
    <m/>
    <m/>
    <m/>
    <m/>
    <m/>
    <n v="0"/>
    <m/>
    <m/>
    <n v="0"/>
    <s v=""/>
    <n v="0"/>
    <n v="0"/>
    <n v="0"/>
    <n v="116.88487613461319"/>
    <n v="2225"/>
    <n v="71535.307499999995"/>
    <n v="0"/>
    <n v="0"/>
    <n v="0"/>
    <n v="0"/>
    <n v="0"/>
    <n v="0"/>
  </r>
  <r>
    <x v="15"/>
    <x v="11"/>
    <x v="2"/>
    <m/>
    <m/>
    <m/>
    <m/>
    <m/>
    <n v="0"/>
    <m/>
    <m/>
    <n v="0"/>
    <s v=""/>
    <n v="0"/>
    <n v="0"/>
    <n v="0"/>
    <n v="116.88487613461319"/>
    <n v="2225"/>
    <n v="71535.307499999995"/>
    <n v="0"/>
    <n v="0"/>
    <n v="0"/>
    <n v="0"/>
    <n v="0"/>
    <n v="0"/>
  </r>
  <r>
    <x v="16"/>
    <x v="11"/>
    <x v="2"/>
    <m/>
    <m/>
    <m/>
    <m/>
    <m/>
    <n v="0"/>
    <m/>
    <m/>
    <n v="0"/>
    <s v=""/>
    <n v="0"/>
    <n v="0"/>
    <n v="0"/>
    <n v="116.88487613461319"/>
    <n v="2225"/>
    <n v="71535.307499999995"/>
    <n v="0"/>
    <n v="0"/>
    <n v="0"/>
    <n v="0"/>
    <n v="0"/>
    <n v="0"/>
  </r>
  <r>
    <x v="17"/>
    <x v="11"/>
    <x v="3"/>
    <m/>
    <m/>
    <m/>
    <m/>
    <m/>
    <n v="0"/>
    <m/>
    <m/>
    <n v="0"/>
    <s v=""/>
    <n v="0"/>
    <n v="0"/>
    <n v="0"/>
    <n v="116.88487613461319"/>
    <n v="2225"/>
    <n v="71535.307499999995"/>
    <n v="0"/>
    <n v="0"/>
    <n v="0"/>
    <n v="0"/>
    <n v="0"/>
    <n v="0"/>
  </r>
  <r>
    <x v="18"/>
    <x v="11"/>
    <x v="3"/>
    <m/>
    <m/>
    <m/>
    <m/>
    <m/>
    <n v="0"/>
    <m/>
    <m/>
    <n v="0"/>
    <s v=""/>
    <n v="0"/>
    <n v="0"/>
    <n v="0"/>
    <n v="116.88487613461319"/>
    <n v="2225"/>
    <n v="71535.307499999995"/>
    <n v="0"/>
    <n v="0"/>
    <n v="0"/>
    <n v="0"/>
    <n v="0"/>
    <n v="0"/>
  </r>
  <r>
    <x v="19"/>
    <x v="11"/>
    <x v="3"/>
    <m/>
    <m/>
    <m/>
    <m/>
    <m/>
    <n v="0"/>
    <m/>
    <m/>
    <n v="0"/>
    <s v=""/>
    <n v="0"/>
    <n v="0"/>
    <n v="0"/>
    <n v="116.88487613461319"/>
    <n v="2225"/>
    <n v="71535.307499999995"/>
    <n v="0"/>
    <n v="0"/>
    <n v="0"/>
    <n v="0"/>
    <n v="0"/>
    <n v="0"/>
  </r>
  <r>
    <x v="20"/>
    <x v="11"/>
    <x v="3"/>
    <m/>
    <m/>
    <m/>
    <m/>
    <m/>
    <n v="0"/>
    <m/>
    <m/>
    <n v="0"/>
    <s v=""/>
    <n v="0"/>
    <n v="0"/>
    <n v="0"/>
    <n v="116.88487613461319"/>
    <n v="2225"/>
    <n v="71535.307499999995"/>
    <n v="0"/>
    <n v="0"/>
    <n v="0"/>
    <n v="0"/>
    <n v="0"/>
    <n v="0"/>
  </r>
  <r>
    <x v="21"/>
    <x v="11"/>
    <x v="3"/>
    <m/>
    <m/>
    <m/>
    <m/>
    <m/>
    <n v="0"/>
    <m/>
    <m/>
    <n v="0"/>
    <s v=""/>
    <n v="0"/>
    <n v="0"/>
    <n v="0"/>
    <n v="116.88487613461319"/>
    <n v="2225"/>
    <n v="71535.307499999995"/>
    <n v="0"/>
    <n v="0"/>
    <n v="0"/>
    <n v="0"/>
    <n v="0"/>
    <n v="0"/>
  </r>
  <r>
    <x v="22"/>
    <x v="11"/>
    <x v="3"/>
    <m/>
    <m/>
    <m/>
    <m/>
    <m/>
    <n v="0"/>
    <m/>
    <m/>
    <n v="0"/>
    <s v=""/>
    <n v="0"/>
    <n v="0"/>
    <n v="0"/>
    <n v="116.88487613461319"/>
    <n v="2225"/>
    <n v="71535.307499999995"/>
    <n v="0"/>
    <n v="0"/>
    <n v="0"/>
    <n v="0"/>
    <n v="0"/>
    <n v="0"/>
  </r>
  <r>
    <x v="23"/>
    <x v="11"/>
    <x v="3"/>
    <m/>
    <m/>
    <m/>
    <m/>
    <m/>
    <n v="0"/>
    <m/>
    <m/>
    <n v="0"/>
    <s v=""/>
    <n v="0"/>
    <n v="0"/>
    <n v="0"/>
    <n v="116.88487613461319"/>
    <n v="2225"/>
    <n v="71535.307499999995"/>
    <n v="0"/>
    <n v="0"/>
    <n v="0"/>
    <n v="0"/>
    <n v="0"/>
    <n v="0"/>
  </r>
  <r>
    <x v="24"/>
    <x v="11"/>
    <x v="3"/>
    <m/>
    <m/>
    <m/>
    <m/>
    <m/>
    <n v="0"/>
    <m/>
    <m/>
    <n v="0"/>
    <s v=""/>
    <n v="0"/>
    <n v="0"/>
    <n v="0"/>
    <n v="116.88487613461319"/>
    <n v="2225"/>
    <n v="71535.307499999995"/>
    <n v="0"/>
    <n v="0"/>
    <n v="0"/>
    <n v="0"/>
    <n v="0"/>
    <n v="0"/>
  </r>
  <r>
    <x v="25"/>
    <x v="11"/>
    <x v="3"/>
    <m/>
    <m/>
    <m/>
    <m/>
    <m/>
    <n v="0"/>
    <m/>
    <m/>
    <n v="0"/>
    <s v=""/>
    <n v="0"/>
    <n v="0"/>
    <n v="0"/>
    <n v="116.88487613461319"/>
    <n v="2225"/>
    <n v="71535.307499999995"/>
    <n v="0"/>
    <n v="0"/>
    <n v="0"/>
    <n v="0"/>
    <n v="0"/>
    <n v="0"/>
  </r>
  <r>
    <x v="26"/>
    <x v="11"/>
    <x v="3"/>
    <m/>
    <m/>
    <m/>
    <m/>
    <m/>
    <n v="0"/>
    <m/>
    <m/>
    <n v="0"/>
    <s v=""/>
    <n v="0"/>
    <n v="0"/>
    <n v="0"/>
    <n v="116.88487613461319"/>
    <n v="2225"/>
    <n v="71535.307499999995"/>
    <n v="0"/>
    <n v="0"/>
    <n v="0"/>
    <n v="0"/>
    <n v="0"/>
    <n v="0"/>
  </r>
  <r>
    <x v="27"/>
    <x v="11"/>
    <x v="3"/>
    <m/>
    <m/>
    <m/>
    <m/>
    <m/>
    <n v="0"/>
    <m/>
    <m/>
    <n v="0"/>
    <s v=""/>
    <n v="0"/>
    <n v="0"/>
    <n v="0"/>
    <n v="116.88487613461319"/>
    <n v="2225"/>
    <n v="71535.307499999995"/>
    <n v="0"/>
    <n v="0"/>
    <n v="0"/>
    <n v="0"/>
    <n v="0"/>
    <n v="0"/>
  </r>
  <r>
    <x v="28"/>
    <x v="11"/>
    <x v="3"/>
    <m/>
    <m/>
    <m/>
    <m/>
    <m/>
    <n v="0"/>
    <m/>
    <m/>
    <n v="0"/>
    <s v=""/>
    <n v="0"/>
    <n v="0"/>
    <n v="0"/>
    <n v="116.88487613461319"/>
    <n v="2225"/>
    <n v="71535.307499999995"/>
    <n v="0"/>
    <n v="0"/>
    <n v="0"/>
    <n v="0"/>
    <n v="0"/>
    <n v="0"/>
  </r>
  <r>
    <x v="29"/>
    <x v="11"/>
    <x v="3"/>
    <m/>
    <m/>
    <m/>
    <m/>
    <m/>
    <n v="0"/>
    <m/>
    <m/>
    <n v="0"/>
    <s v=""/>
    <n v="0"/>
    <n v="0"/>
    <n v="0"/>
    <n v="116.88487613461319"/>
    <n v="2225"/>
    <n v="71535.307499999995"/>
    <n v="0"/>
    <n v="0"/>
    <n v="0"/>
    <n v="0"/>
    <n v="0"/>
    <n v="0"/>
  </r>
  <r>
    <x v="30"/>
    <x v="11"/>
    <x v="3"/>
    <m/>
    <m/>
    <m/>
    <m/>
    <m/>
    <n v="0"/>
    <m/>
    <m/>
    <n v="0"/>
    <s v=""/>
    <n v="0"/>
    <n v="0"/>
    <n v="0"/>
    <n v="116.88487613461319"/>
    <n v="2225"/>
    <n v="71535.307499999995"/>
    <n v="0"/>
    <n v="0"/>
    <n v="0"/>
    <n v="0"/>
    <n v="0"/>
    <n v="0"/>
  </r>
  <r>
    <x v="31"/>
    <x v="11"/>
    <x v="3"/>
    <m/>
    <m/>
    <m/>
    <n v="2030"/>
    <n v="1.4"/>
    <n v="2.8420000000000001"/>
    <n v="1516"/>
    <n v="0.78"/>
    <n v="1.18248"/>
    <n v="-0.58392681210415198"/>
    <n v="-514"/>
    <n v="-1.6595200000000001"/>
    <n v="-92608.401807473609"/>
    <n v="116.88487613461319"/>
    <n v="2225"/>
    <n v="71535.307499999995"/>
    <n v="203303.343915"/>
    <n v="84589.070412599991"/>
    <n v="237276.29855326479"/>
    <n v="177197.4722200736"/>
    <n v="-33972.954638264782"/>
    <n v="-92608.401807473609"/>
  </r>
  <r>
    <x v="32"/>
    <x v="11"/>
    <x v="3"/>
    <m/>
    <m/>
    <m/>
    <m/>
    <m/>
    <n v="0"/>
    <m/>
    <m/>
    <n v="0"/>
    <s v=""/>
    <n v="0"/>
    <n v="0"/>
    <n v="0"/>
    <n v="116.88487613461319"/>
    <n v="2225"/>
    <n v="71535.307499999995"/>
    <n v="0"/>
    <n v="0"/>
    <n v="0"/>
    <n v="0"/>
    <n v="0"/>
    <n v="0"/>
  </r>
  <r>
    <x v="33"/>
    <x v="11"/>
    <x v="3"/>
    <m/>
    <m/>
    <m/>
    <m/>
    <m/>
    <n v="0"/>
    <m/>
    <m/>
    <n v="0"/>
    <s v=""/>
    <n v="0"/>
    <n v="0"/>
    <n v="0"/>
    <n v="116.88487613461319"/>
    <n v="2225"/>
    <n v="71535.307499999995"/>
    <n v="0"/>
    <n v="0"/>
    <n v="0"/>
    <n v="0"/>
    <n v="0"/>
    <n v="0"/>
  </r>
  <r>
    <x v="34"/>
    <x v="11"/>
    <x v="3"/>
    <m/>
    <m/>
    <m/>
    <m/>
    <m/>
    <n v="0"/>
    <m/>
    <m/>
    <n v="0"/>
    <s v=""/>
    <n v="0"/>
    <n v="0"/>
    <n v="0"/>
    <n v="116.88487613461319"/>
    <n v="2225"/>
    <n v="71535.307499999995"/>
    <n v="0"/>
    <n v="0"/>
    <n v="0"/>
    <n v="0"/>
    <n v="0"/>
    <n v="0"/>
  </r>
  <r>
    <x v="35"/>
    <x v="11"/>
    <x v="3"/>
    <m/>
    <m/>
    <m/>
    <m/>
    <m/>
    <n v="0"/>
    <m/>
    <m/>
    <n v="0"/>
    <s v=""/>
    <n v="0"/>
    <n v="0"/>
    <n v="0"/>
    <n v="116.88487613461319"/>
    <n v="2225"/>
    <n v="71535.307499999995"/>
    <n v="0"/>
    <n v="0"/>
    <n v="0"/>
    <n v="0"/>
    <n v="0"/>
    <n v="0"/>
  </r>
  <r>
    <x v="36"/>
    <x v="11"/>
    <x v="3"/>
    <m/>
    <m/>
    <m/>
    <n v="1015"/>
    <n v="2.35"/>
    <n v="2.3852500000000001"/>
    <n v="1341"/>
    <n v="0.89"/>
    <n v="1.1934899999999999"/>
    <n v="-0.4996373545749922"/>
    <n v="326"/>
    <n v="-1.1917600000000002"/>
    <n v="-71365.94474834131"/>
    <n v="116.88487613461319"/>
    <n v="2225"/>
    <n v="71535.307499999995"/>
    <n v="170629.59221437501"/>
    <n v="85376.674148174992"/>
    <n v="118638.14927663239"/>
    <n v="156742.6188965163"/>
    <n v="51991.442937742613"/>
    <n v="-71365.94474834131"/>
  </r>
  <r>
    <x v="37"/>
    <x v="11"/>
    <x v="3"/>
    <m/>
    <m/>
    <m/>
    <n v="3045"/>
    <n v="2.85"/>
    <n v="8.6782500000000002"/>
    <n v="2008"/>
    <n v="0.95"/>
    <n v="1.9076"/>
    <n v="-0.78018609742747669"/>
    <n v="-1037"/>
    <n v="-6.7706499999999998"/>
    <n v="-98244.078691303293"/>
    <n v="116.88487613461319"/>
    <n v="2225"/>
    <n v="71535.307499999995"/>
    <n v="620801.28231187502"/>
    <n v="136460.752587"/>
    <n v="355914.44782989717"/>
    <n v="234704.83127830329"/>
    <n v="264886.83448197786"/>
    <n v="-98244.078691303293"/>
  </r>
  <r>
    <x v="38"/>
    <x v="11"/>
    <x v="3"/>
    <m/>
    <m/>
    <m/>
    <m/>
    <m/>
    <n v="0"/>
    <m/>
    <m/>
    <n v="0"/>
    <s v=""/>
    <n v="0"/>
    <n v="0"/>
    <n v="0"/>
    <n v="116.88487613461319"/>
    <n v="2225"/>
    <n v="71535.307499999995"/>
    <n v="0"/>
    <n v="0"/>
    <n v="0"/>
    <n v="0"/>
    <n v="0"/>
    <n v="0"/>
  </r>
  <r>
    <x v="39"/>
    <x v="11"/>
    <x v="3"/>
    <m/>
    <m/>
    <m/>
    <m/>
    <m/>
    <n v="0"/>
    <m/>
    <m/>
    <n v="0"/>
    <s v=""/>
    <n v="0"/>
    <n v="0"/>
    <n v="0"/>
    <n v="116.88487613461319"/>
    <n v="2225"/>
    <n v="71535.307499999995"/>
    <n v="0"/>
    <n v="0"/>
    <n v="0"/>
    <n v="0"/>
    <n v="0"/>
    <n v="0"/>
  </r>
  <r>
    <x v="40"/>
    <x v="11"/>
    <x v="3"/>
    <m/>
    <m/>
    <m/>
    <m/>
    <m/>
    <n v="0"/>
    <m/>
    <m/>
    <n v="0"/>
    <s v=""/>
    <n v="0"/>
    <n v="0"/>
    <n v="0"/>
    <n v="116.88487613461319"/>
    <n v="2225"/>
    <n v="71535.307499999995"/>
    <n v="0"/>
    <n v="0"/>
    <n v="0"/>
    <n v="0"/>
    <n v="0"/>
    <n v="0"/>
  </r>
  <r>
    <x v="41"/>
    <x v="11"/>
    <x v="3"/>
    <m/>
    <m/>
    <m/>
    <m/>
    <m/>
    <n v="0"/>
    <m/>
    <m/>
    <n v="0"/>
    <s v=""/>
    <n v="0"/>
    <n v="0"/>
    <n v="0"/>
    <n v="116.88487613461319"/>
    <n v="2225"/>
    <n v="71535.307499999995"/>
    <n v="0"/>
    <n v="0"/>
    <n v="0"/>
    <n v="0"/>
    <n v="0"/>
    <n v="0"/>
  </r>
  <r>
    <x v="42"/>
    <x v="11"/>
    <x v="3"/>
    <m/>
    <m/>
    <m/>
    <m/>
    <m/>
    <n v="0"/>
    <m/>
    <m/>
    <n v="0"/>
    <s v=""/>
    <n v="0"/>
    <n v="0"/>
    <n v="0"/>
    <n v="116.88487613461319"/>
    <n v="2225"/>
    <n v="71535.307499999995"/>
    <n v="0"/>
    <n v="0"/>
    <n v="0"/>
    <n v="0"/>
    <n v="0"/>
    <n v="0"/>
  </r>
  <r>
    <x v="43"/>
    <x v="11"/>
    <x v="3"/>
    <m/>
    <m/>
    <m/>
    <m/>
    <m/>
    <n v="0"/>
    <m/>
    <m/>
    <n v="0"/>
    <s v=""/>
    <n v="0"/>
    <n v="0"/>
    <n v="0"/>
    <n v="116.88487613461319"/>
    <n v="2225"/>
    <n v="71535.307499999995"/>
    <n v="0"/>
    <n v="0"/>
    <n v="0"/>
    <n v="0"/>
    <n v="0"/>
    <n v="0"/>
  </r>
  <r>
    <x v="44"/>
    <x v="11"/>
    <x v="3"/>
    <m/>
    <m/>
    <m/>
    <m/>
    <m/>
    <n v="0"/>
    <m/>
    <m/>
    <n v="0"/>
    <s v=""/>
    <n v="0"/>
    <n v="0"/>
    <n v="0"/>
    <n v="116.88487613461319"/>
    <n v="2225"/>
    <n v="71535.307499999995"/>
    <n v="0"/>
    <n v="0"/>
    <n v="0"/>
    <n v="0"/>
    <n v="0"/>
    <n v="0"/>
  </r>
  <r>
    <x v="45"/>
    <x v="11"/>
    <x v="3"/>
    <m/>
    <m/>
    <m/>
    <n v="5075"/>
    <n v="2.44"/>
    <n v="12.382999999999999"/>
    <n v="6166"/>
    <n v="1.98"/>
    <n v="12.208680000000001"/>
    <n v="-1.4077364128240172E-2"/>
    <n v="1091"/>
    <n v="-0.17431999999999803"/>
    <n v="152639.53172307508"/>
    <n v="116.88487613461319"/>
    <n v="2225"/>
    <n v="71535.307499999995"/>
    <n v="885821.71277249989"/>
    <n v="873351.67796910007"/>
    <n v="593190.74638316198"/>
    <n v="720712.14624602499"/>
    <n v="292630.9663893379"/>
    <n v="152639.53172307508"/>
  </r>
  <r>
    <x v="46"/>
    <x v="11"/>
    <x v="3"/>
    <m/>
    <m/>
    <m/>
    <m/>
    <m/>
    <m/>
    <m/>
    <m/>
    <m/>
    <m/>
    <m/>
    <m/>
    <m/>
    <m/>
    <m/>
    <m/>
    <m/>
    <m/>
    <m/>
    <m/>
    <m/>
    <m/>
  </r>
  <r>
    <x v="47"/>
    <x v="11"/>
    <x v="3"/>
    <m/>
    <m/>
    <m/>
    <m/>
    <m/>
    <n v="0"/>
    <m/>
    <m/>
    <m/>
    <m/>
    <m/>
    <m/>
    <m/>
    <m/>
    <m/>
    <m/>
    <m/>
    <m/>
    <m/>
    <m/>
    <m/>
    <m/>
  </r>
  <r>
    <x v="48"/>
    <x v="11"/>
    <x v="3"/>
    <m/>
    <m/>
    <m/>
    <m/>
    <m/>
    <n v="0"/>
    <m/>
    <m/>
    <m/>
    <m/>
    <m/>
    <m/>
    <m/>
    <m/>
    <m/>
    <m/>
    <m/>
    <m/>
    <m/>
    <m/>
    <m/>
    <m/>
  </r>
  <r>
    <x v="49"/>
    <x v="11"/>
    <x v="3"/>
    <m/>
    <m/>
    <m/>
    <m/>
    <m/>
    <n v="0"/>
    <m/>
    <m/>
    <n v="0"/>
    <s v=""/>
    <n v="0"/>
    <n v="0"/>
    <n v="0"/>
    <n v="116.88487613461319"/>
    <n v="2225"/>
    <n v="71535.307499999995"/>
    <n v="0"/>
    <n v="0"/>
    <n v="0"/>
    <n v="0"/>
    <n v="0"/>
    <n v="0"/>
  </r>
  <r>
    <x v="50"/>
    <x v="11"/>
    <x v="4"/>
    <m/>
    <m/>
    <m/>
    <m/>
    <m/>
    <n v="0"/>
    <m/>
    <m/>
    <n v="0"/>
    <s v=""/>
    <n v="0"/>
    <n v="0"/>
    <n v="0"/>
    <n v="116.88487613461319"/>
    <n v="2225"/>
    <n v="71535.307499999995"/>
    <n v="0"/>
    <n v="0"/>
    <n v="0"/>
    <n v="0"/>
    <n v="0"/>
    <n v="0"/>
  </r>
  <r>
    <x v="51"/>
    <x v="11"/>
    <x v="4"/>
    <m/>
    <m/>
    <m/>
    <m/>
    <m/>
    <n v="0"/>
    <m/>
    <m/>
    <n v="0"/>
    <s v=""/>
    <n v="0"/>
    <n v="0"/>
    <n v="0"/>
    <n v="116.88487613461319"/>
    <n v="2225"/>
    <n v="71535.307499999995"/>
    <n v="0"/>
    <n v="0"/>
    <n v="0"/>
    <n v="0"/>
    <n v="0"/>
    <n v="0"/>
  </r>
  <r>
    <x v="52"/>
    <x v="11"/>
    <x v="4"/>
    <m/>
    <m/>
    <m/>
    <n v="980"/>
    <n v="1.86"/>
    <n v="1.8228000000000002"/>
    <n v="999"/>
    <n v="1.83"/>
    <n v="1.8281700000000001"/>
    <n v="2.9460171165239602E-3"/>
    <n v="19"/>
    <n v="5.3699999999998749E-3"/>
    <n v="14010.711853796412"/>
    <n v="116.88487613461319"/>
    <n v="2225"/>
    <n v="71535.307499999995"/>
    <n v="130394.55851100001"/>
    <n v="130778.70311227499"/>
    <n v="114547.17861192093"/>
    <n v="116767.99125847858"/>
    <n v="15847.379899079082"/>
    <n v="14010.711853796412"/>
  </r>
  <r>
    <x v="53"/>
    <x v="11"/>
    <x v="4"/>
    <m/>
    <m/>
    <m/>
    <m/>
    <m/>
    <n v="0"/>
    <m/>
    <m/>
    <n v="0"/>
    <s v=""/>
    <n v="0"/>
    <n v="0"/>
    <n v="0"/>
    <n v="116.88487613461319"/>
    <n v="2225"/>
    <n v="71535.307499999995"/>
    <n v="0"/>
    <n v="0"/>
    <n v="0"/>
    <n v="0"/>
    <n v="0"/>
    <n v="0"/>
  </r>
  <r>
    <x v="54"/>
    <x v="11"/>
    <x v="4"/>
    <m/>
    <m/>
    <m/>
    <m/>
    <m/>
    <n v="0"/>
    <m/>
    <m/>
    <n v="0"/>
    <s v=""/>
    <n v="0"/>
    <n v="0"/>
    <n v="0"/>
    <n v="116.88487613461319"/>
    <n v="2225"/>
    <n v="71535.307499999995"/>
    <n v="0"/>
    <n v="0"/>
    <n v="0"/>
    <n v="0"/>
    <n v="0"/>
    <n v="0"/>
  </r>
  <r>
    <x v="55"/>
    <x v="11"/>
    <x v="4"/>
    <m/>
    <m/>
    <m/>
    <m/>
    <m/>
    <n v="0"/>
    <m/>
    <m/>
    <n v="0"/>
    <s v=""/>
    <n v="0"/>
    <n v="0"/>
    <n v="0"/>
    <n v="116.88487613461319"/>
    <n v="2225"/>
    <n v="71535.307499999995"/>
    <n v="0"/>
    <n v="0"/>
    <n v="0"/>
    <n v="0"/>
    <n v="0"/>
    <n v="0"/>
  </r>
  <r>
    <x v="56"/>
    <x v="11"/>
    <x v="4"/>
    <m/>
    <m/>
    <m/>
    <m/>
    <m/>
    <n v="0"/>
    <m/>
    <m/>
    <n v="0"/>
    <s v=""/>
    <n v="0"/>
    <n v="0"/>
    <n v="0"/>
    <n v="116.88487613461319"/>
    <n v="2225"/>
    <n v="71535.307499999995"/>
    <n v="0"/>
    <n v="0"/>
    <n v="0"/>
    <n v="0"/>
    <n v="0"/>
    <n v="0"/>
  </r>
  <r>
    <x v="57"/>
    <x v="11"/>
    <x v="4"/>
    <m/>
    <m/>
    <m/>
    <n v="3920"/>
    <n v="1.86"/>
    <n v="7.2912000000000008"/>
    <n v="2601"/>
    <n v="1.68"/>
    <n v="4.3696800000000007"/>
    <n v="-0.40069124423963132"/>
    <n v="-1319"/>
    <n v="-2.9215200000000001"/>
    <n v="8568.8396504711127"/>
    <n v="116.88487613461319"/>
    <n v="2225"/>
    <n v="71535.307499999995"/>
    <n v="521578.23404400004"/>
    <n v="312586.40247660002"/>
    <n v="458188.71444768371"/>
    <n v="304017.56282612891"/>
    <n v="63389.519596316328"/>
    <n v="8568.8396504711127"/>
  </r>
  <r>
    <x v="58"/>
    <x v="11"/>
    <x v="4"/>
    <m/>
    <m/>
    <m/>
    <m/>
    <m/>
    <n v="0"/>
    <m/>
    <m/>
    <n v="0"/>
    <s v=""/>
    <n v="0"/>
    <n v="0"/>
    <n v="0"/>
    <n v="116.88487613461319"/>
    <n v="2225"/>
    <n v="71535.307499999995"/>
    <n v="0"/>
    <n v="0"/>
    <n v="0"/>
    <n v="0"/>
    <n v="0"/>
    <n v="0"/>
  </r>
  <r>
    <x v="59"/>
    <x v="11"/>
    <x v="4"/>
    <m/>
    <m/>
    <m/>
    <m/>
    <m/>
    <n v="0"/>
    <n v="227"/>
    <n v="3.02"/>
    <n v="0.68553999999999993"/>
    <s v=""/>
    <n v="227"/>
    <n v="0.68553999999999993"/>
    <n v="22507.447820992798"/>
    <n v="116.88487613461319"/>
    <n v="2225"/>
    <n v="71535.307499999995"/>
    <n v="0"/>
    <n v="49040.314703549993"/>
    <n v="0"/>
    <n v="26532.866882557195"/>
    <n v="0"/>
    <n v="22507.447820992798"/>
  </r>
  <r>
    <x v="60"/>
    <x v="11"/>
    <x v="4"/>
    <m/>
    <m/>
    <m/>
    <m/>
    <m/>
    <n v="0"/>
    <m/>
    <m/>
    <n v="0"/>
    <s v=""/>
    <n v="0"/>
    <n v="0"/>
    <n v="0"/>
    <n v="116.88487613461319"/>
    <n v="2225"/>
    <n v="71535.307499999995"/>
    <n v="0"/>
    <n v="0"/>
    <n v="0"/>
    <n v="0"/>
    <n v="0"/>
    <n v="0"/>
  </r>
  <r>
    <x v="61"/>
    <x v="11"/>
    <x v="4"/>
    <m/>
    <m/>
    <m/>
    <m/>
    <m/>
    <n v="0"/>
    <m/>
    <m/>
    <n v="0"/>
    <s v=""/>
    <n v="0"/>
    <n v="0"/>
    <n v="0"/>
    <n v="116.88487613461319"/>
    <n v="2225"/>
    <n v="71535.307499999995"/>
    <n v="0"/>
    <n v="0"/>
    <n v="0"/>
    <n v="0"/>
    <n v="0"/>
    <n v="0"/>
  </r>
  <r>
    <x v="62"/>
    <x v="11"/>
    <x v="4"/>
    <m/>
    <m/>
    <m/>
    <m/>
    <m/>
    <n v="0"/>
    <m/>
    <m/>
    <n v="0"/>
    <s v=""/>
    <n v="0"/>
    <n v="0"/>
    <n v="0"/>
    <n v="116.88487613461319"/>
    <n v="2225"/>
    <n v="71535.307499999995"/>
    <n v="0"/>
    <n v="0"/>
    <n v="0"/>
    <n v="0"/>
    <n v="0"/>
    <n v="0"/>
  </r>
  <r>
    <x v="63"/>
    <x v="11"/>
    <x v="4"/>
    <m/>
    <m/>
    <m/>
    <m/>
    <m/>
    <n v="0"/>
    <m/>
    <m/>
    <n v="0"/>
    <s v=""/>
    <n v="0"/>
    <n v="0"/>
    <n v="0"/>
    <n v="116.88487613461319"/>
    <n v="2225"/>
    <n v="71535.307499999995"/>
    <n v="0"/>
    <n v="0"/>
    <n v="0"/>
    <n v="0"/>
    <n v="0"/>
    <n v="0"/>
  </r>
  <r>
    <x v="64"/>
    <x v="11"/>
    <x v="4"/>
    <m/>
    <m/>
    <m/>
    <m/>
    <m/>
    <n v="0"/>
    <m/>
    <m/>
    <n v="0"/>
    <s v=""/>
    <n v="0"/>
    <n v="0"/>
    <n v="0"/>
    <n v="116.88487613461319"/>
    <n v="2225"/>
    <n v="71535.307499999995"/>
    <n v="0"/>
    <n v="0"/>
    <n v="0"/>
    <n v="0"/>
    <n v="0"/>
    <n v="0"/>
  </r>
  <r>
    <x v="65"/>
    <x v="11"/>
    <x v="4"/>
    <m/>
    <m/>
    <m/>
    <m/>
    <m/>
    <n v="0"/>
    <m/>
    <m/>
    <n v="0"/>
    <s v=""/>
    <n v="0"/>
    <n v="0"/>
    <n v="0"/>
    <n v="116.88487613461319"/>
    <n v="2225"/>
    <n v="71535.307499999995"/>
    <n v="0"/>
    <n v="0"/>
    <n v="0"/>
    <n v="0"/>
    <n v="0"/>
    <n v="0"/>
  </r>
  <r>
    <x v="66"/>
    <x v="11"/>
    <x v="4"/>
    <m/>
    <m/>
    <m/>
    <m/>
    <m/>
    <n v="0"/>
    <m/>
    <m/>
    <n v="0"/>
    <s v=""/>
    <n v="0"/>
    <n v="0"/>
    <n v="0"/>
    <n v="116.88487613461319"/>
    <n v="2225"/>
    <n v="71535.307499999995"/>
    <n v="0"/>
    <n v="0"/>
    <n v="0"/>
    <n v="0"/>
    <n v="0"/>
    <n v="0"/>
  </r>
  <r>
    <x v="67"/>
    <x v="11"/>
    <x v="4"/>
    <m/>
    <m/>
    <m/>
    <m/>
    <m/>
    <n v="0"/>
    <m/>
    <m/>
    <n v="0"/>
    <s v=""/>
    <n v="0"/>
    <n v="0"/>
    <n v="0"/>
    <n v="116.88487613461319"/>
    <n v="2225"/>
    <n v="71535.307499999995"/>
    <n v="0"/>
    <n v="0"/>
    <n v="0"/>
    <n v="0"/>
    <n v="0"/>
    <n v="0"/>
  </r>
  <r>
    <x v="68"/>
    <x v="11"/>
    <x v="4"/>
    <m/>
    <m/>
    <m/>
    <m/>
    <m/>
    <n v="0"/>
    <m/>
    <m/>
    <n v="0"/>
    <s v=""/>
    <n v="0"/>
    <n v="0"/>
    <n v="0"/>
    <n v="116.88487613461319"/>
    <n v="2225"/>
    <n v="71535.307499999995"/>
    <n v="0"/>
    <n v="0"/>
    <n v="0"/>
    <n v="0"/>
    <n v="0"/>
    <n v="0"/>
  </r>
  <r>
    <x v="69"/>
    <x v="11"/>
    <x v="4"/>
    <m/>
    <m/>
    <m/>
    <m/>
    <m/>
    <n v="0"/>
    <m/>
    <m/>
    <n v="0"/>
    <s v=""/>
    <n v="0"/>
    <n v="0"/>
    <n v="0"/>
    <n v="116.88487613461319"/>
    <n v="2225"/>
    <n v="71535.307499999995"/>
    <n v="0"/>
    <n v="0"/>
    <n v="0"/>
    <n v="0"/>
    <n v="0"/>
    <n v="0"/>
  </r>
  <r>
    <x v="70"/>
    <x v="11"/>
    <x v="5"/>
    <m/>
    <m/>
    <m/>
    <n v="1330"/>
    <n v="2.12"/>
    <n v="2.8196000000000003"/>
    <n v="732"/>
    <n v="1.56"/>
    <n v="1.14192"/>
    <n v="-0.59500638388423888"/>
    <n v="-598"/>
    <n v="-1.6776800000000003"/>
    <n v="-3872.1309901368513"/>
    <n v="116.88487613461319"/>
    <n v="2225"/>
    <n v="71535.307499999995"/>
    <n v="201700.95302700001"/>
    <n v="81687.5983404"/>
    <n v="155456.88525903554"/>
    <n v="85559.729330536851"/>
    <n v="46244.067767964472"/>
    <n v="-3872.1309901368513"/>
  </r>
  <r>
    <x v="71"/>
    <x v="11"/>
    <x v="5"/>
    <m/>
    <m/>
    <m/>
    <n v="665"/>
    <n v="2.0499999999999998"/>
    <n v="1.3632499999999999"/>
    <m/>
    <m/>
    <n v="0"/>
    <n v="-1"/>
    <n v="-665"/>
    <n v="-1.3632499999999999"/>
    <n v="0"/>
    <n v="116.88487613461319"/>
    <n v="2225"/>
    <n v="71535.307499999995"/>
    <n v="97520.50794937498"/>
    <n v="0"/>
    <n v="77728.442629517769"/>
    <n v="0"/>
    <n v="19792.065319857211"/>
    <n v="0"/>
  </r>
  <r>
    <x v="72"/>
    <x v="11"/>
    <x v="5"/>
    <m/>
    <m/>
    <m/>
    <m/>
    <m/>
    <n v="0"/>
    <m/>
    <m/>
    <m/>
    <m/>
    <m/>
    <m/>
    <m/>
    <m/>
    <m/>
    <m/>
    <m/>
    <m/>
    <m/>
    <m/>
    <m/>
    <m/>
  </r>
  <r>
    <x v="73"/>
    <x v="11"/>
    <x v="5"/>
    <m/>
    <m/>
    <m/>
    <m/>
    <m/>
    <n v="0"/>
    <m/>
    <m/>
    <m/>
    <m/>
    <m/>
    <m/>
    <m/>
    <m/>
    <m/>
    <m/>
    <m/>
    <m/>
    <m/>
    <m/>
    <m/>
    <m/>
  </r>
  <r>
    <x v="74"/>
    <x v="11"/>
    <x v="5"/>
    <m/>
    <m/>
    <m/>
    <m/>
    <m/>
    <n v="0"/>
    <m/>
    <m/>
    <m/>
    <m/>
    <m/>
    <m/>
    <m/>
    <m/>
    <m/>
    <m/>
    <m/>
    <m/>
    <m/>
    <m/>
    <m/>
    <m/>
  </r>
  <r>
    <x v="75"/>
    <x v="11"/>
    <x v="5"/>
    <m/>
    <m/>
    <m/>
    <m/>
    <m/>
    <n v="0"/>
    <m/>
    <m/>
    <n v="0"/>
    <s v=""/>
    <n v="0"/>
    <n v="0"/>
    <n v="0"/>
    <n v="116.88487613461319"/>
    <n v="2225"/>
    <n v="71535.307499999995"/>
    <n v="0"/>
    <n v="0"/>
    <n v="0"/>
    <n v="0"/>
    <n v="0"/>
    <n v="0"/>
  </r>
  <r>
    <x v="76"/>
    <x v="11"/>
    <x v="5"/>
    <m/>
    <m/>
    <m/>
    <m/>
    <m/>
    <n v="0"/>
    <m/>
    <m/>
    <m/>
    <m/>
    <m/>
    <m/>
    <m/>
    <m/>
    <m/>
    <m/>
    <m/>
    <m/>
    <m/>
    <m/>
    <m/>
    <m/>
  </r>
  <r>
    <x v="77"/>
    <x v="11"/>
    <x v="5"/>
    <m/>
    <m/>
    <m/>
    <m/>
    <m/>
    <n v="0"/>
    <m/>
    <m/>
    <n v="0"/>
    <s v=""/>
    <n v="0"/>
    <n v="0"/>
    <n v="0"/>
    <n v="116.88487613461319"/>
    <n v="2225"/>
    <n v="71535.307499999995"/>
    <n v="0"/>
    <n v="0"/>
    <n v="0"/>
    <n v="0"/>
    <n v="0"/>
    <n v="0"/>
  </r>
  <r>
    <x v="78"/>
    <x v="11"/>
    <x v="5"/>
    <m/>
    <m/>
    <m/>
    <m/>
    <m/>
    <n v="0"/>
    <m/>
    <m/>
    <n v="0"/>
    <s v=""/>
    <n v="0"/>
    <n v="0"/>
    <n v="0"/>
    <n v="116.88487613461319"/>
    <n v="2225"/>
    <n v="71535.307499999995"/>
    <n v="0"/>
    <n v="0"/>
    <n v="0"/>
    <n v="0"/>
    <n v="0"/>
    <n v="0"/>
  </r>
  <r>
    <x v="79"/>
    <x v="11"/>
    <x v="5"/>
    <m/>
    <m/>
    <m/>
    <n v="665"/>
    <n v="1.66"/>
    <n v="1.1038999999999999"/>
    <m/>
    <m/>
    <n v="0"/>
    <n v="-1"/>
    <n v="-665"/>
    <n v="-1.1038999999999999"/>
    <n v="0"/>
    <n v="116.88487613461319"/>
    <n v="2225"/>
    <n v="71535.307499999995"/>
    <n v="78967.825949249993"/>
    <n v="0"/>
    <n v="77728.442629517769"/>
    <n v="0"/>
    <n v="1239.3833197322238"/>
    <n v="0"/>
  </r>
  <r>
    <x v="80"/>
    <x v="11"/>
    <x v="5"/>
    <m/>
    <m/>
    <m/>
    <n v="1330"/>
    <n v="2.1800000000000002"/>
    <n v="2.8994"/>
    <n v="1954"/>
    <n v="2.19"/>
    <n v="4.2792599999999998"/>
    <n v="0.47591225770849138"/>
    <n v="624"/>
    <n v="1.3798599999999999"/>
    <n v="77725.13200541577"/>
    <n v="116.88487613461319"/>
    <n v="2225"/>
    <n v="71535.307499999995"/>
    <n v="207409.47056549997"/>
    <n v="306118.17997244996"/>
    <n v="155456.88525903554"/>
    <n v="228393.04796703419"/>
    <n v="51952.585306464433"/>
    <n v="77725.13200541577"/>
  </r>
  <r>
    <x v="81"/>
    <x v="11"/>
    <x v="5"/>
    <m/>
    <m/>
    <m/>
    <m/>
    <m/>
    <n v="0"/>
    <m/>
    <m/>
    <n v="0"/>
    <s v=""/>
    <n v="0"/>
    <n v="0"/>
    <n v="0"/>
    <n v="116.88487613461319"/>
    <n v="2225"/>
    <n v="71535.307499999995"/>
    <n v="0"/>
    <n v="0"/>
    <n v="0"/>
    <n v="0"/>
    <n v="0"/>
    <n v="0"/>
  </r>
  <r>
    <x v="82"/>
    <x v="11"/>
    <x v="5"/>
    <m/>
    <m/>
    <m/>
    <n v="1330"/>
    <n v="1.85"/>
    <n v="2.4605000000000001"/>
    <m/>
    <m/>
    <n v="0"/>
    <n v="-1"/>
    <n v="-1330"/>
    <n v="-2.4605000000000001"/>
    <n v="0"/>
    <n v="116.88487613461319"/>
    <n v="2225"/>
    <n v="71535.307499999995"/>
    <n v="176012.62410374999"/>
    <n v="0"/>
    <n v="155456.88525903554"/>
    <n v="0"/>
    <n v="20555.738844714448"/>
    <n v="0"/>
  </r>
  <r>
    <x v="83"/>
    <x v="11"/>
    <x v="5"/>
    <m/>
    <m/>
    <m/>
    <n v="665"/>
    <n v="1.79"/>
    <n v="1.1903500000000002"/>
    <m/>
    <m/>
    <n v="0"/>
    <n v="-1"/>
    <n v="-665"/>
    <n v="-1.1903500000000002"/>
    <n v="0"/>
    <n v="116.88487613461319"/>
    <n v="2225"/>
    <n v="71535.307499999995"/>
    <n v="85152.053282625013"/>
    <n v="0"/>
    <n v="77728.442629517769"/>
    <n v="0"/>
    <n v="7423.6106531072437"/>
    <n v="0"/>
  </r>
  <r>
    <x v="84"/>
    <x v="11"/>
    <x v="5"/>
    <m/>
    <m/>
    <m/>
    <m/>
    <m/>
    <n v="0"/>
    <m/>
    <m/>
    <n v="0"/>
    <s v=""/>
    <n v="0"/>
    <n v="0"/>
    <n v="0"/>
    <n v="116.88487613461319"/>
    <n v="2225"/>
    <n v="71535.307499999995"/>
    <n v="0"/>
    <n v="0"/>
    <n v="0"/>
    <n v="0"/>
    <n v="0"/>
    <n v="0"/>
  </r>
  <r>
    <x v="85"/>
    <x v="11"/>
    <x v="5"/>
    <m/>
    <m/>
    <m/>
    <m/>
    <m/>
    <n v="0"/>
    <m/>
    <m/>
    <n v="0"/>
    <s v=""/>
    <n v="0"/>
    <n v="0"/>
    <n v="0"/>
    <n v="116.88487613461319"/>
    <n v="2225"/>
    <n v="71535.307499999995"/>
    <n v="0"/>
    <n v="0"/>
    <n v="0"/>
    <n v="0"/>
    <n v="0"/>
    <n v="0"/>
  </r>
  <r>
    <x v="86"/>
    <x v="11"/>
    <x v="5"/>
    <m/>
    <m/>
    <m/>
    <m/>
    <m/>
    <n v="0"/>
    <m/>
    <m/>
    <n v="0"/>
    <s v=""/>
    <n v="0"/>
    <n v="0"/>
    <n v="0"/>
    <n v="116.88487613461319"/>
    <n v="2225"/>
    <n v="71535.307499999995"/>
    <n v="0"/>
    <n v="0"/>
    <n v="0"/>
    <n v="0"/>
    <n v="0"/>
    <n v="0"/>
  </r>
  <r>
    <x v="87"/>
    <x v="11"/>
    <x v="5"/>
    <m/>
    <m/>
    <m/>
    <m/>
    <m/>
    <n v="0"/>
    <m/>
    <m/>
    <n v="0"/>
    <s v=""/>
    <n v="0"/>
    <n v="0"/>
    <n v="0"/>
    <n v="116.88487613461319"/>
    <n v="2225"/>
    <n v="71535.307499999995"/>
    <n v="0"/>
    <n v="0"/>
    <n v="0"/>
    <n v="0"/>
    <n v="0"/>
    <n v="0"/>
  </r>
  <r>
    <x v="88"/>
    <x v="11"/>
    <x v="5"/>
    <m/>
    <m/>
    <m/>
    <m/>
    <m/>
    <n v="0"/>
    <m/>
    <m/>
    <n v="0"/>
    <s v=""/>
    <n v="0"/>
    <n v="0"/>
    <n v="0"/>
    <n v="116.88487613461319"/>
    <n v="2225"/>
    <n v="71535.307499999995"/>
    <n v="0"/>
    <n v="0"/>
    <n v="0"/>
    <n v="0"/>
    <n v="0"/>
    <n v="0"/>
  </r>
  <r>
    <x v="89"/>
    <x v="11"/>
    <x v="5"/>
    <m/>
    <m/>
    <m/>
    <m/>
    <m/>
    <n v="0"/>
    <m/>
    <m/>
    <n v="0"/>
    <s v=""/>
    <n v="0"/>
    <n v="0"/>
    <n v="0"/>
    <n v="116.88487613461319"/>
    <n v="2225"/>
    <n v="71535.307499999995"/>
    <n v="0"/>
    <n v="0"/>
    <n v="0"/>
    <n v="0"/>
    <n v="0"/>
    <n v="0"/>
  </r>
  <r>
    <x v="90"/>
    <x v="11"/>
    <x v="5"/>
    <m/>
    <m/>
    <m/>
    <m/>
    <m/>
    <n v="0"/>
    <m/>
    <m/>
    <n v="0"/>
    <s v=""/>
    <n v="0"/>
    <n v="0"/>
    <n v="0"/>
    <n v="116.88487613461319"/>
    <n v="2225"/>
    <n v="71535.307499999995"/>
    <n v="0"/>
    <n v="0"/>
    <n v="0"/>
    <n v="0"/>
    <n v="0"/>
    <n v="0"/>
  </r>
  <r>
    <x v="91"/>
    <x v="11"/>
    <x v="5"/>
    <m/>
    <m/>
    <m/>
    <m/>
    <m/>
    <n v="0"/>
    <m/>
    <m/>
    <n v="0"/>
    <s v=""/>
    <n v="0"/>
    <n v="0"/>
    <n v="0"/>
    <n v="116.88487613461319"/>
    <n v="2225"/>
    <n v="71535.307499999995"/>
    <n v="0"/>
    <n v="0"/>
    <n v="0"/>
    <n v="0"/>
    <n v="0"/>
    <n v="0"/>
  </r>
  <r>
    <x v="92"/>
    <x v="11"/>
    <x v="5"/>
    <m/>
    <m/>
    <m/>
    <m/>
    <m/>
    <n v="0"/>
    <m/>
    <m/>
    <n v="0"/>
    <s v=""/>
    <n v="0"/>
    <n v="0"/>
    <n v="0"/>
    <n v="116.88487613461319"/>
    <n v="2225"/>
    <n v="71535.307499999995"/>
    <n v="0"/>
    <n v="0"/>
    <n v="0"/>
    <n v="0"/>
    <n v="0"/>
    <n v="0"/>
  </r>
  <r>
    <x v="93"/>
    <x v="11"/>
    <x v="5"/>
    <m/>
    <m/>
    <m/>
    <m/>
    <m/>
    <n v="0"/>
    <m/>
    <m/>
    <n v="0"/>
    <s v=""/>
    <n v="0"/>
    <n v="0"/>
    <n v="0"/>
    <n v="116.88487613461319"/>
    <n v="2225"/>
    <n v="71535.307499999995"/>
    <n v="0"/>
    <n v="0"/>
    <n v="0"/>
    <n v="0"/>
    <n v="0"/>
    <n v="0"/>
  </r>
  <r>
    <x v="94"/>
    <x v="11"/>
    <x v="5"/>
    <m/>
    <m/>
    <m/>
    <m/>
    <m/>
    <n v="0"/>
    <m/>
    <m/>
    <n v="0"/>
    <s v=""/>
    <n v="0"/>
    <n v="0"/>
    <n v="0"/>
    <n v="116.88487613461319"/>
    <n v="2225"/>
    <n v="71535.307499999995"/>
    <n v="0"/>
    <n v="0"/>
    <n v="0"/>
    <n v="0"/>
    <n v="0"/>
    <n v="0"/>
  </r>
  <r>
    <x v="95"/>
    <x v="11"/>
    <x v="5"/>
    <m/>
    <m/>
    <m/>
    <m/>
    <m/>
    <n v="0"/>
    <m/>
    <m/>
    <n v="0"/>
    <s v=""/>
    <n v="0"/>
    <n v="0"/>
    <n v="0"/>
    <n v="116.88487613461319"/>
    <n v="2225"/>
    <n v="71535.307499999995"/>
    <n v="0"/>
    <n v="0"/>
    <n v="0"/>
    <n v="0"/>
    <n v="0"/>
    <n v="0"/>
  </r>
  <r>
    <x v="96"/>
    <x v="11"/>
    <x v="5"/>
    <m/>
    <m/>
    <m/>
    <m/>
    <m/>
    <n v="0"/>
    <m/>
    <m/>
    <n v="0"/>
    <s v=""/>
    <n v="0"/>
    <n v="0"/>
    <n v="0"/>
    <n v="116.88487613461319"/>
    <n v="2225"/>
    <n v="71535.307499999995"/>
    <n v="0"/>
    <n v="0"/>
    <n v="0"/>
    <n v="0"/>
    <n v="0"/>
    <n v="0"/>
  </r>
  <r>
    <x v="97"/>
    <x v="11"/>
    <x v="5"/>
    <m/>
    <m/>
    <m/>
    <m/>
    <m/>
    <n v="0"/>
    <m/>
    <m/>
    <n v="0"/>
    <s v=""/>
    <n v="0"/>
    <n v="0"/>
    <n v="0"/>
    <n v="116.88487613461319"/>
    <n v="2225"/>
    <n v="71535.307499999995"/>
    <n v="0"/>
    <n v="0"/>
    <n v="0"/>
    <n v="0"/>
    <n v="0"/>
    <n v="0"/>
  </r>
  <r>
    <x v="98"/>
    <x v="11"/>
    <x v="6"/>
    <m/>
    <m/>
    <m/>
    <m/>
    <m/>
    <n v="0"/>
    <m/>
    <m/>
    <n v="0"/>
    <s v=""/>
    <n v="0"/>
    <n v="0"/>
    <n v="0"/>
    <n v="116.88487613461319"/>
    <n v="2225"/>
    <n v="71535.307499999995"/>
    <n v="0"/>
    <n v="0"/>
    <n v="0"/>
    <n v="0"/>
    <n v="0"/>
    <n v="0"/>
  </r>
  <r>
    <x v="99"/>
    <x v="11"/>
    <x v="6"/>
    <m/>
    <m/>
    <m/>
    <m/>
    <m/>
    <n v="0"/>
    <m/>
    <m/>
    <n v="0"/>
    <s v=""/>
    <n v="0"/>
    <n v="0"/>
    <n v="0"/>
    <n v="116.88487613461319"/>
    <n v="2225"/>
    <n v="71535.307499999995"/>
    <n v="0"/>
    <n v="0"/>
    <n v="0"/>
    <n v="0"/>
    <n v="0"/>
    <n v="0"/>
  </r>
  <r>
    <x v="100"/>
    <x v="11"/>
    <x v="6"/>
    <m/>
    <m/>
    <m/>
    <m/>
    <m/>
    <n v="0"/>
    <m/>
    <m/>
    <n v="0"/>
    <s v=""/>
    <n v="0"/>
    <n v="0"/>
    <n v="0"/>
    <n v="116.88487613461319"/>
    <n v="2225"/>
    <n v="71535.307499999995"/>
    <n v="0"/>
    <n v="0"/>
    <n v="0"/>
    <n v="0"/>
    <n v="0"/>
    <n v="0"/>
  </r>
  <r>
    <x v="101"/>
    <x v="11"/>
    <x v="6"/>
    <m/>
    <m/>
    <m/>
    <m/>
    <m/>
    <n v="0"/>
    <m/>
    <m/>
    <n v="0"/>
    <s v=""/>
    <n v="0"/>
    <n v="0"/>
    <n v="0"/>
    <n v="116.88487613461319"/>
    <n v="2225"/>
    <n v="71535.307499999995"/>
    <n v="0"/>
    <n v="0"/>
    <n v="0"/>
    <n v="0"/>
    <n v="0"/>
    <n v="0"/>
  </r>
  <r>
    <x v="102"/>
    <x v="11"/>
    <x v="6"/>
    <m/>
    <m/>
    <m/>
    <m/>
    <m/>
    <n v="0"/>
    <m/>
    <m/>
    <n v="0"/>
    <s v=""/>
    <n v="0"/>
    <n v="0"/>
    <n v="0"/>
    <n v="116.88487613461319"/>
    <n v="2225"/>
    <n v="71535.307499999995"/>
    <n v="0"/>
    <n v="0"/>
    <n v="0"/>
    <n v="0"/>
    <n v="0"/>
    <n v="0"/>
  </r>
  <r>
    <x v="103"/>
    <x v="11"/>
    <x v="6"/>
    <m/>
    <m/>
    <m/>
    <m/>
    <m/>
    <n v="0"/>
    <m/>
    <m/>
    <n v="0"/>
    <s v=""/>
    <n v="0"/>
    <n v="0"/>
    <n v="0"/>
    <n v="116.88487613461319"/>
    <n v="2225"/>
    <n v="71535.307499999995"/>
    <n v="0"/>
    <n v="0"/>
    <n v="0"/>
    <n v="0"/>
    <n v="0"/>
    <n v="0"/>
  </r>
  <r>
    <x v="104"/>
    <x v="11"/>
    <x v="6"/>
    <m/>
    <m/>
    <m/>
    <m/>
    <m/>
    <n v="0"/>
    <m/>
    <m/>
    <n v="0"/>
    <s v=""/>
    <n v="0"/>
    <n v="0"/>
    <n v="0"/>
    <n v="116.88487613461319"/>
    <n v="2225"/>
    <n v="71535.307499999995"/>
    <n v="0"/>
    <n v="0"/>
    <n v="0"/>
    <n v="0"/>
    <n v="0"/>
    <n v="0"/>
  </r>
  <r>
    <x v="105"/>
    <x v="11"/>
    <x v="6"/>
    <m/>
    <m/>
    <m/>
    <m/>
    <m/>
    <n v="0"/>
    <m/>
    <m/>
    <n v="0"/>
    <s v=""/>
    <n v="0"/>
    <n v="0"/>
    <n v="0"/>
    <n v="116.88487613461319"/>
    <n v="2225"/>
    <n v="71535.307499999995"/>
    <n v="0"/>
    <n v="0"/>
    <n v="0"/>
    <n v="0"/>
    <n v="0"/>
    <n v="0"/>
  </r>
  <r>
    <x v="106"/>
    <x v="11"/>
    <x v="6"/>
    <m/>
    <m/>
    <m/>
    <m/>
    <m/>
    <n v="0"/>
    <m/>
    <m/>
    <n v="0"/>
    <s v=""/>
    <n v="0"/>
    <n v="0"/>
    <n v="0"/>
    <n v="116.88487613461319"/>
    <n v="2225"/>
    <n v="71535.307499999995"/>
    <n v="0"/>
    <n v="0"/>
    <n v="0"/>
    <n v="0"/>
    <n v="0"/>
    <n v="0"/>
  </r>
  <r>
    <x v="107"/>
    <x v="11"/>
    <x v="6"/>
    <m/>
    <m/>
    <m/>
    <m/>
    <m/>
    <n v="0"/>
    <m/>
    <m/>
    <n v="0"/>
    <s v=""/>
    <n v="0"/>
    <n v="0"/>
    <n v="0"/>
    <n v="116.88487613461319"/>
    <n v="2225"/>
    <n v="71535.307499999995"/>
    <n v="0"/>
    <n v="0"/>
    <n v="0"/>
    <n v="0"/>
    <n v="0"/>
    <n v="0"/>
  </r>
  <r>
    <x v="108"/>
    <x v="11"/>
    <x v="6"/>
    <m/>
    <m/>
    <m/>
    <m/>
    <m/>
    <n v="0"/>
    <m/>
    <m/>
    <n v="0"/>
    <s v=""/>
    <n v="0"/>
    <n v="0"/>
    <n v="0"/>
    <n v="116.88487613461319"/>
    <n v="2225"/>
    <n v="71535.307499999995"/>
    <n v="0"/>
    <n v="0"/>
    <n v="0"/>
    <n v="0"/>
    <n v="0"/>
    <n v="0"/>
  </r>
  <r>
    <x v="109"/>
    <x v="11"/>
    <x v="6"/>
    <m/>
    <m/>
    <m/>
    <m/>
    <m/>
    <n v="0"/>
    <m/>
    <m/>
    <n v="0"/>
    <s v=""/>
    <n v="0"/>
    <n v="0"/>
    <n v="0"/>
    <n v="116.88487613461319"/>
    <n v="2225"/>
    <n v="71535.307499999995"/>
    <n v="0"/>
    <n v="0"/>
    <n v="0"/>
    <n v="0"/>
    <n v="0"/>
    <n v="0"/>
  </r>
  <r>
    <x v="110"/>
    <x v="11"/>
    <x v="7"/>
    <m/>
    <m/>
    <m/>
    <m/>
    <m/>
    <n v="0"/>
    <m/>
    <m/>
    <n v="0"/>
    <s v=""/>
    <n v="0"/>
    <n v="0"/>
    <n v="0"/>
    <n v="116.88487613461319"/>
    <n v="2225"/>
    <n v="71535.307499999995"/>
    <n v="0"/>
    <n v="0"/>
    <n v="0"/>
    <n v="0"/>
    <n v="0"/>
    <n v="0"/>
  </r>
  <r>
    <x v="111"/>
    <x v="11"/>
    <x v="7"/>
    <m/>
    <m/>
    <m/>
    <m/>
    <m/>
    <n v="0"/>
    <m/>
    <m/>
    <n v="0"/>
    <s v=""/>
    <n v="0"/>
    <n v="0"/>
    <n v="0"/>
    <n v="116.88487613461319"/>
    <n v="2225"/>
    <n v="71535.307499999995"/>
    <n v="0"/>
    <n v="0"/>
    <n v="0"/>
    <n v="0"/>
    <n v="0"/>
    <n v="0"/>
  </r>
  <r>
    <x v="112"/>
    <x v="11"/>
    <x v="7"/>
    <m/>
    <m/>
    <m/>
    <m/>
    <m/>
    <n v="0"/>
    <m/>
    <m/>
    <n v="0"/>
    <s v=""/>
    <n v="0"/>
    <n v="0"/>
    <n v="0"/>
    <n v="116.88487613461319"/>
    <n v="2225"/>
    <n v="71535.307499999995"/>
    <n v="0"/>
    <n v="0"/>
    <n v="0"/>
    <n v="0"/>
    <n v="0"/>
    <n v="0"/>
  </r>
  <r>
    <x v="113"/>
    <x v="11"/>
    <x v="7"/>
    <m/>
    <m/>
    <m/>
    <m/>
    <m/>
    <n v="0"/>
    <m/>
    <m/>
    <n v="0"/>
    <s v=""/>
    <n v="0"/>
    <n v="0"/>
    <n v="0"/>
    <n v="116.88487613461319"/>
    <n v="2225"/>
    <n v="71535.307499999995"/>
    <n v="0"/>
    <n v="0"/>
    <n v="0"/>
    <n v="0"/>
    <n v="0"/>
    <n v="0"/>
  </r>
  <r>
    <x v="114"/>
    <x v="11"/>
    <x v="7"/>
    <m/>
    <m/>
    <m/>
    <m/>
    <m/>
    <n v="0"/>
    <m/>
    <m/>
    <n v="0"/>
    <s v=""/>
    <n v="0"/>
    <n v="0"/>
    <n v="0"/>
    <n v="116.88487613461319"/>
    <n v="2225"/>
    <n v="71535.307499999995"/>
    <n v="0"/>
    <n v="0"/>
    <n v="0"/>
    <n v="0"/>
    <n v="0"/>
    <n v="0"/>
  </r>
  <r>
    <x v="115"/>
    <x v="11"/>
    <x v="7"/>
    <m/>
    <m/>
    <m/>
    <m/>
    <m/>
    <n v="0"/>
    <m/>
    <m/>
    <n v="0"/>
    <s v=""/>
    <n v="0"/>
    <n v="0"/>
    <n v="0"/>
    <n v="116.88487613461319"/>
    <n v="2225"/>
    <n v="71535.307499999995"/>
    <n v="0"/>
    <n v="0"/>
    <n v="0"/>
    <n v="0"/>
    <n v="0"/>
    <n v="0"/>
  </r>
  <r>
    <x v="116"/>
    <x v="11"/>
    <x v="7"/>
    <m/>
    <m/>
    <m/>
    <m/>
    <m/>
    <n v="0"/>
    <m/>
    <m/>
    <n v="0"/>
    <s v=""/>
    <n v="0"/>
    <n v="0"/>
    <n v="0"/>
    <n v="116.88487613461319"/>
    <n v="2225"/>
    <n v="71535.307499999995"/>
    <n v="0"/>
    <n v="0"/>
    <n v="0"/>
    <n v="0"/>
    <n v="0"/>
    <n v="0"/>
  </r>
  <r>
    <x v="117"/>
    <x v="11"/>
    <x v="7"/>
    <m/>
    <m/>
    <m/>
    <m/>
    <m/>
    <n v="0"/>
    <m/>
    <m/>
    <n v="0"/>
    <s v=""/>
    <n v="0"/>
    <n v="0"/>
    <n v="0"/>
    <n v="116.88487613461319"/>
    <n v="2225"/>
    <n v="71535.307499999995"/>
    <n v="0"/>
    <n v="0"/>
    <n v="0"/>
    <n v="0"/>
    <n v="0"/>
    <n v="0"/>
  </r>
  <r>
    <x v="118"/>
    <x v="11"/>
    <x v="7"/>
    <m/>
    <m/>
    <m/>
    <m/>
    <m/>
    <n v="0"/>
    <m/>
    <m/>
    <n v="0"/>
    <s v=""/>
    <n v="0"/>
    <n v="0"/>
    <n v="0"/>
    <n v="116.88487613461319"/>
    <n v="2225"/>
    <n v="71535.307499999995"/>
    <n v="0"/>
    <n v="0"/>
    <n v="0"/>
    <n v="0"/>
    <n v="0"/>
    <n v="0"/>
  </r>
  <r>
    <x v="119"/>
    <x v="11"/>
    <x v="7"/>
    <m/>
    <m/>
    <m/>
    <m/>
    <m/>
    <n v="0"/>
    <m/>
    <m/>
    <n v="0"/>
    <s v=""/>
    <n v="0"/>
    <n v="0"/>
    <n v="0"/>
    <n v="116.88487613461319"/>
    <n v="2225"/>
    <n v="71535.307499999995"/>
    <n v="0"/>
    <n v="0"/>
    <n v="0"/>
    <n v="0"/>
    <n v="0"/>
    <n v="0"/>
  </r>
  <r>
    <x v="120"/>
    <x v="11"/>
    <x v="7"/>
    <m/>
    <m/>
    <m/>
    <m/>
    <m/>
    <n v="0"/>
    <m/>
    <m/>
    <n v="0"/>
    <s v=""/>
    <n v="0"/>
    <n v="0"/>
    <n v="0"/>
    <n v="116.88487613461319"/>
    <n v="2225"/>
    <n v="71535.307499999995"/>
    <n v="0"/>
    <n v="0"/>
    <n v="0"/>
    <n v="0"/>
    <n v="0"/>
    <n v="0"/>
  </r>
  <r>
    <x v="121"/>
    <x v="11"/>
    <x v="7"/>
    <m/>
    <m/>
    <m/>
    <m/>
    <m/>
    <n v="0"/>
    <m/>
    <m/>
    <n v="0"/>
    <s v=""/>
    <n v="0"/>
    <n v="0"/>
    <n v="0"/>
    <n v="116.88487613461319"/>
    <n v="2225"/>
    <n v="71535.307499999995"/>
    <n v="0"/>
    <n v="0"/>
    <n v="0"/>
    <n v="0"/>
    <n v="0"/>
    <n v="0"/>
  </r>
  <r>
    <x v="122"/>
    <x v="11"/>
    <x v="7"/>
    <m/>
    <m/>
    <m/>
    <m/>
    <m/>
    <n v="0"/>
    <m/>
    <m/>
    <n v="0"/>
    <s v=""/>
    <n v="0"/>
    <n v="0"/>
    <n v="0"/>
    <n v="116.88487613461319"/>
    <n v="2225"/>
    <n v="71535.307499999995"/>
    <n v="0"/>
    <n v="0"/>
    <n v="0"/>
    <n v="0"/>
    <n v="0"/>
    <n v="0"/>
  </r>
  <r>
    <x v="123"/>
    <x v="11"/>
    <x v="7"/>
    <m/>
    <m/>
    <m/>
    <m/>
    <m/>
    <n v="0"/>
    <m/>
    <m/>
    <n v="0"/>
    <s v=""/>
    <n v="0"/>
    <n v="0"/>
    <n v="0"/>
    <n v="116.88487613461319"/>
    <n v="2225"/>
    <n v="71535.307499999995"/>
    <n v="0"/>
    <n v="0"/>
    <n v="0"/>
    <n v="0"/>
    <n v="0"/>
    <n v="0"/>
  </r>
  <r>
    <x v="124"/>
    <x v="11"/>
    <x v="7"/>
    <m/>
    <m/>
    <m/>
    <m/>
    <m/>
    <n v="0"/>
    <m/>
    <m/>
    <n v="0"/>
    <s v=""/>
    <n v="0"/>
    <n v="0"/>
    <n v="0"/>
    <n v="116.88487613461319"/>
    <n v="2225"/>
    <n v="71535.307499999995"/>
    <n v="0"/>
    <n v="0"/>
    <n v="0"/>
    <n v="0"/>
    <n v="0"/>
    <n v="0"/>
  </r>
  <r>
    <x v="125"/>
    <x v="11"/>
    <x v="7"/>
    <m/>
    <m/>
    <m/>
    <m/>
    <m/>
    <n v="0"/>
    <m/>
    <m/>
    <n v="0"/>
    <s v=""/>
    <n v="0"/>
    <n v="0"/>
    <n v="0"/>
    <n v="116.88487613461319"/>
    <n v="2225"/>
    <n v="71535.307499999995"/>
    <n v="0"/>
    <n v="0"/>
    <n v="0"/>
    <n v="0"/>
    <n v="0"/>
    <n v="0"/>
  </r>
  <r>
    <x v="126"/>
    <x v="11"/>
    <x v="7"/>
    <m/>
    <m/>
    <m/>
    <m/>
    <m/>
    <n v="0"/>
    <m/>
    <m/>
    <n v="0"/>
    <s v=""/>
    <n v="0"/>
    <n v="0"/>
    <n v="0"/>
    <n v="116.88487613461319"/>
    <n v="2225"/>
    <n v="71535.307499999995"/>
    <n v="0"/>
    <n v="0"/>
    <n v="0"/>
    <n v="0"/>
    <n v="0"/>
    <n v="0"/>
  </r>
  <r>
    <x v="127"/>
    <x v="11"/>
    <x v="7"/>
    <m/>
    <m/>
    <m/>
    <m/>
    <m/>
    <n v="0"/>
    <m/>
    <m/>
    <n v="0"/>
    <s v=""/>
    <n v="0"/>
    <n v="0"/>
    <n v="0"/>
    <n v="116.88487613461319"/>
    <n v="2225"/>
    <n v="71535.307499999995"/>
    <n v="0"/>
    <n v="0"/>
    <n v="0"/>
    <n v="0"/>
    <n v="0"/>
    <n v="0"/>
  </r>
  <r>
    <x v="0"/>
    <x v="12"/>
    <x v="0"/>
    <m/>
    <m/>
    <n v="0"/>
    <m/>
    <m/>
    <n v="0"/>
    <m/>
    <m/>
    <n v="0"/>
    <s v=""/>
    <n v="0"/>
    <n v="0"/>
    <n v="0"/>
    <n v="116.88487613461319"/>
    <n v="2225"/>
    <n v="71535.307499999995"/>
    <n v="0"/>
    <n v="0"/>
    <n v="0"/>
    <n v="0"/>
    <n v="0"/>
    <n v="0"/>
  </r>
  <r>
    <x v="1"/>
    <x v="12"/>
    <x v="0"/>
    <m/>
    <m/>
    <n v="0"/>
    <m/>
    <m/>
    <n v="0"/>
    <m/>
    <m/>
    <n v="0"/>
    <s v=""/>
    <n v="0"/>
    <n v="0"/>
    <n v="0"/>
    <n v="116.88487613461319"/>
    <n v="2225"/>
    <n v="71535.307499999995"/>
    <n v="0"/>
    <n v="0"/>
    <n v="0"/>
    <n v="0"/>
    <n v="0"/>
    <n v="0"/>
  </r>
  <r>
    <x v="2"/>
    <x v="12"/>
    <x v="0"/>
    <m/>
    <m/>
    <n v="0"/>
    <m/>
    <m/>
    <n v="0"/>
    <m/>
    <m/>
    <n v="0"/>
    <s v=""/>
    <n v="0"/>
    <n v="0"/>
    <n v="0"/>
    <n v="116.88487613461319"/>
    <n v="2225"/>
    <n v="71535.307499999995"/>
    <n v="0"/>
    <n v="0"/>
    <n v="0"/>
    <n v="0"/>
    <n v="0"/>
    <n v="0"/>
  </r>
  <r>
    <x v="3"/>
    <x v="12"/>
    <x v="0"/>
    <m/>
    <m/>
    <n v="0"/>
    <m/>
    <m/>
    <n v="0"/>
    <m/>
    <m/>
    <n v="0"/>
    <s v=""/>
    <n v="0"/>
    <n v="0"/>
    <n v="0"/>
    <n v="116.88487613461319"/>
    <n v="2225"/>
    <n v="71535.307499999995"/>
    <n v="0"/>
    <n v="0"/>
    <n v="0"/>
    <n v="0"/>
    <n v="0"/>
    <n v="0"/>
  </r>
  <r>
    <x v="4"/>
    <x v="12"/>
    <x v="1"/>
    <m/>
    <m/>
    <n v="0"/>
    <m/>
    <m/>
    <n v="0"/>
    <m/>
    <m/>
    <n v="0"/>
    <s v=""/>
    <n v="0"/>
    <n v="0"/>
    <n v="0"/>
    <n v="116.88487613461319"/>
    <n v="2225"/>
    <n v="71535.307499999995"/>
    <n v="0"/>
    <n v="0"/>
    <n v="0"/>
    <n v="0"/>
    <n v="0"/>
    <n v="0"/>
  </r>
  <r>
    <x v="5"/>
    <x v="12"/>
    <x v="1"/>
    <m/>
    <m/>
    <n v="0"/>
    <m/>
    <m/>
    <n v="0"/>
    <m/>
    <m/>
    <n v="0"/>
    <s v=""/>
    <n v="0"/>
    <n v="0"/>
    <n v="0"/>
    <n v="116.88487613461319"/>
    <n v="2225"/>
    <n v="71535.307499999995"/>
    <n v="0"/>
    <n v="0"/>
    <n v="0"/>
    <n v="0"/>
    <n v="0"/>
    <n v="0"/>
  </r>
  <r>
    <x v="6"/>
    <x v="12"/>
    <x v="1"/>
    <m/>
    <m/>
    <n v="0"/>
    <m/>
    <m/>
    <n v="0"/>
    <m/>
    <m/>
    <n v="0"/>
    <s v=""/>
    <n v="0"/>
    <n v="0"/>
    <n v="0"/>
    <n v="116.88487613461319"/>
    <n v="2225"/>
    <n v="71535.307499999995"/>
    <n v="0"/>
    <n v="0"/>
    <n v="0"/>
    <n v="0"/>
    <n v="0"/>
    <n v="0"/>
  </r>
  <r>
    <x v="7"/>
    <x v="12"/>
    <x v="2"/>
    <m/>
    <m/>
    <n v="0"/>
    <m/>
    <m/>
    <n v="0"/>
    <m/>
    <m/>
    <n v="0"/>
    <s v=""/>
    <n v="0"/>
    <n v="0"/>
    <n v="0"/>
    <n v="116.88487613461319"/>
    <n v="2225"/>
    <n v="71535.307499999995"/>
    <n v="0"/>
    <n v="0"/>
    <n v="0"/>
    <n v="0"/>
    <n v="0"/>
    <n v="0"/>
  </r>
  <r>
    <x v="8"/>
    <x v="12"/>
    <x v="2"/>
    <n v="521"/>
    <n v="3.11"/>
    <n v="1.6203099999999999"/>
    <m/>
    <m/>
    <n v="0"/>
    <m/>
    <m/>
    <n v="0"/>
    <s v=""/>
    <n v="0"/>
    <n v="0"/>
    <n v="0"/>
    <n v="116.88487613461319"/>
    <n v="2225"/>
    <n v="71535.307499999995"/>
    <n v="0"/>
    <n v="0"/>
    <n v="0"/>
    <n v="0"/>
    <n v="0"/>
    <n v="0"/>
  </r>
  <r>
    <x v="9"/>
    <x v="12"/>
    <x v="2"/>
    <m/>
    <m/>
    <n v="0"/>
    <m/>
    <m/>
    <n v="0"/>
    <m/>
    <m/>
    <n v="0"/>
    <s v=""/>
    <n v="0"/>
    <n v="0"/>
    <n v="0"/>
    <n v="116.88487613461319"/>
    <n v="2225"/>
    <n v="71535.307499999995"/>
    <n v="0"/>
    <n v="0"/>
    <n v="0"/>
    <n v="0"/>
    <n v="0"/>
    <n v="0"/>
  </r>
  <r>
    <x v="10"/>
    <x v="12"/>
    <x v="2"/>
    <n v="658"/>
    <n v="2.5499999999999998"/>
    <n v="1.6778999999999999"/>
    <m/>
    <m/>
    <n v="0"/>
    <m/>
    <m/>
    <n v="0"/>
    <s v=""/>
    <n v="0"/>
    <n v="0"/>
    <n v="0"/>
    <n v="116.88487613461319"/>
    <n v="2225"/>
    <n v="71535.307499999995"/>
    <n v="0"/>
    <n v="0"/>
    <n v="0"/>
    <n v="0"/>
    <n v="0"/>
    <n v="0"/>
  </r>
  <r>
    <x v="11"/>
    <x v="12"/>
    <x v="2"/>
    <m/>
    <m/>
    <n v="0"/>
    <m/>
    <m/>
    <n v="0"/>
    <m/>
    <m/>
    <n v="0"/>
    <s v=""/>
    <n v="0"/>
    <n v="0"/>
    <n v="0"/>
    <n v="116.88487613461319"/>
    <n v="2225"/>
    <n v="71535.307499999995"/>
    <n v="0"/>
    <n v="0"/>
    <n v="0"/>
    <n v="0"/>
    <n v="0"/>
    <n v="0"/>
  </r>
  <r>
    <x v="12"/>
    <x v="12"/>
    <x v="2"/>
    <m/>
    <m/>
    <n v="0"/>
    <m/>
    <m/>
    <n v="0"/>
    <m/>
    <m/>
    <n v="0"/>
    <s v=""/>
    <n v="0"/>
    <n v="0"/>
    <n v="0"/>
    <n v="116.88487613461319"/>
    <n v="2225"/>
    <n v="71535.307499999995"/>
    <n v="0"/>
    <n v="0"/>
    <n v="0"/>
    <n v="0"/>
    <n v="0"/>
    <n v="0"/>
  </r>
  <r>
    <x v="13"/>
    <x v="12"/>
    <x v="2"/>
    <m/>
    <m/>
    <n v="0"/>
    <m/>
    <m/>
    <n v="0"/>
    <m/>
    <m/>
    <n v="0"/>
    <s v=""/>
    <n v="0"/>
    <n v="0"/>
    <n v="0"/>
    <n v="116.88487613461319"/>
    <n v="2225"/>
    <n v="71535.307499999995"/>
    <n v="0"/>
    <n v="0"/>
    <n v="0"/>
    <n v="0"/>
    <n v="0"/>
    <n v="0"/>
  </r>
  <r>
    <x v="14"/>
    <x v="12"/>
    <x v="2"/>
    <m/>
    <m/>
    <n v="0"/>
    <m/>
    <m/>
    <n v="0"/>
    <m/>
    <m/>
    <n v="0"/>
    <s v=""/>
    <n v="0"/>
    <n v="0"/>
    <n v="0"/>
    <n v="116.88487613461319"/>
    <n v="2225"/>
    <n v="71535.307499999995"/>
    <n v="0"/>
    <n v="0"/>
    <n v="0"/>
    <n v="0"/>
    <n v="0"/>
    <n v="0"/>
  </r>
  <r>
    <x v="15"/>
    <x v="12"/>
    <x v="2"/>
    <m/>
    <m/>
    <n v="0"/>
    <m/>
    <m/>
    <n v="0"/>
    <m/>
    <m/>
    <n v="0"/>
    <s v=""/>
    <n v="0"/>
    <n v="0"/>
    <n v="0"/>
    <n v="116.88487613461319"/>
    <n v="2225"/>
    <n v="71535.307499999995"/>
    <n v="0"/>
    <n v="0"/>
    <n v="0"/>
    <n v="0"/>
    <n v="0"/>
    <n v="0"/>
  </r>
  <r>
    <x v="16"/>
    <x v="12"/>
    <x v="2"/>
    <m/>
    <m/>
    <n v="0"/>
    <m/>
    <m/>
    <n v="0"/>
    <m/>
    <m/>
    <n v="0"/>
    <s v=""/>
    <n v="0"/>
    <n v="0"/>
    <n v="0"/>
    <n v="116.88487613461319"/>
    <n v="2225"/>
    <n v="71535.307499999995"/>
    <n v="0"/>
    <n v="0"/>
    <n v="0"/>
    <n v="0"/>
    <n v="0"/>
    <n v="0"/>
  </r>
  <r>
    <x v="17"/>
    <x v="12"/>
    <x v="3"/>
    <m/>
    <m/>
    <n v="0"/>
    <m/>
    <m/>
    <n v="0"/>
    <m/>
    <m/>
    <n v="0"/>
    <s v=""/>
    <n v="0"/>
    <n v="0"/>
    <n v="0"/>
    <n v="116.88487613461319"/>
    <n v="2225"/>
    <n v="71535.307499999995"/>
    <n v="0"/>
    <n v="0"/>
    <n v="0"/>
    <n v="0"/>
    <n v="0"/>
    <n v="0"/>
  </r>
  <r>
    <x v="18"/>
    <x v="12"/>
    <x v="3"/>
    <m/>
    <m/>
    <n v="0"/>
    <m/>
    <m/>
    <n v="0"/>
    <m/>
    <m/>
    <n v="0"/>
    <s v=""/>
    <n v="0"/>
    <n v="0"/>
    <n v="0"/>
    <n v="116.88487613461319"/>
    <n v="2225"/>
    <n v="71535.307499999995"/>
    <n v="0"/>
    <n v="0"/>
    <n v="0"/>
    <n v="0"/>
    <n v="0"/>
    <n v="0"/>
  </r>
  <r>
    <x v="19"/>
    <x v="12"/>
    <x v="3"/>
    <m/>
    <m/>
    <n v="0"/>
    <m/>
    <m/>
    <n v="0"/>
    <m/>
    <m/>
    <n v="0"/>
    <s v=""/>
    <n v="0"/>
    <n v="0"/>
    <n v="0"/>
    <n v="116.88487613461319"/>
    <n v="2225"/>
    <n v="71535.307499999995"/>
    <n v="0"/>
    <n v="0"/>
    <n v="0"/>
    <n v="0"/>
    <n v="0"/>
    <n v="0"/>
  </r>
  <r>
    <x v="20"/>
    <x v="12"/>
    <x v="3"/>
    <m/>
    <m/>
    <n v="0"/>
    <m/>
    <m/>
    <n v="0"/>
    <m/>
    <m/>
    <n v="0"/>
    <s v=""/>
    <n v="0"/>
    <n v="0"/>
    <n v="0"/>
    <n v="116.88487613461319"/>
    <n v="2225"/>
    <n v="71535.307499999995"/>
    <n v="0"/>
    <n v="0"/>
    <n v="0"/>
    <n v="0"/>
    <n v="0"/>
    <n v="0"/>
  </r>
  <r>
    <x v="21"/>
    <x v="12"/>
    <x v="3"/>
    <m/>
    <m/>
    <n v="0"/>
    <m/>
    <m/>
    <n v="0"/>
    <m/>
    <m/>
    <n v="0"/>
    <s v=""/>
    <n v="0"/>
    <n v="0"/>
    <n v="0"/>
    <n v="116.88487613461319"/>
    <n v="2225"/>
    <n v="71535.307499999995"/>
    <n v="0"/>
    <n v="0"/>
    <n v="0"/>
    <n v="0"/>
    <n v="0"/>
    <n v="0"/>
  </r>
  <r>
    <x v="22"/>
    <x v="12"/>
    <x v="3"/>
    <m/>
    <m/>
    <n v="0"/>
    <m/>
    <m/>
    <n v="0"/>
    <m/>
    <m/>
    <n v="0"/>
    <s v=""/>
    <n v="0"/>
    <n v="0"/>
    <n v="0"/>
    <n v="116.88487613461319"/>
    <n v="2225"/>
    <n v="71535.307499999995"/>
    <n v="0"/>
    <n v="0"/>
    <n v="0"/>
    <n v="0"/>
    <n v="0"/>
    <n v="0"/>
  </r>
  <r>
    <x v="23"/>
    <x v="12"/>
    <x v="3"/>
    <m/>
    <m/>
    <n v="0"/>
    <m/>
    <m/>
    <n v="0"/>
    <m/>
    <m/>
    <n v="0"/>
    <s v=""/>
    <n v="0"/>
    <n v="0"/>
    <n v="0"/>
    <n v="116.88487613461319"/>
    <n v="2225"/>
    <n v="71535.307499999995"/>
    <n v="0"/>
    <n v="0"/>
    <n v="0"/>
    <n v="0"/>
    <n v="0"/>
    <n v="0"/>
  </r>
  <r>
    <x v="24"/>
    <x v="12"/>
    <x v="3"/>
    <m/>
    <m/>
    <n v="0"/>
    <m/>
    <m/>
    <n v="0"/>
    <m/>
    <m/>
    <n v="0"/>
    <s v=""/>
    <n v="0"/>
    <n v="0"/>
    <n v="0"/>
    <n v="116.88487613461319"/>
    <n v="2225"/>
    <n v="71535.307499999995"/>
    <n v="0"/>
    <n v="0"/>
    <n v="0"/>
    <n v="0"/>
    <n v="0"/>
    <n v="0"/>
  </r>
  <r>
    <x v="25"/>
    <x v="12"/>
    <x v="3"/>
    <m/>
    <m/>
    <n v="0"/>
    <m/>
    <m/>
    <n v="0"/>
    <m/>
    <m/>
    <n v="0"/>
    <s v=""/>
    <n v="0"/>
    <n v="0"/>
    <n v="0"/>
    <n v="116.88487613461319"/>
    <n v="2225"/>
    <n v="71535.307499999995"/>
    <n v="0"/>
    <n v="0"/>
    <n v="0"/>
    <n v="0"/>
    <n v="0"/>
    <n v="0"/>
  </r>
  <r>
    <x v="26"/>
    <x v="12"/>
    <x v="3"/>
    <m/>
    <m/>
    <n v="0"/>
    <m/>
    <m/>
    <n v="0"/>
    <m/>
    <m/>
    <n v="0"/>
    <s v=""/>
    <n v="0"/>
    <n v="0"/>
    <n v="0"/>
    <n v="116.88487613461319"/>
    <n v="2225"/>
    <n v="71535.307499999995"/>
    <n v="0"/>
    <n v="0"/>
    <n v="0"/>
    <n v="0"/>
    <n v="0"/>
    <n v="0"/>
  </r>
  <r>
    <x v="27"/>
    <x v="12"/>
    <x v="3"/>
    <m/>
    <m/>
    <n v="0"/>
    <m/>
    <m/>
    <n v="0"/>
    <m/>
    <m/>
    <n v="0"/>
    <s v=""/>
    <n v="0"/>
    <n v="0"/>
    <n v="0"/>
    <n v="116.88487613461319"/>
    <n v="2225"/>
    <n v="71535.307499999995"/>
    <n v="0"/>
    <n v="0"/>
    <n v="0"/>
    <n v="0"/>
    <n v="0"/>
    <n v="0"/>
  </r>
  <r>
    <x v="28"/>
    <x v="12"/>
    <x v="3"/>
    <m/>
    <m/>
    <n v="0"/>
    <m/>
    <m/>
    <n v="0"/>
    <m/>
    <m/>
    <n v="0"/>
    <s v=""/>
    <n v="0"/>
    <n v="0"/>
    <n v="0"/>
    <n v="116.88487613461319"/>
    <n v="2225"/>
    <n v="71535.307499999995"/>
    <n v="0"/>
    <n v="0"/>
    <n v="0"/>
    <n v="0"/>
    <n v="0"/>
    <n v="0"/>
  </r>
  <r>
    <x v="29"/>
    <x v="12"/>
    <x v="3"/>
    <m/>
    <m/>
    <n v="0"/>
    <m/>
    <m/>
    <n v="0"/>
    <m/>
    <m/>
    <n v="0"/>
    <s v=""/>
    <n v="0"/>
    <n v="0"/>
    <n v="0"/>
    <n v="116.88487613461319"/>
    <n v="2225"/>
    <n v="71535.307499999995"/>
    <n v="0"/>
    <n v="0"/>
    <n v="0"/>
    <n v="0"/>
    <n v="0"/>
    <n v="0"/>
  </r>
  <r>
    <x v="30"/>
    <x v="12"/>
    <x v="3"/>
    <m/>
    <m/>
    <n v="0"/>
    <m/>
    <m/>
    <n v="0"/>
    <m/>
    <m/>
    <n v="0"/>
    <s v=""/>
    <n v="0"/>
    <n v="0"/>
    <n v="0"/>
    <n v="116.88487613461319"/>
    <n v="2225"/>
    <n v="71535.307499999995"/>
    <n v="0"/>
    <n v="0"/>
    <n v="0"/>
    <n v="0"/>
    <n v="0"/>
    <n v="0"/>
  </r>
  <r>
    <x v="31"/>
    <x v="12"/>
    <x v="3"/>
    <m/>
    <m/>
    <n v="0"/>
    <m/>
    <m/>
    <n v="0"/>
    <m/>
    <m/>
    <n v="0"/>
    <s v=""/>
    <n v="0"/>
    <n v="0"/>
    <n v="0"/>
    <n v="116.88487613461319"/>
    <n v="2225"/>
    <n v="71535.307499999995"/>
    <n v="0"/>
    <n v="0"/>
    <n v="0"/>
    <n v="0"/>
    <n v="0"/>
    <n v="0"/>
  </r>
  <r>
    <x v="32"/>
    <x v="12"/>
    <x v="3"/>
    <m/>
    <m/>
    <n v="0"/>
    <m/>
    <m/>
    <n v="0"/>
    <m/>
    <m/>
    <n v="0"/>
    <s v=""/>
    <n v="0"/>
    <n v="0"/>
    <n v="0"/>
    <n v="116.88487613461319"/>
    <n v="2225"/>
    <n v="71535.307499999995"/>
    <n v="0"/>
    <n v="0"/>
    <n v="0"/>
    <n v="0"/>
    <n v="0"/>
    <n v="0"/>
  </r>
  <r>
    <x v="33"/>
    <x v="12"/>
    <x v="3"/>
    <n v="2921"/>
    <n v="2.71"/>
    <n v="7.9159100000000002"/>
    <m/>
    <m/>
    <n v="0"/>
    <m/>
    <m/>
    <n v="0"/>
    <s v=""/>
    <n v="0"/>
    <n v="0"/>
    <n v="0"/>
    <n v="116.88487613461319"/>
    <n v="2225"/>
    <n v="71535.307499999995"/>
    <n v="0"/>
    <n v="0"/>
    <n v="0"/>
    <n v="0"/>
    <n v="0"/>
    <n v="0"/>
  </r>
  <r>
    <x v="34"/>
    <x v="12"/>
    <x v="3"/>
    <n v="1947"/>
    <n v="1.4"/>
    <n v="2.7257999999999996"/>
    <m/>
    <m/>
    <n v="0"/>
    <m/>
    <m/>
    <n v="0"/>
    <s v=""/>
    <n v="0"/>
    <n v="0"/>
    <n v="0"/>
    <n v="116.88487613461319"/>
    <n v="2225"/>
    <n v="71535.307499999995"/>
    <n v="0"/>
    <n v="0"/>
    <n v="0"/>
    <n v="0"/>
    <n v="0"/>
    <n v="0"/>
  </r>
  <r>
    <x v="35"/>
    <x v="12"/>
    <x v="3"/>
    <m/>
    <m/>
    <n v="0"/>
    <m/>
    <m/>
    <n v="0"/>
    <m/>
    <m/>
    <n v="0"/>
    <s v=""/>
    <n v="0"/>
    <n v="0"/>
    <n v="0"/>
    <n v="116.88487613461319"/>
    <n v="2225"/>
    <n v="71535.307499999995"/>
    <n v="0"/>
    <n v="0"/>
    <n v="0"/>
    <n v="0"/>
    <n v="0"/>
    <n v="0"/>
  </r>
  <r>
    <x v="36"/>
    <x v="12"/>
    <x v="3"/>
    <n v="408"/>
    <n v="1.28"/>
    <n v="0.52224000000000004"/>
    <m/>
    <m/>
    <n v="0"/>
    <m/>
    <m/>
    <n v="0"/>
    <s v=""/>
    <n v="0"/>
    <n v="0"/>
    <n v="0"/>
    <n v="116.88487613461319"/>
    <n v="2225"/>
    <n v="71535.307499999995"/>
    <n v="0"/>
    <n v="0"/>
    <n v="0"/>
    <n v="0"/>
    <n v="0"/>
    <n v="0"/>
  </r>
  <r>
    <x v="37"/>
    <x v="12"/>
    <x v="3"/>
    <m/>
    <m/>
    <n v="0"/>
    <m/>
    <m/>
    <n v="0"/>
    <m/>
    <m/>
    <n v="0"/>
    <s v=""/>
    <n v="0"/>
    <n v="0"/>
    <n v="0"/>
    <n v="116.88487613461319"/>
    <n v="2225"/>
    <n v="71535.307499999995"/>
    <n v="0"/>
    <n v="0"/>
    <n v="0"/>
    <n v="0"/>
    <n v="0"/>
    <n v="0"/>
  </r>
  <r>
    <x v="38"/>
    <x v="12"/>
    <x v="3"/>
    <m/>
    <m/>
    <n v="0"/>
    <m/>
    <m/>
    <n v="0"/>
    <m/>
    <m/>
    <n v="0"/>
    <s v=""/>
    <n v="0"/>
    <n v="0"/>
    <n v="0"/>
    <n v="116.88487613461319"/>
    <n v="2225"/>
    <n v="71535.307499999995"/>
    <n v="0"/>
    <n v="0"/>
    <n v="0"/>
    <n v="0"/>
    <n v="0"/>
    <n v="0"/>
  </r>
  <r>
    <x v="39"/>
    <x v="12"/>
    <x v="3"/>
    <m/>
    <m/>
    <n v="0"/>
    <m/>
    <m/>
    <n v="0"/>
    <m/>
    <m/>
    <n v="0"/>
    <s v=""/>
    <n v="0"/>
    <n v="0"/>
    <n v="0"/>
    <n v="116.88487613461319"/>
    <n v="2225"/>
    <n v="71535.307499999995"/>
    <n v="0"/>
    <n v="0"/>
    <n v="0"/>
    <n v="0"/>
    <n v="0"/>
    <n v="0"/>
  </r>
  <r>
    <x v="40"/>
    <x v="12"/>
    <x v="3"/>
    <m/>
    <m/>
    <n v="0"/>
    <m/>
    <m/>
    <n v="0"/>
    <m/>
    <m/>
    <n v="0"/>
    <s v=""/>
    <n v="0"/>
    <n v="0"/>
    <n v="0"/>
    <n v="116.88487613461319"/>
    <n v="2225"/>
    <n v="71535.307499999995"/>
    <n v="0"/>
    <n v="0"/>
    <n v="0"/>
    <n v="0"/>
    <n v="0"/>
    <n v="0"/>
  </r>
  <r>
    <x v="41"/>
    <x v="12"/>
    <x v="3"/>
    <m/>
    <m/>
    <n v="0"/>
    <m/>
    <m/>
    <n v="0"/>
    <m/>
    <m/>
    <n v="0"/>
    <s v=""/>
    <n v="0"/>
    <n v="0"/>
    <n v="0"/>
    <n v="116.88487613461319"/>
    <n v="2225"/>
    <n v="71535.307499999995"/>
    <n v="0"/>
    <n v="0"/>
    <n v="0"/>
    <n v="0"/>
    <n v="0"/>
    <n v="0"/>
  </r>
  <r>
    <x v="42"/>
    <x v="12"/>
    <x v="3"/>
    <m/>
    <m/>
    <n v="0"/>
    <m/>
    <m/>
    <n v="0"/>
    <m/>
    <m/>
    <n v="0"/>
    <s v=""/>
    <n v="0"/>
    <n v="0"/>
    <n v="0"/>
    <n v="116.88487613461319"/>
    <n v="2225"/>
    <n v="71535.307499999995"/>
    <n v="0"/>
    <n v="0"/>
    <n v="0"/>
    <n v="0"/>
    <n v="0"/>
    <n v="0"/>
  </r>
  <r>
    <x v="43"/>
    <x v="12"/>
    <x v="3"/>
    <m/>
    <m/>
    <n v="0"/>
    <m/>
    <m/>
    <n v="0"/>
    <m/>
    <m/>
    <n v="0"/>
    <s v=""/>
    <n v="0"/>
    <n v="0"/>
    <n v="0"/>
    <n v="116.88487613461319"/>
    <n v="2225"/>
    <n v="71535.307499999995"/>
    <n v="0"/>
    <n v="0"/>
    <n v="0"/>
    <n v="0"/>
    <n v="0"/>
    <n v="0"/>
  </r>
  <r>
    <x v="44"/>
    <x v="12"/>
    <x v="3"/>
    <m/>
    <m/>
    <n v="0"/>
    <m/>
    <m/>
    <n v="0"/>
    <m/>
    <m/>
    <n v="0"/>
    <s v=""/>
    <n v="0"/>
    <n v="0"/>
    <n v="0"/>
    <n v="116.88487613461319"/>
    <n v="2225"/>
    <n v="71535.307499999995"/>
    <n v="0"/>
    <n v="0"/>
    <n v="0"/>
    <n v="0"/>
    <n v="0"/>
    <n v="0"/>
  </r>
  <r>
    <x v="45"/>
    <x v="12"/>
    <x v="3"/>
    <n v="3033"/>
    <n v="1.81"/>
    <n v="5.4897300000000007"/>
    <n v="6510"/>
    <n v="2.4399999999999982"/>
    <n v="15.884399999999989"/>
    <n v="6179"/>
    <n v="3.2601958245670826"/>
    <n v="20.144750000000002"/>
    <n v="0.26820969001032563"/>
    <n v="-331"/>
    <n v="4.2603500000000132"/>
    <n v="718829.23612485023"/>
    <n v="116.88487613461319"/>
    <n v="2225"/>
    <n v="71535.307499999995"/>
    <n v="1136295.4384529991"/>
    <n v="1441060.8857606251"/>
    <n v="760920.54363633192"/>
    <n v="722231.6496357749"/>
    <n v="375374.89481666719"/>
    <n v="718829.23612485023"/>
  </r>
  <r>
    <x v="46"/>
    <x v="12"/>
    <x v="3"/>
    <m/>
    <m/>
    <m/>
    <m/>
    <m/>
    <m/>
    <m/>
    <m/>
    <m/>
    <m/>
    <m/>
    <m/>
    <m/>
    <m/>
    <m/>
    <m/>
    <m/>
    <m/>
    <m/>
    <m/>
    <m/>
    <m/>
  </r>
  <r>
    <x v="47"/>
    <x v="12"/>
    <x v="3"/>
    <m/>
    <m/>
    <n v="0"/>
    <m/>
    <m/>
    <n v="0"/>
    <m/>
    <m/>
    <m/>
    <m/>
    <m/>
    <m/>
    <m/>
    <m/>
    <m/>
    <m/>
    <m/>
    <m/>
    <m/>
    <m/>
    <m/>
    <m/>
  </r>
  <r>
    <x v="48"/>
    <x v="12"/>
    <x v="3"/>
    <m/>
    <m/>
    <n v="0"/>
    <m/>
    <m/>
    <n v="0"/>
    <m/>
    <m/>
    <m/>
    <m/>
    <m/>
    <m/>
    <m/>
    <m/>
    <m/>
    <m/>
    <m/>
    <m/>
    <m/>
    <m/>
    <m/>
    <m/>
  </r>
  <r>
    <x v="49"/>
    <x v="12"/>
    <x v="3"/>
    <m/>
    <m/>
    <n v="0"/>
    <n v="1085"/>
    <n v="2.1199999999999997"/>
    <n v="2.3001999999999998"/>
    <n v="1458"/>
    <n v="1.2119204389574763"/>
    <n v="1.7669800000000004"/>
    <n v="-0.23181462481523321"/>
    <n v="373"/>
    <n v="-0.53321999999999936"/>
    <n v="-44016.691757916007"/>
    <n v="116.88487613461319"/>
    <n v="2225"/>
    <n v="71535.307499999995"/>
    <n v="164545.51431149998"/>
    <n v="126401.45764635003"/>
    <n v="126820.09060605531"/>
    <n v="170418.14940426603"/>
    <n v="37725.423705444671"/>
    <n v="-44016.691757916007"/>
  </r>
  <r>
    <x v="50"/>
    <x v="12"/>
    <x v="4"/>
    <m/>
    <m/>
    <n v="0"/>
    <m/>
    <m/>
    <n v="0"/>
    <m/>
    <m/>
    <n v="0"/>
    <s v=""/>
    <n v="0"/>
    <n v="0"/>
    <n v="0"/>
    <n v="116.88487613461319"/>
    <n v="2225"/>
    <n v="71535.307499999995"/>
    <n v="0"/>
    <n v="0"/>
    <n v="0"/>
    <n v="0"/>
    <n v="0"/>
    <n v="0"/>
  </r>
  <r>
    <x v="51"/>
    <x v="12"/>
    <x v="4"/>
    <m/>
    <m/>
    <n v="0"/>
    <m/>
    <m/>
    <n v="0"/>
    <m/>
    <m/>
    <n v="0"/>
    <s v=""/>
    <n v="0"/>
    <n v="0"/>
    <n v="0"/>
    <n v="116.88487613461319"/>
    <n v="2225"/>
    <n v="71535.307499999995"/>
    <n v="0"/>
    <n v="0"/>
    <n v="0"/>
    <n v="0"/>
    <n v="0"/>
    <n v="0"/>
  </r>
  <r>
    <x v="52"/>
    <x v="12"/>
    <x v="4"/>
    <m/>
    <m/>
    <n v="0"/>
    <n v="1085"/>
    <n v="1.8599999999999994"/>
    <n v="2.0180999999999996"/>
    <n v="754"/>
    <n v="0.46722811671087527"/>
    <n v="0.35228999999999994"/>
    <n v="-0.82543481492492932"/>
    <n v="-331"/>
    <n v="-1.6658099999999996"/>
    <n v="-62930.023126323358"/>
    <n v="116.88487613461319"/>
    <n v="2225"/>
    <n v="71535.307499999995"/>
    <n v="144365.40406574996"/>
    <n v="25201.173479174995"/>
    <n v="126820.09060605531"/>
    <n v="88131.19660549835"/>
    <n v="17545.313459694647"/>
    <n v="-62930.023126323358"/>
  </r>
  <r>
    <x v="53"/>
    <x v="12"/>
    <x v="4"/>
    <n v="351"/>
    <n v="1.82"/>
    <n v="0.63882000000000005"/>
    <m/>
    <m/>
    <n v="0"/>
    <m/>
    <m/>
    <n v="0"/>
    <s v=""/>
    <n v="0"/>
    <n v="0"/>
    <n v="0"/>
    <n v="116.88487613461319"/>
    <n v="2225"/>
    <n v="71535.307499999995"/>
    <n v="0"/>
    <n v="0"/>
    <n v="0"/>
    <n v="0"/>
    <n v="0"/>
    <n v="0"/>
  </r>
  <r>
    <x v="54"/>
    <x v="12"/>
    <x v="4"/>
    <m/>
    <m/>
    <n v="0"/>
    <m/>
    <m/>
    <n v="0"/>
    <m/>
    <m/>
    <n v="0"/>
    <s v=""/>
    <n v="0"/>
    <n v="0"/>
    <n v="0"/>
    <n v="116.88487613461319"/>
    <n v="2225"/>
    <n v="71535.307499999995"/>
    <n v="0"/>
    <n v="0"/>
    <n v="0"/>
    <n v="0"/>
    <n v="0"/>
    <n v="0"/>
  </r>
  <r>
    <x v="55"/>
    <x v="12"/>
    <x v="4"/>
    <m/>
    <m/>
    <n v="0"/>
    <m/>
    <m/>
    <n v="0"/>
    <m/>
    <m/>
    <n v="0"/>
    <s v=""/>
    <n v="0"/>
    <n v="0"/>
    <n v="0"/>
    <n v="116.88487613461319"/>
    <n v="2225"/>
    <n v="71535.307499999995"/>
    <n v="0"/>
    <n v="0"/>
    <n v="0"/>
    <n v="0"/>
    <n v="0"/>
    <n v="0"/>
  </r>
  <r>
    <x v="56"/>
    <x v="12"/>
    <x v="4"/>
    <n v="1908"/>
    <n v="0.92"/>
    <n v="1.75536"/>
    <m/>
    <m/>
    <n v="0"/>
    <m/>
    <m/>
    <n v="0"/>
    <s v=""/>
    <n v="0"/>
    <n v="0"/>
    <n v="0"/>
    <n v="116.88487613461319"/>
    <n v="2225"/>
    <n v="71535.307499999995"/>
    <n v="0"/>
    <n v="0"/>
    <n v="0"/>
    <n v="0"/>
    <n v="0"/>
    <n v="0"/>
  </r>
  <r>
    <x v="57"/>
    <x v="12"/>
    <x v="4"/>
    <n v="1947"/>
    <n v="0.53"/>
    <n v="1.0319100000000001"/>
    <n v="4060"/>
    <n v="2.0099999999999993"/>
    <n v="8.160599999999997"/>
    <n v="4555"/>
    <n v="1.8785049396267839"/>
    <n v="8.5565899999999999"/>
    <n v="4.8524618287871371E-2"/>
    <n v="495"/>
    <n v="0.39599000000000295"/>
    <n v="79687.686008261866"/>
    <n v="116.88487613461319"/>
    <n v="2225"/>
    <n v="71535.307499999995"/>
    <n v="583771.0303844997"/>
    <n v="612098.29680142493"/>
    <n v="474552.59710652957"/>
    <n v="532410.61079316307"/>
    <n v="109218.43327797012"/>
    <n v="79687.686008261866"/>
  </r>
  <r>
    <x v="58"/>
    <x v="12"/>
    <x v="4"/>
    <m/>
    <m/>
    <n v="0"/>
    <m/>
    <m/>
    <n v="0"/>
    <m/>
    <m/>
    <n v="0"/>
    <s v=""/>
    <n v="0"/>
    <n v="0"/>
    <n v="0"/>
    <n v="116.88487613461319"/>
    <n v="2225"/>
    <n v="71535.307499999995"/>
    <n v="0"/>
    <n v="0"/>
    <n v="0"/>
    <n v="0"/>
    <n v="0"/>
    <n v="0"/>
  </r>
  <r>
    <x v="59"/>
    <x v="12"/>
    <x v="4"/>
    <m/>
    <m/>
    <n v="0"/>
    <n v="3255"/>
    <n v="1.8000000000000003"/>
    <n v="5.8590000000000009"/>
    <n v="2609.5"/>
    <n v="2.4268116497413295"/>
    <n v="6.3327649999999993"/>
    <n v="8.0861068441713327E-2"/>
    <n v="-645.5"/>
    <n v="0.47376499999999844"/>
    <n v="148005.2073269643"/>
    <n v="116.88487613461319"/>
    <n v="2225"/>
    <n v="71535.307499999995"/>
    <n v="419125.36664250004"/>
    <n v="453016.29160023743"/>
    <n v="380460.27181816596"/>
    <n v="305011.08427327313"/>
    <n v="38665.094824334083"/>
    <n v="148005.2073269643"/>
  </r>
  <r>
    <x v="60"/>
    <x v="12"/>
    <x v="4"/>
    <m/>
    <m/>
    <n v="0"/>
    <m/>
    <m/>
    <n v="0"/>
    <m/>
    <m/>
    <n v="0"/>
    <s v=""/>
    <n v="0"/>
    <n v="0"/>
    <n v="0"/>
    <n v="116.88487613461319"/>
    <n v="2225"/>
    <n v="71535.307499999995"/>
    <n v="0"/>
    <n v="0"/>
    <n v="0"/>
    <n v="0"/>
    <n v="0"/>
    <n v="0"/>
  </r>
  <r>
    <x v="61"/>
    <x v="12"/>
    <x v="4"/>
    <m/>
    <m/>
    <n v="0"/>
    <m/>
    <m/>
    <n v="0"/>
    <m/>
    <m/>
    <n v="0"/>
    <s v=""/>
    <n v="0"/>
    <n v="0"/>
    <n v="0"/>
    <n v="116.88487613461319"/>
    <n v="2225"/>
    <n v="71535.307499999995"/>
    <n v="0"/>
    <n v="0"/>
    <n v="0"/>
    <n v="0"/>
    <n v="0"/>
    <n v="0"/>
  </r>
  <r>
    <x v="62"/>
    <x v="12"/>
    <x v="4"/>
    <m/>
    <m/>
    <n v="0"/>
    <m/>
    <m/>
    <n v="0"/>
    <m/>
    <m/>
    <n v="0"/>
    <s v=""/>
    <n v="0"/>
    <n v="0"/>
    <n v="0"/>
    <n v="116.88487613461319"/>
    <n v="2225"/>
    <n v="71535.307499999995"/>
    <n v="0"/>
    <n v="0"/>
    <n v="0"/>
    <n v="0"/>
    <n v="0"/>
    <n v="0"/>
  </r>
  <r>
    <x v="63"/>
    <x v="12"/>
    <x v="4"/>
    <m/>
    <m/>
    <n v="0"/>
    <m/>
    <m/>
    <n v="0"/>
    <m/>
    <m/>
    <n v="0"/>
    <s v=""/>
    <n v="0"/>
    <n v="0"/>
    <n v="0"/>
    <n v="116.88487613461319"/>
    <n v="2225"/>
    <n v="71535.307499999995"/>
    <n v="0"/>
    <n v="0"/>
    <n v="0"/>
    <n v="0"/>
    <n v="0"/>
    <n v="0"/>
  </r>
  <r>
    <x v="64"/>
    <x v="12"/>
    <x v="4"/>
    <m/>
    <m/>
    <n v="0"/>
    <m/>
    <m/>
    <n v="0"/>
    <m/>
    <m/>
    <n v="0"/>
    <s v=""/>
    <n v="0"/>
    <n v="0"/>
    <n v="0"/>
    <n v="116.88487613461319"/>
    <n v="2225"/>
    <n v="71535.307499999995"/>
    <n v="0"/>
    <n v="0"/>
    <n v="0"/>
    <n v="0"/>
    <n v="0"/>
    <n v="0"/>
  </r>
  <r>
    <x v="65"/>
    <x v="12"/>
    <x v="4"/>
    <m/>
    <m/>
    <n v="0"/>
    <m/>
    <m/>
    <n v="0"/>
    <m/>
    <m/>
    <n v="0"/>
    <s v=""/>
    <n v="0"/>
    <n v="0"/>
    <n v="0"/>
    <n v="116.88487613461319"/>
    <n v="2225"/>
    <n v="71535.307499999995"/>
    <n v="0"/>
    <n v="0"/>
    <n v="0"/>
    <n v="0"/>
    <n v="0"/>
    <n v="0"/>
  </r>
  <r>
    <x v="66"/>
    <x v="12"/>
    <x v="4"/>
    <m/>
    <m/>
    <n v="0"/>
    <m/>
    <m/>
    <n v="0"/>
    <m/>
    <m/>
    <n v="0"/>
    <s v=""/>
    <n v="0"/>
    <n v="0"/>
    <n v="0"/>
    <n v="116.88487613461319"/>
    <n v="2225"/>
    <n v="71535.307499999995"/>
    <n v="0"/>
    <n v="0"/>
    <n v="0"/>
    <n v="0"/>
    <n v="0"/>
    <n v="0"/>
  </r>
  <r>
    <x v="67"/>
    <x v="12"/>
    <x v="4"/>
    <m/>
    <m/>
    <n v="0"/>
    <m/>
    <m/>
    <n v="0"/>
    <m/>
    <m/>
    <n v="0"/>
    <s v=""/>
    <n v="0"/>
    <n v="0"/>
    <n v="0"/>
    <n v="116.88487613461319"/>
    <n v="2225"/>
    <n v="71535.307499999995"/>
    <n v="0"/>
    <n v="0"/>
    <n v="0"/>
    <n v="0"/>
    <n v="0"/>
    <n v="0"/>
  </r>
  <r>
    <x v="68"/>
    <x v="12"/>
    <x v="4"/>
    <m/>
    <m/>
    <n v="0"/>
    <m/>
    <m/>
    <n v="0"/>
    <m/>
    <m/>
    <n v="0"/>
    <s v=""/>
    <n v="0"/>
    <n v="0"/>
    <n v="0"/>
    <n v="116.88487613461319"/>
    <n v="2225"/>
    <n v="71535.307499999995"/>
    <n v="0"/>
    <n v="0"/>
    <n v="0"/>
    <n v="0"/>
    <n v="0"/>
    <n v="0"/>
  </r>
  <r>
    <x v="69"/>
    <x v="12"/>
    <x v="4"/>
    <m/>
    <m/>
    <n v="0"/>
    <m/>
    <m/>
    <n v="0"/>
    <m/>
    <m/>
    <n v="0"/>
    <s v=""/>
    <n v="0"/>
    <n v="0"/>
    <n v="0"/>
    <n v="116.88487613461319"/>
    <n v="2225"/>
    <n v="71535.307499999995"/>
    <n v="0"/>
    <n v="0"/>
    <n v="0"/>
    <n v="0"/>
    <n v="0"/>
    <n v="0"/>
  </r>
  <r>
    <x v="70"/>
    <x v="12"/>
    <x v="5"/>
    <n v="2921"/>
    <n v="2.83"/>
    <n v="8.2664299999999997"/>
    <n v="2100"/>
    <n v="3.1619999999999986"/>
    <n v="6.6401999999999974"/>
    <n v="2028.2"/>
    <n v="3.1833892121092591"/>
    <n v="6.4565499999999991"/>
    <n v="-2.7657299478931113E-2"/>
    <n v="-71.799999999999955"/>
    <n v="-0.18364999999999831"/>
    <n v="224805.38386290238"/>
    <n v="116.88487613461319"/>
    <n v="2225"/>
    <n v="71535.307499999995"/>
    <n v="475008.74886149977"/>
    <n v="461871.28963912488"/>
    <n v="245458.23988268772"/>
    <n v="237065.9057762225"/>
    <n v="229550.50897881205"/>
    <n v="224805.38386290238"/>
  </r>
  <r>
    <x v="71"/>
    <x v="12"/>
    <x v="5"/>
    <m/>
    <m/>
    <n v="0"/>
    <n v="1050"/>
    <n v="1.0499999999999994"/>
    <n v="1.1024999999999994"/>
    <n v="0"/>
    <n v="0"/>
    <n v="0"/>
    <n v="-1"/>
    <n v="-1050"/>
    <n v="-1.1024999999999994"/>
    <n v="0"/>
    <n v="116.88487613461319"/>
    <n v="2225"/>
    <n v="71535.307499999995"/>
    <n v="78867.676518749955"/>
    <n v="0"/>
    <n v="122729.11994134386"/>
    <n v="0"/>
    <n v="-43861.443422593904"/>
    <n v="0"/>
  </r>
  <r>
    <x v="72"/>
    <x v="12"/>
    <x v="5"/>
    <m/>
    <m/>
    <n v="0"/>
    <m/>
    <m/>
    <n v="0"/>
    <m/>
    <m/>
    <m/>
    <m/>
    <m/>
    <m/>
    <m/>
    <m/>
    <m/>
    <m/>
    <m/>
    <m/>
    <m/>
    <m/>
    <m/>
    <m/>
  </r>
  <r>
    <x v="73"/>
    <x v="12"/>
    <x v="5"/>
    <m/>
    <m/>
    <n v="0"/>
    <m/>
    <m/>
    <n v="0"/>
    <m/>
    <m/>
    <m/>
    <m/>
    <m/>
    <m/>
    <m/>
    <m/>
    <m/>
    <m/>
    <m/>
    <m/>
    <m/>
    <m/>
    <m/>
    <m/>
  </r>
  <r>
    <x v="74"/>
    <x v="12"/>
    <x v="5"/>
    <m/>
    <m/>
    <n v="0"/>
    <m/>
    <m/>
    <n v="0"/>
    <m/>
    <m/>
    <m/>
    <m/>
    <m/>
    <m/>
    <m/>
    <m/>
    <m/>
    <m/>
    <m/>
    <m/>
    <m/>
    <m/>
    <m/>
    <m/>
  </r>
  <r>
    <x v="75"/>
    <x v="12"/>
    <x v="5"/>
    <m/>
    <m/>
    <n v="0"/>
    <m/>
    <m/>
    <n v="0"/>
    <m/>
    <m/>
    <n v="0"/>
    <s v=""/>
    <n v="0"/>
    <n v="0"/>
    <n v="0"/>
    <n v="116.88487613461319"/>
    <n v="2225"/>
    <n v="71535.307499999995"/>
    <n v="0"/>
    <n v="0"/>
    <n v="0"/>
    <n v="0"/>
    <n v="0"/>
    <n v="0"/>
  </r>
  <r>
    <x v="76"/>
    <x v="12"/>
    <x v="5"/>
    <m/>
    <m/>
    <n v="0"/>
    <m/>
    <m/>
    <n v="0"/>
    <m/>
    <m/>
    <m/>
    <m/>
    <m/>
    <m/>
    <m/>
    <m/>
    <m/>
    <m/>
    <m/>
    <m/>
    <m/>
    <m/>
    <m/>
    <m/>
  </r>
  <r>
    <x v="77"/>
    <x v="12"/>
    <x v="5"/>
    <m/>
    <m/>
    <n v="0"/>
    <m/>
    <m/>
    <n v="0"/>
    <m/>
    <m/>
    <n v="0"/>
    <s v=""/>
    <n v="0"/>
    <n v="0"/>
    <n v="0"/>
    <n v="116.88487613461319"/>
    <n v="2225"/>
    <n v="71535.307499999995"/>
    <n v="0"/>
    <n v="0"/>
    <n v="0"/>
    <n v="0"/>
    <n v="0"/>
    <n v="0"/>
  </r>
  <r>
    <x v="78"/>
    <x v="12"/>
    <x v="5"/>
    <n v="1947"/>
    <n v="3.06"/>
    <n v="5.9578199999999999"/>
    <n v="1050"/>
    <n v="2.7284999999999999"/>
    <n v="2.8649249999999999"/>
    <n v="1949"/>
    <n v="2.7855515649050795"/>
    <n v="5.4290399999999996"/>
    <n v="0.89500248697609874"/>
    <n v="899"/>
    <n v="2.5641149999999997"/>
    <n v="160559.42224343884"/>
    <n v="116.88487613461319"/>
    <n v="2225"/>
    <n v="71535.307499999995"/>
    <n v="204943.29083943748"/>
    <n v="388368.04582979996"/>
    <n v="122729.11994134386"/>
    <n v="227808.62358636112"/>
    <n v="82214.170898093624"/>
    <n v="160559.42224343884"/>
  </r>
  <r>
    <x v="79"/>
    <x v="12"/>
    <x v="5"/>
    <n v="1807"/>
    <n v="1.57"/>
    <n v="2.8369900000000001"/>
    <n v="2100"/>
    <n v="2.1929999999999987"/>
    <n v="4.6052999999999971"/>
    <n v="804"/>
    <n v="2.6023756218905474"/>
    <n v="2.0923099999999999"/>
    <n v="-0.54567346318372278"/>
    <n v="-1296"/>
    <n v="-2.5129899999999972"/>
    <n v="55698.598823095963"/>
    <n v="116.88487613461319"/>
    <n v="2225"/>
    <n v="71535.307499999995"/>
    <n v="329441.55162974977"/>
    <n v="149674.03923532498"/>
    <n v="245458.23988268772"/>
    <n v="93975.440412229014"/>
    <n v="83983.311747062049"/>
    <n v="55698.598823095963"/>
  </r>
  <r>
    <x v="80"/>
    <x v="12"/>
    <x v="5"/>
    <n v="1947"/>
    <n v="2.7"/>
    <n v="5.2569000000000008"/>
    <n v="2100"/>
    <n v="2.6604999999999994"/>
    <n v="5.5870499999999987"/>
    <n v="3534.5"/>
    <n v="2.2162979204979485"/>
    <n v="7.8335049999999988"/>
    <n v="0.40208249433958898"/>
    <n v="1434.5"/>
    <n v="2.2464550000000001"/>
    <n v="147242.59427999705"/>
    <n v="116.88487613461319"/>
    <n v="2225"/>
    <n v="71535.307499999995"/>
    <n v="399671.33976787486"/>
    <n v="560372.18897778739"/>
    <n v="245458.23988268772"/>
    <n v="413129.59469779034"/>
    <n v="154213.09988518714"/>
    <n v="147242.59427999705"/>
  </r>
  <r>
    <x v="81"/>
    <x v="12"/>
    <x v="5"/>
    <m/>
    <m/>
    <n v="0"/>
    <m/>
    <m/>
    <n v="0"/>
    <m/>
    <m/>
    <n v="0"/>
    <s v=""/>
    <n v="0"/>
    <n v="0"/>
    <n v="0"/>
    <n v="116.88487613461319"/>
    <n v="2225"/>
    <n v="71535.307499999995"/>
    <n v="0"/>
    <n v="0"/>
    <n v="0"/>
    <n v="0"/>
    <n v="0"/>
    <n v="0"/>
  </r>
  <r>
    <x v="82"/>
    <x v="12"/>
    <x v="5"/>
    <n v="1947"/>
    <n v="3.63"/>
    <n v="7.0676099999999993"/>
    <m/>
    <m/>
    <n v="0"/>
    <m/>
    <m/>
    <n v="0"/>
    <s v=""/>
    <n v="0"/>
    <n v="0"/>
    <n v="0"/>
    <n v="116.88487613461319"/>
    <n v="2225"/>
    <n v="71535.307499999995"/>
    <n v="0"/>
    <n v="0"/>
    <n v="0"/>
    <n v="0"/>
    <n v="0"/>
    <n v="0"/>
  </r>
  <r>
    <x v="83"/>
    <x v="12"/>
    <x v="5"/>
    <n v="1947"/>
    <n v="2.87"/>
    <n v="5.5878900000000007"/>
    <m/>
    <m/>
    <n v="0"/>
    <m/>
    <m/>
    <n v="0"/>
    <s v=""/>
    <n v="0"/>
    <n v="0"/>
    <n v="0"/>
    <n v="116.88487613461319"/>
    <n v="2225"/>
    <n v="71535.307499999995"/>
    <n v="0"/>
    <n v="0"/>
    <n v="0"/>
    <n v="0"/>
    <n v="0"/>
    <n v="0"/>
  </r>
  <r>
    <x v="84"/>
    <x v="12"/>
    <x v="5"/>
    <m/>
    <m/>
    <n v="0"/>
    <m/>
    <m/>
    <n v="0"/>
    <m/>
    <m/>
    <n v="0"/>
    <s v=""/>
    <n v="0"/>
    <n v="0"/>
    <n v="0"/>
    <n v="116.88487613461319"/>
    <n v="2225"/>
    <n v="71535.307499999995"/>
    <n v="0"/>
    <n v="0"/>
    <n v="0"/>
    <n v="0"/>
    <n v="0"/>
    <n v="0"/>
  </r>
  <r>
    <x v="85"/>
    <x v="12"/>
    <x v="5"/>
    <m/>
    <m/>
    <n v="0"/>
    <m/>
    <m/>
    <n v="0"/>
    <m/>
    <m/>
    <n v="0"/>
    <s v=""/>
    <n v="0"/>
    <n v="0"/>
    <n v="0"/>
    <n v="116.88487613461319"/>
    <n v="2225"/>
    <n v="71535.307499999995"/>
    <n v="0"/>
    <n v="0"/>
    <n v="0"/>
    <n v="0"/>
    <n v="0"/>
    <n v="0"/>
  </r>
  <r>
    <x v="86"/>
    <x v="12"/>
    <x v="5"/>
    <m/>
    <m/>
    <n v="0"/>
    <m/>
    <m/>
    <n v="0"/>
    <m/>
    <m/>
    <n v="0"/>
    <s v=""/>
    <n v="0"/>
    <n v="0"/>
    <n v="0"/>
    <n v="116.88487613461319"/>
    <n v="2225"/>
    <n v="71535.307499999995"/>
    <n v="0"/>
    <n v="0"/>
    <n v="0"/>
    <n v="0"/>
    <n v="0"/>
    <n v="0"/>
  </r>
  <r>
    <x v="87"/>
    <x v="12"/>
    <x v="5"/>
    <m/>
    <m/>
    <n v="0"/>
    <m/>
    <m/>
    <n v="0"/>
    <m/>
    <m/>
    <n v="0"/>
    <s v=""/>
    <n v="0"/>
    <n v="0"/>
    <n v="0"/>
    <n v="116.88487613461319"/>
    <n v="2225"/>
    <n v="71535.307499999995"/>
    <n v="0"/>
    <n v="0"/>
    <n v="0"/>
    <n v="0"/>
    <n v="0"/>
    <n v="0"/>
  </r>
  <r>
    <x v="88"/>
    <x v="12"/>
    <x v="5"/>
    <m/>
    <m/>
    <n v="0"/>
    <m/>
    <m/>
    <n v="0"/>
    <m/>
    <m/>
    <n v="0"/>
    <s v=""/>
    <n v="0"/>
    <n v="0"/>
    <n v="0"/>
    <n v="116.88487613461319"/>
    <n v="2225"/>
    <n v="71535.307499999995"/>
    <n v="0"/>
    <n v="0"/>
    <n v="0"/>
    <n v="0"/>
    <n v="0"/>
    <n v="0"/>
  </r>
  <r>
    <x v="89"/>
    <x v="12"/>
    <x v="5"/>
    <m/>
    <m/>
    <n v="0"/>
    <m/>
    <m/>
    <n v="0"/>
    <m/>
    <m/>
    <n v="0"/>
    <s v=""/>
    <n v="0"/>
    <n v="0"/>
    <n v="0"/>
    <n v="116.88487613461319"/>
    <n v="2225"/>
    <n v="71535.307499999995"/>
    <n v="0"/>
    <n v="0"/>
    <n v="0"/>
    <n v="0"/>
    <n v="0"/>
    <n v="0"/>
  </r>
  <r>
    <x v="90"/>
    <x v="12"/>
    <x v="5"/>
    <m/>
    <m/>
    <n v="0"/>
    <m/>
    <m/>
    <n v="0"/>
    <m/>
    <m/>
    <n v="0"/>
    <s v=""/>
    <n v="0"/>
    <n v="0"/>
    <n v="0"/>
    <n v="116.88487613461319"/>
    <n v="2225"/>
    <n v="71535.307499999995"/>
    <n v="0"/>
    <n v="0"/>
    <n v="0"/>
    <n v="0"/>
    <n v="0"/>
    <n v="0"/>
  </r>
  <r>
    <x v="91"/>
    <x v="12"/>
    <x v="5"/>
    <m/>
    <m/>
    <n v="0"/>
    <m/>
    <m/>
    <n v="0"/>
    <m/>
    <m/>
    <n v="0"/>
    <s v=""/>
    <n v="0"/>
    <n v="0"/>
    <n v="0"/>
    <n v="116.88487613461319"/>
    <n v="2225"/>
    <n v="71535.307499999995"/>
    <n v="0"/>
    <n v="0"/>
    <n v="0"/>
    <n v="0"/>
    <n v="0"/>
    <n v="0"/>
  </r>
  <r>
    <x v="92"/>
    <x v="12"/>
    <x v="5"/>
    <m/>
    <m/>
    <n v="0"/>
    <m/>
    <m/>
    <n v="0"/>
    <m/>
    <m/>
    <n v="0"/>
    <s v=""/>
    <n v="0"/>
    <n v="0"/>
    <n v="0"/>
    <n v="116.88487613461319"/>
    <n v="2225"/>
    <n v="71535.307499999995"/>
    <n v="0"/>
    <n v="0"/>
    <n v="0"/>
    <n v="0"/>
    <n v="0"/>
    <n v="0"/>
  </r>
  <r>
    <x v="93"/>
    <x v="12"/>
    <x v="5"/>
    <m/>
    <m/>
    <n v="0"/>
    <m/>
    <m/>
    <n v="0"/>
    <m/>
    <m/>
    <n v="0"/>
    <s v=""/>
    <n v="0"/>
    <n v="0"/>
    <n v="0"/>
    <n v="116.88487613461319"/>
    <n v="2225"/>
    <n v="71535.307499999995"/>
    <n v="0"/>
    <n v="0"/>
    <n v="0"/>
    <n v="0"/>
    <n v="0"/>
    <n v="0"/>
  </r>
  <r>
    <x v="94"/>
    <x v="12"/>
    <x v="5"/>
    <m/>
    <m/>
    <n v="0"/>
    <m/>
    <m/>
    <n v="0"/>
    <m/>
    <m/>
    <n v="0"/>
    <s v=""/>
    <n v="0"/>
    <n v="0"/>
    <n v="0"/>
    <n v="116.88487613461319"/>
    <n v="2225"/>
    <n v="71535.307499999995"/>
    <n v="0"/>
    <n v="0"/>
    <n v="0"/>
    <n v="0"/>
    <n v="0"/>
    <n v="0"/>
  </r>
  <r>
    <x v="95"/>
    <x v="12"/>
    <x v="5"/>
    <m/>
    <m/>
    <n v="0"/>
    <m/>
    <m/>
    <n v="0"/>
    <m/>
    <m/>
    <n v="0"/>
    <s v=""/>
    <n v="0"/>
    <n v="0"/>
    <n v="0"/>
    <n v="116.88487613461319"/>
    <n v="2225"/>
    <n v="71535.307499999995"/>
    <n v="0"/>
    <n v="0"/>
    <n v="0"/>
    <n v="0"/>
    <n v="0"/>
    <n v="0"/>
  </r>
  <r>
    <x v="96"/>
    <x v="12"/>
    <x v="5"/>
    <m/>
    <m/>
    <n v="0"/>
    <m/>
    <m/>
    <n v="0"/>
    <m/>
    <m/>
    <n v="0"/>
    <s v=""/>
    <n v="0"/>
    <n v="0"/>
    <n v="0"/>
    <n v="116.88487613461319"/>
    <n v="2225"/>
    <n v="71535.307499999995"/>
    <n v="0"/>
    <n v="0"/>
    <n v="0"/>
    <n v="0"/>
    <n v="0"/>
    <n v="0"/>
  </r>
  <r>
    <x v="97"/>
    <x v="12"/>
    <x v="5"/>
    <m/>
    <m/>
    <n v="0"/>
    <m/>
    <m/>
    <n v="0"/>
    <m/>
    <m/>
    <n v="0"/>
    <s v=""/>
    <n v="0"/>
    <n v="0"/>
    <n v="0"/>
    <n v="116.88487613461319"/>
    <n v="2225"/>
    <n v="71535.307499999995"/>
    <n v="0"/>
    <n v="0"/>
    <n v="0"/>
    <n v="0"/>
    <n v="0"/>
    <n v="0"/>
  </r>
  <r>
    <x v="98"/>
    <x v="12"/>
    <x v="6"/>
    <m/>
    <m/>
    <n v="0"/>
    <m/>
    <m/>
    <n v="0"/>
    <m/>
    <m/>
    <n v="0"/>
    <s v=""/>
    <n v="0"/>
    <n v="0"/>
    <n v="0"/>
    <n v="116.88487613461319"/>
    <n v="2225"/>
    <n v="71535.307499999995"/>
    <n v="0"/>
    <n v="0"/>
    <n v="0"/>
    <n v="0"/>
    <n v="0"/>
    <n v="0"/>
  </r>
  <r>
    <x v="99"/>
    <x v="12"/>
    <x v="6"/>
    <m/>
    <m/>
    <n v="0"/>
    <m/>
    <m/>
    <n v="0"/>
    <m/>
    <m/>
    <n v="0"/>
    <s v=""/>
    <n v="0"/>
    <n v="0"/>
    <n v="0"/>
    <n v="116.88487613461319"/>
    <n v="2225"/>
    <n v="71535.307499999995"/>
    <n v="0"/>
    <n v="0"/>
    <n v="0"/>
    <n v="0"/>
    <n v="0"/>
    <n v="0"/>
  </r>
  <r>
    <x v="100"/>
    <x v="12"/>
    <x v="6"/>
    <m/>
    <m/>
    <n v="0"/>
    <m/>
    <m/>
    <n v="0"/>
    <m/>
    <m/>
    <n v="0"/>
    <s v=""/>
    <n v="0"/>
    <n v="0"/>
    <n v="0"/>
    <n v="116.88487613461319"/>
    <n v="2225"/>
    <n v="71535.307499999995"/>
    <n v="0"/>
    <n v="0"/>
    <n v="0"/>
    <n v="0"/>
    <n v="0"/>
    <n v="0"/>
  </r>
  <r>
    <x v="101"/>
    <x v="12"/>
    <x v="6"/>
    <m/>
    <m/>
    <n v="0"/>
    <m/>
    <m/>
    <n v="0"/>
    <m/>
    <m/>
    <n v="0"/>
    <s v=""/>
    <n v="0"/>
    <n v="0"/>
    <n v="0"/>
    <n v="116.88487613461319"/>
    <n v="2225"/>
    <n v="71535.307499999995"/>
    <n v="0"/>
    <n v="0"/>
    <n v="0"/>
    <n v="0"/>
    <n v="0"/>
    <n v="0"/>
  </r>
  <r>
    <x v="102"/>
    <x v="12"/>
    <x v="6"/>
    <m/>
    <m/>
    <n v="0"/>
    <m/>
    <m/>
    <n v="0"/>
    <m/>
    <m/>
    <n v="0"/>
    <s v=""/>
    <n v="0"/>
    <n v="0"/>
    <n v="0"/>
    <n v="116.88487613461319"/>
    <n v="2225"/>
    <n v="71535.307499999995"/>
    <n v="0"/>
    <n v="0"/>
    <n v="0"/>
    <n v="0"/>
    <n v="0"/>
    <n v="0"/>
  </r>
  <r>
    <x v="103"/>
    <x v="12"/>
    <x v="6"/>
    <m/>
    <m/>
    <n v="0"/>
    <m/>
    <m/>
    <n v="0"/>
    <m/>
    <m/>
    <n v="0"/>
    <s v=""/>
    <n v="0"/>
    <n v="0"/>
    <n v="0"/>
    <n v="116.88487613461319"/>
    <n v="2225"/>
    <n v="71535.307499999995"/>
    <n v="0"/>
    <n v="0"/>
    <n v="0"/>
    <n v="0"/>
    <n v="0"/>
    <n v="0"/>
  </r>
  <r>
    <x v="104"/>
    <x v="12"/>
    <x v="6"/>
    <m/>
    <m/>
    <n v="0"/>
    <m/>
    <m/>
    <n v="0"/>
    <m/>
    <m/>
    <n v="0"/>
    <s v=""/>
    <n v="0"/>
    <n v="0"/>
    <n v="0"/>
    <n v="116.88487613461319"/>
    <n v="2225"/>
    <n v="71535.307499999995"/>
    <n v="0"/>
    <n v="0"/>
    <n v="0"/>
    <n v="0"/>
    <n v="0"/>
    <n v="0"/>
  </r>
  <r>
    <x v="105"/>
    <x v="12"/>
    <x v="6"/>
    <m/>
    <m/>
    <n v="0"/>
    <m/>
    <m/>
    <n v="0"/>
    <m/>
    <m/>
    <n v="0"/>
    <s v=""/>
    <n v="0"/>
    <n v="0"/>
    <n v="0"/>
    <n v="116.88487613461319"/>
    <n v="2225"/>
    <n v="71535.307499999995"/>
    <n v="0"/>
    <n v="0"/>
    <n v="0"/>
    <n v="0"/>
    <n v="0"/>
    <n v="0"/>
  </r>
  <r>
    <x v="106"/>
    <x v="12"/>
    <x v="6"/>
    <m/>
    <m/>
    <n v="0"/>
    <m/>
    <m/>
    <n v="0"/>
    <m/>
    <m/>
    <n v="0"/>
    <s v=""/>
    <n v="0"/>
    <n v="0"/>
    <n v="0"/>
    <n v="116.88487613461319"/>
    <n v="2225"/>
    <n v="71535.307499999995"/>
    <n v="0"/>
    <n v="0"/>
    <n v="0"/>
    <n v="0"/>
    <n v="0"/>
    <n v="0"/>
  </r>
  <r>
    <x v="107"/>
    <x v="12"/>
    <x v="6"/>
    <m/>
    <m/>
    <n v="0"/>
    <m/>
    <m/>
    <n v="0"/>
    <m/>
    <m/>
    <n v="0"/>
    <s v=""/>
    <n v="0"/>
    <n v="0"/>
    <n v="0"/>
    <n v="116.88487613461319"/>
    <n v="2225"/>
    <n v="71535.307499999995"/>
    <n v="0"/>
    <n v="0"/>
    <n v="0"/>
    <n v="0"/>
    <n v="0"/>
    <n v="0"/>
  </r>
  <r>
    <x v="108"/>
    <x v="12"/>
    <x v="6"/>
    <m/>
    <m/>
    <n v="0"/>
    <m/>
    <m/>
    <n v="0"/>
    <m/>
    <m/>
    <n v="0"/>
    <s v=""/>
    <n v="0"/>
    <n v="0"/>
    <n v="0"/>
    <n v="116.88487613461319"/>
    <n v="2225"/>
    <n v="71535.307499999995"/>
    <n v="0"/>
    <n v="0"/>
    <n v="0"/>
    <n v="0"/>
    <n v="0"/>
    <n v="0"/>
  </r>
  <r>
    <x v="109"/>
    <x v="12"/>
    <x v="6"/>
    <m/>
    <m/>
    <n v="0"/>
    <m/>
    <m/>
    <n v="0"/>
    <m/>
    <m/>
    <n v="0"/>
    <s v=""/>
    <n v="0"/>
    <n v="0"/>
    <n v="0"/>
    <n v="116.88487613461319"/>
    <n v="2225"/>
    <n v="71535.307499999995"/>
    <n v="0"/>
    <n v="0"/>
    <n v="0"/>
    <n v="0"/>
    <n v="0"/>
    <n v="0"/>
  </r>
  <r>
    <x v="110"/>
    <x v="12"/>
    <x v="7"/>
    <m/>
    <m/>
    <n v="0"/>
    <m/>
    <m/>
    <n v="0"/>
    <m/>
    <m/>
    <n v="0"/>
    <s v=""/>
    <n v="0"/>
    <n v="0"/>
    <n v="0"/>
    <n v="116.88487613461319"/>
    <n v="2225"/>
    <n v="71535.307499999995"/>
    <n v="0"/>
    <n v="0"/>
    <n v="0"/>
    <n v="0"/>
    <n v="0"/>
    <n v="0"/>
  </r>
  <r>
    <x v="111"/>
    <x v="12"/>
    <x v="7"/>
    <m/>
    <m/>
    <n v="0"/>
    <m/>
    <m/>
    <n v="0"/>
    <m/>
    <m/>
    <n v="0"/>
    <s v=""/>
    <n v="0"/>
    <n v="0"/>
    <n v="0"/>
    <n v="116.88487613461319"/>
    <n v="2225"/>
    <n v="71535.307499999995"/>
    <n v="0"/>
    <n v="0"/>
    <n v="0"/>
    <n v="0"/>
    <n v="0"/>
    <n v="0"/>
  </r>
  <r>
    <x v="112"/>
    <x v="12"/>
    <x v="7"/>
    <m/>
    <m/>
    <n v="0"/>
    <m/>
    <m/>
    <n v="0"/>
    <m/>
    <m/>
    <n v="0"/>
    <s v=""/>
    <n v="0"/>
    <n v="0"/>
    <n v="0"/>
    <n v="116.88487613461319"/>
    <n v="2225"/>
    <n v="71535.307499999995"/>
    <n v="0"/>
    <n v="0"/>
    <n v="0"/>
    <n v="0"/>
    <n v="0"/>
    <n v="0"/>
  </r>
  <r>
    <x v="113"/>
    <x v="12"/>
    <x v="7"/>
    <m/>
    <m/>
    <n v="0"/>
    <m/>
    <m/>
    <n v="0"/>
    <m/>
    <m/>
    <n v="0"/>
    <s v=""/>
    <n v="0"/>
    <n v="0"/>
    <n v="0"/>
    <n v="116.88487613461319"/>
    <n v="2225"/>
    <n v="71535.307499999995"/>
    <n v="0"/>
    <n v="0"/>
    <n v="0"/>
    <n v="0"/>
    <n v="0"/>
    <n v="0"/>
  </r>
  <r>
    <x v="114"/>
    <x v="12"/>
    <x v="7"/>
    <m/>
    <m/>
    <n v="0"/>
    <m/>
    <m/>
    <n v="0"/>
    <m/>
    <m/>
    <n v="0"/>
    <s v=""/>
    <n v="0"/>
    <n v="0"/>
    <n v="0"/>
    <n v="116.88487613461319"/>
    <n v="2225"/>
    <n v="71535.307499999995"/>
    <n v="0"/>
    <n v="0"/>
    <n v="0"/>
    <n v="0"/>
    <n v="0"/>
    <n v="0"/>
  </r>
  <r>
    <x v="115"/>
    <x v="12"/>
    <x v="7"/>
    <m/>
    <m/>
    <n v="0"/>
    <m/>
    <m/>
    <n v="0"/>
    <m/>
    <m/>
    <n v="0"/>
    <s v=""/>
    <n v="0"/>
    <n v="0"/>
    <n v="0"/>
    <n v="116.88487613461319"/>
    <n v="2225"/>
    <n v="71535.307499999995"/>
    <n v="0"/>
    <n v="0"/>
    <n v="0"/>
    <n v="0"/>
    <n v="0"/>
    <n v="0"/>
  </r>
  <r>
    <x v="116"/>
    <x v="12"/>
    <x v="7"/>
    <m/>
    <m/>
    <n v="0"/>
    <m/>
    <m/>
    <n v="0"/>
    <m/>
    <m/>
    <n v="0"/>
    <s v=""/>
    <n v="0"/>
    <n v="0"/>
    <n v="0"/>
    <n v="116.88487613461319"/>
    <n v="2225"/>
    <n v="71535.307499999995"/>
    <n v="0"/>
    <n v="0"/>
    <n v="0"/>
    <n v="0"/>
    <n v="0"/>
    <n v="0"/>
  </r>
  <r>
    <x v="117"/>
    <x v="12"/>
    <x v="7"/>
    <m/>
    <m/>
    <n v="0"/>
    <m/>
    <m/>
    <n v="0"/>
    <m/>
    <m/>
    <n v="0"/>
    <s v=""/>
    <n v="0"/>
    <n v="0"/>
    <n v="0"/>
    <n v="116.88487613461319"/>
    <n v="2225"/>
    <n v="71535.307499999995"/>
    <n v="0"/>
    <n v="0"/>
    <n v="0"/>
    <n v="0"/>
    <n v="0"/>
    <n v="0"/>
  </r>
  <r>
    <x v="118"/>
    <x v="12"/>
    <x v="7"/>
    <m/>
    <m/>
    <n v="0"/>
    <m/>
    <m/>
    <n v="0"/>
    <m/>
    <m/>
    <n v="0"/>
    <s v=""/>
    <n v="0"/>
    <n v="0"/>
    <n v="0"/>
    <n v="116.88487613461319"/>
    <n v="2225"/>
    <n v="71535.307499999995"/>
    <n v="0"/>
    <n v="0"/>
    <n v="0"/>
    <n v="0"/>
    <n v="0"/>
    <n v="0"/>
  </r>
  <r>
    <x v="119"/>
    <x v="12"/>
    <x v="7"/>
    <m/>
    <m/>
    <n v="0"/>
    <m/>
    <m/>
    <n v="0"/>
    <m/>
    <m/>
    <n v="0"/>
    <s v=""/>
    <n v="0"/>
    <n v="0"/>
    <n v="0"/>
    <n v="116.88487613461319"/>
    <n v="2225"/>
    <n v="71535.307499999995"/>
    <n v="0"/>
    <n v="0"/>
    <n v="0"/>
    <n v="0"/>
    <n v="0"/>
    <n v="0"/>
  </r>
  <r>
    <x v="120"/>
    <x v="12"/>
    <x v="7"/>
    <m/>
    <m/>
    <n v="0"/>
    <m/>
    <m/>
    <n v="0"/>
    <m/>
    <m/>
    <n v="0"/>
    <s v=""/>
    <n v="0"/>
    <n v="0"/>
    <n v="0"/>
    <n v="116.88487613461319"/>
    <n v="2225"/>
    <n v="71535.307499999995"/>
    <n v="0"/>
    <n v="0"/>
    <n v="0"/>
    <n v="0"/>
    <n v="0"/>
    <n v="0"/>
  </r>
  <r>
    <x v="121"/>
    <x v="12"/>
    <x v="7"/>
    <m/>
    <m/>
    <n v="0"/>
    <m/>
    <m/>
    <n v="0"/>
    <m/>
    <m/>
    <n v="0"/>
    <s v=""/>
    <n v="0"/>
    <n v="0"/>
    <n v="0"/>
    <n v="116.88487613461319"/>
    <n v="2225"/>
    <n v="71535.307499999995"/>
    <n v="0"/>
    <n v="0"/>
    <n v="0"/>
    <n v="0"/>
    <n v="0"/>
    <n v="0"/>
  </r>
  <r>
    <x v="122"/>
    <x v="12"/>
    <x v="7"/>
    <m/>
    <m/>
    <n v="0"/>
    <m/>
    <m/>
    <n v="0"/>
    <m/>
    <m/>
    <n v="0"/>
    <s v=""/>
    <n v="0"/>
    <n v="0"/>
    <n v="0"/>
    <n v="116.88487613461319"/>
    <n v="2225"/>
    <n v="71535.307499999995"/>
    <n v="0"/>
    <n v="0"/>
    <n v="0"/>
    <n v="0"/>
    <n v="0"/>
    <n v="0"/>
  </r>
  <r>
    <x v="123"/>
    <x v="12"/>
    <x v="7"/>
    <m/>
    <m/>
    <n v="0"/>
    <m/>
    <m/>
    <n v="0"/>
    <m/>
    <m/>
    <n v="0"/>
    <s v=""/>
    <n v="0"/>
    <n v="0"/>
    <n v="0"/>
    <n v="116.88487613461319"/>
    <n v="2225"/>
    <n v="71535.307499999995"/>
    <n v="0"/>
    <n v="0"/>
    <n v="0"/>
    <n v="0"/>
    <n v="0"/>
    <n v="0"/>
  </r>
  <r>
    <x v="124"/>
    <x v="12"/>
    <x v="7"/>
    <m/>
    <m/>
    <n v="0"/>
    <m/>
    <m/>
    <n v="0"/>
    <m/>
    <m/>
    <n v="0"/>
    <s v=""/>
    <n v="0"/>
    <n v="0"/>
    <n v="0"/>
    <n v="116.88487613461319"/>
    <n v="2225"/>
    <n v="71535.307499999995"/>
    <n v="0"/>
    <n v="0"/>
    <n v="0"/>
    <n v="0"/>
    <n v="0"/>
    <n v="0"/>
  </r>
  <r>
    <x v="125"/>
    <x v="12"/>
    <x v="7"/>
    <m/>
    <m/>
    <n v="0"/>
    <m/>
    <m/>
    <n v="0"/>
    <m/>
    <m/>
    <n v="0"/>
    <s v=""/>
    <n v="0"/>
    <n v="0"/>
    <n v="0"/>
    <n v="116.88487613461319"/>
    <n v="2225"/>
    <n v="71535.307499999995"/>
    <n v="0"/>
    <n v="0"/>
    <n v="0"/>
    <n v="0"/>
    <n v="0"/>
    <n v="0"/>
  </r>
  <r>
    <x v="126"/>
    <x v="12"/>
    <x v="7"/>
    <m/>
    <m/>
    <n v="0"/>
    <m/>
    <m/>
    <n v="0"/>
    <m/>
    <m/>
    <n v="0"/>
    <s v=""/>
    <n v="0"/>
    <n v="0"/>
    <n v="0"/>
    <n v="116.88487613461319"/>
    <n v="2225"/>
    <n v="71535.307499999995"/>
    <n v="0"/>
    <n v="0"/>
    <n v="0"/>
    <n v="0"/>
    <n v="0"/>
    <n v="0"/>
  </r>
  <r>
    <x v="127"/>
    <x v="12"/>
    <x v="7"/>
    <m/>
    <m/>
    <n v="0"/>
    <m/>
    <m/>
    <n v="0"/>
    <m/>
    <m/>
    <n v="0"/>
    <s v=""/>
    <n v="0"/>
    <n v="0"/>
    <n v="0"/>
    <n v="116.88487613461319"/>
    <n v="2225"/>
    <n v="71535.307499999995"/>
    <n v="0"/>
    <n v="0"/>
    <n v="0"/>
    <n v="0"/>
    <n v="0"/>
    <n v="0"/>
  </r>
  <r>
    <x v="0"/>
    <x v="13"/>
    <x v="0"/>
    <m/>
    <m/>
    <n v="0"/>
    <m/>
    <m/>
    <n v="0"/>
    <m/>
    <m/>
    <n v="0"/>
    <s v=""/>
    <n v="0"/>
    <n v="0"/>
    <n v="0"/>
    <n v="116.88487613461319"/>
    <n v="2225"/>
    <n v="71535.307499999995"/>
    <n v="0"/>
    <n v="0"/>
    <n v="0"/>
    <n v="0"/>
    <n v="0"/>
    <n v="0"/>
  </r>
  <r>
    <x v="1"/>
    <x v="13"/>
    <x v="0"/>
    <m/>
    <m/>
    <n v="0"/>
    <m/>
    <m/>
    <n v="0"/>
    <m/>
    <m/>
    <n v="0"/>
    <s v=""/>
    <n v="0"/>
    <n v="0"/>
    <n v="0"/>
    <n v="116.88487613461319"/>
    <n v="2225"/>
    <n v="71535.307499999995"/>
    <n v="0"/>
    <n v="0"/>
    <n v="0"/>
    <n v="0"/>
    <n v="0"/>
    <n v="0"/>
  </r>
  <r>
    <x v="2"/>
    <x v="13"/>
    <x v="0"/>
    <m/>
    <m/>
    <n v="0"/>
    <m/>
    <m/>
    <n v="0"/>
    <m/>
    <m/>
    <n v="0"/>
    <s v=""/>
    <n v="0"/>
    <n v="0"/>
    <n v="0"/>
    <n v="116.88487613461319"/>
    <n v="2225"/>
    <n v="71535.307499999995"/>
    <n v="0"/>
    <n v="0"/>
    <n v="0"/>
    <n v="0"/>
    <n v="0"/>
    <n v="0"/>
  </r>
  <r>
    <x v="3"/>
    <x v="13"/>
    <x v="0"/>
    <m/>
    <m/>
    <n v="0"/>
    <m/>
    <m/>
    <n v="0"/>
    <m/>
    <m/>
    <n v="0"/>
    <s v=""/>
    <n v="0"/>
    <n v="0"/>
    <n v="0"/>
    <n v="116.88487613461319"/>
    <n v="2225"/>
    <n v="71535.307499999995"/>
    <n v="0"/>
    <n v="0"/>
    <n v="0"/>
    <n v="0"/>
    <n v="0"/>
    <n v="0"/>
  </r>
  <r>
    <x v="4"/>
    <x v="13"/>
    <x v="1"/>
    <m/>
    <m/>
    <n v="0"/>
    <m/>
    <m/>
    <n v="0"/>
    <m/>
    <m/>
    <n v="0"/>
    <s v=""/>
    <n v="0"/>
    <n v="0"/>
    <n v="0"/>
    <n v="116.88487613461319"/>
    <n v="2225"/>
    <n v="71535.307499999995"/>
    <n v="0"/>
    <n v="0"/>
    <n v="0"/>
    <n v="0"/>
    <n v="0"/>
    <n v="0"/>
  </r>
  <r>
    <x v="5"/>
    <x v="13"/>
    <x v="1"/>
    <m/>
    <m/>
    <n v="0"/>
    <m/>
    <m/>
    <n v="0"/>
    <m/>
    <m/>
    <n v="0"/>
    <s v=""/>
    <n v="0"/>
    <n v="0"/>
    <n v="0"/>
    <n v="116.88487613461319"/>
    <n v="2225"/>
    <n v="71535.307499999995"/>
    <n v="0"/>
    <n v="0"/>
    <n v="0"/>
    <n v="0"/>
    <n v="0"/>
    <n v="0"/>
  </r>
  <r>
    <x v="6"/>
    <x v="13"/>
    <x v="1"/>
    <m/>
    <m/>
    <n v="0"/>
    <m/>
    <m/>
    <n v="0"/>
    <m/>
    <m/>
    <n v="0"/>
    <s v=""/>
    <n v="0"/>
    <n v="0"/>
    <n v="0"/>
    <n v="116.88487613461319"/>
    <n v="2225"/>
    <n v="71535.307499999995"/>
    <n v="0"/>
    <n v="0"/>
    <n v="0"/>
    <n v="0"/>
    <n v="0"/>
    <n v="0"/>
  </r>
  <r>
    <x v="7"/>
    <x v="13"/>
    <x v="2"/>
    <m/>
    <m/>
    <n v="0"/>
    <m/>
    <m/>
    <n v="0"/>
    <m/>
    <m/>
    <n v="0"/>
    <s v=""/>
    <n v="0"/>
    <n v="0"/>
    <n v="0"/>
    <n v="116.88487613461319"/>
    <n v="2225"/>
    <n v="71535.307499999995"/>
    <n v="0"/>
    <n v="0"/>
    <n v="0"/>
    <n v="0"/>
    <n v="0"/>
    <n v="0"/>
  </r>
  <r>
    <x v="8"/>
    <x v="13"/>
    <x v="2"/>
    <m/>
    <m/>
    <n v="0"/>
    <m/>
    <m/>
    <n v="0"/>
    <m/>
    <m/>
    <n v="0"/>
    <s v=""/>
    <n v="0"/>
    <n v="0"/>
    <n v="0"/>
    <n v="116.88487613461319"/>
    <n v="2225"/>
    <n v="71535.307499999995"/>
    <n v="0"/>
    <n v="0"/>
    <n v="0"/>
    <n v="0"/>
    <n v="0"/>
    <n v="0"/>
  </r>
  <r>
    <x v="9"/>
    <x v="13"/>
    <x v="2"/>
    <m/>
    <m/>
    <n v="0"/>
    <m/>
    <m/>
    <n v="0"/>
    <m/>
    <m/>
    <n v="0"/>
    <s v=""/>
    <n v="0"/>
    <n v="0"/>
    <n v="0"/>
    <n v="116.88487613461319"/>
    <n v="2225"/>
    <n v="71535.307499999995"/>
    <n v="0"/>
    <n v="0"/>
    <n v="0"/>
    <n v="0"/>
    <n v="0"/>
    <n v="0"/>
  </r>
  <r>
    <x v="10"/>
    <x v="13"/>
    <x v="2"/>
    <n v="2696"/>
    <n v="2.5499999999999998"/>
    <n v="6.8747999999999996"/>
    <n v="1960"/>
    <n v="2.85"/>
    <n v="5.5860000000000003"/>
    <n v="1397.7798314759445"/>
    <n v="1.7405000173214979"/>
    <n v="3"/>
    <n v="-0.46294307196562839"/>
    <n v="-562.22016852405545"/>
    <n v="-2.5860000000000003"/>
    <n v="51226.600034473697"/>
    <n v="116.88487613461319"/>
    <n v="2225"/>
    <n v="71535.307499999995"/>
    <n v="399596.22769500001"/>
    <n v="214605.92249999999"/>
    <n v="229094.35722384186"/>
    <n v="163379.32246552629"/>
    <n v="170501.87047115815"/>
    <n v="51226.600034473697"/>
  </r>
  <r>
    <x v="11"/>
    <x v="13"/>
    <x v="2"/>
    <n v="1700"/>
    <n v="0.8"/>
    <n v="1.36"/>
    <n v="2940"/>
    <n v="1.81"/>
    <n v="5.3214000000000006"/>
    <m/>
    <m/>
    <n v="17.100000000000001"/>
    <n v="2.2134400721614611"/>
    <n v="-2940"/>
    <n v="11.778600000000001"/>
    <n v="1223253.75825"/>
    <n v="116.88487613461319"/>
    <n v="2225"/>
    <n v="71535.307499999995"/>
    <n v="380667.9853305"/>
    <n v="1223253.75825"/>
    <n v="343641.5358357628"/>
    <n v="0"/>
    <n v="37026.4494947372"/>
    <n v="1223253.75825"/>
  </r>
  <r>
    <x v="12"/>
    <x v="13"/>
    <x v="2"/>
    <m/>
    <m/>
    <n v="0"/>
    <m/>
    <m/>
    <n v="0"/>
    <m/>
    <m/>
    <n v="0"/>
    <s v=""/>
    <n v="0"/>
    <n v="0"/>
    <n v="0"/>
    <n v="116.88487613461319"/>
    <n v="2225"/>
    <n v="71535.307499999995"/>
    <n v="0"/>
    <n v="0"/>
    <n v="0"/>
    <n v="0"/>
    <n v="0"/>
    <n v="0"/>
  </r>
  <r>
    <x v="13"/>
    <x v="13"/>
    <x v="2"/>
    <m/>
    <m/>
    <n v="0"/>
    <m/>
    <m/>
    <n v="0"/>
    <m/>
    <m/>
    <n v="0"/>
    <s v=""/>
    <n v="0"/>
    <n v="0"/>
    <n v="0"/>
    <n v="116.88487613461319"/>
    <n v="2225"/>
    <n v="71535.307499999995"/>
    <n v="0"/>
    <n v="0"/>
    <n v="0"/>
    <n v="0"/>
    <n v="0"/>
    <n v="0"/>
  </r>
  <r>
    <x v="14"/>
    <x v="13"/>
    <x v="2"/>
    <m/>
    <m/>
    <n v="0"/>
    <m/>
    <m/>
    <n v="0"/>
    <m/>
    <m/>
    <n v="0"/>
    <s v=""/>
    <n v="0"/>
    <n v="0"/>
    <n v="0"/>
    <n v="116.88487613461319"/>
    <n v="2225"/>
    <n v="71535.307499999995"/>
    <n v="0"/>
    <n v="0"/>
    <n v="0"/>
    <n v="0"/>
    <n v="0"/>
    <n v="0"/>
  </r>
  <r>
    <x v="15"/>
    <x v="13"/>
    <x v="2"/>
    <m/>
    <m/>
    <n v="0"/>
    <m/>
    <m/>
    <n v="0"/>
    <m/>
    <m/>
    <n v="0"/>
    <s v=""/>
    <n v="0"/>
    <n v="0"/>
    <n v="0"/>
    <n v="116.88487613461319"/>
    <n v="2225"/>
    <n v="71535.307499999995"/>
    <n v="0"/>
    <n v="0"/>
    <n v="0"/>
    <n v="0"/>
    <n v="0"/>
    <n v="0"/>
  </r>
  <r>
    <x v="16"/>
    <x v="13"/>
    <x v="2"/>
    <m/>
    <m/>
    <n v="0"/>
    <m/>
    <m/>
    <n v="0"/>
    <m/>
    <m/>
    <n v="0"/>
    <s v=""/>
    <n v="0"/>
    <n v="0"/>
    <n v="0"/>
    <n v="116.88487613461319"/>
    <n v="2225"/>
    <n v="71535.307499999995"/>
    <n v="0"/>
    <n v="0"/>
    <n v="0"/>
    <n v="0"/>
    <n v="0"/>
    <n v="0"/>
  </r>
  <r>
    <x v="17"/>
    <x v="13"/>
    <x v="3"/>
    <m/>
    <m/>
    <n v="0"/>
    <m/>
    <m/>
    <n v="0"/>
    <m/>
    <m/>
    <n v="0"/>
    <s v=""/>
    <n v="0"/>
    <n v="0"/>
    <n v="0"/>
    <n v="116.88487613461319"/>
    <n v="2225"/>
    <n v="71535.307499999995"/>
    <n v="0"/>
    <n v="0"/>
    <n v="0"/>
    <n v="0"/>
    <n v="0"/>
    <n v="0"/>
  </r>
  <r>
    <x v="18"/>
    <x v="13"/>
    <x v="3"/>
    <m/>
    <m/>
    <n v="0"/>
    <m/>
    <m/>
    <n v="0"/>
    <m/>
    <m/>
    <n v="0"/>
    <s v=""/>
    <n v="0"/>
    <n v="0"/>
    <n v="0"/>
    <n v="116.88487613461319"/>
    <n v="2225"/>
    <n v="71535.307499999995"/>
    <n v="0"/>
    <n v="0"/>
    <n v="0"/>
    <n v="0"/>
    <n v="0"/>
    <n v="0"/>
  </r>
  <r>
    <x v="19"/>
    <x v="13"/>
    <x v="3"/>
    <m/>
    <m/>
    <n v="0"/>
    <m/>
    <m/>
    <n v="0"/>
    <m/>
    <m/>
    <n v="0"/>
    <s v=""/>
    <n v="0"/>
    <n v="0"/>
    <n v="0"/>
    <n v="116.88487613461319"/>
    <n v="2225"/>
    <n v="71535.307499999995"/>
    <n v="0"/>
    <n v="0"/>
    <n v="0"/>
    <n v="0"/>
    <n v="0"/>
    <n v="0"/>
  </r>
  <r>
    <x v="20"/>
    <x v="13"/>
    <x v="3"/>
    <m/>
    <m/>
    <n v="0"/>
    <m/>
    <m/>
    <n v="0"/>
    <m/>
    <m/>
    <n v="0"/>
    <s v=""/>
    <n v="0"/>
    <n v="0"/>
    <n v="0"/>
    <n v="116.88487613461319"/>
    <n v="2225"/>
    <n v="71535.307499999995"/>
    <n v="0"/>
    <n v="0"/>
    <n v="0"/>
    <n v="0"/>
    <n v="0"/>
    <n v="0"/>
  </r>
  <r>
    <x v="21"/>
    <x v="13"/>
    <x v="3"/>
    <m/>
    <m/>
    <n v="0"/>
    <m/>
    <m/>
    <n v="0"/>
    <m/>
    <m/>
    <n v="0"/>
    <s v=""/>
    <n v="0"/>
    <n v="0"/>
    <n v="0"/>
    <n v="116.88487613461319"/>
    <n v="2225"/>
    <n v="71535.307499999995"/>
    <n v="0"/>
    <n v="0"/>
    <n v="0"/>
    <n v="0"/>
    <n v="0"/>
    <n v="0"/>
  </r>
  <r>
    <x v="22"/>
    <x v="13"/>
    <x v="3"/>
    <m/>
    <m/>
    <n v="0"/>
    <m/>
    <m/>
    <n v="0"/>
    <m/>
    <m/>
    <n v="0"/>
    <s v=""/>
    <n v="0"/>
    <n v="0"/>
    <n v="0"/>
    <n v="116.88487613461319"/>
    <n v="2225"/>
    <n v="71535.307499999995"/>
    <n v="0"/>
    <n v="0"/>
    <n v="0"/>
    <n v="0"/>
    <n v="0"/>
    <n v="0"/>
  </r>
  <r>
    <x v="23"/>
    <x v="13"/>
    <x v="3"/>
    <m/>
    <m/>
    <n v="0"/>
    <m/>
    <m/>
    <n v="0"/>
    <m/>
    <m/>
    <n v="0"/>
    <s v=""/>
    <n v="0"/>
    <n v="0"/>
    <n v="0"/>
    <n v="116.88487613461319"/>
    <n v="2225"/>
    <n v="71535.307499999995"/>
    <n v="0"/>
    <n v="0"/>
    <n v="0"/>
    <n v="0"/>
    <n v="0"/>
    <n v="0"/>
  </r>
  <r>
    <x v="24"/>
    <x v="13"/>
    <x v="3"/>
    <m/>
    <m/>
    <n v="0"/>
    <m/>
    <m/>
    <n v="0"/>
    <m/>
    <m/>
    <n v="0"/>
    <s v=""/>
    <n v="0"/>
    <n v="0"/>
    <n v="0"/>
    <n v="116.88487613461319"/>
    <n v="2225"/>
    <n v="71535.307499999995"/>
    <n v="0"/>
    <n v="0"/>
    <n v="0"/>
    <n v="0"/>
    <n v="0"/>
    <n v="0"/>
  </r>
  <r>
    <x v="25"/>
    <x v="13"/>
    <x v="3"/>
    <m/>
    <m/>
    <n v="0"/>
    <m/>
    <m/>
    <n v="0"/>
    <m/>
    <m/>
    <n v="0"/>
    <s v=""/>
    <n v="0"/>
    <n v="0"/>
    <n v="0"/>
    <n v="116.88487613461319"/>
    <n v="2225"/>
    <n v="71535.307499999995"/>
    <n v="0"/>
    <n v="0"/>
    <n v="0"/>
    <n v="0"/>
    <n v="0"/>
    <n v="0"/>
  </r>
  <r>
    <x v="26"/>
    <x v="13"/>
    <x v="3"/>
    <m/>
    <m/>
    <n v="0"/>
    <m/>
    <m/>
    <n v="0"/>
    <m/>
    <m/>
    <n v="0"/>
    <s v=""/>
    <n v="0"/>
    <n v="0"/>
    <n v="0"/>
    <n v="116.88487613461319"/>
    <n v="2225"/>
    <n v="71535.307499999995"/>
    <n v="0"/>
    <n v="0"/>
    <n v="0"/>
    <n v="0"/>
    <n v="0"/>
    <n v="0"/>
  </r>
  <r>
    <x v="27"/>
    <x v="13"/>
    <x v="3"/>
    <m/>
    <m/>
    <n v="0"/>
    <m/>
    <m/>
    <n v="0"/>
    <m/>
    <m/>
    <n v="0"/>
    <s v=""/>
    <n v="0"/>
    <n v="0"/>
    <n v="0"/>
    <n v="116.88487613461319"/>
    <n v="2225"/>
    <n v="71535.307499999995"/>
    <n v="0"/>
    <n v="0"/>
    <n v="0"/>
    <n v="0"/>
    <n v="0"/>
    <n v="0"/>
  </r>
  <r>
    <x v="28"/>
    <x v="13"/>
    <x v="3"/>
    <m/>
    <m/>
    <n v="0"/>
    <m/>
    <m/>
    <n v="0"/>
    <m/>
    <m/>
    <n v="0"/>
    <s v=""/>
    <n v="0"/>
    <n v="0"/>
    <n v="0"/>
    <n v="116.88487613461319"/>
    <n v="2225"/>
    <n v="71535.307499999995"/>
    <n v="0"/>
    <n v="0"/>
    <n v="0"/>
    <n v="0"/>
    <n v="0"/>
    <n v="0"/>
  </r>
  <r>
    <x v="29"/>
    <x v="13"/>
    <x v="3"/>
    <m/>
    <m/>
    <n v="0"/>
    <m/>
    <m/>
    <n v="0"/>
    <m/>
    <m/>
    <n v="0"/>
    <s v=""/>
    <n v="0"/>
    <n v="0"/>
    <n v="0"/>
    <n v="116.88487613461319"/>
    <n v="2225"/>
    <n v="71535.307499999995"/>
    <n v="0"/>
    <n v="0"/>
    <n v="0"/>
    <n v="0"/>
    <n v="0"/>
    <n v="0"/>
  </r>
  <r>
    <x v="30"/>
    <x v="13"/>
    <x v="3"/>
    <m/>
    <m/>
    <n v="0"/>
    <m/>
    <m/>
    <n v="0"/>
    <m/>
    <m/>
    <n v="0"/>
    <s v=""/>
    <n v="0"/>
    <n v="0"/>
    <n v="0"/>
    <n v="116.88487613461319"/>
    <n v="2225"/>
    <n v="71535.307499999995"/>
    <n v="0"/>
    <n v="0"/>
    <n v="0"/>
    <n v="0"/>
    <n v="0"/>
    <n v="0"/>
  </r>
  <r>
    <x v="31"/>
    <x v="13"/>
    <x v="3"/>
    <m/>
    <m/>
    <n v="0"/>
    <m/>
    <m/>
    <n v="0"/>
    <m/>
    <m/>
    <n v="0"/>
    <s v=""/>
    <n v="0"/>
    <n v="0"/>
    <n v="0"/>
    <n v="116.88487613461319"/>
    <n v="2225"/>
    <n v="71535.307499999995"/>
    <n v="0"/>
    <n v="0"/>
    <n v="0"/>
    <n v="0"/>
    <n v="0"/>
    <n v="0"/>
  </r>
  <r>
    <x v="32"/>
    <x v="13"/>
    <x v="3"/>
    <m/>
    <m/>
    <n v="0"/>
    <m/>
    <m/>
    <n v="0"/>
    <m/>
    <m/>
    <n v="0"/>
    <s v=""/>
    <n v="0"/>
    <n v="0"/>
    <n v="0"/>
    <n v="116.88487613461319"/>
    <n v="2225"/>
    <n v="71535.307499999995"/>
    <n v="0"/>
    <n v="0"/>
    <n v="0"/>
    <n v="0"/>
    <n v="0"/>
    <n v="0"/>
  </r>
  <r>
    <x v="33"/>
    <x v="13"/>
    <x v="3"/>
    <n v="345"/>
    <n v="2.71"/>
    <n v="0.93494999999999995"/>
    <m/>
    <m/>
    <n v="0"/>
    <m/>
    <m/>
    <n v="0"/>
    <s v=""/>
    <n v="0"/>
    <n v="0"/>
    <n v="0"/>
    <n v="116.88487613461319"/>
    <n v="2225"/>
    <n v="71535.307499999995"/>
    <n v="0"/>
    <n v="0"/>
    <n v="0"/>
    <n v="0"/>
    <n v="0"/>
    <n v="0"/>
  </r>
  <r>
    <x v="34"/>
    <x v="13"/>
    <x v="3"/>
    <n v="1723"/>
    <n v="1.4"/>
    <n v="2.4121999999999999"/>
    <m/>
    <m/>
    <n v="0"/>
    <m/>
    <m/>
    <n v="0"/>
    <s v=""/>
    <n v="0"/>
    <n v="0"/>
    <n v="0"/>
    <n v="116.88487613461319"/>
    <n v="2225"/>
    <n v="71535.307499999995"/>
    <n v="0"/>
    <n v="0"/>
    <n v="0"/>
    <n v="0"/>
    <n v="0"/>
    <n v="0"/>
  </r>
  <r>
    <x v="35"/>
    <x v="13"/>
    <x v="3"/>
    <m/>
    <m/>
    <n v="0"/>
    <m/>
    <m/>
    <n v="0"/>
    <m/>
    <m/>
    <n v="0"/>
    <s v=""/>
    <n v="0"/>
    <n v="0"/>
    <n v="0"/>
    <n v="116.88487613461319"/>
    <n v="2225"/>
    <n v="71535.307499999995"/>
    <n v="0"/>
    <n v="0"/>
    <n v="0"/>
    <n v="0"/>
    <n v="0"/>
    <n v="0"/>
  </r>
  <r>
    <x v="36"/>
    <x v="13"/>
    <x v="3"/>
    <m/>
    <m/>
    <n v="0"/>
    <m/>
    <m/>
    <n v="0"/>
    <m/>
    <m/>
    <n v="0"/>
    <s v=""/>
    <n v="0"/>
    <n v="0"/>
    <n v="0"/>
    <n v="116.88487613461319"/>
    <n v="2225"/>
    <n v="71535.307499999995"/>
    <n v="0"/>
    <n v="0"/>
    <n v="0"/>
    <n v="0"/>
    <n v="0"/>
    <n v="0"/>
  </r>
  <r>
    <x v="37"/>
    <x v="13"/>
    <x v="3"/>
    <m/>
    <m/>
    <n v="0"/>
    <m/>
    <m/>
    <n v="0"/>
    <m/>
    <m/>
    <n v="0"/>
    <s v=""/>
    <n v="0"/>
    <n v="0"/>
    <n v="0"/>
    <n v="116.88487613461319"/>
    <n v="2225"/>
    <n v="71535.307499999995"/>
    <n v="0"/>
    <n v="0"/>
    <n v="0"/>
    <n v="0"/>
    <n v="0"/>
    <n v="0"/>
  </r>
  <r>
    <x v="38"/>
    <x v="13"/>
    <x v="3"/>
    <m/>
    <m/>
    <n v="0"/>
    <m/>
    <m/>
    <n v="0"/>
    <m/>
    <m/>
    <n v="0"/>
    <s v=""/>
    <n v="0"/>
    <n v="0"/>
    <n v="0"/>
    <n v="116.88487613461319"/>
    <n v="2225"/>
    <n v="71535.307499999995"/>
    <n v="0"/>
    <n v="0"/>
    <n v="0"/>
    <n v="0"/>
    <n v="0"/>
    <n v="0"/>
  </r>
  <r>
    <x v="39"/>
    <x v="13"/>
    <x v="3"/>
    <m/>
    <m/>
    <n v="0"/>
    <m/>
    <m/>
    <n v="0"/>
    <m/>
    <m/>
    <n v="0"/>
    <s v=""/>
    <n v="0"/>
    <n v="0"/>
    <n v="0"/>
    <n v="116.88487613461319"/>
    <n v="2225"/>
    <n v="71535.307499999995"/>
    <n v="0"/>
    <n v="0"/>
    <n v="0"/>
    <n v="0"/>
    <n v="0"/>
    <n v="0"/>
  </r>
  <r>
    <x v="40"/>
    <x v="13"/>
    <x v="3"/>
    <m/>
    <m/>
    <n v="0"/>
    <m/>
    <m/>
    <n v="0"/>
    <m/>
    <m/>
    <n v="0"/>
    <s v=""/>
    <n v="0"/>
    <n v="0"/>
    <n v="0"/>
    <n v="116.88487613461319"/>
    <n v="2225"/>
    <n v="71535.307499999995"/>
    <n v="0"/>
    <n v="0"/>
    <n v="0"/>
    <n v="0"/>
    <n v="0"/>
    <n v="0"/>
  </r>
  <r>
    <x v="41"/>
    <x v="13"/>
    <x v="3"/>
    <m/>
    <m/>
    <n v="0"/>
    <m/>
    <m/>
    <n v="0"/>
    <m/>
    <m/>
    <n v="0"/>
    <s v=""/>
    <n v="0"/>
    <n v="0"/>
    <n v="0"/>
    <n v="116.88487613461319"/>
    <n v="2225"/>
    <n v="71535.307499999995"/>
    <n v="0"/>
    <n v="0"/>
    <n v="0"/>
    <n v="0"/>
    <n v="0"/>
    <n v="0"/>
  </r>
  <r>
    <x v="42"/>
    <x v="13"/>
    <x v="3"/>
    <m/>
    <m/>
    <n v="0"/>
    <m/>
    <m/>
    <n v="0"/>
    <m/>
    <m/>
    <n v="0"/>
    <s v=""/>
    <n v="0"/>
    <n v="0"/>
    <n v="0"/>
    <n v="116.88487613461319"/>
    <n v="2225"/>
    <n v="71535.307499999995"/>
    <n v="0"/>
    <n v="0"/>
    <n v="0"/>
    <n v="0"/>
    <n v="0"/>
    <n v="0"/>
  </r>
  <r>
    <x v="43"/>
    <x v="13"/>
    <x v="3"/>
    <m/>
    <m/>
    <n v="0"/>
    <m/>
    <m/>
    <n v="0"/>
    <m/>
    <m/>
    <n v="0"/>
    <s v=""/>
    <n v="0"/>
    <n v="0"/>
    <n v="0"/>
    <n v="116.88487613461319"/>
    <n v="2225"/>
    <n v="71535.307499999995"/>
    <n v="0"/>
    <n v="0"/>
    <n v="0"/>
    <n v="0"/>
    <n v="0"/>
    <n v="0"/>
  </r>
  <r>
    <x v="44"/>
    <x v="13"/>
    <x v="3"/>
    <m/>
    <m/>
    <n v="0"/>
    <m/>
    <m/>
    <n v="0"/>
    <m/>
    <m/>
    <n v="13.766321243523315"/>
    <s v=""/>
    <n v="5178.2201685240561"/>
    <n v="13.766321243523315"/>
    <n v="379522.40030353249"/>
    <n v="116.88487613461319"/>
    <n v="2225"/>
    <n v="71535.307499999995"/>
    <n v="0"/>
    <n v="984778.0232992227"/>
    <n v="0"/>
    <n v="605255.62299569021"/>
    <n v="0"/>
    <n v="379522.40030353249"/>
  </r>
  <r>
    <x v="45"/>
    <x v="13"/>
    <x v="3"/>
    <n v="2921"/>
    <n v="1.81"/>
    <n v="5.2870100000000004"/>
    <n v="1960"/>
    <n v="1.31"/>
    <n v="2.5676000000000001"/>
    <n v="5178.2201685240561"/>
    <n v="2.6585044272938125"/>
    <n v="1.1000000000000001"/>
    <n v="-0.57158435893441339"/>
    <n v="-876"/>
    <n v="-1.4676"/>
    <e v="#VALUE!"/>
    <n v="116.88487613461319"/>
    <n v="2225"/>
    <n v="71535.307499999995"/>
    <n v="183674.05553700001"/>
    <n v="78688.838250000001"/>
    <n v="229094.35722384186"/>
    <s v=""/>
    <n v="-45420.301686841849"/>
    <e v="#VALUE!"/>
  </r>
  <r>
    <x v="46"/>
    <x v="13"/>
    <x v="3"/>
    <m/>
    <m/>
    <m/>
    <m/>
    <m/>
    <m/>
    <m/>
    <m/>
    <m/>
    <m/>
    <m/>
    <m/>
    <m/>
    <m/>
    <m/>
    <m/>
    <m/>
    <m/>
    <m/>
    <m/>
    <m/>
    <m/>
  </r>
  <r>
    <x v="47"/>
    <x v="13"/>
    <x v="3"/>
    <m/>
    <m/>
    <n v="0"/>
    <m/>
    <m/>
    <n v="0"/>
    <m/>
    <m/>
    <n v="5.8"/>
    <m/>
    <m/>
    <m/>
    <m/>
    <m/>
    <m/>
    <m/>
    <m/>
    <m/>
    <m/>
    <m/>
    <m/>
    <m/>
  </r>
  <r>
    <x v="48"/>
    <x v="13"/>
    <x v="3"/>
    <m/>
    <m/>
    <n v="0"/>
    <m/>
    <m/>
    <n v="0"/>
    <m/>
    <m/>
    <n v="1.2"/>
    <m/>
    <m/>
    <m/>
    <m/>
    <m/>
    <m/>
    <m/>
    <m/>
    <m/>
    <m/>
    <m/>
    <m/>
    <m/>
  </r>
  <r>
    <x v="49"/>
    <x v="13"/>
    <x v="3"/>
    <m/>
    <m/>
    <n v="0"/>
    <n v="1960"/>
    <n v="1.69"/>
    <n v="3.3124000000000002"/>
    <n v="1084"/>
    <n v="1.2915129151291513"/>
    <n v="1.4"/>
    <n v="-0.57734573119188515"/>
    <n v="-876"/>
    <n v="-1.9124000000000003"/>
    <n v="-26553.77522992072"/>
    <n v="116.88487613461319"/>
    <n v="2225"/>
    <n v="71535.307499999995"/>
    <n v="236953.552563"/>
    <n v="100149.43049999999"/>
    <n v="229094.35722384186"/>
    <n v="126703.20572992071"/>
    <n v="7859.1953391581483"/>
    <n v="-26553.77522992072"/>
  </r>
  <r>
    <x v="50"/>
    <x v="13"/>
    <x v="4"/>
    <m/>
    <m/>
    <n v="0"/>
    <m/>
    <m/>
    <n v="0"/>
    <m/>
    <m/>
    <n v="0"/>
    <s v=""/>
    <n v="0"/>
    <n v="0"/>
    <n v="0"/>
    <n v="116.88487613461319"/>
    <n v="2225"/>
    <n v="71535.307499999995"/>
    <n v="0"/>
    <n v="0"/>
    <n v="0"/>
    <n v="0"/>
    <n v="0"/>
    <n v="0"/>
  </r>
  <r>
    <x v="51"/>
    <x v="13"/>
    <x v="4"/>
    <m/>
    <m/>
    <n v="0"/>
    <m/>
    <m/>
    <n v="0"/>
    <m/>
    <m/>
    <n v="0"/>
    <s v=""/>
    <n v="0"/>
    <n v="0"/>
    <n v="0"/>
    <n v="116.88487613461319"/>
    <n v="2225"/>
    <n v="71535.307499999995"/>
    <n v="0"/>
    <n v="0"/>
    <n v="0"/>
    <n v="0"/>
    <n v="0"/>
    <n v="0"/>
  </r>
  <r>
    <x v="52"/>
    <x v="13"/>
    <x v="4"/>
    <m/>
    <m/>
    <n v="0"/>
    <m/>
    <m/>
    <n v="0"/>
    <m/>
    <m/>
    <n v="0"/>
    <s v=""/>
    <n v="0"/>
    <n v="0"/>
    <n v="0"/>
    <n v="116.88487613461319"/>
    <n v="2225"/>
    <n v="71535.307499999995"/>
    <n v="0"/>
    <n v="0"/>
    <n v="0"/>
    <n v="0"/>
    <n v="0"/>
    <n v="0"/>
  </r>
  <r>
    <x v="53"/>
    <x v="13"/>
    <x v="4"/>
    <m/>
    <m/>
    <n v="0"/>
    <m/>
    <m/>
    <n v="0"/>
    <m/>
    <m/>
    <n v="0"/>
    <s v=""/>
    <n v="0"/>
    <n v="0"/>
    <n v="0"/>
    <n v="116.88487613461319"/>
    <n v="2225"/>
    <n v="71535.307499999995"/>
    <n v="0"/>
    <n v="0"/>
    <n v="0"/>
    <n v="0"/>
    <n v="0"/>
    <n v="0"/>
  </r>
  <r>
    <x v="54"/>
    <x v="13"/>
    <x v="4"/>
    <m/>
    <m/>
    <n v="0"/>
    <m/>
    <m/>
    <n v="0"/>
    <m/>
    <m/>
    <n v="0"/>
    <s v=""/>
    <n v="0"/>
    <n v="0"/>
    <n v="0"/>
    <n v="116.88487613461319"/>
    <n v="2225"/>
    <n v="71535.307499999995"/>
    <n v="0"/>
    <n v="0"/>
    <n v="0"/>
    <n v="0"/>
    <n v="0"/>
    <n v="0"/>
  </r>
  <r>
    <x v="55"/>
    <x v="13"/>
    <x v="4"/>
    <n v="1723"/>
    <n v="0.82"/>
    <n v="1.41286"/>
    <m/>
    <m/>
    <n v="0"/>
    <m/>
    <m/>
    <n v="0"/>
    <s v=""/>
    <n v="0"/>
    <n v="0"/>
    <n v="0"/>
    <n v="116.88487613461319"/>
    <n v="2225"/>
    <n v="71535.307499999995"/>
    <n v="0"/>
    <n v="0"/>
    <n v="0"/>
    <n v="0"/>
    <n v="0"/>
    <n v="0"/>
  </r>
  <r>
    <x v="56"/>
    <x v="13"/>
    <x v="4"/>
    <m/>
    <m/>
    <n v="0"/>
    <m/>
    <m/>
    <n v="0"/>
    <m/>
    <m/>
    <n v="0"/>
    <s v=""/>
    <n v="0"/>
    <n v="0"/>
    <n v="0"/>
    <n v="116.88487613461319"/>
    <n v="2225"/>
    <n v="71535.307499999995"/>
    <n v="0"/>
    <n v="0"/>
    <n v="0"/>
    <n v="0"/>
    <n v="0"/>
    <n v="0"/>
  </r>
  <r>
    <x v="57"/>
    <x v="13"/>
    <x v="4"/>
    <n v="1010"/>
    <n v="0.53"/>
    <n v="0.53530000000000011"/>
    <m/>
    <m/>
    <n v="0"/>
    <m/>
    <m/>
    <n v="0"/>
    <s v=""/>
    <n v="2393"/>
    <n v="3.6"/>
    <n v="-22178.40159012939"/>
    <n v="116.88487613461319"/>
    <n v="2225"/>
    <n v="71535.307499999995"/>
    <n v="0"/>
    <n v="257527.10699999999"/>
    <n v="0"/>
    <n v="279705.50859012938"/>
    <n v="0"/>
    <n v="-22178.40159012939"/>
  </r>
  <r>
    <x v="58"/>
    <x v="13"/>
    <x v="4"/>
    <m/>
    <m/>
    <n v="0"/>
    <n v="3920"/>
    <n v="2.87"/>
    <n v="11.250399999999999"/>
    <n v="2393"/>
    <n v="1.5461763476807355"/>
    <n v="3.6"/>
    <s v=""/>
    <n v="-3920"/>
    <n v="-11.250399999999999"/>
    <e v="#VALUE!"/>
    <n v="116.88487613461319"/>
    <n v="2225"/>
    <n v="71535.307499999995"/>
    <n v="804800.82349799993"/>
    <s v=""/>
    <n v="458188.71444768371"/>
    <s v=""/>
    <n v="346612.10905031621"/>
    <e v="#VALUE!"/>
  </r>
  <r>
    <x v="59"/>
    <x v="13"/>
    <x v="4"/>
    <n v="712"/>
    <n v="3.3"/>
    <n v="2.3495999999999997"/>
    <m/>
    <m/>
    <n v="0"/>
    <m/>
    <m/>
    <n v="0"/>
    <s v=""/>
    <n v="2080"/>
    <n v="16"/>
    <e v="#VALUE!"/>
    <n v="116.88487613461319"/>
    <n v="2225"/>
    <n v="71535.307499999995"/>
    <n v="0"/>
    <s v=""/>
    <n v="0"/>
    <s v=""/>
    <n v="0"/>
    <e v="#VALUE!"/>
  </r>
  <r>
    <x v="60"/>
    <x v="13"/>
    <x v="4"/>
    <m/>
    <m/>
    <n v="0"/>
    <n v="2940"/>
    <n v="3.23"/>
    <n v="9.4962"/>
    <n v="2080"/>
    <n v="1.7788461538461537"/>
    <n v="16"/>
    <s v=""/>
    <n v="-2940"/>
    <n v="-9.4962"/>
    <e v="#VALUE!"/>
    <n v="116.88487613461319"/>
    <n v="2225"/>
    <n v="71535.307499999995"/>
    <n v="679313.58708149998"/>
    <s v=""/>
    <n v="343641.5358357628"/>
    <s v=""/>
    <n v="335672.05124573718"/>
    <e v="#VALUE!"/>
  </r>
  <r>
    <x v="61"/>
    <x v="13"/>
    <x v="4"/>
    <m/>
    <m/>
    <n v="0"/>
    <m/>
    <m/>
    <n v="0"/>
    <m/>
    <m/>
    <n v="0"/>
    <s v=""/>
    <n v="0"/>
    <n v="0"/>
    <n v="0"/>
    <n v="116.88487613461319"/>
    <n v="2225"/>
    <n v="71535.307499999995"/>
    <n v="0"/>
    <n v="0"/>
    <n v="0"/>
    <n v="0"/>
    <n v="0"/>
    <n v="0"/>
  </r>
  <r>
    <x v="62"/>
    <x v="13"/>
    <x v="4"/>
    <m/>
    <m/>
    <n v="0"/>
    <m/>
    <m/>
    <n v="0"/>
    <m/>
    <m/>
    <n v="0"/>
    <s v=""/>
    <n v="0"/>
    <n v="0"/>
    <n v="0"/>
    <n v="116.88487613461319"/>
    <n v="2225"/>
    <n v="71535.307499999995"/>
    <n v="0"/>
    <n v="0"/>
    <n v="0"/>
    <n v="0"/>
    <n v="0"/>
    <n v="0"/>
  </r>
  <r>
    <x v="63"/>
    <x v="13"/>
    <x v="4"/>
    <m/>
    <m/>
    <n v="0"/>
    <m/>
    <m/>
    <n v="0"/>
    <m/>
    <m/>
    <n v="0"/>
    <s v=""/>
    <n v="0"/>
    <n v="0"/>
    <n v="0"/>
    <n v="116.88487613461319"/>
    <n v="2225"/>
    <n v="71535.307499999995"/>
    <n v="0"/>
    <n v="0"/>
    <n v="0"/>
    <n v="0"/>
    <n v="0"/>
    <n v="0"/>
  </r>
  <r>
    <x v="64"/>
    <x v="13"/>
    <x v="4"/>
    <m/>
    <m/>
    <n v="0"/>
    <m/>
    <m/>
    <n v="0"/>
    <m/>
    <m/>
    <n v="0"/>
    <s v=""/>
    <n v="0"/>
    <n v="0"/>
    <n v="0"/>
    <n v="116.88487613461319"/>
    <n v="2225"/>
    <n v="71535.307499999995"/>
    <n v="0"/>
    <n v="0"/>
    <n v="0"/>
    <n v="0"/>
    <n v="0"/>
    <n v="0"/>
  </r>
  <r>
    <x v="65"/>
    <x v="13"/>
    <x v="4"/>
    <m/>
    <m/>
    <n v="0"/>
    <m/>
    <m/>
    <n v="0"/>
    <m/>
    <m/>
    <n v="0"/>
    <s v=""/>
    <n v="0"/>
    <n v="0"/>
    <n v="0"/>
    <n v="116.88487613461319"/>
    <n v="2225"/>
    <n v="71535.307499999995"/>
    <n v="0"/>
    <n v="0"/>
    <n v="0"/>
    <n v="0"/>
    <n v="0"/>
    <n v="0"/>
  </r>
  <r>
    <x v="66"/>
    <x v="13"/>
    <x v="4"/>
    <m/>
    <m/>
    <n v="0"/>
    <m/>
    <m/>
    <n v="0"/>
    <m/>
    <m/>
    <n v="0"/>
    <s v=""/>
    <n v="0"/>
    <n v="0"/>
    <n v="0"/>
    <n v="116.88487613461319"/>
    <n v="2225"/>
    <n v="71535.307499999995"/>
    <n v="0"/>
    <n v="0"/>
    <n v="0"/>
    <n v="0"/>
    <n v="0"/>
    <n v="0"/>
  </r>
  <r>
    <x v="67"/>
    <x v="13"/>
    <x v="4"/>
    <m/>
    <m/>
    <n v="0"/>
    <m/>
    <m/>
    <n v="0"/>
    <m/>
    <m/>
    <n v="0"/>
    <s v=""/>
    <n v="0"/>
    <n v="0"/>
    <n v="0"/>
    <n v="116.88487613461319"/>
    <n v="2225"/>
    <n v="71535.307499999995"/>
    <n v="0"/>
    <n v="0"/>
    <n v="0"/>
    <n v="0"/>
    <n v="0"/>
    <n v="0"/>
  </r>
  <r>
    <x v="68"/>
    <x v="13"/>
    <x v="4"/>
    <m/>
    <m/>
    <n v="0"/>
    <m/>
    <m/>
    <n v="0"/>
    <m/>
    <m/>
    <n v="0"/>
    <s v=""/>
    <n v="0"/>
    <n v="0"/>
    <n v="0"/>
    <n v="116.88487613461319"/>
    <n v="2225"/>
    <n v="71535.307499999995"/>
    <n v="0"/>
    <n v="0"/>
    <n v="0"/>
    <n v="0"/>
    <n v="0"/>
    <n v="0"/>
  </r>
  <r>
    <x v="69"/>
    <x v="13"/>
    <x v="4"/>
    <m/>
    <m/>
    <n v="0"/>
    <m/>
    <m/>
    <n v="0"/>
    <m/>
    <m/>
    <n v="0"/>
    <s v=""/>
    <n v="0"/>
    <n v="0"/>
    <n v="0"/>
    <n v="116.88487613461319"/>
    <n v="2225"/>
    <n v="71535.307499999995"/>
    <n v="0"/>
    <n v="0"/>
    <n v="0"/>
    <n v="0"/>
    <n v="0"/>
    <n v="0"/>
  </r>
  <r>
    <x v="70"/>
    <x v="13"/>
    <x v="5"/>
    <n v="2584"/>
    <n v="2.83"/>
    <n v="7.3127200000000006"/>
    <n v="980"/>
    <n v="2.91"/>
    <n v="2.8518000000000003"/>
    <n v="2717"/>
    <n v="3.0548398969451602"/>
    <n v="9.6999999999999993"/>
    <n v="2.4013605442176864"/>
    <n v="1737"/>
    <n v="6.8481999999999985"/>
    <n v="376316.27429225581"/>
    <n v="116.88487613461319"/>
    <n v="2225"/>
    <n v="71535.307499999995"/>
    <n v="204004.38992850002"/>
    <n v="693892.48274999985"/>
    <n v="114547.17861192093"/>
    <n v="317576.20845774404"/>
    <n v="89457.211316579094"/>
    <n v="376316.27429225581"/>
  </r>
  <r>
    <x v="71"/>
    <x v="13"/>
    <x v="5"/>
    <m/>
    <m/>
    <n v="0"/>
    <m/>
    <m/>
    <n v="0"/>
    <m/>
    <m/>
    <n v="0"/>
    <s v=""/>
    <n v="0"/>
    <n v="0"/>
    <n v="0"/>
    <n v="116.88487613461319"/>
    <n v="2225"/>
    <n v="71535.307499999995"/>
    <n v="0"/>
    <n v="0"/>
    <n v="0"/>
    <n v="0"/>
    <n v="0"/>
    <n v="0"/>
  </r>
  <r>
    <x v="72"/>
    <x v="13"/>
    <x v="5"/>
    <m/>
    <m/>
    <n v="0"/>
    <m/>
    <m/>
    <n v="0"/>
    <n v="779"/>
    <n v="2.4390243902439024"/>
    <n v="0.53005999999999998"/>
    <m/>
    <m/>
    <m/>
    <m/>
    <m/>
    <m/>
    <m/>
    <m/>
    <m/>
    <m/>
    <m/>
    <m/>
    <m/>
  </r>
  <r>
    <x v="73"/>
    <x v="13"/>
    <x v="5"/>
    <m/>
    <m/>
    <n v="0"/>
    <m/>
    <m/>
    <n v="0"/>
    <m/>
    <m/>
    <n v="0"/>
    <s v=""/>
    <n v="0"/>
    <n v="0"/>
    <n v="0"/>
    <m/>
    <m/>
    <m/>
    <m/>
    <m/>
    <m/>
    <m/>
    <m/>
    <m/>
  </r>
  <r>
    <x v="74"/>
    <x v="13"/>
    <x v="5"/>
    <m/>
    <m/>
    <n v="0"/>
    <n v="1960"/>
    <n v="2.6"/>
    <n v="5.0960000000000001"/>
    <n v="1103"/>
    <n v="3.0825022665457844"/>
    <n v="0.9"/>
    <m/>
    <m/>
    <m/>
    <m/>
    <m/>
    <m/>
    <m/>
    <m/>
    <m/>
    <m/>
    <m/>
    <m/>
    <m/>
  </r>
  <r>
    <x v="75"/>
    <x v="13"/>
    <x v="5"/>
    <m/>
    <m/>
    <n v="0"/>
    <m/>
    <m/>
    <n v="0"/>
    <m/>
    <m/>
    <n v="5.3959999999999994E-2"/>
    <s v=""/>
    <n v="0"/>
    <n v="5.3959999999999994E-2"/>
    <e v="#VALUE!"/>
    <n v="116.88487613461319"/>
    <n v="2225"/>
    <n v="71535.307499999995"/>
    <n v="0"/>
    <s v=""/>
    <n v="0"/>
    <s v=""/>
    <n v="0"/>
    <e v="#VALUE!"/>
  </r>
  <r>
    <x v="76"/>
    <x v="13"/>
    <x v="5"/>
    <m/>
    <m/>
    <n v="0"/>
    <m/>
    <m/>
    <n v="0"/>
    <m/>
    <m/>
    <n v="0"/>
    <s v=""/>
    <n v="0"/>
    <n v="0"/>
    <n v="0"/>
    <m/>
    <m/>
    <m/>
    <m/>
    <m/>
    <m/>
    <m/>
    <m/>
    <m/>
  </r>
  <r>
    <x v="77"/>
    <x v="13"/>
    <x v="5"/>
    <m/>
    <m/>
    <n v="0"/>
    <n v="2940"/>
    <n v="2.5299999999999998"/>
    <n v="7.4382000000000001"/>
    <n v="90"/>
    <n v="4.4444444444444446"/>
    <n v="13.7"/>
    <n v="0.84184345675028893"/>
    <n v="-2850"/>
    <n v="6.2617999999999991"/>
    <n v="3860.0451926999995"/>
    <n v="116.88487613461319"/>
    <n v="2225"/>
    <n v="71535.307499999995"/>
    <n v="532093.92424650001"/>
    <n v="3860.0451926999995"/>
    <n v="343641.5358357628"/>
    <n v="0"/>
    <n v="188452.38841073721"/>
    <n v="3860.0451926999995"/>
  </r>
  <r>
    <x v="78"/>
    <x v="13"/>
    <x v="5"/>
    <n v="1723"/>
    <n v="1.34"/>
    <n v="2.3088200000000003"/>
    <n v="980"/>
    <n v="2.75"/>
    <n v="2.6949999999999998"/>
    <n v="3353"/>
    <n v="2.5648672830301225"/>
    <n v="0.8"/>
    <n v="-0.70315398886827452"/>
    <n v="2373"/>
    <e v="#REF!"/>
    <e v="#VALUE!"/>
    <n v="116.88487613461319"/>
    <n v="2225"/>
    <n v="71535.307499999995"/>
    <n v="192787.65371249997"/>
    <s v=""/>
    <n v="114547.17861192093"/>
    <s v=""/>
    <n v="78240.475100579046"/>
    <e v="#VALUE!"/>
  </r>
  <r>
    <x v="79"/>
    <x v="13"/>
    <x v="5"/>
    <m/>
    <m/>
    <n v="0"/>
    <n v="1960"/>
    <n v="2.75"/>
    <n v="5.39"/>
    <n v="337"/>
    <n v="1.7804154302670623"/>
    <n v="0.1"/>
    <n v="1.5417439703153988"/>
    <n v="-1870"/>
    <n v="8.3099999999999987"/>
    <n v="969514.07389788469"/>
    <n v="116.88487613461319"/>
    <n v="2225"/>
    <n v="71535.307499999995"/>
    <n v="385575.30742499995"/>
    <n v="980033.71274999983"/>
    <n v="229094.35722384186"/>
    <n v="10519.638852115188"/>
    <n v="156480.95020115809"/>
    <n v="969514.07389788469"/>
  </r>
  <r>
    <x v="80"/>
    <x v="13"/>
    <x v="5"/>
    <n v="1723"/>
    <n v="2.7"/>
    <n v="4.6521000000000008"/>
    <m/>
    <m/>
    <n v="0"/>
    <m/>
    <m/>
    <n v="0"/>
    <s v=""/>
    <n v="3353"/>
    <n v="0.8"/>
    <n v="-334686.74367935804"/>
    <n v="116.88487613461319"/>
    <n v="2225"/>
    <n v="71535.307499999995"/>
    <n v="0"/>
    <n v="57228.245999999999"/>
    <n v="0"/>
    <n v="391914.98967935803"/>
    <n v="0"/>
    <n v="-334686.74367935804"/>
  </r>
  <r>
    <x v="81"/>
    <x v="13"/>
    <x v="5"/>
    <m/>
    <m/>
    <n v="0"/>
    <n v="1960"/>
    <n v="2.7499999999999991"/>
    <n v="5.3899999999999979"/>
    <n v="35"/>
    <n v="2.8571428571428572"/>
    <n v="5.3959999999999994E-2"/>
    <n v="-0.98144712430426717"/>
    <n v="-1623"/>
    <n v="-5.2899999999999983"/>
    <n v="-32236.672507364645"/>
    <n v="116.88487613461319"/>
    <n v="2225"/>
    <n v="71535.307499999995"/>
    <n v="385575.30742499983"/>
    <n v="7153.5307499999999"/>
    <n v="229094.35722384186"/>
    <n v="39390.203257364643"/>
    <n v="156480.95020115798"/>
    <n v="-32236.672507364645"/>
  </r>
  <r>
    <x v="82"/>
    <x v="13"/>
    <x v="5"/>
    <n v="207"/>
    <n v="3.63"/>
    <n v="0.75141000000000002"/>
    <m/>
    <m/>
    <n v="0"/>
    <m/>
    <m/>
    <n v="0"/>
    <s v=""/>
    <n v="0"/>
    <n v="0"/>
    <n v="0"/>
    <n v="116.88487613461319"/>
    <n v="2225"/>
    <n v="71535.307499999995"/>
    <n v="0"/>
    <n v="0"/>
    <n v="0"/>
    <n v="0"/>
    <n v="0"/>
    <n v="0"/>
  </r>
  <r>
    <x v="83"/>
    <x v="13"/>
    <x v="5"/>
    <n v="481"/>
    <n v="2.87"/>
    <n v="1.3804700000000001"/>
    <m/>
    <m/>
    <n v="0"/>
    <m/>
    <m/>
    <n v="0"/>
    <s v=""/>
    <n v="0"/>
    <n v="0"/>
    <n v="0"/>
    <n v="116.88487613461319"/>
    <n v="2225"/>
    <n v="71535.307499999995"/>
    <n v="0"/>
    <n v="0"/>
    <n v="0"/>
    <n v="0"/>
    <n v="0"/>
    <n v="0"/>
  </r>
  <r>
    <x v="84"/>
    <x v="13"/>
    <x v="5"/>
    <n v="1242"/>
    <n v="2.4500000000000002"/>
    <n v="3.0428999999999999"/>
    <m/>
    <m/>
    <n v="0"/>
    <m/>
    <m/>
    <n v="0"/>
    <s v=""/>
    <n v="0"/>
    <n v="0"/>
    <n v="0"/>
    <n v="116.88487613461319"/>
    <n v="2225"/>
    <n v="71535.307499999995"/>
    <n v="0"/>
    <n v="0"/>
    <n v="0"/>
    <n v="0"/>
    <n v="0"/>
    <n v="0"/>
  </r>
  <r>
    <x v="85"/>
    <x v="13"/>
    <x v="5"/>
    <m/>
    <m/>
    <n v="0"/>
    <m/>
    <m/>
    <n v="0"/>
    <m/>
    <m/>
    <n v="0"/>
    <s v=""/>
    <n v="0"/>
    <n v="0"/>
    <n v="0"/>
    <n v="116.88487613461319"/>
    <n v="2225"/>
    <n v="71535.307499999995"/>
    <n v="0"/>
    <n v="0"/>
    <n v="0"/>
    <n v="0"/>
    <n v="0"/>
    <n v="0"/>
  </r>
  <r>
    <x v="86"/>
    <x v="13"/>
    <x v="5"/>
    <m/>
    <m/>
    <n v="0"/>
    <m/>
    <m/>
    <n v="0"/>
    <m/>
    <m/>
    <n v="0"/>
    <s v=""/>
    <n v="0"/>
    <n v="0"/>
    <n v="0"/>
    <n v="116.88487613461319"/>
    <n v="2225"/>
    <n v="71535.307499999995"/>
    <n v="0"/>
    <n v="0"/>
    <n v="0"/>
    <n v="0"/>
    <n v="0"/>
    <n v="0"/>
  </r>
  <r>
    <x v="87"/>
    <x v="13"/>
    <x v="5"/>
    <m/>
    <m/>
    <n v="0"/>
    <m/>
    <m/>
    <n v="0"/>
    <m/>
    <m/>
    <n v="0"/>
    <s v=""/>
    <n v="0"/>
    <n v="0"/>
    <n v="0"/>
    <n v="116.88487613461319"/>
    <n v="2225"/>
    <n v="71535.307499999995"/>
    <n v="0"/>
    <n v="0"/>
    <n v="0"/>
    <n v="0"/>
    <n v="0"/>
    <n v="0"/>
  </r>
  <r>
    <x v="88"/>
    <x v="13"/>
    <x v="5"/>
    <m/>
    <m/>
    <n v="0"/>
    <m/>
    <m/>
    <n v="0"/>
    <m/>
    <m/>
    <n v="0"/>
    <s v=""/>
    <n v="0"/>
    <n v="0"/>
    <n v="0"/>
    <n v="116.88487613461319"/>
    <n v="2225"/>
    <n v="71535.307499999995"/>
    <n v="0"/>
    <n v="0"/>
    <n v="0"/>
    <n v="0"/>
    <n v="0"/>
    <n v="0"/>
  </r>
  <r>
    <x v="89"/>
    <x v="13"/>
    <x v="5"/>
    <m/>
    <m/>
    <n v="0"/>
    <m/>
    <m/>
    <n v="0"/>
    <m/>
    <m/>
    <n v="0"/>
    <s v=""/>
    <n v="0"/>
    <n v="0"/>
    <n v="0"/>
    <n v="116.88487613461319"/>
    <n v="2225"/>
    <n v="71535.307499999995"/>
    <n v="0"/>
    <n v="0"/>
    <n v="0"/>
    <n v="0"/>
    <n v="0"/>
    <n v="0"/>
  </r>
  <r>
    <x v="90"/>
    <x v="13"/>
    <x v="5"/>
    <m/>
    <m/>
    <n v="0"/>
    <m/>
    <m/>
    <n v="0"/>
    <m/>
    <m/>
    <n v="0"/>
    <s v=""/>
    <n v="0"/>
    <n v="0"/>
    <n v="0"/>
    <n v="116.88487613461319"/>
    <n v="2225"/>
    <n v="71535.307499999995"/>
    <n v="0"/>
    <n v="0"/>
    <n v="0"/>
    <n v="0"/>
    <n v="0"/>
    <n v="0"/>
  </r>
  <r>
    <x v="91"/>
    <x v="13"/>
    <x v="5"/>
    <m/>
    <m/>
    <n v="0"/>
    <m/>
    <m/>
    <n v="0"/>
    <m/>
    <m/>
    <n v="0"/>
    <s v=""/>
    <n v="0"/>
    <n v="0"/>
    <n v="0"/>
    <n v="116.88487613461319"/>
    <n v="2225"/>
    <n v="71535.307499999995"/>
    <n v="0"/>
    <n v="0"/>
    <n v="0"/>
    <n v="0"/>
    <n v="0"/>
    <n v="0"/>
  </r>
  <r>
    <x v="92"/>
    <x v="13"/>
    <x v="5"/>
    <m/>
    <m/>
    <n v="0"/>
    <m/>
    <m/>
    <n v="0"/>
    <m/>
    <m/>
    <n v="0"/>
    <s v=""/>
    <n v="0"/>
    <n v="0"/>
    <n v="0"/>
    <n v="116.88487613461319"/>
    <n v="2225"/>
    <n v="71535.307499999995"/>
    <n v="0"/>
    <n v="0"/>
    <n v="0"/>
    <n v="0"/>
    <n v="0"/>
    <n v="0"/>
  </r>
  <r>
    <x v="93"/>
    <x v="13"/>
    <x v="5"/>
    <m/>
    <m/>
    <n v="0"/>
    <m/>
    <m/>
    <n v="0"/>
    <m/>
    <m/>
    <n v="0"/>
    <s v=""/>
    <n v="0"/>
    <n v="0"/>
    <n v="0"/>
    <n v="116.88487613461319"/>
    <n v="2225"/>
    <n v="71535.307499999995"/>
    <n v="0"/>
    <n v="0"/>
    <n v="0"/>
    <n v="0"/>
    <n v="0"/>
    <n v="0"/>
  </r>
  <r>
    <x v="94"/>
    <x v="13"/>
    <x v="5"/>
    <m/>
    <m/>
    <n v="0"/>
    <m/>
    <m/>
    <n v="0"/>
    <m/>
    <m/>
    <n v="0"/>
    <s v=""/>
    <n v="0"/>
    <n v="0"/>
    <n v="0"/>
    <n v="116.88487613461319"/>
    <n v="2225"/>
    <n v="71535.307499999995"/>
    <n v="0"/>
    <n v="0"/>
    <n v="0"/>
    <n v="0"/>
    <n v="0"/>
    <n v="0"/>
  </r>
  <r>
    <x v="95"/>
    <x v="13"/>
    <x v="5"/>
    <m/>
    <m/>
    <n v="0"/>
    <m/>
    <m/>
    <n v="0"/>
    <m/>
    <m/>
    <n v="0"/>
    <s v=""/>
    <n v="0"/>
    <n v="0"/>
    <n v="0"/>
    <n v="116.88487613461319"/>
    <n v="2225"/>
    <n v="71535.307499999995"/>
    <n v="0"/>
    <n v="0"/>
    <n v="0"/>
    <n v="0"/>
    <n v="0"/>
    <n v="0"/>
  </r>
  <r>
    <x v="96"/>
    <x v="13"/>
    <x v="5"/>
    <m/>
    <m/>
    <n v="0"/>
    <m/>
    <m/>
    <n v="0"/>
    <m/>
    <m/>
    <n v="0"/>
    <s v=""/>
    <n v="0"/>
    <n v="0"/>
    <n v="0"/>
    <n v="116.88487613461319"/>
    <n v="2225"/>
    <n v="71535.307499999995"/>
    <n v="0"/>
    <n v="0"/>
    <n v="0"/>
    <n v="0"/>
    <n v="0"/>
    <n v="0"/>
  </r>
  <r>
    <x v="97"/>
    <x v="13"/>
    <x v="5"/>
    <m/>
    <m/>
    <n v="0"/>
    <m/>
    <m/>
    <n v="0"/>
    <m/>
    <m/>
    <n v="0"/>
    <s v=""/>
    <n v="0"/>
    <n v="0"/>
    <n v="0"/>
    <n v="116.88487613461319"/>
    <n v="2225"/>
    <n v="71535.307499999995"/>
    <n v="0"/>
    <n v="0"/>
    <n v="0"/>
    <n v="0"/>
    <n v="0"/>
    <n v="0"/>
  </r>
  <r>
    <x v="98"/>
    <x v="13"/>
    <x v="6"/>
    <m/>
    <m/>
    <n v="0"/>
    <m/>
    <m/>
    <n v="0"/>
    <m/>
    <m/>
    <n v="0"/>
    <s v=""/>
    <n v="0"/>
    <n v="0"/>
    <n v="0"/>
    <n v="116.88487613461319"/>
    <n v="2225"/>
    <n v="71535.307499999995"/>
    <n v="0"/>
    <n v="0"/>
    <n v="0"/>
    <n v="0"/>
    <n v="0"/>
    <n v="0"/>
  </r>
  <r>
    <x v="99"/>
    <x v="13"/>
    <x v="6"/>
    <m/>
    <m/>
    <n v="0"/>
    <m/>
    <m/>
    <n v="0"/>
    <m/>
    <m/>
    <n v="0"/>
    <s v=""/>
    <n v="0"/>
    <n v="0"/>
    <n v="0"/>
    <n v="116.88487613461319"/>
    <n v="2225"/>
    <n v="71535.307499999995"/>
    <n v="0"/>
    <n v="0"/>
    <n v="0"/>
    <n v="0"/>
    <n v="0"/>
    <n v="0"/>
  </r>
  <r>
    <x v="100"/>
    <x v="13"/>
    <x v="6"/>
    <m/>
    <m/>
    <n v="0"/>
    <m/>
    <m/>
    <n v="0"/>
    <m/>
    <m/>
    <n v="0"/>
    <s v=""/>
    <n v="0"/>
    <n v="0"/>
    <n v="0"/>
    <n v="116.88487613461319"/>
    <n v="2225"/>
    <n v="71535.307499999995"/>
    <n v="0"/>
    <n v="0"/>
    <n v="0"/>
    <n v="0"/>
    <n v="0"/>
    <n v="0"/>
  </r>
  <r>
    <x v="101"/>
    <x v="13"/>
    <x v="6"/>
    <m/>
    <m/>
    <n v="0"/>
    <m/>
    <m/>
    <n v="0"/>
    <m/>
    <m/>
    <n v="0"/>
    <s v=""/>
    <n v="0"/>
    <n v="0"/>
    <n v="0"/>
    <n v="116.88487613461319"/>
    <n v="2225"/>
    <n v="71535.307499999995"/>
    <n v="0"/>
    <n v="0"/>
    <n v="0"/>
    <n v="0"/>
    <n v="0"/>
    <n v="0"/>
  </r>
  <r>
    <x v="102"/>
    <x v="13"/>
    <x v="6"/>
    <m/>
    <m/>
    <n v="0"/>
    <m/>
    <m/>
    <n v="0"/>
    <m/>
    <m/>
    <n v="0"/>
    <s v=""/>
    <n v="0"/>
    <n v="0"/>
    <n v="0"/>
    <n v="116.88487613461319"/>
    <n v="2225"/>
    <n v="71535.307499999995"/>
    <n v="0"/>
    <n v="0"/>
    <n v="0"/>
    <n v="0"/>
    <n v="0"/>
    <n v="0"/>
  </r>
  <r>
    <x v="103"/>
    <x v="13"/>
    <x v="6"/>
    <m/>
    <m/>
    <n v="0"/>
    <m/>
    <m/>
    <n v="0"/>
    <m/>
    <m/>
    <n v="0"/>
    <s v=""/>
    <n v="0"/>
    <n v="0"/>
    <n v="0"/>
    <n v="116.88487613461319"/>
    <n v="2225"/>
    <n v="71535.307499999995"/>
    <n v="0"/>
    <n v="0"/>
    <n v="0"/>
    <n v="0"/>
    <n v="0"/>
    <n v="0"/>
  </r>
  <r>
    <x v="104"/>
    <x v="13"/>
    <x v="6"/>
    <m/>
    <m/>
    <n v="0"/>
    <m/>
    <m/>
    <n v="0"/>
    <m/>
    <m/>
    <n v="0"/>
    <s v=""/>
    <n v="0"/>
    <n v="0"/>
    <n v="0"/>
    <n v="116.88487613461319"/>
    <n v="2225"/>
    <n v="71535.307499999995"/>
    <n v="0"/>
    <n v="0"/>
    <n v="0"/>
    <n v="0"/>
    <n v="0"/>
    <n v="0"/>
  </r>
  <r>
    <x v="105"/>
    <x v="13"/>
    <x v="6"/>
    <m/>
    <m/>
    <n v="0"/>
    <m/>
    <m/>
    <n v="0"/>
    <m/>
    <m/>
    <n v="0"/>
    <s v=""/>
    <n v="0"/>
    <n v="0"/>
    <n v="0"/>
    <n v="116.88487613461319"/>
    <n v="2225"/>
    <n v="71535.307499999995"/>
    <n v="0"/>
    <n v="0"/>
    <n v="0"/>
    <n v="0"/>
    <n v="0"/>
    <n v="0"/>
  </r>
  <r>
    <x v="106"/>
    <x v="13"/>
    <x v="6"/>
    <m/>
    <m/>
    <n v="0"/>
    <m/>
    <m/>
    <n v="0"/>
    <m/>
    <m/>
    <n v="0"/>
    <s v=""/>
    <n v="0"/>
    <n v="0"/>
    <n v="0"/>
    <n v="116.88487613461319"/>
    <n v="2225"/>
    <n v="71535.307499999995"/>
    <n v="0"/>
    <n v="0"/>
    <n v="0"/>
    <n v="0"/>
    <n v="0"/>
    <n v="0"/>
  </r>
  <r>
    <x v="107"/>
    <x v="13"/>
    <x v="6"/>
    <m/>
    <m/>
    <n v="0"/>
    <m/>
    <m/>
    <n v="0"/>
    <m/>
    <m/>
    <n v="0"/>
    <s v=""/>
    <n v="0"/>
    <n v="0"/>
    <n v="0"/>
    <n v="116.88487613461319"/>
    <n v="2225"/>
    <n v="71535.307499999995"/>
    <n v="0"/>
    <n v="0"/>
    <n v="0"/>
    <n v="0"/>
    <n v="0"/>
    <n v="0"/>
  </r>
  <r>
    <x v="108"/>
    <x v="13"/>
    <x v="6"/>
    <m/>
    <m/>
    <n v="0"/>
    <m/>
    <m/>
    <n v="0"/>
    <m/>
    <m/>
    <n v="0"/>
    <s v=""/>
    <n v="0"/>
    <n v="0"/>
    <n v="0"/>
    <n v="116.88487613461319"/>
    <n v="2225"/>
    <n v="71535.307499999995"/>
    <n v="0"/>
    <n v="0"/>
    <n v="0"/>
    <n v="0"/>
    <n v="0"/>
    <n v="0"/>
  </r>
  <r>
    <x v="109"/>
    <x v="13"/>
    <x v="6"/>
    <m/>
    <m/>
    <n v="0"/>
    <m/>
    <m/>
    <n v="0"/>
    <m/>
    <m/>
    <n v="0"/>
    <s v=""/>
    <n v="0"/>
    <n v="0"/>
    <n v="0"/>
    <n v="116.88487613461319"/>
    <n v="2225"/>
    <n v="71535.307499999995"/>
    <n v="0"/>
    <n v="0"/>
    <n v="0"/>
    <n v="0"/>
    <n v="0"/>
    <n v="0"/>
  </r>
  <r>
    <x v="110"/>
    <x v="13"/>
    <x v="7"/>
    <m/>
    <m/>
    <n v="0"/>
    <m/>
    <m/>
    <n v="0"/>
    <m/>
    <m/>
    <n v="0"/>
    <s v=""/>
    <n v="0"/>
    <n v="0"/>
    <n v="0"/>
    <n v="116.88487613461319"/>
    <n v="2225"/>
    <n v="71535.307499999995"/>
    <n v="0"/>
    <n v="0"/>
    <n v="0"/>
    <n v="0"/>
    <n v="0"/>
    <n v="0"/>
  </r>
  <r>
    <x v="111"/>
    <x v="13"/>
    <x v="7"/>
    <m/>
    <m/>
    <n v="0"/>
    <m/>
    <m/>
    <n v="0"/>
    <m/>
    <m/>
    <n v="0"/>
    <s v=""/>
    <n v="0"/>
    <n v="0"/>
    <n v="0"/>
    <n v="116.88487613461319"/>
    <n v="2225"/>
    <n v="71535.307499999995"/>
    <n v="0"/>
    <n v="0"/>
    <n v="0"/>
    <n v="0"/>
    <n v="0"/>
    <n v="0"/>
  </r>
  <r>
    <x v="112"/>
    <x v="13"/>
    <x v="7"/>
    <m/>
    <m/>
    <n v="0"/>
    <m/>
    <m/>
    <n v="0"/>
    <m/>
    <m/>
    <n v="0"/>
    <s v=""/>
    <n v="0"/>
    <n v="0"/>
    <n v="0"/>
    <n v="116.88487613461319"/>
    <n v="2225"/>
    <n v="71535.307499999995"/>
    <n v="0"/>
    <n v="0"/>
    <n v="0"/>
    <n v="0"/>
    <n v="0"/>
    <n v="0"/>
  </r>
  <r>
    <x v="113"/>
    <x v="13"/>
    <x v="7"/>
    <m/>
    <m/>
    <n v="0"/>
    <m/>
    <m/>
    <n v="0"/>
    <m/>
    <m/>
    <n v="0"/>
    <s v=""/>
    <n v="0"/>
    <n v="0"/>
    <n v="0"/>
    <n v="116.88487613461319"/>
    <n v="2225"/>
    <n v="71535.307499999995"/>
    <n v="0"/>
    <n v="0"/>
    <n v="0"/>
    <n v="0"/>
    <n v="0"/>
    <n v="0"/>
  </r>
  <r>
    <x v="114"/>
    <x v="13"/>
    <x v="7"/>
    <m/>
    <m/>
    <n v="0"/>
    <m/>
    <m/>
    <n v="0"/>
    <m/>
    <m/>
    <n v="0"/>
    <s v=""/>
    <n v="0"/>
    <n v="0"/>
    <n v="0"/>
    <n v="116.88487613461319"/>
    <n v="2225"/>
    <n v="71535.307499999995"/>
    <n v="0"/>
    <n v="0"/>
    <n v="0"/>
    <n v="0"/>
    <n v="0"/>
    <n v="0"/>
  </r>
  <r>
    <x v="115"/>
    <x v="13"/>
    <x v="7"/>
    <m/>
    <m/>
    <n v="0"/>
    <m/>
    <m/>
    <n v="0"/>
    <m/>
    <m/>
    <n v="0"/>
    <s v=""/>
    <n v="0"/>
    <n v="0"/>
    <n v="0"/>
    <n v="116.88487613461319"/>
    <n v="2225"/>
    <n v="71535.307499999995"/>
    <n v="0"/>
    <n v="0"/>
    <n v="0"/>
    <n v="0"/>
    <n v="0"/>
    <n v="0"/>
  </r>
  <r>
    <x v="116"/>
    <x v="13"/>
    <x v="7"/>
    <m/>
    <m/>
    <n v="0"/>
    <m/>
    <m/>
    <n v="0"/>
    <m/>
    <m/>
    <n v="0"/>
    <s v=""/>
    <n v="0"/>
    <n v="0"/>
    <n v="0"/>
    <n v="116.88487613461319"/>
    <n v="2225"/>
    <n v="71535.307499999995"/>
    <n v="0"/>
    <n v="0"/>
    <n v="0"/>
    <n v="0"/>
    <n v="0"/>
    <n v="0"/>
  </r>
  <r>
    <x v="117"/>
    <x v="13"/>
    <x v="7"/>
    <m/>
    <m/>
    <n v="0"/>
    <m/>
    <m/>
    <n v="0"/>
    <m/>
    <m/>
    <n v="0"/>
    <s v=""/>
    <n v="0"/>
    <n v="0"/>
    <n v="0"/>
    <n v="116.88487613461319"/>
    <n v="2225"/>
    <n v="71535.307499999995"/>
    <n v="0"/>
    <n v="0"/>
    <n v="0"/>
    <n v="0"/>
    <n v="0"/>
    <n v="0"/>
  </r>
  <r>
    <x v="118"/>
    <x v="13"/>
    <x v="7"/>
    <m/>
    <m/>
    <n v="0"/>
    <m/>
    <m/>
    <n v="0"/>
    <m/>
    <m/>
    <n v="0"/>
    <s v=""/>
    <n v="0"/>
    <n v="0"/>
    <n v="0"/>
    <n v="116.88487613461319"/>
    <n v="2225"/>
    <n v="71535.307499999995"/>
    <n v="0"/>
    <n v="0"/>
    <n v="0"/>
    <n v="0"/>
    <n v="0"/>
    <n v="0"/>
  </r>
  <r>
    <x v="119"/>
    <x v="13"/>
    <x v="7"/>
    <m/>
    <m/>
    <n v="0"/>
    <m/>
    <m/>
    <n v="0"/>
    <m/>
    <m/>
    <n v="0"/>
    <s v=""/>
    <n v="0"/>
    <n v="0"/>
    <n v="0"/>
    <n v="116.88487613461319"/>
    <n v="2225"/>
    <n v="71535.307499999995"/>
    <n v="0"/>
    <n v="0"/>
    <n v="0"/>
    <n v="0"/>
    <n v="0"/>
    <n v="0"/>
  </r>
  <r>
    <x v="120"/>
    <x v="13"/>
    <x v="7"/>
    <m/>
    <m/>
    <n v="0"/>
    <m/>
    <m/>
    <n v="0"/>
    <m/>
    <m/>
    <n v="0"/>
    <s v=""/>
    <n v="0"/>
    <n v="0"/>
    <n v="0"/>
    <n v="116.88487613461319"/>
    <n v="2225"/>
    <n v="71535.307499999995"/>
    <n v="0"/>
    <n v="0"/>
    <n v="0"/>
    <n v="0"/>
    <n v="0"/>
    <n v="0"/>
  </r>
  <r>
    <x v="121"/>
    <x v="13"/>
    <x v="7"/>
    <m/>
    <m/>
    <n v="0"/>
    <m/>
    <m/>
    <n v="0"/>
    <m/>
    <m/>
    <n v="0"/>
    <s v=""/>
    <n v="0"/>
    <n v="0"/>
    <n v="0"/>
    <n v="116.88487613461319"/>
    <n v="2225"/>
    <n v="71535.307499999995"/>
    <n v="0"/>
    <n v="0"/>
    <n v="0"/>
    <n v="0"/>
    <n v="0"/>
    <n v="0"/>
  </r>
  <r>
    <x v="122"/>
    <x v="13"/>
    <x v="7"/>
    <m/>
    <m/>
    <n v="0"/>
    <m/>
    <m/>
    <n v="0"/>
    <m/>
    <m/>
    <n v="0"/>
    <s v=""/>
    <n v="0"/>
    <n v="0"/>
    <n v="0"/>
    <n v="116.88487613461319"/>
    <n v="2225"/>
    <n v="71535.307499999995"/>
    <n v="0"/>
    <n v="0"/>
    <n v="0"/>
    <n v="0"/>
    <n v="0"/>
    <n v="0"/>
  </r>
  <r>
    <x v="123"/>
    <x v="13"/>
    <x v="7"/>
    <m/>
    <m/>
    <n v="0"/>
    <m/>
    <m/>
    <n v="0"/>
    <m/>
    <m/>
    <n v="0"/>
    <s v=""/>
    <n v="0"/>
    <n v="0"/>
    <n v="0"/>
    <n v="116.88487613461319"/>
    <n v="2225"/>
    <n v="71535.307499999995"/>
    <n v="0"/>
    <n v="0"/>
    <n v="0"/>
    <n v="0"/>
    <n v="0"/>
    <n v="0"/>
  </r>
  <r>
    <x v="124"/>
    <x v="13"/>
    <x v="7"/>
    <m/>
    <m/>
    <n v="0"/>
    <m/>
    <m/>
    <n v="0"/>
    <m/>
    <m/>
    <n v="0"/>
    <s v=""/>
    <n v="0"/>
    <n v="0"/>
    <n v="0"/>
    <n v="116.88487613461319"/>
    <n v="2225"/>
    <n v="71535.307499999995"/>
    <n v="0"/>
    <n v="0"/>
    <n v="0"/>
    <n v="0"/>
    <n v="0"/>
    <n v="0"/>
  </r>
  <r>
    <x v="125"/>
    <x v="13"/>
    <x v="7"/>
    <m/>
    <m/>
    <n v="0"/>
    <m/>
    <m/>
    <n v="0"/>
    <m/>
    <m/>
    <n v="0"/>
    <s v=""/>
    <n v="0"/>
    <n v="0"/>
    <n v="0"/>
    <n v="116.88487613461319"/>
    <n v="2225"/>
    <n v="71535.307499999995"/>
    <n v="0"/>
    <n v="0"/>
    <n v="0"/>
    <n v="0"/>
    <n v="0"/>
    <n v="0"/>
  </r>
  <r>
    <x v="126"/>
    <x v="13"/>
    <x v="7"/>
    <m/>
    <m/>
    <n v="0"/>
    <m/>
    <m/>
    <n v="0"/>
    <m/>
    <m/>
    <n v="0"/>
    <s v=""/>
    <n v="0"/>
    <n v="0"/>
    <n v="0"/>
    <n v="116.88487613461319"/>
    <n v="2225"/>
    <n v="71535.307499999995"/>
    <n v="0"/>
    <n v="0"/>
    <n v="0"/>
    <n v="0"/>
    <n v="0"/>
    <n v="0"/>
  </r>
  <r>
    <x v="127"/>
    <x v="13"/>
    <x v="7"/>
    <m/>
    <m/>
    <n v="0"/>
    <m/>
    <m/>
    <n v="0"/>
    <m/>
    <m/>
    <n v="0"/>
    <s v=""/>
    <n v="0"/>
    <n v="0"/>
    <n v="0"/>
    <n v="116.88487613461319"/>
    <n v="2225"/>
    <n v="71535.307499999995"/>
    <n v="0"/>
    <n v="0"/>
    <n v="0"/>
    <n v="0"/>
    <n v="0"/>
    <n v="0"/>
  </r>
  <r>
    <x v="0"/>
    <x v="14"/>
    <x v="0"/>
    <m/>
    <m/>
    <n v="0"/>
    <n v="1085"/>
    <n v="1.8271028037383188"/>
    <n v="1.9824065420560759"/>
    <n v="1058"/>
    <n v="0.8672967863894141"/>
    <n v="0.91760000000000008"/>
    <n v="-0.53712824260138869"/>
    <n v="-27"/>
    <n v="-1.0648065420560759"/>
    <n v="-58023.400788420753"/>
    <n v="116.88487613461319"/>
    <n v="2225"/>
    <n v="71535.307499999995"/>
    <n v="141812.06157599305"/>
    <n v="65640.798162000006"/>
    <n v="126820.09060605531"/>
    <n v="123664.19895042076"/>
    <n v="14991.970969937742"/>
    <n v="-58023.400788420753"/>
  </r>
  <r>
    <x v="1"/>
    <x v="14"/>
    <x v="0"/>
    <m/>
    <m/>
    <n v="0"/>
    <m/>
    <m/>
    <n v="0"/>
    <m/>
    <m/>
    <n v="0"/>
    <s v=""/>
    <n v="0"/>
    <n v="0"/>
    <n v="0"/>
    <n v="116.88487613461319"/>
    <n v="2225"/>
    <n v="71535.307499999995"/>
    <n v="0"/>
    <n v="0"/>
    <n v="0"/>
    <n v="0"/>
    <n v="0"/>
    <n v="0"/>
  </r>
  <r>
    <x v="2"/>
    <x v="14"/>
    <x v="0"/>
    <m/>
    <m/>
    <n v="0"/>
    <m/>
    <m/>
    <n v="0"/>
    <m/>
    <m/>
    <n v="0"/>
    <s v=""/>
    <n v="0"/>
    <n v="0"/>
    <n v="0"/>
    <n v="116.88487613461319"/>
    <n v="2225"/>
    <n v="71535.307499999995"/>
    <n v="0"/>
    <n v="0"/>
    <n v="0"/>
    <n v="0"/>
    <n v="0"/>
    <n v="0"/>
  </r>
  <r>
    <x v="3"/>
    <x v="14"/>
    <x v="0"/>
    <m/>
    <m/>
    <n v="0"/>
    <m/>
    <m/>
    <n v="0"/>
    <m/>
    <m/>
    <n v="0"/>
    <s v=""/>
    <n v="0"/>
    <n v="0"/>
    <n v="0"/>
    <n v="116.88487613461319"/>
    <n v="2225"/>
    <n v="71535.307499999995"/>
    <n v="0"/>
    <n v="0"/>
    <n v="0"/>
    <n v="0"/>
    <n v="0"/>
    <n v="0"/>
  </r>
  <r>
    <x v="4"/>
    <x v="14"/>
    <x v="1"/>
    <m/>
    <m/>
    <n v="0"/>
    <m/>
    <m/>
    <n v="0"/>
    <m/>
    <m/>
    <n v="0"/>
    <s v=""/>
    <n v="0"/>
    <n v="0"/>
    <n v="0"/>
    <n v="116.88487613461319"/>
    <n v="2225"/>
    <n v="71535.307499999995"/>
    <n v="0"/>
    <n v="0"/>
    <n v="0"/>
    <n v="0"/>
    <n v="0"/>
    <n v="0"/>
  </r>
  <r>
    <x v="5"/>
    <x v="14"/>
    <x v="1"/>
    <m/>
    <m/>
    <n v="0"/>
    <m/>
    <m/>
    <n v="0"/>
    <m/>
    <m/>
    <n v="0"/>
    <s v=""/>
    <n v="0"/>
    <n v="0"/>
    <n v="0"/>
    <n v="116.88487613461319"/>
    <n v="2225"/>
    <n v="71535.307499999995"/>
    <n v="0"/>
    <n v="0"/>
    <n v="0"/>
    <n v="0"/>
    <n v="0"/>
    <n v="0"/>
  </r>
  <r>
    <x v="6"/>
    <x v="14"/>
    <x v="1"/>
    <m/>
    <m/>
    <n v="0"/>
    <m/>
    <m/>
    <n v="0"/>
    <m/>
    <m/>
    <n v="0"/>
    <s v=""/>
    <n v="0"/>
    <n v="0"/>
    <n v="0"/>
    <n v="116.88487613461319"/>
    <n v="2225"/>
    <n v="71535.307499999995"/>
    <n v="0"/>
    <n v="0"/>
    <n v="0"/>
    <n v="0"/>
    <n v="0"/>
    <n v="0"/>
  </r>
  <r>
    <x v="7"/>
    <x v="14"/>
    <x v="2"/>
    <m/>
    <m/>
    <n v="0"/>
    <m/>
    <m/>
    <n v="0"/>
    <m/>
    <m/>
    <n v="0"/>
    <s v=""/>
    <n v="0"/>
    <n v="0"/>
    <n v="0"/>
    <n v="116.88487613461319"/>
    <n v="2225"/>
    <n v="71535.307499999995"/>
    <n v="0"/>
    <n v="0"/>
    <n v="0"/>
    <n v="0"/>
    <n v="0"/>
    <n v="0"/>
  </r>
  <r>
    <x v="8"/>
    <x v="14"/>
    <x v="2"/>
    <m/>
    <m/>
    <n v="0"/>
    <m/>
    <m/>
    <n v="0"/>
    <m/>
    <m/>
    <n v="0"/>
    <s v=""/>
    <n v="0"/>
    <n v="0"/>
    <n v="0"/>
    <n v="116.88487613461319"/>
    <n v="2225"/>
    <n v="71535.307499999995"/>
    <n v="0"/>
    <n v="0"/>
    <n v="0"/>
    <n v="0"/>
    <n v="0"/>
    <n v="0"/>
  </r>
  <r>
    <x v="9"/>
    <x v="14"/>
    <x v="2"/>
    <m/>
    <m/>
    <n v="0"/>
    <m/>
    <m/>
    <n v="0"/>
    <m/>
    <m/>
    <n v="0"/>
    <s v=""/>
    <n v="0"/>
    <n v="0"/>
    <n v="0"/>
    <n v="116.88487613461319"/>
    <n v="2225"/>
    <n v="71535.307499999995"/>
    <n v="0"/>
    <n v="0"/>
    <n v="0"/>
    <n v="0"/>
    <n v="0"/>
    <n v="0"/>
  </r>
  <r>
    <x v="10"/>
    <x v="14"/>
    <x v="2"/>
    <n v="2921"/>
    <n v="2.5499999999999998"/>
    <n v="7.4485499999999991"/>
    <n v="1260"/>
    <n v="3.0584112149532694"/>
    <n v="3.8535981308411196"/>
    <n v="86"/>
    <n v="2.81"/>
    <n v="0.24165999999999999"/>
    <n v="-0.93728977651666723"/>
    <n v="-1174"/>
    <n v="-3.6119381308411196"/>
    <n v="7235.1230628732628"/>
    <n v="116.88487613461319"/>
    <n v="2225"/>
    <n v="71535.307499999995"/>
    <n v="275668.32727114472"/>
    <n v="17287.222410449998"/>
    <n v="147274.94392961264"/>
    <n v="10052.099347576735"/>
    <n v="128393.38334153208"/>
    <n v="7235.1230628732628"/>
  </r>
  <r>
    <x v="11"/>
    <x v="14"/>
    <x v="2"/>
    <n v="1947"/>
    <n v="0.8"/>
    <n v="1.5576000000000001"/>
    <m/>
    <m/>
    <n v="0"/>
    <m/>
    <m/>
    <n v="0"/>
    <s v=""/>
    <n v="0"/>
    <n v="0"/>
    <n v="0"/>
    <n v="116.88487613461319"/>
    <n v="2225"/>
    <n v="71535.307499999995"/>
    <n v="0"/>
    <n v="0"/>
    <n v="0"/>
    <n v="0"/>
    <n v="0"/>
    <n v="0"/>
  </r>
  <r>
    <x v="12"/>
    <x v="14"/>
    <x v="2"/>
    <n v="1947"/>
    <n v="1.72"/>
    <n v="3.34884"/>
    <m/>
    <m/>
    <n v="0"/>
    <m/>
    <m/>
    <n v="0"/>
    <s v=""/>
    <n v="0"/>
    <n v="0"/>
    <n v="0"/>
    <n v="116.88487613461319"/>
    <n v="2225"/>
    <n v="71535.307499999995"/>
    <n v="0"/>
    <n v="0"/>
    <n v="0"/>
    <n v="0"/>
    <n v="0"/>
    <n v="0"/>
  </r>
  <r>
    <x v="13"/>
    <x v="14"/>
    <x v="2"/>
    <m/>
    <m/>
    <n v="0"/>
    <m/>
    <m/>
    <n v="0"/>
    <m/>
    <m/>
    <n v="0"/>
    <s v=""/>
    <n v="0"/>
    <n v="0"/>
    <n v="0"/>
    <n v="116.88487613461319"/>
    <n v="2225"/>
    <n v="71535.307499999995"/>
    <n v="0"/>
    <n v="0"/>
    <n v="0"/>
    <n v="0"/>
    <n v="0"/>
    <n v="0"/>
  </r>
  <r>
    <x v="14"/>
    <x v="14"/>
    <x v="2"/>
    <m/>
    <m/>
    <n v="0"/>
    <m/>
    <m/>
    <n v="0"/>
    <m/>
    <m/>
    <n v="0"/>
    <s v=""/>
    <n v="0"/>
    <n v="0"/>
    <n v="0"/>
    <n v="116.88487613461319"/>
    <n v="2225"/>
    <n v="71535.307499999995"/>
    <n v="0"/>
    <n v="0"/>
    <n v="0"/>
    <n v="0"/>
    <n v="0"/>
    <n v="0"/>
  </r>
  <r>
    <x v="15"/>
    <x v="14"/>
    <x v="2"/>
    <m/>
    <m/>
    <n v="0"/>
    <m/>
    <m/>
    <n v="0"/>
    <m/>
    <m/>
    <n v="0"/>
    <s v=""/>
    <n v="0"/>
    <n v="0"/>
    <n v="0"/>
    <n v="116.88487613461319"/>
    <n v="2225"/>
    <n v="71535.307499999995"/>
    <n v="0"/>
    <n v="0"/>
    <n v="0"/>
    <n v="0"/>
    <n v="0"/>
    <n v="0"/>
  </r>
  <r>
    <x v="16"/>
    <x v="14"/>
    <x v="2"/>
    <m/>
    <m/>
    <n v="0"/>
    <m/>
    <m/>
    <n v="0"/>
    <m/>
    <m/>
    <n v="0"/>
    <s v=""/>
    <n v="0"/>
    <n v="0"/>
    <n v="0"/>
    <n v="116.88487613461319"/>
    <n v="2225"/>
    <n v="71535.307499999995"/>
    <n v="0"/>
    <n v="0"/>
    <n v="0"/>
    <n v="0"/>
    <n v="0"/>
    <n v="0"/>
  </r>
  <r>
    <x v="17"/>
    <x v="14"/>
    <x v="3"/>
    <m/>
    <m/>
    <n v="0"/>
    <m/>
    <m/>
    <n v="0"/>
    <m/>
    <m/>
    <n v="0"/>
    <s v=""/>
    <n v="0"/>
    <n v="0"/>
    <n v="0"/>
    <n v="116.88487613461319"/>
    <n v="2225"/>
    <n v="71535.307499999995"/>
    <n v="0"/>
    <n v="0"/>
    <n v="0"/>
    <n v="0"/>
    <n v="0"/>
    <n v="0"/>
  </r>
  <r>
    <x v="18"/>
    <x v="14"/>
    <x v="3"/>
    <m/>
    <m/>
    <n v="0"/>
    <m/>
    <m/>
    <n v="0"/>
    <m/>
    <m/>
    <n v="0"/>
    <s v=""/>
    <n v="0"/>
    <n v="0"/>
    <n v="0"/>
    <n v="116.88487613461319"/>
    <n v="2225"/>
    <n v="71535.307499999995"/>
    <n v="0"/>
    <n v="0"/>
    <n v="0"/>
    <n v="0"/>
    <n v="0"/>
    <n v="0"/>
  </r>
  <r>
    <x v="19"/>
    <x v="14"/>
    <x v="3"/>
    <m/>
    <m/>
    <n v="0"/>
    <m/>
    <m/>
    <n v="0"/>
    <m/>
    <m/>
    <n v="0"/>
    <s v=""/>
    <n v="0"/>
    <n v="0"/>
    <n v="0"/>
    <n v="116.88487613461319"/>
    <n v="2225"/>
    <n v="71535.307499999995"/>
    <n v="0"/>
    <n v="0"/>
    <n v="0"/>
    <n v="0"/>
    <n v="0"/>
    <n v="0"/>
  </r>
  <r>
    <x v="20"/>
    <x v="14"/>
    <x v="3"/>
    <m/>
    <m/>
    <n v="0"/>
    <m/>
    <m/>
    <n v="0"/>
    <m/>
    <m/>
    <n v="0"/>
    <s v=""/>
    <n v="0"/>
    <n v="0"/>
    <n v="0"/>
    <n v="116.88487613461319"/>
    <n v="2225"/>
    <n v="71535.307499999995"/>
    <n v="0"/>
    <n v="0"/>
    <n v="0"/>
    <n v="0"/>
    <n v="0"/>
    <n v="0"/>
  </r>
  <r>
    <x v="21"/>
    <x v="14"/>
    <x v="3"/>
    <m/>
    <m/>
    <n v="0"/>
    <m/>
    <m/>
    <n v="0"/>
    <m/>
    <m/>
    <n v="0"/>
    <s v=""/>
    <n v="0"/>
    <n v="0"/>
    <n v="0"/>
    <n v="116.88487613461319"/>
    <n v="2225"/>
    <n v="71535.307499999995"/>
    <n v="0"/>
    <n v="0"/>
    <n v="0"/>
    <n v="0"/>
    <n v="0"/>
    <n v="0"/>
  </r>
  <r>
    <x v="22"/>
    <x v="14"/>
    <x v="3"/>
    <m/>
    <m/>
    <n v="0"/>
    <m/>
    <m/>
    <n v="0"/>
    <m/>
    <m/>
    <n v="0"/>
    <s v=""/>
    <n v="0"/>
    <n v="0"/>
    <n v="0"/>
    <n v="116.88487613461319"/>
    <n v="2225"/>
    <n v="71535.307499999995"/>
    <n v="0"/>
    <n v="0"/>
    <n v="0"/>
    <n v="0"/>
    <n v="0"/>
    <n v="0"/>
  </r>
  <r>
    <x v="23"/>
    <x v="14"/>
    <x v="3"/>
    <m/>
    <m/>
    <n v="0"/>
    <m/>
    <m/>
    <n v="0"/>
    <m/>
    <m/>
    <n v="0"/>
    <s v=""/>
    <n v="0"/>
    <n v="0"/>
    <n v="0"/>
    <n v="116.88487613461319"/>
    <n v="2225"/>
    <n v="71535.307499999995"/>
    <n v="0"/>
    <n v="0"/>
    <n v="0"/>
    <n v="0"/>
    <n v="0"/>
    <n v="0"/>
  </r>
  <r>
    <x v="24"/>
    <x v="14"/>
    <x v="3"/>
    <m/>
    <m/>
    <n v="0"/>
    <m/>
    <m/>
    <n v="0"/>
    <m/>
    <m/>
    <n v="0"/>
    <s v=""/>
    <n v="0"/>
    <n v="0"/>
    <n v="0"/>
    <n v="116.88487613461319"/>
    <n v="2225"/>
    <n v="71535.307499999995"/>
    <n v="0"/>
    <n v="0"/>
    <n v="0"/>
    <n v="0"/>
    <n v="0"/>
    <n v="0"/>
  </r>
  <r>
    <x v="25"/>
    <x v="14"/>
    <x v="3"/>
    <m/>
    <m/>
    <n v="0"/>
    <m/>
    <m/>
    <n v="0"/>
    <m/>
    <m/>
    <n v="0"/>
    <s v=""/>
    <n v="0"/>
    <n v="0"/>
    <n v="0"/>
    <n v="116.88487613461319"/>
    <n v="2225"/>
    <n v="71535.307499999995"/>
    <n v="0"/>
    <n v="0"/>
    <n v="0"/>
    <n v="0"/>
    <n v="0"/>
    <n v="0"/>
  </r>
  <r>
    <x v="26"/>
    <x v="14"/>
    <x v="3"/>
    <m/>
    <m/>
    <n v="0"/>
    <m/>
    <m/>
    <n v="0"/>
    <m/>
    <m/>
    <n v="0"/>
    <s v=""/>
    <n v="0"/>
    <n v="0"/>
    <n v="0"/>
    <n v="116.88487613461319"/>
    <n v="2225"/>
    <n v="71535.307499999995"/>
    <n v="0"/>
    <n v="0"/>
    <n v="0"/>
    <n v="0"/>
    <n v="0"/>
    <n v="0"/>
  </r>
  <r>
    <x v="27"/>
    <x v="14"/>
    <x v="3"/>
    <m/>
    <m/>
    <n v="0"/>
    <m/>
    <m/>
    <n v="0"/>
    <m/>
    <m/>
    <n v="0"/>
    <s v=""/>
    <n v="0"/>
    <n v="0"/>
    <n v="0"/>
    <n v="116.88487613461319"/>
    <n v="2225"/>
    <n v="71535.307499999995"/>
    <n v="0"/>
    <n v="0"/>
    <n v="0"/>
    <n v="0"/>
    <n v="0"/>
    <n v="0"/>
  </r>
  <r>
    <x v="28"/>
    <x v="14"/>
    <x v="3"/>
    <m/>
    <m/>
    <n v="0"/>
    <m/>
    <m/>
    <n v="0"/>
    <m/>
    <m/>
    <n v="0"/>
    <s v=""/>
    <n v="0"/>
    <n v="0"/>
    <n v="0"/>
    <n v="116.88487613461319"/>
    <n v="2225"/>
    <n v="71535.307499999995"/>
    <n v="0"/>
    <n v="0"/>
    <n v="0"/>
    <n v="0"/>
    <n v="0"/>
    <n v="0"/>
  </r>
  <r>
    <x v="29"/>
    <x v="14"/>
    <x v="3"/>
    <m/>
    <m/>
    <n v="0"/>
    <m/>
    <m/>
    <n v="0"/>
    <m/>
    <m/>
    <n v="0"/>
    <s v=""/>
    <n v="0"/>
    <n v="0"/>
    <n v="0"/>
    <n v="116.88487613461319"/>
    <n v="2225"/>
    <n v="71535.307499999995"/>
    <n v="0"/>
    <n v="0"/>
    <n v="0"/>
    <n v="0"/>
    <n v="0"/>
    <n v="0"/>
  </r>
  <r>
    <x v="30"/>
    <x v="14"/>
    <x v="3"/>
    <m/>
    <m/>
    <n v="0"/>
    <m/>
    <m/>
    <n v="0"/>
    <m/>
    <m/>
    <n v="0"/>
    <s v=""/>
    <n v="0"/>
    <n v="0"/>
    <n v="0"/>
    <n v="116.88487613461319"/>
    <n v="2225"/>
    <n v="71535.307499999995"/>
    <n v="0"/>
    <n v="0"/>
    <n v="0"/>
    <n v="0"/>
    <n v="0"/>
    <n v="0"/>
  </r>
  <r>
    <x v="31"/>
    <x v="14"/>
    <x v="3"/>
    <m/>
    <m/>
    <n v="0"/>
    <m/>
    <m/>
    <n v="0"/>
    <m/>
    <m/>
    <n v="0"/>
    <s v=""/>
    <n v="0"/>
    <n v="0"/>
    <n v="0"/>
    <n v="116.88487613461319"/>
    <n v="2225"/>
    <n v="71535.307499999995"/>
    <n v="0"/>
    <n v="0"/>
    <n v="0"/>
    <n v="0"/>
    <n v="0"/>
    <n v="0"/>
  </r>
  <r>
    <x v="32"/>
    <x v="14"/>
    <x v="3"/>
    <m/>
    <m/>
    <n v="0"/>
    <m/>
    <m/>
    <n v="0"/>
    <m/>
    <m/>
    <n v="0"/>
    <s v=""/>
    <n v="0"/>
    <n v="0"/>
    <n v="0"/>
    <n v="116.88487613461319"/>
    <n v="2225"/>
    <n v="71535.307499999995"/>
    <n v="0"/>
    <n v="0"/>
    <n v="0"/>
    <n v="0"/>
    <n v="0"/>
    <n v="0"/>
  </r>
  <r>
    <x v="33"/>
    <x v="14"/>
    <x v="3"/>
    <m/>
    <m/>
    <n v="0"/>
    <m/>
    <m/>
    <n v="0"/>
    <m/>
    <m/>
    <n v="0"/>
    <s v=""/>
    <n v="0"/>
    <n v="0"/>
    <n v="0"/>
    <n v="116.88487613461319"/>
    <n v="2225"/>
    <n v="71535.307499999995"/>
    <n v="0"/>
    <n v="0"/>
    <n v="0"/>
    <n v="0"/>
    <n v="0"/>
    <n v="0"/>
  </r>
  <r>
    <x v="34"/>
    <x v="14"/>
    <x v="3"/>
    <n v="1798"/>
    <n v="1.4"/>
    <n v="2.5171999999999999"/>
    <m/>
    <m/>
    <n v="0"/>
    <m/>
    <m/>
    <n v="0"/>
    <s v=""/>
    <n v="0"/>
    <n v="0"/>
    <n v="0"/>
    <n v="116.88487613461319"/>
    <n v="2225"/>
    <n v="71535.307499999995"/>
    <n v="0"/>
    <n v="0"/>
    <n v="0"/>
    <n v="0"/>
    <n v="0"/>
    <n v="0"/>
  </r>
  <r>
    <x v="35"/>
    <x v="14"/>
    <x v="3"/>
    <m/>
    <m/>
    <n v="0"/>
    <m/>
    <m/>
    <n v="0"/>
    <m/>
    <m/>
    <n v="0"/>
    <s v=""/>
    <n v="0"/>
    <n v="0"/>
    <n v="0"/>
    <n v="116.88487613461319"/>
    <n v="2225"/>
    <n v="71535.307499999995"/>
    <n v="0"/>
    <n v="0"/>
    <n v="0"/>
    <n v="0"/>
    <n v="0"/>
    <n v="0"/>
  </r>
  <r>
    <x v="36"/>
    <x v="14"/>
    <x v="3"/>
    <m/>
    <m/>
    <n v="0"/>
    <m/>
    <m/>
    <n v="0"/>
    <m/>
    <m/>
    <n v="0"/>
    <s v=""/>
    <n v="0"/>
    <n v="0"/>
    <n v="0"/>
    <n v="116.88487613461319"/>
    <n v="2225"/>
    <n v="71535.307499999995"/>
    <n v="0"/>
    <n v="0"/>
    <n v="0"/>
    <n v="0"/>
    <n v="0"/>
    <n v="0"/>
  </r>
  <r>
    <x v="37"/>
    <x v="14"/>
    <x v="3"/>
    <m/>
    <m/>
    <n v="0"/>
    <m/>
    <m/>
    <n v="0"/>
    <m/>
    <m/>
    <n v="0"/>
    <s v=""/>
    <n v="0"/>
    <n v="0"/>
    <n v="0"/>
    <n v="116.88487613461319"/>
    <n v="2225"/>
    <n v="71535.307499999995"/>
    <n v="0"/>
    <n v="0"/>
    <n v="0"/>
    <n v="0"/>
    <n v="0"/>
    <n v="0"/>
  </r>
  <r>
    <x v="38"/>
    <x v="14"/>
    <x v="3"/>
    <m/>
    <m/>
    <n v="0"/>
    <m/>
    <m/>
    <n v="0"/>
    <m/>
    <m/>
    <n v="0"/>
    <s v=""/>
    <n v="0"/>
    <n v="0"/>
    <n v="0"/>
    <n v="116.88487613461319"/>
    <n v="2225"/>
    <n v="71535.307499999995"/>
    <n v="0"/>
    <n v="0"/>
    <n v="0"/>
    <n v="0"/>
    <n v="0"/>
    <n v="0"/>
  </r>
  <r>
    <x v="39"/>
    <x v="14"/>
    <x v="3"/>
    <m/>
    <m/>
    <n v="0"/>
    <m/>
    <m/>
    <n v="0"/>
    <m/>
    <m/>
    <n v="0"/>
    <s v=""/>
    <n v="0"/>
    <n v="0"/>
    <n v="0"/>
    <n v="116.88487613461319"/>
    <n v="2225"/>
    <n v="71535.307499999995"/>
    <n v="0"/>
    <n v="0"/>
    <n v="0"/>
    <n v="0"/>
    <n v="0"/>
    <n v="0"/>
  </r>
  <r>
    <x v="40"/>
    <x v="14"/>
    <x v="3"/>
    <m/>
    <m/>
    <n v="0"/>
    <m/>
    <m/>
    <n v="0"/>
    <m/>
    <m/>
    <n v="0"/>
    <s v=""/>
    <n v="0"/>
    <n v="0"/>
    <n v="0"/>
    <n v="116.88487613461319"/>
    <n v="2225"/>
    <n v="71535.307499999995"/>
    <n v="0"/>
    <n v="0"/>
    <n v="0"/>
    <n v="0"/>
    <n v="0"/>
    <n v="0"/>
  </r>
  <r>
    <x v="41"/>
    <x v="14"/>
    <x v="3"/>
    <m/>
    <m/>
    <n v="0"/>
    <m/>
    <m/>
    <n v="0"/>
    <m/>
    <m/>
    <n v="0"/>
    <s v=""/>
    <n v="0"/>
    <n v="0"/>
    <n v="0"/>
    <n v="116.88487613461319"/>
    <n v="2225"/>
    <n v="71535.307499999995"/>
    <n v="0"/>
    <n v="0"/>
    <n v="0"/>
    <n v="0"/>
    <n v="0"/>
    <n v="0"/>
  </r>
  <r>
    <x v="42"/>
    <x v="14"/>
    <x v="3"/>
    <m/>
    <m/>
    <n v="0"/>
    <m/>
    <m/>
    <n v="0"/>
    <m/>
    <m/>
    <n v="0"/>
    <s v=""/>
    <n v="0"/>
    <n v="0"/>
    <n v="0"/>
    <n v="116.88487613461319"/>
    <n v="2225"/>
    <n v="71535.307499999995"/>
    <n v="0"/>
    <n v="0"/>
    <n v="0"/>
    <n v="0"/>
    <n v="0"/>
    <n v="0"/>
  </r>
  <r>
    <x v="43"/>
    <x v="14"/>
    <x v="3"/>
    <m/>
    <m/>
    <n v="0"/>
    <m/>
    <m/>
    <n v="0"/>
    <m/>
    <m/>
    <n v="0"/>
    <s v=""/>
    <n v="0"/>
    <n v="0"/>
    <n v="0"/>
    <n v="116.88487613461319"/>
    <n v="2225"/>
    <n v="71535.307499999995"/>
    <n v="0"/>
    <n v="0"/>
    <n v="0"/>
    <n v="0"/>
    <n v="0"/>
    <n v="0"/>
  </r>
  <r>
    <x v="44"/>
    <x v="14"/>
    <x v="3"/>
    <m/>
    <m/>
    <n v="0"/>
    <m/>
    <m/>
    <n v="0"/>
    <m/>
    <m/>
    <n v="0"/>
    <s v=""/>
    <n v="0"/>
    <n v="0"/>
    <n v="0"/>
    <n v="116.88487613461319"/>
    <n v="2225"/>
    <n v="71535.307499999995"/>
    <n v="0"/>
    <n v="0"/>
    <n v="0"/>
    <n v="0"/>
    <n v="0"/>
    <n v="0"/>
  </r>
  <r>
    <x v="45"/>
    <x v="14"/>
    <x v="3"/>
    <n v="2534"/>
    <n v="1.81"/>
    <n v="4.5865400000000003"/>
    <n v="2660"/>
    <n v="2.8121495327102815"/>
    <n v="7.4803177570093489"/>
    <n v="2732"/>
    <n v="2.3308821376281115"/>
    <n v="6.3679700000000006"/>
    <n v="-0.14870327613650305"/>
    <n v="72"/>
    <n v="-1.1123477570093483"/>
    <n v="136205.21050101175"/>
    <n v="116.88487613461319"/>
    <n v="2225"/>
    <n v="71535.307499999995"/>
    <n v="535106.83094537398"/>
    <n v="455534.69210077502"/>
    <n v="310913.77051807108"/>
    <n v="319329.48159976327"/>
    <n v="224193.0604273029"/>
    <n v="136205.21050101175"/>
  </r>
  <r>
    <x v="46"/>
    <x v="14"/>
    <x v="3"/>
    <m/>
    <m/>
    <n v="0"/>
    <n v="4340"/>
    <n v="3.0584112149532698"/>
    <n v="13.273504672897191"/>
    <n v="4581"/>
    <n v="2.7069286182056325"/>
    <m/>
    <m/>
    <m/>
    <m/>
    <m/>
    <m/>
    <m/>
    <m/>
    <m/>
    <m/>
    <m/>
    <m/>
    <m/>
    <m/>
  </r>
  <r>
    <x v="47"/>
    <x v="14"/>
    <x v="3"/>
    <m/>
    <m/>
    <n v="0"/>
    <m/>
    <m/>
    <n v="0"/>
    <m/>
    <m/>
    <m/>
    <m/>
    <m/>
    <m/>
    <m/>
    <m/>
    <m/>
    <m/>
    <m/>
    <m/>
    <m/>
    <m/>
    <m/>
    <m/>
  </r>
  <r>
    <x v="48"/>
    <x v="14"/>
    <x v="3"/>
    <m/>
    <m/>
    <n v="0"/>
    <m/>
    <m/>
    <n v="0"/>
    <m/>
    <m/>
    <m/>
    <m/>
    <m/>
    <m/>
    <m/>
    <m/>
    <m/>
    <m/>
    <m/>
    <m/>
    <m/>
    <m/>
    <m/>
    <m/>
  </r>
  <r>
    <x v="49"/>
    <x v="14"/>
    <x v="3"/>
    <m/>
    <m/>
    <n v="0"/>
    <n v="1085"/>
    <n v="1.6841121495327112"/>
    <n v="1.8272616822429917"/>
    <n v="1258"/>
    <n v="1.9284737678855326"/>
    <n v="2.4260199999999998"/>
    <n v="0.32768066203961721"/>
    <n v="173"/>
    <n v="0.59875831775700816"/>
    <n v="26504.912523806561"/>
    <n v="116.88487613461319"/>
    <n v="2225"/>
    <n v="71535.307499999995"/>
    <n v="130713.72632221969"/>
    <n v="173546.08670114996"/>
    <n v="126820.09060605531"/>
    <n v="147041.1741773434"/>
    <n v="3893.6357161643828"/>
    <n v="26504.912523806561"/>
  </r>
  <r>
    <x v="50"/>
    <x v="14"/>
    <x v="4"/>
    <m/>
    <m/>
    <n v="0"/>
    <m/>
    <m/>
    <n v="0"/>
    <m/>
    <m/>
    <n v="0"/>
    <s v=""/>
    <n v="0"/>
    <n v="0"/>
    <n v="0"/>
    <n v="116.88487613461319"/>
    <n v="2225"/>
    <n v="71535.307499999995"/>
    <n v="0"/>
    <n v="0"/>
    <n v="0"/>
    <n v="0"/>
    <n v="0"/>
    <n v="0"/>
  </r>
  <r>
    <x v="51"/>
    <x v="14"/>
    <x v="4"/>
    <m/>
    <m/>
    <n v="0"/>
    <m/>
    <m/>
    <n v="0"/>
    <m/>
    <m/>
    <n v="0"/>
    <s v=""/>
    <n v="0"/>
    <n v="0"/>
    <n v="0"/>
    <n v="116.88487613461319"/>
    <n v="2225"/>
    <n v="71535.307499999995"/>
    <n v="0"/>
    <n v="0"/>
    <n v="0"/>
    <n v="0"/>
    <n v="0"/>
    <n v="0"/>
  </r>
  <r>
    <x v="52"/>
    <x v="14"/>
    <x v="4"/>
    <m/>
    <m/>
    <n v="0"/>
    <m/>
    <m/>
    <n v="0"/>
    <m/>
    <m/>
    <n v="0"/>
    <s v=""/>
    <n v="0"/>
    <n v="0"/>
    <n v="0"/>
    <n v="116.88487613461319"/>
    <n v="2225"/>
    <n v="71535.307499999995"/>
    <n v="0"/>
    <n v="0"/>
    <n v="0"/>
    <n v="0"/>
    <n v="0"/>
    <n v="0"/>
  </r>
  <r>
    <x v="53"/>
    <x v="14"/>
    <x v="4"/>
    <m/>
    <m/>
    <n v="0"/>
    <m/>
    <m/>
    <n v="0"/>
    <m/>
    <m/>
    <n v="0"/>
    <s v=""/>
    <n v="0"/>
    <n v="0"/>
    <n v="0"/>
    <n v="116.88487613461319"/>
    <n v="2225"/>
    <n v="71535.307499999995"/>
    <n v="0"/>
    <n v="0"/>
    <n v="0"/>
    <n v="0"/>
    <n v="0"/>
    <n v="0"/>
  </r>
  <r>
    <x v="54"/>
    <x v="14"/>
    <x v="4"/>
    <m/>
    <m/>
    <n v="0"/>
    <m/>
    <m/>
    <n v="0"/>
    <m/>
    <m/>
    <n v="0"/>
    <s v=""/>
    <n v="0"/>
    <n v="0"/>
    <n v="0"/>
    <n v="116.88487613461319"/>
    <n v="2225"/>
    <n v="71535.307499999995"/>
    <n v="0"/>
    <n v="0"/>
    <n v="0"/>
    <n v="0"/>
    <n v="0"/>
    <n v="0"/>
  </r>
  <r>
    <x v="55"/>
    <x v="14"/>
    <x v="4"/>
    <n v="184"/>
    <n v="0.82"/>
    <n v="0.15087999999999999"/>
    <m/>
    <m/>
    <n v="0"/>
    <m/>
    <m/>
    <n v="0"/>
    <s v=""/>
    <n v="0"/>
    <n v="0"/>
    <n v="0"/>
    <n v="116.88487613461319"/>
    <n v="2225"/>
    <n v="71535.307499999995"/>
    <n v="0"/>
    <n v="0"/>
    <n v="0"/>
    <n v="0"/>
    <n v="0"/>
    <n v="0"/>
  </r>
  <r>
    <x v="56"/>
    <x v="14"/>
    <x v="4"/>
    <m/>
    <m/>
    <n v="0"/>
    <m/>
    <m/>
    <n v="0"/>
    <m/>
    <m/>
    <n v="0"/>
    <s v=""/>
    <n v="0"/>
    <n v="0"/>
    <n v="0"/>
    <n v="116.88487613461319"/>
    <n v="2225"/>
    <n v="71535.307499999995"/>
    <n v="0"/>
    <n v="0"/>
    <n v="0"/>
    <n v="0"/>
    <n v="0"/>
    <n v="0"/>
  </r>
  <r>
    <x v="57"/>
    <x v="14"/>
    <x v="4"/>
    <m/>
    <m/>
    <n v="0"/>
    <m/>
    <m/>
    <n v="0"/>
    <m/>
    <m/>
    <n v="0"/>
    <s v=""/>
    <n v="0"/>
    <n v="0"/>
    <n v="0"/>
    <n v="116.88487613461319"/>
    <n v="2225"/>
    <n v="71535.307499999995"/>
    <n v="0"/>
    <n v="0"/>
    <n v="0"/>
    <n v="0"/>
    <n v="0"/>
    <n v="0"/>
  </r>
  <r>
    <x v="58"/>
    <x v="14"/>
    <x v="4"/>
    <n v="1792"/>
    <n v="0.69"/>
    <n v="1.23648"/>
    <n v="2170"/>
    <n v="1.6900000000000008"/>
    <n v="3.6673000000000018"/>
    <n v="2587"/>
    <n v="2.1497680711248552"/>
    <n v="5.5614500000000007"/>
    <n v="0.51649715049218714"/>
    <n v="417"/>
    <n v="1.8941499999999989"/>
    <n v="95458.861335630703"/>
    <n v="116.88487613461319"/>
    <n v="2225"/>
    <n v="71535.307499999995"/>
    <n v="262341.43319475011"/>
    <n v="397840.03589587501"/>
    <n v="253640.18121211062"/>
    <n v="302381.17456024431"/>
    <n v="8701.2519826394855"/>
    <n v="95458.861335630703"/>
  </r>
  <r>
    <x v="59"/>
    <x v="14"/>
    <x v="4"/>
    <n v="1798"/>
    <n v="3.3"/>
    <n v="5.9333999999999998"/>
    <n v="1120"/>
    <n v="1.604672897196262"/>
    <n v="1.7972336448598134"/>
    <n v="778"/>
    <n v="1.5569922879177376"/>
    <n v="1.2113399999999999"/>
    <n v="-0.3259974831516767"/>
    <n v="-342"/>
    <n v="-0.58589364485981354"/>
    <n v="-4282.8542456790747"/>
    <n v="116.88487613461319"/>
    <n v="2225"/>
    <n v="71535.307499999995"/>
    <n v="128565.66143439253"/>
    <n v="86653.579387049991"/>
    <n v="130911.06127076678"/>
    <n v="90936.433632729066"/>
    <n v="-2345.399836374243"/>
    <n v="-4282.8542456790747"/>
  </r>
  <r>
    <x v="60"/>
    <x v="14"/>
    <x v="4"/>
    <m/>
    <m/>
    <n v="0"/>
    <m/>
    <m/>
    <n v="0"/>
    <m/>
    <m/>
    <n v="0"/>
    <s v=""/>
    <n v="0"/>
    <n v="0"/>
    <n v="0"/>
    <n v="116.88487613461319"/>
    <n v="2225"/>
    <n v="71535.307499999995"/>
    <n v="0"/>
    <n v="0"/>
    <n v="0"/>
    <n v="0"/>
    <n v="0"/>
    <n v="0"/>
  </r>
  <r>
    <x v="61"/>
    <x v="14"/>
    <x v="4"/>
    <n v="85"/>
    <n v="3.33"/>
    <n v="0.28305000000000002"/>
    <m/>
    <m/>
    <n v="0"/>
    <m/>
    <m/>
    <n v="0"/>
    <s v=""/>
    <n v="0"/>
    <n v="0"/>
    <n v="0"/>
    <n v="116.88487613461319"/>
    <n v="2225"/>
    <n v="71535.307499999995"/>
    <n v="0"/>
    <n v="0"/>
    <n v="0"/>
    <n v="0"/>
    <n v="0"/>
    <n v="0"/>
  </r>
  <r>
    <x v="62"/>
    <x v="14"/>
    <x v="4"/>
    <n v="85"/>
    <n v="2.94"/>
    <n v="0.24990000000000001"/>
    <m/>
    <m/>
    <n v="0"/>
    <m/>
    <m/>
    <n v="0"/>
    <s v=""/>
    <n v="0"/>
    <n v="0"/>
    <n v="0"/>
    <n v="116.88487613461319"/>
    <n v="2225"/>
    <n v="71535.307499999995"/>
    <n v="0"/>
    <n v="0"/>
    <n v="0"/>
    <n v="0"/>
    <n v="0"/>
    <n v="0"/>
  </r>
  <r>
    <x v="63"/>
    <x v="14"/>
    <x v="4"/>
    <m/>
    <m/>
    <n v="0"/>
    <m/>
    <m/>
    <n v="0"/>
    <m/>
    <m/>
    <n v="0"/>
    <s v=""/>
    <n v="0"/>
    <n v="0"/>
    <n v="0"/>
    <n v="116.88487613461319"/>
    <n v="2225"/>
    <n v="71535.307499999995"/>
    <n v="0"/>
    <n v="0"/>
    <n v="0"/>
    <n v="0"/>
    <n v="0"/>
    <n v="0"/>
  </r>
  <r>
    <x v="64"/>
    <x v="14"/>
    <x v="4"/>
    <m/>
    <m/>
    <n v="0"/>
    <m/>
    <m/>
    <n v="0"/>
    <m/>
    <m/>
    <n v="0"/>
    <s v=""/>
    <n v="0"/>
    <n v="0"/>
    <n v="0"/>
    <n v="116.88487613461319"/>
    <n v="2225"/>
    <n v="71535.307499999995"/>
    <n v="0"/>
    <n v="0"/>
    <n v="0"/>
    <n v="0"/>
    <n v="0"/>
    <n v="0"/>
  </r>
  <r>
    <x v="65"/>
    <x v="14"/>
    <x v="4"/>
    <m/>
    <m/>
    <n v="0"/>
    <m/>
    <m/>
    <n v="0"/>
    <m/>
    <m/>
    <n v="0"/>
    <s v=""/>
    <n v="0"/>
    <n v="0"/>
    <n v="0"/>
    <n v="116.88487613461319"/>
    <n v="2225"/>
    <n v="71535.307499999995"/>
    <n v="0"/>
    <n v="0"/>
    <n v="0"/>
    <n v="0"/>
    <n v="0"/>
    <n v="0"/>
  </r>
  <r>
    <x v="66"/>
    <x v="14"/>
    <x v="4"/>
    <m/>
    <m/>
    <n v="0"/>
    <m/>
    <m/>
    <n v="0"/>
    <m/>
    <m/>
    <n v="0"/>
    <s v=""/>
    <n v="0"/>
    <n v="0"/>
    <n v="0"/>
    <n v="116.88487613461319"/>
    <n v="2225"/>
    <n v="71535.307499999995"/>
    <n v="0"/>
    <n v="0"/>
    <n v="0"/>
    <n v="0"/>
    <n v="0"/>
    <n v="0"/>
  </r>
  <r>
    <x v="67"/>
    <x v="14"/>
    <x v="4"/>
    <m/>
    <m/>
    <n v="0"/>
    <m/>
    <m/>
    <n v="0"/>
    <m/>
    <m/>
    <n v="0"/>
    <s v=""/>
    <n v="0"/>
    <n v="0"/>
    <n v="0"/>
    <n v="116.88487613461319"/>
    <n v="2225"/>
    <n v="71535.307499999995"/>
    <n v="0"/>
    <n v="0"/>
    <n v="0"/>
    <n v="0"/>
    <n v="0"/>
    <n v="0"/>
  </r>
  <r>
    <x v="68"/>
    <x v="14"/>
    <x v="4"/>
    <m/>
    <m/>
    <n v="0"/>
    <m/>
    <m/>
    <n v="0"/>
    <m/>
    <m/>
    <n v="0"/>
    <s v=""/>
    <n v="0"/>
    <n v="0"/>
    <n v="0"/>
    <n v="116.88487613461319"/>
    <n v="2225"/>
    <n v="71535.307499999995"/>
    <n v="0"/>
    <n v="0"/>
    <n v="0"/>
    <n v="0"/>
    <n v="0"/>
    <n v="0"/>
  </r>
  <r>
    <x v="69"/>
    <x v="14"/>
    <x v="4"/>
    <m/>
    <m/>
    <n v="0"/>
    <m/>
    <m/>
    <n v="0"/>
    <m/>
    <m/>
    <n v="0"/>
    <s v=""/>
    <n v="0"/>
    <n v="0"/>
    <n v="0"/>
    <n v="116.88487613461319"/>
    <n v="2225"/>
    <n v="71535.307499999995"/>
    <n v="0"/>
    <n v="0"/>
    <n v="0"/>
    <n v="0"/>
    <n v="0"/>
    <n v="0"/>
  </r>
  <r>
    <x v="70"/>
    <x v="14"/>
    <x v="5"/>
    <n v="2696"/>
    <n v="2.83"/>
    <n v="7.6296800000000005"/>
    <n v="2170"/>
    <n v="3.0901869158878492"/>
    <n v="6.7057056074766326"/>
    <n v="2738.2"/>
    <n v="3.2370144620553654"/>
    <n v="8.8635930000000016"/>
    <n v="0.32179870677850791"/>
    <n v="568.19999999999982"/>
    <n v="2.157887392523369"/>
    <n v="314005.68297804974"/>
    <n v="116.88487613461319"/>
    <n v="2225"/>
    <n v="71535.307499999995"/>
    <n v="479694.7126353152"/>
    <n v="634059.85080984759"/>
    <n v="253640.18121211062"/>
    <n v="320054.16783179785"/>
    <n v="226054.53142320458"/>
    <n v="314005.68297804974"/>
  </r>
  <r>
    <x v="71"/>
    <x v="14"/>
    <x v="5"/>
    <m/>
    <m/>
    <n v="0"/>
    <m/>
    <m/>
    <n v="0"/>
    <m/>
    <m/>
    <n v="0"/>
    <s v=""/>
    <n v="0"/>
    <n v="0"/>
    <n v="0"/>
    <n v="116.88487613461319"/>
    <n v="2225"/>
    <n v="71535.307499999995"/>
    <n v="0"/>
    <n v="0"/>
    <n v="0"/>
    <n v="0"/>
    <n v="0"/>
    <n v="0"/>
  </r>
  <r>
    <x v="72"/>
    <x v="14"/>
    <x v="5"/>
    <m/>
    <m/>
    <n v="0"/>
    <n v="3255"/>
    <n v="3.0901869158878479"/>
    <n v="10.058558411214944"/>
    <n v="2814.1"/>
    <n v="2.6445158309939236"/>
    <m/>
    <m/>
    <m/>
    <m/>
    <m/>
    <m/>
    <m/>
    <m/>
    <m/>
    <m/>
    <m/>
    <m/>
    <m/>
    <m/>
  </r>
  <r>
    <x v="73"/>
    <x v="14"/>
    <x v="5"/>
    <m/>
    <m/>
    <n v="0"/>
    <n v="2170"/>
    <n v="2.3116822429906541"/>
    <n v="5.0163504672897199"/>
    <n v="2103.1"/>
    <n v="2.5423327468974373"/>
    <m/>
    <m/>
    <m/>
    <m/>
    <m/>
    <m/>
    <m/>
    <m/>
    <m/>
    <m/>
    <m/>
    <m/>
    <m/>
    <m/>
  </r>
  <r>
    <x v="74"/>
    <x v="14"/>
    <x v="5"/>
    <m/>
    <m/>
    <n v="0"/>
    <m/>
    <m/>
    <n v="0"/>
    <m/>
    <m/>
    <m/>
    <m/>
    <m/>
    <m/>
    <m/>
    <m/>
    <m/>
    <m/>
    <m/>
    <m/>
    <m/>
    <m/>
    <m/>
    <m/>
  </r>
  <r>
    <x v="75"/>
    <x v="14"/>
    <x v="5"/>
    <m/>
    <m/>
    <n v="0"/>
    <m/>
    <m/>
    <n v="0"/>
    <m/>
    <m/>
    <n v="0"/>
    <s v=""/>
    <n v="0"/>
    <n v="0"/>
    <n v="0"/>
    <n v="116.88487613461319"/>
    <n v="2225"/>
    <n v="71535.307499999995"/>
    <n v="0"/>
    <n v="0"/>
    <n v="0"/>
    <n v="0"/>
    <n v="0"/>
    <n v="0"/>
  </r>
  <r>
    <x v="76"/>
    <x v="14"/>
    <x v="5"/>
    <m/>
    <m/>
    <n v="0"/>
    <m/>
    <m/>
    <n v="0"/>
    <m/>
    <m/>
    <m/>
    <m/>
    <m/>
    <m/>
    <m/>
    <m/>
    <m/>
    <m/>
    <m/>
    <m/>
    <m/>
    <m/>
    <m/>
    <m/>
  </r>
  <r>
    <x v="77"/>
    <x v="14"/>
    <x v="5"/>
    <n v="945"/>
    <n v="2.41"/>
    <n v="2.2774500000000004"/>
    <n v="2170"/>
    <n v="2.2560747663551406"/>
    <n v="4.895682242990655"/>
    <n v="530.79999999999995"/>
    <n v="1.9271590052750567"/>
    <n v="1.0229360000000001"/>
    <n v="-0.7910534325497578"/>
    <n v="-1639.2"/>
    <n v="-3.872746242990655"/>
    <n v="11133.549060567326"/>
    <n v="116.88487613461319"/>
    <n v="2225"/>
    <n v="71535.307499999995"/>
    <n v="350214.13467462623"/>
    <n v="73176.041312820002"/>
    <n v="253640.18121211062"/>
    <n v="62042.492252252676"/>
    <n v="96573.953462515608"/>
    <n v="11133.549060567326"/>
  </r>
  <r>
    <x v="78"/>
    <x v="14"/>
    <x v="5"/>
    <n v="1710"/>
    <n v="1.5451929824561406"/>
    <n v="2.6422800000000004"/>
    <n v="4340"/>
    <n v="2.0098130841121482"/>
    <n v="8.7225887850467227"/>
    <n v="5164.5999999999995"/>
    <n v="2.4794214459977546"/>
    <n v="12.805220000000002"/>
    <n v="0.46805269806507455"/>
    <n v="824.59999999999945"/>
    <n v="4.0826312149532793"/>
    <n v="312361.71902032674"/>
    <n v="116.88487613461319"/>
    <n v="2225"/>
    <n v="71535.307499999995"/>
    <n v="623973.07093436865"/>
    <n v="916025.35030515003"/>
    <n v="507280.36242422124"/>
    <n v="603663.63128482329"/>
    <n v="116692.70851014741"/>
    <n v="312361.71902032674"/>
  </r>
  <r>
    <x v="79"/>
    <x v="14"/>
    <x v="5"/>
    <m/>
    <m/>
    <n v="0"/>
    <n v="1085"/>
    <n v="1.7238317757009356"/>
    <n v="1.8703574766355151"/>
    <n v="54"/>
    <n v="5.9900000000000011"/>
    <n v="0.32346000000000003"/>
    <n v="-0.82705979790459372"/>
    <n v="-1031"/>
    <n v="-1.546897476635515"/>
    <n v="16827.027252680888"/>
    <n v="116.88487613461319"/>
    <n v="2225"/>
    <n v="71535.307499999995"/>
    <n v="133796.59722604562"/>
    <n v="23138.810563949999"/>
    <n v="126820.09060605531"/>
    <n v="6311.7833112691123"/>
    <n v="6976.5066199903085"/>
    <n v="16827.027252680888"/>
  </r>
  <r>
    <x v="80"/>
    <x v="14"/>
    <x v="5"/>
    <n v="121"/>
    <n v="2.7"/>
    <n v="0.32670000000000005"/>
    <m/>
    <m/>
    <n v="0"/>
    <m/>
    <m/>
    <n v="0"/>
    <s v=""/>
    <n v="0"/>
    <n v="0"/>
    <n v="0"/>
    <n v="116.88487613461319"/>
    <n v="2225"/>
    <n v="71535.307499999995"/>
    <n v="0"/>
    <n v="0"/>
    <n v="0"/>
    <n v="0"/>
    <n v="0"/>
    <n v="0"/>
  </r>
  <r>
    <x v="81"/>
    <x v="14"/>
    <x v="5"/>
    <m/>
    <m/>
    <n v="0"/>
    <m/>
    <m/>
    <n v="0"/>
    <m/>
    <m/>
    <n v="0"/>
    <s v=""/>
    <n v="0"/>
    <n v="0"/>
    <n v="0"/>
    <n v="116.88487613461319"/>
    <n v="2225"/>
    <n v="71535.307499999995"/>
    <n v="0"/>
    <n v="0"/>
    <n v="0"/>
    <n v="0"/>
    <n v="0"/>
    <n v="0"/>
  </r>
  <r>
    <x v="82"/>
    <x v="14"/>
    <x v="5"/>
    <m/>
    <m/>
    <n v="0"/>
    <m/>
    <m/>
    <n v="0"/>
    <m/>
    <m/>
    <n v="0"/>
    <s v=""/>
    <n v="0"/>
    <n v="0"/>
    <n v="0"/>
    <n v="116.88487613461319"/>
    <n v="2225"/>
    <n v="71535.307499999995"/>
    <n v="0"/>
    <n v="0"/>
    <n v="0"/>
    <n v="0"/>
    <n v="0"/>
    <n v="0"/>
  </r>
  <r>
    <x v="83"/>
    <x v="14"/>
    <x v="5"/>
    <m/>
    <m/>
    <n v="0"/>
    <m/>
    <m/>
    <n v="0"/>
    <m/>
    <m/>
    <n v="0"/>
    <s v=""/>
    <n v="0"/>
    <n v="0"/>
    <n v="0"/>
    <n v="116.88487613461319"/>
    <n v="2225"/>
    <n v="71535.307499999995"/>
    <n v="0"/>
    <n v="0"/>
    <n v="0"/>
    <n v="0"/>
    <n v="0"/>
    <n v="0"/>
  </r>
  <r>
    <x v="84"/>
    <x v="14"/>
    <x v="5"/>
    <n v="1798"/>
    <n v="2.4500000000000002"/>
    <n v="4.4051"/>
    <m/>
    <m/>
    <n v="0"/>
    <m/>
    <m/>
    <n v="0"/>
    <s v=""/>
    <n v="0"/>
    <n v="0"/>
    <n v="0"/>
    <n v="116.88487613461319"/>
    <n v="2225"/>
    <n v="71535.307499999995"/>
    <n v="0"/>
    <n v="0"/>
    <n v="0"/>
    <n v="0"/>
    <n v="0"/>
    <n v="0"/>
  </r>
  <r>
    <x v="85"/>
    <x v="14"/>
    <x v="5"/>
    <m/>
    <m/>
    <n v="0"/>
    <m/>
    <m/>
    <n v="0"/>
    <m/>
    <m/>
    <n v="0"/>
    <s v=""/>
    <n v="0"/>
    <n v="0"/>
    <n v="0"/>
    <n v="116.88487613461319"/>
    <n v="2225"/>
    <n v="71535.307499999995"/>
    <n v="0"/>
    <n v="0"/>
    <n v="0"/>
    <n v="0"/>
    <n v="0"/>
    <n v="0"/>
  </r>
  <r>
    <x v="86"/>
    <x v="14"/>
    <x v="5"/>
    <m/>
    <m/>
    <n v="0"/>
    <m/>
    <m/>
    <n v="0"/>
    <m/>
    <m/>
    <n v="0"/>
    <s v=""/>
    <n v="0"/>
    <n v="0"/>
    <n v="0"/>
    <n v="116.88487613461319"/>
    <n v="2225"/>
    <n v="71535.307499999995"/>
    <n v="0"/>
    <n v="0"/>
    <n v="0"/>
    <n v="0"/>
    <n v="0"/>
    <n v="0"/>
  </r>
  <r>
    <x v="87"/>
    <x v="14"/>
    <x v="5"/>
    <m/>
    <m/>
    <n v="0"/>
    <m/>
    <m/>
    <n v="0"/>
    <m/>
    <m/>
    <n v="0"/>
    <s v=""/>
    <n v="0"/>
    <n v="0"/>
    <n v="0"/>
    <n v="116.88487613461319"/>
    <n v="2225"/>
    <n v="71535.307499999995"/>
    <n v="0"/>
    <n v="0"/>
    <n v="0"/>
    <n v="0"/>
    <n v="0"/>
    <n v="0"/>
  </r>
  <r>
    <x v="88"/>
    <x v="14"/>
    <x v="5"/>
    <m/>
    <m/>
    <n v="0"/>
    <m/>
    <m/>
    <n v="0"/>
    <m/>
    <m/>
    <n v="0"/>
    <s v=""/>
    <n v="0"/>
    <n v="0"/>
    <n v="0"/>
    <n v="116.88487613461319"/>
    <n v="2225"/>
    <n v="71535.307499999995"/>
    <n v="0"/>
    <n v="0"/>
    <n v="0"/>
    <n v="0"/>
    <n v="0"/>
    <n v="0"/>
  </r>
  <r>
    <x v="89"/>
    <x v="14"/>
    <x v="5"/>
    <m/>
    <m/>
    <n v="0"/>
    <m/>
    <m/>
    <n v="0"/>
    <m/>
    <m/>
    <n v="0"/>
    <s v=""/>
    <n v="0"/>
    <n v="0"/>
    <n v="0"/>
    <n v="116.88487613461319"/>
    <n v="2225"/>
    <n v="71535.307499999995"/>
    <n v="0"/>
    <n v="0"/>
    <n v="0"/>
    <n v="0"/>
    <n v="0"/>
    <n v="0"/>
  </r>
  <r>
    <x v="90"/>
    <x v="14"/>
    <x v="5"/>
    <m/>
    <m/>
    <n v="0"/>
    <m/>
    <m/>
    <n v="0"/>
    <m/>
    <m/>
    <n v="0"/>
    <s v=""/>
    <n v="0"/>
    <n v="0"/>
    <n v="0"/>
    <n v="116.88487613461319"/>
    <n v="2225"/>
    <n v="71535.307499999995"/>
    <n v="0"/>
    <n v="0"/>
    <n v="0"/>
    <n v="0"/>
    <n v="0"/>
    <n v="0"/>
  </r>
  <r>
    <x v="91"/>
    <x v="14"/>
    <x v="5"/>
    <m/>
    <m/>
    <n v="0"/>
    <m/>
    <m/>
    <n v="0"/>
    <m/>
    <m/>
    <n v="0"/>
    <s v=""/>
    <n v="0"/>
    <n v="0"/>
    <n v="0"/>
    <n v="116.88487613461319"/>
    <n v="2225"/>
    <n v="71535.307499999995"/>
    <n v="0"/>
    <n v="0"/>
    <n v="0"/>
    <n v="0"/>
    <n v="0"/>
    <n v="0"/>
  </r>
  <r>
    <x v="92"/>
    <x v="14"/>
    <x v="5"/>
    <m/>
    <m/>
    <n v="0"/>
    <m/>
    <m/>
    <n v="0"/>
    <m/>
    <m/>
    <n v="0"/>
    <s v=""/>
    <n v="0"/>
    <n v="0"/>
    <n v="0"/>
    <n v="116.88487613461319"/>
    <n v="2225"/>
    <n v="71535.307499999995"/>
    <n v="0"/>
    <n v="0"/>
    <n v="0"/>
    <n v="0"/>
    <n v="0"/>
    <n v="0"/>
  </r>
  <r>
    <x v="93"/>
    <x v="14"/>
    <x v="5"/>
    <m/>
    <m/>
    <n v="0"/>
    <m/>
    <m/>
    <n v="0"/>
    <m/>
    <m/>
    <n v="0"/>
    <s v=""/>
    <n v="0"/>
    <n v="0"/>
    <n v="0"/>
    <n v="116.88487613461319"/>
    <n v="2225"/>
    <n v="71535.307499999995"/>
    <n v="0"/>
    <n v="0"/>
    <n v="0"/>
    <n v="0"/>
    <n v="0"/>
    <n v="0"/>
  </r>
  <r>
    <x v="94"/>
    <x v="14"/>
    <x v="5"/>
    <n v="1036"/>
    <n v="2.0099999999999998"/>
    <n v="2.0823599999999995"/>
    <m/>
    <m/>
    <n v="0"/>
    <m/>
    <m/>
    <n v="0"/>
    <s v=""/>
    <n v="0"/>
    <n v="0"/>
    <n v="0"/>
    <n v="116.88487613461319"/>
    <n v="2225"/>
    <n v="71535.307499999995"/>
    <n v="0"/>
    <n v="0"/>
    <n v="0"/>
    <n v="0"/>
    <n v="0"/>
    <n v="0"/>
  </r>
  <r>
    <x v="95"/>
    <x v="14"/>
    <x v="5"/>
    <m/>
    <m/>
    <n v="0"/>
    <m/>
    <m/>
    <n v="0"/>
    <m/>
    <m/>
    <n v="0"/>
    <s v=""/>
    <n v="0"/>
    <n v="0"/>
    <n v="0"/>
    <n v="116.88487613461319"/>
    <n v="2225"/>
    <n v="71535.307499999995"/>
    <n v="0"/>
    <n v="0"/>
    <n v="0"/>
    <n v="0"/>
    <n v="0"/>
    <n v="0"/>
  </r>
  <r>
    <x v="96"/>
    <x v="14"/>
    <x v="5"/>
    <m/>
    <m/>
    <n v="0"/>
    <m/>
    <m/>
    <n v="0"/>
    <m/>
    <m/>
    <n v="0"/>
    <s v=""/>
    <n v="0"/>
    <n v="0"/>
    <n v="0"/>
    <n v="116.88487613461319"/>
    <n v="2225"/>
    <n v="71535.307499999995"/>
    <n v="0"/>
    <n v="0"/>
    <n v="0"/>
    <n v="0"/>
    <n v="0"/>
    <n v="0"/>
  </r>
  <r>
    <x v="97"/>
    <x v="14"/>
    <x v="5"/>
    <m/>
    <m/>
    <n v="0"/>
    <m/>
    <m/>
    <n v="0"/>
    <m/>
    <m/>
    <n v="0"/>
    <s v=""/>
    <n v="0"/>
    <n v="0"/>
    <n v="0"/>
    <n v="116.88487613461319"/>
    <n v="2225"/>
    <n v="71535.307499999995"/>
    <n v="0"/>
    <n v="0"/>
    <n v="0"/>
    <n v="0"/>
    <n v="0"/>
    <n v="0"/>
  </r>
  <r>
    <x v="98"/>
    <x v="14"/>
    <x v="6"/>
    <m/>
    <m/>
    <n v="0"/>
    <m/>
    <m/>
    <n v="0"/>
    <m/>
    <m/>
    <n v="0"/>
    <s v=""/>
    <n v="0"/>
    <n v="0"/>
    <n v="0"/>
    <n v="116.88487613461319"/>
    <n v="2225"/>
    <n v="71535.307499999995"/>
    <n v="0"/>
    <n v="0"/>
    <n v="0"/>
    <n v="0"/>
    <n v="0"/>
    <n v="0"/>
  </r>
  <r>
    <x v="99"/>
    <x v="14"/>
    <x v="6"/>
    <m/>
    <m/>
    <n v="0"/>
    <m/>
    <m/>
    <n v="0"/>
    <m/>
    <m/>
    <n v="0"/>
    <s v=""/>
    <n v="0"/>
    <n v="0"/>
    <n v="0"/>
    <n v="116.88487613461319"/>
    <n v="2225"/>
    <n v="71535.307499999995"/>
    <n v="0"/>
    <n v="0"/>
    <n v="0"/>
    <n v="0"/>
    <n v="0"/>
    <n v="0"/>
  </r>
  <r>
    <x v="100"/>
    <x v="14"/>
    <x v="6"/>
    <m/>
    <m/>
    <n v="0"/>
    <m/>
    <m/>
    <n v="0"/>
    <m/>
    <m/>
    <n v="0"/>
    <s v=""/>
    <n v="0"/>
    <n v="0"/>
    <n v="0"/>
    <n v="116.88487613461319"/>
    <n v="2225"/>
    <n v="71535.307499999995"/>
    <n v="0"/>
    <n v="0"/>
    <n v="0"/>
    <n v="0"/>
    <n v="0"/>
    <n v="0"/>
  </r>
  <r>
    <x v="101"/>
    <x v="14"/>
    <x v="6"/>
    <m/>
    <m/>
    <n v="0"/>
    <m/>
    <m/>
    <n v="0"/>
    <m/>
    <m/>
    <n v="0"/>
    <s v=""/>
    <n v="0"/>
    <n v="0"/>
    <n v="0"/>
    <n v="116.88487613461319"/>
    <n v="2225"/>
    <n v="71535.307499999995"/>
    <n v="0"/>
    <n v="0"/>
    <n v="0"/>
    <n v="0"/>
    <n v="0"/>
    <n v="0"/>
  </r>
  <r>
    <x v="102"/>
    <x v="14"/>
    <x v="6"/>
    <m/>
    <m/>
    <n v="0"/>
    <m/>
    <m/>
    <n v="0"/>
    <m/>
    <m/>
    <n v="0"/>
    <s v=""/>
    <n v="0"/>
    <n v="0"/>
    <n v="0"/>
    <n v="116.88487613461319"/>
    <n v="2225"/>
    <n v="71535.307499999995"/>
    <n v="0"/>
    <n v="0"/>
    <n v="0"/>
    <n v="0"/>
    <n v="0"/>
    <n v="0"/>
  </r>
  <r>
    <x v="103"/>
    <x v="14"/>
    <x v="6"/>
    <m/>
    <m/>
    <n v="0"/>
    <m/>
    <m/>
    <n v="0"/>
    <m/>
    <m/>
    <n v="0"/>
    <s v=""/>
    <n v="0"/>
    <n v="0"/>
    <n v="0"/>
    <n v="116.88487613461319"/>
    <n v="2225"/>
    <n v="71535.307499999995"/>
    <n v="0"/>
    <n v="0"/>
    <n v="0"/>
    <n v="0"/>
    <n v="0"/>
    <n v="0"/>
  </r>
  <r>
    <x v="104"/>
    <x v="14"/>
    <x v="6"/>
    <m/>
    <m/>
    <n v="0"/>
    <m/>
    <m/>
    <n v="0"/>
    <m/>
    <m/>
    <n v="0"/>
    <s v=""/>
    <n v="0"/>
    <n v="0"/>
    <n v="0"/>
    <n v="116.88487613461319"/>
    <n v="2225"/>
    <n v="71535.307499999995"/>
    <n v="0"/>
    <n v="0"/>
    <n v="0"/>
    <n v="0"/>
    <n v="0"/>
    <n v="0"/>
  </r>
  <r>
    <x v="105"/>
    <x v="14"/>
    <x v="6"/>
    <m/>
    <m/>
    <n v="0"/>
    <m/>
    <m/>
    <n v="0"/>
    <m/>
    <m/>
    <n v="0"/>
    <s v=""/>
    <n v="0"/>
    <n v="0"/>
    <n v="0"/>
    <n v="116.88487613461319"/>
    <n v="2225"/>
    <n v="71535.307499999995"/>
    <n v="0"/>
    <n v="0"/>
    <n v="0"/>
    <n v="0"/>
    <n v="0"/>
    <n v="0"/>
  </r>
  <r>
    <x v="106"/>
    <x v="14"/>
    <x v="6"/>
    <m/>
    <m/>
    <n v="0"/>
    <m/>
    <m/>
    <n v="0"/>
    <m/>
    <m/>
    <n v="0"/>
    <s v=""/>
    <n v="0"/>
    <n v="0"/>
    <n v="0"/>
    <n v="116.88487613461319"/>
    <n v="2225"/>
    <n v="71535.307499999995"/>
    <n v="0"/>
    <n v="0"/>
    <n v="0"/>
    <n v="0"/>
    <n v="0"/>
    <n v="0"/>
  </r>
  <r>
    <x v="107"/>
    <x v="14"/>
    <x v="6"/>
    <m/>
    <m/>
    <n v="0"/>
    <m/>
    <m/>
    <n v="0"/>
    <m/>
    <m/>
    <n v="0"/>
    <s v=""/>
    <n v="0"/>
    <n v="0"/>
    <n v="0"/>
    <n v="116.88487613461319"/>
    <n v="2225"/>
    <n v="71535.307499999995"/>
    <n v="0"/>
    <n v="0"/>
    <n v="0"/>
    <n v="0"/>
    <n v="0"/>
    <n v="0"/>
  </r>
  <r>
    <x v="108"/>
    <x v="14"/>
    <x v="6"/>
    <m/>
    <m/>
    <n v="0"/>
    <m/>
    <m/>
    <n v="0"/>
    <m/>
    <m/>
    <n v="0"/>
    <s v=""/>
    <n v="0"/>
    <n v="0"/>
    <n v="0"/>
    <n v="116.88487613461319"/>
    <n v="2225"/>
    <n v="71535.307499999995"/>
    <n v="0"/>
    <n v="0"/>
    <n v="0"/>
    <n v="0"/>
    <n v="0"/>
    <n v="0"/>
  </r>
  <r>
    <x v="109"/>
    <x v="14"/>
    <x v="6"/>
    <m/>
    <m/>
    <n v="0"/>
    <m/>
    <m/>
    <n v="0"/>
    <m/>
    <m/>
    <n v="0"/>
    <s v=""/>
    <n v="0"/>
    <n v="0"/>
    <n v="0"/>
    <n v="116.88487613461319"/>
    <n v="2225"/>
    <n v="71535.307499999995"/>
    <n v="0"/>
    <n v="0"/>
    <n v="0"/>
    <n v="0"/>
    <n v="0"/>
    <n v="0"/>
  </r>
  <r>
    <x v="110"/>
    <x v="14"/>
    <x v="7"/>
    <m/>
    <m/>
    <n v="0"/>
    <m/>
    <m/>
    <n v="0"/>
    <m/>
    <m/>
    <n v="0"/>
    <s v=""/>
    <n v="0"/>
    <n v="0"/>
    <n v="0"/>
    <n v="116.88487613461319"/>
    <n v="2225"/>
    <n v="71535.307499999995"/>
    <n v="0"/>
    <n v="0"/>
    <n v="0"/>
    <n v="0"/>
    <n v="0"/>
    <n v="0"/>
  </r>
  <r>
    <x v="111"/>
    <x v="14"/>
    <x v="7"/>
    <m/>
    <m/>
    <n v="0"/>
    <m/>
    <m/>
    <n v="0"/>
    <m/>
    <m/>
    <n v="0"/>
    <s v=""/>
    <n v="0"/>
    <n v="0"/>
    <n v="0"/>
    <n v="116.88487613461319"/>
    <n v="2225"/>
    <n v="71535.307499999995"/>
    <n v="0"/>
    <n v="0"/>
    <n v="0"/>
    <n v="0"/>
    <n v="0"/>
    <n v="0"/>
  </r>
  <r>
    <x v="112"/>
    <x v="14"/>
    <x v="7"/>
    <m/>
    <m/>
    <n v="0"/>
    <m/>
    <m/>
    <n v="0"/>
    <m/>
    <m/>
    <n v="0"/>
    <s v=""/>
    <n v="0"/>
    <n v="0"/>
    <n v="0"/>
    <n v="116.88487613461319"/>
    <n v="2225"/>
    <n v="71535.307499999995"/>
    <n v="0"/>
    <n v="0"/>
    <n v="0"/>
    <n v="0"/>
    <n v="0"/>
    <n v="0"/>
  </r>
  <r>
    <x v="113"/>
    <x v="14"/>
    <x v="7"/>
    <m/>
    <m/>
    <n v="0"/>
    <m/>
    <m/>
    <n v="0"/>
    <m/>
    <m/>
    <n v="0"/>
    <s v=""/>
    <n v="0"/>
    <n v="0"/>
    <n v="0"/>
    <n v="116.88487613461319"/>
    <n v="2225"/>
    <n v="71535.307499999995"/>
    <n v="0"/>
    <n v="0"/>
    <n v="0"/>
    <n v="0"/>
    <n v="0"/>
    <n v="0"/>
  </r>
  <r>
    <x v="114"/>
    <x v="14"/>
    <x v="7"/>
    <m/>
    <m/>
    <n v="0"/>
    <m/>
    <m/>
    <n v="0"/>
    <m/>
    <m/>
    <n v="0"/>
    <s v=""/>
    <n v="0"/>
    <n v="0"/>
    <n v="0"/>
    <n v="116.88487613461319"/>
    <n v="2225"/>
    <n v="71535.307499999995"/>
    <n v="0"/>
    <n v="0"/>
    <n v="0"/>
    <n v="0"/>
    <n v="0"/>
    <n v="0"/>
  </r>
  <r>
    <x v="115"/>
    <x v="14"/>
    <x v="7"/>
    <m/>
    <m/>
    <n v="0"/>
    <m/>
    <m/>
    <n v="0"/>
    <m/>
    <m/>
    <n v="0"/>
    <s v=""/>
    <n v="0"/>
    <n v="0"/>
    <n v="0"/>
    <n v="116.88487613461319"/>
    <n v="2225"/>
    <n v="71535.307499999995"/>
    <n v="0"/>
    <n v="0"/>
    <n v="0"/>
    <n v="0"/>
    <n v="0"/>
    <n v="0"/>
  </r>
  <r>
    <x v="116"/>
    <x v="14"/>
    <x v="7"/>
    <m/>
    <m/>
    <n v="0"/>
    <m/>
    <m/>
    <n v="0"/>
    <m/>
    <m/>
    <n v="0"/>
    <s v=""/>
    <n v="0"/>
    <n v="0"/>
    <n v="0"/>
    <n v="116.88487613461319"/>
    <n v="2225"/>
    <n v="71535.307499999995"/>
    <n v="0"/>
    <n v="0"/>
    <n v="0"/>
    <n v="0"/>
    <n v="0"/>
    <n v="0"/>
  </r>
  <r>
    <x v="117"/>
    <x v="14"/>
    <x v="7"/>
    <m/>
    <m/>
    <n v="0"/>
    <m/>
    <m/>
    <n v="0"/>
    <m/>
    <m/>
    <n v="0"/>
    <s v=""/>
    <n v="0"/>
    <n v="0"/>
    <n v="0"/>
    <n v="116.88487613461319"/>
    <n v="2225"/>
    <n v="71535.307499999995"/>
    <n v="0"/>
    <n v="0"/>
    <n v="0"/>
    <n v="0"/>
    <n v="0"/>
    <n v="0"/>
  </r>
  <r>
    <x v="118"/>
    <x v="14"/>
    <x v="7"/>
    <m/>
    <m/>
    <n v="0"/>
    <m/>
    <m/>
    <n v="0"/>
    <m/>
    <m/>
    <n v="0"/>
    <s v=""/>
    <n v="0"/>
    <n v="0"/>
    <n v="0"/>
    <n v="116.88487613461319"/>
    <n v="2225"/>
    <n v="71535.307499999995"/>
    <n v="0"/>
    <n v="0"/>
    <n v="0"/>
    <n v="0"/>
    <n v="0"/>
    <n v="0"/>
  </r>
  <r>
    <x v="119"/>
    <x v="14"/>
    <x v="7"/>
    <m/>
    <m/>
    <n v="0"/>
    <m/>
    <m/>
    <n v="0"/>
    <m/>
    <m/>
    <n v="0"/>
    <s v=""/>
    <n v="0"/>
    <n v="0"/>
    <n v="0"/>
    <n v="116.88487613461319"/>
    <n v="2225"/>
    <n v="71535.307499999995"/>
    <n v="0"/>
    <n v="0"/>
    <n v="0"/>
    <n v="0"/>
    <n v="0"/>
    <n v="0"/>
  </r>
  <r>
    <x v="120"/>
    <x v="14"/>
    <x v="7"/>
    <m/>
    <m/>
    <n v="0"/>
    <m/>
    <m/>
    <n v="0"/>
    <m/>
    <m/>
    <n v="0"/>
    <s v=""/>
    <n v="0"/>
    <n v="0"/>
    <n v="0"/>
    <n v="116.88487613461319"/>
    <n v="2225"/>
    <n v="71535.307499999995"/>
    <n v="0"/>
    <n v="0"/>
    <n v="0"/>
    <n v="0"/>
    <n v="0"/>
    <n v="0"/>
  </r>
  <r>
    <x v="121"/>
    <x v="14"/>
    <x v="7"/>
    <m/>
    <m/>
    <n v="0"/>
    <m/>
    <m/>
    <n v="0"/>
    <m/>
    <m/>
    <n v="0"/>
    <s v=""/>
    <n v="0"/>
    <n v="0"/>
    <n v="0"/>
    <n v="116.88487613461319"/>
    <n v="2225"/>
    <n v="71535.307499999995"/>
    <n v="0"/>
    <n v="0"/>
    <n v="0"/>
    <n v="0"/>
    <n v="0"/>
    <n v="0"/>
  </r>
  <r>
    <x v="122"/>
    <x v="14"/>
    <x v="7"/>
    <m/>
    <m/>
    <n v="0"/>
    <m/>
    <m/>
    <n v="0"/>
    <m/>
    <m/>
    <n v="0"/>
    <s v=""/>
    <n v="0"/>
    <n v="0"/>
    <n v="0"/>
    <n v="116.88487613461319"/>
    <n v="2225"/>
    <n v="71535.307499999995"/>
    <n v="0"/>
    <n v="0"/>
    <n v="0"/>
    <n v="0"/>
    <n v="0"/>
    <n v="0"/>
  </r>
  <r>
    <x v="123"/>
    <x v="14"/>
    <x v="7"/>
    <m/>
    <m/>
    <n v="0"/>
    <m/>
    <m/>
    <n v="0"/>
    <m/>
    <m/>
    <n v="0"/>
    <s v=""/>
    <n v="0"/>
    <n v="0"/>
    <n v="0"/>
    <n v="116.88487613461319"/>
    <n v="2225"/>
    <n v="71535.307499999995"/>
    <n v="0"/>
    <n v="0"/>
    <n v="0"/>
    <n v="0"/>
    <n v="0"/>
    <n v="0"/>
  </r>
  <r>
    <x v="124"/>
    <x v="14"/>
    <x v="7"/>
    <m/>
    <m/>
    <n v="0"/>
    <m/>
    <m/>
    <n v="0"/>
    <m/>
    <m/>
    <n v="0"/>
    <s v=""/>
    <n v="0"/>
    <n v="0"/>
    <n v="0"/>
    <n v="116.88487613461319"/>
    <n v="2225"/>
    <n v="71535.307499999995"/>
    <n v="0"/>
    <n v="0"/>
    <n v="0"/>
    <n v="0"/>
    <n v="0"/>
    <n v="0"/>
  </r>
  <r>
    <x v="125"/>
    <x v="14"/>
    <x v="7"/>
    <m/>
    <m/>
    <n v="0"/>
    <m/>
    <m/>
    <n v="0"/>
    <m/>
    <m/>
    <n v="0"/>
    <s v=""/>
    <n v="0"/>
    <n v="0"/>
    <n v="0"/>
    <n v="116.88487613461319"/>
    <n v="2225"/>
    <n v="71535.307499999995"/>
    <n v="0"/>
    <n v="0"/>
    <n v="0"/>
    <n v="0"/>
    <n v="0"/>
    <n v="0"/>
  </r>
  <r>
    <x v="126"/>
    <x v="14"/>
    <x v="7"/>
    <m/>
    <m/>
    <n v="0"/>
    <m/>
    <m/>
    <n v="0"/>
    <m/>
    <m/>
    <n v="0"/>
    <s v=""/>
    <n v="0"/>
    <n v="0"/>
    <n v="0"/>
    <n v="116.88487613461319"/>
    <n v="2225"/>
    <n v="71535.307499999995"/>
    <n v="0"/>
    <n v="0"/>
    <n v="0"/>
    <n v="0"/>
    <n v="0"/>
    <n v="0"/>
  </r>
  <r>
    <x v="127"/>
    <x v="14"/>
    <x v="7"/>
    <m/>
    <m/>
    <n v="0"/>
    <m/>
    <m/>
    <n v="0"/>
    <m/>
    <m/>
    <n v="0"/>
    <s v=""/>
    <n v="0"/>
    <n v="0"/>
    <n v="0"/>
    <n v="116.88487613461319"/>
    <n v="2225"/>
    <n v="71535.307499999995"/>
    <n v="0"/>
    <n v="0"/>
    <n v="0"/>
    <n v="0"/>
    <n v="0"/>
    <n v="0"/>
  </r>
  <r>
    <x v="0"/>
    <x v="15"/>
    <x v="0"/>
    <m/>
    <m/>
    <n v="0"/>
    <n v="1890"/>
    <n v="1.83"/>
    <n v="3.4587000000000003"/>
    <n v="2125"/>
    <n v="1.882352941176471"/>
    <n v="4.0000000000000009"/>
    <n v="0.15650388874432605"/>
    <n v="235"/>
    <n v="0.54130000000000056"/>
    <n v="37760.868213946989"/>
    <n v="116.88487613461319"/>
    <n v="2225"/>
    <n v="71535.307499999995"/>
    <n v="247419.16805025001"/>
    <n v="286141.23000000004"/>
    <n v="220912.41589441893"/>
    <n v="248380.36178605305"/>
    <n v="26506.752155831084"/>
    <n v="37760.868213946989"/>
  </r>
  <r>
    <x v="1"/>
    <x v="15"/>
    <x v="0"/>
    <m/>
    <m/>
    <n v="0"/>
    <m/>
    <m/>
    <n v="0"/>
    <m/>
    <m/>
    <n v="0"/>
    <s v=""/>
    <n v="0"/>
    <n v="0"/>
    <n v="0"/>
    <n v="116.88487613461319"/>
    <n v="2225"/>
    <n v="71535.307499999995"/>
    <n v="0"/>
    <n v="0"/>
    <n v="0"/>
    <n v="0"/>
    <n v="0"/>
    <n v="0"/>
  </r>
  <r>
    <x v="2"/>
    <x v="15"/>
    <x v="0"/>
    <m/>
    <m/>
    <n v="0"/>
    <m/>
    <m/>
    <n v="0"/>
    <m/>
    <m/>
    <n v="0"/>
    <s v=""/>
    <n v="0"/>
    <n v="0"/>
    <n v="0"/>
    <n v="116.88487613461319"/>
    <n v="2225"/>
    <n v="71535.307499999995"/>
    <n v="0"/>
    <n v="0"/>
    <n v="0"/>
    <n v="0"/>
    <n v="0"/>
    <n v="0"/>
  </r>
  <r>
    <x v="3"/>
    <x v="15"/>
    <x v="0"/>
    <m/>
    <m/>
    <n v="0"/>
    <m/>
    <m/>
    <n v="0"/>
    <m/>
    <m/>
    <n v="0"/>
    <s v=""/>
    <n v="0"/>
    <n v="0"/>
    <n v="0"/>
    <n v="116.88487613461319"/>
    <n v="2225"/>
    <n v="71535.307499999995"/>
    <n v="0"/>
    <n v="0"/>
    <n v="0"/>
    <n v="0"/>
    <n v="0"/>
    <n v="0"/>
  </r>
  <r>
    <x v="4"/>
    <x v="15"/>
    <x v="1"/>
    <m/>
    <m/>
    <n v="0"/>
    <m/>
    <m/>
    <n v="0"/>
    <m/>
    <m/>
    <n v="0"/>
    <s v=""/>
    <n v="0"/>
    <n v="0"/>
    <n v="0"/>
    <n v="116.88487613461319"/>
    <n v="2225"/>
    <n v="71535.307499999995"/>
    <n v="0"/>
    <n v="0"/>
    <n v="0"/>
    <n v="0"/>
    <n v="0"/>
    <n v="0"/>
  </r>
  <r>
    <x v="5"/>
    <x v="15"/>
    <x v="1"/>
    <m/>
    <m/>
    <n v="0"/>
    <m/>
    <m/>
    <n v="0"/>
    <m/>
    <m/>
    <n v="0"/>
    <s v=""/>
    <n v="0"/>
    <n v="0"/>
    <n v="0"/>
    <n v="116.88487613461319"/>
    <n v="2225"/>
    <n v="71535.307499999995"/>
    <n v="0"/>
    <n v="0"/>
    <n v="0"/>
    <n v="0"/>
    <n v="0"/>
    <n v="0"/>
  </r>
  <r>
    <x v="6"/>
    <x v="15"/>
    <x v="1"/>
    <m/>
    <m/>
    <n v="0"/>
    <m/>
    <m/>
    <n v="0"/>
    <m/>
    <m/>
    <n v="0"/>
    <s v=""/>
    <n v="0"/>
    <n v="0"/>
    <n v="0"/>
    <n v="116.88487613461319"/>
    <n v="2225"/>
    <n v="71535.307499999995"/>
    <n v="0"/>
    <n v="0"/>
    <n v="0"/>
    <n v="0"/>
    <n v="0"/>
    <n v="0"/>
  </r>
  <r>
    <x v="7"/>
    <x v="15"/>
    <x v="2"/>
    <m/>
    <m/>
    <n v="0"/>
    <m/>
    <m/>
    <n v="0"/>
    <m/>
    <m/>
    <n v="0"/>
    <s v=""/>
    <n v="0"/>
    <n v="0"/>
    <n v="0"/>
    <n v="116.88487613461319"/>
    <n v="2225"/>
    <n v="71535.307499999995"/>
    <n v="0"/>
    <n v="0"/>
    <n v="0"/>
    <n v="0"/>
    <n v="0"/>
    <n v="0"/>
  </r>
  <r>
    <x v="8"/>
    <x v="15"/>
    <x v="2"/>
    <m/>
    <m/>
    <n v="0"/>
    <m/>
    <m/>
    <n v="0"/>
    <m/>
    <m/>
    <n v="0"/>
    <s v=""/>
    <n v="0"/>
    <n v="0"/>
    <n v="0"/>
    <n v="116.88487613461319"/>
    <n v="2225"/>
    <n v="71535.307499999995"/>
    <n v="0"/>
    <n v="0"/>
    <n v="0"/>
    <n v="0"/>
    <n v="0"/>
    <n v="0"/>
  </r>
  <r>
    <x v="9"/>
    <x v="15"/>
    <x v="2"/>
    <m/>
    <m/>
    <n v="0"/>
    <m/>
    <m/>
    <n v="0"/>
    <m/>
    <m/>
    <n v="0"/>
    <s v=""/>
    <n v="0"/>
    <n v="0"/>
    <n v="0"/>
    <n v="116.88487613461319"/>
    <n v="2225"/>
    <n v="71535.307499999995"/>
    <n v="0"/>
    <n v="0"/>
    <n v="0"/>
    <n v="0"/>
    <n v="0"/>
    <n v="0"/>
  </r>
  <r>
    <x v="10"/>
    <x v="15"/>
    <x v="2"/>
    <n v="2584"/>
    <n v="2.5499999999999998"/>
    <n v="6.5891999999999999"/>
    <n v="2940"/>
    <n v="3.06"/>
    <n v="8.9963999999999995"/>
    <n v="2726"/>
    <n v="2.0542920029347025"/>
    <n v="5.5999999999999988"/>
    <n v="-0.37752878929349526"/>
    <n v="-214"/>
    <n v="-3.3964000000000008"/>
    <n v="81969.54965704435"/>
    <n v="116.88487613461319"/>
    <n v="2225"/>
    <n v="71535.307499999995"/>
    <n v="643560.24039299996"/>
    <n v="400597.72199999989"/>
    <n v="343641.5358357628"/>
    <n v="318628.17234295554"/>
    <n v="299918.70455723716"/>
    <n v="81969.54965704435"/>
  </r>
  <r>
    <x v="11"/>
    <x v="15"/>
    <x v="2"/>
    <n v="1496"/>
    <n v="0.8"/>
    <n v="1.1967999999999999"/>
    <m/>
    <m/>
    <n v="0"/>
    <m/>
    <m/>
    <n v="0"/>
    <s v=""/>
    <n v="0"/>
    <n v="0"/>
    <n v="0"/>
    <n v="116.88487613461319"/>
    <n v="2225"/>
    <n v="71535.307499999995"/>
    <n v="0"/>
    <n v="0"/>
    <n v="0"/>
    <n v="0"/>
    <n v="0"/>
    <n v="0"/>
  </r>
  <r>
    <x v="12"/>
    <x v="15"/>
    <x v="2"/>
    <n v="1723"/>
    <n v="1.72"/>
    <n v="2.9635599999999998"/>
    <m/>
    <m/>
    <n v="0"/>
    <m/>
    <m/>
    <n v="0"/>
    <s v=""/>
    <n v="0"/>
    <n v="0"/>
    <n v="0"/>
    <n v="116.88487613461319"/>
    <n v="2225"/>
    <n v="71535.307499999995"/>
    <n v="0"/>
    <n v="0"/>
    <n v="0"/>
    <n v="0"/>
    <n v="0"/>
    <n v="0"/>
  </r>
  <r>
    <x v="13"/>
    <x v="15"/>
    <x v="2"/>
    <m/>
    <m/>
    <n v="0"/>
    <m/>
    <m/>
    <n v="0"/>
    <m/>
    <m/>
    <n v="0"/>
    <s v=""/>
    <n v="0"/>
    <n v="0"/>
    <n v="0"/>
    <n v="116.88487613461319"/>
    <n v="2225"/>
    <n v="71535.307499999995"/>
    <n v="0"/>
    <n v="0"/>
    <n v="0"/>
    <n v="0"/>
    <n v="0"/>
    <n v="0"/>
  </r>
  <r>
    <x v="14"/>
    <x v="15"/>
    <x v="2"/>
    <m/>
    <m/>
    <n v="0"/>
    <m/>
    <m/>
    <n v="0"/>
    <m/>
    <m/>
    <n v="0"/>
    <s v=""/>
    <n v="0"/>
    <n v="0"/>
    <n v="0"/>
    <n v="116.88487613461319"/>
    <n v="2225"/>
    <n v="71535.307499999995"/>
    <n v="0"/>
    <n v="0"/>
    <n v="0"/>
    <n v="0"/>
    <n v="0"/>
    <n v="0"/>
  </r>
  <r>
    <x v="15"/>
    <x v="15"/>
    <x v="2"/>
    <m/>
    <m/>
    <n v="0"/>
    <m/>
    <m/>
    <n v="0"/>
    <m/>
    <m/>
    <n v="0"/>
    <s v=""/>
    <n v="0"/>
    <n v="0"/>
    <n v="0"/>
    <n v="116.88487613461319"/>
    <n v="2225"/>
    <n v="71535.307499999995"/>
    <n v="0"/>
    <n v="0"/>
    <n v="0"/>
    <n v="0"/>
    <n v="0"/>
    <n v="0"/>
  </r>
  <r>
    <x v="16"/>
    <x v="15"/>
    <x v="2"/>
    <m/>
    <m/>
    <n v="0"/>
    <m/>
    <m/>
    <n v="0"/>
    <m/>
    <m/>
    <n v="0"/>
    <s v=""/>
    <n v="0"/>
    <n v="0"/>
    <n v="0"/>
    <n v="116.88487613461319"/>
    <n v="2225"/>
    <n v="71535.307499999995"/>
    <n v="0"/>
    <n v="0"/>
    <n v="0"/>
    <n v="0"/>
    <n v="0"/>
    <n v="0"/>
  </r>
  <r>
    <x v="17"/>
    <x v="15"/>
    <x v="3"/>
    <m/>
    <m/>
    <n v="0"/>
    <m/>
    <m/>
    <n v="0"/>
    <m/>
    <m/>
    <n v="0"/>
    <s v=""/>
    <n v="0"/>
    <n v="0"/>
    <n v="0"/>
    <n v="116.88487613461319"/>
    <n v="2225"/>
    <n v="71535.307499999995"/>
    <n v="0"/>
    <n v="0"/>
    <n v="0"/>
    <n v="0"/>
    <n v="0"/>
    <n v="0"/>
  </r>
  <r>
    <x v="18"/>
    <x v="15"/>
    <x v="3"/>
    <m/>
    <m/>
    <n v="0"/>
    <m/>
    <m/>
    <n v="0"/>
    <m/>
    <m/>
    <n v="0"/>
    <s v=""/>
    <n v="0"/>
    <n v="0"/>
    <n v="0"/>
    <n v="116.88487613461319"/>
    <n v="2225"/>
    <n v="71535.307499999995"/>
    <n v="0"/>
    <n v="0"/>
    <n v="0"/>
    <n v="0"/>
    <n v="0"/>
    <n v="0"/>
  </r>
  <r>
    <x v="19"/>
    <x v="15"/>
    <x v="3"/>
    <m/>
    <m/>
    <n v="0"/>
    <m/>
    <m/>
    <n v="0"/>
    <m/>
    <m/>
    <n v="0"/>
    <s v=""/>
    <n v="0"/>
    <n v="0"/>
    <n v="0"/>
    <n v="116.88487613461319"/>
    <n v="2225"/>
    <n v="71535.307499999995"/>
    <n v="0"/>
    <n v="0"/>
    <n v="0"/>
    <n v="0"/>
    <n v="0"/>
    <n v="0"/>
  </r>
  <r>
    <x v="20"/>
    <x v="15"/>
    <x v="3"/>
    <m/>
    <m/>
    <n v="0"/>
    <m/>
    <m/>
    <n v="0"/>
    <m/>
    <m/>
    <n v="0"/>
    <s v=""/>
    <n v="0"/>
    <n v="0"/>
    <n v="0"/>
    <n v="116.88487613461319"/>
    <n v="2225"/>
    <n v="71535.307499999995"/>
    <n v="0"/>
    <n v="0"/>
    <n v="0"/>
    <n v="0"/>
    <n v="0"/>
    <n v="0"/>
  </r>
  <r>
    <x v="21"/>
    <x v="15"/>
    <x v="3"/>
    <m/>
    <m/>
    <n v="0"/>
    <m/>
    <m/>
    <n v="0"/>
    <m/>
    <m/>
    <n v="0"/>
    <s v=""/>
    <n v="0"/>
    <n v="0"/>
    <n v="0"/>
    <n v="116.88487613461319"/>
    <n v="2225"/>
    <n v="71535.307499999995"/>
    <n v="0"/>
    <n v="0"/>
    <n v="0"/>
    <n v="0"/>
    <n v="0"/>
    <n v="0"/>
  </r>
  <r>
    <x v="22"/>
    <x v="15"/>
    <x v="3"/>
    <m/>
    <m/>
    <n v="0"/>
    <m/>
    <m/>
    <n v="0"/>
    <m/>
    <m/>
    <n v="0"/>
    <s v=""/>
    <n v="0"/>
    <n v="0"/>
    <n v="0"/>
    <n v="116.88487613461319"/>
    <n v="2225"/>
    <n v="71535.307499999995"/>
    <n v="0"/>
    <n v="0"/>
    <n v="0"/>
    <n v="0"/>
    <n v="0"/>
    <n v="0"/>
  </r>
  <r>
    <x v="23"/>
    <x v="15"/>
    <x v="3"/>
    <m/>
    <m/>
    <n v="0"/>
    <m/>
    <m/>
    <n v="0"/>
    <m/>
    <m/>
    <n v="0"/>
    <s v=""/>
    <n v="0"/>
    <n v="0"/>
    <n v="0"/>
    <n v="116.88487613461319"/>
    <n v="2225"/>
    <n v="71535.307499999995"/>
    <n v="0"/>
    <n v="0"/>
    <n v="0"/>
    <n v="0"/>
    <n v="0"/>
    <n v="0"/>
  </r>
  <r>
    <x v="24"/>
    <x v="15"/>
    <x v="3"/>
    <m/>
    <m/>
    <n v="0"/>
    <m/>
    <m/>
    <n v="0"/>
    <m/>
    <m/>
    <n v="0"/>
    <s v=""/>
    <n v="0"/>
    <n v="0"/>
    <n v="0"/>
    <n v="116.88487613461319"/>
    <n v="2225"/>
    <n v="71535.307499999995"/>
    <n v="0"/>
    <n v="0"/>
    <n v="0"/>
    <n v="0"/>
    <n v="0"/>
    <n v="0"/>
  </r>
  <r>
    <x v="25"/>
    <x v="15"/>
    <x v="3"/>
    <m/>
    <m/>
    <n v="0"/>
    <m/>
    <m/>
    <n v="0"/>
    <m/>
    <m/>
    <n v="0"/>
    <s v=""/>
    <n v="0"/>
    <n v="0"/>
    <n v="0"/>
    <n v="116.88487613461319"/>
    <n v="2225"/>
    <n v="71535.307499999995"/>
    <n v="0"/>
    <n v="0"/>
    <n v="0"/>
    <n v="0"/>
    <n v="0"/>
    <n v="0"/>
  </r>
  <r>
    <x v="26"/>
    <x v="15"/>
    <x v="3"/>
    <m/>
    <m/>
    <n v="0"/>
    <m/>
    <m/>
    <n v="0"/>
    <m/>
    <m/>
    <n v="0"/>
    <s v=""/>
    <n v="0"/>
    <n v="0"/>
    <n v="0"/>
    <n v="116.88487613461319"/>
    <n v="2225"/>
    <n v="71535.307499999995"/>
    <n v="0"/>
    <n v="0"/>
    <n v="0"/>
    <n v="0"/>
    <n v="0"/>
    <n v="0"/>
  </r>
  <r>
    <x v="27"/>
    <x v="15"/>
    <x v="3"/>
    <m/>
    <m/>
    <n v="0"/>
    <m/>
    <m/>
    <n v="0"/>
    <m/>
    <m/>
    <n v="0"/>
    <s v=""/>
    <n v="0"/>
    <n v="0"/>
    <n v="0"/>
    <n v="116.88487613461319"/>
    <n v="2225"/>
    <n v="71535.307499999995"/>
    <n v="0"/>
    <n v="0"/>
    <n v="0"/>
    <n v="0"/>
    <n v="0"/>
    <n v="0"/>
  </r>
  <r>
    <x v="28"/>
    <x v="15"/>
    <x v="3"/>
    <m/>
    <m/>
    <n v="0"/>
    <m/>
    <m/>
    <n v="0"/>
    <m/>
    <m/>
    <n v="0"/>
    <s v=""/>
    <n v="0"/>
    <n v="0"/>
    <n v="0"/>
    <n v="116.88487613461319"/>
    <n v="2225"/>
    <n v="71535.307499999995"/>
    <n v="0"/>
    <n v="0"/>
    <n v="0"/>
    <n v="0"/>
    <n v="0"/>
    <n v="0"/>
  </r>
  <r>
    <x v="29"/>
    <x v="15"/>
    <x v="3"/>
    <m/>
    <m/>
    <n v="0"/>
    <m/>
    <m/>
    <n v="0"/>
    <m/>
    <m/>
    <n v="0"/>
    <s v=""/>
    <n v="0"/>
    <n v="0"/>
    <n v="0"/>
    <n v="116.88487613461319"/>
    <n v="2225"/>
    <n v="71535.307499999995"/>
    <n v="0"/>
    <n v="0"/>
    <n v="0"/>
    <n v="0"/>
    <n v="0"/>
    <n v="0"/>
  </r>
  <r>
    <x v="30"/>
    <x v="15"/>
    <x v="3"/>
    <m/>
    <m/>
    <n v="0"/>
    <m/>
    <m/>
    <n v="0"/>
    <m/>
    <m/>
    <n v="0"/>
    <s v=""/>
    <n v="0"/>
    <n v="0"/>
    <n v="0"/>
    <n v="116.88487613461319"/>
    <n v="2225"/>
    <n v="71535.307499999995"/>
    <n v="0"/>
    <n v="0"/>
    <n v="0"/>
    <n v="0"/>
    <n v="0"/>
    <n v="0"/>
  </r>
  <r>
    <x v="31"/>
    <x v="15"/>
    <x v="3"/>
    <m/>
    <m/>
    <n v="0"/>
    <m/>
    <m/>
    <n v="0"/>
    <m/>
    <m/>
    <n v="0"/>
    <s v=""/>
    <n v="0"/>
    <n v="0"/>
    <n v="0"/>
    <n v="116.88487613461319"/>
    <n v="2225"/>
    <n v="71535.307499999995"/>
    <n v="0"/>
    <n v="0"/>
    <n v="0"/>
    <n v="0"/>
    <n v="0"/>
    <n v="0"/>
  </r>
  <r>
    <x v="32"/>
    <x v="15"/>
    <x v="3"/>
    <m/>
    <m/>
    <n v="0"/>
    <m/>
    <m/>
    <n v="0"/>
    <m/>
    <m/>
    <n v="0"/>
    <s v=""/>
    <n v="0"/>
    <n v="0"/>
    <n v="0"/>
    <n v="116.88487613461319"/>
    <n v="2225"/>
    <n v="71535.307499999995"/>
    <n v="0"/>
    <n v="0"/>
    <n v="0"/>
    <n v="0"/>
    <n v="0"/>
    <n v="0"/>
  </r>
  <r>
    <x v="33"/>
    <x v="15"/>
    <x v="3"/>
    <m/>
    <m/>
    <n v="0"/>
    <m/>
    <m/>
    <n v="0"/>
    <m/>
    <m/>
    <n v="0"/>
    <s v=""/>
    <n v="0"/>
    <n v="0"/>
    <n v="0"/>
    <n v="116.88487613461319"/>
    <n v="2225"/>
    <n v="71535.307499999995"/>
    <n v="0"/>
    <n v="0"/>
    <n v="0"/>
    <n v="0"/>
    <n v="0"/>
    <n v="0"/>
  </r>
  <r>
    <x v="34"/>
    <x v="15"/>
    <x v="3"/>
    <n v="1873"/>
    <n v="1.4"/>
    <n v="2.6221999999999999"/>
    <m/>
    <m/>
    <n v="0"/>
    <m/>
    <m/>
    <n v="0"/>
    <s v=""/>
    <n v="0"/>
    <n v="0"/>
    <n v="0"/>
    <n v="116.88487613461319"/>
    <n v="2225"/>
    <n v="71535.307499999995"/>
    <n v="0"/>
    <n v="0"/>
    <n v="0"/>
    <n v="0"/>
    <n v="0"/>
    <n v="0"/>
  </r>
  <r>
    <x v="35"/>
    <x v="15"/>
    <x v="3"/>
    <m/>
    <m/>
    <n v="0"/>
    <m/>
    <m/>
    <n v="0"/>
    <m/>
    <m/>
    <n v="0"/>
    <s v=""/>
    <n v="0"/>
    <n v="0"/>
    <n v="0"/>
    <n v="116.88487613461319"/>
    <n v="2225"/>
    <n v="71535.307499999995"/>
    <n v="0"/>
    <n v="0"/>
    <n v="0"/>
    <n v="0"/>
    <n v="0"/>
    <n v="0"/>
  </r>
  <r>
    <x v="36"/>
    <x v="15"/>
    <x v="3"/>
    <m/>
    <m/>
    <n v="0"/>
    <m/>
    <m/>
    <n v="0"/>
    <m/>
    <m/>
    <n v="0"/>
    <s v=""/>
    <n v="0"/>
    <n v="0"/>
    <n v="0"/>
    <n v="116.88487613461319"/>
    <n v="2225"/>
    <n v="71535.307499999995"/>
    <n v="0"/>
    <n v="0"/>
    <n v="0"/>
    <n v="0"/>
    <n v="0"/>
    <n v="0"/>
  </r>
  <r>
    <x v="37"/>
    <x v="15"/>
    <x v="3"/>
    <m/>
    <m/>
    <n v="0"/>
    <m/>
    <m/>
    <n v="0"/>
    <m/>
    <m/>
    <n v="0"/>
    <s v=""/>
    <n v="0"/>
    <n v="0"/>
    <n v="0"/>
    <n v="116.88487613461319"/>
    <n v="2225"/>
    <n v="71535.307499999995"/>
    <n v="0"/>
    <n v="0"/>
    <n v="0"/>
    <n v="0"/>
    <n v="0"/>
    <n v="0"/>
  </r>
  <r>
    <x v="38"/>
    <x v="15"/>
    <x v="3"/>
    <m/>
    <m/>
    <n v="0"/>
    <m/>
    <m/>
    <n v="0"/>
    <m/>
    <m/>
    <n v="0"/>
    <s v=""/>
    <n v="0"/>
    <n v="0"/>
    <n v="0"/>
    <n v="116.88487613461319"/>
    <n v="2225"/>
    <n v="71535.307499999995"/>
    <n v="0"/>
    <n v="0"/>
    <n v="0"/>
    <n v="0"/>
    <n v="0"/>
    <n v="0"/>
  </r>
  <r>
    <x v="39"/>
    <x v="15"/>
    <x v="3"/>
    <m/>
    <m/>
    <n v="0"/>
    <m/>
    <m/>
    <n v="0"/>
    <m/>
    <m/>
    <n v="0"/>
    <s v=""/>
    <n v="0"/>
    <n v="0"/>
    <n v="0"/>
    <n v="116.88487613461319"/>
    <n v="2225"/>
    <n v="71535.307499999995"/>
    <n v="0"/>
    <n v="0"/>
    <n v="0"/>
    <n v="0"/>
    <n v="0"/>
    <n v="0"/>
  </r>
  <r>
    <x v="40"/>
    <x v="15"/>
    <x v="3"/>
    <m/>
    <m/>
    <n v="0"/>
    <m/>
    <m/>
    <n v="0"/>
    <m/>
    <m/>
    <n v="0"/>
    <s v=""/>
    <n v="0"/>
    <n v="0"/>
    <n v="0"/>
    <n v="116.88487613461319"/>
    <n v="2225"/>
    <n v="71535.307499999995"/>
    <n v="0"/>
    <n v="0"/>
    <n v="0"/>
    <n v="0"/>
    <n v="0"/>
    <n v="0"/>
  </r>
  <r>
    <x v="41"/>
    <x v="15"/>
    <x v="3"/>
    <m/>
    <m/>
    <n v="0"/>
    <m/>
    <m/>
    <n v="0"/>
    <m/>
    <m/>
    <n v="0"/>
    <s v=""/>
    <n v="0"/>
    <n v="0"/>
    <n v="0"/>
    <n v="116.88487613461319"/>
    <n v="2225"/>
    <n v="71535.307499999995"/>
    <n v="0"/>
    <n v="0"/>
    <n v="0"/>
    <n v="0"/>
    <n v="0"/>
    <n v="0"/>
  </r>
  <r>
    <x v="42"/>
    <x v="15"/>
    <x v="3"/>
    <m/>
    <m/>
    <n v="0"/>
    <m/>
    <m/>
    <n v="0"/>
    <m/>
    <m/>
    <n v="0"/>
    <s v=""/>
    <n v="0"/>
    <n v="0"/>
    <n v="0"/>
    <n v="116.88487613461319"/>
    <n v="2225"/>
    <n v="71535.307499999995"/>
    <n v="0"/>
    <n v="0"/>
    <n v="0"/>
    <n v="0"/>
    <n v="0"/>
    <n v="0"/>
  </r>
  <r>
    <x v="43"/>
    <x v="15"/>
    <x v="3"/>
    <m/>
    <m/>
    <n v="0"/>
    <m/>
    <m/>
    <n v="0"/>
    <m/>
    <m/>
    <n v="0"/>
    <s v=""/>
    <n v="0"/>
    <n v="0"/>
    <n v="0"/>
    <n v="116.88487613461319"/>
    <n v="2225"/>
    <n v="71535.307499999995"/>
    <n v="0"/>
    <n v="0"/>
    <n v="0"/>
    <n v="0"/>
    <n v="0"/>
    <n v="0"/>
  </r>
  <r>
    <x v="44"/>
    <x v="15"/>
    <x v="3"/>
    <m/>
    <m/>
    <n v="0"/>
    <m/>
    <m/>
    <n v="0"/>
    <m/>
    <m/>
    <n v="0"/>
    <s v=""/>
    <n v="0"/>
    <n v="0"/>
    <n v="0"/>
    <n v="116.88487613461319"/>
    <n v="2225"/>
    <n v="71535.307499999995"/>
    <n v="0"/>
    <n v="0"/>
    <n v="0"/>
    <n v="0"/>
    <n v="0"/>
    <n v="0"/>
  </r>
  <r>
    <x v="45"/>
    <x v="15"/>
    <x v="3"/>
    <m/>
    <m/>
    <n v="0"/>
    <m/>
    <m/>
    <n v="0"/>
    <m/>
    <m/>
    <n v="0"/>
    <s v=""/>
    <n v="0"/>
    <n v="0"/>
    <n v="0"/>
    <n v="116.88487613461319"/>
    <n v="2225"/>
    <n v="71535.307499999995"/>
    <n v="0"/>
    <n v="0"/>
    <n v="0"/>
    <n v="0"/>
    <n v="0"/>
    <n v="0"/>
  </r>
  <r>
    <x v="46"/>
    <x v="15"/>
    <x v="3"/>
    <m/>
    <m/>
    <n v="0"/>
    <n v="3920"/>
    <n v="3.06"/>
    <n v="11.995200000000001"/>
    <n v="4161"/>
    <n v="2.2590723383801965"/>
    <n v="9.3999999999999986"/>
    <m/>
    <n v="241"/>
    <n v="-2.5952000000000019"/>
    <n v="0"/>
    <n v="116.88487613461319"/>
    <n v="2225"/>
    <n v="71535.307499999995"/>
    <m/>
    <m/>
    <m/>
    <m/>
    <m/>
    <m/>
  </r>
  <r>
    <x v="47"/>
    <x v="15"/>
    <x v="3"/>
    <m/>
    <m/>
    <n v="0"/>
    <m/>
    <m/>
    <n v="0"/>
    <m/>
    <m/>
    <n v="0"/>
    <m/>
    <n v="0"/>
    <n v="0"/>
    <n v="0"/>
    <n v="116.88487613461319"/>
    <n v="2225"/>
    <n v="71535.307499999995"/>
    <m/>
    <m/>
    <m/>
    <m/>
    <m/>
    <m/>
  </r>
  <r>
    <x v="48"/>
    <x v="15"/>
    <x v="3"/>
    <m/>
    <m/>
    <n v="0"/>
    <m/>
    <m/>
    <n v="0"/>
    <m/>
    <m/>
    <n v="0"/>
    <m/>
    <n v="0"/>
    <n v="0"/>
    <n v="0"/>
    <n v="116.88487613461319"/>
    <n v="2225"/>
    <n v="71535.307499999995"/>
    <m/>
    <m/>
    <m/>
    <m/>
    <m/>
    <m/>
  </r>
  <r>
    <x v="49"/>
    <x v="15"/>
    <x v="3"/>
    <m/>
    <m/>
    <n v="0"/>
    <n v="1960"/>
    <n v="1.68"/>
    <n v="3.2927999999999997"/>
    <n v="1695"/>
    <n v="2.3598820058997054"/>
    <n v="4.0000000000000009"/>
    <n v="0.21477162293488861"/>
    <n v="-265"/>
    <n v="0.70720000000000116"/>
    <n v="88021.364951830677"/>
    <n v="116.88487613461319"/>
    <n v="2225"/>
    <n v="71535.307499999995"/>
    <n v="235551.46053599997"/>
    <n v="286141.23000000004"/>
    <n v="229094.35722384186"/>
    <n v="198119.86504816936"/>
    <n v="6457.1033121581131"/>
    <n v="88021.364951830677"/>
  </r>
  <r>
    <x v="50"/>
    <x v="15"/>
    <x v="4"/>
    <m/>
    <m/>
    <n v="0"/>
    <m/>
    <m/>
    <n v="0"/>
    <m/>
    <m/>
    <n v="0"/>
    <s v=""/>
    <n v="0"/>
    <n v="0"/>
    <n v="0"/>
    <n v="116.88487613461319"/>
    <n v="2225"/>
    <n v="71535.307499999995"/>
    <n v="0"/>
    <n v="0"/>
    <n v="0"/>
    <n v="0"/>
    <n v="0"/>
    <n v="0"/>
  </r>
  <r>
    <x v="51"/>
    <x v="15"/>
    <x v="4"/>
    <m/>
    <m/>
    <n v="0"/>
    <m/>
    <m/>
    <n v="0"/>
    <m/>
    <m/>
    <n v="0"/>
    <s v=""/>
    <n v="0"/>
    <n v="0"/>
    <n v="0"/>
    <n v="116.88487613461319"/>
    <n v="2225"/>
    <n v="71535.307499999995"/>
    <n v="0"/>
    <n v="0"/>
    <n v="0"/>
    <n v="0"/>
    <n v="0"/>
    <n v="0"/>
  </r>
  <r>
    <x v="52"/>
    <x v="15"/>
    <x v="4"/>
    <m/>
    <m/>
    <n v="0"/>
    <m/>
    <m/>
    <n v="0"/>
    <m/>
    <m/>
    <n v="0"/>
    <s v=""/>
    <n v="0"/>
    <n v="0"/>
    <n v="0"/>
    <n v="116.88487613461319"/>
    <n v="2225"/>
    <n v="71535.307499999995"/>
    <n v="0"/>
    <n v="0"/>
    <n v="0"/>
    <n v="0"/>
    <n v="0"/>
    <n v="0"/>
  </r>
  <r>
    <x v="53"/>
    <x v="15"/>
    <x v="4"/>
    <m/>
    <m/>
    <n v="0"/>
    <m/>
    <m/>
    <n v="0"/>
    <m/>
    <m/>
    <n v="0"/>
    <s v=""/>
    <n v="0"/>
    <n v="0"/>
    <n v="0"/>
    <n v="116.88487613461319"/>
    <n v="2225"/>
    <n v="71535.307499999995"/>
    <n v="0"/>
    <n v="0"/>
    <n v="0"/>
    <n v="0"/>
    <n v="0"/>
    <n v="0"/>
  </r>
  <r>
    <x v="54"/>
    <x v="15"/>
    <x v="4"/>
    <m/>
    <m/>
    <n v="0"/>
    <m/>
    <m/>
    <n v="0"/>
    <m/>
    <m/>
    <n v="0"/>
    <s v=""/>
    <n v="0"/>
    <n v="0"/>
    <n v="0"/>
    <n v="116.88487613461319"/>
    <n v="2225"/>
    <n v="71535.307499999995"/>
    <n v="0"/>
    <n v="0"/>
    <n v="0"/>
    <n v="0"/>
    <n v="0"/>
    <n v="0"/>
  </r>
  <r>
    <x v="55"/>
    <x v="15"/>
    <x v="4"/>
    <m/>
    <m/>
    <n v="0"/>
    <m/>
    <m/>
    <n v="0"/>
    <m/>
    <m/>
    <n v="0"/>
    <s v=""/>
    <n v="0"/>
    <n v="0"/>
    <n v="0"/>
    <n v="116.88487613461319"/>
    <n v="2225"/>
    <n v="71535.307499999995"/>
    <n v="0"/>
    <n v="0"/>
    <n v="0"/>
    <n v="0"/>
    <n v="0"/>
    <n v="0"/>
  </r>
  <r>
    <x v="56"/>
    <x v="15"/>
    <x v="4"/>
    <m/>
    <m/>
    <n v="0"/>
    <m/>
    <m/>
    <n v="0"/>
    <m/>
    <m/>
    <n v="0"/>
    <s v=""/>
    <n v="0"/>
    <n v="0"/>
    <n v="0"/>
    <n v="116.88487613461319"/>
    <n v="2225"/>
    <n v="71535.307499999995"/>
    <n v="0"/>
    <n v="0"/>
    <n v="0"/>
    <n v="0"/>
    <n v="0"/>
    <n v="0"/>
  </r>
  <r>
    <x v="57"/>
    <x v="15"/>
    <x v="4"/>
    <m/>
    <m/>
    <n v="0"/>
    <m/>
    <m/>
    <n v="0"/>
    <m/>
    <m/>
    <n v="0"/>
    <s v=""/>
    <n v="0"/>
    <n v="0"/>
    <n v="0"/>
    <n v="116.88487613461319"/>
    <n v="2225"/>
    <n v="71535.307499999995"/>
    <n v="0"/>
    <n v="0"/>
    <n v="0"/>
    <n v="0"/>
    <n v="0"/>
    <n v="0"/>
  </r>
  <r>
    <x v="58"/>
    <x v="15"/>
    <x v="4"/>
    <n v="1147"/>
    <n v="0.69"/>
    <n v="0.79142999999999997"/>
    <n v="1050"/>
    <n v="1.68"/>
    <n v="1.764"/>
    <n v="1481"/>
    <n v="2.160702228224173"/>
    <n v="3.2000000000000006"/>
    <n v="0.81405895691610008"/>
    <n v="431"/>
    <n v="1.4360000000000006"/>
    <n v="55806.482444637892"/>
    <n v="116.88487613461319"/>
    <n v="2225"/>
    <n v="71535.307499999995"/>
    <n v="126188.28242999999"/>
    <n v="228912.98400000003"/>
    <n v="122729.11994134386"/>
    <n v="173106.50155536213"/>
    <n v="3459.1624886561331"/>
    <n v="55806.482444637892"/>
  </r>
  <r>
    <x v="59"/>
    <x v="15"/>
    <x v="4"/>
    <n v="1872"/>
    <n v="3.3"/>
    <n v="6.1775999999999991"/>
    <n v="1470"/>
    <n v="1.6"/>
    <n v="2.3519999999999999"/>
    <n v="1881"/>
    <n v="3.0834662413609788"/>
    <n v="5.8000000000000007"/>
    <n v="1.4659863945578235"/>
    <n v="411"/>
    <n v="3.4480000000000008"/>
    <n v="195044.3314907926"/>
    <n v="116.88487613461319"/>
    <n v="2225"/>
    <n v="71535.307499999995"/>
    <n v="168251.04323999997"/>
    <n v="414904.78350000002"/>
    <n v="171820.7679178814"/>
    <n v="219860.45200920742"/>
    <n v="-3569.7246778814297"/>
    <n v="195044.3314907926"/>
  </r>
  <r>
    <x v="60"/>
    <x v="15"/>
    <x v="4"/>
    <n v="725"/>
    <n v="3.97"/>
    <n v="2.87825"/>
    <m/>
    <m/>
    <n v="0"/>
    <m/>
    <m/>
    <n v="0"/>
    <s v=""/>
    <n v="0"/>
    <n v="0"/>
    <n v="0"/>
    <n v="116.88487613461319"/>
    <n v="2225"/>
    <n v="71535.307499999995"/>
    <n v="0"/>
    <n v="0"/>
    <n v="0"/>
    <n v="0"/>
    <n v="0"/>
    <n v="0"/>
  </r>
  <r>
    <x v="61"/>
    <x v="15"/>
    <x v="4"/>
    <n v="1872"/>
    <n v="3.33"/>
    <n v="6.2337600000000002"/>
    <m/>
    <m/>
    <n v="0"/>
    <m/>
    <m/>
    <n v="0"/>
    <s v=""/>
    <n v="0"/>
    <n v="0"/>
    <n v="0"/>
    <n v="116.88487613461319"/>
    <n v="2225"/>
    <n v="71535.307499999995"/>
    <n v="0"/>
    <n v="0"/>
    <n v="0"/>
    <n v="0"/>
    <n v="0"/>
    <n v="0"/>
  </r>
  <r>
    <x v="62"/>
    <x v="15"/>
    <x v="4"/>
    <n v="1873"/>
    <n v="2.94"/>
    <n v="5.5066199999999998"/>
    <m/>
    <m/>
    <n v="0"/>
    <m/>
    <m/>
    <n v="0"/>
    <s v=""/>
    <n v="0"/>
    <n v="0"/>
    <n v="0"/>
    <n v="116.88487613461319"/>
    <n v="2225"/>
    <n v="71535.307499999995"/>
    <n v="0"/>
    <n v="0"/>
    <n v="0"/>
    <n v="0"/>
    <n v="0"/>
    <n v="0"/>
  </r>
  <r>
    <x v="63"/>
    <x v="15"/>
    <x v="4"/>
    <m/>
    <m/>
    <n v="0"/>
    <m/>
    <m/>
    <n v="0"/>
    <m/>
    <m/>
    <n v="0"/>
    <s v=""/>
    <n v="0"/>
    <n v="0"/>
    <n v="0"/>
    <n v="116.88487613461319"/>
    <n v="2225"/>
    <n v="71535.307499999995"/>
    <n v="0"/>
    <n v="0"/>
    <n v="0"/>
    <n v="0"/>
    <n v="0"/>
    <n v="0"/>
  </r>
  <r>
    <x v="64"/>
    <x v="15"/>
    <x v="4"/>
    <m/>
    <m/>
    <n v="0"/>
    <m/>
    <m/>
    <n v="0"/>
    <m/>
    <m/>
    <n v="0"/>
    <s v=""/>
    <n v="0"/>
    <n v="0"/>
    <n v="0"/>
    <n v="116.88487613461319"/>
    <n v="2225"/>
    <n v="71535.307499999995"/>
    <n v="0"/>
    <n v="0"/>
    <n v="0"/>
    <n v="0"/>
    <n v="0"/>
    <n v="0"/>
  </r>
  <r>
    <x v="65"/>
    <x v="15"/>
    <x v="4"/>
    <m/>
    <m/>
    <n v="0"/>
    <m/>
    <m/>
    <n v="0"/>
    <m/>
    <m/>
    <n v="0"/>
    <s v=""/>
    <n v="0"/>
    <n v="0"/>
    <n v="0"/>
    <n v="116.88487613461319"/>
    <n v="2225"/>
    <n v="71535.307499999995"/>
    <n v="0"/>
    <n v="0"/>
    <n v="0"/>
    <n v="0"/>
    <n v="0"/>
    <n v="0"/>
  </r>
  <r>
    <x v="66"/>
    <x v="15"/>
    <x v="4"/>
    <m/>
    <m/>
    <n v="0"/>
    <m/>
    <m/>
    <n v="0"/>
    <m/>
    <m/>
    <n v="0"/>
    <s v=""/>
    <n v="0"/>
    <n v="0"/>
    <n v="0"/>
    <n v="116.88487613461319"/>
    <n v="2225"/>
    <n v="71535.307499999995"/>
    <n v="0"/>
    <n v="0"/>
    <n v="0"/>
    <n v="0"/>
    <n v="0"/>
    <n v="0"/>
  </r>
  <r>
    <x v="67"/>
    <x v="15"/>
    <x v="4"/>
    <m/>
    <m/>
    <n v="0"/>
    <m/>
    <m/>
    <n v="0"/>
    <m/>
    <m/>
    <n v="0"/>
    <s v=""/>
    <n v="0"/>
    <n v="0"/>
    <n v="0"/>
    <n v="116.88487613461319"/>
    <n v="2225"/>
    <n v="71535.307499999995"/>
    <n v="0"/>
    <n v="0"/>
    <n v="0"/>
    <n v="0"/>
    <n v="0"/>
    <n v="0"/>
  </r>
  <r>
    <x v="68"/>
    <x v="15"/>
    <x v="4"/>
    <m/>
    <m/>
    <n v="0"/>
    <m/>
    <m/>
    <n v="0"/>
    <m/>
    <m/>
    <n v="0"/>
    <s v=""/>
    <n v="0"/>
    <n v="0"/>
    <n v="0"/>
    <n v="116.88487613461319"/>
    <n v="2225"/>
    <n v="71535.307499999995"/>
    <n v="0"/>
    <n v="0"/>
    <n v="0"/>
    <n v="0"/>
    <n v="0"/>
    <n v="0"/>
  </r>
  <r>
    <x v="69"/>
    <x v="15"/>
    <x v="4"/>
    <m/>
    <m/>
    <n v="0"/>
    <m/>
    <m/>
    <n v="0"/>
    <m/>
    <m/>
    <n v="0"/>
    <s v=""/>
    <n v="0"/>
    <n v="0"/>
    <n v="0"/>
    <n v="116.88487613461319"/>
    <n v="2225"/>
    <n v="71535.307499999995"/>
    <n v="0"/>
    <n v="0"/>
    <n v="0"/>
    <n v="0"/>
    <n v="0"/>
    <n v="0"/>
  </r>
  <r>
    <x v="70"/>
    <x v="15"/>
    <x v="5"/>
    <m/>
    <m/>
    <n v="0"/>
    <n v="1960"/>
    <n v="3.09"/>
    <n v="6.0564"/>
    <n v="1723"/>
    <n v="3.1921067904817186"/>
    <n v="5.5000000000000009"/>
    <n v="-9.1869757611782427E-2"/>
    <n v="-237"/>
    <n v="-0.55639999999999912"/>
    <n v="192051.5496700615"/>
    <n v="116.88487613461319"/>
    <n v="2225"/>
    <n v="71535.307499999995"/>
    <n v="433246.43634299998"/>
    <n v="393444.19125000003"/>
    <n v="229094.35722384186"/>
    <n v="201392.64157993853"/>
    <n v="204152.07911915812"/>
    <n v="192051.5496700615"/>
  </r>
  <r>
    <x v="71"/>
    <x v="15"/>
    <x v="5"/>
    <m/>
    <m/>
    <n v="0"/>
    <m/>
    <m/>
    <n v="0"/>
    <m/>
    <m/>
    <n v="0"/>
    <s v=""/>
    <n v="0"/>
    <n v="0"/>
    <n v="0"/>
    <n v="116.88487613461319"/>
    <n v="2225"/>
    <n v="71535.307499999995"/>
    <n v="0"/>
    <n v="0"/>
    <n v="0"/>
    <n v="0"/>
    <n v="0"/>
    <n v="0"/>
  </r>
  <r>
    <x v="72"/>
    <x v="15"/>
    <x v="5"/>
    <m/>
    <m/>
    <n v="0"/>
    <n v="1960"/>
    <n v="3.09"/>
    <n v="6.0564"/>
    <n v="2443"/>
    <n v="1.7601309864920185"/>
    <m/>
    <m/>
    <m/>
    <m/>
    <m/>
    <m/>
    <m/>
    <m/>
    <m/>
    <m/>
    <m/>
    <m/>
    <m/>
    <m/>
  </r>
  <r>
    <x v="73"/>
    <x v="15"/>
    <x v="5"/>
    <m/>
    <m/>
    <n v="0"/>
    <n v="1960"/>
    <n v="2.31"/>
    <n v="4.5276000000000005"/>
    <n v="2199"/>
    <n v="2.4556616643929057"/>
    <m/>
    <m/>
    <m/>
    <m/>
    <m/>
    <m/>
    <m/>
    <m/>
    <m/>
    <m/>
    <m/>
    <m/>
    <m/>
    <m/>
  </r>
  <r>
    <x v="74"/>
    <x v="15"/>
    <x v="5"/>
    <m/>
    <m/>
    <n v="0"/>
    <m/>
    <m/>
    <n v="0"/>
    <m/>
    <m/>
    <m/>
    <m/>
    <m/>
    <m/>
    <m/>
    <m/>
    <m/>
    <m/>
    <m/>
    <m/>
    <m/>
    <m/>
    <m/>
    <m/>
  </r>
  <r>
    <x v="75"/>
    <x v="15"/>
    <x v="5"/>
    <n v="2809"/>
    <n v="2.31"/>
    <n v="6.4887899999999998"/>
    <m/>
    <m/>
    <n v="0"/>
    <m/>
    <m/>
    <n v="0"/>
    <s v=""/>
    <n v="0"/>
    <n v="0"/>
    <n v="0"/>
    <n v="116.88487613461319"/>
    <n v="2225"/>
    <n v="71535.307499999995"/>
    <n v="0"/>
    <n v="0"/>
    <n v="0"/>
    <n v="0"/>
    <n v="0"/>
    <n v="0"/>
  </r>
  <r>
    <x v="76"/>
    <x v="15"/>
    <x v="5"/>
    <m/>
    <m/>
    <n v="0"/>
    <m/>
    <m/>
    <n v="0"/>
    <m/>
    <m/>
    <m/>
    <m/>
    <m/>
    <m/>
    <m/>
    <m/>
    <m/>
    <m/>
    <m/>
    <m/>
    <m/>
    <m/>
    <m/>
    <m/>
  </r>
  <r>
    <x v="77"/>
    <x v="15"/>
    <x v="5"/>
    <n v="1873"/>
    <n v="2.41"/>
    <n v="4.5139300000000002"/>
    <n v="1960"/>
    <n v="2.2599999999999998"/>
    <n v="4.4295999999999998"/>
    <n v="1134"/>
    <n v="1.5873015873015877"/>
    <n v="1.8000000000000005"/>
    <n v="-0.59364276684124961"/>
    <n v="-826"/>
    <n v="-2.629599999999999"/>
    <n v="-3783.8960366513493"/>
    <n v="116.88487613461319"/>
    <n v="2225"/>
    <n v="71535.307499999995"/>
    <n v="316872.79810199997"/>
    <n v="128763.55350000002"/>
    <n v="229094.35722384186"/>
    <n v="132547.44953665137"/>
    <n v="87778.440878158115"/>
    <n v="-3783.8960366513493"/>
  </r>
  <r>
    <x v="78"/>
    <x v="15"/>
    <x v="5"/>
    <m/>
    <m/>
    <n v="0"/>
    <n v="3920"/>
    <n v="2.0099999999999998"/>
    <n v="7.8791999999999991"/>
    <n v="2858.6"/>
    <n v="2.5536976142167491"/>
    <n v="7.2999999999999989"/>
    <n v="-7.3510001015331533E-2"/>
    <n v="-1061.4000000000001"/>
    <n v="-0.57920000000000016"/>
    <n v="188080.63783159462"/>
    <n v="116.88487613461319"/>
    <n v="2225"/>
    <n v="71535.307499999995"/>
    <n v="563640.99485399993"/>
    <n v="522207.7447499999"/>
    <n v="458188.71444768371"/>
    <n v="334127.10691840528"/>
    <n v="105452.28040631622"/>
    <n v="188080.63783159462"/>
  </r>
  <r>
    <x v="79"/>
    <x v="15"/>
    <x v="5"/>
    <m/>
    <m/>
    <n v="0"/>
    <n v="1960"/>
    <n v="1.72"/>
    <n v="3.3712"/>
    <n v="1950"/>
    <n v="3.4871794871794868"/>
    <n v="6.7999999999999989"/>
    <n v="1.0170859041290932"/>
    <n v="-10"/>
    <n v="3.428799999999999"/>
    <n v="258514.58253750417"/>
    <n v="116.88487613461319"/>
    <n v="2225"/>
    <n v="71535.307499999995"/>
    <n v="241159.82864399999"/>
    <n v="486440.0909999999"/>
    <n v="229094.35722384186"/>
    <n v="227925.50846249572"/>
    <n v="12065.471420158137"/>
    <n v="258514.58253750417"/>
  </r>
  <r>
    <x v="80"/>
    <x v="15"/>
    <x v="5"/>
    <m/>
    <m/>
    <n v="0"/>
    <m/>
    <m/>
    <n v="0"/>
    <m/>
    <m/>
    <n v="0"/>
    <s v=""/>
    <n v="0"/>
    <n v="0"/>
    <n v="0"/>
    <n v="116.88487613461319"/>
    <n v="2225"/>
    <n v="71535.307499999995"/>
    <n v="0"/>
    <n v="0"/>
    <n v="0"/>
    <n v="0"/>
    <n v="0"/>
    <n v="0"/>
  </r>
  <r>
    <x v="81"/>
    <x v="15"/>
    <x v="5"/>
    <m/>
    <m/>
    <n v="0"/>
    <n v="980"/>
    <n v="1.42"/>
    <n v="1.3915999999999999"/>
    <m/>
    <m/>
    <n v="0"/>
    <n v="-1"/>
    <n v="-980"/>
    <n v="-1.3915999999999999"/>
    <n v="0"/>
    <n v="116.88487613461319"/>
    <n v="2225"/>
    <n v="71535.307499999995"/>
    <n v="99548.533916999993"/>
    <n v="0"/>
    <n v="114547.17861192093"/>
    <n v="0"/>
    <n v="-14998.644694920935"/>
    <n v="0"/>
  </r>
  <r>
    <x v="82"/>
    <x v="15"/>
    <x v="5"/>
    <m/>
    <m/>
    <n v="0"/>
    <m/>
    <m/>
    <n v="0"/>
    <m/>
    <m/>
    <n v="0"/>
    <s v=""/>
    <n v="0"/>
    <n v="0"/>
    <n v="0"/>
    <n v="116.88487613461319"/>
    <n v="2225"/>
    <n v="71535.307499999995"/>
    <n v="0"/>
    <n v="0"/>
    <n v="0"/>
    <n v="0"/>
    <n v="0"/>
    <n v="0"/>
  </r>
  <r>
    <x v="83"/>
    <x v="15"/>
    <x v="5"/>
    <m/>
    <m/>
    <n v="0"/>
    <m/>
    <m/>
    <n v="0"/>
    <m/>
    <m/>
    <n v="0"/>
    <s v=""/>
    <n v="0"/>
    <n v="0"/>
    <n v="0"/>
    <n v="116.88487613461319"/>
    <n v="2225"/>
    <n v="71535.307499999995"/>
    <n v="0"/>
    <n v="0"/>
    <n v="0"/>
    <n v="0"/>
    <n v="0"/>
    <n v="0"/>
  </r>
  <r>
    <x v="84"/>
    <x v="15"/>
    <x v="5"/>
    <n v="1282"/>
    <n v="2.4500000000000002"/>
    <n v="3.1409000000000002"/>
    <m/>
    <m/>
    <n v="0"/>
    <m/>
    <m/>
    <n v="0"/>
    <s v=""/>
    <n v="0"/>
    <n v="0"/>
    <n v="0"/>
    <n v="116.88487613461319"/>
    <n v="2225"/>
    <n v="71535.307499999995"/>
    <n v="0"/>
    <n v="0"/>
    <n v="0"/>
    <n v="0"/>
    <n v="0"/>
    <n v="0"/>
  </r>
  <r>
    <x v="85"/>
    <x v="15"/>
    <x v="5"/>
    <m/>
    <m/>
    <n v="0"/>
    <m/>
    <m/>
    <n v="0"/>
    <m/>
    <m/>
    <n v="0"/>
    <s v=""/>
    <n v="0"/>
    <n v="0"/>
    <n v="0"/>
    <n v="116.88487613461319"/>
    <n v="2225"/>
    <n v="71535.307499999995"/>
    <n v="0"/>
    <n v="0"/>
    <n v="0"/>
    <n v="0"/>
    <n v="0"/>
    <n v="0"/>
  </r>
  <r>
    <x v="86"/>
    <x v="15"/>
    <x v="5"/>
    <m/>
    <m/>
    <n v="0"/>
    <m/>
    <m/>
    <n v="0"/>
    <m/>
    <m/>
    <n v="0"/>
    <s v=""/>
    <n v="0"/>
    <n v="0"/>
    <n v="0"/>
    <n v="116.88487613461319"/>
    <n v="2225"/>
    <n v="71535.307499999995"/>
    <n v="0"/>
    <n v="0"/>
    <n v="0"/>
    <n v="0"/>
    <n v="0"/>
    <n v="0"/>
  </r>
  <r>
    <x v="87"/>
    <x v="15"/>
    <x v="5"/>
    <m/>
    <m/>
    <n v="0"/>
    <m/>
    <m/>
    <n v="0"/>
    <m/>
    <m/>
    <n v="0"/>
    <s v=""/>
    <n v="0"/>
    <n v="0"/>
    <n v="0"/>
    <n v="116.88487613461319"/>
    <n v="2225"/>
    <n v="71535.307499999995"/>
    <n v="0"/>
    <n v="0"/>
    <n v="0"/>
    <n v="0"/>
    <n v="0"/>
    <n v="0"/>
  </r>
  <r>
    <x v="88"/>
    <x v="15"/>
    <x v="5"/>
    <n v="635"/>
    <n v="2.85"/>
    <n v="1.80975"/>
    <m/>
    <m/>
    <n v="0"/>
    <m/>
    <m/>
    <n v="0"/>
    <s v=""/>
    <n v="0"/>
    <n v="0"/>
    <n v="0"/>
    <n v="116.88487613461319"/>
    <n v="2225"/>
    <n v="71535.307499999995"/>
    <n v="0"/>
    <n v="0"/>
    <n v="0"/>
    <n v="0"/>
    <n v="0"/>
    <n v="0"/>
  </r>
  <r>
    <x v="89"/>
    <x v="15"/>
    <x v="5"/>
    <m/>
    <m/>
    <n v="0"/>
    <m/>
    <m/>
    <n v="0"/>
    <m/>
    <m/>
    <n v="0"/>
    <s v=""/>
    <n v="0"/>
    <n v="0"/>
    <n v="0"/>
    <n v="116.88487613461319"/>
    <n v="2225"/>
    <n v="71535.307499999995"/>
    <n v="0"/>
    <n v="0"/>
    <n v="0"/>
    <n v="0"/>
    <n v="0"/>
    <n v="0"/>
  </r>
  <r>
    <x v="90"/>
    <x v="15"/>
    <x v="5"/>
    <m/>
    <m/>
    <n v="0"/>
    <m/>
    <m/>
    <n v="0"/>
    <m/>
    <m/>
    <n v="0"/>
    <s v=""/>
    <n v="0"/>
    <n v="0"/>
    <n v="0"/>
    <n v="116.88487613461319"/>
    <n v="2225"/>
    <n v="71535.307499999995"/>
    <n v="0"/>
    <n v="0"/>
    <n v="0"/>
    <n v="0"/>
    <n v="0"/>
    <n v="0"/>
  </r>
  <r>
    <x v="91"/>
    <x v="15"/>
    <x v="5"/>
    <m/>
    <m/>
    <n v="0"/>
    <m/>
    <m/>
    <n v="0"/>
    <m/>
    <m/>
    <n v="0"/>
    <s v=""/>
    <n v="0"/>
    <n v="0"/>
    <n v="0"/>
    <n v="116.88487613461319"/>
    <n v="2225"/>
    <n v="71535.307499999995"/>
    <n v="0"/>
    <n v="0"/>
    <n v="0"/>
    <n v="0"/>
    <n v="0"/>
    <n v="0"/>
  </r>
  <r>
    <x v="92"/>
    <x v="15"/>
    <x v="5"/>
    <m/>
    <m/>
    <n v="0"/>
    <m/>
    <m/>
    <n v="0"/>
    <m/>
    <m/>
    <n v="0"/>
    <s v=""/>
    <n v="0"/>
    <n v="0"/>
    <n v="0"/>
    <n v="116.88487613461319"/>
    <n v="2225"/>
    <n v="71535.307499999995"/>
    <n v="0"/>
    <n v="0"/>
    <n v="0"/>
    <n v="0"/>
    <n v="0"/>
    <n v="0"/>
  </r>
  <r>
    <x v="93"/>
    <x v="15"/>
    <x v="5"/>
    <m/>
    <m/>
    <n v="0"/>
    <m/>
    <m/>
    <n v="0"/>
    <m/>
    <m/>
    <n v="0"/>
    <s v=""/>
    <n v="0"/>
    <n v="0"/>
    <n v="0"/>
    <n v="116.88487613461319"/>
    <n v="2225"/>
    <n v="71535.307499999995"/>
    <n v="0"/>
    <n v="0"/>
    <n v="0"/>
    <n v="0"/>
    <n v="0"/>
    <n v="0"/>
  </r>
  <r>
    <x v="94"/>
    <x v="15"/>
    <x v="5"/>
    <n v="1007"/>
    <n v="2.0099999999999998"/>
    <n v="2.0240699999999996"/>
    <m/>
    <m/>
    <n v="0"/>
    <m/>
    <m/>
    <n v="0"/>
    <s v=""/>
    <n v="0"/>
    <n v="0"/>
    <n v="0"/>
    <n v="116.88487613461319"/>
    <n v="2225"/>
    <n v="71535.307499999995"/>
    <n v="0"/>
    <n v="0"/>
    <n v="0"/>
    <n v="0"/>
    <n v="0"/>
    <n v="0"/>
  </r>
  <r>
    <x v="95"/>
    <x v="15"/>
    <x v="5"/>
    <m/>
    <m/>
    <n v="0"/>
    <m/>
    <m/>
    <n v="0"/>
    <m/>
    <m/>
    <n v="0"/>
    <s v=""/>
    <n v="0"/>
    <n v="0"/>
    <n v="0"/>
    <n v="116.88487613461319"/>
    <n v="2225"/>
    <n v="71535.307499999995"/>
    <n v="0"/>
    <n v="0"/>
    <n v="0"/>
    <n v="0"/>
    <n v="0"/>
    <n v="0"/>
  </r>
  <r>
    <x v="96"/>
    <x v="15"/>
    <x v="5"/>
    <m/>
    <m/>
    <n v="0"/>
    <m/>
    <m/>
    <n v="0"/>
    <m/>
    <m/>
    <n v="0"/>
    <s v=""/>
    <n v="0"/>
    <n v="0"/>
    <n v="0"/>
    <n v="116.88487613461319"/>
    <n v="2225"/>
    <n v="71535.307499999995"/>
    <n v="0"/>
    <n v="0"/>
    <n v="0"/>
    <n v="0"/>
    <n v="0"/>
    <n v="0"/>
  </r>
  <r>
    <x v="97"/>
    <x v="15"/>
    <x v="5"/>
    <m/>
    <m/>
    <n v="0"/>
    <m/>
    <m/>
    <n v="0"/>
    <m/>
    <m/>
    <n v="0"/>
    <s v=""/>
    <n v="0"/>
    <n v="0"/>
    <n v="0"/>
    <n v="116.88487613461319"/>
    <n v="2225"/>
    <n v="71535.307499999995"/>
    <n v="0"/>
    <n v="0"/>
    <n v="0"/>
    <n v="0"/>
    <n v="0"/>
    <n v="0"/>
  </r>
  <r>
    <x v="98"/>
    <x v="15"/>
    <x v="6"/>
    <m/>
    <m/>
    <n v="0"/>
    <m/>
    <m/>
    <n v="0"/>
    <m/>
    <m/>
    <n v="0"/>
    <s v=""/>
    <n v="0"/>
    <n v="0"/>
    <n v="0"/>
    <n v="116.88487613461319"/>
    <n v="2225"/>
    <n v="71535.307499999995"/>
    <n v="0"/>
    <n v="0"/>
    <n v="0"/>
    <n v="0"/>
    <n v="0"/>
    <n v="0"/>
  </r>
  <r>
    <x v="99"/>
    <x v="15"/>
    <x v="6"/>
    <m/>
    <m/>
    <n v="0"/>
    <m/>
    <m/>
    <n v="0"/>
    <m/>
    <m/>
    <n v="0"/>
    <s v=""/>
    <n v="0"/>
    <n v="0"/>
    <n v="0"/>
    <n v="116.88487613461319"/>
    <n v="2225"/>
    <n v="71535.307499999995"/>
    <n v="0"/>
    <n v="0"/>
    <n v="0"/>
    <n v="0"/>
    <n v="0"/>
    <n v="0"/>
  </r>
  <r>
    <x v="100"/>
    <x v="15"/>
    <x v="6"/>
    <m/>
    <m/>
    <n v="0"/>
    <m/>
    <m/>
    <n v="0"/>
    <m/>
    <m/>
    <n v="0"/>
    <s v=""/>
    <n v="0"/>
    <n v="0"/>
    <n v="0"/>
    <n v="116.88487613461319"/>
    <n v="2225"/>
    <n v="71535.307499999995"/>
    <n v="0"/>
    <n v="0"/>
    <n v="0"/>
    <n v="0"/>
    <n v="0"/>
    <n v="0"/>
  </r>
  <r>
    <x v="101"/>
    <x v="15"/>
    <x v="6"/>
    <m/>
    <m/>
    <n v="0"/>
    <m/>
    <m/>
    <n v="0"/>
    <m/>
    <m/>
    <n v="0"/>
    <s v=""/>
    <n v="0"/>
    <n v="0"/>
    <n v="0"/>
    <n v="116.88487613461319"/>
    <n v="2225"/>
    <n v="71535.307499999995"/>
    <n v="0"/>
    <n v="0"/>
    <n v="0"/>
    <n v="0"/>
    <n v="0"/>
    <n v="0"/>
  </r>
  <r>
    <x v="102"/>
    <x v="15"/>
    <x v="6"/>
    <m/>
    <m/>
    <n v="0"/>
    <m/>
    <m/>
    <n v="0"/>
    <m/>
    <m/>
    <n v="0"/>
    <s v=""/>
    <n v="0"/>
    <n v="0"/>
    <n v="0"/>
    <n v="116.88487613461319"/>
    <n v="2225"/>
    <n v="71535.307499999995"/>
    <n v="0"/>
    <n v="0"/>
    <n v="0"/>
    <n v="0"/>
    <n v="0"/>
    <n v="0"/>
  </r>
  <r>
    <x v="103"/>
    <x v="15"/>
    <x v="6"/>
    <m/>
    <m/>
    <n v="0"/>
    <m/>
    <m/>
    <n v="0"/>
    <m/>
    <m/>
    <n v="0"/>
    <s v=""/>
    <n v="0"/>
    <n v="0"/>
    <n v="0"/>
    <n v="116.88487613461319"/>
    <n v="2225"/>
    <n v="71535.307499999995"/>
    <n v="0"/>
    <n v="0"/>
    <n v="0"/>
    <n v="0"/>
    <n v="0"/>
    <n v="0"/>
  </r>
  <r>
    <x v="104"/>
    <x v="15"/>
    <x v="6"/>
    <m/>
    <m/>
    <n v="0"/>
    <m/>
    <m/>
    <n v="0"/>
    <m/>
    <m/>
    <n v="0"/>
    <s v=""/>
    <n v="0"/>
    <n v="0"/>
    <n v="0"/>
    <n v="116.88487613461319"/>
    <n v="2225"/>
    <n v="71535.307499999995"/>
    <n v="0"/>
    <n v="0"/>
    <n v="0"/>
    <n v="0"/>
    <n v="0"/>
    <n v="0"/>
  </r>
  <r>
    <x v="105"/>
    <x v="15"/>
    <x v="6"/>
    <m/>
    <m/>
    <n v="0"/>
    <m/>
    <m/>
    <n v="0"/>
    <m/>
    <m/>
    <n v="0"/>
    <s v=""/>
    <n v="0"/>
    <n v="0"/>
    <n v="0"/>
    <n v="116.88487613461319"/>
    <n v="2225"/>
    <n v="71535.307499999995"/>
    <n v="0"/>
    <n v="0"/>
    <n v="0"/>
    <n v="0"/>
    <n v="0"/>
    <n v="0"/>
  </r>
  <r>
    <x v="106"/>
    <x v="15"/>
    <x v="6"/>
    <m/>
    <m/>
    <n v="0"/>
    <m/>
    <m/>
    <n v="0"/>
    <m/>
    <m/>
    <n v="0"/>
    <s v=""/>
    <n v="0"/>
    <n v="0"/>
    <n v="0"/>
    <n v="116.88487613461319"/>
    <n v="2225"/>
    <n v="71535.307499999995"/>
    <n v="0"/>
    <n v="0"/>
    <n v="0"/>
    <n v="0"/>
    <n v="0"/>
    <n v="0"/>
  </r>
  <r>
    <x v="107"/>
    <x v="15"/>
    <x v="6"/>
    <m/>
    <m/>
    <n v="0"/>
    <m/>
    <m/>
    <n v="0"/>
    <m/>
    <m/>
    <n v="0"/>
    <s v=""/>
    <n v="0"/>
    <n v="0"/>
    <n v="0"/>
    <n v="116.88487613461319"/>
    <n v="2225"/>
    <n v="71535.307499999995"/>
    <n v="0"/>
    <n v="0"/>
    <n v="0"/>
    <n v="0"/>
    <n v="0"/>
    <n v="0"/>
  </r>
  <r>
    <x v="108"/>
    <x v="15"/>
    <x v="6"/>
    <m/>
    <m/>
    <n v="0"/>
    <m/>
    <m/>
    <n v="0"/>
    <m/>
    <m/>
    <n v="0"/>
    <s v=""/>
    <n v="0"/>
    <n v="0"/>
    <n v="0"/>
    <n v="116.88487613461319"/>
    <n v="2225"/>
    <n v="71535.307499999995"/>
    <n v="0"/>
    <n v="0"/>
    <n v="0"/>
    <n v="0"/>
    <n v="0"/>
    <n v="0"/>
  </r>
  <r>
    <x v="109"/>
    <x v="15"/>
    <x v="6"/>
    <m/>
    <m/>
    <n v="0"/>
    <m/>
    <m/>
    <n v="0"/>
    <m/>
    <m/>
    <n v="0"/>
    <s v=""/>
    <n v="0"/>
    <n v="0"/>
    <n v="0"/>
    <n v="116.88487613461319"/>
    <n v="2225"/>
    <n v="71535.307499999995"/>
    <n v="0"/>
    <n v="0"/>
    <n v="0"/>
    <n v="0"/>
    <n v="0"/>
    <n v="0"/>
  </r>
  <r>
    <x v="110"/>
    <x v="15"/>
    <x v="7"/>
    <m/>
    <m/>
    <n v="0"/>
    <m/>
    <m/>
    <n v="0"/>
    <m/>
    <m/>
    <n v="0"/>
    <s v=""/>
    <n v="0"/>
    <n v="0"/>
    <n v="0"/>
    <n v="116.88487613461319"/>
    <n v="2225"/>
    <n v="71535.307499999995"/>
    <n v="0"/>
    <n v="0"/>
    <n v="0"/>
    <n v="0"/>
    <n v="0"/>
    <n v="0"/>
  </r>
  <r>
    <x v="111"/>
    <x v="15"/>
    <x v="7"/>
    <m/>
    <m/>
    <n v="0"/>
    <m/>
    <m/>
    <n v="0"/>
    <m/>
    <m/>
    <n v="0"/>
    <s v=""/>
    <n v="0"/>
    <n v="0"/>
    <n v="0"/>
    <n v="116.88487613461319"/>
    <n v="2225"/>
    <n v="71535.307499999995"/>
    <n v="0"/>
    <n v="0"/>
    <n v="0"/>
    <n v="0"/>
    <n v="0"/>
    <n v="0"/>
  </r>
  <r>
    <x v="112"/>
    <x v="15"/>
    <x v="7"/>
    <m/>
    <m/>
    <n v="0"/>
    <m/>
    <m/>
    <n v="0"/>
    <m/>
    <m/>
    <n v="0"/>
    <s v=""/>
    <n v="0"/>
    <n v="0"/>
    <n v="0"/>
    <n v="116.88487613461319"/>
    <n v="2225"/>
    <n v="71535.307499999995"/>
    <n v="0"/>
    <n v="0"/>
    <n v="0"/>
    <n v="0"/>
    <n v="0"/>
    <n v="0"/>
  </r>
  <r>
    <x v="113"/>
    <x v="15"/>
    <x v="7"/>
    <m/>
    <m/>
    <n v="0"/>
    <m/>
    <m/>
    <n v="0"/>
    <m/>
    <m/>
    <n v="0"/>
    <s v=""/>
    <n v="0"/>
    <n v="0"/>
    <n v="0"/>
    <n v="116.88487613461319"/>
    <n v="2225"/>
    <n v="71535.307499999995"/>
    <n v="0"/>
    <n v="0"/>
    <n v="0"/>
    <n v="0"/>
    <n v="0"/>
    <n v="0"/>
  </r>
  <r>
    <x v="114"/>
    <x v="15"/>
    <x v="7"/>
    <m/>
    <m/>
    <n v="0"/>
    <m/>
    <m/>
    <n v="0"/>
    <m/>
    <m/>
    <n v="0"/>
    <s v=""/>
    <n v="0"/>
    <n v="0"/>
    <n v="0"/>
    <n v="116.88487613461319"/>
    <n v="2225"/>
    <n v="71535.307499999995"/>
    <n v="0"/>
    <n v="0"/>
    <n v="0"/>
    <n v="0"/>
    <n v="0"/>
    <n v="0"/>
  </r>
  <r>
    <x v="115"/>
    <x v="15"/>
    <x v="7"/>
    <m/>
    <m/>
    <n v="0"/>
    <m/>
    <m/>
    <n v="0"/>
    <m/>
    <m/>
    <n v="0"/>
    <s v=""/>
    <n v="0"/>
    <n v="0"/>
    <n v="0"/>
    <n v="116.88487613461319"/>
    <n v="2225"/>
    <n v="71535.307499999995"/>
    <n v="0"/>
    <n v="0"/>
    <n v="0"/>
    <n v="0"/>
    <n v="0"/>
    <n v="0"/>
  </r>
  <r>
    <x v="116"/>
    <x v="15"/>
    <x v="7"/>
    <m/>
    <m/>
    <n v="0"/>
    <m/>
    <m/>
    <n v="0"/>
    <m/>
    <m/>
    <n v="0"/>
    <s v=""/>
    <n v="0"/>
    <n v="0"/>
    <n v="0"/>
    <n v="116.88487613461319"/>
    <n v="2225"/>
    <n v="71535.307499999995"/>
    <n v="0"/>
    <n v="0"/>
    <n v="0"/>
    <n v="0"/>
    <n v="0"/>
    <n v="0"/>
  </r>
  <r>
    <x v="117"/>
    <x v="15"/>
    <x v="7"/>
    <m/>
    <m/>
    <n v="0"/>
    <m/>
    <m/>
    <n v="0"/>
    <m/>
    <m/>
    <n v="0"/>
    <s v=""/>
    <n v="0"/>
    <n v="0"/>
    <n v="0"/>
    <n v="116.88487613461319"/>
    <n v="2225"/>
    <n v="71535.307499999995"/>
    <n v="0"/>
    <n v="0"/>
    <n v="0"/>
    <n v="0"/>
    <n v="0"/>
    <n v="0"/>
  </r>
  <r>
    <x v="118"/>
    <x v="15"/>
    <x v="7"/>
    <m/>
    <m/>
    <n v="0"/>
    <m/>
    <m/>
    <n v="0"/>
    <m/>
    <m/>
    <n v="0"/>
    <s v=""/>
    <n v="0"/>
    <n v="0"/>
    <n v="0"/>
    <n v="116.88487613461319"/>
    <n v="2225"/>
    <n v="71535.307499999995"/>
    <n v="0"/>
    <n v="0"/>
    <n v="0"/>
    <n v="0"/>
    <n v="0"/>
    <n v="0"/>
  </r>
  <r>
    <x v="119"/>
    <x v="15"/>
    <x v="7"/>
    <m/>
    <m/>
    <n v="0"/>
    <m/>
    <m/>
    <n v="0"/>
    <m/>
    <m/>
    <n v="0"/>
    <s v=""/>
    <n v="0"/>
    <n v="0"/>
    <n v="0"/>
    <n v="116.88487613461319"/>
    <n v="2225"/>
    <n v="71535.307499999995"/>
    <n v="0"/>
    <n v="0"/>
    <n v="0"/>
    <n v="0"/>
    <n v="0"/>
    <n v="0"/>
  </r>
  <r>
    <x v="120"/>
    <x v="15"/>
    <x v="7"/>
    <m/>
    <m/>
    <n v="0"/>
    <m/>
    <m/>
    <n v="0"/>
    <m/>
    <m/>
    <n v="0"/>
    <s v=""/>
    <n v="0"/>
    <n v="0"/>
    <n v="0"/>
    <n v="116.88487613461319"/>
    <n v="2225"/>
    <n v="71535.307499999995"/>
    <n v="0"/>
    <n v="0"/>
    <n v="0"/>
    <n v="0"/>
    <n v="0"/>
    <n v="0"/>
  </r>
  <r>
    <x v="121"/>
    <x v="15"/>
    <x v="7"/>
    <m/>
    <m/>
    <n v="0"/>
    <m/>
    <m/>
    <n v="0"/>
    <m/>
    <m/>
    <n v="0"/>
    <s v=""/>
    <n v="0"/>
    <n v="0"/>
    <n v="0"/>
    <n v="116.88487613461319"/>
    <n v="2225"/>
    <n v="71535.307499999995"/>
    <n v="0"/>
    <n v="0"/>
    <n v="0"/>
    <n v="0"/>
    <n v="0"/>
    <n v="0"/>
  </r>
  <r>
    <x v="122"/>
    <x v="15"/>
    <x v="7"/>
    <m/>
    <m/>
    <n v="0"/>
    <m/>
    <m/>
    <n v="0"/>
    <m/>
    <m/>
    <n v="0"/>
    <s v=""/>
    <n v="0"/>
    <n v="0"/>
    <n v="0"/>
    <n v="116.88487613461319"/>
    <n v="2225"/>
    <n v="71535.307499999995"/>
    <n v="0"/>
    <n v="0"/>
    <n v="0"/>
    <n v="0"/>
    <n v="0"/>
    <n v="0"/>
  </r>
  <r>
    <x v="123"/>
    <x v="15"/>
    <x v="7"/>
    <m/>
    <m/>
    <n v="0"/>
    <m/>
    <m/>
    <n v="0"/>
    <m/>
    <m/>
    <n v="0"/>
    <s v=""/>
    <n v="0"/>
    <n v="0"/>
    <n v="0"/>
    <n v="116.88487613461319"/>
    <n v="2225"/>
    <n v="71535.307499999995"/>
    <n v="0"/>
    <n v="0"/>
    <n v="0"/>
    <n v="0"/>
    <n v="0"/>
    <n v="0"/>
  </r>
  <r>
    <x v="124"/>
    <x v="15"/>
    <x v="7"/>
    <m/>
    <m/>
    <n v="0"/>
    <m/>
    <m/>
    <n v="0"/>
    <m/>
    <m/>
    <n v="0"/>
    <s v=""/>
    <n v="0"/>
    <n v="0"/>
    <n v="0"/>
    <n v="116.88487613461319"/>
    <n v="2225"/>
    <n v="71535.307499999995"/>
    <n v="0"/>
    <n v="0"/>
    <n v="0"/>
    <n v="0"/>
    <n v="0"/>
    <n v="0"/>
  </r>
  <r>
    <x v="125"/>
    <x v="15"/>
    <x v="7"/>
    <m/>
    <m/>
    <n v="0"/>
    <m/>
    <m/>
    <n v="0"/>
    <m/>
    <m/>
    <n v="0"/>
    <s v=""/>
    <n v="0"/>
    <n v="0"/>
    <n v="0"/>
    <n v="116.88487613461319"/>
    <n v="2225"/>
    <n v="71535.307499999995"/>
    <n v="0"/>
    <n v="0"/>
    <n v="0"/>
    <n v="0"/>
    <n v="0"/>
    <n v="0"/>
  </r>
  <r>
    <x v="126"/>
    <x v="15"/>
    <x v="7"/>
    <m/>
    <m/>
    <n v="0"/>
    <m/>
    <m/>
    <n v="0"/>
    <m/>
    <m/>
    <n v="0"/>
    <s v=""/>
    <n v="0"/>
    <n v="0"/>
    <n v="0"/>
    <n v="116.88487613461319"/>
    <n v="2225"/>
    <n v="71535.307499999995"/>
    <n v="0"/>
    <n v="0"/>
    <n v="0"/>
    <n v="0"/>
    <n v="0"/>
    <n v="0"/>
  </r>
  <r>
    <x v="127"/>
    <x v="15"/>
    <x v="7"/>
    <m/>
    <m/>
    <n v="0"/>
    <m/>
    <m/>
    <n v="0"/>
    <m/>
    <m/>
    <n v="0"/>
    <s v=""/>
    <n v="0"/>
    <n v="0"/>
    <n v="0"/>
    <n v="116.88487613461319"/>
    <n v="2225"/>
    <n v="71535.307499999995"/>
    <n v="0"/>
    <n v="0"/>
    <n v="0"/>
    <n v="0"/>
    <n v="0"/>
    <n v="0"/>
  </r>
  <r>
    <x v="0"/>
    <x v="16"/>
    <x v="0"/>
    <m/>
    <m/>
    <n v="0"/>
    <n v="2030"/>
    <n v="2.2999999999999998"/>
    <n v="4.6689999999999996"/>
    <m/>
    <m/>
    <n v="0"/>
    <n v="-1"/>
    <n v="-2030"/>
    <n v="-4.6689999999999996"/>
    <n v="0"/>
    <n v="116.88487613461319"/>
    <n v="2225"/>
    <n v="71535.307499999995"/>
    <n v="333998.35071749997"/>
    <n v="0"/>
    <n v="237276.29855326479"/>
    <n v="0"/>
    <n v="96722.052164235181"/>
    <n v="0"/>
  </r>
  <r>
    <x v="1"/>
    <x v="16"/>
    <x v="0"/>
    <m/>
    <m/>
    <n v="0"/>
    <m/>
    <m/>
    <n v="0"/>
    <m/>
    <m/>
    <n v="0"/>
    <s v=""/>
    <n v="0"/>
    <n v="0"/>
    <n v="0"/>
    <n v="116.88487613461319"/>
    <n v="2225"/>
    <n v="71535.307499999995"/>
    <n v="0"/>
    <n v="0"/>
    <n v="0"/>
    <n v="0"/>
    <n v="0"/>
    <n v="0"/>
  </r>
  <r>
    <x v="2"/>
    <x v="16"/>
    <x v="0"/>
    <m/>
    <m/>
    <n v="0"/>
    <m/>
    <m/>
    <n v="0"/>
    <m/>
    <m/>
    <n v="0"/>
    <s v=""/>
    <n v="0"/>
    <n v="0"/>
    <n v="0"/>
    <n v="116.88487613461319"/>
    <n v="2225"/>
    <n v="71535.307499999995"/>
    <n v="0"/>
    <n v="0"/>
    <n v="0"/>
    <n v="0"/>
    <n v="0"/>
    <n v="0"/>
  </r>
  <r>
    <x v="3"/>
    <x v="16"/>
    <x v="0"/>
    <m/>
    <m/>
    <n v="0"/>
    <m/>
    <m/>
    <n v="0"/>
    <m/>
    <m/>
    <n v="0"/>
    <s v=""/>
    <n v="0"/>
    <n v="0"/>
    <n v="0"/>
    <n v="116.88487613461319"/>
    <n v="2225"/>
    <n v="71535.307499999995"/>
    <n v="0"/>
    <n v="0"/>
    <n v="0"/>
    <n v="0"/>
    <n v="0"/>
    <n v="0"/>
  </r>
  <r>
    <x v="4"/>
    <x v="16"/>
    <x v="1"/>
    <m/>
    <m/>
    <n v="0"/>
    <m/>
    <m/>
    <n v="0"/>
    <m/>
    <m/>
    <n v="0"/>
    <s v=""/>
    <n v="0"/>
    <n v="0"/>
    <n v="0"/>
    <n v="116.88487613461319"/>
    <n v="2225"/>
    <n v="71535.307499999995"/>
    <n v="0"/>
    <n v="0"/>
    <n v="0"/>
    <n v="0"/>
    <n v="0"/>
    <n v="0"/>
  </r>
  <r>
    <x v="5"/>
    <x v="16"/>
    <x v="1"/>
    <m/>
    <m/>
    <n v="0"/>
    <m/>
    <m/>
    <n v="0"/>
    <m/>
    <m/>
    <n v="0"/>
    <s v=""/>
    <n v="0"/>
    <n v="0"/>
    <n v="0"/>
    <n v="116.88487613461319"/>
    <n v="2225"/>
    <n v="71535.307499999995"/>
    <n v="0"/>
    <n v="0"/>
    <n v="0"/>
    <n v="0"/>
    <n v="0"/>
    <n v="0"/>
  </r>
  <r>
    <x v="6"/>
    <x v="16"/>
    <x v="1"/>
    <m/>
    <m/>
    <n v="0"/>
    <m/>
    <m/>
    <n v="0"/>
    <m/>
    <m/>
    <n v="0"/>
    <s v=""/>
    <n v="0"/>
    <n v="0"/>
    <n v="0"/>
    <n v="116.88487613461319"/>
    <n v="2225"/>
    <n v="71535.307499999995"/>
    <n v="0"/>
    <n v="0"/>
    <n v="0"/>
    <n v="0"/>
    <n v="0"/>
    <n v="0"/>
  </r>
  <r>
    <x v="7"/>
    <x v="16"/>
    <x v="2"/>
    <m/>
    <m/>
    <n v="0"/>
    <m/>
    <m/>
    <n v="0"/>
    <m/>
    <m/>
    <n v="0"/>
    <s v=""/>
    <n v="0"/>
    <n v="0"/>
    <n v="0"/>
    <n v="116.88487613461319"/>
    <n v="2225"/>
    <n v="71535.307499999995"/>
    <n v="0"/>
    <n v="0"/>
    <n v="0"/>
    <n v="0"/>
    <n v="0"/>
    <n v="0"/>
  </r>
  <r>
    <x v="8"/>
    <x v="16"/>
    <x v="2"/>
    <m/>
    <m/>
    <n v="0"/>
    <m/>
    <m/>
    <n v="0"/>
    <m/>
    <m/>
    <n v="0"/>
    <s v=""/>
    <n v="0"/>
    <n v="0"/>
    <n v="0"/>
    <n v="116.88487613461319"/>
    <n v="2225"/>
    <n v="71535.307499999995"/>
    <n v="0"/>
    <n v="0"/>
    <n v="0"/>
    <n v="0"/>
    <n v="0"/>
    <n v="0"/>
  </r>
  <r>
    <x v="9"/>
    <x v="16"/>
    <x v="2"/>
    <m/>
    <m/>
    <n v="0"/>
    <m/>
    <m/>
    <n v="0"/>
    <m/>
    <m/>
    <n v="0"/>
    <s v=""/>
    <n v="0"/>
    <n v="0"/>
    <n v="0"/>
    <n v="116.88487613461319"/>
    <n v="2225"/>
    <n v="71535.307499999995"/>
    <n v="0"/>
    <n v="0"/>
    <n v="0"/>
    <n v="0"/>
    <n v="0"/>
    <n v="0"/>
  </r>
  <r>
    <x v="10"/>
    <x v="16"/>
    <x v="2"/>
    <n v="2341"/>
    <n v="2.5499999999999998"/>
    <n v="5.969549999999999"/>
    <n v="2030"/>
    <n v="3.85"/>
    <n v="7.8155000000000001"/>
    <m/>
    <m/>
    <n v="0"/>
    <n v="-1"/>
    <n v="-2030"/>
    <n v="-7.8155000000000001"/>
    <n v="0"/>
    <n v="116.88487613461319"/>
    <n v="2225"/>
    <n v="71535.307499999995"/>
    <n v="559084.19576625002"/>
    <n v="0"/>
    <n v="237276.29855326479"/>
    <n v="0"/>
    <n v="321807.8972129852"/>
    <n v="0"/>
  </r>
  <r>
    <x v="11"/>
    <x v="16"/>
    <x v="2"/>
    <m/>
    <m/>
    <n v="0"/>
    <n v="1960"/>
    <n v="2.14"/>
    <n v="4.1944000000000008"/>
    <m/>
    <m/>
    <n v="0"/>
    <n v="-1"/>
    <n v="-1960"/>
    <n v="-4.1944000000000008"/>
    <n v="0"/>
    <n v="116.88487613461319"/>
    <n v="2225"/>
    <n v="71535.307499999995"/>
    <n v="300047.69377800002"/>
    <n v="0"/>
    <n v="229094.35722384186"/>
    <n v="0"/>
    <n v="70953.336554158159"/>
    <n v="0"/>
  </r>
  <r>
    <x v="12"/>
    <x v="16"/>
    <x v="2"/>
    <n v="1798"/>
    <n v="1.72"/>
    <n v="3.0925599999999998"/>
    <m/>
    <m/>
    <n v="0"/>
    <m/>
    <m/>
    <n v="0"/>
    <s v=""/>
    <n v="0"/>
    <n v="0"/>
    <n v="0"/>
    <n v="116.88487613461319"/>
    <n v="2225"/>
    <n v="71535.307499999995"/>
    <n v="0"/>
    <n v="0"/>
    <n v="0"/>
    <n v="0"/>
    <n v="0"/>
    <n v="0"/>
  </r>
  <r>
    <x v="13"/>
    <x v="16"/>
    <x v="2"/>
    <m/>
    <m/>
    <n v="0"/>
    <m/>
    <m/>
    <n v="0"/>
    <m/>
    <m/>
    <n v="0"/>
    <s v=""/>
    <n v="0"/>
    <n v="0"/>
    <n v="0"/>
    <n v="116.88487613461319"/>
    <n v="2225"/>
    <n v="71535.307499999995"/>
    <n v="0"/>
    <n v="0"/>
    <n v="0"/>
    <n v="0"/>
    <n v="0"/>
    <n v="0"/>
  </r>
  <r>
    <x v="14"/>
    <x v="16"/>
    <x v="2"/>
    <m/>
    <m/>
    <n v="0"/>
    <m/>
    <m/>
    <n v="0"/>
    <m/>
    <m/>
    <n v="0"/>
    <s v=""/>
    <n v="0"/>
    <n v="0"/>
    <n v="0"/>
    <n v="116.88487613461319"/>
    <n v="2225"/>
    <n v="71535.307499999995"/>
    <n v="0"/>
    <n v="0"/>
    <n v="0"/>
    <n v="0"/>
    <n v="0"/>
    <n v="0"/>
  </r>
  <r>
    <x v="15"/>
    <x v="16"/>
    <x v="2"/>
    <m/>
    <m/>
    <n v="0"/>
    <m/>
    <m/>
    <n v="0"/>
    <m/>
    <m/>
    <n v="0"/>
    <s v=""/>
    <n v="0"/>
    <n v="0"/>
    <n v="0"/>
    <n v="116.88487613461319"/>
    <n v="2225"/>
    <n v="71535.307499999995"/>
    <n v="0"/>
    <n v="0"/>
    <n v="0"/>
    <n v="0"/>
    <n v="0"/>
    <n v="0"/>
  </r>
  <r>
    <x v="16"/>
    <x v="16"/>
    <x v="2"/>
    <m/>
    <m/>
    <n v="0"/>
    <m/>
    <m/>
    <n v="0"/>
    <m/>
    <m/>
    <n v="0"/>
    <s v=""/>
    <n v="0"/>
    <n v="0"/>
    <n v="0"/>
    <n v="116.88487613461319"/>
    <n v="2225"/>
    <n v="71535.307499999995"/>
    <n v="0"/>
    <n v="0"/>
    <n v="0"/>
    <n v="0"/>
    <n v="0"/>
    <n v="0"/>
  </r>
  <r>
    <x v="17"/>
    <x v="16"/>
    <x v="3"/>
    <m/>
    <m/>
    <n v="0"/>
    <m/>
    <m/>
    <n v="0"/>
    <m/>
    <m/>
    <n v="0"/>
    <s v=""/>
    <n v="0"/>
    <n v="0"/>
    <n v="0"/>
    <n v="116.88487613461319"/>
    <n v="2225"/>
    <n v="71535.307499999995"/>
    <n v="0"/>
    <n v="0"/>
    <n v="0"/>
    <n v="0"/>
    <n v="0"/>
    <n v="0"/>
  </r>
  <r>
    <x v="18"/>
    <x v="16"/>
    <x v="3"/>
    <m/>
    <m/>
    <n v="0"/>
    <m/>
    <m/>
    <n v="0"/>
    <m/>
    <m/>
    <n v="0"/>
    <s v=""/>
    <n v="0"/>
    <n v="0"/>
    <n v="0"/>
    <n v="116.88487613461319"/>
    <n v="2225"/>
    <n v="71535.307499999995"/>
    <n v="0"/>
    <n v="0"/>
    <n v="0"/>
    <n v="0"/>
    <n v="0"/>
    <n v="0"/>
  </r>
  <r>
    <x v="19"/>
    <x v="16"/>
    <x v="3"/>
    <m/>
    <m/>
    <n v="0"/>
    <m/>
    <m/>
    <n v="0"/>
    <m/>
    <m/>
    <n v="0"/>
    <s v=""/>
    <n v="0"/>
    <n v="0"/>
    <n v="0"/>
    <n v="116.88487613461319"/>
    <n v="2225"/>
    <n v="71535.307499999995"/>
    <n v="0"/>
    <n v="0"/>
    <n v="0"/>
    <n v="0"/>
    <n v="0"/>
    <n v="0"/>
  </r>
  <r>
    <x v="20"/>
    <x v="16"/>
    <x v="3"/>
    <m/>
    <m/>
    <n v="0"/>
    <m/>
    <m/>
    <n v="0"/>
    <m/>
    <m/>
    <n v="0"/>
    <s v=""/>
    <n v="0"/>
    <n v="0"/>
    <n v="0"/>
    <n v="116.88487613461319"/>
    <n v="2225"/>
    <n v="71535.307499999995"/>
    <n v="0"/>
    <n v="0"/>
    <n v="0"/>
    <n v="0"/>
    <n v="0"/>
    <n v="0"/>
  </r>
  <r>
    <x v="21"/>
    <x v="16"/>
    <x v="3"/>
    <m/>
    <m/>
    <n v="0"/>
    <m/>
    <m/>
    <n v="0"/>
    <m/>
    <m/>
    <n v="0"/>
    <s v=""/>
    <n v="0"/>
    <n v="0"/>
    <n v="0"/>
    <n v="116.88487613461319"/>
    <n v="2225"/>
    <n v="71535.307499999995"/>
    <n v="0"/>
    <n v="0"/>
    <n v="0"/>
    <n v="0"/>
    <n v="0"/>
    <n v="0"/>
  </r>
  <r>
    <x v="22"/>
    <x v="16"/>
    <x v="3"/>
    <m/>
    <m/>
    <n v="0"/>
    <m/>
    <m/>
    <n v="0"/>
    <m/>
    <m/>
    <n v="0"/>
    <s v=""/>
    <n v="0"/>
    <n v="0"/>
    <n v="0"/>
    <n v="116.88487613461319"/>
    <n v="2225"/>
    <n v="71535.307499999995"/>
    <n v="0"/>
    <n v="0"/>
    <n v="0"/>
    <n v="0"/>
    <n v="0"/>
    <n v="0"/>
  </r>
  <r>
    <x v="23"/>
    <x v="16"/>
    <x v="3"/>
    <m/>
    <m/>
    <n v="0"/>
    <m/>
    <m/>
    <n v="0"/>
    <m/>
    <m/>
    <n v="0"/>
    <s v=""/>
    <n v="0"/>
    <n v="0"/>
    <n v="0"/>
    <n v="116.88487613461319"/>
    <n v="2225"/>
    <n v="71535.307499999995"/>
    <n v="0"/>
    <n v="0"/>
    <n v="0"/>
    <n v="0"/>
    <n v="0"/>
    <n v="0"/>
  </r>
  <r>
    <x v="24"/>
    <x v="16"/>
    <x v="3"/>
    <m/>
    <m/>
    <n v="0"/>
    <m/>
    <m/>
    <n v="0"/>
    <m/>
    <m/>
    <n v="0"/>
    <s v=""/>
    <n v="0"/>
    <n v="0"/>
    <n v="0"/>
    <n v="116.88487613461319"/>
    <n v="2225"/>
    <n v="71535.307499999995"/>
    <n v="0"/>
    <n v="0"/>
    <n v="0"/>
    <n v="0"/>
    <n v="0"/>
    <n v="0"/>
  </r>
  <r>
    <x v="25"/>
    <x v="16"/>
    <x v="3"/>
    <m/>
    <m/>
    <n v="0"/>
    <m/>
    <m/>
    <n v="0"/>
    <m/>
    <m/>
    <n v="0"/>
    <s v=""/>
    <n v="0"/>
    <n v="0"/>
    <n v="0"/>
    <n v="116.88487613461319"/>
    <n v="2225"/>
    <n v="71535.307499999995"/>
    <n v="0"/>
    <n v="0"/>
    <n v="0"/>
    <n v="0"/>
    <n v="0"/>
    <n v="0"/>
  </r>
  <r>
    <x v="26"/>
    <x v="16"/>
    <x v="3"/>
    <m/>
    <m/>
    <n v="0"/>
    <m/>
    <m/>
    <n v="0"/>
    <m/>
    <m/>
    <n v="0"/>
    <s v=""/>
    <n v="0"/>
    <n v="0"/>
    <n v="0"/>
    <n v="116.88487613461319"/>
    <n v="2225"/>
    <n v="71535.307499999995"/>
    <n v="0"/>
    <n v="0"/>
    <n v="0"/>
    <n v="0"/>
    <n v="0"/>
    <n v="0"/>
  </r>
  <r>
    <x v="27"/>
    <x v="16"/>
    <x v="3"/>
    <m/>
    <m/>
    <n v="0"/>
    <m/>
    <m/>
    <n v="0"/>
    <m/>
    <m/>
    <n v="0"/>
    <s v=""/>
    <n v="0"/>
    <n v="0"/>
    <n v="0"/>
    <n v="116.88487613461319"/>
    <n v="2225"/>
    <n v="71535.307499999995"/>
    <n v="0"/>
    <n v="0"/>
    <n v="0"/>
    <n v="0"/>
    <n v="0"/>
    <n v="0"/>
  </r>
  <r>
    <x v="28"/>
    <x v="16"/>
    <x v="3"/>
    <m/>
    <m/>
    <n v="0"/>
    <m/>
    <m/>
    <n v="0"/>
    <m/>
    <m/>
    <n v="0"/>
    <s v=""/>
    <n v="0"/>
    <n v="0"/>
    <n v="0"/>
    <n v="116.88487613461319"/>
    <n v="2225"/>
    <n v="71535.307499999995"/>
    <n v="0"/>
    <n v="0"/>
    <n v="0"/>
    <n v="0"/>
    <n v="0"/>
    <n v="0"/>
  </r>
  <r>
    <x v="29"/>
    <x v="16"/>
    <x v="3"/>
    <m/>
    <m/>
    <n v="0"/>
    <m/>
    <m/>
    <n v="0"/>
    <m/>
    <m/>
    <n v="0"/>
    <s v=""/>
    <n v="0"/>
    <n v="0"/>
    <n v="0"/>
    <n v="116.88487613461319"/>
    <n v="2225"/>
    <n v="71535.307499999995"/>
    <n v="0"/>
    <n v="0"/>
    <n v="0"/>
    <n v="0"/>
    <n v="0"/>
    <n v="0"/>
  </r>
  <r>
    <x v="30"/>
    <x v="16"/>
    <x v="3"/>
    <m/>
    <m/>
    <n v="0"/>
    <m/>
    <m/>
    <n v="0"/>
    <m/>
    <m/>
    <n v="0"/>
    <s v=""/>
    <n v="0"/>
    <n v="0"/>
    <n v="0"/>
    <n v="116.88487613461319"/>
    <n v="2225"/>
    <n v="71535.307499999995"/>
    <n v="0"/>
    <n v="0"/>
    <n v="0"/>
    <n v="0"/>
    <n v="0"/>
    <n v="0"/>
  </r>
  <r>
    <x v="31"/>
    <x v="16"/>
    <x v="3"/>
    <m/>
    <m/>
    <n v="0"/>
    <m/>
    <m/>
    <n v="0"/>
    <m/>
    <m/>
    <n v="0"/>
    <s v=""/>
    <n v="0"/>
    <n v="0"/>
    <n v="0"/>
    <n v="116.88487613461319"/>
    <n v="2225"/>
    <n v="71535.307499999995"/>
    <n v="0"/>
    <n v="0"/>
    <n v="0"/>
    <n v="0"/>
    <n v="0"/>
    <n v="0"/>
  </r>
  <r>
    <x v="32"/>
    <x v="16"/>
    <x v="3"/>
    <m/>
    <m/>
    <n v="0"/>
    <m/>
    <m/>
    <n v="0"/>
    <m/>
    <m/>
    <n v="0"/>
    <s v=""/>
    <n v="0"/>
    <n v="0"/>
    <n v="0"/>
    <n v="116.88487613461319"/>
    <n v="2225"/>
    <n v="71535.307499999995"/>
    <n v="0"/>
    <n v="0"/>
    <n v="0"/>
    <n v="0"/>
    <n v="0"/>
    <n v="0"/>
  </r>
  <r>
    <x v="33"/>
    <x v="16"/>
    <x v="3"/>
    <m/>
    <m/>
    <n v="0"/>
    <m/>
    <m/>
    <n v="0"/>
    <m/>
    <m/>
    <n v="0"/>
    <s v=""/>
    <n v="0"/>
    <n v="0"/>
    <n v="0"/>
    <n v="116.88487613461319"/>
    <n v="2225"/>
    <n v="71535.307499999995"/>
    <n v="0"/>
    <n v="0"/>
    <n v="0"/>
    <n v="0"/>
    <n v="0"/>
    <n v="0"/>
  </r>
  <r>
    <x v="34"/>
    <x v="16"/>
    <x v="3"/>
    <n v="1947"/>
    <n v="1.4"/>
    <n v="2.7257999999999996"/>
    <m/>
    <m/>
    <n v="0"/>
    <m/>
    <m/>
    <n v="0"/>
    <s v=""/>
    <n v="0"/>
    <n v="0"/>
    <n v="0"/>
    <n v="116.88487613461319"/>
    <n v="2225"/>
    <n v="71535.307499999995"/>
    <n v="0"/>
    <n v="0"/>
    <n v="0"/>
    <n v="0"/>
    <n v="0"/>
    <n v="0"/>
  </r>
  <r>
    <x v="35"/>
    <x v="16"/>
    <x v="3"/>
    <m/>
    <m/>
    <n v="0"/>
    <m/>
    <m/>
    <n v="0"/>
    <m/>
    <m/>
    <n v="0"/>
    <s v=""/>
    <n v="0"/>
    <n v="0"/>
    <n v="0"/>
    <n v="116.88487613461319"/>
    <n v="2225"/>
    <n v="71535.307499999995"/>
    <n v="0"/>
    <n v="0"/>
    <n v="0"/>
    <n v="0"/>
    <n v="0"/>
    <n v="0"/>
  </r>
  <r>
    <x v="36"/>
    <x v="16"/>
    <x v="3"/>
    <m/>
    <m/>
    <n v="0"/>
    <m/>
    <m/>
    <n v="0"/>
    <m/>
    <m/>
    <n v="0"/>
    <s v=""/>
    <n v="0"/>
    <n v="0"/>
    <n v="0"/>
    <n v="116.88487613461319"/>
    <n v="2225"/>
    <n v="71535.307499999995"/>
    <n v="0"/>
    <n v="0"/>
    <n v="0"/>
    <n v="0"/>
    <n v="0"/>
    <n v="0"/>
  </r>
  <r>
    <x v="37"/>
    <x v="16"/>
    <x v="3"/>
    <m/>
    <m/>
    <n v="0"/>
    <m/>
    <m/>
    <n v="0"/>
    <m/>
    <m/>
    <n v="0"/>
    <s v=""/>
    <n v="0"/>
    <n v="0"/>
    <n v="0"/>
    <n v="116.88487613461319"/>
    <n v="2225"/>
    <n v="71535.307499999995"/>
    <n v="0"/>
    <n v="0"/>
    <n v="0"/>
    <n v="0"/>
    <n v="0"/>
    <n v="0"/>
  </r>
  <r>
    <x v="38"/>
    <x v="16"/>
    <x v="3"/>
    <m/>
    <m/>
    <n v="0"/>
    <m/>
    <m/>
    <n v="0"/>
    <m/>
    <m/>
    <n v="0"/>
    <s v=""/>
    <n v="0"/>
    <n v="0"/>
    <n v="0"/>
    <n v="116.88487613461319"/>
    <n v="2225"/>
    <n v="71535.307499999995"/>
    <n v="0"/>
    <n v="0"/>
    <n v="0"/>
    <n v="0"/>
    <n v="0"/>
    <n v="0"/>
  </r>
  <r>
    <x v="39"/>
    <x v="16"/>
    <x v="3"/>
    <m/>
    <m/>
    <n v="0"/>
    <m/>
    <m/>
    <n v="0"/>
    <m/>
    <m/>
    <n v="0"/>
    <s v=""/>
    <n v="0"/>
    <n v="0"/>
    <n v="0"/>
    <n v="116.88487613461319"/>
    <n v="2225"/>
    <n v="71535.307499999995"/>
    <n v="0"/>
    <n v="0"/>
    <n v="0"/>
    <n v="0"/>
    <n v="0"/>
    <n v="0"/>
  </r>
  <r>
    <x v="40"/>
    <x v="16"/>
    <x v="3"/>
    <m/>
    <m/>
    <n v="0"/>
    <m/>
    <m/>
    <n v="0"/>
    <m/>
    <m/>
    <n v="0"/>
    <s v=""/>
    <n v="0"/>
    <n v="0"/>
    <n v="0"/>
    <n v="116.88487613461319"/>
    <n v="2225"/>
    <n v="71535.307499999995"/>
    <n v="0"/>
    <n v="0"/>
    <n v="0"/>
    <n v="0"/>
    <n v="0"/>
    <n v="0"/>
  </r>
  <r>
    <x v="41"/>
    <x v="16"/>
    <x v="3"/>
    <m/>
    <m/>
    <n v="0"/>
    <m/>
    <m/>
    <n v="0"/>
    <m/>
    <m/>
    <n v="0"/>
    <s v=""/>
    <n v="0"/>
    <n v="0"/>
    <n v="0"/>
    <n v="116.88487613461319"/>
    <n v="2225"/>
    <n v="71535.307499999995"/>
    <n v="0"/>
    <n v="0"/>
    <n v="0"/>
    <n v="0"/>
    <n v="0"/>
    <n v="0"/>
  </r>
  <r>
    <x v="42"/>
    <x v="16"/>
    <x v="3"/>
    <m/>
    <m/>
    <n v="0"/>
    <m/>
    <m/>
    <n v="0"/>
    <m/>
    <m/>
    <n v="0"/>
    <s v=""/>
    <n v="0"/>
    <n v="0"/>
    <n v="0"/>
    <n v="116.88487613461319"/>
    <n v="2225"/>
    <n v="71535.307499999995"/>
    <n v="0"/>
    <n v="0"/>
    <n v="0"/>
    <n v="0"/>
    <n v="0"/>
    <n v="0"/>
  </r>
  <r>
    <x v="43"/>
    <x v="16"/>
    <x v="3"/>
    <m/>
    <m/>
    <n v="0"/>
    <m/>
    <m/>
    <n v="0"/>
    <m/>
    <m/>
    <n v="0"/>
    <s v=""/>
    <n v="0"/>
    <n v="0"/>
    <n v="0"/>
    <n v="116.88487613461319"/>
    <n v="2225"/>
    <n v="71535.307499999995"/>
    <n v="0"/>
    <n v="0"/>
    <n v="0"/>
    <n v="0"/>
    <n v="0"/>
    <n v="0"/>
  </r>
  <r>
    <x v="44"/>
    <x v="16"/>
    <x v="3"/>
    <m/>
    <m/>
    <n v="0"/>
    <m/>
    <m/>
    <n v="0"/>
    <m/>
    <m/>
    <n v="0"/>
    <s v=""/>
    <n v="0"/>
    <n v="0"/>
    <n v="0"/>
    <n v="116.88487613461319"/>
    <n v="2225"/>
    <n v="71535.307499999995"/>
    <n v="0"/>
    <n v="0"/>
    <n v="0"/>
    <n v="0"/>
    <n v="0"/>
    <n v="0"/>
  </r>
  <r>
    <x v="45"/>
    <x v="16"/>
    <x v="3"/>
    <m/>
    <m/>
    <n v="0"/>
    <m/>
    <m/>
    <n v="0"/>
    <m/>
    <m/>
    <n v="0"/>
    <s v=""/>
    <n v="0"/>
    <n v="0"/>
    <n v="0"/>
    <n v="116.88487613461319"/>
    <n v="2225"/>
    <n v="71535.307499999995"/>
    <n v="0"/>
    <n v="0"/>
    <n v="0"/>
    <n v="0"/>
    <n v="0"/>
    <n v="0"/>
  </r>
  <r>
    <x v="46"/>
    <x v="16"/>
    <x v="3"/>
    <m/>
    <m/>
    <n v="0"/>
    <n v="4060"/>
    <n v="3.85"/>
    <n v="15.631"/>
    <m/>
    <m/>
    <n v="0"/>
    <m/>
    <m/>
    <m/>
    <m/>
    <m/>
    <m/>
    <m/>
    <m/>
    <m/>
    <m/>
    <m/>
    <m/>
    <m/>
  </r>
  <r>
    <x v="47"/>
    <x v="16"/>
    <x v="3"/>
    <m/>
    <m/>
    <n v="0"/>
    <m/>
    <m/>
    <n v="0"/>
    <m/>
    <m/>
    <n v="0"/>
    <m/>
    <m/>
    <m/>
    <m/>
    <m/>
    <m/>
    <m/>
    <m/>
    <m/>
    <m/>
    <m/>
    <m/>
    <m/>
  </r>
  <r>
    <x v="48"/>
    <x v="16"/>
    <x v="3"/>
    <m/>
    <m/>
    <n v="0"/>
    <m/>
    <m/>
    <n v="0"/>
    <m/>
    <m/>
    <n v="0"/>
    <m/>
    <m/>
    <m/>
    <m/>
    <m/>
    <m/>
    <m/>
    <m/>
    <m/>
    <m/>
    <m/>
    <m/>
    <m/>
  </r>
  <r>
    <x v="49"/>
    <x v="16"/>
    <x v="3"/>
    <m/>
    <m/>
    <n v="0"/>
    <n v="3045"/>
    <n v="2.12"/>
    <n v="6.4554000000000009"/>
    <m/>
    <m/>
    <n v="0"/>
    <n v="-1"/>
    <n v="-3045"/>
    <n v="-6.4554000000000009"/>
    <n v="0"/>
    <n v="116.88487613461319"/>
    <n v="2225"/>
    <n v="71535.307499999995"/>
    <n v="461789.02403550001"/>
    <n v="0"/>
    <n v="355914.44782989717"/>
    <n v="0"/>
    <n v="105874.57620560285"/>
    <n v="0"/>
  </r>
  <r>
    <x v="50"/>
    <x v="16"/>
    <x v="4"/>
    <m/>
    <m/>
    <n v="0"/>
    <m/>
    <m/>
    <n v="0"/>
    <m/>
    <m/>
    <n v="0"/>
    <s v=""/>
    <n v="0"/>
    <n v="0"/>
    <n v="0"/>
    <n v="116.88487613461319"/>
    <n v="2225"/>
    <n v="71535.307499999995"/>
    <n v="0"/>
    <n v="0"/>
    <n v="0"/>
    <n v="0"/>
    <n v="0"/>
    <n v="0"/>
  </r>
  <r>
    <x v="51"/>
    <x v="16"/>
    <x v="4"/>
    <m/>
    <m/>
    <n v="0"/>
    <m/>
    <m/>
    <n v="0"/>
    <m/>
    <m/>
    <n v="0"/>
    <s v=""/>
    <n v="0"/>
    <n v="0"/>
    <n v="0"/>
    <n v="116.88487613461319"/>
    <n v="2225"/>
    <n v="71535.307499999995"/>
    <n v="0"/>
    <n v="0"/>
    <n v="0"/>
    <n v="0"/>
    <n v="0"/>
    <n v="0"/>
  </r>
  <r>
    <x v="52"/>
    <x v="16"/>
    <x v="4"/>
    <m/>
    <m/>
    <n v="0"/>
    <m/>
    <m/>
    <n v="0"/>
    <m/>
    <m/>
    <n v="0"/>
    <s v=""/>
    <n v="0"/>
    <n v="0"/>
    <n v="0"/>
    <n v="116.88487613461319"/>
    <n v="2225"/>
    <n v="71535.307499999995"/>
    <n v="0"/>
    <n v="0"/>
    <n v="0"/>
    <n v="0"/>
    <n v="0"/>
    <n v="0"/>
  </r>
  <r>
    <x v="53"/>
    <x v="16"/>
    <x v="4"/>
    <m/>
    <m/>
    <n v="0"/>
    <m/>
    <m/>
    <n v="0"/>
    <m/>
    <m/>
    <n v="0"/>
    <s v=""/>
    <n v="0"/>
    <n v="0"/>
    <n v="0"/>
    <n v="116.88487613461319"/>
    <n v="2225"/>
    <n v="71535.307499999995"/>
    <n v="0"/>
    <n v="0"/>
    <n v="0"/>
    <n v="0"/>
    <n v="0"/>
    <n v="0"/>
  </r>
  <r>
    <x v="54"/>
    <x v="16"/>
    <x v="4"/>
    <m/>
    <m/>
    <n v="0"/>
    <m/>
    <m/>
    <n v="0"/>
    <m/>
    <m/>
    <n v="0"/>
    <s v=""/>
    <n v="0"/>
    <n v="0"/>
    <n v="0"/>
    <n v="116.88487613461319"/>
    <n v="2225"/>
    <n v="71535.307499999995"/>
    <n v="0"/>
    <n v="0"/>
    <n v="0"/>
    <n v="0"/>
    <n v="0"/>
    <n v="0"/>
  </r>
  <r>
    <x v="55"/>
    <x v="16"/>
    <x v="4"/>
    <m/>
    <m/>
    <n v="0"/>
    <m/>
    <m/>
    <n v="0"/>
    <m/>
    <m/>
    <n v="0"/>
    <s v=""/>
    <n v="0"/>
    <n v="0"/>
    <n v="0"/>
    <n v="116.88487613461319"/>
    <n v="2225"/>
    <n v="71535.307499999995"/>
    <n v="0"/>
    <n v="0"/>
    <n v="0"/>
    <n v="0"/>
    <n v="0"/>
    <n v="0"/>
  </r>
  <r>
    <x v="56"/>
    <x v="16"/>
    <x v="4"/>
    <m/>
    <m/>
    <n v="0"/>
    <m/>
    <m/>
    <n v="0"/>
    <m/>
    <m/>
    <n v="0"/>
    <s v=""/>
    <n v="0"/>
    <n v="0"/>
    <n v="0"/>
    <n v="116.88487613461319"/>
    <n v="2225"/>
    <n v="71535.307499999995"/>
    <n v="0"/>
    <n v="0"/>
    <n v="0"/>
    <n v="0"/>
    <n v="0"/>
    <n v="0"/>
  </r>
  <r>
    <x v="57"/>
    <x v="16"/>
    <x v="4"/>
    <m/>
    <m/>
    <n v="0"/>
    <m/>
    <m/>
    <n v="0"/>
    <m/>
    <m/>
    <n v="0"/>
    <s v=""/>
    <n v="0"/>
    <n v="0"/>
    <n v="0"/>
    <n v="116.88487613461319"/>
    <n v="2225"/>
    <n v="71535.307499999995"/>
    <n v="0"/>
    <n v="0"/>
    <n v="0"/>
    <n v="0"/>
    <n v="0"/>
    <n v="0"/>
  </r>
  <r>
    <x v="58"/>
    <x v="16"/>
    <x v="4"/>
    <m/>
    <m/>
    <n v="0"/>
    <m/>
    <m/>
    <n v="0"/>
    <m/>
    <m/>
    <n v="0"/>
    <s v=""/>
    <n v="0"/>
    <n v="0"/>
    <n v="0"/>
    <n v="116.88487613461319"/>
    <n v="2225"/>
    <n v="71535.307499999995"/>
    <n v="0"/>
    <n v="0"/>
    <n v="0"/>
    <n v="0"/>
    <n v="0"/>
    <n v="0"/>
  </r>
  <r>
    <x v="59"/>
    <x v="16"/>
    <x v="4"/>
    <n v="371"/>
    <n v="3.3"/>
    <n v="1.2242999999999999"/>
    <m/>
    <m/>
    <n v="0"/>
    <m/>
    <m/>
    <n v="0"/>
    <s v=""/>
    <n v="0"/>
    <n v="0"/>
    <n v="0"/>
    <n v="116.88487613461319"/>
    <n v="2225"/>
    <n v="71535.307499999995"/>
    <n v="0"/>
    <n v="0"/>
    <n v="0"/>
    <n v="0"/>
    <n v="0"/>
    <n v="0"/>
  </r>
  <r>
    <x v="60"/>
    <x v="16"/>
    <x v="4"/>
    <n v="1947"/>
    <n v="3.97"/>
    <n v="7.72959"/>
    <n v="1750"/>
    <n v="1.94"/>
    <n v="3.395"/>
    <m/>
    <m/>
    <n v="0"/>
    <n v="-1"/>
    <n v="-1750"/>
    <n v="-3.395"/>
    <n v="0"/>
    <n v="116.88487613461319"/>
    <n v="2225"/>
    <n v="71535.307499999995"/>
    <n v="242862.36896249998"/>
    <n v="0"/>
    <n v="204548.53323557309"/>
    <n v="0"/>
    <n v="38313.835726926889"/>
    <n v="0"/>
  </r>
  <r>
    <x v="61"/>
    <x v="16"/>
    <x v="4"/>
    <n v="1947"/>
    <n v="3.33"/>
    <n v="6.4835099999999999"/>
    <m/>
    <m/>
    <n v="0"/>
    <m/>
    <m/>
    <n v="0"/>
    <s v=""/>
    <n v="0"/>
    <n v="0"/>
    <n v="0"/>
    <n v="116.88487613461319"/>
    <n v="2225"/>
    <n v="71535.307499999995"/>
    <n v="0"/>
    <n v="0"/>
    <n v="0"/>
    <n v="0"/>
    <n v="0"/>
    <n v="0"/>
  </r>
  <r>
    <x v="62"/>
    <x v="16"/>
    <x v="4"/>
    <n v="512"/>
    <n v="2.94"/>
    <n v="1.50528"/>
    <m/>
    <m/>
    <n v="0"/>
    <m/>
    <m/>
    <n v="0"/>
    <s v=""/>
    <n v="0"/>
    <n v="0"/>
    <n v="0"/>
    <n v="116.88487613461319"/>
    <n v="2225"/>
    <n v="71535.307499999995"/>
    <n v="0"/>
    <n v="0"/>
    <n v="0"/>
    <n v="0"/>
    <n v="0"/>
    <n v="0"/>
  </r>
  <r>
    <x v="63"/>
    <x v="16"/>
    <x v="4"/>
    <n v="1435"/>
    <n v="1.89"/>
    <n v="2.7121499999999998"/>
    <m/>
    <m/>
    <n v="0"/>
    <m/>
    <m/>
    <n v="0"/>
    <s v=""/>
    <n v="0"/>
    <n v="0"/>
    <n v="0"/>
    <n v="116.88487613461319"/>
    <n v="2225"/>
    <n v="71535.307499999995"/>
    <n v="0"/>
    <n v="0"/>
    <n v="0"/>
    <n v="0"/>
    <n v="0"/>
    <n v="0"/>
  </r>
  <r>
    <x v="64"/>
    <x v="16"/>
    <x v="4"/>
    <m/>
    <m/>
    <n v="0"/>
    <m/>
    <m/>
    <n v="0"/>
    <m/>
    <m/>
    <n v="0"/>
    <s v=""/>
    <n v="0"/>
    <n v="0"/>
    <n v="0"/>
    <n v="116.88487613461319"/>
    <n v="2225"/>
    <n v="71535.307499999995"/>
    <n v="0"/>
    <n v="0"/>
    <n v="0"/>
    <n v="0"/>
    <n v="0"/>
    <n v="0"/>
  </r>
  <r>
    <x v="65"/>
    <x v="16"/>
    <x v="4"/>
    <m/>
    <m/>
    <n v="0"/>
    <m/>
    <m/>
    <n v="0"/>
    <m/>
    <m/>
    <n v="0"/>
    <s v=""/>
    <n v="0"/>
    <n v="0"/>
    <n v="0"/>
    <n v="116.88487613461319"/>
    <n v="2225"/>
    <n v="71535.307499999995"/>
    <n v="0"/>
    <n v="0"/>
    <n v="0"/>
    <n v="0"/>
    <n v="0"/>
    <n v="0"/>
  </r>
  <r>
    <x v="66"/>
    <x v="16"/>
    <x v="4"/>
    <m/>
    <m/>
    <n v="0"/>
    <m/>
    <m/>
    <n v="0"/>
    <m/>
    <m/>
    <n v="0"/>
    <s v=""/>
    <n v="0"/>
    <n v="0"/>
    <n v="0"/>
    <n v="116.88487613461319"/>
    <n v="2225"/>
    <n v="71535.307499999995"/>
    <n v="0"/>
    <n v="0"/>
    <n v="0"/>
    <n v="0"/>
    <n v="0"/>
    <n v="0"/>
  </r>
  <r>
    <x v="67"/>
    <x v="16"/>
    <x v="4"/>
    <m/>
    <m/>
    <n v="0"/>
    <m/>
    <m/>
    <n v="0"/>
    <m/>
    <m/>
    <n v="0"/>
    <s v=""/>
    <n v="0"/>
    <n v="0"/>
    <n v="0"/>
    <n v="116.88487613461319"/>
    <n v="2225"/>
    <n v="71535.307499999995"/>
    <n v="0"/>
    <n v="0"/>
    <n v="0"/>
    <n v="0"/>
    <n v="0"/>
    <n v="0"/>
  </r>
  <r>
    <x v="68"/>
    <x v="16"/>
    <x v="4"/>
    <m/>
    <m/>
    <n v="0"/>
    <m/>
    <m/>
    <n v="0"/>
    <m/>
    <m/>
    <n v="0"/>
    <s v=""/>
    <n v="0"/>
    <n v="0"/>
    <n v="0"/>
    <n v="116.88487613461319"/>
    <n v="2225"/>
    <n v="71535.307499999995"/>
    <n v="0"/>
    <n v="0"/>
    <n v="0"/>
    <n v="0"/>
    <n v="0"/>
    <n v="0"/>
  </r>
  <r>
    <x v="69"/>
    <x v="16"/>
    <x v="4"/>
    <m/>
    <m/>
    <n v="0"/>
    <m/>
    <m/>
    <n v="0"/>
    <m/>
    <m/>
    <n v="0"/>
    <s v=""/>
    <n v="0"/>
    <n v="0"/>
    <n v="0"/>
    <n v="116.88487613461319"/>
    <n v="2225"/>
    <n v="71535.307499999995"/>
    <n v="0"/>
    <n v="0"/>
    <n v="0"/>
    <n v="0"/>
    <n v="0"/>
    <n v="0"/>
  </r>
  <r>
    <x v="70"/>
    <x v="16"/>
    <x v="5"/>
    <n v="2921"/>
    <n v="2.83"/>
    <n v="8.2664299999999997"/>
    <n v="2030"/>
    <n v="3.89"/>
    <n v="7.8967000000000001"/>
    <m/>
    <m/>
    <n v="0"/>
    <n v="-1"/>
    <n v="-2030"/>
    <n v="-7.8967000000000001"/>
    <n v="0"/>
    <n v="116.88487613461319"/>
    <n v="2225"/>
    <n v="71535.307499999995"/>
    <n v="564892.86273524992"/>
    <n v="0"/>
    <n v="237276.29855326479"/>
    <n v="0"/>
    <n v="327616.5641819851"/>
    <n v="0"/>
  </r>
  <r>
    <x v="71"/>
    <x v="16"/>
    <x v="5"/>
    <m/>
    <m/>
    <n v="0"/>
    <m/>
    <m/>
    <n v="0"/>
    <m/>
    <m/>
    <n v="0"/>
    <s v=""/>
    <n v="0"/>
    <n v="0"/>
    <n v="0"/>
    <n v="116.88487613461319"/>
    <n v="2225"/>
    <n v="71535.307499999995"/>
    <n v="0"/>
    <n v="0"/>
    <n v="0"/>
    <n v="0"/>
    <n v="0"/>
    <n v="0"/>
  </r>
  <r>
    <x v="72"/>
    <x v="16"/>
    <x v="5"/>
    <m/>
    <m/>
    <n v="0"/>
    <n v="2030"/>
    <n v="3.89"/>
    <n v="7.8967000000000001"/>
    <m/>
    <m/>
    <m/>
    <m/>
    <m/>
    <m/>
    <m/>
    <m/>
    <m/>
    <m/>
    <m/>
    <m/>
    <m/>
    <m/>
    <m/>
    <m/>
  </r>
  <r>
    <x v="73"/>
    <x v="16"/>
    <x v="5"/>
    <m/>
    <m/>
    <n v="0"/>
    <n v="2030"/>
    <n v="2.91"/>
    <n v="5.9073000000000002"/>
    <m/>
    <m/>
    <m/>
    <m/>
    <m/>
    <m/>
    <m/>
    <m/>
    <m/>
    <m/>
    <m/>
    <m/>
    <m/>
    <m/>
    <m/>
    <m/>
  </r>
  <r>
    <x v="74"/>
    <x v="16"/>
    <x v="5"/>
    <m/>
    <m/>
    <n v="0"/>
    <m/>
    <m/>
    <n v="0"/>
    <m/>
    <m/>
    <m/>
    <m/>
    <m/>
    <m/>
    <m/>
    <m/>
    <m/>
    <m/>
    <m/>
    <m/>
    <m/>
    <m/>
    <m/>
    <m/>
  </r>
  <r>
    <x v="75"/>
    <x v="16"/>
    <x v="5"/>
    <n v="2921"/>
    <n v="2.31"/>
    <n v="6.7475100000000001"/>
    <m/>
    <m/>
    <n v="0"/>
    <m/>
    <m/>
    <n v="0"/>
    <s v=""/>
    <n v="0"/>
    <n v="0"/>
    <n v="0"/>
    <n v="116.88487613461319"/>
    <n v="2225"/>
    <n v="71535.307499999995"/>
    <n v="0"/>
    <n v="0"/>
    <n v="0"/>
    <n v="0"/>
    <n v="0"/>
    <n v="0"/>
  </r>
  <r>
    <x v="76"/>
    <x v="16"/>
    <x v="5"/>
    <m/>
    <m/>
    <n v="0"/>
    <m/>
    <m/>
    <n v="0"/>
    <m/>
    <m/>
    <m/>
    <m/>
    <m/>
    <m/>
    <m/>
    <m/>
    <m/>
    <m/>
    <m/>
    <m/>
    <m/>
    <m/>
    <m/>
    <m/>
  </r>
  <r>
    <x v="77"/>
    <x v="16"/>
    <x v="5"/>
    <n v="1947"/>
    <n v="2.41"/>
    <n v="4.6922700000000006"/>
    <n v="2030"/>
    <n v="2.91"/>
    <n v="5.9073000000000002"/>
    <m/>
    <m/>
    <n v="0"/>
    <n v="-1"/>
    <n v="-2030"/>
    <n v="-5.9073000000000002"/>
    <n v="0"/>
    <n v="116.88487613461319"/>
    <n v="2225"/>
    <n v="71535.307499999995"/>
    <n v="422580.52199475002"/>
    <n v="0"/>
    <n v="237276.29855326479"/>
    <n v="0"/>
    <n v="185304.22344148523"/>
    <n v="0"/>
  </r>
  <r>
    <x v="78"/>
    <x v="16"/>
    <x v="5"/>
    <m/>
    <m/>
    <n v="0"/>
    <m/>
    <m/>
    <n v="0"/>
    <m/>
    <m/>
    <n v="0"/>
    <s v=""/>
    <n v="0"/>
    <n v="0"/>
    <n v="0"/>
    <n v="116.88487613461319"/>
    <n v="2225"/>
    <n v="71535.307499999995"/>
    <n v="0"/>
    <n v="0"/>
    <n v="0"/>
    <n v="0"/>
    <n v="0"/>
    <n v="0"/>
  </r>
  <r>
    <x v="79"/>
    <x v="16"/>
    <x v="5"/>
    <m/>
    <m/>
    <n v="0"/>
    <m/>
    <m/>
    <n v="0"/>
    <m/>
    <m/>
    <n v="0"/>
    <s v=""/>
    <n v="0"/>
    <n v="0"/>
    <n v="0"/>
    <n v="116.88487613461319"/>
    <n v="2225"/>
    <n v="71535.307499999995"/>
    <n v="0"/>
    <n v="0"/>
    <n v="0"/>
    <n v="0"/>
    <n v="0"/>
    <n v="0"/>
  </r>
  <r>
    <x v="80"/>
    <x v="16"/>
    <x v="5"/>
    <m/>
    <m/>
    <n v="0"/>
    <m/>
    <m/>
    <n v="0"/>
    <m/>
    <m/>
    <n v="0"/>
    <s v=""/>
    <n v="0"/>
    <n v="0"/>
    <n v="0"/>
    <n v="116.88487613461319"/>
    <n v="2225"/>
    <n v="71535.307499999995"/>
    <n v="0"/>
    <n v="0"/>
    <n v="0"/>
    <n v="0"/>
    <n v="0"/>
    <n v="0"/>
  </r>
  <r>
    <x v="81"/>
    <x v="16"/>
    <x v="5"/>
    <m/>
    <m/>
    <n v="0"/>
    <n v="2030"/>
    <n v="2.84"/>
    <n v="5.7652000000000001"/>
    <m/>
    <m/>
    <n v="0"/>
    <n v="-1"/>
    <n v="-2030"/>
    <n v="-5.7652000000000001"/>
    <n v="0"/>
    <n v="116.88487613461319"/>
    <n v="2225"/>
    <n v="71535.307499999995"/>
    <n v="412415.35479899996"/>
    <n v="0"/>
    <n v="237276.29855326479"/>
    <n v="0"/>
    <n v="175139.05624573518"/>
    <n v="0"/>
  </r>
  <r>
    <x v="82"/>
    <x v="16"/>
    <x v="5"/>
    <m/>
    <m/>
    <n v="0"/>
    <n v="2030"/>
    <n v="2.2000000000000002"/>
    <n v="4.4660000000000002"/>
    <m/>
    <m/>
    <n v="0"/>
    <n v="-1"/>
    <n v="-2030"/>
    <n v="-4.4660000000000002"/>
    <n v="0"/>
    <n v="116.88487613461319"/>
    <n v="2225"/>
    <n v="71535.307499999995"/>
    <n v="319476.683295"/>
    <n v="0"/>
    <n v="237276.29855326479"/>
    <n v="0"/>
    <n v="82200.384741735208"/>
    <n v="0"/>
  </r>
  <r>
    <x v="83"/>
    <x v="16"/>
    <x v="5"/>
    <m/>
    <m/>
    <n v="0"/>
    <m/>
    <m/>
    <n v="0"/>
    <m/>
    <m/>
    <n v="0"/>
    <s v=""/>
    <n v="0"/>
    <n v="0"/>
    <n v="0"/>
    <n v="116.88487613461319"/>
    <n v="2225"/>
    <n v="71535.307499999995"/>
    <n v="0"/>
    <n v="0"/>
    <n v="0"/>
    <n v="0"/>
    <n v="0"/>
    <n v="0"/>
  </r>
  <r>
    <x v="84"/>
    <x v="16"/>
    <x v="5"/>
    <m/>
    <m/>
    <n v="0"/>
    <m/>
    <m/>
    <n v="0"/>
    <m/>
    <m/>
    <n v="0"/>
    <s v=""/>
    <n v="0"/>
    <n v="0"/>
    <n v="0"/>
    <n v="116.88487613461319"/>
    <n v="2225"/>
    <n v="71535.307499999995"/>
    <n v="0"/>
    <n v="0"/>
    <n v="0"/>
    <n v="0"/>
    <n v="0"/>
    <n v="0"/>
  </r>
  <r>
    <x v="85"/>
    <x v="16"/>
    <x v="5"/>
    <n v="1202"/>
    <n v="2.84"/>
    <n v="3.4136799999999998"/>
    <m/>
    <m/>
    <n v="0"/>
    <m/>
    <m/>
    <n v="0"/>
    <s v=""/>
    <n v="0"/>
    <n v="0"/>
    <n v="0"/>
    <n v="116.88487613461319"/>
    <n v="2225"/>
    <n v="71535.307499999995"/>
    <n v="0"/>
    <n v="0"/>
    <n v="0"/>
    <n v="0"/>
    <n v="0"/>
    <n v="0"/>
  </r>
  <r>
    <x v="86"/>
    <x v="16"/>
    <x v="5"/>
    <m/>
    <m/>
    <n v="0"/>
    <m/>
    <m/>
    <n v="0"/>
    <m/>
    <m/>
    <n v="0"/>
    <s v=""/>
    <n v="0"/>
    <n v="0"/>
    <n v="0"/>
    <n v="116.88487613461319"/>
    <n v="2225"/>
    <n v="71535.307499999995"/>
    <n v="0"/>
    <n v="0"/>
    <n v="0"/>
    <n v="0"/>
    <n v="0"/>
    <n v="0"/>
  </r>
  <r>
    <x v="87"/>
    <x v="16"/>
    <x v="5"/>
    <n v="18"/>
    <n v="3.97"/>
    <n v="7.146000000000001E-2"/>
    <m/>
    <m/>
    <n v="0"/>
    <m/>
    <m/>
    <n v="0"/>
    <s v=""/>
    <n v="0"/>
    <n v="0"/>
    <n v="0"/>
    <n v="116.88487613461319"/>
    <n v="2225"/>
    <n v="71535.307499999995"/>
    <n v="0"/>
    <n v="0"/>
    <n v="0"/>
    <n v="0"/>
    <n v="0"/>
    <n v="0"/>
  </r>
  <r>
    <x v="88"/>
    <x v="16"/>
    <x v="5"/>
    <m/>
    <m/>
    <n v="0"/>
    <m/>
    <m/>
    <n v="0"/>
    <m/>
    <m/>
    <n v="0"/>
    <s v=""/>
    <n v="0"/>
    <n v="0"/>
    <n v="0"/>
    <n v="116.88487613461319"/>
    <n v="2225"/>
    <n v="71535.307499999995"/>
    <n v="0"/>
    <n v="0"/>
    <n v="0"/>
    <n v="0"/>
    <n v="0"/>
    <n v="0"/>
  </r>
  <r>
    <x v="89"/>
    <x v="16"/>
    <x v="5"/>
    <m/>
    <m/>
    <n v="0"/>
    <m/>
    <m/>
    <n v="0"/>
    <m/>
    <m/>
    <n v="0"/>
    <s v=""/>
    <n v="0"/>
    <n v="0"/>
    <n v="0"/>
    <n v="116.88487613461319"/>
    <n v="2225"/>
    <n v="71535.307499999995"/>
    <n v="0"/>
    <n v="0"/>
    <n v="0"/>
    <n v="0"/>
    <n v="0"/>
    <n v="0"/>
  </r>
  <r>
    <x v="90"/>
    <x v="16"/>
    <x v="5"/>
    <m/>
    <m/>
    <n v="0"/>
    <m/>
    <m/>
    <n v="0"/>
    <m/>
    <m/>
    <n v="0"/>
    <s v=""/>
    <n v="0"/>
    <n v="0"/>
    <n v="0"/>
    <n v="116.88487613461319"/>
    <n v="2225"/>
    <n v="71535.307499999995"/>
    <n v="0"/>
    <n v="0"/>
    <n v="0"/>
    <n v="0"/>
    <n v="0"/>
    <n v="0"/>
  </r>
  <r>
    <x v="91"/>
    <x v="16"/>
    <x v="5"/>
    <m/>
    <m/>
    <n v="0"/>
    <m/>
    <m/>
    <n v="0"/>
    <m/>
    <m/>
    <n v="0"/>
    <s v=""/>
    <n v="0"/>
    <n v="0"/>
    <n v="0"/>
    <n v="116.88487613461319"/>
    <n v="2225"/>
    <n v="71535.307499999995"/>
    <n v="0"/>
    <n v="0"/>
    <n v="0"/>
    <n v="0"/>
    <n v="0"/>
    <n v="0"/>
  </r>
  <r>
    <x v="92"/>
    <x v="16"/>
    <x v="5"/>
    <m/>
    <m/>
    <n v="0"/>
    <m/>
    <m/>
    <n v="0"/>
    <m/>
    <m/>
    <n v="0"/>
    <s v=""/>
    <n v="0"/>
    <n v="0"/>
    <n v="0"/>
    <n v="116.88487613461319"/>
    <n v="2225"/>
    <n v="71535.307499999995"/>
    <n v="0"/>
    <n v="0"/>
    <n v="0"/>
    <n v="0"/>
    <n v="0"/>
    <n v="0"/>
  </r>
  <r>
    <x v="93"/>
    <x v="16"/>
    <x v="5"/>
    <m/>
    <m/>
    <n v="0"/>
    <m/>
    <m/>
    <n v="0"/>
    <m/>
    <m/>
    <n v="0"/>
    <s v=""/>
    <n v="0"/>
    <n v="0"/>
    <n v="0"/>
    <n v="116.88487613461319"/>
    <n v="2225"/>
    <n v="71535.307499999995"/>
    <n v="0"/>
    <n v="0"/>
    <n v="0"/>
    <n v="0"/>
    <n v="0"/>
    <n v="0"/>
  </r>
  <r>
    <x v="94"/>
    <x v="16"/>
    <x v="5"/>
    <m/>
    <m/>
    <n v="0"/>
    <m/>
    <m/>
    <n v="0"/>
    <m/>
    <m/>
    <n v="0"/>
    <s v=""/>
    <n v="0"/>
    <n v="0"/>
    <n v="0"/>
    <n v="116.88487613461319"/>
    <n v="2225"/>
    <n v="71535.307499999995"/>
    <n v="0"/>
    <n v="0"/>
    <n v="0"/>
    <n v="0"/>
    <n v="0"/>
    <n v="0"/>
  </r>
  <r>
    <x v="95"/>
    <x v="16"/>
    <x v="5"/>
    <n v="1211"/>
    <n v="1.64"/>
    <n v="1.98604"/>
    <m/>
    <m/>
    <n v="0"/>
    <m/>
    <m/>
    <n v="0"/>
    <s v=""/>
    <n v="0"/>
    <n v="0"/>
    <n v="0"/>
    <n v="116.88487613461319"/>
    <n v="2225"/>
    <n v="71535.307499999995"/>
    <n v="0"/>
    <n v="0"/>
    <n v="0"/>
    <n v="0"/>
    <n v="0"/>
    <n v="0"/>
  </r>
  <r>
    <x v="96"/>
    <x v="16"/>
    <x v="5"/>
    <m/>
    <m/>
    <n v="0"/>
    <m/>
    <m/>
    <n v="0"/>
    <m/>
    <m/>
    <n v="0"/>
    <s v=""/>
    <n v="0"/>
    <n v="0"/>
    <n v="0"/>
    <n v="116.88487613461319"/>
    <n v="2225"/>
    <n v="71535.307499999995"/>
    <n v="0"/>
    <n v="0"/>
    <n v="0"/>
    <n v="0"/>
    <n v="0"/>
    <n v="0"/>
  </r>
  <r>
    <x v="97"/>
    <x v="16"/>
    <x v="5"/>
    <m/>
    <m/>
    <n v="0"/>
    <m/>
    <m/>
    <n v="0"/>
    <m/>
    <m/>
    <n v="0"/>
    <s v=""/>
    <n v="0"/>
    <n v="0"/>
    <n v="0"/>
    <n v="116.88487613461319"/>
    <n v="2225"/>
    <n v="71535.307499999995"/>
    <n v="0"/>
    <n v="0"/>
    <n v="0"/>
    <n v="0"/>
    <n v="0"/>
    <n v="0"/>
  </r>
  <r>
    <x v="98"/>
    <x v="16"/>
    <x v="6"/>
    <m/>
    <m/>
    <n v="0"/>
    <m/>
    <m/>
    <n v="0"/>
    <m/>
    <m/>
    <n v="0"/>
    <s v=""/>
    <n v="0"/>
    <n v="0"/>
    <n v="0"/>
    <n v="116.88487613461319"/>
    <n v="2225"/>
    <n v="71535.307499999995"/>
    <n v="0"/>
    <n v="0"/>
    <n v="0"/>
    <n v="0"/>
    <n v="0"/>
    <n v="0"/>
  </r>
  <r>
    <x v="99"/>
    <x v="16"/>
    <x v="6"/>
    <m/>
    <m/>
    <n v="0"/>
    <m/>
    <m/>
    <n v="0"/>
    <m/>
    <m/>
    <n v="0"/>
    <s v=""/>
    <n v="0"/>
    <n v="0"/>
    <n v="0"/>
    <n v="116.88487613461319"/>
    <n v="2225"/>
    <n v="71535.307499999995"/>
    <n v="0"/>
    <n v="0"/>
    <n v="0"/>
    <n v="0"/>
    <n v="0"/>
    <n v="0"/>
  </r>
  <r>
    <x v="100"/>
    <x v="16"/>
    <x v="6"/>
    <m/>
    <m/>
    <n v="0"/>
    <m/>
    <m/>
    <n v="0"/>
    <m/>
    <m/>
    <n v="0"/>
    <s v=""/>
    <n v="0"/>
    <n v="0"/>
    <n v="0"/>
    <n v="116.88487613461319"/>
    <n v="2225"/>
    <n v="71535.307499999995"/>
    <n v="0"/>
    <n v="0"/>
    <n v="0"/>
    <n v="0"/>
    <n v="0"/>
    <n v="0"/>
  </r>
  <r>
    <x v="101"/>
    <x v="16"/>
    <x v="6"/>
    <m/>
    <m/>
    <n v="0"/>
    <m/>
    <m/>
    <n v="0"/>
    <m/>
    <m/>
    <n v="0"/>
    <s v=""/>
    <n v="0"/>
    <n v="0"/>
    <n v="0"/>
    <n v="116.88487613461319"/>
    <n v="2225"/>
    <n v="71535.307499999995"/>
    <n v="0"/>
    <n v="0"/>
    <n v="0"/>
    <n v="0"/>
    <n v="0"/>
    <n v="0"/>
  </r>
  <r>
    <x v="102"/>
    <x v="16"/>
    <x v="6"/>
    <m/>
    <m/>
    <n v="0"/>
    <m/>
    <m/>
    <n v="0"/>
    <m/>
    <m/>
    <n v="0"/>
    <s v=""/>
    <n v="0"/>
    <n v="0"/>
    <n v="0"/>
    <n v="116.88487613461319"/>
    <n v="2225"/>
    <n v="71535.307499999995"/>
    <n v="0"/>
    <n v="0"/>
    <n v="0"/>
    <n v="0"/>
    <n v="0"/>
    <n v="0"/>
  </r>
  <r>
    <x v="103"/>
    <x v="16"/>
    <x v="6"/>
    <m/>
    <m/>
    <n v="0"/>
    <m/>
    <m/>
    <n v="0"/>
    <m/>
    <m/>
    <n v="0"/>
    <s v=""/>
    <n v="0"/>
    <n v="0"/>
    <n v="0"/>
    <n v="116.88487613461319"/>
    <n v="2225"/>
    <n v="71535.307499999995"/>
    <n v="0"/>
    <n v="0"/>
    <n v="0"/>
    <n v="0"/>
    <n v="0"/>
    <n v="0"/>
  </r>
  <r>
    <x v="104"/>
    <x v="16"/>
    <x v="6"/>
    <m/>
    <m/>
    <n v="0"/>
    <m/>
    <m/>
    <n v="0"/>
    <m/>
    <m/>
    <n v="0"/>
    <s v=""/>
    <n v="0"/>
    <n v="0"/>
    <n v="0"/>
    <n v="116.88487613461319"/>
    <n v="2225"/>
    <n v="71535.307499999995"/>
    <n v="0"/>
    <n v="0"/>
    <n v="0"/>
    <n v="0"/>
    <n v="0"/>
    <n v="0"/>
  </r>
  <r>
    <x v="105"/>
    <x v="16"/>
    <x v="6"/>
    <m/>
    <m/>
    <n v="0"/>
    <m/>
    <m/>
    <n v="0"/>
    <m/>
    <m/>
    <n v="0"/>
    <s v=""/>
    <n v="0"/>
    <n v="0"/>
    <n v="0"/>
    <n v="116.88487613461319"/>
    <n v="2225"/>
    <n v="71535.307499999995"/>
    <n v="0"/>
    <n v="0"/>
    <n v="0"/>
    <n v="0"/>
    <n v="0"/>
    <n v="0"/>
  </r>
  <r>
    <x v="106"/>
    <x v="16"/>
    <x v="6"/>
    <m/>
    <m/>
    <n v="0"/>
    <m/>
    <m/>
    <n v="0"/>
    <m/>
    <m/>
    <n v="0"/>
    <s v=""/>
    <n v="0"/>
    <n v="0"/>
    <n v="0"/>
    <n v="116.88487613461319"/>
    <n v="2225"/>
    <n v="71535.307499999995"/>
    <n v="0"/>
    <n v="0"/>
    <n v="0"/>
    <n v="0"/>
    <n v="0"/>
    <n v="0"/>
  </r>
  <r>
    <x v="107"/>
    <x v="16"/>
    <x v="6"/>
    <m/>
    <m/>
    <n v="0"/>
    <m/>
    <m/>
    <n v="0"/>
    <m/>
    <m/>
    <n v="0"/>
    <s v=""/>
    <n v="0"/>
    <n v="0"/>
    <n v="0"/>
    <n v="116.88487613461319"/>
    <n v="2225"/>
    <n v="71535.307499999995"/>
    <n v="0"/>
    <n v="0"/>
    <n v="0"/>
    <n v="0"/>
    <n v="0"/>
    <n v="0"/>
  </r>
  <r>
    <x v="108"/>
    <x v="16"/>
    <x v="6"/>
    <m/>
    <m/>
    <n v="0"/>
    <m/>
    <m/>
    <n v="0"/>
    <m/>
    <m/>
    <n v="0"/>
    <s v=""/>
    <n v="0"/>
    <n v="0"/>
    <n v="0"/>
    <n v="116.88487613461319"/>
    <n v="2225"/>
    <n v="71535.307499999995"/>
    <n v="0"/>
    <n v="0"/>
    <n v="0"/>
    <n v="0"/>
    <n v="0"/>
    <n v="0"/>
  </r>
  <r>
    <x v="109"/>
    <x v="16"/>
    <x v="6"/>
    <m/>
    <m/>
    <n v="0"/>
    <m/>
    <m/>
    <n v="0"/>
    <m/>
    <m/>
    <n v="0"/>
    <s v=""/>
    <n v="0"/>
    <n v="0"/>
    <n v="0"/>
    <n v="116.88487613461319"/>
    <n v="2225"/>
    <n v="71535.307499999995"/>
    <n v="0"/>
    <n v="0"/>
    <n v="0"/>
    <n v="0"/>
    <n v="0"/>
    <n v="0"/>
  </r>
  <r>
    <x v="110"/>
    <x v="16"/>
    <x v="7"/>
    <m/>
    <m/>
    <n v="0"/>
    <m/>
    <m/>
    <n v="0"/>
    <m/>
    <m/>
    <n v="0"/>
    <s v=""/>
    <n v="0"/>
    <n v="0"/>
    <n v="0"/>
    <n v="116.88487613461319"/>
    <n v="2225"/>
    <n v="71535.307499999995"/>
    <n v="0"/>
    <n v="0"/>
    <n v="0"/>
    <n v="0"/>
    <n v="0"/>
    <n v="0"/>
  </r>
  <r>
    <x v="111"/>
    <x v="16"/>
    <x v="7"/>
    <m/>
    <m/>
    <n v="0"/>
    <m/>
    <m/>
    <n v="0"/>
    <m/>
    <m/>
    <n v="0"/>
    <s v=""/>
    <n v="0"/>
    <n v="0"/>
    <n v="0"/>
    <n v="116.88487613461319"/>
    <n v="2225"/>
    <n v="71535.307499999995"/>
    <n v="0"/>
    <n v="0"/>
    <n v="0"/>
    <n v="0"/>
    <n v="0"/>
    <n v="0"/>
  </r>
  <r>
    <x v="112"/>
    <x v="16"/>
    <x v="7"/>
    <m/>
    <m/>
    <n v="0"/>
    <m/>
    <m/>
    <n v="0"/>
    <m/>
    <m/>
    <n v="0"/>
    <s v=""/>
    <n v="0"/>
    <n v="0"/>
    <n v="0"/>
    <n v="116.88487613461319"/>
    <n v="2225"/>
    <n v="71535.307499999995"/>
    <n v="0"/>
    <n v="0"/>
    <n v="0"/>
    <n v="0"/>
    <n v="0"/>
    <n v="0"/>
  </r>
  <r>
    <x v="113"/>
    <x v="16"/>
    <x v="7"/>
    <m/>
    <m/>
    <n v="0"/>
    <m/>
    <m/>
    <n v="0"/>
    <m/>
    <m/>
    <n v="0"/>
    <s v=""/>
    <n v="0"/>
    <n v="0"/>
    <n v="0"/>
    <n v="116.88487613461319"/>
    <n v="2225"/>
    <n v="71535.307499999995"/>
    <n v="0"/>
    <n v="0"/>
    <n v="0"/>
    <n v="0"/>
    <n v="0"/>
    <n v="0"/>
  </r>
  <r>
    <x v="114"/>
    <x v="16"/>
    <x v="7"/>
    <m/>
    <m/>
    <n v="0"/>
    <m/>
    <m/>
    <n v="0"/>
    <m/>
    <m/>
    <n v="0"/>
    <s v=""/>
    <n v="0"/>
    <n v="0"/>
    <n v="0"/>
    <n v="116.88487613461319"/>
    <n v="2225"/>
    <n v="71535.307499999995"/>
    <n v="0"/>
    <n v="0"/>
    <n v="0"/>
    <n v="0"/>
    <n v="0"/>
    <n v="0"/>
  </r>
  <r>
    <x v="115"/>
    <x v="16"/>
    <x v="7"/>
    <m/>
    <m/>
    <n v="0"/>
    <m/>
    <m/>
    <n v="0"/>
    <m/>
    <m/>
    <n v="0"/>
    <s v=""/>
    <n v="0"/>
    <n v="0"/>
    <n v="0"/>
    <n v="116.88487613461319"/>
    <n v="2225"/>
    <n v="71535.307499999995"/>
    <n v="0"/>
    <n v="0"/>
    <n v="0"/>
    <n v="0"/>
    <n v="0"/>
    <n v="0"/>
  </r>
  <r>
    <x v="116"/>
    <x v="16"/>
    <x v="7"/>
    <m/>
    <m/>
    <n v="0"/>
    <m/>
    <m/>
    <n v="0"/>
    <m/>
    <m/>
    <n v="0"/>
    <s v=""/>
    <n v="0"/>
    <n v="0"/>
    <n v="0"/>
    <n v="116.88487613461319"/>
    <n v="2225"/>
    <n v="71535.307499999995"/>
    <n v="0"/>
    <n v="0"/>
    <n v="0"/>
    <n v="0"/>
    <n v="0"/>
    <n v="0"/>
  </r>
  <r>
    <x v="117"/>
    <x v="16"/>
    <x v="7"/>
    <m/>
    <m/>
    <n v="0"/>
    <m/>
    <m/>
    <n v="0"/>
    <m/>
    <m/>
    <n v="0"/>
    <s v=""/>
    <n v="0"/>
    <n v="0"/>
    <n v="0"/>
    <n v="116.88487613461319"/>
    <n v="2225"/>
    <n v="71535.307499999995"/>
    <n v="0"/>
    <n v="0"/>
    <n v="0"/>
    <n v="0"/>
    <n v="0"/>
    <n v="0"/>
  </r>
  <r>
    <x v="118"/>
    <x v="16"/>
    <x v="7"/>
    <m/>
    <m/>
    <n v="0"/>
    <m/>
    <m/>
    <n v="0"/>
    <m/>
    <m/>
    <n v="0"/>
    <s v=""/>
    <n v="0"/>
    <n v="0"/>
    <n v="0"/>
    <n v="116.88487613461319"/>
    <n v="2225"/>
    <n v="71535.307499999995"/>
    <n v="0"/>
    <n v="0"/>
    <n v="0"/>
    <n v="0"/>
    <n v="0"/>
    <n v="0"/>
  </r>
  <r>
    <x v="119"/>
    <x v="16"/>
    <x v="7"/>
    <m/>
    <m/>
    <n v="0"/>
    <m/>
    <m/>
    <n v="0"/>
    <m/>
    <m/>
    <n v="0"/>
    <s v=""/>
    <n v="0"/>
    <n v="0"/>
    <n v="0"/>
    <n v="116.88487613461319"/>
    <n v="2225"/>
    <n v="71535.307499999995"/>
    <n v="0"/>
    <n v="0"/>
    <n v="0"/>
    <n v="0"/>
    <n v="0"/>
    <n v="0"/>
  </r>
  <r>
    <x v="120"/>
    <x v="16"/>
    <x v="7"/>
    <m/>
    <m/>
    <n v="0"/>
    <m/>
    <m/>
    <n v="0"/>
    <m/>
    <m/>
    <n v="0"/>
    <s v=""/>
    <n v="0"/>
    <n v="0"/>
    <n v="0"/>
    <n v="116.88487613461319"/>
    <n v="2225"/>
    <n v="71535.307499999995"/>
    <n v="0"/>
    <n v="0"/>
    <n v="0"/>
    <n v="0"/>
    <n v="0"/>
    <n v="0"/>
  </r>
  <r>
    <x v="121"/>
    <x v="16"/>
    <x v="7"/>
    <m/>
    <m/>
    <n v="0"/>
    <m/>
    <m/>
    <n v="0"/>
    <m/>
    <m/>
    <n v="0"/>
    <s v=""/>
    <n v="0"/>
    <n v="0"/>
    <n v="0"/>
    <n v="116.88487613461319"/>
    <n v="2225"/>
    <n v="71535.307499999995"/>
    <n v="0"/>
    <n v="0"/>
    <n v="0"/>
    <n v="0"/>
    <n v="0"/>
    <n v="0"/>
  </r>
  <r>
    <x v="122"/>
    <x v="16"/>
    <x v="7"/>
    <m/>
    <m/>
    <n v="0"/>
    <m/>
    <m/>
    <n v="0"/>
    <m/>
    <m/>
    <n v="0"/>
    <s v=""/>
    <n v="0"/>
    <n v="0"/>
    <n v="0"/>
    <n v="116.88487613461319"/>
    <n v="2225"/>
    <n v="71535.307499999995"/>
    <n v="0"/>
    <n v="0"/>
    <n v="0"/>
    <n v="0"/>
    <n v="0"/>
    <n v="0"/>
  </r>
  <r>
    <x v="123"/>
    <x v="16"/>
    <x v="7"/>
    <m/>
    <m/>
    <n v="0"/>
    <m/>
    <m/>
    <n v="0"/>
    <m/>
    <m/>
    <n v="0"/>
    <s v=""/>
    <n v="0"/>
    <n v="0"/>
    <n v="0"/>
    <n v="116.88487613461319"/>
    <n v="2225"/>
    <n v="71535.307499999995"/>
    <n v="0"/>
    <n v="0"/>
    <n v="0"/>
    <n v="0"/>
    <n v="0"/>
    <n v="0"/>
  </r>
  <r>
    <x v="124"/>
    <x v="16"/>
    <x v="7"/>
    <m/>
    <m/>
    <n v="0"/>
    <m/>
    <m/>
    <n v="0"/>
    <m/>
    <m/>
    <n v="0"/>
    <s v=""/>
    <n v="0"/>
    <n v="0"/>
    <n v="0"/>
    <n v="116.88487613461319"/>
    <n v="2225"/>
    <n v="71535.307499999995"/>
    <n v="0"/>
    <n v="0"/>
    <n v="0"/>
    <n v="0"/>
    <n v="0"/>
    <n v="0"/>
  </r>
  <r>
    <x v="125"/>
    <x v="16"/>
    <x v="7"/>
    <m/>
    <m/>
    <n v="0"/>
    <m/>
    <m/>
    <n v="0"/>
    <m/>
    <m/>
    <n v="0"/>
    <s v=""/>
    <n v="0"/>
    <n v="0"/>
    <n v="0"/>
    <n v="116.88487613461319"/>
    <n v="2225"/>
    <n v="71535.307499999995"/>
    <n v="0"/>
    <n v="0"/>
    <n v="0"/>
    <n v="0"/>
    <n v="0"/>
    <n v="0"/>
  </r>
  <r>
    <x v="126"/>
    <x v="16"/>
    <x v="7"/>
    <m/>
    <m/>
    <n v="0"/>
    <m/>
    <m/>
    <n v="0"/>
    <m/>
    <m/>
    <n v="0"/>
    <s v=""/>
    <n v="0"/>
    <n v="0"/>
    <n v="0"/>
    <n v="116.88487613461319"/>
    <n v="2225"/>
    <n v="71535.307499999995"/>
    <n v="0"/>
    <n v="0"/>
    <n v="0"/>
    <n v="0"/>
    <n v="0"/>
    <n v="0"/>
  </r>
  <r>
    <x v="127"/>
    <x v="16"/>
    <x v="7"/>
    <m/>
    <m/>
    <n v="0"/>
    <m/>
    <m/>
    <n v="0"/>
    <m/>
    <m/>
    <n v="0"/>
    <s v=""/>
    <n v="0"/>
    <n v="0"/>
    <n v="0"/>
    <n v="116.88487613461319"/>
    <n v="2225"/>
    <n v="71535.307499999995"/>
    <n v="0"/>
    <n v="0"/>
    <n v="0"/>
    <n v="0"/>
    <n v="0"/>
    <n v="0"/>
  </r>
  <r>
    <x v="0"/>
    <x v="17"/>
    <x v="0"/>
    <n v="1703"/>
    <n v="0.52"/>
    <n v="0.88556000000000001"/>
    <m/>
    <m/>
    <n v="0"/>
    <m/>
    <m/>
    <n v="0"/>
    <s v=""/>
    <n v="0"/>
    <n v="0"/>
    <n v="0"/>
    <n v="116.88487613461319"/>
    <n v="2225"/>
    <n v="71535.307499999995"/>
    <n v="0"/>
    <n v="0"/>
    <n v="0"/>
    <n v="0"/>
    <n v="0"/>
    <n v="0"/>
  </r>
  <r>
    <x v="1"/>
    <x v="17"/>
    <x v="0"/>
    <m/>
    <m/>
    <n v="0"/>
    <m/>
    <m/>
    <n v="0"/>
    <m/>
    <m/>
    <n v="0"/>
    <s v=""/>
    <n v="0"/>
    <n v="0"/>
    <n v="0"/>
    <n v="116.88487613461319"/>
    <n v="2225"/>
    <n v="71535.307499999995"/>
    <n v="0"/>
    <n v="0"/>
    <n v="0"/>
    <n v="0"/>
    <n v="0"/>
    <n v="0"/>
  </r>
  <r>
    <x v="2"/>
    <x v="17"/>
    <x v="0"/>
    <m/>
    <m/>
    <n v="0"/>
    <m/>
    <m/>
    <n v="0"/>
    <m/>
    <m/>
    <n v="0"/>
    <s v=""/>
    <n v="0"/>
    <n v="0"/>
    <n v="0"/>
    <n v="116.88487613461319"/>
    <n v="2225"/>
    <n v="71535.307499999995"/>
    <n v="0"/>
    <n v="0"/>
    <n v="0"/>
    <n v="0"/>
    <n v="0"/>
    <n v="0"/>
  </r>
  <r>
    <x v="3"/>
    <x v="17"/>
    <x v="0"/>
    <m/>
    <m/>
    <n v="0"/>
    <m/>
    <m/>
    <n v="0"/>
    <m/>
    <m/>
    <n v="0"/>
    <s v=""/>
    <n v="0"/>
    <n v="0"/>
    <n v="0"/>
    <n v="116.88487613461319"/>
    <n v="2225"/>
    <n v="71535.307499999995"/>
    <n v="0"/>
    <n v="0"/>
    <n v="0"/>
    <n v="0"/>
    <n v="0"/>
    <n v="0"/>
  </r>
  <r>
    <x v="4"/>
    <x v="17"/>
    <x v="1"/>
    <m/>
    <m/>
    <n v="0"/>
    <m/>
    <m/>
    <n v="0"/>
    <m/>
    <m/>
    <n v="0"/>
    <s v=""/>
    <n v="0"/>
    <n v="0"/>
    <n v="0"/>
    <n v="116.88487613461319"/>
    <n v="2225"/>
    <n v="71535.307499999995"/>
    <n v="0"/>
    <n v="0"/>
    <n v="0"/>
    <n v="0"/>
    <n v="0"/>
    <n v="0"/>
  </r>
  <r>
    <x v="5"/>
    <x v="17"/>
    <x v="1"/>
    <m/>
    <m/>
    <n v="0"/>
    <m/>
    <m/>
    <n v="0"/>
    <m/>
    <m/>
    <n v="0"/>
    <s v=""/>
    <n v="0"/>
    <n v="0"/>
    <n v="0"/>
    <n v="116.88487613461319"/>
    <n v="2225"/>
    <n v="71535.307499999995"/>
    <n v="0"/>
    <n v="0"/>
    <n v="0"/>
    <n v="0"/>
    <n v="0"/>
    <n v="0"/>
  </r>
  <r>
    <x v="6"/>
    <x v="17"/>
    <x v="1"/>
    <m/>
    <m/>
    <n v="0"/>
    <m/>
    <m/>
    <n v="0"/>
    <m/>
    <m/>
    <n v="0"/>
    <s v=""/>
    <n v="0"/>
    <n v="0"/>
    <n v="0"/>
    <n v="116.88487613461319"/>
    <n v="2225"/>
    <n v="71535.307499999995"/>
    <n v="0"/>
    <n v="0"/>
    <n v="0"/>
    <n v="0"/>
    <n v="0"/>
    <n v="0"/>
  </r>
  <r>
    <x v="7"/>
    <x v="17"/>
    <x v="2"/>
    <m/>
    <m/>
    <n v="0"/>
    <m/>
    <m/>
    <n v="0"/>
    <m/>
    <m/>
    <n v="0"/>
    <s v=""/>
    <n v="0"/>
    <n v="0"/>
    <n v="0"/>
    <n v="116.88487613461319"/>
    <n v="2225"/>
    <n v="71535.307499999995"/>
    <n v="0"/>
    <n v="0"/>
    <n v="0"/>
    <n v="0"/>
    <n v="0"/>
    <n v="0"/>
  </r>
  <r>
    <x v="8"/>
    <x v="17"/>
    <x v="2"/>
    <m/>
    <m/>
    <n v="0"/>
    <m/>
    <m/>
    <n v="0"/>
    <m/>
    <m/>
    <n v="0"/>
    <s v=""/>
    <n v="0"/>
    <n v="0"/>
    <n v="0"/>
    <n v="116.88487613461319"/>
    <n v="2225"/>
    <n v="71535.307499999995"/>
    <n v="0"/>
    <n v="0"/>
    <n v="0"/>
    <n v="0"/>
    <n v="0"/>
    <n v="0"/>
  </r>
  <r>
    <x v="9"/>
    <x v="17"/>
    <x v="2"/>
    <m/>
    <m/>
    <n v="0"/>
    <m/>
    <m/>
    <n v="0"/>
    <m/>
    <m/>
    <n v="0"/>
    <s v=""/>
    <n v="0"/>
    <n v="0"/>
    <n v="0"/>
    <n v="116.88487613461319"/>
    <n v="2225"/>
    <n v="71535.307499999995"/>
    <n v="0"/>
    <n v="0"/>
    <n v="0"/>
    <n v="0"/>
    <n v="0"/>
    <n v="0"/>
  </r>
  <r>
    <x v="10"/>
    <x v="17"/>
    <x v="2"/>
    <m/>
    <m/>
    <n v="0"/>
    <m/>
    <m/>
    <n v="0"/>
    <m/>
    <m/>
    <n v="0"/>
    <s v=""/>
    <n v="0"/>
    <n v="0"/>
    <n v="0"/>
    <n v="116.88487613461319"/>
    <n v="2225"/>
    <n v="71535.307499999995"/>
    <n v="0"/>
    <n v="0"/>
    <n v="0"/>
    <n v="0"/>
    <n v="0"/>
    <n v="0"/>
  </r>
  <r>
    <x v="11"/>
    <x v="17"/>
    <x v="2"/>
    <m/>
    <m/>
    <n v="0"/>
    <m/>
    <m/>
    <n v="0"/>
    <m/>
    <m/>
    <n v="0"/>
    <s v=""/>
    <n v="0"/>
    <n v="0"/>
    <n v="0"/>
    <n v="116.88487613461319"/>
    <n v="2225"/>
    <n v="71535.307499999995"/>
    <n v="0"/>
    <n v="0"/>
    <n v="0"/>
    <n v="0"/>
    <n v="0"/>
    <n v="0"/>
  </r>
  <r>
    <x v="12"/>
    <x v="17"/>
    <x v="2"/>
    <n v="1872"/>
    <n v="1.72"/>
    <n v="3.21984"/>
    <m/>
    <m/>
    <n v="0"/>
    <m/>
    <m/>
    <n v="0"/>
    <s v=""/>
    <n v="0"/>
    <n v="0"/>
    <n v="0"/>
    <n v="116.88487613461319"/>
    <n v="2225"/>
    <n v="71535.307499999995"/>
    <n v="0"/>
    <n v="0"/>
    <n v="0"/>
    <n v="0"/>
    <n v="0"/>
    <n v="0"/>
  </r>
  <r>
    <x v="13"/>
    <x v="17"/>
    <x v="2"/>
    <m/>
    <m/>
    <n v="0"/>
    <m/>
    <m/>
    <n v="0"/>
    <m/>
    <m/>
    <n v="0"/>
    <s v=""/>
    <n v="0"/>
    <n v="0"/>
    <n v="0"/>
    <n v="116.88487613461319"/>
    <n v="2225"/>
    <n v="71535.307499999995"/>
    <n v="0"/>
    <n v="0"/>
    <n v="0"/>
    <n v="0"/>
    <n v="0"/>
    <n v="0"/>
  </r>
  <r>
    <x v="14"/>
    <x v="17"/>
    <x v="2"/>
    <m/>
    <m/>
    <n v="0"/>
    <m/>
    <m/>
    <n v="0"/>
    <m/>
    <m/>
    <n v="0"/>
    <s v=""/>
    <n v="0"/>
    <n v="0"/>
    <n v="0"/>
    <n v="116.88487613461319"/>
    <n v="2225"/>
    <n v="71535.307499999995"/>
    <n v="0"/>
    <n v="0"/>
    <n v="0"/>
    <n v="0"/>
    <n v="0"/>
    <n v="0"/>
  </r>
  <r>
    <x v="15"/>
    <x v="17"/>
    <x v="2"/>
    <m/>
    <m/>
    <n v="0"/>
    <m/>
    <m/>
    <n v="0"/>
    <m/>
    <m/>
    <n v="0"/>
    <s v=""/>
    <n v="0"/>
    <n v="0"/>
    <n v="0"/>
    <n v="116.88487613461319"/>
    <n v="2225"/>
    <n v="71535.307499999995"/>
    <n v="0"/>
    <n v="0"/>
    <n v="0"/>
    <n v="0"/>
    <n v="0"/>
    <n v="0"/>
  </r>
  <r>
    <x v="16"/>
    <x v="17"/>
    <x v="2"/>
    <m/>
    <m/>
    <n v="0"/>
    <m/>
    <m/>
    <n v="0"/>
    <m/>
    <m/>
    <n v="0"/>
    <s v=""/>
    <n v="0"/>
    <n v="0"/>
    <n v="0"/>
    <n v="116.88487613461319"/>
    <n v="2225"/>
    <n v="71535.307499999995"/>
    <n v="0"/>
    <n v="0"/>
    <n v="0"/>
    <n v="0"/>
    <n v="0"/>
    <n v="0"/>
  </r>
  <r>
    <x v="17"/>
    <x v="17"/>
    <x v="3"/>
    <m/>
    <m/>
    <n v="0"/>
    <m/>
    <m/>
    <n v="0"/>
    <m/>
    <m/>
    <n v="0"/>
    <s v=""/>
    <n v="0"/>
    <n v="0"/>
    <n v="0"/>
    <n v="116.88487613461319"/>
    <n v="2225"/>
    <n v="71535.307499999995"/>
    <n v="0"/>
    <n v="0"/>
    <n v="0"/>
    <n v="0"/>
    <n v="0"/>
    <n v="0"/>
  </r>
  <r>
    <x v="18"/>
    <x v="17"/>
    <x v="3"/>
    <m/>
    <m/>
    <n v="0"/>
    <m/>
    <m/>
    <n v="0"/>
    <m/>
    <m/>
    <n v="0"/>
    <s v=""/>
    <n v="0"/>
    <n v="0"/>
    <n v="0"/>
    <n v="116.88487613461319"/>
    <n v="2225"/>
    <n v="71535.307499999995"/>
    <n v="0"/>
    <n v="0"/>
    <n v="0"/>
    <n v="0"/>
    <n v="0"/>
    <n v="0"/>
  </r>
  <r>
    <x v="19"/>
    <x v="17"/>
    <x v="3"/>
    <m/>
    <m/>
    <n v="0"/>
    <m/>
    <m/>
    <n v="0"/>
    <m/>
    <m/>
    <n v="0"/>
    <s v=""/>
    <n v="0"/>
    <n v="0"/>
    <n v="0"/>
    <n v="116.88487613461319"/>
    <n v="2225"/>
    <n v="71535.307499999995"/>
    <n v="0"/>
    <n v="0"/>
    <n v="0"/>
    <n v="0"/>
    <n v="0"/>
    <n v="0"/>
  </r>
  <r>
    <x v="20"/>
    <x v="17"/>
    <x v="3"/>
    <m/>
    <m/>
    <n v="0"/>
    <m/>
    <m/>
    <n v="0"/>
    <m/>
    <m/>
    <n v="0"/>
    <s v=""/>
    <n v="0"/>
    <n v="0"/>
    <n v="0"/>
    <n v="116.88487613461319"/>
    <n v="2225"/>
    <n v="71535.307499999995"/>
    <n v="0"/>
    <n v="0"/>
    <n v="0"/>
    <n v="0"/>
    <n v="0"/>
    <n v="0"/>
  </r>
  <r>
    <x v="21"/>
    <x v="17"/>
    <x v="3"/>
    <m/>
    <m/>
    <n v="0"/>
    <m/>
    <m/>
    <n v="0"/>
    <m/>
    <m/>
    <n v="0"/>
    <s v=""/>
    <n v="0"/>
    <n v="0"/>
    <n v="0"/>
    <n v="116.88487613461319"/>
    <n v="2225"/>
    <n v="71535.307499999995"/>
    <n v="0"/>
    <n v="0"/>
    <n v="0"/>
    <n v="0"/>
    <n v="0"/>
    <n v="0"/>
  </r>
  <r>
    <x v="22"/>
    <x v="17"/>
    <x v="3"/>
    <m/>
    <m/>
    <n v="0"/>
    <m/>
    <m/>
    <n v="0"/>
    <m/>
    <m/>
    <n v="0"/>
    <s v=""/>
    <n v="0"/>
    <n v="0"/>
    <n v="0"/>
    <n v="116.88487613461319"/>
    <n v="2225"/>
    <n v="71535.307499999995"/>
    <n v="0"/>
    <n v="0"/>
    <n v="0"/>
    <n v="0"/>
    <n v="0"/>
    <n v="0"/>
  </r>
  <r>
    <x v="23"/>
    <x v="17"/>
    <x v="3"/>
    <m/>
    <m/>
    <n v="0"/>
    <m/>
    <m/>
    <n v="0"/>
    <m/>
    <m/>
    <n v="0"/>
    <s v=""/>
    <n v="0"/>
    <n v="0"/>
    <n v="0"/>
    <n v="116.88487613461319"/>
    <n v="2225"/>
    <n v="71535.307499999995"/>
    <n v="0"/>
    <n v="0"/>
    <n v="0"/>
    <n v="0"/>
    <n v="0"/>
    <n v="0"/>
  </r>
  <r>
    <x v="24"/>
    <x v="17"/>
    <x v="3"/>
    <m/>
    <m/>
    <n v="0"/>
    <m/>
    <m/>
    <n v="0"/>
    <m/>
    <m/>
    <n v="0"/>
    <s v=""/>
    <n v="0"/>
    <n v="0"/>
    <n v="0"/>
    <n v="116.88487613461319"/>
    <n v="2225"/>
    <n v="71535.307499999995"/>
    <n v="0"/>
    <n v="0"/>
    <n v="0"/>
    <n v="0"/>
    <n v="0"/>
    <n v="0"/>
  </r>
  <r>
    <x v="25"/>
    <x v="17"/>
    <x v="3"/>
    <m/>
    <m/>
    <n v="0"/>
    <m/>
    <m/>
    <n v="0"/>
    <m/>
    <m/>
    <n v="0"/>
    <s v=""/>
    <n v="0"/>
    <n v="0"/>
    <n v="0"/>
    <n v="116.88487613461319"/>
    <n v="2225"/>
    <n v="71535.307499999995"/>
    <n v="0"/>
    <n v="0"/>
    <n v="0"/>
    <n v="0"/>
    <n v="0"/>
    <n v="0"/>
  </r>
  <r>
    <x v="26"/>
    <x v="17"/>
    <x v="3"/>
    <m/>
    <m/>
    <n v="0"/>
    <m/>
    <m/>
    <n v="0"/>
    <m/>
    <m/>
    <n v="0"/>
    <s v=""/>
    <n v="0"/>
    <n v="0"/>
    <n v="0"/>
    <n v="116.88487613461319"/>
    <n v="2225"/>
    <n v="71535.307499999995"/>
    <n v="0"/>
    <n v="0"/>
    <n v="0"/>
    <n v="0"/>
    <n v="0"/>
    <n v="0"/>
  </r>
  <r>
    <x v="27"/>
    <x v="17"/>
    <x v="3"/>
    <m/>
    <m/>
    <n v="0"/>
    <m/>
    <m/>
    <n v="0"/>
    <m/>
    <m/>
    <n v="0"/>
    <s v=""/>
    <n v="0"/>
    <n v="0"/>
    <n v="0"/>
    <n v="116.88487613461319"/>
    <n v="2225"/>
    <n v="71535.307499999995"/>
    <n v="0"/>
    <n v="0"/>
    <n v="0"/>
    <n v="0"/>
    <n v="0"/>
    <n v="0"/>
  </r>
  <r>
    <x v="28"/>
    <x v="17"/>
    <x v="3"/>
    <m/>
    <m/>
    <n v="0"/>
    <m/>
    <m/>
    <n v="0"/>
    <m/>
    <m/>
    <n v="0"/>
    <s v=""/>
    <n v="0"/>
    <n v="0"/>
    <n v="0"/>
    <n v="116.88487613461319"/>
    <n v="2225"/>
    <n v="71535.307499999995"/>
    <n v="0"/>
    <n v="0"/>
    <n v="0"/>
    <n v="0"/>
    <n v="0"/>
    <n v="0"/>
  </r>
  <r>
    <x v="29"/>
    <x v="17"/>
    <x v="3"/>
    <m/>
    <m/>
    <n v="0"/>
    <m/>
    <m/>
    <n v="0"/>
    <m/>
    <m/>
    <n v="0"/>
    <s v=""/>
    <n v="0"/>
    <n v="0"/>
    <n v="0"/>
    <n v="116.88487613461319"/>
    <n v="2225"/>
    <n v="71535.307499999995"/>
    <n v="0"/>
    <n v="0"/>
    <n v="0"/>
    <n v="0"/>
    <n v="0"/>
    <n v="0"/>
  </r>
  <r>
    <x v="30"/>
    <x v="17"/>
    <x v="3"/>
    <m/>
    <m/>
    <n v="0"/>
    <m/>
    <m/>
    <n v="0"/>
    <m/>
    <m/>
    <n v="0"/>
    <s v=""/>
    <n v="0"/>
    <n v="0"/>
    <n v="0"/>
    <n v="116.88487613461319"/>
    <n v="2225"/>
    <n v="71535.307499999995"/>
    <n v="0"/>
    <n v="0"/>
    <n v="0"/>
    <n v="0"/>
    <n v="0"/>
    <n v="0"/>
  </r>
  <r>
    <x v="31"/>
    <x v="17"/>
    <x v="3"/>
    <m/>
    <m/>
    <n v="0"/>
    <m/>
    <m/>
    <n v="0"/>
    <m/>
    <m/>
    <n v="0"/>
    <s v=""/>
    <n v="0"/>
    <n v="0"/>
    <n v="0"/>
    <n v="116.88487613461319"/>
    <n v="2225"/>
    <n v="71535.307499999995"/>
    <n v="0"/>
    <n v="0"/>
    <n v="0"/>
    <n v="0"/>
    <n v="0"/>
    <n v="0"/>
  </r>
  <r>
    <x v="32"/>
    <x v="17"/>
    <x v="3"/>
    <m/>
    <m/>
    <n v="0"/>
    <m/>
    <m/>
    <n v="0"/>
    <m/>
    <m/>
    <n v="0"/>
    <s v=""/>
    <n v="0"/>
    <n v="0"/>
    <n v="0"/>
    <n v="116.88487613461319"/>
    <n v="2225"/>
    <n v="71535.307499999995"/>
    <n v="0"/>
    <n v="0"/>
    <n v="0"/>
    <n v="0"/>
    <n v="0"/>
    <n v="0"/>
  </r>
  <r>
    <x v="33"/>
    <x v="17"/>
    <x v="3"/>
    <m/>
    <m/>
    <n v="0"/>
    <m/>
    <m/>
    <n v="0"/>
    <m/>
    <m/>
    <n v="0"/>
    <s v=""/>
    <n v="0"/>
    <n v="0"/>
    <n v="0"/>
    <n v="116.88487613461319"/>
    <n v="2225"/>
    <n v="71535.307499999995"/>
    <n v="0"/>
    <n v="0"/>
    <n v="0"/>
    <n v="0"/>
    <n v="0"/>
    <n v="0"/>
  </r>
  <r>
    <x v="34"/>
    <x v="17"/>
    <x v="3"/>
    <n v="1873"/>
    <n v="1.4"/>
    <n v="2.6221999999999999"/>
    <m/>
    <m/>
    <n v="0"/>
    <m/>
    <m/>
    <n v="0"/>
    <s v=""/>
    <n v="0"/>
    <n v="0"/>
    <n v="0"/>
    <n v="116.88487613461319"/>
    <n v="2225"/>
    <n v="71535.307499999995"/>
    <n v="0"/>
    <n v="0"/>
    <n v="0"/>
    <n v="0"/>
    <n v="0"/>
    <n v="0"/>
  </r>
  <r>
    <x v="35"/>
    <x v="17"/>
    <x v="3"/>
    <m/>
    <m/>
    <n v="0"/>
    <m/>
    <m/>
    <n v="0"/>
    <m/>
    <m/>
    <n v="0"/>
    <s v=""/>
    <n v="0"/>
    <n v="0"/>
    <n v="0"/>
    <n v="116.88487613461319"/>
    <n v="2225"/>
    <n v="71535.307499999995"/>
    <n v="0"/>
    <n v="0"/>
    <n v="0"/>
    <n v="0"/>
    <n v="0"/>
    <n v="0"/>
  </r>
  <r>
    <x v="36"/>
    <x v="17"/>
    <x v="3"/>
    <m/>
    <m/>
    <n v="0"/>
    <m/>
    <m/>
    <n v="0"/>
    <m/>
    <m/>
    <n v="0"/>
    <s v=""/>
    <n v="0"/>
    <n v="0"/>
    <n v="0"/>
    <n v="116.88487613461319"/>
    <n v="2225"/>
    <n v="71535.307499999995"/>
    <n v="0"/>
    <n v="0"/>
    <n v="0"/>
    <n v="0"/>
    <n v="0"/>
    <n v="0"/>
  </r>
  <r>
    <x v="37"/>
    <x v="17"/>
    <x v="3"/>
    <m/>
    <m/>
    <n v="0"/>
    <m/>
    <m/>
    <n v="0"/>
    <m/>
    <m/>
    <n v="0"/>
    <s v=""/>
    <n v="0"/>
    <n v="0"/>
    <n v="0"/>
    <n v="116.88487613461319"/>
    <n v="2225"/>
    <n v="71535.307499999995"/>
    <n v="0"/>
    <n v="0"/>
    <n v="0"/>
    <n v="0"/>
    <n v="0"/>
    <n v="0"/>
  </r>
  <r>
    <x v="38"/>
    <x v="17"/>
    <x v="3"/>
    <m/>
    <m/>
    <n v="0"/>
    <m/>
    <m/>
    <n v="0"/>
    <m/>
    <m/>
    <n v="0"/>
    <s v=""/>
    <n v="0"/>
    <n v="0"/>
    <n v="0"/>
    <n v="116.88487613461319"/>
    <n v="2225"/>
    <n v="71535.307499999995"/>
    <n v="0"/>
    <n v="0"/>
    <n v="0"/>
    <n v="0"/>
    <n v="0"/>
    <n v="0"/>
  </r>
  <r>
    <x v="39"/>
    <x v="17"/>
    <x v="3"/>
    <m/>
    <m/>
    <n v="0"/>
    <m/>
    <m/>
    <n v="0"/>
    <m/>
    <m/>
    <n v="0"/>
    <s v=""/>
    <n v="0"/>
    <n v="0"/>
    <n v="0"/>
    <n v="116.88487613461319"/>
    <n v="2225"/>
    <n v="71535.307499999995"/>
    <n v="0"/>
    <n v="0"/>
    <n v="0"/>
    <n v="0"/>
    <n v="0"/>
    <n v="0"/>
  </r>
  <r>
    <x v="40"/>
    <x v="17"/>
    <x v="3"/>
    <m/>
    <m/>
    <n v="0"/>
    <m/>
    <m/>
    <n v="0"/>
    <m/>
    <m/>
    <n v="0"/>
    <s v=""/>
    <n v="0"/>
    <n v="0"/>
    <n v="0"/>
    <n v="116.88487613461319"/>
    <n v="2225"/>
    <n v="71535.307499999995"/>
    <n v="0"/>
    <n v="0"/>
    <n v="0"/>
    <n v="0"/>
    <n v="0"/>
    <n v="0"/>
  </r>
  <r>
    <x v="41"/>
    <x v="17"/>
    <x v="3"/>
    <m/>
    <m/>
    <n v="0"/>
    <m/>
    <m/>
    <n v="0"/>
    <m/>
    <m/>
    <n v="0"/>
    <s v=""/>
    <n v="0"/>
    <n v="0"/>
    <n v="0"/>
    <n v="116.88487613461319"/>
    <n v="2225"/>
    <n v="71535.307499999995"/>
    <n v="0"/>
    <n v="0"/>
    <n v="0"/>
    <n v="0"/>
    <n v="0"/>
    <n v="0"/>
  </r>
  <r>
    <x v="42"/>
    <x v="17"/>
    <x v="3"/>
    <m/>
    <m/>
    <n v="0"/>
    <m/>
    <m/>
    <n v="0"/>
    <m/>
    <m/>
    <n v="0"/>
    <s v=""/>
    <n v="0"/>
    <n v="0"/>
    <n v="0"/>
    <n v="116.88487613461319"/>
    <n v="2225"/>
    <n v="71535.307499999995"/>
    <n v="0"/>
    <n v="0"/>
    <n v="0"/>
    <n v="0"/>
    <n v="0"/>
    <n v="0"/>
  </r>
  <r>
    <x v="43"/>
    <x v="17"/>
    <x v="3"/>
    <m/>
    <m/>
    <n v="0"/>
    <m/>
    <m/>
    <n v="0"/>
    <m/>
    <m/>
    <n v="0"/>
    <s v=""/>
    <n v="0"/>
    <n v="0"/>
    <n v="0"/>
    <n v="116.88487613461319"/>
    <n v="2225"/>
    <n v="71535.307499999995"/>
    <n v="0"/>
    <n v="0"/>
    <n v="0"/>
    <n v="0"/>
    <n v="0"/>
    <n v="0"/>
  </r>
  <r>
    <x v="44"/>
    <x v="17"/>
    <x v="3"/>
    <m/>
    <m/>
    <n v="0"/>
    <m/>
    <m/>
    <n v="0"/>
    <m/>
    <m/>
    <n v="0"/>
    <s v=""/>
    <n v="0"/>
    <n v="0"/>
    <n v="0"/>
    <n v="116.88487613461319"/>
    <n v="2225"/>
    <n v="71535.307499999995"/>
    <n v="0"/>
    <n v="0"/>
    <n v="0"/>
    <n v="0"/>
    <n v="0"/>
    <n v="0"/>
  </r>
  <r>
    <x v="45"/>
    <x v="17"/>
    <x v="3"/>
    <m/>
    <m/>
    <n v="0"/>
    <m/>
    <m/>
    <n v="0"/>
    <m/>
    <m/>
    <n v="0"/>
    <s v=""/>
    <n v="0"/>
    <n v="0"/>
    <n v="0"/>
    <n v="116.88487613461319"/>
    <n v="2225"/>
    <n v="71535.307499999995"/>
    <n v="0"/>
    <n v="0"/>
    <n v="0"/>
    <n v="0"/>
    <n v="0"/>
    <n v="0"/>
  </r>
  <r>
    <x v="46"/>
    <x v="17"/>
    <x v="3"/>
    <m/>
    <m/>
    <m/>
    <m/>
    <m/>
    <m/>
    <m/>
    <m/>
    <m/>
    <m/>
    <m/>
    <m/>
    <m/>
    <m/>
    <m/>
    <m/>
    <m/>
    <m/>
    <m/>
    <m/>
    <m/>
    <m/>
  </r>
  <r>
    <x v="47"/>
    <x v="17"/>
    <x v="3"/>
    <m/>
    <m/>
    <n v="0"/>
    <m/>
    <m/>
    <n v="0"/>
    <m/>
    <m/>
    <m/>
    <m/>
    <m/>
    <m/>
    <m/>
    <m/>
    <m/>
    <m/>
    <m/>
    <m/>
    <m/>
    <m/>
    <m/>
    <m/>
  </r>
  <r>
    <x v="48"/>
    <x v="17"/>
    <x v="3"/>
    <m/>
    <m/>
    <n v="0"/>
    <m/>
    <m/>
    <n v="0"/>
    <m/>
    <m/>
    <m/>
    <m/>
    <m/>
    <m/>
    <m/>
    <m/>
    <m/>
    <m/>
    <m/>
    <m/>
    <m/>
    <m/>
    <m/>
    <m/>
  </r>
  <r>
    <x v="49"/>
    <x v="17"/>
    <x v="3"/>
    <m/>
    <m/>
    <n v="0"/>
    <m/>
    <m/>
    <n v="0"/>
    <m/>
    <m/>
    <n v="0"/>
    <s v=""/>
    <n v="0"/>
    <n v="0"/>
    <n v="0"/>
    <n v="116.88487613461319"/>
    <n v="2225"/>
    <n v="71535.307499999995"/>
    <n v="0"/>
    <n v="0"/>
    <n v="0"/>
    <n v="0"/>
    <n v="0"/>
    <n v="0"/>
  </r>
  <r>
    <x v="50"/>
    <x v="17"/>
    <x v="4"/>
    <m/>
    <m/>
    <n v="0"/>
    <m/>
    <m/>
    <n v="0"/>
    <m/>
    <m/>
    <n v="0"/>
    <s v=""/>
    <n v="0"/>
    <n v="0"/>
    <n v="0"/>
    <n v="116.88487613461319"/>
    <n v="2225"/>
    <n v="71535.307499999995"/>
    <n v="0"/>
    <n v="0"/>
    <n v="0"/>
    <n v="0"/>
    <n v="0"/>
    <n v="0"/>
  </r>
  <r>
    <x v="51"/>
    <x v="17"/>
    <x v="4"/>
    <m/>
    <m/>
    <n v="0"/>
    <m/>
    <m/>
    <n v="0"/>
    <m/>
    <m/>
    <n v="0"/>
    <s v=""/>
    <n v="0"/>
    <n v="0"/>
    <n v="0"/>
    <n v="116.88487613461319"/>
    <n v="2225"/>
    <n v="71535.307499999995"/>
    <n v="0"/>
    <n v="0"/>
    <n v="0"/>
    <n v="0"/>
    <n v="0"/>
    <n v="0"/>
  </r>
  <r>
    <x v="52"/>
    <x v="17"/>
    <x v="4"/>
    <m/>
    <m/>
    <n v="0"/>
    <m/>
    <m/>
    <n v="0"/>
    <m/>
    <m/>
    <n v="0"/>
    <s v=""/>
    <n v="0"/>
    <n v="0"/>
    <n v="0"/>
    <n v="116.88487613461319"/>
    <n v="2225"/>
    <n v="71535.307499999995"/>
    <n v="0"/>
    <n v="0"/>
    <n v="0"/>
    <n v="0"/>
    <n v="0"/>
    <n v="0"/>
  </r>
  <r>
    <x v="53"/>
    <x v="17"/>
    <x v="4"/>
    <m/>
    <m/>
    <n v="0"/>
    <m/>
    <m/>
    <n v="0"/>
    <m/>
    <m/>
    <n v="0"/>
    <s v=""/>
    <n v="0"/>
    <n v="0"/>
    <n v="0"/>
    <n v="116.88487613461319"/>
    <n v="2225"/>
    <n v="71535.307499999995"/>
    <n v="0"/>
    <n v="0"/>
    <n v="0"/>
    <n v="0"/>
    <n v="0"/>
    <n v="0"/>
  </r>
  <r>
    <x v="54"/>
    <x v="17"/>
    <x v="4"/>
    <m/>
    <m/>
    <n v="0"/>
    <m/>
    <m/>
    <n v="0"/>
    <m/>
    <m/>
    <n v="0"/>
    <s v=""/>
    <n v="0"/>
    <n v="0"/>
    <n v="0"/>
    <n v="116.88487613461319"/>
    <n v="2225"/>
    <n v="71535.307499999995"/>
    <n v="0"/>
    <n v="0"/>
    <n v="0"/>
    <n v="0"/>
    <n v="0"/>
    <n v="0"/>
  </r>
  <r>
    <x v="55"/>
    <x v="17"/>
    <x v="4"/>
    <m/>
    <m/>
    <n v="0"/>
    <m/>
    <m/>
    <n v="0"/>
    <m/>
    <m/>
    <n v="0"/>
    <s v=""/>
    <n v="0"/>
    <n v="0"/>
    <n v="0"/>
    <n v="116.88487613461319"/>
    <n v="2225"/>
    <n v="71535.307499999995"/>
    <n v="0"/>
    <n v="0"/>
    <n v="0"/>
    <n v="0"/>
    <n v="0"/>
    <n v="0"/>
  </r>
  <r>
    <x v="56"/>
    <x v="17"/>
    <x v="4"/>
    <m/>
    <m/>
    <n v="0"/>
    <m/>
    <m/>
    <n v="0"/>
    <m/>
    <m/>
    <n v="0"/>
    <s v=""/>
    <n v="0"/>
    <n v="0"/>
    <n v="0"/>
    <n v="116.88487613461319"/>
    <n v="2225"/>
    <n v="71535.307499999995"/>
    <n v="0"/>
    <n v="0"/>
    <n v="0"/>
    <n v="0"/>
    <n v="0"/>
    <n v="0"/>
  </r>
  <r>
    <x v="57"/>
    <x v="17"/>
    <x v="4"/>
    <m/>
    <m/>
    <n v="0"/>
    <m/>
    <m/>
    <n v="0"/>
    <m/>
    <m/>
    <n v="0"/>
    <s v=""/>
    <n v="0"/>
    <n v="0"/>
    <n v="0"/>
    <n v="116.88487613461319"/>
    <n v="2225"/>
    <n v="71535.307499999995"/>
    <n v="0"/>
    <n v="0"/>
    <n v="0"/>
    <n v="0"/>
    <n v="0"/>
    <n v="0"/>
  </r>
  <r>
    <x v="58"/>
    <x v="17"/>
    <x v="4"/>
    <m/>
    <m/>
    <n v="0"/>
    <m/>
    <m/>
    <n v="0"/>
    <m/>
    <m/>
    <n v="0"/>
    <s v=""/>
    <n v="0"/>
    <n v="0"/>
    <n v="0"/>
    <n v="116.88487613461319"/>
    <n v="2225"/>
    <n v="71535.307499999995"/>
    <n v="0"/>
    <n v="0"/>
    <n v="0"/>
    <n v="0"/>
    <n v="0"/>
    <n v="0"/>
  </r>
  <r>
    <x v="59"/>
    <x v="17"/>
    <x v="4"/>
    <m/>
    <m/>
    <n v="0"/>
    <m/>
    <m/>
    <n v="0"/>
    <m/>
    <m/>
    <n v="0"/>
    <s v=""/>
    <n v="0"/>
    <n v="0"/>
    <n v="0"/>
    <n v="116.88487613461319"/>
    <n v="2225"/>
    <n v="71535.307499999995"/>
    <n v="0"/>
    <n v="0"/>
    <n v="0"/>
    <n v="0"/>
    <n v="0"/>
    <n v="0"/>
  </r>
  <r>
    <x v="60"/>
    <x v="17"/>
    <x v="4"/>
    <n v="1823"/>
    <n v="3.97"/>
    <n v="7.2373100000000008"/>
    <m/>
    <m/>
    <n v="0"/>
    <m/>
    <m/>
    <n v="0"/>
    <s v=""/>
    <n v="0"/>
    <n v="0"/>
    <n v="0"/>
    <n v="116.88487613461319"/>
    <n v="2225"/>
    <n v="71535.307499999995"/>
    <n v="0"/>
    <n v="0"/>
    <n v="0"/>
    <n v="0"/>
    <n v="0"/>
    <n v="0"/>
  </r>
  <r>
    <x v="61"/>
    <x v="17"/>
    <x v="4"/>
    <n v="110"/>
    <n v="3.33"/>
    <n v="0.36630000000000001"/>
    <m/>
    <m/>
    <n v="0"/>
    <m/>
    <m/>
    <n v="0"/>
    <s v=""/>
    <n v="0"/>
    <n v="0"/>
    <n v="0"/>
    <n v="116.88487613461319"/>
    <n v="2225"/>
    <n v="71535.307499999995"/>
    <n v="0"/>
    <n v="0"/>
    <n v="0"/>
    <n v="0"/>
    <n v="0"/>
    <n v="0"/>
  </r>
  <r>
    <x v="62"/>
    <x v="17"/>
    <x v="4"/>
    <m/>
    <m/>
    <n v="0"/>
    <m/>
    <m/>
    <n v="0"/>
    <m/>
    <m/>
    <n v="0"/>
    <s v=""/>
    <n v="0"/>
    <n v="0"/>
    <n v="0"/>
    <n v="116.88487613461319"/>
    <n v="2225"/>
    <n v="71535.307499999995"/>
    <n v="0"/>
    <n v="0"/>
    <n v="0"/>
    <n v="0"/>
    <n v="0"/>
    <n v="0"/>
  </r>
  <r>
    <x v="63"/>
    <x v="17"/>
    <x v="4"/>
    <n v="1210"/>
    <n v="1.89"/>
    <n v="2.2869000000000002"/>
    <m/>
    <m/>
    <n v="0"/>
    <m/>
    <m/>
    <n v="0"/>
    <s v=""/>
    <n v="0"/>
    <n v="0"/>
    <n v="0"/>
    <n v="116.88487613461319"/>
    <n v="2225"/>
    <n v="71535.307499999995"/>
    <n v="0"/>
    <n v="0"/>
    <n v="0"/>
    <n v="0"/>
    <n v="0"/>
    <n v="0"/>
  </r>
  <r>
    <x v="64"/>
    <x v="17"/>
    <x v="4"/>
    <m/>
    <m/>
    <n v="0"/>
    <m/>
    <m/>
    <n v="0"/>
    <m/>
    <m/>
    <n v="0"/>
    <s v=""/>
    <n v="0"/>
    <n v="0"/>
    <n v="0"/>
    <n v="116.88487613461319"/>
    <n v="2225"/>
    <n v="71535.307499999995"/>
    <n v="0"/>
    <n v="0"/>
    <n v="0"/>
    <n v="0"/>
    <n v="0"/>
    <n v="0"/>
  </r>
  <r>
    <x v="65"/>
    <x v="17"/>
    <x v="4"/>
    <m/>
    <m/>
    <n v="0"/>
    <m/>
    <m/>
    <n v="0"/>
    <m/>
    <m/>
    <n v="0"/>
    <s v=""/>
    <n v="0"/>
    <n v="0"/>
    <n v="0"/>
    <n v="116.88487613461319"/>
    <n v="2225"/>
    <n v="71535.307499999995"/>
    <n v="0"/>
    <n v="0"/>
    <n v="0"/>
    <n v="0"/>
    <n v="0"/>
    <n v="0"/>
  </r>
  <r>
    <x v="66"/>
    <x v="17"/>
    <x v="4"/>
    <m/>
    <m/>
    <n v="0"/>
    <m/>
    <m/>
    <n v="0"/>
    <m/>
    <m/>
    <n v="0"/>
    <s v=""/>
    <n v="0"/>
    <n v="0"/>
    <n v="0"/>
    <n v="116.88487613461319"/>
    <n v="2225"/>
    <n v="71535.307499999995"/>
    <n v="0"/>
    <n v="0"/>
    <n v="0"/>
    <n v="0"/>
    <n v="0"/>
    <n v="0"/>
  </r>
  <r>
    <x v="67"/>
    <x v="17"/>
    <x v="4"/>
    <m/>
    <m/>
    <n v="0"/>
    <m/>
    <m/>
    <n v="0"/>
    <m/>
    <m/>
    <n v="0"/>
    <s v=""/>
    <n v="0"/>
    <n v="0"/>
    <n v="0"/>
    <n v="116.88487613461319"/>
    <n v="2225"/>
    <n v="71535.307499999995"/>
    <n v="0"/>
    <n v="0"/>
    <n v="0"/>
    <n v="0"/>
    <n v="0"/>
    <n v="0"/>
  </r>
  <r>
    <x v="68"/>
    <x v="17"/>
    <x v="4"/>
    <m/>
    <m/>
    <n v="0"/>
    <m/>
    <m/>
    <n v="0"/>
    <m/>
    <m/>
    <n v="0"/>
    <s v=""/>
    <n v="0"/>
    <n v="0"/>
    <n v="0"/>
    <n v="116.88487613461319"/>
    <n v="2225"/>
    <n v="71535.307499999995"/>
    <n v="0"/>
    <n v="0"/>
    <n v="0"/>
    <n v="0"/>
    <n v="0"/>
    <n v="0"/>
  </r>
  <r>
    <x v="69"/>
    <x v="17"/>
    <x v="4"/>
    <m/>
    <m/>
    <n v="0"/>
    <m/>
    <m/>
    <n v="0"/>
    <m/>
    <m/>
    <n v="0"/>
    <s v=""/>
    <n v="0"/>
    <n v="0"/>
    <n v="0"/>
    <n v="116.88487613461319"/>
    <n v="2225"/>
    <n v="71535.307499999995"/>
    <n v="0"/>
    <n v="0"/>
    <n v="0"/>
    <n v="0"/>
    <n v="0"/>
    <n v="0"/>
  </r>
  <r>
    <x v="70"/>
    <x v="17"/>
    <x v="5"/>
    <m/>
    <m/>
    <n v="0"/>
    <m/>
    <m/>
    <n v="0"/>
    <m/>
    <m/>
    <n v="0"/>
    <s v=""/>
    <n v="0"/>
    <n v="0"/>
    <n v="0"/>
    <n v="116.88487613461319"/>
    <n v="2225"/>
    <n v="71535.307499999995"/>
    <n v="0"/>
    <n v="0"/>
    <n v="0"/>
    <n v="0"/>
    <n v="0"/>
    <n v="0"/>
  </r>
  <r>
    <x v="71"/>
    <x v="17"/>
    <x v="5"/>
    <m/>
    <m/>
    <n v="0"/>
    <m/>
    <m/>
    <n v="0"/>
    <m/>
    <m/>
    <n v="0"/>
    <s v=""/>
    <n v="0"/>
    <n v="0"/>
    <n v="0"/>
    <n v="116.88487613461319"/>
    <n v="2225"/>
    <n v="71535.307499999995"/>
    <n v="0"/>
    <n v="0"/>
    <n v="0"/>
    <n v="0"/>
    <n v="0"/>
    <n v="0"/>
  </r>
  <r>
    <x v="72"/>
    <x v="17"/>
    <x v="5"/>
    <m/>
    <m/>
    <n v="0"/>
    <m/>
    <m/>
    <n v="0"/>
    <m/>
    <m/>
    <m/>
    <m/>
    <m/>
    <m/>
    <m/>
    <m/>
    <m/>
    <m/>
    <m/>
    <m/>
    <m/>
    <m/>
    <m/>
    <m/>
  </r>
  <r>
    <x v="73"/>
    <x v="17"/>
    <x v="5"/>
    <m/>
    <m/>
    <n v="0"/>
    <m/>
    <m/>
    <n v="0"/>
    <m/>
    <m/>
    <m/>
    <m/>
    <m/>
    <m/>
    <m/>
    <m/>
    <m/>
    <m/>
    <m/>
    <m/>
    <m/>
    <m/>
    <m/>
    <m/>
  </r>
  <r>
    <x v="74"/>
    <x v="17"/>
    <x v="5"/>
    <m/>
    <m/>
    <n v="0"/>
    <m/>
    <m/>
    <n v="0"/>
    <m/>
    <m/>
    <m/>
    <m/>
    <m/>
    <m/>
    <m/>
    <m/>
    <m/>
    <m/>
    <m/>
    <m/>
    <m/>
    <m/>
    <m/>
    <m/>
  </r>
  <r>
    <x v="75"/>
    <x v="17"/>
    <x v="5"/>
    <n v="2809"/>
    <n v="2.31"/>
    <n v="6.4887899999999998"/>
    <m/>
    <m/>
    <n v="0"/>
    <m/>
    <m/>
    <n v="0"/>
    <s v=""/>
    <n v="0"/>
    <n v="0"/>
    <n v="0"/>
    <n v="116.88487613461319"/>
    <n v="2225"/>
    <n v="71535.307499999995"/>
    <n v="0"/>
    <n v="0"/>
    <n v="0"/>
    <n v="0"/>
    <n v="0"/>
    <n v="0"/>
  </r>
  <r>
    <x v="76"/>
    <x v="17"/>
    <x v="5"/>
    <m/>
    <m/>
    <n v="0"/>
    <m/>
    <m/>
    <n v="0"/>
    <m/>
    <m/>
    <m/>
    <m/>
    <m/>
    <m/>
    <m/>
    <m/>
    <m/>
    <m/>
    <m/>
    <m/>
    <m/>
    <m/>
    <m/>
    <m/>
  </r>
  <r>
    <x v="77"/>
    <x v="17"/>
    <x v="5"/>
    <n v="1873"/>
    <n v="2.41"/>
    <n v="4.5139300000000002"/>
    <m/>
    <m/>
    <n v="0"/>
    <m/>
    <m/>
    <n v="0"/>
    <s v=""/>
    <n v="0"/>
    <n v="0"/>
    <n v="0"/>
    <n v="116.88487613461319"/>
    <n v="2225"/>
    <n v="71535.307499999995"/>
    <n v="0"/>
    <n v="0"/>
    <n v="0"/>
    <n v="0"/>
    <n v="0"/>
    <n v="0"/>
  </r>
  <r>
    <x v="78"/>
    <x v="17"/>
    <x v="5"/>
    <m/>
    <m/>
    <n v="0"/>
    <m/>
    <m/>
    <n v="0"/>
    <m/>
    <m/>
    <n v="0"/>
    <s v=""/>
    <n v="0"/>
    <n v="0"/>
    <n v="0"/>
    <n v="116.88487613461319"/>
    <n v="2225"/>
    <n v="71535.307499999995"/>
    <n v="0"/>
    <n v="0"/>
    <n v="0"/>
    <n v="0"/>
    <n v="0"/>
    <n v="0"/>
  </r>
  <r>
    <x v="79"/>
    <x v="17"/>
    <x v="5"/>
    <m/>
    <m/>
    <n v="0"/>
    <m/>
    <m/>
    <n v="0"/>
    <m/>
    <m/>
    <n v="0"/>
    <s v=""/>
    <n v="0"/>
    <n v="0"/>
    <n v="0"/>
    <n v="116.88487613461319"/>
    <n v="2225"/>
    <n v="71535.307499999995"/>
    <n v="0"/>
    <n v="0"/>
    <n v="0"/>
    <n v="0"/>
    <n v="0"/>
    <n v="0"/>
  </r>
  <r>
    <x v="80"/>
    <x v="17"/>
    <x v="5"/>
    <m/>
    <m/>
    <n v="0"/>
    <m/>
    <m/>
    <n v="0"/>
    <m/>
    <m/>
    <n v="0"/>
    <s v=""/>
    <n v="0"/>
    <n v="0"/>
    <n v="0"/>
    <n v="116.88487613461319"/>
    <n v="2225"/>
    <n v="71535.307499999995"/>
    <n v="0"/>
    <n v="0"/>
    <n v="0"/>
    <n v="0"/>
    <n v="0"/>
    <n v="0"/>
  </r>
  <r>
    <x v="81"/>
    <x v="17"/>
    <x v="5"/>
    <m/>
    <m/>
    <n v="0"/>
    <m/>
    <m/>
    <n v="0"/>
    <m/>
    <m/>
    <n v="0"/>
    <s v=""/>
    <n v="0"/>
    <n v="0"/>
    <n v="0"/>
    <n v="116.88487613461319"/>
    <n v="2225"/>
    <n v="71535.307499999995"/>
    <n v="0"/>
    <n v="0"/>
    <n v="0"/>
    <n v="0"/>
    <n v="0"/>
    <n v="0"/>
  </r>
  <r>
    <x v="82"/>
    <x v="17"/>
    <x v="5"/>
    <m/>
    <m/>
    <n v="0"/>
    <m/>
    <m/>
    <n v="0"/>
    <m/>
    <m/>
    <n v="0"/>
    <s v=""/>
    <n v="0"/>
    <n v="0"/>
    <n v="0"/>
    <n v="116.88487613461319"/>
    <n v="2225"/>
    <n v="71535.307499999995"/>
    <n v="0"/>
    <n v="0"/>
    <n v="0"/>
    <n v="0"/>
    <n v="0"/>
    <n v="0"/>
  </r>
  <r>
    <x v="83"/>
    <x v="17"/>
    <x v="5"/>
    <m/>
    <m/>
    <n v="0"/>
    <m/>
    <m/>
    <n v="0"/>
    <m/>
    <m/>
    <n v="0"/>
    <s v=""/>
    <n v="0"/>
    <n v="0"/>
    <n v="0"/>
    <n v="116.88487613461319"/>
    <n v="2225"/>
    <n v="71535.307499999995"/>
    <n v="0"/>
    <n v="0"/>
    <n v="0"/>
    <n v="0"/>
    <n v="0"/>
    <n v="0"/>
  </r>
  <r>
    <x v="84"/>
    <x v="17"/>
    <x v="5"/>
    <m/>
    <m/>
    <n v="0"/>
    <m/>
    <m/>
    <n v="0"/>
    <m/>
    <m/>
    <n v="0"/>
    <s v=""/>
    <n v="0"/>
    <n v="0"/>
    <n v="0"/>
    <n v="116.88487613461319"/>
    <n v="2225"/>
    <n v="71535.307499999995"/>
    <n v="0"/>
    <n v="0"/>
    <n v="0"/>
    <n v="0"/>
    <n v="0"/>
    <n v="0"/>
  </r>
  <r>
    <x v="85"/>
    <x v="17"/>
    <x v="5"/>
    <n v="1873"/>
    <n v="2.84"/>
    <n v="5.3193199999999994"/>
    <m/>
    <m/>
    <n v="0"/>
    <m/>
    <m/>
    <n v="0"/>
    <s v=""/>
    <n v="0"/>
    <n v="0"/>
    <n v="0"/>
    <n v="116.88487613461319"/>
    <n v="2225"/>
    <n v="71535.307499999995"/>
    <n v="0"/>
    <n v="0"/>
    <n v="0"/>
    <n v="0"/>
    <n v="0"/>
    <n v="0"/>
  </r>
  <r>
    <x v="86"/>
    <x v="17"/>
    <x v="5"/>
    <n v="1813"/>
    <n v="3.2"/>
    <n v="5.8016000000000005"/>
    <m/>
    <m/>
    <n v="0"/>
    <m/>
    <m/>
    <n v="0"/>
    <s v=""/>
    <n v="0"/>
    <n v="0"/>
    <n v="0"/>
    <n v="116.88487613461319"/>
    <n v="2225"/>
    <n v="71535.307499999995"/>
    <n v="0"/>
    <n v="0"/>
    <n v="0"/>
    <n v="0"/>
    <n v="0"/>
    <n v="0"/>
  </r>
  <r>
    <x v="87"/>
    <x v="17"/>
    <x v="5"/>
    <n v="1148"/>
    <n v="3.97"/>
    <n v="4.5575600000000005"/>
    <m/>
    <m/>
    <n v="0"/>
    <m/>
    <m/>
    <n v="0"/>
    <s v=""/>
    <n v="0"/>
    <n v="0"/>
    <n v="0"/>
    <n v="116.88487613461319"/>
    <n v="2225"/>
    <n v="71535.307499999995"/>
    <n v="0"/>
    <n v="0"/>
    <n v="0"/>
    <n v="0"/>
    <n v="0"/>
    <n v="0"/>
  </r>
  <r>
    <x v="88"/>
    <x v="17"/>
    <x v="5"/>
    <m/>
    <m/>
    <n v="0"/>
    <m/>
    <m/>
    <n v="0"/>
    <m/>
    <m/>
    <n v="0"/>
    <s v=""/>
    <n v="0"/>
    <n v="0"/>
    <n v="0"/>
    <n v="116.88487613461319"/>
    <n v="2225"/>
    <n v="71535.307499999995"/>
    <n v="0"/>
    <n v="0"/>
    <n v="0"/>
    <n v="0"/>
    <n v="0"/>
    <n v="0"/>
  </r>
  <r>
    <x v="89"/>
    <x v="17"/>
    <x v="5"/>
    <m/>
    <m/>
    <n v="0"/>
    <m/>
    <m/>
    <n v="0"/>
    <m/>
    <m/>
    <n v="0"/>
    <s v=""/>
    <n v="0"/>
    <n v="0"/>
    <n v="0"/>
    <n v="116.88487613461319"/>
    <n v="2225"/>
    <n v="71535.307499999995"/>
    <n v="0"/>
    <n v="0"/>
    <n v="0"/>
    <n v="0"/>
    <n v="0"/>
    <n v="0"/>
  </r>
  <r>
    <x v="90"/>
    <x v="17"/>
    <x v="5"/>
    <m/>
    <m/>
    <n v="0"/>
    <m/>
    <m/>
    <n v="0"/>
    <m/>
    <m/>
    <n v="0"/>
    <s v=""/>
    <n v="0"/>
    <n v="0"/>
    <n v="0"/>
    <n v="116.88487613461319"/>
    <n v="2225"/>
    <n v="71535.307499999995"/>
    <n v="0"/>
    <n v="0"/>
    <n v="0"/>
    <n v="0"/>
    <n v="0"/>
    <n v="0"/>
  </r>
  <r>
    <x v="91"/>
    <x v="17"/>
    <x v="5"/>
    <m/>
    <m/>
    <n v="0"/>
    <m/>
    <m/>
    <n v="0"/>
    <m/>
    <m/>
    <n v="0"/>
    <s v=""/>
    <n v="0"/>
    <n v="0"/>
    <n v="0"/>
    <n v="116.88487613461319"/>
    <n v="2225"/>
    <n v="71535.307499999995"/>
    <n v="0"/>
    <n v="0"/>
    <n v="0"/>
    <n v="0"/>
    <n v="0"/>
    <n v="0"/>
  </r>
  <r>
    <x v="92"/>
    <x v="17"/>
    <x v="5"/>
    <m/>
    <m/>
    <n v="0"/>
    <m/>
    <m/>
    <n v="0"/>
    <m/>
    <m/>
    <n v="0"/>
    <s v=""/>
    <n v="0"/>
    <n v="0"/>
    <n v="0"/>
    <n v="116.88487613461319"/>
    <n v="2225"/>
    <n v="71535.307499999995"/>
    <n v="0"/>
    <n v="0"/>
    <n v="0"/>
    <n v="0"/>
    <n v="0"/>
    <n v="0"/>
  </r>
  <r>
    <x v="93"/>
    <x v="17"/>
    <x v="5"/>
    <n v="625"/>
    <n v="3.05"/>
    <n v="1.90625"/>
    <m/>
    <m/>
    <n v="0"/>
    <m/>
    <m/>
    <n v="0"/>
    <s v=""/>
    <n v="0"/>
    <n v="0"/>
    <n v="0"/>
    <n v="116.88487613461319"/>
    <n v="2225"/>
    <n v="71535.307499999995"/>
    <n v="0"/>
    <n v="0"/>
    <n v="0"/>
    <n v="0"/>
    <n v="0"/>
    <n v="0"/>
  </r>
  <r>
    <x v="94"/>
    <x v="17"/>
    <x v="5"/>
    <m/>
    <m/>
    <n v="0"/>
    <m/>
    <m/>
    <n v="0"/>
    <m/>
    <m/>
    <n v="0"/>
    <s v=""/>
    <n v="0"/>
    <n v="0"/>
    <n v="0"/>
    <n v="116.88487613461319"/>
    <n v="2225"/>
    <n v="71535.307499999995"/>
    <n v="0"/>
    <n v="0"/>
    <n v="0"/>
    <n v="0"/>
    <n v="0"/>
    <n v="0"/>
  </r>
  <r>
    <x v="95"/>
    <x v="17"/>
    <x v="5"/>
    <n v="959"/>
    <n v="1.64"/>
    <n v="1.5727599999999999"/>
    <m/>
    <m/>
    <n v="0"/>
    <m/>
    <m/>
    <n v="0"/>
    <s v=""/>
    <n v="0"/>
    <n v="0"/>
    <n v="0"/>
    <n v="116.88487613461319"/>
    <n v="2225"/>
    <n v="71535.307499999995"/>
    <n v="0"/>
    <n v="0"/>
    <n v="0"/>
    <n v="0"/>
    <n v="0"/>
    <n v="0"/>
  </r>
  <r>
    <x v="96"/>
    <x v="17"/>
    <x v="5"/>
    <n v="913"/>
    <n v="3.97"/>
    <n v="3.6246100000000001"/>
    <m/>
    <m/>
    <n v="0"/>
    <m/>
    <m/>
    <n v="0"/>
    <s v=""/>
    <n v="0"/>
    <n v="0"/>
    <n v="0"/>
    <n v="116.88487613461319"/>
    <n v="2225"/>
    <n v="71535.307499999995"/>
    <n v="0"/>
    <n v="0"/>
    <n v="0"/>
    <n v="0"/>
    <n v="0"/>
    <n v="0"/>
  </r>
  <r>
    <x v="97"/>
    <x v="17"/>
    <x v="5"/>
    <m/>
    <m/>
    <n v="0"/>
    <m/>
    <m/>
    <n v="0"/>
    <m/>
    <m/>
    <n v="0"/>
    <s v=""/>
    <n v="0"/>
    <n v="0"/>
    <n v="0"/>
    <n v="116.88487613461319"/>
    <n v="2225"/>
    <n v="71535.307499999995"/>
    <n v="0"/>
    <n v="0"/>
    <n v="0"/>
    <n v="0"/>
    <n v="0"/>
    <n v="0"/>
  </r>
  <r>
    <x v="98"/>
    <x v="17"/>
    <x v="6"/>
    <m/>
    <m/>
    <n v="0"/>
    <m/>
    <m/>
    <n v="0"/>
    <m/>
    <m/>
    <n v="0"/>
    <s v=""/>
    <n v="0"/>
    <n v="0"/>
    <n v="0"/>
    <n v="116.88487613461319"/>
    <n v="2225"/>
    <n v="71535.307499999995"/>
    <n v="0"/>
    <n v="0"/>
    <n v="0"/>
    <n v="0"/>
    <n v="0"/>
    <n v="0"/>
  </r>
  <r>
    <x v="99"/>
    <x v="17"/>
    <x v="6"/>
    <m/>
    <m/>
    <n v="0"/>
    <m/>
    <m/>
    <n v="0"/>
    <m/>
    <m/>
    <n v="0"/>
    <s v=""/>
    <n v="0"/>
    <n v="0"/>
    <n v="0"/>
    <n v="116.88487613461319"/>
    <n v="2225"/>
    <n v="71535.307499999995"/>
    <n v="0"/>
    <n v="0"/>
    <n v="0"/>
    <n v="0"/>
    <n v="0"/>
    <n v="0"/>
  </r>
  <r>
    <x v="100"/>
    <x v="17"/>
    <x v="6"/>
    <m/>
    <m/>
    <n v="0"/>
    <m/>
    <m/>
    <n v="0"/>
    <m/>
    <m/>
    <n v="0"/>
    <s v=""/>
    <n v="0"/>
    <n v="0"/>
    <n v="0"/>
    <n v="116.88487613461319"/>
    <n v="2225"/>
    <n v="71535.307499999995"/>
    <n v="0"/>
    <n v="0"/>
    <n v="0"/>
    <n v="0"/>
    <n v="0"/>
    <n v="0"/>
  </r>
  <r>
    <x v="101"/>
    <x v="17"/>
    <x v="6"/>
    <m/>
    <m/>
    <n v="0"/>
    <m/>
    <m/>
    <n v="0"/>
    <m/>
    <m/>
    <n v="0"/>
    <s v=""/>
    <n v="0"/>
    <n v="0"/>
    <n v="0"/>
    <n v="116.88487613461319"/>
    <n v="2225"/>
    <n v="71535.307499999995"/>
    <n v="0"/>
    <n v="0"/>
    <n v="0"/>
    <n v="0"/>
    <n v="0"/>
    <n v="0"/>
  </r>
  <r>
    <x v="102"/>
    <x v="17"/>
    <x v="6"/>
    <m/>
    <m/>
    <n v="0"/>
    <m/>
    <m/>
    <n v="0"/>
    <m/>
    <m/>
    <n v="0"/>
    <s v=""/>
    <n v="0"/>
    <n v="0"/>
    <n v="0"/>
    <n v="116.88487613461319"/>
    <n v="2225"/>
    <n v="71535.307499999995"/>
    <n v="0"/>
    <n v="0"/>
    <n v="0"/>
    <n v="0"/>
    <n v="0"/>
    <n v="0"/>
  </r>
  <r>
    <x v="103"/>
    <x v="17"/>
    <x v="6"/>
    <m/>
    <m/>
    <n v="0"/>
    <m/>
    <m/>
    <n v="0"/>
    <m/>
    <m/>
    <n v="0"/>
    <s v=""/>
    <n v="0"/>
    <n v="0"/>
    <n v="0"/>
    <n v="116.88487613461319"/>
    <n v="2225"/>
    <n v="71535.307499999995"/>
    <n v="0"/>
    <n v="0"/>
    <n v="0"/>
    <n v="0"/>
    <n v="0"/>
    <n v="0"/>
  </r>
  <r>
    <x v="104"/>
    <x v="17"/>
    <x v="6"/>
    <m/>
    <m/>
    <n v="0"/>
    <m/>
    <m/>
    <n v="0"/>
    <m/>
    <m/>
    <n v="0"/>
    <s v=""/>
    <n v="0"/>
    <n v="0"/>
    <n v="0"/>
    <n v="116.88487613461319"/>
    <n v="2225"/>
    <n v="71535.307499999995"/>
    <n v="0"/>
    <n v="0"/>
    <n v="0"/>
    <n v="0"/>
    <n v="0"/>
    <n v="0"/>
  </r>
  <r>
    <x v="105"/>
    <x v="17"/>
    <x v="6"/>
    <m/>
    <m/>
    <n v="0"/>
    <m/>
    <m/>
    <n v="0"/>
    <m/>
    <m/>
    <n v="0"/>
    <s v=""/>
    <n v="0"/>
    <n v="0"/>
    <n v="0"/>
    <n v="116.88487613461319"/>
    <n v="2225"/>
    <n v="71535.307499999995"/>
    <n v="0"/>
    <n v="0"/>
    <n v="0"/>
    <n v="0"/>
    <n v="0"/>
    <n v="0"/>
  </r>
  <r>
    <x v="106"/>
    <x v="17"/>
    <x v="6"/>
    <m/>
    <m/>
    <n v="0"/>
    <m/>
    <m/>
    <n v="0"/>
    <m/>
    <m/>
    <n v="0"/>
    <s v=""/>
    <n v="0"/>
    <n v="0"/>
    <n v="0"/>
    <n v="116.88487613461319"/>
    <n v="2225"/>
    <n v="71535.307499999995"/>
    <n v="0"/>
    <n v="0"/>
    <n v="0"/>
    <n v="0"/>
    <n v="0"/>
    <n v="0"/>
  </r>
  <r>
    <x v="107"/>
    <x v="17"/>
    <x v="6"/>
    <m/>
    <m/>
    <n v="0"/>
    <m/>
    <m/>
    <n v="0"/>
    <m/>
    <m/>
    <n v="0"/>
    <s v=""/>
    <n v="0"/>
    <n v="0"/>
    <n v="0"/>
    <n v="116.88487613461319"/>
    <n v="2225"/>
    <n v="71535.307499999995"/>
    <n v="0"/>
    <n v="0"/>
    <n v="0"/>
    <n v="0"/>
    <n v="0"/>
    <n v="0"/>
  </r>
  <r>
    <x v="108"/>
    <x v="17"/>
    <x v="6"/>
    <m/>
    <m/>
    <n v="0"/>
    <m/>
    <m/>
    <n v="0"/>
    <m/>
    <m/>
    <n v="0"/>
    <s v=""/>
    <n v="0"/>
    <n v="0"/>
    <n v="0"/>
    <n v="116.88487613461319"/>
    <n v="2225"/>
    <n v="71535.307499999995"/>
    <n v="0"/>
    <n v="0"/>
    <n v="0"/>
    <n v="0"/>
    <n v="0"/>
    <n v="0"/>
  </r>
  <r>
    <x v="109"/>
    <x v="17"/>
    <x v="6"/>
    <m/>
    <m/>
    <n v="0"/>
    <m/>
    <m/>
    <n v="0"/>
    <m/>
    <m/>
    <n v="0"/>
    <s v=""/>
    <n v="0"/>
    <n v="0"/>
    <n v="0"/>
    <n v="116.88487613461319"/>
    <n v="2225"/>
    <n v="71535.307499999995"/>
    <n v="0"/>
    <n v="0"/>
    <n v="0"/>
    <n v="0"/>
    <n v="0"/>
    <n v="0"/>
  </r>
  <r>
    <x v="110"/>
    <x v="17"/>
    <x v="7"/>
    <m/>
    <m/>
    <n v="0"/>
    <m/>
    <m/>
    <n v="0"/>
    <m/>
    <m/>
    <n v="0"/>
    <s v=""/>
    <n v="0"/>
    <n v="0"/>
    <n v="0"/>
    <n v="116.88487613461319"/>
    <n v="2225"/>
    <n v="71535.307499999995"/>
    <n v="0"/>
    <n v="0"/>
    <n v="0"/>
    <n v="0"/>
    <n v="0"/>
    <n v="0"/>
  </r>
  <r>
    <x v="111"/>
    <x v="17"/>
    <x v="7"/>
    <m/>
    <m/>
    <n v="0"/>
    <m/>
    <m/>
    <n v="0"/>
    <m/>
    <m/>
    <n v="0"/>
    <s v=""/>
    <n v="0"/>
    <n v="0"/>
    <n v="0"/>
    <n v="116.88487613461319"/>
    <n v="2225"/>
    <n v="71535.307499999995"/>
    <n v="0"/>
    <n v="0"/>
    <n v="0"/>
    <n v="0"/>
    <n v="0"/>
    <n v="0"/>
  </r>
  <r>
    <x v="112"/>
    <x v="17"/>
    <x v="7"/>
    <m/>
    <m/>
    <n v="0"/>
    <m/>
    <m/>
    <n v="0"/>
    <m/>
    <m/>
    <n v="0"/>
    <s v=""/>
    <n v="0"/>
    <n v="0"/>
    <n v="0"/>
    <n v="116.88487613461319"/>
    <n v="2225"/>
    <n v="71535.307499999995"/>
    <n v="0"/>
    <n v="0"/>
    <n v="0"/>
    <n v="0"/>
    <n v="0"/>
    <n v="0"/>
  </r>
  <r>
    <x v="113"/>
    <x v="17"/>
    <x v="7"/>
    <m/>
    <m/>
    <n v="0"/>
    <m/>
    <m/>
    <n v="0"/>
    <m/>
    <m/>
    <n v="0"/>
    <s v=""/>
    <n v="0"/>
    <n v="0"/>
    <n v="0"/>
    <n v="116.88487613461319"/>
    <n v="2225"/>
    <n v="71535.307499999995"/>
    <n v="0"/>
    <n v="0"/>
    <n v="0"/>
    <n v="0"/>
    <n v="0"/>
    <n v="0"/>
  </r>
  <r>
    <x v="114"/>
    <x v="17"/>
    <x v="7"/>
    <m/>
    <m/>
    <n v="0"/>
    <m/>
    <m/>
    <n v="0"/>
    <m/>
    <m/>
    <n v="0"/>
    <s v=""/>
    <n v="0"/>
    <n v="0"/>
    <n v="0"/>
    <n v="116.88487613461319"/>
    <n v="2225"/>
    <n v="71535.307499999995"/>
    <n v="0"/>
    <n v="0"/>
    <n v="0"/>
    <n v="0"/>
    <n v="0"/>
    <n v="0"/>
  </r>
  <r>
    <x v="115"/>
    <x v="17"/>
    <x v="7"/>
    <m/>
    <m/>
    <n v="0"/>
    <m/>
    <m/>
    <n v="0"/>
    <m/>
    <m/>
    <n v="0"/>
    <s v=""/>
    <n v="0"/>
    <n v="0"/>
    <n v="0"/>
    <n v="116.88487613461319"/>
    <n v="2225"/>
    <n v="71535.307499999995"/>
    <n v="0"/>
    <n v="0"/>
    <n v="0"/>
    <n v="0"/>
    <n v="0"/>
    <n v="0"/>
  </r>
  <r>
    <x v="116"/>
    <x v="17"/>
    <x v="7"/>
    <m/>
    <m/>
    <n v="0"/>
    <m/>
    <m/>
    <n v="0"/>
    <m/>
    <m/>
    <n v="0"/>
    <s v=""/>
    <n v="0"/>
    <n v="0"/>
    <n v="0"/>
    <n v="116.88487613461319"/>
    <n v="2225"/>
    <n v="71535.307499999995"/>
    <n v="0"/>
    <n v="0"/>
    <n v="0"/>
    <n v="0"/>
    <n v="0"/>
    <n v="0"/>
  </r>
  <r>
    <x v="117"/>
    <x v="17"/>
    <x v="7"/>
    <m/>
    <m/>
    <n v="0"/>
    <m/>
    <m/>
    <n v="0"/>
    <m/>
    <m/>
    <n v="0"/>
    <s v=""/>
    <n v="0"/>
    <n v="0"/>
    <n v="0"/>
    <n v="116.88487613461319"/>
    <n v="2225"/>
    <n v="71535.307499999995"/>
    <n v="0"/>
    <n v="0"/>
    <n v="0"/>
    <n v="0"/>
    <n v="0"/>
    <n v="0"/>
  </r>
  <r>
    <x v="118"/>
    <x v="17"/>
    <x v="7"/>
    <m/>
    <m/>
    <n v="0"/>
    <m/>
    <m/>
    <n v="0"/>
    <m/>
    <m/>
    <n v="0"/>
    <s v=""/>
    <n v="0"/>
    <n v="0"/>
    <n v="0"/>
    <n v="116.88487613461319"/>
    <n v="2225"/>
    <n v="71535.307499999995"/>
    <n v="0"/>
    <n v="0"/>
    <n v="0"/>
    <n v="0"/>
    <n v="0"/>
    <n v="0"/>
  </r>
  <r>
    <x v="119"/>
    <x v="17"/>
    <x v="7"/>
    <m/>
    <m/>
    <n v="0"/>
    <m/>
    <m/>
    <n v="0"/>
    <m/>
    <m/>
    <n v="0"/>
    <s v=""/>
    <n v="0"/>
    <n v="0"/>
    <n v="0"/>
    <n v="116.88487613461319"/>
    <n v="2225"/>
    <n v="71535.307499999995"/>
    <n v="0"/>
    <n v="0"/>
    <n v="0"/>
    <n v="0"/>
    <n v="0"/>
    <n v="0"/>
  </r>
  <r>
    <x v="120"/>
    <x v="17"/>
    <x v="7"/>
    <m/>
    <m/>
    <n v="0"/>
    <m/>
    <m/>
    <n v="0"/>
    <m/>
    <m/>
    <n v="0"/>
    <s v=""/>
    <n v="0"/>
    <n v="0"/>
    <n v="0"/>
    <n v="116.88487613461319"/>
    <n v="2225"/>
    <n v="71535.307499999995"/>
    <n v="0"/>
    <n v="0"/>
    <n v="0"/>
    <n v="0"/>
    <n v="0"/>
    <n v="0"/>
  </r>
  <r>
    <x v="121"/>
    <x v="17"/>
    <x v="7"/>
    <m/>
    <m/>
    <n v="0"/>
    <m/>
    <m/>
    <n v="0"/>
    <m/>
    <m/>
    <n v="0"/>
    <s v=""/>
    <n v="0"/>
    <n v="0"/>
    <n v="0"/>
    <n v="116.88487613461319"/>
    <n v="2225"/>
    <n v="71535.307499999995"/>
    <n v="0"/>
    <n v="0"/>
    <n v="0"/>
    <n v="0"/>
    <n v="0"/>
    <n v="0"/>
  </r>
  <r>
    <x v="122"/>
    <x v="17"/>
    <x v="7"/>
    <m/>
    <m/>
    <n v="0"/>
    <m/>
    <m/>
    <n v="0"/>
    <m/>
    <m/>
    <n v="0"/>
    <s v=""/>
    <n v="0"/>
    <n v="0"/>
    <n v="0"/>
    <n v="116.88487613461319"/>
    <n v="2225"/>
    <n v="71535.307499999995"/>
    <n v="0"/>
    <n v="0"/>
    <n v="0"/>
    <n v="0"/>
    <n v="0"/>
    <n v="0"/>
  </r>
  <r>
    <x v="123"/>
    <x v="17"/>
    <x v="7"/>
    <m/>
    <m/>
    <n v="0"/>
    <m/>
    <m/>
    <n v="0"/>
    <m/>
    <m/>
    <n v="0"/>
    <s v=""/>
    <n v="0"/>
    <n v="0"/>
    <n v="0"/>
    <n v="116.88487613461319"/>
    <n v="2225"/>
    <n v="71535.307499999995"/>
    <n v="0"/>
    <n v="0"/>
    <n v="0"/>
    <n v="0"/>
    <n v="0"/>
    <n v="0"/>
  </r>
  <r>
    <x v="124"/>
    <x v="17"/>
    <x v="7"/>
    <m/>
    <m/>
    <n v="0"/>
    <m/>
    <m/>
    <n v="0"/>
    <m/>
    <m/>
    <n v="0"/>
    <s v=""/>
    <n v="0"/>
    <n v="0"/>
    <n v="0"/>
    <n v="116.88487613461319"/>
    <n v="2225"/>
    <n v="71535.307499999995"/>
    <n v="0"/>
    <n v="0"/>
    <n v="0"/>
    <n v="0"/>
    <n v="0"/>
    <n v="0"/>
  </r>
  <r>
    <x v="125"/>
    <x v="17"/>
    <x v="7"/>
    <m/>
    <m/>
    <n v="0"/>
    <m/>
    <m/>
    <n v="0"/>
    <m/>
    <m/>
    <n v="0"/>
    <s v=""/>
    <n v="0"/>
    <n v="0"/>
    <n v="0"/>
    <n v="116.88487613461319"/>
    <n v="2225"/>
    <n v="71535.307499999995"/>
    <n v="0"/>
    <n v="0"/>
    <n v="0"/>
    <n v="0"/>
    <n v="0"/>
    <n v="0"/>
  </r>
  <r>
    <x v="126"/>
    <x v="17"/>
    <x v="7"/>
    <m/>
    <m/>
    <n v="0"/>
    <m/>
    <m/>
    <n v="0"/>
    <m/>
    <m/>
    <n v="0"/>
    <s v=""/>
    <n v="0"/>
    <n v="0"/>
    <n v="0"/>
    <n v="116.88487613461319"/>
    <n v="2225"/>
    <n v="71535.307499999995"/>
    <n v="0"/>
    <n v="0"/>
    <n v="0"/>
    <n v="0"/>
    <n v="0"/>
    <n v="0"/>
  </r>
  <r>
    <x v="127"/>
    <x v="17"/>
    <x v="7"/>
    <m/>
    <m/>
    <n v="0"/>
    <m/>
    <m/>
    <n v="0"/>
    <m/>
    <m/>
    <n v="0"/>
    <s v=""/>
    <n v="0"/>
    <n v="0"/>
    <n v="0"/>
    <n v="116.88487613461319"/>
    <n v="2225"/>
    <n v="71535.307499999995"/>
    <n v="0"/>
    <n v="0"/>
    <n v="0"/>
    <n v="0"/>
    <n v="0"/>
    <n v="0"/>
  </r>
  <r>
    <x v="0"/>
    <x v="18"/>
    <x v="0"/>
    <n v="2022"/>
    <n v="0.52"/>
    <n v="1.0514400000000002"/>
    <m/>
    <m/>
    <n v="0"/>
    <m/>
    <m/>
    <n v="0"/>
    <s v=""/>
    <n v="0"/>
    <n v="0"/>
    <n v="0"/>
    <n v="116.88487613461319"/>
    <n v="2225"/>
    <n v="71535.307499999995"/>
    <n v="0"/>
    <n v="0"/>
    <n v="0"/>
    <n v="0"/>
    <n v="0"/>
    <n v="0"/>
  </r>
  <r>
    <x v="1"/>
    <x v="18"/>
    <x v="0"/>
    <m/>
    <m/>
    <n v="0"/>
    <m/>
    <m/>
    <n v="0"/>
    <m/>
    <m/>
    <n v="0"/>
    <s v=""/>
    <n v="0"/>
    <n v="0"/>
    <n v="0"/>
    <n v="116.88487613461319"/>
    <n v="2225"/>
    <n v="71535.307499999995"/>
    <n v="0"/>
    <n v="0"/>
    <n v="0"/>
    <n v="0"/>
    <n v="0"/>
    <n v="0"/>
  </r>
  <r>
    <x v="2"/>
    <x v="18"/>
    <x v="0"/>
    <m/>
    <m/>
    <n v="0"/>
    <m/>
    <m/>
    <n v="0"/>
    <m/>
    <m/>
    <n v="0"/>
    <s v=""/>
    <n v="0"/>
    <n v="0"/>
    <n v="0"/>
    <n v="116.88487613461319"/>
    <n v="2225"/>
    <n v="71535.307499999995"/>
    <n v="0"/>
    <n v="0"/>
    <n v="0"/>
    <n v="0"/>
    <n v="0"/>
    <n v="0"/>
  </r>
  <r>
    <x v="3"/>
    <x v="18"/>
    <x v="0"/>
    <m/>
    <m/>
    <n v="0"/>
    <m/>
    <m/>
    <n v="0"/>
    <m/>
    <m/>
    <n v="0"/>
    <s v=""/>
    <n v="0"/>
    <n v="0"/>
    <n v="0"/>
    <n v="116.88487613461319"/>
    <n v="2225"/>
    <n v="71535.307499999995"/>
    <n v="0"/>
    <n v="0"/>
    <n v="0"/>
    <n v="0"/>
    <n v="0"/>
    <n v="0"/>
  </r>
  <r>
    <x v="4"/>
    <x v="18"/>
    <x v="1"/>
    <m/>
    <m/>
    <n v="0"/>
    <m/>
    <m/>
    <n v="0"/>
    <m/>
    <m/>
    <n v="0"/>
    <s v=""/>
    <n v="0"/>
    <n v="0"/>
    <n v="0"/>
    <n v="116.88487613461319"/>
    <n v="2225"/>
    <n v="71535.307499999995"/>
    <n v="0"/>
    <n v="0"/>
    <n v="0"/>
    <n v="0"/>
    <n v="0"/>
    <n v="0"/>
  </r>
  <r>
    <x v="5"/>
    <x v="18"/>
    <x v="1"/>
    <m/>
    <m/>
    <n v="0"/>
    <m/>
    <m/>
    <n v="0"/>
    <m/>
    <m/>
    <n v="0"/>
    <s v=""/>
    <n v="0"/>
    <n v="0"/>
    <n v="0"/>
    <n v="116.88487613461319"/>
    <n v="2225"/>
    <n v="71535.307499999995"/>
    <n v="0"/>
    <n v="0"/>
    <n v="0"/>
    <n v="0"/>
    <n v="0"/>
    <n v="0"/>
  </r>
  <r>
    <x v="6"/>
    <x v="18"/>
    <x v="1"/>
    <m/>
    <m/>
    <n v="0"/>
    <m/>
    <m/>
    <n v="0"/>
    <m/>
    <m/>
    <n v="0"/>
    <s v=""/>
    <n v="0"/>
    <n v="0"/>
    <n v="0"/>
    <n v="116.88487613461319"/>
    <n v="2225"/>
    <n v="71535.307499999995"/>
    <n v="0"/>
    <n v="0"/>
    <n v="0"/>
    <n v="0"/>
    <n v="0"/>
    <n v="0"/>
  </r>
  <r>
    <x v="7"/>
    <x v="18"/>
    <x v="2"/>
    <m/>
    <m/>
    <n v="0"/>
    <m/>
    <m/>
    <n v="0"/>
    <m/>
    <m/>
    <n v="0"/>
    <s v=""/>
    <n v="0"/>
    <n v="0"/>
    <n v="0"/>
    <n v="116.88487613461319"/>
    <n v="2225"/>
    <n v="71535.307499999995"/>
    <n v="0"/>
    <n v="0"/>
    <n v="0"/>
    <n v="0"/>
    <n v="0"/>
    <n v="0"/>
  </r>
  <r>
    <x v="8"/>
    <x v="18"/>
    <x v="2"/>
    <m/>
    <m/>
    <n v="0"/>
    <m/>
    <m/>
    <n v="0"/>
    <m/>
    <m/>
    <n v="0"/>
    <s v=""/>
    <n v="0"/>
    <n v="0"/>
    <n v="0"/>
    <n v="116.88487613461319"/>
    <n v="2225"/>
    <n v="71535.307499999995"/>
    <n v="0"/>
    <n v="0"/>
    <n v="0"/>
    <n v="0"/>
    <n v="0"/>
    <n v="0"/>
  </r>
  <r>
    <x v="9"/>
    <x v="18"/>
    <x v="2"/>
    <m/>
    <m/>
    <n v="0"/>
    <m/>
    <m/>
    <n v="0"/>
    <m/>
    <m/>
    <n v="0"/>
    <s v=""/>
    <n v="0"/>
    <n v="0"/>
    <n v="0"/>
    <n v="116.88487613461319"/>
    <n v="2225"/>
    <n v="71535.307499999995"/>
    <n v="0"/>
    <n v="0"/>
    <n v="0"/>
    <n v="0"/>
    <n v="0"/>
    <n v="0"/>
  </r>
  <r>
    <x v="10"/>
    <x v="18"/>
    <x v="2"/>
    <m/>
    <m/>
    <n v="0"/>
    <m/>
    <m/>
    <n v="0"/>
    <m/>
    <m/>
    <n v="0"/>
    <s v=""/>
    <n v="0"/>
    <n v="0"/>
    <n v="0"/>
    <n v="116.88487613461319"/>
    <n v="2225"/>
    <n v="71535.307499999995"/>
    <n v="0"/>
    <n v="0"/>
    <n v="0"/>
    <n v="0"/>
    <n v="0"/>
    <n v="0"/>
  </r>
  <r>
    <x v="11"/>
    <x v="18"/>
    <x v="2"/>
    <m/>
    <m/>
    <n v="0"/>
    <m/>
    <m/>
    <n v="0"/>
    <m/>
    <m/>
    <n v="0"/>
    <s v=""/>
    <n v="0"/>
    <n v="0"/>
    <n v="0"/>
    <n v="116.88487613461319"/>
    <n v="2225"/>
    <n v="71535.307499999995"/>
    <n v="0"/>
    <n v="0"/>
    <n v="0"/>
    <n v="0"/>
    <n v="0"/>
    <n v="0"/>
  </r>
  <r>
    <x v="12"/>
    <x v="18"/>
    <x v="2"/>
    <n v="119"/>
    <n v="1.72"/>
    <n v="0.20468"/>
    <m/>
    <m/>
    <n v="0"/>
    <m/>
    <m/>
    <n v="0"/>
    <s v=""/>
    <n v="0"/>
    <n v="0"/>
    <n v="0"/>
    <n v="116.88487613461319"/>
    <n v="2225"/>
    <n v="71535.307499999995"/>
    <n v="0"/>
    <n v="0"/>
    <n v="0"/>
    <n v="0"/>
    <n v="0"/>
    <n v="0"/>
  </r>
  <r>
    <x v="13"/>
    <x v="18"/>
    <x v="2"/>
    <m/>
    <m/>
    <n v="0"/>
    <m/>
    <m/>
    <n v="0"/>
    <m/>
    <m/>
    <n v="0"/>
    <s v=""/>
    <n v="0"/>
    <n v="0"/>
    <n v="0"/>
    <n v="116.88487613461319"/>
    <n v="2225"/>
    <n v="71535.307499999995"/>
    <n v="0"/>
    <n v="0"/>
    <n v="0"/>
    <n v="0"/>
    <n v="0"/>
    <n v="0"/>
  </r>
  <r>
    <x v="14"/>
    <x v="18"/>
    <x v="2"/>
    <m/>
    <m/>
    <n v="0"/>
    <m/>
    <m/>
    <n v="0"/>
    <m/>
    <m/>
    <n v="0"/>
    <s v=""/>
    <n v="0"/>
    <n v="0"/>
    <n v="0"/>
    <n v="116.88487613461319"/>
    <n v="2225"/>
    <n v="71535.307499999995"/>
    <n v="0"/>
    <n v="0"/>
    <n v="0"/>
    <n v="0"/>
    <n v="0"/>
    <n v="0"/>
  </r>
  <r>
    <x v="15"/>
    <x v="18"/>
    <x v="2"/>
    <m/>
    <m/>
    <n v="0"/>
    <m/>
    <m/>
    <n v="0"/>
    <m/>
    <m/>
    <n v="0"/>
    <s v=""/>
    <n v="0"/>
    <n v="0"/>
    <n v="0"/>
    <n v="116.88487613461319"/>
    <n v="2225"/>
    <n v="71535.307499999995"/>
    <n v="0"/>
    <n v="0"/>
    <n v="0"/>
    <n v="0"/>
    <n v="0"/>
    <n v="0"/>
  </r>
  <r>
    <x v="16"/>
    <x v="18"/>
    <x v="2"/>
    <m/>
    <m/>
    <n v="0"/>
    <m/>
    <m/>
    <n v="0"/>
    <m/>
    <m/>
    <n v="0"/>
    <s v=""/>
    <n v="0"/>
    <n v="0"/>
    <n v="0"/>
    <n v="116.88487613461319"/>
    <n v="2225"/>
    <n v="71535.307499999995"/>
    <n v="0"/>
    <n v="0"/>
    <n v="0"/>
    <n v="0"/>
    <n v="0"/>
    <n v="0"/>
  </r>
  <r>
    <x v="17"/>
    <x v="18"/>
    <x v="3"/>
    <m/>
    <m/>
    <n v="0"/>
    <m/>
    <m/>
    <n v="0"/>
    <m/>
    <m/>
    <n v="0"/>
    <s v=""/>
    <n v="0"/>
    <n v="0"/>
    <n v="0"/>
    <n v="116.88487613461319"/>
    <n v="2225"/>
    <n v="71535.307499999995"/>
    <n v="0"/>
    <n v="0"/>
    <n v="0"/>
    <n v="0"/>
    <n v="0"/>
    <n v="0"/>
  </r>
  <r>
    <x v="18"/>
    <x v="18"/>
    <x v="3"/>
    <m/>
    <m/>
    <n v="0"/>
    <m/>
    <m/>
    <n v="0"/>
    <m/>
    <m/>
    <n v="0"/>
    <s v=""/>
    <n v="0"/>
    <n v="0"/>
    <n v="0"/>
    <n v="116.88487613461319"/>
    <n v="2225"/>
    <n v="71535.307499999995"/>
    <n v="0"/>
    <n v="0"/>
    <n v="0"/>
    <n v="0"/>
    <n v="0"/>
    <n v="0"/>
  </r>
  <r>
    <x v="19"/>
    <x v="18"/>
    <x v="3"/>
    <m/>
    <m/>
    <n v="0"/>
    <m/>
    <m/>
    <n v="0"/>
    <m/>
    <m/>
    <n v="0"/>
    <s v=""/>
    <n v="0"/>
    <n v="0"/>
    <n v="0"/>
    <n v="116.88487613461319"/>
    <n v="2225"/>
    <n v="71535.307499999995"/>
    <n v="0"/>
    <n v="0"/>
    <n v="0"/>
    <n v="0"/>
    <n v="0"/>
    <n v="0"/>
  </r>
  <r>
    <x v="20"/>
    <x v="18"/>
    <x v="3"/>
    <m/>
    <m/>
    <n v="0"/>
    <m/>
    <m/>
    <n v="0"/>
    <m/>
    <m/>
    <n v="0"/>
    <s v=""/>
    <n v="0"/>
    <n v="0"/>
    <n v="0"/>
    <n v="116.88487613461319"/>
    <n v="2225"/>
    <n v="71535.307499999995"/>
    <n v="0"/>
    <n v="0"/>
    <n v="0"/>
    <n v="0"/>
    <n v="0"/>
    <n v="0"/>
  </r>
  <r>
    <x v="21"/>
    <x v="18"/>
    <x v="3"/>
    <m/>
    <m/>
    <n v="0"/>
    <m/>
    <m/>
    <n v="0"/>
    <m/>
    <m/>
    <n v="0"/>
    <s v=""/>
    <n v="0"/>
    <n v="0"/>
    <n v="0"/>
    <n v="116.88487613461319"/>
    <n v="2225"/>
    <n v="71535.307499999995"/>
    <n v="0"/>
    <n v="0"/>
    <n v="0"/>
    <n v="0"/>
    <n v="0"/>
    <n v="0"/>
  </r>
  <r>
    <x v="22"/>
    <x v="18"/>
    <x v="3"/>
    <m/>
    <m/>
    <n v="0"/>
    <m/>
    <m/>
    <n v="0"/>
    <m/>
    <m/>
    <n v="0"/>
    <s v=""/>
    <n v="0"/>
    <n v="0"/>
    <n v="0"/>
    <n v="116.88487613461319"/>
    <n v="2225"/>
    <n v="71535.307499999995"/>
    <n v="0"/>
    <n v="0"/>
    <n v="0"/>
    <n v="0"/>
    <n v="0"/>
    <n v="0"/>
  </r>
  <r>
    <x v="23"/>
    <x v="18"/>
    <x v="3"/>
    <m/>
    <m/>
    <n v="0"/>
    <m/>
    <m/>
    <n v="0"/>
    <m/>
    <m/>
    <n v="0"/>
    <s v=""/>
    <n v="0"/>
    <n v="0"/>
    <n v="0"/>
    <n v="116.88487613461319"/>
    <n v="2225"/>
    <n v="71535.307499999995"/>
    <n v="0"/>
    <n v="0"/>
    <n v="0"/>
    <n v="0"/>
    <n v="0"/>
    <n v="0"/>
  </r>
  <r>
    <x v="24"/>
    <x v="18"/>
    <x v="3"/>
    <m/>
    <m/>
    <n v="0"/>
    <m/>
    <m/>
    <n v="0"/>
    <m/>
    <m/>
    <n v="0"/>
    <s v=""/>
    <n v="0"/>
    <n v="0"/>
    <n v="0"/>
    <n v="116.88487613461319"/>
    <n v="2225"/>
    <n v="71535.307499999995"/>
    <n v="0"/>
    <n v="0"/>
    <n v="0"/>
    <n v="0"/>
    <n v="0"/>
    <n v="0"/>
  </r>
  <r>
    <x v="25"/>
    <x v="18"/>
    <x v="3"/>
    <m/>
    <m/>
    <n v="0"/>
    <m/>
    <m/>
    <n v="0"/>
    <m/>
    <m/>
    <n v="0"/>
    <s v=""/>
    <n v="0"/>
    <n v="0"/>
    <n v="0"/>
    <n v="116.88487613461319"/>
    <n v="2225"/>
    <n v="71535.307499999995"/>
    <n v="0"/>
    <n v="0"/>
    <n v="0"/>
    <n v="0"/>
    <n v="0"/>
    <n v="0"/>
  </r>
  <r>
    <x v="26"/>
    <x v="18"/>
    <x v="3"/>
    <m/>
    <m/>
    <n v="0"/>
    <m/>
    <m/>
    <n v="0"/>
    <m/>
    <m/>
    <n v="0"/>
    <s v=""/>
    <n v="0"/>
    <n v="0"/>
    <n v="0"/>
    <n v="116.88487613461319"/>
    <n v="2225"/>
    <n v="71535.307499999995"/>
    <n v="0"/>
    <n v="0"/>
    <n v="0"/>
    <n v="0"/>
    <n v="0"/>
    <n v="0"/>
  </r>
  <r>
    <x v="27"/>
    <x v="18"/>
    <x v="3"/>
    <m/>
    <m/>
    <n v="0"/>
    <m/>
    <m/>
    <n v="0"/>
    <m/>
    <m/>
    <n v="0"/>
    <s v=""/>
    <n v="0"/>
    <n v="0"/>
    <n v="0"/>
    <n v="116.88487613461319"/>
    <n v="2225"/>
    <n v="71535.307499999995"/>
    <n v="0"/>
    <n v="0"/>
    <n v="0"/>
    <n v="0"/>
    <n v="0"/>
    <n v="0"/>
  </r>
  <r>
    <x v="28"/>
    <x v="18"/>
    <x v="3"/>
    <m/>
    <m/>
    <n v="0"/>
    <m/>
    <m/>
    <n v="0"/>
    <m/>
    <m/>
    <n v="0"/>
    <s v=""/>
    <n v="0"/>
    <n v="0"/>
    <n v="0"/>
    <n v="116.88487613461319"/>
    <n v="2225"/>
    <n v="71535.307499999995"/>
    <n v="0"/>
    <n v="0"/>
    <n v="0"/>
    <n v="0"/>
    <n v="0"/>
    <n v="0"/>
  </r>
  <r>
    <x v="29"/>
    <x v="18"/>
    <x v="3"/>
    <m/>
    <m/>
    <n v="0"/>
    <m/>
    <m/>
    <n v="0"/>
    <m/>
    <m/>
    <n v="0"/>
    <s v=""/>
    <n v="0"/>
    <n v="0"/>
    <n v="0"/>
    <n v="116.88487613461319"/>
    <n v="2225"/>
    <n v="71535.307499999995"/>
    <n v="0"/>
    <n v="0"/>
    <n v="0"/>
    <n v="0"/>
    <n v="0"/>
    <n v="0"/>
  </r>
  <r>
    <x v="30"/>
    <x v="18"/>
    <x v="3"/>
    <m/>
    <m/>
    <n v="0"/>
    <m/>
    <m/>
    <n v="0"/>
    <m/>
    <m/>
    <n v="0"/>
    <s v=""/>
    <n v="0"/>
    <n v="0"/>
    <n v="0"/>
    <n v="116.88487613461319"/>
    <n v="2225"/>
    <n v="71535.307499999995"/>
    <n v="0"/>
    <n v="0"/>
    <n v="0"/>
    <n v="0"/>
    <n v="0"/>
    <n v="0"/>
  </r>
  <r>
    <x v="31"/>
    <x v="18"/>
    <x v="3"/>
    <m/>
    <m/>
    <n v="0"/>
    <m/>
    <m/>
    <n v="0"/>
    <m/>
    <m/>
    <n v="0"/>
    <s v=""/>
    <n v="0"/>
    <n v="0"/>
    <n v="0"/>
    <n v="116.88487613461319"/>
    <n v="2225"/>
    <n v="71535.307499999995"/>
    <n v="0"/>
    <n v="0"/>
    <n v="0"/>
    <n v="0"/>
    <n v="0"/>
    <n v="0"/>
  </r>
  <r>
    <x v="32"/>
    <x v="18"/>
    <x v="3"/>
    <m/>
    <m/>
    <n v="0"/>
    <m/>
    <m/>
    <n v="0"/>
    <m/>
    <m/>
    <n v="0"/>
    <s v=""/>
    <n v="0"/>
    <n v="0"/>
    <n v="0"/>
    <n v="116.88487613461319"/>
    <n v="2225"/>
    <n v="71535.307499999995"/>
    <n v="0"/>
    <n v="0"/>
    <n v="0"/>
    <n v="0"/>
    <n v="0"/>
    <n v="0"/>
  </r>
  <r>
    <x v="33"/>
    <x v="18"/>
    <x v="3"/>
    <m/>
    <m/>
    <n v="0"/>
    <m/>
    <m/>
    <n v="0"/>
    <m/>
    <m/>
    <n v="0"/>
    <s v=""/>
    <n v="0"/>
    <n v="0"/>
    <n v="0"/>
    <n v="116.88487613461319"/>
    <n v="2225"/>
    <n v="71535.307499999995"/>
    <n v="0"/>
    <n v="0"/>
    <n v="0"/>
    <n v="0"/>
    <n v="0"/>
    <n v="0"/>
  </r>
  <r>
    <x v="34"/>
    <x v="18"/>
    <x v="3"/>
    <n v="1534"/>
    <n v="1.4"/>
    <n v="2.1475999999999997"/>
    <m/>
    <m/>
    <n v="0"/>
    <m/>
    <m/>
    <n v="0"/>
    <s v=""/>
    <n v="0"/>
    <n v="0"/>
    <n v="0"/>
    <n v="116.88487613461319"/>
    <n v="2225"/>
    <n v="71535.307499999995"/>
    <n v="0"/>
    <n v="0"/>
    <n v="0"/>
    <n v="0"/>
    <n v="0"/>
    <n v="0"/>
  </r>
  <r>
    <x v="35"/>
    <x v="18"/>
    <x v="3"/>
    <m/>
    <m/>
    <n v="0"/>
    <m/>
    <m/>
    <n v="0"/>
    <m/>
    <m/>
    <n v="0"/>
    <s v=""/>
    <n v="0"/>
    <n v="0"/>
    <n v="0"/>
    <n v="116.88487613461319"/>
    <n v="2225"/>
    <n v="71535.307499999995"/>
    <n v="0"/>
    <n v="0"/>
    <n v="0"/>
    <n v="0"/>
    <n v="0"/>
    <n v="0"/>
  </r>
  <r>
    <x v="36"/>
    <x v="18"/>
    <x v="3"/>
    <m/>
    <m/>
    <n v="0"/>
    <m/>
    <m/>
    <n v="0"/>
    <m/>
    <m/>
    <n v="0"/>
    <s v=""/>
    <n v="0"/>
    <n v="0"/>
    <n v="0"/>
    <n v="116.88487613461319"/>
    <n v="2225"/>
    <n v="71535.307499999995"/>
    <n v="0"/>
    <n v="0"/>
    <n v="0"/>
    <n v="0"/>
    <n v="0"/>
    <n v="0"/>
  </r>
  <r>
    <x v="37"/>
    <x v="18"/>
    <x v="3"/>
    <m/>
    <m/>
    <n v="0"/>
    <m/>
    <m/>
    <n v="0"/>
    <m/>
    <m/>
    <n v="0"/>
    <s v=""/>
    <n v="0"/>
    <n v="0"/>
    <n v="0"/>
    <n v="116.88487613461319"/>
    <n v="2225"/>
    <n v="71535.307499999995"/>
    <n v="0"/>
    <n v="0"/>
    <n v="0"/>
    <n v="0"/>
    <n v="0"/>
    <n v="0"/>
  </r>
  <r>
    <x v="38"/>
    <x v="18"/>
    <x v="3"/>
    <m/>
    <m/>
    <n v="0"/>
    <m/>
    <m/>
    <n v="0"/>
    <m/>
    <m/>
    <n v="0"/>
    <s v=""/>
    <n v="0"/>
    <n v="0"/>
    <n v="0"/>
    <n v="116.88487613461319"/>
    <n v="2225"/>
    <n v="71535.307499999995"/>
    <n v="0"/>
    <n v="0"/>
    <n v="0"/>
    <n v="0"/>
    <n v="0"/>
    <n v="0"/>
  </r>
  <r>
    <x v="39"/>
    <x v="18"/>
    <x v="3"/>
    <m/>
    <m/>
    <n v="0"/>
    <m/>
    <m/>
    <n v="0"/>
    <m/>
    <m/>
    <n v="0"/>
    <s v=""/>
    <n v="0"/>
    <n v="0"/>
    <n v="0"/>
    <n v="116.88487613461319"/>
    <n v="2225"/>
    <n v="71535.307499999995"/>
    <n v="0"/>
    <n v="0"/>
    <n v="0"/>
    <n v="0"/>
    <n v="0"/>
    <n v="0"/>
  </r>
  <r>
    <x v="40"/>
    <x v="18"/>
    <x v="3"/>
    <m/>
    <m/>
    <n v="0"/>
    <m/>
    <m/>
    <n v="0"/>
    <m/>
    <m/>
    <n v="0"/>
    <s v=""/>
    <n v="0"/>
    <n v="0"/>
    <n v="0"/>
    <n v="116.88487613461319"/>
    <n v="2225"/>
    <n v="71535.307499999995"/>
    <n v="0"/>
    <n v="0"/>
    <n v="0"/>
    <n v="0"/>
    <n v="0"/>
    <n v="0"/>
  </r>
  <r>
    <x v="41"/>
    <x v="18"/>
    <x v="3"/>
    <m/>
    <m/>
    <n v="0"/>
    <m/>
    <m/>
    <n v="0"/>
    <m/>
    <m/>
    <n v="0"/>
    <s v=""/>
    <n v="0"/>
    <n v="0"/>
    <n v="0"/>
    <n v="116.88487613461319"/>
    <n v="2225"/>
    <n v="71535.307499999995"/>
    <n v="0"/>
    <n v="0"/>
    <n v="0"/>
    <n v="0"/>
    <n v="0"/>
    <n v="0"/>
  </r>
  <r>
    <x v="42"/>
    <x v="18"/>
    <x v="3"/>
    <m/>
    <m/>
    <n v="0"/>
    <m/>
    <m/>
    <n v="0"/>
    <m/>
    <m/>
    <n v="0"/>
    <s v=""/>
    <n v="0"/>
    <n v="0"/>
    <n v="0"/>
    <n v="116.88487613461319"/>
    <n v="2225"/>
    <n v="71535.307499999995"/>
    <n v="0"/>
    <n v="0"/>
    <n v="0"/>
    <n v="0"/>
    <n v="0"/>
    <n v="0"/>
  </r>
  <r>
    <x v="43"/>
    <x v="18"/>
    <x v="3"/>
    <m/>
    <m/>
    <n v="0"/>
    <m/>
    <m/>
    <n v="0"/>
    <m/>
    <m/>
    <n v="0"/>
    <s v=""/>
    <n v="0"/>
    <n v="0"/>
    <n v="0"/>
    <n v="116.88487613461319"/>
    <n v="2225"/>
    <n v="71535.307499999995"/>
    <n v="0"/>
    <n v="0"/>
    <n v="0"/>
    <n v="0"/>
    <n v="0"/>
    <n v="0"/>
  </r>
  <r>
    <x v="44"/>
    <x v="18"/>
    <x v="3"/>
    <m/>
    <m/>
    <n v="0"/>
    <m/>
    <m/>
    <n v="0"/>
    <m/>
    <m/>
    <n v="0"/>
    <s v=""/>
    <n v="0"/>
    <n v="0"/>
    <n v="0"/>
    <n v="116.88487613461319"/>
    <n v="2225"/>
    <n v="71535.307499999995"/>
    <n v="0"/>
    <n v="0"/>
    <n v="0"/>
    <n v="0"/>
    <n v="0"/>
    <n v="0"/>
  </r>
  <r>
    <x v="45"/>
    <x v="18"/>
    <x v="3"/>
    <m/>
    <m/>
    <n v="0"/>
    <m/>
    <m/>
    <n v="0"/>
    <m/>
    <m/>
    <n v="0"/>
    <s v=""/>
    <n v="0"/>
    <n v="0"/>
    <n v="0"/>
    <n v="116.88487613461319"/>
    <n v="2225"/>
    <n v="71535.307499999995"/>
    <n v="0"/>
    <n v="0"/>
    <n v="0"/>
    <n v="0"/>
    <n v="0"/>
    <n v="0"/>
  </r>
  <r>
    <x v="46"/>
    <x v="18"/>
    <x v="3"/>
    <m/>
    <m/>
    <m/>
    <m/>
    <m/>
    <m/>
    <m/>
    <m/>
    <m/>
    <m/>
    <m/>
    <m/>
    <m/>
    <m/>
    <m/>
    <m/>
    <m/>
    <m/>
    <m/>
    <m/>
    <m/>
    <m/>
  </r>
  <r>
    <x v="47"/>
    <x v="18"/>
    <x v="3"/>
    <m/>
    <m/>
    <n v="0"/>
    <m/>
    <m/>
    <n v="0"/>
    <m/>
    <m/>
    <m/>
    <m/>
    <m/>
    <m/>
    <m/>
    <m/>
    <m/>
    <m/>
    <m/>
    <m/>
    <m/>
    <m/>
    <m/>
    <m/>
  </r>
  <r>
    <x v="48"/>
    <x v="18"/>
    <x v="3"/>
    <m/>
    <m/>
    <n v="0"/>
    <m/>
    <m/>
    <n v="0"/>
    <m/>
    <m/>
    <m/>
    <m/>
    <m/>
    <m/>
    <m/>
    <m/>
    <m/>
    <m/>
    <m/>
    <m/>
    <m/>
    <m/>
    <m/>
    <m/>
  </r>
  <r>
    <x v="49"/>
    <x v="18"/>
    <x v="3"/>
    <m/>
    <m/>
    <n v="0"/>
    <m/>
    <m/>
    <n v="0"/>
    <m/>
    <m/>
    <n v="0"/>
    <s v=""/>
    <n v="0"/>
    <n v="0"/>
    <n v="0"/>
    <n v="116.88487613461319"/>
    <n v="2225"/>
    <n v="71535.307499999995"/>
    <n v="0"/>
    <n v="0"/>
    <n v="0"/>
    <n v="0"/>
    <n v="0"/>
    <n v="0"/>
  </r>
  <r>
    <x v="50"/>
    <x v="18"/>
    <x v="4"/>
    <m/>
    <m/>
    <n v="0"/>
    <m/>
    <m/>
    <n v="0"/>
    <m/>
    <m/>
    <n v="0"/>
    <s v=""/>
    <n v="0"/>
    <n v="0"/>
    <n v="0"/>
    <n v="116.88487613461319"/>
    <n v="2225"/>
    <n v="71535.307499999995"/>
    <n v="0"/>
    <n v="0"/>
    <n v="0"/>
    <n v="0"/>
    <n v="0"/>
    <n v="0"/>
  </r>
  <r>
    <x v="51"/>
    <x v="18"/>
    <x v="4"/>
    <m/>
    <m/>
    <n v="0"/>
    <m/>
    <m/>
    <n v="0"/>
    <m/>
    <m/>
    <n v="0"/>
    <s v=""/>
    <n v="0"/>
    <n v="0"/>
    <n v="0"/>
    <n v="116.88487613461319"/>
    <n v="2225"/>
    <n v="71535.307499999995"/>
    <n v="0"/>
    <n v="0"/>
    <n v="0"/>
    <n v="0"/>
    <n v="0"/>
    <n v="0"/>
  </r>
  <r>
    <x v="52"/>
    <x v="18"/>
    <x v="4"/>
    <m/>
    <m/>
    <n v="0"/>
    <m/>
    <m/>
    <n v="0"/>
    <m/>
    <m/>
    <n v="0"/>
    <s v=""/>
    <n v="0"/>
    <n v="0"/>
    <n v="0"/>
    <n v="116.88487613461319"/>
    <n v="2225"/>
    <n v="71535.307499999995"/>
    <n v="0"/>
    <n v="0"/>
    <n v="0"/>
    <n v="0"/>
    <n v="0"/>
    <n v="0"/>
  </r>
  <r>
    <x v="53"/>
    <x v="18"/>
    <x v="4"/>
    <m/>
    <m/>
    <n v="0"/>
    <m/>
    <m/>
    <n v="0"/>
    <m/>
    <m/>
    <n v="0"/>
    <s v=""/>
    <n v="0"/>
    <n v="0"/>
    <n v="0"/>
    <n v="116.88487613461319"/>
    <n v="2225"/>
    <n v="71535.307499999995"/>
    <n v="0"/>
    <n v="0"/>
    <n v="0"/>
    <n v="0"/>
    <n v="0"/>
    <n v="0"/>
  </r>
  <r>
    <x v="54"/>
    <x v="18"/>
    <x v="4"/>
    <m/>
    <m/>
    <n v="0"/>
    <m/>
    <m/>
    <n v="0"/>
    <m/>
    <m/>
    <n v="0"/>
    <s v=""/>
    <n v="0"/>
    <n v="0"/>
    <n v="0"/>
    <n v="116.88487613461319"/>
    <n v="2225"/>
    <n v="71535.307499999995"/>
    <n v="0"/>
    <n v="0"/>
    <n v="0"/>
    <n v="0"/>
    <n v="0"/>
    <n v="0"/>
  </r>
  <r>
    <x v="55"/>
    <x v="18"/>
    <x v="4"/>
    <m/>
    <m/>
    <n v="0"/>
    <m/>
    <m/>
    <n v="0"/>
    <m/>
    <m/>
    <n v="0"/>
    <s v=""/>
    <n v="0"/>
    <n v="0"/>
    <n v="0"/>
    <n v="116.88487613461319"/>
    <n v="2225"/>
    <n v="71535.307499999995"/>
    <n v="0"/>
    <n v="0"/>
    <n v="0"/>
    <n v="0"/>
    <n v="0"/>
    <n v="0"/>
  </r>
  <r>
    <x v="56"/>
    <x v="18"/>
    <x v="4"/>
    <m/>
    <m/>
    <n v="0"/>
    <m/>
    <m/>
    <n v="0"/>
    <m/>
    <m/>
    <n v="0"/>
    <s v=""/>
    <n v="0"/>
    <n v="0"/>
    <n v="0"/>
    <n v="116.88487613461319"/>
    <n v="2225"/>
    <n v="71535.307499999995"/>
    <n v="0"/>
    <n v="0"/>
    <n v="0"/>
    <n v="0"/>
    <n v="0"/>
    <n v="0"/>
  </r>
  <r>
    <x v="57"/>
    <x v="18"/>
    <x v="4"/>
    <m/>
    <m/>
    <n v="0"/>
    <m/>
    <m/>
    <n v="0"/>
    <m/>
    <m/>
    <n v="0"/>
    <s v=""/>
    <n v="0"/>
    <n v="0"/>
    <n v="0"/>
    <n v="116.88487613461319"/>
    <n v="2225"/>
    <n v="71535.307499999995"/>
    <n v="0"/>
    <n v="0"/>
    <n v="0"/>
    <n v="0"/>
    <n v="0"/>
    <n v="0"/>
  </r>
  <r>
    <x v="58"/>
    <x v="18"/>
    <x v="4"/>
    <m/>
    <m/>
    <n v="0"/>
    <m/>
    <m/>
    <n v="0"/>
    <m/>
    <m/>
    <n v="0"/>
    <s v=""/>
    <n v="0"/>
    <n v="0"/>
    <n v="0"/>
    <n v="116.88487613461319"/>
    <n v="2225"/>
    <n v="71535.307499999995"/>
    <n v="0"/>
    <n v="0"/>
    <n v="0"/>
    <n v="0"/>
    <n v="0"/>
    <n v="0"/>
  </r>
  <r>
    <x v="59"/>
    <x v="18"/>
    <x v="4"/>
    <m/>
    <m/>
    <n v="0"/>
    <m/>
    <m/>
    <n v="0"/>
    <m/>
    <m/>
    <n v="0"/>
    <s v=""/>
    <n v="0"/>
    <n v="0"/>
    <n v="0"/>
    <n v="116.88487613461319"/>
    <n v="2225"/>
    <n v="71535.307499999995"/>
    <n v="0"/>
    <n v="0"/>
    <n v="0"/>
    <n v="0"/>
    <n v="0"/>
    <n v="0"/>
  </r>
  <r>
    <x v="60"/>
    <x v="18"/>
    <x v="4"/>
    <m/>
    <m/>
    <n v="0"/>
    <m/>
    <m/>
    <n v="0"/>
    <m/>
    <m/>
    <n v="0"/>
    <s v=""/>
    <n v="0"/>
    <n v="0"/>
    <n v="0"/>
    <n v="116.88487613461319"/>
    <n v="2225"/>
    <n v="71535.307499999995"/>
    <n v="0"/>
    <n v="0"/>
    <n v="0"/>
    <n v="0"/>
    <n v="0"/>
    <n v="0"/>
  </r>
  <r>
    <x v="61"/>
    <x v="18"/>
    <x v="4"/>
    <m/>
    <m/>
    <n v="0"/>
    <m/>
    <m/>
    <n v="0"/>
    <m/>
    <m/>
    <n v="0"/>
    <s v=""/>
    <n v="0"/>
    <n v="0"/>
    <n v="0"/>
    <n v="116.88487613461319"/>
    <n v="2225"/>
    <n v="71535.307499999995"/>
    <n v="0"/>
    <n v="0"/>
    <n v="0"/>
    <n v="0"/>
    <n v="0"/>
    <n v="0"/>
  </r>
  <r>
    <x v="62"/>
    <x v="18"/>
    <x v="4"/>
    <m/>
    <m/>
    <n v="0"/>
    <m/>
    <m/>
    <n v="0"/>
    <m/>
    <m/>
    <n v="0"/>
    <s v=""/>
    <n v="0"/>
    <n v="0"/>
    <n v="0"/>
    <n v="116.88487613461319"/>
    <n v="2225"/>
    <n v="71535.307499999995"/>
    <n v="0"/>
    <n v="0"/>
    <n v="0"/>
    <n v="0"/>
    <n v="0"/>
    <n v="0"/>
  </r>
  <r>
    <x v="63"/>
    <x v="18"/>
    <x v="4"/>
    <m/>
    <m/>
    <n v="0"/>
    <m/>
    <m/>
    <n v="0"/>
    <m/>
    <m/>
    <n v="0"/>
    <s v=""/>
    <n v="0"/>
    <n v="0"/>
    <n v="0"/>
    <n v="116.88487613461319"/>
    <n v="2225"/>
    <n v="71535.307499999995"/>
    <n v="0"/>
    <n v="0"/>
    <n v="0"/>
    <n v="0"/>
    <n v="0"/>
    <n v="0"/>
  </r>
  <r>
    <x v="64"/>
    <x v="18"/>
    <x v="4"/>
    <m/>
    <m/>
    <n v="0"/>
    <m/>
    <m/>
    <n v="0"/>
    <m/>
    <m/>
    <n v="0"/>
    <s v=""/>
    <n v="0"/>
    <n v="0"/>
    <n v="0"/>
    <n v="116.88487613461319"/>
    <n v="2225"/>
    <n v="71535.307499999995"/>
    <n v="0"/>
    <n v="0"/>
    <n v="0"/>
    <n v="0"/>
    <n v="0"/>
    <n v="0"/>
  </r>
  <r>
    <x v="65"/>
    <x v="18"/>
    <x v="4"/>
    <m/>
    <m/>
    <n v="0"/>
    <m/>
    <m/>
    <n v="0"/>
    <m/>
    <m/>
    <n v="0"/>
    <s v=""/>
    <n v="0"/>
    <n v="0"/>
    <n v="0"/>
    <n v="116.88487613461319"/>
    <n v="2225"/>
    <n v="71535.307499999995"/>
    <n v="0"/>
    <n v="0"/>
    <n v="0"/>
    <n v="0"/>
    <n v="0"/>
    <n v="0"/>
  </r>
  <r>
    <x v="66"/>
    <x v="18"/>
    <x v="4"/>
    <m/>
    <m/>
    <n v="0"/>
    <m/>
    <m/>
    <n v="0"/>
    <m/>
    <m/>
    <n v="0"/>
    <s v=""/>
    <n v="0"/>
    <n v="0"/>
    <n v="0"/>
    <n v="116.88487613461319"/>
    <n v="2225"/>
    <n v="71535.307499999995"/>
    <n v="0"/>
    <n v="0"/>
    <n v="0"/>
    <n v="0"/>
    <n v="0"/>
    <n v="0"/>
  </r>
  <r>
    <x v="67"/>
    <x v="18"/>
    <x v="4"/>
    <m/>
    <m/>
    <n v="0"/>
    <m/>
    <m/>
    <n v="0"/>
    <m/>
    <m/>
    <n v="0"/>
    <s v=""/>
    <n v="0"/>
    <n v="0"/>
    <n v="0"/>
    <n v="116.88487613461319"/>
    <n v="2225"/>
    <n v="71535.307499999995"/>
    <n v="0"/>
    <n v="0"/>
    <n v="0"/>
    <n v="0"/>
    <n v="0"/>
    <n v="0"/>
  </r>
  <r>
    <x v="68"/>
    <x v="18"/>
    <x v="4"/>
    <n v="1610"/>
    <n v="3.23"/>
    <n v="5.2003000000000004"/>
    <m/>
    <m/>
    <n v="0"/>
    <m/>
    <m/>
    <n v="0"/>
    <s v=""/>
    <n v="0"/>
    <n v="0"/>
    <n v="0"/>
    <n v="116.88487613461319"/>
    <n v="2225"/>
    <n v="71535.307499999995"/>
    <n v="0"/>
    <n v="0"/>
    <n v="0"/>
    <n v="0"/>
    <n v="0"/>
    <n v="0"/>
  </r>
  <r>
    <x v="69"/>
    <x v="18"/>
    <x v="4"/>
    <m/>
    <m/>
    <n v="0"/>
    <m/>
    <m/>
    <n v="0"/>
    <m/>
    <m/>
    <n v="0"/>
    <s v=""/>
    <n v="0"/>
    <n v="0"/>
    <n v="0"/>
    <n v="116.88487613461319"/>
    <n v="2225"/>
    <n v="71535.307499999995"/>
    <n v="0"/>
    <n v="0"/>
    <n v="0"/>
    <n v="0"/>
    <n v="0"/>
    <n v="0"/>
  </r>
  <r>
    <x v="70"/>
    <x v="18"/>
    <x v="5"/>
    <n v="3033"/>
    <n v="2.83"/>
    <n v="8.5833899999999996"/>
    <m/>
    <m/>
    <n v="0"/>
    <m/>
    <m/>
    <n v="0"/>
    <s v=""/>
    <n v="0"/>
    <n v="0"/>
    <n v="0"/>
    <n v="116.88487613461319"/>
    <n v="2225"/>
    <n v="71535.307499999995"/>
    <n v="0"/>
    <n v="0"/>
    <n v="0"/>
    <n v="0"/>
    <n v="0"/>
    <n v="0"/>
  </r>
  <r>
    <x v="71"/>
    <x v="18"/>
    <x v="5"/>
    <m/>
    <m/>
    <n v="0"/>
    <m/>
    <m/>
    <n v="0"/>
    <m/>
    <m/>
    <n v="0"/>
    <s v=""/>
    <n v="0"/>
    <n v="0"/>
    <n v="0"/>
    <n v="116.88487613461319"/>
    <n v="2225"/>
    <n v="71535.307499999995"/>
    <n v="0"/>
    <n v="0"/>
    <n v="0"/>
    <n v="0"/>
    <n v="0"/>
    <n v="0"/>
  </r>
  <r>
    <x v="72"/>
    <x v="18"/>
    <x v="5"/>
    <m/>
    <m/>
    <n v="0"/>
    <m/>
    <m/>
    <n v="0"/>
    <m/>
    <m/>
    <m/>
    <m/>
    <m/>
    <m/>
    <m/>
    <m/>
    <m/>
    <m/>
    <m/>
    <m/>
    <m/>
    <m/>
    <m/>
    <m/>
  </r>
  <r>
    <x v="73"/>
    <x v="18"/>
    <x v="5"/>
    <m/>
    <m/>
    <n v="0"/>
    <m/>
    <m/>
    <n v="0"/>
    <m/>
    <m/>
    <m/>
    <m/>
    <m/>
    <m/>
    <m/>
    <m/>
    <m/>
    <m/>
    <m/>
    <m/>
    <m/>
    <m/>
    <m/>
    <m/>
  </r>
  <r>
    <x v="74"/>
    <x v="18"/>
    <x v="5"/>
    <m/>
    <m/>
    <n v="0"/>
    <m/>
    <m/>
    <n v="0"/>
    <m/>
    <m/>
    <m/>
    <m/>
    <m/>
    <m/>
    <m/>
    <m/>
    <m/>
    <m/>
    <m/>
    <m/>
    <m/>
    <m/>
    <m/>
    <m/>
  </r>
  <r>
    <x v="75"/>
    <x v="18"/>
    <x v="5"/>
    <n v="3033"/>
    <n v="2.31"/>
    <n v="7.0062300000000004"/>
    <m/>
    <m/>
    <n v="0"/>
    <m/>
    <m/>
    <n v="0"/>
    <s v=""/>
    <n v="0"/>
    <n v="0"/>
    <n v="0"/>
    <n v="116.88487613461319"/>
    <n v="2225"/>
    <n v="71535.307499999995"/>
    <n v="0"/>
    <n v="0"/>
    <n v="0"/>
    <n v="0"/>
    <n v="0"/>
    <n v="0"/>
  </r>
  <r>
    <x v="76"/>
    <x v="18"/>
    <x v="5"/>
    <m/>
    <m/>
    <n v="0"/>
    <m/>
    <m/>
    <n v="0"/>
    <m/>
    <m/>
    <m/>
    <m/>
    <m/>
    <m/>
    <m/>
    <m/>
    <m/>
    <m/>
    <m/>
    <m/>
    <m/>
    <m/>
    <m/>
    <m/>
  </r>
  <r>
    <x v="77"/>
    <x v="18"/>
    <x v="5"/>
    <n v="2022"/>
    <n v="2.41"/>
    <n v="4.8730200000000004"/>
    <m/>
    <m/>
    <n v="0"/>
    <m/>
    <m/>
    <n v="0"/>
    <s v=""/>
    <n v="0"/>
    <n v="0"/>
    <n v="0"/>
    <n v="116.88487613461319"/>
    <n v="2225"/>
    <n v="71535.307499999995"/>
    <n v="0"/>
    <n v="0"/>
    <n v="0"/>
    <n v="0"/>
    <n v="0"/>
    <n v="0"/>
  </r>
  <r>
    <x v="78"/>
    <x v="18"/>
    <x v="5"/>
    <m/>
    <m/>
    <n v="0"/>
    <m/>
    <m/>
    <n v="0"/>
    <m/>
    <m/>
    <n v="0"/>
    <s v=""/>
    <n v="0"/>
    <n v="0"/>
    <n v="0"/>
    <n v="116.88487613461319"/>
    <n v="2225"/>
    <n v="71535.307499999995"/>
    <n v="0"/>
    <n v="0"/>
    <n v="0"/>
    <n v="0"/>
    <n v="0"/>
    <n v="0"/>
  </r>
  <r>
    <x v="79"/>
    <x v="18"/>
    <x v="5"/>
    <m/>
    <m/>
    <n v="0"/>
    <m/>
    <m/>
    <n v="0"/>
    <m/>
    <m/>
    <n v="0"/>
    <s v=""/>
    <n v="0"/>
    <n v="0"/>
    <n v="0"/>
    <n v="116.88487613461319"/>
    <n v="2225"/>
    <n v="71535.307499999995"/>
    <n v="0"/>
    <n v="0"/>
    <n v="0"/>
    <n v="0"/>
    <n v="0"/>
    <n v="0"/>
  </r>
  <r>
    <x v="80"/>
    <x v="18"/>
    <x v="5"/>
    <m/>
    <m/>
    <n v="0"/>
    <m/>
    <m/>
    <n v="0"/>
    <m/>
    <m/>
    <n v="0"/>
    <s v=""/>
    <n v="0"/>
    <n v="0"/>
    <n v="0"/>
    <n v="116.88487613461319"/>
    <n v="2225"/>
    <n v="71535.307499999995"/>
    <n v="0"/>
    <n v="0"/>
    <n v="0"/>
    <n v="0"/>
    <n v="0"/>
    <n v="0"/>
  </r>
  <r>
    <x v="81"/>
    <x v="18"/>
    <x v="5"/>
    <m/>
    <m/>
    <n v="0"/>
    <m/>
    <m/>
    <n v="0"/>
    <m/>
    <m/>
    <n v="0"/>
    <s v=""/>
    <n v="0"/>
    <n v="0"/>
    <n v="0"/>
    <n v="116.88487613461319"/>
    <n v="2225"/>
    <n v="71535.307499999995"/>
    <n v="0"/>
    <n v="0"/>
    <n v="0"/>
    <n v="0"/>
    <n v="0"/>
    <n v="0"/>
  </r>
  <r>
    <x v="82"/>
    <x v="18"/>
    <x v="5"/>
    <m/>
    <m/>
    <n v="0"/>
    <m/>
    <m/>
    <n v="0"/>
    <m/>
    <m/>
    <n v="0"/>
    <s v=""/>
    <n v="0"/>
    <n v="0"/>
    <n v="0"/>
    <n v="116.88487613461319"/>
    <n v="2225"/>
    <n v="71535.307499999995"/>
    <n v="0"/>
    <n v="0"/>
    <n v="0"/>
    <n v="0"/>
    <n v="0"/>
    <n v="0"/>
  </r>
  <r>
    <x v="83"/>
    <x v="18"/>
    <x v="5"/>
    <m/>
    <m/>
    <n v="0"/>
    <m/>
    <m/>
    <n v="0"/>
    <m/>
    <m/>
    <n v="0"/>
    <s v=""/>
    <n v="0"/>
    <n v="0"/>
    <n v="0"/>
    <n v="116.88487613461319"/>
    <n v="2225"/>
    <n v="71535.307499999995"/>
    <n v="0"/>
    <n v="0"/>
    <n v="0"/>
    <n v="0"/>
    <n v="0"/>
    <n v="0"/>
  </r>
  <r>
    <x v="84"/>
    <x v="18"/>
    <x v="5"/>
    <m/>
    <m/>
    <n v="0"/>
    <m/>
    <m/>
    <n v="0"/>
    <m/>
    <m/>
    <n v="0"/>
    <s v=""/>
    <n v="0"/>
    <n v="0"/>
    <n v="0"/>
    <n v="116.88487613461319"/>
    <n v="2225"/>
    <n v="71535.307499999995"/>
    <n v="0"/>
    <n v="0"/>
    <n v="0"/>
    <n v="0"/>
    <n v="0"/>
    <n v="0"/>
  </r>
  <r>
    <x v="85"/>
    <x v="18"/>
    <x v="5"/>
    <n v="1680"/>
    <n v="2.84"/>
    <n v="4.7711999999999994"/>
    <m/>
    <m/>
    <n v="0"/>
    <m/>
    <m/>
    <n v="0"/>
    <s v=""/>
    <n v="0"/>
    <n v="0"/>
    <n v="0"/>
    <n v="116.88487613461319"/>
    <n v="2225"/>
    <n v="71535.307499999995"/>
    <n v="0"/>
    <n v="0"/>
    <n v="0"/>
    <n v="0"/>
    <n v="0"/>
    <n v="0"/>
  </r>
  <r>
    <x v="86"/>
    <x v="18"/>
    <x v="5"/>
    <n v="2022"/>
    <n v="3.2"/>
    <n v="6.4704000000000006"/>
    <m/>
    <m/>
    <n v="0"/>
    <m/>
    <m/>
    <n v="0"/>
    <s v=""/>
    <n v="0"/>
    <n v="0"/>
    <n v="0"/>
    <n v="116.88487613461319"/>
    <n v="2225"/>
    <n v="71535.307499999995"/>
    <n v="0"/>
    <n v="0"/>
    <n v="0"/>
    <n v="0"/>
    <n v="0"/>
    <n v="0"/>
  </r>
  <r>
    <x v="87"/>
    <x v="18"/>
    <x v="5"/>
    <m/>
    <m/>
    <n v="0"/>
    <m/>
    <m/>
    <n v="0"/>
    <m/>
    <m/>
    <n v="0"/>
    <s v=""/>
    <n v="0"/>
    <n v="0"/>
    <n v="0"/>
    <n v="116.88487613461319"/>
    <n v="2225"/>
    <n v="71535.307499999995"/>
    <n v="0"/>
    <n v="0"/>
    <n v="0"/>
    <n v="0"/>
    <n v="0"/>
    <n v="0"/>
  </r>
  <r>
    <x v="88"/>
    <x v="18"/>
    <x v="5"/>
    <m/>
    <m/>
    <n v="0"/>
    <m/>
    <m/>
    <n v="0"/>
    <m/>
    <m/>
    <n v="0"/>
    <s v=""/>
    <n v="0"/>
    <n v="0"/>
    <n v="0"/>
    <n v="116.88487613461319"/>
    <n v="2225"/>
    <n v="71535.307499999995"/>
    <n v="0"/>
    <n v="0"/>
    <n v="0"/>
    <n v="0"/>
    <n v="0"/>
    <n v="0"/>
  </r>
  <r>
    <x v="89"/>
    <x v="18"/>
    <x v="5"/>
    <m/>
    <m/>
    <n v="0"/>
    <m/>
    <m/>
    <n v="0"/>
    <m/>
    <m/>
    <n v="0"/>
    <s v=""/>
    <n v="0"/>
    <n v="0"/>
    <n v="0"/>
    <n v="116.88487613461319"/>
    <n v="2225"/>
    <n v="71535.307499999995"/>
    <n v="0"/>
    <n v="0"/>
    <n v="0"/>
    <n v="0"/>
    <n v="0"/>
    <n v="0"/>
  </r>
  <r>
    <x v="90"/>
    <x v="18"/>
    <x v="5"/>
    <n v="229"/>
    <n v="3.49"/>
    <n v="0.79921000000000009"/>
    <m/>
    <m/>
    <n v="0"/>
    <m/>
    <m/>
    <n v="0"/>
    <s v=""/>
    <n v="0"/>
    <n v="0"/>
    <n v="0"/>
    <n v="116.88487613461319"/>
    <n v="2225"/>
    <n v="71535.307499999995"/>
    <n v="0"/>
    <n v="0"/>
    <n v="0"/>
    <n v="0"/>
    <n v="0"/>
    <n v="0"/>
  </r>
  <r>
    <x v="91"/>
    <x v="18"/>
    <x v="5"/>
    <n v="877"/>
    <n v="1.03"/>
    <n v="0.90331000000000006"/>
    <m/>
    <m/>
    <n v="0"/>
    <m/>
    <m/>
    <n v="0"/>
    <s v=""/>
    <n v="0"/>
    <n v="0"/>
    <n v="0"/>
    <n v="116.88487613461319"/>
    <n v="2225"/>
    <n v="71535.307499999995"/>
    <n v="0"/>
    <n v="0"/>
    <n v="0"/>
    <n v="0"/>
    <n v="0"/>
    <n v="0"/>
  </r>
  <r>
    <x v="92"/>
    <x v="18"/>
    <x v="5"/>
    <m/>
    <m/>
    <n v="0"/>
    <m/>
    <m/>
    <n v="0"/>
    <m/>
    <m/>
    <n v="0"/>
    <s v=""/>
    <n v="0"/>
    <n v="0"/>
    <n v="0"/>
    <n v="116.88487613461319"/>
    <n v="2225"/>
    <n v="71535.307499999995"/>
    <n v="0"/>
    <n v="0"/>
    <n v="0"/>
    <n v="0"/>
    <n v="0"/>
    <n v="0"/>
  </r>
  <r>
    <x v="93"/>
    <x v="18"/>
    <x v="5"/>
    <n v="269"/>
    <n v="3.05"/>
    <n v="0.8204499999999999"/>
    <m/>
    <m/>
    <n v="0"/>
    <m/>
    <m/>
    <n v="0"/>
    <s v=""/>
    <n v="0"/>
    <n v="0"/>
    <n v="0"/>
    <n v="116.88487613461319"/>
    <n v="2225"/>
    <n v="71535.307499999995"/>
    <n v="0"/>
    <n v="0"/>
    <n v="0"/>
    <n v="0"/>
    <n v="0"/>
    <n v="0"/>
  </r>
  <r>
    <x v="94"/>
    <x v="18"/>
    <x v="5"/>
    <m/>
    <m/>
    <n v="0"/>
    <m/>
    <m/>
    <n v="0"/>
    <m/>
    <m/>
    <n v="0"/>
    <s v=""/>
    <n v="0"/>
    <n v="0"/>
    <n v="0"/>
    <n v="116.88487613461319"/>
    <n v="2225"/>
    <n v="71535.307499999995"/>
    <n v="0"/>
    <n v="0"/>
    <n v="0"/>
    <n v="0"/>
    <n v="0"/>
    <n v="0"/>
  </r>
  <r>
    <x v="95"/>
    <x v="18"/>
    <x v="5"/>
    <m/>
    <m/>
    <n v="0"/>
    <m/>
    <m/>
    <n v="0"/>
    <m/>
    <m/>
    <n v="0"/>
    <s v=""/>
    <n v="0"/>
    <n v="0"/>
    <n v="0"/>
    <n v="116.88487613461319"/>
    <n v="2225"/>
    <n v="71535.307499999995"/>
    <n v="0"/>
    <n v="0"/>
    <n v="0"/>
    <n v="0"/>
    <n v="0"/>
    <n v="0"/>
  </r>
  <r>
    <x v="96"/>
    <x v="18"/>
    <x v="5"/>
    <n v="2022"/>
    <n v="3.97"/>
    <n v="8.0273400000000006"/>
    <m/>
    <m/>
    <n v="0"/>
    <m/>
    <m/>
    <n v="0"/>
    <s v=""/>
    <n v="0"/>
    <n v="0"/>
    <n v="0"/>
    <n v="116.88487613461319"/>
    <n v="2225"/>
    <n v="71535.307499999995"/>
    <n v="0"/>
    <n v="0"/>
    <n v="0"/>
    <n v="0"/>
    <n v="0"/>
    <n v="0"/>
  </r>
  <r>
    <x v="97"/>
    <x v="18"/>
    <x v="5"/>
    <n v="87"/>
    <n v="1.55"/>
    <n v="0.13485"/>
    <m/>
    <m/>
    <n v="0"/>
    <m/>
    <m/>
    <n v="0"/>
    <s v=""/>
    <n v="0"/>
    <n v="0"/>
    <n v="0"/>
    <n v="116.88487613461319"/>
    <n v="2225"/>
    <n v="71535.307499999995"/>
    <n v="0"/>
    <n v="0"/>
    <n v="0"/>
    <n v="0"/>
    <n v="0"/>
    <n v="0"/>
  </r>
  <r>
    <x v="98"/>
    <x v="18"/>
    <x v="6"/>
    <m/>
    <m/>
    <n v="0"/>
    <m/>
    <m/>
    <n v="0"/>
    <m/>
    <m/>
    <n v="0"/>
    <s v=""/>
    <n v="0"/>
    <n v="0"/>
    <n v="0"/>
    <n v="116.88487613461319"/>
    <n v="2225"/>
    <n v="71535.307499999995"/>
    <n v="0"/>
    <n v="0"/>
    <n v="0"/>
    <n v="0"/>
    <n v="0"/>
    <n v="0"/>
  </r>
  <r>
    <x v="99"/>
    <x v="18"/>
    <x v="6"/>
    <m/>
    <m/>
    <n v="0"/>
    <m/>
    <m/>
    <n v="0"/>
    <m/>
    <m/>
    <n v="0"/>
    <s v=""/>
    <n v="0"/>
    <n v="0"/>
    <n v="0"/>
    <n v="116.88487613461319"/>
    <n v="2225"/>
    <n v="71535.307499999995"/>
    <n v="0"/>
    <n v="0"/>
    <n v="0"/>
    <n v="0"/>
    <n v="0"/>
    <n v="0"/>
  </r>
  <r>
    <x v="100"/>
    <x v="18"/>
    <x v="6"/>
    <m/>
    <m/>
    <n v="0"/>
    <m/>
    <m/>
    <n v="0"/>
    <m/>
    <m/>
    <n v="0"/>
    <s v=""/>
    <n v="0"/>
    <n v="0"/>
    <n v="0"/>
    <n v="116.88487613461319"/>
    <n v="2225"/>
    <n v="71535.307499999995"/>
    <n v="0"/>
    <n v="0"/>
    <n v="0"/>
    <n v="0"/>
    <n v="0"/>
    <n v="0"/>
  </r>
  <r>
    <x v="101"/>
    <x v="18"/>
    <x v="6"/>
    <m/>
    <m/>
    <n v="0"/>
    <m/>
    <m/>
    <n v="0"/>
    <m/>
    <m/>
    <n v="0"/>
    <s v=""/>
    <n v="0"/>
    <n v="0"/>
    <n v="0"/>
    <n v="116.88487613461319"/>
    <n v="2225"/>
    <n v="71535.307499999995"/>
    <n v="0"/>
    <n v="0"/>
    <n v="0"/>
    <n v="0"/>
    <n v="0"/>
    <n v="0"/>
  </r>
  <r>
    <x v="102"/>
    <x v="18"/>
    <x v="6"/>
    <m/>
    <m/>
    <n v="0"/>
    <m/>
    <m/>
    <n v="0"/>
    <m/>
    <m/>
    <n v="0"/>
    <s v=""/>
    <n v="0"/>
    <n v="0"/>
    <n v="0"/>
    <n v="116.88487613461319"/>
    <n v="2225"/>
    <n v="71535.307499999995"/>
    <n v="0"/>
    <n v="0"/>
    <n v="0"/>
    <n v="0"/>
    <n v="0"/>
    <n v="0"/>
  </r>
  <r>
    <x v="103"/>
    <x v="18"/>
    <x v="6"/>
    <m/>
    <m/>
    <n v="0"/>
    <m/>
    <m/>
    <n v="0"/>
    <m/>
    <m/>
    <n v="0"/>
    <s v=""/>
    <n v="0"/>
    <n v="0"/>
    <n v="0"/>
    <n v="116.88487613461319"/>
    <n v="2225"/>
    <n v="71535.307499999995"/>
    <n v="0"/>
    <n v="0"/>
    <n v="0"/>
    <n v="0"/>
    <n v="0"/>
    <n v="0"/>
  </r>
  <r>
    <x v="104"/>
    <x v="18"/>
    <x v="6"/>
    <m/>
    <m/>
    <n v="0"/>
    <m/>
    <m/>
    <n v="0"/>
    <m/>
    <m/>
    <n v="0"/>
    <s v=""/>
    <n v="0"/>
    <n v="0"/>
    <n v="0"/>
    <n v="116.88487613461319"/>
    <n v="2225"/>
    <n v="71535.307499999995"/>
    <n v="0"/>
    <n v="0"/>
    <n v="0"/>
    <n v="0"/>
    <n v="0"/>
    <n v="0"/>
  </r>
  <r>
    <x v="105"/>
    <x v="18"/>
    <x v="6"/>
    <m/>
    <m/>
    <n v="0"/>
    <m/>
    <m/>
    <n v="0"/>
    <m/>
    <m/>
    <n v="0"/>
    <s v=""/>
    <n v="0"/>
    <n v="0"/>
    <n v="0"/>
    <n v="116.88487613461319"/>
    <n v="2225"/>
    <n v="71535.307499999995"/>
    <n v="0"/>
    <n v="0"/>
    <n v="0"/>
    <n v="0"/>
    <n v="0"/>
    <n v="0"/>
  </r>
  <r>
    <x v="106"/>
    <x v="18"/>
    <x v="6"/>
    <m/>
    <m/>
    <n v="0"/>
    <m/>
    <m/>
    <n v="0"/>
    <m/>
    <m/>
    <n v="0"/>
    <s v=""/>
    <n v="0"/>
    <n v="0"/>
    <n v="0"/>
    <n v="116.88487613461319"/>
    <n v="2225"/>
    <n v="71535.307499999995"/>
    <n v="0"/>
    <n v="0"/>
    <n v="0"/>
    <n v="0"/>
    <n v="0"/>
    <n v="0"/>
  </r>
  <r>
    <x v="107"/>
    <x v="18"/>
    <x v="6"/>
    <m/>
    <m/>
    <n v="0"/>
    <m/>
    <m/>
    <n v="0"/>
    <m/>
    <m/>
    <n v="0"/>
    <s v=""/>
    <n v="0"/>
    <n v="0"/>
    <n v="0"/>
    <n v="116.88487613461319"/>
    <n v="2225"/>
    <n v="71535.307499999995"/>
    <n v="0"/>
    <n v="0"/>
    <n v="0"/>
    <n v="0"/>
    <n v="0"/>
    <n v="0"/>
  </r>
  <r>
    <x v="108"/>
    <x v="18"/>
    <x v="6"/>
    <m/>
    <m/>
    <n v="0"/>
    <m/>
    <m/>
    <n v="0"/>
    <m/>
    <m/>
    <n v="0"/>
    <s v=""/>
    <n v="0"/>
    <n v="0"/>
    <n v="0"/>
    <n v="116.88487613461319"/>
    <n v="2225"/>
    <n v="71535.307499999995"/>
    <n v="0"/>
    <n v="0"/>
    <n v="0"/>
    <n v="0"/>
    <n v="0"/>
    <n v="0"/>
  </r>
  <r>
    <x v="109"/>
    <x v="18"/>
    <x v="6"/>
    <m/>
    <m/>
    <n v="0"/>
    <m/>
    <m/>
    <n v="0"/>
    <m/>
    <m/>
    <n v="0"/>
    <s v=""/>
    <n v="0"/>
    <n v="0"/>
    <n v="0"/>
    <n v="116.88487613461319"/>
    <n v="2225"/>
    <n v="71535.307499999995"/>
    <n v="0"/>
    <n v="0"/>
    <n v="0"/>
    <n v="0"/>
    <n v="0"/>
    <n v="0"/>
  </r>
  <r>
    <x v="110"/>
    <x v="18"/>
    <x v="7"/>
    <m/>
    <m/>
    <n v="0"/>
    <m/>
    <m/>
    <n v="0"/>
    <m/>
    <m/>
    <n v="0"/>
    <s v=""/>
    <n v="0"/>
    <n v="0"/>
    <n v="0"/>
    <n v="116.88487613461319"/>
    <n v="2225"/>
    <n v="71535.307499999995"/>
    <n v="0"/>
    <n v="0"/>
    <n v="0"/>
    <n v="0"/>
    <n v="0"/>
    <n v="0"/>
  </r>
  <r>
    <x v="111"/>
    <x v="18"/>
    <x v="7"/>
    <m/>
    <m/>
    <n v="0"/>
    <m/>
    <m/>
    <n v="0"/>
    <m/>
    <m/>
    <n v="0"/>
    <s v=""/>
    <n v="0"/>
    <n v="0"/>
    <n v="0"/>
    <n v="116.88487613461319"/>
    <n v="2225"/>
    <n v="71535.307499999995"/>
    <n v="0"/>
    <n v="0"/>
    <n v="0"/>
    <n v="0"/>
    <n v="0"/>
    <n v="0"/>
  </r>
  <r>
    <x v="112"/>
    <x v="18"/>
    <x v="7"/>
    <m/>
    <m/>
    <n v="0"/>
    <m/>
    <m/>
    <n v="0"/>
    <m/>
    <m/>
    <n v="0"/>
    <s v=""/>
    <n v="0"/>
    <n v="0"/>
    <n v="0"/>
    <n v="116.88487613461319"/>
    <n v="2225"/>
    <n v="71535.307499999995"/>
    <n v="0"/>
    <n v="0"/>
    <n v="0"/>
    <n v="0"/>
    <n v="0"/>
    <n v="0"/>
  </r>
  <r>
    <x v="113"/>
    <x v="18"/>
    <x v="7"/>
    <m/>
    <m/>
    <n v="0"/>
    <m/>
    <m/>
    <n v="0"/>
    <m/>
    <m/>
    <n v="0"/>
    <s v=""/>
    <n v="0"/>
    <n v="0"/>
    <n v="0"/>
    <n v="116.88487613461319"/>
    <n v="2225"/>
    <n v="71535.307499999995"/>
    <n v="0"/>
    <n v="0"/>
    <n v="0"/>
    <n v="0"/>
    <n v="0"/>
    <n v="0"/>
  </r>
  <r>
    <x v="114"/>
    <x v="18"/>
    <x v="7"/>
    <m/>
    <m/>
    <n v="0"/>
    <m/>
    <m/>
    <n v="0"/>
    <m/>
    <m/>
    <n v="0"/>
    <s v=""/>
    <n v="0"/>
    <n v="0"/>
    <n v="0"/>
    <n v="116.88487613461319"/>
    <n v="2225"/>
    <n v="71535.307499999995"/>
    <n v="0"/>
    <n v="0"/>
    <n v="0"/>
    <n v="0"/>
    <n v="0"/>
    <n v="0"/>
  </r>
  <r>
    <x v="115"/>
    <x v="18"/>
    <x v="7"/>
    <m/>
    <m/>
    <n v="0"/>
    <m/>
    <m/>
    <n v="0"/>
    <m/>
    <m/>
    <n v="0"/>
    <s v=""/>
    <n v="0"/>
    <n v="0"/>
    <n v="0"/>
    <n v="116.88487613461319"/>
    <n v="2225"/>
    <n v="71535.307499999995"/>
    <n v="0"/>
    <n v="0"/>
    <n v="0"/>
    <n v="0"/>
    <n v="0"/>
    <n v="0"/>
  </r>
  <r>
    <x v="116"/>
    <x v="18"/>
    <x v="7"/>
    <m/>
    <m/>
    <n v="0"/>
    <m/>
    <m/>
    <n v="0"/>
    <m/>
    <m/>
    <n v="0"/>
    <s v=""/>
    <n v="0"/>
    <n v="0"/>
    <n v="0"/>
    <n v="116.88487613461319"/>
    <n v="2225"/>
    <n v="71535.307499999995"/>
    <n v="0"/>
    <n v="0"/>
    <n v="0"/>
    <n v="0"/>
    <n v="0"/>
    <n v="0"/>
  </r>
  <r>
    <x v="117"/>
    <x v="18"/>
    <x v="7"/>
    <m/>
    <m/>
    <n v="0"/>
    <m/>
    <m/>
    <n v="0"/>
    <m/>
    <m/>
    <n v="0"/>
    <s v=""/>
    <n v="0"/>
    <n v="0"/>
    <n v="0"/>
    <n v="116.88487613461319"/>
    <n v="2225"/>
    <n v="71535.307499999995"/>
    <n v="0"/>
    <n v="0"/>
    <n v="0"/>
    <n v="0"/>
    <n v="0"/>
    <n v="0"/>
  </r>
  <r>
    <x v="118"/>
    <x v="18"/>
    <x v="7"/>
    <m/>
    <m/>
    <n v="0"/>
    <m/>
    <m/>
    <n v="0"/>
    <m/>
    <m/>
    <n v="0"/>
    <s v=""/>
    <n v="0"/>
    <n v="0"/>
    <n v="0"/>
    <n v="116.88487613461319"/>
    <n v="2225"/>
    <n v="71535.307499999995"/>
    <n v="0"/>
    <n v="0"/>
    <n v="0"/>
    <n v="0"/>
    <n v="0"/>
    <n v="0"/>
  </r>
  <r>
    <x v="119"/>
    <x v="18"/>
    <x v="7"/>
    <m/>
    <m/>
    <n v="0"/>
    <m/>
    <m/>
    <n v="0"/>
    <m/>
    <m/>
    <n v="0"/>
    <s v=""/>
    <n v="0"/>
    <n v="0"/>
    <n v="0"/>
    <n v="116.88487613461319"/>
    <n v="2225"/>
    <n v="71535.307499999995"/>
    <n v="0"/>
    <n v="0"/>
    <n v="0"/>
    <n v="0"/>
    <n v="0"/>
    <n v="0"/>
  </r>
  <r>
    <x v="120"/>
    <x v="18"/>
    <x v="7"/>
    <m/>
    <m/>
    <n v="0"/>
    <m/>
    <m/>
    <n v="0"/>
    <m/>
    <m/>
    <n v="0"/>
    <s v=""/>
    <n v="0"/>
    <n v="0"/>
    <n v="0"/>
    <n v="116.88487613461319"/>
    <n v="2225"/>
    <n v="71535.307499999995"/>
    <n v="0"/>
    <n v="0"/>
    <n v="0"/>
    <n v="0"/>
    <n v="0"/>
    <n v="0"/>
  </r>
  <r>
    <x v="121"/>
    <x v="18"/>
    <x v="7"/>
    <m/>
    <m/>
    <n v="0"/>
    <m/>
    <m/>
    <n v="0"/>
    <m/>
    <m/>
    <n v="0"/>
    <s v=""/>
    <n v="0"/>
    <n v="0"/>
    <n v="0"/>
    <n v="116.88487613461319"/>
    <n v="2225"/>
    <n v="71535.307499999995"/>
    <n v="0"/>
    <n v="0"/>
    <n v="0"/>
    <n v="0"/>
    <n v="0"/>
    <n v="0"/>
  </r>
  <r>
    <x v="122"/>
    <x v="18"/>
    <x v="7"/>
    <m/>
    <m/>
    <n v="0"/>
    <m/>
    <m/>
    <n v="0"/>
    <m/>
    <m/>
    <n v="0"/>
    <s v=""/>
    <n v="0"/>
    <n v="0"/>
    <n v="0"/>
    <n v="116.88487613461319"/>
    <n v="2225"/>
    <n v="71535.307499999995"/>
    <n v="0"/>
    <n v="0"/>
    <n v="0"/>
    <n v="0"/>
    <n v="0"/>
    <n v="0"/>
  </r>
  <r>
    <x v="123"/>
    <x v="18"/>
    <x v="7"/>
    <m/>
    <m/>
    <n v="0"/>
    <m/>
    <m/>
    <n v="0"/>
    <m/>
    <m/>
    <n v="0"/>
    <s v=""/>
    <n v="0"/>
    <n v="0"/>
    <n v="0"/>
    <n v="116.88487613461319"/>
    <n v="2225"/>
    <n v="71535.307499999995"/>
    <n v="0"/>
    <n v="0"/>
    <n v="0"/>
    <n v="0"/>
    <n v="0"/>
    <n v="0"/>
  </r>
  <r>
    <x v="124"/>
    <x v="18"/>
    <x v="7"/>
    <m/>
    <m/>
    <n v="0"/>
    <m/>
    <m/>
    <n v="0"/>
    <m/>
    <m/>
    <n v="0"/>
    <s v=""/>
    <n v="0"/>
    <n v="0"/>
    <n v="0"/>
    <n v="116.88487613461319"/>
    <n v="2225"/>
    <n v="71535.307499999995"/>
    <n v="0"/>
    <n v="0"/>
    <n v="0"/>
    <n v="0"/>
    <n v="0"/>
    <n v="0"/>
  </r>
  <r>
    <x v="125"/>
    <x v="18"/>
    <x v="7"/>
    <m/>
    <m/>
    <n v="0"/>
    <m/>
    <m/>
    <n v="0"/>
    <m/>
    <m/>
    <n v="0"/>
    <s v=""/>
    <n v="0"/>
    <n v="0"/>
    <n v="0"/>
    <n v="116.88487613461319"/>
    <n v="2225"/>
    <n v="71535.307499999995"/>
    <n v="0"/>
    <n v="0"/>
    <n v="0"/>
    <n v="0"/>
    <n v="0"/>
    <n v="0"/>
  </r>
  <r>
    <x v="126"/>
    <x v="18"/>
    <x v="7"/>
    <m/>
    <m/>
    <n v="0"/>
    <m/>
    <m/>
    <n v="0"/>
    <m/>
    <m/>
    <n v="0"/>
    <s v=""/>
    <n v="0"/>
    <n v="0"/>
    <n v="0"/>
    <n v="116.88487613461319"/>
    <n v="2225"/>
    <n v="71535.307499999995"/>
    <n v="0"/>
    <n v="0"/>
    <n v="0"/>
    <n v="0"/>
    <n v="0"/>
    <n v="0"/>
  </r>
  <r>
    <x v="127"/>
    <x v="18"/>
    <x v="7"/>
    <m/>
    <m/>
    <n v="0"/>
    <m/>
    <m/>
    <n v="0"/>
    <m/>
    <m/>
    <n v="0"/>
    <s v=""/>
    <n v="0"/>
    <n v="0"/>
    <n v="0"/>
    <n v="116.88487613461319"/>
    <n v="2225"/>
    <n v="71535.307499999995"/>
    <n v="0"/>
    <n v="0"/>
    <n v="0"/>
    <n v="0"/>
    <n v="0"/>
    <n v="0"/>
  </r>
  <r>
    <x v="0"/>
    <x v="19"/>
    <x v="0"/>
    <n v="1050"/>
    <n v="0.52"/>
    <n v="0.54600000000000004"/>
    <m/>
    <m/>
    <n v="0"/>
    <m/>
    <m/>
    <n v="0"/>
    <s v=""/>
    <n v="0"/>
    <n v="0"/>
    <n v="0"/>
    <n v="116.88487613461319"/>
    <n v="2225"/>
    <n v="71535.307499999995"/>
    <n v="0"/>
    <n v="0"/>
    <n v="0"/>
    <n v="0"/>
    <n v="0"/>
    <n v="0"/>
  </r>
  <r>
    <x v="1"/>
    <x v="19"/>
    <x v="0"/>
    <m/>
    <m/>
    <n v="0"/>
    <m/>
    <m/>
    <n v="0"/>
    <m/>
    <m/>
    <n v="0"/>
    <s v=""/>
    <n v="0"/>
    <n v="0"/>
    <n v="0"/>
    <n v="116.88487613461319"/>
    <n v="2225"/>
    <n v="71535.307499999995"/>
    <n v="0"/>
    <n v="0"/>
    <n v="0"/>
    <n v="0"/>
    <n v="0"/>
    <n v="0"/>
  </r>
  <r>
    <x v="2"/>
    <x v="19"/>
    <x v="0"/>
    <m/>
    <m/>
    <n v="0"/>
    <m/>
    <m/>
    <n v="0"/>
    <m/>
    <m/>
    <n v="0"/>
    <s v=""/>
    <n v="0"/>
    <n v="0"/>
    <n v="0"/>
    <n v="116.88487613461319"/>
    <n v="2225"/>
    <n v="71535.307499999995"/>
    <n v="0"/>
    <n v="0"/>
    <n v="0"/>
    <n v="0"/>
    <n v="0"/>
    <n v="0"/>
  </r>
  <r>
    <x v="3"/>
    <x v="19"/>
    <x v="0"/>
    <m/>
    <m/>
    <n v="0"/>
    <m/>
    <m/>
    <n v="0"/>
    <m/>
    <m/>
    <n v="0"/>
    <s v=""/>
    <n v="0"/>
    <n v="0"/>
    <n v="0"/>
    <n v="116.88487613461319"/>
    <n v="2225"/>
    <n v="71535.307499999995"/>
    <n v="0"/>
    <n v="0"/>
    <n v="0"/>
    <n v="0"/>
    <n v="0"/>
    <n v="0"/>
  </r>
  <r>
    <x v="4"/>
    <x v="19"/>
    <x v="1"/>
    <m/>
    <m/>
    <n v="0"/>
    <m/>
    <m/>
    <n v="0"/>
    <m/>
    <m/>
    <n v="0"/>
    <s v=""/>
    <n v="0"/>
    <n v="0"/>
    <n v="0"/>
    <n v="116.88487613461319"/>
    <n v="2225"/>
    <n v="71535.307499999995"/>
    <n v="0"/>
    <n v="0"/>
    <n v="0"/>
    <n v="0"/>
    <n v="0"/>
    <n v="0"/>
  </r>
  <r>
    <x v="5"/>
    <x v="19"/>
    <x v="1"/>
    <m/>
    <m/>
    <n v="0"/>
    <m/>
    <m/>
    <n v="0"/>
    <m/>
    <m/>
    <n v="0"/>
    <s v=""/>
    <n v="0"/>
    <n v="0"/>
    <n v="0"/>
    <n v="116.88487613461319"/>
    <n v="2225"/>
    <n v="71535.307499999995"/>
    <n v="0"/>
    <n v="0"/>
    <n v="0"/>
    <n v="0"/>
    <n v="0"/>
    <n v="0"/>
  </r>
  <r>
    <x v="6"/>
    <x v="19"/>
    <x v="1"/>
    <m/>
    <m/>
    <n v="0"/>
    <m/>
    <m/>
    <n v="0"/>
    <m/>
    <m/>
    <n v="0"/>
    <s v=""/>
    <n v="0"/>
    <n v="0"/>
    <n v="0"/>
    <n v="116.88487613461319"/>
    <n v="2225"/>
    <n v="71535.307499999995"/>
    <n v="0"/>
    <n v="0"/>
    <n v="0"/>
    <n v="0"/>
    <n v="0"/>
    <n v="0"/>
  </r>
  <r>
    <x v="7"/>
    <x v="19"/>
    <x v="2"/>
    <m/>
    <m/>
    <n v="0"/>
    <m/>
    <m/>
    <n v="0"/>
    <m/>
    <m/>
    <n v="0"/>
    <s v=""/>
    <n v="0"/>
    <n v="0"/>
    <n v="0"/>
    <n v="116.88487613461319"/>
    <n v="2225"/>
    <n v="71535.307499999995"/>
    <n v="0"/>
    <n v="0"/>
    <n v="0"/>
    <n v="0"/>
    <n v="0"/>
    <n v="0"/>
  </r>
  <r>
    <x v="8"/>
    <x v="19"/>
    <x v="2"/>
    <m/>
    <m/>
    <n v="0"/>
    <m/>
    <m/>
    <n v="0"/>
    <m/>
    <m/>
    <n v="0"/>
    <s v=""/>
    <n v="0"/>
    <n v="0"/>
    <n v="0"/>
    <n v="116.88487613461319"/>
    <n v="2225"/>
    <n v="71535.307499999995"/>
    <n v="0"/>
    <n v="0"/>
    <n v="0"/>
    <n v="0"/>
    <n v="0"/>
    <n v="0"/>
  </r>
  <r>
    <x v="9"/>
    <x v="19"/>
    <x v="2"/>
    <m/>
    <m/>
    <n v="0"/>
    <m/>
    <m/>
    <n v="0"/>
    <m/>
    <m/>
    <n v="0"/>
    <s v=""/>
    <n v="0"/>
    <n v="0"/>
    <n v="0"/>
    <n v="116.88487613461319"/>
    <n v="2225"/>
    <n v="71535.307499999995"/>
    <n v="0"/>
    <n v="0"/>
    <n v="0"/>
    <n v="0"/>
    <n v="0"/>
    <n v="0"/>
  </r>
  <r>
    <x v="10"/>
    <x v="19"/>
    <x v="2"/>
    <m/>
    <m/>
    <n v="0"/>
    <m/>
    <m/>
    <n v="0"/>
    <m/>
    <m/>
    <n v="0"/>
    <s v=""/>
    <n v="0"/>
    <n v="0"/>
    <n v="0"/>
    <n v="116.88487613461319"/>
    <n v="2225"/>
    <n v="71535.307499999995"/>
    <n v="0"/>
    <n v="0"/>
    <n v="0"/>
    <n v="0"/>
    <n v="0"/>
    <n v="0"/>
  </r>
  <r>
    <x v="11"/>
    <x v="19"/>
    <x v="2"/>
    <m/>
    <m/>
    <n v="0"/>
    <m/>
    <m/>
    <n v="0"/>
    <m/>
    <m/>
    <n v="0"/>
    <s v=""/>
    <n v="0"/>
    <n v="0"/>
    <n v="0"/>
    <n v="116.88487613461319"/>
    <n v="2225"/>
    <n v="71535.307499999995"/>
    <n v="0"/>
    <n v="0"/>
    <n v="0"/>
    <n v="0"/>
    <n v="0"/>
    <n v="0"/>
  </r>
  <r>
    <x v="12"/>
    <x v="19"/>
    <x v="2"/>
    <m/>
    <m/>
    <n v="0"/>
    <m/>
    <m/>
    <n v="0"/>
    <m/>
    <m/>
    <n v="0"/>
    <s v=""/>
    <n v="0"/>
    <n v="0"/>
    <n v="0"/>
    <n v="116.88487613461319"/>
    <n v="2225"/>
    <n v="71535.307499999995"/>
    <n v="0"/>
    <n v="0"/>
    <n v="0"/>
    <n v="0"/>
    <n v="0"/>
    <n v="0"/>
  </r>
  <r>
    <x v="13"/>
    <x v="19"/>
    <x v="2"/>
    <n v="168"/>
    <n v="1.58"/>
    <n v="0.26544000000000001"/>
    <m/>
    <m/>
    <n v="0"/>
    <m/>
    <m/>
    <n v="0"/>
    <s v=""/>
    <n v="0"/>
    <n v="0"/>
    <n v="0"/>
    <n v="116.88487613461319"/>
    <n v="2225"/>
    <n v="71535.307499999995"/>
    <n v="0"/>
    <n v="0"/>
    <n v="0"/>
    <n v="0"/>
    <n v="0"/>
    <n v="0"/>
  </r>
  <r>
    <x v="14"/>
    <x v="19"/>
    <x v="2"/>
    <m/>
    <m/>
    <n v="0"/>
    <m/>
    <m/>
    <n v="0"/>
    <m/>
    <m/>
    <n v="0"/>
    <s v=""/>
    <n v="0"/>
    <n v="0"/>
    <n v="0"/>
    <n v="116.88487613461319"/>
    <n v="2225"/>
    <n v="71535.307499999995"/>
    <n v="0"/>
    <n v="0"/>
    <n v="0"/>
    <n v="0"/>
    <n v="0"/>
    <n v="0"/>
  </r>
  <r>
    <x v="15"/>
    <x v="19"/>
    <x v="2"/>
    <m/>
    <m/>
    <n v="0"/>
    <m/>
    <m/>
    <n v="0"/>
    <m/>
    <m/>
    <n v="0"/>
    <s v=""/>
    <n v="0"/>
    <n v="0"/>
    <n v="0"/>
    <n v="116.88487613461319"/>
    <n v="2225"/>
    <n v="71535.307499999995"/>
    <n v="0"/>
    <n v="0"/>
    <n v="0"/>
    <n v="0"/>
    <n v="0"/>
    <n v="0"/>
  </r>
  <r>
    <x v="16"/>
    <x v="19"/>
    <x v="2"/>
    <m/>
    <m/>
    <n v="0"/>
    <m/>
    <m/>
    <n v="0"/>
    <m/>
    <m/>
    <n v="0"/>
    <s v=""/>
    <n v="0"/>
    <n v="0"/>
    <n v="0"/>
    <n v="116.88487613461319"/>
    <n v="2225"/>
    <n v="71535.307499999995"/>
    <n v="0"/>
    <n v="0"/>
    <n v="0"/>
    <n v="0"/>
    <n v="0"/>
    <n v="0"/>
  </r>
  <r>
    <x v="17"/>
    <x v="19"/>
    <x v="3"/>
    <m/>
    <m/>
    <n v="0"/>
    <m/>
    <m/>
    <n v="0"/>
    <m/>
    <m/>
    <n v="0"/>
    <s v=""/>
    <n v="0"/>
    <n v="0"/>
    <n v="0"/>
    <n v="116.88487613461319"/>
    <n v="2225"/>
    <n v="71535.307499999995"/>
    <n v="0"/>
    <n v="0"/>
    <n v="0"/>
    <n v="0"/>
    <n v="0"/>
    <n v="0"/>
  </r>
  <r>
    <x v="18"/>
    <x v="19"/>
    <x v="3"/>
    <m/>
    <m/>
    <n v="0"/>
    <m/>
    <m/>
    <n v="0"/>
    <m/>
    <m/>
    <n v="0"/>
    <s v=""/>
    <n v="0"/>
    <n v="0"/>
    <n v="0"/>
    <n v="116.88487613461319"/>
    <n v="2225"/>
    <n v="71535.307499999995"/>
    <n v="0"/>
    <n v="0"/>
    <n v="0"/>
    <n v="0"/>
    <n v="0"/>
    <n v="0"/>
  </r>
  <r>
    <x v="19"/>
    <x v="19"/>
    <x v="3"/>
    <m/>
    <m/>
    <n v="0"/>
    <m/>
    <m/>
    <n v="0"/>
    <m/>
    <m/>
    <n v="0"/>
    <s v=""/>
    <n v="0"/>
    <n v="0"/>
    <n v="0"/>
    <n v="116.88487613461319"/>
    <n v="2225"/>
    <n v="71535.307499999995"/>
    <n v="0"/>
    <n v="0"/>
    <n v="0"/>
    <n v="0"/>
    <n v="0"/>
    <n v="0"/>
  </r>
  <r>
    <x v="20"/>
    <x v="19"/>
    <x v="3"/>
    <m/>
    <m/>
    <n v="0"/>
    <m/>
    <m/>
    <n v="0"/>
    <m/>
    <m/>
    <n v="0"/>
    <s v=""/>
    <n v="0"/>
    <n v="0"/>
    <n v="0"/>
    <n v="116.88487613461319"/>
    <n v="2225"/>
    <n v="71535.307499999995"/>
    <n v="0"/>
    <n v="0"/>
    <n v="0"/>
    <n v="0"/>
    <n v="0"/>
    <n v="0"/>
  </r>
  <r>
    <x v="21"/>
    <x v="19"/>
    <x v="3"/>
    <m/>
    <m/>
    <n v="0"/>
    <m/>
    <m/>
    <n v="0"/>
    <m/>
    <m/>
    <n v="0"/>
    <s v=""/>
    <n v="0"/>
    <n v="0"/>
    <n v="0"/>
    <n v="116.88487613461319"/>
    <n v="2225"/>
    <n v="71535.307499999995"/>
    <n v="0"/>
    <n v="0"/>
    <n v="0"/>
    <n v="0"/>
    <n v="0"/>
    <n v="0"/>
  </r>
  <r>
    <x v="22"/>
    <x v="19"/>
    <x v="3"/>
    <m/>
    <m/>
    <n v="0"/>
    <m/>
    <m/>
    <n v="0"/>
    <m/>
    <m/>
    <n v="0"/>
    <s v=""/>
    <n v="0"/>
    <n v="0"/>
    <n v="0"/>
    <n v="116.88487613461319"/>
    <n v="2225"/>
    <n v="71535.307499999995"/>
    <n v="0"/>
    <n v="0"/>
    <n v="0"/>
    <n v="0"/>
    <n v="0"/>
    <n v="0"/>
  </r>
  <r>
    <x v="23"/>
    <x v="19"/>
    <x v="3"/>
    <m/>
    <m/>
    <n v="0"/>
    <m/>
    <m/>
    <n v="0"/>
    <m/>
    <m/>
    <n v="0"/>
    <s v=""/>
    <n v="0"/>
    <n v="0"/>
    <n v="0"/>
    <n v="116.88487613461319"/>
    <n v="2225"/>
    <n v="71535.307499999995"/>
    <n v="0"/>
    <n v="0"/>
    <n v="0"/>
    <n v="0"/>
    <n v="0"/>
    <n v="0"/>
  </r>
  <r>
    <x v="24"/>
    <x v="19"/>
    <x v="3"/>
    <m/>
    <m/>
    <n v="0"/>
    <m/>
    <m/>
    <n v="0"/>
    <m/>
    <m/>
    <n v="0"/>
    <s v=""/>
    <n v="0"/>
    <n v="0"/>
    <n v="0"/>
    <n v="116.88487613461319"/>
    <n v="2225"/>
    <n v="71535.307499999995"/>
    <n v="0"/>
    <n v="0"/>
    <n v="0"/>
    <n v="0"/>
    <n v="0"/>
    <n v="0"/>
  </r>
  <r>
    <x v="25"/>
    <x v="19"/>
    <x v="3"/>
    <m/>
    <m/>
    <n v="0"/>
    <m/>
    <m/>
    <n v="0"/>
    <m/>
    <m/>
    <n v="0"/>
    <s v=""/>
    <n v="0"/>
    <n v="0"/>
    <n v="0"/>
    <n v="116.88487613461319"/>
    <n v="2225"/>
    <n v="71535.307499999995"/>
    <n v="0"/>
    <n v="0"/>
    <n v="0"/>
    <n v="0"/>
    <n v="0"/>
    <n v="0"/>
  </r>
  <r>
    <x v="26"/>
    <x v="19"/>
    <x v="3"/>
    <m/>
    <m/>
    <n v="0"/>
    <m/>
    <m/>
    <n v="0"/>
    <m/>
    <m/>
    <n v="0"/>
    <s v=""/>
    <n v="0"/>
    <n v="0"/>
    <n v="0"/>
    <n v="116.88487613461319"/>
    <n v="2225"/>
    <n v="71535.307499999995"/>
    <n v="0"/>
    <n v="0"/>
    <n v="0"/>
    <n v="0"/>
    <n v="0"/>
    <n v="0"/>
  </r>
  <r>
    <x v="27"/>
    <x v="19"/>
    <x v="3"/>
    <m/>
    <m/>
    <n v="0"/>
    <m/>
    <m/>
    <n v="0"/>
    <m/>
    <m/>
    <n v="0"/>
    <s v=""/>
    <n v="0"/>
    <n v="0"/>
    <n v="0"/>
    <n v="116.88487613461319"/>
    <n v="2225"/>
    <n v="71535.307499999995"/>
    <n v="0"/>
    <n v="0"/>
    <n v="0"/>
    <n v="0"/>
    <n v="0"/>
    <n v="0"/>
  </r>
  <r>
    <x v="28"/>
    <x v="19"/>
    <x v="3"/>
    <m/>
    <m/>
    <n v="0"/>
    <m/>
    <m/>
    <n v="0"/>
    <m/>
    <m/>
    <n v="0"/>
    <s v=""/>
    <n v="0"/>
    <n v="0"/>
    <n v="0"/>
    <n v="116.88487613461319"/>
    <n v="2225"/>
    <n v="71535.307499999995"/>
    <n v="0"/>
    <n v="0"/>
    <n v="0"/>
    <n v="0"/>
    <n v="0"/>
    <n v="0"/>
  </r>
  <r>
    <x v="29"/>
    <x v="19"/>
    <x v="3"/>
    <m/>
    <m/>
    <n v="0"/>
    <m/>
    <m/>
    <n v="0"/>
    <m/>
    <m/>
    <n v="0"/>
    <s v=""/>
    <n v="0"/>
    <n v="0"/>
    <n v="0"/>
    <n v="116.88487613461319"/>
    <n v="2225"/>
    <n v="71535.307499999995"/>
    <n v="0"/>
    <n v="0"/>
    <n v="0"/>
    <n v="0"/>
    <n v="0"/>
    <n v="0"/>
  </r>
  <r>
    <x v="30"/>
    <x v="19"/>
    <x v="3"/>
    <m/>
    <m/>
    <n v="0"/>
    <m/>
    <m/>
    <n v="0"/>
    <m/>
    <m/>
    <n v="0"/>
    <s v=""/>
    <n v="0"/>
    <n v="0"/>
    <n v="0"/>
    <n v="116.88487613461319"/>
    <n v="2225"/>
    <n v="71535.307499999995"/>
    <n v="0"/>
    <n v="0"/>
    <n v="0"/>
    <n v="0"/>
    <n v="0"/>
    <n v="0"/>
  </r>
  <r>
    <x v="31"/>
    <x v="19"/>
    <x v="3"/>
    <m/>
    <m/>
    <n v="0"/>
    <m/>
    <m/>
    <n v="0"/>
    <m/>
    <m/>
    <n v="0"/>
    <s v=""/>
    <n v="0"/>
    <n v="0"/>
    <n v="0"/>
    <n v="116.88487613461319"/>
    <n v="2225"/>
    <n v="71535.307499999995"/>
    <n v="0"/>
    <n v="0"/>
    <n v="0"/>
    <n v="0"/>
    <n v="0"/>
    <n v="0"/>
  </r>
  <r>
    <x v="32"/>
    <x v="19"/>
    <x v="3"/>
    <m/>
    <m/>
    <n v="0"/>
    <m/>
    <m/>
    <n v="0"/>
    <m/>
    <m/>
    <n v="0"/>
    <s v=""/>
    <n v="0"/>
    <n v="0"/>
    <n v="0"/>
    <n v="116.88487613461319"/>
    <n v="2225"/>
    <n v="71535.307499999995"/>
    <n v="0"/>
    <n v="0"/>
    <n v="0"/>
    <n v="0"/>
    <n v="0"/>
    <n v="0"/>
  </r>
  <r>
    <x v="33"/>
    <x v="19"/>
    <x v="3"/>
    <m/>
    <m/>
    <n v="0"/>
    <m/>
    <m/>
    <n v="0"/>
    <m/>
    <m/>
    <n v="0"/>
    <s v=""/>
    <n v="0"/>
    <n v="0"/>
    <n v="0"/>
    <n v="116.88487613461319"/>
    <n v="2225"/>
    <n v="71535.307499999995"/>
    <n v="0"/>
    <n v="0"/>
    <n v="0"/>
    <n v="0"/>
    <n v="0"/>
    <n v="0"/>
  </r>
  <r>
    <x v="34"/>
    <x v="19"/>
    <x v="3"/>
    <m/>
    <m/>
    <n v="0"/>
    <m/>
    <m/>
    <n v="0"/>
    <m/>
    <m/>
    <n v="0"/>
    <s v=""/>
    <n v="0"/>
    <n v="0"/>
    <n v="0"/>
    <n v="116.88487613461319"/>
    <n v="2225"/>
    <n v="71535.307499999995"/>
    <n v="0"/>
    <n v="0"/>
    <n v="0"/>
    <n v="0"/>
    <n v="0"/>
    <n v="0"/>
  </r>
  <r>
    <x v="35"/>
    <x v="19"/>
    <x v="3"/>
    <m/>
    <m/>
    <n v="0"/>
    <m/>
    <m/>
    <n v="0"/>
    <m/>
    <m/>
    <n v="0"/>
    <s v=""/>
    <n v="0"/>
    <n v="0"/>
    <n v="0"/>
    <n v="116.88487613461319"/>
    <n v="2225"/>
    <n v="71535.307499999995"/>
    <n v="0"/>
    <n v="0"/>
    <n v="0"/>
    <n v="0"/>
    <n v="0"/>
    <n v="0"/>
  </r>
  <r>
    <x v="36"/>
    <x v="19"/>
    <x v="3"/>
    <m/>
    <m/>
    <n v="0"/>
    <m/>
    <m/>
    <n v="0"/>
    <m/>
    <m/>
    <n v="0"/>
    <s v=""/>
    <n v="0"/>
    <n v="0"/>
    <n v="0"/>
    <n v="116.88487613461319"/>
    <n v="2225"/>
    <n v="71535.307499999995"/>
    <n v="0"/>
    <n v="0"/>
    <n v="0"/>
    <n v="0"/>
    <n v="0"/>
    <n v="0"/>
  </r>
  <r>
    <x v="37"/>
    <x v="19"/>
    <x v="3"/>
    <m/>
    <m/>
    <n v="0"/>
    <m/>
    <m/>
    <n v="0"/>
    <m/>
    <m/>
    <n v="0"/>
    <s v=""/>
    <n v="0"/>
    <n v="0"/>
    <n v="0"/>
    <n v="116.88487613461319"/>
    <n v="2225"/>
    <n v="71535.307499999995"/>
    <n v="0"/>
    <n v="0"/>
    <n v="0"/>
    <n v="0"/>
    <n v="0"/>
    <n v="0"/>
  </r>
  <r>
    <x v="38"/>
    <x v="19"/>
    <x v="3"/>
    <m/>
    <m/>
    <n v="0"/>
    <m/>
    <m/>
    <n v="0"/>
    <m/>
    <m/>
    <n v="0"/>
    <s v=""/>
    <n v="0"/>
    <n v="0"/>
    <n v="0"/>
    <n v="116.88487613461319"/>
    <n v="2225"/>
    <n v="71535.307499999995"/>
    <n v="0"/>
    <n v="0"/>
    <n v="0"/>
    <n v="0"/>
    <n v="0"/>
    <n v="0"/>
  </r>
  <r>
    <x v="39"/>
    <x v="19"/>
    <x v="3"/>
    <m/>
    <m/>
    <n v="0"/>
    <m/>
    <m/>
    <n v="0"/>
    <m/>
    <m/>
    <n v="0"/>
    <s v=""/>
    <n v="0"/>
    <n v="0"/>
    <n v="0"/>
    <n v="116.88487613461319"/>
    <n v="2225"/>
    <n v="71535.307499999995"/>
    <n v="0"/>
    <n v="0"/>
    <n v="0"/>
    <n v="0"/>
    <n v="0"/>
    <n v="0"/>
  </r>
  <r>
    <x v="40"/>
    <x v="19"/>
    <x v="3"/>
    <m/>
    <m/>
    <n v="0"/>
    <m/>
    <m/>
    <n v="0"/>
    <m/>
    <m/>
    <n v="0"/>
    <s v=""/>
    <n v="0"/>
    <n v="0"/>
    <n v="0"/>
    <n v="116.88487613461319"/>
    <n v="2225"/>
    <n v="71535.307499999995"/>
    <n v="0"/>
    <n v="0"/>
    <n v="0"/>
    <n v="0"/>
    <n v="0"/>
    <n v="0"/>
  </r>
  <r>
    <x v="41"/>
    <x v="19"/>
    <x v="3"/>
    <m/>
    <m/>
    <n v="0"/>
    <m/>
    <m/>
    <n v="0"/>
    <m/>
    <m/>
    <n v="0"/>
    <s v=""/>
    <n v="0"/>
    <n v="0"/>
    <n v="0"/>
    <n v="116.88487613461319"/>
    <n v="2225"/>
    <n v="71535.307499999995"/>
    <n v="0"/>
    <n v="0"/>
    <n v="0"/>
    <n v="0"/>
    <n v="0"/>
    <n v="0"/>
  </r>
  <r>
    <x v="42"/>
    <x v="19"/>
    <x v="3"/>
    <m/>
    <m/>
    <n v="0"/>
    <m/>
    <m/>
    <n v="0"/>
    <m/>
    <m/>
    <n v="0"/>
    <s v=""/>
    <n v="0"/>
    <n v="0"/>
    <n v="0"/>
    <n v="116.88487613461319"/>
    <n v="2225"/>
    <n v="71535.307499999995"/>
    <n v="0"/>
    <n v="0"/>
    <n v="0"/>
    <n v="0"/>
    <n v="0"/>
    <n v="0"/>
  </r>
  <r>
    <x v="43"/>
    <x v="19"/>
    <x v="3"/>
    <m/>
    <m/>
    <n v="0"/>
    <m/>
    <m/>
    <n v="0"/>
    <m/>
    <m/>
    <n v="0"/>
    <s v=""/>
    <n v="0"/>
    <n v="0"/>
    <n v="0"/>
    <n v="116.88487613461319"/>
    <n v="2225"/>
    <n v="71535.307499999995"/>
    <n v="0"/>
    <n v="0"/>
    <n v="0"/>
    <n v="0"/>
    <n v="0"/>
    <n v="0"/>
  </r>
  <r>
    <x v="44"/>
    <x v="19"/>
    <x v="3"/>
    <m/>
    <m/>
    <n v="0"/>
    <m/>
    <m/>
    <n v="0"/>
    <m/>
    <m/>
    <n v="0"/>
    <s v=""/>
    <n v="0"/>
    <n v="0"/>
    <n v="0"/>
    <n v="116.88487613461319"/>
    <n v="2225"/>
    <n v="71535.307499999995"/>
    <n v="0"/>
    <n v="0"/>
    <n v="0"/>
    <n v="0"/>
    <n v="0"/>
    <n v="0"/>
  </r>
  <r>
    <x v="45"/>
    <x v="19"/>
    <x v="3"/>
    <m/>
    <m/>
    <n v="0"/>
    <m/>
    <m/>
    <n v="0"/>
    <m/>
    <m/>
    <n v="0"/>
    <s v=""/>
    <n v="0"/>
    <n v="0"/>
    <n v="0"/>
    <n v="116.88487613461319"/>
    <n v="2225"/>
    <n v="71535.307499999995"/>
    <n v="0"/>
    <n v="0"/>
    <n v="0"/>
    <n v="0"/>
    <n v="0"/>
    <n v="0"/>
  </r>
  <r>
    <x v="46"/>
    <x v="19"/>
    <x v="3"/>
    <m/>
    <m/>
    <m/>
    <m/>
    <m/>
    <m/>
    <m/>
    <m/>
    <m/>
    <m/>
    <m/>
    <m/>
    <m/>
    <m/>
    <m/>
    <m/>
    <m/>
    <m/>
    <m/>
    <m/>
    <m/>
    <m/>
  </r>
  <r>
    <x v="47"/>
    <x v="19"/>
    <x v="3"/>
    <m/>
    <m/>
    <n v="0"/>
    <m/>
    <m/>
    <n v="0"/>
    <m/>
    <m/>
    <m/>
    <m/>
    <m/>
    <m/>
    <m/>
    <m/>
    <m/>
    <m/>
    <m/>
    <m/>
    <m/>
    <m/>
    <m/>
    <m/>
  </r>
  <r>
    <x v="48"/>
    <x v="19"/>
    <x v="3"/>
    <m/>
    <m/>
    <n v="0"/>
    <m/>
    <m/>
    <n v="0"/>
    <m/>
    <m/>
    <m/>
    <m/>
    <m/>
    <m/>
    <m/>
    <m/>
    <m/>
    <m/>
    <m/>
    <m/>
    <m/>
    <m/>
    <m/>
    <m/>
  </r>
  <r>
    <x v="49"/>
    <x v="19"/>
    <x v="3"/>
    <m/>
    <m/>
    <n v="0"/>
    <m/>
    <m/>
    <n v="0"/>
    <m/>
    <m/>
    <n v="0"/>
    <s v=""/>
    <n v="0"/>
    <n v="0"/>
    <n v="0"/>
    <n v="116.88487613461319"/>
    <n v="2225"/>
    <n v="71535.307499999995"/>
    <n v="0"/>
    <n v="0"/>
    <n v="0"/>
    <n v="0"/>
    <n v="0"/>
    <n v="0"/>
  </r>
  <r>
    <x v="50"/>
    <x v="19"/>
    <x v="4"/>
    <m/>
    <m/>
    <n v="0"/>
    <m/>
    <m/>
    <n v="0"/>
    <m/>
    <m/>
    <n v="0"/>
    <s v=""/>
    <n v="0"/>
    <n v="0"/>
    <n v="0"/>
    <n v="116.88487613461319"/>
    <n v="2225"/>
    <n v="71535.307499999995"/>
    <n v="0"/>
    <n v="0"/>
    <n v="0"/>
    <n v="0"/>
    <n v="0"/>
    <n v="0"/>
  </r>
  <r>
    <x v="51"/>
    <x v="19"/>
    <x v="4"/>
    <m/>
    <m/>
    <n v="0"/>
    <m/>
    <m/>
    <n v="0"/>
    <m/>
    <m/>
    <n v="0"/>
    <s v=""/>
    <n v="0"/>
    <n v="0"/>
    <n v="0"/>
    <n v="116.88487613461319"/>
    <n v="2225"/>
    <n v="71535.307499999995"/>
    <n v="0"/>
    <n v="0"/>
    <n v="0"/>
    <n v="0"/>
    <n v="0"/>
    <n v="0"/>
  </r>
  <r>
    <x v="52"/>
    <x v="19"/>
    <x v="4"/>
    <m/>
    <m/>
    <n v="0"/>
    <m/>
    <m/>
    <n v="0"/>
    <m/>
    <m/>
    <n v="0"/>
    <s v=""/>
    <n v="0"/>
    <n v="0"/>
    <n v="0"/>
    <n v="116.88487613461319"/>
    <n v="2225"/>
    <n v="71535.307499999995"/>
    <n v="0"/>
    <n v="0"/>
    <n v="0"/>
    <n v="0"/>
    <n v="0"/>
    <n v="0"/>
  </r>
  <r>
    <x v="53"/>
    <x v="19"/>
    <x v="4"/>
    <m/>
    <m/>
    <n v="0"/>
    <m/>
    <m/>
    <n v="0"/>
    <m/>
    <m/>
    <n v="0"/>
    <s v=""/>
    <n v="0"/>
    <n v="0"/>
    <n v="0"/>
    <n v="116.88487613461319"/>
    <n v="2225"/>
    <n v="71535.307499999995"/>
    <n v="0"/>
    <n v="0"/>
    <n v="0"/>
    <n v="0"/>
    <n v="0"/>
    <n v="0"/>
  </r>
  <r>
    <x v="54"/>
    <x v="19"/>
    <x v="4"/>
    <m/>
    <m/>
    <n v="0"/>
    <m/>
    <m/>
    <n v="0"/>
    <m/>
    <m/>
    <n v="0"/>
    <s v=""/>
    <n v="0"/>
    <n v="0"/>
    <n v="0"/>
    <n v="116.88487613461319"/>
    <n v="2225"/>
    <n v="71535.307499999995"/>
    <n v="0"/>
    <n v="0"/>
    <n v="0"/>
    <n v="0"/>
    <n v="0"/>
    <n v="0"/>
  </r>
  <r>
    <x v="55"/>
    <x v="19"/>
    <x v="4"/>
    <m/>
    <m/>
    <n v="0"/>
    <m/>
    <m/>
    <n v="0"/>
    <m/>
    <m/>
    <n v="0"/>
    <s v=""/>
    <n v="0"/>
    <n v="0"/>
    <n v="0"/>
    <n v="116.88487613461319"/>
    <n v="2225"/>
    <n v="71535.307499999995"/>
    <n v="0"/>
    <n v="0"/>
    <n v="0"/>
    <n v="0"/>
    <n v="0"/>
    <n v="0"/>
  </r>
  <r>
    <x v="56"/>
    <x v="19"/>
    <x v="4"/>
    <m/>
    <m/>
    <n v="0"/>
    <m/>
    <m/>
    <n v="0"/>
    <m/>
    <m/>
    <n v="0"/>
    <s v=""/>
    <n v="0"/>
    <n v="0"/>
    <n v="0"/>
    <n v="116.88487613461319"/>
    <n v="2225"/>
    <n v="71535.307499999995"/>
    <n v="0"/>
    <n v="0"/>
    <n v="0"/>
    <n v="0"/>
    <n v="0"/>
    <n v="0"/>
  </r>
  <r>
    <x v="57"/>
    <x v="19"/>
    <x v="4"/>
    <m/>
    <m/>
    <n v="0"/>
    <m/>
    <m/>
    <n v="0"/>
    <m/>
    <m/>
    <n v="0"/>
    <s v=""/>
    <n v="0"/>
    <n v="0"/>
    <n v="0"/>
    <n v="116.88487613461319"/>
    <n v="2225"/>
    <n v="71535.307499999995"/>
    <n v="0"/>
    <n v="0"/>
    <n v="0"/>
    <n v="0"/>
    <n v="0"/>
    <n v="0"/>
  </r>
  <r>
    <x v="58"/>
    <x v="19"/>
    <x v="4"/>
    <m/>
    <m/>
    <n v="0"/>
    <m/>
    <m/>
    <n v="0"/>
    <m/>
    <m/>
    <n v="0"/>
    <s v=""/>
    <n v="0"/>
    <n v="0"/>
    <n v="0"/>
    <n v="116.88487613461319"/>
    <n v="2225"/>
    <n v="71535.307499999995"/>
    <n v="0"/>
    <n v="0"/>
    <n v="0"/>
    <n v="0"/>
    <n v="0"/>
    <n v="0"/>
  </r>
  <r>
    <x v="59"/>
    <x v="19"/>
    <x v="4"/>
    <m/>
    <m/>
    <n v="0"/>
    <m/>
    <m/>
    <n v="0"/>
    <m/>
    <m/>
    <n v="0"/>
    <s v=""/>
    <n v="0"/>
    <n v="0"/>
    <n v="0"/>
    <n v="116.88487613461319"/>
    <n v="2225"/>
    <n v="71535.307499999995"/>
    <n v="0"/>
    <n v="0"/>
    <n v="0"/>
    <n v="0"/>
    <n v="0"/>
    <n v="0"/>
  </r>
  <r>
    <x v="60"/>
    <x v="19"/>
    <x v="4"/>
    <m/>
    <m/>
    <n v="0"/>
    <m/>
    <m/>
    <n v="0"/>
    <m/>
    <m/>
    <n v="0"/>
    <s v=""/>
    <n v="0"/>
    <n v="0"/>
    <n v="0"/>
    <n v="116.88487613461319"/>
    <n v="2225"/>
    <n v="71535.307499999995"/>
    <n v="0"/>
    <n v="0"/>
    <n v="0"/>
    <n v="0"/>
    <n v="0"/>
    <n v="0"/>
  </r>
  <r>
    <x v="61"/>
    <x v="19"/>
    <x v="4"/>
    <m/>
    <m/>
    <n v="0"/>
    <m/>
    <m/>
    <n v="0"/>
    <m/>
    <m/>
    <n v="0"/>
    <s v=""/>
    <n v="0"/>
    <n v="0"/>
    <n v="0"/>
    <n v="116.88487613461319"/>
    <n v="2225"/>
    <n v="71535.307499999995"/>
    <n v="0"/>
    <n v="0"/>
    <n v="0"/>
    <n v="0"/>
    <n v="0"/>
    <n v="0"/>
  </r>
  <r>
    <x v="62"/>
    <x v="19"/>
    <x v="4"/>
    <m/>
    <m/>
    <n v="0"/>
    <m/>
    <m/>
    <n v="0"/>
    <m/>
    <m/>
    <n v="0"/>
    <s v=""/>
    <n v="0"/>
    <n v="0"/>
    <n v="0"/>
    <n v="116.88487613461319"/>
    <n v="2225"/>
    <n v="71535.307499999995"/>
    <n v="0"/>
    <n v="0"/>
    <n v="0"/>
    <n v="0"/>
    <n v="0"/>
    <n v="0"/>
  </r>
  <r>
    <x v="63"/>
    <x v="19"/>
    <x v="4"/>
    <m/>
    <m/>
    <n v="0"/>
    <m/>
    <m/>
    <n v="0"/>
    <m/>
    <m/>
    <n v="0"/>
    <s v=""/>
    <n v="0"/>
    <n v="0"/>
    <n v="0"/>
    <n v="116.88487613461319"/>
    <n v="2225"/>
    <n v="71535.307499999995"/>
    <n v="0"/>
    <n v="0"/>
    <n v="0"/>
    <n v="0"/>
    <n v="0"/>
    <n v="0"/>
  </r>
  <r>
    <x v="64"/>
    <x v="19"/>
    <x v="4"/>
    <m/>
    <m/>
    <n v="0"/>
    <m/>
    <m/>
    <n v="0"/>
    <m/>
    <m/>
    <n v="0"/>
    <s v=""/>
    <n v="0"/>
    <n v="0"/>
    <n v="0"/>
    <n v="116.88487613461319"/>
    <n v="2225"/>
    <n v="71535.307499999995"/>
    <n v="0"/>
    <n v="0"/>
    <n v="0"/>
    <n v="0"/>
    <n v="0"/>
    <n v="0"/>
  </r>
  <r>
    <x v="65"/>
    <x v="19"/>
    <x v="4"/>
    <m/>
    <m/>
    <n v="0"/>
    <m/>
    <m/>
    <n v="0"/>
    <m/>
    <m/>
    <n v="0"/>
    <s v=""/>
    <n v="0"/>
    <n v="0"/>
    <n v="0"/>
    <n v="116.88487613461319"/>
    <n v="2225"/>
    <n v="71535.307499999995"/>
    <n v="0"/>
    <n v="0"/>
    <n v="0"/>
    <n v="0"/>
    <n v="0"/>
    <n v="0"/>
  </r>
  <r>
    <x v="66"/>
    <x v="19"/>
    <x v="4"/>
    <m/>
    <m/>
    <n v="0"/>
    <m/>
    <m/>
    <n v="0"/>
    <m/>
    <m/>
    <n v="0"/>
    <s v=""/>
    <n v="0"/>
    <n v="0"/>
    <n v="0"/>
    <n v="116.88487613461319"/>
    <n v="2225"/>
    <n v="71535.307499999995"/>
    <n v="0"/>
    <n v="0"/>
    <n v="0"/>
    <n v="0"/>
    <n v="0"/>
    <n v="0"/>
  </r>
  <r>
    <x v="67"/>
    <x v="19"/>
    <x v="4"/>
    <m/>
    <m/>
    <n v="0"/>
    <m/>
    <m/>
    <n v="0"/>
    <m/>
    <m/>
    <n v="0"/>
    <s v=""/>
    <n v="0"/>
    <n v="0"/>
    <n v="0"/>
    <n v="116.88487613461319"/>
    <n v="2225"/>
    <n v="71535.307499999995"/>
    <n v="0"/>
    <n v="0"/>
    <n v="0"/>
    <n v="0"/>
    <n v="0"/>
    <n v="0"/>
  </r>
  <r>
    <x v="68"/>
    <x v="19"/>
    <x v="4"/>
    <n v="1798"/>
    <n v="3.23"/>
    <n v="5.8075400000000004"/>
    <m/>
    <m/>
    <n v="0"/>
    <m/>
    <m/>
    <n v="0"/>
    <s v=""/>
    <n v="0"/>
    <n v="0"/>
    <n v="0"/>
    <n v="116.88487613461319"/>
    <n v="2225"/>
    <n v="71535.307499999995"/>
    <n v="0"/>
    <n v="0"/>
    <n v="0"/>
    <n v="0"/>
    <n v="0"/>
    <n v="0"/>
  </r>
  <r>
    <x v="69"/>
    <x v="19"/>
    <x v="4"/>
    <n v="1036"/>
    <n v="3.97"/>
    <n v="4.1129199999999999"/>
    <m/>
    <m/>
    <n v="0"/>
    <m/>
    <m/>
    <n v="0"/>
    <s v=""/>
    <n v="0"/>
    <n v="0"/>
    <n v="0"/>
    <n v="116.88487613461319"/>
    <n v="2225"/>
    <n v="71535.307499999995"/>
    <n v="0"/>
    <n v="0"/>
    <n v="0"/>
    <n v="0"/>
    <n v="0"/>
    <n v="0"/>
  </r>
  <r>
    <x v="70"/>
    <x v="19"/>
    <x v="5"/>
    <n v="2696"/>
    <n v="2.83"/>
    <n v="7.6296800000000005"/>
    <m/>
    <m/>
    <n v="0"/>
    <m/>
    <m/>
    <n v="0"/>
    <s v=""/>
    <n v="0"/>
    <n v="0"/>
    <n v="0"/>
    <n v="116.88487613461319"/>
    <n v="2225"/>
    <n v="71535.307499999995"/>
    <n v="0"/>
    <n v="0"/>
    <n v="0"/>
    <n v="0"/>
    <n v="0"/>
    <n v="0"/>
  </r>
  <r>
    <x v="71"/>
    <x v="19"/>
    <x v="5"/>
    <m/>
    <m/>
    <n v="0"/>
    <m/>
    <m/>
    <n v="0"/>
    <m/>
    <m/>
    <n v="0"/>
    <s v=""/>
    <n v="0"/>
    <n v="0"/>
    <n v="0"/>
    <n v="116.88487613461319"/>
    <n v="2225"/>
    <n v="71535.307499999995"/>
    <n v="0"/>
    <n v="0"/>
    <n v="0"/>
    <n v="0"/>
    <n v="0"/>
    <n v="0"/>
  </r>
  <r>
    <x v="72"/>
    <x v="19"/>
    <x v="5"/>
    <m/>
    <m/>
    <n v="0"/>
    <m/>
    <m/>
    <n v="0"/>
    <m/>
    <m/>
    <m/>
    <m/>
    <m/>
    <m/>
    <m/>
    <m/>
    <m/>
    <m/>
    <m/>
    <m/>
    <m/>
    <m/>
    <m/>
    <m/>
  </r>
  <r>
    <x v="73"/>
    <x v="19"/>
    <x v="5"/>
    <m/>
    <m/>
    <n v="0"/>
    <m/>
    <m/>
    <n v="0"/>
    <m/>
    <m/>
    <m/>
    <m/>
    <m/>
    <m/>
    <m/>
    <m/>
    <m/>
    <m/>
    <m/>
    <m/>
    <m/>
    <m/>
    <m/>
    <m/>
  </r>
  <r>
    <x v="74"/>
    <x v="19"/>
    <x v="5"/>
    <m/>
    <m/>
    <n v="0"/>
    <m/>
    <m/>
    <n v="0"/>
    <m/>
    <m/>
    <m/>
    <m/>
    <m/>
    <m/>
    <m/>
    <m/>
    <m/>
    <m/>
    <m/>
    <m/>
    <m/>
    <m/>
    <m/>
    <m/>
  </r>
  <r>
    <x v="75"/>
    <x v="19"/>
    <x v="5"/>
    <n v="2696"/>
    <n v="2.31"/>
    <n v="6.22776"/>
    <m/>
    <m/>
    <n v="0"/>
    <m/>
    <m/>
    <n v="0"/>
    <s v=""/>
    <n v="0"/>
    <n v="0"/>
    <n v="0"/>
    <n v="116.88487613461319"/>
    <n v="2225"/>
    <n v="71535.307499999995"/>
    <n v="0"/>
    <n v="0"/>
    <n v="0"/>
    <n v="0"/>
    <n v="0"/>
    <n v="0"/>
  </r>
  <r>
    <x v="76"/>
    <x v="19"/>
    <x v="5"/>
    <m/>
    <m/>
    <n v="0"/>
    <m/>
    <m/>
    <n v="0"/>
    <m/>
    <m/>
    <m/>
    <m/>
    <m/>
    <m/>
    <m/>
    <m/>
    <m/>
    <m/>
    <m/>
    <m/>
    <m/>
    <m/>
    <m/>
    <m/>
  </r>
  <r>
    <x v="77"/>
    <x v="19"/>
    <x v="5"/>
    <n v="1481"/>
    <n v="2.41"/>
    <n v="3.56921"/>
    <m/>
    <m/>
    <n v="0"/>
    <m/>
    <m/>
    <n v="0"/>
    <s v=""/>
    <n v="0"/>
    <n v="0"/>
    <n v="0"/>
    <n v="116.88487613461319"/>
    <n v="2225"/>
    <n v="71535.307499999995"/>
    <n v="0"/>
    <n v="0"/>
    <n v="0"/>
    <n v="0"/>
    <n v="0"/>
    <n v="0"/>
  </r>
  <r>
    <x v="78"/>
    <x v="19"/>
    <x v="5"/>
    <m/>
    <m/>
    <n v="0"/>
    <m/>
    <m/>
    <n v="0"/>
    <m/>
    <m/>
    <n v="0"/>
    <s v=""/>
    <n v="0"/>
    <n v="0"/>
    <n v="0"/>
    <n v="116.88487613461319"/>
    <n v="2225"/>
    <n v="71535.307499999995"/>
    <n v="0"/>
    <n v="0"/>
    <n v="0"/>
    <n v="0"/>
    <n v="0"/>
    <n v="0"/>
  </r>
  <r>
    <x v="79"/>
    <x v="19"/>
    <x v="5"/>
    <m/>
    <m/>
    <n v="0"/>
    <m/>
    <m/>
    <n v="0"/>
    <m/>
    <m/>
    <n v="0"/>
    <s v=""/>
    <n v="0"/>
    <n v="0"/>
    <n v="0"/>
    <n v="116.88487613461319"/>
    <n v="2225"/>
    <n v="71535.307499999995"/>
    <n v="0"/>
    <n v="0"/>
    <n v="0"/>
    <n v="0"/>
    <n v="0"/>
    <n v="0"/>
  </r>
  <r>
    <x v="80"/>
    <x v="19"/>
    <x v="5"/>
    <m/>
    <m/>
    <n v="0"/>
    <m/>
    <m/>
    <n v="0"/>
    <m/>
    <m/>
    <n v="0"/>
    <s v=""/>
    <n v="0"/>
    <n v="0"/>
    <n v="0"/>
    <n v="116.88487613461319"/>
    <n v="2225"/>
    <n v="71535.307499999995"/>
    <n v="0"/>
    <n v="0"/>
    <n v="0"/>
    <n v="0"/>
    <n v="0"/>
    <n v="0"/>
  </r>
  <r>
    <x v="81"/>
    <x v="19"/>
    <x v="5"/>
    <m/>
    <m/>
    <n v="0"/>
    <m/>
    <m/>
    <n v="0"/>
    <m/>
    <m/>
    <n v="0"/>
    <s v=""/>
    <n v="0"/>
    <n v="0"/>
    <n v="0"/>
    <n v="116.88487613461319"/>
    <n v="2225"/>
    <n v="71535.307499999995"/>
    <n v="0"/>
    <n v="0"/>
    <n v="0"/>
    <n v="0"/>
    <n v="0"/>
    <n v="0"/>
  </r>
  <r>
    <x v="82"/>
    <x v="19"/>
    <x v="5"/>
    <m/>
    <m/>
    <n v="0"/>
    <m/>
    <m/>
    <n v="0"/>
    <m/>
    <m/>
    <n v="0"/>
    <s v=""/>
    <n v="0"/>
    <n v="0"/>
    <n v="0"/>
    <n v="116.88487613461319"/>
    <n v="2225"/>
    <n v="71535.307499999995"/>
    <n v="0"/>
    <n v="0"/>
    <n v="0"/>
    <n v="0"/>
    <n v="0"/>
    <n v="0"/>
  </r>
  <r>
    <x v="83"/>
    <x v="19"/>
    <x v="5"/>
    <m/>
    <m/>
    <n v="0"/>
    <m/>
    <m/>
    <n v="0"/>
    <m/>
    <m/>
    <n v="0"/>
    <s v=""/>
    <n v="0"/>
    <n v="0"/>
    <n v="0"/>
    <n v="116.88487613461319"/>
    <n v="2225"/>
    <n v="71535.307499999995"/>
    <n v="0"/>
    <n v="0"/>
    <n v="0"/>
    <n v="0"/>
    <n v="0"/>
    <n v="0"/>
  </r>
  <r>
    <x v="84"/>
    <x v="19"/>
    <x v="5"/>
    <m/>
    <m/>
    <n v="0"/>
    <m/>
    <m/>
    <n v="0"/>
    <m/>
    <m/>
    <n v="0"/>
    <s v=""/>
    <n v="0"/>
    <n v="0"/>
    <n v="0"/>
    <n v="116.88487613461319"/>
    <n v="2225"/>
    <n v="71535.307499999995"/>
    <n v="0"/>
    <n v="0"/>
    <n v="0"/>
    <n v="0"/>
    <n v="0"/>
    <n v="0"/>
  </r>
  <r>
    <x v="85"/>
    <x v="19"/>
    <x v="5"/>
    <m/>
    <m/>
    <n v="0"/>
    <m/>
    <m/>
    <n v="0"/>
    <m/>
    <m/>
    <n v="0"/>
    <s v=""/>
    <n v="0"/>
    <n v="0"/>
    <n v="0"/>
    <n v="116.88487613461319"/>
    <n v="2225"/>
    <n v="71535.307499999995"/>
    <n v="0"/>
    <n v="0"/>
    <n v="0"/>
    <n v="0"/>
    <n v="0"/>
    <n v="0"/>
  </r>
  <r>
    <x v="86"/>
    <x v="19"/>
    <x v="5"/>
    <n v="1798"/>
    <n v="3.2"/>
    <n v="5.7536000000000005"/>
    <m/>
    <m/>
    <n v="0"/>
    <m/>
    <m/>
    <n v="0"/>
    <s v=""/>
    <n v="0"/>
    <n v="0"/>
    <n v="0"/>
    <n v="116.88487613461319"/>
    <n v="2225"/>
    <n v="71535.307499999995"/>
    <n v="0"/>
    <n v="0"/>
    <n v="0"/>
    <n v="0"/>
    <n v="0"/>
    <n v="0"/>
  </r>
  <r>
    <x v="87"/>
    <x v="19"/>
    <x v="5"/>
    <m/>
    <m/>
    <n v="0"/>
    <m/>
    <m/>
    <n v="0"/>
    <m/>
    <m/>
    <n v="0"/>
    <s v=""/>
    <n v="0"/>
    <n v="0"/>
    <n v="0"/>
    <n v="116.88487613461319"/>
    <n v="2225"/>
    <n v="71535.307499999995"/>
    <n v="0"/>
    <n v="0"/>
    <n v="0"/>
    <n v="0"/>
    <n v="0"/>
    <n v="0"/>
  </r>
  <r>
    <x v="88"/>
    <x v="19"/>
    <x v="5"/>
    <m/>
    <m/>
    <n v="0"/>
    <m/>
    <m/>
    <n v="0"/>
    <m/>
    <m/>
    <n v="0"/>
    <s v=""/>
    <n v="0"/>
    <n v="0"/>
    <n v="0"/>
    <n v="116.88487613461319"/>
    <n v="2225"/>
    <n v="71535.307499999995"/>
    <n v="0"/>
    <n v="0"/>
    <n v="0"/>
    <n v="0"/>
    <n v="0"/>
    <n v="0"/>
  </r>
  <r>
    <x v="89"/>
    <x v="19"/>
    <x v="5"/>
    <m/>
    <m/>
    <n v="0"/>
    <m/>
    <m/>
    <n v="0"/>
    <m/>
    <m/>
    <n v="0"/>
    <s v=""/>
    <n v="0"/>
    <n v="0"/>
    <n v="0"/>
    <n v="116.88487613461319"/>
    <n v="2225"/>
    <n v="71535.307499999995"/>
    <n v="0"/>
    <n v="0"/>
    <n v="0"/>
    <n v="0"/>
    <n v="0"/>
    <n v="0"/>
  </r>
  <r>
    <x v="90"/>
    <x v="19"/>
    <x v="5"/>
    <n v="899"/>
    <n v="3.49"/>
    <n v="3.1375100000000002"/>
    <m/>
    <m/>
    <n v="0"/>
    <m/>
    <m/>
    <n v="0"/>
    <s v=""/>
    <n v="0"/>
    <n v="0"/>
    <n v="0"/>
    <n v="116.88487613461319"/>
    <n v="2225"/>
    <n v="71535.307499999995"/>
    <n v="0"/>
    <n v="0"/>
    <n v="0"/>
    <n v="0"/>
    <n v="0"/>
    <n v="0"/>
  </r>
  <r>
    <x v="91"/>
    <x v="19"/>
    <x v="5"/>
    <n v="899"/>
    <n v="1.03"/>
    <n v="0.92597000000000007"/>
    <m/>
    <m/>
    <n v="0"/>
    <m/>
    <m/>
    <n v="0"/>
    <s v=""/>
    <n v="0"/>
    <n v="0"/>
    <n v="0"/>
    <n v="116.88487613461319"/>
    <n v="2225"/>
    <n v="71535.307499999995"/>
    <n v="0"/>
    <n v="0"/>
    <n v="0"/>
    <n v="0"/>
    <n v="0"/>
    <n v="0"/>
  </r>
  <r>
    <x v="92"/>
    <x v="19"/>
    <x v="5"/>
    <n v="1621"/>
    <n v="2.4500000000000002"/>
    <n v="3.9714500000000004"/>
    <m/>
    <m/>
    <n v="0"/>
    <m/>
    <m/>
    <n v="0"/>
    <s v=""/>
    <n v="0"/>
    <n v="0"/>
    <n v="0"/>
    <n v="116.88487613461319"/>
    <n v="2225"/>
    <n v="71535.307499999995"/>
    <n v="0"/>
    <n v="0"/>
    <n v="0"/>
    <n v="0"/>
    <n v="0"/>
    <n v="0"/>
  </r>
  <r>
    <x v="93"/>
    <x v="19"/>
    <x v="5"/>
    <m/>
    <m/>
    <n v="0"/>
    <m/>
    <m/>
    <n v="0"/>
    <m/>
    <m/>
    <n v="0"/>
    <s v=""/>
    <n v="0"/>
    <n v="0"/>
    <n v="0"/>
    <n v="116.88487613461319"/>
    <n v="2225"/>
    <n v="71535.307499999995"/>
    <n v="0"/>
    <n v="0"/>
    <n v="0"/>
    <n v="0"/>
    <n v="0"/>
    <n v="0"/>
  </r>
  <r>
    <x v="94"/>
    <x v="19"/>
    <x v="5"/>
    <m/>
    <m/>
    <n v="0"/>
    <m/>
    <m/>
    <n v="0"/>
    <m/>
    <m/>
    <n v="0"/>
    <s v=""/>
    <n v="0"/>
    <n v="0"/>
    <n v="0"/>
    <n v="116.88487613461319"/>
    <n v="2225"/>
    <n v="71535.307499999995"/>
    <n v="0"/>
    <n v="0"/>
    <n v="0"/>
    <n v="0"/>
    <n v="0"/>
    <n v="0"/>
  </r>
  <r>
    <x v="95"/>
    <x v="19"/>
    <x v="5"/>
    <m/>
    <m/>
    <n v="0"/>
    <m/>
    <m/>
    <n v="0"/>
    <m/>
    <m/>
    <n v="0"/>
    <s v=""/>
    <n v="0"/>
    <n v="0"/>
    <n v="0"/>
    <n v="116.88487613461319"/>
    <n v="2225"/>
    <n v="71535.307499999995"/>
    <n v="0"/>
    <n v="0"/>
    <n v="0"/>
    <n v="0"/>
    <n v="0"/>
    <n v="0"/>
  </r>
  <r>
    <x v="96"/>
    <x v="19"/>
    <x v="5"/>
    <n v="176"/>
    <n v="3.97"/>
    <n v="0.69872000000000001"/>
    <m/>
    <m/>
    <n v="0"/>
    <m/>
    <m/>
    <n v="0"/>
    <s v=""/>
    <n v="0"/>
    <n v="0"/>
    <n v="0"/>
    <n v="116.88487613461319"/>
    <n v="2225"/>
    <n v="71535.307499999995"/>
    <n v="0"/>
    <n v="0"/>
    <n v="0"/>
    <n v="0"/>
    <n v="0"/>
    <n v="0"/>
  </r>
  <r>
    <x v="97"/>
    <x v="19"/>
    <x v="5"/>
    <n v="899"/>
    <n v="1.55"/>
    <n v="1.3934500000000001"/>
    <m/>
    <m/>
    <n v="0"/>
    <m/>
    <m/>
    <n v="0"/>
    <s v=""/>
    <n v="0"/>
    <n v="0"/>
    <n v="0"/>
    <n v="116.88487613461319"/>
    <n v="2225"/>
    <n v="71535.307499999995"/>
    <n v="0"/>
    <n v="0"/>
    <n v="0"/>
    <n v="0"/>
    <n v="0"/>
    <n v="0"/>
  </r>
  <r>
    <x v="98"/>
    <x v="19"/>
    <x v="6"/>
    <m/>
    <m/>
    <n v="0"/>
    <m/>
    <m/>
    <n v="0"/>
    <m/>
    <m/>
    <n v="0"/>
    <s v=""/>
    <n v="0"/>
    <n v="0"/>
    <n v="0"/>
    <n v="116.88487613461319"/>
    <n v="2225"/>
    <n v="71535.307499999995"/>
    <n v="0"/>
    <n v="0"/>
    <n v="0"/>
    <n v="0"/>
    <n v="0"/>
    <n v="0"/>
  </r>
  <r>
    <x v="99"/>
    <x v="19"/>
    <x v="6"/>
    <m/>
    <m/>
    <n v="0"/>
    <m/>
    <m/>
    <n v="0"/>
    <m/>
    <m/>
    <n v="0"/>
    <s v=""/>
    <n v="0"/>
    <n v="0"/>
    <n v="0"/>
    <n v="116.88487613461319"/>
    <n v="2225"/>
    <n v="71535.307499999995"/>
    <n v="0"/>
    <n v="0"/>
    <n v="0"/>
    <n v="0"/>
    <n v="0"/>
    <n v="0"/>
  </r>
  <r>
    <x v="100"/>
    <x v="19"/>
    <x v="6"/>
    <m/>
    <m/>
    <n v="0"/>
    <m/>
    <m/>
    <n v="0"/>
    <m/>
    <m/>
    <n v="0"/>
    <s v=""/>
    <n v="0"/>
    <n v="0"/>
    <n v="0"/>
    <n v="116.88487613461319"/>
    <n v="2225"/>
    <n v="71535.307499999995"/>
    <n v="0"/>
    <n v="0"/>
    <n v="0"/>
    <n v="0"/>
    <n v="0"/>
    <n v="0"/>
  </r>
  <r>
    <x v="101"/>
    <x v="19"/>
    <x v="6"/>
    <m/>
    <m/>
    <n v="0"/>
    <m/>
    <m/>
    <n v="0"/>
    <m/>
    <m/>
    <n v="0"/>
    <s v=""/>
    <n v="0"/>
    <n v="0"/>
    <n v="0"/>
    <n v="116.88487613461319"/>
    <n v="2225"/>
    <n v="71535.307499999995"/>
    <n v="0"/>
    <n v="0"/>
    <n v="0"/>
    <n v="0"/>
    <n v="0"/>
    <n v="0"/>
  </r>
  <r>
    <x v="102"/>
    <x v="19"/>
    <x v="6"/>
    <m/>
    <m/>
    <n v="0"/>
    <m/>
    <m/>
    <n v="0"/>
    <m/>
    <m/>
    <n v="0"/>
    <s v=""/>
    <n v="0"/>
    <n v="0"/>
    <n v="0"/>
    <n v="116.88487613461319"/>
    <n v="2225"/>
    <n v="71535.307499999995"/>
    <n v="0"/>
    <n v="0"/>
    <n v="0"/>
    <n v="0"/>
    <n v="0"/>
    <n v="0"/>
  </r>
  <r>
    <x v="103"/>
    <x v="19"/>
    <x v="6"/>
    <m/>
    <m/>
    <n v="0"/>
    <m/>
    <m/>
    <n v="0"/>
    <m/>
    <m/>
    <n v="0"/>
    <s v=""/>
    <n v="0"/>
    <n v="0"/>
    <n v="0"/>
    <n v="116.88487613461319"/>
    <n v="2225"/>
    <n v="71535.307499999995"/>
    <n v="0"/>
    <n v="0"/>
    <n v="0"/>
    <n v="0"/>
    <n v="0"/>
    <n v="0"/>
  </r>
  <r>
    <x v="104"/>
    <x v="19"/>
    <x v="6"/>
    <m/>
    <m/>
    <n v="0"/>
    <m/>
    <m/>
    <n v="0"/>
    <m/>
    <m/>
    <n v="0"/>
    <s v=""/>
    <n v="0"/>
    <n v="0"/>
    <n v="0"/>
    <n v="116.88487613461319"/>
    <n v="2225"/>
    <n v="71535.307499999995"/>
    <n v="0"/>
    <n v="0"/>
    <n v="0"/>
    <n v="0"/>
    <n v="0"/>
    <n v="0"/>
  </r>
  <r>
    <x v="105"/>
    <x v="19"/>
    <x v="6"/>
    <m/>
    <m/>
    <n v="0"/>
    <m/>
    <m/>
    <n v="0"/>
    <m/>
    <m/>
    <n v="0"/>
    <s v=""/>
    <n v="0"/>
    <n v="0"/>
    <n v="0"/>
    <n v="116.88487613461319"/>
    <n v="2225"/>
    <n v="71535.307499999995"/>
    <n v="0"/>
    <n v="0"/>
    <n v="0"/>
    <n v="0"/>
    <n v="0"/>
    <n v="0"/>
  </r>
  <r>
    <x v="106"/>
    <x v="19"/>
    <x v="6"/>
    <m/>
    <m/>
    <n v="0"/>
    <m/>
    <m/>
    <n v="0"/>
    <m/>
    <m/>
    <n v="0"/>
    <s v=""/>
    <n v="0"/>
    <n v="0"/>
    <n v="0"/>
    <n v="116.88487613461319"/>
    <n v="2225"/>
    <n v="71535.307499999995"/>
    <n v="0"/>
    <n v="0"/>
    <n v="0"/>
    <n v="0"/>
    <n v="0"/>
    <n v="0"/>
  </r>
  <r>
    <x v="107"/>
    <x v="19"/>
    <x v="6"/>
    <m/>
    <m/>
    <n v="0"/>
    <m/>
    <m/>
    <n v="0"/>
    <m/>
    <m/>
    <n v="0"/>
    <s v=""/>
    <n v="0"/>
    <n v="0"/>
    <n v="0"/>
    <n v="116.88487613461319"/>
    <n v="2225"/>
    <n v="71535.307499999995"/>
    <n v="0"/>
    <n v="0"/>
    <n v="0"/>
    <n v="0"/>
    <n v="0"/>
    <n v="0"/>
  </r>
  <r>
    <x v="108"/>
    <x v="19"/>
    <x v="6"/>
    <m/>
    <m/>
    <n v="0"/>
    <m/>
    <m/>
    <n v="0"/>
    <m/>
    <m/>
    <n v="0"/>
    <s v=""/>
    <n v="0"/>
    <n v="0"/>
    <n v="0"/>
    <n v="116.88487613461319"/>
    <n v="2225"/>
    <n v="71535.307499999995"/>
    <n v="0"/>
    <n v="0"/>
    <n v="0"/>
    <n v="0"/>
    <n v="0"/>
    <n v="0"/>
  </r>
  <r>
    <x v="109"/>
    <x v="19"/>
    <x v="6"/>
    <m/>
    <m/>
    <n v="0"/>
    <m/>
    <m/>
    <n v="0"/>
    <m/>
    <m/>
    <n v="0"/>
    <s v=""/>
    <n v="0"/>
    <n v="0"/>
    <n v="0"/>
    <n v="116.88487613461319"/>
    <n v="2225"/>
    <n v="71535.307499999995"/>
    <n v="0"/>
    <n v="0"/>
    <n v="0"/>
    <n v="0"/>
    <n v="0"/>
    <n v="0"/>
  </r>
  <r>
    <x v="110"/>
    <x v="19"/>
    <x v="7"/>
    <m/>
    <m/>
    <n v="0"/>
    <m/>
    <m/>
    <n v="0"/>
    <m/>
    <m/>
    <n v="0"/>
    <s v=""/>
    <n v="0"/>
    <n v="0"/>
    <n v="0"/>
    <n v="116.88487613461319"/>
    <n v="2225"/>
    <n v="71535.307499999995"/>
    <n v="0"/>
    <n v="0"/>
    <n v="0"/>
    <n v="0"/>
    <n v="0"/>
    <n v="0"/>
  </r>
  <r>
    <x v="111"/>
    <x v="19"/>
    <x v="7"/>
    <m/>
    <m/>
    <n v="0"/>
    <m/>
    <m/>
    <n v="0"/>
    <m/>
    <m/>
    <n v="0"/>
    <s v=""/>
    <n v="0"/>
    <n v="0"/>
    <n v="0"/>
    <n v="116.88487613461319"/>
    <n v="2225"/>
    <n v="71535.307499999995"/>
    <n v="0"/>
    <n v="0"/>
    <n v="0"/>
    <n v="0"/>
    <n v="0"/>
    <n v="0"/>
  </r>
  <r>
    <x v="112"/>
    <x v="19"/>
    <x v="7"/>
    <m/>
    <m/>
    <n v="0"/>
    <m/>
    <m/>
    <n v="0"/>
    <m/>
    <m/>
    <n v="0"/>
    <s v=""/>
    <n v="0"/>
    <n v="0"/>
    <n v="0"/>
    <n v="116.88487613461319"/>
    <n v="2225"/>
    <n v="71535.307499999995"/>
    <n v="0"/>
    <n v="0"/>
    <n v="0"/>
    <n v="0"/>
    <n v="0"/>
    <n v="0"/>
  </r>
  <r>
    <x v="113"/>
    <x v="19"/>
    <x v="7"/>
    <m/>
    <m/>
    <n v="0"/>
    <m/>
    <m/>
    <n v="0"/>
    <m/>
    <m/>
    <n v="0"/>
    <s v=""/>
    <n v="0"/>
    <n v="0"/>
    <n v="0"/>
    <n v="116.88487613461319"/>
    <n v="2225"/>
    <n v="71535.307499999995"/>
    <n v="0"/>
    <n v="0"/>
    <n v="0"/>
    <n v="0"/>
    <n v="0"/>
    <n v="0"/>
  </r>
  <r>
    <x v="114"/>
    <x v="19"/>
    <x v="7"/>
    <m/>
    <m/>
    <n v="0"/>
    <m/>
    <m/>
    <n v="0"/>
    <m/>
    <m/>
    <n v="0"/>
    <s v=""/>
    <n v="0"/>
    <n v="0"/>
    <n v="0"/>
    <n v="116.88487613461319"/>
    <n v="2225"/>
    <n v="71535.307499999995"/>
    <n v="0"/>
    <n v="0"/>
    <n v="0"/>
    <n v="0"/>
    <n v="0"/>
    <n v="0"/>
  </r>
  <r>
    <x v="115"/>
    <x v="19"/>
    <x v="7"/>
    <m/>
    <m/>
    <n v="0"/>
    <m/>
    <m/>
    <n v="0"/>
    <m/>
    <m/>
    <n v="0"/>
    <s v=""/>
    <n v="0"/>
    <n v="0"/>
    <n v="0"/>
    <n v="116.88487613461319"/>
    <n v="2225"/>
    <n v="71535.307499999995"/>
    <n v="0"/>
    <n v="0"/>
    <n v="0"/>
    <n v="0"/>
    <n v="0"/>
    <n v="0"/>
  </r>
  <r>
    <x v="116"/>
    <x v="19"/>
    <x v="7"/>
    <m/>
    <m/>
    <n v="0"/>
    <m/>
    <m/>
    <n v="0"/>
    <m/>
    <m/>
    <n v="0"/>
    <s v=""/>
    <n v="0"/>
    <n v="0"/>
    <n v="0"/>
    <n v="116.88487613461319"/>
    <n v="2225"/>
    <n v="71535.307499999995"/>
    <n v="0"/>
    <n v="0"/>
    <n v="0"/>
    <n v="0"/>
    <n v="0"/>
    <n v="0"/>
  </r>
  <r>
    <x v="117"/>
    <x v="19"/>
    <x v="7"/>
    <m/>
    <m/>
    <n v="0"/>
    <m/>
    <m/>
    <n v="0"/>
    <m/>
    <m/>
    <n v="0"/>
    <s v=""/>
    <n v="0"/>
    <n v="0"/>
    <n v="0"/>
    <n v="116.88487613461319"/>
    <n v="2225"/>
    <n v="71535.307499999995"/>
    <n v="0"/>
    <n v="0"/>
    <n v="0"/>
    <n v="0"/>
    <n v="0"/>
    <n v="0"/>
  </r>
  <r>
    <x v="118"/>
    <x v="19"/>
    <x v="7"/>
    <m/>
    <m/>
    <n v="0"/>
    <m/>
    <m/>
    <n v="0"/>
    <m/>
    <m/>
    <n v="0"/>
    <s v=""/>
    <n v="0"/>
    <n v="0"/>
    <n v="0"/>
    <n v="116.88487613461319"/>
    <n v="2225"/>
    <n v="71535.307499999995"/>
    <n v="0"/>
    <n v="0"/>
    <n v="0"/>
    <n v="0"/>
    <n v="0"/>
    <n v="0"/>
  </r>
  <r>
    <x v="119"/>
    <x v="19"/>
    <x v="7"/>
    <m/>
    <m/>
    <n v="0"/>
    <m/>
    <m/>
    <n v="0"/>
    <m/>
    <m/>
    <n v="0"/>
    <s v=""/>
    <n v="0"/>
    <n v="0"/>
    <n v="0"/>
    <n v="116.88487613461319"/>
    <n v="2225"/>
    <n v="71535.307499999995"/>
    <n v="0"/>
    <n v="0"/>
    <n v="0"/>
    <n v="0"/>
    <n v="0"/>
    <n v="0"/>
  </r>
  <r>
    <x v="120"/>
    <x v="19"/>
    <x v="7"/>
    <m/>
    <m/>
    <n v="0"/>
    <m/>
    <m/>
    <n v="0"/>
    <m/>
    <m/>
    <n v="0"/>
    <s v=""/>
    <n v="0"/>
    <n v="0"/>
    <n v="0"/>
    <n v="116.88487613461319"/>
    <n v="2225"/>
    <n v="71535.307499999995"/>
    <n v="0"/>
    <n v="0"/>
    <n v="0"/>
    <n v="0"/>
    <n v="0"/>
    <n v="0"/>
  </r>
  <r>
    <x v="121"/>
    <x v="19"/>
    <x v="7"/>
    <m/>
    <m/>
    <n v="0"/>
    <m/>
    <m/>
    <n v="0"/>
    <m/>
    <m/>
    <n v="0"/>
    <s v=""/>
    <n v="0"/>
    <n v="0"/>
    <n v="0"/>
    <n v="116.88487613461319"/>
    <n v="2225"/>
    <n v="71535.307499999995"/>
    <n v="0"/>
    <n v="0"/>
    <n v="0"/>
    <n v="0"/>
    <n v="0"/>
    <n v="0"/>
  </r>
  <r>
    <x v="122"/>
    <x v="19"/>
    <x v="7"/>
    <m/>
    <m/>
    <n v="0"/>
    <m/>
    <m/>
    <n v="0"/>
    <m/>
    <m/>
    <n v="0"/>
    <s v=""/>
    <n v="0"/>
    <n v="0"/>
    <n v="0"/>
    <n v="116.88487613461319"/>
    <n v="2225"/>
    <n v="71535.307499999995"/>
    <n v="0"/>
    <n v="0"/>
    <n v="0"/>
    <n v="0"/>
    <n v="0"/>
    <n v="0"/>
  </r>
  <r>
    <x v="123"/>
    <x v="19"/>
    <x v="7"/>
    <m/>
    <m/>
    <n v="0"/>
    <m/>
    <m/>
    <n v="0"/>
    <m/>
    <m/>
    <n v="0"/>
    <s v=""/>
    <n v="0"/>
    <n v="0"/>
    <n v="0"/>
    <n v="116.88487613461319"/>
    <n v="2225"/>
    <n v="71535.307499999995"/>
    <n v="0"/>
    <n v="0"/>
    <n v="0"/>
    <n v="0"/>
    <n v="0"/>
    <n v="0"/>
  </r>
  <r>
    <x v="124"/>
    <x v="19"/>
    <x v="7"/>
    <m/>
    <m/>
    <n v="0"/>
    <m/>
    <m/>
    <n v="0"/>
    <m/>
    <m/>
    <n v="0"/>
    <s v=""/>
    <n v="0"/>
    <n v="0"/>
    <n v="0"/>
    <n v="116.88487613461319"/>
    <n v="2225"/>
    <n v="71535.307499999995"/>
    <n v="0"/>
    <n v="0"/>
    <n v="0"/>
    <n v="0"/>
    <n v="0"/>
    <n v="0"/>
  </r>
  <r>
    <x v="125"/>
    <x v="19"/>
    <x v="7"/>
    <m/>
    <m/>
    <n v="0"/>
    <m/>
    <m/>
    <n v="0"/>
    <m/>
    <m/>
    <n v="0"/>
    <s v=""/>
    <n v="0"/>
    <n v="0"/>
    <n v="0"/>
    <n v="116.88487613461319"/>
    <n v="2225"/>
    <n v="71535.307499999995"/>
    <n v="0"/>
    <n v="0"/>
    <n v="0"/>
    <n v="0"/>
    <n v="0"/>
    <n v="0"/>
  </r>
  <r>
    <x v="126"/>
    <x v="19"/>
    <x v="7"/>
    <m/>
    <m/>
    <n v="0"/>
    <m/>
    <m/>
    <n v="0"/>
    <m/>
    <m/>
    <n v="0"/>
    <s v=""/>
    <n v="0"/>
    <n v="0"/>
    <n v="0"/>
    <n v="116.88487613461319"/>
    <n v="2225"/>
    <n v="71535.307499999995"/>
    <n v="0"/>
    <n v="0"/>
    <n v="0"/>
    <n v="0"/>
    <n v="0"/>
    <n v="0"/>
  </r>
  <r>
    <x v="127"/>
    <x v="19"/>
    <x v="7"/>
    <m/>
    <m/>
    <n v="0"/>
    <m/>
    <m/>
    <n v="0"/>
    <m/>
    <m/>
    <n v="0"/>
    <s v=""/>
    <n v="0"/>
    <n v="0"/>
    <n v="0"/>
    <n v="116.88487613461319"/>
    <n v="2225"/>
    <n v="71535.307499999995"/>
    <n v="0"/>
    <n v="0"/>
    <n v="0"/>
    <n v="0"/>
    <n v="0"/>
    <n v="0"/>
  </r>
  <r>
    <x v="0"/>
    <x v="20"/>
    <x v="0"/>
    <m/>
    <m/>
    <n v="0"/>
    <m/>
    <m/>
    <n v="0"/>
    <m/>
    <m/>
    <n v="0"/>
    <s v=""/>
    <n v="0"/>
    <n v="0"/>
    <n v="0"/>
    <n v="116.88487613461319"/>
    <n v="2225"/>
    <n v="71535.307499999995"/>
    <n v="0"/>
    <n v="0"/>
    <n v="0"/>
    <n v="0"/>
    <n v="0"/>
    <n v="0"/>
  </r>
  <r>
    <x v="1"/>
    <x v="20"/>
    <x v="0"/>
    <m/>
    <m/>
    <n v="0"/>
    <m/>
    <m/>
    <n v="0"/>
    <m/>
    <m/>
    <n v="0"/>
    <s v=""/>
    <n v="0"/>
    <n v="0"/>
    <n v="0"/>
    <n v="116.88487613461319"/>
    <n v="2225"/>
    <n v="71535.307499999995"/>
    <n v="0"/>
    <n v="0"/>
    <n v="0"/>
    <n v="0"/>
    <n v="0"/>
    <n v="0"/>
  </r>
  <r>
    <x v="2"/>
    <x v="20"/>
    <x v="0"/>
    <m/>
    <m/>
    <n v="0"/>
    <m/>
    <m/>
    <n v="0"/>
    <m/>
    <m/>
    <n v="0"/>
    <s v=""/>
    <n v="0"/>
    <n v="0"/>
    <n v="0"/>
    <n v="116.88487613461319"/>
    <n v="2225"/>
    <n v="71535.307499999995"/>
    <n v="0"/>
    <n v="0"/>
    <n v="0"/>
    <n v="0"/>
    <n v="0"/>
    <n v="0"/>
  </r>
  <r>
    <x v="3"/>
    <x v="20"/>
    <x v="0"/>
    <m/>
    <m/>
    <n v="0"/>
    <m/>
    <m/>
    <n v="0"/>
    <m/>
    <m/>
    <n v="0"/>
    <s v=""/>
    <n v="0"/>
    <n v="0"/>
    <n v="0"/>
    <n v="116.88487613461319"/>
    <n v="2225"/>
    <n v="71535.307499999995"/>
    <n v="0"/>
    <n v="0"/>
    <n v="0"/>
    <n v="0"/>
    <n v="0"/>
    <n v="0"/>
  </r>
  <r>
    <x v="4"/>
    <x v="20"/>
    <x v="1"/>
    <m/>
    <m/>
    <n v="0"/>
    <m/>
    <m/>
    <n v="0"/>
    <m/>
    <m/>
    <n v="0"/>
    <s v=""/>
    <n v="0"/>
    <n v="0"/>
    <n v="0"/>
    <n v="116.88487613461319"/>
    <n v="2225"/>
    <n v="71535.307499999995"/>
    <n v="0"/>
    <n v="0"/>
    <n v="0"/>
    <n v="0"/>
    <n v="0"/>
    <n v="0"/>
  </r>
  <r>
    <x v="5"/>
    <x v="20"/>
    <x v="1"/>
    <m/>
    <m/>
    <n v="0"/>
    <m/>
    <m/>
    <n v="0"/>
    <m/>
    <m/>
    <n v="0"/>
    <s v=""/>
    <n v="0"/>
    <n v="0"/>
    <n v="0"/>
    <n v="116.88487613461319"/>
    <n v="2225"/>
    <n v="71535.307499999995"/>
    <n v="0"/>
    <n v="0"/>
    <n v="0"/>
    <n v="0"/>
    <n v="0"/>
    <n v="0"/>
  </r>
  <r>
    <x v="6"/>
    <x v="20"/>
    <x v="1"/>
    <m/>
    <m/>
    <n v="0"/>
    <m/>
    <m/>
    <n v="0"/>
    <m/>
    <m/>
    <n v="0"/>
    <s v=""/>
    <n v="0"/>
    <n v="0"/>
    <n v="0"/>
    <n v="116.88487613461319"/>
    <n v="2225"/>
    <n v="71535.307499999995"/>
    <n v="0"/>
    <n v="0"/>
    <n v="0"/>
    <n v="0"/>
    <n v="0"/>
    <n v="0"/>
  </r>
  <r>
    <x v="7"/>
    <x v="20"/>
    <x v="2"/>
    <m/>
    <m/>
    <n v="0"/>
    <m/>
    <m/>
    <n v="0"/>
    <m/>
    <m/>
    <n v="0"/>
    <s v=""/>
    <n v="0"/>
    <n v="0"/>
    <n v="0"/>
    <n v="116.88487613461319"/>
    <n v="2225"/>
    <n v="71535.307499999995"/>
    <n v="0"/>
    <n v="0"/>
    <n v="0"/>
    <n v="0"/>
    <n v="0"/>
    <n v="0"/>
  </r>
  <r>
    <x v="8"/>
    <x v="20"/>
    <x v="2"/>
    <m/>
    <m/>
    <n v="0"/>
    <m/>
    <m/>
    <n v="0"/>
    <m/>
    <m/>
    <n v="0"/>
    <s v=""/>
    <n v="0"/>
    <n v="0"/>
    <n v="0"/>
    <n v="116.88487613461319"/>
    <n v="2225"/>
    <n v="71535.307499999995"/>
    <n v="0"/>
    <n v="0"/>
    <n v="0"/>
    <n v="0"/>
    <n v="0"/>
    <n v="0"/>
  </r>
  <r>
    <x v="9"/>
    <x v="20"/>
    <x v="2"/>
    <m/>
    <m/>
    <n v="0"/>
    <m/>
    <m/>
    <n v="0"/>
    <m/>
    <m/>
    <n v="0"/>
    <s v=""/>
    <n v="0"/>
    <n v="0"/>
    <n v="0"/>
    <n v="116.88487613461319"/>
    <n v="2225"/>
    <n v="71535.307499999995"/>
    <n v="0"/>
    <n v="0"/>
    <n v="0"/>
    <n v="0"/>
    <n v="0"/>
    <n v="0"/>
  </r>
  <r>
    <x v="10"/>
    <x v="20"/>
    <x v="2"/>
    <m/>
    <m/>
    <n v="0"/>
    <m/>
    <m/>
    <n v="0"/>
    <m/>
    <m/>
    <n v="0"/>
    <s v=""/>
    <n v="0"/>
    <n v="0"/>
    <n v="0"/>
    <n v="116.88487613461319"/>
    <n v="2225"/>
    <n v="71535.307499999995"/>
    <n v="0"/>
    <n v="0"/>
    <n v="0"/>
    <n v="0"/>
    <n v="0"/>
    <n v="0"/>
  </r>
  <r>
    <x v="11"/>
    <x v="20"/>
    <x v="2"/>
    <m/>
    <m/>
    <n v="0"/>
    <m/>
    <m/>
    <n v="0"/>
    <m/>
    <m/>
    <n v="0"/>
    <s v=""/>
    <n v="0"/>
    <n v="0"/>
    <n v="0"/>
    <n v="116.88487613461319"/>
    <n v="2225"/>
    <n v="71535.307499999995"/>
    <n v="0"/>
    <n v="0"/>
    <n v="0"/>
    <n v="0"/>
    <n v="0"/>
    <n v="0"/>
  </r>
  <r>
    <x v="12"/>
    <x v="20"/>
    <x v="2"/>
    <m/>
    <m/>
    <n v="0"/>
    <m/>
    <m/>
    <n v="0"/>
    <m/>
    <m/>
    <n v="0"/>
    <s v=""/>
    <n v="0"/>
    <n v="0"/>
    <n v="0"/>
    <n v="116.88487613461319"/>
    <n v="2225"/>
    <n v="71535.307499999995"/>
    <n v="0"/>
    <n v="0"/>
    <n v="0"/>
    <n v="0"/>
    <n v="0"/>
    <n v="0"/>
  </r>
  <r>
    <x v="13"/>
    <x v="20"/>
    <x v="2"/>
    <n v="2022"/>
    <n v="1.58"/>
    <n v="3.19476"/>
    <m/>
    <m/>
    <n v="0"/>
    <m/>
    <m/>
    <n v="0"/>
    <s v=""/>
    <n v="0"/>
    <n v="0"/>
    <n v="0"/>
    <n v="116.88487613461319"/>
    <n v="2225"/>
    <n v="71535.307499999995"/>
    <n v="0"/>
    <n v="0"/>
    <n v="0"/>
    <n v="0"/>
    <n v="0"/>
    <n v="0"/>
  </r>
  <r>
    <x v="14"/>
    <x v="20"/>
    <x v="2"/>
    <n v="258"/>
    <n v="2.2000000000000002"/>
    <n v="0.56759999999999999"/>
    <m/>
    <m/>
    <n v="0"/>
    <m/>
    <m/>
    <n v="0"/>
    <s v=""/>
    <n v="0"/>
    <n v="0"/>
    <n v="0"/>
    <n v="116.88487613461319"/>
    <n v="2225"/>
    <n v="71535.307499999995"/>
    <n v="0"/>
    <n v="0"/>
    <n v="0"/>
    <n v="0"/>
    <n v="0"/>
    <n v="0"/>
  </r>
  <r>
    <x v="15"/>
    <x v="20"/>
    <x v="2"/>
    <m/>
    <m/>
    <n v="0"/>
    <m/>
    <m/>
    <n v="0"/>
    <m/>
    <m/>
    <n v="0"/>
    <s v=""/>
    <n v="0"/>
    <n v="0"/>
    <n v="0"/>
    <n v="116.88487613461319"/>
    <n v="2225"/>
    <n v="71535.307499999995"/>
    <n v="0"/>
    <n v="0"/>
    <n v="0"/>
    <n v="0"/>
    <n v="0"/>
    <n v="0"/>
  </r>
  <r>
    <x v="16"/>
    <x v="20"/>
    <x v="2"/>
    <m/>
    <m/>
    <n v="0"/>
    <m/>
    <m/>
    <n v="0"/>
    <m/>
    <m/>
    <n v="0"/>
    <s v=""/>
    <n v="0"/>
    <n v="0"/>
    <n v="0"/>
    <n v="116.88487613461319"/>
    <n v="2225"/>
    <n v="71535.307499999995"/>
    <n v="0"/>
    <n v="0"/>
    <n v="0"/>
    <n v="0"/>
    <n v="0"/>
    <n v="0"/>
  </r>
  <r>
    <x v="17"/>
    <x v="20"/>
    <x v="3"/>
    <m/>
    <m/>
    <n v="0"/>
    <m/>
    <m/>
    <n v="0"/>
    <m/>
    <m/>
    <n v="0"/>
    <s v=""/>
    <n v="0"/>
    <n v="0"/>
    <n v="0"/>
    <n v="116.88487613461319"/>
    <n v="2225"/>
    <n v="71535.307499999995"/>
    <n v="0"/>
    <n v="0"/>
    <n v="0"/>
    <n v="0"/>
    <n v="0"/>
    <n v="0"/>
  </r>
  <r>
    <x v="18"/>
    <x v="20"/>
    <x v="3"/>
    <m/>
    <m/>
    <n v="0"/>
    <m/>
    <m/>
    <n v="0"/>
    <m/>
    <m/>
    <n v="0"/>
    <s v=""/>
    <n v="0"/>
    <n v="0"/>
    <n v="0"/>
    <n v="116.88487613461319"/>
    <n v="2225"/>
    <n v="71535.307499999995"/>
    <n v="0"/>
    <n v="0"/>
    <n v="0"/>
    <n v="0"/>
    <n v="0"/>
    <n v="0"/>
  </r>
  <r>
    <x v="19"/>
    <x v="20"/>
    <x v="3"/>
    <m/>
    <m/>
    <n v="0"/>
    <m/>
    <m/>
    <n v="0"/>
    <m/>
    <m/>
    <n v="0"/>
    <s v=""/>
    <n v="0"/>
    <n v="0"/>
    <n v="0"/>
    <n v="116.88487613461319"/>
    <n v="2225"/>
    <n v="71535.307499999995"/>
    <n v="0"/>
    <n v="0"/>
    <n v="0"/>
    <n v="0"/>
    <n v="0"/>
    <n v="0"/>
  </r>
  <r>
    <x v="20"/>
    <x v="20"/>
    <x v="3"/>
    <m/>
    <m/>
    <n v="0"/>
    <m/>
    <m/>
    <n v="0"/>
    <m/>
    <m/>
    <n v="0"/>
    <s v=""/>
    <n v="0"/>
    <n v="0"/>
    <n v="0"/>
    <n v="116.88487613461319"/>
    <n v="2225"/>
    <n v="71535.307499999995"/>
    <n v="0"/>
    <n v="0"/>
    <n v="0"/>
    <n v="0"/>
    <n v="0"/>
    <n v="0"/>
  </r>
  <r>
    <x v="21"/>
    <x v="20"/>
    <x v="3"/>
    <m/>
    <m/>
    <n v="0"/>
    <m/>
    <m/>
    <n v="0"/>
    <m/>
    <m/>
    <n v="0"/>
    <s v=""/>
    <n v="0"/>
    <n v="0"/>
    <n v="0"/>
    <n v="116.88487613461319"/>
    <n v="2225"/>
    <n v="71535.307499999995"/>
    <n v="0"/>
    <n v="0"/>
    <n v="0"/>
    <n v="0"/>
    <n v="0"/>
    <n v="0"/>
  </r>
  <r>
    <x v="22"/>
    <x v="20"/>
    <x v="3"/>
    <m/>
    <m/>
    <n v="0"/>
    <m/>
    <m/>
    <n v="0"/>
    <m/>
    <m/>
    <n v="0"/>
    <s v=""/>
    <n v="0"/>
    <n v="0"/>
    <n v="0"/>
    <n v="116.88487613461319"/>
    <n v="2225"/>
    <n v="71535.307499999995"/>
    <n v="0"/>
    <n v="0"/>
    <n v="0"/>
    <n v="0"/>
    <n v="0"/>
    <n v="0"/>
  </r>
  <r>
    <x v="23"/>
    <x v="20"/>
    <x v="3"/>
    <m/>
    <m/>
    <n v="0"/>
    <m/>
    <m/>
    <n v="0"/>
    <m/>
    <m/>
    <n v="0"/>
    <s v=""/>
    <n v="0"/>
    <n v="0"/>
    <n v="0"/>
    <n v="116.88487613461319"/>
    <n v="2225"/>
    <n v="71535.307499999995"/>
    <n v="0"/>
    <n v="0"/>
    <n v="0"/>
    <n v="0"/>
    <n v="0"/>
    <n v="0"/>
  </r>
  <r>
    <x v="24"/>
    <x v="20"/>
    <x v="3"/>
    <m/>
    <m/>
    <n v="0"/>
    <m/>
    <m/>
    <n v="0"/>
    <m/>
    <m/>
    <n v="0"/>
    <s v=""/>
    <n v="0"/>
    <n v="0"/>
    <n v="0"/>
    <n v="116.88487613461319"/>
    <n v="2225"/>
    <n v="71535.307499999995"/>
    <n v="0"/>
    <n v="0"/>
    <n v="0"/>
    <n v="0"/>
    <n v="0"/>
    <n v="0"/>
  </r>
  <r>
    <x v="25"/>
    <x v="20"/>
    <x v="3"/>
    <m/>
    <m/>
    <n v="0"/>
    <m/>
    <m/>
    <n v="0"/>
    <m/>
    <m/>
    <n v="0"/>
    <s v=""/>
    <n v="0"/>
    <n v="0"/>
    <n v="0"/>
    <n v="116.88487613461319"/>
    <n v="2225"/>
    <n v="71535.307499999995"/>
    <n v="0"/>
    <n v="0"/>
    <n v="0"/>
    <n v="0"/>
    <n v="0"/>
    <n v="0"/>
  </r>
  <r>
    <x v="26"/>
    <x v="20"/>
    <x v="3"/>
    <m/>
    <m/>
    <n v="0"/>
    <m/>
    <m/>
    <n v="0"/>
    <m/>
    <m/>
    <n v="0"/>
    <s v=""/>
    <n v="0"/>
    <n v="0"/>
    <n v="0"/>
    <n v="116.88487613461319"/>
    <n v="2225"/>
    <n v="71535.307499999995"/>
    <n v="0"/>
    <n v="0"/>
    <n v="0"/>
    <n v="0"/>
    <n v="0"/>
    <n v="0"/>
  </r>
  <r>
    <x v="27"/>
    <x v="20"/>
    <x v="3"/>
    <m/>
    <m/>
    <n v="0"/>
    <m/>
    <m/>
    <n v="0"/>
    <m/>
    <m/>
    <n v="0"/>
    <s v=""/>
    <n v="0"/>
    <n v="0"/>
    <n v="0"/>
    <n v="116.88487613461319"/>
    <n v="2225"/>
    <n v="71535.307499999995"/>
    <n v="0"/>
    <n v="0"/>
    <n v="0"/>
    <n v="0"/>
    <n v="0"/>
    <n v="0"/>
  </r>
  <r>
    <x v="28"/>
    <x v="20"/>
    <x v="3"/>
    <m/>
    <m/>
    <n v="0"/>
    <m/>
    <m/>
    <n v="0"/>
    <m/>
    <m/>
    <n v="0"/>
    <s v=""/>
    <n v="0"/>
    <n v="0"/>
    <n v="0"/>
    <n v="116.88487613461319"/>
    <n v="2225"/>
    <n v="71535.307499999995"/>
    <n v="0"/>
    <n v="0"/>
    <n v="0"/>
    <n v="0"/>
    <n v="0"/>
    <n v="0"/>
  </r>
  <r>
    <x v="29"/>
    <x v="20"/>
    <x v="3"/>
    <m/>
    <m/>
    <n v="0"/>
    <m/>
    <m/>
    <n v="0"/>
    <m/>
    <m/>
    <n v="0"/>
    <s v=""/>
    <n v="0"/>
    <n v="0"/>
    <n v="0"/>
    <n v="116.88487613461319"/>
    <n v="2225"/>
    <n v="71535.307499999995"/>
    <n v="0"/>
    <n v="0"/>
    <n v="0"/>
    <n v="0"/>
    <n v="0"/>
    <n v="0"/>
  </r>
  <r>
    <x v="30"/>
    <x v="20"/>
    <x v="3"/>
    <m/>
    <m/>
    <n v="0"/>
    <m/>
    <m/>
    <n v="0"/>
    <m/>
    <m/>
    <n v="0"/>
    <s v=""/>
    <n v="0"/>
    <n v="0"/>
    <n v="0"/>
    <n v="116.88487613461319"/>
    <n v="2225"/>
    <n v="71535.307499999995"/>
    <n v="0"/>
    <n v="0"/>
    <n v="0"/>
    <n v="0"/>
    <n v="0"/>
    <n v="0"/>
  </r>
  <r>
    <x v="31"/>
    <x v="20"/>
    <x v="3"/>
    <m/>
    <m/>
    <n v="0"/>
    <m/>
    <m/>
    <n v="0"/>
    <m/>
    <m/>
    <n v="0"/>
    <s v=""/>
    <n v="0"/>
    <n v="0"/>
    <n v="0"/>
    <n v="116.88487613461319"/>
    <n v="2225"/>
    <n v="71535.307499999995"/>
    <n v="0"/>
    <n v="0"/>
    <n v="0"/>
    <n v="0"/>
    <n v="0"/>
    <n v="0"/>
  </r>
  <r>
    <x v="32"/>
    <x v="20"/>
    <x v="3"/>
    <m/>
    <m/>
    <n v="0"/>
    <m/>
    <m/>
    <n v="0"/>
    <m/>
    <m/>
    <n v="0"/>
    <s v=""/>
    <n v="0"/>
    <n v="0"/>
    <n v="0"/>
    <n v="116.88487613461319"/>
    <n v="2225"/>
    <n v="71535.307499999995"/>
    <n v="0"/>
    <n v="0"/>
    <n v="0"/>
    <n v="0"/>
    <n v="0"/>
    <n v="0"/>
  </r>
  <r>
    <x v="33"/>
    <x v="20"/>
    <x v="3"/>
    <m/>
    <m/>
    <n v="0"/>
    <m/>
    <m/>
    <n v="0"/>
    <m/>
    <m/>
    <n v="0"/>
    <s v=""/>
    <n v="0"/>
    <n v="0"/>
    <n v="0"/>
    <n v="116.88487613461319"/>
    <n v="2225"/>
    <n v="71535.307499999995"/>
    <n v="0"/>
    <n v="0"/>
    <n v="0"/>
    <n v="0"/>
    <n v="0"/>
    <n v="0"/>
  </r>
  <r>
    <x v="34"/>
    <x v="20"/>
    <x v="3"/>
    <m/>
    <m/>
    <n v="0"/>
    <m/>
    <m/>
    <n v="0"/>
    <m/>
    <m/>
    <n v="0"/>
    <s v=""/>
    <n v="0"/>
    <n v="0"/>
    <n v="0"/>
    <n v="116.88487613461319"/>
    <n v="2225"/>
    <n v="71535.307499999995"/>
    <n v="0"/>
    <n v="0"/>
    <n v="0"/>
    <n v="0"/>
    <n v="0"/>
    <n v="0"/>
  </r>
  <r>
    <x v="35"/>
    <x v="20"/>
    <x v="3"/>
    <m/>
    <m/>
    <n v="0"/>
    <m/>
    <m/>
    <n v="0"/>
    <m/>
    <m/>
    <n v="0"/>
    <s v=""/>
    <n v="0"/>
    <n v="0"/>
    <n v="0"/>
    <n v="116.88487613461319"/>
    <n v="2225"/>
    <n v="71535.307499999995"/>
    <n v="0"/>
    <n v="0"/>
    <n v="0"/>
    <n v="0"/>
    <n v="0"/>
    <n v="0"/>
  </r>
  <r>
    <x v="36"/>
    <x v="20"/>
    <x v="3"/>
    <m/>
    <m/>
    <n v="0"/>
    <m/>
    <m/>
    <n v="0"/>
    <m/>
    <m/>
    <n v="0"/>
    <s v=""/>
    <n v="0"/>
    <n v="0"/>
    <n v="0"/>
    <n v="116.88487613461319"/>
    <n v="2225"/>
    <n v="71535.307499999995"/>
    <n v="0"/>
    <n v="0"/>
    <n v="0"/>
    <n v="0"/>
    <n v="0"/>
    <n v="0"/>
  </r>
  <r>
    <x v="37"/>
    <x v="20"/>
    <x v="3"/>
    <m/>
    <m/>
    <n v="0"/>
    <m/>
    <m/>
    <n v="0"/>
    <m/>
    <m/>
    <n v="0"/>
    <s v=""/>
    <n v="0"/>
    <n v="0"/>
    <n v="0"/>
    <n v="116.88487613461319"/>
    <n v="2225"/>
    <n v="71535.307499999995"/>
    <n v="0"/>
    <n v="0"/>
    <n v="0"/>
    <n v="0"/>
    <n v="0"/>
    <n v="0"/>
  </r>
  <r>
    <x v="38"/>
    <x v="20"/>
    <x v="3"/>
    <m/>
    <m/>
    <n v="0"/>
    <m/>
    <m/>
    <n v="0"/>
    <m/>
    <m/>
    <n v="0"/>
    <s v=""/>
    <n v="0"/>
    <n v="0"/>
    <n v="0"/>
    <n v="116.88487613461319"/>
    <n v="2225"/>
    <n v="71535.307499999995"/>
    <n v="0"/>
    <n v="0"/>
    <n v="0"/>
    <n v="0"/>
    <n v="0"/>
    <n v="0"/>
  </r>
  <r>
    <x v="39"/>
    <x v="20"/>
    <x v="3"/>
    <m/>
    <m/>
    <n v="0"/>
    <m/>
    <m/>
    <n v="0"/>
    <m/>
    <m/>
    <n v="0"/>
    <s v=""/>
    <n v="0"/>
    <n v="0"/>
    <n v="0"/>
    <n v="116.88487613461319"/>
    <n v="2225"/>
    <n v="71535.307499999995"/>
    <n v="0"/>
    <n v="0"/>
    <n v="0"/>
    <n v="0"/>
    <n v="0"/>
    <n v="0"/>
  </r>
  <r>
    <x v="40"/>
    <x v="20"/>
    <x v="3"/>
    <m/>
    <m/>
    <n v="0"/>
    <m/>
    <m/>
    <n v="0"/>
    <m/>
    <m/>
    <n v="0"/>
    <s v=""/>
    <n v="0"/>
    <n v="0"/>
    <n v="0"/>
    <n v="116.88487613461319"/>
    <n v="2225"/>
    <n v="71535.307499999995"/>
    <n v="0"/>
    <n v="0"/>
    <n v="0"/>
    <n v="0"/>
    <n v="0"/>
    <n v="0"/>
  </r>
  <r>
    <x v="41"/>
    <x v="20"/>
    <x v="3"/>
    <m/>
    <m/>
    <n v="0"/>
    <m/>
    <m/>
    <n v="0"/>
    <m/>
    <m/>
    <n v="0"/>
    <s v=""/>
    <n v="0"/>
    <n v="0"/>
    <n v="0"/>
    <n v="116.88487613461319"/>
    <n v="2225"/>
    <n v="71535.307499999995"/>
    <n v="0"/>
    <n v="0"/>
    <n v="0"/>
    <n v="0"/>
    <n v="0"/>
    <n v="0"/>
  </r>
  <r>
    <x v="42"/>
    <x v="20"/>
    <x v="3"/>
    <m/>
    <m/>
    <n v="0"/>
    <m/>
    <m/>
    <n v="0"/>
    <m/>
    <m/>
    <n v="0"/>
    <s v=""/>
    <n v="0"/>
    <n v="0"/>
    <n v="0"/>
    <n v="116.88487613461319"/>
    <n v="2225"/>
    <n v="71535.307499999995"/>
    <n v="0"/>
    <n v="0"/>
    <n v="0"/>
    <n v="0"/>
    <n v="0"/>
    <n v="0"/>
  </r>
  <r>
    <x v="43"/>
    <x v="20"/>
    <x v="3"/>
    <m/>
    <m/>
    <n v="0"/>
    <m/>
    <m/>
    <n v="0"/>
    <m/>
    <m/>
    <n v="0"/>
    <s v=""/>
    <n v="0"/>
    <n v="0"/>
    <n v="0"/>
    <n v="116.88487613461319"/>
    <n v="2225"/>
    <n v="71535.307499999995"/>
    <n v="0"/>
    <n v="0"/>
    <n v="0"/>
    <n v="0"/>
    <n v="0"/>
    <n v="0"/>
  </r>
  <r>
    <x v="44"/>
    <x v="20"/>
    <x v="3"/>
    <m/>
    <m/>
    <n v="0"/>
    <m/>
    <m/>
    <n v="0"/>
    <m/>
    <m/>
    <n v="0"/>
    <s v=""/>
    <n v="0"/>
    <n v="0"/>
    <n v="0"/>
    <n v="116.88487613461319"/>
    <n v="2225"/>
    <n v="71535.307499999995"/>
    <n v="0"/>
    <n v="0"/>
    <n v="0"/>
    <n v="0"/>
    <n v="0"/>
    <n v="0"/>
  </r>
  <r>
    <x v="45"/>
    <x v="20"/>
    <x v="3"/>
    <m/>
    <m/>
    <n v="0"/>
    <m/>
    <m/>
    <n v="0"/>
    <m/>
    <m/>
    <n v="0"/>
    <s v=""/>
    <n v="0"/>
    <n v="0"/>
    <n v="0"/>
    <n v="116.88487613461319"/>
    <n v="2225"/>
    <n v="71535.307499999995"/>
    <n v="0"/>
    <n v="0"/>
    <n v="0"/>
    <n v="0"/>
    <n v="0"/>
    <n v="0"/>
  </r>
  <r>
    <x v="46"/>
    <x v="20"/>
    <x v="3"/>
    <m/>
    <m/>
    <m/>
    <m/>
    <m/>
    <m/>
    <m/>
    <m/>
    <m/>
    <m/>
    <m/>
    <m/>
    <m/>
    <m/>
    <m/>
    <m/>
    <m/>
    <m/>
    <m/>
    <m/>
    <m/>
    <m/>
  </r>
  <r>
    <x v="47"/>
    <x v="20"/>
    <x v="3"/>
    <m/>
    <m/>
    <n v="0"/>
    <m/>
    <m/>
    <n v="0"/>
    <m/>
    <m/>
    <m/>
    <m/>
    <m/>
    <m/>
    <m/>
    <m/>
    <m/>
    <m/>
    <m/>
    <m/>
    <m/>
    <m/>
    <m/>
    <m/>
  </r>
  <r>
    <x v="48"/>
    <x v="20"/>
    <x v="3"/>
    <m/>
    <m/>
    <n v="0"/>
    <m/>
    <m/>
    <n v="0"/>
    <m/>
    <m/>
    <m/>
    <m/>
    <m/>
    <m/>
    <m/>
    <m/>
    <m/>
    <m/>
    <m/>
    <m/>
    <m/>
    <m/>
    <m/>
    <m/>
  </r>
  <r>
    <x v="49"/>
    <x v="20"/>
    <x v="3"/>
    <m/>
    <m/>
    <n v="0"/>
    <m/>
    <m/>
    <n v="0"/>
    <m/>
    <m/>
    <n v="0"/>
    <s v=""/>
    <n v="0"/>
    <n v="0"/>
    <n v="0"/>
    <n v="116.88487613461319"/>
    <n v="2225"/>
    <n v="71535.307499999995"/>
    <n v="0"/>
    <n v="0"/>
    <n v="0"/>
    <n v="0"/>
    <n v="0"/>
    <n v="0"/>
  </r>
  <r>
    <x v="50"/>
    <x v="20"/>
    <x v="4"/>
    <m/>
    <m/>
    <n v="0"/>
    <m/>
    <m/>
    <n v="0"/>
    <m/>
    <m/>
    <n v="0"/>
    <s v=""/>
    <n v="0"/>
    <n v="0"/>
    <n v="0"/>
    <n v="116.88487613461319"/>
    <n v="2225"/>
    <n v="71535.307499999995"/>
    <n v="0"/>
    <n v="0"/>
    <n v="0"/>
    <n v="0"/>
    <n v="0"/>
    <n v="0"/>
  </r>
  <r>
    <x v="51"/>
    <x v="20"/>
    <x v="4"/>
    <m/>
    <m/>
    <n v="0"/>
    <m/>
    <m/>
    <n v="0"/>
    <m/>
    <m/>
    <n v="0"/>
    <s v=""/>
    <n v="0"/>
    <n v="0"/>
    <n v="0"/>
    <n v="116.88487613461319"/>
    <n v="2225"/>
    <n v="71535.307499999995"/>
    <n v="0"/>
    <n v="0"/>
    <n v="0"/>
    <n v="0"/>
    <n v="0"/>
    <n v="0"/>
  </r>
  <r>
    <x v="52"/>
    <x v="20"/>
    <x v="4"/>
    <m/>
    <m/>
    <n v="0"/>
    <m/>
    <m/>
    <n v="0"/>
    <m/>
    <m/>
    <n v="0"/>
    <s v=""/>
    <n v="0"/>
    <n v="0"/>
    <n v="0"/>
    <n v="116.88487613461319"/>
    <n v="2225"/>
    <n v="71535.307499999995"/>
    <n v="0"/>
    <n v="0"/>
    <n v="0"/>
    <n v="0"/>
    <n v="0"/>
    <n v="0"/>
  </r>
  <r>
    <x v="53"/>
    <x v="20"/>
    <x v="4"/>
    <m/>
    <m/>
    <n v="0"/>
    <m/>
    <m/>
    <n v="0"/>
    <m/>
    <m/>
    <n v="0"/>
    <s v=""/>
    <n v="0"/>
    <n v="0"/>
    <n v="0"/>
    <n v="116.88487613461319"/>
    <n v="2225"/>
    <n v="71535.307499999995"/>
    <n v="0"/>
    <n v="0"/>
    <n v="0"/>
    <n v="0"/>
    <n v="0"/>
    <n v="0"/>
  </r>
  <r>
    <x v="54"/>
    <x v="20"/>
    <x v="4"/>
    <m/>
    <m/>
    <n v="0"/>
    <m/>
    <m/>
    <n v="0"/>
    <m/>
    <m/>
    <n v="0"/>
    <s v=""/>
    <n v="0"/>
    <n v="0"/>
    <n v="0"/>
    <n v="116.88487613461319"/>
    <n v="2225"/>
    <n v="71535.307499999995"/>
    <n v="0"/>
    <n v="0"/>
    <n v="0"/>
    <n v="0"/>
    <n v="0"/>
    <n v="0"/>
  </r>
  <r>
    <x v="55"/>
    <x v="20"/>
    <x v="4"/>
    <m/>
    <m/>
    <n v="0"/>
    <m/>
    <m/>
    <n v="0"/>
    <m/>
    <m/>
    <n v="0"/>
    <s v=""/>
    <n v="0"/>
    <n v="0"/>
    <n v="0"/>
    <n v="116.88487613461319"/>
    <n v="2225"/>
    <n v="71535.307499999995"/>
    <n v="0"/>
    <n v="0"/>
    <n v="0"/>
    <n v="0"/>
    <n v="0"/>
    <n v="0"/>
  </r>
  <r>
    <x v="56"/>
    <x v="20"/>
    <x v="4"/>
    <m/>
    <m/>
    <n v="0"/>
    <m/>
    <m/>
    <n v="0"/>
    <m/>
    <m/>
    <n v="0"/>
    <s v=""/>
    <n v="0"/>
    <n v="0"/>
    <n v="0"/>
    <n v="116.88487613461319"/>
    <n v="2225"/>
    <n v="71535.307499999995"/>
    <n v="0"/>
    <n v="0"/>
    <n v="0"/>
    <n v="0"/>
    <n v="0"/>
    <n v="0"/>
  </r>
  <r>
    <x v="57"/>
    <x v="20"/>
    <x v="4"/>
    <m/>
    <m/>
    <n v="0"/>
    <m/>
    <m/>
    <n v="0"/>
    <m/>
    <m/>
    <n v="0"/>
    <s v=""/>
    <n v="0"/>
    <n v="0"/>
    <n v="0"/>
    <n v="116.88487613461319"/>
    <n v="2225"/>
    <n v="71535.307499999995"/>
    <n v="0"/>
    <n v="0"/>
    <n v="0"/>
    <n v="0"/>
    <n v="0"/>
    <n v="0"/>
  </r>
  <r>
    <x v="58"/>
    <x v="20"/>
    <x v="4"/>
    <m/>
    <m/>
    <n v="0"/>
    <m/>
    <m/>
    <n v="0"/>
    <m/>
    <m/>
    <n v="0"/>
    <s v=""/>
    <n v="0"/>
    <n v="0"/>
    <n v="0"/>
    <n v="116.88487613461319"/>
    <n v="2225"/>
    <n v="71535.307499999995"/>
    <n v="0"/>
    <n v="0"/>
    <n v="0"/>
    <n v="0"/>
    <n v="0"/>
    <n v="0"/>
  </r>
  <r>
    <x v="59"/>
    <x v="20"/>
    <x v="4"/>
    <m/>
    <m/>
    <n v="0"/>
    <m/>
    <m/>
    <n v="0"/>
    <m/>
    <m/>
    <n v="0"/>
    <s v=""/>
    <n v="0"/>
    <n v="0"/>
    <n v="0"/>
    <n v="116.88487613461319"/>
    <n v="2225"/>
    <n v="71535.307499999995"/>
    <n v="0"/>
    <n v="0"/>
    <n v="0"/>
    <n v="0"/>
    <n v="0"/>
    <n v="0"/>
  </r>
  <r>
    <x v="60"/>
    <x v="20"/>
    <x v="4"/>
    <m/>
    <m/>
    <n v="0"/>
    <m/>
    <m/>
    <n v="0"/>
    <m/>
    <m/>
    <n v="0"/>
    <s v=""/>
    <n v="0"/>
    <n v="0"/>
    <n v="0"/>
    <n v="116.88487613461319"/>
    <n v="2225"/>
    <n v="71535.307499999995"/>
    <n v="0"/>
    <n v="0"/>
    <n v="0"/>
    <n v="0"/>
    <n v="0"/>
    <n v="0"/>
  </r>
  <r>
    <x v="61"/>
    <x v="20"/>
    <x v="4"/>
    <m/>
    <m/>
    <n v="0"/>
    <m/>
    <m/>
    <n v="0"/>
    <m/>
    <m/>
    <n v="0"/>
    <s v=""/>
    <n v="0"/>
    <n v="0"/>
    <n v="0"/>
    <n v="116.88487613461319"/>
    <n v="2225"/>
    <n v="71535.307499999995"/>
    <n v="0"/>
    <n v="0"/>
    <n v="0"/>
    <n v="0"/>
    <n v="0"/>
    <n v="0"/>
  </r>
  <r>
    <x v="62"/>
    <x v="20"/>
    <x v="4"/>
    <m/>
    <m/>
    <n v="0"/>
    <m/>
    <m/>
    <n v="0"/>
    <m/>
    <m/>
    <n v="0"/>
    <s v=""/>
    <n v="0"/>
    <n v="0"/>
    <n v="0"/>
    <n v="116.88487613461319"/>
    <n v="2225"/>
    <n v="71535.307499999995"/>
    <n v="0"/>
    <n v="0"/>
    <n v="0"/>
    <n v="0"/>
    <n v="0"/>
    <n v="0"/>
  </r>
  <r>
    <x v="63"/>
    <x v="20"/>
    <x v="4"/>
    <m/>
    <m/>
    <n v="0"/>
    <m/>
    <m/>
    <n v="0"/>
    <m/>
    <m/>
    <n v="0"/>
    <s v=""/>
    <n v="0"/>
    <n v="0"/>
    <n v="0"/>
    <n v="116.88487613461319"/>
    <n v="2225"/>
    <n v="71535.307499999995"/>
    <n v="0"/>
    <n v="0"/>
    <n v="0"/>
    <n v="0"/>
    <n v="0"/>
    <n v="0"/>
  </r>
  <r>
    <x v="64"/>
    <x v="20"/>
    <x v="4"/>
    <m/>
    <m/>
    <n v="0"/>
    <m/>
    <m/>
    <n v="0"/>
    <m/>
    <m/>
    <n v="0"/>
    <s v=""/>
    <n v="0"/>
    <n v="0"/>
    <n v="0"/>
    <n v="116.88487613461319"/>
    <n v="2225"/>
    <n v="71535.307499999995"/>
    <n v="0"/>
    <n v="0"/>
    <n v="0"/>
    <n v="0"/>
    <n v="0"/>
    <n v="0"/>
  </r>
  <r>
    <x v="65"/>
    <x v="20"/>
    <x v="4"/>
    <m/>
    <m/>
    <n v="0"/>
    <m/>
    <m/>
    <n v="0"/>
    <m/>
    <m/>
    <n v="0"/>
    <s v=""/>
    <n v="0"/>
    <n v="0"/>
    <n v="0"/>
    <n v="116.88487613461319"/>
    <n v="2225"/>
    <n v="71535.307499999995"/>
    <n v="0"/>
    <n v="0"/>
    <n v="0"/>
    <n v="0"/>
    <n v="0"/>
    <n v="0"/>
  </r>
  <r>
    <x v="66"/>
    <x v="20"/>
    <x v="4"/>
    <m/>
    <m/>
    <n v="0"/>
    <m/>
    <m/>
    <n v="0"/>
    <m/>
    <m/>
    <n v="0"/>
    <s v=""/>
    <n v="0"/>
    <n v="0"/>
    <n v="0"/>
    <n v="116.88487613461319"/>
    <n v="2225"/>
    <n v="71535.307499999995"/>
    <n v="0"/>
    <n v="0"/>
    <n v="0"/>
    <n v="0"/>
    <n v="0"/>
    <n v="0"/>
  </r>
  <r>
    <x v="67"/>
    <x v="20"/>
    <x v="4"/>
    <m/>
    <m/>
    <n v="0"/>
    <m/>
    <m/>
    <n v="0"/>
    <m/>
    <m/>
    <n v="0"/>
    <s v=""/>
    <n v="0"/>
    <n v="0"/>
    <n v="0"/>
    <n v="116.88487613461319"/>
    <n v="2225"/>
    <n v="71535.307499999995"/>
    <n v="0"/>
    <n v="0"/>
    <n v="0"/>
    <n v="0"/>
    <n v="0"/>
    <n v="0"/>
  </r>
  <r>
    <x v="68"/>
    <x v="20"/>
    <x v="4"/>
    <n v="1469"/>
    <n v="3.23"/>
    <n v="4.7448699999999997"/>
    <m/>
    <m/>
    <n v="0"/>
    <m/>
    <m/>
    <n v="0"/>
    <s v=""/>
    <n v="0"/>
    <n v="0"/>
    <n v="0"/>
    <n v="116.88487613461319"/>
    <n v="2225"/>
    <n v="71535.307499999995"/>
    <n v="0"/>
    <n v="0"/>
    <n v="0"/>
    <n v="0"/>
    <n v="0"/>
    <n v="0"/>
  </r>
  <r>
    <x v="69"/>
    <x v="20"/>
    <x v="4"/>
    <n v="1947"/>
    <n v="3.97"/>
    <n v="7.72959"/>
    <m/>
    <m/>
    <n v="0"/>
    <m/>
    <m/>
    <n v="0"/>
    <s v=""/>
    <n v="0"/>
    <n v="0"/>
    <n v="0"/>
    <n v="116.88487613461319"/>
    <n v="2225"/>
    <n v="71535.307499999995"/>
    <n v="0"/>
    <n v="0"/>
    <n v="0"/>
    <n v="0"/>
    <n v="0"/>
    <n v="0"/>
  </r>
  <r>
    <x v="70"/>
    <x v="20"/>
    <x v="5"/>
    <n v="2921"/>
    <n v="2.83"/>
    <n v="8.2664299999999997"/>
    <m/>
    <m/>
    <n v="0"/>
    <m/>
    <m/>
    <n v="0"/>
    <s v=""/>
    <n v="0"/>
    <n v="0"/>
    <n v="0"/>
    <n v="116.88487613461319"/>
    <n v="2225"/>
    <n v="71535.307499999995"/>
    <n v="0"/>
    <n v="0"/>
    <n v="0"/>
    <n v="0"/>
    <n v="0"/>
    <n v="0"/>
  </r>
  <r>
    <x v="71"/>
    <x v="20"/>
    <x v="5"/>
    <m/>
    <m/>
    <n v="0"/>
    <m/>
    <m/>
    <n v="0"/>
    <m/>
    <m/>
    <n v="0"/>
    <s v=""/>
    <n v="0"/>
    <n v="0"/>
    <n v="0"/>
    <n v="116.88487613461319"/>
    <n v="2225"/>
    <n v="71535.307499999995"/>
    <n v="0"/>
    <n v="0"/>
    <n v="0"/>
    <n v="0"/>
    <n v="0"/>
    <n v="0"/>
  </r>
  <r>
    <x v="72"/>
    <x v="20"/>
    <x v="5"/>
    <m/>
    <m/>
    <n v="0"/>
    <m/>
    <m/>
    <n v="0"/>
    <m/>
    <m/>
    <m/>
    <m/>
    <m/>
    <m/>
    <m/>
    <m/>
    <m/>
    <m/>
    <m/>
    <m/>
    <m/>
    <m/>
    <m/>
    <m/>
  </r>
  <r>
    <x v="73"/>
    <x v="20"/>
    <x v="5"/>
    <m/>
    <m/>
    <n v="0"/>
    <m/>
    <m/>
    <n v="0"/>
    <m/>
    <m/>
    <m/>
    <m/>
    <m/>
    <m/>
    <m/>
    <m/>
    <m/>
    <m/>
    <m/>
    <m/>
    <m/>
    <m/>
    <m/>
    <m/>
  </r>
  <r>
    <x v="74"/>
    <x v="20"/>
    <x v="5"/>
    <m/>
    <m/>
    <n v="0"/>
    <m/>
    <m/>
    <n v="0"/>
    <m/>
    <m/>
    <m/>
    <m/>
    <m/>
    <m/>
    <m/>
    <m/>
    <m/>
    <m/>
    <m/>
    <m/>
    <m/>
    <m/>
    <m/>
    <m/>
  </r>
  <r>
    <x v="75"/>
    <x v="20"/>
    <x v="5"/>
    <n v="2921"/>
    <n v="2.31"/>
    <n v="6.7475100000000001"/>
    <m/>
    <m/>
    <n v="0"/>
    <m/>
    <m/>
    <n v="0"/>
    <s v=""/>
    <n v="0"/>
    <n v="0"/>
    <n v="0"/>
    <n v="116.88487613461319"/>
    <n v="2225"/>
    <n v="71535.307499999995"/>
    <n v="0"/>
    <n v="0"/>
    <n v="0"/>
    <n v="0"/>
    <n v="0"/>
    <n v="0"/>
  </r>
  <r>
    <x v="76"/>
    <x v="20"/>
    <x v="5"/>
    <m/>
    <m/>
    <n v="0"/>
    <m/>
    <m/>
    <n v="0"/>
    <m/>
    <m/>
    <m/>
    <m/>
    <m/>
    <m/>
    <m/>
    <m/>
    <m/>
    <m/>
    <m/>
    <m/>
    <m/>
    <m/>
    <m/>
    <m/>
  </r>
  <r>
    <x v="77"/>
    <x v="20"/>
    <x v="5"/>
    <m/>
    <m/>
    <n v="0"/>
    <m/>
    <m/>
    <n v="0"/>
    <m/>
    <m/>
    <n v="0"/>
    <s v=""/>
    <n v="0"/>
    <n v="0"/>
    <n v="0"/>
    <n v="116.88487613461319"/>
    <n v="2225"/>
    <n v="71535.307499999995"/>
    <n v="0"/>
    <n v="0"/>
    <n v="0"/>
    <n v="0"/>
    <n v="0"/>
    <n v="0"/>
  </r>
  <r>
    <x v="78"/>
    <x v="20"/>
    <x v="5"/>
    <m/>
    <m/>
    <n v="0"/>
    <m/>
    <m/>
    <n v="0"/>
    <m/>
    <m/>
    <n v="0"/>
    <s v=""/>
    <n v="0"/>
    <n v="0"/>
    <n v="0"/>
    <n v="116.88487613461319"/>
    <n v="2225"/>
    <n v="71535.307499999995"/>
    <n v="0"/>
    <n v="0"/>
    <n v="0"/>
    <n v="0"/>
    <n v="0"/>
    <n v="0"/>
  </r>
  <r>
    <x v="79"/>
    <x v="20"/>
    <x v="5"/>
    <m/>
    <m/>
    <n v="0"/>
    <m/>
    <m/>
    <n v="0"/>
    <m/>
    <m/>
    <n v="0"/>
    <s v=""/>
    <n v="0"/>
    <n v="0"/>
    <n v="0"/>
    <n v="116.88487613461319"/>
    <n v="2225"/>
    <n v="71535.307499999995"/>
    <n v="0"/>
    <n v="0"/>
    <n v="0"/>
    <n v="0"/>
    <n v="0"/>
    <n v="0"/>
  </r>
  <r>
    <x v="80"/>
    <x v="20"/>
    <x v="5"/>
    <m/>
    <m/>
    <n v="0"/>
    <m/>
    <m/>
    <n v="0"/>
    <m/>
    <m/>
    <n v="0"/>
    <s v=""/>
    <n v="0"/>
    <n v="0"/>
    <n v="0"/>
    <n v="116.88487613461319"/>
    <n v="2225"/>
    <n v="71535.307499999995"/>
    <n v="0"/>
    <n v="0"/>
    <n v="0"/>
    <n v="0"/>
    <n v="0"/>
    <n v="0"/>
  </r>
  <r>
    <x v="81"/>
    <x v="20"/>
    <x v="5"/>
    <m/>
    <m/>
    <n v="0"/>
    <m/>
    <m/>
    <n v="0"/>
    <m/>
    <m/>
    <n v="0"/>
    <s v=""/>
    <n v="0"/>
    <n v="0"/>
    <n v="0"/>
    <n v="116.88487613461319"/>
    <n v="2225"/>
    <n v="71535.307499999995"/>
    <n v="0"/>
    <n v="0"/>
    <n v="0"/>
    <n v="0"/>
    <n v="0"/>
    <n v="0"/>
  </r>
  <r>
    <x v="82"/>
    <x v="20"/>
    <x v="5"/>
    <m/>
    <m/>
    <n v="0"/>
    <m/>
    <m/>
    <n v="0"/>
    <m/>
    <m/>
    <n v="0"/>
    <s v=""/>
    <n v="0"/>
    <n v="0"/>
    <n v="0"/>
    <n v="116.88487613461319"/>
    <n v="2225"/>
    <n v="71535.307499999995"/>
    <n v="0"/>
    <n v="0"/>
    <n v="0"/>
    <n v="0"/>
    <n v="0"/>
    <n v="0"/>
  </r>
  <r>
    <x v="83"/>
    <x v="20"/>
    <x v="5"/>
    <m/>
    <m/>
    <n v="0"/>
    <m/>
    <m/>
    <n v="0"/>
    <m/>
    <m/>
    <n v="0"/>
    <s v=""/>
    <n v="0"/>
    <n v="0"/>
    <n v="0"/>
    <n v="116.88487613461319"/>
    <n v="2225"/>
    <n v="71535.307499999995"/>
    <n v="0"/>
    <n v="0"/>
    <n v="0"/>
    <n v="0"/>
    <n v="0"/>
    <n v="0"/>
  </r>
  <r>
    <x v="84"/>
    <x v="20"/>
    <x v="5"/>
    <m/>
    <m/>
    <n v="0"/>
    <m/>
    <m/>
    <n v="0"/>
    <m/>
    <m/>
    <n v="0"/>
    <s v=""/>
    <n v="0"/>
    <n v="0"/>
    <n v="0"/>
    <n v="116.88487613461319"/>
    <n v="2225"/>
    <n v="71535.307499999995"/>
    <n v="0"/>
    <n v="0"/>
    <n v="0"/>
    <n v="0"/>
    <n v="0"/>
    <n v="0"/>
  </r>
  <r>
    <x v="85"/>
    <x v="20"/>
    <x v="5"/>
    <m/>
    <m/>
    <n v="0"/>
    <m/>
    <m/>
    <n v="0"/>
    <m/>
    <m/>
    <n v="0"/>
    <s v=""/>
    <n v="0"/>
    <n v="0"/>
    <n v="0"/>
    <n v="116.88487613461319"/>
    <n v="2225"/>
    <n v="71535.307499999995"/>
    <n v="0"/>
    <n v="0"/>
    <n v="0"/>
    <n v="0"/>
    <n v="0"/>
    <n v="0"/>
  </r>
  <r>
    <x v="86"/>
    <x v="20"/>
    <x v="5"/>
    <n v="233"/>
    <n v="3.2"/>
    <n v="0.74560000000000004"/>
    <m/>
    <m/>
    <n v="0"/>
    <m/>
    <m/>
    <n v="0"/>
    <s v=""/>
    <n v="0"/>
    <n v="0"/>
    <n v="0"/>
    <n v="116.88487613461319"/>
    <n v="2225"/>
    <n v="71535.307499999995"/>
    <n v="0"/>
    <n v="0"/>
    <n v="0"/>
    <n v="0"/>
    <n v="0"/>
    <n v="0"/>
  </r>
  <r>
    <x v="87"/>
    <x v="20"/>
    <x v="5"/>
    <m/>
    <m/>
    <n v="0"/>
    <m/>
    <m/>
    <n v="0"/>
    <m/>
    <m/>
    <n v="0"/>
    <s v=""/>
    <n v="0"/>
    <n v="0"/>
    <n v="0"/>
    <n v="116.88487613461319"/>
    <n v="2225"/>
    <n v="71535.307499999995"/>
    <n v="0"/>
    <n v="0"/>
    <n v="0"/>
    <n v="0"/>
    <n v="0"/>
    <n v="0"/>
  </r>
  <r>
    <x v="88"/>
    <x v="20"/>
    <x v="5"/>
    <m/>
    <m/>
    <n v="0"/>
    <m/>
    <m/>
    <n v="0"/>
    <m/>
    <m/>
    <n v="0"/>
    <s v=""/>
    <n v="0"/>
    <n v="0"/>
    <n v="0"/>
    <n v="116.88487613461319"/>
    <n v="2225"/>
    <n v="71535.307499999995"/>
    <n v="0"/>
    <n v="0"/>
    <n v="0"/>
    <n v="0"/>
    <n v="0"/>
    <n v="0"/>
  </r>
  <r>
    <x v="89"/>
    <x v="20"/>
    <x v="5"/>
    <m/>
    <m/>
    <n v="0"/>
    <m/>
    <m/>
    <n v="0"/>
    <m/>
    <m/>
    <n v="0"/>
    <s v=""/>
    <n v="0"/>
    <n v="0"/>
    <n v="0"/>
    <n v="116.88487613461319"/>
    <n v="2225"/>
    <n v="71535.307499999995"/>
    <n v="0"/>
    <n v="0"/>
    <n v="0"/>
    <n v="0"/>
    <n v="0"/>
    <n v="0"/>
  </r>
  <r>
    <x v="90"/>
    <x v="20"/>
    <x v="5"/>
    <n v="974"/>
    <n v="3.49"/>
    <n v="3.3992600000000004"/>
    <m/>
    <m/>
    <n v="0"/>
    <m/>
    <m/>
    <n v="0"/>
    <s v=""/>
    <n v="0"/>
    <n v="0"/>
    <n v="0"/>
    <n v="116.88487613461319"/>
    <n v="2225"/>
    <n v="71535.307499999995"/>
    <n v="0"/>
    <n v="0"/>
    <n v="0"/>
    <n v="0"/>
    <n v="0"/>
    <n v="0"/>
  </r>
  <r>
    <x v="91"/>
    <x v="20"/>
    <x v="5"/>
    <n v="509"/>
    <n v="1.03"/>
    <n v="0.52427000000000001"/>
    <m/>
    <m/>
    <n v="0"/>
    <m/>
    <m/>
    <n v="0"/>
    <s v=""/>
    <n v="0"/>
    <n v="0"/>
    <n v="0"/>
    <n v="116.88487613461319"/>
    <n v="2225"/>
    <n v="71535.307499999995"/>
    <n v="0"/>
    <n v="0"/>
    <n v="0"/>
    <n v="0"/>
    <n v="0"/>
    <n v="0"/>
  </r>
  <r>
    <x v="92"/>
    <x v="20"/>
    <x v="5"/>
    <n v="1947"/>
    <n v="2.4500000000000002"/>
    <n v="4.7701500000000001"/>
    <m/>
    <m/>
    <n v="0"/>
    <m/>
    <m/>
    <n v="0"/>
    <s v=""/>
    <n v="0"/>
    <n v="0"/>
    <n v="0"/>
    <n v="116.88487613461319"/>
    <n v="2225"/>
    <n v="71535.307499999995"/>
    <n v="0"/>
    <n v="0"/>
    <n v="0"/>
    <n v="0"/>
    <n v="0"/>
    <n v="0"/>
  </r>
  <r>
    <x v="93"/>
    <x v="20"/>
    <x v="5"/>
    <m/>
    <m/>
    <n v="0"/>
    <m/>
    <m/>
    <n v="0"/>
    <m/>
    <m/>
    <n v="0"/>
    <s v=""/>
    <n v="0"/>
    <n v="0"/>
    <n v="0"/>
    <n v="116.88487613461319"/>
    <n v="2225"/>
    <n v="71535.307499999995"/>
    <n v="0"/>
    <n v="0"/>
    <n v="0"/>
    <n v="0"/>
    <n v="0"/>
    <n v="0"/>
  </r>
  <r>
    <x v="94"/>
    <x v="20"/>
    <x v="5"/>
    <m/>
    <m/>
    <n v="0"/>
    <m/>
    <m/>
    <n v="0"/>
    <m/>
    <m/>
    <n v="0"/>
    <s v=""/>
    <n v="0"/>
    <n v="0"/>
    <n v="0"/>
    <n v="116.88487613461319"/>
    <n v="2225"/>
    <n v="71535.307499999995"/>
    <n v="0"/>
    <n v="0"/>
    <n v="0"/>
    <n v="0"/>
    <n v="0"/>
    <n v="0"/>
  </r>
  <r>
    <x v="95"/>
    <x v="20"/>
    <x v="5"/>
    <m/>
    <m/>
    <n v="0"/>
    <m/>
    <m/>
    <n v="0"/>
    <m/>
    <m/>
    <n v="0"/>
    <s v=""/>
    <n v="0"/>
    <n v="0"/>
    <n v="0"/>
    <n v="116.88487613461319"/>
    <n v="2225"/>
    <n v="71535.307499999995"/>
    <n v="0"/>
    <n v="0"/>
    <n v="0"/>
    <n v="0"/>
    <n v="0"/>
    <n v="0"/>
  </r>
  <r>
    <x v="96"/>
    <x v="20"/>
    <x v="5"/>
    <m/>
    <m/>
    <n v="0"/>
    <m/>
    <m/>
    <n v="0"/>
    <m/>
    <m/>
    <n v="0"/>
    <s v=""/>
    <n v="0"/>
    <n v="0"/>
    <n v="0"/>
    <n v="116.88487613461319"/>
    <n v="2225"/>
    <n v="71535.307499999995"/>
    <n v="0"/>
    <n v="0"/>
    <n v="0"/>
    <n v="0"/>
    <n v="0"/>
    <n v="0"/>
  </r>
  <r>
    <x v="97"/>
    <x v="20"/>
    <x v="5"/>
    <n v="974"/>
    <n v="1.55"/>
    <n v="1.5097"/>
    <m/>
    <m/>
    <n v="0"/>
    <m/>
    <m/>
    <n v="0"/>
    <s v=""/>
    <n v="0"/>
    <n v="0"/>
    <n v="0"/>
    <n v="116.88487613461319"/>
    <n v="2225"/>
    <n v="71535.307499999995"/>
    <n v="0"/>
    <n v="0"/>
    <n v="0"/>
    <n v="0"/>
    <n v="0"/>
    <n v="0"/>
  </r>
  <r>
    <x v="98"/>
    <x v="20"/>
    <x v="6"/>
    <m/>
    <m/>
    <n v="0"/>
    <m/>
    <m/>
    <n v="0"/>
    <m/>
    <m/>
    <n v="0"/>
    <s v=""/>
    <n v="0"/>
    <n v="0"/>
    <n v="0"/>
    <n v="116.88487613461319"/>
    <n v="2225"/>
    <n v="71535.307499999995"/>
    <n v="0"/>
    <n v="0"/>
    <n v="0"/>
    <n v="0"/>
    <n v="0"/>
    <n v="0"/>
  </r>
  <r>
    <x v="99"/>
    <x v="20"/>
    <x v="6"/>
    <m/>
    <m/>
    <n v="0"/>
    <m/>
    <m/>
    <n v="0"/>
    <m/>
    <m/>
    <n v="0"/>
    <s v=""/>
    <n v="0"/>
    <n v="0"/>
    <n v="0"/>
    <n v="116.88487613461319"/>
    <n v="2225"/>
    <n v="71535.307499999995"/>
    <n v="0"/>
    <n v="0"/>
    <n v="0"/>
    <n v="0"/>
    <n v="0"/>
    <n v="0"/>
  </r>
  <r>
    <x v="100"/>
    <x v="20"/>
    <x v="6"/>
    <m/>
    <m/>
    <n v="0"/>
    <m/>
    <m/>
    <n v="0"/>
    <m/>
    <m/>
    <n v="0"/>
    <s v=""/>
    <n v="0"/>
    <n v="0"/>
    <n v="0"/>
    <n v="116.88487613461319"/>
    <n v="2225"/>
    <n v="71535.307499999995"/>
    <n v="0"/>
    <n v="0"/>
    <n v="0"/>
    <n v="0"/>
    <n v="0"/>
    <n v="0"/>
  </r>
  <r>
    <x v="101"/>
    <x v="20"/>
    <x v="6"/>
    <m/>
    <m/>
    <n v="0"/>
    <m/>
    <m/>
    <n v="0"/>
    <m/>
    <m/>
    <n v="0"/>
    <s v=""/>
    <n v="0"/>
    <n v="0"/>
    <n v="0"/>
    <n v="116.88487613461319"/>
    <n v="2225"/>
    <n v="71535.307499999995"/>
    <n v="0"/>
    <n v="0"/>
    <n v="0"/>
    <n v="0"/>
    <n v="0"/>
    <n v="0"/>
  </r>
  <r>
    <x v="102"/>
    <x v="20"/>
    <x v="6"/>
    <n v="128"/>
    <n v="3.61"/>
    <n v="0.46207999999999999"/>
    <m/>
    <m/>
    <n v="0"/>
    <m/>
    <m/>
    <n v="0"/>
    <s v=""/>
    <n v="0"/>
    <n v="0"/>
    <n v="0"/>
    <n v="116.88487613461319"/>
    <n v="2225"/>
    <n v="71535.307499999995"/>
    <n v="0"/>
    <n v="0"/>
    <n v="0"/>
    <n v="0"/>
    <n v="0"/>
    <n v="0"/>
  </r>
  <r>
    <x v="103"/>
    <x v="20"/>
    <x v="6"/>
    <m/>
    <m/>
    <n v="0"/>
    <m/>
    <m/>
    <n v="0"/>
    <m/>
    <m/>
    <n v="0"/>
    <s v=""/>
    <n v="0"/>
    <n v="0"/>
    <n v="0"/>
    <n v="116.88487613461319"/>
    <n v="2225"/>
    <n v="71535.307499999995"/>
    <n v="0"/>
    <n v="0"/>
    <n v="0"/>
    <n v="0"/>
    <n v="0"/>
    <n v="0"/>
  </r>
  <r>
    <x v="104"/>
    <x v="20"/>
    <x v="6"/>
    <n v="2921"/>
    <n v="2.4300000000000002"/>
    <n v="7.0980300000000005"/>
    <m/>
    <m/>
    <n v="0"/>
    <m/>
    <m/>
    <n v="0"/>
    <s v=""/>
    <n v="0"/>
    <n v="0"/>
    <n v="0"/>
    <n v="116.88487613461319"/>
    <n v="2225"/>
    <n v="71535.307499999995"/>
    <n v="0"/>
    <n v="0"/>
    <n v="0"/>
    <n v="0"/>
    <n v="0"/>
    <n v="0"/>
  </r>
  <r>
    <x v="105"/>
    <x v="20"/>
    <x v="6"/>
    <m/>
    <m/>
    <n v="0"/>
    <m/>
    <m/>
    <n v="0"/>
    <m/>
    <m/>
    <n v="0"/>
    <s v=""/>
    <n v="0"/>
    <n v="0"/>
    <n v="0"/>
    <n v="116.88487613461319"/>
    <n v="2225"/>
    <n v="71535.307499999995"/>
    <n v="0"/>
    <n v="0"/>
    <n v="0"/>
    <n v="0"/>
    <n v="0"/>
    <n v="0"/>
  </r>
  <r>
    <x v="106"/>
    <x v="20"/>
    <x v="6"/>
    <m/>
    <m/>
    <n v="0"/>
    <m/>
    <m/>
    <n v="0"/>
    <m/>
    <m/>
    <n v="0"/>
    <s v=""/>
    <n v="0"/>
    <n v="0"/>
    <n v="0"/>
    <n v="116.88487613461319"/>
    <n v="2225"/>
    <n v="71535.307499999995"/>
    <n v="0"/>
    <n v="0"/>
    <n v="0"/>
    <n v="0"/>
    <n v="0"/>
    <n v="0"/>
  </r>
  <r>
    <x v="107"/>
    <x v="20"/>
    <x v="6"/>
    <m/>
    <m/>
    <n v="0"/>
    <m/>
    <m/>
    <n v="0"/>
    <m/>
    <m/>
    <n v="0"/>
    <s v=""/>
    <n v="0"/>
    <n v="0"/>
    <n v="0"/>
    <n v="116.88487613461319"/>
    <n v="2225"/>
    <n v="71535.307499999995"/>
    <n v="0"/>
    <n v="0"/>
    <n v="0"/>
    <n v="0"/>
    <n v="0"/>
    <n v="0"/>
  </r>
  <r>
    <x v="108"/>
    <x v="20"/>
    <x v="6"/>
    <m/>
    <m/>
    <n v="0"/>
    <m/>
    <m/>
    <n v="0"/>
    <m/>
    <m/>
    <n v="0"/>
    <s v=""/>
    <n v="0"/>
    <n v="0"/>
    <n v="0"/>
    <n v="116.88487613461319"/>
    <n v="2225"/>
    <n v="71535.307499999995"/>
    <n v="0"/>
    <n v="0"/>
    <n v="0"/>
    <n v="0"/>
    <n v="0"/>
    <n v="0"/>
  </r>
  <r>
    <x v="109"/>
    <x v="20"/>
    <x v="6"/>
    <m/>
    <m/>
    <n v="0"/>
    <m/>
    <m/>
    <n v="0"/>
    <m/>
    <m/>
    <n v="0"/>
    <s v=""/>
    <n v="0"/>
    <n v="0"/>
    <n v="0"/>
    <n v="116.88487613461319"/>
    <n v="2225"/>
    <n v="71535.307499999995"/>
    <n v="0"/>
    <n v="0"/>
    <n v="0"/>
    <n v="0"/>
    <n v="0"/>
    <n v="0"/>
  </r>
  <r>
    <x v="110"/>
    <x v="20"/>
    <x v="7"/>
    <m/>
    <m/>
    <n v="0"/>
    <m/>
    <m/>
    <n v="0"/>
    <m/>
    <m/>
    <n v="0"/>
    <s v=""/>
    <n v="0"/>
    <n v="0"/>
    <n v="0"/>
    <n v="116.88487613461319"/>
    <n v="2225"/>
    <n v="71535.307499999995"/>
    <n v="0"/>
    <n v="0"/>
    <n v="0"/>
    <n v="0"/>
    <n v="0"/>
    <n v="0"/>
  </r>
  <r>
    <x v="111"/>
    <x v="20"/>
    <x v="7"/>
    <n v="1947"/>
    <n v="2.64"/>
    <n v="5.1400800000000002"/>
    <m/>
    <m/>
    <n v="0"/>
    <m/>
    <m/>
    <n v="0"/>
    <s v=""/>
    <n v="0"/>
    <n v="0"/>
    <n v="0"/>
    <n v="116.88487613461319"/>
    <n v="2225"/>
    <n v="71535.307499999995"/>
    <n v="0"/>
    <n v="0"/>
    <n v="0"/>
    <n v="0"/>
    <n v="0"/>
    <n v="0"/>
  </r>
  <r>
    <x v="112"/>
    <x v="20"/>
    <x v="7"/>
    <m/>
    <m/>
    <n v="0"/>
    <m/>
    <m/>
    <n v="0"/>
    <m/>
    <m/>
    <n v="0"/>
    <s v=""/>
    <n v="0"/>
    <n v="0"/>
    <n v="0"/>
    <n v="116.88487613461319"/>
    <n v="2225"/>
    <n v="71535.307499999995"/>
    <n v="0"/>
    <n v="0"/>
    <n v="0"/>
    <n v="0"/>
    <n v="0"/>
    <n v="0"/>
  </r>
  <r>
    <x v="113"/>
    <x v="20"/>
    <x v="7"/>
    <m/>
    <m/>
    <n v="0"/>
    <m/>
    <m/>
    <n v="0"/>
    <m/>
    <m/>
    <n v="0"/>
    <s v=""/>
    <n v="0"/>
    <n v="0"/>
    <n v="0"/>
    <n v="116.88487613461319"/>
    <n v="2225"/>
    <n v="71535.307499999995"/>
    <n v="0"/>
    <n v="0"/>
    <n v="0"/>
    <n v="0"/>
    <n v="0"/>
    <n v="0"/>
  </r>
  <r>
    <x v="114"/>
    <x v="20"/>
    <x v="7"/>
    <m/>
    <m/>
    <n v="0"/>
    <m/>
    <m/>
    <n v="0"/>
    <m/>
    <m/>
    <n v="0"/>
    <s v=""/>
    <n v="0"/>
    <n v="0"/>
    <n v="0"/>
    <n v="116.88487613461319"/>
    <n v="2225"/>
    <n v="71535.307499999995"/>
    <n v="0"/>
    <n v="0"/>
    <n v="0"/>
    <n v="0"/>
    <n v="0"/>
    <n v="0"/>
  </r>
  <r>
    <x v="115"/>
    <x v="20"/>
    <x v="7"/>
    <m/>
    <m/>
    <n v="0"/>
    <m/>
    <m/>
    <n v="0"/>
    <m/>
    <m/>
    <n v="0"/>
    <s v=""/>
    <n v="0"/>
    <n v="0"/>
    <n v="0"/>
    <n v="116.88487613461319"/>
    <n v="2225"/>
    <n v="71535.307499999995"/>
    <n v="0"/>
    <n v="0"/>
    <n v="0"/>
    <n v="0"/>
    <n v="0"/>
    <n v="0"/>
  </r>
  <r>
    <x v="116"/>
    <x v="20"/>
    <x v="7"/>
    <m/>
    <m/>
    <n v="0"/>
    <m/>
    <m/>
    <n v="0"/>
    <m/>
    <m/>
    <n v="0"/>
    <s v=""/>
    <n v="0"/>
    <n v="0"/>
    <n v="0"/>
    <n v="116.88487613461319"/>
    <n v="2225"/>
    <n v="71535.307499999995"/>
    <n v="0"/>
    <n v="0"/>
    <n v="0"/>
    <n v="0"/>
    <n v="0"/>
    <n v="0"/>
  </r>
  <r>
    <x v="117"/>
    <x v="20"/>
    <x v="7"/>
    <m/>
    <m/>
    <n v="0"/>
    <m/>
    <m/>
    <n v="0"/>
    <m/>
    <m/>
    <n v="0"/>
    <s v=""/>
    <n v="0"/>
    <n v="0"/>
    <n v="0"/>
    <n v="116.88487613461319"/>
    <n v="2225"/>
    <n v="71535.307499999995"/>
    <n v="0"/>
    <n v="0"/>
    <n v="0"/>
    <n v="0"/>
    <n v="0"/>
    <n v="0"/>
  </r>
  <r>
    <x v="118"/>
    <x v="20"/>
    <x v="7"/>
    <m/>
    <m/>
    <n v="0"/>
    <m/>
    <m/>
    <n v="0"/>
    <m/>
    <m/>
    <n v="0"/>
    <s v=""/>
    <n v="0"/>
    <n v="0"/>
    <n v="0"/>
    <n v="116.88487613461319"/>
    <n v="2225"/>
    <n v="71535.307499999995"/>
    <n v="0"/>
    <n v="0"/>
    <n v="0"/>
    <n v="0"/>
    <n v="0"/>
    <n v="0"/>
  </r>
  <r>
    <x v="119"/>
    <x v="20"/>
    <x v="7"/>
    <m/>
    <m/>
    <n v="0"/>
    <m/>
    <m/>
    <n v="0"/>
    <m/>
    <m/>
    <n v="0"/>
    <s v=""/>
    <n v="0"/>
    <n v="0"/>
    <n v="0"/>
    <n v="116.88487613461319"/>
    <n v="2225"/>
    <n v="71535.307499999995"/>
    <n v="0"/>
    <n v="0"/>
    <n v="0"/>
    <n v="0"/>
    <n v="0"/>
    <n v="0"/>
  </r>
  <r>
    <x v="120"/>
    <x v="20"/>
    <x v="7"/>
    <m/>
    <m/>
    <n v="0"/>
    <m/>
    <m/>
    <n v="0"/>
    <m/>
    <m/>
    <n v="0"/>
    <s v=""/>
    <n v="0"/>
    <n v="0"/>
    <n v="0"/>
    <n v="116.88487613461319"/>
    <n v="2225"/>
    <n v="71535.307499999995"/>
    <n v="0"/>
    <n v="0"/>
    <n v="0"/>
    <n v="0"/>
    <n v="0"/>
    <n v="0"/>
  </r>
  <r>
    <x v="121"/>
    <x v="20"/>
    <x v="7"/>
    <m/>
    <m/>
    <n v="0"/>
    <m/>
    <m/>
    <n v="0"/>
    <m/>
    <m/>
    <n v="0"/>
    <s v=""/>
    <n v="0"/>
    <n v="0"/>
    <n v="0"/>
    <n v="116.88487613461319"/>
    <n v="2225"/>
    <n v="71535.307499999995"/>
    <n v="0"/>
    <n v="0"/>
    <n v="0"/>
    <n v="0"/>
    <n v="0"/>
    <n v="0"/>
  </r>
  <r>
    <x v="122"/>
    <x v="20"/>
    <x v="7"/>
    <m/>
    <m/>
    <n v="0"/>
    <m/>
    <m/>
    <n v="0"/>
    <m/>
    <m/>
    <n v="0"/>
    <s v=""/>
    <n v="0"/>
    <n v="0"/>
    <n v="0"/>
    <n v="116.88487613461319"/>
    <n v="2225"/>
    <n v="71535.307499999995"/>
    <n v="0"/>
    <n v="0"/>
    <n v="0"/>
    <n v="0"/>
    <n v="0"/>
    <n v="0"/>
  </r>
  <r>
    <x v="123"/>
    <x v="20"/>
    <x v="7"/>
    <m/>
    <m/>
    <n v="0"/>
    <m/>
    <m/>
    <n v="0"/>
    <m/>
    <m/>
    <n v="0"/>
    <s v=""/>
    <n v="0"/>
    <n v="0"/>
    <n v="0"/>
    <n v="116.88487613461319"/>
    <n v="2225"/>
    <n v="71535.307499999995"/>
    <n v="0"/>
    <n v="0"/>
    <n v="0"/>
    <n v="0"/>
    <n v="0"/>
    <n v="0"/>
  </r>
  <r>
    <x v="124"/>
    <x v="20"/>
    <x v="7"/>
    <m/>
    <m/>
    <n v="0"/>
    <m/>
    <m/>
    <n v="0"/>
    <m/>
    <m/>
    <n v="0"/>
    <s v=""/>
    <n v="0"/>
    <n v="0"/>
    <n v="0"/>
    <n v="116.88487613461319"/>
    <n v="2225"/>
    <n v="71535.307499999995"/>
    <n v="0"/>
    <n v="0"/>
    <n v="0"/>
    <n v="0"/>
    <n v="0"/>
    <n v="0"/>
  </r>
  <r>
    <x v="125"/>
    <x v="20"/>
    <x v="7"/>
    <m/>
    <m/>
    <n v="0"/>
    <m/>
    <m/>
    <n v="0"/>
    <m/>
    <m/>
    <n v="0"/>
    <s v=""/>
    <n v="0"/>
    <n v="0"/>
    <n v="0"/>
    <n v="116.88487613461319"/>
    <n v="2225"/>
    <n v="71535.307499999995"/>
    <n v="0"/>
    <n v="0"/>
    <n v="0"/>
    <n v="0"/>
    <n v="0"/>
    <n v="0"/>
  </r>
  <r>
    <x v="126"/>
    <x v="20"/>
    <x v="7"/>
    <m/>
    <m/>
    <n v="0"/>
    <m/>
    <m/>
    <n v="0"/>
    <m/>
    <m/>
    <n v="0"/>
    <s v=""/>
    <n v="0"/>
    <n v="0"/>
    <n v="0"/>
    <n v="116.88487613461319"/>
    <n v="2225"/>
    <n v="71535.307499999995"/>
    <n v="0"/>
    <n v="0"/>
    <n v="0"/>
    <n v="0"/>
    <n v="0"/>
    <n v="0"/>
  </r>
  <r>
    <x v="127"/>
    <x v="20"/>
    <x v="7"/>
    <m/>
    <m/>
    <n v="0"/>
    <m/>
    <m/>
    <n v="0"/>
    <m/>
    <m/>
    <n v="0"/>
    <s v=""/>
    <n v="0"/>
    <n v="0"/>
    <n v="0"/>
    <n v="116.88487613461319"/>
    <n v="2225"/>
    <n v="71535.307499999995"/>
    <n v="0"/>
    <n v="0"/>
    <n v="0"/>
    <n v="0"/>
    <n v="0"/>
    <n v="0"/>
  </r>
  <r>
    <x v="0"/>
    <x v="21"/>
    <x v="0"/>
    <m/>
    <m/>
    <n v="0"/>
    <m/>
    <m/>
    <n v="0"/>
    <m/>
    <m/>
    <n v="0"/>
    <s v=""/>
    <n v="0"/>
    <n v="0"/>
    <n v="0"/>
    <n v="116.88487613461319"/>
    <n v="2225"/>
    <n v="71535.307499999995"/>
    <n v="0"/>
    <n v="0"/>
    <n v="0"/>
    <n v="0"/>
    <n v="0"/>
    <n v="0"/>
  </r>
  <r>
    <x v="1"/>
    <x v="21"/>
    <x v="0"/>
    <m/>
    <m/>
    <n v="0"/>
    <m/>
    <m/>
    <n v="0"/>
    <m/>
    <m/>
    <n v="0"/>
    <s v=""/>
    <n v="0"/>
    <n v="0"/>
    <n v="0"/>
    <n v="116.88487613461319"/>
    <n v="2225"/>
    <n v="71535.307499999995"/>
    <n v="0"/>
    <n v="0"/>
    <n v="0"/>
    <n v="0"/>
    <n v="0"/>
    <n v="0"/>
  </r>
  <r>
    <x v="2"/>
    <x v="21"/>
    <x v="0"/>
    <m/>
    <m/>
    <n v="0"/>
    <m/>
    <m/>
    <n v="0"/>
    <m/>
    <m/>
    <n v="0"/>
    <s v=""/>
    <n v="0"/>
    <n v="0"/>
    <n v="0"/>
    <n v="116.88487613461319"/>
    <n v="2225"/>
    <n v="71535.307499999995"/>
    <n v="0"/>
    <n v="0"/>
    <n v="0"/>
    <n v="0"/>
    <n v="0"/>
    <n v="0"/>
  </r>
  <r>
    <x v="3"/>
    <x v="21"/>
    <x v="0"/>
    <m/>
    <m/>
    <n v="0"/>
    <m/>
    <m/>
    <n v="0"/>
    <m/>
    <m/>
    <n v="0"/>
    <s v=""/>
    <n v="0"/>
    <n v="0"/>
    <n v="0"/>
    <n v="116.88487613461319"/>
    <n v="2225"/>
    <n v="71535.307499999995"/>
    <n v="0"/>
    <n v="0"/>
    <n v="0"/>
    <n v="0"/>
    <n v="0"/>
    <n v="0"/>
  </r>
  <r>
    <x v="4"/>
    <x v="21"/>
    <x v="1"/>
    <m/>
    <m/>
    <n v="0"/>
    <m/>
    <m/>
    <n v="0"/>
    <m/>
    <m/>
    <n v="0"/>
    <s v=""/>
    <n v="0"/>
    <n v="0"/>
    <n v="0"/>
    <n v="116.88487613461319"/>
    <n v="2225"/>
    <n v="71535.307499999995"/>
    <n v="0"/>
    <n v="0"/>
    <n v="0"/>
    <n v="0"/>
    <n v="0"/>
    <n v="0"/>
  </r>
  <r>
    <x v="5"/>
    <x v="21"/>
    <x v="1"/>
    <m/>
    <m/>
    <n v="0"/>
    <m/>
    <m/>
    <n v="0"/>
    <m/>
    <m/>
    <n v="0"/>
    <s v=""/>
    <n v="0"/>
    <n v="0"/>
    <n v="0"/>
    <n v="116.88487613461319"/>
    <n v="2225"/>
    <n v="71535.307499999995"/>
    <n v="0"/>
    <n v="0"/>
    <n v="0"/>
    <n v="0"/>
    <n v="0"/>
    <n v="0"/>
  </r>
  <r>
    <x v="6"/>
    <x v="21"/>
    <x v="1"/>
    <m/>
    <m/>
    <n v="0"/>
    <m/>
    <m/>
    <n v="0"/>
    <m/>
    <m/>
    <n v="0"/>
    <s v=""/>
    <n v="0"/>
    <n v="0"/>
    <n v="0"/>
    <n v="116.88487613461319"/>
    <n v="2225"/>
    <n v="71535.307499999995"/>
    <n v="0"/>
    <n v="0"/>
    <n v="0"/>
    <n v="0"/>
    <n v="0"/>
    <n v="0"/>
  </r>
  <r>
    <x v="7"/>
    <x v="21"/>
    <x v="2"/>
    <m/>
    <m/>
    <n v="0"/>
    <m/>
    <m/>
    <n v="0"/>
    <m/>
    <m/>
    <n v="0"/>
    <s v=""/>
    <n v="0"/>
    <n v="0"/>
    <n v="0"/>
    <n v="116.88487613461319"/>
    <n v="2225"/>
    <n v="71535.307499999995"/>
    <n v="0"/>
    <n v="0"/>
    <n v="0"/>
    <n v="0"/>
    <n v="0"/>
    <n v="0"/>
  </r>
  <r>
    <x v="8"/>
    <x v="21"/>
    <x v="2"/>
    <m/>
    <m/>
    <n v="0"/>
    <m/>
    <m/>
    <n v="0"/>
    <m/>
    <m/>
    <n v="0"/>
    <s v=""/>
    <n v="0"/>
    <n v="0"/>
    <n v="0"/>
    <n v="116.88487613461319"/>
    <n v="2225"/>
    <n v="71535.307499999995"/>
    <n v="0"/>
    <n v="0"/>
    <n v="0"/>
    <n v="0"/>
    <n v="0"/>
    <n v="0"/>
  </r>
  <r>
    <x v="9"/>
    <x v="21"/>
    <x v="2"/>
    <m/>
    <m/>
    <n v="0"/>
    <m/>
    <m/>
    <n v="0"/>
    <m/>
    <m/>
    <n v="0"/>
    <s v=""/>
    <n v="0"/>
    <n v="0"/>
    <n v="0"/>
    <n v="116.88487613461319"/>
    <n v="2225"/>
    <n v="71535.307499999995"/>
    <n v="0"/>
    <n v="0"/>
    <n v="0"/>
    <n v="0"/>
    <n v="0"/>
    <n v="0"/>
  </r>
  <r>
    <x v="10"/>
    <x v="21"/>
    <x v="2"/>
    <m/>
    <m/>
    <n v="0"/>
    <m/>
    <m/>
    <n v="0"/>
    <m/>
    <m/>
    <n v="0"/>
    <s v=""/>
    <n v="0"/>
    <n v="0"/>
    <n v="0"/>
    <n v="116.88487613461319"/>
    <n v="2225"/>
    <n v="71535.307499999995"/>
    <n v="0"/>
    <n v="0"/>
    <n v="0"/>
    <n v="0"/>
    <n v="0"/>
    <n v="0"/>
  </r>
  <r>
    <x v="11"/>
    <x v="21"/>
    <x v="2"/>
    <m/>
    <m/>
    <n v="0"/>
    <m/>
    <m/>
    <n v="0"/>
    <m/>
    <m/>
    <n v="0"/>
    <s v=""/>
    <n v="0"/>
    <n v="0"/>
    <n v="0"/>
    <n v="116.88487613461319"/>
    <n v="2225"/>
    <n v="71535.307499999995"/>
    <n v="0"/>
    <n v="0"/>
    <n v="0"/>
    <n v="0"/>
    <n v="0"/>
    <n v="0"/>
  </r>
  <r>
    <x v="12"/>
    <x v="21"/>
    <x v="2"/>
    <m/>
    <m/>
    <n v="0"/>
    <m/>
    <m/>
    <n v="0"/>
    <m/>
    <m/>
    <n v="0"/>
    <s v=""/>
    <n v="0"/>
    <n v="0"/>
    <n v="0"/>
    <n v="116.88487613461319"/>
    <n v="2225"/>
    <n v="71535.307499999995"/>
    <n v="0"/>
    <n v="0"/>
    <n v="0"/>
    <n v="0"/>
    <n v="0"/>
    <n v="0"/>
  </r>
  <r>
    <x v="13"/>
    <x v="21"/>
    <x v="2"/>
    <n v="1053"/>
    <n v="1.58"/>
    <n v="1.66374"/>
    <m/>
    <m/>
    <n v="0"/>
    <m/>
    <m/>
    <n v="0"/>
    <s v=""/>
    <n v="0"/>
    <n v="0"/>
    <n v="0"/>
    <n v="116.88487613461319"/>
    <n v="2225"/>
    <n v="71535.307499999995"/>
    <n v="0"/>
    <n v="0"/>
    <n v="0"/>
    <n v="0"/>
    <n v="0"/>
    <n v="0"/>
  </r>
  <r>
    <x v="14"/>
    <x v="21"/>
    <x v="2"/>
    <n v="1798"/>
    <n v="2.2000000000000002"/>
    <n v="3.9556000000000004"/>
    <m/>
    <m/>
    <n v="0"/>
    <m/>
    <m/>
    <n v="0"/>
    <s v=""/>
    <n v="0"/>
    <n v="0"/>
    <n v="0"/>
    <n v="116.88487613461319"/>
    <n v="2225"/>
    <n v="71535.307499999995"/>
    <n v="0"/>
    <n v="0"/>
    <n v="0"/>
    <n v="0"/>
    <n v="0"/>
    <n v="0"/>
  </r>
  <r>
    <x v="15"/>
    <x v="21"/>
    <x v="2"/>
    <n v="1346"/>
    <n v="2.5299999999999998"/>
    <n v="3.4053799999999996"/>
    <m/>
    <m/>
    <n v="0"/>
    <m/>
    <m/>
    <n v="0"/>
    <s v=""/>
    <n v="0"/>
    <n v="0"/>
    <n v="0"/>
    <n v="116.88487613461319"/>
    <n v="2225"/>
    <n v="71535.307499999995"/>
    <n v="0"/>
    <n v="0"/>
    <n v="0"/>
    <n v="0"/>
    <n v="0"/>
    <n v="0"/>
  </r>
  <r>
    <x v="16"/>
    <x v="21"/>
    <x v="2"/>
    <m/>
    <m/>
    <n v="0"/>
    <m/>
    <m/>
    <n v="0"/>
    <m/>
    <m/>
    <n v="0"/>
    <s v=""/>
    <n v="0"/>
    <n v="0"/>
    <n v="0"/>
    <n v="116.88487613461319"/>
    <n v="2225"/>
    <n v="71535.307499999995"/>
    <n v="0"/>
    <n v="0"/>
    <n v="0"/>
    <n v="0"/>
    <n v="0"/>
    <n v="0"/>
  </r>
  <r>
    <x v="17"/>
    <x v="21"/>
    <x v="3"/>
    <m/>
    <m/>
    <n v="0"/>
    <m/>
    <m/>
    <n v="0"/>
    <m/>
    <m/>
    <n v="0"/>
    <s v=""/>
    <n v="0"/>
    <n v="0"/>
    <n v="0"/>
    <n v="116.88487613461319"/>
    <n v="2225"/>
    <n v="71535.307499999995"/>
    <n v="0"/>
    <n v="0"/>
    <n v="0"/>
    <n v="0"/>
    <n v="0"/>
    <n v="0"/>
  </r>
  <r>
    <x v="18"/>
    <x v="21"/>
    <x v="3"/>
    <m/>
    <m/>
    <n v="0"/>
    <m/>
    <m/>
    <n v="0"/>
    <m/>
    <m/>
    <n v="0"/>
    <s v=""/>
    <n v="0"/>
    <n v="0"/>
    <n v="0"/>
    <n v="116.88487613461319"/>
    <n v="2225"/>
    <n v="71535.307499999995"/>
    <n v="0"/>
    <n v="0"/>
    <n v="0"/>
    <n v="0"/>
    <n v="0"/>
    <n v="0"/>
  </r>
  <r>
    <x v="19"/>
    <x v="21"/>
    <x v="3"/>
    <m/>
    <m/>
    <n v="0"/>
    <m/>
    <m/>
    <n v="0"/>
    <m/>
    <m/>
    <n v="0"/>
    <s v=""/>
    <n v="0"/>
    <n v="0"/>
    <n v="0"/>
    <n v="116.88487613461319"/>
    <n v="2225"/>
    <n v="71535.307499999995"/>
    <n v="0"/>
    <n v="0"/>
    <n v="0"/>
    <n v="0"/>
    <n v="0"/>
    <n v="0"/>
  </r>
  <r>
    <x v="20"/>
    <x v="21"/>
    <x v="3"/>
    <m/>
    <m/>
    <n v="0"/>
    <m/>
    <m/>
    <n v="0"/>
    <m/>
    <m/>
    <n v="0"/>
    <s v=""/>
    <n v="0"/>
    <n v="0"/>
    <n v="0"/>
    <n v="116.88487613461319"/>
    <n v="2225"/>
    <n v="71535.307499999995"/>
    <n v="0"/>
    <n v="0"/>
    <n v="0"/>
    <n v="0"/>
    <n v="0"/>
    <n v="0"/>
  </r>
  <r>
    <x v="21"/>
    <x v="21"/>
    <x v="3"/>
    <m/>
    <m/>
    <n v="0"/>
    <m/>
    <m/>
    <n v="0"/>
    <m/>
    <m/>
    <n v="0"/>
    <s v=""/>
    <n v="0"/>
    <n v="0"/>
    <n v="0"/>
    <n v="116.88487613461319"/>
    <n v="2225"/>
    <n v="71535.307499999995"/>
    <n v="0"/>
    <n v="0"/>
    <n v="0"/>
    <n v="0"/>
    <n v="0"/>
    <n v="0"/>
  </r>
  <r>
    <x v="22"/>
    <x v="21"/>
    <x v="3"/>
    <m/>
    <m/>
    <n v="0"/>
    <m/>
    <m/>
    <n v="0"/>
    <m/>
    <m/>
    <n v="0"/>
    <s v=""/>
    <n v="0"/>
    <n v="0"/>
    <n v="0"/>
    <n v="116.88487613461319"/>
    <n v="2225"/>
    <n v="71535.307499999995"/>
    <n v="0"/>
    <n v="0"/>
    <n v="0"/>
    <n v="0"/>
    <n v="0"/>
    <n v="0"/>
  </r>
  <r>
    <x v="23"/>
    <x v="21"/>
    <x v="3"/>
    <m/>
    <m/>
    <n v="0"/>
    <m/>
    <m/>
    <n v="0"/>
    <m/>
    <m/>
    <n v="0"/>
    <s v=""/>
    <n v="0"/>
    <n v="0"/>
    <n v="0"/>
    <n v="116.88487613461319"/>
    <n v="2225"/>
    <n v="71535.307499999995"/>
    <n v="0"/>
    <n v="0"/>
    <n v="0"/>
    <n v="0"/>
    <n v="0"/>
    <n v="0"/>
  </r>
  <r>
    <x v="24"/>
    <x v="21"/>
    <x v="3"/>
    <m/>
    <m/>
    <n v="0"/>
    <m/>
    <m/>
    <n v="0"/>
    <m/>
    <m/>
    <n v="0"/>
    <s v=""/>
    <n v="0"/>
    <n v="0"/>
    <n v="0"/>
    <n v="116.88487613461319"/>
    <n v="2225"/>
    <n v="71535.307499999995"/>
    <n v="0"/>
    <n v="0"/>
    <n v="0"/>
    <n v="0"/>
    <n v="0"/>
    <n v="0"/>
  </r>
  <r>
    <x v="25"/>
    <x v="21"/>
    <x v="3"/>
    <m/>
    <m/>
    <n v="0"/>
    <m/>
    <m/>
    <n v="0"/>
    <m/>
    <m/>
    <n v="0"/>
    <s v=""/>
    <n v="0"/>
    <n v="0"/>
    <n v="0"/>
    <n v="116.88487613461319"/>
    <n v="2225"/>
    <n v="71535.307499999995"/>
    <n v="0"/>
    <n v="0"/>
    <n v="0"/>
    <n v="0"/>
    <n v="0"/>
    <n v="0"/>
  </r>
  <r>
    <x v="26"/>
    <x v="21"/>
    <x v="3"/>
    <m/>
    <m/>
    <n v="0"/>
    <m/>
    <m/>
    <n v="0"/>
    <m/>
    <m/>
    <n v="0"/>
    <s v=""/>
    <n v="0"/>
    <n v="0"/>
    <n v="0"/>
    <n v="116.88487613461319"/>
    <n v="2225"/>
    <n v="71535.307499999995"/>
    <n v="0"/>
    <n v="0"/>
    <n v="0"/>
    <n v="0"/>
    <n v="0"/>
    <n v="0"/>
  </r>
  <r>
    <x v="27"/>
    <x v="21"/>
    <x v="3"/>
    <m/>
    <m/>
    <n v="0"/>
    <m/>
    <m/>
    <n v="0"/>
    <m/>
    <m/>
    <n v="0"/>
    <s v=""/>
    <n v="0"/>
    <n v="0"/>
    <n v="0"/>
    <n v="116.88487613461319"/>
    <n v="2225"/>
    <n v="71535.307499999995"/>
    <n v="0"/>
    <n v="0"/>
    <n v="0"/>
    <n v="0"/>
    <n v="0"/>
    <n v="0"/>
  </r>
  <r>
    <x v="28"/>
    <x v="21"/>
    <x v="3"/>
    <m/>
    <m/>
    <n v="0"/>
    <m/>
    <m/>
    <n v="0"/>
    <m/>
    <m/>
    <n v="0"/>
    <s v=""/>
    <n v="0"/>
    <n v="0"/>
    <n v="0"/>
    <n v="116.88487613461319"/>
    <n v="2225"/>
    <n v="71535.307499999995"/>
    <n v="0"/>
    <n v="0"/>
    <n v="0"/>
    <n v="0"/>
    <n v="0"/>
    <n v="0"/>
  </r>
  <r>
    <x v="29"/>
    <x v="21"/>
    <x v="3"/>
    <m/>
    <m/>
    <n v="0"/>
    <m/>
    <m/>
    <n v="0"/>
    <m/>
    <m/>
    <n v="0"/>
    <s v=""/>
    <n v="0"/>
    <n v="0"/>
    <n v="0"/>
    <n v="116.88487613461319"/>
    <n v="2225"/>
    <n v="71535.307499999995"/>
    <n v="0"/>
    <n v="0"/>
    <n v="0"/>
    <n v="0"/>
    <n v="0"/>
    <n v="0"/>
  </r>
  <r>
    <x v="30"/>
    <x v="21"/>
    <x v="3"/>
    <m/>
    <m/>
    <n v="0"/>
    <m/>
    <m/>
    <n v="0"/>
    <m/>
    <m/>
    <n v="0"/>
    <s v=""/>
    <n v="0"/>
    <n v="0"/>
    <n v="0"/>
    <n v="116.88487613461319"/>
    <n v="2225"/>
    <n v="71535.307499999995"/>
    <n v="0"/>
    <n v="0"/>
    <n v="0"/>
    <n v="0"/>
    <n v="0"/>
    <n v="0"/>
  </r>
  <r>
    <x v="31"/>
    <x v="21"/>
    <x v="3"/>
    <m/>
    <m/>
    <n v="0"/>
    <m/>
    <m/>
    <n v="0"/>
    <m/>
    <m/>
    <n v="0"/>
    <s v=""/>
    <n v="0"/>
    <n v="0"/>
    <n v="0"/>
    <n v="116.88487613461319"/>
    <n v="2225"/>
    <n v="71535.307499999995"/>
    <n v="0"/>
    <n v="0"/>
    <n v="0"/>
    <n v="0"/>
    <n v="0"/>
    <n v="0"/>
  </r>
  <r>
    <x v="32"/>
    <x v="21"/>
    <x v="3"/>
    <m/>
    <m/>
    <n v="0"/>
    <m/>
    <m/>
    <n v="0"/>
    <m/>
    <m/>
    <n v="0"/>
    <s v=""/>
    <n v="0"/>
    <n v="0"/>
    <n v="0"/>
    <n v="116.88487613461319"/>
    <n v="2225"/>
    <n v="71535.307499999995"/>
    <n v="0"/>
    <n v="0"/>
    <n v="0"/>
    <n v="0"/>
    <n v="0"/>
    <n v="0"/>
  </r>
  <r>
    <x v="33"/>
    <x v="21"/>
    <x v="3"/>
    <m/>
    <m/>
    <n v="0"/>
    <m/>
    <m/>
    <n v="0"/>
    <m/>
    <m/>
    <n v="0"/>
    <s v=""/>
    <n v="0"/>
    <n v="0"/>
    <n v="0"/>
    <n v="116.88487613461319"/>
    <n v="2225"/>
    <n v="71535.307499999995"/>
    <n v="0"/>
    <n v="0"/>
    <n v="0"/>
    <n v="0"/>
    <n v="0"/>
    <n v="0"/>
  </r>
  <r>
    <x v="34"/>
    <x v="21"/>
    <x v="3"/>
    <m/>
    <m/>
    <n v="0"/>
    <m/>
    <m/>
    <n v="0"/>
    <m/>
    <m/>
    <n v="0"/>
    <s v=""/>
    <n v="0"/>
    <n v="0"/>
    <n v="0"/>
    <n v="116.88487613461319"/>
    <n v="2225"/>
    <n v="71535.307499999995"/>
    <n v="0"/>
    <n v="0"/>
    <n v="0"/>
    <n v="0"/>
    <n v="0"/>
    <n v="0"/>
  </r>
  <r>
    <x v="35"/>
    <x v="21"/>
    <x v="3"/>
    <m/>
    <m/>
    <n v="0"/>
    <m/>
    <m/>
    <n v="0"/>
    <m/>
    <m/>
    <n v="0"/>
    <s v=""/>
    <n v="0"/>
    <n v="0"/>
    <n v="0"/>
    <n v="116.88487613461319"/>
    <n v="2225"/>
    <n v="71535.307499999995"/>
    <n v="0"/>
    <n v="0"/>
    <n v="0"/>
    <n v="0"/>
    <n v="0"/>
    <n v="0"/>
  </r>
  <r>
    <x v="36"/>
    <x v="21"/>
    <x v="3"/>
    <m/>
    <m/>
    <n v="0"/>
    <m/>
    <m/>
    <n v="0"/>
    <m/>
    <m/>
    <n v="0"/>
    <s v=""/>
    <n v="0"/>
    <n v="0"/>
    <n v="0"/>
    <n v="116.88487613461319"/>
    <n v="2225"/>
    <n v="71535.307499999995"/>
    <n v="0"/>
    <n v="0"/>
    <n v="0"/>
    <n v="0"/>
    <n v="0"/>
    <n v="0"/>
  </r>
  <r>
    <x v="37"/>
    <x v="21"/>
    <x v="3"/>
    <m/>
    <m/>
    <n v="0"/>
    <m/>
    <m/>
    <n v="0"/>
    <m/>
    <m/>
    <n v="0"/>
    <s v=""/>
    <n v="0"/>
    <n v="0"/>
    <n v="0"/>
    <n v="116.88487613461319"/>
    <n v="2225"/>
    <n v="71535.307499999995"/>
    <n v="0"/>
    <n v="0"/>
    <n v="0"/>
    <n v="0"/>
    <n v="0"/>
    <n v="0"/>
  </r>
  <r>
    <x v="38"/>
    <x v="21"/>
    <x v="3"/>
    <m/>
    <m/>
    <n v="0"/>
    <m/>
    <m/>
    <n v="0"/>
    <m/>
    <m/>
    <n v="0"/>
    <s v=""/>
    <n v="0"/>
    <n v="0"/>
    <n v="0"/>
    <n v="116.88487613461319"/>
    <n v="2225"/>
    <n v="71535.307499999995"/>
    <n v="0"/>
    <n v="0"/>
    <n v="0"/>
    <n v="0"/>
    <n v="0"/>
    <n v="0"/>
  </r>
  <r>
    <x v="39"/>
    <x v="21"/>
    <x v="3"/>
    <m/>
    <m/>
    <n v="0"/>
    <m/>
    <m/>
    <n v="0"/>
    <m/>
    <m/>
    <n v="0"/>
    <s v=""/>
    <n v="0"/>
    <n v="0"/>
    <n v="0"/>
    <n v="116.88487613461319"/>
    <n v="2225"/>
    <n v="71535.307499999995"/>
    <n v="0"/>
    <n v="0"/>
    <n v="0"/>
    <n v="0"/>
    <n v="0"/>
    <n v="0"/>
  </r>
  <r>
    <x v="40"/>
    <x v="21"/>
    <x v="3"/>
    <m/>
    <m/>
    <n v="0"/>
    <m/>
    <m/>
    <n v="0"/>
    <m/>
    <m/>
    <n v="0"/>
    <s v=""/>
    <n v="0"/>
    <n v="0"/>
    <n v="0"/>
    <n v="116.88487613461319"/>
    <n v="2225"/>
    <n v="71535.307499999995"/>
    <n v="0"/>
    <n v="0"/>
    <n v="0"/>
    <n v="0"/>
    <n v="0"/>
    <n v="0"/>
  </r>
  <r>
    <x v="41"/>
    <x v="21"/>
    <x v="3"/>
    <m/>
    <m/>
    <n v="0"/>
    <m/>
    <m/>
    <n v="0"/>
    <m/>
    <m/>
    <n v="0"/>
    <s v=""/>
    <n v="0"/>
    <n v="0"/>
    <n v="0"/>
    <n v="116.88487613461319"/>
    <n v="2225"/>
    <n v="71535.307499999995"/>
    <n v="0"/>
    <n v="0"/>
    <n v="0"/>
    <n v="0"/>
    <n v="0"/>
    <n v="0"/>
  </r>
  <r>
    <x v="42"/>
    <x v="21"/>
    <x v="3"/>
    <m/>
    <m/>
    <n v="0"/>
    <m/>
    <m/>
    <n v="0"/>
    <m/>
    <m/>
    <n v="0"/>
    <s v=""/>
    <n v="0"/>
    <n v="0"/>
    <n v="0"/>
    <n v="116.88487613461319"/>
    <n v="2225"/>
    <n v="71535.307499999995"/>
    <n v="0"/>
    <n v="0"/>
    <n v="0"/>
    <n v="0"/>
    <n v="0"/>
    <n v="0"/>
  </r>
  <r>
    <x v="43"/>
    <x v="21"/>
    <x v="3"/>
    <m/>
    <m/>
    <n v="0"/>
    <m/>
    <m/>
    <n v="0"/>
    <m/>
    <m/>
    <n v="0"/>
    <s v=""/>
    <n v="0"/>
    <n v="0"/>
    <n v="0"/>
    <n v="116.88487613461319"/>
    <n v="2225"/>
    <n v="71535.307499999995"/>
    <n v="0"/>
    <n v="0"/>
    <n v="0"/>
    <n v="0"/>
    <n v="0"/>
    <n v="0"/>
  </r>
  <r>
    <x v="44"/>
    <x v="21"/>
    <x v="3"/>
    <m/>
    <m/>
    <n v="0"/>
    <m/>
    <m/>
    <n v="0"/>
    <m/>
    <m/>
    <n v="0"/>
    <s v=""/>
    <n v="0"/>
    <n v="0"/>
    <n v="0"/>
    <n v="116.88487613461319"/>
    <n v="2225"/>
    <n v="71535.307499999995"/>
    <n v="0"/>
    <n v="0"/>
    <n v="0"/>
    <n v="0"/>
    <n v="0"/>
    <n v="0"/>
  </r>
  <r>
    <x v="45"/>
    <x v="21"/>
    <x v="3"/>
    <m/>
    <m/>
    <n v="0"/>
    <m/>
    <m/>
    <n v="0"/>
    <m/>
    <m/>
    <n v="0"/>
    <s v=""/>
    <n v="0"/>
    <n v="0"/>
    <n v="0"/>
    <n v="116.88487613461319"/>
    <n v="2225"/>
    <n v="71535.307499999995"/>
    <n v="0"/>
    <n v="0"/>
    <n v="0"/>
    <n v="0"/>
    <n v="0"/>
    <n v="0"/>
  </r>
  <r>
    <x v="46"/>
    <x v="21"/>
    <x v="3"/>
    <m/>
    <m/>
    <m/>
    <m/>
    <m/>
    <m/>
    <m/>
    <m/>
    <m/>
    <m/>
    <m/>
    <m/>
    <m/>
    <m/>
    <m/>
    <m/>
    <m/>
    <m/>
    <m/>
    <m/>
    <m/>
    <m/>
  </r>
  <r>
    <x v="47"/>
    <x v="21"/>
    <x v="3"/>
    <m/>
    <m/>
    <n v="0"/>
    <m/>
    <m/>
    <n v="0"/>
    <m/>
    <m/>
    <m/>
    <m/>
    <m/>
    <m/>
    <m/>
    <m/>
    <m/>
    <m/>
    <m/>
    <m/>
    <m/>
    <m/>
    <m/>
    <m/>
  </r>
  <r>
    <x v="48"/>
    <x v="21"/>
    <x v="3"/>
    <m/>
    <m/>
    <n v="0"/>
    <m/>
    <m/>
    <n v="0"/>
    <m/>
    <m/>
    <m/>
    <m/>
    <m/>
    <m/>
    <m/>
    <m/>
    <m/>
    <m/>
    <m/>
    <m/>
    <m/>
    <m/>
    <m/>
    <m/>
  </r>
  <r>
    <x v="49"/>
    <x v="21"/>
    <x v="3"/>
    <m/>
    <m/>
    <n v="0"/>
    <m/>
    <m/>
    <n v="0"/>
    <m/>
    <m/>
    <n v="0"/>
    <s v=""/>
    <n v="0"/>
    <n v="0"/>
    <n v="0"/>
    <n v="116.88487613461319"/>
    <n v="2225"/>
    <n v="71535.307499999995"/>
    <n v="0"/>
    <n v="0"/>
    <n v="0"/>
    <n v="0"/>
    <n v="0"/>
    <n v="0"/>
  </r>
  <r>
    <x v="50"/>
    <x v="21"/>
    <x v="4"/>
    <m/>
    <m/>
    <n v="0"/>
    <m/>
    <m/>
    <n v="0"/>
    <m/>
    <m/>
    <n v="0"/>
    <s v=""/>
    <n v="0"/>
    <n v="0"/>
    <n v="0"/>
    <n v="116.88487613461319"/>
    <n v="2225"/>
    <n v="71535.307499999995"/>
    <n v="0"/>
    <n v="0"/>
    <n v="0"/>
    <n v="0"/>
    <n v="0"/>
    <n v="0"/>
  </r>
  <r>
    <x v="51"/>
    <x v="21"/>
    <x v="4"/>
    <m/>
    <m/>
    <n v="0"/>
    <m/>
    <m/>
    <n v="0"/>
    <m/>
    <m/>
    <n v="0"/>
    <s v=""/>
    <n v="0"/>
    <n v="0"/>
    <n v="0"/>
    <n v="116.88487613461319"/>
    <n v="2225"/>
    <n v="71535.307499999995"/>
    <n v="0"/>
    <n v="0"/>
    <n v="0"/>
    <n v="0"/>
    <n v="0"/>
    <n v="0"/>
  </r>
  <r>
    <x v="52"/>
    <x v="21"/>
    <x v="4"/>
    <m/>
    <m/>
    <n v="0"/>
    <m/>
    <m/>
    <n v="0"/>
    <m/>
    <m/>
    <n v="0"/>
    <s v=""/>
    <n v="0"/>
    <n v="0"/>
    <n v="0"/>
    <n v="116.88487613461319"/>
    <n v="2225"/>
    <n v="71535.307499999995"/>
    <n v="0"/>
    <n v="0"/>
    <n v="0"/>
    <n v="0"/>
    <n v="0"/>
    <n v="0"/>
  </r>
  <r>
    <x v="53"/>
    <x v="21"/>
    <x v="4"/>
    <m/>
    <m/>
    <n v="0"/>
    <m/>
    <m/>
    <n v="0"/>
    <m/>
    <m/>
    <n v="0"/>
    <s v=""/>
    <n v="0"/>
    <n v="0"/>
    <n v="0"/>
    <n v="116.88487613461319"/>
    <n v="2225"/>
    <n v="71535.307499999995"/>
    <n v="0"/>
    <n v="0"/>
    <n v="0"/>
    <n v="0"/>
    <n v="0"/>
    <n v="0"/>
  </r>
  <r>
    <x v="54"/>
    <x v="21"/>
    <x v="4"/>
    <m/>
    <m/>
    <n v="0"/>
    <m/>
    <m/>
    <n v="0"/>
    <m/>
    <m/>
    <n v="0"/>
    <s v=""/>
    <n v="0"/>
    <n v="0"/>
    <n v="0"/>
    <n v="116.88487613461319"/>
    <n v="2225"/>
    <n v="71535.307499999995"/>
    <n v="0"/>
    <n v="0"/>
    <n v="0"/>
    <n v="0"/>
    <n v="0"/>
    <n v="0"/>
  </r>
  <r>
    <x v="55"/>
    <x v="21"/>
    <x v="4"/>
    <m/>
    <m/>
    <n v="0"/>
    <m/>
    <m/>
    <n v="0"/>
    <m/>
    <m/>
    <n v="0"/>
    <s v=""/>
    <n v="0"/>
    <n v="0"/>
    <n v="0"/>
    <n v="116.88487613461319"/>
    <n v="2225"/>
    <n v="71535.307499999995"/>
    <n v="0"/>
    <n v="0"/>
    <n v="0"/>
    <n v="0"/>
    <n v="0"/>
    <n v="0"/>
  </r>
  <r>
    <x v="56"/>
    <x v="21"/>
    <x v="4"/>
    <m/>
    <m/>
    <n v="0"/>
    <m/>
    <m/>
    <n v="0"/>
    <m/>
    <m/>
    <n v="0"/>
    <s v=""/>
    <n v="0"/>
    <n v="0"/>
    <n v="0"/>
    <n v="116.88487613461319"/>
    <n v="2225"/>
    <n v="71535.307499999995"/>
    <n v="0"/>
    <n v="0"/>
    <n v="0"/>
    <n v="0"/>
    <n v="0"/>
    <n v="0"/>
  </r>
  <r>
    <x v="57"/>
    <x v="21"/>
    <x v="4"/>
    <m/>
    <m/>
    <n v="0"/>
    <m/>
    <m/>
    <n v="0"/>
    <m/>
    <m/>
    <n v="0"/>
    <s v=""/>
    <n v="0"/>
    <n v="0"/>
    <n v="0"/>
    <n v="116.88487613461319"/>
    <n v="2225"/>
    <n v="71535.307499999995"/>
    <n v="0"/>
    <n v="0"/>
    <n v="0"/>
    <n v="0"/>
    <n v="0"/>
    <n v="0"/>
  </r>
  <r>
    <x v="58"/>
    <x v="21"/>
    <x v="4"/>
    <m/>
    <m/>
    <n v="0"/>
    <m/>
    <m/>
    <n v="0"/>
    <m/>
    <m/>
    <n v="0"/>
    <s v=""/>
    <n v="0"/>
    <n v="0"/>
    <n v="0"/>
    <n v="116.88487613461319"/>
    <n v="2225"/>
    <n v="71535.307499999995"/>
    <n v="0"/>
    <n v="0"/>
    <n v="0"/>
    <n v="0"/>
    <n v="0"/>
    <n v="0"/>
  </r>
  <r>
    <x v="59"/>
    <x v="21"/>
    <x v="4"/>
    <m/>
    <m/>
    <n v="0"/>
    <m/>
    <m/>
    <n v="0"/>
    <m/>
    <m/>
    <n v="0"/>
    <s v=""/>
    <n v="0"/>
    <n v="0"/>
    <n v="0"/>
    <n v="116.88487613461319"/>
    <n v="2225"/>
    <n v="71535.307499999995"/>
    <n v="0"/>
    <n v="0"/>
    <n v="0"/>
    <n v="0"/>
    <n v="0"/>
    <n v="0"/>
  </r>
  <r>
    <x v="60"/>
    <x v="21"/>
    <x v="4"/>
    <m/>
    <m/>
    <n v="0"/>
    <m/>
    <m/>
    <n v="0"/>
    <m/>
    <m/>
    <n v="0"/>
    <s v=""/>
    <n v="0"/>
    <n v="0"/>
    <n v="0"/>
    <n v="116.88487613461319"/>
    <n v="2225"/>
    <n v="71535.307499999995"/>
    <n v="0"/>
    <n v="0"/>
    <n v="0"/>
    <n v="0"/>
    <n v="0"/>
    <n v="0"/>
  </r>
  <r>
    <x v="61"/>
    <x v="21"/>
    <x v="4"/>
    <m/>
    <m/>
    <n v="0"/>
    <m/>
    <m/>
    <n v="0"/>
    <m/>
    <m/>
    <n v="0"/>
    <s v=""/>
    <n v="0"/>
    <n v="0"/>
    <n v="0"/>
    <n v="116.88487613461319"/>
    <n v="2225"/>
    <n v="71535.307499999995"/>
    <n v="0"/>
    <n v="0"/>
    <n v="0"/>
    <n v="0"/>
    <n v="0"/>
    <n v="0"/>
  </r>
  <r>
    <x v="62"/>
    <x v="21"/>
    <x v="4"/>
    <m/>
    <m/>
    <n v="0"/>
    <m/>
    <m/>
    <n v="0"/>
    <m/>
    <m/>
    <n v="0"/>
    <s v=""/>
    <n v="0"/>
    <n v="0"/>
    <n v="0"/>
    <n v="116.88487613461319"/>
    <n v="2225"/>
    <n v="71535.307499999995"/>
    <n v="0"/>
    <n v="0"/>
    <n v="0"/>
    <n v="0"/>
    <n v="0"/>
    <n v="0"/>
  </r>
  <r>
    <x v="63"/>
    <x v="21"/>
    <x v="4"/>
    <m/>
    <m/>
    <n v="0"/>
    <m/>
    <m/>
    <n v="0"/>
    <m/>
    <m/>
    <n v="0"/>
    <s v=""/>
    <n v="0"/>
    <n v="0"/>
    <n v="0"/>
    <n v="116.88487613461319"/>
    <n v="2225"/>
    <n v="71535.307499999995"/>
    <n v="0"/>
    <n v="0"/>
    <n v="0"/>
    <n v="0"/>
    <n v="0"/>
    <n v="0"/>
  </r>
  <r>
    <x v="64"/>
    <x v="21"/>
    <x v="4"/>
    <n v="93"/>
    <n v="1.6"/>
    <n v="0.14880000000000002"/>
    <m/>
    <m/>
    <n v="0"/>
    <m/>
    <m/>
    <n v="0"/>
    <s v=""/>
    <n v="0"/>
    <n v="0"/>
    <n v="0"/>
    <n v="116.88487613461319"/>
    <n v="2225"/>
    <n v="71535.307499999995"/>
    <n v="0"/>
    <n v="0"/>
    <n v="0"/>
    <n v="0"/>
    <n v="0"/>
    <n v="0"/>
  </r>
  <r>
    <x v="65"/>
    <x v="21"/>
    <x v="4"/>
    <m/>
    <m/>
    <n v="0"/>
    <m/>
    <m/>
    <n v="0"/>
    <m/>
    <m/>
    <n v="0"/>
    <s v=""/>
    <n v="0"/>
    <n v="0"/>
    <n v="0"/>
    <n v="116.88487613461319"/>
    <n v="2225"/>
    <n v="71535.307499999995"/>
    <n v="0"/>
    <n v="0"/>
    <n v="0"/>
    <n v="0"/>
    <n v="0"/>
    <n v="0"/>
  </r>
  <r>
    <x v="66"/>
    <x v="21"/>
    <x v="4"/>
    <m/>
    <m/>
    <n v="0"/>
    <m/>
    <m/>
    <n v="0"/>
    <m/>
    <m/>
    <n v="0"/>
    <s v=""/>
    <n v="0"/>
    <n v="0"/>
    <n v="0"/>
    <n v="116.88487613461319"/>
    <n v="2225"/>
    <n v="71535.307499999995"/>
    <n v="0"/>
    <n v="0"/>
    <n v="0"/>
    <n v="0"/>
    <n v="0"/>
    <n v="0"/>
  </r>
  <r>
    <x v="67"/>
    <x v="21"/>
    <x v="4"/>
    <m/>
    <m/>
    <n v="0"/>
    <m/>
    <m/>
    <n v="0"/>
    <m/>
    <m/>
    <n v="0"/>
    <s v=""/>
    <n v="0"/>
    <n v="0"/>
    <n v="0"/>
    <n v="116.88487613461319"/>
    <n v="2225"/>
    <n v="71535.307499999995"/>
    <n v="0"/>
    <n v="0"/>
    <n v="0"/>
    <n v="0"/>
    <n v="0"/>
    <n v="0"/>
  </r>
  <r>
    <x v="68"/>
    <x v="21"/>
    <x v="4"/>
    <m/>
    <m/>
    <n v="0"/>
    <m/>
    <m/>
    <n v="0"/>
    <m/>
    <m/>
    <n v="0"/>
    <s v=""/>
    <n v="0"/>
    <n v="0"/>
    <n v="0"/>
    <n v="116.88487613461319"/>
    <n v="2225"/>
    <n v="71535.307499999995"/>
    <n v="0"/>
    <n v="0"/>
    <n v="0"/>
    <n v="0"/>
    <n v="0"/>
    <n v="0"/>
  </r>
  <r>
    <x v="69"/>
    <x v="21"/>
    <x v="4"/>
    <n v="2022"/>
    <n v="3.97"/>
    <n v="8.0273400000000006"/>
    <m/>
    <m/>
    <n v="0"/>
    <m/>
    <m/>
    <n v="0"/>
    <s v=""/>
    <n v="0"/>
    <n v="0"/>
    <n v="0"/>
    <n v="116.88487613461319"/>
    <n v="2225"/>
    <n v="71535.307499999995"/>
    <n v="0"/>
    <n v="0"/>
    <n v="0"/>
    <n v="0"/>
    <n v="0"/>
    <n v="0"/>
  </r>
  <r>
    <x v="70"/>
    <x v="21"/>
    <x v="5"/>
    <n v="3033"/>
    <n v="2.83"/>
    <n v="8.5833899999999996"/>
    <m/>
    <m/>
    <n v="0"/>
    <m/>
    <m/>
    <n v="0"/>
    <s v=""/>
    <n v="0"/>
    <n v="0"/>
    <n v="0"/>
    <n v="116.88487613461319"/>
    <n v="2225"/>
    <n v="71535.307499999995"/>
    <n v="0"/>
    <n v="0"/>
    <n v="0"/>
    <n v="0"/>
    <n v="0"/>
    <n v="0"/>
  </r>
  <r>
    <x v="71"/>
    <x v="21"/>
    <x v="5"/>
    <m/>
    <m/>
    <n v="0"/>
    <m/>
    <m/>
    <n v="0"/>
    <m/>
    <m/>
    <n v="0"/>
    <s v=""/>
    <n v="0"/>
    <n v="0"/>
    <n v="0"/>
    <n v="116.88487613461319"/>
    <n v="2225"/>
    <n v="71535.307499999995"/>
    <n v="0"/>
    <n v="0"/>
    <n v="0"/>
    <n v="0"/>
    <n v="0"/>
    <n v="0"/>
  </r>
  <r>
    <x v="72"/>
    <x v="21"/>
    <x v="5"/>
    <m/>
    <m/>
    <n v="0"/>
    <m/>
    <m/>
    <n v="0"/>
    <m/>
    <m/>
    <m/>
    <m/>
    <m/>
    <m/>
    <m/>
    <m/>
    <m/>
    <m/>
    <m/>
    <m/>
    <m/>
    <m/>
    <m/>
    <m/>
  </r>
  <r>
    <x v="73"/>
    <x v="21"/>
    <x v="5"/>
    <m/>
    <m/>
    <n v="0"/>
    <m/>
    <m/>
    <n v="0"/>
    <m/>
    <m/>
    <m/>
    <m/>
    <m/>
    <m/>
    <m/>
    <m/>
    <m/>
    <m/>
    <m/>
    <m/>
    <m/>
    <m/>
    <m/>
    <m/>
  </r>
  <r>
    <x v="74"/>
    <x v="21"/>
    <x v="5"/>
    <m/>
    <m/>
    <n v="0"/>
    <m/>
    <m/>
    <n v="0"/>
    <m/>
    <m/>
    <m/>
    <m/>
    <m/>
    <m/>
    <m/>
    <m/>
    <m/>
    <m/>
    <m/>
    <m/>
    <m/>
    <m/>
    <m/>
    <m/>
  </r>
  <r>
    <x v="75"/>
    <x v="21"/>
    <x v="5"/>
    <n v="3033"/>
    <n v="2.31"/>
    <n v="7.0062300000000004"/>
    <m/>
    <m/>
    <n v="0"/>
    <m/>
    <m/>
    <n v="0"/>
    <s v=""/>
    <n v="0"/>
    <n v="0"/>
    <n v="0"/>
    <n v="116.88487613461319"/>
    <n v="2225"/>
    <n v="71535.307499999995"/>
    <n v="0"/>
    <n v="0"/>
    <n v="0"/>
    <n v="0"/>
    <n v="0"/>
    <n v="0"/>
  </r>
  <r>
    <x v="76"/>
    <x v="21"/>
    <x v="5"/>
    <m/>
    <m/>
    <n v="0"/>
    <m/>
    <m/>
    <n v="0"/>
    <m/>
    <m/>
    <m/>
    <m/>
    <m/>
    <m/>
    <m/>
    <m/>
    <m/>
    <m/>
    <m/>
    <m/>
    <m/>
    <m/>
    <m/>
    <m/>
  </r>
  <r>
    <x v="77"/>
    <x v="21"/>
    <x v="5"/>
    <m/>
    <m/>
    <n v="0"/>
    <m/>
    <m/>
    <n v="0"/>
    <m/>
    <m/>
    <n v="0"/>
    <s v=""/>
    <n v="0"/>
    <n v="0"/>
    <n v="0"/>
    <n v="116.88487613461319"/>
    <n v="2225"/>
    <n v="71535.307499999995"/>
    <n v="0"/>
    <n v="0"/>
    <n v="0"/>
    <n v="0"/>
    <n v="0"/>
    <n v="0"/>
  </r>
  <r>
    <x v="78"/>
    <x v="21"/>
    <x v="5"/>
    <m/>
    <m/>
    <n v="0"/>
    <m/>
    <m/>
    <n v="0"/>
    <m/>
    <m/>
    <n v="0"/>
    <s v=""/>
    <n v="0"/>
    <n v="0"/>
    <n v="0"/>
    <n v="116.88487613461319"/>
    <n v="2225"/>
    <n v="71535.307499999995"/>
    <n v="0"/>
    <n v="0"/>
    <n v="0"/>
    <n v="0"/>
    <n v="0"/>
    <n v="0"/>
  </r>
  <r>
    <x v="79"/>
    <x v="21"/>
    <x v="5"/>
    <m/>
    <m/>
    <n v="0"/>
    <m/>
    <m/>
    <n v="0"/>
    <m/>
    <m/>
    <n v="0"/>
    <s v=""/>
    <n v="0"/>
    <n v="0"/>
    <n v="0"/>
    <n v="116.88487613461319"/>
    <n v="2225"/>
    <n v="71535.307499999995"/>
    <n v="0"/>
    <n v="0"/>
    <n v="0"/>
    <n v="0"/>
    <n v="0"/>
    <n v="0"/>
  </r>
  <r>
    <x v="80"/>
    <x v="21"/>
    <x v="5"/>
    <m/>
    <m/>
    <n v="0"/>
    <m/>
    <m/>
    <n v="0"/>
    <m/>
    <m/>
    <n v="0"/>
    <s v=""/>
    <n v="0"/>
    <n v="0"/>
    <n v="0"/>
    <n v="116.88487613461319"/>
    <n v="2225"/>
    <n v="71535.307499999995"/>
    <n v="0"/>
    <n v="0"/>
    <n v="0"/>
    <n v="0"/>
    <n v="0"/>
    <n v="0"/>
  </r>
  <r>
    <x v="81"/>
    <x v="21"/>
    <x v="5"/>
    <m/>
    <m/>
    <n v="0"/>
    <m/>
    <m/>
    <n v="0"/>
    <m/>
    <m/>
    <n v="0"/>
    <s v=""/>
    <n v="0"/>
    <n v="0"/>
    <n v="0"/>
    <n v="116.88487613461319"/>
    <n v="2225"/>
    <n v="71535.307499999995"/>
    <n v="0"/>
    <n v="0"/>
    <n v="0"/>
    <n v="0"/>
    <n v="0"/>
    <n v="0"/>
  </r>
  <r>
    <x v="82"/>
    <x v="21"/>
    <x v="5"/>
    <m/>
    <m/>
    <n v="0"/>
    <m/>
    <m/>
    <n v="0"/>
    <m/>
    <m/>
    <n v="0"/>
    <s v=""/>
    <n v="0"/>
    <n v="0"/>
    <n v="0"/>
    <n v="116.88487613461319"/>
    <n v="2225"/>
    <n v="71535.307499999995"/>
    <n v="0"/>
    <n v="0"/>
    <n v="0"/>
    <n v="0"/>
    <n v="0"/>
    <n v="0"/>
  </r>
  <r>
    <x v="83"/>
    <x v="21"/>
    <x v="5"/>
    <m/>
    <m/>
    <n v="0"/>
    <m/>
    <m/>
    <n v="0"/>
    <m/>
    <m/>
    <n v="0"/>
    <s v=""/>
    <n v="0"/>
    <n v="0"/>
    <n v="0"/>
    <n v="116.88487613461319"/>
    <n v="2225"/>
    <n v="71535.307499999995"/>
    <n v="0"/>
    <n v="0"/>
    <n v="0"/>
    <n v="0"/>
    <n v="0"/>
    <n v="0"/>
  </r>
  <r>
    <x v="84"/>
    <x v="21"/>
    <x v="5"/>
    <m/>
    <m/>
    <n v="0"/>
    <m/>
    <m/>
    <n v="0"/>
    <m/>
    <m/>
    <n v="0"/>
    <s v=""/>
    <n v="0"/>
    <n v="0"/>
    <n v="0"/>
    <n v="116.88487613461319"/>
    <n v="2225"/>
    <n v="71535.307499999995"/>
    <n v="0"/>
    <n v="0"/>
    <n v="0"/>
    <n v="0"/>
    <n v="0"/>
    <n v="0"/>
  </r>
  <r>
    <x v="85"/>
    <x v="21"/>
    <x v="5"/>
    <m/>
    <m/>
    <n v="0"/>
    <m/>
    <m/>
    <n v="0"/>
    <m/>
    <m/>
    <n v="0"/>
    <s v=""/>
    <n v="0"/>
    <n v="0"/>
    <n v="0"/>
    <n v="116.88487613461319"/>
    <n v="2225"/>
    <n v="71535.307499999995"/>
    <n v="0"/>
    <n v="0"/>
    <n v="0"/>
    <n v="0"/>
    <n v="0"/>
    <n v="0"/>
  </r>
  <r>
    <x v="86"/>
    <x v="21"/>
    <x v="5"/>
    <m/>
    <m/>
    <n v="0"/>
    <m/>
    <m/>
    <n v="0"/>
    <m/>
    <m/>
    <n v="0"/>
    <s v=""/>
    <n v="0"/>
    <n v="0"/>
    <n v="0"/>
    <n v="116.88487613461319"/>
    <n v="2225"/>
    <n v="71535.307499999995"/>
    <n v="0"/>
    <n v="0"/>
    <n v="0"/>
    <n v="0"/>
    <n v="0"/>
    <n v="0"/>
  </r>
  <r>
    <x v="87"/>
    <x v="21"/>
    <x v="5"/>
    <m/>
    <m/>
    <n v="0"/>
    <m/>
    <m/>
    <n v="0"/>
    <m/>
    <m/>
    <n v="0"/>
    <s v=""/>
    <n v="0"/>
    <n v="0"/>
    <n v="0"/>
    <n v="116.88487613461319"/>
    <n v="2225"/>
    <n v="71535.307499999995"/>
    <n v="0"/>
    <n v="0"/>
    <n v="0"/>
    <n v="0"/>
    <n v="0"/>
    <n v="0"/>
  </r>
  <r>
    <x v="88"/>
    <x v="21"/>
    <x v="5"/>
    <m/>
    <m/>
    <n v="0"/>
    <m/>
    <m/>
    <n v="0"/>
    <m/>
    <m/>
    <n v="0"/>
    <s v=""/>
    <n v="0"/>
    <n v="0"/>
    <n v="0"/>
    <n v="116.88487613461319"/>
    <n v="2225"/>
    <n v="71535.307499999995"/>
    <n v="0"/>
    <n v="0"/>
    <n v="0"/>
    <n v="0"/>
    <n v="0"/>
    <n v="0"/>
  </r>
  <r>
    <x v="89"/>
    <x v="21"/>
    <x v="5"/>
    <m/>
    <m/>
    <n v="0"/>
    <m/>
    <m/>
    <n v="0"/>
    <m/>
    <m/>
    <n v="0"/>
    <s v=""/>
    <n v="0"/>
    <n v="0"/>
    <n v="0"/>
    <n v="116.88487613461319"/>
    <n v="2225"/>
    <n v="71535.307499999995"/>
    <n v="0"/>
    <n v="0"/>
    <n v="0"/>
    <n v="0"/>
    <n v="0"/>
    <n v="0"/>
  </r>
  <r>
    <x v="90"/>
    <x v="21"/>
    <x v="5"/>
    <n v="509"/>
    <n v="3.49"/>
    <n v="1.77641"/>
    <m/>
    <m/>
    <n v="0"/>
    <m/>
    <m/>
    <n v="0"/>
    <s v=""/>
    <n v="0"/>
    <n v="0"/>
    <n v="0"/>
    <n v="116.88487613461319"/>
    <n v="2225"/>
    <n v="71535.307499999995"/>
    <n v="0"/>
    <n v="0"/>
    <n v="0"/>
    <n v="0"/>
    <n v="0"/>
    <n v="0"/>
  </r>
  <r>
    <x v="91"/>
    <x v="21"/>
    <x v="5"/>
    <m/>
    <m/>
    <n v="0"/>
    <m/>
    <m/>
    <n v="0"/>
    <m/>
    <m/>
    <n v="0"/>
    <s v=""/>
    <n v="0"/>
    <n v="0"/>
    <n v="0"/>
    <n v="116.88487613461319"/>
    <n v="2225"/>
    <n v="71535.307499999995"/>
    <n v="0"/>
    <n v="0"/>
    <n v="0"/>
    <n v="0"/>
    <n v="0"/>
    <n v="0"/>
  </r>
  <r>
    <x v="92"/>
    <x v="21"/>
    <x v="5"/>
    <n v="2022"/>
    <n v="2.4500000000000002"/>
    <n v="4.9539000000000009"/>
    <m/>
    <m/>
    <n v="0"/>
    <m/>
    <m/>
    <n v="0"/>
    <s v=""/>
    <n v="0"/>
    <n v="0"/>
    <n v="0"/>
    <n v="116.88487613461319"/>
    <n v="2225"/>
    <n v="71535.307499999995"/>
    <n v="0"/>
    <n v="0"/>
    <n v="0"/>
    <n v="0"/>
    <n v="0"/>
    <n v="0"/>
  </r>
  <r>
    <x v="93"/>
    <x v="21"/>
    <x v="5"/>
    <m/>
    <m/>
    <n v="0"/>
    <m/>
    <m/>
    <n v="0"/>
    <m/>
    <m/>
    <n v="0"/>
    <s v=""/>
    <n v="0"/>
    <n v="0"/>
    <n v="0"/>
    <n v="116.88487613461319"/>
    <n v="2225"/>
    <n v="71535.307499999995"/>
    <n v="0"/>
    <n v="0"/>
    <n v="0"/>
    <n v="0"/>
    <n v="0"/>
    <n v="0"/>
  </r>
  <r>
    <x v="94"/>
    <x v="21"/>
    <x v="5"/>
    <m/>
    <m/>
    <n v="0"/>
    <m/>
    <m/>
    <n v="0"/>
    <m/>
    <m/>
    <n v="0"/>
    <s v=""/>
    <n v="0"/>
    <n v="0"/>
    <n v="0"/>
    <n v="116.88487613461319"/>
    <n v="2225"/>
    <n v="71535.307499999995"/>
    <n v="0"/>
    <n v="0"/>
    <n v="0"/>
    <n v="0"/>
    <n v="0"/>
    <n v="0"/>
  </r>
  <r>
    <x v="95"/>
    <x v="21"/>
    <x v="5"/>
    <m/>
    <m/>
    <n v="0"/>
    <m/>
    <m/>
    <n v="0"/>
    <m/>
    <m/>
    <n v="0"/>
    <s v=""/>
    <n v="0"/>
    <n v="0"/>
    <n v="0"/>
    <n v="116.88487613461319"/>
    <n v="2225"/>
    <n v="71535.307499999995"/>
    <n v="0"/>
    <n v="0"/>
    <n v="0"/>
    <n v="0"/>
    <n v="0"/>
    <n v="0"/>
  </r>
  <r>
    <x v="96"/>
    <x v="21"/>
    <x v="5"/>
    <m/>
    <m/>
    <n v="0"/>
    <m/>
    <m/>
    <n v="0"/>
    <m/>
    <m/>
    <n v="0"/>
    <s v=""/>
    <n v="0"/>
    <n v="0"/>
    <n v="0"/>
    <n v="116.88487613461319"/>
    <n v="2225"/>
    <n v="71535.307499999995"/>
    <n v="0"/>
    <n v="0"/>
    <n v="0"/>
    <n v="0"/>
    <n v="0"/>
    <n v="0"/>
  </r>
  <r>
    <x v="97"/>
    <x v="21"/>
    <x v="5"/>
    <n v="2"/>
    <n v="1.55"/>
    <n v="3.0999999999999999E-3"/>
    <m/>
    <m/>
    <n v="0"/>
    <m/>
    <m/>
    <n v="0"/>
    <s v=""/>
    <n v="0"/>
    <n v="0"/>
    <n v="0"/>
    <n v="116.88487613461319"/>
    <n v="2225"/>
    <n v="71535.307499999995"/>
    <n v="0"/>
    <n v="0"/>
    <n v="0"/>
    <n v="0"/>
    <n v="0"/>
    <n v="0"/>
  </r>
  <r>
    <x v="98"/>
    <x v="21"/>
    <x v="6"/>
    <m/>
    <m/>
    <n v="0"/>
    <m/>
    <m/>
    <n v="0"/>
    <m/>
    <m/>
    <n v="0"/>
    <s v=""/>
    <n v="0"/>
    <n v="0"/>
    <n v="0"/>
    <n v="116.88487613461319"/>
    <n v="2225"/>
    <n v="71535.307499999995"/>
    <n v="0"/>
    <n v="0"/>
    <n v="0"/>
    <n v="0"/>
    <n v="0"/>
    <n v="0"/>
  </r>
  <r>
    <x v="99"/>
    <x v="21"/>
    <x v="6"/>
    <m/>
    <m/>
    <n v="0"/>
    <m/>
    <m/>
    <n v="0"/>
    <m/>
    <m/>
    <n v="0"/>
    <s v=""/>
    <n v="0"/>
    <n v="0"/>
    <n v="0"/>
    <n v="116.88487613461319"/>
    <n v="2225"/>
    <n v="71535.307499999995"/>
    <n v="0"/>
    <n v="0"/>
    <n v="0"/>
    <n v="0"/>
    <n v="0"/>
    <n v="0"/>
  </r>
  <r>
    <x v="100"/>
    <x v="21"/>
    <x v="6"/>
    <m/>
    <m/>
    <n v="0"/>
    <m/>
    <m/>
    <n v="0"/>
    <m/>
    <m/>
    <n v="0"/>
    <s v=""/>
    <n v="0"/>
    <n v="0"/>
    <n v="0"/>
    <n v="116.88487613461319"/>
    <n v="2225"/>
    <n v="71535.307499999995"/>
    <n v="0"/>
    <n v="0"/>
    <n v="0"/>
    <n v="0"/>
    <n v="0"/>
    <n v="0"/>
  </r>
  <r>
    <x v="101"/>
    <x v="21"/>
    <x v="6"/>
    <m/>
    <m/>
    <n v="0"/>
    <m/>
    <m/>
    <n v="0"/>
    <m/>
    <m/>
    <n v="0"/>
    <s v=""/>
    <n v="0"/>
    <n v="0"/>
    <n v="0"/>
    <n v="116.88487613461319"/>
    <n v="2225"/>
    <n v="71535.307499999995"/>
    <n v="0"/>
    <n v="0"/>
    <n v="0"/>
    <n v="0"/>
    <n v="0"/>
    <n v="0"/>
  </r>
  <r>
    <x v="102"/>
    <x v="21"/>
    <x v="6"/>
    <n v="2022"/>
    <n v="3.61"/>
    <n v="7.2994200000000005"/>
    <m/>
    <m/>
    <n v="0"/>
    <m/>
    <m/>
    <n v="0"/>
    <s v=""/>
    <n v="0"/>
    <n v="0"/>
    <n v="0"/>
    <n v="116.88487613461319"/>
    <n v="2225"/>
    <n v="71535.307499999995"/>
    <n v="0"/>
    <n v="0"/>
    <n v="0"/>
    <n v="0"/>
    <n v="0"/>
    <n v="0"/>
  </r>
  <r>
    <x v="103"/>
    <x v="21"/>
    <x v="6"/>
    <n v="1611"/>
    <n v="2.87"/>
    <n v="4.6235700000000008"/>
    <m/>
    <m/>
    <n v="0"/>
    <m/>
    <m/>
    <n v="0"/>
    <s v=""/>
    <n v="0"/>
    <n v="0"/>
    <n v="0"/>
    <n v="116.88487613461319"/>
    <n v="2225"/>
    <n v="71535.307499999995"/>
    <n v="0"/>
    <n v="0"/>
    <n v="0"/>
    <n v="0"/>
    <n v="0"/>
    <n v="0"/>
  </r>
  <r>
    <x v="104"/>
    <x v="21"/>
    <x v="6"/>
    <n v="3033"/>
    <n v="2.4300000000000002"/>
    <n v="7.3701900000000009"/>
    <m/>
    <m/>
    <n v="0"/>
    <m/>
    <m/>
    <n v="0"/>
    <s v=""/>
    <n v="0"/>
    <n v="0"/>
    <n v="0"/>
    <n v="116.88487613461319"/>
    <n v="2225"/>
    <n v="71535.307499999995"/>
    <n v="0"/>
    <n v="0"/>
    <n v="0"/>
    <n v="0"/>
    <n v="0"/>
    <n v="0"/>
  </r>
  <r>
    <x v="105"/>
    <x v="21"/>
    <x v="6"/>
    <m/>
    <m/>
    <n v="0"/>
    <m/>
    <m/>
    <n v="0"/>
    <m/>
    <m/>
    <n v="0"/>
    <s v=""/>
    <n v="0"/>
    <n v="0"/>
    <n v="0"/>
    <n v="116.88487613461319"/>
    <n v="2225"/>
    <n v="71535.307499999995"/>
    <n v="0"/>
    <n v="0"/>
    <n v="0"/>
    <n v="0"/>
    <n v="0"/>
    <n v="0"/>
  </r>
  <r>
    <x v="106"/>
    <x v="21"/>
    <x v="6"/>
    <m/>
    <m/>
    <n v="0"/>
    <m/>
    <m/>
    <n v="0"/>
    <m/>
    <m/>
    <n v="0"/>
    <s v=""/>
    <n v="0"/>
    <n v="0"/>
    <n v="0"/>
    <n v="116.88487613461319"/>
    <n v="2225"/>
    <n v="71535.307499999995"/>
    <n v="0"/>
    <n v="0"/>
    <n v="0"/>
    <n v="0"/>
    <n v="0"/>
    <n v="0"/>
  </r>
  <r>
    <x v="107"/>
    <x v="21"/>
    <x v="6"/>
    <m/>
    <m/>
    <n v="0"/>
    <m/>
    <m/>
    <n v="0"/>
    <m/>
    <m/>
    <n v="0"/>
    <s v=""/>
    <n v="0"/>
    <n v="0"/>
    <n v="0"/>
    <n v="116.88487613461319"/>
    <n v="2225"/>
    <n v="71535.307499999995"/>
    <n v="0"/>
    <n v="0"/>
    <n v="0"/>
    <n v="0"/>
    <n v="0"/>
    <n v="0"/>
  </r>
  <r>
    <x v="108"/>
    <x v="21"/>
    <x v="6"/>
    <m/>
    <m/>
    <n v="0"/>
    <m/>
    <m/>
    <n v="0"/>
    <m/>
    <m/>
    <n v="0"/>
    <s v=""/>
    <n v="0"/>
    <n v="0"/>
    <n v="0"/>
    <n v="116.88487613461319"/>
    <n v="2225"/>
    <n v="71535.307499999995"/>
    <n v="0"/>
    <n v="0"/>
    <n v="0"/>
    <n v="0"/>
    <n v="0"/>
    <n v="0"/>
  </r>
  <r>
    <x v="109"/>
    <x v="21"/>
    <x v="6"/>
    <n v="2946"/>
    <n v="2.5499999999999998"/>
    <n v="7.5122999999999989"/>
    <m/>
    <m/>
    <n v="0"/>
    <m/>
    <m/>
    <n v="0"/>
    <s v=""/>
    <n v="0"/>
    <n v="0"/>
    <n v="0"/>
    <n v="116.88487613461319"/>
    <n v="2225"/>
    <n v="71535.307499999995"/>
    <n v="0"/>
    <n v="0"/>
    <n v="0"/>
    <n v="0"/>
    <n v="0"/>
    <n v="0"/>
  </r>
  <r>
    <x v="110"/>
    <x v="21"/>
    <x v="7"/>
    <m/>
    <m/>
    <n v="0"/>
    <m/>
    <m/>
    <n v="0"/>
    <m/>
    <m/>
    <n v="0"/>
    <s v=""/>
    <n v="0"/>
    <n v="0"/>
    <n v="0"/>
    <n v="116.88487613461319"/>
    <n v="2225"/>
    <n v="71535.307499999995"/>
    <n v="0"/>
    <n v="0"/>
    <n v="0"/>
    <n v="0"/>
    <n v="0"/>
    <n v="0"/>
  </r>
  <r>
    <x v="111"/>
    <x v="21"/>
    <x v="7"/>
    <n v="2022"/>
    <n v="2.64"/>
    <n v="5.3380799999999997"/>
    <m/>
    <m/>
    <n v="0"/>
    <m/>
    <m/>
    <n v="0"/>
    <s v=""/>
    <n v="0"/>
    <n v="0"/>
    <n v="0"/>
    <n v="116.88487613461319"/>
    <n v="2225"/>
    <n v="71535.307499999995"/>
    <n v="0"/>
    <n v="0"/>
    <n v="0"/>
    <n v="0"/>
    <n v="0"/>
    <n v="0"/>
  </r>
  <r>
    <x v="112"/>
    <x v="21"/>
    <x v="7"/>
    <m/>
    <m/>
    <n v="0"/>
    <m/>
    <m/>
    <n v="0"/>
    <m/>
    <m/>
    <n v="0"/>
    <s v=""/>
    <n v="0"/>
    <n v="0"/>
    <n v="0"/>
    <n v="116.88487613461319"/>
    <n v="2225"/>
    <n v="71535.307499999995"/>
    <n v="0"/>
    <n v="0"/>
    <n v="0"/>
    <n v="0"/>
    <n v="0"/>
    <n v="0"/>
  </r>
  <r>
    <x v="113"/>
    <x v="21"/>
    <x v="7"/>
    <m/>
    <m/>
    <n v="0"/>
    <m/>
    <m/>
    <n v="0"/>
    <m/>
    <m/>
    <n v="0"/>
    <s v=""/>
    <n v="0"/>
    <n v="0"/>
    <n v="0"/>
    <n v="116.88487613461319"/>
    <n v="2225"/>
    <n v="71535.307499999995"/>
    <n v="0"/>
    <n v="0"/>
    <n v="0"/>
    <n v="0"/>
    <n v="0"/>
    <n v="0"/>
  </r>
  <r>
    <x v="114"/>
    <x v="21"/>
    <x v="7"/>
    <m/>
    <m/>
    <n v="0"/>
    <m/>
    <m/>
    <n v="0"/>
    <m/>
    <m/>
    <n v="0"/>
    <s v=""/>
    <n v="0"/>
    <n v="0"/>
    <n v="0"/>
    <n v="116.88487613461319"/>
    <n v="2225"/>
    <n v="71535.307499999995"/>
    <n v="0"/>
    <n v="0"/>
    <n v="0"/>
    <n v="0"/>
    <n v="0"/>
    <n v="0"/>
  </r>
  <r>
    <x v="115"/>
    <x v="21"/>
    <x v="7"/>
    <m/>
    <m/>
    <n v="0"/>
    <m/>
    <m/>
    <n v="0"/>
    <m/>
    <m/>
    <n v="0"/>
    <s v=""/>
    <n v="0"/>
    <n v="0"/>
    <n v="0"/>
    <n v="116.88487613461319"/>
    <n v="2225"/>
    <n v="71535.307499999995"/>
    <n v="0"/>
    <n v="0"/>
    <n v="0"/>
    <n v="0"/>
    <n v="0"/>
    <n v="0"/>
  </r>
  <r>
    <x v="116"/>
    <x v="21"/>
    <x v="7"/>
    <m/>
    <m/>
    <n v="0"/>
    <m/>
    <m/>
    <n v="0"/>
    <m/>
    <m/>
    <n v="0"/>
    <s v=""/>
    <n v="0"/>
    <n v="0"/>
    <n v="0"/>
    <n v="116.88487613461319"/>
    <n v="2225"/>
    <n v="71535.307499999995"/>
    <n v="0"/>
    <n v="0"/>
    <n v="0"/>
    <n v="0"/>
    <n v="0"/>
    <n v="0"/>
  </r>
  <r>
    <x v="117"/>
    <x v="21"/>
    <x v="7"/>
    <m/>
    <m/>
    <n v="0"/>
    <m/>
    <m/>
    <n v="0"/>
    <m/>
    <m/>
    <n v="0"/>
    <s v=""/>
    <n v="0"/>
    <n v="0"/>
    <n v="0"/>
    <n v="116.88487613461319"/>
    <n v="2225"/>
    <n v="71535.307499999995"/>
    <n v="0"/>
    <n v="0"/>
    <n v="0"/>
    <n v="0"/>
    <n v="0"/>
    <n v="0"/>
  </r>
  <r>
    <x v="118"/>
    <x v="21"/>
    <x v="7"/>
    <m/>
    <m/>
    <n v="0"/>
    <m/>
    <m/>
    <n v="0"/>
    <m/>
    <m/>
    <n v="0"/>
    <s v=""/>
    <n v="0"/>
    <n v="0"/>
    <n v="0"/>
    <n v="116.88487613461319"/>
    <n v="2225"/>
    <n v="71535.307499999995"/>
    <n v="0"/>
    <n v="0"/>
    <n v="0"/>
    <n v="0"/>
    <n v="0"/>
    <n v="0"/>
  </r>
  <r>
    <x v="119"/>
    <x v="21"/>
    <x v="7"/>
    <m/>
    <m/>
    <n v="0"/>
    <m/>
    <m/>
    <n v="0"/>
    <m/>
    <m/>
    <n v="0"/>
    <s v=""/>
    <n v="0"/>
    <n v="0"/>
    <n v="0"/>
    <n v="116.88487613461319"/>
    <n v="2225"/>
    <n v="71535.307499999995"/>
    <n v="0"/>
    <n v="0"/>
    <n v="0"/>
    <n v="0"/>
    <n v="0"/>
    <n v="0"/>
  </r>
  <r>
    <x v="120"/>
    <x v="21"/>
    <x v="7"/>
    <n v="1158"/>
    <n v="2.85"/>
    <n v="3.3003"/>
    <m/>
    <m/>
    <n v="0"/>
    <m/>
    <m/>
    <n v="0"/>
    <s v=""/>
    <n v="0"/>
    <n v="0"/>
    <n v="0"/>
    <n v="116.88487613461319"/>
    <n v="2225"/>
    <n v="71535.307499999995"/>
    <n v="0"/>
    <n v="0"/>
    <n v="0"/>
    <n v="0"/>
    <n v="0"/>
    <n v="0"/>
  </r>
  <r>
    <x v="121"/>
    <x v="21"/>
    <x v="7"/>
    <n v="831"/>
    <n v="2.73"/>
    <n v="2.2686299999999999"/>
    <m/>
    <m/>
    <n v="0"/>
    <m/>
    <m/>
    <n v="0"/>
    <s v=""/>
    <n v="0"/>
    <n v="0"/>
    <n v="0"/>
    <n v="116.88487613461319"/>
    <n v="2225"/>
    <n v="71535.307499999995"/>
    <n v="0"/>
    <n v="0"/>
    <n v="0"/>
    <n v="0"/>
    <n v="0"/>
    <n v="0"/>
  </r>
  <r>
    <x v="122"/>
    <x v="21"/>
    <x v="7"/>
    <m/>
    <m/>
    <n v="0"/>
    <m/>
    <m/>
    <n v="0"/>
    <m/>
    <m/>
    <n v="0"/>
    <s v=""/>
    <n v="0"/>
    <n v="0"/>
    <n v="0"/>
    <n v="116.88487613461319"/>
    <n v="2225"/>
    <n v="71535.307499999995"/>
    <n v="0"/>
    <n v="0"/>
    <n v="0"/>
    <n v="0"/>
    <n v="0"/>
    <n v="0"/>
  </r>
  <r>
    <x v="123"/>
    <x v="21"/>
    <x v="7"/>
    <m/>
    <m/>
    <n v="0"/>
    <m/>
    <m/>
    <n v="0"/>
    <m/>
    <m/>
    <n v="0"/>
    <s v=""/>
    <n v="0"/>
    <n v="0"/>
    <n v="0"/>
    <n v="116.88487613461319"/>
    <n v="2225"/>
    <n v="71535.307499999995"/>
    <n v="0"/>
    <n v="0"/>
    <n v="0"/>
    <n v="0"/>
    <n v="0"/>
    <n v="0"/>
  </r>
  <r>
    <x v="124"/>
    <x v="21"/>
    <x v="7"/>
    <m/>
    <m/>
    <n v="0"/>
    <m/>
    <m/>
    <n v="0"/>
    <m/>
    <m/>
    <n v="0"/>
    <s v=""/>
    <n v="0"/>
    <n v="0"/>
    <n v="0"/>
    <n v="116.88487613461319"/>
    <n v="2225"/>
    <n v="71535.307499999995"/>
    <n v="0"/>
    <n v="0"/>
    <n v="0"/>
    <n v="0"/>
    <n v="0"/>
    <n v="0"/>
  </r>
  <r>
    <x v="125"/>
    <x v="21"/>
    <x v="7"/>
    <m/>
    <m/>
    <n v="0"/>
    <m/>
    <m/>
    <n v="0"/>
    <m/>
    <m/>
    <n v="0"/>
    <s v=""/>
    <n v="0"/>
    <n v="0"/>
    <n v="0"/>
    <n v="116.88487613461319"/>
    <n v="2225"/>
    <n v="71535.307499999995"/>
    <n v="0"/>
    <n v="0"/>
    <n v="0"/>
    <n v="0"/>
    <n v="0"/>
    <n v="0"/>
  </r>
  <r>
    <x v="126"/>
    <x v="21"/>
    <x v="7"/>
    <m/>
    <m/>
    <n v="0"/>
    <m/>
    <m/>
    <n v="0"/>
    <m/>
    <m/>
    <n v="0"/>
    <s v=""/>
    <n v="0"/>
    <n v="0"/>
    <n v="0"/>
    <n v="116.88487613461319"/>
    <n v="2225"/>
    <n v="71535.307499999995"/>
    <n v="0"/>
    <n v="0"/>
    <n v="0"/>
    <n v="0"/>
    <n v="0"/>
    <n v="0"/>
  </r>
  <r>
    <x v="127"/>
    <x v="21"/>
    <x v="7"/>
    <m/>
    <m/>
    <n v="0"/>
    <m/>
    <m/>
    <n v="0"/>
    <m/>
    <m/>
    <n v="0"/>
    <s v=""/>
    <n v="0"/>
    <n v="0"/>
    <n v="0"/>
    <n v="116.88487613461319"/>
    <n v="2225"/>
    <n v="71535.307499999995"/>
    <n v="0"/>
    <n v="0"/>
    <n v="0"/>
    <n v="0"/>
    <n v="0"/>
    <n v="0"/>
  </r>
  <r>
    <x v="0"/>
    <x v="22"/>
    <x v="0"/>
    <m/>
    <m/>
    <n v="0"/>
    <m/>
    <m/>
    <n v="0"/>
    <m/>
    <m/>
    <n v="0"/>
    <s v=""/>
    <n v="0"/>
    <n v="0"/>
    <n v="0"/>
    <n v="116.88487613461319"/>
    <n v="2225"/>
    <n v="71535.307499999995"/>
    <n v="0"/>
    <n v="0"/>
    <n v="0"/>
    <n v="0"/>
    <n v="0"/>
    <n v="0"/>
  </r>
  <r>
    <x v="1"/>
    <x v="22"/>
    <x v="0"/>
    <m/>
    <m/>
    <n v="0"/>
    <m/>
    <m/>
    <n v="0"/>
    <m/>
    <m/>
    <n v="0"/>
    <s v=""/>
    <n v="0"/>
    <n v="0"/>
    <n v="0"/>
    <n v="116.88487613461319"/>
    <n v="2225"/>
    <n v="71535.307499999995"/>
    <n v="0"/>
    <n v="0"/>
    <n v="0"/>
    <n v="0"/>
    <n v="0"/>
    <n v="0"/>
  </r>
  <r>
    <x v="2"/>
    <x v="22"/>
    <x v="0"/>
    <m/>
    <m/>
    <n v="0"/>
    <m/>
    <m/>
    <n v="0"/>
    <m/>
    <m/>
    <n v="0"/>
    <s v=""/>
    <n v="0"/>
    <n v="0"/>
    <n v="0"/>
    <n v="116.88487613461319"/>
    <n v="2225"/>
    <n v="71535.307499999995"/>
    <n v="0"/>
    <n v="0"/>
    <n v="0"/>
    <n v="0"/>
    <n v="0"/>
    <n v="0"/>
  </r>
  <r>
    <x v="3"/>
    <x v="22"/>
    <x v="0"/>
    <m/>
    <m/>
    <n v="0"/>
    <m/>
    <m/>
    <n v="0"/>
    <m/>
    <m/>
    <n v="0"/>
    <s v=""/>
    <n v="0"/>
    <n v="0"/>
    <n v="0"/>
    <n v="116.88487613461319"/>
    <n v="2225"/>
    <n v="71535.307499999995"/>
    <n v="0"/>
    <n v="0"/>
    <n v="0"/>
    <n v="0"/>
    <n v="0"/>
    <n v="0"/>
  </r>
  <r>
    <x v="4"/>
    <x v="22"/>
    <x v="1"/>
    <m/>
    <m/>
    <n v="0"/>
    <m/>
    <m/>
    <n v="0"/>
    <m/>
    <m/>
    <n v="0"/>
    <s v=""/>
    <n v="0"/>
    <n v="0"/>
    <n v="0"/>
    <n v="116.88487613461319"/>
    <n v="2225"/>
    <n v="71535.307499999995"/>
    <n v="0"/>
    <n v="0"/>
    <n v="0"/>
    <n v="0"/>
    <n v="0"/>
    <n v="0"/>
  </r>
  <r>
    <x v="5"/>
    <x v="22"/>
    <x v="1"/>
    <m/>
    <m/>
    <n v="0"/>
    <m/>
    <m/>
    <n v="0"/>
    <m/>
    <m/>
    <n v="0"/>
    <s v=""/>
    <n v="0"/>
    <n v="0"/>
    <n v="0"/>
    <n v="116.88487613461319"/>
    <n v="2225"/>
    <n v="71535.307499999995"/>
    <n v="0"/>
    <n v="0"/>
    <n v="0"/>
    <n v="0"/>
    <n v="0"/>
    <n v="0"/>
  </r>
  <r>
    <x v="6"/>
    <x v="22"/>
    <x v="1"/>
    <m/>
    <m/>
    <n v="0"/>
    <m/>
    <m/>
    <n v="0"/>
    <m/>
    <m/>
    <n v="0"/>
    <s v=""/>
    <n v="0"/>
    <n v="0"/>
    <n v="0"/>
    <n v="116.88487613461319"/>
    <n v="2225"/>
    <n v="71535.307499999995"/>
    <n v="0"/>
    <n v="0"/>
    <n v="0"/>
    <n v="0"/>
    <n v="0"/>
    <n v="0"/>
  </r>
  <r>
    <x v="7"/>
    <x v="22"/>
    <x v="2"/>
    <m/>
    <m/>
    <n v="0"/>
    <m/>
    <m/>
    <n v="0"/>
    <m/>
    <m/>
    <n v="0"/>
    <s v=""/>
    <n v="0"/>
    <n v="0"/>
    <n v="0"/>
    <n v="116.88487613461319"/>
    <n v="2225"/>
    <n v="71535.307499999995"/>
    <n v="0"/>
    <n v="0"/>
    <n v="0"/>
    <n v="0"/>
    <n v="0"/>
    <n v="0"/>
  </r>
  <r>
    <x v="8"/>
    <x v="22"/>
    <x v="2"/>
    <m/>
    <m/>
    <n v="0"/>
    <m/>
    <m/>
    <n v="0"/>
    <m/>
    <m/>
    <n v="0"/>
    <s v=""/>
    <n v="0"/>
    <n v="0"/>
    <n v="0"/>
    <n v="116.88487613461319"/>
    <n v="2225"/>
    <n v="71535.307499999995"/>
    <n v="0"/>
    <n v="0"/>
    <n v="0"/>
    <n v="0"/>
    <n v="0"/>
    <n v="0"/>
  </r>
  <r>
    <x v="9"/>
    <x v="22"/>
    <x v="2"/>
    <m/>
    <m/>
    <n v="0"/>
    <m/>
    <m/>
    <n v="0"/>
    <m/>
    <m/>
    <n v="0"/>
    <s v=""/>
    <n v="0"/>
    <n v="0"/>
    <n v="0"/>
    <n v="116.88487613461319"/>
    <n v="2225"/>
    <n v="71535.307499999995"/>
    <n v="0"/>
    <n v="0"/>
    <n v="0"/>
    <n v="0"/>
    <n v="0"/>
    <n v="0"/>
  </r>
  <r>
    <x v="10"/>
    <x v="22"/>
    <x v="2"/>
    <m/>
    <m/>
    <n v="0"/>
    <m/>
    <m/>
    <n v="0"/>
    <m/>
    <m/>
    <n v="0"/>
    <s v=""/>
    <n v="0"/>
    <n v="0"/>
    <n v="0"/>
    <n v="116.88487613461319"/>
    <n v="2225"/>
    <n v="71535.307499999995"/>
    <n v="0"/>
    <n v="0"/>
    <n v="0"/>
    <n v="0"/>
    <n v="0"/>
    <n v="0"/>
  </r>
  <r>
    <x v="11"/>
    <x v="22"/>
    <x v="2"/>
    <m/>
    <m/>
    <n v="0"/>
    <m/>
    <m/>
    <n v="0"/>
    <m/>
    <m/>
    <n v="0"/>
    <s v=""/>
    <n v="0"/>
    <n v="0"/>
    <n v="0"/>
    <n v="116.88487613461319"/>
    <n v="2225"/>
    <n v="71535.307499999995"/>
    <n v="0"/>
    <n v="0"/>
    <n v="0"/>
    <n v="0"/>
    <n v="0"/>
    <n v="0"/>
  </r>
  <r>
    <x v="12"/>
    <x v="22"/>
    <x v="2"/>
    <m/>
    <m/>
    <n v="0"/>
    <m/>
    <m/>
    <n v="0"/>
    <m/>
    <m/>
    <n v="0"/>
    <s v=""/>
    <n v="0"/>
    <n v="0"/>
    <n v="0"/>
    <n v="116.88487613461319"/>
    <n v="2225"/>
    <n v="71535.307499999995"/>
    <n v="0"/>
    <n v="0"/>
    <n v="0"/>
    <n v="0"/>
    <n v="0"/>
    <n v="0"/>
  </r>
  <r>
    <x v="13"/>
    <x v="22"/>
    <x v="2"/>
    <m/>
    <m/>
    <n v="0"/>
    <m/>
    <m/>
    <n v="0"/>
    <m/>
    <m/>
    <n v="0"/>
    <s v=""/>
    <n v="0"/>
    <n v="0"/>
    <n v="0"/>
    <n v="116.88487613461319"/>
    <n v="2225"/>
    <n v="71535.307499999995"/>
    <n v="0"/>
    <n v="0"/>
    <n v="0"/>
    <n v="0"/>
    <n v="0"/>
    <n v="0"/>
  </r>
  <r>
    <x v="14"/>
    <x v="22"/>
    <x v="2"/>
    <n v="1046"/>
    <n v="2.2000000000000002"/>
    <n v="2.3012000000000001"/>
    <m/>
    <m/>
    <n v="0"/>
    <m/>
    <m/>
    <n v="0"/>
    <s v=""/>
    <n v="0"/>
    <n v="0"/>
    <n v="0"/>
    <n v="116.88487613461319"/>
    <n v="2225"/>
    <n v="71535.307499999995"/>
    <n v="0"/>
    <n v="0"/>
    <n v="0"/>
    <n v="0"/>
    <n v="0"/>
    <n v="0"/>
  </r>
  <r>
    <x v="15"/>
    <x v="22"/>
    <x v="2"/>
    <n v="2921"/>
    <n v="2.5299999999999998"/>
    <n v="7.3901299999999992"/>
    <m/>
    <m/>
    <n v="0"/>
    <m/>
    <m/>
    <n v="0"/>
    <s v=""/>
    <n v="0"/>
    <n v="0"/>
    <n v="0"/>
    <n v="116.88487613461319"/>
    <n v="2225"/>
    <n v="71535.307499999995"/>
    <n v="0"/>
    <n v="0"/>
    <n v="0"/>
    <n v="0"/>
    <n v="0"/>
    <n v="0"/>
  </r>
  <r>
    <x v="16"/>
    <x v="22"/>
    <x v="2"/>
    <n v="2332"/>
    <n v="2.63"/>
    <n v="6.1331600000000002"/>
    <m/>
    <m/>
    <n v="0"/>
    <m/>
    <m/>
    <n v="0"/>
    <s v=""/>
    <n v="0"/>
    <n v="0"/>
    <n v="0"/>
    <n v="116.88487613461319"/>
    <n v="2225"/>
    <n v="71535.307499999995"/>
    <n v="0"/>
    <n v="0"/>
    <n v="0"/>
    <n v="0"/>
    <n v="0"/>
    <n v="0"/>
  </r>
  <r>
    <x v="17"/>
    <x v="22"/>
    <x v="3"/>
    <m/>
    <m/>
    <n v="0"/>
    <m/>
    <m/>
    <n v="0"/>
    <m/>
    <m/>
    <n v="0"/>
    <s v=""/>
    <n v="0"/>
    <n v="0"/>
    <n v="0"/>
    <n v="116.88487613461319"/>
    <n v="2225"/>
    <n v="71535.307499999995"/>
    <n v="0"/>
    <n v="0"/>
    <n v="0"/>
    <n v="0"/>
    <n v="0"/>
    <n v="0"/>
  </r>
  <r>
    <x v="18"/>
    <x v="22"/>
    <x v="3"/>
    <m/>
    <m/>
    <n v="0"/>
    <m/>
    <m/>
    <n v="0"/>
    <m/>
    <m/>
    <n v="0"/>
    <s v=""/>
    <n v="0"/>
    <n v="0"/>
    <n v="0"/>
    <n v="116.88487613461319"/>
    <n v="2225"/>
    <n v="71535.307499999995"/>
    <n v="0"/>
    <n v="0"/>
    <n v="0"/>
    <n v="0"/>
    <n v="0"/>
    <n v="0"/>
  </r>
  <r>
    <x v="19"/>
    <x v="22"/>
    <x v="3"/>
    <m/>
    <m/>
    <n v="0"/>
    <m/>
    <m/>
    <n v="0"/>
    <m/>
    <m/>
    <n v="0"/>
    <s v=""/>
    <n v="0"/>
    <n v="0"/>
    <n v="0"/>
    <n v="116.88487613461319"/>
    <n v="2225"/>
    <n v="71535.307499999995"/>
    <n v="0"/>
    <n v="0"/>
    <n v="0"/>
    <n v="0"/>
    <n v="0"/>
    <n v="0"/>
  </r>
  <r>
    <x v="20"/>
    <x v="22"/>
    <x v="3"/>
    <m/>
    <m/>
    <n v="0"/>
    <m/>
    <m/>
    <n v="0"/>
    <m/>
    <m/>
    <n v="0"/>
    <s v=""/>
    <n v="0"/>
    <n v="0"/>
    <n v="0"/>
    <n v="116.88487613461319"/>
    <n v="2225"/>
    <n v="71535.307499999995"/>
    <n v="0"/>
    <n v="0"/>
    <n v="0"/>
    <n v="0"/>
    <n v="0"/>
    <n v="0"/>
  </r>
  <r>
    <x v="21"/>
    <x v="22"/>
    <x v="3"/>
    <m/>
    <m/>
    <n v="0"/>
    <m/>
    <m/>
    <n v="0"/>
    <m/>
    <m/>
    <n v="0"/>
    <s v=""/>
    <n v="0"/>
    <n v="0"/>
    <n v="0"/>
    <n v="116.88487613461319"/>
    <n v="2225"/>
    <n v="71535.307499999995"/>
    <n v="0"/>
    <n v="0"/>
    <n v="0"/>
    <n v="0"/>
    <n v="0"/>
    <n v="0"/>
  </r>
  <r>
    <x v="22"/>
    <x v="22"/>
    <x v="3"/>
    <m/>
    <m/>
    <n v="0"/>
    <m/>
    <m/>
    <n v="0"/>
    <m/>
    <m/>
    <n v="0"/>
    <s v=""/>
    <n v="0"/>
    <n v="0"/>
    <n v="0"/>
    <n v="116.88487613461319"/>
    <n v="2225"/>
    <n v="71535.307499999995"/>
    <n v="0"/>
    <n v="0"/>
    <n v="0"/>
    <n v="0"/>
    <n v="0"/>
    <n v="0"/>
  </r>
  <r>
    <x v="23"/>
    <x v="22"/>
    <x v="3"/>
    <m/>
    <m/>
    <n v="0"/>
    <m/>
    <m/>
    <n v="0"/>
    <m/>
    <m/>
    <n v="0"/>
    <s v=""/>
    <n v="0"/>
    <n v="0"/>
    <n v="0"/>
    <n v="116.88487613461319"/>
    <n v="2225"/>
    <n v="71535.307499999995"/>
    <n v="0"/>
    <n v="0"/>
    <n v="0"/>
    <n v="0"/>
    <n v="0"/>
    <n v="0"/>
  </r>
  <r>
    <x v="24"/>
    <x v="22"/>
    <x v="3"/>
    <m/>
    <m/>
    <n v="0"/>
    <m/>
    <m/>
    <n v="0"/>
    <m/>
    <m/>
    <n v="0"/>
    <s v=""/>
    <n v="0"/>
    <n v="0"/>
    <n v="0"/>
    <n v="116.88487613461319"/>
    <n v="2225"/>
    <n v="71535.307499999995"/>
    <n v="0"/>
    <n v="0"/>
    <n v="0"/>
    <n v="0"/>
    <n v="0"/>
    <n v="0"/>
  </r>
  <r>
    <x v="25"/>
    <x v="22"/>
    <x v="3"/>
    <m/>
    <m/>
    <n v="0"/>
    <m/>
    <m/>
    <n v="0"/>
    <m/>
    <m/>
    <n v="0"/>
    <s v=""/>
    <n v="0"/>
    <n v="0"/>
    <n v="0"/>
    <n v="116.88487613461319"/>
    <n v="2225"/>
    <n v="71535.307499999995"/>
    <n v="0"/>
    <n v="0"/>
    <n v="0"/>
    <n v="0"/>
    <n v="0"/>
    <n v="0"/>
  </r>
  <r>
    <x v="26"/>
    <x v="22"/>
    <x v="3"/>
    <m/>
    <m/>
    <n v="0"/>
    <m/>
    <m/>
    <n v="0"/>
    <m/>
    <m/>
    <n v="0"/>
    <s v=""/>
    <n v="0"/>
    <n v="0"/>
    <n v="0"/>
    <n v="116.88487613461319"/>
    <n v="2225"/>
    <n v="71535.307499999995"/>
    <n v="0"/>
    <n v="0"/>
    <n v="0"/>
    <n v="0"/>
    <n v="0"/>
    <n v="0"/>
  </r>
  <r>
    <x v="27"/>
    <x v="22"/>
    <x v="3"/>
    <m/>
    <m/>
    <n v="0"/>
    <m/>
    <m/>
    <n v="0"/>
    <m/>
    <m/>
    <n v="0"/>
    <s v=""/>
    <n v="0"/>
    <n v="0"/>
    <n v="0"/>
    <n v="116.88487613461319"/>
    <n v="2225"/>
    <n v="71535.307499999995"/>
    <n v="0"/>
    <n v="0"/>
    <n v="0"/>
    <n v="0"/>
    <n v="0"/>
    <n v="0"/>
  </r>
  <r>
    <x v="28"/>
    <x v="22"/>
    <x v="3"/>
    <m/>
    <m/>
    <n v="0"/>
    <m/>
    <m/>
    <n v="0"/>
    <m/>
    <m/>
    <n v="0"/>
    <s v=""/>
    <n v="0"/>
    <n v="0"/>
    <n v="0"/>
    <n v="116.88487613461319"/>
    <n v="2225"/>
    <n v="71535.307499999995"/>
    <n v="0"/>
    <n v="0"/>
    <n v="0"/>
    <n v="0"/>
    <n v="0"/>
    <n v="0"/>
  </r>
  <r>
    <x v="29"/>
    <x v="22"/>
    <x v="3"/>
    <m/>
    <m/>
    <n v="0"/>
    <m/>
    <m/>
    <n v="0"/>
    <m/>
    <m/>
    <n v="0"/>
    <s v=""/>
    <n v="0"/>
    <n v="0"/>
    <n v="0"/>
    <n v="116.88487613461319"/>
    <n v="2225"/>
    <n v="71535.307499999995"/>
    <n v="0"/>
    <n v="0"/>
    <n v="0"/>
    <n v="0"/>
    <n v="0"/>
    <n v="0"/>
  </r>
  <r>
    <x v="30"/>
    <x v="22"/>
    <x v="3"/>
    <m/>
    <m/>
    <n v="0"/>
    <m/>
    <m/>
    <n v="0"/>
    <m/>
    <m/>
    <n v="0"/>
    <s v=""/>
    <n v="0"/>
    <n v="0"/>
    <n v="0"/>
    <n v="116.88487613461319"/>
    <n v="2225"/>
    <n v="71535.307499999995"/>
    <n v="0"/>
    <n v="0"/>
    <n v="0"/>
    <n v="0"/>
    <n v="0"/>
    <n v="0"/>
  </r>
  <r>
    <x v="31"/>
    <x v="22"/>
    <x v="3"/>
    <m/>
    <m/>
    <n v="0"/>
    <m/>
    <m/>
    <n v="0"/>
    <m/>
    <m/>
    <n v="0"/>
    <s v=""/>
    <n v="0"/>
    <n v="0"/>
    <n v="0"/>
    <n v="116.88487613461319"/>
    <n v="2225"/>
    <n v="71535.307499999995"/>
    <n v="0"/>
    <n v="0"/>
    <n v="0"/>
    <n v="0"/>
    <n v="0"/>
    <n v="0"/>
  </r>
  <r>
    <x v="32"/>
    <x v="22"/>
    <x v="3"/>
    <m/>
    <m/>
    <n v="0"/>
    <m/>
    <m/>
    <n v="0"/>
    <m/>
    <m/>
    <n v="0"/>
    <s v=""/>
    <n v="0"/>
    <n v="0"/>
    <n v="0"/>
    <n v="116.88487613461319"/>
    <n v="2225"/>
    <n v="71535.307499999995"/>
    <n v="0"/>
    <n v="0"/>
    <n v="0"/>
    <n v="0"/>
    <n v="0"/>
    <n v="0"/>
  </r>
  <r>
    <x v="33"/>
    <x v="22"/>
    <x v="3"/>
    <m/>
    <m/>
    <n v="0"/>
    <m/>
    <m/>
    <n v="0"/>
    <m/>
    <m/>
    <n v="0"/>
    <s v=""/>
    <n v="0"/>
    <n v="0"/>
    <n v="0"/>
    <n v="116.88487613461319"/>
    <n v="2225"/>
    <n v="71535.307499999995"/>
    <n v="0"/>
    <n v="0"/>
    <n v="0"/>
    <n v="0"/>
    <n v="0"/>
    <n v="0"/>
  </r>
  <r>
    <x v="34"/>
    <x v="22"/>
    <x v="3"/>
    <m/>
    <m/>
    <n v="0"/>
    <m/>
    <m/>
    <n v="0"/>
    <m/>
    <m/>
    <n v="0"/>
    <s v=""/>
    <n v="0"/>
    <n v="0"/>
    <n v="0"/>
    <n v="116.88487613461319"/>
    <n v="2225"/>
    <n v="71535.307499999995"/>
    <n v="0"/>
    <n v="0"/>
    <n v="0"/>
    <n v="0"/>
    <n v="0"/>
    <n v="0"/>
  </r>
  <r>
    <x v="35"/>
    <x v="22"/>
    <x v="3"/>
    <m/>
    <m/>
    <n v="0"/>
    <m/>
    <m/>
    <n v="0"/>
    <m/>
    <m/>
    <n v="0"/>
    <s v=""/>
    <n v="0"/>
    <n v="0"/>
    <n v="0"/>
    <n v="116.88487613461319"/>
    <n v="2225"/>
    <n v="71535.307499999995"/>
    <n v="0"/>
    <n v="0"/>
    <n v="0"/>
    <n v="0"/>
    <n v="0"/>
    <n v="0"/>
  </r>
  <r>
    <x v="36"/>
    <x v="22"/>
    <x v="3"/>
    <m/>
    <m/>
    <n v="0"/>
    <m/>
    <m/>
    <n v="0"/>
    <m/>
    <m/>
    <n v="0"/>
    <s v=""/>
    <n v="0"/>
    <n v="0"/>
    <n v="0"/>
    <n v="116.88487613461319"/>
    <n v="2225"/>
    <n v="71535.307499999995"/>
    <n v="0"/>
    <n v="0"/>
    <n v="0"/>
    <n v="0"/>
    <n v="0"/>
    <n v="0"/>
  </r>
  <r>
    <x v="37"/>
    <x v="22"/>
    <x v="3"/>
    <m/>
    <m/>
    <n v="0"/>
    <m/>
    <m/>
    <n v="0"/>
    <m/>
    <m/>
    <n v="0"/>
    <s v=""/>
    <n v="0"/>
    <n v="0"/>
    <n v="0"/>
    <n v="116.88487613461319"/>
    <n v="2225"/>
    <n v="71535.307499999995"/>
    <n v="0"/>
    <n v="0"/>
    <n v="0"/>
    <n v="0"/>
    <n v="0"/>
    <n v="0"/>
  </r>
  <r>
    <x v="38"/>
    <x v="22"/>
    <x v="3"/>
    <m/>
    <m/>
    <n v="0"/>
    <m/>
    <m/>
    <n v="0"/>
    <m/>
    <m/>
    <n v="0"/>
    <s v=""/>
    <n v="0"/>
    <n v="0"/>
    <n v="0"/>
    <n v="116.88487613461319"/>
    <n v="2225"/>
    <n v="71535.307499999995"/>
    <n v="0"/>
    <n v="0"/>
    <n v="0"/>
    <n v="0"/>
    <n v="0"/>
    <n v="0"/>
  </r>
  <r>
    <x v="39"/>
    <x v="22"/>
    <x v="3"/>
    <m/>
    <m/>
    <n v="0"/>
    <m/>
    <m/>
    <n v="0"/>
    <m/>
    <m/>
    <n v="0"/>
    <s v=""/>
    <n v="0"/>
    <n v="0"/>
    <n v="0"/>
    <n v="116.88487613461319"/>
    <n v="2225"/>
    <n v="71535.307499999995"/>
    <n v="0"/>
    <n v="0"/>
    <n v="0"/>
    <n v="0"/>
    <n v="0"/>
    <n v="0"/>
  </r>
  <r>
    <x v="40"/>
    <x v="22"/>
    <x v="3"/>
    <m/>
    <m/>
    <n v="0"/>
    <m/>
    <m/>
    <n v="0"/>
    <m/>
    <m/>
    <n v="0"/>
    <s v=""/>
    <n v="0"/>
    <n v="0"/>
    <n v="0"/>
    <n v="116.88487613461319"/>
    <n v="2225"/>
    <n v="71535.307499999995"/>
    <n v="0"/>
    <n v="0"/>
    <n v="0"/>
    <n v="0"/>
    <n v="0"/>
    <n v="0"/>
  </r>
  <r>
    <x v="41"/>
    <x v="22"/>
    <x v="3"/>
    <m/>
    <m/>
    <n v="0"/>
    <m/>
    <m/>
    <n v="0"/>
    <m/>
    <m/>
    <n v="0"/>
    <s v=""/>
    <n v="0"/>
    <n v="0"/>
    <n v="0"/>
    <n v="116.88487613461319"/>
    <n v="2225"/>
    <n v="71535.307499999995"/>
    <n v="0"/>
    <n v="0"/>
    <n v="0"/>
    <n v="0"/>
    <n v="0"/>
    <n v="0"/>
  </r>
  <r>
    <x v="42"/>
    <x v="22"/>
    <x v="3"/>
    <m/>
    <m/>
    <n v="0"/>
    <m/>
    <m/>
    <n v="0"/>
    <m/>
    <m/>
    <n v="0"/>
    <s v=""/>
    <n v="0"/>
    <n v="0"/>
    <n v="0"/>
    <n v="116.88487613461319"/>
    <n v="2225"/>
    <n v="71535.307499999995"/>
    <n v="0"/>
    <n v="0"/>
    <n v="0"/>
    <n v="0"/>
    <n v="0"/>
    <n v="0"/>
  </r>
  <r>
    <x v="43"/>
    <x v="22"/>
    <x v="3"/>
    <m/>
    <m/>
    <n v="0"/>
    <m/>
    <m/>
    <n v="0"/>
    <m/>
    <m/>
    <n v="0"/>
    <s v=""/>
    <n v="0"/>
    <n v="0"/>
    <n v="0"/>
    <n v="116.88487613461319"/>
    <n v="2225"/>
    <n v="71535.307499999995"/>
    <n v="0"/>
    <n v="0"/>
    <n v="0"/>
    <n v="0"/>
    <n v="0"/>
    <n v="0"/>
  </r>
  <r>
    <x v="44"/>
    <x v="22"/>
    <x v="3"/>
    <m/>
    <m/>
    <n v="0"/>
    <m/>
    <m/>
    <n v="0"/>
    <m/>
    <m/>
    <n v="0"/>
    <s v=""/>
    <n v="0"/>
    <n v="0"/>
    <n v="0"/>
    <n v="116.88487613461319"/>
    <n v="2225"/>
    <n v="71535.307499999995"/>
    <n v="0"/>
    <n v="0"/>
    <n v="0"/>
    <n v="0"/>
    <n v="0"/>
    <n v="0"/>
  </r>
  <r>
    <x v="45"/>
    <x v="22"/>
    <x v="3"/>
    <m/>
    <m/>
    <n v="0"/>
    <m/>
    <m/>
    <n v="0"/>
    <m/>
    <m/>
    <n v="0"/>
    <s v=""/>
    <n v="0"/>
    <n v="0"/>
    <n v="0"/>
    <n v="116.88487613461319"/>
    <n v="2225"/>
    <n v="71535.307499999995"/>
    <n v="0"/>
    <n v="0"/>
    <n v="0"/>
    <n v="0"/>
    <n v="0"/>
    <n v="0"/>
  </r>
  <r>
    <x v="46"/>
    <x v="22"/>
    <x v="3"/>
    <m/>
    <m/>
    <m/>
    <m/>
    <m/>
    <m/>
    <m/>
    <m/>
    <m/>
    <m/>
    <m/>
    <m/>
    <m/>
    <m/>
    <m/>
    <m/>
    <m/>
    <m/>
    <m/>
    <m/>
    <m/>
    <m/>
  </r>
  <r>
    <x v="47"/>
    <x v="22"/>
    <x v="3"/>
    <m/>
    <m/>
    <n v="0"/>
    <m/>
    <m/>
    <n v="0"/>
    <m/>
    <m/>
    <m/>
    <m/>
    <m/>
    <m/>
    <m/>
    <m/>
    <m/>
    <m/>
    <m/>
    <m/>
    <m/>
    <m/>
    <m/>
    <m/>
  </r>
  <r>
    <x v="48"/>
    <x v="22"/>
    <x v="3"/>
    <m/>
    <m/>
    <n v="0"/>
    <m/>
    <m/>
    <n v="0"/>
    <m/>
    <m/>
    <m/>
    <m/>
    <m/>
    <m/>
    <m/>
    <m/>
    <m/>
    <m/>
    <m/>
    <m/>
    <m/>
    <m/>
    <m/>
    <m/>
  </r>
  <r>
    <x v="49"/>
    <x v="22"/>
    <x v="3"/>
    <m/>
    <m/>
    <n v="0"/>
    <m/>
    <m/>
    <n v="0"/>
    <m/>
    <m/>
    <n v="0"/>
    <s v=""/>
    <n v="0"/>
    <n v="0"/>
    <n v="0"/>
    <n v="116.88487613461319"/>
    <n v="2225"/>
    <n v="71535.307499999995"/>
    <n v="0"/>
    <n v="0"/>
    <n v="0"/>
    <n v="0"/>
    <n v="0"/>
    <n v="0"/>
  </r>
  <r>
    <x v="50"/>
    <x v="22"/>
    <x v="4"/>
    <m/>
    <m/>
    <n v="0"/>
    <m/>
    <m/>
    <n v="0"/>
    <m/>
    <m/>
    <n v="0"/>
    <s v=""/>
    <n v="0"/>
    <n v="0"/>
    <n v="0"/>
    <n v="116.88487613461319"/>
    <n v="2225"/>
    <n v="71535.307499999995"/>
    <n v="0"/>
    <n v="0"/>
    <n v="0"/>
    <n v="0"/>
    <n v="0"/>
    <n v="0"/>
  </r>
  <r>
    <x v="51"/>
    <x v="22"/>
    <x v="4"/>
    <m/>
    <m/>
    <n v="0"/>
    <m/>
    <m/>
    <n v="0"/>
    <m/>
    <m/>
    <n v="0"/>
    <s v=""/>
    <n v="0"/>
    <n v="0"/>
    <n v="0"/>
    <n v="116.88487613461319"/>
    <n v="2225"/>
    <n v="71535.307499999995"/>
    <n v="0"/>
    <n v="0"/>
    <n v="0"/>
    <n v="0"/>
    <n v="0"/>
    <n v="0"/>
  </r>
  <r>
    <x v="52"/>
    <x v="22"/>
    <x v="4"/>
    <m/>
    <m/>
    <n v="0"/>
    <m/>
    <m/>
    <n v="0"/>
    <m/>
    <m/>
    <n v="0"/>
    <s v=""/>
    <n v="0"/>
    <n v="0"/>
    <n v="0"/>
    <n v="116.88487613461319"/>
    <n v="2225"/>
    <n v="71535.307499999995"/>
    <n v="0"/>
    <n v="0"/>
    <n v="0"/>
    <n v="0"/>
    <n v="0"/>
    <n v="0"/>
  </r>
  <r>
    <x v="53"/>
    <x v="22"/>
    <x v="4"/>
    <m/>
    <m/>
    <n v="0"/>
    <m/>
    <m/>
    <n v="0"/>
    <m/>
    <m/>
    <n v="0"/>
    <s v=""/>
    <n v="0"/>
    <n v="0"/>
    <n v="0"/>
    <n v="116.88487613461319"/>
    <n v="2225"/>
    <n v="71535.307499999995"/>
    <n v="0"/>
    <n v="0"/>
    <n v="0"/>
    <n v="0"/>
    <n v="0"/>
    <n v="0"/>
  </r>
  <r>
    <x v="54"/>
    <x v="22"/>
    <x v="4"/>
    <m/>
    <m/>
    <n v="0"/>
    <m/>
    <m/>
    <n v="0"/>
    <m/>
    <m/>
    <n v="0"/>
    <s v=""/>
    <n v="0"/>
    <n v="0"/>
    <n v="0"/>
    <n v="116.88487613461319"/>
    <n v="2225"/>
    <n v="71535.307499999995"/>
    <n v="0"/>
    <n v="0"/>
    <n v="0"/>
    <n v="0"/>
    <n v="0"/>
    <n v="0"/>
  </r>
  <r>
    <x v="55"/>
    <x v="22"/>
    <x v="4"/>
    <m/>
    <m/>
    <n v="0"/>
    <m/>
    <m/>
    <n v="0"/>
    <m/>
    <m/>
    <n v="0"/>
    <s v=""/>
    <n v="0"/>
    <n v="0"/>
    <n v="0"/>
    <n v="116.88487613461319"/>
    <n v="2225"/>
    <n v="71535.307499999995"/>
    <n v="0"/>
    <n v="0"/>
    <n v="0"/>
    <n v="0"/>
    <n v="0"/>
    <n v="0"/>
  </r>
  <r>
    <x v="56"/>
    <x v="22"/>
    <x v="4"/>
    <m/>
    <m/>
    <n v="0"/>
    <m/>
    <m/>
    <n v="0"/>
    <m/>
    <m/>
    <n v="0"/>
    <s v=""/>
    <n v="0"/>
    <n v="0"/>
    <n v="0"/>
    <n v="116.88487613461319"/>
    <n v="2225"/>
    <n v="71535.307499999995"/>
    <n v="0"/>
    <n v="0"/>
    <n v="0"/>
    <n v="0"/>
    <n v="0"/>
    <n v="0"/>
  </r>
  <r>
    <x v="57"/>
    <x v="22"/>
    <x v="4"/>
    <m/>
    <m/>
    <n v="0"/>
    <m/>
    <m/>
    <n v="0"/>
    <m/>
    <m/>
    <n v="0"/>
    <s v=""/>
    <n v="0"/>
    <n v="0"/>
    <n v="0"/>
    <n v="116.88487613461319"/>
    <n v="2225"/>
    <n v="71535.307499999995"/>
    <n v="0"/>
    <n v="0"/>
    <n v="0"/>
    <n v="0"/>
    <n v="0"/>
    <n v="0"/>
  </r>
  <r>
    <x v="58"/>
    <x v="22"/>
    <x v="4"/>
    <m/>
    <m/>
    <n v="0"/>
    <m/>
    <m/>
    <n v="0"/>
    <m/>
    <m/>
    <n v="0"/>
    <s v=""/>
    <n v="0"/>
    <n v="0"/>
    <n v="0"/>
    <n v="116.88487613461319"/>
    <n v="2225"/>
    <n v="71535.307499999995"/>
    <n v="0"/>
    <n v="0"/>
    <n v="0"/>
    <n v="0"/>
    <n v="0"/>
    <n v="0"/>
  </r>
  <r>
    <x v="59"/>
    <x v="22"/>
    <x v="4"/>
    <m/>
    <m/>
    <n v="0"/>
    <m/>
    <m/>
    <n v="0"/>
    <m/>
    <m/>
    <n v="0"/>
    <s v=""/>
    <n v="0"/>
    <n v="0"/>
    <n v="0"/>
    <n v="116.88487613461319"/>
    <n v="2225"/>
    <n v="71535.307499999995"/>
    <n v="0"/>
    <n v="0"/>
    <n v="0"/>
    <n v="0"/>
    <n v="0"/>
    <n v="0"/>
  </r>
  <r>
    <x v="60"/>
    <x v="22"/>
    <x v="4"/>
    <m/>
    <m/>
    <n v="0"/>
    <m/>
    <m/>
    <n v="0"/>
    <m/>
    <m/>
    <n v="0"/>
    <s v=""/>
    <n v="0"/>
    <n v="0"/>
    <n v="0"/>
    <n v="116.88487613461319"/>
    <n v="2225"/>
    <n v="71535.307499999995"/>
    <n v="0"/>
    <n v="0"/>
    <n v="0"/>
    <n v="0"/>
    <n v="0"/>
    <n v="0"/>
  </r>
  <r>
    <x v="61"/>
    <x v="22"/>
    <x v="4"/>
    <m/>
    <m/>
    <n v="0"/>
    <m/>
    <m/>
    <n v="0"/>
    <m/>
    <m/>
    <n v="0"/>
    <s v=""/>
    <n v="0"/>
    <n v="0"/>
    <n v="0"/>
    <n v="116.88487613461319"/>
    <n v="2225"/>
    <n v="71535.307499999995"/>
    <n v="0"/>
    <n v="0"/>
    <n v="0"/>
    <n v="0"/>
    <n v="0"/>
    <n v="0"/>
  </r>
  <r>
    <x v="62"/>
    <x v="22"/>
    <x v="4"/>
    <m/>
    <m/>
    <n v="0"/>
    <m/>
    <m/>
    <n v="0"/>
    <m/>
    <m/>
    <n v="0"/>
    <s v=""/>
    <n v="0"/>
    <n v="0"/>
    <n v="0"/>
    <n v="116.88487613461319"/>
    <n v="2225"/>
    <n v="71535.307499999995"/>
    <n v="0"/>
    <n v="0"/>
    <n v="0"/>
    <n v="0"/>
    <n v="0"/>
    <n v="0"/>
  </r>
  <r>
    <x v="63"/>
    <x v="22"/>
    <x v="4"/>
    <m/>
    <m/>
    <n v="0"/>
    <m/>
    <m/>
    <n v="0"/>
    <m/>
    <m/>
    <n v="0"/>
    <s v=""/>
    <n v="0"/>
    <n v="0"/>
    <n v="0"/>
    <n v="116.88487613461319"/>
    <n v="2225"/>
    <n v="71535.307499999995"/>
    <n v="0"/>
    <n v="0"/>
    <n v="0"/>
    <n v="0"/>
    <n v="0"/>
    <n v="0"/>
  </r>
  <r>
    <x v="64"/>
    <x v="22"/>
    <x v="4"/>
    <n v="1872"/>
    <n v="1.6"/>
    <n v="2.9952000000000001"/>
    <m/>
    <m/>
    <n v="0"/>
    <m/>
    <m/>
    <n v="0"/>
    <s v=""/>
    <n v="0"/>
    <n v="0"/>
    <n v="0"/>
    <n v="116.88487613461319"/>
    <n v="2225"/>
    <n v="71535.307499999995"/>
    <n v="0"/>
    <n v="0"/>
    <n v="0"/>
    <n v="0"/>
    <n v="0"/>
    <n v="0"/>
  </r>
  <r>
    <x v="65"/>
    <x v="22"/>
    <x v="4"/>
    <m/>
    <m/>
    <n v="0"/>
    <m/>
    <m/>
    <n v="0"/>
    <m/>
    <m/>
    <n v="0"/>
    <s v=""/>
    <n v="0"/>
    <n v="0"/>
    <n v="0"/>
    <n v="116.88487613461319"/>
    <n v="2225"/>
    <n v="71535.307499999995"/>
    <n v="0"/>
    <n v="0"/>
    <n v="0"/>
    <n v="0"/>
    <n v="0"/>
    <n v="0"/>
  </r>
  <r>
    <x v="66"/>
    <x v="22"/>
    <x v="4"/>
    <m/>
    <m/>
    <n v="0"/>
    <m/>
    <m/>
    <n v="0"/>
    <m/>
    <m/>
    <n v="0"/>
    <s v=""/>
    <n v="0"/>
    <n v="0"/>
    <n v="0"/>
    <n v="116.88487613461319"/>
    <n v="2225"/>
    <n v="71535.307499999995"/>
    <n v="0"/>
    <n v="0"/>
    <n v="0"/>
    <n v="0"/>
    <n v="0"/>
    <n v="0"/>
  </r>
  <r>
    <x v="67"/>
    <x v="22"/>
    <x v="4"/>
    <m/>
    <m/>
    <n v="0"/>
    <m/>
    <m/>
    <n v="0"/>
    <m/>
    <m/>
    <n v="0"/>
    <s v=""/>
    <n v="0"/>
    <n v="0"/>
    <n v="0"/>
    <n v="116.88487613461319"/>
    <n v="2225"/>
    <n v="71535.307499999995"/>
    <n v="0"/>
    <n v="0"/>
    <n v="0"/>
    <n v="0"/>
    <n v="0"/>
    <n v="0"/>
  </r>
  <r>
    <x v="68"/>
    <x v="22"/>
    <x v="4"/>
    <m/>
    <m/>
    <n v="0"/>
    <m/>
    <m/>
    <n v="0"/>
    <m/>
    <m/>
    <n v="0"/>
    <s v=""/>
    <n v="0"/>
    <n v="0"/>
    <n v="0"/>
    <n v="116.88487613461319"/>
    <n v="2225"/>
    <n v="71535.307499999995"/>
    <n v="0"/>
    <n v="0"/>
    <n v="0"/>
    <n v="0"/>
    <n v="0"/>
    <n v="0"/>
  </r>
  <r>
    <x v="69"/>
    <x v="22"/>
    <x v="4"/>
    <n v="1416"/>
    <n v="3.97"/>
    <n v="5.6215200000000003"/>
    <m/>
    <m/>
    <n v="0"/>
    <m/>
    <m/>
    <n v="0"/>
    <s v=""/>
    <n v="0"/>
    <n v="0"/>
    <n v="0"/>
    <n v="116.88487613461319"/>
    <n v="2225"/>
    <n v="71535.307499999995"/>
    <n v="0"/>
    <n v="0"/>
    <n v="0"/>
    <n v="0"/>
    <n v="0"/>
    <n v="0"/>
  </r>
  <r>
    <x v="70"/>
    <x v="22"/>
    <x v="5"/>
    <n v="2809"/>
    <n v="2.83"/>
    <n v="7.9494699999999998"/>
    <m/>
    <m/>
    <n v="0"/>
    <m/>
    <m/>
    <n v="0"/>
    <s v=""/>
    <n v="0"/>
    <n v="0"/>
    <n v="0"/>
    <n v="116.88487613461319"/>
    <n v="2225"/>
    <n v="71535.307499999995"/>
    <n v="0"/>
    <n v="0"/>
    <n v="0"/>
    <n v="0"/>
    <n v="0"/>
    <n v="0"/>
  </r>
  <r>
    <x v="71"/>
    <x v="22"/>
    <x v="5"/>
    <m/>
    <m/>
    <n v="0"/>
    <m/>
    <m/>
    <n v="0"/>
    <m/>
    <m/>
    <n v="0"/>
    <s v=""/>
    <n v="0"/>
    <n v="0"/>
    <n v="0"/>
    <n v="116.88487613461319"/>
    <n v="2225"/>
    <n v="71535.307499999995"/>
    <n v="0"/>
    <n v="0"/>
    <n v="0"/>
    <n v="0"/>
    <n v="0"/>
    <n v="0"/>
  </r>
  <r>
    <x v="72"/>
    <x v="22"/>
    <x v="5"/>
    <m/>
    <m/>
    <n v="0"/>
    <m/>
    <m/>
    <n v="0"/>
    <m/>
    <m/>
    <m/>
    <m/>
    <m/>
    <m/>
    <m/>
    <m/>
    <m/>
    <m/>
    <m/>
    <m/>
    <m/>
    <m/>
    <m/>
    <m/>
  </r>
  <r>
    <x v="73"/>
    <x v="22"/>
    <x v="5"/>
    <m/>
    <m/>
    <n v="0"/>
    <m/>
    <m/>
    <n v="0"/>
    <m/>
    <m/>
    <m/>
    <m/>
    <m/>
    <m/>
    <m/>
    <m/>
    <m/>
    <m/>
    <m/>
    <m/>
    <m/>
    <m/>
    <m/>
    <m/>
  </r>
  <r>
    <x v="74"/>
    <x v="22"/>
    <x v="5"/>
    <m/>
    <m/>
    <n v="0"/>
    <m/>
    <m/>
    <n v="0"/>
    <m/>
    <m/>
    <m/>
    <m/>
    <m/>
    <m/>
    <m/>
    <m/>
    <m/>
    <m/>
    <m/>
    <m/>
    <m/>
    <m/>
    <m/>
    <m/>
  </r>
  <r>
    <x v="75"/>
    <x v="22"/>
    <x v="5"/>
    <n v="2809"/>
    <n v="2.31"/>
    <n v="6.4887899999999998"/>
    <m/>
    <m/>
    <n v="0"/>
    <m/>
    <m/>
    <n v="0"/>
    <s v=""/>
    <n v="0"/>
    <n v="0"/>
    <n v="0"/>
    <n v="116.88487613461319"/>
    <n v="2225"/>
    <n v="71535.307499999995"/>
    <n v="0"/>
    <n v="0"/>
    <n v="0"/>
    <n v="0"/>
    <n v="0"/>
    <n v="0"/>
  </r>
  <r>
    <x v="76"/>
    <x v="22"/>
    <x v="5"/>
    <m/>
    <m/>
    <n v="0"/>
    <m/>
    <m/>
    <n v="0"/>
    <m/>
    <m/>
    <m/>
    <m/>
    <m/>
    <m/>
    <m/>
    <m/>
    <m/>
    <m/>
    <m/>
    <m/>
    <m/>
    <m/>
    <m/>
    <m/>
  </r>
  <r>
    <x v="77"/>
    <x v="22"/>
    <x v="5"/>
    <m/>
    <m/>
    <n v="0"/>
    <m/>
    <m/>
    <n v="0"/>
    <m/>
    <m/>
    <n v="0"/>
    <s v=""/>
    <n v="0"/>
    <n v="0"/>
    <n v="0"/>
    <n v="116.88487613461319"/>
    <n v="2225"/>
    <n v="71535.307499999995"/>
    <n v="0"/>
    <n v="0"/>
    <n v="0"/>
    <n v="0"/>
    <n v="0"/>
    <n v="0"/>
  </r>
  <r>
    <x v="78"/>
    <x v="22"/>
    <x v="5"/>
    <m/>
    <m/>
    <n v="0"/>
    <m/>
    <m/>
    <n v="0"/>
    <m/>
    <m/>
    <n v="0"/>
    <s v=""/>
    <n v="0"/>
    <n v="0"/>
    <n v="0"/>
    <n v="116.88487613461319"/>
    <n v="2225"/>
    <n v="71535.307499999995"/>
    <n v="0"/>
    <n v="0"/>
    <n v="0"/>
    <n v="0"/>
    <n v="0"/>
    <n v="0"/>
  </r>
  <r>
    <x v="79"/>
    <x v="22"/>
    <x v="5"/>
    <m/>
    <m/>
    <n v="0"/>
    <m/>
    <m/>
    <n v="0"/>
    <m/>
    <m/>
    <n v="0"/>
    <s v=""/>
    <n v="0"/>
    <n v="0"/>
    <n v="0"/>
    <n v="116.88487613461319"/>
    <n v="2225"/>
    <n v="71535.307499999995"/>
    <n v="0"/>
    <n v="0"/>
    <n v="0"/>
    <n v="0"/>
    <n v="0"/>
    <n v="0"/>
  </r>
  <r>
    <x v="80"/>
    <x v="22"/>
    <x v="5"/>
    <m/>
    <m/>
    <n v="0"/>
    <m/>
    <m/>
    <n v="0"/>
    <m/>
    <m/>
    <n v="0"/>
    <s v=""/>
    <n v="0"/>
    <n v="0"/>
    <n v="0"/>
    <n v="116.88487613461319"/>
    <n v="2225"/>
    <n v="71535.307499999995"/>
    <n v="0"/>
    <n v="0"/>
    <n v="0"/>
    <n v="0"/>
    <n v="0"/>
    <n v="0"/>
  </r>
  <r>
    <x v="81"/>
    <x v="22"/>
    <x v="5"/>
    <m/>
    <m/>
    <n v="0"/>
    <m/>
    <m/>
    <n v="0"/>
    <m/>
    <m/>
    <n v="0"/>
    <s v=""/>
    <n v="0"/>
    <n v="0"/>
    <n v="0"/>
    <n v="116.88487613461319"/>
    <n v="2225"/>
    <n v="71535.307499999995"/>
    <n v="0"/>
    <n v="0"/>
    <n v="0"/>
    <n v="0"/>
    <n v="0"/>
    <n v="0"/>
  </r>
  <r>
    <x v="82"/>
    <x v="22"/>
    <x v="5"/>
    <m/>
    <m/>
    <n v="0"/>
    <m/>
    <m/>
    <n v="0"/>
    <m/>
    <m/>
    <n v="0"/>
    <s v=""/>
    <n v="0"/>
    <n v="0"/>
    <n v="0"/>
    <n v="116.88487613461319"/>
    <n v="2225"/>
    <n v="71535.307499999995"/>
    <n v="0"/>
    <n v="0"/>
    <n v="0"/>
    <n v="0"/>
    <n v="0"/>
    <n v="0"/>
  </r>
  <r>
    <x v="83"/>
    <x v="22"/>
    <x v="5"/>
    <m/>
    <m/>
    <n v="0"/>
    <m/>
    <m/>
    <n v="0"/>
    <m/>
    <m/>
    <n v="0"/>
    <s v=""/>
    <n v="0"/>
    <n v="0"/>
    <n v="0"/>
    <n v="116.88487613461319"/>
    <n v="2225"/>
    <n v="71535.307499999995"/>
    <n v="0"/>
    <n v="0"/>
    <n v="0"/>
    <n v="0"/>
    <n v="0"/>
    <n v="0"/>
  </r>
  <r>
    <x v="84"/>
    <x v="22"/>
    <x v="5"/>
    <m/>
    <m/>
    <n v="0"/>
    <m/>
    <m/>
    <n v="0"/>
    <m/>
    <m/>
    <n v="0"/>
    <s v=""/>
    <n v="0"/>
    <n v="0"/>
    <n v="0"/>
    <n v="116.88487613461319"/>
    <n v="2225"/>
    <n v="71535.307499999995"/>
    <n v="0"/>
    <n v="0"/>
    <n v="0"/>
    <n v="0"/>
    <n v="0"/>
    <n v="0"/>
  </r>
  <r>
    <x v="85"/>
    <x v="22"/>
    <x v="5"/>
    <m/>
    <m/>
    <n v="0"/>
    <m/>
    <m/>
    <n v="0"/>
    <m/>
    <m/>
    <n v="0"/>
    <s v=""/>
    <n v="0"/>
    <n v="0"/>
    <n v="0"/>
    <n v="116.88487613461319"/>
    <n v="2225"/>
    <n v="71535.307499999995"/>
    <n v="0"/>
    <n v="0"/>
    <n v="0"/>
    <n v="0"/>
    <n v="0"/>
    <n v="0"/>
  </r>
  <r>
    <x v="86"/>
    <x v="22"/>
    <x v="5"/>
    <m/>
    <m/>
    <n v="0"/>
    <m/>
    <m/>
    <n v="0"/>
    <m/>
    <m/>
    <n v="0"/>
    <s v=""/>
    <n v="0"/>
    <n v="0"/>
    <n v="0"/>
    <n v="116.88487613461319"/>
    <n v="2225"/>
    <n v="71535.307499999995"/>
    <n v="0"/>
    <n v="0"/>
    <n v="0"/>
    <n v="0"/>
    <n v="0"/>
    <n v="0"/>
  </r>
  <r>
    <x v="87"/>
    <x v="22"/>
    <x v="5"/>
    <m/>
    <m/>
    <n v="0"/>
    <m/>
    <m/>
    <n v="0"/>
    <m/>
    <m/>
    <n v="0"/>
    <s v=""/>
    <n v="0"/>
    <n v="0"/>
    <n v="0"/>
    <n v="116.88487613461319"/>
    <n v="2225"/>
    <n v="71535.307499999995"/>
    <n v="0"/>
    <n v="0"/>
    <n v="0"/>
    <n v="0"/>
    <n v="0"/>
    <n v="0"/>
  </r>
  <r>
    <x v="88"/>
    <x v="22"/>
    <x v="5"/>
    <m/>
    <m/>
    <n v="0"/>
    <m/>
    <m/>
    <n v="0"/>
    <m/>
    <m/>
    <n v="0"/>
    <s v=""/>
    <n v="0"/>
    <n v="0"/>
    <n v="0"/>
    <n v="116.88487613461319"/>
    <n v="2225"/>
    <n v="71535.307499999995"/>
    <n v="0"/>
    <n v="0"/>
    <n v="0"/>
    <n v="0"/>
    <n v="0"/>
    <n v="0"/>
  </r>
  <r>
    <x v="89"/>
    <x v="22"/>
    <x v="5"/>
    <m/>
    <m/>
    <n v="0"/>
    <m/>
    <m/>
    <n v="0"/>
    <m/>
    <m/>
    <n v="0"/>
    <s v=""/>
    <n v="0"/>
    <n v="0"/>
    <n v="0"/>
    <n v="116.88487613461319"/>
    <n v="2225"/>
    <n v="71535.307499999995"/>
    <n v="0"/>
    <n v="0"/>
    <n v="0"/>
    <n v="0"/>
    <n v="0"/>
    <n v="0"/>
  </r>
  <r>
    <x v="90"/>
    <x v="22"/>
    <x v="5"/>
    <m/>
    <m/>
    <n v="0"/>
    <m/>
    <m/>
    <n v="0"/>
    <m/>
    <m/>
    <n v="0"/>
    <s v=""/>
    <n v="0"/>
    <n v="0"/>
    <n v="0"/>
    <n v="116.88487613461319"/>
    <n v="2225"/>
    <n v="71535.307499999995"/>
    <n v="0"/>
    <n v="0"/>
    <n v="0"/>
    <n v="0"/>
    <n v="0"/>
    <n v="0"/>
  </r>
  <r>
    <x v="91"/>
    <x v="22"/>
    <x v="5"/>
    <m/>
    <m/>
    <n v="0"/>
    <m/>
    <m/>
    <n v="0"/>
    <m/>
    <m/>
    <n v="0"/>
    <s v=""/>
    <n v="0"/>
    <n v="0"/>
    <n v="0"/>
    <n v="116.88487613461319"/>
    <n v="2225"/>
    <n v="71535.307499999995"/>
    <n v="0"/>
    <n v="0"/>
    <n v="0"/>
    <n v="0"/>
    <n v="0"/>
    <n v="0"/>
  </r>
  <r>
    <x v="92"/>
    <x v="22"/>
    <x v="5"/>
    <n v="1872"/>
    <n v="2.4500000000000002"/>
    <n v="4.5864000000000003"/>
    <m/>
    <m/>
    <n v="0"/>
    <m/>
    <m/>
    <n v="0"/>
    <s v=""/>
    <n v="0"/>
    <n v="0"/>
    <n v="0"/>
    <n v="116.88487613461319"/>
    <n v="2225"/>
    <n v="71535.307499999995"/>
    <n v="0"/>
    <n v="0"/>
    <n v="0"/>
    <n v="0"/>
    <n v="0"/>
    <n v="0"/>
  </r>
  <r>
    <x v="93"/>
    <x v="22"/>
    <x v="5"/>
    <m/>
    <m/>
    <n v="0"/>
    <m/>
    <m/>
    <n v="0"/>
    <m/>
    <m/>
    <n v="0"/>
    <s v=""/>
    <n v="0"/>
    <n v="0"/>
    <n v="0"/>
    <n v="116.88487613461319"/>
    <n v="2225"/>
    <n v="71535.307499999995"/>
    <n v="0"/>
    <n v="0"/>
    <n v="0"/>
    <n v="0"/>
    <n v="0"/>
    <n v="0"/>
  </r>
  <r>
    <x v="94"/>
    <x v="22"/>
    <x v="5"/>
    <m/>
    <m/>
    <n v="0"/>
    <m/>
    <m/>
    <n v="0"/>
    <m/>
    <m/>
    <n v="0"/>
    <s v=""/>
    <n v="0"/>
    <n v="0"/>
    <n v="0"/>
    <n v="116.88487613461319"/>
    <n v="2225"/>
    <n v="71535.307499999995"/>
    <n v="0"/>
    <n v="0"/>
    <n v="0"/>
    <n v="0"/>
    <n v="0"/>
    <n v="0"/>
  </r>
  <r>
    <x v="95"/>
    <x v="22"/>
    <x v="5"/>
    <m/>
    <m/>
    <n v="0"/>
    <m/>
    <m/>
    <n v="0"/>
    <m/>
    <m/>
    <n v="0"/>
    <s v=""/>
    <n v="0"/>
    <n v="0"/>
    <n v="0"/>
    <n v="116.88487613461319"/>
    <n v="2225"/>
    <n v="71535.307499999995"/>
    <n v="0"/>
    <n v="0"/>
    <n v="0"/>
    <n v="0"/>
    <n v="0"/>
    <n v="0"/>
  </r>
  <r>
    <x v="96"/>
    <x v="22"/>
    <x v="5"/>
    <m/>
    <m/>
    <n v="0"/>
    <m/>
    <m/>
    <n v="0"/>
    <m/>
    <m/>
    <n v="0"/>
    <s v=""/>
    <n v="0"/>
    <n v="0"/>
    <n v="0"/>
    <n v="116.88487613461319"/>
    <n v="2225"/>
    <n v="71535.307499999995"/>
    <n v="0"/>
    <n v="0"/>
    <n v="0"/>
    <n v="0"/>
    <n v="0"/>
    <n v="0"/>
  </r>
  <r>
    <x v="97"/>
    <x v="22"/>
    <x v="5"/>
    <m/>
    <m/>
    <n v="0"/>
    <m/>
    <m/>
    <n v="0"/>
    <m/>
    <m/>
    <n v="0"/>
    <s v=""/>
    <n v="0"/>
    <n v="0"/>
    <n v="0"/>
    <n v="116.88487613461319"/>
    <n v="2225"/>
    <n v="71535.307499999995"/>
    <n v="0"/>
    <n v="0"/>
    <n v="0"/>
    <n v="0"/>
    <n v="0"/>
    <n v="0"/>
  </r>
  <r>
    <x v="98"/>
    <x v="22"/>
    <x v="6"/>
    <m/>
    <m/>
    <n v="0"/>
    <m/>
    <m/>
    <n v="0"/>
    <m/>
    <m/>
    <n v="0"/>
    <s v=""/>
    <n v="0"/>
    <n v="0"/>
    <n v="0"/>
    <n v="116.88487613461319"/>
    <n v="2225"/>
    <n v="71535.307499999995"/>
    <n v="0"/>
    <n v="0"/>
    <n v="0"/>
    <n v="0"/>
    <n v="0"/>
    <n v="0"/>
  </r>
  <r>
    <x v="99"/>
    <x v="22"/>
    <x v="6"/>
    <m/>
    <m/>
    <n v="0"/>
    <m/>
    <m/>
    <n v="0"/>
    <m/>
    <m/>
    <n v="0"/>
    <s v=""/>
    <n v="0"/>
    <n v="0"/>
    <n v="0"/>
    <n v="116.88487613461319"/>
    <n v="2225"/>
    <n v="71535.307499999995"/>
    <n v="0"/>
    <n v="0"/>
    <n v="0"/>
    <n v="0"/>
    <n v="0"/>
    <n v="0"/>
  </r>
  <r>
    <x v="100"/>
    <x v="22"/>
    <x v="6"/>
    <m/>
    <m/>
    <n v="0"/>
    <m/>
    <m/>
    <n v="0"/>
    <m/>
    <m/>
    <n v="0"/>
    <s v=""/>
    <n v="0"/>
    <n v="0"/>
    <n v="0"/>
    <n v="116.88487613461319"/>
    <n v="2225"/>
    <n v="71535.307499999995"/>
    <n v="0"/>
    <n v="0"/>
    <n v="0"/>
    <n v="0"/>
    <n v="0"/>
    <n v="0"/>
  </r>
  <r>
    <x v="101"/>
    <x v="22"/>
    <x v="6"/>
    <n v="594"/>
    <n v="2.88"/>
    <n v="1.71072"/>
    <m/>
    <m/>
    <n v="0"/>
    <m/>
    <m/>
    <n v="0"/>
    <s v=""/>
    <n v="0"/>
    <n v="0"/>
    <n v="0"/>
    <n v="116.88487613461319"/>
    <n v="2225"/>
    <n v="71535.307499999995"/>
    <n v="0"/>
    <n v="0"/>
    <n v="0"/>
    <n v="0"/>
    <n v="0"/>
    <n v="0"/>
  </r>
  <r>
    <x v="102"/>
    <x v="22"/>
    <x v="6"/>
    <n v="1872"/>
    <n v="3.61"/>
    <n v="6.7579200000000004"/>
    <m/>
    <m/>
    <n v="0"/>
    <m/>
    <m/>
    <n v="0"/>
    <s v=""/>
    <n v="0"/>
    <n v="0"/>
    <n v="0"/>
    <n v="116.88487613461319"/>
    <n v="2225"/>
    <n v="71535.307499999995"/>
    <n v="0"/>
    <n v="0"/>
    <n v="0"/>
    <n v="0"/>
    <n v="0"/>
    <n v="0"/>
  </r>
  <r>
    <x v="103"/>
    <x v="22"/>
    <x v="6"/>
    <n v="1873"/>
    <n v="2.87"/>
    <n v="5.3755100000000002"/>
    <m/>
    <m/>
    <n v="0"/>
    <m/>
    <m/>
    <n v="0"/>
    <s v=""/>
    <n v="0"/>
    <n v="0"/>
    <n v="0"/>
    <n v="116.88487613461319"/>
    <n v="2225"/>
    <n v="71535.307499999995"/>
    <n v="0"/>
    <n v="0"/>
    <n v="0"/>
    <n v="0"/>
    <n v="0"/>
    <n v="0"/>
  </r>
  <r>
    <x v="104"/>
    <x v="22"/>
    <x v="6"/>
    <n v="2809"/>
    <n v="2.4300000000000002"/>
    <n v="6.825870000000001"/>
    <m/>
    <m/>
    <n v="0"/>
    <m/>
    <m/>
    <n v="0"/>
    <s v=""/>
    <n v="0"/>
    <n v="0"/>
    <n v="0"/>
    <n v="116.88487613461319"/>
    <n v="2225"/>
    <n v="71535.307499999995"/>
    <n v="0"/>
    <n v="0"/>
    <n v="0"/>
    <n v="0"/>
    <n v="0"/>
    <n v="0"/>
  </r>
  <r>
    <x v="105"/>
    <x v="22"/>
    <x v="6"/>
    <m/>
    <m/>
    <n v="0"/>
    <m/>
    <m/>
    <n v="0"/>
    <m/>
    <m/>
    <n v="0"/>
    <s v=""/>
    <n v="0"/>
    <n v="0"/>
    <n v="0"/>
    <n v="116.88487613461319"/>
    <n v="2225"/>
    <n v="71535.307499999995"/>
    <n v="0"/>
    <n v="0"/>
    <n v="0"/>
    <n v="0"/>
    <n v="0"/>
    <n v="0"/>
  </r>
  <r>
    <x v="106"/>
    <x v="22"/>
    <x v="6"/>
    <m/>
    <m/>
    <n v="0"/>
    <m/>
    <m/>
    <n v="0"/>
    <m/>
    <m/>
    <n v="0"/>
    <s v=""/>
    <n v="0"/>
    <n v="0"/>
    <n v="0"/>
    <n v="116.88487613461319"/>
    <n v="2225"/>
    <n v="71535.307499999995"/>
    <n v="0"/>
    <n v="0"/>
    <n v="0"/>
    <n v="0"/>
    <n v="0"/>
    <n v="0"/>
  </r>
  <r>
    <x v="107"/>
    <x v="22"/>
    <x v="6"/>
    <m/>
    <m/>
    <n v="0"/>
    <m/>
    <m/>
    <n v="0"/>
    <m/>
    <m/>
    <n v="0"/>
    <s v=""/>
    <n v="0"/>
    <n v="0"/>
    <n v="0"/>
    <n v="116.88487613461319"/>
    <n v="2225"/>
    <n v="71535.307499999995"/>
    <n v="0"/>
    <n v="0"/>
    <n v="0"/>
    <n v="0"/>
    <n v="0"/>
    <n v="0"/>
  </r>
  <r>
    <x v="108"/>
    <x v="22"/>
    <x v="6"/>
    <m/>
    <m/>
    <n v="0"/>
    <m/>
    <m/>
    <n v="0"/>
    <m/>
    <m/>
    <n v="0"/>
    <s v=""/>
    <n v="0"/>
    <n v="0"/>
    <n v="0"/>
    <n v="116.88487613461319"/>
    <n v="2225"/>
    <n v="71535.307499999995"/>
    <n v="0"/>
    <n v="0"/>
    <n v="0"/>
    <n v="0"/>
    <n v="0"/>
    <n v="0"/>
  </r>
  <r>
    <x v="109"/>
    <x v="22"/>
    <x v="6"/>
    <n v="2809"/>
    <n v="2.5499999999999998"/>
    <n v="7.1629499999999995"/>
    <m/>
    <m/>
    <n v="0"/>
    <m/>
    <m/>
    <n v="0"/>
    <s v=""/>
    <n v="0"/>
    <n v="0"/>
    <n v="0"/>
    <n v="116.88487613461319"/>
    <n v="2225"/>
    <n v="71535.307499999995"/>
    <n v="0"/>
    <n v="0"/>
    <n v="0"/>
    <n v="0"/>
    <n v="0"/>
    <n v="0"/>
  </r>
  <r>
    <x v="110"/>
    <x v="22"/>
    <x v="7"/>
    <m/>
    <m/>
    <n v="0"/>
    <m/>
    <m/>
    <n v="0"/>
    <m/>
    <m/>
    <n v="0"/>
    <s v=""/>
    <n v="0"/>
    <n v="0"/>
    <n v="0"/>
    <n v="116.88487613461319"/>
    <n v="2225"/>
    <n v="71535.307499999995"/>
    <n v="0"/>
    <n v="0"/>
    <n v="0"/>
    <n v="0"/>
    <n v="0"/>
    <n v="0"/>
  </r>
  <r>
    <x v="111"/>
    <x v="22"/>
    <x v="7"/>
    <n v="876"/>
    <n v="2.64"/>
    <n v="2.3126400000000005"/>
    <m/>
    <m/>
    <n v="0"/>
    <m/>
    <m/>
    <n v="0"/>
    <s v=""/>
    <n v="0"/>
    <n v="0"/>
    <n v="0"/>
    <n v="116.88487613461319"/>
    <n v="2225"/>
    <n v="71535.307499999995"/>
    <n v="0"/>
    <n v="0"/>
    <n v="0"/>
    <n v="0"/>
    <n v="0"/>
    <n v="0"/>
  </r>
  <r>
    <x v="112"/>
    <x v="22"/>
    <x v="7"/>
    <m/>
    <m/>
    <n v="0"/>
    <m/>
    <m/>
    <n v="0"/>
    <m/>
    <m/>
    <n v="0"/>
    <s v=""/>
    <n v="0"/>
    <n v="0"/>
    <n v="0"/>
    <n v="116.88487613461319"/>
    <n v="2225"/>
    <n v="71535.307499999995"/>
    <n v="0"/>
    <n v="0"/>
    <n v="0"/>
    <n v="0"/>
    <n v="0"/>
    <n v="0"/>
  </r>
  <r>
    <x v="113"/>
    <x v="22"/>
    <x v="7"/>
    <m/>
    <m/>
    <n v="0"/>
    <m/>
    <m/>
    <n v="0"/>
    <m/>
    <m/>
    <n v="0"/>
    <s v=""/>
    <n v="0"/>
    <n v="0"/>
    <n v="0"/>
    <n v="116.88487613461319"/>
    <n v="2225"/>
    <n v="71535.307499999995"/>
    <n v="0"/>
    <n v="0"/>
    <n v="0"/>
    <n v="0"/>
    <n v="0"/>
    <n v="0"/>
  </r>
  <r>
    <x v="114"/>
    <x v="22"/>
    <x v="7"/>
    <m/>
    <m/>
    <n v="0"/>
    <m/>
    <m/>
    <n v="0"/>
    <m/>
    <m/>
    <n v="0"/>
    <s v=""/>
    <n v="0"/>
    <n v="0"/>
    <n v="0"/>
    <n v="116.88487613461319"/>
    <n v="2225"/>
    <n v="71535.307499999995"/>
    <n v="0"/>
    <n v="0"/>
    <n v="0"/>
    <n v="0"/>
    <n v="0"/>
    <n v="0"/>
  </r>
  <r>
    <x v="115"/>
    <x v="22"/>
    <x v="7"/>
    <m/>
    <m/>
    <n v="0"/>
    <m/>
    <m/>
    <n v="0"/>
    <m/>
    <m/>
    <n v="0"/>
    <s v=""/>
    <n v="0"/>
    <n v="0"/>
    <n v="0"/>
    <n v="116.88487613461319"/>
    <n v="2225"/>
    <n v="71535.307499999995"/>
    <n v="0"/>
    <n v="0"/>
    <n v="0"/>
    <n v="0"/>
    <n v="0"/>
    <n v="0"/>
  </r>
  <r>
    <x v="116"/>
    <x v="22"/>
    <x v="7"/>
    <m/>
    <m/>
    <n v="0"/>
    <m/>
    <m/>
    <n v="0"/>
    <m/>
    <m/>
    <n v="0"/>
    <s v=""/>
    <n v="0"/>
    <n v="0"/>
    <n v="0"/>
    <n v="116.88487613461319"/>
    <n v="2225"/>
    <n v="71535.307499999995"/>
    <n v="0"/>
    <n v="0"/>
    <n v="0"/>
    <n v="0"/>
    <n v="0"/>
    <n v="0"/>
  </r>
  <r>
    <x v="117"/>
    <x v="22"/>
    <x v="7"/>
    <m/>
    <m/>
    <n v="0"/>
    <m/>
    <m/>
    <n v="0"/>
    <m/>
    <m/>
    <n v="0"/>
    <s v=""/>
    <n v="0"/>
    <n v="0"/>
    <n v="0"/>
    <n v="116.88487613461319"/>
    <n v="2225"/>
    <n v="71535.307499999995"/>
    <n v="0"/>
    <n v="0"/>
    <n v="0"/>
    <n v="0"/>
    <n v="0"/>
    <n v="0"/>
  </r>
  <r>
    <x v="118"/>
    <x v="22"/>
    <x v="7"/>
    <m/>
    <m/>
    <n v="0"/>
    <m/>
    <m/>
    <n v="0"/>
    <m/>
    <m/>
    <n v="0"/>
    <s v=""/>
    <n v="0"/>
    <n v="0"/>
    <n v="0"/>
    <n v="116.88487613461319"/>
    <n v="2225"/>
    <n v="71535.307499999995"/>
    <n v="0"/>
    <n v="0"/>
    <n v="0"/>
    <n v="0"/>
    <n v="0"/>
    <n v="0"/>
  </r>
  <r>
    <x v="119"/>
    <x v="22"/>
    <x v="7"/>
    <m/>
    <m/>
    <n v="0"/>
    <m/>
    <m/>
    <n v="0"/>
    <m/>
    <m/>
    <n v="0"/>
    <s v=""/>
    <n v="0"/>
    <n v="0"/>
    <n v="0"/>
    <n v="116.88487613461319"/>
    <n v="2225"/>
    <n v="71535.307499999995"/>
    <n v="0"/>
    <n v="0"/>
    <n v="0"/>
    <n v="0"/>
    <n v="0"/>
    <n v="0"/>
  </r>
  <r>
    <x v="120"/>
    <x v="22"/>
    <x v="7"/>
    <n v="398"/>
    <n v="2.85"/>
    <n v="1.1342999999999999"/>
    <m/>
    <m/>
    <n v="0"/>
    <m/>
    <m/>
    <n v="0"/>
    <s v=""/>
    <n v="0"/>
    <n v="0"/>
    <n v="0"/>
    <n v="116.88487613461319"/>
    <n v="2225"/>
    <n v="71535.307499999995"/>
    <n v="0"/>
    <n v="0"/>
    <n v="0"/>
    <n v="0"/>
    <n v="0"/>
    <n v="0"/>
  </r>
  <r>
    <x v="121"/>
    <x v="22"/>
    <x v="7"/>
    <n v="776"/>
    <n v="2.73"/>
    <n v="2.1184799999999999"/>
    <m/>
    <m/>
    <n v="0"/>
    <m/>
    <m/>
    <n v="0"/>
    <s v=""/>
    <n v="0"/>
    <n v="0"/>
    <n v="0"/>
    <n v="116.88487613461319"/>
    <n v="2225"/>
    <n v="71535.307499999995"/>
    <n v="0"/>
    <n v="0"/>
    <n v="0"/>
    <n v="0"/>
    <n v="0"/>
    <n v="0"/>
  </r>
  <r>
    <x v="122"/>
    <x v="22"/>
    <x v="7"/>
    <m/>
    <m/>
    <n v="0"/>
    <m/>
    <m/>
    <n v="0"/>
    <m/>
    <m/>
    <n v="0"/>
    <s v=""/>
    <n v="0"/>
    <n v="0"/>
    <n v="0"/>
    <n v="116.88487613461319"/>
    <n v="2225"/>
    <n v="71535.307499999995"/>
    <n v="0"/>
    <n v="0"/>
    <n v="0"/>
    <n v="0"/>
    <n v="0"/>
    <n v="0"/>
  </r>
  <r>
    <x v="123"/>
    <x v="22"/>
    <x v="7"/>
    <m/>
    <m/>
    <n v="0"/>
    <m/>
    <m/>
    <n v="0"/>
    <m/>
    <m/>
    <n v="0"/>
    <s v=""/>
    <n v="0"/>
    <n v="0"/>
    <n v="0"/>
    <n v="116.88487613461319"/>
    <n v="2225"/>
    <n v="71535.307499999995"/>
    <n v="0"/>
    <n v="0"/>
    <n v="0"/>
    <n v="0"/>
    <n v="0"/>
    <n v="0"/>
  </r>
  <r>
    <x v="124"/>
    <x v="22"/>
    <x v="7"/>
    <m/>
    <m/>
    <n v="0"/>
    <m/>
    <m/>
    <n v="0"/>
    <m/>
    <m/>
    <n v="0"/>
    <s v=""/>
    <n v="0"/>
    <n v="0"/>
    <n v="0"/>
    <n v="116.88487613461319"/>
    <n v="2225"/>
    <n v="71535.307499999995"/>
    <n v="0"/>
    <n v="0"/>
    <n v="0"/>
    <n v="0"/>
    <n v="0"/>
    <n v="0"/>
  </r>
  <r>
    <x v="125"/>
    <x v="22"/>
    <x v="7"/>
    <m/>
    <m/>
    <n v="0"/>
    <m/>
    <m/>
    <n v="0"/>
    <m/>
    <m/>
    <n v="0"/>
    <s v=""/>
    <n v="0"/>
    <n v="0"/>
    <n v="0"/>
    <n v="116.88487613461319"/>
    <n v="2225"/>
    <n v="71535.307499999995"/>
    <n v="0"/>
    <n v="0"/>
    <n v="0"/>
    <n v="0"/>
    <n v="0"/>
    <n v="0"/>
  </r>
  <r>
    <x v="126"/>
    <x v="22"/>
    <x v="7"/>
    <m/>
    <m/>
    <n v="0"/>
    <m/>
    <m/>
    <n v="0"/>
    <m/>
    <m/>
    <n v="0"/>
    <s v=""/>
    <n v="0"/>
    <n v="0"/>
    <n v="0"/>
    <n v="116.88487613461319"/>
    <n v="2225"/>
    <n v="71535.307499999995"/>
    <n v="0"/>
    <n v="0"/>
    <n v="0"/>
    <n v="0"/>
    <n v="0"/>
    <n v="0"/>
  </r>
  <r>
    <x v="127"/>
    <x v="22"/>
    <x v="7"/>
    <m/>
    <m/>
    <n v="0"/>
    <m/>
    <m/>
    <n v="0"/>
    <m/>
    <m/>
    <n v="0"/>
    <s v=""/>
    <n v="0"/>
    <n v="0"/>
    <n v="0"/>
    <n v="116.88487613461319"/>
    <n v="2225"/>
    <n v="71535.307499999995"/>
    <n v="0"/>
    <n v="0"/>
    <n v="0"/>
    <n v="0"/>
    <n v="0"/>
    <n v="0"/>
  </r>
  <r>
    <x v="0"/>
    <x v="23"/>
    <x v="0"/>
    <m/>
    <m/>
    <n v="0"/>
    <m/>
    <m/>
    <n v="0"/>
    <m/>
    <m/>
    <n v="0"/>
    <s v=""/>
    <n v="0"/>
    <n v="0"/>
    <n v="0"/>
    <n v="116.88487613461319"/>
    <n v="2225"/>
    <n v="71535.307499999995"/>
    <n v="0"/>
    <n v="0"/>
    <n v="0"/>
    <n v="0"/>
    <n v="0"/>
    <n v="0"/>
  </r>
  <r>
    <x v="1"/>
    <x v="23"/>
    <x v="0"/>
    <m/>
    <m/>
    <n v="0"/>
    <m/>
    <m/>
    <n v="0"/>
    <m/>
    <m/>
    <n v="0"/>
    <s v=""/>
    <n v="0"/>
    <n v="0"/>
    <n v="0"/>
    <n v="116.88487613461319"/>
    <n v="2225"/>
    <n v="71535.307499999995"/>
    <n v="0"/>
    <n v="0"/>
    <n v="0"/>
    <n v="0"/>
    <n v="0"/>
    <n v="0"/>
  </r>
  <r>
    <x v="2"/>
    <x v="23"/>
    <x v="0"/>
    <m/>
    <m/>
    <n v="0"/>
    <m/>
    <m/>
    <n v="0"/>
    <m/>
    <m/>
    <n v="0"/>
    <s v=""/>
    <n v="0"/>
    <n v="0"/>
    <n v="0"/>
    <n v="116.88487613461319"/>
    <n v="2225"/>
    <n v="71535.307499999995"/>
    <n v="0"/>
    <n v="0"/>
    <n v="0"/>
    <n v="0"/>
    <n v="0"/>
    <n v="0"/>
  </r>
  <r>
    <x v="3"/>
    <x v="23"/>
    <x v="0"/>
    <m/>
    <m/>
    <n v="0"/>
    <m/>
    <m/>
    <n v="0"/>
    <m/>
    <m/>
    <n v="0"/>
    <s v=""/>
    <n v="0"/>
    <n v="0"/>
    <n v="0"/>
    <n v="116.88487613461319"/>
    <n v="2225"/>
    <n v="71535.307499999995"/>
    <n v="0"/>
    <n v="0"/>
    <n v="0"/>
    <n v="0"/>
    <n v="0"/>
    <n v="0"/>
  </r>
  <r>
    <x v="4"/>
    <x v="23"/>
    <x v="1"/>
    <m/>
    <m/>
    <n v="0"/>
    <m/>
    <m/>
    <n v="0"/>
    <m/>
    <m/>
    <n v="0"/>
    <s v=""/>
    <n v="0"/>
    <n v="0"/>
    <n v="0"/>
    <n v="116.88487613461319"/>
    <n v="2225"/>
    <n v="71535.307499999995"/>
    <n v="0"/>
    <n v="0"/>
    <n v="0"/>
    <n v="0"/>
    <n v="0"/>
    <n v="0"/>
  </r>
  <r>
    <x v="5"/>
    <x v="23"/>
    <x v="1"/>
    <m/>
    <m/>
    <n v="0"/>
    <m/>
    <m/>
    <n v="0"/>
    <m/>
    <m/>
    <n v="0"/>
    <s v=""/>
    <n v="0"/>
    <n v="0"/>
    <n v="0"/>
    <n v="116.88487613461319"/>
    <n v="2225"/>
    <n v="71535.307499999995"/>
    <n v="0"/>
    <n v="0"/>
    <n v="0"/>
    <n v="0"/>
    <n v="0"/>
    <n v="0"/>
  </r>
  <r>
    <x v="6"/>
    <x v="23"/>
    <x v="1"/>
    <m/>
    <m/>
    <n v="0"/>
    <m/>
    <m/>
    <n v="0"/>
    <m/>
    <m/>
    <n v="0"/>
    <s v=""/>
    <n v="0"/>
    <n v="0"/>
    <n v="0"/>
    <n v="116.88487613461319"/>
    <n v="2225"/>
    <n v="71535.307499999995"/>
    <n v="0"/>
    <n v="0"/>
    <n v="0"/>
    <n v="0"/>
    <n v="0"/>
    <n v="0"/>
  </r>
  <r>
    <x v="7"/>
    <x v="23"/>
    <x v="2"/>
    <m/>
    <m/>
    <n v="0"/>
    <m/>
    <m/>
    <n v="0"/>
    <m/>
    <m/>
    <n v="0"/>
    <s v=""/>
    <n v="0"/>
    <n v="0"/>
    <n v="0"/>
    <n v="116.88487613461319"/>
    <n v="2225"/>
    <n v="71535.307499999995"/>
    <n v="0"/>
    <n v="0"/>
    <n v="0"/>
    <n v="0"/>
    <n v="0"/>
    <n v="0"/>
  </r>
  <r>
    <x v="8"/>
    <x v="23"/>
    <x v="2"/>
    <m/>
    <m/>
    <n v="0"/>
    <m/>
    <m/>
    <n v="0"/>
    <m/>
    <m/>
    <n v="0"/>
    <s v=""/>
    <n v="0"/>
    <n v="0"/>
    <n v="0"/>
    <n v="116.88487613461319"/>
    <n v="2225"/>
    <n v="71535.307499999995"/>
    <n v="0"/>
    <n v="0"/>
    <n v="0"/>
    <n v="0"/>
    <n v="0"/>
    <n v="0"/>
  </r>
  <r>
    <x v="9"/>
    <x v="23"/>
    <x v="2"/>
    <m/>
    <m/>
    <n v="0"/>
    <m/>
    <m/>
    <n v="0"/>
    <m/>
    <m/>
    <n v="0"/>
    <s v=""/>
    <n v="0"/>
    <n v="0"/>
    <n v="0"/>
    <n v="116.88487613461319"/>
    <n v="2225"/>
    <n v="71535.307499999995"/>
    <n v="0"/>
    <n v="0"/>
    <n v="0"/>
    <n v="0"/>
    <n v="0"/>
    <n v="0"/>
  </r>
  <r>
    <x v="10"/>
    <x v="23"/>
    <x v="2"/>
    <m/>
    <m/>
    <n v="0"/>
    <m/>
    <m/>
    <n v="0"/>
    <m/>
    <m/>
    <n v="0"/>
    <s v=""/>
    <n v="0"/>
    <n v="0"/>
    <n v="0"/>
    <n v="116.88487613461319"/>
    <n v="2225"/>
    <n v="71535.307499999995"/>
    <n v="0"/>
    <n v="0"/>
    <n v="0"/>
    <n v="0"/>
    <n v="0"/>
    <n v="0"/>
  </r>
  <r>
    <x v="11"/>
    <x v="23"/>
    <x v="2"/>
    <m/>
    <m/>
    <n v="0"/>
    <m/>
    <m/>
    <n v="0"/>
    <m/>
    <m/>
    <n v="0"/>
    <s v=""/>
    <n v="0"/>
    <n v="0"/>
    <n v="0"/>
    <n v="116.88487613461319"/>
    <n v="2225"/>
    <n v="71535.307499999995"/>
    <n v="0"/>
    <n v="0"/>
    <n v="0"/>
    <n v="0"/>
    <n v="0"/>
    <n v="0"/>
  </r>
  <r>
    <x v="12"/>
    <x v="23"/>
    <x v="2"/>
    <m/>
    <m/>
    <n v="0"/>
    <m/>
    <m/>
    <n v="0"/>
    <m/>
    <m/>
    <n v="0"/>
    <s v=""/>
    <n v="0"/>
    <n v="0"/>
    <n v="0"/>
    <n v="116.88487613461319"/>
    <n v="2225"/>
    <n v="71535.307499999995"/>
    <n v="0"/>
    <n v="0"/>
    <n v="0"/>
    <n v="0"/>
    <n v="0"/>
    <n v="0"/>
  </r>
  <r>
    <x v="13"/>
    <x v="23"/>
    <x v="2"/>
    <m/>
    <m/>
    <n v="0"/>
    <m/>
    <m/>
    <n v="0"/>
    <m/>
    <m/>
    <n v="0"/>
    <s v=""/>
    <n v="0"/>
    <n v="0"/>
    <n v="0"/>
    <n v="116.88487613461319"/>
    <n v="2225"/>
    <n v="71535.307499999995"/>
    <n v="0"/>
    <n v="0"/>
    <n v="0"/>
    <n v="0"/>
    <n v="0"/>
    <n v="0"/>
  </r>
  <r>
    <x v="14"/>
    <x v="23"/>
    <x v="2"/>
    <m/>
    <m/>
    <n v="0"/>
    <m/>
    <m/>
    <n v="0"/>
    <m/>
    <m/>
    <n v="0"/>
    <s v=""/>
    <n v="0"/>
    <n v="0"/>
    <n v="0"/>
    <n v="116.88487613461319"/>
    <n v="2225"/>
    <n v="71535.307499999995"/>
    <n v="0"/>
    <n v="0"/>
    <n v="0"/>
    <n v="0"/>
    <n v="0"/>
    <n v="0"/>
  </r>
  <r>
    <x v="15"/>
    <x v="23"/>
    <x v="2"/>
    <n v="3033"/>
    <n v="2.5299999999999998"/>
    <n v="7.6734900000000001"/>
    <m/>
    <m/>
    <n v="0"/>
    <m/>
    <m/>
    <n v="0"/>
    <s v=""/>
    <n v="0"/>
    <n v="0"/>
    <n v="0"/>
    <n v="116.88487613461319"/>
    <n v="2225"/>
    <n v="71535.307499999995"/>
    <n v="0"/>
    <n v="0"/>
    <n v="0"/>
    <n v="0"/>
    <n v="0"/>
    <n v="0"/>
  </r>
  <r>
    <x v="16"/>
    <x v="23"/>
    <x v="2"/>
    <n v="3033"/>
    <n v="2.63"/>
    <n v="7.9767900000000003"/>
    <m/>
    <m/>
    <n v="0"/>
    <m/>
    <m/>
    <n v="0"/>
    <s v=""/>
    <n v="0"/>
    <n v="0"/>
    <n v="0"/>
    <n v="116.88487613461319"/>
    <n v="2225"/>
    <n v="71535.307499999995"/>
    <n v="0"/>
    <n v="0"/>
    <n v="0"/>
    <n v="0"/>
    <n v="0"/>
    <n v="0"/>
  </r>
  <r>
    <x v="17"/>
    <x v="23"/>
    <x v="3"/>
    <m/>
    <m/>
    <n v="0"/>
    <m/>
    <m/>
    <n v="0"/>
    <m/>
    <m/>
    <n v="0"/>
    <s v=""/>
    <n v="0"/>
    <n v="0"/>
    <n v="0"/>
    <n v="116.88487613461319"/>
    <n v="2225"/>
    <n v="71535.307499999995"/>
    <n v="0"/>
    <n v="0"/>
    <n v="0"/>
    <n v="0"/>
    <n v="0"/>
    <n v="0"/>
  </r>
  <r>
    <x v="18"/>
    <x v="23"/>
    <x v="3"/>
    <m/>
    <m/>
    <n v="0"/>
    <m/>
    <m/>
    <n v="0"/>
    <m/>
    <m/>
    <n v="0"/>
    <s v=""/>
    <n v="0"/>
    <n v="0"/>
    <n v="0"/>
    <n v="116.88487613461319"/>
    <n v="2225"/>
    <n v="71535.307499999995"/>
    <n v="0"/>
    <n v="0"/>
    <n v="0"/>
    <n v="0"/>
    <n v="0"/>
    <n v="0"/>
  </r>
  <r>
    <x v="19"/>
    <x v="23"/>
    <x v="3"/>
    <m/>
    <m/>
    <n v="0"/>
    <m/>
    <m/>
    <n v="0"/>
    <m/>
    <m/>
    <n v="0"/>
    <s v=""/>
    <n v="0"/>
    <n v="0"/>
    <n v="0"/>
    <n v="116.88487613461319"/>
    <n v="2225"/>
    <n v="71535.307499999995"/>
    <n v="0"/>
    <n v="0"/>
    <n v="0"/>
    <n v="0"/>
    <n v="0"/>
    <n v="0"/>
  </r>
  <r>
    <x v="20"/>
    <x v="23"/>
    <x v="3"/>
    <m/>
    <m/>
    <n v="0"/>
    <m/>
    <m/>
    <n v="0"/>
    <m/>
    <m/>
    <n v="0"/>
    <s v=""/>
    <n v="0"/>
    <n v="0"/>
    <n v="0"/>
    <n v="116.88487613461319"/>
    <n v="2225"/>
    <n v="71535.307499999995"/>
    <n v="0"/>
    <n v="0"/>
    <n v="0"/>
    <n v="0"/>
    <n v="0"/>
    <n v="0"/>
  </r>
  <r>
    <x v="21"/>
    <x v="23"/>
    <x v="3"/>
    <m/>
    <m/>
    <n v="0"/>
    <m/>
    <m/>
    <n v="0"/>
    <m/>
    <m/>
    <n v="0"/>
    <s v=""/>
    <n v="0"/>
    <n v="0"/>
    <n v="0"/>
    <n v="116.88487613461319"/>
    <n v="2225"/>
    <n v="71535.307499999995"/>
    <n v="0"/>
    <n v="0"/>
    <n v="0"/>
    <n v="0"/>
    <n v="0"/>
    <n v="0"/>
  </r>
  <r>
    <x v="22"/>
    <x v="23"/>
    <x v="3"/>
    <m/>
    <m/>
    <n v="0"/>
    <m/>
    <m/>
    <n v="0"/>
    <m/>
    <m/>
    <n v="0"/>
    <s v=""/>
    <n v="0"/>
    <n v="0"/>
    <n v="0"/>
    <n v="116.88487613461319"/>
    <n v="2225"/>
    <n v="71535.307499999995"/>
    <n v="0"/>
    <n v="0"/>
    <n v="0"/>
    <n v="0"/>
    <n v="0"/>
    <n v="0"/>
  </r>
  <r>
    <x v="23"/>
    <x v="23"/>
    <x v="3"/>
    <m/>
    <m/>
    <n v="0"/>
    <m/>
    <m/>
    <n v="0"/>
    <m/>
    <m/>
    <n v="0"/>
    <s v=""/>
    <n v="0"/>
    <n v="0"/>
    <n v="0"/>
    <n v="116.88487613461319"/>
    <n v="2225"/>
    <n v="71535.307499999995"/>
    <n v="0"/>
    <n v="0"/>
    <n v="0"/>
    <n v="0"/>
    <n v="0"/>
    <n v="0"/>
  </r>
  <r>
    <x v="24"/>
    <x v="23"/>
    <x v="3"/>
    <m/>
    <m/>
    <n v="0"/>
    <m/>
    <m/>
    <n v="0"/>
    <m/>
    <m/>
    <n v="0"/>
    <s v=""/>
    <n v="0"/>
    <n v="0"/>
    <n v="0"/>
    <n v="116.88487613461319"/>
    <n v="2225"/>
    <n v="71535.307499999995"/>
    <n v="0"/>
    <n v="0"/>
    <n v="0"/>
    <n v="0"/>
    <n v="0"/>
    <n v="0"/>
  </r>
  <r>
    <x v="25"/>
    <x v="23"/>
    <x v="3"/>
    <m/>
    <m/>
    <n v="0"/>
    <m/>
    <m/>
    <n v="0"/>
    <m/>
    <m/>
    <n v="0"/>
    <s v=""/>
    <n v="0"/>
    <n v="0"/>
    <n v="0"/>
    <n v="116.88487613461319"/>
    <n v="2225"/>
    <n v="71535.307499999995"/>
    <n v="0"/>
    <n v="0"/>
    <n v="0"/>
    <n v="0"/>
    <n v="0"/>
    <n v="0"/>
  </r>
  <r>
    <x v="26"/>
    <x v="23"/>
    <x v="3"/>
    <m/>
    <m/>
    <n v="0"/>
    <m/>
    <m/>
    <n v="0"/>
    <m/>
    <m/>
    <n v="0"/>
    <s v=""/>
    <n v="0"/>
    <n v="0"/>
    <n v="0"/>
    <n v="116.88487613461319"/>
    <n v="2225"/>
    <n v="71535.307499999995"/>
    <n v="0"/>
    <n v="0"/>
    <n v="0"/>
    <n v="0"/>
    <n v="0"/>
    <n v="0"/>
  </r>
  <r>
    <x v="27"/>
    <x v="23"/>
    <x v="3"/>
    <m/>
    <m/>
    <n v="0"/>
    <m/>
    <m/>
    <n v="0"/>
    <m/>
    <m/>
    <n v="0"/>
    <s v=""/>
    <n v="0"/>
    <n v="0"/>
    <n v="0"/>
    <n v="116.88487613461319"/>
    <n v="2225"/>
    <n v="71535.307499999995"/>
    <n v="0"/>
    <n v="0"/>
    <n v="0"/>
    <n v="0"/>
    <n v="0"/>
    <n v="0"/>
  </r>
  <r>
    <x v="28"/>
    <x v="23"/>
    <x v="3"/>
    <m/>
    <m/>
    <n v="0"/>
    <m/>
    <m/>
    <n v="0"/>
    <m/>
    <m/>
    <n v="0"/>
    <s v=""/>
    <n v="0"/>
    <n v="0"/>
    <n v="0"/>
    <n v="116.88487613461319"/>
    <n v="2225"/>
    <n v="71535.307499999995"/>
    <n v="0"/>
    <n v="0"/>
    <n v="0"/>
    <n v="0"/>
    <n v="0"/>
    <n v="0"/>
  </r>
  <r>
    <x v="29"/>
    <x v="23"/>
    <x v="3"/>
    <m/>
    <m/>
    <n v="0"/>
    <m/>
    <m/>
    <n v="0"/>
    <m/>
    <m/>
    <n v="0"/>
    <s v=""/>
    <n v="0"/>
    <n v="0"/>
    <n v="0"/>
    <n v="116.88487613461319"/>
    <n v="2225"/>
    <n v="71535.307499999995"/>
    <n v="0"/>
    <n v="0"/>
    <n v="0"/>
    <n v="0"/>
    <n v="0"/>
    <n v="0"/>
  </r>
  <r>
    <x v="30"/>
    <x v="23"/>
    <x v="3"/>
    <m/>
    <m/>
    <n v="0"/>
    <m/>
    <m/>
    <n v="0"/>
    <m/>
    <m/>
    <n v="0"/>
    <s v=""/>
    <n v="0"/>
    <n v="0"/>
    <n v="0"/>
    <n v="116.88487613461319"/>
    <n v="2225"/>
    <n v="71535.307499999995"/>
    <n v="0"/>
    <n v="0"/>
    <n v="0"/>
    <n v="0"/>
    <n v="0"/>
    <n v="0"/>
  </r>
  <r>
    <x v="31"/>
    <x v="23"/>
    <x v="3"/>
    <m/>
    <m/>
    <n v="0"/>
    <m/>
    <m/>
    <n v="0"/>
    <m/>
    <m/>
    <n v="0"/>
    <s v=""/>
    <n v="0"/>
    <n v="0"/>
    <n v="0"/>
    <n v="116.88487613461319"/>
    <n v="2225"/>
    <n v="71535.307499999995"/>
    <n v="0"/>
    <n v="0"/>
    <n v="0"/>
    <n v="0"/>
    <n v="0"/>
    <n v="0"/>
  </r>
  <r>
    <x v="32"/>
    <x v="23"/>
    <x v="3"/>
    <m/>
    <m/>
    <n v="0"/>
    <m/>
    <m/>
    <n v="0"/>
    <m/>
    <m/>
    <n v="0"/>
    <s v=""/>
    <n v="0"/>
    <n v="0"/>
    <n v="0"/>
    <n v="116.88487613461319"/>
    <n v="2225"/>
    <n v="71535.307499999995"/>
    <n v="0"/>
    <n v="0"/>
    <n v="0"/>
    <n v="0"/>
    <n v="0"/>
    <n v="0"/>
  </r>
  <r>
    <x v="33"/>
    <x v="23"/>
    <x v="3"/>
    <m/>
    <m/>
    <n v="0"/>
    <m/>
    <m/>
    <n v="0"/>
    <m/>
    <m/>
    <n v="0"/>
    <s v=""/>
    <n v="0"/>
    <n v="0"/>
    <n v="0"/>
    <n v="116.88487613461319"/>
    <n v="2225"/>
    <n v="71535.307499999995"/>
    <n v="0"/>
    <n v="0"/>
    <n v="0"/>
    <n v="0"/>
    <n v="0"/>
    <n v="0"/>
  </r>
  <r>
    <x v="34"/>
    <x v="23"/>
    <x v="3"/>
    <m/>
    <m/>
    <n v="0"/>
    <m/>
    <m/>
    <n v="0"/>
    <m/>
    <m/>
    <n v="0"/>
    <s v=""/>
    <n v="0"/>
    <n v="0"/>
    <n v="0"/>
    <n v="116.88487613461319"/>
    <n v="2225"/>
    <n v="71535.307499999995"/>
    <n v="0"/>
    <n v="0"/>
    <n v="0"/>
    <n v="0"/>
    <n v="0"/>
    <n v="0"/>
  </r>
  <r>
    <x v="35"/>
    <x v="23"/>
    <x v="3"/>
    <m/>
    <m/>
    <n v="0"/>
    <m/>
    <m/>
    <n v="0"/>
    <m/>
    <m/>
    <n v="0"/>
    <s v=""/>
    <n v="0"/>
    <n v="0"/>
    <n v="0"/>
    <n v="116.88487613461319"/>
    <n v="2225"/>
    <n v="71535.307499999995"/>
    <n v="0"/>
    <n v="0"/>
    <n v="0"/>
    <n v="0"/>
    <n v="0"/>
    <n v="0"/>
  </r>
  <r>
    <x v="36"/>
    <x v="23"/>
    <x v="3"/>
    <m/>
    <m/>
    <n v="0"/>
    <m/>
    <m/>
    <n v="0"/>
    <m/>
    <m/>
    <n v="0"/>
    <s v=""/>
    <n v="0"/>
    <n v="0"/>
    <n v="0"/>
    <n v="116.88487613461319"/>
    <n v="2225"/>
    <n v="71535.307499999995"/>
    <n v="0"/>
    <n v="0"/>
    <n v="0"/>
    <n v="0"/>
    <n v="0"/>
    <n v="0"/>
  </r>
  <r>
    <x v="37"/>
    <x v="23"/>
    <x v="3"/>
    <m/>
    <m/>
    <n v="0"/>
    <m/>
    <m/>
    <n v="0"/>
    <m/>
    <m/>
    <n v="0"/>
    <s v=""/>
    <n v="0"/>
    <n v="0"/>
    <n v="0"/>
    <n v="116.88487613461319"/>
    <n v="2225"/>
    <n v="71535.307499999995"/>
    <n v="0"/>
    <n v="0"/>
    <n v="0"/>
    <n v="0"/>
    <n v="0"/>
    <n v="0"/>
  </r>
  <r>
    <x v="38"/>
    <x v="23"/>
    <x v="3"/>
    <m/>
    <m/>
    <n v="0"/>
    <m/>
    <m/>
    <n v="0"/>
    <m/>
    <m/>
    <n v="0"/>
    <s v=""/>
    <n v="0"/>
    <n v="0"/>
    <n v="0"/>
    <n v="116.88487613461319"/>
    <n v="2225"/>
    <n v="71535.307499999995"/>
    <n v="0"/>
    <n v="0"/>
    <n v="0"/>
    <n v="0"/>
    <n v="0"/>
    <n v="0"/>
  </r>
  <r>
    <x v="39"/>
    <x v="23"/>
    <x v="3"/>
    <m/>
    <m/>
    <n v="0"/>
    <m/>
    <m/>
    <n v="0"/>
    <m/>
    <m/>
    <n v="0"/>
    <s v=""/>
    <n v="0"/>
    <n v="0"/>
    <n v="0"/>
    <n v="116.88487613461319"/>
    <n v="2225"/>
    <n v="71535.307499999995"/>
    <n v="0"/>
    <n v="0"/>
    <n v="0"/>
    <n v="0"/>
    <n v="0"/>
    <n v="0"/>
  </r>
  <r>
    <x v="40"/>
    <x v="23"/>
    <x v="3"/>
    <m/>
    <m/>
    <n v="0"/>
    <m/>
    <m/>
    <n v="0"/>
    <m/>
    <m/>
    <n v="0"/>
    <s v=""/>
    <n v="0"/>
    <n v="0"/>
    <n v="0"/>
    <n v="116.88487613461319"/>
    <n v="2225"/>
    <n v="71535.307499999995"/>
    <n v="0"/>
    <n v="0"/>
    <n v="0"/>
    <n v="0"/>
    <n v="0"/>
    <n v="0"/>
  </r>
  <r>
    <x v="41"/>
    <x v="23"/>
    <x v="3"/>
    <m/>
    <m/>
    <n v="0"/>
    <m/>
    <m/>
    <n v="0"/>
    <m/>
    <m/>
    <n v="0"/>
    <s v=""/>
    <n v="0"/>
    <n v="0"/>
    <n v="0"/>
    <n v="116.88487613461319"/>
    <n v="2225"/>
    <n v="71535.307499999995"/>
    <n v="0"/>
    <n v="0"/>
    <n v="0"/>
    <n v="0"/>
    <n v="0"/>
    <n v="0"/>
  </r>
  <r>
    <x v="42"/>
    <x v="23"/>
    <x v="3"/>
    <m/>
    <m/>
    <n v="0"/>
    <m/>
    <m/>
    <n v="0"/>
    <m/>
    <m/>
    <n v="0"/>
    <s v=""/>
    <n v="0"/>
    <n v="0"/>
    <n v="0"/>
    <n v="116.88487613461319"/>
    <n v="2225"/>
    <n v="71535.307499999995"/>
    <n v="0"/>
    <n v="0"/>
    <n v="0"/>
    <n v="0"/>
    <n v="0"/>
    <n v="0"/>
  </r>
  <r>
    <x v="43"/>
    <x v="23"/>
    <x v="3"/>
    <m/>
    <m/>
    <n v="0"/>
    <m/>
    <m/>
    <n v="0"/>
    <m/>
    <m/>
    <n v="0"/>
    <s v=""/>
    <n v="0"/>
    <n v="0"/>
    <n v="0"/>
    <n v="116.88487613461319"/>
    <n v="2225"/>
    <n v="71535.307499999995"/>
    <n v="0"/>
    <n v="0"/>
    <n v="0"/>
    <n v="0"/>
    <n v="0"/>
    <n v="0"/>
  </r>
  <r>
    <x v="44"/>
    <x v="23"/>
    <x v="3"/>
    <m/>
    <m/>
    <n v="0"/>
    <m/>
    <m/>
    <n v="0"/>
    <m/>
    <m/>
    <n v="0"/>
    <s v=""/>
    <n v="0"/>
    <n v="0"/>
    <n v="0"/>
    <n v="116.88487613461319"/>
    <n v="2225"/>
    <n v="71535.307499999995"/>
    <n v="0"/>
    <n v="0"/>
    <n v="0"/>
    <n v="0"/>
    <n v="0"/>
    <n v="0"/>
  </r>
  <r>
    <x v="45"/>
    <x v="23"/>
    <x v="3"/>
    <m/>
    <m/>
    <n v="0"/>
    <m/>
    <m/>
    <n v="0"/>
    <m/>
    <m/>
    <n v="0"/>
    <s v=""/>
    <n v="0"/>
    <n v="0"/>
    <n v="0"/>
    <n v="116.88487613461319"/>
    <n v="2225"/>
    <n v="71535.307499999995"/>
    <n v="0"/>
    <n v="0"/>
    <n v="0"/>
    <n v="0"/>
    <n v="0"/>
    <n v="0"/>
  </r>
  <r>
    <x v="46"/>
    <x v="23"/>
    <x v="3"/>
    <m/>
    <m/>
    <m/>
    <m/>
    <m/>
    <m/>
    <m/>
    <m/>
    <m/>
    <m/>
    <m/>
    <m/>
    <m/>
    <m/>
    <m/>
    <m/>
    <m/>
    <m/>
    <m/>
    <m/>
    <m/>
    <m/>
  </r>
  <r>
    <x v="47"/>
    <x v="23"/>
    <x v="3"/>
    <m/>
    <m/>
    <n v="0"/>
    <m/>
    <m/>
    <n v="0"/>
    <m/>
    <m/>
    <m/>
    <m/>
    <m/>
    <m/>
    <m/>
    <m/>
    <m/>
    <m/>
    <m/>
    <m/>
    <m/>
    <m/>
    <m/>
    <m/>
  </r>
  <r>
    <x v="48"/>
    <x v="23"/>
    <x v="3"/>
    <m/>
    <m/>
    <n v="0"/>
    <m/>
    <m/>
    <n v="0"/>
    <m/>
    <m/>
    <m/>
    <m/>
    <m/>
    <m/>
    <m/>
    <m/>
    <m/>
    <m/>
    <m/>
    <m/>
    <m/>
    <m/>
    <m/>
    <m/>
  </r>
  <r>
    <x v="49"/>
    <x v="23"/>
    <x v="3"/>
    <m/>
    <m/>
    <n v="0"/>
    <m/>
    <m/>
    <n v="0"/>
    <m/>
    <m/>
    <n v="0"/>
    <s v=""/>
    <n v="0"/>
    <n v="0"/>
    <n v="0"/>
    <n v="116.88487613461319"/>
    <n v="2225"/>
    <n v="71535.307499999995"/>
    <n v="0"/>
    <n v="0"/>
    <n v="0"/>
    <n v="0"/>
    <n v="0"/>
    <n v="0"/>
  </r>
  <r>
    <x v="50"/>
    <x v="23"/>
    <x v="4"/>
    <m/>
    <m/>
    <n v="0"/>
    <m/>
    <m/>
    <n v="0"/>
    <m/>
    <m/>
    <n v="0"/>
    <s v=""/>
    <n v="0"/>
    <n v="0"/>
    <n v="0"/>
    <n v="116.88487613461319"/>
    <n v="2225"/>
    <n v="71535.307499999995"/>
    <n v="0"/>
    <n v="0"/>
    <n v="0"/>
    <n v="0"/>
    <n v="0"/>
    <n v="0"/>
  </r>
  <r>
    <x v="51"/>
    <x v="23"/>
    <x v="4"/>
    <m/>
    <m/>
    <n v="0"/>
    <m/>
    <m/>
    <n v="0"/>
    <m/>
    <m/>
    <n v="0"/>
    <s v=""/>
    <n v="0"/>
    <n v="0"/>
    <n v="0"/>
    <n v="116.88487613461319"/>
    <n v="2225"/>
    <n v="71535.307499999995"/>
    <n v="0"/>
    <n v="0"/>
    <n v="0"/>
    <n v="0"/>
    <n v="0"/>
    <n v="0"/>
  </r>
  <r>
    <x v="52"/>
    <x v="23"/>
    <x v="4"/>
    <m/>
    <m/>
    <n v="0"/>
    <m/>
    <m/>
    <n v="0"/>
    <m/>
    <m/>
    <n v="0"/>
    <s v=""/>
    <n v="0"/>
    <n v="0"/>
    <n v="0"/>
    <n v="116.88487613461319"/>
    <n v="2225"/>
    <n v="71535.307499999995"/>
    <n v="0"/>
    <n v="0"/>
    <n v="0"/>
    <n v="0"/>
    <n v="0"/>
    <n v="0"/>
  </r>
  <r>
    <x v="53"/>
    <x v="23"/>
    <x v="4"/>
    <m/>
    <m/>
    <n v="0"/>
    <m/>
    <m/>
    <n v="0"/>
    <m/>
    <m/>
    <n v="0"/>
    <s v=""/>
    <n v="0"/>
    <n v="0"/>
    <n v="0"/>
    <n v="116.88487613461319"/>
    <n v="2225"/>
    <n v="71535.307499999995"/>
    <n v="0"/>
    <n v="0"/>
    <n v="0"/>
    <n v="0"/>
    <n v="0"/>
    <n v="0"/>
  </r>
  <r>
    <x v="54"/>
    <x v="23"/>
    <x v="4"/>
    <m/>
    <m/>
    <n v="0"/>
    <m/>
    <m/>
    <n v="0"/>
    <m/>
    <m/>
    <n v="0"/>
    <s v=""/>
    <n v="0"/>
    <n v="0"/>
    <n v="0"/>
    <n v="116.88487613461319"/>
    <n v="2225"/>
    <n v="71535.307499999995"/>
    <n v="0"/>
    <n v="0"/>
    <n v="0"/>
    <n v="0"/>
    <n v="0"/>
    <n v="0"/>
  </r>
  <r>
    <x v="55"/>
    <x v="23"/>
    <x v="4"/>
    <m/>
    <m/>
    <n v="0"/>
    <m/>
    <m/>
    <n v="0"/>
    <m/>
    <m/>
    <n v="0"/>
    <s v=""/>
    <n v="0"/>
    <n v="0"/>
    <n v="0"/>
    <n v="116.88487613461319"/>
    <n v="2225"/>
    <n v="71535.307499999995"/>
    <n v="0"/>
    <n v="0"/>
    <n v="0"/>
    <n v="0"/>
    <n v="0"/>
    <n v="0"/>
  </r>
  <r>
    <x v="56"/>
    <x v="23"/>
    <x v="4"/>
    <m/>
    <m/>
    <n v="0"/>
    <m/>
    <m/>
    <n v="0"/>
    <m/>
    <m/>
    <n v="0"/>
    <s v=""/>
    <n v="0"/>
    <n v="0"/>
    <n v="0"/>
    <n v="116.88487613461319"/>
    <n v="2225"/>
    <n v="71535.307499999995"/>
    <n v="0"/>
    <n v="0"/>
    <n v="0"/>
    <n v="0"/>
    <n v="0"/>
    <n v="0"/>
  </r>
  <r>
    <x v="57"/>
    <x v="23"/>
    <x v="4"/>
    <m/>
    <m/>
    <n v="0"/>
    <m/>
    <m/>
    <n v="0"/>
    <m/>
    <m/>
    <n v="0"/>
    <s v=""/>
    <n v="0"/>
    <n v="0"/>
    <n v="0"/>
    <n v="116.88487613461319"/>
    <n v="2225"/>
    <n v="71535.307499999995"/>
    <n v="0"/>
    <n v="0"/>
    <n v="0"/>
    <n v="0"/>
    <n v="0"/>
    <n v="0"/>
  </r>
  <r>
    <x v="58"/>
    <x v="23"/>
    <x v="4"/>
    <m/>
    <m/>
    <n v="0"/>
    <m/>
    <m/>
    <n v="0"/>
    <m/>
    <m/>
    <n v="0"/>
    <s v=""/>
    <n v="0"/>
    <n v="0"/>
    <n v="0"/>
    <n v="116.88487613461319"/>
    <n v="2225"/>
    <n v="71535.307499999995"/>
    <n v="0"/>
    <n v="0"/>
    <n v="0"/>
    <n v="0"/>
    <n v="0"/>
    <n v="0"/>
  </r>
  <r>
    <x v="59"/>
    <x v="23"/>
    <x v="4"/>
    <m/>
    <m/>
    <n v="0"/>
    <m/>
    <m/>
    <n v="0"/>
    <m/>
    <m/>
    <n v="0"/>
    <s v=""/>
    <n v="0"/>
    <n v="0"/>
    <n v="0"/>
    <n v="116.88487613461319"/>
    <n v="2225"/>
    <n v="71535.307499999995"/>
    <n v="0"/>
    <n v="0"/>
    <n v="0"/>
    <n v="0"/>
    <n v="0"/>
    <n v="0"/>
  </r>
  <r>
    <x v="60"/>
    <x v="23"/>
    <x v="4"/>
    <m/>
    <m/>
    <n v="0"/>
    <m/>
    <m/>
    <n v="0"/>
    <m/>
    <m/>
    <n v="0"/>
    <s v=""/>
    <n v="0"/>
    <n v="0"/>
    <n v="0"/>
    <n v="116.88487613461319"/>
    <n v="2225"/>
    <n v="71535.307499999995"/>
    <n v="0"/>
    <n v="0"/>
    <n v="0"/>
    <n v="0"/>
    <n v="0"/>
    <n v="0"/>
  </r>
  <r>
    <x v="61"/>
    <x v="23"/>
    <x v="4"/>
    <m/>
    <m/>
    <n v="0"/>
    <m/>
    <m/>
    <n v="0"/>
    <m/>
    <m/>
    <n v="0"/>
    <s v=""/>
    <n v="0"/>
    <n v="0"/>
    <n v="0"/>
    <n v="116.88487613461319"/>
    <n v="2225"/>
    <n v="71535.307499999995"/>
    <n v="0"/>
    <n v="0"/>
    <n v="0"/>
    <n v="0"/>
    <n v="0"/>
    <n v="0"/>
  </r>
  <r>
    <x v="62"/>
    <x v="23"/>
    <x v="4"/>
    <m/>
    <m/>
    <n v="0"/>
    <m/>
    <m/>
    <n v="0"/>
    <m/>
    <m/>
    <n v="0"/>
    <s v=""/>
    <n v="0"/>
    <n v="0"/>
    <n v="0"/>
    <n v="116.88487613461319"/>
    <n v="2225"/>
    <n v="71535.307499999995"/>
    <n v="0"/>
    <n v="0"/>
    <n v="0"/>
    <n v="0"/>
    <n v="0"/>
    <n v="0"/>
  </r>
  <r>
    <x v="63"/>
    <x v="23"/>
    <x v="4"/>
    <m/>
    <m/>
    <n v="0"/>
    <m/>
    <m/>
    <n v="0"/>
    <m/>
    <m/>
    <n v="0"/>
    <s v=""/>
    <n v="0"/>
    <n v="0"/>
    <n v="0"/>
    <n v="116.88487613461319"/>
    <n v="2225"/>
    <n v="71535.307499999995"/>
    <n v="0"/>
    <n v="0"/>
    <n v="0"/>
    <n v="0"/>
    <n v="0"/>
    <n v="0"/>
  </r>
  <r>
    <x v="64"/>
    <x v="23"/>
    <x v="4"/>
    <n v="1798"/>
    <n v="1.6"/>
    <n v="2.8768000000000002"/>
    <m/>
    <m/>
    <n v="0"/>
    <m/>
    <m/>
    <n v="0"/>
    <s v=""/>
    <n v="0"/>
    <n v="0"/>
    <n v="0"/>
    <n v="116.88487613461319"/>
    <n v="2225"/>
    <n v="71535.307499999995"/>
    <n v="0"/>
    <n v="0"/>
    <n v="0"/>
    <n v="0"/>
    <n v="0"/>
    <n v="0"/>
  </r>
  <r>
    <x v="65"/>
    <x v="23"/>
    <x v="4"/>
    <m/>
    <m/>
    <n v="0"/>
    <m/>
    <m/>
    <n v="0"/>
    <m/>
    <m/>
    <n v="0"/>
    <s v=""/>
    <n v="0"/>
    <n v="0"/>
    <n v="0"/>
    <n v="116.88487613461319"/>
    <n v="2225"/>
    <n v="71535.307499999995"/>
    <n v="0"/>
    <n v="0"/>
    <n v="0"/>
    <n v="0"/>
    <n v="0"/>
    <n v="0"/>
  </r>
  <r>
    <x v="66"/>
    <x v="23"/>
    <x v="4"/>
    <m/>
    <m/>
    <n v="0"/>
    <m/>
    <m/>
    <n v="0"/>
    <m/>
    <m/>
    <n v="0"/>
    <s v=""/>
    <n v="0"/>
    <n v="0"/>
    <n v="0"/>
    <n v="116.88487613461319"/>
    <n v="2225"/>
    <n v="71535.307499999995"/>
    <n v="0"/>
    <n v="0"/>
    <n v="0"/>
    <n v="0"/>
    <n v="0"/>
    <n v="0"/>
  </r>
  <r>
    <x v="67"/>
    <x v="23"/>
    <x v="4"/>
    <m/>
    <m/>
    <n v="0"/>
    <m/>
    <m/>
    <n v="0"/>
    <m/>
    <m/>
    <n v="0"/>
    <s v=""/>
    <n v="0"/>
    <n v="0"/>
    <n v="0"/>
    <n v="116.88487613461319"/>
    <n v="2225"/>
    <n v="71535.307499999995"/>
    <n v="0"/>
    <n v="0"/>
    <n v="0"/>
    <n v="0"/>
    <n v="0"/>
    <n v="0"/>
  </r>
  <r>
    <x v="68"/>
    <x v="23"/>
    <x v="4"/>
    <m/>
    <m/>
    <n v="0"/>
    <m/>
    <m/>
    <n v="0"/>
    <m/>
    <m/>
    <n v="0"/>
    <s v=""/>
    <n v="0"/>
    <n v="0"/>
    <n v="0"/>
    <n v="116.88487613461319"/>
    <n v="2225"/>
    <n v="71535.307499999995"/>
    <n v="0"/>
    <n v="0"/>
    <n v="0"/>
    <n v="0"/>
    <n v="0"/>
    <n v="0"/>
  </r>
  <r>
    <x v="69"/>
    <x v="23"/>
    <x v="4"/>
    <m/>
    <m/>
    <n v="0"/>
    <m/>
    <m/>
    <n v="0"/>
    <m/>
    <m/>
    <n v="0"/>
    <s v=""/>
    <n v="0"/>
    <n v="0"/>
    <n v="0"/>
    <n v="116.88487613461319"/>
    <n v="2225"/>
    <n v="71535.307499999995"/>
    <n v="0"/>
    <n v="0"/>
    <n v="0"/>
    <n v="0"/>
    <n v="0"/>
    <n v="0"/>
  </r>
  <r>
    <x v="70"/>
    <x v="23"/>
    <x v="5"/>
    <n v="2696"/>
    <n v="2.83"/>
    <n v="7.6296800000000005"/>
    <m/>
    <m/>
    <n v="0"/>
    <m/>
    <m/>
    <n v="0"/>
    <s v=""/>
    <n v="0"/>
    <n v="0"/>
    <n v="0"/>
    <n v="116.88487613461319"/>
    <n v="2225"/>
    <n v="71535.307499999995"/>
    <n v="0"/>
    <n v="0"/>
    <n v="0"/>
    <n v="0"/>
    <n v="0"/>
    <n v="0"/>
  </r>
  <r>
    <x v="71"/>
    <x v="23"/>
    <x v="5"/>
    <m/>
    <m/>
    <n v="0"/>
    <m/>
    <m/>
    <n v="0"/>
    <m/>
    <m/>
    <n v="0"/>
    <s v=""/>
    <n v="0"/>
    <n v="0"/>
    <n v="0"/>
    <n v="116.88487613461319"/>
    <n v="2225"/>
    <n v="71535.307499999995"/>
    <n v="0"/>
    <n v="0"/>
    <n v="0"/>
    <n v="0"/>
    <n v="0"/>
    <n v="0"/>
  </r>
  <r>
    <x v="72"/>
    <x v="23"/>
    <x v="5"/>
    <m/>
    <m/>
    <n v="0"/>
    <m/>
    <m/>
    <n v="0"/>
    <m/>
    <m/>
    <m/>
    <m/>
    <m/>
    <m/>
    <m/>
    <m/>
    <m/>
    <m/>
    <m/>
    <m/>
    <m/>
    <m/>
    <m/>
    <m/>
  </r>
  <r>
    <x v="73"/>
    <x v="23"/>
    <x v="5"/>
    <n v="2696"/>
    <n v="2.31"/>
    <n v="6.22776"/>
    <m/>
    <m/>
    <n v="0"/>
    <m/>
    <m/>
    <n v="0"/>
    <s v=""/>
    <n v="0"/>
    <n v="0"/>
    <n v="0"/>
    <n v="116.88487613461319"/>
    <n v="2225"/>
    <n v="71535.307499999995"/>
    <n v="0"/>
    <n v="0"/>
    <n v="0"/>
    <n v="0"/>
    <n v="0"/>
    <n v="0"/>
  </r>
  <r>
    <x v="74"/>
    <x v="23"/>
    <x v="5"/>
    <m/>
    <m/>
    <n v="0"/>
    <m/>
    <m/>
    <n v="0"/>
    <m/>
    <m/>
    <m/>
    <m/>
    <m/>
    <m/>
    <m/>
    <m/>
    <m/>
    <m/>
    <m/>
    <m/>
    <m/>
    <m/>
    <m/>
    <m/>
  </r>
  <r>
    <x v="75"/>
    <x v="23"/>
    <x v="5"/>
    <m/>
    <m/>
    <n v="0"/>
    <m/>
    <m/>
    <n v="0"/>
    <m/>
    <m/>
    <n v="0"/>
    <s v=""/>
    <n v="0"/>
    <n v="0"/>
    <n v="0"/>
    <n v="116.88487613461319"/>
    <n v="2225"/>
    <n v="71535.307499999995"/>
    <n v="0"/>
    <n v="0"/>
    <n v="0"/>
    <n v="0"/>
    <n v="0"/>
    <n v="0"/>
  </r>
  <r>
    <x v="76"/>
    <x v="23"/>
    <x v="5"/>
    <m/>
    <m/>
    <n v="0"/>
    <m/>
    <m/>
    <n v="0"/>
    <m/>
    <m/>
    <n v="0"/>
    <s v=""/>
    <n v="0"/>
    <n v="0"/>
    <n v="0"/>
    <n v="116.88487613461319"/>
    <n v="2225"/>
    <n v="71535.307499999995"/>
    <n v="0"/>
    <n v="0"/>
    <n v="0"/>
    <n v="0"/>
    <n v="0"/>
    <n v="0"/>
  </r>
  <r>
    <x v="77"/>
    <x v="23"/>
    <x v="5"/>
    <m/>
    <m/>
    <n v="0"/>
    <m/>
    <m/>
    <n v="0"/>
    <m/>
    <m/>
    <n v="0"/>
    <s v=""/>
    <n v="0"/>
    <n v="0"/>
    <n v="0"/>
    <n v="116.88487613461319"/>
    <n v="2225"/>
    <n v="71535.307499999995"/>
    <n v="0"/>
    <n v="0"/>
    <n v="0"/>
    <n v="0"/>
    <n v="0"/>
    <n v="0"/>
  </r>
  <r>
    <x v="78"/>
    <x v="23"/>
    <x v="5"/>
    <m/>
    <m/>
    <n v="0"/>
    <m/>
    <m/>
    <n v="0"/>
    <m/>
    <m/>
    <n v="0"/>
    <s v=""/>
    <n v="0"/>
    <n v="0"/>
    <n v="0"/>
    <n v="116.88487613461319"/>
    <n v="2225"/>
    <n v="71535.307499999995"/>
    <n v="0"/>
    <n v="0"/>
    <n v="0"/>
    <n v="0"/>
    <n v="0"/>
    <n v="0"/>
  </r>
  <r>
    <x v="79"/>
    <x v="23"/>
    <x v="5"/>
    <m/>
    <m/>
    <n v="0"/>
    <m/>
    <m/>
    <n v="0"/>
    <m/>
    <m/>
    <n v="0"/>
    <s v=""/>
    <n v="0"/>
    <n v="0"/>
    <n v="0"/>
    <n v="116.88487613461319"/>
    <n v="2225"/>
    <n v="71535.307499999995"/>
    <n v="0"/>
    <n v="0"/>
    <n v="0"/>
    <n v="0"/>
    <n v="0"/>
    <n v="0"/>
  </r>
  <r>
    <x v="80"/>
    <x v="23"/>
    <x v="5"/>
    <m/>
    <m/>
    <n v="0"/>
    <m/>
    <m/>
    <n v="0"/>
    <m/>
    <m/>
    <n v="0"/>
    <s v=""/>
    <n v="0"/>
    <n v="0"/>
    <n v="0"/>
    <n v="116.88487613461319"/>
    <n v="2225"/>
    <n v="71535.307499999995"/>
    <n v="0"/>
    <n v="0"/>
    <n v="0"/>
    <n v="0"/>
    <n v="0"/>
    <n v="0"/>
  </r>
  <r>
    <x v="81"/>
    <x v="23"/>
    <x v="5"/>
    <m/>
    <m/>
    <n v="0"/>
    <m/>
    <m/>
    <n v="0"/>
    <m/>
    <m/>
    <n v="0"/>
    <s v=""/>
    <n v="0"/>
    <n v="0"/>
    <n v="0"/>
    <n v="116.88487613461319"/>
    <n v="2225"/>
    <n v="71535.307499999995"/>
    <n v="0"/>
    <n v="0"/>
    <n v="0"/>
    <n v="0"/>
    <n v="0"/>
    <n v="0"/>
  </r>
  <r>
    <x v="82"/>
    <x v="23"/>
    <x v="5"/>
    <m/>
    <m/>
    <n v="0"/>
    <m/>
    <m/>
    <n v="0"/>
    <m/>
    <m/>
    <n v="0"/>
    <s v=""/>
    <n v="0"/>
    <n v="0"/>
    <n v="0"/>
    <n v="116.88487613461319"/>
    <n v="2225"/>
    <n v="71535.307499999995"/>
    <n v="0"/>
    <n v="0"/>
    <n v="0"/>
    <n v="0"/>
    <n v="0"/>
    <n v="0"/>
  </r>
  <r>
    <x v="83"/>
    <x v="23"/>
    <x v="5"/>
    <m/>
    <m/>
    <n v="0"/>
    <m/>
    <m/>
    <n v="0"/>
    <m/>
    <m/>
    <n v="0"/>
    <s v=""/>
    <n v="0"/>
    <n v="0"/>
    <n v="0"/>
    <n v="116.88487613461319"/>
    <n v="2225"/>
    <n v="71535.307499999995"/>
    <n v="0"/>
    <n v="0"/>
    <n v="0"/>
    <n v="0"/>
    <n v="0"/>
    <n v="0"/>
  </r>
  <r>
    <x v="84"/>
    <x v="23"/>
    <x v="5"/>
    <m/>
    <m/>
    <n v="0"/>
    <m/>
    <m/>
    <n v="0"/>
    <m/>
    <m/>
    <n v="0"/>
    <s v=""/>
    <n v="0"/>
    <n v="0"/>
    <n v="0"/>
    <n v="116.88487613461319"/>
    <n v="2225"/>
    <n v="71535.307499999995"/>
    <n v="0"/>
    <n v="0"/>
    <n v="0"/>
    <n v="0"/>
    <n v="0"/>
    <n v="0"/>
  </r>
  <r>
    <x v="85"/>
    <x v="23"/>
    <x v="5"/>
    <m/>
    <m/>
    <n v="0"/>
    <m/>
    <m/>
    <n v="0"/>
    <m/>
    <m/>
    <n v="0"/>
    <s v=""/>
    <n v="0"/>
    <n v="0"/>
    <n v="0"/>
    <n v="116.88487613461319"/>
    <n v="2225"/>
    <n v="71535.307499999995"/>
    <n v="0"/>
    <n v="0"/>
    <n v="0"/>
    <n v="0"/>
    <n v="0"/>
    <n v="0"/>
  </r>
  <r>
    <x v="86"/>
    <x v="23"/>
    <x v="5"/>
    <m/>
    <m/>
    <n v="0"/>
    <m/>
    <m/>
    <n v="0"/>
    <m/>
    <m/>
    <n v="0"/>
    <s v=""/>
    <n v="0"/>
    <n v="0"/>
    <n v="0"/>
    <n v="116.88487613461319"/>
    <n v="2225"/>
    <n v="71535.307499999995"/>
    <n v="0"/>
    <n v="0"/>
    <n v="0"/>
    <n v="0"/>
    <n v="0"/>
    <n v="0"/>
  </r>
  <r>
    <x v="87"/>
    <x v="23"/>
    <x v="5"/>
    <m/>
    <m/>
    <n v="0"/>
    <m/>
    <m/>
    <n v="0"/>
    <m/>
    <m/>
    <n v="0"/>
    <s v=""/>
    <n v="0"/>
    <n v="0"/>
    <n v="0"/>
    <n v="116.88487613461319"/>
    <n v="2225"/>
    <n v="71535.307499999995"/>
    <n v="0"/>
    <n v="0"/>
    <n v="0"/>
    <n v="0"/>
    <n v="0"/>
    <n v="0"/>
  </r>
  <r>
    <x v="88"/>
    <x v="23"/>
    <x v="5"/>
    <m/>
    <m/>
    <n v="0"/>
    <m/>
    <m/>
    <n v="0"/>
    <m/>
    <m/>
    <n v="0"/>
    <s v=""/>
    <n v="0"/>
    <n v="0"/>
    <n v="0"/>
    <n v="116.88487613461319"/>
    <n v="2225"/>
    <n v="71535.307499999995"/>
    <n v="0"/>
    <n v="0"/>
    <n v="0"/>
    <n v="0"/>
    <n v="0"/>
    <n v="0"/>
  </r>
  <r>
    <x v="89"/>
    <x v="23"/>
    <x v="5"/>
    <n v="2696"/>
    <n v="2.17"/>
    <n v="5.85032"/>
    <m/>
    <m/>
    <n v="0"/>
    <m/>
    <m/>
    <n v="0"/>
    <s v=""/>
    <n v="0"/>
    <n v="0"/>
    <n v="0"/>
    <n v="116.88487613461319"/>
    <n v="2225"/>
    <n v="71535.307499999995"/>
    <n v="0"/>
    <n v="0"/>
    <n v="0"/>
    <n v="0"/>
    <n v="0"/>
    <n v="0"/>
  </r>
  <r>
    <x v="90"/>
    <x v="23"/>
    <x v="5"/>
    <m/>
    <m/>
    <n v="0"/>
    <m/>
    <m/>
    <n v="0"/>
    <m/>
    <m/>
    <n v="0"/>
    <s v=""/>
    <n v="0"/>
    <n v="0"/>
    <n v="0"/>
    <n v="116.88487613461319"/>
    <n v="2225"/>
    <n v="71535.307499999995"/>
    <n v="0"/>
    <n v="0"/>
    <n v="0"/>
    <n v="0"/>
    <n v="0"/>
    <n v="0"/>
  </r>
  <r>
    <x v="91"/>
    <x v="23"/>
    <x v="5"/>
    <m/>
    <m/>
    <n v="0"/>
    <m/>
    <m/>
    <n v="0"/>
    <m/>
    <m/>
    <n v="0"/>
    <s v=""/>
    <n v="0"/>
    <n v="0"/>
    <n v="0"/>
    <n v="116.88487613461319"/>
    <n v="2225"/>
    <n v="71535.307499999995"/>
    <n v="0"/>
    <n v="0"/>
    <n v="0"/>
    <n v="0"/>
    <n v="0"/>
    <n v="0"/>
  </r>
  <r>
    <x v="92"/>
    <x v="23"/>
    <x v="5"/>
    <n v="1798"/>
    <n v="2.4500000000000002"/>
    <n v="4.4051"/>
    <m/>
    <m/>
    <n v="0"/>
    <m/>
    <m/>
    <n v="0"/>
    <s v=""/>
    <n v="0"/>
    <n v="0"/>
    <n v="0"/>
    <n v="116.88487613461319"/>
    <n v="2225"/>
    <n v="71535.307499999995"/>
    <n v="0"/>
    <n v="0"/>
    <n v="0"/>
    <n v="0"/>
    <n v="0"/>
    <n v="0"/>
  </r>
  <r>
    <x v="93"/>
    <x v="23"/>
    <x v="5"/>
    <m/>
    <m/>
    <n v="0"/>
    <m/>
    <m/>
    <n v="0"/>
    <m/>
    <m/>
    <n v="0"/>
    <s v=""/>
    <n v="0"/>
    <n v="0"/>
    <n v="0"/>
    <n v="116.88487613461319"/>
    <n v="2225"/>
    <n v="71535.307499999995"/>
    <n v="0"/>
    <n v="0"/>
    <n v="0"/>
    <n v="0"/>
    <n v="0"/>
    <n v="0"/>
  </r>
  <r>
    <x v="94"/>
    <x v="23"/>
    <x v="5"/>
    <m/>
    <m/>
    <n v="0"/>
    <m/>
    <m/>
    <n v="0"/>
    <m/>
    <m/>
    <n v="0"/>
    <s v=""/>
    <n v="0"/>
    <n v="0"/>
    <n v="0"/>
    <n v="116.88487613461319"/>
    <n v="2225"/>
    <n v="71535.307499999995"/>
    <n v="0"/>
    <n v="0"/>
    <n v="0"/>
    <n v="0"/>
    <n v="0"/>
    <n v="0"/>
  </r>
  <r>
    <x v="95"/>
    <x v="23"/>
    <x v="5"/>
    <m/>
    <m/>
    <n v="0"/>
    <m/>
    <m/>
    <n v="0"/>
    <m/>
    <m/>
    <n v="0"/>
    <s v=""/>
    <n v="0"/>
    <n v="0"/>
    <n v="0"/>
    <n v="116.88487613461319"/>
    <n v="2225"/>
    <n v="71535.307499999995"/>
    <n v="0"/>
    <n v="0"/>
    <n v="0"/>
    <n v="0"/>
    <n v="0"/>
    <n v="0"/>
  </r>
  <r>
    <x v="96"/>
    <x v="23"/>
    <x v="5"/>
    <m/>
    <m/>
    <n v="0"/>
    <m/>
    <m/>
    <n v="0"/>
    <m/>
    <m/>
    <n v="0"/>
    <s v=""/>
    <n v="0"/>
    <n v="0"/>
    <n v="0"/>
    <n v="116.88487613461319"/>
    <n v="2225"/>
    <n v="71535.307499999995"/>
    <n v="0"/>
    <n v="0"/>
    <n v="0"/>
    <n v="0"/>
    <n v="0"/>
    <n v="0"/>
  </r>
  <r>
    <x v="97"/>
    <x v="23"/>
    <x v="5"/>
    <m/>
    <m/>
    <n v="0"/>
    <m/>
    <m/>
    <n v="0"/>
    <m/>
    <m/>
    <n v="0"/>
    <s v=""/>
    <n v="0"/>
    <n v="0"/>
    <n v="0"/>
    <n v="116.88487613461319"/>
    <n v="2225"/>
    <n v="71535.307499999995"/>
    <n v="0"/>
    <n v="0"/>
    <n v="0"/>
    <n v="0"/>
    <n v="0"/>
    <n v="0"/>
  </r>
  <r>
    <x v="98"/>
    <x v="23"/>
    <x v="6"/>
    <m/>
    <m/>
    <n v="0"/>
    <m/>
    <m/>
    <n v="0"/>
    <m/>
    <m/>
    <n v="0"/>
    <s v=""/>
    <n v="0"/>
    <n v="0"/>
    <n v="0"/>
    <n v="116.88487613461319"/>
    <n v="2225"/>
    <n v="71535.307499999995"/>
    <n v="0"/>
    <n v="0"/>
    <n v="0"/>
    <n v="0"/>
    <n v="0"/>
    <n v="0"/>
  </r>
  <r>
    <x v="99"/>
    <x v="23"/>
    <x v="6"/>
    <m/>
    <m/>
    <n v="0"/>
    <m/>
    <m/>
    <n v="0"/>
    <m/>
    <m/>
    <n v="0"/>
    <s v=""/>
    <n v="0"/>
    <n v="0"/>
    <n v="0"/>
    <n v="116.88487613461319"/>
    <n v="2225"/>
    <n v="71535.307499999995"/>
    <n v="0"/>
    <n v="0"/>
    <n v="0"/>
    <n v="0"/>
    <n v="0"/>
    <n v="0"/>
  </r>
  <r>
    <x v="100"/>
    <x v="23"/>
    <x v="6"/>
    <m/>
    <m/>
    <n v="0"/>
    <m/>
    <m/>
    <n v="0"/>
    <m/>
    <m/>
    <n v="0"/>
    <s v=""/>
    <n v="0"/>
    <n v="0"/>
    <n v="0"/>
    <n v="116.88487613461319"/>
    <n v="2225"/>
    <n v="71535.307499999995"/>
    <n v="0"/>
    <n v="0"/>
    <n v="0"/>
    <n v="0"/>
    <n v="0"/>
    <n v="0"/>
  </r>
  <r>
    <x v="101"/>
    <x v="23"/>
    <x v="6"/>
    <n v="1798"/>
    <n v="2.88"/>
    <n v="5.1782399999999997"/>
    <m/>
    <m/>
    <n v="0"/>
    <m/>
    <m/>
    <n v="0"/>
    <s v=""/>
    <n v="0"/>
    <n v="0"/>
    <n v="0"/>
    <n v="116.88487613461319"/>
    <n v="2225"/>
    <n v="71535.307499999995"/>
    <n v="0"/>
    <n v="0"/>
    <n v="0"/>
    <n v="0"/>
    <n v="0"/>
    <n v="0"/>
  </r>
  <r>
    <x v="102"/>
    <x v="23"/>
    <x v="6"/>
    <n v="1098"/>
    <n v="3.61"/>
    <n v="3.9637799999999999"/>
    <m/>
    <m/>
    <n v="0"/>
    <m/>
    <m/>
    <n v="0"/>
    <s v=""/>
    <n v="0"/>
    <n v="0"/>
    <n v="0"/>
    <n v="116.88487613461319"/>
    <n v="2225"/>
    <n v="71535.307499999995"/>
    <n v="0"/>
    <n v="0"/>
    <n v="0"/>
    <n v="0"/>
    <n v="0"/>
    <n v="0"/>
  </r>
  <r>
    <x v="103"/>
    <x v="23"/>
    <x v="6"/>
    <n v="1798"/>
    <n v="2.87"/>
    <n v="5.1602600000000001"/>
    <m/>
    <m/>
    <n v="0"/>
    <m/>
    <m/>
    <n v="0"/>
    <s v=""/>
    <n v="0"/>
    <n v="0"/>
    <n v="0"/>
    <n v="116.88487613461319"/>
    <n v="2225"/>
    <n v="71535.307499999995"/>
    <n v="0"/>
    <n v="0"/>
    <n v="0"/>
    <n v="0"/>
    <n v="0"/>
    <n v="0"/>
  </r>
  <r>
    <x v="104"/>
    <x v="23"/>
    <x v="6"/>
    <n v="2696"/>
    <n v="2.4300000000000002"/>
    <n v="6.5512800000000002"/>
    <m/>
    <m/>
    <n v="0"/>
    <m/>
    <m/>
    <n v="0"/>
    <s v=""/>
    <n v="0"/>
    <n v="0"/>
    <n v="0"/>
    <n v="116.88487613461319"/>
    <n v="2225"/>
    <n v="71535.307499999995"/>
    <n v="0"/>
    <n v="0"/>
    <n v="0"/>
    <n v="0"/>
    <n v="0"/>
    <n v="0"/>
  </r>
  <r>
    <x v="105"/>
    <x v="23"/>
    <x v="6"/>
    <m/>
    <m/>
    <n v="0"/>
    <m/>
    <m/>
    <n v="0"/>
    <m/>
    <m/>
    <n v="0"/>
    <s v=""/>
    <n v="0"/>
    <n v="0"/>
    <n v="0"/>
    <n v="116.88487613461319"/>
    <n v="2225"/>
    <n v="71535.307499999995"/>
    <n v="0"/>
    <n v="0"/>
    <n v="0"/>
    <n v="0"/>
    <n v="0"/>
    <n v="0"/>
  </r>
  <r>
    <x v="106"/>
    <x v="23"/>
    <x v="6"/>
    <m/>
    <m/>
    <n v="0"/>
    <m/>
    <m/>
    <n v="0"/>
    <m/>
    <m/>
    <n v="0"/>
    <s v=""/>
    <n v="0"/>
    <n v="0"/>
    <n v="0"/>
    <n v="116.88487613461319"/>
    <n v="2225"/>
    <n v="71535.307499999995"/>
    <n v="0"/>
    <n v="0"/>
    <n v="0"/>
    <n v="0"/>
    <n v="0"/>
    <n v="0"/>
  </r>
  <r>
    <x v="107"/>
    <x v="23"/>
    <x v="6"/>
    <m/>
    <m/>
    <n v="0"/>
    <m/>
    <m/>
    <n v="0"/>
    <m/>
    <m/>
    <n v="0"/>
    <s v=""/>
    <n v="0"/>
    <n v="0"/>
    <n v="0"/>
    <n v="116.88487613461319"/>
    <n v="2225"/>
    <n v="71535.307499999995"/>
    <n v="0"/>
    <n v="0"/>
    <n v="0"/>
    <n v="0"/>
    <n v="0"/>
    <n v="0"/>
  </r>
  <r>
    <x v="108"/>
    <x v="23"/>
    <x v="6"/>
    <m/>
    <m/>
    <n v="0"/>
    <m/>
    <m/>
    <n v="0"/>
    <m/>
    <m/>
    <n v="0"/>
    <s v=""/>
    <n v="0"/>
    <n v="0"/>
    <n v="0"/>
    <n v="116.88487613461319"/>
    <n v="2225"/>
    <n v="71535.307499999995"/>
    <n v="0"/>
    <n v="0"/>
    <n v="0"/>
    <n v="0"/>
    <n v="0"/>
    <n v="0"/>
  </r>
  <r>
    <x v="109"/>
    <x v="23"/>
    <x v="6"/>
    <n v="4494"/>
    <n v="2.1800000000000002"/>
    <n v="9.7969200000000001"/>
    <m/>
    <m/>
    <n v="0"/>
    <m/>
    <m/>
    <n v="0"/>
    <s v=""/>
    <n v="0"/>
    <n v="0"/>
    <n v="0"/>
    <n v="116.88487613461319"/>
    <n v="2225"/>
    <n v="71535.307499999995"/>
    <n v="0"/>
    <n v="0"/>
    <n v="0"/>
    <n v="0"/>
    <n v="0"/>
    <n v="0"/>
  </r>
  <r>
    <x v="110"/>
    <x v="23"/>
    <x v="7"/>
    <m/>
    <m/>
    <n v="0"/>
    <m/>
    <m/>
    <n v="0"/>
    <m/>
    <m/>
    <n v="0"/>
    <s v=""/>
    <n v="0"/>
    <n v="0"/>
    <n v="0"/>
    <n v="116.88487613461319"/>
    <n v="2225"/>
    <n v="71535.307499999995"/>
    <n v="0"/>
    <n v="0"/>
    <n v="0"/>
    <n v="0"/>
    <n v="0"/>
    <n v="0"/>
  </r>
  <r>
    <x v="111"/>
    <x v="23"/>
    <x v="7"/>
    <m/>
    <m/>
    <n v="0"/>
    <m/>
    <m/>
    <n v="0"/>
    <m/>
    <m/>
    <n v="0"/>
    <s v=""/>
    <n v="0"/>
    <n v="0"/>
    <n v="0"/>
    <n v="116.88487613461319"/>
    <n v="2225"/>
    <n v="71535.307499999995"/>
    <n v="0"/>
    <n v="0"/>
    <n v="0"/>
    <n v="0"/>
    <n v="0"/>
    <n v="0"/>
  </r>
  <r>
    <x v="112"/>
    <x v="23"/>
    <x v="7"/>
    <m/>
    <m/>
    <n v="0"/>
    <m/>
    <m/>
    <n v="0"/>
    <m/>
    <m/>
    <n v="0"/>
    <s v=""/>
    <n v="0"/>
    <n v="0"/>
    <n v="0"/>
    <n v="116.88487613461319"/>
    <n v="2225"/>
    <n v="71535.307499999995"/>
    <n v="0"/>
    <n v="0"/>
    <n v="0"/>
    <n v="0"/>
    <n v="0"/>
    <n v="0"/>
  </r>
  <r>
    <x v="113"/>
    <x v="23"/>
    <x v="7"/>
    <m/>
    <m/>
    <n v="0"/>
    <m/>
    <m/>
    <n v="0"/>
    <m/>
    <m/>
    <n v="0"/>
    <s v=""/>
    <n v="0"/>
    <n v="0"/>
    <n v="0"/>
    <n v="116.88487613461319"/>
    <n v="2225"/>
    <n v="71535.307499999995"/>
    <n v="0"/>
    <n v="0"/>
    <n v="0"/>
    <n v="0"/>
    <n v="0"/>
    <n v="0"/>
  </r>
  <r>
    <x v="114"/>
    <x v="23"/>
    <x v="7"/>
    <m/>
    <m/>
    <n v="0"/>
    <m/>
    <m/>
    <n v="0"/>
    <m/>
    <m/>
    <n v="0"/>
    <s v=""/>
    <n v="0"/>
    <n v="0"/>
    <n v="0"/>
    <n v="116.88487613461319"/>
    <n v="2225"/>
    <n v="71535.307499999995"/>
    <n v="0"/>
    <n v="0"/>
    <n v="0"/>
    <n v="0"/>
    <n v="0"/>
    <n v="0"/>
  </r>
  <r>
    <x v="115"/>
    <x v="23"/>
    <x v="7"/>
    <n v="1002"/>
    <n v="2.23"/>
    <n v="2.2344599999999999"/>
    <m/>
    <m/>
    <n v="0"/>
    <m/>
    <m/>
    <n v="0"/>
    <s v=""/>
    <n v="0"/>
    <n v="0"/>
    <n v="0"/>
    <n v="116.88487613461319"/>
    <n v="2225"/>
    <n v="71535.307499999995"/>
    <n v="0"/>
    <n v="0"/>
    <n v="0"/>
    <n v="0"/>
    <n v="0"/>
    <n v="0"/>
  </r>
  <r>
    <x v="116"/>
    <x v="23"/>
    <x v="7"/>
    <m/>
    <m/>
    <n v="0"/>
    <m/>
    <m/>
    <n v="0"/>
    <m/>
    <m/>
    <n v="0"/>
    <s v=""/>
    <n v="0"/>
    <n v="0"/>
    <n v="0"/>
    <n v="116.88487613461319"/>
    <n v="2225"/>
    <n v="71535.307499999995"/>
    <n v="0"/>
    <n v="0"/>
    <n v="0"/>
    <n v="0"/>
    <n v="0"/>
    <n v="0"/>
  </r>
  <r>
    <x v="117"/>
    <x v="23"/>
    <x v="7"/>
    <m/>
    <m/>
    <n v="0"/>
    <m/>
    <m/>
    <n v="0"/>
    <m/>
    <m/>
    <n v="0"/>
    <s v=""/>
    <n v="0"/>
    <n v="0"/>
    <n v="0"/>
    <n v="116.88487613461319"/>
    <n v="2225"/>
    <n v="71535.307499999995"/>
    <n v="0"/>
    <n v="0"/>
    <n v="0"/>
    <n v="0"/>
    <n v="0"/>
    <n v="0"/>
  </r>
  <r>
    <x v="118"/>
    <x v="23"/>
    <x v="7"/>
    <m/>
    <m/>
    <n v="0"/>
    <m/>
    <m/>
    <n v="0"/>
    <m/>
    <m/>
    <n v="0"/>
    <s v=""/>
    <n v="0"/>
    <n v="0"/>
    <n v="0"/>
    <n v="116.88487613461319"/>
    <n v="2225"/>
    <n v="71535.307499999995"/>
    <n v="0"/>
    <n v="0"/>
    <n v="0"/>
    <n v="0"/>
    <n v="0"/>
    <n v="0"/>
  </r>
  <r>
    <x v="119"/>
    <x v="23"/>
    <x v="7"/>
    <m/>
    <m/>
    <n v="0"/>
    <m/>
    <m/>
    <n v="0"/>
    <m/>
    <m/>
    <n v="0"/>
    <s v=""/>
    <n v="0"/>
    <n v="0"/>
    <n v="0"/>
    <n v="116.88487613461319"/>
    <n v="2225"/>
    <n v="71535.307499999995"/>
    <n v="0"/>
    <n v="0"/>
    <n v="0"/>
    <n v="0"/>
    <n v="0"/>
    <n v="0"/>
  </r>
  <r>
    <x v="120"/>
    <x v="23"/>
    <x v="7"/>
    <m/>
    <m/>
    <n v="0"/>
    <m/>
    <m/>
    <n v="0"/>
    <m/>
    <m/>
    <n v="0"/>
    <s v=""/>
    <n v="0"/>
    <n v="0"/>
    <n v="0"/>
    <n v="116.88487613461319"/>
    <n v="2225"/>
    <n v="71535.307499999995"/>
    <n v="0"/>
    <n v="0"/>
    <n v="0"/>
    <n v="0"/>
    <n v="0"/>
    <n v="0"/>
  </r>
  <r>
    <x v="121"/>
    <x v="23"/>
    <x v="7"/>
    <m/>
    <m/>
    <n v="0"/>
    <m/>
    <m/>
    <n v="0"/>
    <m/>
    <m/>
    <n v="0"/>
    <s v=""/>
    <n v="0"/>
    <n v="0"/>
    <n v="0"/>
    <n v="116.88487613461319"/>
    <n v="2225"/>
    <n v="71535.307499999995"/>
    <n v="0"/>
    <n v="0"/>
    <n v="0"/>
    <n v="0"/>
    <n v="0"/>
    <n v="0"/>
  </r>
  <r>
    <x v="122"/>
    <x v="23"/>
    <x v="7"/>
    <m/>
    <m/>
    <n v="0"/>
    <m/>
    <m/>
    <n v="0"/>
    <m/>
    <m/>
    <n v="0"/>
    <s v=""/>
    <n v="0"/>
    <n v="0"/>
    <n v="0"/>
    <n v="116.88487613461319"/>
    <n v="2225"/>
    <n v="71535.307499999995"/>
    <n v="0"/>
    <n v="0"/>
    <n v="0"/>
    <n v="0"/>
    <n v="0"/>
    <n v="0"/>
  </r>
  <r>
    <x v="123"/>
    <x v="23"/>
    <x v="7"/>
    <m/>
    <m/>
    <n v="0"/>
    <m/>
    <m/>
    <n v="0"/>
    <m/>
    <m/>
    <n v="0"/>
    <s v=""/>
    <n v="0"/>
    <n v="0"/>
    <n v="0"/>
    <n v="116.88487613461319"/>
    <n v="2225"/>
    <n v="71535.307499999995"/>
    <n v="0"/>
    <n v="0"/>
    <n v="0"/>
    <n v="0"/>
    <n v="0"/>
    <n v="0"/>
  </r>
  <r>
    <x v="124"/>
    <x v="23"/>
    <x v="7"/>
    <m/>
    <m/>
    <n v="0"/>
    <m/>
    <m/>
    <n v="0"/>
    <m/>
    <m/>
    <n v="0"/>
    <s v=""/>
    <n v="0"/>
    <n v="0"/>
    <n v="0"/>
    <n v="116.88487613461319"/>
    <n v="2225"/>
    <n v="71535.307499999995"/>
    <n v="0"/>
    <n v="0"/>
    <n v="0"/>
    <n v="0"/>
    <n v="0"/>
    <n v="0"/>
  </r>
  <r>
    <x v="125"/>
    <x v="23"/>
    <x v="7"/>
    <m/>
    <m/>
    <n v="0"/>
    <m/>
    <m/>
    <n v="0"/>
    <m/>
    <m/>
    <n v="0"/>
    <s v=""/>
    <n v="0"/>
    <n v="0"/>
    <n v="0"/>
    <n v="116.88487613461319"/>
    <n v="2225"/>
    <n v="71535.307499999995"/>
    <n v="0"/>
    <n v="0"/>
    <n v="0"/>
    <n v="0"/>
    <n v="0"/>
    <n v="0"/>
  </r>
  <r>
    <x v="126"/>
    <x v="23"/>
    <x v="7"/>
    <m/>
    <m/>
    <n v="0"/>
    <m/>
    <m/>
    <n v="0"/>
    <m/>
    <m/>
    <n v="0"/>
    <s v=""/>
    <n v="0"/>
    <n v="0"/>
    <n v="0"/>
    <n v="116.88487613461319"/>
    <n v="2225"/>
    <n v="71535.307499999995"/>
    <n v="0"/>
    <n v="0"/>
    <n v="0"/>
    <n v="0"/>
    <n v="0"/>
    <n v="0"/>
  </r>
  <r>
    <x v="127"/>
    <x v="23"/>
    <x v="7"/>
    <m/>
    <m/>
    <n v="0"/>
    <m/>
    <m/>
    <n v="0"/>
    <m/>
    <m/>
    <n v="0"/>
    <s v=""/>
    <n v="0"/>
    <n v="0"/>
    <n v="0"/>
    <n v="116.88487613461319"/>
    <n v="2225"/>
    <n v="71535.307499999995"/>
    <n v="0"/>
    <n v="0"/>
    <n v="0"/>
    <n v="0"/>
    <n v="0"/>
    <n v="0"/>
  </r>
  <r>
    <x v="0"/>
    <x v="24"/>
    <x v="0"/>
    <m/>
    <m/>
    <n v="0"/>
    <m/>
    <m/>
    <n v="0"/>
    <m/>
    <m/>
    <n v="0"/>
    <s v=""/>
    <n v="0"/>
    <n v="0"/>
    <n v="0"/>
    <n v="116.88487613461319"/>
    <n v="2225"/>
    <n v="71535.307499999995"/>
    <n v="0"/>
    <n v="0"/>
    <n v="0"/>
    <n v="0"/>
    <n v="0"/>
    <n v="0"/>
  </r>
  <r>
    <x v="1"/>
    <x v="24"/>
    <x v="0"/>
    <m/>
    <m/>
    <n v="0"/>
    <m/>
    <m/>
    <n v="0"/>
    <m/>
    <m/>
    <n v="0"/>
    <s v=""/>
    <n v="0"/>
    <n v="0"/>
    <n v="0"/>
    <n v="116.88487613461319"/>
    <n v="2225"/>
    <n v="71535.307499999995"/>
    <n v="0"/>
    <n v="0"/>
    <n v="0"/>
    <n v="0"/>
    <n v="0"/>
    <n v="0"/>
  </r>
  <r>
    <x v="2"/>
    <x v="24"/>
    <x v="0"/>
    <m/>
    <m/>
    <n v="0"/>
    <m/>
    <m/>
    <n v="0"/>
    <m/>
    <m/>
    <n v="0"/>
    <s v=""/>
    <n v="0"/>
    <n v="0"/>
    <n v="0"/>
    <n v="116.88487613461319"/>
    <n v="2225"/>
    <n v="71535.307499999995"/>
    <n v="0"/>
    <n v="0"/>
    <n v="0"/>
    <n v="0"/>
    <n v="0"/>
    <n v="0"/>
  </r>
  <r>
    <x v="3"/>
    <x v="24"/>
    <x v="0"/>
    <m/>
    <m/>
    <n v="0"/>
    <m/>
    <m/>
    <n v="0"/>
    <m/>
    <m/>
    <n v="0"/>
    <s v=""/>
    <n v="0"/>
    <n v="0"/>
    <n v="0"/>
    <n v="116.88487613461319"/>
    <n v="2225"/>
    <n v="71535.307499999995"/>
    <n v="0"/>
    <n v="0"/>
    <n v="0"/>
    <n v="0"/>
    <n v="0"/>
    <n v="0"/>
  </r>
  <r>
    <x v="4"/>
    <x v="24"/>
    <x v="1"/>
    <m/>
    <m/>
    <n v="0"/>
    <m/>
    <m/>
    <n v="0"/>
    <m/>
    <m/>
    <n v="0"/>
    <s v=""/>
    <n v="0"/>
    <n v="0"/>
    <n v="0"/>
    <n v="116.88487613461319"/>
    <n v="2225"/>
    <n v="71535.307499999995"/>
    <n v="0"/>
    <n v="0"/>
    <n v="0"/>
    <n v="0"/>
    <n v="0"/>
    <n v="0"/>
  </r>
  <r>
    <x v="5"/>
    <x v="24"/>
    <x v="1"/>
    <m/>
    <m/>
    <n v="0"/>
    <m/>
    <m/>
    <n v="0"/>
    <m/>
    <m/>
    <n v="0"/>
    <s v=""/>
    <n v="0"/>
    <n v="0"/>
    <n v="0"/>
    <n v="116.88487613461319"/>
    <n v="2225"/>
    <n v="71535.307499999995"/>
    <n v="0"/>
    <n v="0"/>
    <n v="0"/>
    <n v="0"/>
    <n v="0"/>
    <n v="0"/>
  </r>
  <r>
    <x v="6"/>
    <x v="24"/>
    <x v="1"/>
    <m/>
    <m/>
    <n v="0"/>
    <m/>
    <m/>
    <n v="0"/>
    <m/>
    <m/>
    <n v="0"/>
    <s v=""/>
    <n v="0"/>
    <n v="0"/>
    <n v="0"/>
    <n v="116.88487613461319"/>
    <n v="2225"/>
    <n v="71535.307499999995"/>
    <n v="0"/>
    <n v="0"/>
    <n v="0"/>
    <n v="0"/>
    <n v="0"/>
    <n v="0"/>
  </r>
  <r>
    <x v="7"/>
    <x v="24"/>
    <x v="2"/>
    <m/>
    <m/>
    <n v="0"/>
    <m/>
    <m/>
    <n v="0"/>
    <m/>
    <m/>
    <n v="0"/>
    <s v=""/>
    <n v="0"/>
    <n v="0"/>
    <n v="0"/>
    <n v="116.88487613461319"/>
    <n v="2225"/>
    <n v="71535.307499999995"/>
    <n v="0"/>
    <n v="0"/>
    <n v="0"/>
    <n v="0"/>
    <n v="0"/>
    <n v="0"/>
  </r>
  <r>
    <x v="8"/>
    <x v="24"/>
    <x v="2"/>
    <m/>
    <m/>
    <n v="0"/>
    <m/>
    <m/>
    <n v="0"/>
    <m/>
    <m/>
    <n v="0"/>
    <s v=""/>
    <n v="0"/>
    <n v="0"/>
    <n v="0"/>
    <n v="116.88487613461319"/>
    <n v="2225"/>
    <n v="71535.307499999995"/>
    <n v="0"/>
    <n v="0"/>
    <n v="0"/>
    <n v="0"/>
    <n v="0"/>
    <n v="0"/>
  </r>
  <r>
    <x v="9"/>
    <x v="24"/>
    <x v="2"/>
    <m/>
    <m/>
    <n v="0"/>
    <m/>
    <m/>
    <n v="0"/>
    <m/>
    <m/>
    <n v="0"/>
    <s v=""/>
    <n v="0"/>
    <n v="0"/>
    <n v="0"/>
    <n v="116.88487613461319"/>
    <n v="2225"/>
    <n v="71535.307499999995"/>
    <n v="0"/>
    <n v="0"/>
    <n v="0"/>
    <n v="0"/>
    <n v="0"/>
    <n v="0"/>
  </r>
  <r>
    <x v="10"/>
    <x v="24"/>
    <x v="2"/>
    <m/>
    <m/>
    <n v="0"/>
    <m/>
    <m/>
    <n v="0"/>
    <m/>
    <m/>
    <n v="0"/>
    <s v=""/>
    <n v="0"/>
    <n v="0"/>
    <n v="0"/>
    <n v="116.88487613461319"/>
    <n v="2225"/>
    <n v="71535.307499999995"/>
    <n v="0"/>
    <n v="0"/>
    <n v="0"/>
    <n v="0"/>
    <n v="0"/>
    <n v="0"/>
  </r>
  <r>
    <x v="11"/>
    <x v="24"/>
    <x v="2"/>
    <m/>
    <m/>
    <n v="0"/>
    <m/>
    <m/>
    <n v="0"/>
    <m/>
    <m/>
    <n v="0"/>
    <s v=""/>
    <n v="0"/>
    <n v="0"/>
    <n v="0"/>
    <n v="116.88487613461319"/>
    <n v="2225"/>
    <n v="71535.307499999995"/>
    <n v="0"/>
    <n v="0"/>
    <n v="0"/>
    <n v="0"/>
    <n v="0"/>
    <n v="0"/>
  </r>
  <r>
    <x v="12"/>
    <x v="24"/>
    <x v="2"/>
    <m/>
    <m/>
    <n v="0"/>
    <m/>
    <m/>
    <n v="0"/>
    <m/>
    <m/>
    <n v="0"/>
    <s v=""/>
    <n v="0"/>
    <n v="0"/>
    <n v="0"/>
    <n v="116.88487613461319"/>
    <n v="2225"/>
    <n v="71535.307499999995"/>
    <n v="0"/>
    <n v="0"/>
    <n v="0"/>
    <n v="0"/>
    <n v="0"/>
    <n v="0"/>
  </r>
  <r>
    <x v="13"/>
    <x v="24"/>
    <x v="2"/>
    <m/>
    <m/>
    <n v="0"/>
    <m/>
    <m/>
    <n v="0"/>
    <m/>
    <m/>
    <n v="0"/>
    <s v=""/>
    <n v="0"/>
    <n v="0"/>
    <n v="0"/>
    <n v="116.88487613461319"/>
    <n v="2225"/>
    <n v="71535.307499999995"/>
    <n v="0"/>
    <n v="0"/>
    <n v="0"/>
    <n v="0"/>
    <n v="0"/>
    <n v="0"/>
  </r>
  <r>
    <x v="14"/>
    <x v="24"/>
    <x v="2"/>
    <m/>
    <m/>
    <n v="0"/>
    <m/>
    <m/>
    <n v="0"/>
    <m/>
    <m/>
    <n v="0"/>
    <s v=""/>
    <n v="0"/>
    <n v="0"/>
    <n v="0"/>
    <n v="116.88487613461319"/>
    <n v="2225"/>
    <n v="71535.307499999995"/>
    <n v="0"/>
    <n v="0"/>
    <n v="0"/>
    <n v="0"/>
    <n v="0"/>
    <n v="0"/>
  </r>
  <r>
    <x v="15"/>
    <x v="24"/>
    <x v="2"/>
    <m/>
    <m/>
    <n v="0"/>
    <m/>
    <m/>
    <n v="0"/>
    <m/>
    <m/>
    <n v="0"/>
    <s v=""/>
    <n v="0"/>
    <n v="0"/>
    <n v="0"/>
    <n v="116.88487613461319"/>
    <n v="2225"/>
    <n v="71535.307499999995"/>
    <n v="0"/>
    <n v="0"/>
    <n v="0"/>
    <n v="0"/>
    <n v="0"/>
    <n v="0"/>
  </r>
  <r>
    <x v="16"/>
    <x v="24"/>
    <x v="2"/>
    <m/>
    <m/>
    <n v="0"/>
    <m/>
    <m/>
    <n v="0"/>
    <m/>
    <m/>
    <n v="0"/>
    <s v=""/>
    <n v="0"/>
    <n v="0"/>
    <n v="0"/>
    <n v="116.88487613461319"/>
    <n v="2225"/>
    <n v="71535.307499999995"/>
    <n v="0"/>
    <n v="0"/>
    <n v="0"/>
    <n v="0"/>
    <n v="0"/>
    <n v="0"/>
  </r>
  <r>
    <x v="17"/>
    <x v="24"/>
    <x v="3"/>
    <m/>
    <m/>
    <n v="0"/>
    <m/>
    <m/>
    <n v="0"/>
    <m/>
    <m/>
    <n v="0"/>
    <s v=""/>
    <n v="0"/>
    <n v="0"/>
    <n v="0"/>
    <n v="116.88487613461319"/>
    <n v="2225"/>
    <n v="71535.307499999995"/>
    <n v="0"/>
    <n v="0"/>
    <n v="0"/>
    <n v="0"/>
    <n v="0"/>
    <n v="0"/>
  </r>
  <r>
    <x v="18"/>
    <x v="24"/>
    <x v="3"/>
    <m/>
    <m/>
    <n v="0"/>
    <m/>
    <m/>
    <n v="0"/>
    <m/>
    <m/>
    <n v="0"/>
    <s v=""/>
    <n v="0"/>
    <n v="0"/>
    <n v="0"/>
    <n v="116.88487613461319"/>
    <n v="2225"/>
    <n v="71535.307499999995"/>
    <n v="0"/>
    <n v="0"/>
    <n v="0"/>
    <n v="0"/>
    <n v="0"/>
    <n v="0"/>
  </r>
  <r>
    <x v="19"/>
    <x v="24"/>
    <x v="3"/>
    <m/>
    <m/>
    <n v="0"/>
    <m/>
    <m/>
    <n v="0"/>
    <m/>
    <m/>
    <n v="0"/>
    <s v=""/>
    <n v="0"/>
    <n v="0"/>
    <n v="0"/>
    <n v="116.88487613461319"/>
    <n v="2225"/>
    <n v="71535.307499999995"/>
    <n v="0"/>
    <n v="0"/>
    <n v="0"/>
    <n v="0"/>
    <n v="0"/>
    <n v="0"/>
  </r>
  <r>
    <x v="20"/>
    <x v="24"/>
    <x v="3"/>
    <m/>
    <m/>
    <n v="0"/>
    <m/>
    <m/>
    <n v="0"/>
    <m/>
    <m/>
    <n v="0"/>
    <s v=""/>
    <n v="0"/>
    <n v="0"/>
    <n v="0"/>
    <n v="116.88487613461319"/>
    <n v="2225"/>
    <n v="71535.307499999995"/>
    <n v="0"/>
    <n v="0"/>
    <n v="0"/>
    <n v="0"/>
    <n v="0"/>
    <n v="0"/>
  </r>
  <r>
    <x v="21"/>
    <x v="24"/>
    <x v="3"/>
    <m/>
    <m/>
    <n v="0"/>
    <m/>
    <m/>
    <n v="0"/>
    <m/>
    <m/>
    <n v="0"/>
    <s v=""/>
    <n v="0"/>
    <n v="0"/>
    <n v="0"/>
    <n v="116.88487613461319"/>
    <n v="2225"/>
    <n v="71535.307499999995"/>
    <n v="0"/>
    <n v="0"/>
    <n v="0"/>
    <n v="0"/>
    <n v="0"/>
    <n v="0"/>
  </r>
  <r>
    <x v="22"/>
    <x v="24"/>
    <x v="3"/>
    <m/>
    <m/>
    <n v="0"/>
    <m/>
    <m/>
    <n v="0"/>
    <m/>
    <m/>
    <n v="0"/>
    <s v=""/>
    <n v="0"/>
    <n v="0"/>
    <n v="0"/>
    <n v="116.88487613461319"/>
    <n v="2225"/>
    <n v="71535.307499999995"/>
    <n v="0"/>
    <n v="0"/>
    <n v="0"/>
    <n v="0"/>
    <n v="0"/>
    <n v="0"/>
  </r>
  <r>
    <x v="23"/>
    <x v="24"/>
    <x v="3"/>
    <m/>
    <m/>
    <n v="0"/>
    <m/>
    <m/>
    <n v="0"/>
    <m/>
    <m/>
    <n v="0"/>
    <s v=""/>
    <n v="0"/>
    <n v="0"/>
    <n v="0"/>
    <n v="116.88487613461319"/>
    <n v="2225"/>
    <n v="71535.307499999995"/>
    <n v="0"/>
    <n v="0"/>
    <n v="0"/>
    <n v="0"/>
    <n v="0"/>
    <n v="0"/>
  </r>
  <r>
    <x v="24"/>
    <x v="24"/>
    <x v="3"/>
    <m/>
    <m/>
    <n v="0"/>
    <m/>
    <m/>
    <n v="0"/>
    <m/>
    <m/>
    <n v="0"/>
    <s v=""/>
    <n v="0"/>
    <n v="0"/>
    <n v="0"/>
    <n v="116.88487613461319"/>
    <n v="2225"/>
    <n v="71535.307499999995"/>
    <n v="0"/>
    <n v="0"/>
    <n v="0"/>
    <n v="0"/>
    <n v="0"/>
    <n v="0"/>
  </r>
  <r>
    <x v="25"/>
    <x v="24"/>
    <x v="3"/>
    <m/>
    <m/>
    <n v="0"/>
    <m/>
    <m/>
    <n v="0"/>
    <m/>
    <m/>
    <n v="0"/>
    <s v=""/>
    <n v="0"/>
    <n v="0"/>
    <n v="0"/>
    <n v="116.88487613461319"/>
    <n v="2225"/>
    <n v="71535.307499999995"/>
    <n v="0"/>
    <n v="0"/>
    <n v="0"/>
    <n v="0"/>
    <n v="0"/>
    <n v="0"/>
  </r>
  <r>
    <x v="26"/>
    <x v="24"/>
    <x v="3"/>
    <m/>
    <m/>
    <n v="0"/>
    <m/>
    <m/>
    <n v="0"/>
    <m/>
    <m/>
    <n v="0"/>
    <s v=""/>
    <n v="0"/>
    <n v="0"/>
    <n v="0"/>
    <n v="116.88487613461319"/>
    <n v="2225"/>
    <n v="71535.307499999995"/>
    <n v="0"/>
    <n v="0"/>
    <n v="0"/>
    <n v="0"/>
    <n v="0"/>
    <n v="0"/>
  </r>
  <r>
    <x v="27"/>
    <x v="24"/>
    <x v="3"/>
    <m/>
    <m/>
    <n v="0"/>
    <m/>
    <m/>
    <n v="0"/>
    <m/>
    <m/>
    <n v="0"/>
    <s v=""/>
    <n v="0"/>
    <n v="0"/>
    <n v="0"/>
    <n v="116.88487613461319"/>
    <n v="2225"/>
    <n v="71535.307499999995"/>
    <n v="0"/>
    <n v="0"/>
    <n v="0"/>
    <n v="0"/>
    <n v="0"/>
    <n v="0"/>
  </r>
  <r>
    <x v="28"/>
    <x v="24"/>
    <x v="3"/>
    <m/>
    <m/>
    <n v="0"/>
    <m/>
    <m/>
    <n v="0"/>
    <m/>
    <m/>
    <n v="0"/>
    <s v=""/>
    <n v="0"/>
    <n v="0"/>
    <n v="0"/>
    <n v="116.88487613461319"/>
    <n v="2225"/>
    <n v="71535.307499999995"/>
    <n v="0"/>
    <n v="0"/>
    <n v="0"/>
    <n v="0"/>
    <n v="0"/>
    <n v="0"/>
  </r>
  <r>
    <x v="29"/>
    <x v="24"/>
    <x v="3"/>
    <m/>
    <m/>
    <n v="0"/>
    <m/>
    <m/>
    <n v="0"/>
    <m/>
    <m/>
    <n v="0"/>
    <s v=""/>
    <n v="0"/>
    <n v="0"/>
    <n v="0"/>
    <n v="116.88487613461319"/>
    <n v="2225"/>
    <n v="71535.307499999995"/>
    <n v="0"/>
    <n v="0"/>
    <n v="0"/>
    <n v="0"/>
    <n v="0"/>
    <n v="0"/>
  </r>
  <r>
    <x v="30"/>
    <x v="24"/>
    <x v="3"/>
    <m/>
    <m/>
    <n v="0"/>
    <m/>
    <m/>
    <n v="0"/>
    <m/>
    <m/>
    <n v="0"/>
    <s v=""/>
    <n v="0"/>
    <n v="0"/>
    <n v="0"/>
    <n v="116.88487613461319"/>
    <n v="2225"/>
    <n v="71535.307499999995"/>
    <n v="0"/>
    <n v="0"/>
    <n v="0"/>
    <n v="0"/>
    <n v="0"/>
    <n v="0"/>
  </r>
  <r>
    <x v="31"/>
    <x v="24"/>
    <x v="3"/>
    <m/>
    <m/>
    <n v="0"/>
    <m/>
    <m/>
    <n v="0"/>
    <m/>
    <m/>
    <n v="0"/>
    <s v=""/>
    <n v="0"/>
    <n v="0"/>
    <n v="0"/>
    <n v="116.88487613461319"/>
    <n v="2225"/>
    <n v="71535.307499999995"/>
    <n v="0"/>
    <n v="0"/>
    <n v="0"/>
    <n v="0"/>
    <n v="0"/>
    <n v="0"/>
  </r>
  <r>
    <x v="32"/>
    <x v="24"/>
    <x v="3"/>
    <m/>
    <m/>
    <n v="0"/>
    <m/>
    <m/>
    <n v="0"/>
    <m/>
    <m/>
    <n v="0"/>
    <s v=""/>
    <n v="0"/>
    <n v="0"/>
    <n v="0"/>
    <n v="116.88487613461319"/>
    <n v="2225"/>
    <n v="71535.307499999995"/>
    <n v="0"/>
    <n v="0"/>
    <n v="0"/>
    <n v="0"/>
    <n v="0"/>
    <n v="0"/>
  </r>
  <r>
    <x v="33"/>
    <x v="24"/>
    <x v="3"/>
    <m/>
    <m/>
    <n v="0"/>
    <m/>
    <m/>
    <n v="0"/>
    <m/>
    <m/>
    <n v="0"/>
    <s v=""/>
    <n v="0"/>
    <n v="0"/>
    <n v="0"/>
    <n v="116.88487613461319"/>
    <n v="2225"/>
    <n v="71535.307499999995"/>
    <n v="0"/>
    <n v="0"/>
    <n v="0"/>
    <n v="0"/>
    <n v="0"/>
    <n v="0"/>
  </r>
  <r>
    <x v="34"/>
    <x v="24"/>
    <x v="3"/>
    <m/>
    <m/>
    <n v="0"/>
    <m/>
    <m/>
    <n v="0"/>
    <m/>
    <m/>
    <n v="0"/>
    <s v=""/>
    <n v="0"/>
    <n v="0"/>
    <n v="0"/>
    <n v="116.88487613461319"/>
    <n v="2225"/>
    <n v="71535.307499999995"/>
    <n v="0"/>
    <n v="0"/>
    <n v="0"/>
    <n v="0"/>
    <n v="0"/>
    <n v="0"/>
  </r>
  <r>
    <x v="35"/>
    <x v="24"/>
    <x v="3"/>
    <m/>
    <m/>
    <n v="0"/>
    <m/>
    <m/>
    <n v="0"/>
    <m/>
    <m/>
    <n v="0"/>
    <s v=""/>
    <n v="0"/>
    <n v="0"/>
    <n v="0"/>
    <n v="116.88487613461319"/>
    <n v="2225"/>
    <n v="71535.307499999995"/>
    <n v="0"/>
    <n v="0"/>
    <n v="0"/>
    <n v="0"/>
    <n v="0"/>
    <n v="0"/>
  </r>
  <r>
    <x v="36"/>
    <x v="24"/>
    <x v="3"/>
    <m/>
    <m/>
    <n v="0"/>
    <m/>
    <m/>
    <n v="0"/>
    <m/>
    <m/>
    <n v="0"/>
    <s v=""/>
    <n v="0"/>
    <n v="0"/>
    <n v="0"/>
    <n v="116.88487613461319"/>
    <n v="2225"/>
    <n v="71535.307499999995"/>
    <n v="0"/>
    <n v="0"/>
    <n v="0"/>
    <n v="0"/>
    <n v="0"/>
    <n v="0"/>
  </r>
  <r>
    <x v="37"/>
    <x v="24"/>
    <x v="3"/>
    <m/>
    <m/>
    <n v="0"/>
    <m/>
    <m/>
    <n v="0"/>
    <m/>
    <m/>
    <n v="0"/>
    <s v=""/>
    <n v="0"/>
    <n v="0"/>
    <n v="0"/>
    <n v="116.88487613461319"/>
    <n v="2225"/>
    <n v="71535.307499999995"/>
    <n v="0"/>
    <n v="0"/>
    <n v="0"/>
    <n v="0"/>
    <n v="0"/>
    <n v="0"/>
  </r>
  <r>
    <x v="38"/>
    <x v="24"/>
    <x v="3"/>
    <m/>
    <m/>
    <n v="0"/>
    <m/>
    <m/>
    <n v="0"/>
    <m/>
    <m/>
    <n v="0"/>
    <s v=""/>
    <n v="0"/>
    <n v="0"/>
    <n v="0"/>
    <n v="116.88487613461319"/>
    <n v="2225"/>
    <n v="71535.307499999995"/>
    <n v="0"/>
    <n v="0"/>
    <n v="0"/>
    <n v="0"/>
    <n v="0"/>
    <n v="0"/>
  </r>
  <r>
    <x v="39"/>
    <x v="24"/>
    <x v="3"/>
    <m/>
    <m/>
    <n v="0"/>
    <m/>
    <m/>
    <n v="0"/>
    <m/>
    <m/>
    <n v="0"/>
    <s v=""/>
    <n v="0"/>
    <n v="0"/>
    <n v="0"/>
    <n v="116.88487613461319"/>
    <n v="2225"/>
    <n v="71535.307499999995"/>
    <n v="0"/>
    <n v="0"/>
    <n v="0"/>
    <n v="0"/>
    <n v="0"/>
    <n v="0"/>
  </r>
  <r>
    <x v="40"/>
    <x v="24"/>
    <x v="3"/>
    <m/>
    <m/>
    <n v="0"/>
    <m/>
    <m/>
    <n v="0"/>
    <m/>
    <m/>
    <n v="0"/>
    <s v=""/>
    <n v="0"/>
    <n v="0"/>
    <n v="0"/>
    <n v="116.88487613461319"/>
    <n v="2225"/>
    <n v="71535.307499999995"/>
    <n v="0"/>
    <n v="0"/>
    <n v="0"/>
    <n v="0"/>
    <n v="0"/>
    <n v="0"/>
  </r>
  <r>
    <x v="41"/>
    <x v="24"/>
    <x v="3"/>
    <m/>
    <m/>
    <n v="0"/>
    <m/>
    <m/>
    <n v="0"/>
    <m/>
    <m/>
    <n v="0"/>
    <s v=""/>
    <n v="0"/>
    <n v="0"/>
    <n v="0"/>
    <n v="116.88487613461319"/>
    <n v="2225"/>
    <n v="71535.307499999995"/>
    <n v="0"/>
    <n v="0"/>
    <n v="0"/>
    <n v="0"/>
    <n v="0"/>
    <n v="0"/>
  </r>
  <r>
    <x v="42"/>
    <x v="24"/>
    <x v="3"/>
    <m/>
    <m/>
    <n v="0"/>
    <m/>
    <m/>
    <n v="0"/>
    <m/>
    <m/>
    <n v="0"/>
    <s v=""/>
    <n v="0"/>
    <n v="0"/>
    <n v="0"/>
    <n v="116.88487613461319"/>
    <n v="2225"/>
    <n v="71535.307499999995"/>
    <n v="0"/>
    <n v="0"/>
    <n v="0"/>
    <n v="0"/>
    <n v="0"/>
    <n v="0"/>
  </r>
  <r>
    <x v="43"/>
    <x v="24"/>
    <x v="3"/>
    <m/>
    <m/>
    <n v="0"/>
    <m/>
    <m/>
    <n v="0"/>
    <m/>
    <m/>
    <n v="0"/>
    <s v=""/>
    <n v="0"/>
    <n v="0"/>
    <n v="0"/>
    <n v="116.88487613461319"/>
    <n v="2225"/>
    <n v="71535.307499999995"/>
    <n v="0"/>
    <n v="0"/>
    <n v="0"/>
    <n v="0"/>
    <n v="0"/>
    <n v="0"/>
  </r>
  <r>
    <x v="44"/>
    <x v="24"/>
    <x v="3"/>
    <m/>
    <m/>
    <n v="0"/>
    <m/>
    <m/>
    <n v="0"/>
    <m/>
    <m/>
    <n v="0"/>
    <s v=""/>
    <n v="0"/>
    <n v="0"/>
    <n v="0"/>
    <n v="116.88487613461319"/>
    <n v="2225"/>
    <n v="71535.307499999995"/>
    <n v="0"/>
    <n v="0"/>
    <n v="0"/>
    <n v="0"/>
    <n v="0"/>
    <n v="0"/>
  </r>
  <r>
    <x v="45"/>
    <x v="24"/>
    <x v="3"/>
    <m/>
    <m/>
    <n v="0"/>
    <m/>
    <m/>
    <n v="0"/>
    <m/>
    <m/>
    <n v="0"/>
    <s v=""/>
    <n v="0"/>
    <n v="0"/>
    <n v="0"/>
    <n v="116.88487613461319"/>
    <n v="2225"/>
    <n v="71535.307499999995"/>
    <n v="0"/>
    <n v="0"/>
    <n v="0"/>
    <n v="0"/>
    <n v="0"/>
    <n v="0"/>
  </r>
  <r>
    <x v="46"/>
    <x v="24"/>
    <x v="3"/>
    <m/>
    <m/>
    <m/>
    <m/>
    <m/>
    <m/>
    <m/>
    <m/>
    <m/>
    <m/>
    <m/>
    <m/>
    <m/>
    <m/>
    <m/>
    <m/>
    <m/>
    <m/>
    <m/>
    <m/>
    <m/>
    <m/>
  </r>
  <r>
    <x v="47"/>
    <x v="24"/>
    <x v="3"/>
    <m/>
    <m/>
    <n v="0"/>
    <m/>
    <m/>
    <n v="0"/>
    <m/>
    <m/>
    <m/>
    <m/>
    <m/>
    <m/>
    <m/>
    <m/>
    <m/>
    <m/>
    <m/>
    <m/>
    <m/>
    <m/>
    <m/>
    <m/>
  </r>
  <r>
    <x v="48"/>
    <x v="24"/>
    <x v="3"/>
    <m/>
    <m/>
    <n v="0"/>
    <m/>
    <m/>
    <n v="0"/>
    <m/>
    <m/>
    <m/>
    <m/>
    <m/>
    <m/>
    <m/>
    <m/>
    <m/>
    <m/>
    <m/>
    <m/>
    <m/>
    <m/>
    <m/>
    <m/>
  </r>
  <r>
    <x v="49"/>
    <x v="24"/>
    <x v="3"/>
    <m/>
    <m/>
    <n v="0"/>
    <m/>
    <m/>
    <n v="0"/>
    <m/>
    <m/>
    <n v="0"/>
    <s v=""/>
    <n v="0"/>
    <n v="0"/>
    <n v="0"/>
    <n v="116.88487613461319"/>
    <n v="2225"/>
    <n v="71535.307499999995"/>
    <n v="0"/>
    <n v="0"/>
    <n v="0"/>
    <n v="0"/>
    <n v="0"/>
    <n v="0"/>
  </r>
  <r>
    <x v="50"/>
    <x v="24"/>
    <x v="4"/>
    <m/>
    <m/>
    <n v="0"/>
    <m/>
    <m/>
    <n v="0"/>
    <m/>
    <m/>
    <n v="0"/>
    <s v=""/>
    <n v="0"/>
    <n v="0"/>
    <n v="0"/>
    <n v="116.88487613461319"/>
    <n v="2225"/>
    <n v="71535.307499999995"/>
    <n v="0"/>
    <n v="0"/>
    <n v="0"/>
    <n v="0"/>
    <n v="0"/>
    <n v="0"/>
  </r>
  <r>
    <x v="51"/>
    <x v="24"/>
    <x v="4"/>
    <m/>
    <m/>
    <n v="0"/>
    <m/>
    <m/>
    <n v="0"/>
    <m/>
    <m/>
    <n v="0"/>
    <s v=""/>
    <n v="0"/>
    <n v="0"/>
    <n v="0"/>
    <n v="116.88487613461319"/>
    <n v="2225"/>
    <n v="71535.307499999995"/>
    <n v="0"/>
    <n v="0"/>
    <n v="0"/>
    <n v="0"/>
    <n v="0"/>
    <n v="0"/>
  </r>
  <r>
    <x v="52"/>
    <x v="24"/>
    <x v="4"/>
    <m/>
    <m/>
    <n v="0"/>
    <m/>
    <m/>
    <n v="0"/>
    <m/>
    <m/>
    <n v="0"/>
    <s v=""/>
    <n v="0"/>
    <n v="0"/>
    <n v="0"/>
    <n v="116.88487613461319"/>
    <n v="2225"/>
    <n v="71535.307499999995"/>
    <n v="0"/>
    <n v="0"/>
    <n v="0"/>
    <n v="0"/>
    <n v="0"/>
    <n v="0"/>
  </r>
  <r>
    <x v="53"/>
    <x v="24"/>
    <x v="4"/>
    <m/>
    <m/>
    <n v="0"/>
    <m/>
    <m/>
    <n v="0"/>
    <m/>
    <m/>
    <n v="0"/>
    <s v=""/>
    <n v="0"/>
    <n v="0"/>
    <n v="0"/>
    <n v="116.88487613461319"/>
    <n v="2225"/>
    <n v="71535.307499999995"/>
    <n v="0"/>
    <n v="0"/>
    <n v="0"/>
    <n v="0"/>
    <n v="0"/>
    <n v="0"/>
  </r>
  <r>
    <x v="54"/>
    <x v="24"/>
    <x v="4"/>
    <m/>
    <m/>
    <n v="0"/>
    <m/>
    <m/>
    <n v="0"/>
    <m/>
    <m/>
    <n v="0"/>
    <s v=""/>
    <n v="0"/>
    <n v="0"/>
    <n v="0"/>
    <n v="116.88487613461319"/>
    <n v="2225"/>
    <n v="71535.307499999995"/>
    <n v="0"/>
    <n v="0"/>
    <n v="0"/>
    <n v="0"/>
    <n v="0"/>
    <n v="0"/>
  </r>
  <r>
    <x v="55"/>
    <x v="24"/>
    <x v="4"/>
    <m/>
    <m/>
    <n v="0"/>
    <m/>
    <m/>
    <n v="0"/>
    <m/>
    <m/>
    <n v="0"/>
    <s v=""/>
    <n v="0"/>
    <n v="0"/>
    <n v="0"/>
    <n v="116.88487613461319"/>
    <n v="2225"/>
    <n v="71535.307499999995"/>
    <n v="0"/>
    <n v="0"/>
    <n v="0"/>
    <n v="0"/>
    <n v="0"/>
    <n v="0"/>
  </r>
  <r>
    <x v="56"/>
    <x v="24"/>
    <x v="4"/>
    <m/>
    <m/>
    <n v="0"/>
    <m/>
    <m/>
    <n v="0"/>
    <m/>
    <m/>
    <n v="0"/>
    <s v=""/>
    <n v="0"/>
    <n v="0"/>
    <n v="0"/>
    <n v="116.88487613461319"/>
    <n v="2225"/>
    <n v="71535.307499999995"/>
    <n v="0"/>
    <n v="0"/>
    <n v="0"/>
    <n v="0"/>
    <n v="0"/>
    <n v="0"/>
  </r>
  <r>
    <x v="57"/>
    <x v="24"/>
    <x v="4"/>
    <m/>
    <m/>
    <n v="0"/>
    <m/>
    <m/>
    <n v="0"/>
    <m/>
    <m/>
    <n v="0"/>
    <s v=""/>
    <n v="0"/>
    <n v="0"/>
    <n v="0"/>
    <n v="116.88487613461319"/>
    <n v="2225"/>
    <n v="71535.307499999995"/>
    <n v="0"/>
    <n v="0"/>
    <n v="0"/>
    <n v="0"/>
    <n v="0"/>
    <n v="0"/>
  </r>
  <r>
    <x v="58"/>
    <x v="24"/>
    <x v="4"/>
    <m/>
    <m/>
    <n v="0"/>
    <m/>
    <m/>
    <n v="0"/>
    <m/>
    <m/>
    <n v="0"/>
    <s v=""/>
    <n v="0"/>
    <n v="0"/>
    <n v="0"/>
    <n v="116.88487613461319"/>
    <n v="2225"/>
    <n v="71535.307499999995"/>
    <n v="0"/>
    <n v="0"/>
    <n v="0"/>
    <n v="0"/>
    <n v="0"/>
    <n v="0"/>
  </r>
  <r>
    <x v="59"/>
    <x v="24"/>
    <x v="4"/>
    <m/>
    <m/>
    <n v="0"/>
    <m/>
    <m/>
    <n v="0"/>
    <m/>
    <m/>
    <n v="0"/>
    <s v=""/>
    <n v="0"/>
    <n v="0"/>
    <n v="0"/>
    <n v="116.88487613461319"/>
    <n v="2225"/>
    <n v="71535.307499999995"/>
    <n v="0"/>
    <n v="0"/>
    <n v="0"/>
    <n v="0"/>
    <n v="0"/>
    <n v="0"/>
  </r>
  <r>
    <x v="60"/>
    <x v="24"/>
    <x v="4"/>
    <m/>
    <m/>
    <n v="0"/>
    <m/>
    <m/>
    <n v="0"/>
    <m/>
    <m/>
    <n v="0"/>
    <s v=""/>
    <n v="0"/>
    <n v="0"/>
    <n v="0"/>
    <n v="116.88487613461319"/>
    <n v="2225"/>
    <n v="71535.307499999995"/>
    <n v="0"/>
    <n v="0"/>
    <n v="0"/>
    <n v="0"/>
    <n v="0"/>
    <n v="0"/>
  </r>
  <r>
    <x v="61"/>
    <x v="24"/>
    <x v="4"/>
    <m/>
    <m/>
    <n v="0"/>
    <m/>
    <m/>
    <n v="0"/>
    <m/>
    <m/>
    <n v="0"/>
    <s v=""/>
    <n v="0"/>
    <n v="0"/>
    <n v="0"/>
    <n v="116.88487613461319"/>
    <n v="2225"/>
    <n v="71535.307499999995"/>
    <n v="0"/>
    <n v="0"/>
    <n v="0"/>
    <n v="0"/>
    <n v="0"/>
    <n v="0"/>
  </r>
  <r>
    <x v="62"/>
    <x v="24"/>
    <x v="4"/>
    <m/>
    <m/>
    <n v="0"/>
    <m/>
    <m/>
    <n v="0"/>
    <m/>
    <m/>
    <n v="0"/>
    <s v=""/>
    <n v="0"/>
    <n v="0"/>
    <n v="0"/>
    <n v="116.88487613461319"/>
    <n v="2225"/>
    <n v="71535.307499999995"/>
    <n v="0"/>
    <n v="0"/>
    <n v="0"/>
    <n v="0"/>
    <n v="0"/>
    <n v="0"/>
  </r>
  <r>
    <x v="63"/>
    <x v="24"/>
    <x v="4"/>
    <m/>
    <m/>
    <n v="0"/>
    <m/>
    <m/>
    <n v="0"/>
    <m/>
    <m/>
    <n v="0"/>
    <s v=""/>
    <n v="0"/>
    <n v="0"/>
    <n v="0"/>
    <n v="116.88487613461319"/>
    <n v="2225"/>
    <n v="71535.307499999995"/>
    <n v="0"/>
    <n v="0"/>
    <n v="0"/>
    <n v="0"/>
    <n v="0"/>
    <n v="0"/>
  </r>
  <r>
    <x v="64"/>
    <x v="24"/>
    <x v="4"/>
    <m/>
    <m/>
    <n v="0"/>
    <m/>
    <m/>
    <n v="0"/>
    <m/>
    <m/>
    <n v="0"/>
    <s v=""/>
    <n v="0"/>
    <n v="0"/>
    <n v="0"/>
    <n v="116.88487613461319"/>
    <n v="2225"/>
    <n v="71535.307499999995"/>
    <n v="0"/>
    <n v="0"/>
    <n v="0"/>
    <n v="0"/>
    <n v="0"/>
    <n v="0"/>
  </r>
  <r>
    <x v="65"/>
    <x v="24"/>
    <x v="4"/>
    <m/>
    <m/>
    <n v="0"/>
    <m/>
    <m/>
    <n v="0"/>
    <m/>
    <m/>
    <n v="0"/>
    <s v=""/>
    <n v="0"/>
    <n v="0"/>
    <n v="0"/>
    <n v="116.88487613461319"/>
    <n v="2225"/>
    <n v="71535.307499999995"/>
    <n v="0"/>
    <n v="0"/>
    <n v="0"/>
    <n v="0"/>
    <n v="0"/>
    <n v="0"/>
  </r>
  <r>
    <x v="66"/>
    <x v="24"/>
    <x v="4"/>
    <m/>
    <m/>
    <n v="0"/>
    <m/>
    <m/>
    <n v="0"/>
    <m/>
    <m/>
    <n v="0"/>
    <s v=""/>
    <n v="0"/>
    <n v="0"/>
    <n v="0"/>
    <n v="116.88487613461319"/>
    <n v="2225"/>
    <n v="71535.307499999995"/>
    <n v="0"/>
    <n v="0"/>
    <n v="0"/>
    <n v="0"/>
    <n v="0"/>
    <n v="0"/>
  </r>
  <r>
    <x v="67"/>
    <x v="24"/>
    <x v="4"/>
    <m/>
    <m/>
    <n v="0"/>
    <m/>
    <m/>
    <n v="0"/>
    <m/>
    <m/>
    <n v="0"/>
    <s v=""/>
    <n v="0"/>
    <n v="0"/>
    <n v="0"/>
    <n v="116.88487613461319"/>
    <n v="2225"/>
    <n v="71535.307499999995"/>
    <n v="0"/>
    <n v="0"/>
    <n v="0"/>
    <n v="0"/>
    <n v="0"/>
    <n v="0"/>
  </r>
  <r>
    <x v="68"/>
    <x v="24"/>
    <x v="4"/>
    <m/>
    <m/>
    <n v="0"/>
    <m/>
    <m/>
    <n v="0"/>
    <m/>
    <m/>
    <n v="0"/>
    <s v=""/>
    <n v="0"/>
    <n v="0"/>
    <n v="0"/>
    <n v="116.88487613461319"/>
    <n v="2225"/>
    <n v="71535.307499999995"/>
    <n v="0"/>
    <n v="0"/>
    <n v="0"/>
    <n v="0"/>
    <n v="0"/>
    <n v="0"/>
  </r>
  <r>
    <x v="69"/>
    <x v="24"/>
    <x v="4"/>
    <m/>
    <m/>
    <n v="0"/>
    <m/>
    <m/>
    <n v="0"/>
    <m/>
    <m/>
    <n v="0"/>
    <s v=""/>
    <n v="0"/>
    <n v="0"/>
    <n v="0"/>
    <n v="116.88487613461319"/>
    <n v="2225"/>
    <n v="71535.307499999995"/>
    <n v="0"/>
    <n v="0"/>
    <n v="0"/>
    <n v="0"/>
    <n v="0"/>
    <n v="0"/>
  </r>
  <r>
    <x v="70"/>
    <x v="24"/>
    <x v="5"/>
    <m/>
    <m/>
    <n v="0"/>
    <m/>
    <m/>
    <n v="0"/>
    <m/>
    <m/>
    <n v="0"/>
    <s v=""/>
    <n v="0"/>
    <n v="0"/>
    <n v="0"/>
    <n v="116.88487613461319"/>
    <n v="2225"/>
    <n v="71535.307499999995"/>
    <n v="0"/>
    <n v="0"/>
    <n v="0"/>
    <n v="0"/>
    <n v="0"/>
    <n v="0"/>
  </r>
  <r>
    <x v="71"/>
    <x v="24"/>
    <x v="5"/>
    <m/>
    <m/>
    <n v="0"/>
    <m/>
    <m/>
    <n v="0"/>
    <m/>
    <m/>
    <n v="0"/>
    <s v=""/>
    <n v="0"/>
    <n v="0"/>
    <n v="0"/>
    <n v="116.88487613461319"/>
    <n v="2225"/>
    <n v="71535.307499999995"/>
    <n v="0"/>
    <n v="0"/>
    <n v="0"/>
    <n v="0"/>
    <n v="0"/>
    <n v="0"/>
  </r>
  <r>
    <x v="72"/>
    <x v="24"/>
    <x v="5"/>
    <m/>
    <m/>
    <n v="0"/>
    <m/>
    <m/>
    <n v="0"/>
    <m/>
    <m/>
    <m/>
    <m/>
    <m/>
    <m/>
    <m/>
    <m/>
    <m/>
    <m/>
    <m/>
    <m/>
    <m/>
    <m/>
    <m/>
    <m/>
  </r>
  <r>
    <x v="73"/>
    <x v="24"/>
    <x v="5"/>
    <m/>
    <m/>
    <n v="0"/>
    <m/>
    <m/>
    <n v="0"/>
    <m/>
    <m/>
    <m/>
    <m/>
    <m/>
    <m/>
    <m/>
    <m/>
    <m/>
    <m/>
    <m/>
    <m/>
    <m/>
    <m/>
    <m/>
    <m/>
  </r>
  <r>
    <x v="74"/>
    <x v="24"/>
    <x v="5"/>
    <m/>
    <m/>
    <n v="0"/>
    <m/>
    <m/>
    <n v="0"/>
    <m/>
    <m/>
    <m/>
    <m/>
    <m/>
    <m/>
    <m/>
    <m/>
    <m/>
    <m/>
    <m/>
    <m/>
    <m/>
    <m/>
    <m/>
    <m/>
  </r>
  <r>
    <x v="75"/>
    <x v="24"/>
    <x v="5"/>
    <m/>
    <m/>
    <n v="0"/>
    <m/>
    <m/>
    <n v="0"/>
    <m/>
    <m/>
    <n v="0"/>
    <s v=""/>
    <n v="0"/>
    <n v="0"/>
    <n v="0"/>
    <n v="116.88487613461319"/>
    <n v="2225"/>
    <n v="71535.307499999995"/>
    <n v="0"/>
    <n v="0"/>
    <n v="0"/>
    <n v="0"/>
    <n v="0"/>
    <n v="0"/>
  </r>
  <r>
    <x v="76"/>
    <x v="24"/>
    <x v="5"/>
    <m/>
    <m/>
    <n v="0"/>
    <m/>
    <m/>
    <n v="0"/>
    <m/>
    <m/>
    <m/>
    <m/>
    <m/>
    <m/>
    <m/>
    <m/>
    <m/>
    <m/>
    <m/>
    <m/>
    <m/>
    <m/>
    <m/>
    <m/>
  </r>
  <r>
    <x v="77"/>
    <x v="24"/>
    <x v="5"/>
    <m/>
    <m/>
    <n v="0"/>
    <m/>
    <m/>
    <n v="0"/>
    <m/>
    <m/>
    <n v="0"/>
    <s v=""/>
    <n v="0"/>
    <n v="0"/>
    <n v="0"/>
    <n v="116.88487613461319"/>
    <n v="2225"/>
    <n v="71535.307499999995"/>
    <n v="0"/>
    <n v="0"/>
    <n v="0"/>
    <n v="0"/>
    <n v="0"/>
    <n v="0"/>
  </r>
  <r>
    <x v="78"/>
    <x v="24"/>
    <x v="5"/>
    <m/>
    <m/>
    <n v="0"/>
    <m/>
    <m/>
    <n v="0"/>
    <m/>
    <m/>
    <n v="0"/>
    <s v=""/>
    <n v="0"/>
    <n v="0"/>
    <n v="0"/>
    <n v="116.88487613461319"/>
    <n v="2225"/>
    <n v="71535.307499999995"/>
    <n v="0"/>
    <n v="0"/>
    <n v="0"/>
    <n v="0"/>
    <n v="0"/>
    <n v="0"/>
  </r>
  <r>
    <x v="79"/>
    <x v="24"/>
    <x v="5"/>
    <m/>
    <m/>
    <n v="0"/>
    <m/>
    <m/>
    <n v="0"/>
    <m/>
    <m/>
    <n v="0"/>
    <s v=""/>
    <n v="0"/>
    <n v="0"/>
    <n v="0"/>
    <n v="116.88487613461319"/>
    <n v="2225"/>
    <n v="71535.307499999995"/>
    <n v="0"/>
    <n v="0"/>
    <n v="0"/>
    <n v="0"/>
    <n v="0"/>
    <n v="0"/>
  </r>
  <r>
    <x v="80"/>
    <x v="24"/>
    <x v="5"/>
    <m/>
    <m/>
    <n v="0"/>
    <m/>
    <m/>
    <n v="0"/>
    <m/>
    <m/>
    <n v="0"/>
    <s v=""/>
    <n v="0"/>
    <n v="0"/>
    <n v="0"/>
    <n v="116.88487613461319"/>
    <n v="2225"/>
    <n v="71535.307499999995"/>
    <n v="0"/>
    <n v="0"/>
    <n v="0"/>
    <n v="0"/>
    <n v="0"/>
    <n v="0"/>
  </r>
  <r>
    <x v="81"/>
    <x v="24"/>
    <x v="5"/>
    <m/>
    <m/>
    <n v="0"/>
    <m/>
    <m/>
    <n v="0"/>
    <m/>
    <m/>
    <n v="0"/>
    <s v=""/>
    <n v="0"/>
    <n v="0"/>
    <n v="0"/>
    <n v="116.88487613461319"/>
    <n v="2225"/>
    <n v="71535.307499999995"/>
    <n v="0"/>
    <n v="0"/>
    <n v="0"/>
    <n v="0"/>
    <n v="0"/>
    <n v="0"/>
  </r>
  <r>
    <x v="82"/>
    <x v="24"/>
    <x v="5"/>
    <m/>
    <m/>
    <n v="0"/>
    <m/>
    <m/>
    <n v="0"/>
    <m/>
    <m/>
    <n v="0"/>
    <s v=""/>
    <n v="0"/>
    <n v="0"/>
    <n v="0"/>
    <n v="116.88487613461319"/>
    <n v="2225"/>
    <n v="71535.307499999995"/>
    <n v="0"/>
    <n v="0"/>
    <n v="0"/>
    <n v="0"/>
    <n v="0"/>
    <n v="0"/>
  </r>
  <r>
    <x v="83"/>
    <x v="24"/>
    <x v="5"/>
    <m/>
    <m/>
    <n v="0"/>
    <m/>
    <m/>
    <n v="0"/>
    <m/>
    <m/>
    <n v="0"/>
    <s v=""/>
    <n v="0"/>
    <n v="0"/>
    <n v="0"/>
    <n v="116.88487613461319"/>
    <n v="2225"/>
    <n v="71535.307499999995"/>
    <n v="0"/>
    <n v="0"/>
    <n v="0"/>
    <n v="0"/>
    <n v="0"/>
    <n v="0"/>
  </r>
  <r>
    <x v="84"/>
    <x v="24"/>
    <x v="5"/>
    <m/>
    <m/>
    <n v="0"/>
    <m/>
    <m/>
    <n v="0"/>
    <m/>
    <m/>
    <n v="0"/>
    <s v=""/>
    <n v="0"/>
    <n v="0"/>
    <n v="0"/>
    <n v="116.88487613461319"/>
    <n v="2225"/>
    <n v="71535.307499999995"/>
    <n v="0"/>
    <n v="0"/>
    <n v="0"/>
    <n v="0"/>
    <n v="0"/>
    <n v="0"/>
  </r>
  <r>
    <x v="85"/>
    <x v="24"/>
    <x v="5"/>
    <m/>
    <m/>
    <n v="0"/>
    <m/>
    <m/>
    <n v="0"/>
    <m/>
    <m/>
    <n v="0"/>
    <s v=""/>
    <n v="0"/>
    <n v="0"/>
    <n v="0"/>
    <n v="116.88487613461319"/>
    <n v="2225"/>
    <n v="71535.307499999995"/>
    <n v="0"/>
    <n v="0"/>
    <n v="0"/>
    <n v="0"/>
    <n v="0"/>
    <n v="0"/>
  </r>
  <r>
    <x v="86"/>
    <x v="24"/>
    <x v="5"/>
    <m/>
    <m/>
    <n v="0"/>
    <m/>
    <m/>
    <n v="0"/>
    <m/>
    <m/>
    <n v="0"/>
    <s v=""/>
    <n v="0"/>
    <n v="0"/>
    <n v="0"/>
    <n v="116.88487613461319"/>
    <n v="2225"/>
    <n v="71535.307499999995"/>
    <n v="0"/>
    <n v="0"/>
    <n v="0"/>
    <n v="0"/>
    <n v="0"/>
    <n v="0"/>
  </r>
  <r>
    <x v="87"/>
    <x v="24"/>
    <x v="5"/>
    <m/>
    <m/>
    <n v="0"/>
    <m/>
    <m/>
    <n v="0"/>
    <m/>
    <m/>
    <n v="0"/>
    <s v=""/>
    <n v="0"/>
    <n v="0"/>
    <n v="0"/>
    <n v="116.88487613461319"/>
    <n v="2225"/>
    <n v="71535.307499999995"/>
    <n v="0"/>
    <n v="0"/>
    <n v="0"/>
    <n v="0"/>
    <n v="0"/>
    <n v="0"/>
  </r>
  <r>
    <x v="88"/>
    <x v="24"/>
    <x v="5"/>
    <m/>
    <m/>
    <n v="0"/>
    <m/>
    <m/>
    <n v="0"/>
    <m/>
    <m/>
    <n v="0"/>
    <s v=""/>
    <n v="0"/>
    <n v="0"/>
    <n v="0"/>
    <n v="116.88487613461319"/>
    <n v="2225"/>
    <n v="71535.307499999995"/>
    <n v="0"/>
    <n v="0"/>
    <n v="0"/>
    <n v="0"/>
    <n v="0"/>
    <n v="0"/>
  </r>
  <r>
    <x v="89"/>
    <x v="24"/>
    <x v="5"/>
    <m/>
    <m/>
    <n v="0"/>
    <m/>
    <m/>
    <n v="0"/>
    <m/>
    <m/>
    <n v="0"/>
    <s v=""/>
    <n v="0"/>
    <n v="0"/>
    <n v="0"/>
    <n v="116.88487613461319"/>
    <n v="2225"/>
    <n v="71535.307499999995"/>
    <n v="0"/>
    <n v="0"/>
    <n v="0"/>
    <n v="0"/>
    <n v="0"/>
    <n v="0"/>
  </r>
  <r>
    <x v="90"/>
    <x v="24"/>
    <x v="5"/>
    <m/>
    <m/>
    <n v="0"/>
    <m/>
    <m/>
    <n v="0"/>
    <m/>
    <m/>
    <n v="0"/>
    <s v=""/>
    <n v="0"/>
    <n v="0"/>
    <n v="0"/>
    <n v="116.88487613461319"/>
    <n v="2225"/>
    <n v="71535.307499999995"/>
    <n v="0"/>
    <n v="0"/>
    <n v="0"/>
    <n v="0"/>
    <n v="0"/>
    <n v="0"/>
  </r>
  <r>
    <x v="91"/>
    <x v="24"/>
    <x v="5"/>
    <m/>
    <m/>
    <n v="0"/>
    <m/>
    <m/>
    <n v="0"/>
    <m/>
    <m/>
    <n v="0"/>
    <s v=""/>
    <n v="0"/>
    <n v="0"/>
    <n v="0"/>
    <n v="116.88487613461319"/>
    <n v="2225"/>
    <n v="71535.307499999995"/>
    <n v="0"/>
    <n v="0"/>
    <n v="0"/>
    <n v="0"/>
    <n v="0"/>
    <n v="0"/>
  </r>
  <r>
    <x v="92"/>
    <x v="24"/>
    <x v="5"/>
    <m/>
    <m/>
    <n v="0"/>
    <m/>
    <m/>
    <n v="0"/>
    <m/>
    <m/>
    <n v="0"/>
    <s v=""/>
    <n v="0"/>
    <n v="0"/>
    <n v="0"/>
    <n v="116.88487613461319"/>
    <n v="2225"/>
    <n v="71535.307499999995"/>
    <n v="0"/>
    <n v="0"/>
    <n v="0"/>
    <n v="0"/>
    <n v="0"/>
    <n v="0"/>
  </r>
  <r>
    <x v="93"/>
    <x v="24"/>
    <x v="5"/>
    <m/>
    <m/>
    <n v="0"/>
    <m/>
    <m/>
    <n v="0"/>
    <m/>
    <m/>
    <n v="0"/>
    <s v=""/>
    <n v="0"/>
    <n v="0"/>
    <n v="0"/>
    <n v="116.88487613461319"/>
    <n v="2225"/>
    <n v="71535.307499999995"/>
    <n v="0"/>
    <n v="0"/>
    <n v="0"/>
    <n v="0"/>
    <n v="0"/>
    <n v="0"/>
  </r>
  <r>
    <x v="94"/>
    <x v="24"/>
    <x v="5"/>
    <m/>
    <m/>
    <n v="0"/>
    <m/>
    <m/>
    <n v="0"/>
    <m/>
    <m/>
    <n v="0"/>
    <s v=""/>
    <n v="0"/>
    <n v="0"/>
    <n v="0"/>
    <n v="116.88487613461319"/>
    <n v="2225"/>
    <n v="71535.307499999995"/>
    <n v="0"/>
    <n v="0"/>
    <n v="0"/>
    <n v="0"/>
    <n v="0"/>
    <n v="0"/>
  </r>
  <r>
    <x v="95"/>
    <x v="24"/>
    <x v="5"/>
    <m/>
    <m/>
    <n v="0"/>
    <m/>
    <m/>
    <n v="0"/>
    <m/>
    <m/>
    <n v="0"/>
    <s v=""/>
    <n v="0"/>
    <n v="0"/>
    <n v="0"/>
    <n v="116.88487613461319"/>
    <n v="2225"/>
    <n v="71535.307499999995"/>
    <n v="0"/>
    <n v="0"/>
    <n v="0"/>
    <n v="0"/>
    <n v="0"/>
    <n v="0"/>
  </r>
  <r>
    <x v="96"/>
    <x v="24"/>
    <x v="5"/>
    <m/>
    <m/>
    <n v="0"/>
    <m/>
    <m/>
    <n v="0"/>
    <m/>
    <m/>
    <n v="0"/>
    <s v=""/>
    <n v="0"/>
    <n v="0"/>
    <n v="0"/>
    <n v="116.88487613461319"/>
    <n v="2225"/>
    <n v="71535.307499999995"/>
    <n v="0"/>
    <n v="0"/>
    <n v="0"/>
    <n v="0"/>
    <n v="0"/>
    <n v="0"/>
  </r>
  <r>
    <x v="97"/>
    <x v="24"/>
    <x v="5"/>
    <m/>
    <m/>
    <n v="0"/>
    <m/>
    <m/>
    <n v="0"/>
    <m/>
    <m/>
    <n v="0"/>
    <s v=""/>
    <n v="0"/>
    <n v="0"/>
    <n v="0"/>
    <n v="116.88487613461319"/>
    <n v="2225"/>
    <n v="71535.307499999995"/>
    <n v="0"/>
    <n v="0"/>
    <n v="0"/>
    <n v="0"/>
    <n v="0"/>
    <n v="0"/>
  </r>
  <r>
    <x v="98"/>
    <x v="24"/>
    <x v="6"/>
    <m/>
    <m/>
    <n v="0"/>
    <m/>
    <m/>
    <n v="0"/>
    <m/>
    <m/>
    <n v="0"/>
    <s v=""/>
    <n v="0"/>
    <n v="0"/>
    <n v="0"/>
    <n v="116.88487613461319"/>
    <n v="2225"/>
    <n v="71535.307499999995"/>
    <n v="0"/>
    <n v="0"/>
    <n v="0"/>
    <n v="0"/>
    <n v="0"/>
    <n v="0"/>
  </r>
  <r>
    <x v="99"/>
    <x v="24"/>
    <x v="6"/>
    <m/>
    <m/>
    <n v="0"/>
    <m/>
    <m/>
    <n v="0"/>
    <m/>
    <m/>
    <n v="0"/>
    <s v=""/>
    <n v="0"/>
    <n v="0"/>
    <n v="0"/>
    <n v="116.88487613461319"/>
    <n v="2225"/>
    <n v="71535.307499999995"/>
    <n v="0"/>
    <n v="0"/>
    <n v="0"/>
    <n v="0"/>
    <n v="0"/>
    <n v="0"/>
  </r>
  <r>
    <x v="100"/>
    <x v="24"/>
    <x v="6"/>
    <m/>
    <m/>
    <n v="0"/>
    <m/>
    <m/>
    <n v="0"/>
    <m/>
    <m/>
    <n v="0"/>
    <s v=""/>
    <n v="0"/>
    <n v="0"/>
    <n v="0"/>
    <n v="116.88487613461319"/>
    <n v="2225"/>
    <n v="71535.307499999995"/>
    <n v="0"/>
    <n v="0"/>
    <n v="0"/>
    <n v="0"/>
    <n v="0"/>
    <n v="0"/>
  </r>
  <r>
    <x v="101"/>
    <x v="24"/>
    <x v="6"/>
    <m/>
    <m/>
    <n v="0"/>
    <m/>
    <m/>
    <n v="0"/>
    <m/>
    <m/>
    <n v="0"/>
    <s v=""/>
    <n v="0"/>
    <n v="0"/>
    <n v="0"/>
    <n v="116.88487613461319"/>
    <n v="2225"/>
    <n v="71535.307499999995"/>
    <n v="0"/>
    <n v="0"/>
    <n v="0"/>
    <n v="0"/>
    <n v="0"/>
    <n v="0"/>
  </r>
  <r>
    <x v="102"/>
    <x v="24"/>
    <x v="6"/>
    <m/>
    <m/>
    <n v="0"/>
    <m/>
    <m/>
    <n v="0"/>
    <m/>
    <m/>
    <n v="0"/>
    <s v=""/>
    <n v="0"/>
    <n v="0"/>
    <n v="0"/>
    <n v="116.88487613461319"/>
    <n v="2225"/>
    <n v="71535.307499999995"/>
    <n v="0"/>
    <n v="0"/>
    <n v="0"/>
    <n v="0"/>
    <n v="0"/>
    <n v="0"/>
  </r>
  <r>
    <x v="103"/>
    <x v="24"/>
    <x v="6"/>
    <m/>
    <m/>
    <n v="0"/>
    <m/>
    <m/>
    <n v="0"/>
    <m/>
    <m/>
    <n v="0"/>
    <s v=""/>
    <n v="0"/>
    <n v="0"/>
    <n v="0"/>
    <n v="116.88487613461319"/>
    <n v="2225"/>
    <n v="71535.307499999995"/>
    <n v="0"/>
    <n v="0"/>
    <n v="0"/>
    <n v="0"/>
    <n v="0"/>
    <n v="0"/>
  </r>
  <r>
    <x v="104"/>
    <x v="24"/>
    <x v="6"/>
    <m/>
    <m/>
    <n v="0"/>
    <m/>
    <m/>
    <n v="0"/>
    <m/>
    <m/>
    <n v="0"/>
    <s v=""/>
    <n v="0"/>
    <n v="0"/>
    <n v="0"/>
    <n v="116.88487613461319"/>
    <n v="2225"/>
    <n v="71535.307499999995"/>
    <n v="0"/>
    <n v="0"/>
    <n v="0"/>
    <n v="0"/>
    <n v="0"/>
    <n v="0"/>
  </r>
  <r>
    <x v="105"/>
    <x v="24"/>
    <x v="6"/>
    <m/>
    <m/>
    <n v="0"/>
    <m/>
    <m/>
    <n v="0"/>
    <m/>
    <m/>
    <n v="0"/>
    <s v=""/>
    <n v="0"/>
    <n v="0"/>
    <n v="0"/>
    <n v="116.88487613461319"/>
    <n v="2225"/>
    <n v="71535.307499999995"/>
    <n v="0"/>
    <n v="0"/>
    <n v="0"/>
    <n v="0"/>
    <n v="0"/>
    <n v="0"/>
  </r>
  <r>
    <x v="106"/>
    <x v="24"/>
    <x v="6"/>
    <m/>
    <m/>
    <n v="0"/>
    <m/>
    <m/>
    <n v="0"/>
    <m/>
    <m/>
    <n v="0"/>
    <s v=""/>
    <n v="0"/>
    <n v="0"/>
    <n v="0"/>
    <n v="116.88487613461319"/>
    <n v="2225"/>
    <n v="71535.307499999995"/>
    <n v="0"/>
    <n v="0"/>
    <n v="0"/>
    <n v="0"/>
    <n v="0"/>
    <n v="0"/>
  </r>
  <r>
    <x v="107"/>
    <x v="24"/>
    <x v="6"/>
    <m/>
    <m/>
    <n v="0"/>
    <m/>
    <m/>
    <n v="0"/>
    <m/>
    <m/>
    <n v="0"/>
    <s v=""/>
    <n v="0"/>
    <n v="0"/>
    <n v="0"/>
    <n v="116.88487613461319"/>
    <n v="2225"/>
    <n v="71535.307499999995"/>
    <n v="0"/>
    <n v="0"/>
    <n v="0"/>
    <n v="0"/>
    <n v="0"/>
    <n v="0"/>
  </r>
  <r>
    <x v="108"/>
    <x v="24"/>
    <x v="6"/>
    <m/>
    <m/>
    <n v="0"/>
    <m/>
    <m/>
    <n v="0"/>
    <m/>
    <m/>
    <n v="0"/>
    <s v=""/>
    <n v="0"/>
    <n v="0"/>
    <n v="0"/>
    <n v="116.88487613461319"/>
    <n v="2225"/>
    <n v="71535.307499999995"/>
    <n v="0"/>
    <n v="0"/>
    <n v="0"/>
    <n v="0"/>
    <n v="0"/>
    <n v="0"/>
  </r>
  <r>
    <x v="109"/>
    <x v="24"/>
    <x v="6"/>
    <m/>
    <m/>
    <n v="0"/>
    <m/>
    <m/>
    <n v="0"/>
    <m/>
    <m/>
    <n v="0"/>
    <s v=""/>
    <n v="0"/>
    <n v="0"/>
    <n v="0"/>
    <n v="116.88487613461319"/>
    <n v="2225"/>
    <n v="71535.307499999995"/>
    <n v="0"/>
    <n v="0"/>
    <n v="0"/>
    <n v="0"/>
    <n v="0"/>
    <n v="0"/>
  </r>
  <r>
    <x v="110"/>
    <x v="24"/>
    <x v="7"/>
    <m/>
    <m/>
    <n v="0"/>
    <m/>
    <m/>
    <n v="0"/>
    <m/>
    <m/>
    <n v="0"/>
    <s v=""/>
    <n v="0"/>
    <n v="0"/>
    <n v="0"/>
    <n v="116.88487613461319"/>
    <n v="2225"/>
    <n v="71535.307499999995"/>
    <n v="0"/>
    <n v="0"/>
    <n v="0"/>
    <n v="0"/>
    <n v="0"/>
    <n v="0"/>
  </r>
  <r>
    <x v="111"/>
    <x v="24"/>
    <x v="7"/>
    <m/>
    <m/>
    <n v="0"/>
    <m/>
    <m/>
    <n v="0"/>
    <m/>
    <m/>
    <n v="0"/>
    <s v=""/>
    <n v="0"/>
    <n v="0"/>
    <n v="0"/>
    <n v="116.88487613461319"/>
    <n v="2225"/>
    <n v="71535.307499999995"/>
    <n v="0"/>
    <n v="0"/>
    <n v="0"/>
    <n v="0"/>
    <n v="0"/>
    <n v="0"/>
  </r>
  <r>
    <x v="112"/>
    <x v="24"/>
    <x v="7"/>
    <m/>
    <m/>
    <n v="0"/>
    <m/>
    <m/>
    <n v="0"/>
    <m/>
    <m/>
    <n v="0"/>
    <s v=""/>
    <n v="0"/>
    <n v="0"/>
    <n v="0"/>
    <n v="116.88487613461319"/>
    <n v="2225"/>
    <n v="71535.307499999995"/>
    <n v="0"/>
    <n v="0"/>
    <n v="0"/>
    <n v="0"/>
    <n v="0"/>
    <n v="0"/>
  </r>
  <r>
    <x v="113"/>
    <x v="24"/>
    <x v="7"/>
    <m/>
    <m/>
    <n v="0"/>
    <m/>
    <m/>
    <n v="0"/>
    <m/>
    <m/>
    <n v="0"/>
    <s v=""/>
    <n v="0"/>
    <n v="0"/>
    <n v="0"/>
    <n v="116.88487613461319"/>
    <n v="2225"/>
    <n v="71535.307499999995"/>
    <n v="0"/>
    <n v="0"/>
    <n v="0"/>
    <n v="0"/>
    <n v="0"/>
    <n v="0"/>
  </r>
  <r>
    <x v="114"/>
    <x v="24"/>
    <x v="7"/>
    <m/>
    <m/>
    <n v="0"/>
    <m/>
    <m/>
    <n v="0"/>
    <m/>
    <m/>
    <n v="0"/>
    <s v=""/>
    <n v="0"/>
    <n v="0"/>
    <n v="0"/>
    <n v="116.88487613461319"/>
    <n v="2225"/>
    <n v="71535.307499999995"/>
    <n v="0"/>
    <n v="0"/>
    <n v="0"/>
    <n v="0"/>
    <n v="0"/>
    <n v="0"/>
  </r>
  <r>
    <x v="115"/>
    <x v="24"/>
    <x v="7"/>
    <m/>
    <m/>
    <n v="0"/>
    <m/>
    <m/>
    <n v="0"/>
    <m/>
    <m/>
    <n v="0"/>
    <s v=""/>
    <n v="0"/>
    <n v="0"/>
    <n v="0"/>
    <n v="116.88487613461319"/>
    <n v="2225"/>
    <n v="71535.307499999995"/>
    <n v="0"/>
    <n v="0"/>
    <n v="0"/>
    <n v="0"/>
    <n v="0"/>
    <n v="0"/>
  </r>
  <r>
    <x v="116"/>
    <x v="24"/>
    <x v="7"/>
    <m/>
    <m/>
    <n v="0"/>
    <m/>
    <m/>
    <n v="0"/>
    <m/>
    <m/>
    <n v="0"/>
    <s v=""/>
    <n v="0"/>
    <n v="0"/>
    <n v="0"/>
    <n v="116.88487613461319"/>
    <n v="2225"/>
    <n v="71535.307499999995"/>
    <n v="0"/>
    <n v="0"/>
    <n v="0"/>
    <n v="0"/>
    <n v="0"/>
    <n v="0"/>
  </r>
  <r>
    <x v="117"/>
    <x v="24"/>
    <x v="7"/>
    <m/>
    <m/>
    <n v="0"/>
    <m/>
    <m/>
    <n v="0"/>
    <m/>
    <m/>
    <n v="0"/>
    <s v=""/>
    <n v="0"/>
    <n v="0"/>
    <n v="0"/>
    <n v="116.88487613461319"/>
    <n v="2225"/>
    <n v="71535.307499999995"/>
    <n v="0"/>
    <n v="0"/>
    <n v="0"/>
    <n v="0"/>
    <n v="0"/>
    <n v="0"/>
  </r>
  <r>
    <x v="118"/>
    <x v="24"/>
    <x v="7"/>
    <m/>
    <m/>
    <n v="0"/>
    <m/>
    <m/>
    <n v="0"/>
    <m/>
    <m/>
    <n v="0"/>
    <s v=""/>
    <n v="0"/>
    <n v="0"/>
    <n v="0"/>
    <n v="116.88487613461319"/>
    <n v="2225"/>
    <n v="71535.307499999995"/>
    <n v="0"/>
    <n v="0"/>
    <n v="0"/>
    <n v="0"/>
    <n v="0"/>
    <n v="0"/>
  </r>
  <r>
    <x v="119"/>
    <x v="24"/>
    <x v="7"/>
    <m/>
    <m/>
    <n v="0"/>
    <m/>
    <m/>
    <n v="0"/>
    <m/>
    <m/>
    <n v="0"/>
    <s v=""/>
    <n v="0"/>
    <n v="0"/>
    <n v="0"/>
    <n v="116.88487613461319"/>
    <n v="2225"/>
    <n v="71535.307499999995"/>
    <n v="0"/>
    <n v="0"/>
    <n v="0"/>
    <n v="0"/>
    <n v="0"/>
    <n v="0"/>
  </r>
  <r>
    <x v="120"/>
    <x v="24"/>
    <x v="7"/>
    <m/>
    <m/>
    <n v="0"/>
    <m/>
    <m/>
    <n v="0"/>
    <m/>
    <m/>
    <n v="0"/>
    <s v=""/>
    <n v="0"/>
    <n v="0"/>
    <n v="0"/>
    <n v="116.88487613461319"/>
    <n v="2225"/>
    <n v="71535.307499999995"/>
    <n v="0"/>
    <n v="0"/>
    <n v="0"/>
    <n v="0"/>
    <n v="0"/>
    <n v="0"/>
  </r>
  <r>
    <x v="121"/>
    <x v="24"/>
    <x v="7"/>
    <m/>
    <m/>
    <n v="0"/>
    <m/>
    <m/>
    <n v="0"/>
    <m/>
    <m/>
    <n v="0"/>
    <s v=""/>
    <n v="0"/>
    <n v="0"/>
    <n v="0"/>
    <n v="116.88487613461319"/>
    <n v="2225"/>
    <n v="71535.307499999995"/>
    <n v="0"/>
    <n v="0"/>
    <n v="0"/>
    <n v="0"/>
    <n v="0"/>
    <n v="0"/>
  </r>
  <r>
    <x v="122"/>
    <x v="24"/>
    <x v="7"/>
    <m/>
    <m/>
    <n v="0"/>
    <m/>
    <m/>
    <n v="0"/>
    <m/>
    <m/>
    <n v="0"/>
    <s v=""/>
    <n v="0"/>
    <n v="0"/>
    <n v="0"/>
    <n v="116.88487613461319"/>
    <n v="2225"/>
    <n v="71535.307499999995"/>
    <n v="0"/>
    <n v="0"/>
    <n v="0"/>
    <n v="0"/>
    <n v="0"/>
    <n v="0"/>
  </r>
  <r>
    <x v="123"/>
    <x v="24"/>
    <x v="7"/>
    <m/>
    <m/>
    <n v="0"/>
    <m/>
    <m/>
    <n v="0"/>
    <m/>
    <m/>
    <n v="0"/>
    <s v=""/>
    <n v="0"/>
    <n v="0"/>
    <n v="0"/>
    <n v="116.88487613461319"/>
    <n v="2225"/>
    <n v="71535.307499999995"/>
    <n v="0"/>
    <n v="0"/>
    <n v="0"/>
    <n v="0"/>
    <n v="0"/>
    <n v="0"/>
  </r>
  <r>
    <x v="124"/>
    <x v="24"/>
    <x v="7"/>
    <m/>
    <m/>
    <n v="0"/>
    <m/>
    <m/>
    <n v="0"/>
    <m/>
    <m/>
    <n v="0"/>
    <s v=""/>
    <n v="0"/>
    <n v="0"/>
    <n v="0"/>
    <n v="116.88487613461319"/>
    <n v="2225"/>
    <n v="71535.307499999995"/>
    <n v="0"/>
    <n v="0"/>
    <n v="0"/>
    <n v="0"/>
    <n v="0"/>
    <n v="0"/>
  </r>
  <r>
    <x v="125"/>
    <x v="24"/>
    <x v="7"/>
    <m/>
    <m/>
    <n v="0"/>
    <m/>
    <m/>
    <n v="0"/>
    <m/>
    <m/>
    <n v="0"/>
    <s v=""/>
    <n v="0"/>
    <n v="0"/>
    <n v="0"/>
    <n v="116.88487613461319"/>
    <n v="2225"/>
    <n v="71535.307499999995"/>
    <n v="0"/>
    <n v="0"/>
    <n v="0"/>
    <n v="0"/>
    <n v="0"/>
    <n v="0"/>
  </r>
  <r>
    <x v="126"/>
    <x v="24"/>
    <x v="7"/>
    <m/>
    <m/>
    <n v="0"/>
    <m/>
    <m/>
    <n v="0"/>
    <m/>
    <m/>
    <n v="0"/>
    <s v=""/>
    <n v="0"/>
    <n v="0"/>
    <n v="0"/>
    <n v="116.88487613461319"/>
    <n v="2225"/>
    <n v="71535.307499999995"/>
    <n v="0"/>
    <n v="0"/>
    <n v="0"/>
    <n v="0"/>
    <n v="0"/>
    <n v="0"/>
  </r>
  <r>
    <x v="127"/>
    <x v="24"/>
    <x v="7"/>
    <m/>
    <m/>
    <n v="0"/>
    <m/>
    <m/>
    <n v="0"/>
    <m/>
    <m/>
    <n v="0"/>
    <s v=""/>
    <n v="0"/>
    <n v="0"/>
    <n v="0"/>
    <n v="116.88487613461319"/>
    <n v="2225"/>
    <n v="71535.307499999995"/>
    <n v="0"/>
    <n v="0"/>
    <n v="0"/>
    <n v="0"/>
    <n v="0"/>
    <n v="0"/>
  </r>
  <r>
    <x v="0"/>
    <x v="25"/>
    <x v="0"/>
    <m/>
    <m/>
    <n v="0"/>
    <m/>
    <m/>
    <n v="0"/>
    <m/>
    <m/>
    <n v="0"/>
    <s v=""/>
    <n v="0"/>
    <n v="0"/>
    <n v="0"/>
    <n v="116.88487613461319"/>
    <n v="2225"/>
    <n v="71535.307499999995"/>
    <n v="0"/>
    <n v="0"/>
    <n v="0"/>
    <n v="0"/>
    <n v="0"/>
    <n v="0"/>
  </r>
  <r>
    <x v="1"/>
    <x v="25"/>
    <x v="0"/>
    <m/>
    <m/>
    <n v="0"/>
    <m/>
    <m/>
    <n v="0"/>
    <m/>
    <m/>
    <n v="0"/>
    <s v=""/>
    <n v="0"/>
    <n v="0"/>
    <n v="0"/>
    <n v="116.88487613461319"/>
    <n v="2225"/>
    <n v="71535.307499999995"/>
    <n v="0"/>
    <n v="0"/>
    <n v="0"/>
    <n v="0"/>
    <n v="0"/>
    <n v="0"/>
  </r>
  <r>
    <x v="2"/>
    <x v="25"/>
    <x v="0"/>
    <m/>
    <m/>
    <n v="0"/>
    <m/>
    <m/>
    <n v="0"/>
    <m/>
    <m/>
    <n v="0"/>
    <s v=""/>
    <n v="0"/>
    <n v="0"/>
    <n v="0"/>
    <n v="116.88487613461319"/>
    <n v="2225"/>
    <n v="71535.307499999995"/>
    <n v="0"/>
    <n v="0"/>
    <n v="0"/>
    <n v="0"/>
    <n v="0"/>
    <n v="0"/>
  </r>
  <r>
    <x v="3"/>
    <x v="25"/>
    <x v="0"/>
    <m/>
    <m/>
    <n v="0"/>
    <m/>
    <m/>
    <n v="0"/>
    <m/>
    <m/>
    <n v="0"/>
    <s v=""/>
    <n v="0"/>
    <n v="0"/>
    <n v="0"/>
    <n v="116.88487613461319"/>
    <n v="2225"/>
    <n v="71535.307499999995"/>
    <n v="0"/>
    <n v="0"/>
    <n v="0"/>
    <n v="0"/>
    <n v="0"/>
    <n v="0"/>
  </r>
  <r>
    <x v="4"/>
    <x v="25"/>
    <x v="1"/>
    <m/>
    <m/>
    <n v="0"/>
    <m/>
    <m/>
    <n v="0"/>
    <m/>
    <m/>
    <n v="0"/>
    <s v=""/>
    <n v="0"/>
    <n v="0"/>
    <n v="0"/>
    <n v="116.88487613461319"/>
    <n v="2225"/>
    <n v="71535.307499999995"/>
    <n v="0"/>
    <n v="0"/>
    <n v="0"/>
    <n v="0"/>
    <n v="0"/>
    <n v="0"/>
  </r>
  <r>
    <x v="5"/>
    <x v="25"/>
    <x v="1"/>
    <m/>
    <m/>
    <n v="0"/>
    <m/>
    <m/>
    <n v="0"/>
    <m/>
    <m/>
    <n v="0"/>
    <s v=""/>
    <n v="0"/>
    <n v="0"/>
    <n v="0"/>
    <n v="116.88487613461319"/>
    <n v="2225"/>
    <n v="71535.307499999995"/>
    <n v="0"/>
    <n v="0"/>
    <n v="0"/>
    <n v="0"/>
    <n v="0"/>
    <n v="0"/>
  </r>
  <r>
    <x v="6"/>
    <x v="25"/>
    <x v="1"/>
    <m/>
    <m/>
    <n v="0"/>
    <m/>
    <m/>
    <n v="0"/>
    <m/>
    <m/>
    <n v="0"/>
    <s v=""/>
    <n v="0"/>
    <n v="0"/>
    <n v="0"/>
    <n v="116.88487613461319"/>
    <n v="2225"/>
    <n v="71535.307499999995"/>
    <n v="0"/>
    <n v="0"/>
    <n v="0"/>
    <n v="0"/>
    <n v="0"/>
    <n v="0"/>
  </r>
  <r>
    <x v="7"/>
    <x v="25"/>
    <x v="2"/>
    <m/>
    <m/>
    <n v="0"/>
    <m/>
    <m/>
    <n v="0"/>
    <m/>
    <m/>
    <n v="0"/>
    <s v=""/>
    <n v="0"/>
    <n v="0"/>
    <n v="0"/>
    <n v="116.88487613461319"/>
    <n v="2225"/>
    <n v="71535.307499999995"/>
    <n v="0"/>
    <n v="0"/>
    <n v="0"/>
    <n v="0"/>
    <n v="0"/>
    <n v="0"/>
  </r>
  <r>
    <x v="8"/>
    <x v="25"/>
    <x v="2"/>
    <m/>
    <m/>
    <n v="0"/>
    <m/>
    <m/>
    <n v="0"/>
    <m/>
    <m/>
    <n v="0"/>
    <s v=""/>
    <n v="0"/>
    <n v="0"/>
    <n v="0"/>
    <n v="116.88487613461319"/>
    <n v="2225"/>
    <n v="71535.307499999995"/>
    <n v="0"/>
    <n v="0"/>
    <n v="0"/>
    <n v="0"/>
    <n v="0"/>
    <n v="0"/>
  </r>
  <r>
    <x v="9"/>
    <x v="25"/>
    <x v="2"/>
    <m/>
    <m/>
    <n v="0"/>
    <m/>
    <m/>
    <n v="0"/>
    <m/>
    <m/>
    <n v="0"/>
    <s v=""/>
    <n v="0"/>
    <n v="0"/>
    <n v="0"/>
    <n v="116.88487613461319"/>
    <n v="2225"/>
    <n v="71535.307499999995"/>
    <n v="0"/>
    <n v="0"/>
    <n v="0"/>
    <n v="0"/>
    <n v="0"/>
    <n v="0"/>
  </r>
  <r>
    <x v="10"/>
    <x v="25"/>
    <x v="2"/>
    <m/>
    <m/>
    <n v="0"/>
    <m/>
    <m/>
    <n v="0"/>
    <m/>
    <m/>
    <n v="0"/>
    <s v=""/>
    <n v="0"/>
    <n v="0"/>
    <n v="0"/>
    <n v="116.88487613461319"/>
    <n v="2225"/>
    <n v="71535.307499999995"/>
    <n v="0"/>
    <n v="0"/>
    <n v="0"/>
    <n v="0"/>
    <n v="0"/>
    <n v="0"/>
  </r>
  <r>
    <x v="11"/>
    <x v="25"/>
    <x v="2"/>
    <m/>
    <m/>
    <n v="0"/>
    <m/>
    <m/>
    <n v="0"/>
    <m/>
    <m/>
    <n v="0"/>
    <s v=""/>
    <n v="0"/>
    <n v="0"/>
    <n v="0"/>
    <n v="116.88487613461319"/>
    <n v="2225"/>
    <n v="71535.307499999995"/>
    <n v="0"/>
    <n v="0"/>
    <n v="0"/>
    <n v="0"/>
    <n v="0"/>
    <n v="0"/>
  </r>
  <r>
    <x v="12"/>
    <x v="25"/>
    <x v="2"/>
    <m/>
    <m/>
    <n v="0"/>
    <m/>
    <m/>
    <n v="0"/>
    <m/>
    <m/>
    <n v="0"/>
    <s v=""/>
    <n v="0"/>
    <n v="0"/>
    <n v="0"/>
    <n v="116.88487613461319"/>
    <n v="2225"/>
    <n v="71535.307499999995"/>
    <n v="0"/>
    <n v="0"/>
    <n v="0"/>
    <n v="0"/>
    <n v="0"/>
    <n v="0"/>
  </r>
  <r>
    <x v="13"/>
    <x v="25"/>
    <x v="2"/>
    <m/>
    <m/>
    <n v="0"/>
    <m/>
    <m/>
    <n v="0"/>
    <m/>
    <m/>
    <n v="0"/>
    <s v=""/>
    <n v="0"/>
    <n v="0"/>
    <n v="0"/>
    <n v="116.88487613461319"/>
    <n v="2225"/>
    <n v="71535.307499999995"/>
    <n v="0"/>
    <n v="0"/>
    <n v="0"/>
    <n v="0"/>
    <n v="0"/>
    <n v="0"/>
  </r>
  <r>
    <x v="14"/>
    <x v="25"/>
    <x v="2"/>
    <m/>
    <m/>
    <n v="0"/>
    <m/>
    <m/>
    <n v="0"/>
    <m/>
    <m/>
    <n v="0"/>
    <s v=""/>
    <n v="0"/>
    <n v="0"/>
    <n v="0"/>
    <n v="116.88487613461319"/>
    <n v="2225"/>
    <n v="71535.307499999995"/>
    <n v="0"/>
    <n v="0"/>
    <n v="0"/>
    <n v="0"/>
    <n v="0"/>
    <n v="0"/>
  </r>
  <r>
    <x v="15"/>
    <x v="25"/>
    <x v="2"/>
    <m/>
    <m/>
    <n v="0"/>
    <m/>
    <m/>
    <n v="0"/>
    <m/>
    <m/>
    <n v="0"/>
    <s v=""/>
    <n v="0"/>
    <n v="0"/>
    <n v="0"/>
    <n v="116.88487613461319"/>
    <n v="2225"/>
    <n v="71535.307499999995"/>
    <n v="0"/>
    <n v="0"/>
    <n v="0"/>
    <n v="0"/>
    <n v="0"/>
    <n v="0"/>
  </r>
  <r>
    <x v="16"/>
    <x v="25"/>
    <x v="2"/>
    <m/>
    <m/>
    <n v="0"/>
    <m/>
    <m/>
    <n v="0"/>
    <m/>
    <m/>
    <n v="0"/>
    <s v=""/>
    <n v="0"/>
    <n v="0"/>
    <n v="0"/>
    <n v="116.88487613461319"/>
    <n v="2225"/>
    <n v="71535.307499999995"/>
    <n v="0"/>
    <n v="0"/>
    <n v="0"/>
    <n v="0"/>
    <n v="0"/>
    <n v="0"/>
  </r>
  <r>
    <x v="17"/>
    <x v="25"/>
    <x v="3"/>
    <m/>
    <m/>
    <n v="0"/>
    <m/>
    <m/>
    <n v="0"/>
    <m/>
    <m/>
    <n v="0"/>
    <s v=""/>
    <n v="0"/>
    <n v="0"/>
    <n v="0"/>
    <n v="116.88487613461319"/>
    <n v="2225"/>
    <n v="71535.307499999995"/>
    <n v="0"/>
    <n v="0"/>
    <n v="0"/>
    <n v="0"/>
    <n v="0"/>
    <n v="0"/>
  </r>
  <r>
    <x v="18"/>
    <x v="25"/>
    <x v="3"/>
    <m/>
    <m/>
    <n v="0"/>
    <m/>
    <m/>
    <n v="0"/>
    <m/>
    <m/>
    <n v="0"/>
    <s v=""/>
    <n v="0"/>
    <n v="0"/>
    <n v="0"/>
    <n v="116.88487613461319"/>
    <n v="2225"/>
    <n v="71535.307499999995"/>
    <n v="0"/>
    <n v="0"/>
    <n v="0"/>
    <n v="0"/>
    <n v="0"/>
    <n v="0"/>
  </r>
  <r>
    <x v="19"/>
    <x v="25"/>
    <x v="3"/>
    <m/>
    <m/>
    <n v="0"/>
    <m/>
    <m/>
    <n v="0"/>
    <m/>
    <m/>
    <n v="0"/>
    <s v=""/>
    <n v="0"/>
    <n v="0"/>
    <n v="0"/>
    <n v="116.88487613461319"/>
    <n v="2225"/>
    <n v="71535.307499999995"/>
    <n v="0"/>
    <n v="0"/>
    <n v="0"/>
    <n v="0"/>
    <n v="0"/>
    <n v="0"/>
  </r>
  <r>
    <x v="20"/>
    <x v="25"/>
    <x v="3"/>
    <m/>
    <m/>
    <n v="0"/>
    <m/>
    <m/>
    <n v="0"/>
    <m/>
    <m/>
    <n v="0"/>
    <s v=""/>
    <n v="0"/>
    <n v="0"/>
    <n v="0"/>
    <n v="116.88487613461319"/>
    <n v="2225"/>
    <n v="71535.307499999995"/>
    <n v="0"/>
    <n v="0"/>
    <n v="0"/>
    <n v="0"/>
    <n v="0"/>
    <n v="0"/>
  </r>
  <r>
    <x v="21"/>
    <x v="25"/>
    <x v="3"/>
    <m/>
    <m/>
    <n v="0"/>
    <m/>
    <m/>
    <n v="0"/>
    <m/>
    <m/>
    <n v="0"/>
    <s v=""/>
    <n v="0"/>
    <n v="0"/>
    <n v="0"/>
    <n v="116.88487613461319"/>
    <n v="2225"/>
    <n v="71535.307499999995"/>
    <n v="0"/>
    <n v="0"/>
    <n v="0"/>
    <n v="0"/>
    <n v="0"/>
    <n v="0"/>
  </r>
  <r>
    <x v="22"/>
    <x v="25"/>
    <x v="3"/>
    <m/>
    <m/>
    <n v="0"/>
    <m/>
    <m/>
    <n v="0"/>
    <m/>
    <m/>
    <n v="0"/>
    <s v=""/>
    <n v="0"/>
    <n v="0"/>
    <n v="0"/>
    <n v="116.88487613461319"/>
    <n v="2225"/>
    <n v="71535.307499999995"/>
    <n v="0"/>
    <n v="0"/>
    <n v="0"/>
    <n v="0"/>
    <n v="0"/>
    <n v="0"/>
  </r>
  <r>
    <x v="23"/>
    <x v="25"/>
    <x v="3"/>
    <m/>
    <m/>
    <n v="0"/>
    <m/>
    <m/>
    <n v="0"/>
    <m/>
    <m/>
    <n v="0"/>
    <s v=""/>
    <n v="0"/>
    <n v="0"/>
    <n v="0"/>
    <n v="116.88487613461319"/>
    <n v="2225"/>
    <n v="71535.307499999995"/>
    <n v="0"/>
    <n v="0"/>
    <n v="0"/>
    <n v="0"/>
    <n v="0"/>
    <n v="0"/>
  </r>
  <r>
    <x v="24"/>
    <x v="25"/>
    <x v="3"/>
    <m/>
    <m/>
    <n v="0"/>
    <m/>
    <m/>
    <n v="0"/>
    <m/>
    <m/>
    <n v="0"/>
    <s v=""/>
    <n v="0"/>
    <n v="0"/>
    <n v="0"/>
    <n v="116.88487613461319"/>
    <n v="2225"/>
    <n v="71535.307499999995"/>
    <n v="0"/>
    <n v="0"/>
    <n v="0"/>
    <n v="0"/>
    <n v="0"/>
    <n v="0"/>
  </r>
  <r>
    <x v="25"/>
    <x v="25"/>
    <x v="3"/>
    <m/>
    <m/>
    <n v="0"/>
    <m/>
    <m/>
    <n v="0"/>
    <m/>
    <m/>
    <n v="0"/>
    <s v=""/>
    <n v="0"/>
    <n v="0"/>
    <n v="0"/>
    <n v="116.88487613461319"/>
    <n v="2225"/>
    <n v="71535.307499999995"/>
    <n v="0"/>
    <n v="0"/>
    <n v="0"/>
    <n v="0"/>
    <n v="0"/>
    <n v="0"/>
  </r>
  <r>
    <x v="26"/>
    <x v="25"/>
    <x v="3"/>
    <m/>
    <m/>
    <n v="0"/>
    <m/>
    <m/>
    <n v="0"/>
    <m/>
    <m/>
    <n v="0"/>
    <s v=""/>
    <n v="0"/>
    <n v="0"/>
    <n v="0"/>
    <n v="116.88487613461319"/>
    <n v="2225"/>
    <n v="71535.307499999995"/>
    <n v="0"/>
    <n v="0"/>
    <n v="0"/>
    <n v="0"/>
    <n v="0"/>
    <n v="0"/>
  </r>
  <r>
    <x v="27"/>
    <x v="25"/>
    <x v="3"/>
    <m/>
    <m/>
    <n v="0"/>
    <m/>
    <m/>
    <n v="0"/>
    <m/>
    <m/>
    <n v="0"/>
    <s v=""/>
    <n v="0"/>
    <n v="0"/>
    <n v="0"/>
    <n v="116.88487613461319"/>
    <n v="2225"/>
    <n v="71535.307499999995"/>
    <n v="0"/>
    <n v="0"/>
    <n v="0"/>
    <n v="0"/>
    <n v="0"/>
    <n v="0"/>
  </r>
  <r>
    <x v="28"/>
    <x v="25"/>
    <x v="3"/>
    <m/>
    <m/>
    <n v="0"/>
    <m/>
    <m/>
    <n v="0"/>
    <m/>
    <m/>
    <n v="0"/>
    <s v=""/>
    <n v="0"/>
    <n v="0"/>
    <n v="0"/>
    <n v="116.88487613461319"/>
    <n v="2225"/>
    <n v="71535.307499999995"/>
    <n v="0"/>
    <n v="0"/>
    <n v="0"/>
    <n v="0"/>
    <n v="0"/>
    <n v="0"/>
  </r>
  <r>
    <x v="29"/>
    <x v="25"/>
    <x v="3"/>
    <m/>
    <m/>
    <n v="0"/>
    <m/>
    <m/>
    <n v="0"/>
    <m/>
    <m/>
    <n v="0"/>
    <s v=""/>
    <n v="0"/>
    <n v="0"/>
    <n v="0"/>
    <n v="116.88487613461319"/>
    <n v="2225"/>
    <n v="71535.307499999995"/>
    <n v="0"/>
    <n v="0"/>
    <n v="0"/>
    <n v="0"/>
    <n v="0"/>
    <n v="0"/>
  </r>
  <r>
    <x v="30"/>
    <x v="25"/>
    <x v="3"/>
    <m/>
    <m/>
    <n v="0"/>
    <m/>
    <m/>
    <n v="0"/>
    <m/>
    <m/>
    <n v="0"/>
    <s v=""/>
    <n v="0"/>
    <n v="0"/>
    <n v="0"/>
    <n v="116.88487613461319"/>
    <n v="2225"/>
    <n v="71535.307499999995"/>
    <n v="0"/>
    <n v="0"/>
    <n v="0"/>
    <n v="0"/>
    <n v="0"/>
    <n v="0"/>
  </r>
  <r>
    <x v="31"/>
    <x v="25"/>
    <x v="3"/>
    <m/>
    <m/>
    <n v="0"/>
    <m/>
    <m/>
    <n v="0"/>
    <m/>
    <m/>
    <n v="0"/>
    <s v=""/>
    <n v="0"/>
    <n v="0"/>
    <n v="0"/>
    <n v="116.88487613461319"/>
    <n v="2225"/>
    <n v="71535.307499999995"/>
    <n v="0"/>
    <n v="0"/>
    <n v="0"/>
    <n v="0"/>
    <n v="0"/>
    <n v="0"/>
  </r>
  <r>
    <x v="32"/>
    <x v="25"/>
    <x v="3"/>
    <m/>
    <m/>
    <n v="0"/>
    <m/>
    <m/>
    <n v="0"/>
    <m/>
    <m/>
    <n v="0"/>
    <s v=""/>
    <n v="0"/>
    <n v="0"/>
    <n v="0"/>
    <n v="116.88487613461319"/>
    <n v="2225"/>
    <n v="71535.307499999995"/>
    <n v="0"/>
    <n v="0"/>
    <n v="0"/>
    <n v="0"/>
    <n v="0"/>
    <n v="0"/>
  </r>
  <r>
    <x v="33"/>
    <x v="25"/>
    <x v="3"/>
    <m/>
    <m/>
    <n v="0"/>
    <m/>
    <m/>
    <n v="0"/>
    <m/>
    <m/>
    <n v="0"/>
    <s v=""/>
    <n v="0"/>
    <n v="0"/>
    <n v="0"/>
    <n v="116.88487613461319"/>
    <n v="2225"/>
    <n v="71535.307499999995"/>
    <n v="0"/>
    <n v="0"/>
    <n v="0"/>
    <n v="0"/>
    <n v="0"/>
    <n v="0"/>
  </r>
  <r>
    <x v="34"/>
    <x v="25"/>
    <x v="3"/>
    <m/>
    <m/>
    <n v="0"/>
    <m/>
    <m/>
    <n v="0"/>
    <m/>
    <m/>
    <n v="0"/>
    <s v=""/>
    <n v="0"/>
    <n v="0"/>
    <n v="0"/>
    <n v="116.88487613461319"/>
    <n v="2225"/>
    <n v="71535.307499999995"/>
    <n v="0"/>
    <n v="0"/>
    <n v="0"/>
    <n v="0"/>
    <n v="0"/>
    <n v="0"/>
  </r>
  <r>
    <x v="35"/>
    <x v="25"/>
    <x v="3"/>
    <m/>
    <m/>
    <n v="0"/>
    <m/>
    <m/>
    <n v="0"/>
    <m/>
    <m/>
    <n v="0"/>
    <s v=""/>
    <n v="0"/>
    <n v="0"/>
    <n v="0"/>
    <n v="116.88487613461319"/>
    <n v="2225"/>
    <n v="71535.307499999995"/>
    <n v="0"/>
    <n v="0"/>
    <n v="0"/>
    <n v="0"/>
    <n v="0"/>
    <n v="0"/>
  </r>
  <r>
    <x v="36"/>
    <x v="25"/>
    <x v="3"/>
    <m/>
    <m/>
    <n v="0"/>
    <m/>
    <m/>
    <n v="0"/>
    <m/>
    <m/>
    <n v="0"/>
    <s v=""/>
    <n v="0"/>
    <n v="0"/>
    <n v="0"/>
    <n v="116.88487613461319"/>
    <n v="2225"/>
    <n v="71535.307499999995"/>
    <n v="0"/>
    <n v="0"/>
    <n v="0"/>
    <n v="0"/>
    <n v="0"/>
    <n v="0"/>
  </r>
  <r>
    <x v="37"/>
    <x v="25"/>
    <x v="3"/>
    <m/>
    <m/>
    <n v="0"/>
    <m/>
    <m/>
    <n v="0"/>
    <m/>
    <m/>
    <n v="0"/>
    <s v=""/>
    <n v="0"/>
    <n v="0"/>
    <n v="0"/>
    <n v="116.88487613461319"/>
    <n v="2225"/>
    <n v="71535.307499999995"/>
    <n v="0"/>
    <n v="0"/>
    <n v="0"/>
    <n v="0"/>
    <n v="0"/>
    <n v="0"/>
  </r>
  <r>
    <x v="38"/>
    <x v="25"/>
    <x v="3"/>
    <m/>
    <m/>
    <n v="0"/>
    <m/>
    <m/>
    <n v="0"/>
    <m/>
    <m/>
    <n v="0"/>
    <s v=""/>
    <n v="0"/>
    <n v="0"/>
    <n v="0"/>
    <n v="116.88487613461319"/>
    <n v="2225"/>
    <n v="71535.307499999995"/>
    <n v="0"/>
    <n v="0"/>
    <n v="0"/>
    <n v="0"/>
    <n v="0"/>
    <n v="0"/>
  </r>
  <r>
    <x v="39"/>
    <x v="25"/>
    <x v="3"/>
    <m/>
    <m/>
    <n v="0"/>
    <m/>
    <m/>
    <n v="0"/>
    <m/>
    <m/>
    <n v="0"/>
    <s v=""/>
    <n v="0"/>
    <n v="0"/>
    <n v="0"/>
    <n v="116.88487613461319"/>
    <n v="2225"/>
    <n v="71535.307499999995"/>
    <n v="0"/>
    <n v="0"/>
    <n v="0"/>
    <n v="0"/>
    <n v="0"/>
    <n v="0"/>
  </r>
  <r>
    <x v="40"/>
    <x v="25"/>
    <x v="3"/>
    <m/>
    <m/>
    <n v="0"/>
    <m/>
    <m/>
    <n v="0"/>
    <m/>
    <m/>
    <n v="0"/>
    <s v=""/>
    <n v="0"/>
    <n v="0"/>
    <n v="0"/>
    <n v="116.88487613461319"/>
    <n v="2225"/>
    <n v="71535.307499999995"/>
    <n v="0"/>
    <n v="0"/>
    <n v="0"/>
    <n v="0"/>
    <n v="0"/>
    <n v="0"/>
  </r>
  <r>
    <x v="41"/>
    <x v="25"/>
    <x v="3"/>
    <m/>
    <m/>
    <n v="0"/>
    <m/>
    <m/>
    <n v="0"/>
    <m/>
    <m/>
    <n v="0"/>
    <s v=""/>
    <n v="0"/>
    <n v="0"/>
    <n v="0"/>
    <n v="116.88487613461319"/>
    <n v="2225"/>
    <n v="71535.307499999995"/>
    <n v="0"/>
    <n v="0"/>
    <n v="0"/>
    <n v="0"/>
    <n v="0"/>
    <n v="0"/>
  </r>
  <r>
    <x v="42"/>
    <x v="25"/>
    <x v="3"/>
    <m/>
    <m/>
    <n v="0"/>
    <m/>
    <m/>
    <n v="0"/>
    <m/>
    <m/>
    <n v="0"/>
    <s v=""/>
    <n v="0"/>
    <n v="0"/>
    <n v="0"/>
    <n v="116.88487613461319"/>
    <n v="2225"/>
    <n v="71535.307499999995"/>
    <n v="0"/>
    <n v="0"/>
    <n v="0"/>
    <n v="0"/>
    <n v="0"/>
    <n v="0"/>
  </r>
  <r>
    <x v="43"/>
    <x v="25"/>
    <x v="3"/>
    <m/>
    <m/>
    <n v="0"/>
    <m/>
    <m/>
    <n v="0"/>
    <m/>
    <m/>
    <n v="0"/>
    <s v=""/>
    <n v="0"/>
    <n v="0"/>
    <n v="0"/>
    <n v="116.88487613461319"/>
    <n v="2225"/>
    <n v="71535.307499999995"/>
    <n v="0"/>
    <n v="0"/>
    <n v="0"/>
    <n v="0"/>
    <n v="0"/>
    <n v="0"/>
  </r>
  <r>
    <x v="44"/>
    <x v="25"/>
    <x v="3"/>
    <m/>
    <m/>
    <n v="0"/>
    <m/>
    <m/>
    <n v="0"/>
    <m/>
    <m/>
    <n v="0"/>
    <s v=""/>
    <n v="0"/>
    <n v="0"/>
    <n v="0"/>
    <n v="116.88487613461319"/>
    <n v="2225"/>
    <n v="71535.307499999995"/>
    <n v="0"/>
    <n v="0"/>
    <n v="0"/>
    <n v="0"/>
    <n v="0"/>
    <n v="0"/>
  </r>
  <r>
    <x v="45"/>
    <x v="25"/>
    <x v="3"/>
    <m/>
    <m/>
    <n v="0"/>
    <m/>
    <m/>
    <n v="0"/>
    <m/>
    <m/>
    <n v="0"/>
    <s v=""/>
    <n v="0"/>
    <n v="0"/>
    <n v="0"/>
    <n v="116.88487613461319"/>
    <n v="2225"/>
    <n v="71535.307499999995"/>
    <n v="0"/>
    <n v="0"/>
    <n v="0"/>
    <n v="0"/>
    <n v="0"/>
    <n v="0"/>
  </r>
  <r>
    <x v="46"/>
    <x v="25"/>
    <x v="3"/>
    <m/>
    <m/>
    <m/>
    <m/>
    <m/>
    <m/>
    <m/>
    <m/>
    <m/>
    <m/>
    <m/>
    <m/>
    <m/>
    <m/>
    <m/>
    <m/>
    <m/>
    <m/>
    <m/>
    <m/>
    <m/>
    <m/>
  </r>
  <r>
    <x v="47"/>
    <x v="25"/>
    <x v="3"/>
    <m/>
    <m/>
    <n v="0"/>
    <m/>
    <m/>
    <n v="0"/>
    <m/>
    <m/>
    <m/>
    <m/>
    <m/>
    <m/>
    <m/>
    <m/>
    <m/>
    <m/>
    <m/>
    <m/>
    <m/>
    <m/>
    <m/>
    <m/>
  </r>
  <r>
    <x v="48"/>
    <x v="25"/>
    <x v="3"/>
    <m/>
    <m/>
    <n v="0"/>
    <m/>
    <m/>
    <n v="0"/>
    <m/>
    <m/>
    <m/>
    <m/>
    <m/>
    <m/>
    <m/>
    <m/>
    <m/>
    <m/>
    <m/>
    <m/>
    <m/>
    <m/>
    <m/>
    <m/>
  </r>
  <r>
    <x v="49"/>
    <x v="25"/>
    <x v="3"/>
    <m/>
    <m/>
    <n v="0"/>
    <m/>
    <m/>
    <n v="0"/>
    <m/>
    <m/>
    <n v="0"/>
    <s v=""/>
    <n v="0"/>
    <n v="0"/>
    <n v="0"/>
    <n v="116.88487613461319"/>
    <n v="2225"/>
    <n v="71535.307499999995"/>
    <n v="0"/>
    <n v="0"/>
    <n v="0"/>
    <n v="0"/>
    <n v="0"/>
    <n v="0"/>
  </r>
  <r>
    <x v="50"/>
    <x v="25"/>
    <x v="4"/>
    <m/>
    <m/>
    <n v="0"/>
    <m/>
    <m/>
    <n v="0"/>
    <m/>
    <m/>
    <n v="0"/>
    <s v=""/>
    <n v="0"/>
    <n v="0"/>
    <n v="0"/>
    <n v="116.88487613461319"/>
    <n v="2225"/>
    <n v="71535.307499999995"/>
    <n v="0"/>
    <n v="0"/>
    <n v="0"/>
    <n v="0"/>
    <n v="0"/>
    <n v="0"/>
  </r>
  <r>
    <x v="51"/>
    <x v="25"/>
    <x v="4"/>
    <m/>
    <m/>
    <n v="0"/>
    <m/>
    <m/>
    <n v="0"/>
    <m/>
    <m/>
    <n v="0"/>
    <s v=""/>
    <n v="0"/>
    <n v="0"/>
    <n v="0"/>
    <n v="116.88487613461319"/>
    <n v="2225"/>
    <n v="71535.307499999995"/>
    <n v="0"/>
    <n v="0"/>
    <n v="0"/>
    <n v="0"/>
    <n v="0"/>
    <n v="0"/>
  </r>
  <r>
    <x v="52"/>
    <x v="25"/>
    <x v="4"/>
    <m/>
    <m/>
    <n v="0"/>
    <m/>
    <m/>
    <n v="0"/>
    <m/>
    <m/>
    <n v="0"/>
    <s v=""/>
    <n v="0"/>
    <n v="0"/>
    <n v="0"/>
    <n v="116.88487613461319"/>
    <n v="2225"/>
    <n v="71535.307499999995"/>
    <n v="0"/>
    <n v="0"/>
    <n v="0"/>
    <n v="0"/>
    <n v="0"/>
    <n v="0"/>
  </r>
  <r>
    <x v="53"/>
    <x v="25"/>
    <x v="4"/>
    <m/>
    <m/>
    <n v="0"/>
    <m/>
    <m/>
    <n v="0"/>
    <m/>
    <m/>
    <n v="0"/>
    <s v=""/>
    <n v="0"/>
    <n v="0"/>
    <n v="0"/>
    <n v="116.88487613461319"/>
    <n v="2225"/>
    <n v="71535.307499999995"/>
    <n v="0"/>
    <n v="0"/>
    <n v="0"/>
    <n v="0"/>
    <n v="0"/>
    <n v="0"/>
  </r>
  <r>
    <x v="54"/>
    <x v="25"/>
    <x v="4"/>
    <m/>
    <m/>
    <n v="0"/>
    <m/>
    <m/>
    <n v="0"/>
    <m/>
    <m/>
    <n v="0"/>
    <s v=""/>
    <n v="0"/>
    <n v="0"/>
    <n v="0"/>
    <n v="116.88487613461319"/>
    <n v="2225"/>
    <n v="71535.307499999995"/>
    <n v="0"/>
    <n v="0"/>
    <n v="0"/>
    <n v="0"/>
    <n v="0"/>
    <n v="0"/>
  </r>
  <r>
    <x v="55"/>
    <x v="25"/>
    <x v="4"/>
    <m/>
    <m/>
    <n v="0"/>
    <m/>
    <m/>
    <n v="0"/>
    <m/>
    <m/>
    <n v="0"/>
    <s v=""/>
    <n v="0"/>
    <n v="0"/>
    <n v="0"/>
    <n v="116.88487613461319"/>
    <n v="2225"/>
    <n v="71535.307499999995"/>
    <n v="0"/>
    <n v="0"/>
    <n v="0"/>
    <n v="0"/>
    <n v="0"/>
    <n v="0"/>
  </r>
  <r>
    <x v="56"/>
    <x v="25"/>
    <x v="4"/>
    <m/>
    <m/>
    <n v="0"/>
    <m/>
    <m/>
    <n v="0"/>
    <m/>
    <m/>
    <n v="0"/>
    <s v=""/>
    <n v="0"/>
    <n v="0"/>
    <n v="0"/>
    <n v="116.88487613461319"/>
    <n v="2225"/>
    <n v="71535.307499999995"/>
    <n v="0"/>
    <n v="0"/>
    <n v="0"/>
    <n v="0"/>
    <n v="0"/>
    <n v="0"/>
  </r>
  <r>
    <x v="57"/>
    <x v="25"/>
    <x v="4"/>
    <m/>
    <m/>
    <n v="0"/>
    <m/>
    <m/>
    <n v="0"/>
    <m/>
    <m/>
    <n v="0"/>
    <s v=""/>
    <n v="0"/>
    <n v="0"/>
    <n v="0"/>
    <n v="116.88487613461319"/>
    <n v="2225"/>
    <n v="71535.307499999995"/>
    <n v="0"/>
    <n v="0"/>
    <n v="0"/>
    <n v="0"/>
    <n v="0"/>
    <n v="0"/>
  </r>
  <r>
    <x v="58"/>
    <x v="25"/>
    <x v="4"/>
    <m/>
    <m/>
    <n v="0"/>
    <m/>
    <m/>
    <n v="0"/>
    <m/>
    <m/>
    <n v="0"/>
    <s v=""/>
    <n v="0"/>
    <n v="0"/>
    <n v="0"/>
    <n v="116.88487613461319"/>
    <n v="2225"/>
    <n v="71535.307499999995"/>
    <n v="0"/>
    <n v="0"/>
    <n v="0"/>
    <n v="0"/>
    <n v="0"/>
    <n v="0"/>
  </r>
  <r>
    <x v="59"/>
    <x v="25"/>
    <x v="4"/>
    <m/>
    <m/>
    <n v="0"/>
    <m/>
    <m/>
    <n v="0"/>
    <m/>
    <m/>
    <n v="0"/>
    <s v=""/>
    <n v="0"/>
    <n v="0"/>
    <n v="0"/>
    <n v="116.88487613461319"/>
    <n v="2225"/>
    <n v="71535.307499999995"/>
    <n v="0"/>
    <n v="0"/>
    <n v="0"/>
    <n v="0"/>
    <n v="0"/>
    <n v="0"/>
  </r>
  <r>
    <x v="60"/>
    <x v="25"/>
    <x v="4"/>
    <m/>
    <m/>
    <n v="0"/>
    <m/>
    <m/>
    <n v="0"/>
    <m/>
    <m/>
    <n v="0"/>
    <s v=""/>
    <n v="0"/>
    <n v="0"/>
    <n v="0"/>
    <n v="116.88487613461319"/>
    <n v="2225"/>
    <n v="71535.307499999995"/>
    <n v="0"/>
    <n v="0"/>
    <n v="0"/>
    <n v="0"/>
    <n v="0"/>
    <n v="0"/>
  </r>
  <r>
    <x v="61"/>
    <x v="25"/>
    <x v="4"/>
    <m/>
    <m/>
    <n v="0"/>
    <m/>
    <m/>
    <n v="0"/>
    <m/>
    <m/>
    <n v="0"/>
    <s v=""/>
    <n v="0"/>
    <n v="0"/>
    <n v="0"/>
    <n v="116.88487613461319"/>
    <n v="2225"/>
    <n v="71535.307499999995"/>
    <n v="0"/>
    <n v="0"/>
    <n v="0"/>
    <n v="0"/>
    <n v="0"/>
    <n v="0"/>
  </r>
  <r>
    <x v="62"/>
    <x v="25"/>
    <x v="4"/>
    <m/>
    <m/>
    <n v="0"/>
    <m/>
    <m/>
    <n v="0"/>
    <m/>
    <m/>
    <n v="0"/>
    <s v=""/>
    <n v="0"/>
    <n v="0"/>
    <n v="0"/>
    <n v="116.88487613461319"/>
    <n v="2225"/>
    <n v="71535.307499999995"/>
    <n v="0"/>
    <n v="0"/>
    <n v="0"/>
    <n v="0"/>
    <n v="0"/>
    <n v="0"/>
  </r>
  <r>
    <x v="63"/>
    <x v="25"/>
    <x v="4"/>
    <m/>
    <m/>
    <n v="0"/>
    <m/>
    <m/>
    <n v="0"/>
    <m/>
    <m/>
    <n v="0"/>
    <s v=""/>
    <n v="0"/>
    <n v="0"/>
    <n v="0"/>
    <n v="116.88487613461319"/>
    <n v="2225"/>
    <n v="71535.307499999995"/>
    <n v="0"/>
    <n v="0"/>
    <n v="0"/>
    <n v="0"/>
    <n v="0"/>
    <n v="0"/>
  </r>
  <r>
    <x v="64"/>
    <x v="25"/>
    <x v="4"/>
    <m/>
    <m/>
    <n v="0"/>
    <m/>
    <m/>
    <n v="0"/>
    <m/>
    <m/>
    <n v="0"/>
    <s v=""/>
    <n v="0"/>
    <n v="0"/>
    <n v="0"/>
    <n v="116.88487613461319"/>
    <n v="2225"/>
    <n v="71535.307499999995"/>
    <n v="0"/>
    <n v="0"/>
    <n v="0"/>
    <n v="0"/>
    <n v="0"/>
    <n v="0"/>
  </r>
  <r>
    <x v="65"/>
    <x v="25"/>
    <x v="4"/>
    <m/>
    <m/>
    <n v="0"/>
    <m/>
    <m/>
    <n v="0"/>
    <m/>
    <m/>
    <n v="0"/>
    <s v=""/>
    <n v="0"/>
    <n v="0"/>
    <n v="0"/>
    <n v="116.88487613461319"/>
    <n v="2225"/>
    <n v="71535.307499999995"/>
    <n v="0"/>
    <n v="0"/>
    <n v="0"/>
    <n v="0"/>
    <n v="0"/>
    <n v="0"/>
  </r>
  <r>
    <x v="66"/>
    <x v="25"/>
    <x v="4"/>
    <m/>
    <m/>
    <n v="0"/>
    <m/>
    <m/>
    <n v="0"/>
    <m/>
    <m/>
    <n v="0"/>
    <s v=""/>
    <n v="0"/>
    <n v="0"/>
    <n v="0"/>
    <n v="116.88487613461319"/>
    <n v="2225"/>
    <n v="71535.307499999995"/>
    <n v="0"/>
    <n v="0"/>
    <n v="0"/>
    <n v="0"/>
    <n v="0"/>
    <n v="0"/>
  </r>
  <r>
    <x v="67"/>
    <x v="25"/>
    <x v="4"/>
    <m/>
    <m/>
    <n v="0"/>
    <m/>
    <m/>
    <n v="0"/>
    <m/>
    <m/>
    <n v="0"/>
    <s v=""/>
    <n v="0"/>
    <n v="0"/>
    <n v="0"/>
    <n v="116.88487613461319"/>
    <n v="2225"/>
    <n v="71535.307499999995"/>
    <n v="0"/>
    <n v="0"/>
    <n v="0"/>
    <n v="0"/>
    <n v="0"/>
    <n v="0"/>
  </r>
  <r>
    <x v="68"/>
    <x v="25"/>
    <x v="4"/>
    <m/>
    <m/>
    <n v="0"/>
    <m/>
    <m/>
    <n v="0"/>
    <m/>
    <m/>
    <n v="0"/>
    <s v=""/>
    <n v="0"/>
    <n v="0"/>
    <n v="0"/>
    <n v="116.88487613461319"/>
    <n v="2225"/>
    <n v="71535.307499999995"/>
    <n v="0"/>
    <n v="0"/>
    <n v="0"/>
    <n v="0"/>
    <n v="0"/>
    <n v="0"/>
  </r>
  <r>
    <x v="69"/>
    <x v="25"/>
    <x v="4"/>
    <m/>
    <m/>
    <n v="0"/>
    <m/>
    <m/>
    <n v="0"/>
    <m/>
    <m/>
    <n v="0"/>
    <s v=""/>
    <n v="0"/>
    <n v="0"/>
    <n v="0"/>
    <n v="116.88487613461319"/>
    <n v="2225"/>
    <n v="71535.307499999995"/>
    <n v="0"/>
    <n v="0"/>
    <n v="0"/>
    <n v="0"/>
    <n v="0"/>
    <n v="0"/>
  </r>
  <r>
    <x v="70"/>
    <x v="25"/>
    <x v="5"/>
    <m/>
    <m/>
    <n v="0"/>
    <m/>
    <m/>
    <n v="0"/>
    <m/>
    <m/>
    <n v="0"/>
    <s v=""/>
    <n v="0"/>
    <n v="0"/>
    <n v="0"/>
    <n v="116.88487613461319"/>
    <n v="2225"/>
    <n v="71535.307499999995"/>
    <n v="0"/>
    <n v="0"/>
    <n v="0"/>
    <n v="0"/>
    <n v="0"/>
    <n v="0"/>
  </r>
  <r>
    <x v="71"/>
    <x v="25"/>
    <x v="5"/>
    <m/>
    <m/>
    <n v="0"/>
    <m/>
    <m/>
    <n v="0"/>
    <m/>
    <m/>
    <n v="0"/>
    <s v=""/>
    <n v="0"/>
    <n v="0"/>
    <n v="0"/>
    <n v="116.88487613461319"/>
    <n v="2225"/>
    <n v="71535.307499999995"/>
    <n v="0"/>
    <n v="0"/>
    <n v="0"/>
    <n v="0"/>
    <n v="0"/>
    <n v="0"/>
  </r>
  <r>
    <x v="72"/>
    <x v="25"/>
    <x v="5"/>
    <m/>
    <m/>
    <n v="0"/>
    <m/>
    <m/>
    <n v="0"/>
    <m/>
    <m/>
    <m/>
    <m/>
    <m/>
    <m/>
    <m/>
    <m/>
    <m/>
    <m/>
    <m/>
    <m/>
    <m/>
    <m/>
    <m/>
    <m/>
  </r>
  <r>
    <x v="73"/>
    <x v="25"/>
    <x v="5"/>
    <m/>
    <m/>
    <n v="0"/>
    <m/>
    <m/>
    <n v="0"/>
    <m/>
    <m/>
    <m/>
    <m/>
    <m/>
    <m/>
    <m/>
    <m/>
    <m/>
    <m/>
    <m/>
    <m/>
    <m/>
    <m/>
    <m/>
    <m/>
  </r>
  <r>
    <x v="74"/>
    <x v="25"/>
    <x v="5"/>
    <m/>
    <m/>
    <n v="0"/>
    <m/>
    <m/>
    <n v="0"/>
    <m/>
    <m/>
    <m/>
    <m/>
    <m/>
    <m/>
    <m/>
    <m/>
    <m/>
    <m/>
    <m/>
    <m/>
    <m/>
    <m/>
    <m/>
    <m/>
  </r>
  <r>
    <x v="75"/>
    <x v="25"/>
    <x v="5"/>
    <m/>
    <m/>
    <n v="0"/>
    <m/>
    <m/>
    <n v="0"/>
    <m/>
    <m/>
    <n v="0"/>
    <s v=""/>
    <n v="0"/>
    <n v="0"/>
    <n v="0"/>
    <n v="116.88487613461319"/>
    <n v="2225"/>
    <n v="71535.307499999995"/>
    <n v="0"/>
    <n v="0"/>
    <n v="0"/>
    <n v="0"/>
    <n v="0"/>
    <n v="0"/>
  </r>
  <r>
    <x v="76"/>
    <x v="25"/>
    <x v="5"/>
    <m/>
    <m/>
    <n v="0"/>
    <m/>
    <m/>
    <n v="0"/>
    <m/>
    <m/>
    <m/>
    <m/>
    <m/>
    <m/>
    <m/>
    <m/>
    <m/>
    <m/>
    <m/>
    <m/>
    <m/>
    <m/>
    <m/>
    <m/>
  </r>
  <r>
    <x v="77"/>
    <x v="25"/>
    <x v="5"/>
    <m/>
    <m/>
    <n v="0"/>
    <m/>
    <m/>
    <n v="0"/>
    <m/>
    <m/>
    <n v="0"/>
    <s v=""/>
    <n v="0"/>
    <n v="0"/>
    <n v="0"/>
    <n v="116.88487613461319"/>
    <n v="2225"/>
    <n v="71535.307499999995"/>
    <n v="0"/>
    <n v="0"/>
    <n v="0"/>
    <n v="0"/>
    <n v="0"/>
    <n v="0"/>
  </r>
  <r>
    <x v="78"/>
    <x v="25"/>
    <x v="5"/>
    <m/>
    <m/>
    <n v="0"/>
    <m/>
    <m/>
    <n v="0"/>
    <m/>
    <m/>
    <n v="0"/>
    <s v=""/>
    <n v="0"/>
    <n v="0"/>
    <n v="0"/>
    <n v="116.88487613461319"/>
    <n v="2225"/>
    <n v="71535.307499999995"/>
    <n v="0"/>
    <n v="0"/>
    <n v="0"/>
    <n v="0"/>
    <n v="0"/>
    <n v="0"/>
  </r>
  <r>
    <x v="79"/>
    <x v="25"/>
    <x v="5"/>
    <m/>
    <m/>
    <n v="0"/>
    <m/>
    <m/>
    <n v="0"/>
    <m/>
    <m/>
    <n v="0"/>
    <s v=""/>
    <n v="0"/>
    <n v="0"/>
    <n v="0"/>
    <n v="116.88487613461319"/>
    <n v="2225"/>
    <n v="71535.307499999995"/>
    <n v="0"/>
    <n v="0"/>
    <n v="0"/>
    <n v="0"/>
    <n v="0"/>
    <n v="0"/>
  </r>
  <r>
    <x v="80"/>
    <x v="25"/>
    <x v="5"/>
    <m/>
    <m/>
    <n v="0"/>
    <m/>
    <m/>
    <n v="0"/>
    <m/>
    <m/>
    <n v="0"/>
    <s v=""/>
    <n v="0"/>
    <n v="0"/>
    <n v="0"/>
    <n v="116.88487613461319"/>
    <n v="2225"/>
    <n v="71535.307499999995"/>
    <n v="0"/>
    <n v="0"/>
    <n v="0"/>
    <n v="0"/>
    <n v="0"/>
    <n v="0"/>
  </r>
  <r>
    <x v="81"/>
    <x v="25"/>
    <x v="5"/>
    <m/>
    <m/>
    <n v="0"/>
    <m/>
    <m/>
    <n v="0"/>
    <m/>
    <m/>
    <n v="0"/>
    <s v=""/>
    <n v="0"/>
    <n v="0"/>
    <n v="0"/>
    <n v="116.88487613461319"/>
    <n v="2225"/>
    <n v="71535.307499999995"/>
    <n v="0"/>
    <n v="0"/>
    <n v="0"/>
    <n v="0"/>
    <n v="0"/>
    <n v="0"/>
  </r>
  <r>
    <x v="82"/>
    <x v="25"/>
    <x v="5"/>
    <m/>
    <m/>
    <n v="0"/>
    <m/>
    <m/>
    <n v="0"/>
    <m/>
    <m/>
    <n v="0"/>
    <s v=""/>
    <n v="0"/>
    <n v="0"/>
    <n v="0"/>
    <n v="116.88487613461319"/>
    <n v="2225"/>
    <n v="71535.307499999995"/>
    <n v="0"/>
    <n v="0"/>
    <n v="0"/>
    <n v="0"/>
    <n v="0"/>
    <n v="0"/>
  </r>
  <r>
    <x v="83"/>
    <x v="25"/>
    <x v="5"/>
    <m/>
    <m/>
    <n v="0"/>
    <m/>
    <m/>
    <n v="0"/>
    <m/>
    <m/>
    <n v="0"/>
    <s v=""/>
    <n v="0"/>
    <n v="0"/>
    <n v="0"/>
    <n v="116.88487613461319"/>
    <n v="2225"/>
    <n v="71535.307499999995"/>
    <n v="0"/>
    <n v="0"/>
    <n v="0"/>
    <n v="0"/>
    <n v="0"/>
    <n v="0"/>
  </r>
  <r>
    <x v="84"/>
    <x v="25"/>
    <x v="5"/>
    <m/>
    <m/>
    <n v="0"/>
    <m/>
    <m/>
    <n v="0"/>
    <m/>
    <m/>
    <n v="0"/>
    <s v=""/>
    <n v="0"/>
    <n v="0"/>
    <n v="0"/>
    <n v="116.88487613461319"/>
    <n v="2225"/>
    <n v="71535.307499999995"/>
    <n v="0"/>
    <n v="0"/>
    <n v="0"/>
    <n v="0"/>
    <n v="0"/>
    <n v="0"/>
  </r>
  <r>
    <x v="85"/>
    <x v="25"/>
    <x v="5"/>
    <m/>
    <m/>
    <n v="0"/>
    <m/>
    <m/>
    <n v="0"/>
    <m/>
    <m/>
    <n v="0"/>
    <s v=""/>
    <n v="0"/>
    <n v="0"/>
    <n v="0"/>
    <n v="116.88487613461319"/>
    <n v="2225"/>
    <n v="71535.307499999995"/>
    <n v="0"/>
    <n v="0"/>
    <n v="0"/>
    <n v="0"/>
    <n v="0"/>
    <n v="0"/>
  </r>
  <r>
    <x v="86"/>
    <x v="25"/>
    <x v="5"/>
    <m/>
    <m/>
    <n v="0"/>
    <m/>
    <m/>
    <n v="0"/>
    <m/>
    <m/>
    <n v="0"/>
    <s v=""/>
    <n v="0"/>
    <n v="0"/>
    <n v="0"/>
    <n v="116.88487613461319"/>
    <n v="2225"/>
    <n v="71535.307499999995"/>
    <n v="0"/>
    <n v="0"/>
    <n v="0"/>
    <n v="0"/>
    <n v="0"/>
    <n v="0"/>
  </r>
  <r>
    <x v="87"/>
    <x v="25"/>
    <x v="5"/>
    <m/>
    <m/>
    <n v="0"/>
    <m/>
    <m/>
    <n v="0"/>
    <m/>
    <m/>
    <n v="0"/>
    <s v=""/>
    <n v="0"/>
    <n v="0"/>
    <n v="0"/>
    <n v="116.88487613461319"/>
    <n v="2225"/>
    <n v="71535.307499999995"/>
    <n v="0"/>
    <n v="0"/>
    <n v="0"/>
    <n v="0"/>
    <n v="0"/>
    <n v="0"/>
  </r>
  <r>
    <x v="88"/>
    <x v="25"/>
    <x v="5"/>
    <m/>
    <m/>
    <n v="0"/>
    <m/>
    <m/>
    <n v="0"/>
    <m/>
    <m/>
    <n v="0"/>
    <s v=""/>
    <n v="0"/>
    <n v="0"/>
    <n v="0"/>
    <n v="116.88487613461319"/>
    <n v="2225"/>
    <n v="71535.307499999995"/>
    <n v="0"/>
    <n v="0"/>
    <n v="0"/>
    <n v="0"/>
    <n v="0"/>
    <n v="0"/>
  </r>
  <r>
    <x v="89"/>
    <x v="25"/>
    <x v="5"/>
    <m/>
    <m/>
    <n v="0"/>
    <m/>
    <m/>
    <n v="0"/>
    <m/>
    <m/>
    <n v="0"/>
    <s v=""/>
    <n v="0"/>
    <n v="0"/>
    <n v="0"/>
    <n v="116.88487613461319"/>
    <n v="2225"/>
    <n v="71535.307499999995"/>
    <n v="0"/>
    <n v="0"/>
    <n v="0"/>
    <n v="0"/>
    <n v="0"/>
    <n v="0"/>
  </r>
  <r>
    <x v="90"/>
    <x v="25"/>
    <x v="5"/>
    <m/>
    <m/>
    <n v="0"/>
    <m/>
    <m/>
    <n v="0"/>
    <m/>
    <m/>
    <n v="0"/>
    <s v=""/>
    <n v="0"/>
    <n v="0"/>
    <n v="0"/>
    <n v="116.88487613461319"/>
    <n v="2225"/>
    <n v="71535.307499999995"/>
    <n v="0"/>
    <n v="0"/>
    <n v="0"/>
    <n v="0"/>
    <n v="0"/>
    <n v="0"/>
  </r>
  <r>
    <x v="91"/>
    <x v="25"/>
    <x v="5"/>
    <m/>
    <m/>
    <n v="0"/>
    <m/>
    <m/>
    <n v="0"/>
    <m/>
    <m/>
    <n v="0"/>
    <s v=""/>
    <n v="0"/>
    <n v="0"/>
    <n v="0"/>
    <n v="116.88487613461319"/>
    <n v="2225"/>
    <n v="71535.307499999995"/>
    <n v="0"/>
    <n v="0"/>
    <n v="0"/>
    <n v="0"/>
    <n v="0"/>
    <n v="0"/>
  </r>
  <r>
    <x v="92"/>
    <x v="25"/>
    <x v="5"/>
    <m/>
    <m/>
    <n v="0"/>
    <m/>
    <m/>
    <n v="0"/>
    <m/>
    <m/>
    <n v="0"/>
    <s v=""/>
    <n v="0"/>
    <n v="0"/>
    <n v="0"/>
    <n v="116.88487613461319"/>
    <n v="2225"/>
    <n v="71535.307499999995"/>
    <n v="0"/>
    <n v="0"/>
    <n v="0"/>
    <n v="0"/>
    <n v="0"/>
    <n v="0"/>
  </r>
  <r>
    <x v="93"/>
    <x v="25"/>
    <x v="5"/>
    <m/>
    <m/>
    <n v="0"/>
    <m/>
    <m/>
    <n v="0"/>
    <m/>
    <m/>
    <n v="0"/>
    <s v=""/>
    <n v="0"/>
    <n v="0"/>
    <n v="0"/>
    <n v="116.88487613461319"/>
    <n v="2225"/>
    <n v="71535.307499999995"/>
    <n v="0"/>
    <n v="0"/>
    <n v="0"/>
    <n v="0"/>
    <n v="0"/>
    <n v="0"/>
  </r>
  <r>
    <x v="94"/>
    <x v="25"/>
    <x v="5"/>
    <m/>
    <m/>
    <n v="0"/>
    <m/>
    <m/>
    <n v="0"/>
    <m/>
    <m/>
    <n v="0"/>
    <s v=""/>
    <n v="0"/>
    <n v="0"/>
    <n v="0"/>
    <n v="116.88487613461319"/>
    <n v="2225"/>
    <n v="71535.307499999995"/>
    <n v="0"/>
    <n v="0"/>
    <n v="0"/>
    <n v="0"/>
    <n v="0"/>
    <n v="0"/>
  </r>
  <r>
    <x v="95"/>
    <x v="25"/>
    <x v="5"/>
    <m/>
    <m/>
    <n v="0"/>
    <m/>
    <m/>
    <n v="0"/>
    <m/>
    <m/>
    <n v="0"/>
    <s v=""/>
    <n v="0"/>
    <n v="0"/>
    <n v="0"/>
    <n v="116.88487613461319"/>
    <n v="2225"/>
    <n v="71535.307499999995"/>
    <n v="0"/>
    <n v="0"/>
    <n v="0"/>
    <n v="0"/>
    <n v="0"/>
    <n v="0"/>
  </r>
  <r>
    <x v="96"/>
    <x v="25"/>
    <x v="5"/>
    <m/>
    <m/>
    <n v="0"/>
    <m/>
    <m/>
    <n v="0"/>
    <m/>
    <m/>
    <n v="0"/>
    <s v=""/>
    <n v="0"/>
    <n v="0"/>
    <n v="0"/>
    <n v="116.88487613461319"/>
    <n v="2225"/>
    <n v="71535.307499999995"/>
    <n v="0"/>
    <n v="0"/>
    <n v="0"/>
    <n v="0"/>
    <n v="0"/>
    <n v="0"/>
  </r>
  <r>
    <x v="97"/>
    <x v="25"/>
    <x v="5"/>
    <m/>
    <m/>
    <n v="0"/>
    <m/>
    <m/>
    <n v="0"/>
    <m/>
    <m/>
    <n v="0"/>
    <s v=""/>
    <n v="0"/>
    <n v="0"/>
    <n v="0"/>
    <n v="116.88487613461319"/>
    <n v="2225"/>
    <n v="71535.307499999995"/>
    <n v="0"/>
    <n v="0"/>
    <n v="0"/>
    <n v="0"/>
    <n v="0"/>
    <n v="0"/>
  </r>
  <r>
    <x v="98"/>
    <x v="25"/>
    <x v="6"/>
    <m/>
    <m/>
    <n v="0"/>
    <m/>
    <m/>
    <n v="0"/>
    <m/>
    <m/>
    <n v="0"/>
    <s v=""/>
    <n v="0"/>
    <n v="0"/>
    <n v="0"/>
    <n v="116.88487613461319"/>
    <n v="2225"/>
    <n v="71535.307499999995"/>
    <n v="0"/>
    <n v="0"/>
    <n v="0"/>
    <n v="0"/>
    <n v="0"/>
    <n v="0"/>
  </r>
  <r>
    <x v="99"/>
    <x v="25"/>
    <x v="6"/>
    <m/>
    <m/>
    <n v="0"/>
    <m/>
    <m/>
    <n v="0"/>
    <m/>
    <m/>
    <n v="0"/>
    <s v=""/>
    <n v="0"/>
    <n v="0"/>
    <n v="0"/>
    <n v="116.88487613461319"/>
    <n v="2225"/>
    <n v="71535.307499999995"/>
    <n v="0"/>
    <n v="0"/>
    <n v="0"/>
    <n v="0"/>
    <n v="0"/>
    <n v="0"/>
  </r>
  <r>
    <x v="100"/>
    <x v="25"/>
    <x v="6"/>
    <m/>
    <m/>
    <n v="0"/>
    <m/>
    <m/>
    <n v="0"/>
    <m/>
    <m/>
    <n v="0"/>
    <s v=""/>
    <n v="0"/>
    <n v="0"/>
    <n v="0"/>
    <n v="116.88487613461319"/>
    <n v="2225"/>
    <n v="71535.307499999995"/>
    <n v="0"/>
    <n v="0"/>
    <n v="0"/>
    <n v="0"/>
    <n v="0"/>
    <n v="0"/>
  </r>
  <r>
    <x v="101"/>
    <x v="25"/>
    <x v="6"/>
    <m/>
    <m/>
    <n v="0"/>
    <m/>
    <m/>
    <n v="0"/>
    <m/>
    <m/>
    <n v="0"/>
    <s v=""/>
    <n v="0"/>
    <n v="0"/>
    <n v="0"/>
    <n v="116.88487613461319"/>
    <n v="2225"/>
    <n v="71535.307499999995"/>
    <n v="0"/>
    <n v="0"/>
    <n v="0"/>
    <n v="0"/>
    <n v="0"/>
    <n v="0"/>
  </r>
  <r>
    <x v="102"/>
    <x v="25"/>
    <x v="6"/>
    <m/>
    <m/>
    <n v="0"/>
    <m/>
    <m/>
    <n v="0"/>
    <m/>
    <m/>
    <n v="0"/>
    <s v=""/>
    <n v="0"/>
    <n v="0"/>
    <n v="0"/>
    <n v="116.88487613461319"/>
    <n v="2225"/>
    <n v="71535.307499999995"/>
    <n v="0"/>
    <n v="0"/>
    <n v="0"/>
    <n v="0"/>
    <n v="0"/>
    <n v="0"/>
  </r>
  <r>
    <x v="103"/>
    <x v="25"/>
    <x v="6"/>
    <m/>
    <m/>
    <n v="0"/>
    <m/>
    <m/>
    <n v="0"/>
    <m/>
    <m/>
    <n v="0"/>
    <s v=""/>
    <n v="0"/>
    <n v="0"/>
    <n v="0"/>
    <n v="116.88487613461319"/>
    <n v="2225"/>
    <n v="71535.307499999995"/>
    <n v="0"/>
    <n v="0"/>
    <n v="0"/>
    <n v="0"/>
    <n v="0"/>
    <n v="0"/>
  </r>
  <r>
    <x v="104"/>
    <x v="25"/>
    <x v="6"/>
    <m/>
    <m/>
    <n v="0"/>
    <m/>
    <m/>
    <n v="0"/>
    <m/>
    <m/>
    <n v="0"/>
    <s v=""/>
    <n v="0"/>
    <n v="0"/>
    <n v="0"/>
    <n v="116.88487613461319"/>
    <n v="2225"/>
    <n v="71535.307499999995"/>
    <n v="0"/>
    <n v="0"/>
    <n v="0"/>
    <n v="0"/>
    <n v="0"/>
    <n v="0"/>
  </r>
  <r>
    <x v="105"/>
    <x v="25"/>
    <x v="6"/>
    <m/>
    <m/>
    <n v="0"/>
    <m/>
    <m/>
    <n v="0"/>
    <m/>
    <m/>
    <n v="0"/>
    <s v=""/>
    <n v="0"/>
    <n v="0"/>
    <n v="0"/>
    <n v="116.88487613461319"/>
    <n v="2225"/>
    <n v="71535.307499999995"/>
    <n v="0"/>
    <n v="0"/>
    <n v="0"/>
    <n v="0"/>
    <n v="0"/>
    <n v="0"/>
  </r>
  <r>
    <x v="106"/>
    <x v="25"/>
    <x v="6"/>
    <m/>
    <m/>
    <n v="0"/>
    <m/>
    <m/>
    <n v="0"/>
    <m/>
    <m/>
    <n v="0"/>
    <s v=""/>
    <n v="0"/>
    <n v="0"/>
    <n v="0"/>
    <n v="116.88487613461319"/>
    <n v="2225"/>
    <n v="71535.307499999995"/>
    <n v="0"/>
    <n v="0"/>
    <n v="0"/>
    <n v="0"/>
    <n v="0"/>
    <n v="0"/>
  </r>
  <r>
    <x v="107"/>
    <x v="25"/>
    <x v="6"/>
    <m/>
    <m/>
    <n v="0"/>
    <m/>
    <m/>
    <n v="0"/>
    <m/>
    <m/>
    <n v="0"/>
    <s v=""/>
    <n v="0"/>
    <n v="0"/>
    <n v="0"/>
    <n v="116.88487613461319"/>
    <n v="2225"/>
    <n v="71535.307499999995"/>
    <n v="0"/>
    <n v="0"/>
    <n v="0"/>
    <n v="0"/>
    <n v="0"/>
    <n v="0"/>
  </r>
  <r>
    <x v="108"/>
    <x v="25"/>
    <x v="6"/>
    <m/>
    <m/>
    <n v="0"/>
    <m/>
    <m/>
    <n v="0"/>
    <m/>
    <m/>
    <n v="0"/>
    <s v=""/>
    <n v="0"/>
    <n v="0"/>
    <n v="0"/>
    <n v="116.88487613461319"/>
    <n v="2225"/>
    <n v="71535.307499999995"/>
    <n v="0"/>
    <n v="0"/>
    <n v="0"/>
    <n v="0"/>
    <n v="0"/>
    <n v="0"/>
  </r>
  <r>
    <x v="109"/>
    <x v="25"/>
    <x v="6"/>
    <m/>
    <m/>
    <n v="0"/>
    <m/>
    <m/>
    <n v="0"/>
    <m/>
    <m/>
    <n v="0"/>
    <s v=""/>
    <n v="0"/>
    <n v="0"/>
    <n v="0"/>
    <n v="116.88487613461319"/>
    <n v="2225"/>
    <n v="71535.307499999995"/>
    <n v="0"/>
    <n v="0"/>
    <n v="0"/>
    <n v="0"/>
    <n v="0"/>
    <n v="0"/>
  </r>
  <r>
    <x v="110"/>
    <x v="25"/>
    <x v="7"/>
    <m/>
    <m/>
    <n v="0"/>
    <m/>
    <m/>
    <n v="0"/>
    <m/>
    <m/>
    <n v="0"/>
    <s v=""/>
    <n v="0"/>
    <n v="0"/>
    <n v="0"/>
    <n v="116.88487613461319"/>
    <n v="2225"/>
    <n v="71535.307499999995"/>
    <n v="0"/>
    <n v="0"/>
    <n v="0"/>
    <n v="0"/>
    <n v="0"/>
    <n v="0"/>
  </r>
  <r>
    <x v="111"/>
    <x v="25"/>
    <x v="7"/>
    <m/>
    <m/>
    <n v="0"/>
    <m/>
    <m/>
    <n v="0"/>
    <m/>
    <m/>
    <n v="0"/>
    <s v=""/>
    <n v="0"/>
    <n v="0"/>
    <n v="0"/>
    <n v="116.88487613461319"/>
    <n v="2225"/>
    <n v="71535.307499999995"/>
    <n v="0"/>
    <n v="0"/>
    <n v="0"/>
    <n v="0"/>
    <n v="0"/>
    <n v="0"/>
  </r>
  <r>
    <x v="112"/>
    <x v="25"/>
    <x v="7"/>
    <m/>
    <m/>
    <n v="0"/>
    <m/>
    <m/>
    <n v="0"/>
    <m/>
    <m/>
    <n v="0"/>
    <s v=""/>
    <n v="0"/>
    <n v="0"/>
    <n v="0"/>
    <n v="116.88487613461319"/>
    <n v="2225"/>
    <n v="71535.307499999995"/>
    <n v="0"/>
    <n v="0"/>
    <n v="0"/>
    <n v="0"/>
    <n v="0"/>
    <n v="0"/>
  </r>
  <r>
    <x v="113"/>
    <x v="25"/>
    <x v="7"/>
    <m/>
    <m/>
    <n v="0"/>
    <m/>
    <m/>
    <n v="0"/>
    <m/>
    <m/>
    <n v="0"/>
    <s v=""/>
    <n v="0"/>
    <n v="0"/>
    <n v="0"/>
    <n v="116.88487613461319"/>
    <n v="2225"/>
    <n v="71535.307499999995"/>
    <n v="0"/>
    <n v="0"/>
    <n v="0"/>
    <n v="0"/>
    <n v="0"/>
    <n v="0"/>
  </r>
  <r>
    <x v="114"/>
    <x v="25"/>
    <x v="7"/>
    <m/>
    <m/>
    <n v="0"/>
    <m/>
    <m/>
    <n v="0"/>
    <m/>
    <m/>
    <n v="0"/>
    <s v=""/>
    <n v="0"/>
    <n v="0"/>
    <n v="0"/>
    <n v="116.88487613461319"/>
    <n v="2225"/>
    <n v="71535.307499999995"/>
    <n v="0"/>
    <n v="0"/>
    <n v="0"/>
    <n v="0"/>
    <n v="0"/>
    <n v="0"/>
  </r>
  <r>
    <x v="115"/>
    <x v="25"/>
    <x v="7"/>
    <m/>
    <m/>
    <n v="0"/>
    <m/>
    <m/>
    <n v="0"/>
    <m/>
    <m/>
    <n v="0"/>
    <s v=""/>
    <n v="0"/>
    <n v="0"/>
    <n v="0"/>
    <n v="116.88487613461319"/>
    <n v="2225"/>
    <n v="71535.307499999995"/>
    <n v="0"/>
    <n v="0"/>
    <n v="0"/>
    <n v="0"/>
    <n v="0"/>
    <n v="0"/>
  </r>
  <r>
    <x v="116"/>
    <x v="25"/>
    <x v="7"/>
    <m/>
    <m/>
    <n v="0"/>
    <m/>
    <m/>
    <n v="0"/>
    <m/>
    <m/>
    <n v="0"/>
    <s v=""/>
    <n v="0"/>
    <n v="0"/>
    <n v="0"/>
    <n v="116.88487613461319"/>
    <n v="2225"/>
    <n v="71535.307499999995"/>
    <n v="0"/>
    <n v="0"/>
    <n v="0"/>
    <n v="0"/>
    <n v="0"/>
    <n v="0"/>
  </r>
  <r>
    <x v="117"/>
    <x v="25"/>
    <x v="7"/>
    <m/>
    <m/>
    <n v="0"/>
    <m/>
    <m/>
    <n v="0"/>
    <m/>
    <m/>
    <n v="0"/>
    <s v=""/>
    <n v="0"/>
    <n v="0"/>
    <n v="0"/>
    <n v="116.88487613461319"/>
    <n v="2225"/>
    <n v="71535.307499999995"/>
    <n v="0"/>
    <n v="0"/>
    <n v="0"/>
    <n v="0"/>
    <n v="0"/>
    <n v="0"/>
  </r>
  <r>
    <x v="118"/>
    <x v="25"/>
    <x v="7"/>
    <m/>
    <m/>
    <n v="0"/>
    <m/>
    <m/>
    <n v="0"/>
    <m/>
    <m/>
    <n v="0"/>
    <s v=""/>
    <n v="0"/>
    <n v="0"/>
    <n v="0"/>
    <n v="116.88487613461319"/>
    <n v="2225"/>
    <n v="71535.307499999995"/>
    <n v="0"/>
    <n v="0"/>
    <n v="0"/>
    <n v="0"/>
    <n v="0"/>
    <n v="0"/>
  </r>
  <r>
    <x v="119"/>
    <x v="25"/>
    <x v="7"/>
    <m/>
    <m/>
    <n v="0"/>
    <m/>
    <m/>
    <n v="0"/>
    <m/>
    <m/>
    <n v="0"/>
    <s v=""/>
    <n v="0"/>
    <n v="0"/>
    <n v="0"/>
    <n v="116.88487613461319"/>
    <n v="2225"/>
    <n v="71535.307499999995"/>
    <n v="0"/>
    <n v="0"/>
    <n v="0"/>
    <n v="0"/>
    <n v="0"/>
    <n v="0"/>
  </r>
  <r>
    <x v="120"/>
    <x v="25"/>
    <x v="7"/>
    <m/>
    <m/>
    <n v="0"/>
    <m/>
    <m/>
    <n v="0"/>
    <m/>
    <m/>
    <n v="0"/>
    <s v=""/>
    <n v="0"/>
    <n v="0"/>
    <n v="0"/>
    <n v="116.88487613461319"/>
    <n v="2225"/>
    <n v="71535.307499999995"/>
    <n v="0"/>
    <n v="0"/>
    <n v="0"/>
    <n v="0"/>
    <n v="0"/>
    <n v="0"/>
  </r>
  <r>
    <x v="121"/>
    <x v="25"/>
    <x v="7"/>
    <m/>
    <m/>
    <n v="0"/>
    <m/>
    <m/>
    <n v="0"/>
    <m/>
    <m/>
    <n v="0"/>
    <s v=""/>
    <n v="0"/>
    <n v="0"/>
    <n v="0"/>
    <n v="116.88487613461319"/>
    <n v="2225"/>
    <n v="71535.307499999995"/>
    <n v="0"/>
    <n v="0"/>
    <n v="0"/>
    <n v="0"/>
    <n v="0"/>
    <n v="0"/>
  </r>
  <r>
    <x v="122"/>
    <x v="25"/>
    <x v="7"/>
    <m/>
    <m/>
    <n v="0"/>
    <m/>
    <m/>
    <n v="0"/>
    <m/>
    <m/>
    <n v="0"/>
    <s v=""/>
    <n v="0"/>
    <n v="0"/>
    <n v="0"/>
    <n v="116.88487613461319"/>
    <n v="2225"/>
    <n v="71535.307499999995"/>
    <n v="0"/>
    <n v="0"/>
    <n v="0"/>
    <n v="0"/>
    <n v="0"/>
    <n v="0"/>
  </r>
  <r>
    <x v="123"/>
    <x v="25"/>
    <x v="7"/>
    <m/>
    <m/>
    <n v="0"/>
    <m/>
    <m/>
    <n v="0"/>
    <m/>
    <m/>
    <n v="0"/>
    <s v=""/>
    <n v="0"/>
    <n v="0"/>
    <n v="0"/>
    <n v="116.88487613461319"/>
    <n v="2225"/>
    <n v="71535.307499999995"/>
    <n v="0"/>
    <n v="0"/>
    <n v="0"/>
    <n v="0"/>
    <n v="0"/>
    <n v="0"/>
  </r>
  <r>
    <x v="124"/>
    <x v="25"/>
    <x v="7"/>
    <m/>
    <m/>
    <n v="0"/>
    <m/>
    <m/>
    <n v="0"/>
    <m/>
    <m/>
    <n v="0"/>
    <s v=""/>
    <n v="0"/>
    <n v="0"/>
    <n v="0"/>
    <n v="116.88487613461319"/>
    <n v="2225"/>
    <n v="71535.307499999995"/>
    <n v="0"/>
    <n v="0"/>
    <n v="0"/>
    <n v="0"/>
    <n v="0"/>
    <n v="0"/>
  </r>
  <r>
    <x v="125"/>
    <x v="25"/>
    <x v="7"/>
    <m/>
    <m/>
    <n v="0"/>
    <m/>
    <m/>
    <n v="0"/>
    <m/>
    <m/>
    <n v="0"/>
    <s v=""/>
    <n v="0"/>
    <n v="0"/>
    <n v="0"/>
    <n v="116.88487613461319"/>
    <n v="2225"/>
    <n v="71535.307499999995"/>
    <n v="0"/>
    <n v="0"/>
    <n v="0"/>
    <n v="0"/>
    <n v="0"/>
    <n v="0"/>
  </r>
  <r>
    <x v="126"/>
    <x v="25"/>
    <x v="7"/>
    <m/>
    <m/>
    <n v="0"/>
    <m/>
    <m/>
    <n v="0"/>
    <m/>
    <m/>
    <n v="0"/>
    <s v=""/>
    <n v="0"/>
    <n v="0"/>
    <n v="0"/>
    <n v="116.88487613461319"/>
    <n v="2225"/>
    <n v="71535.307499999995"/>
    <n v="0"/>
    <n v="0"/>
    <n v="0"/>
    <n v="0"/>
    <n v="0"/>
    <n v="0"/>
  </r>
  <r>
    <x v="127"/>
    <x v="25"/>
    <x v="7"/>
    <m/>
    <m/>
    <n v="0"/>
    <m/>
    <m/>
    <n v="0"/>
    <m/>
    <m/>
    <n v="0"/>
    <s v=""/>
    <n v="0"/>
    <n v="0"/>
    <n v="0"/>
    <n v="116.88487613461319"/>
    <n v="2225"/>
    <n v="71535.307499999995"/>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781CA0-E766-463F-B79C-C2E35523267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11" firstHeaderRow="0" firstDataRow="1" firstDataCol="1"/>
  <pivotFields count="28">
    <pivotField axis="axisRow" showAll="0">
      <items count="134">
        <item m="1" x="128"/>
        <item m="1" x="129"/>
        <item m="1" x="130"/>
        <item m="1" x="131"/>
        <item x="4"/>
        <item x="5"/>
        <item x="6"/>
        <item x="7"/>
        <item x="8"/>
        <item x="9"/>
        <item x="10"/>
        <item x="11"/>
        <item x="12"/>
        <item x="13"/>
        <item x="14"/>
        <item x="15"/>
        <item x="16"/>
        <item x="21"/>
        <item x="22"/>
        <item x="23"/>
        <item x="24"/>
        <item x="25"/>
        <item x="26"/>
        <item x="27"/>
        <item x="28"/>
        <item x="29"/>
        <item x="30"/>
        <item x="31"/>
        <item x="32"/>
        <item x="33"/>
        <item x="34"/>
        <item x="35"/>
        <item x="36"/>
        <item x="37"/>
        <item x="38"/>
        <item x="39"/>
        <item x="40"/>
        <item x="41"/>
        <item x="42"/>
        <item x="43"/>
        <item x="44"/>
        <item x="45"/>
        <item x="49"/>
        <item x="18"/>
        <item x="19"/>
        <item x="20"/>
        <item x="17"/>
        <item x="50"/>
        <item x="51"/>
        <item x="61"/>
        <item x="62"/>
        <item x="63"/>
        <item x="64"/>
        <item x="65"/>
        <item x="66"/>
        <item x="67"/>
        <item x="68"/>
        <item x="69"/>
        <item x="52"/>
        <item x="53"/>
        <item x="54"/>
        <item x="55"/>
        <item x="56"/>
        <item x="57"/>
        <item x="58"/>
        <item x="59"/>
        <item x="60"/>
        <item x="87"/>
        <item x="88"/>
        <item x="93"/>
        <item x="94"/>
        <item x="95"/>
        <item x="96"/>
        <item x="89"/>
        <item x="97"/>
        <item x="90"/>
        <item x="91"/>
        <item x="92"/>
        <item x="70"/>
        <item x="71"/>
        <item x="79"/>
        <item x="80"/>
        <item x="81"/>
        <item m="1" x="132"/>
        <item x="83"/>
        <item x="84"/>
        <item x="73"/>
        <item x="85"/>
        <item x="86"/>
        <item x="75"/>
        <item x="76"/>
        <item x="77"/>
        <item x="78"/>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0"/>
        <item x="1"/>
        <item x="2"/>
        <item x="3"/>
        <item x="46"/>
        <item x="47"/>
        <item x="48"/>
        <item x="72"/>
        <item x="74"/>
        <item x="82"/>
        <item t="default"/>
      </items>
    </pivotField>
    <pivotField numFmtId="17"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sd="0"/>
      </items>
    </pivotField>
    <pivotField axis="axisRow" showAll="0">
      <items count="9">
        <item sd="0" x="0"/>
        <item sd="0" x="1"/>
        <item sd="0" x="2"/>
        <item sd="0" x="3"/>
        <item sd="0" x="4"/>
        <item sd="0" x="5"/>
        <item sd="0" x="6"/>
        <item sd="0" x="7"/>
        <item t="default" sd="0"/>
      </items>
    </pivotField>
    <pivotField dataField="1" showAll="0"/>
    <pivotField showAll="0"/>
    <pivotField dataField="1" showAll="0"/>
    <pivotField dataField="1" showAll="0"/>
    <pivotField showAll="0"/>
    <pivotField dataField="1" numFmtId="170" showAll="0"/>
    <pivotField dataField="1" showAll="0"/>
    <pivotField showAll="0"/>
    <pivotField dataField="1" numFmtId="170" showAll="0"/>
    <pivotField showAll="0"/>
    <pivotField numFmtId="1" showAll="0"/>
    <pivotField numFmtId="170" showAll="0"/>
    <pivotField numFmtId="166" showAll="0"/>
    <pivotField numFmtId="43" showAll="0"/>
    <pivotField showAll="0"/>
    <pivotField numFmtId="1" showAll="0"/>
    <pivotField numFmtId="1" showAll="0"/>
    <pivotField numFmtId="166" showAll="0"/>
    <pivotField numFmtId="166" showAll="0"/>
    <pivotField numFmtId="166" showAll="0"/>
    <pivotField numFmtId="166" showAll="0"/>
    <pivotField numFmtId="166" showAll="0"/>
    <pivotField axis="axisRow" showAll="0">
      <items count="15">
        <item sd="0" x="0"/>
        <item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items>
    </pivotField>
    <pivotField axis="axisRow" showAll="0">
      <items count="6">
        <item sd="0" x="0"/>
        <item sd="0" x="1"/>
        <item x="2"/>
        <item sd="0" x="3"/>
        <item sd="0" x="4"/>
        <item t="default"/>
      </items>
    </pivotField>
  </pivotFields>
  <rowFields count="5">
    <field x="27"/>
    <field x="26"/>
    <field x="25"/>
    <field x="2"/>
    <field x="0"/>
  </rowFields>
  <rowItems count="8">
    <i>
      <x v="1"/>
    </i>
    <i>
      <x v="2"/>
    </i>
    <i r="1">
      <x v="1"/>
    </i>
    <i r="1">
      <x v="2"/>
    </i>
    <i r="1">
      <x v="3"/>
    </i>
    <i r="1">
      <x v="4"/>
    </i>
    <i>
      <x v="3"/>
    </i>
    <i t="grand">
      <x/>
    </i>
  </rowItems>
  <colFields count="1">
    <field x="-2"/>
  </colFields>
  <colItems count="6">
    <i>
      <x/>
    </i>
    <i i="1">
      <x v="1"/>
    </i>
    <i i="2">
      <x v="2"/>
    </i>
    <i i="3">
      <x v="3"/>
    </i>
    <i i="4">
      <x v="4"/>
    </i>
    <i i="5">
      <x v="5"/>
    </i>
  </colItems>
  <dataFields count="6">
    <dataField name="Sum of Long-Term Plan Tonnage (t)" fld="3" baseField="0" baseItem="0"/>
    <dataField name="Sum of Short-Term Plan Tonnage (t)" fld="6" baseField="0" baseItem="0"/>
    <dataField name="Sum of Actual Tonnage (t)" fld="9" baseField="0" baseItem="0"/>
    <dataField name="Sum of Long-Term Plan Gold (kg)" fld="5" baseField="0" baseItem="0"/>
    <dataField name="Sum of Short-Term Plan Gold (kg)" fld="8" baseField="0" baseItem="0" numFmtId="170"/>
    <dataField name="Sum of Actual Gold (kg)" fld="11" baseField="0" baseItem="0"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M13" dT="2025-07-07T13:42:58.39" personId="{D8CF5E2C-0417-4468-9418-F09794DDBB76}" id="{FE19808D-1423-463C-B7FF-DD8CB95DEDB8}">
    <text>Grades inferred, Sunday off duty.</text>
  </threadedComment>
  <threadedComment ref="T13" dT="2025-07-14T05:43:11.37" personId="{D8CF5E2C-0417-4468-9418-F09794DDBB76}" id="{836C18C5-38DD-4BA1-8C0E-7D144C18719F}">
    <text>Grades inferred, Sunday off duty.</text>
  </threadedComment>
  <threadedComment ref="M19" dT="2025-07-07T07:53:32.33" personId="{8FAC794C-7F68-471A-875D-528AAC11E696}" id="{3BC9DF82-229E-45F2-9F12-7969562A8FF9}">
    <text xml:space="preserve">Cone drive slypping to limits </text>
  </threadedComment>
  <threadedComment ref="P19" dT="2025-07-10T07:39:42.00" personId="{8FAC794C-7F68-471A-875D-528AAC11E696}" id="{B081FACC-31AB-4C13-9384-06B3414DD4A7}">
    <text xml:space="preserve">hanging wall collapses, stope temporarily suspended </text>
  </threadedComment>
  <threadedComment ref="T19" dT="2025-07-14T13:50:06.68" personId="{8FAC794C-7F68-471A-875D-528AAC11E696}" id="{D40F6EFB-35ED-46F9-BF7A-A191643C69D6}">
    <text xml:space="preserve">hanging wall collapses, stope temporarily suspended </text>
  </threadedComment>
  <threadedComment ref="U19" dT="2025-07-14T13:50:06.68" personId="{8FAC794C-7F68-471A-875D-528AAC11E696}" id="{4B3DBB5C-7DE3-4F7C-B55A-EF3CFBC64CF9}">
    <text xml:space="preserve">hanging wall collapses, stope temporarily suspended </text>
  </threadedComment>
  <threadedComment ref="M22" dT="2025-07-07T13:48:14.28" personId="{D8CF5E2C-0417-4468-9418-F09794DDBB76}" id="{BC2318ED-6224-4E9E-A784-98060ED012FE}">
    <text>Stopped slyping and started corning.</text>
  </threadedComment>
  <threadedComment ref="N22" dT="2025-07-09T12:50:38.94" personId="{CD0FC582-7D54-4286-B54C-191C08ABD6D1}" id="{3A54C6F6-1355-4BEC-AF13-568A4D3342EB}">
    <text>Stopped slyping to start benching</text>
  </threadedComment>
  <threadedComment ref="H29" dT="2025-07-02T13:26:14.67" personId="{CF8A13F1-C2D3-49AF-A38F-84B96D1BF65C}" id="{421FEDE8-4E32-494E-986A-BE5688E9B590}">
    <text>Northen parallel not well mineralised, machine to move to the southern parallel.</text>
  </threadedComment>
  <threadedComment ref="U29" dT="2025-07-15T13:08:22.04" personId="{CF8A13F1-C2D3-49AF-A38F-84B96D1BF65C}" id="{9F6F3D07-CE46-46DE-BF86-27F20F598A57}">
    <text>Bench visually looking silicified, continuous monitoring on slyping.</text>
  </threadedComment>
  <threadedComment ref="V29" dT="2025-07-16T12:56:35.20" personId="{CF8A13F1-C2D3-49AF-A38F-84B96D1BF65C}" id="{AE954BA6-8146-41DA-8966-E17C4219C4CA}">
    <text>slypped to payable limit, machines to bench only</text>
  </threadedComment>
  <threadedComment ref="W29" dT="2025-07-17T05:20:06.59" personId="{CF8A13F1-C2D3-49AF-A38F-84B96D1BF65C}" id="{727CA632-A7A3-4F26-9532-7A49D49A3A71}">
    <text>reef pinching, slypped to reef limits, benching poorly mineralised zone</text>
  </threadedComment>
  <threadedComment ref="H36" dT="2025-07-02T13:20:34.88" personId="{CF8A13F1-C2D3-49AF-A38F-84B96D1BF65C}" id="{E38DA8BB-92FA-4ED5-9F09-C5899C200887}">
    <text>Eastern side which is well mineralised was not lashed, benching on western side where reef narrows and grades become lower. Machine to focus on eastern side only</text>
  </threadedComment>
  <threadedComment ref="I36" dT="2025-07-03T12:09:12.70" personId="{CF8A13F1-C2D3-49AF-A38F-84B96D1BF65C}" id="{0026F80C-77F7-4B7E-938E-702326A205E9}">
    <text>Eastern side not lashed, reef narrows going west.</text>
  </threadedComment>
  <threadedComment ref="J36" dT="2025-07-04T14:04:42.39" personId="{CF8A13F1-C2D3-49AF-A38F-84B96D1BF65C}" id="{EDB5EABC-9F77-4254-B2AA-343E5E03F9D0}">
    <text>Eastern side not lashed, benching on the western side where reef is narrow</text>
  </threadedComment>
  <threadedComment ref="M36" dT="2025-07-07T13:49:18.78" personId="{D8CF5E2C-0417-4468-9418-F09794DDBB76}" id="{F09F85B3-67BF-48DB-91F9-9111E439210B}">
    <text xml:space="preserve">Stopped western side </text>
  </threadedComment>
  <threadedComment ref="V36" dT="2025-07-16T12:58:25.37" personId="{CF8A13F1-C2D3-49AF-A38F-84B96D1BF65C}" id="{00ACA20C-6D44-4A7C-AF89-5A448BB25E0F}">
    <text>not sampled, bench was charged.</text>
  </threadedComment>
  <threadedComment ref="O40" dT="2025-07-09T11:11:17.19" personId="{8FAC794C-7F68-471A-875D-528AAC11E696}" id="{42DA6D09-B330-44F6-BFCF-D175406AC665}">
    <text xml:space="preserve">Bench holed, drilling of slyypings to start a new bench. </text>
  </threadedComment>
  <threadedComment ref="T40" dT="2025-07-14T13:51:45.05" personId="{8FAC794C-7F68-471A-875D-528AAC11E696}" id="{27215744-A370-4CEF-B0EF-208392DD5C52}">
    <text xml:space="preserve">Limited bench area due to reef pinching </text>
  </threadedComment>
  <threadedComment ref="U40" dT="2025-07-14T13:51:45.05" personId="{8FAC794C-7F68-471A-875D-528AAC11E696}" id="{C9E3BC14-3D5B-4C37-913C-E3B656733A27}">
    <text xml:space="preserve">Limited bench area due to reef pinching </text>
  </threadedComment>
  <threadedComment ref="V40" dT="2025-07-16T04:50:55.49" personId="{8FAC794C-7F68-471A-875D-528AAC11E696}" id="{2E26BB48-92F1-4080-A133-3CD4262AD96D}">
    <text xml:space="preserve">Limited bench area due to reef pinching, bench holed </text>
  </threadedComment>
  <threadedComment ref="H43" dT="2025-07-02T13:14:35.41" personId="{CF8A13F1-C2D3-49AF-A38F-84B96D1BF65C}" id="{CFB67527-C4F4-48AC-BE39-40C051FF3722}">
    <text>Reef narrowing, one machine driving to expose continuity going west. Grade to improve.</text>
  </threadedComment>
  <threadedComment ref="W43" dT="2025-07-17T05:16:55.85" personId="{CF8A13F1-C2D3-49AF-A38F-84B96D1BF65C}" id="{E19F7C0D-F644-47BA-9AEC-54225F3E3E34}">
    <text>not sampled, bench holed</text>
  </threadedComment>
  <threadedComment ref="M47" dT="2025-07-07T07:56:41.32" personId="{8FAC794C-7F68-471A-875D-528AAC11E696}" id="{14F0BBE7-449F-48C3-8C74-90FBBB82F65D}">
    <text xml:space="preserve">Drilling of boulders in the cone drive </text>
  </threadedComment>
  <threadedComment ref="N47" dT="2025-07-08T14:00:31.25" personId="{8FAC794C-7F68-471A-875D-528AAC11E696}" id="{4F6744C2-E49B-4C28-9082-F438521F4335}">
    <text xml:space="preserve">Drilling of boulders in the cone drive, </text>
  </threadedComment>
  <threadedComment ref="T47" dT="2025-07-14T13:51:12.63" personId="{8FAC794C-7F68-471A-875D-528AAC11E696}" id="{F93B2188-7D0B-4476-8FC8-C326812E91A9}">
    <text xml:space="preserve">Slypping to start new bench </text>
  </threadedComment>
  <threadedComment ref="U47" dT="2025-07-14T13:51:12.63" personId="{8FAC794C-7F68-471A-875D-528AAC11E696}" id="{B7BE0704-4D6B-45EA-A7C5-27F1D0B8BF1A}">
    <text xml:space="preserve">Slypping to start new bench </text>
  </threadedComment>
  <threadedComment ref="V47" dT="2025-07-16T04:53:23.88" personId="{8FAC794C-7F68-471A-875D-528AAC11E696}" id="{5C091028-AB05-47B4-AD1C-A5684E3003C2}">
    <text xml:space="preserve">Slypping to start a new bench </text>
  </threadedComment>
  <threadedComment ref="H50" dT="2025-07-02T13:12:26.89" personId="{CF8A13F1-C2D3-49AF-A38F-84B96D1BF65C}" id="{43EDAA8E-43F0-4636-B266-B96C73384E08}">
    <text>Current elevation not well mineralised, grade to improve with dip.</text>
  </threadedComment>
  <threadedComment ref="J50" dT="2025-07-04T14:06:22.44" personId="{CF8A13F1-C2D3-49AF-A38F-84B96D1BF65C}" id="{076760F3-35DE-4F08-B2F1-A50E9F48598B}">
    <text>Bench not clearly lashed, slypping eastern side to expose reef.</text>
  </threadedComment>
  <threadedComment ref="L50" dT="2025-07-07T13:51:48.13" personId="{D8CF5E2C-0417-4468-9418-F09794DDBB76}" id="{63582D0B-32FC-4B32-AEA0-D5714D6B70E7}">
    <text>Slyping the waste in the southern potion to get in to reef.</text>
  </threadedComment>
  <threadedComment ref="O50" dT="2025-07-10T13:50:10.24" personId="{CF8A13F1-C2D3-49AF-A38F-84B96D1BF65C}" id="{42EAF2DC-0E4B-4B6D-A8EE-E62621CF02F9}">
    <text>Slyping southwards through a poorly mineralised zone to a good payzone.</text>
  </threadedComment>
  <threadedComment ref="Q50" dT="2025-07-11T13:12:38.18" personId="{7DD73DA1-C958-4869-A33F-18556C908969}" id="{9D4C1B4B-99B2-4DFD-8658-6F2F25F136BB}">
    <text>Slyping Southwards has reached pay limit, to start benching</text>
  </threadedComment>
  <threadedComment ref="U50" dT="2025-07-15T13:06:52.52" personId="{CF8A13F1-C2D3-49AF-A38F-84B96D1BF65C}" id="{24072BC1-6066-4A5E-8123-D6A3949261DC}">
    <text>Slyping southern side through a weakly mineralised zone to expose southern parallel.</text>
  </threadedComment>
  <threadedComment ref="V50" dT="2025-07-16T13:00:09.48" personId="{CF8A13F1-C2D3-49AF-A38F-84B96D1BF65C}" id="{0C132069-6634-4202-B21C-3BCA495AC313}">
    <text>slypping stopped due to poor grades, moving machine to catwalk.</text>
  </threadedComment>
  <threadedComment ref="H68" dT="2025-07-02T05:08:21.59" personId="{8FAC794C-7F68-471A-875D-528AAC11E696}" id="{A97F7A94-B4AA-4992-8B89-8B9D36937A86}">
    <text>Box construction on going breaking to resume 04/07/25</text>
  </threadedComment>
  <threadedComment ref="I68" dT="2025-07-02T05:08:21.59" personId="{8FAC794C-7F68-471A-875D-528AAC11E696}" id="{A2288595-6041-482B-B91D-083629C7D0FA}">
    <text>Box construction on going breaking to resume 04/07/25</text>
  </threadedComment>
  <threadedComment ref="J68" dT="2025-07-02T05:08:21.59" personId="{8FAC794C-7F68-471A-875D-528AAC11E696}" id="{68FC05EC-A8A9-4F1B-9BC2-57F879D5B148}">
    <text>Box construction on going breaking to resume 04/07/25</text>
  </threadedComment>
  <threadedComment ref="M68" dT="2025-07-07T07:59:14.59" personId="{8FAC794C-7F68-471A-875D-528AAC11E696}" id="{EF6E5A35-69AF-4E41-86BC-80F7CEC7BC4E}">
    <text xml:space="preserve">Drilling of cone drive slyppings </text>
  </threadedComment>
  <threadedComment ref="T68" dT="2025-07-14T13:52:42.90" personId="{8FAC794C-7F68-471A-875D-528AAC11E696}" id="{2D231478-D7A5-4026-AE50-BAE21F2CD7C2}">
    <text xml:space="preserve">Handliing of accumullation,development and production material. </text>
  </threadedComment>
  <threadedComment ref="V68" dT="2025-07-16T04:54:16.80" personId="{8FAC794C-7F68-471A-875D-528AAC11E696}" id="{EA14FB95-0035-4135-A1FC-927BA1BD1158}">
    <text>Drilling at the cone drive limited bench area</text>
  </threadedComment>
  <threadedComment ref="J71" dT="2025-07-04T14:12:02.49" personId="{CF8A13F1-C2D3-49AF-A38F-84B96D1BF65C}" id="{6D103191-160D-49DE-BD15-9B1B62F40AF7}">
    <text>conning for stope preparation</text>
  </threadedComment>
  <threadedComment ref="L71" dT="2025-07-07T13:46:36.91" personId="{CF8A13F1-C2D3-49AF-A38F-84B96D1BF65C}" id="{D19C920B-4FE3-48A4-A440-C13A791E7DCB}">
    <text>not sampled, sampling crew cutting benches on 4L</text>
  </threadedComment>
  <threadedComment ref="Q71" dT="2025-07-11T13:32:18.07" personId="{7DD73DA1-C958-4869-A33F-18556C908969}" id="{5CEA243A-1A30-419E-B479-09E77DC1C945}">
    <text>not sampled, sampling crew cutting benches on 4L</text>
  </threadedComment>
  <threadedComment ref="V71" dT="2025-07-16T13:57:21.62" personId="{D8CF5E2C-0417-4468-9418-F09794DDBB76}" id="{9E8943F5-38CD-498E-8E13-C9A1E58E05E8}">
    <text>Not sampled due to gases in cone drive</text>
  </threadedComment>
  <threadedComment ref="O75" dT="2025-07-09T11:16:34.33" personId="{8FAC794C-7F68-471A-875D-528AAC11E696}" id="{D439A6E0-AC95-48D7-8FBB-087ADC8DA259}">
    <text xml:space="preserve">Slypping in the shrinkage to accomodate scrapper winch installation, ore reporting in 5W8box </text>
  </threadedComment>
  <threadedComment ref="T75" dT="2025-07-14T11:02:00.51" personId="{8FAC794C-7F68-471A-875D-528AAC11E696}" id="{40429274-A211-44C9-955F-B22BC7757561}">
    <text>Slypping in the shrinkage 5W8</text>
  </threadedComment>
  <threadedComment ref="U75" dT="2025-07-14T15:55:35.65" personId="{8FAC794C-7F68-471A-875D-528AAC11E696}" id="{65DE59F8-D5E1-4F94-9008-BC522A62921A}">
    <text>Slypping in the shrinkage 5W8</text>
  </threadedComment>
  <threadedComment ref="V75" dT="2025-07-16T04:55:21.68" personId="{8FAC794C-7F68-471A-875D-528AAC11E696}" id="{F7732F59-4F9D-4DE9-8B18-FC163EAA7153}">
    <text xml:space="preserve">Slypping at the shrinkage Cone drve </text>
  </threadedComment>
  <threadedComment ref="H78" dT="2025-07-02T12:45:37.28" personId="{CF8A13F1-C2D3-49AF-A38F-84B96D1BF65C}" id="{B523D1F6-1DAB-440F-8639-E16FCC30C162}">
    <text>not sampled, slypping to move out of the chlorite schist. The stope below (5W8 shrink) has a wider reef width.</text>
  </threadedComment>
  <threadedComment ref="I78" dT="2025-07-03T12:22:28.79" personId="{CF8A13F1-C2D3-49AF-A38F-84B96D1BF65C}" id="{4192B8D4-265E-4013-90EF-5E2E82761EBC}">
    <text>not sampled, slypping northen side to pass through schist layer</text>
  </threadedComment>
  <threadedComment ref="Q78" dT="2025-07-11T13:28:20.19" personId="{7DD73DA1-C958-4869-A33F-18556C908969}" id="{87FC11C7-1BD0-429F-B881-15C8BB64204B}">
    <text>Poorly mineralized patch, to continue monitoring</text>
  </threadedComment>
  <threadedComment ref="H83" dT="2025-07-02T13:45:28.57" personId="{994C6E65-2BBF-4319-A746-A5B6CF7B6790}" id="{0EC4459C-5CFD-4351-8892-13B84C72BEFB}">
    <text>reef narrowing</text>
  </threadedComment>
  <threadedComment ref="M83" dT="2025-07-07T03:17:16.56" personId="{8D4427CA-0287-44F8-9CE0-4FBAF6550C26}" id="{621EB492-20C0-4B2C-BA8E-7C4348E5C7DA}">
    <text>Bench holed, machine moved to W1</text>
  </threadedComment>
  <threadedComment ref="I85" dT="2025-07-03T13:27:41.27" personId="{CF8A13F1-C2D3-49AF-A38F-84B96D1BF65C}" id="{388DC3E6-9C02-4C0F-AD66-81AFB0A9B135}">
    <text>bench holed, visually looks mineralised, grade to improve with new cut.</text>
  </threadedComment>
  <threadedComment ref="J85" dT="2025-07-04T14:46:39.50" personId="{3AC10C52-AAC1-4420-83E7-15412D0CA4BB}" id="{150FC431-9226-4D54-B64C-726625087F72}">
    <text xml:space="preserve">Exposing the reef to start on a paying </text>
  </threadedComment>
  <threadedComment ref="T90" dT="2025-07-14T13:54:04.22" personId="{994C6E65-2BBF-4319-A746-A5B6CF7B6790}" id="{BDC84132-2370-4BE2-87DE-9678BE93C853}">
    <text>bench holed</text>
  </threadedComment>
  <threadedComment ref="H92" dT="2025-07-02T13:03:47.05" personId="{CD0FC582-7D54-4286-B54C-191C08ABD6D1}" id="{8C03073A-7D18-476C-A16D-972808E715BE}">
    <text>Visually mineralised, grade to improve</text>
  </threadedComment>
  <threadedComment ref="M92" dT="2025-07-07T13:52:34.37" personId="{D8CF5E2C-0417-4468-9418-F09794DDBB76}" id="{EDF5C945-FE81-49E0-98FD-ECE6E3AB7639}">
    <text>Visually mineralised, grade to improve</text>
  </threadedComment>
  <threadedComment ref="Q99" dT="2025-07-11T13:38:23.38" personId="{D8CF5E2C-0417-4468-9418-F09794DDBB76}" id="{4E8D6F2F-1CF1-4E7B-AFC8-15547FA7716B}">
    <text>Bench not sampled</text>
  </threadedComment>
  <threadedComment ref="S99" dT="2025-07-14T05:43:49.71" personId="{D8CF5E2C-0417-4468-9418-F09794DDBB76}" id="{28E77BAF-20FB-4BDE-A52B-76054C50ACD2}">
    <text>Bench not sampled</text>
  </threadedComment>
  <threadedComment ref="T99" dT="2025-07-14T05:43:40.86" personId="{D8CF5E2C-0417-4468-9418-F09794DDBB76}" id="{08101209-B179-4720-B27D-DA3A9EC478A6}">
    <text>Bench not sampled</text>
  </threadedComment>
  <threadedComment ref="U99" dT="2025-07-15T13:24:39.46" personId="{D8CF5E2C-0417-4468-9418-F09794DDBB76}" id="{AC836B49-EBEE-49B1-A003-7F1BA7135F27}">
    <text>Bench visually mineralized grade to improve</text>
  </threadedComment>
  <threadedComment ref="V99" dT="2025-07-16T13:12:10.23" personId="{CD0FC582-7D54-4286-B54C-191C08ABD6D1}" id="{EB820AF1-8E61-4F7E-935E-D6E1B59BA979}">
    <text>The southern side is  weakly mineralised to mine towards the north that is well mineralised.</text>
  </threadedComment>
  <threadedComment ref="H104" dT="2025-07-02T08:09:22.83" personId="{994C6E65-2BBF-4319-A746-A5B6CF7B6790}" id="{6CE7750C-EAE6-46C2-810D-8EC8A1EE8ECB}">
    <text>limited bench space not fully exposed</text>
  </threadedComment>
  <threadedComment ref="H106" dT="2025-07-02T13:32:52.33" personId="{3AC10C52-AAC1-4420-83E7-15412D0CA4BB}" id="{DADEE809-E568-497A-8F29-5A1822DC7048}">
    <text>Inclusion of chlorite schist middling</text>
  </threadedComment>
  <threadedComment ref="I106" dT="2025-07-04T14:26:16.52" personId="{3AC10C52-AAC1-4420-83E7-15412D0CA4BB}" id="{6CE90374-1088-41CA-B024-0167A8CC61DC}">
    <text>Used last month average not sampled</text>
  </threadedComment>
  <threadedComment ref="N106" dT="2025-07-09T13:08:11.30" personId="{CD0FC582-7D54-4286-B54C-191C08ABD6D1}" id="{552AE7F8-4049-4123-990E-4432BB0A6C07}">
    <text>Chlorite schist - internal waste but the other portion of the shrink is well mineralised.</text>
  </threadedComment>
  <threadedComment ref="O106" dT="2025-07-09T15:14:45.96" personId="{D8CF5E2C-0417-4468-9418-F09794DDBB76}" id="{B2650798-0162-4BAD-AA48-A9EC4F3DA08C}">
    <text>Bench not sampled</text>
  </threadedComment>
  <threadedComment ref="U113" dT="2025-07-15T13:37:16.88" personId="{D8CF5E2C-0417-4468-9418-F09794DDBB76}" id="{2E50B7AB-6FAB-4D88-841A-02D1CDCB7DF6}">
    <text>Bench visually mineralized grade to improve</text>
  </threadedComment>
  <threadedComment ref="W113" dT="2025-07-17T05:16:25.88" personId="{BAD3C6A7-31B7-4725-BBD3-62DE70EC1E70}" id="{F67A4D17-2F19-45F9-8286-C972FBE63A10}">
    <text>not sampled used inferred grade</text>
  </threadedComment>
  <threadedComment ref="H118" dT="2025-07-02T08:10:22.70" personId="{994C6E65-2BBF-4319-A746-A5B6CF7B6790}" id="{F1E19ABF-30C7-431B-919E-9E79DB22374B}">
    <text>stope preparation in progress</text>
  </threadedComment>
  <threadedComment ref="M118" dT="2025-07-07T11:30:00.38" personId="{E42FB195-6F9E-4D97-9000-50DE22316B67}" id="{43CF0967-792F-4FF7-A924-215D5685CEF6}">
    <text>stope prep, mining access bypass</text>
  </threadedComment>
  <threadedComment ref="U120" dT="2025-07-15T13:26:49.63" personId="{D8CF5E2C-0417-4468-9418-F09794DDBB76}" id="{B59233F0-09A3-4979-AB36-580EDB875B14}">
    <text>Chlorite schist middling which is pinching as we stope downward so grade to improve.</text>
  </threadedComment>
  <threadedComment ref="M124" dT="2025-07-07T05:33:18.41" personId="{8D4427CA-0287-44F8-9CE0-4FBAF6550C26}" id="{15DDBD31-C6D2-43FC-BD98-AA0A099D1B1C}">
    <text>Bench salty, temporarily stopped</text>
  </threadedComment>
  <threadedComment ref="H125" dT="2025-07-02T08:11:54.38" personId="{994C6E65-2BBF-4319-A746-A5B6CF7B6790}" id="{A3F4D2C4-350A-436F-AE93-3C2F3CDEF7B6}">
    <text xml:space="preserve">bench not exposed </text>
  </threadedComment>
  <threadedComment ref="O125" dT="2025-07-09T11:15:55.96" personId="{994C6E65-2BBF-4319-A746-A5B6CF7B6790}" id="{0F4430B3-7E35-4DAC-B0E7-1F1C50911F8D}">
    <text>low grade, controlled drawing</text>
  </threadedComment>
  <threadedComment ref="P125" dT="2025-07-10T02:21:45.92" personId="{8D4427CA-0287-44F8-9CE0-4FBAF6550C26}" id="{056B0F34-2429-4997-95A6-467239E5B413}">
    <text>The machines for this stope drilled in W18 after W14 bench became sour. This tonnage is from W18</text>
  </threadedComment>
  <threadedComment ref="Q125" dT="2025-07-11T06:42:08.23" personId="{994C6E65-2BBF-4319-A746-A5B6CF7B6790}" id="{2DB34D5F-776C-4713-86AC-AE8264E758CA}">
    <text>W18C</text>
  </threadedComment>
  <threadedComment ref="R125" dT="2025-07-12T02:37:08.46" personId="{994C6E65-2BBF-4319-A746-A5B6CF7B6790}" id="{C87AA131-A6E0-4E9E-8A79-6819F0DF474B}">
    <text>W18C</text>
  </threadedComment>
  <threadedComment ref="S125" dT="2025-07-13T06:41:25.81" personId="{994C6E65-2BBF-4319-A746-A5B6CF7B6790}" id="{B320C52F-F538-4CF7-B978-988D5491B03D}">
    <text>W18A</text>
  </threadedComment>
  <threadedComment ref="T125" dT="2025-07-14T13:55:55.44" personId="{994C6E65-2BBF-4319-A746-A5B6CF7B6790}" id="{0D89DE6D-1FB4-45DF-AE6D-0B8E11ECE418}">
    <text>stope stopped due to poor grades</text>
  </threadedComment>
  <threadedComment ref="I127" dT="2025-07-03T05:20:46.86" personId="{3AC10C52-AAC1-4420-83E7-15412D0CA4BB}" id="{A63ED080-8A3C-4F17-AA2A-4AFFF3439DC1}">
    <text xml:space="preserve">BIF lowly mineralised </text>
  </threadedComment>
  <threadedComment ref="M132" dT="2025-07-07T03:18:09.94" personId="{8D4427CA-0287-44F8-9CE0-4FBAF6550C26}" id="{8911347E-D375-4BB9-BE61-54A752EAEE7A}">
    <text>Stope chocked due to controlled drawing to manage grade</text>
  </threadedComment>
  <threadedComment ref="O132" dT="2025-07-09T11:14:45.39" personId="{994C6E65-2BBF-4319-A746-A5B6CF7B6790}" id="{26D888DD-4C63-48F1-8DF9-D34E55D42190}">
    <text>controlled drawing and generation</text>
  </threadedComment>
  <threadedComment ref="J134" dT="2025-07-04T14:56:37.26" personId="{3AC10C52-AAC1-4420-83E7-15412D0CA4BB}" id="{A09B8ED2-A568-41CF-862A-834914B63C5E}">
    <text>Grade to improve, bench width reduced to minimize dilution</text>
  </threadedComment>
  <threadedComment ref="Q134" dT="2025-07-11T13:25:00.83" personId="{D8CF5E2C-0417-4468-9418-F09794DDBB76}" id="{51F672A3-ABFC-4523-85BE-F972BD66F193}">
    <text>Awaiting assays</text>
  </threadedComment>
  <threadedComment ref="W134" dT="2025-07-17T05:18:22.06" personId="{BAD3C6A7-31B7-4725-BBD3-62DE70EC1E70}" id="{48E5EA45-1D79-412F-A8C0-E568C710EE53}">
    <text>slipping to limit</text>
  </threadedComment>
</ThreadedComments>
</file>

<file path=xl/threadedComments/threadedComment2.xml><?xml version="1.0" encoding="utf-8"?>
<ThreadedComments xmlns="http://schemas.microsoft.com/office/spreadsheetml/2018/threadedcomments" xmlns:x="http://schemas.openxmlformats.org/spreadsheetml/2006/main">
  <threadedComment ref="H22" dT="2025-07-03T13:03:55.55" personId="{CF8A13F1-C2D3-49AF-A38F-84B96D1BF65C}" id="{F3A9FE62-2549-4BFB-971F-6F681568126F}">
    <text>assays pending</text>
  </threadedComment>
  <threadedComment ref="Q69" dT="2025-07-11T06:51:09.12" personId="{994C6E65-2BBF-4319-A746-A5B6CF7B6790}" id="{37ED4E1C-B545-4D56-BED0-1528FFFC4382}">
    <text>W2 shrink and scrapping</text>
  </threadedComment>
  <threadedComment ref="R69" dT="2025-07-12T06:03:27.14" personId="{994C6E65-2BBF-4319-A746-A5B6CF7B6790}" id="{58958E84-A937-44E4-9BE2-C39D91C57BF5}">
    <text>shrink and scrapping</text>
  </threadedComment>
  <threadedComment ref="T76" dT="2025-07-14T05:07:06.65" personId="{994C6E65-2BBF-4319-A746-A5B6CF7B6790}" id="{CA2C78BE-83C1-4C4B-B040-7A95B2440FC9}">
    <text>Scrapping and W2</text>
  </threadedComment>
  <threadedComment ref="Q104" dT="2025-07-11T06:52:09.92" personId="{994C6E65-2BBF-4319-A746-A5B6CF7B6790}" id="{6417DCAE-B672-4004-9E86-85B067DD86B6}">
    <text>W18A</text>
  </threadedComment>
  <threadedComment ref="S111" dT="2025-07-13T06:38:40.93" personId="{994C6E65-2BBF-4319-A746-A5B6CF7B6790}" id="{322B2351-DA40-47F4-A00E-40EE238A1B49}">
    <text>W18A</text>
  </threadedComment>
</ThreadedComments>
</file>

<file path=xl/threadedComments/threadedComment3.xml><?xml version="1.0" encoding="utf-8"?>
<ThreadedComments xmlns="http://schemas.microsoft.com/office/spreadsheetml/2018/threadedcomments" xmlns:x="http://schemas.openxmlformats.org/spreadsheetml/2006/main">
  <threadedComment ref="W11" dT="2025-06-17T11:41:21.23" personId="{8FAC794C-7F68-471A-875D-528AAC11E696}" id="{61AEECE0-4672-488D-8965-571870066D91}">
    <text>Pipe Burst at Burnett shaft below 5 level from 09:45 to 13:20 affecting drilling. (3.91hrs DT)</text>
  </threadedComment>
  <threadedComment ref="V13" dT="2025-06-16T10:01:33.44" personId="{D8CF5E2C-0417-4468-9418-F09794DDBB76}" id="{005E481D-0BF6-4DA7-8A7D-5D34941F184B}">
    <text>Grade inferred from the previous day ,, Samplers off duty.</text>
  </threadedComment>
  <threadedComment ref="AJ13" dT="2025-06-30T08:51:41.20" personId="{D8CF5E2C-0417-4468-9418-F09794DDBB76}" id="{3929CFB0-92F4-43D5-ACDF-BCD09C14686A}">
    <text>Grades inferred from the previous day , Samplers off duty .</text>
  </threadedComment>
  <threadedComment ref="J22" dT="2025-06-04T13:14:17.03" personId="{7DD73DA1-C958-4869-A33F-18556C908969}" id="{E66B8BF4-ADB3-4C34-9737-16ED2FB4E19F}">
    <text>Started new cut on the Southern most limb of the bench, grade to improve with depth.</text>
  </threadedComment>
  <threadedComment ref="O22" dT="2025-06-09T13:40:40.96" personId="{CF8A13F1-C2D3-49AF-A38F-84B96D1BF65C}" id="{ACE38E28-8B4E-4352-A29F-69CC4EB2EB9B}">
    <text>mined a poorly mineralised zone for ground control.</text>
  </threadedComment>
  <threadedComment ref="P22" dT="2025-06-10T13:46:17.91" personId="{7DD73DA1-C958-4869-A33F-18556C908969}" id="{6CFC03A4-8B06-43DC-8DA1-B7F88132CE69}">
    <text>Bench visually mineralized, grade to improve.</text>
  </threadedComment>
  <threadedComment ref="R22" dT="2025-06-12T12:39:42.78" personId="{D8CF5E2C-0417-4468-9418-F09794DDBB76}" id="{7EFFC23B-2231-4B1A-A8CA-81848F410080}">
    <text>Awaiting assays</text>
  </threadedComment>
  <threadedComment ref="T22" dT="2025-06-14T12:11:04.43" personId="{D8CF5E2C-0417-4468-9418-F09794DDBB76}" id="{9BDD722E-B386-44ED-8080-5396A919F68C}">
    <text>Bench  visually looks good, grade to improve</text>
  </threadedComment>
  <threadedComment ref="W22" dT="2025-06-17T13:23:02.44" personId="{D8CF5E2C-0417-4468-9418-F09794DDBB76}" id="{C9887607-83A7-4954-86CF-24F02B92E090}">
    <text>Poorly mineralized BIF</text>
  </threadedComment>
  <threadedComment ref="X22" dT="2025-06-18T12:16:19.87" personId="{D8CF5E2C-0417-4468-9418-F09794DDBB76}" id="{A20AAA2A-AB7C-4A5E-BD57-0AD23652EAB0}">
    <text xml:space="preserve">Awaiting assays - poorly mineralized BIF.
</text>
  </threadedComment>
  <threadedComment ref="AF22" dT="2025-06-26T13:40:47.26" personId="{D8CF5E2C-0417-4468-9418-F09794DDBB76}" id="{56FA93A2-027F-4C86-9736-4DF6E6BE76E2}">
    <text>Bench holed today, started a new cut , grade to improve.</text>
  </threadedComment>
  <threadedComment ref="Q33" dT="2025-06-11T05:28:48.54" personId="{8FAC794C-7F68-471A-875D-528AAC11E696}" id="{8FE2296F-0666-4F28-8F04-DBAE03DF480A}">
    <text>incomplete bench lashing affecting drilling.</text>
  </threadedComment>
  <threadedComment ref="J36" dT="2025-06-04T13:14:41.62" personId="{CF8A13F1-C2D3-49AF-A38F-84B96D1BF65C}" id="{A49B014C-C63C-48AD-96FB-9CCC10BC5965}">
    <text>Reef displaced by folded schist, taking whole bench to avoid undercutting hanging-wall</text>
  </threadedComment>
  <threadedComment ref="M36" dT="2025-06-07T13:50:01.12" personId="{CF8A13F1-C2D3-49AF-A38F-84B96D1BF65C}" id="{0800D3B1-8976-4062-BDA3-E036B7D825D6}">
    <text>internal dilution by a limonitic BIF.</text>
  </threadedComment>
  <threadedComment ref="W36" dT="2025-06-17T13:06:52.44" personId="{CF8A13F1-C2D3-49AF-A38F-84B96D1BF65C}" id="{D40EDBFC-152C-4A8F-8348-C423ED11BE12}">
    <text>Limonitic interlayering, bench to be continuously monitored.</text>
  </threadedComment>
  <threadedComment ref="X36" dT="2025-06-18T12:21:07.24" personId="{D8CF5E2C-0417-4468-9418-F09794DDBB76}" id="{116979EF-6464-4385-90C6-779864397A5A}">
    <text>Poorly mineralized BIF grade to improve.</text>
  </threadedComment>
  <threadedComment ref="AE36" dT="2025-06-25T13:20:00.43" personId="{CF8A13F1-C2D3-49AF-A38F-84B96D1BF65C}" id="{CB2AEA70-574F-4B16-B4F7-28748F7D2829}">
    <text>awaiting assay results, grade inferred</text>
  </threadedComment>
  <threadedComment ref="AG36" dT="2025-06-27T12:40:29.78" personId="{7DD73DA1-C958-4869-A33F-18556C908969}" id="{FACF230F-162D-4660-B2A5-067CE4A35DB0}">
    <text xml:space="preserve">Poorly mineralized BIF.
</text>
  </threadedComment>
  <threadedComment ref="H43" dT="2025-06-02T12:50:21.94" personId="{D8CF5E2C-0417-4468-9418-F09794DDBB76}" id="{13C89E20-D963-457F-A49F-26183BF56081}">
    <text>Internal low grade BIF zone interlayered between reef, continuous monitoring</text>
  </threadedComment>
  <threadedComment ref="M43" dT="2025-06-07T13:50:48.26" personId="{CF8A13F1-C2D3-49AF-A38F-84B96D1BF65C}" id="{5847179F-DF19-47F3-B21E-E6376AC63A5C}">
    <text>reef pinching eastwards, taking last cut</text>
  </threadedComment>
  <threadedComment ref="N43" dT="2025-06-08T13:02:33.08" personId="{CF8A13F1-C2D3-49AF-A38F-84B96D1BF65C}" id="{A6426B11-A99E-4C52-826B-18E0FCDC70ED}">
    <text>bench visually looks fairly good, continuous monitoring</text>
  </threadedComment>
  <threadedComment ref="P43" dT="2025-06-10T13:37:36.42" personId="{CF8A13F1-C2D3-49AF-A38F-84B96D1BF65C}" id="{C117AC6B-698E-40EF-9ACD-320DE41BB989}">
    <text>dilution from internal poorly mineralised limonitic BIF</text>
  </threadedComment>
  <threadedComment ref="Q43" dT="2025-06-11T12:27:56.80" personId="{CF8A13F1-C2D3-49AF-A38F-84B96D1BF65C}" id="{414D96D4-200F-479F-BD65-6C0E094C8A97}">
    <text>slyping on the Eastern side where reef is wider, grade to improve</text>
  </threadedComment>
  <threadedComment ref="R43" dT="2025-06-12T13:31:45.40" personId="{CF8A13F1-C2D3-49AF-A38F-84B96D1BF65C}" id="{553F6F64-BF4E-43CF-8AF7-EE8E3E23B7F3}">
    <text>bench grade affected by reef thinning due to schist folding into southern direction.</text>
  </threadedComment>
  <threadedComment ref="W43" dT="2025-06-17T13:10:17.84" personId="{CF8A13F1-C2D3-49AF-A38F-84B96D1BF65C}" id="{85CDF03F-CB04-49C5-AA74-6304E1A6CA38}">
    <text xml:space="preserve">reef visually looks good, continuous monitoring </text>
  </threadedComment>
  <threadedComment ref="X43" dT="2025-06-18T12:25:14.41" personId="{D8CF5E2C-0417-4468-9418-F09794DDBB76}" id="{9658B460-90D0-41AE-A0A3-911070F5A3F7}">
    <text>Mined the northern contact sidewall to avoid self scaling</text>
  </threadedComment>
  <threadedComment ref="AC43" dT="2025-06-23T12:06:04.79" personId="{CF8A13F1-C2D3-49AF-A38F-84B96D1BF65C}" id="{7C8BE5E7-0B3E-43F9-8D22-115391DB5718}">
    <text>creating running angle for stope above, BIF/Schist intercalations on northen side</text>
  </threadedComment>
  <threadedComment ref="AF43" dT="2025-06-26T13:38:53.97" personId="{D8CF5E2C-0417-4468-9418-F09794DDBB76}" id="{F0A7207B-A281-42BE-8BCE-4006D3B6DAA1}">
    <text>awaiting assays, grade inferred</text>
  </threadedComment>
  <threadedComment ref="AG43" dT="2025-06-27T12:45:34.49" personId="{7DD73DA1-C958-4869-A33F-18556C908969}" id="{56369058-12FB-41D3-A88A-D8399976F5B3}">
    <text xml:space="preserve">Creating running angle for stope above, BIF/Schist intercalations on Northern side
</text>
  </threadedComment>
  <threadedComment ref="AI43" dT="2025-06-30T12:13:06.08" personId="{7DD73DA1-C958-4869-A33F-18556C908969}" id="{DBB13F9A-1863-447C-B16E-F0327D4D98E0}">
    <text xml:space="preserve">Creating running angle for stope above, BIF/Schist intercalations </text>
  </threadedComment>
  <threadedComment ref="AH48" dT="2025-06-28T05:32:46.47" personId="{994C6E65-2BBF-4319-A746-A5B6CF7B6790}" id="{C76F24F0-797C-43FC-8AC8-4163355BFD89}">
    <text>2LW23</text>
  </threadedComment>
  <threadedComment ref="I50" dT="2025-06-03T13:31:07.01" personId="{CF8A13F1-C2D3-49AF-A38F-84B96D1BF65C}" id="{F763B062-72CF-41D0-9CB9-F883DF291DE5}">
    <text>Poorly mineralised interlayered BIF formation, mining for running angle</text>
  </threadedComment>
  <threadedComment ref="K50" dT="2025-06-05T12:16:24.25" personId="{CF8A13F1-C2D3-49AF-A38F-84B96D1BF65C}" id="{BC5F88B2-BB73-471B-889E-AC9D9C7EED81}">
    <text>Creating running angle for eastward extension of benches above.</text>
  </threadedComment>
  <threadedComment ref="N50" dT="2025-06-08T13:04:40.17" personId="{CF8A13F1-C2D3-49AF-A38F-84B96D1BF65C}" id="{28F54742-5E9C-4C45-B537-54AA0C384033}">
    <text>alternating layers of limonitic and magnetic BIF.</text>
  </threadedComment>
  <threadedComment ref="P50" dT="2025-06-10T13:38:51.15" personId="{CF8A13F1-C2D3-49AF-A38F-84B96D1BF65C}" id="{24F4663C-7EE3-477C-B309-835543B742CB}">
    <text xml:space="preserve">limonitic BIF middling going East, slypping stopped </text>
  </threadedComment>
  <threadedComment ref="Q50" dT="2025-06-11T12:26:53.33" personId="{CF8A13F1-C2D3-49AF-A38F-84B96D1BF65C}" id="{82F963A0-0404-4E6A-B716-D820B9C35E03}">
    <text>slypping stopped, benching last cut, one machine moved to 3W23B</text>
  </threadedComment>
  <threadedComment ref="R50" dT="2025-06-12T12:41:08.21" personId="{D8CF5E2C-0417-4468-9418-F09794DDBB76}" id="{452333A8-7BE0-42B0-982B-2A20E4B534FF}">
    <text>slypping stopped, benching last cut, one machine moved to 3W23B</text>
  </threadedComment>
  <threadedComment ref="AA50" dT="2025-06-22T13:49:56.91" personId="{CD0FC582-7D54-4286-B54C-191C08ABD6D1}" id="{8B67CE0E-552A-4003-B3BB-55356CD8B91F}">
    <text>Bench moderately mineralised grade to improve.</text>
  </threadedComment>
  <threadedComment ref="AC50" dT="2025-06-23T12:07:23.97" personId="{CF8A13F1-C2D3-49AF-A38F-84B96D1BF65C}" id="{C31DC9F1-BCE2-48FE-BA06-E8BD3828A4A2}">
    <text>irregular mineralisation pattern, limonitic zones affecting bench grade</text>
  </threadedComment>
  <threadedComment ref="AG50" dT="2025-06-27T12:47:48.43" personId="{7DD73DA1-C958-4869-A33F-18556C908969}" id="{33967F55-A069-491B-ABA1-6E663D8D2771}">
    <text>Limonitic zones intercalations within bench affecting grade.</text>
  </threadedComment>
  <threadedComment ref="N54" dT="2025-06-08T06:04:40.49" personId="{8FAC794C-7F68-471A-875D-528AAC11E696}" id="{02A33817-BDD6-4FFD-9048-A006ECDB213B}">
    <text xml:space="preserve">Bench holed, preparation for the next cut ongoing </text>
  </threadedComment>
  <threadedComment ref="O54" dT="2025-06-08T06:04:40.49" personId="{8FAC794C-7F68-471A-875D-528AAC11E696}" id="{A2668570-DB31-464F-8AC8-FBE7522EDEC3}">
    <text xml:space="preserve">Bench holed, preparation for the next cut ongoing </text>
  </threadedComment>
  <threadedComment ref="I57" dT="2025-06-03T13:31:29.92" personId="{CF8A13F1-C2D3-49AF-A38F-84B96D1BF65C}" id="{7F99AD0D-BC8B-480D-9743-3C8EC79F52A5}">
    <text>Schist layer cutting across mineralised zone</text>
  </threadedComment>
  <threadedComment ref="J57" dT="2025-06-04T13:21:14.02" personId="{CF8A13F1-C2D3-49AF-A38F-84B96D1BF65C}" id="{BAC72BBE-E057-478C-9842-28089AADA419}">
    <text>reef displaced southwards by folded schist, benching for holing.</text>
  </threadedComment>
  <threadedComment ref="M57" dT="2025-06-07T13:52:30.28" personId="{CF8A13F1-C2D3-49AF-A38F-84B96D1BF65C}" id="{46124733-4125-4D49-A9D8-7BFC3E1D1708}">
    <text>new cut taken, grade to improve with depth (at 2m)</text>
  </threadedComment>
  <threadedComment ref="N57" dT="2025-06-08T14:15:59.85" personId="{CF8A13F1-C2D3-49AF-A38F-84B96D1BF65C}" id="{63CC4FBA-9ADB-4434-98CB-902B63811386}">
    <text>grade to improve with depth</text>
  </threadedComment>
  <threadedComment ref="R57" dT="2025-06-12T13:35:08.83" personId="{CF8A13F1-C2D3-49AF-A38F-84B96D1BF65C}" id="{A08F40EB-BC80-4AA6-8E23-22B8613F19D0}">
    <text>one machine benched on the western side to expose pay-zone</text>
  </threadedComment>
  <threadedComment ref="AA57" dT="2025-06-22T13:55:09.90" personId="{CD0FC582-7D54-4286-B54C-191C08ABD6D1}" id="{F109C960-DF2D-450C-84EE-26DD9CA12CA6}">
    <text>To stop mining the west bench and open up the northern part of the stope in the western side .</text>
  </threadedComment>
  <threadedComment ref="AG57" dT="2025-06-27T12:58:23.16" personId="{7DD73DA1-C958-4869-A33F-18556C908969}" id="{23F55C1A-2CDD-4F16-8ADB-8BF65353B979}">
    <text>Bench holed, starting new cut Eastwards.</text>
  </threadedComment>
  <threadedComment ref="O68" dT="2025-06-09T05:36:53.35" personId="{8FAC794C-7F68-471A-875D-528AAC11E696}" id="{F1265FA5-976C-47E5-BCAC-3CF3636B4A51}">
    <text>Raise to hole 11/06/25 for production to start benching</text>
  </threadedComment>
  <threadedComment ref="P68" dT="2025-06-09T05:36:53.35" personId="{8FAC794C-7F68-471A-875D-528AAC11E696}" id="{C521F337-A5DF-4DE1-9719-45C1FD2D963C}">
    <text>Raise to hole 11/06/25 for production to start benching</text>
  </threadedComment>
  <threadedComment ref="R68" dT="2025-06-12T09:01:12.69" personId="{8FAC794C-7F68-471A-875D-528AAC11E696}" id="{933ECD92-F7F5-4026-953D-531A29DBB5B0}">
    <text xml:space="preserve">Pre-drilled holes not blasted due to the 5 level accident. </text>
  </threadedComment>
  <threadedComment ref="X68" dT="2025-06-18T06:55:54.71" personId="{994C6E65-2BBF-4319-A746-A5B6CF7B6790}" id="{E8E29D39-752F-42E6-B15A-3286796E4983}">
    <text xml:space="preserve">No drilling space due to incomplete lashing. Box drawing throttled due to low values </text>
  </threadedComment>
  <threadedComment ref="Y68" dT="2025-06-18T06:55:54.71" personId="{994C6E65-2BBF-4319-A746-A5B6CF7B6790}" id="{D5EDBD88-64B9-4DCC-892C-A6AADBC486AD}">
    <text xml:space="preserve">No drilling space due to incomplete lashing. Box drawing throttled due to low values </text>
  </threadedComment>
  <threadedComment ref="AB68" dT="2025-06-18T06:55:54.71" personId="{994C6E65-2BBF-4319-A746-A5B6CF7B6790}" id="{11A68E77-E925-437F-902E-51525E86272E}">
    <text xml:space="preserve">No drilling space due to incomplete lashing. Box drawing throttled due to low values </text>
  </threadedComment>
  <threadedComment ref="W71" dT="2025-06-17T13:15:57.43" personId="{CF8A13F1-C2D3-49AF-A38F-84B96D1BF65C}" id="{615E91BF-565B-4F27-A934-FD18C226446C}">
    <text>slypping for conning in poorly mineralised BIF/Schist interlayered zone, slypping to continue for running angle.</text>
  </threadedComment>
  <threadedComment ref="AA71" dT="2025-06-22T13:56:32.04" personId="{CD0FC582-7D54-4286-B54C-191C08ABD6D1}" id="{DF2E75D8-A032-4BCB-97D6-2B5AF175B2F7}">
    <text>Coning still in low grade and waste to create running angle.</text>
  </threadedComment>
  <threadedComment ref="AC71" dT="2025-06-23T12:08:11.93" personId="{CF8A13F1-C2D3-49AF-A38F-84B96D1BF65C}" id="{3C7F6DFB-6342-48E4-B5CC-F323467473A6}">
    <text>creating running angle on cone level for 5W12 stope.</text>
  </threadedComment>
  <threadedComment ref="AF71" dT="2025-06-30T12:33:59.99" personId="{7DD73DA1-C958-4869-A33F-18556C908969}" id="{004F983F-D69E-42C3-B700-B505BA02AF01}">
    <text>Creating cone to start benching.</text>
  </threadedComment>
  <threadedComment ref="AG71" dT="2025-06-30T12:34:26.86" personId="{7DD73DA1-C958-4869-A33F-18556C908969}" id="{E3DB46F4-95C7-4363-BC87-4B8F7A62B34F}">
    <text>Creating cone to start benching.</text>
  </threadedComment>
  <threadedComment ref="Q78" dT="2025-06-11T12:26:04.25" personId="{CF8A13F1-C2D3-49AF-A38F-84B96D1BF65C}" id="{058D45C9-626C-4B75-81AD-8EF0ABB3A209}">
    <text>shrinking W10 area where the BIF is poorly mineralised with schist veins</text>
  </threadedComment>
  <threadedComment ref="S78" dT="2025-06-13T12:08:15.72" personId="{CF8A13F1-C2D3-49AF-A38F-84B96D1BF65C}" id="{F23E1440-AF4C-4945-9F09-5248A2C0B82B}">
    <text>roof not sampled, access to stope restricted for safety</text>
  </threadedComment>
  <threadedComment ref="L85" dT="2025-06-06T13:09:10.25" personId="{BAD3C6A7-31B7-4725-BBD3-62DE70EC1E70}" id="{F6EB457B-431B-4C4D-A00C-F1B178FDD9D1}">
    <text>Used inferred grades bench not sampled</text>
  </threadedComment>
  <threadedComment ref="R85" dT="2025-06-13T12:12:40.43" personId="{BAD3C6A7-31B7-4725-BBD3-62DE70EC1E70}" id="{07E56C41-FBA7-4D93-B17D-5635CC1BD9A7}">
    <text>passing a low paying stretch reef to pay going down</text>
  </threadedComment>
  <threadedComment ref="W85" dT="2025-06-17T12:50:53.24" personId="{D8CF5E2C-0417-4468-9418-F09794DDBB76}" id="{C215BC46-1135-46BE-9E49-E7F19282C31D}">
    <text>Bench visual looking good</text>
  </threadedComment>
  <threadedComment ref="AA85" dT="2025-06-22T13:52:28.09" personId="{CD0FC582-7D54-4286-B54C-191C08ABD6D1}" id="{2BA514A6-EB69-493C-B3D9-38B705794E9E}">
    <text>Grade to improve</text>
  </threadedComment>
  <threadedComment ref="AH85" dT="2025-06-28T13:30:46.97" personId="{D8CF5E2C-0417-4468-9418-F09794DDBB76}" id="{923296EC-B360-4878-A959-01897E2AB394}">
    <text>Misfire, bench not sampled.</text>
  </threadedComment>
  <threadedComment ref="W90" dT="2025-06-17T12:02:05.86" personId="{994C6E65-2BBF-4319-A746-A5B6CF7B6790}" id="{28B8DB3A-6945-4A3D-9E1B-1AF1DBA3BC51}">
    <text>drilling affected by water pipe burst in the shaft (4hrs)</text>
  </threadedComment>
  <threadedComment ref="X90" dT="2025-06-18T12:53:21.96" personId="{994C6E65-2BBF-4319-A746-A5B6CF7B6790}" id="{7044D689-6DAB-46DE-A1E3-371871F91C92}">
    <text>stope holed</text>
  </threadedComment>
  <threadedComment ref="Y90" dT="2025-06-18T12:53:21.96" personId="{994C6E65-2BBF-4319-A746-A5B6CF7B6790}" id="{296B6A7F-AB9D-40EC-88F2-D713ACF8C118}">
    <text>stope holed</text>
  </threadedComment>
  <threadedComment ref="AC90" dT="2025-06-23T13:32:33.20" personId="{994C6E65-2BBF-4319-A746-A5B6CF7B6790}" id="{A6B5CE4D-2317-4F20-8492-AF6972305053}">
    <text>stope holed</text>
  </threadedComment>
  <threadedComment ref="AE90" dT="2025-06-25T13:35:44.04" personId="{994C6E65-2BBF-4319-A746-A5B6CF7B6790}" id="{ADBFD874-1BDA-4D18-951F-6AD8418C3636}">
    <text>narrowing bench</text>
  </threadedComment>
  <threadedComment ref="AF90" dT="2025-06-26T13:16:53.61" personId="{994C6E65-2BBF-4319-A746-A5B6CF7B6790}" id="{2BC415F0-30AB-4E59-8B87-A18787B127AF}">
    <text>narrowing of the bench</text>
  </threadedComment>
  <threadedComment ref="AJ90" dT="2025-06-30T13:16:04.29" personId="{994C6E65-2BBF-4319-A746-A5B6CF7B6790}" id="{FC95150A-5F50-4B99-A9FD-D29CD93DA401}">
    <text>incomplete bench lashing</text>
  </threadedComment>
  <threadedComment ref="R92" dT="2025-06-12T12:42:56.88" personId="{D8CF5E2C-0417-4468-9418-F09794DDBB76}" id="{D67B1C42-905F-43B7-AFFC-425D88E18120}">
    <text>Stope visually okay.</text>
  </threadedComment>
  <threadedComment ref="X92" dT="2025-06-18T12:27:35.69" personId="{D8CF5E2C-0417-4468-9418-F09794DDBB76}" id="{C4AAC7EC-B94B-4CE6-BC99-5F996D7FE263}">
    <text>Bench mineralised grade to improve</text>
  </threadedComment>
  <threadedComment ref="AH92" dT="2025-06-28T13:31:03.25" personId="{D8CF5E2C-0417-4468-9418-F09794DDBB76}" id="{7ACA4066-2720-48FC-8C8D-BFCBA3EB09AA}">
    <text>Misfire, bench not sampled.</text>
  </threadedComment>
  <threadedComment ref="W97" dT="2025-06-17T12:03:00.59" personId="{994C6E65-2BBF-4319-A746-A5B6CF7B6790}" id="{993F88CC-2EBD-4883-8420-4C2FDE3811FC}">
    <text>lashing of shrink material in progress</text>
  </threadedComment>
  <threadedComment ref="R99" dT="2025-06-12T12:18:44.62" personId="{BAD3C6A7-31B7-4725-BBD3-62DE70EC1E70}" id="{9C70BB3B-A756-47E6-9FD6-968A20EA01E3}">
    <text>Used inferred grades awaiting for Assays</text>
  </threadedComment>
  <threadedComment ref="R99" dT="2025-06-12T13:17:54.12" personId="{46A9EB79-C2B8-45F6-B4D1-49E6B89F6349}" id="{1150534C-72CB-43E0-8351-BF94039EFBBF}" parentId="{9C70BB3B-A756-47E6-9FD6-968A20EA01E3}">
    <text>The ground not being realized as its being used for platform to support the sill, and platform fo shrinking on the Cone.</text>
  </threadedComment>
  <threadedComment ref="AH99" dT="2025-06-28T13:31:11.02" personId="{D8CF5E2C-0417-4468-9418-F09794DDBB76}" id="{86CCFE91-3E48-4CC7-9AA0-C26A9040D97A}">
    <text>Misfire, bench not sampled.</text>
  </threadedComment>
  <threadedComment ref="O103" dT="2025-06-09T13:29:49.26" personId="{E42FB195-6F9E-4D97-9000-50DE22316B67}" id="{048817BF-D927-46FC-B487-BFC68EBFB11C}">
    <text>slyping and 
supporting the sill in progress</text>
  </threadedComment>
  <threadedComment ref="P103" dT="2025-06-10T03:28:02.10" personId="{8D4427CA-0287-44F8-9CE0-4FBAF6550C26}" id="{6905A5F5-4AA9-4549-8D10-9D6337799042}">
    <text>Slyping and supporting sill in progress</text>
  </threadedComment>
  <threadedComment ref="Y103" dT="2025-06-19T13:58:38.23" personId="{E42FB195-6F9E-4D97-9000-50DE22316B67}" id="{F6BFFDCD-0CD4-4581-B967-4FB92F72CB11}">
    <text>Cleaning shrinkage accumulations</text>
  </threadedComment>
  <threadedComment ref="I104" dT="2025-06-03T03:54:43.41" personId="{8D4427CA-0287-44F8-9CE0-4FBAF6550C26}" id="{11404E35-9F1D-449D-A227-92AE843D7FE3}">
    <text>Waste bleeding in progress, machines moved to W1</text>
  </threadedComment>
  <threadedComment ref="AC104" dT="2025-06-23T13:33:14.34" personId="{994C6E65-2BBF-4319-A746-A5B6CF7B6790}" id="{3EFFC4ED-77D5-455B-ADF8-17ED0C44ADFE}">
    <text>cleaning of the bench incomplete</text>
  </threadedComment>
  <threadedComment ref="AF104" dT="2025-06-26T13:18:05.34" personId="{994C6E65-2BBF-4319-A746-A5B6CF7B6790}" id="{DF8791E8-6C90-4D3C-A6B6-0BED36BE799C}">
    <text>incomplete lashing</text>
  </threadedComment>
  <threadedComment ref="AE106" dT="2025-06-25T13:23:09.42" personId="{CF8A13F1-C2D3-49AF-A38F-84B96D1BF65C}" id="{00E81A8A-7E29-4CCE-8332-AB781D97A5DA}">
    <text>awaiting assays, grade inferred</text>
  </threadedComment>
  <threadedComment ref="AH106" dT="2025-06-28T13:31:19.70" personId="{D8CF5E2C-0417-4468-9418-F09794DDBB76}" id="{3B8835CE-1B8D-49D0-8F72-4FFE7B32E650}">
    <text>Misfire, bench not sampled.</text>
  </threadedComment>
  <threadedComment ref="O110" dT="2025-06-09T13:35:02.86" personId="{E42FB195-6F9E-4D97-9000-50DE22316B67}" id="{F7C52F3A-EC3B-453A-ADE0-EBC849E89684}">
    <text>waste bleeding completed now slyping to reef limits</text>
  </threadedComment>
  <threadedComment ref="P110" dT="2025-06-10T03:27:24.96" personId="{8D4427CA-0287-44F8-9CE0-4FBAF6550C26}" id="{4B34B83F-B5F2-4DD2-9305-63F46B16FA6F}">
    <text>Slyping to reef limits</text>
  </threadedComment>
  <threadedComment ref="I111" dT="2025-06-03T03:55:03.05" personId="{8D4427CA-0287-44F8-9CE0-4FBAF6550C26}" id="{CA9846E2-0156-4477-B931-7933699E5878}">
    <text>Waste bleeding in progress</text>
  </threadedComment>
  <threadedComment ref="V111" dT="2025-06-16T06:53:42.17" personId="{994C6E65-2BBF-4319-A746-A5B6CF7B6790}" id="{3367C898-EB6A-4767-AF1B-D791A65507DD}">
    <text>slyping to limit</text>
  </threadedComment>
  <threadedComment ref="W111" dT="2025-06-17T13:49:56.92" personId="{994C6E65-2BBF-4319-A746-A5B6CF7B6790}" id="{EFE83A6E-6158-4A07-8F46-C6EAB3375E26}">
    <text>sylping to limit</text>
  </threadedComment>
  <threadedComment ref="AE111" dT="2025-06-25T07:49:19.05" personId="{994C6E65-2BBF-4319-A746-A5B6CF7B6790}" id="{F5F19F60-3FD3-487A-B397-6AC21C30E22B}">
    <text>incomplete lashing</text>
  </threadedComment>
  <threadedComment ref="P113" dT="2025-06-10T13:10:14.85" personId="{BAD3C6A7-31B7-4725-BBD3-62DE70EC1E70}" id="{87F3F567-3E3F-4DD4-8A42-74BF82380BA4}">
    <text>Lowly mineralized BIF, to continue slyping further North were there are better grades.</text>
  </threadedComment>
  <threadedComment ref="R113" dT="2025-06-12T12:21:51.16" personId="{BAD3C6A7-31B7-4725-BBD3-62DE70EC1E70}" id="{D4C34527-D7C9-4477-944D-1AF897F9CF9E}">
    <text>Slypings completed to start benching tomorrow</text>
  </threadedComment>
  <threadedComment ref="AH113" dT="2025-06-28T13:31:29.40" personId="{D8CF5E2C-0417-4468-9418-F09794DDBB76}" id="{AB33B777-AAB4-4FF0-AFE0-963E23D4AF5B}">
    <text>Misfire, bench not sampled.</text>
  </threadedComment>
  <threadedComment ref="W118" dT="2025-06-17T12:04:50.67" personId="{994C6E65-2BBF-4319-A746-A5B6CF7B6790}" id="{8DE16565-80C3-4388-B251-FD8A9C44D05E}">
    <text>bench holed preparation for sub2 in progress</text>
  </threadedComment>
  <threadedComment ref="X118" dT="2025-06-18T14:00:00.06" personId="{994C6E65-2BBF-4319-A746-A5B6CF7B6790}" id="{02C4377F-C7E4-40B6-BFD7-D0DDFBA16F58}">
    <text>stope holed</text>
  </threadedComment>
  <threadedComment ref="Y118" dT="2025-06-18T14:00:00.06" personId="{994C6E65-2BBF-4319-A746-A5B6CF7B6790}" id="{649D8C2C-FDB7-4919-A43B-6B1EEFA78CA7}">
    <text>stope holed</text>
  </threadedComment>
  <threadedComment ref="Z118" dT="2025-06-20T03:36:50.03" personId="{8D4427CA-0287-44F8-9CE0-4FBAF6550C26}" id="{532DCE12-CB33-485E-87A9-7DEF4A0AAF47}">
    <text>Stope holed</text>
  </threadedComment>
  <threadedComment ref="AE118" dT="2025-06-25T13:34:18.79" personId="{994C6E65-2BBF-4319-A746-A5B6CF7B6790}" id="{84E14167-5ED2-41DF-8066-B534A67A0D30}">
    <text>preparing new bench</text>
  </threadedComment>
  <threadedComment ref="L120" dT="2025-06-06T12:33:43.45" personId="{BAD3C6A7-31B7-4725-BBD3-62DE70EC1E70}" id="{54085427-A499-42CC-81C8-0BAC54DE8DD3}">
    <text>Not sampled partially lashed used previous grade</text>
  </threadedComment>
  <threadedComment ref="AC125" dT="2025-06-23T13:34:03.73" personId="{994C6E65-2BBF-4319-A746-A5B6CF7B6790}" id="{D3E3D08A-3FDB-404B-AC22-017FDD9C5425}">
    <text>low labour turnout</text>
  </threadedComment>
  <threadedComment ref="AE125" dT="2025-06-25T07:50:46.58" personId="{994C6E65-2BBF-4319-A746-A5B6CF7B6790}" id="{A457E613-B1AB-4529-94A8-4578152BEFFF}">
    <text>incomplete lashing</text>
  </threadedComment>
  <threadedComment ref="AJ125" dT="2025-06-30T13:18:15.37" personId="{994C6E65-2BBF-4319-A746-A5B6CF7B6790}" id="{44164C5A-6BB0-40BD-83BF-FC096A3D35B2}">
    <text>incomplete lashing</text>
  </threadedComment>
  <threadedComment ref="K127" dT="2025-06-05T12:17:33.80" personId="{CF8A13F1-C2D3-49AF-A38F-84B96D1BF65C}" id="{8857BD5D-09F5-4D7A-9C53-A3307BE46992}">
    <text>patchy mineralisation, grade to improve.</text>
  </threadedComment>
  <threadedComment ref="L127" dT="2025-06-06T12:43:31.54" personId="{BAD3C6A7-31B7-4725-BBD3-62DE70EC1E70}" id="{804D7B16-C7A9-42EA-ABF8-05C57EDC7C43}">
    <text>Bench to hole today, visually looking okay and starting new cut tomorrow</text>
  </threadedComment>
  <threadedComment ref="M127" dT="2025-06-07T13:50:32.87" personId="{BAD3C6A7-31B7-4725-BBD3-62DE70EC1E70}" id="{3E26673C-1535-4B6E-ADCB-592EA0E3126F}">
    <text>Slyping further North where there are better grades</text>
  </threadedComment>
  <threadedComment ref="N127" dT="2025-06-08T14:27:50.03" personId="{CF8A13F1-C2D3-49AF-A38F-84B96D1BF65C}" id="{4F59EEDD-CE7E-4F8D-A65B-8D443297ABE8}">
    <text>slypping northwards to the mineralised zone</text>
  </threadedComment>
  <threadedComment ref="W127" dT="2025-06-17T12:56:33.06" personId="{D8CF5E2C-0417-4468-9418-F09794DDBB76}" id="{F781CDF4-E8AB-4493-A173-162E721339D2}">
    <text>passing a low paying stretch reef to pay going down</text>
  </threadedComment>
  <threadedComment ref="AG127" dT="2025-06-27T12:59:29.33" personId="{BAD3C6A7-31B7-4725-BBD3-62DE70EC1E70}" id="{00BC6F33-4754-4B0C-A848-1BD85D2B108A}">
    <text>passing a low paying stretch grades to improve downward</text>
  </threadedComment>
  <threadedComment ref="AH127" dT="2025-06-28T11:41:42.57" personId="{D8CF5E2C-0417-4468-9418-F09794DDBB76}" id="{43E15CA3-1029-4E4F-A33E-72E5C6E88674}">
    <text>Passing a low paying stretch grades to improve downward</text>
  </threadedComment>
  <threadedComment ref="I134" dT="2025-06-03T13:34:42.08" personId="{CF8A13F1-C2D3-49AF-A38F-84B96D1BF65C}" id="{55FF44BB-FEB9-44FD-BE58-B87B949529FB}">
    <text>Lowly mineralised BIF, continuous monitoring</text>
  </threadedComment>
  <threadedComment ref="L134" dT="2025-06-06T12:38:49.01" personId="{BAD3C6A7-31B7-4725-BBD3-62DE70EC1E70}" id="{BE62CA4B-FD48-4EB8-B63A-DF1F51DBE66F}">
    <text>Bench holed starting a new cut</text>
  </threadedComment>
  <threadedComment ref="M134" dT="2025-06-07T13:53:23.26" personId="{CF8A13F1-C2D3-49AF-A38F-84B96D1BF65C}" id="{6BB2945E-01F9-49D7-914E-1E86BBF0ABDD}">
    <text>better grades northwards, slyping torwards that direction.</text>
  </threadedComment>
  <threadedComment ref="N134" dT="2025-06-08T14:28:06.41" personId="{CF8A13F1-C2D3-49AF-A38F-84B96D1BF65C}" id="{3F8003DE-C14A-4496-A443-26CB3138D7F6}">
    <text>slypping towards the north to the mineralised zone</text>
  </threadedComment>
  <threadedComment ref="W134" dT="2025-06-17T12:56:21.15" personId="{D8CF5E2C-0417-4468-9418-F09794DDBB76}" id="{D1FC3CCD-087B-48B5-8BDD-CE2FF418C157}">
    <text>passing a low paying stretch reef to pay going down</text>
  </threadedComment>
</ThreadedComments>
</file>

<file path=xl/threadedComments/threadedComment4.xml><?xml version="1.0" encoding="utf-8"?>
<ThreadedComments xmlns="http://schemas.microsoft.com/office/spreadsheetml/2018/threadedcomments" xmlns:x="http://schemas.openxmlformats.org/spreadsheetml/2006/main">
  <threadedComment ref="M11" dT="2025-06-09T13:28:58.31" personId="{8FAC794C-7F68-471A-875D-528AAC11E696}" id="{6E683318-4701-4565-9912-6B097555CDA3}">
    <text>Affected by PM and guide rope shoe breakdown at lobe shaft combined downtime of 11.5hours</text>
  </threadedComment>
  <threadedComment ref="O11" dT="2025-06-09T13:32:15.28" personId="{8FAC794C-7F68-471A-875D-528AAC11E696}" id="{237F96EA-44B0-4114-99FF-E7FC0D22C6E3}">
    <text xml:space="preserve">Late re-entry due to Burnett shaft rope bad coiling, doubling down from 14:00 to 20:38hrs </text>
  </threadedComment>
  <threadedComment ref="R47" dT="2025-06-12T09:02:19.36" personId="{8FAC794C-7F68-471A-875D-528AAC11E696}" id="{213BF69C-77C9-4A2B-8DD3-B8099C15E3C0}">
    <text xml:space="preserve">Ore reporting to the old stope </text>
  </threadedComment>
  <threadedComment ref="AE69" dT="2025-06-25T06:29:42.07" personId="{994C6E65-2BBF-4319-A746-A5B6CF7B6790}" id="{1F1786DD-43D2-45BC-9FD0-FC9DCEC32CE1}">
    <text>scrapping material</text>
  </threadedComment>
  <threadedComment ref="AJ76" dT="2025-06-30T13:22:21.95" personId="{994C6E65-2BBF-4319-A746-A5B6CF7B6790}" id="{BBA7105E-08F6-4846-AF74-0D4806336320}">
    <text>bench narrowing</text>
  </threadedComment>
  <threadedComment ref="AJ83" dT="2025-06-30T05:11:45.71" personId="{994C6E65-2BBF-4319-A746-A5B6CF7B6790}" id="{08E65A33-08DC-4AA2-BC0E-7EE8DCE35D59}">
    <text>scrapp]ng material</text>
  </threadedComment>
  <threadedComment ref="AJ90" dT="2025-06-30T13:21:03.78" personId="{994C6E65-2BBF-4319-A746-A5B6CF7B6790}" id="{F96444D3-D42F-429F-A33B-003DEE5BE5A3}">
    <text>lobeshaft breakdown 14hrs</text>
  </threadedComment>
  <threadedComment ref="AF104" dT="2025-06-26T06:44:45.94" personId="{994C6E65-2BBF-4319-A746-A5B6CF7B6790}" id="{8BB4E4DD-2793-4D47-97AE-2D36803D7F62}">
    <text>Scrapping material</text>
  </threadedComment>
  <threadedComment ref="AI104" dT="2025-06-29T06:06:37.34" personId="{994C6E65-2BBF-4319-A746-A5B6CF7B6790}" id="{DE9B7170-3E53-4709-BAF2-24D358EE7B03}">
    <text>scrapping material</text>
  </threadedComment>
  <threadedComment ref="AJ111" dT="2025-06-30T13:20:11.95" personId="{994C6E65-2BBF-4319-A746-A5B6CF7B6790}" id="{411EDF84-4639-4D3C-BA04-CD3BEFB05ED9}">
    <text>lobeshaft breakdown 14hrs</text>
  </threadedComment>
  <threadedComment ref="AJ118" dT="2025-06-30T13:19:31.88" personId="{994C6E65-2BBF-4319-A746-A5B6CF7B6790}" id="{C1A6A1AC-744B-488D-82E5-2ABC6CAA17E9}">
    <text>lobe shaft breakdown 14hrs</text>
  </threadedComment>
</ThreadedComments>
</file>

<file path=xl/threadedComments/threadedComment5.xml><?xml version="1.0" encoding="utf-8"?>
<ThreadedComments xmlns="http://schemas.microsoft.com/office/spreadsheetml/2018/threadedcomments" xmlns:x="http://schemas.openxmlformats.org/spreadsheetml/2006/main">
  <threadedComment ref="L11" dT="2025-05-06T12:45:41.10" personId="{8D4427CA-0287-44F8-9CE0-4FBAF6550C26}" id="{3DF330D9-142F-40AB-B320-F546B77AED2C}">
    <text>Low generation in 6L level due to hanging wall collapses in 6LW10 stope</text>
  </threadedComment>
  <threadedComment ref="M11" dT="2025-05-07T07:21:02.13" personId="{8D4427CA-0287-44F8-9CE0-4FBAF6550C26}" id="{4CF476DD-B9A7-47AD-977D-AE52545112CE}">
    <text xml:space="preserve">- 4L stopes not cleaned due to poor labor turn out on 05.05.25 night shift   </text>
  </threadedComment>
  <threadedComment ref="H13" dT="2025-05-02T12:43:50.37" personId="{3AC10C52-AAC1-4420-83E7-15412D0CA4BB}" id="{F73FB4D9-586F-43B7-A131-623E7E9DCC6E}">
    <text>Holiday no sampling done used previous date</text>
  </threadedComment>
  <threadedComment ref="K13" dT="2025-05-05T05:10:17.25" personId="{BAD3C6A7-31B7-4725-BBD3-62DE70EC1E70}" id="{F675D77C-DC3B-43AD-852B-AA4E800FE403}">
    <text>No sampling done grades inferred</text>
  </threadedComment>
  <threadedComment ref="V19" dT="2025-05-16T07:27:03.09" personId="{8FAC794C-7F68-471A-875D-528AAC11E696}" id="{B288E343-290B-450B-9BE6-5E2446B6868C}">
    <text xml:space="preserve">Lashing one machine lashing accumulation </text>
  </threadedComment>
  <threadedComment ref="I22" dT="2025-05-03T14:05:27.81" personId="{CD0FC582-7D54-4286-B54C-191C08ABD6D1}" id="{EACC4389-C8DB-4FDF-91E8-DA823CC66BEE}">
    <text>Mining to retreat eastwards</text>
  </threadedComment>
  <threadedComment ref="L22" dT="2025-05-06T12:46:41.10" personId="{D8CF5E2C-0417-4468-9418-F09794DDBB76}" id="{91950FB6-4545-457E-ABD6-0B4BD19913AF}">
    <text>Benching low grade potion for running angle on SL1.</text>
  </threadedComment>
  <threadedComment ref="M22" dT="2025-05-07T12:59:22.96" personId="{D8CF5E2C-0417-4468-9418-F09794DDBB76}" id="{2F97211A-95A4-4C6C-9D94-509932EEC6D8}">
    <text>Benching low grade potion for running angle on SL1.</text>
  </threadedComment>
  <threadedComment ref="N22" dT="2025-05-08T12:49:52.54" personId="{CF8A13F1-C2D3-49AF-A38F-84B96D1BF65C}" id="{2A19D8C4-2311-4163-A4CA-4F5460949F65}">
    <text>creating running angle in poorly mineralised zone, one machine moved to con-drive for blending</text>
  </threadedComment>
  <threadedComment ref="O22" dT="2025-05-09T13:00:43.08" personId="{7DD73DA1-C958-4869-A33F-18556C908969}" id="{08CD203B-DD50-48AD-B0F5-911F7FD4173A}">
    <text>Benching low grade BIF to create running angle for ore movement</text>
  </threadedComment>
  <threadedComment ref="P22" dT="2025-05-10T12:58:24.06" personId="{7DD73DA1-C958-4869-A33F-18556C908969}" id="{26CEEC2E-DF08-4484-922A-04F0B9CC449E}">
    <text>Benching low grade BIF southwards to create running angle for ore movement</text>
  </threadedComment>
  <threadedComment ref="Q22" dT="2025-05-11T13:18:12.85" personId="{7DD73DA1-C958-4869-A33F-18556C908969}" id="{678E885F-85A7-4D46-9911-9C9AEC1085C4}">
    <text>Starting new cut on the southern limb</text>
  </threadedComment>
  <threadedComment ref="S22" dT="2025-05-13T14:11:33.35" personId="{46A9EB79-C2B8-45F6-B4D1-49E6B89F6349}" id="{64E28553-BDB2-46A8-B324-17CD2A216169}">
    <text>Grade to continue as mining on the south continues</text>
  </threadedComment>
  <threadedComment ref="T22" dT="2025-05-14T13:01:02.76" personId="{D8CF5E2C-0417-4468-9418-F09794DDBB76}" id="{42E06278-56CA-4914-9C53-8537110E5EC4}">
    <text>Grade to Improve as mining continues on the southern side.</text>
  </threadedComment>
  <threadedComment ref="U22" dT="2025-05-15T13:18:27.21" personId="{CD0FC582-7D54-4286-B54C-191C08ABD6D1}" id="{8AC7FEFD-168C-4F14-A4F2-C7825A29DF3B}">
    <text>Grade to improve with benching</text>
  </threadedComment>
  <threadedComment ref="X22" dT="2025-05-18T12:14:07.89" personId="{CF8A13F1-C2D3-49AF-A38F-84B96D1BF65C}" id="{765CD1E3-3A40-49A4-A6C6-508BA5A07706}">
    <text>stope grade diluted by poorly mineralised portion being mined for running angle</text>
  </threadedComment>
  <threadedComment ref="Z22" dT="2025-05-20T12:18:39.62" personId="{D8CF5E2C-0417-4468-9418-F09794DDBB76}" id="{9D7ECE1B-2534-46A4-B020-03347A8D5DDE}">
    <text>stope grade diluted by poorly mineralised portion being mined for running angle</text>
  </threadedComment>
  <threadedComment ref="M33" dT="2025-05-07T13:22:44.70" personId="{E42FB195-6F9E-4D97-9000-50DE22316B67}" id="{06B94171-6410-4884-A046-FBB60A69C65B}">
    <text>Poor labour turnout on the cleaning shift</text>
  </threadedComment>
  <threadedComment ref="J36" dT="2025-05-05T12:09:39.69" personId="{BAD3C6A7-31B7-4725-BBD3-62DE70EC1E70}" id="{BBE9A444-3256-42F8-BD41-71D0BE8AF2A6}">
    <text>Grade to improve as we take the eastern bench</text>
  </threadedComment>
  <threadedComment ref="L36" dT="2025-05-06T12:50:06.14" personId="{D8CF5E2C-0417-4468-9418-F09794DDBB76}" id="{5532C6A3-E2CC-4CA5-AE2B-8B91C3305573}">
    <text>Bench visually looking mineralized, continuous monitoring</text>
  </threadedComment>
  <threadedComment ref="N36" dT="2025-05-08T12:50:59.06" personId="{CF8A13F1-C2D3-49AF-A38F-84B96D1BF65C}" id="{1E1092E0-07D1-486C-8AD4-2A5812409620}">
    <text>lowly mineralised western bench holed, machine moved to create new cut</text>
  </threadedComment>
  <threadedComment ref="O36" dT="2025-05-09T12:55:41.17" personId="{7DD73DA1-C958-4869-A33F-18556C908969}" id="{9478382D-B6F6-4F82-BD23-A1D7035BE1DB}">
    <text xml:space="preserve">Slypped to reef limit, to start benching </text>
  </threadedComment>
  <threadedComment ref="P36" dT="2025-05-10T12:59:20.34" personId="{7DD73DA1-C958-4869-A33F-18556C908969}" id="{8E20B62D-8503-4756-B58D-D9A7F40ABCF3}">
    <text>Starting new cut, grades to improve with depth</text>
  </threadedComment>
  <threadedComment ref="Q36" dT="2025-05-11T13:19:15.43" personId="{7DD73DA1-C958-4869-A33F-18556C908969}" id="{721F3411-199B-482C-8A13-8F4210A982DF}">
    <text>Benching new cut, grades to improve with depth</text>
  </threadedComment>
  <threadedComment ref="X36" dT="2025-05-18T12:14:46.03" personId="{CF8A13F1-C2D3-49AF-A38F-84B96D1BF65C}" id="{42B07BAF-AC9A-471B-8A99-353A81B107A5}">
    <text xml:space="preserve">stope visually looking ok, continuous monitoring </text>
  </threadedComment>
  <threadedComment ref="K40" dT="2025-05-05T13:43:40.87" personId="{E42FB195-6F9E-4D97-9000-50DE22316B67}" id="{94BDA20F-3994-4BE7-A853-A19E3A1944F2}">
    <text>Bench has become sour machines moved to 5W8 stope</text>
  </threadedComment>
  <threadedComment ref="L40" dT="2025-05-07T13:33:16.94" personId="{8D4427CA-0287-44F8-9CE0-4FBAF6550C26}" id="{100529AE-4D3A-4417-85D9-707BF11C5E61}">
    <text>Machines moved to 5LW8, bench become sour</text>
  </threadedComment>
  <threadedComment ref="M40" dT="2025-05-07T13:33:16.94" personId="{8D4427CA-0287-44F8-9CE0-4FBAF6550C26}" id="{19EF61D1-63ED-4083-9C34-B01D917159C6}">
    <text>Machines moved to 5LW8, bench become sour</text>
  </threadedComment>
  <threadedComment ref="R40" dT="2025-05-12T06:52:54.73" personId="{8FAC794C-7F68-471A-875D-528AAC11E696}" id="{0AB77AD6-98FA-4796-9B09-D46B17A162B3}">
    <text xml:space="preserve">Machines moved to cone drive to drill boulders. </text>
  </threadedComment>
  <threadedComment ref="T40" dT="2025-05-12T06:52:54.73" personId="{8FAC794C-7F68-471A-875D-528AAC11E696}" id="{D04E97D9-B032-403B-9750-7021AC81EC5A}">
    <text xml:space="preserve">Machines moved to cone drive to drill boulders. </text>
  </threadedComment>
  <threadedComment ref="U40" dT="2025-05-12T06:52:54.73" personId="{8FAC794C-7F68-471A-875D-528AAC11E696}" id="{8871F026-1ACD-4B2C-B353-7D50197FAA1F}">
    <text xml:space="preserve">Machines moved to cone drive to drill boulders. </text>
  </threadedComment>
  <threadedComment ref="V40" dT="2025-05-12T06:52:54.73" personId="{8FAC794C-7F68-471A-875D-528AAC11E696}" id="{FBCAA547-19C9-442E-AF7E-61BC760275DF}">
    <text xml:space="preserve">Machines moved to cone drive to drill boulders. </text>
  </threadedComment>
  <threadedComment ref="W40" dT="2025-05-12T06:52:54.73" personId="{8FAC794C-7F68-471A-875D-528AAC11E696}" id="{3DA3AE8F-F606-470F-8698-29341DCC235E}">
    <text xml:space="preserve">Machines moved to cone drive to drill boulders. </text>
  </threadedComment>
  <threadedComment ref="X40" dT="2025-05-12T06:52:54.73" personId="{8FAC794C-7F68-471A-875D-528AAC11E696}" id="{125DCF29-CC85-46DB-AD04-475F6A608266}">
    <text xml:space="preserve">Machines moved to cone drive to drill boulders. </text>
  </threadedComment>
  <threadedComment ref="Y40" dT="2025-05-12T06:52:54.73" personId="{8FAC794C-7F68-471A-875D-528AAC11E696}" id="{CDE7206E-6227-42E4-8AEF-BF72FECB9367}">
    <text xml:space="preserve">Machines moved to cone drive to drill boulders. </text>
  </threadedComment>
  <threadedComment ref="Z40" dT="2025-05-12T06:52:54.73" personId="{8FAC794C-7F68-471A-875D-528AAC11E696}" id="{912A6846-E274-43C4-A7AB-F80881DDDD1C}">
    <text xml:space="preserve">Machines moved to cone drive to drill boulders. </text>
  </threadedComment>
  <threadedComment ref="T47" dT="2025-05-14T09:36:32.89" personId="{8FAC794C-7F68-471A-875D-528AAC11E696}" id="{85CE10D6-F063-49EE-B08E-95606D8A1DBD}">
    <text xml:space="preserve">Lost tonnage for one machine due to  machine operator on Sick leave. </text>
  </threadedComment>
  <threadedComment ref="U47" dT="2025-05-15T08:00:38.11" personId="{8FAC794C-7F68-471A-875D-528AAC11E696}" id="{32E9F331-183E-489C-9F49-8B02C9195619}">
    <text xml:space="preserve">Limited bench area due to incomplete lashing. </text>
  </threadedComment>
  <threadedComment ref="I50" dT="2025-05-03T14:08:28.73" personId="{CD0FC582-7D54-4286-B54C-191C08ABD6D1}" id="{A6D7AA63-A109-46EE-B8CD-480D4327D968}">
    <text>Poorly mineralised patch, grade to improve</text>
  </threadedComment>
  <threadedComment ref="J50" dT="2025-05-05T12:11:10.55" personId="{BAD3C6A7-31B7-4725-BBD3-62DE70EC1E70}" id="{60094F9E-7C7C-4776-970C-E7E7F4ABA07D}">
    <text>Reef improving continue mining</text>
  </threadedComment>
  <threadedComment ref="L50" dT="2025-05-06T12:52:52.07" personId="{D8CF5E2C-0417-4468-9418-F09794DDBB76}" id="{14465862-CF75-4222-A5E9-C540763CE42A}">
    <text>Mineralization depleted on the catwalk, one machine moved to 3W23</text>
  </threadedComment>
  <threadedComment ref="N50" dT="2025-05-08T12:52:51.68" personId="{CF8A13F1-C2D3-49AF-A38F-84B96D1BF65C}" id="{61A901AE-146E-41E1-AEA6-F6A7162012C6}">
    <text>reef visually looking good</text>
  </threadedComment>
  <threadedComment ref="Q50" dT="2025-05-11T13:24:30.82" personId="{7DD73DA1-C958-4869-A33F-18556C908969}" id="{A44D24B9-83AB-4765-835C-49F21A19FB48}">
    <text>Mining low grade BIF patch</text>
  </threadedComment>
  <threadedComment ref="W50" dT="2025-05-17T13:26:25.95" personId="{CF8A13F1-C2D3-49AF-A38F-84B96D1BF65C}" id="{9E51EB14-382F-4A22-9741-837FEF863045}">
    <text>creating running angle in weakly mineralised zone</text>
  </threadedComment>
  <threadedComment ref="X50" dT="2025-05-18T12:15:16.30" personId="{CF8A13F1-C2D3-49AF-A38F-84B96D1BF65C}" id="{5C3E7A79-A193-4D8B-918A-96D009881886}">
    <text>grade improving going eastwards</text>
  </threadedComment>
  <threadedComment ref="Z50" dT="2025-05-20T12:51:36.94" personId="{CF8A13F1-C2D3-49AF-A38F-84B96D1BF65C}" id="{32C3BDFA-4453-4CC3-BE62-4764A1A2D143}">
    <text>slyping eastwards to extend bench, grade to improve</text>
  </threadedComment>
  <threadedComment ref="I54" dT="2025-05-05T13:51:43.18" personId="{E42FB195-6F9E-4D97-9000-50DE22316B67}" id="{48BF81D4-0F78-4ABE-8703-2FFBE89827E7}">
    <text>Orepass full</text>
  </threadedComment>
  <threadedComment ref="J54" dT="2025-05-05T13:51:43.18" personId="{E42FB195-6F9E-4D97-9000-50DE22316B67}" id="{7CC32981-EA95-4FF0-BCA3-A1B440DC0603}">
    <text>Orepass full</text>
  </threadedComment>
  <threadedComment ref="K54" dT="2025-05-05T13:51:23.59" personId="{E42FB195-6F9E-4D97-9000-50DE22316B67}" id="{4AC36820-24AA-4F93-B38D-C385A4DD1CE8}">
    <text>Low labour turnout on Sunday</text>
  </threadedComment>
  <threadedComment ref="M54" dT="2025-05-07T13:46:15.06" personId="{E42FB195-6F9E-4D97-9000-50DE22316B67}" id="{AE9697A1-79CD-4D77-9647-59D9274A6A63}">
    <text>Managing accumulations</text>
  </threadedComment>
  <threadedComment ref="R54" dT="2025-05-12T06:51:11.66" personId="{8FAC794C-7F68-471A-875D-528AAC11E696}" id="{C7D1DC24-903F-42ED-ABA5-566F845A55AB}">
    <text xml:space="preserve">Machines moved to 5W8 due to drilling space constraints </text>
  </threadedComment>
  <threadedComment ref="T54" dT="2025-05-14T09:35:30.47" personId="{8FAC794C-7F68-471A-875D-528AAC11E696}" id="{60775D8A-7C22-4416-B8DC-B6AB7FEDB707}">
    <text xml:space="preserve">One machine moved to 5 level due to space constraints, The other machine operator is on sick leave.  </text>
  </threadedComment>
  <threadedComment ref="U54" dT="2025-05-15T07:31:41.13" personId="{8FAC794C-7F68-471A-875D-528AAC11E696}" id="{DC79D025-9132-4C4F-972E-8B5398B82D29}">
    <text xml:space="preserve">machine moved to 5W8 due to space constraints </text>
  </threadedComment>
  <threadedComment ref="Y54" dT="2025-05-19T06:24:55.89" personId="{8FAC794C-7F68-471A-875D-528AAC11E696}" id="{359B95DA-21FF-4983-9443-E0FBCEF13E30}">
    <text xml:space="preserve">Machines moved to 5W8 due to space constraints </text>
  </threadedComment>
  <threadedComment ref="N57" dT="2025-05-08T12:53:39.59" personId="{CF8A13F1-C2D3-49AF-A38F-84B96D1BF65C}" id="{3C50366B-4B56-4A7B-9D7E-DCE7F509D10E}">
    <text>reef pinching, bench about to hole, moving to new cut</text>
  </threadedComment>
  <threadedComment ref="I71" dT="2025-05-03T14:09:18.80" personId="{CD0FC582-7D54-4286-B54C-191C08ABD6D1}" id="{BF1BE285-0935-4D28-B989-BA8A297B992A}">
    <text>Shrinkage stope in low grade patch.</text>
  </threadedComment>
  <threadedComment ref="N71" dT="2025-05-08T12:46:32.68" personId="{D8CF5E2C-0417-4468-9418-F09794DDBB76}" id="{82029970-8F05-4B76-AF1E-6CF2832ADD5D}">
    <text>Not sampled, trammed grade used .</text>
  </threadedComment>
  <threadedComment ref="P71" dT="2025-05-10T13:00:44.30" personId="{7DD73DA1-C958-4869-A33F-18556C908969}" id="{C290315C-7E5E-4511-B216-6FD8E65DEDFB}">
    <text>Shrinkage stope in low grade patch.</text>
  </threadedComment>
  <threadedComment ref="S71" dT="2025-05-13T14:10:07.33" personId="{46A9EB79-C2B8-45F6-B4D1-49E6B89F6349}" id="{7D02DBFB-351B-480E-8BC7-1CE08E14F95B}">
    <text>Bad patch</text>
  </threadedComment>
  <threadedComment ref="Z71" dT="2025-05-20T12:21:04.77" personId="{D8CF5E2C-0417-4468-9418-F09794DDBB76}" id="{952A9729-FA18-43C5-BDC6-16872D6DFBE7}">
    <text>Shrinkage stope in low grade patch.</text>
  </threadedComment>
  <threadedComment ref="Y76" dT="2025-05-19T13:19:57.98" personId="{994C6E65-2BBF-4319-A746-A5B6CF7B6790}" id="{268A68CD-7C7B-4D4D-B4F5-AD9832A8C4BA}">
    <text>numerous pipe bursts</text>
  </threadedComment>
  <threadedComment ref="I78" dT="2025-05-03T13:54:22.90" personId="{BAD3C6A7-31B7-4725-BBD3-62DE70EC1E70}" id="{0D377437-882C-4F44-A88C-0D54FEDC75CB}">
    <text>On reef continue mining as guided</text>
  </threadedComment>
  <threadedComment ref="L78" dT="2025-05-06T12:56:27.82" personId="{D8CF5E2C-0417-4468-9418-F09794DDBB76}" id="{F92E1D6A-7636-40A6-B2F0-17BC19DE71CB}">
    <text>Weakly mineralize BIF patch</text>
  </threadedComment>
  <threadedComment ref="X78" dT="2025-05-18T12:16:34.63" personId="{CF8A13F1-C2D3-49AF-A38F-84B96D1BF65C}" id="{B9F3AF94-473D-44F8-9982-959FF7A61D05}">
    <text>weakly mineralised BIF patch</text>
  </threadedComment>
  <threadedComment ref="Y83" dT="2025-05-19T13:20:35.15" personId="{994C6E65-2BBF-4319-A746-A5B6CF7B6790}" id="{8C0A0B07-5897-4D11-B417-069B84910EBC}">
    <text>numerous pipe bursts</text>
  </threadedComment>
  <threadedComment ref="I85" dT="2025-05-03T13:55:05.79" personId="{BAD3C6A7-31B7-4725-BBD3-62DE70EC1E70}" id="{38EAA7B8-B0EC-486C-B679-2BC6DB7B75DD}">
    <text>On reef continue mining as guided</text>
  </threadedComment>
  <threadedComment ref="L85" dT="2025-05-06T12:55:07.81" personId="{D8CF5E2C-0417-4468-9418-F09794DDBB76}" id="{30F1C658-BE67-4FAD-B173-F0533F31DB79}">
    <text>Trammed grade, awaiting assay results</text>
  </threadedComment>
  <threadedComment ref="Q85" dT="2025-05-11T13:23:39.16" personId="{7DD73DA1-C958-4869-A33F-18556C908969}" id="{C405A0FE-1E0C-4823-8B50-48D803E21F09}">
    <text>Visually okay, to continue monitoring the grade</text>
  </threadedComment>
  <threadedComment ref="X85" dT="2025-05-18T12:17:05.33" personId="{CF8A13F1-C2D3-49AF-A38F-84B96D1BF65C}" id="{073AB901-172B-4315-8B78-41128391F3BB}">
    <text>stope visually looks okay</text>
  </threadedComment>
  <threadedComment ref="I89" dT="2025-05-03T14:10:24.60" personId="{CD0FC582-7D54-4286-B54C-191C08ABD6D1}" id="{74BC884D-F5F0-4575-8FE0-4FA74ECB715E}">
    <text>Internal waste affects the grade.</text>
  </threadedComment>
  <threadedComment ref="T89" dT="2025-05-14T09:52:13.67" personId="{8FAC794C-7F68-471A-875D-528AAC11E696}" id="{8AAD3CCE-8395-4EEC-9BBF-E01156F3D593}">
    <text xml:space="preserve">Drilling crew lashing accumulations. </text>
  </threadedComment>
  <threadedComment ref="Y90" dT="2025-05-19T13:21:20.24" personId="{994C6E65-2BBF-4319-A746-A5B6CF7B6790}" id="{7777841C-71A5-4FBE-B21B-AB02899C08D5}">
    <text>pipe bursts</text>
  </threadedComment>
  <threadedComment ref="J92" dT="2025-05-05T12:00:35.09" personId="{BAD3C6A7-31B7-4725-BBD3-62DE70EC1E70}" id="{5B734045-8412-46E5-8C85-EB861DF0E129}">
    <text>Grade to improve as we slype further North</text>
  </threadedComment>
  <threadedComment ref="Q92" dT="2025-05-11T13:24:04.46" personId="{7DD73DA1-C958-4869-A33F-18556C908969}" id="{278C3917-3854-4727-A13E-1F7F14236BEB}">
    <text>Visually okay, to continue monitoring the grade</text>
  </threadedComment>
  <threadedComment ref="X92" dT="2025-05-18T12:17:53.15" personId="{CF8A13F1-C2D3-49AF-A38F-84B96D1BF65C}" id="{FCA3B1CC-2CA4-48DA-AB3B-85B1525157FF}">
    <text>fairly mineralised BIF portion, grade to improve</text>
  </threadedComment>
  <threadedComment ref="Y97" dT="2025-05-19T13:22:16.73" personId="{994C6E65-2BBF-4319-A746-A5B6CF7B6790}" id="{D786EF8E-37B9-4957-97AE-4533CAE9CD65}">
    <text>pipe bursts</text>
  </threadedComment>
  <threadedComment ref="J99" dT="2025-05-05T12:01:23.15" personId="{BAD3C6A7-31B7-4725-BBD3-62DE70EC1E70}" id="{F1AEFACA-A4E3-4FCC-A339-F4F4519550E7}">
    <text>To continue mining as guided</text>
  </threadedComment>
  <threadedComment ref="J99" dT="2025-05-05T12:07:18.35" personId="{BAD3C6A7-31B7-4725-BBD3-62DE70EC1E70}" id="{D6EC3AF8-B203-43B5-B334-57763AD1CA06}" parentId="{F1AEFACA-A4E3-4FCC-A339-F4F4519550E7}">
    <text>Grade to improve as we slype further North</text>
  </threadedComment>
  <threadedComment ref="M99" dT="2025-05-07T11:44:48.45" personId="{BAD3C6A7-31B7-4725-BBD3-62DE70EC1E70}" id="{2CE91475-9B45-4903-8FAC-3E35E729B78D}">
    <text>Not sampled yesterday used previous grade</text>
  </threadedComment>
  <threadedComment ref="P99" dT="2025-05-10T13:08:26.84" personId="{7DD73DA1-C958-4869-A33F-18556C908969}" id="{EA696FB5-896F-48DA-A69C-E6E844B28050}">
    <text>Visually good, to continue monitoring stope.</text>
  </threadedComment>
  <threadedComment ref="T99" dT="2025-05-14T12:56:02.10" personId="{D8CF5E2C-0417-4468-9418-F09794DDBB76}" id="{2EA84CB1-DD38-4EF5-8749-A7CE435991B0}">
    <text>Stopped slyping now benching, grade to improve.</text>
  </threadedComment>
  <threadedComment ref="U99" dT="2025-05-15T13:15:04.62" personId="{CD0FC582-7D54-4286-B54C-191C08ABD6D1}" id="{218CD087-4D8B-4A09-8EEA-18FCFDA76272}">
    <text>Grade to improve as mining continues with benching</text>
  </threadedComment>
  <threadedComment ref="Z99" dT="2025-05-20T12:24:01.97" personId="{D8CF5E2C-0417-4468-9418-F09794DDBB76}" id="{4BB3D2C4-9BC2-4E19-8F0D-BCB0CC0361F3}">
    <text>Visually good stope to improve with benching.</text>
  </threadedComment>
  <threadedComment ref="Y104" dT="2025-05-19T13:23:00.68" personId="{994C6E65-2BBF-4319-A746-A5B6CF7B6790}" id="{D1548DFA-32AB-45AB-AC83-76852961B68E}">
    <text>water pipe bursts</text>
  </threadedComment>
  <threadedComment ref="M106" dT="2025-05-07T12:38:55.12" personId="{BAD3C6A7-31B7-4725-BBD3-62DE70EC1E70}" id="{DF179E6F-8F45-4817-BD18-4EE278798903}">
    <text xml:space="preserve">Inclusion of Chlorite Schist middling but on reef
</text>
  </threadedComment>
  <threadedComment ref="O106" dT="2025-05-09T13:07:12.16" personId="{7DD73DA1-C958-4869-A33F-18556C908969}" id="{941BA051-FCDE-4317-9DF6-2E5DF872FB9B}">
    <text>Reef visually good, to continue monitoring stope.</text>
  </threadedComment>
  <threadedComment ref="P106" dT="2025-05-10T13:02:52.79" personId="{7DD73DA1-C958-4869-A33F-18556C908969}" id="{69018ED0-9B30-4FC0-81CE-C5AFBFE55BC4}">
    <text>Narrow waste meddling within the reef.</text>
  </threadedComment>
  <threadedComment ref="U106" dT="2025-05-15T13:08:09.25" personId="{CD0FC582-7D54-4286-B54C-191C08ABD6D1}" id="{CD504426-F354-44C7-9D69-C0BE27BFFFBD}">
    <text>Inclusion of chlorite schist middling</text>
  </threadedComment>
  <threadedComment ref="I110" dT="2025-05-03T14:28:12.86" personId="{8D4427CA-0287-44F8-9CE0-4FBAF6550C26}" id="{B1770FFF-3C01-4692-9016-6B95909FFEF3}">
    <text xml:space="preserve">Mining W10 whilst managing low grade material from W15A </text>
  </threadedComment>
  <threadedComment ref="M110" dT="2025-05-07T06:58:50.09" personId="{8D4427CA-0287-44F8-9CE0-4FBAF6550C26}" id="{F8307889-882A-478D-A1E1-3CEB8A311274}">
    <text>Finishing off cone slyping</text>
  </threadedComment>
  <threadedComment ref="R110" dT="2025-05-12T07:20:39.94" personId="{8FAC794C-7F68-471A-875D-528AAC11E696}" id="{BE863D6E-4850-4D0A-824F-0F665326A1F6}">
    <text>incomplete lashing due off sicks</text>
  </threadedComment>
  <threadedComment ref="U110" dT="2025-05-15T08:11:08.46" personId="{8FAC794C-7F68-471A-875D-528AAC11E696}" id="{E749C249-9015-4781-83F5-ACAEACDACF6E}">
    <text xml:space="preserve">No drilling due to accumulation, suspended draw by Geology due to grade control  </text>
  </threadedComment>
  <threadedComment ref="V110" dT="2025-05-15T08:11:08.46" personId="{8FAC794C-7F68-471A-875D-528AAC11E696}" id="{7183C4FD-8BB5-4174-A11B-1D991D4833EA}">
    <text xml:space="preserve">No drilling due to accumulation, suspended draw by Geology due to grade control  </text>
  </threadedComment>
  <threadedComment ref="M113" dT="2025-05-07T12:16:18.49" personId="{BAD3C6A7-31B7-4725-BBD3-62DE70EC1E70}" id="{C9B141AA-DD40-4A98-96D8-BBE2C7914234}">
    <text>Finishing conning today machines going to SBL2</text>
  </threadedComment>
  <threadedComment ref="N113" dT="2025-05-08T12:56:03.34" personId="{CF8A13F1-C2D3-49AF-A38F-84B96D1BF65C}" id="{8103C5AE-B31B-4B81-BF23-7686158CB537}">
    <text>slyping on sub 1 to expose pay zone</text>
  </threadedComment>
  <threadedComment ref="O113" dT="2025-05-09T13:04:10.01" personId="{7DD73DA1-C958-4869-A33F-18556C908969}" id="{D3DDB27E-B60E-41F5-BA90-459B43449DB5}">
    <text>Conning in weakly mineralized BIF</text>
  </threadedComment>
  <threadedComment ref="X113" dT="2025-05-18T12:19:15.33" personId="{CF8A13F1-C2D3-49AF-A38F-84B96D1BF65C}" id="{9095208D-03FE-42B5-A653-548CCD27F2CD}">
    <text>wider mining width incorporating poorly mineralised zone, for ground control purposes</text>
  </threadedComment>
  <threadedComment ref="Z113" dT="2025-05-20T12:46:04.39" personId="{CF8A13F1-C2D3-49AF-A38F-84B96D1BF65C}" id="{FD65BB2D-15BF-45CF-AE1F-617DCF858AFC}">
    <text>poorly mineralised patch, continuous monitoring.</text>
  </threadedComment>
  <threadedComment ref="I117" dT="2025-05-03T14:23:09.68" personId="{8D4427CA-0287-44F8-9CE0-4FBAF6550C26}" id="{A429E3FC-8A8D-4BCC-B869-F17FD5A70F21}">
    <text xml:space="preserve">Currently mining W10 whilst managing low grade material from W15A </text>
  </threadedComment>
  <threadedComment ref="R117" dT="2025-05-12T07:23:06.55" personId="{8FAC794C-7F68-471A-875D-528AAC11E696}" id="{345E5185-AC11-4C8E-8281-81EB7E809532}">
    <text xml:space="preserve">Incomplete lashing due off sicks </text>
  </threadedComment>
  <threadedComment ref="N120" dT="2025-05-08T12:57:31.90" personId="{CF8A13F1-C2D3-49AF-A38F-84B96D1BF65C}" id="{0FEEFD6B-B110-427F-B036-F24DD4195BD2}">
    <text>conning in weakly mineralised BIF</text>
  </threadedComment>
  <threadedComment ref="O120" dT="2025-05-09T13:04:57.86" personId="{7DD73DA1-C958-4869-A33F-18556C908969}" id="{D83D59B4-2E19-4522-97B9-B5C4D08F04FD}">
    <text>Slypping on Sb1 to expose paying zone</text>
  </threadedComment>
  <threadedComment ref="P120" dT="2025-05-10T13:03:47.09" personId="{7DD73DA1-C958-4869-A33F-18556C908969}" id="{97FF3800-C9D8-4D19-94A2-5B3563FBCBBC}">
    <text>Slypping northwards to expose pay limit</text>
  </threadedComment>
  <threadedComment ref="X120" dT="2025-05-18T12:18:41.04" personId="{CF8A13F1-C2D3-49AF-A38F-84B96D1BF65C}" id="{1C15D160-05D3-41A9-97B8-525747B8FDCA}">
    <text xml:space="preserve">mining incorporating weakly mineralised BIF zone for ground control </text>
  </threadedComment>
  <threadedComment ref="Z120" dT="2025-05-20T12:47:20.94" personId="{CF8A13F1-C2D3-49AF-A38F-84B96D1BF65C}" id="{78328A3A-12F1-4E36-9AFB-5C3A8F637BDB}">
    <text>poorly mineralised BIF patch, continuous monitoring.</text>
  </threadedComment>
</ThreadedComments>
</file>

<file path=xl/threadedComments/threadedComment6.xml><?xml version="1.0" encoding="utf-8"?>
<ThreadedComments xmlns="http://schemas.microsoft.com/office/spreadsheetml/2018/threadedcomments" xmlns:x="http://schemas.openxmlformats.org/spreadsheetml/2006/main">
  <threadedComment ref="AD11" dT="2025-04-22T13:45:48.15" personId="{8D4427CA-0287-44F8-9CE0-4FBAF6550C26}" id="{3815EBC5-0271-4F6F-B951-11DF60A07E43}">
    <text>Poor labor turnout affecting stoping operations</text>
  </threadedComment>
  <threadedComment ref="V13" dT="2025-04-14T13:05:29.41" personId="{CD0FC582-7D54-4286-B54C-191C08ABD6D1}" id="{5737AF61-3C64-47B8-A070-EF2F742B3679}">
    <text>No sampling on Sunday used previous assay result.</text>
  </threadedComment>
  <threadedComment ref="X13" dT="2025-04-16T13:26:39.40" personId="{CF8A13F1-C2D3-49AF-A38F-84B96D1BF65C}" id="{F0830E7C-7952-49D0-80D9-FA9B607999CC}">
    <text>Awaiting assay results for bottom section stopes</text>
  </threadedComment>
  <threadedComment ref="X13" dT="2025-04-16T13:30:42.25" personId="{46A9EB79-C2B8-45F6-B4D1-49E6B89F6349}" id="{8819BA05-AC9D-4A61-AAB0-9864658E3364}" parentId="{F0830E7C-7952-49D0-80D9-FA9B607999CC}">
    <text>Samplers erroneously put core samples on P1.</text>
  </threadedComment>
  <threadedComment ref="Y13" dT="2025-04-17T13:30:40.02" personId="{CD0FC582-7D54-4286-B54C-191C08ABD6D1}" id="{76335B9F-8005-47F9-9297-0888466663A9}">
    <text xml:space="preserve">Bottom section assay values pending  </text>
  </threadedComment>
  <threadedComment ref="K19" dT="2025-04-03T06:31:30.68" personId="{8FAC794C-7F68-471A-875D-528AAC11E696}" id="{6B00F828-326F-40FD-9CC2-5C1F621506EE}">
    <text xml:space="preserve">one machine drilled due to limited bench area guided by Geology </text>
  </threadedComment>
  <threadedComment ref="L19" dT="2025-04-03T06:31:30.68" personId="{8FAC794C-7F68-471A-875D-528AAC11E696}" id="{92A491C8-7AC7-4A91-970C-9E67CBB49285}">
    <text xml:space="preserve">one machine drilled due to limited bench area guided by Geology </text>
  </threadedComment>
  <threadedComment ref="M19" dT="2025-04-03T06:31:30.68" personId="{8FAC794C-7F68-471A-875D-528AAC11E696}" id="{F32A166F-D938-4301-B81C-621C668B96B2}">
    <text xml:space="preserve">one machine drilled due to limited bench area guided by Geology </text>
  </threadedComment>
  <threadedComment ref="N19" dT="2025-04-03T06:31:30.68" personId="{8FAC794C-7F68-471A-875D-528AAC11E696}" id="{D0500D9D-F333-46B3-A9D4-0729A62DF826}">
    <text xml:space="preserve">one machine drilled due to limited bench area guided by Geology </text>
  </threadedComment>
  <threadedComment ref="O19" dT="2025-04-03T06:31:30.68" personId="{8FAC794C-7F68-471A-875D-528AAC11E696}" id="{15158C3F-2905-4397-A98D-037CC812906F}">
    <text xml:space="preserve">one machine drilled due to limited bench area guided by Geology </text>
  </threadedComment>
  <threadedComment ref="P19" dT="2025-04-03T06:31:30.68" personId="{8FAC794C-7F68-471A-875D-528AAC11E696}" id="{77C6BECA-564C-40C0-9000-7D354E666F7C}">
    <text xml:space="preserve">one machine drilled due to limited bench area guided by Geology </text>
  </threadedComment>
  <threadedComment ref="Q19" dT="2025-04-03T06:31:30.68" personId="{8FAC794C-7F68-471A-875D-528AAC11E696}" id="{496CDD2E-A50B-4B8F-96EE-2E5961398253}">
    <text xml:space="preserve">one machine drilled due to limited bench area guided by Geology </text>
  </threadedComment>
  <threadedComment ref="R19" dT="2025-04-03T06:31:30.68" personId="{8FAC794C-7F68-471A-875D-528AAC11E696}" id="{5BD161E8-7E04-45C7-A9D1-C2F1CF6B713F}">
    <text xml:space="preserve">one machine drilled due to limited bench area guided by Geology </text>
  </threadedComment>
  <threadedComment ref="S19" dT="2025-04-03T06:31:30.68" personId="{8FAC794C-7F68-471A-875D-528AAC11E696}" id="{FA39909A-1118-4D65-BCFC-151DEF383075}">
    <text xml:space="preserve">one machine drilled due to limited bench area guided by Geology </text>
  </threadedComment>
  <threadedComment ref="J22" dT="2025-04-02T12:46:14.75" personId="{CD0FC582-7D54-4286-B54C-191C08ABD6D1}" id="{DD83CD60-43E5-4284-8014-0581E26F425E}">
    <text>To mine the 1.3m silicified and mineralised BIF</text>
  </threadedComment>
  <threadedComment ref="K22" dT="2025-04-03T12:57:07.60" personId="{CD0FC582-7D54-4286-B54C-191C08ABD6D1}" id="{53434F07-148F-4903-BF4A-83053691BCB1}">
    <text>Reef limits now clear grade to improve as mining retreat eastwards.</text>
  </threadedComment>
  <threadedComment ref="Q22" dT="2025-04-09T13:19:20.70" personId="{46A9EB79-C2B8-45F6-B4D1-49E6B89F6349}" id="{C7C95A51-DE7E-4A02-B39D-4B42DC7B0519}">
    <text>No issues reef looks good</text>
  </threadedComment>
  <threadedComment ref="Z22" dT="2025-04-18T10:30:58.57" personId="{CD0FC582-7D54-4286-B54C-191C08ABD6D1}" id="{CEF7F07F-1670-4D07-9C3E-244098FB3B17}">
    <text>In the same BIF, stope to improve</text>
  </threadedComment>
  <threadedComment ref="AE22" dT="2025-04-23T13:16:01.74" personId="{CD0FC582-7D54-4286-B54C-191C08ABD6D1}" id="{CDA4CFC9-D837-43AC-BBD6-4EF15FE2FFFE}">
    <text>Slyping on Sub1 to expose the pay zone. Grade to improve as machine moves back to the cone drive.</text>
  </threadedComment>
  <threadedComment ref="AF22" dT="2025-04-24T12:51:46.54" personId="{D8CF5E2C-0417-4468-9418-F09794DDBB76}" id="{4DE9CF8F-A893-41DF-BCEA-3799D1563A9A}">
    <text>Slyping to expose paying zone.</text>
  </threadedComment>
  <threadedComment ref="P36" dT="2025-04-08T12:51:04.56" personId="{CD0FC582-7D54-4286-B54C-191C08ABD6D1}" id="{2532C48C-A071-4119-A1D5-FB2BCC548E31}">
    <text>Waste patch encountered (un-mineralised limonitic BIF) on the northern contact.</text>
  </threadedComment>
  <threadedComment ref="Q36" dT="2025-04-09T12:19:27.25" personId="{CF8A13F1-C2D3-49AF-A38F-84B96D1BF65C}" id="{7C3A4F08-CC76-48CE-BE98-3A5E6278493A}">
    <text>barren magnetic BIF on the northern contact, western slyping.</text>
  </threadedComment>
  <threadedComment ref="S36" dT="2025-04-11T13:10:16.00" personId="{3AC10C52-AAC1-4420-83E7-15412D0CA4BB}" id="{29740314-2CD3-4F73-8616-CF5D85CD418C}">
    <text>Barren magnetic BIF on the northern contact of the bench</text>
  </threadedComment>
  <threadedComment ref="V36" dT="2025-04-14T13:17:22.52" personId="{CD0FC582-7D54-4286-B54C-191C08ABD6D1}" id="{58BE59F8-274A-4110-9FE4-73E43D5F48C0}">
    <text>Slyping of the western side stopped, to start the eastern side of the stope.</text>
  </threadedComment>
  <threadedComment ref="Y36" dT="2025-04-17T13:10:46.98" personId="{7DD73DA1-C958-4869-A33F-18556C908969}" id="{292FD82D-3A7E-4346-8D3F-F752CA4E89D8}">
    <text>Poorly mineralized silicified BIF patch, to continue monitoring</text>
  </threadedComment>
  <threadedComment ref="Z36" dT="2025-04-18T10:29:57.61" personId="{CD0FC582-7D54-4286-B54C-191C08ABD6D1}" id="{FE9BAE03-F187-41CD-BD2C-E78522FB6778}">
    <text>Poorly mineralised BIF, to contniue monitoring the stope</text>
  </threadedComment>
  <threadedComment ref="AF36" dT="2025-04-24T12:56:34.40" personId="{7DD73DA1-C958-4869-A33F-18556C908969}" id="{DC543F8A-9CA6-401E-85FB-233801F91636}">
    <text>Poorly mineralized BIF, to continue monitoring stope</text>
  </threadedComment>
  <threadedComment ref="AF47" dT="2025-04-24T07:11:39.32" personId="{8FAC794C-7F68-471A-875D-528AAC11E696}" id="{6DE87AFC-332D-4ED6-AA3C-DFBA8E85B171}">
    <text xml:space="preserve">One machine drilling collapsed boulders in the cone drive. </text>
  </threadedComment>
  <threadedComment ref="K50" dT="2025-04-03T12:17:48.80" personId="{CD0FC582-7D54-4286-B54C-191C08ABD6D1}" id="{33311F96-0F79-4D56-B2E8-93BB70956E29}">
    <text>The reef is well mineralised</text>
  </threadedComment>
  <threadedComment ref="P50" dT="2025-04-08T12:52:23.33" personId="{CD0FC582-7D54-4286-B54C-191C08ABD6D1}" id="{4140E58C-2E82-4CFC-B418-E85160A9F461}">
    <text>Benching the catwalk part - low mineralisation (Last bench) -grades will improve with dip.</text>
  </threadedComment>
  <threadedComment ref="Q50" dT="2025-04-09T12:21:23.88" personId="{CF8A13F1-C2D3-49AF-A38F-84B96D1BF65C}" id="{115E0BED-1452-4318-9093-17468C9351DC}">
    <text>benching top part of catwalk, poorly mneralised. Grades to improve with dip.</text>
  </threadedComment>
  <threadedComment ref="R50" dT="2025-04-10T13:27:12.42" personId="{46A9EB79-C2B8-45F6-B4D1-49E6B89F6349}" id="{25F12A39-EB7F-4988-8B14-46EBC7CEC598}">
    <text>Grades depressed reef looks ok. Monitoring the stope.</text>
  </threadedComment>
  <threadedComment ref="W50" dT="2025-04-15T13:35:22.48" personId="{CD0FC582-7D54-4286-B54C-191C08ABD6D1}" id="{F95A82B1-1748-4B99-B8D2-E62CAB361AE1}">
    <text>Narrow chlorite schist self mining and dilutes broken ore.</text>
  </threadedComment>
  <threadedComment ref="X50" dT="2025-04-16T13:26:09.38" personId="{CF8A13F1-C2D3-49AF-A38F-84B96D1BF65C}" id="{AA05030D-E51D-4328-B469-C7D5E2BFE351}">
    <text>Narrow schist on southern contact self-mining, low grade silicified BIF.</text>
  </threadedComment>
  <threadedComment ref="Y50" dT="2025-04-17T13:12:07.80" personId="{7DD73DA1-C958-4869-A33F-18556C908969}" id="{DAD1E505-00DB-45C1-9DEC-F047A2C803CF}">
    <text>Low grade silicified BIF with narrow Schist on Southern contact.</text>
  </threadedComment>
  <threadedComment ref="AD50" dT="2025-04-22T12:24:04.09" personId="{CD0FC582-7D54-4286-B54C-191C08ABD6D1}" id="{8C6557B5-9DF0-4569-8926-CBC58500D262}">
    <text>In weak mineralisation, monitoring the stope grade but grade to improve</text>
  </threadedComment>
  <threadedComment ref="AE50" dT="2025-04-23T13:14:05.87" personId="{CD0FC582-7D54-4286-B54C-191C08ABD6D1}" id="{A8151A7A-7C86-4C86-A444-A8F37D6CF29E}">
    <text>Grade to improve as the bench gets to strongly mineralised patchy.</text>
  </threadedComment>
  <threadedComment ref="AF50" dT="2025-04-24T13:07:30.81" personId="{D8CF5E2C-0417-4468-9418-F09794DDBB76}" id="{382DF69D-0190-4BE5-B386-CF390F9867D8}">
    <text>Reclamation of catwalk, poorly mineralised. Grade to improve with depth</text>
  </threadedComment>
  <threadedComment ref="P54" dT="2025-04-08T13:08:39.10" personId="{8FAC794C-7F68-471A-875D-528AAC11E696}" id="{97BDED07-324D-4888-BDBB-DC5F40976A00}">
    <text>Poor labour turnout affecting lashing for bench preparation.</text>
  </threadedComment>
  <threadedComment ref="Q54" dT="2025-04-08T13:08:39.10" personId="{8FAC794C-7F68-471A-875D-528AAC11E696}" id="{35DA5A3A-647D-444B-AB76-228A262543BB}">
    <text xml:space="preserve">Production stopped due to safety reasons, drilling to resume after development start drilling break breakaways  </text>
  </threadedComment>
  <threadedComment ref="AE57" dT="2025-04-23T13:18:08.16" personId="{CD0FC582-7D54-4286-B54C-191C08ABD6D1}" id="{D8473173-EFB1-4D32-9506-0890B992EA24}">
    <text>Waiting for assay results. Used previous grade</text>
  </threadedComment>
  <threadedComment ref="W61" dT="2025-04-15T07:22:50.81" personId="{8FAC794C-7F68-471A-875D-528AAC11E696}" id="{7316B052-ED7B-4300-8CE0-0FACAE5E2CD7}">
    <text xml:space="preserve">Reef pinching </text>
  </threadedComment>
  <threadedComment ref="X61" dT="2025-04-15T07:22:50.81" personId="{8FAC794C-7F68-471A-875D-528AAC11E696}" id="{24D8F45A-210C-437B-9E5A-486B6D4C3FE2}">
    <text xml:space="preserve">Reef pinching </text>
  </threadedComment>
  <threadedComment ref="M64" dT="2025-04-05T13:07:08.33" personId="{CD0FC582-7D54-4286-B54C-191C08ABD6D1}" id="{760CEDEC-8006-461D-92F8-B9E9E1B39A4B}">
    <text>Patch with barren BIF</text>
  </threadedComment>
  <threadedComment ref="AD64" dT="2025-04-22T12:28:06.28" personId="{CD0FC582-7D54-4286-B54C-191C08ABD6D1}" id="{D6782E80-A951-47BD-8CD4-12F6AD8C70BA}">
    <text>Barren BIF affects the overall grade.</text>
  </threadedComment>
  <threadedComment ref="Q71" dT="2025-04-09T13:02:43.37" personId="{46A9EB79-C2B8-45F6-B4D1-49E6B89F6349}" id="{0AB94728-6F8A-405D-B01E-4D99C30CFD85}">
    <text xml:space="preserve">Internal waste </text>
  </threadedComment>
  <threadedComment ref="AC71" dT="2025-04-21T13:39:00.25" personId="{3AC10C52-AAC1-4420-83E7-15412D0CA4BB}" id="{B932813E-93A8-4239-B022-33D8F6650270}">
    <text>No sampling of this stope on Sundays, adopted previous grade</text>
  </threadedComment>
  <threadedComment ref="AD71" dT="2025-04-22T12:28:56.37" personId="{CD0FC582-7D54-4286-B54C-191C08ABD6D1}" id="{C113CF63-7568-4863-8C3C-31584BA01BD7}">
    <text xml:space="preserve">Barren BIF affects the overall stope grade
</text>
  </threadedComment>
  <threadedComment ref="AE71" dT="2025-04-23T13:20:46.74" personId="{CD0FC582-7D54-4286-B54C-191C08ABD6D1}" id="{81694D2A-4286-42D2-80A6-B8451F27307C}">
    <text>Shrinking a barren BIF as a result of ground conditions - difficult to isolate</text>
  </threadedComment>
  <threadedComment ref="T75" dT="2025-04-14T07:17:08.12" personId="{8D4427CA-0287-44F8-9CE0-4FBAF6550C26}" id="{233DC902-9319-4035-8600-5D25F6639EB8}">
    <text>No drilling water in sub drives</text>
  </threadedComment>
  <threadedComment ref="AE75" dT="2025-04-23T13:43:37.09" personId="{46A9EB79-C2B8-45F6-B4D1-49E6B89F6349}" id="{D7ED08A1-85C3-41D2-AB5D-F5E97E0DCCE6}">
    <text>Managing accumulations arising from low labour turnout on the 21st</text>
  </threadedComment>
  <threadedComment ref="N78" dT="2025-04-06T18:24:40.20" personId="{CD0FC582-7D54-4286-B54C-191C08ABD6D1}" id="{59FA7EC7-182C-4295-B653-002D6EE170AD}">
    <text>Re-assay (used previous grade)</text>
  </threadedComment>
  <threadedComment ref="W78" dT="2025-04-15T13:06:42.01" personId="{7DD73DA1-C958-4869-A33F-18556C908969}" id="{4CAEEB9B-0052-48AC-B60C-47794D9A96DB}">
    <text>Visually okay, to continue monitoring progress as mining advances.</text>
  </threadedComment>
  <threadedComment ref="AC78" dT="2025-04-21T13:38:03.45" personId="{3AC10C52-AAC1-4420-83E7-15412D0CA4BB}" id="{D5CF6FAA-CB6B-4E4B-B3C1-553022EB035C}">
    <text>Used previous grade, No sampling of 6Level stopes on Sundays</text>
  </threadedComment>
  <threadedComment ref="N85" dT="2025-04-06T18:24:55.21" personId="{CD0FC582-7D54-4286-B54C-191C08ABD6D1}" id="{7E4CE0E2-39AD-4507-9AC7-A6BD70ED2EA0}">
    <text>Re-assay (used previous grade)</text>
  </threadedComment>
  <threadedComment ref="O85" dT="2025-04-07T12:19:40.69" personId="{CD0FC582-7D54-4286-B54C-191C08ABD6D1}" id="{41B65495-85DA-410B-BFC2-45CD559EE498}">
    <text>Shaping the cone, mining the southern contact with low mineralisation</text>
  </threadedComment>
  <threadedComment ref="Q85" dT="2025-04-09T13:15:45.91" personId="{46A9EB79-C2B8-45F6-B4D1-49E6B89F6349}" id="{A32B8FE2-94C7-4657-9191-62820CFDAB62}">
    <text>The reef looks ok. Continue to monitor performance.</text>
  </threadedComment>
  <threadedComment ref="R85" dT="2025-04-10T12:08:21.75" personId="{3AC10C52-AAC1-4420-83E7-15412D0CA4BB}" id="{A8B5EB45-5177-420E-9945-646B2841D5C4}">
    <text>On reef continuous monitoring being done</text>
  </threadedComment>
  <threadedComment ref="S85" dT="2025-04-11T11:06:28.21" personId="{3AC10C52-AAC1-4420-83E7-15412D0CA4BB}" id="{B4E3B0A4-147C-41AD-92DA-3295AD7818EC}">
    <text>Continue mining as guided</text>
  </threadedComment>
  <threadedComment ref="W85" dT="2025-04-15T13:13:02.32" personId="{7DD73DA1-C958-4869-A33F-18556C908969}" id="{70A6DF46-F761-4104-A48D-97259B2C7336}">
    <text>Barren Cherty BIF middling</text>
  </threadedComment>
  <threadedComment ref="AC85" dT="2025-04-21T13:37:15.73" personId="{3AC10C52-AAC1-4420-83E7-15412D0CA4BB}" id="{4C8E6B25-50D6-4E04-86B6-10DF2B9E3EBD}">
    <text>Used previous grade, No sampling of 6Level stopes on Sundays</text>
  </threadedComment>
  <threadedComment ref="AF85" dT="2025-04-24T12:50:56.19" personId="{D8CF5E2C-0417-4468-9418-F09794DDBB76}" id="{DF05F164-E5A6-4486-B96B-6ADF8D1AC247}">
    <text>Awaiting assays</text>
  </threadedComment>
  <threadedComment ref="N92" dT="2025-04-06T18:25:17.55" personId="{CD0FC582-7D54-4286-B54C-191C08ABD6D1}" id="{EBDA338E-6C5C-4557-8AC7-287F69E7B1CA}">
    <text>Re-assay (Used previous grade)</text>
  </threadedComment>
  <threadedComment ref="V92" dT="2025-04-14T13:05:42.19" personId="{3AC10C52-AAC1-4420-83E7-15412D0CA4BB}" id="{021DEF04-B0A7-438A-B57B-BF0DF930CE2F}">
    <text>Waste middling (unpaying chlorite schist)</text>
  </threadedComment>
  <threadedComment ref="AC92" dT="2025-04-21T13:27:54.15" personId="{3AC10C52-AAC1-4420-83E7-15412D0CA4BB}" id="{621146DB-CEBB-46ED-AB55-3B1ECE15496F}">
    <text>Used previous grade as we don’t samples 6Level on Sundays</text>
  </threadedComment>
  <threadedComment ref="AF92" dT="2025-04-24T12:49:28.43" personId="{D8CF5E2C-0417-4468-9418-F09794DDBB76}" id="{8DD1E0FE-DD92-4F69-A6C7-8E575BE812E2}">
    <text>Awaiting assays</text>
  </threadedComment>
  <threadedComment ref="J96" dT="2025-04-02T14:07:39.94" personId="{8D4427CA-0287-44F8-9CE0-4FBAF6550C26}" id="{3C0158AF-D2AC-4349-AE06-3917D4F3B7A9}">
    <text>labour challenges for the 2nd machine. Recruitment still in progress</text>
  </threadedComment>
  <threadedComment ref="K96" dT="2025-04-03T05:57:09.43" personId="{8D4427CA-0287-44F8-9CE0-4FBAF6550C26}" id="{786F2ED3-6B28-4F24-BC08-8BABD05BF4D4}">
    <text>Labour challenges for the 2nd machine. recruitment in process</text>
  </threadedComment>
  <threadedComment ref="P96" dT="2025-04-08T05:42:18.12" personId="{8D4427CA-0287-44F8-9CE0-4FBAF6550C26}" id="{0991D5A3-C86D-4733-92B9-7308004BEECB}">
    <text>Labour issues for the 15th machine</text>
  </threadedComment>
  <threadedComment ref="Q96" dT="2025-04-09T05:58:41.68" personId="{8D4427CA-0287-44F8-9CE0-4FBAF6550C26}" id="{D9BAA7FE-110E-44AD-BA02-97074B16ACEA}">
    <text>Labor issues for the 15th machine</text>
  </threadedComment>
  <threadedComment ref="O99" dT="2025-04-07T12:10:34.66" personId="{CD0FC582-7D54-4286-B54C-191C08ABD6D1}" id="{E294414D-7D87-47CA-866B-DFA94BF406B8}">
    <text>On low grade patch and will improve</text>
  </threadedComment>
  <threadedComment ref="Q99" dT="2025-04-09T13:16:55.93" personId="{46A9EB79-C2B8-45F6-B4D1-49E6B89F6349}" id="{DD1A7E1E-0CBB-4AD8-934E-44CB280EFE57}">
    <text xml:space="preserve">Not sampled.. </text>
  </threadedComment>
  <threadedComment ref="S99" dT="2025-04-11T11:07:06.56" personId="{3AC10C52-AAC1-4420-83E7-15412D0CA4BB}" id="{3FF11F04-3B17-4044-B832-A02DA9504F6E}">
    <text>Sampled but not blasted</text>
  </threadedComment>
  <threadedComment ref="V99" dT="2025-04-14T13:27:01.52" personId="{CD0FC582-7D54-4286-B54C-191C08ABD6D1}" id="{A811AD13-338F-4E5F-87F3-9A15BCFF1069}">
    <text xml:space="preserve">Mining a weakly mineralised patch but will improve.
</text>
  </threadedComment>
  <threadedComment ref="AB99" dT="2025-04-20T11:19:08.29" personId="{CD0FC582-7D54-4286-B54C-191C08ABD6D1}" id="{00671BEC-FBA2-481D-8FB9-A67C30ED4049}">
    <text xml:space="preserve">Monitoring stope performance </text>
  </threadedComment>
  <threadedComment ref="AC99" dT="2025-04-21T13:31:35.18" personId="{3AC10C52-AAC1-4420-83E7-15412D0CA4BB}" id="{21F585E2-8479-448B-8A01-9F3983785391}">
    <text>Used previous grade, No sampling of 6L stopes on Sundays</text>
  </threadedComment>
  <threadedComment ref="AE99" dT="2025-04-23T13:24:52.81" personId="{CD0FC582-7D54-4286-B54C-191C08ABD6D1}" id="{BD49049C-C87C-426D-9B62-5F8042FD090B}">
    <text>Barren BIF but grade to improve</text>
  </threadedComment>
  <threadedComment ref="AF99" dT="2025-04-24T12:48:56.95" personId="{D8CF5E2C-0417-4468-9418-F09794DDBB76}" id="{3BAB4F0E-B806-434B-B5B7-E4C20DA851BA}">
    <text xml:space="preserve">Awaiting assays </text>
  </threadedComment>
  <threadedComment ref="AE103" dT="2025-04-23T07:36:33.23" personId="{8D4427CA-0287-44F8-9CE0-4FBAF6550C26}" id="{D02F5B80-92A1-48E8-A134-5F748F97D535}">
    <text>Reef pinching, other machine deployed to w10 and w14</text>
  </threadedComment>
  <threadedComment ref="AF103" dT="2025-04-24T05:03:05.26" personId="{8D4427CA-0287-44F8-9CE0-4FBAF6550C26}" id="{FE65DD1E-1001-475C-998E-D28339319BF1}">
    <text xml:space="preserve">Machines deployed to W10 and W14 after reef pinching </text>
  </threadedComment>
  <threadedComment ref="M106" dT="2025-04-05T13:05:42.38" personId="{CD0FC582-7D54-4286-B54C-191C08ABD6D1}" id="{5F03BA45-2BAE-4123-9449-8B41A335779B}">
    <text>The reef is fine anticipate an improvement</text>
  </threadedComment>
  <threadedComment ref="O106" dT="2025-04-07T12:15:14.34" personId="{CD0FC582-7D54-4286-B54C-191C08ABD6D1}" id="{EBF65782-7C3C-421D-9F3F-649AB40A60BA}">
    <text>Reef is okay with an internal barren BIF</text>
  </threadedComment>
  <threadedComment ref="R106" dT="2025-04-10T13:14:59.32" personId="{46A9EB79-C2B8-45F6-B4D1-49E6B89F6349}" id="{D82EDC72-4747-4CC6-821E-D3E12F935D30}">
    <text>Bench not fully cleaned, machines moved to slype towards the west. Grade to improve.</text>
  </threadedComment>
  <threadedComment ref="S106" dT="2025-04-11T11:07:36.05" personId="{3AC10C52-AAC1-4420-83E7-15412D0CA4BB}" id="{F2B302AF-81E4-483A-8973-E92DFDECE619}">
    <text>Sampled but not blasted</text>
  </threadedComment>
  <threadedComment ref="W106" dT="2025-04-15T13:16:15.54" personId="{7DD73DA1-C958-4869-A33F-18556C908969}" id="{6FC8C61E-D107-4F82-A20C-6AC22CF87933}">
    <text>Chlorite schist middling (waste)</text>
  </threadedComment>
  <threadedComment ref="AC106" dT="2025-04-21T13:36:09.03" personId="{3AC10C52-AAC1-4420-83E7-15412D0CA4BB}" id="{797D660E-BDE7-4882-A561-F0980AC0FB4E}">
    <text>Used previous grade, No sampling of 6Level stopes on Sunday</text>
  </threadedComment>
  <threadedComment ref="R110" dT="2025-04-10T14:13:06.66" personId="{E42FB195-6F9E-4D97-9000-50DE22316B67}" id="{F253EA20-922E-4E64-9C05-0F5EDA594F02}">
    <text>Machine drilled support</text>
  </threadedComment>
  <threadedComment ref="L113" dT="2025-04-04T18:39:36.08" personId="{CD0FC582-7D54-4286-B54C-191C08ABD6D1}" id="{42E1A1A9-664C-432F-B0C9-9A3B3F22415D}">
    <text>The northern contact in barren BIF, reduce the mining width.</text>
  </threadedComment>
  <threadedComment ref="R113" dT="2025-04-10T13:15:41.73" personId="{46A9EB79-C2B8-45F6-B4D1-49E6B89F6349}" id="{EA43ECAA-6E91-44AD-94F0-EB5895E3D770}">
    <text>Not sampled No Machine</text>
  </threadedComment>
  <threadedComment ref="AC113" dT="2025-04-21T13:33:29.16" personId="{3AC10C52-AAC1-4420-83E7-15412D0CA4BB}" id="{A10BE134-E95C-40D5-ADF0-898C7E6A0B92}">
    <text>Used previous grade, No sampling of 6L stopes on Sundays</text>
  </threadedComment>
  <threadedComment ref="Q117" dT="2025-04-09T05:57:01.91" personId="{8D4427CA-0287-44F8-9CE0-4FBAF6550C26}" id="{29F91D4D-822D-4340-ACD5-F3CB8670398C}">
    <text xml:space="preserve">Machine updating Support </text>
  </threadedComment>
  <threadedComment ref="L120" dT="2025-04-04T18:40:20.18" personId="{CD0FC582-7D54-4286-B54C-191C08ABD6D1}" id="{348AE23B-DABA-4CA1-B3DD-AFD84DCD156A}">
    <text>Reef is fine and grade will improve</text>
  </threadedComment>
  <threadedComment ref="M120" dT="2025-04-05T13:03:17.85" personId="{CD0FC582-7D54-4286-B54C-191C08ABD6D1}" id="{001FA398-C939-4168-BC57-87FAF6F618E6}">
    <text>Barren BIF in the northern contact in the west side of the orepass. Stopped this end to start the eastern side of the ore pass in the northern contact.</text>
  </threadedComment>
  <threadedComment ref="N120" dT="2025-04-06T18:26:39.13" personId="{CD0FC582-7D54-4286-B54C-191C08ABD6D1}" id="{A2274604-8057-45D3-933D-75B071ADC0FB}">
    <text>Slyping the internal Barren BIF to get to the other parallel</text>
  </threadedComment>
  <threadedComment ref="P120" dT="2025-04-08T12:59:53.81" personId="{CD0FC582-7D54-4286-B54C-191C08ABD6D1}" id="{38979FDC-B01B-4AE3-A7C1-38641931D511}">
    <text xml:space="preserve">Slyping the internal Barren BIF to get to the other parallel
</text>
  </threadedComment>
  <threadedComment ref="Q120" dT="2025-04-09T13:18:37.06" personId="{46A9EB79-C2B8-45F6-B4D1-49E6B89F6349}" id="{4B0557A3-AD4C-43C5-8FB1-D89A8B6701B7}">
    <text>Not sampled</text>
  </threadedComment>
  <threadedComment ref="W120" dT="2025-04-15T13:17:30.27" personId="{7DD73DA1-C958-4869-A33F-18556C908969}" id="{C350F5AF-3488-4819-9960-EDADA06742F7}">
    <text>Barren BIF and mining of this patch stopped</text>
  </threadedComment>
  <threadedComment ref="AC120" dT="2025-04-21T13:35:03.06" personId="{3AC10C52-AAC1-4420-83E7-15412D0CA4BB}" id="{5DB433CF-9AF6-444A-920A-A82BB868E396}">
    <text>Used previous grade, No sampling of 6L stopes on sundays</text>
  </threadedComment>
</ThreadedComments>
</file>

<file path=xl/threadedComments/threadedComment7.xml><?xml version="1.0" encoding="utf-8"?>
<ThreadedComments xmlns="http://schemas.microsoft.com/office/spreadsheetml/2018/threadedcomments" xmlns:x="http://schemas.openxmlformats.org/spreadsheetml/2006/main">
  <threadedComment ref="K11" dT="2025-04-05T08:46:38.98" personId="{8FAC794C-7F68-471A-875D-528AAC11E696}" id="{AE7766FF-C3FE-4826-AAA7-B7B62352FCE7}">
    <text xml:space="preserve">power outages affecting tramming </text>
  </threadedComment>
  <threadedComment ref="L11" dT="2025-04-05T08:41:21.99" personId="{8FAC794C-7F68-471A-875D-528AAC11E696}" id="{C2C5279D-AE84-4DC0-8C15-7F3C2F9C89BD}">
    <text xml:space="preserve">power outages affecting tramming 
</text>
  </threadedComment>
  <threadedComment ref="I68" dT="2025-04-02T13:31:48.80" personId="{8D4427CA-0287-44F8-9CE0-4FBAF6550C26}" id="{72361425-F9E8-4DB6-BA09-25DC0393A541}">
    <text>Tramming affected by hoist unavailability due to pump failures in the shaft</text>
  </threadedComment>
</ThreadedComments>
</file>

<file path=xl/threadedComments/threadedComment8.xml><?xml version="1.0" encoding="utf-8"?>
<ThreadedComments xmlns="http://schemas.microsoft.com/office/spreadsheetml/2018/threadedcomments" xmlns:x="http://schemas.openxmlformats.org/spreadsheetml/2006/main">
  <threadedComment ref="H68" dT="2025-04-02T13:31:48.80" personId="{8D4427CA-0287-44F8-9CE0-4FBAF6550C26}" id="{197DA39F-CAE5-4EA1-9CB3-0401DCCAD5AB}">
    <text>Tramming affected by hoist unavailability due to pump failures in the shaft</text>
  </threadedComment>
</ThreadedComments>
</file>

<file path=xl/threadedComments/threadedComment9.xml><?xml version="1.0" encoding="utf-8"?>
<ThreadedComments xmlns="http://schemas.microsoft.com/office/spreadsheetml/2018/threadedcomments" xmlns:x="http://schemas.openxmlformats.org/spreadsheetml/2006/main">
  <threadedComment ref="AJ22" dT="2025-02-26T13:52:20.25" personId="{46A9EB79-C2B8-45F6-B4D1-49E6B89F6349}" id="{9EDD9DB4-0108-4CCA-989E-B6898DD78C87}">
    <text>Small low grade internal patch, overally  bench is ok.</text>
  </threadedComment>
  <threadedComment ref="AI43" dT="2025-02-25T09:35:16.98" personId="{46A9EB79-C2B8-45F6-B4D1-49E6B89F6349}" id="{37993794-3DC7-427E-BE1D-13CADE6FEDF2}">
    <text>On Hold Lower grades than projected</text>
  </threadedComment>
  <threadedComment ref="AI50" dT="2025-02-25T09:36:10.73" personId="{46A9EB79-C2B8-45F6-B4D1-49E6B89F6349}" id="{28004669-DC59-4B94-B77A-25241D66B32A}">
    <text>Grade on call, but we are seeing a internal waste middling, to monitor as we blast.</text>
  </threadedComment>
</ThreadedComments>
</file>

<file path=xl/threadedComments/threadedComment10.xml><?xml version="1.0" encoding="utf-8"?>
<ThreadedComments xmlns="http://schemas.microsoft.com/office/spreadsheetml/2018/threadedcomments" xmlns:x="http://schemas.openxmlformats.org/spreadsheetml/2006/main">
  <threadedComment ref="AJ22" dT="2025-02-26T13:52:20.25" personId="{46A9EB79-C2B8-45F6-B4D1-49E6B89F6349}" id="{93A25F1D-23B7-4283-9796-F14CA85103F8}">
    <text>Small low grade internal patch, overally  bench is ok.</text>
  </threadedComment>
  <threadedComment ref="AI43" dT="2025-02-25T09:35:16.98" personId="{46A9EB79-C2B8-45F6-B4D1-49E6B89F6349}" id="{B8133110-4F89-4BF9-8BBD-DBE9B4BE70CB}">
    <text>On Hold Lower grades than projected</text>
  </threadedComment>
  <threadedComment ref="AI50" dT="2025-02-25T09:36:10.73" personId="{46A9EB79-C2B8-45F6-B4D1-49E6B89F6349}" id="{EDA6FD8A-6EA2-4632-8EBC-67C26AEC0D7B}">
    <text>Grade on call, but we are seeing a internal waste middling, to monitor as we blast.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9.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4.xml"/><Relationship Id="rId4" Type="http://schemas.microsoft.com/office/2017/10/relationships/threadedComment" Target="../threadedComments/threadedComment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6.xml"/><Relationship Id="rId4" Type="http://schemas.microsoft.com/office/2017/10/relationships/threadedComment" Target="../threadedComments/threadedComment10.xml"/></Relationships>
</file>

<file path=xl/worksheets/_rels/sheet3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C45EF-D5C4-4BAE-A922-67F596AF3B5D}">
  <sheetPr codeName="Sheet1">
    <tabColor rgb="FF00B050"/>
  </sheetPr>
  <dimension ref="A1:AF38"/>
  <sheetViews>
    <sheetView zoomScale="85" zoomScaleNormal="85" workbookViewId="0">
      <pane xSplit="2" ySplit="1" topLeftCell="C19" activePane="bottomRight" state="frozen"/>
      <selection pane="topRight" activeCell="C1" sqref="C1"/>
      <selection pane="bottomLeft" activeCell="A2" sqref="A2"/>
      <selection pane="bottomRight" activeCell="I28" sqref="I28"/>
    </sheetView>
  </sheetViews>
  <sheetFormatPr defaultRowHeight="15" x14ac:dyDescent="0.25"/>
  <cols>
    <col min="1" max="1" width="13.7109375" customWidth="1"/>
    <col min="2" max="2" width="13.28515625" customWidth="1"/>
    <col min="3" max="14" width="9.5703125" customWidth="1"/>
  </cols>
  <sheetData>
    <row r="1" spans="1:14" ht="20.100000000000001" customHeight="1" thickBot="1" x14ac:dyDescent="0.3">
      <c r="A1" s="105"/>
      <c r="B1" s="106"/>
      <c r="C1" s="115">
        <v>45658</v>
      </c>
      <c r="D1" s="115">
        <v>45689</v>
      </c>
      <c r="E1" s="115">
        <v>45717</v>
      </c>
      <c r="F1" s="115">
        <v>45748</v>
      </c>
      <c r="G1" s="115">
        <v>45778</v>
      </c>
      <c r="H1" s="115">
        <v>45809</v>
      </c>
      <c r="I1" s="115">
        <v>45839</v>
      </c>
      <c r="J1" s="115">
        <v>45870</v>
      </c>
      <c r="K1" s="115">
        <v>45901</v>
      </c>
      <c r="L1" s="115">
        <v>45931</v>
      </c>
      <c r="M1" s="115">
        <v>45962</v>
      </c>
      <c r="N1" s="116">
        <v>45992</v>
      </c>
    </row>
    <row r="2" spans="1:14" ht="20.100000000000001" customHeight="1" thickBot="1" x14ac:dyDescent="0.3">
      <c r="A2" s="1566" t="s">
        <v>0</v>
      </c>
      <c r="B2" s="107" t="s">
        <v>1</v>
      </c>
      <c r="C2" s="111">
        <f>'STOPE SUMMARY'!C39</f>
        <v>26210</v>
      </c>
      <c r="D2" s="109"/>
      <c r="E2" s="109"/>
      <c r="F2" s="109"/>
      <c r="G2" s="109"/>
      <c r="H2" s="109"/>
      <c r="I2" s="109"/>
      <c r="J2" s="109"/>
      <c r="K2" s="109"/>
      <c r="L2" s="109"/>
      <c r="M2" s="109"/>
      <c r="N2" s="110"/>
    </row>
    <row r="3" spans="1:14" ht="20.100000000000001" customHeight="1" x14ac:dyDescent="0.25">
      <c r="A3" s="1567"/>
      <c r="B3" s="1139" t="s">
        <v>2</v>
      </c>
      <c r="C3" s="121">
        <f>'STOPE SUMMARY'!D39</f>
        <v>2.2263113315528424</v>
      </c>
      <c r="D3" s="1140"/>
      <c r="E3" s="1140"/>
      <c r="F3" s="1140"/>
      <c r="G3" s="1140"/>
      <c r="H3" s="1140"/>
      <c r="I3" s="1140"/>
      <c r="J3" s="1140"/>
      <c r="K3" s="1140"/>
      <c r="L3" s="1140"/>
      <c r="M3" s="1140"/>
      <c r="N3" s="1141"/>
    </row>
    <row r="4" spans="1:14" ht="20.100000000000001" customHeight="1" x14ac:dyDescent="0.25">
      <c r="A4" s="1568"/>
      <c r="B4" s="1142" t="s">
        <v>3</v>
      </c>
      <c r="C4" s="1143">
        <f>C2*C3/1000</f>
        <v>58.351620000000004</v>
      </c>
      <c r="D4" s="1144"/>
      <c r="E4" s="1144"/>
      <c r="F4" s="1144"/>
      <c r="G4" s="1144"/>
      <c r="H4" s="1144"/>
      <c r="I4" s="1144"/>
      <c r="J4" s="1144"/>
      <c r="K4" s="1144"/>
      <c r="L4" s="1144"/>
      <c r="M4" s="1144"/>
      <c r="N4" s="1145"/>
    </row>
    <row r="5" spans="1:14" ht="20.100000000000001" customHeight="1" x14ac:dyDescent="0.25">
      <c r="A5" s="1566" t="s">
        <v>4</v>
      </c>
      <c r="B5" s="107" t="s">
        <v>1</v>
      </c>
      <c r="C5" s="1556">
        <v>36903</v>
      </c>
      <c r="D5" s="1556">
        <v>35694.950400000002</v>
      </c>
      <c r="E5" s="1556">
        <v>38339.020799999998</v>
      </c>
      <c r="F5" s="1556">
        <v>31062.639999999999</v>
      </c>
      <c r="G5" s="1556">
        <v>29352</v>
      </c>
      <c r="H5" s="1556">
        <v>26771</v>
      </c>
      <c r="I5" s="1556">
        <v>35013</v>
      </c>
      <c r="J5" s="1556">
        <v>35012.25</v>
      </c>
      <c r="K5" s="1556">
        <v>35803.839999999997</v>
      </c>
      <c r="L5" s="111"/>
      <c r="M5" s="111"/>
      <c r="N5" s="112"/>
    </row>
    <row r="6" spans="1:14" ht="20.100000000000001" customHeight="1" x14ac:dyDescent="0.25">
      <c r="A6" s="1567"/>
      <c r="B6" s="1139" t="s">
        <v>2</v>
      </c>
      <c r="C6" s="1146">
        <v>1.812595723924884</v>
      </c>
      <c r="D6" s="1146">
        <v>1.929166227388847</v>
      </c>
      <c r="E6" s="1146">
        <v>1.9740268275187669</v>
      </c>
      <c r="F6" s="1146">
        <v>2.0824062507243428</v>
      </c>
      <c r="G6" s="1167">
        <v>2.2888399427636958</v>
      </c>
      <c r="H6" s="1167">
        <v>2.3592962534085391</v>
      </c>
      <c r="I6" s="1167">
        <v>1.99606203410162</v>
      </c>
      <c r="J6" s="1167">
        <v>1.973746540139522</v>
      </c>
      <c r="K6" s="1167">
        <v>2.2359469878091289</v>
      </c>
      <c r="L6" s="1140"/>
      <c r="M6" s="1140"/>
      <c r="N6" s="1141"/>
    </row>
    <row r="7" spans="1:14" ht="20.100000000000001" customHeight="1" thickBot="1" x14ac:dyDescent="0.3">
      <c r="A7" s="1568"/>
      <c r="B7" s="1142" t="s">
        <v>3</v>
      </c>
      <c r="C7" s="1143">
        <v>58.863393599999988</v>
      </c>
      <c r="D7" s="1143">
        <v>60.598113664000003</v>
      </c>
      <c r="E7" s="1143">
        <v>66.600384927999997</v>
      </c>
      <c r="F7" s="1143">
        <v>56.922831416000022</v>
      </c>
      <c r="G7" s="1143">
        <v>59.250519538200003</v>
      </c>
      <c r="H7" s="1143">
        <v>55.581433599999997</v>
      </c>
      <c r="I7" s="1143">
        <v>61.637128552800007</v>
      </c>
      <c r="J7" s="1143">
        <v>60.81267042399999</v>
      </c>
      <c r="K7" s="1143">
        <v>70.556103970187991</v>
      </c>
      <c r="L7" s="1144"/>
      <c r="M7" s="1144"/>
      <c r="N7" s="1145"/>
    </row>
    <row r="8" spans="1:14" ht="20.100000000000001" customHeight="1" x14ac:dyDescent="0.25">
      <c r="A8" s="1566" t="s">
        <v>5</v>
      </c>
      <c r="B8" s="107" t="s">
        <v>1</v>
      </c>
      <c r="C8" s="1539">
        <v>36077</v>
      </c>
      <c r="D8" s="1540">
        <v>24871</v>
      </c>
      <c r="E8" s="1540">
        <v>22806</v>
      </c>
      <c r="F8" s="1540">
        <v>24001</v>
      </c>
      <c r="G8" s="1540">
        <v>29974</v>
      </c>
      <c r="H8" s="1540">
        <v>30245</v>
      </c>
      <c r="I8" s="1556">
        <v>23970.7</v>
      </c>
      <c r="J8" s="111"/>
      <c r="K8" s="111"/>
      <c r="L8" s="111"/>
      <c r="M8" s="111"/>
      <c r="N8" s="112"/>
    </row>
    <row r="9" spans="1:14" ht="20.100000000000001" customHeight="1" x14ac:dyDescent="0.25">
      <c r="A9" s="1567"/>
      <c r="B9" s="1139" t="s">
        <v>2</v>
      </c>
      <c r="C9" s="1543">
        <v>1.6</v>
      </c>
      <c r="D9" s="1544">
        <v>2.23</v>
      </c>
      <c r="E9" s="1544">
        <v>2.69</v>
      </c>
      <c r="F9" s="1544">
        <v>2.54</v>
      </c>
      <c r="G9" s="1544">
        <v>1.99</v>
      </c>
      <c r="H9" s="1544">
        <v>1.784754</v>
      </c>
      <c r="I9" s="1167">
        <v>2.282246075417071</v>
      </c>
      <c r="J9" s="1140"/>
      <c r="K9" s="1140"/>
      <c r="L9" s="1140"/>
      <c r="M9" s="1140"/>
      <c r="N9" s="1141"/>
    </row>
    <row r="10" spans="1:14" ht="20.100000000000001" customHeight="1" thickBot="1" x14ac:dyDescent="0.3">
      <c r="A10" s="1568"/>
      <c r="B10" s="1147" t="s">
        <v>3</v>
      </c>
      <c r="C10" s="1541">
        <v>48.5</v>
      </c>
      <c r="D10" s="1542">
        <v>47.9</v>
      </c>
      <c r="E10" s="1542">
        <v>54.9</v>
      </c>
      <c r="F10" s="1542">
        <v>54.3</v>
      </c>
      <c r="G10" s="1542">
        <v>50.9</v>
      </c>
      <c r="H10" s="1545">
        <v>45.763570000000001</v>
      </c>
      <c r="I10" s="1148">
        <v>54.707036000000002</v>
      </c>
      <c r="J10" s="1149"/>
      <c r="K10" s="1149"/>
      <c r="L10" s="1149"/>
      <c r="M10" s="1149"/>
      <c r="N10" s="1546"/>
    </row>
    <row r="11" spans="1:14" ht="20.100000000000001" customHeight="1" thickBot="1" x14ac:dyDescent="0.3">
      <c r="A11" s="217"/>
      <c r="B11" s="218"/>
      <c r="C11" s="219"/>
      <c r="D11" s="219"/>
      <c r="E11" s="220"/>
      <c r="F11" s="220"/>
      <c r="G11" s="220"/>
      <c r="H11" s="220"/>
      <c r="I11" s="220"/>
      <c r="J11" s="220"/>
      <c r="K11" s="220"/>
      <c r="L11" s="220"/>
      <c r="M11" s="220"/>
      <c r="N11" s="221"/>
    </row>
    <row r="12" spans="1:14" ht="20.100000000000001" customHeight="1" x14ac:dyDescent="0.25">
      <c r="A12" s="1566" t="s">
        <v>6</v>
      </c>
      <c r="B12" s="215" t="s">
        <v>1</v>
      </c>
      <c r="C12" s="216">
        <f>'STOPE SUMMARY'!EQ40</f>
        <v>1050</v>
      </c>
      <c r="D12" s="1012">
        <f>D32</f>
        <v>980</v>
      </c>
      <c r="E12" s="1012">
        <f t="shared" ref="E12:F12" si="0">E32</f>
        <v>2345</v>
      </c>
      <c r="F12" s="1012">
        <f t="shared" si="0"/>
        <v>980</v>
      </c>
      <c r="G12" s="113"/>
      <c r="H12" s="113"/>
      <c r="I12" s="113"/>
      <c r="J12" s="113"/>
      <c r="K12" s="113"/>
      <c r="L12" s="113"/>
      <c r="M12" s="113"/>
      <c r="N12" s="114"/>
    </row>
    <row r="13" spans="1:14" ht="20.100000000000001" customHeight="1" x14ac:dyDescent="0.25">
      <c r="A13" s="1567"/>
      <c r="B13" s="1139" t="s">
        <v>2</v>
      </c>
      <c r="C13" s="1146">
        <f>'STOPE SUMMARY'!ER40</f>
        <v>1.05</v>
      </c>
      <c r="D13" s="1146">
        <f t="shared" ref="D13:F13" si="1">D33</f>
        <v>1.81</v>
      </c>
      <c r="E13" s="1146">
        <f t="shared" si="1"/>
        <v>2.4409192355977121</v>
      </c>
      <c r="F13" s="1146">
        <f t="shared" si="1"/>
        <v>1.42</v>
      </c>
      <c r="G13" s="1140"/>
      <c r="H13" s="1140"/>
      <c r="I13" s="1140"/>
      <c r="J13" s="1140"/>
      <c r="K13" s="1140"/>
      <c r="L13" s="1140"/>
      <c r="M13" s="1140"/>
      <c r="N13" s="1141"/>
    </row>
    <row r="14" spans="1:14" ht="20.100000000000001" customHeight="1" thickBot="1" x14ac:dyDescent="0.3">
      <c r="A14" s="1568"/>
      <c r="B14" s="1142" t="s">
        <v>3</v>
      </c>
      <c r="C14" s="1143">
        <f>C12*C13/1000</f>
        <v>1.1025</v>
      </c>
      <c r="D14" s="1143">
        <f t="shared" ref="D14:F14" si="2">D34</f>
        <v>1.5609440000000001</v>
      </c>
      <c r="E14" s="1143">
        <f t="shared" si="2"/>
        <v>5.0370809345794392</v>
      </c>
      <c r="F14" s="1143">
        <f t="shared" si="2"/>
        <v>1.2246079999999999</v>
      </c>
      <c r="G14" s="1144"/>
      <c r="H14" s="1144"/>
      <c r="I14" s="1144"/>
      <c r="J14" s="1144"/>
      <c r="K14" s="1144"/>
      <c r="L14" s="1144"/>
      <c r="M14" s="1144"/>
      <c r="N14" s="1145"/>
    </row>
    <row r="15" spans="1:14" ht="20.100000000000001" customHeight="1" thickBot="1" x14ac:dyDescent="0.3">
      <c r="A15" s="217"/>
      <c r="B15" s="218"/>
      <c r="C15" s="219"/>
      <c r="D15" s="219"/>
      <c r="E15" s="220"/>
      <c r="F15" s="220"/>
      <c r="G15" s="220"/>
      <c r="H15" s="220"/>
      <c r="I15" s="220"/>
      <c r="J15" s="220"/>
      <c r="K15" s="220"/>
      <c r="L15" s="220"/>
      <c r="M15" s="220"/>
      <c r="N15" s="221"/>
    </row>
    <row r="16" spans="1:14" ht="20.100000000000001" customHeight="1" x14ac:dyDescent="0.25">
      <c r="A16" s="1566" t="s">
        <v>7</v>
      </c>
      <c r="B16" s="107" t="s">
        <v>1</v>
      </c>
      <c r="C16" s="108">
        <v>5555</v>
      </c>
      <c r="D16" s="108">
        <v>6576</v>
      </c>
      <c r="E16" s="108">
        <v>1058</v>
      </c>
      <c r="F16" s="108">
        <v>2125</v>
      </c>
      <c r="G16" s="113">
        <v>5617</v>
      </c>
      <c r="H16" s="113">
        <v>2388</v>
      </c>
      <c r="I16" s="113"/>
      <c r="J16" s="113"/>
      <c r="K16" s="113"/>
      <c r="L16" s="113"/>
      <c r="M16" s="113"/>
      <c r="N16" s="114"/>
    </row>
    <row r="17" spans="1:32" ht="20.100000000000001" customHeight="1" x14ac:dyDescent="0.25">
      <c r="A17" s="1567"/>
      <c r="B17" s="1139" t="s">
        <v>2</v>
      </c>
      <c r="C17" s="1146">
        <v>1.9943168316831681</v>
      </c>
      <c r="D17" s="1146">
        <v>2.478310523114355</v>
      </c>
      <c r="E17" s="1146">
        <v>0.8672967863894141</v>
      </c>
      <c r="F17" s="1146">
        <v>1.9113647058823531</v>
      </c>
      <c r="G17" s="1167">
        <v>1.817464838881965</v>
      </c>
      <c r="H17" s="1167">
        <v>1.3871608040201</v>
      </c>
      <c r="I17" s="1140"/>
      <c r="J17" s="1140"/>
      <c r="K17" s="1140"/>
      <c r="L17" s="1140"/>
      <c r="M17" s="1140"/>
      <c r="N17" s="1141"/>
    </row>
    <row r="18" spans="1:32" ht="20.100000000000001" customHeight="1" thickBot="1" x14ac:dyDescent="0.3">
      <c r="A18" s="1568"/>
      <c r="B18" s="1142" t="s">
        <v>3</v>
      </c>
      <c r="C18" s="1143">
        <v>11.078430000000001</v>
      </c>
      <c r="D18" s="1143">
        <v>16.297370000000001</v>
      </c>
      <c r="E18" s="1143">
        <v>0.91760000000000008</v>
      </c>
      <c r="F18" s="1143">
        <v>4.0616500000000002</v>
      </c>
      <c r="G18" s="1143">
        <v>10.2087</v>
      </c>
      <c r="H18" s="1143">
        <v>3.3125399999999989</v>
      </c>
      <c r="I18" s="1144"/>
      <c r="J18" s="1144"/>
      <c r="K18" s="1144"/>
      <c r="L18" s="1144"/>
      <c r="M18" s="1144"/>
      <c r="N18" s="1145"/>
    </row>
    <row r="20" spans="1:32" ht="15.75" thickBot="1" x14ac:dyDescent="0.3"/>
    <row r="21" spans="1:32" ht="15.75" thickBot="1" x14ac:dyDescent="0.3">
      <c r="A21" s="222"/>
      <c r="B21" s="223"/>
      <c r="C21" s="224">
        <v>45658</v>
      </c>
      <c r="D21" s="224">
        <v>45689</v>
      </c>
      <c r="E21" s="224">
        <v>45717</v>
      </c>
      <c r="F21" s="224">
        <v>45748</v>
      </c>
      <c r="G21" s="224">
        <v>45778</v>
      </c>
      <c r="H21" s="224">
        <v>45809</v>
      </c>
      <c r="I21" s="224">
        <v>45839</v>
      </c>
      <c r="J21" s="224">
        <v>45870</v>
      </c>
      <c r="K21" s="224">
        <v>45901</v>
      </c>
      <c r="L21" s="224">
        <v>45931</v>
      </c>
      <c r="M21" s="224">
        <v>45962</v>
      </c>
      <c r="N21" s="225">
        <v>45992</v>
      </c>
      <c r="O21" s="225" t="s">
        <v>8</v>
      </c>
      <c r="Q21" s="222"/>
      <c r="R21" s="223"/>
      <c r="S21" s="224" t="s">
        <v>9</v>
      </c>
      <c r="T21" s="224"/>
      <c r="U21" s="224">
        <v>45658</v>
      </c>
      <c r="V21" s="224">
        <v>45689</v>
      </c>
      <c r="W21" s="224">
        <v>45717</v>
      </c>
      <c r="X21" s="224">
        <v>45748</v>
      </c>
      <c r="Y21" s="224">
        <v>45778</v>
      </c>
      <c r="Z21" s="224">
        <v>45809</v>
      </c>
      <c r="AA21" s="224">
        <v>45839</v>
      </c>
      <c r="AB21" s="224">
        <v>45870</v>
      </c>
      <c r="AC21" s="224">
        <v>45901</v>
      </c>
      <c r="AD21" s="224">
        <v>45931</v>
      </c>
      <c r="AE21" s="224">
        <v>45962</v>
      </c>
      <c r="AF21" s="225">
        <v>45992</v>
      </c>
    </row>
    <row r="22" spans="1:32" x14ac:dyDescent="0.25">
      <c r="A22" s="1561" t="s">
        <v>0</v>
      </c>
      <c r="B22" s="107" t="s">
        <v>1</v>
      </c>
      <c r="C22" s="111">
        <v>33336</v>
      </c>
      <c r="D22" s="111">
        <v>27941</v>
      </c>
      <c r="E22" s="111">
        <v>27332</v>
      </c>
      <c r="F22" s="111">
        <v>28880</v>
      </c>
      <c r="G22" s="111">
        <v>27080</v>
      </c>
      <c r="H22" s="111">
        <v>28138</v>
      </c>
      <c r="I22" s="111">
        <v>29466</v>
      </c>
      <c r="J22" s="111">
        <v>32359</v>
      </c>
      <c r="K22" s="111">
        <v>39150</v>
      </c>
      <c r="L22" s="111">
        <v>37188</v>
      </c>
      <c r="M22" s="111">
        <v>37862</v>
      </c>
      <c r="N22" s="111">
        <v>37035</v>
      </c>
      <c r="O22" s="111">
        <f>SUM(C22:N22)</f>
        <v>385767</v>
      </c>
      <c r="P22" s="52"/>
      <c r="Q22" s="1562" t="s">
        <v>0</v>
      </c>
      <c r="R22" s="732" t="s">
        <v>1</v>
      </c>
      <c r="S22" s="733">
        <f>SUM(U22:AF22)</f>
        <v>385767</v>
      </c>
      <c r="T22" s="236"/>
      <c r="U22" s="112">
        <v>33336</v>
      </c>
      <c r="V22" s="111">
        <v>27941</v>
      </c>
      <c r="W22" s="111">
        <v>27332</v>
      </c>
      <c r="X22" s="111">
        <v>28880</v>
      </c>
      <c r="Y22" s="111">
        <v>27080</v>
      </c>
      <c r="Z22" s="111">
        <v>28138</v>
      </c>
      <c r="AA22" s="111">
        <v>29466</v>
      </c>
      <c r="AB22" s="111">
        <v>32359</v>
      </c>
      <c r="AC22" s="111">
        <v>39150</v>
      </c>
      <c r="AD22" s="111">
        <v>37188</v>
      </c>
      <c r="AE22" s="111">
        <v>37862</v>
      </c>
      <c r="AF22" s="111">
        <v>37035</v>
      </c>
    </row>
    <row r="23" spans="1:32" x14ac:dyDescent="0.25">
      <c r="A23" s="1559"/>
      <c r="B23" s="1139" t="s">
        <v>2</v>
      </c>
      <c r="C23" s="1150">
        <v>2.2400000000000002</v>
      </c>
      <c r="D23" s="1150">
        <v>2.12</v>
      </c>
      <c r="E23" s="1150">
        <v>2.4300000000000002</v>
      </c>
      <c r="F23" s="1150">
        <v>2.6</v>
      </c>
      <c r="G23" s="1150">
        <v>2.5499999999999998</v>
      </c>
      <c r="H23" s="1150">
        <v>2.66</v>
      </c>
      <c r="I23" s="1150">
        <v>2.61</v>
      </c>
      <c r="J23" s="1150">
        <v>2.63</v>
      </c>
      <c r="K23" s="1150">
        <v>2.71</v>
      </c>
      <c r="L23" s="1150">
        <v>2.6</v>
      </c>
      <c r="M23" s="1150">
        <v>2.52</v>
      </c>
      <c r="N23" s="1150">
        <v>2.79</v>
      </c>
      <c r="O23" s="1146">
        <f>SUMPRODUCT(C22:N22,C23:N23)/O22</f>
        <v>2.5477788924402556</v>
      </c>
      <c r="P23" s="52"/>
      <c r="Q23" s="1563"/>
      <c r="R23" s="1151" t="s">
        <v>2</v>
      </c>
      <c r="S23" s="1152">
        <f>SUMPRODUCT(U22:AF22,U23:AF23)/S22</f>
        <v>2.5477788924402556</v>
      </c>
      <c r="T23" s="1153"/>
      <c r="U23" s="1154">
        <v>2.2400000000000002</v>
      </c>
      <c r="V23" s="1155">
        <v>2.12</v>
      </c>
      <c r="W23" s="1155">
        <v>2.4300000000000002</v>
      </c>
      <c r="X23" s="1155">
        <v>2.6</v>
      </c>
      <c r="Y23" s="1155">
        <v>2.5499999999999998</v>
      </c>
      <c r="Z23" s="1155">
        <v>2.66</v>
      </c>
      <c r="AA23" s="1155">
        <v>2.61</v>
      </c>
      <c r="AB23" s="1155">
        <v>2.63</v>
      </c>
      <c r="AC23" s="1155">
        <v>2.71</v>
      </c>
      <c r="AD23" s="1155">
        <v>2.6</v>
      </c>
      <c r="AE23" s="1155">
        <v>2.52</v>
      </c>
      <c r="AF23" s="1155">
        <v>2.79</v>
      </c>
    </row>
    <row r="24" spans="1:32" ht="15.75" thickBot="1" x14ac:dyDescent="0.3">
      <c r="A24" s="1560"/>
      <c r="B24" s="1142" t="s">
        <v>3</v>
      </c>
      <c r="C24" s="1156">
        <f>C22*C23/1000*0.88</f>
        <v>65.711923200000015</v>
      </c>
      <c r="D24" s="1156">
        <f t="shared" ref="D24:N24" si="3">D22*D23/1000*0.88</f>
        <v>52.126729600000004</v>
      </c>
      <c r="E24" s="1156">
        <f t="shared" si="3"/>
        <v>58.446748800000009</v>
      </c>
      <c r="F24" s="1156">
        <f t="shared" si="3"/>
        <v>66.077439999999996</v>
      </c>
      <c r="G24" s="1156">
        <f t="shared" si="3"/>
        <v>60.767520000000005</v>
      </c>
      <c r="H24" s="1156">
        <f t="shared" si="3"/>
        <v>65.865430400000008</v>
      </c>
      <c r="I24" s="1156">
        <f t="shared" si="3"/>
        <v>67.677508799999984</v>
      </c>
      <c r="J24" s="1156">
        <f t="shared" si="3"/>
        <v>74.8916696</v>
      </c>
      <c r="K24" s="1156">
        <f t="shared" si="3"/>
        <v>93.364920000000012</v>
      </c>
      <c r="L24" s="1156">
        <f t="shared" si="3"/>
        <v>85.086144000000004</v>
      </c>
      <c r="M24" s="1156">
        <f t="shared" si="3"/>
        <v>83.962771200000006</v>
      </c>
      <c r="N24" s="1156">
        <f t="shared" si="3"/>
        <v>90.928331999999997</v>
      </c>
      <c r="O24" s="1148">
        <f>SUM(C24:N24)</f>
        <v>864.90713760000006</v>
      </c>
      <c r="P24" s="52"/>
      <c r="Q24" s="1564"/>
      <c r="R24" s="1157" t="s">
        <v>3</v>
      </c>
      <c r="S24" s="1158">
        <f>SUM(U24:AF24)</f>
        <v>864.90713760000006</v>
      </c>
      <c r="T24" s="1159"/>
      <c r="U24" s="1160">
        <f>U22*U23/1000*0.88</f>
        <v>65.711923200000015</v>
      </c>
      <c r="V24" s="1143">
        <f t="shared" ref="V24:AF24" si="4">V22*V23/1000*0.88</f>
        <v>52.126729600000004</v>
      </c>
      <c r="W24" s="1143">
        <f t="shared" si="4"/>
        <v>58.446748800000009</v>
      </c>
      <c r="X24" s="1143">
        <f t="shared" si="4"/>
        <v>66.077439999999996</v>
      </c>
      <c r="Y24" s="1143">
        <f t="shared" si="4"/>
        <v>60.767520000000005</v>
      </c>
      <c r="Z24" s="1143">
        <f t="shared" si="4"/>
        <v>65.865430400000008</v>
      </c>
      <c r="AA24" s="1143">
        <f t="shared" si="4"/>
        <v>67.677508799999984</v>
      </c>
      <c r="AB24" s="1143">
        <f t="shared" si="4"/>
        <v>74.8916696</v>
      </c>
      <c r="AC24" s="1143">
        <f t="shared" si="4"/>
        <v>93.364920000000012</v>
      </c>
      <c r="AD24" s="1143">
        <f t="shared" si="4"/>
        <v>85.086144000000004</v>
      </c>
      <c r="AE24" s="1143">
        <f t="shared" si="4"/>
        <v>83.962771200000006</v>
      </c>
      <c r="AF24" s="1143">
        <f t="shared" si="4"/>
        <v>90.928331999999997</v>
      </c>
    </row>
    <row r="25" spans="1:32" x14ac:dyDescent="0.25">
      <c r="A25" s="1561" t="s">
        <v>4</v>
      </c>
      <c r="B25" s="107" t="s">
        <v>1</v>
      </c>
      <c r="C25" s="111">
        <v>21224</v>
      </c>
      <c r="D25" s="111">
        <f>D28</f>
        <v>22145</v>
      </c>
      <c r="E25" s="111">
        <v>24786</v>
      </c>
      <c r="F25" s="111">
        <v>23930.86</v>
      </c>
      <c r="G25" s="111">
        <v>28505</v>
      </c>
      <c r="H25" s="111">
        <v>27265</v>
      </c>
      <c r="I25" s="111">
        <v>27858</v>
      </c>
      <c r="J25" s="111">
        <v>30680.57</v>
      </c>
      <c r="K25" s="111">
        <v>31641.61</v>
      </c>
      <c r="L25" s="111">
        <v>30969.809999999998</v>
      </c>
      <c r="M25" s="111">
        <v>34200.42</v>
      </c>
      <c r="N25" s="111">
        <v>34051.89</v>
      </c>
      <c r="O25" s="111">
        <f>SUM(C25:N25)</f>
        <v>337258.16</v>
      </c>
      <c r="P25" s="52"/>
      <c r="Q25" s="1562" t="s">
        <v>4</v>
      </c>
      <c r="R25" s="234" t="s">
        <v>1</v>
      </c>
      <c r="S25" s="235">
        <f>SUM(U25:AF25)</f>
        <v>336211.16</v>
      </c>
      <c r="T25" s="236"/>
      <c r="U25" s="111">
        <v>21224</v>
      </c>
      <c r="V25" s="111">
        <v>21098</v>
      </c>
      <c r="W25" s="111">
        <v>24786</v>
      </c>
      <c r="X25" s="111">
        <v>23930.86</v>
      </c>
      <c r="Y25" s="111">
        <f>G25</f>
        <v>28505</v>
      </c>
      <c r="Z25" s="111">
        <f t="shared" ref="Z25:AA25" si="5">H25</f>
        <v>27265</v>
      </c>
      <c r="AA25" s="111">
        <f t="shared" si="5"/>
        <v>27858</v>
      </c>
      <c r="AB25" s="111">
        <v>30680.57</v>
      </c>
      <c r="AC25" s="111">
        <v>31641.61</v>
      </c>
      <c r="AD25" s="111">
        <v>30969.809999999998</v>
      </c>
      <c r="AE25" s="111">
        <v>34200.42</v>
      </c>
      <c r="AF25" s="111">
        <v>34051.89</v>
      </c>
    </row>
    <row r="26" spans="1:32" x14ac:dyDescent="0.25">
      <c r="A26" s="1559"/>
      <c r="B26" s="1139" t="s">
        <v>2</v>
      </c>
      <c r="C26" s="1150">
        <v>2.0699999999999998</v>
      </c>
      <c r="D26" s="1155">
        <f>D29</f>
        <v>2.37</v>
      </c>
      <c r="E26" s="1146">
        <v>2.36</v>
      </c>
      <c r="F26" s="1155">
        <v>2.5499999999999998</v>
      </c>
      <c r="G26" s="1155">
        <v>2.3643448517803898</v>
      </c>
      <c r="H26" s="1155">
        <v>2.4378008435723455</v>
      </c>
      <c r="I26" s="1155">
        <v>2.4061537080910331</v>
      </c>
      <c r="J26" s="1155">
        <v>2.31</v>
      </c>
      <c r="K26" s="1155">
        <v>2.4</v>
      </c>
      <c r="L26" s="1155">
        <v>2.58</v>
      </c>
      <c r="M26" s="1155">
        <v>2.72</v>
      </c>
      <c r="N26" s="1155">
        <v>2.62</v>
      </c>
      <c r="O26" s="1146">
        <f>SUMPRODUCT(C25:N25,C26:N26)/O25</f>
        <v>2.4485221875728671</v>
      </c>
      <c r="P26" s="52"/>
      <c r="Q26" s="1563"/>
      <c r="R26" s="1161" t="s">
        <v>2</v>
      </c>
      <c r="S26" s="1162">
        <f>SUMPRODUCT(U25:AF25,U26:AF26)/S25</f>
        <v>2.4481391923456677</v>
      </c>
      <c r="T26" s="1153"/>
      <c r="U26" s="1155">
        <v>2.0699999999999998</v>
      </c>
      <c r="V26" s="1155">
        <v>2.36</v>
      </c>
      <c r="W26" s="1146">
        <v>2.36</v>
      </c>
      <c r="X26" s="1146">
        <v>2.5499999999999998</v>
      </c>
      <c r="Y26" s="1155">
        <f>G26</f>
        <v>2.3643448517803898</v>
      </c>
      <c r="Z26" s="1146">
        <f t="shared" ref="Z26" si="6">H26</f>
        <v>2.4378008435723455</v>
      </c>
      <c r="AA26" s="1146">
        <f t="shared" ref="AA26" si="7">I26</f>
        <v>2.4061537080910331</v>
      </c>
      <c r="AB26" s="1155">
        <v>2.31</v>
      </c>
      <c r="AC26" s="1155">
        <v>2.4</v>
      </c>
      <c r="AD26" s="1155">
        <v>2.58</v>
      </c>
      <c r="AE26" s="1155">
        <v>2.72</v>
      </c>
      <c r="AF26" s="1155">
        <v>2.62</v>
      </c>
    </row>
    <row r="27" spans="1:32" ht="15.75" thickBot="1" x14ac:dyDescent="0.3">
      <c r="A27" s="1560"/>
      <c r="B27" s="1142" t="s">
        <v>3</v>
      </c>
      <c r="C27" s="1156">
        <f>C25*C26/1000*0.88</f>
        <v>38.661638399999994</v>
      </c>
      <c r="D27" s="1163">
        <f>(D25*D26/1000)*0.88</f>
        <v>46.185612000000006</v>
      </c>
      <c r="E27" s="1156">
        <f t="shared" ref="E27" si="8">E25*E26/1000*0.88</f>
        <v>51.475564800000001</v>
      </c>
      <c r="F27" s="1163">
        <v>54.318321598385793</v>
      </c>
      <c r="G27" s="1163">
        <f t="shared" ref="G27:M27" si="9">(G25*G26/1000)*0.88</f>
        <v>59.308172000000006</v>
      </c>
      <c r="H27" s="1163">
        <f t="shared" si="9"/>
        <v>58.490643200000001</v>
      </c>
      <c r="I27" s="1163">
        <f t="shared" si="9"/>
        <v>58.986954400000002</v>
      </c>
      <c r="J27" s="1163">
        <f t="shared" si="9"/>
        <v>62.367462695999997</v>
      </c>
      <c r="K27" s="1163">
        <f t="shared" si="9"/>
        <v>66.827080320000007</v>
      </c>
      <c r="L27" s="1163">
        <f t="shared" si="9"/>
        <v>70.313856623999996</v>
      </c>
      <c r="M27" s="1163">
        <f t="shared" si="9"/>
        <v>81.862125311999989</v>
      </c>
      <c r="N27" s="1163">
        <f>(N25*N26/1000)*0.88</f>
        <v>78.510037584000003</v>
      </c>
      <c r="O27" s="1148">
        <f>SUM(C27:N27)</f>
        <v>727.30746893438584</v>
      </c>
      <c r="P27" s="52"/>
      <c r="Q27" s="1564"/>
      <c r="R27" s="1164" t="s">
        <v>3</v>
      </c>
      <c r="S27" s="1165">
        <f>SUM(U27:AF27)</f>
        <v>724.93818333438583</v>
      </c>
      <c r="T27" s="1159"/>
      <c r="U27" s="1156">
        <f>U25*U26/1000*0.88</f>
        <v>38.661638399999994</v>
      </c>
      <c r="V27" s="1156">
        <f t="shared" ref="V27:W27" si="10">V25*V26/1000*0.88</f>
        <v>43.816326400000001</v>
      </c>
      <c r="W27" s="1156">
        <f t="shared" si="10"/>
        <v>51.475564800000001</v>
      </c>
      <c r="X27" s="1156">
        <v>54.318321598385793</v>
      </c>
      <c r="Y27" s="1143">
        <f>(Y25*Y26/1000)*0.88</f>
        <v>59.308172000000006</v>
      </c>
      <c r="Z27" s="1143">
        <f>(Z25*Z26/1000)*0.88</f>
        <v>58.490643200000001</v>
      </c>
      <c r="AA27" s="1143">
        <f t="shared" ref="AA27:AF27" si="11">(AA25*AA26/1000)*0.88</f>
        <v>58.986954400000002</v>
      </c>
      <c r="AB27" s="1143">
        <f t="shared" si="11"/>
        <v>62.367462695999997</v>
      </c>
      <c r="AC27" s="1143">
        <f t="shared" si="11"/>
        <v>66.827080320000007</v>
      </c>
      <c r="AD27" s="1143">
        <f t="shared" si="11"/>
        <v>70.313856623999996</v>
      </c>
      <c r="AE27" s="1143">
        <f t="shared" si="11"/>
        <v>81.862125311999989</v>
      </c>
      <c r="AF27" s="1143">
        <f t="shared" si="11"/>
        <v>78.510037584000003</v>
      </c>
    </row>
    <row r="28" spans="1:32" x14ac:dyDescent="0.25">
      <c r="A28" s="1561" t="s">
        <v>5</v>
      </c>
      <c r="B28" s="107" t="s">
        <v>1</v>
      </c>
      <c r="C28" s="360">
        <f>'[3]2025'!$Z$317</f>
        <v>20721</v>
      </c>
      <c r="D28" s="360">
        <f>'[3]2025'!$AA$317</f>
        <v>22145</v>
      </c>
      <c r="E28" s="360">
        <f>'[3]2025'!$AB$317</f>
        <v>22805.697</v>
      </c>
      <c r="F28" s="360">
        <f>'[3]2025'!$AC$317</f>
        <v>23526</v>
      </c>
      <c r="G28" s="360">
        <f>'[3]2025'!$AD$317</f>
        <v>25132.529300000002</v>
      </c>
      <c r="H28" s="360">
        <f>'[3]2025'!$AE$317</f>
        <v>23218</v>
      </c>
      <c r="I28" s="111">
        <f>'Monthly Stope Performance'!D132</f>
        <v>18689</v>
      </c>
      <c r="J28" s="111">
        <f t="shared" ref="J28:N28" si="12">J8</f>
        <v>0</v>
      </c>
      <c r="K28" s="111">
        <f t="shared" si="12"/>
        <v>0</v>
      </c>
      <c r="L28" s="111">
        <f t="shared" si="12"/>
        <v>0</v>
      </c>
      <c r="M28" s="111">
        <f t="shared" si="12"/>
        <v>0</v>
      </c>
      <c r="N28" s="111">
        <f t="shared" si="12"/>
        <v>0</v>
      </c>
      <c r="O28" s="111">
        <f>SUM(C28:N28)</f>
        <v>156237.22630000001</v>
      </c>
      <c r="Q28" s="1561" t="s">
        <v>5</v>
      </c>
      <c r="R28" s="234" t="s">
        <v>1</v>
      </c>
      <c r="S28" s="235">
        <f>SUM(U28:AF28)</f>
        <v>137548.22630000001</v>
      </c>
      <c r="T28" s="236"/>
      <c r="U28" s="111">
        <f>C28</f>
        <v>20721</v>
      </c>
      <c r="V28" s="111">
        <f t="shared" ref="V28:Z30" si="13">D28</f>
        <v>22145</v>
      </c>
      <c r="W28" s="111">
        <f t="shared" si="13"/>
        <v>22805.697</v>
      </c>
      <c r="X28" s="111">
        <f t="shared" si="13"/>
        <v>23526</v>
      </c>
      <c r="Y28" s="111">
        <f t="shared" si="13"/>
        <v>25132.529300000002</v>
      </c>
      <c r="Z28" s="111">
        <f t="shared" si="13"/>
        <v>23218</v>
      </c>
      <c r="AA28" s="111"/>
      <c r="AB28" s="111"/>
      <c r="AC28" s="111"/>
      <c r="AD28" s="111"/>
      <c r="AE28" s="111"/>
      <c r="AF28" s="111"/>
    </row>
    <row r="29" spans="1:32" x14ac:dyDescent="0.25">
      <c r="A29" s="1559"/>
      <c r="B29" s="1139" t="s">
        <v>2</v>
      </c>
      <c r="C29" s="1150">
        <f>'[3]2025'!$Z$322</f>
        <v>2.0699999999999998</v>
      </c>
      <c r="D29" s="1166">
        <f>'[3]2025'!$AA$322</f>
        <v>2.37</v>
      </c>
      <c r="E29" s="1166">
        <f>'[3]2025'!$AB$322</f>
        <v>2.6930000000000001</v>
      </c>
      <c r="F29" s="1155">
        <f>'[3]2025'!$AC$322</f>
        <v>2.5499999999999998</v>
      </c>
      <c r="G29" s="1155">
        <f>'[3]2025'!$AD$323</f>
        <v>2.0731186894853506</v>
      </c>
      <c r="H29" s="1155">
        <f>'[3]2025'!$AE$323</f>
        <v>2.02</v>
      </c>
      <c r="I29" s="1155">
        <f>'Monthly Stope Performance'!F132</f>
        <v>2.1454254734954947</v>
      </c>
      <c r="J29" s="1155">
        <f t="shared" ref="J29:N30" si="14">J9</f>
        <v>0</v>
      </c>
      <c r="K29" s="1155">
        <f t="shared" si="14"/>
        <v>0</v>
      </c>
      <c r="L29" s="1155">
        <f t="shared" si="14"/>
        <v>0</v>
      </c>
      <c r="M29" s="1155">
        <f t="shared" si="14"/>
        <v>0</v>
      </c>
      <c r="N29" s="1155">
        <f t="shared" si="14"/>
        <v>0</v>
      </c>
      <c r="O29" s="1146">
        <f>SUMPRODUCT(C28:N28,C29:N29)/O28</f>
        <v>2.2778316239285763</v>
      </c>
      <c r="Q29" s="1559"/>
      <c r="R29" s="1161" t="s">
        <v>2</v>
      </c>
      <c r="S29" s="1162">
        <f>SUMPRODUCT(U28:AF28,U29:AF29)/S28</f>
        <v>2.2958219580245371</v>
      </c>
      <c r="T29" s="1153"/>
      <c r="U29" s="1155">
        <f t="shared" ref="U29:U30" si="15">C29</f>
        <v>2.0699999999999998</v>
      </c>
      <c r="V29" s="1155">
        <f t="shared" si="13"/>
        <v>2.37</v>
      </c>
      <c r="W29" s="1155">
        <f t="shared" si="13"/>
        <v>2.6930000000000001</v>
      </c>
      <c r="X29" s="1155">
        <f t="shared" si="13"/>
        <v>2.5499999999999998</v>
      </c>
      <c r="Y29" s="1155">
        <f t="shared" si="13"/>
        <v>2.0731186894853506</v>
      </c>
      <c r="Z29" s="1155">
        <f t="shared" si="13"/>
        <v>2.02</v>
      </c>
      <c r="AA29" s="1155"/>
      <c r="AB29" s="1155"/>
      <c r="AC29" s="1155"/>
      <c r="AD29" s="1155"/>
      <c r="AE29" s="1155"/>
      <c r="AF29" s="1155"/>
    </row>
    <row r="30" spans="1:32" ht="15.75" thickBot="1" x14ac:dyDescent="0.3">
      <c r="A30" s="1565"/>
      <c r="B30" s="1147" t="s">
        <v>3</v>
      </c>
      <c r="C30" s="1156">
        <f>'[3]2025'!$Z$327*'[3]2025'!$Z$367</f>
        <v>36.052550312177033</v>
      </c>
      <c r="D30" s="1163">
        <f>'[3]2025'!$AA$327*'[3]2025'!$AA$367</f>
        <v>45.28656495033249</v>
      </c>
      <c r="E30" s="1163">
        <f>'[3]2025'!$AB$327*'[3]2025'!$AB$367</f>
        <v>54.892628663168743</v>
      </c>
      <c r="F30" s="1163">
        <f>'[3]2025'!$AC$327*'[3]2025'!$AC$367</f>
        <v>53.327651118770291</v>
      </c>
      <c r="G30" s="1163">
        <f>'[3]2025'!$AD$327*'[3]2025'!$AD$367</f>
        <v>44.452548198900338</v>
      </c>
      <c r="H30" s="1163">
        <f>'[3]2025'!$AE$327*'[3]2025'!$AE$367</f>
        <v>39.761861624566428</v>
      </c>
      <c r="I30" s="1163">
        <f>'Monthly Stope Performance'!H132</f>
        <v>40.339919999999999</v>
      </c>
      <c r="J30" s="1163">
        <f t="shared" si="14"/>
        <v>0</v>
      </c>
      <c r="K30" s="1163">
        <f t="shared" si="14"/>
        <v>0</v>
      </c>
      <c r="L30" s="1163">
        <f t="shared" si="14"/>
        <v>0</v>
      </c>
      <c r="M30" s="1163">
        <f t="shared" si="14"/>
        <v>0</v>
      </c>
      <c r="N30" s="1163">
        <f t="shared" si="14"/>
        <v>0</v>
      </c>
      <c r="O30" s="1148">
        <f>SUM(C30:N30)</f>
        <v>314.11372486791532</v>
      </c>
      <c r="Q30" s="1565"/>
      <c r="R30" s="1164" t="s">
        <v>3</v>
      </c>
      <c r="S30" s="1165">
        <f>SUM(U30:AF30)</f>
        <v>273.77380486791532</v>
      </c>
      <c r="T30" s="1159"/>
      <c r="U30" s="1156">
        <f t="shared" si="15"/>
        <v>36.052550312177033</v>
      </c>
      <c r="V30" s="1156">
        <f t="shared" si="13"/>
        <v>45.28656495033249</v>
      </c>
      <c r="W30" s="1156">
        <f t="shared" si="13"/>
        <v>54.892628663168743</v>
      </c>
      <c r="X30" s="1156">
        <f t="shared" si="13"/>
        <v>53.327651118770291</v>
      </c>
      <c r="Y30" s="1156">
        <f t="shared" si="13"/>
        <v>44.452548198900338</v>
      </c>
      <c r="Z30" s="1156">
        <f t="shared" si="13"/>
        <v>39.761861624566428</v>
      </c>
      <c r="AA30" s="1143"/>
      <c r="AB30" s="1143"/>
      <c r="AC30" s="1143"/>
      <c r="AD30" s="1143"/>
      <c r="AE30" s="1143"/>
      <c r="AF30" s="1143"/>
    </row>
    <row r="31" spans="1:32" ht="15.75" thickBot="1" x14ac:dyDescent="0.3">
      <c r="A31" s="217"/>
      <c r="B31" s="218"/>
      <c r="C31" s="219"/>
      <c r="D31" s="361"/>
      <c r="E31" s="666"/>
      <c r="F31" s="220"/>
      <c r="G31" s="220"/>
      <c r="H31" s="220"/>
      <c r="I31" s="220"/>
      <c r="J31" s="220"/>
      <c r="K31" s="220"/>
      <c r="L31" s="220"/>
      <c r="M31" s="220"/>
      <c r="N31" s="221"/>
      <c r="O31" s="221"/>
      <c r="Q31" s="217"/>
      <c r="R31" s="218"/>
      <c r="S31" s="218"/>
      <c r="T31" s="218"/>
      <c r="U31" s="219"/>
      <c r="V31" s="219"/>
      <c r="W31" s="220"/>
      <c r="X31" s="220"/>
      <c r="Y31" s="220"/>
      <c r="Z31" s="220"/>
      <c r="AA31" s="220"/>
      <c r="AB31" s="220"/>
      <c r="AC31" s="220"/>
      <c r="AD31" s="220"/>
      <c r="AE31" s="220"/>
      <c r="AF31" s="221"/>
    </row>
    <row r="32" spans="1:32" x14ac:dyDescent="0.25">
      <c r="A32" s="1558" t="s">
        <v>6</v>
      </c>
      <c r="B32" s="215" t="s">
        <v>1</v>
      </c>
      <c r="C32" s="216">
        <f>'Stopes PNM &amp; MNP'!C10</f>
        <v>1050</v>
      </c>
      <c r="D32" s="216">
        <f>'Stopes PNM &amp; MNP'!F10</f>
        <v>980</v>
      </c>
      <c r="E32" s="216">
        <f>'Stopes PNM &amp; MNP'!I10</f>
        <v>2345</v>
      </c>
      <c r="F32" s="216">
        <f>'Monthly Stope Performance'!C71</f>
        <v>980</v>
      </c>
      <c r="G32" s="113">
        <f>'Monthly Stope Performance'!D78</f>
        <v>1680</v>
      </c>
      <c r="H32" s="113"/>
      <c r="I32" s="113"/>
      <c r="J32" s="113"/>
      <c r="K32" s="113"/>
      <c r="L32" s="113"/>
      <c r="M32" s="113"/>
      <c r="N32" s="114"/>
      <c r="O32" s="114"/>
      <c r="Q32" s="1558" t="s">
        <v>6</v>
      </c>
      <c r="R32" s="234" t="s">
        <v>1</v>
      </c>
      <c r="S32" s="235">
        <f>SUM(U32:AF32)</f>
        <v>7035</v>
      </c>
      <c r="T32" s="236"/>
      <c r="U32" s="216">
        <v>1050</v>
      </c>
      <c r="V32" s="113">
        <v>980</v>
      </c>
      <c r="W32" s="113">
        <f>'Rough Working'!AB41</f>
        <v>2345</v>
      </c>
      <c r="X32" s="113">
        <f>'Rough Working'!AC41</f>
        <v>980</v>
      </c>
      <c r="Y32" s="113">
        <f>'Rough Working'!AD41</f>
        <v>1680</v>
      </c>
      <c r="Z32" s="113"/>
      <c r="AA32" s="113"/>
      <c r="AB32" s="113"/>
      <c r="AC32" s="113"/>
      <c r="AD32" s="113"/>
      <c r="AE32" s="113"/>
      <c r="AF32" s="114"/>
    </row>
    <row r="33" spans="1:32" x14ac:dyDescent="0.25">
      <c r="A33" s="1559"/>
      <c r="B33" s="1139" t="s">
        <v>2</v>
      </c>
      <c r="C33" s="1146">
        <f>'Stopes PNM &amp; MNP'!D10</f>
        <v>1.0499999999999994</v>
      </c>
      <c r="D33" s="1146">
        <f>'Stopes PNM &amp; MNP'!G10</f>
        <v>1.81</v>
      </c>
      <c r="E33" s="1146">
        <f>'Stopes PNM &amp; MNP'!J10</f>
        <v>2.4409192355977121</v>
      </c>
      <c r="F33" s="1146">
        <f>'Monthly Stope Performance'!F71</f>
        <v>1.42</v>
      </c>
      <c r="G33" s="1146">
        <f>'Monthly Stope Performance'!F78</f>
        <v>3.8499999999999988</v>
      </c>
      <c r="H33" s="1140"/>
      <c r="I33" s="1140"/>
      <c r="J33" s="1140"/>
      <c r="K33" s="1140"/>
      <c r="L33" s="1140"/>
      <c r="M33" s="1140"/>
      <c r="N33" s="1141"/>
      <c r="O33" s="1141"/>
      <c r="Q33" s="1559"/>
      <c r="R33" s="1161" t="s">
        <v>2</v>
      </c>
      <c r="S33" s="1162">
        <f>SUMPRODUCT(U32:AF32,U33:AF33)/S32</f>
        <v>2.3397093969405303</v>
      </c>
      <c r="T33" s="1153"/>
      <c r="U33" s="1146">
        <v>1.0499999999999994</v>
      </c>
      <c r="V33" s="1140">
        <v>1.81</v>
      </c>
      <c r="W33" s="1167">
        <f>'Rough Working'!AB42</f>
        <v>2.4409192355977121</v>
      </c>
      <c r="X33" s="1140">
        <f>'Rough Working'!AC42</f>
        <v>1.42</v>
      </c>
      <c r="Y33" s="1140">
        <f>'Rough Working'!AD42</f>
        <v>3.8499999999999988</v>
      </c>
      <c r="Z33" s="1140"/>
      <c r="AA33" s="1140"/>
      <c r="AB33" s="1140"/>
      <c r="AC33" s="1140"/>
      <c r="AD33" s="1140"/>
      <c r="AE33" s="1140"/>
      <c r="AF33" s="1141"/>
    </row>
    <row r="34" spans="1:32" ht="15.75" thickBot="1" x14ac:dyDescent="0.3">
      <c r="A34" s="1560"/>
      <c r="B34" s="1142" t="s">
        <v>3</v>
      </c>
      <c r="C34" s="1143">
        <f>'Stopes PNM &amp; MNP'!E10</f>
        <v>1.1024999999999994</v>
      </c>
      <c r="D34" s="1143">
        <f>'Stopes PNM &amp; MNP'!H10</f>
        <v>1.5609440000000001</v>
      </c>
      <c r="E34" s="1143">
        <f>'Stopes PNM &amp; MNP'!K10</f>
        <v>5.0370809345794392</v>
      </c>
      <c r="F34" s="1143">
        <f>'Monthly Stope Performance'!H71</f>
        <v>1.2246079999999999</v>
      </c>
      <c r="G34" s="1168">
        <f>'Monthly Stope Performance'!I78</f>
        <v>5.6918399999999982</v>
      </c>
      <c r="H34" s="1144"/>
      <c r="I34" s="1144"/>
      <c r="J34" s="1144"/>
      <c r="K34" s="1144"/>
      <c r="L34" s="1144"/>
      <c r="M34" s="1144"/>
      <c r="N34" s="1145"/>
      <c r="O34" s="1145"/>
      <c r="Q34" s="1560"/>
      <c r="R34" s="1164" t="s">
        <v>3</v>
      </c>
      <c r="S34" s="1169">
        <f>SUM(U34:AF34)</f>
        <v>14.616972934579437</v>
      </c>
      <c r="T34" s="1159"/>
      <c r="U34" s="1143">
        <v>1.1024999999999994</v>
      </c>
      <c r="V34" s="1143">
        <v>1.5609440000000001</v>
      </c>
      <c r="W34" s="1143">
        <f>'Rough Working'!AB43</f>
        <v>5.0370809345794392</v>
      </c>
      <c r="X34" s="1143">
        <f>'Rough Working'!AC43</f>
        <v>1.2246079999999999</v>
      </c>
      <c r="Y34" s="1143">
        <f>'Rough Working'!AD43</f>
        <v>5.6918399999999982</v>
      </c>
      <c r="Z34" s="1144"/>
      <c r="AA34" s="1144"/>
      <c r="AB34" s="1144"/>
      <c r="AC34" s="1144"/>
      <c r="AD34" s="1144"/>
      <c r="AE34" s="1144"/>
      <c r="AF34" s="1145"/>
    </row>
    <row r="35" spans="1:32" ht="15.75" thickBot="1" x14ac:dyDescent="0.3">
      <c r="A35" s="217"/>
      <c r="B35" s="218"/>
      <c r="C35" s="219"/>
      <c r="D35" s="219"/>
      <c r="E35" s="220"/>
      <c r="F35" s="220"/>
      <c r="G35" s="220"/>
      <c r="H35" s="220"/>
      <c r="I35" s="220"/>
      <c r="J35" s="220"/>
      <c r="K35" s="220"/>
      <c r="L35" s="220"/>
      <c r="M35" s="220"/>
      <c r="N35" s="221"/>
      <c r="O35" s="221"/>
      <c r="Q35" s="217"/>
      <c r="R35" s="218"/>
      <c r="S35" s="218"/>
      <c r="T35" s="218"/>
      <c r="U35" s="219"/>
      <c r="V35" s="219"/>
      <c r="W35" s="220"/>
      <c r="X35" s="220"/>
      <c r="Y35" s="220"/>
      <c r="Z35" s="220"/>
      <c r="AA35" s="220"/>
      <c r="AB35" s="220"/>
      <c r="AC35" s="220"/>
      <c r="AD35" s="220"/>
      <c r="AE35" s="220"/>
      <c r="AF35" s="221"/>
    </row>
    <row r="36" spans="1:32" x14ac:dyDescent="0.25">
      <c r="A36" s="1558" t="s">
        <v>7</v>
      </c>
      <c r="B36" s="107" t="s">
        <v>1</v>
      </c>
      <c r="C36" s="113">
        <f>'Stopes PNM &amp; MNP'!C16</f>
        <v>0</v>
      </c>
      <c r="D36" s="113">
        <f>'Stopes PNM &amp; MNP'!F16</f>
        <v>0</v>
      </c>
      <c r="E36" s="113">
        <f>'Stopes PNM &amp; MNP'!I16</f>
        <v>0</v>
      </c>
      <c r="F36" s="108">
        <v>0</v>
      </c>
      <c r="G36" s="113"/>
      <c r="H36" s="113"/>
      <c r="I36" s="113"/>
      <c r="J36" s="113"/>
      <c r="K36" s="113"/>
      <c r="L36" s="113"/>
      <c r="M36" s="113"/>
      <c r="N36" s="114"/>
      <c r="O36" s="114"/>
      <c r="Q36" s="1558" t="s">
        <v>7</v>
      </c>
      <c r="R36" s="234" t="s">
        <v>1</v>
      </c>
      <c r="S36" s="235">
        <f>SUM(U36:AF36)</f>
        <v>0</v>
      </c>
      <c r="T36" s="236"/>
      <c r="U36" s="108" t="s">
        <v>10</v>
      </c>
      <c r="V36" s="113">
        <f>D36</f>
        <v>0</v>
      </c>
      <c r="W36" s="108">
        <f>E36</f>
        <v>0</v>
      </c>
      <c r="X36" s="113">
        <f t="shared" ref="X36:Y38" si="16">F36</f>
        <v>0</v>
      </c>
      <c r="Y36" s="108">
        <f t="shared" si="16"/>
        <v>0</v>
      </c>
      <c r="Z36" s="113"/>
      <c r="AA36" s="113"/>
      <c r="AB36" s="113"/>
      <c r="AC36" s="113"/>
      <c r="AD36" s="113"/>
      <c r="AE36" s="113"/>
      <c r="AF36" s="114"/>
    </row>
    <row r="37" spans="1:32" x14ac:dyDescent="0.25">
      <c r="A37" s="1559"/>
      <c r="B37" s="1139" t="s">
        <v>2</v>
      </c>
      <c r="C37" s="1146">
        <f>'Stopes PNM &amp; MNP'!D16</f>
        <v>0</v>
      </c>
      <c r="D37" s="1146" t="e">
        <f>'Stopes PNM &amp; MNP'!G16</f>
        <v>#DIV/0!</v>
      </c>
      <c r="E37" s="1146">
        <f>'Stopes PNM &amp; MNP'!J16</f>
        <v>0</v>
      </c>
      <c r="F37" s="108">
        <v>0</v>
      </c>
      <c r="G37" s="1140"/>
      <c r="H37" s="1140"/>
      <c r="I37" s="1140"/>
      <c r="J37" s="1140"/>
      <c r="K37" s="1140"/>
      <c r="L37" s="1140"/>
      <c r="M37" s="1140"/>
      <c r="N37" s="1141"/>
      <c r="O37" s="1141"/>
      <c r="Q37" s="1559"/>
      <c r="R37" s="1161" t="s">
        <v>2</v>
      </c>
      <c r="S37" s="1162" t="e">
        <f>SUMPRODUCT(U36:AF36,U37:AF37)/S36</f>
        <v>#DIV/0!</v>
      </c>
      <c r="T37" s="1153"/>
      <c r="U37" s="108" t="s">
        <v>10</v>
      </c>
      <c r="V37" s="1146" t="e">
        <f>D37</f>
        <v>#DIV/0!</v>
      </c>
      <c r="W37" s="108">
        <f t="shared" ref="W37:W38" si="17">E37</f>
        <v>0</v>
      </c>
      <c r="X37" s="1146">
        <f t="shared" si="16"/>
        <v>0</v>
      </c>
      <c r="Y37" s="108">
        <f t="shared" si="16"/>
        <v>0</v>
      </c>
      <c r="Z37" s="1140"/>
      <c r="AA37" s="1140"/>
      <c r="AB37" s="1140"/>
      <c r="AC37" s="1140"/>
      <c r="AD37" s="1140"/>
      <c r="AE37" s="1140"/>
      <c r="AF37" s="1141"/>
    </row>
    <row r="38" spans="1:32" ht="15.75" thickBot="1" x14ac:dyDescent="0.3">
      <c r="A38" s="1560"/>
      <c r="B38" s="1142" t="s">
        <v>3</v>
      </c>
      <c r="C38" s="1143">
        <f>'Stopes PNM &amp; MNP'!E16</f>
        <v>0</v>
      </c>
      <c r="D38" s="1143">
        <f>'Stopes PNM &amp; MNP'!H16</f>
        <v>0</v>
      </c>
      <c r="E38" s="1143">
        <f>'Stopes PNM &amp; MNP'!K16</f>
        <v>0</v>
      </c>
      <c r="F38" s="1170">
        <v>0</v>
      </c>
      <c r="G38" s="1144"/>
      <c r="H38" s="1144"/>
      <c r="I38" s="1144"/>
      <c r="J38" s="1144"/>
      <c r="K38" s="1144"/>
      <c r="L38" s="1144"/>
      <c r="M38" s="1144"/>
      <c r="N38" s="1145"/>
      <c r="O38" s="1145"/>
      <c r="Q38" s="1560"/>
      <c r="R38" s="1164" t="s">
        <v>3</v>
      </c>
      <c r="S38" s="1169">
        <f>SUM(U38:AF38)</f>
        <v>0</v>
      </c>
      <c r="T38" s="1159"/>
      <c r="U38" s="1170" t="s">
        <v>10</v>
      </c>
      <c r="V38" s="1143">
        <f>D38</f>
        <v>0</v>
      </c>
      <c r="W38" s="1170">
        <f t="shared" si="17"/>
        <v>0</v>
      </c>
      <c r="X38" s="1143">
        <f t="shared" si="16"/>
        <v>0</v>
      </c>
      <c r="Y38" s="1170">
        <f t="shared" si="16"/>
        <v>0</v>
      </c>
      <c r="Z38" s="1144"/>
      <c r="AA38" s="1144"/>
      <c r="AB38" s="1144"/>
      <c r="AC38" s="1144"/>
      <c r="AD38" s="1144"/>
      <c r="AE38" s="1144"/>
      <c r="AF38" s="1145"/>
    </row>
  </sheetData>
  <mergeCells count="15">
    <mergeCell ref="A2:A4"/>
    <mergeCell ref="A5:A7"/>
    <mergeCell ref="A8:A10"/>
    <mergeCell ref="A12:A14"/>
    <mergeCell ref="A16:A18"/>
    <mergeCell ref="A32:A34"/>
    <mergeCell ref="Q32:Q34"/>
    <mergeCell ref="A36:A38"/>
    <mergeCell ref="Q36:Q38"/>
    <mergeCell ref="A22:A24"/>
    <mergeCell ref="Q22:Q24"/>
    <mergeCell ref="A25:A27"/>
    <mergeCell ref="Q25:Q27"/>
    <mergeCell ref="A28:A30"/>
    <mergeCell ref="Q28:Q3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D20E9-7FCD-4151-B0C9-285BE46F870E}">
  <dimension ref="A1:Z24"/>
  <sheetViews>
    <sheetView zoomScale="85" zoomScaleNormal="85" workbookViewId="0">
      <selection activeCell="H17" sqref="H17"/>
    </sheetView>
  </sheetViews>
  <sheetFormatPr defaultRowHeight="15" x14ac:dyDescent="0.25"/>
  <cols>
    <col min="15" max="15" width="10.28515625" bestFit="1" customWidth="1"/>
    <col min="25" max="25" width="10.28515625" bestFit="1" customWidth="1"/>
  </cols>
  <sheetData>
    <row r="1" spans="1:26" ht="15.75" thickBot="1" x14ac:dyDescent="0.3">
      <c r="A1" s="942"/>
      <c r="B1" s="943"/>
      <c r="C1" s="115">
        <v>45658</v>
      </c>
      <c r="D1" s="115">
        <v>45689</v>
      </c>
      <c r="E1" s="115">
        <v>45717</v>
      </c>
      <c r="F1" s="115">
        <v>45748</v>
      </c>
      <c r="G1" s="115">
        <v>45778</v>
      </c>
      <c r="H1" s="115">
        <v>45809</v>
      </c>
      <c r="I1" s="115">
        <v>45839</v>
      </c>
      <c r="J1" s="115">
        <v>45870</v>
      </c>
      <c r="K1" s="115">
        <v>45901</v>
      </c>
      <c r="L1" s="115">
        <v>45931</v>
      </c>
      <c r="M1" s="115">
        <v>45962</v>
      </c>
      <c r="N1" s="115">
        <v>45992</v>
      </c>
      <c r="O1" s="115" t="s">
        <v>8</v>
      </c>
      <c r="R1" s="212"/>
      <c r="S1" s="213" t="s">
        <v>11</v>
      </c>
      <c r="T1" s="213" t="s">
        <v>12</v>
      </c>
      <c r="U1" s="214" t="s">
        <v>13</v>
      </c>
      <c r="W1" s="212" t="s">
        <v>14</v>
      </c>
      <c r="X1" s="213" t="s">
        <v>11</v>
      </c>
      <c r="Y1" s="213" t="s">
        <v>12</v>
      </c>
      <c r="Z1" s="214" t="s">
        <v>13</v>
      </c>
    </row>
    <row r="2" spans="1:26" x14ac:dyDescent="0.25">
      <c r="A2" s="1562" t="s">
        <v>15</v>
      </c>
      <c r="B2" s="939" t="s">
        <v>1</v>
      </c>
      <c r="C2" s="944">
        <f>SUMMARY!C22</f>
        <v>33336</v>
      </c>
      <c r="D2" s="944">
        <v>35695</v>
      </c>
      <c r="E2" s="944">
        <v>38339</v>
      </c>
      <c r="F2" s="944">
        <v>38339</v>
      </c>
      <c r="G2" s="944">
        <v>38339</v>
      </c>
      <c r="H2" s="944">
        <v>38339</v>
      </c>
      <c r="I2" s="944">
        <v>37560</v>
      </c>
      <c r="J2" s="944">
        <v>37560</v>
      </c>
      <c r="K2" s="944">
        <v>38339</v>
      </c>
      <c r="L2" s="944">
        <v>38339</v>
      </c>
      <c r="M2" s="944">
        <v>37879</v>
      </c>
      <c r="N2" s="944">
        <v>37253</v>
      </c>
      <c r="O2" s="944">
        <f>SUM(C2:N2)</f>
        <v>449317</v>
      </c>
      <c r="R2" s="1171">
        <v>45658</v>
      </c>
      <c r="S2" s="1172">
        <v>38339</v>
      </c>
      <c r="T2" s="1172">
        <f>SUMMARY!C28</f>
        <v>20721</v>
      </c>
      <c r="U2" s="1173">
        <f>T2-S2</f>
        <v>-17618</v>
      </c>
      <c r="W2" s="1171">
        <v>45658</v>
      </c>
      <c r="X2" s="1172">
        <f>S2</f>
        <v>38339</v>
      </c>
      <c r="Y2" s="1172">
        <f t="shared" ref="Y2:Z4" si="0">T2</f>
        <v>20721</v>
      </c>
      <c r="Z2" s="1173">
        <f t="shared" si="0"/>
        <v>-17618</v>
      </c>
    </row>
    <row r="3" spans="1:26" x14ac:dyDescent="0.25">
      <c r="A3" s="1563"/>
      <c r="B3" s="1174" t="s">
        <v>2</v>
      </c>
      <c r="C3" s="1155">
        <v>1.9828321211739379</v>
      </c>
      <c r="D3" s="1155">
        <v>1.9723109855471086</v>
      </c>
      <c r="E3" s="1155">
        <v>1.9757204805199777</v>
      </c>
      <c r="F3" s="1155">
        <v>2.1703806986024596</v>
      </c>
      <c r="G3" s="1155">
        <v>1.9987248797699899</v>
      </c>
      <c r="H3" s="1155">
        <v>2.1235057477292911</v>
      </c>
      <c r="I3" s="1155">
        <v>2.1896171282144929</v>
      </c>
      <c r="J3" s="1155">
        <v>2.3515975265196518</v>
      </c>
      <c r="K3" s="1155">
        <v>2.7030839522033139</v>
      </c>
      <c r="L3" s="1155">
        <v>2.5890720960164675</v>
      </c>
      <c r="M3" s="1155">
        <v>2.52166476716073</v>
      </c>
      <c r="N3" s="1155">
        <v>2.7779382049143098</v>
      </c>
      <c r="O3" s="1155">
        <f>SUMPRODUCT(C2:N2,C3:N3)/O2</f>
        <v>2.2833980690294275</v>
      </c>
      <c r="R3" s="1171">
        <v>45689</v>
      </c>
      <c r="S3" s="1172">
        <v>35695</v>
      </c>
      <c r="T3" s="1172">
        <f>SUMMARY!D28</f>
        <v>22145</v>
      </c>
      <c r="U3" s="1173">
        <f t="shared" ref="U3:U12" si="1">T3-S3</f>
        <v>-13550</v>
      </c>
      <c r="W3" s="1171">
        <v>45689</v>
      </c>
      <c r="X3" s="1172">
        <f t="shared" ref="X3:X4" si="2">S3</f>
        <v>35695</v>
      </c>
      <c r="Y3" s="1172">
        <f t="shared" si="0"/>
        <v>22145</v>
      </c>
      <c r="Z3" s="1173">
        <f t="shared" si="0"/>
        <v>-13550</v>
      </c>
    </row>
    <row r="4" spans="1:26" ht="15.75" thickBot="1" x14ac:dyDescent="0.3">
      <c r="A4" s="1564"/>
      <c r="B4" s="1175" t="s">
        <v>3</v>
      </c>
      <c r="C4" s="1143">
        <v>67.044939397561222</v>
      </c>
      <c r="D4" s="1143">
        <v>62.089936659218459</v>
      </c>
      <c r="E4" s="1143">
        <v>66.804475511803872</v>
      </c>
      <c r="F4" s="1143">
        <v>73.386466183172047</v>
      </c>
      <c r="G4" s="1143">
        <v>67.582316730495251</v>
      </c>
      <c r="H4" s="1143">
        <v>71.801496781579672</v>
      </c>
      <c r="I4" s="1143">
        <v>72.532155759660753</v>
      </c>
      <c r="J4" s="1143">
        <v>77.897836968714017</v>
      </c>
      <c r="K4" s="1143">
        <v>91.398610011772021</v>
      </c>
      <c r="L4" s="1143">
        <v>87.543559497397169</v>
      </c>
      <c r="M4" s="1143">
        <v>84.242097231674009</v>
      </c>
      <c r="N4" s="1143">
        <v>91.269833176463024</v>
      </c>
      <c r="O4" s="1143">
        <f>SUM(C4:N4)</f>
        <v>913.5937239095116</v>
      </c>
      <c r="R4" s="1171">
        <v>45717</v>
      </c>
      <c r="S4" s="1172">
        <v>38339</v>
      </c>
      <c r="T4" s="1172">
        <f>SUMMARY!E28</f>
        <v>22805.697</v>
      </c>
      <c r="U4" s="1173">
        <f t="shared" si="1"/>
        <v>-15533.303</v>
      </c>
      <c r="W4" s="1171">
        <v>45717</v>
      </c>
      <c r="X4" s="1172">
        <f t="shared" si="2"/>
        <v>38339</v>
      </c>
      <c r="Y4" s="1172">
        <f t="shared" si="0"/>
        <v>22805.697</v>
      </c>
      <c r="Z4" s="1173">
        <f t="shared" si="0"/>
        <v>-15533.303</v>
      </c>
    </row>
    <row r="5" spans="1:26" ht="15.75" thickBot="1" x14ac:dyDescent="0.3">
      <c r="A5" s="1562" t="s">
        <v>16</v>
      </c>
      <c r="B5" s="939" t="s">
        <v>1</v>
      </c>
      <c r="C5" s="111">
        <f>SUMMARY!C22</f>
        <v>33336</v>
      </c>
      <c r="D5" s="111">
        <f>SUMMARY!D22</f>
        <v>27941</v>
      </c>
      <c r="E5" s="111">
        <f>SUMMARY!E22</f>
        <v>27332</v>
      </c>
      <c r="F5" s="111">
        <f>SUMMARY!F22</f>
        <v>28880</v>
      </c>
      <c r="G5" s="111">
        <f>SUMMARY!G22</f>
        <v>27080</v>
      </c>
      <c r="H5" s="111">
        <f>SUMMARY!H22</f>
        <v>28138</v>
      </c>
      <c r="I5" s="111">
        <f>SUMMARY!I22</f>
        <v>29466</v>
      </c>
      <c r="J5" s="111">
        <f>SUMMARY!J22</f>
        <v>32359</v>
      </c>
      <c r="K5" s="111">
        <f>SUMMARY!K22</f>
        <v>39150</v>
      </c>
      <c r="L5" s="111">
        <f>SUMMARY!L22</f>
        <v>37188</v>
      </c>
      <c r="M5" s="111">
        <f>SUMMARY!M22</f>
        <v>37862</v>
      </c>
      <c r="N5" s="111">
        <f>SUMMARY!N22</f>
        <v>37035</v>
      </c>
      <c r="O5" s="111">
        <f>SUM(C5:N5)</f>
        <v>385767</v>
      </c>
      <c r="R5" s="1171">
        <v>45748</v>
      </c>
      <c r="S5" s="1172">
        <v>38339</v>
      </c>
      <c r="T5" s="1172">
        <f>SUMMARY!F28</f>
        <v>23526</v>
      </c>
      <c r="U5" s="1173">
        <f t="shared" si="1"/>
        <v>-14813</v>
      </c>
      <c r="W5" s="1171">
        <v>45748</v>
      </c>
      <c r="X5" s="1172">
        <f>S5</f>
        <v>38339</v>
      </c>
      <c r="Y5" s="1172">
        <f>T5</f>
        <v>23526</v>
      </c>
      <c r="Z5" s="1173">
        <f>U5</f>
        <v>-14813</v>
      </c>
    </row>
    <row r="6" spans="1:26" ht="15.75" thickBot="1" x14ac:dyDescent="0.3">
      <c r="A6" s="1563"/>
      <c r="B6" s="1174" t="s">
        <v>2</v>
      </c>
      <c r="C6" s="1155">
        <f>SUMMARY!C23</f>
        <v>2.2400000000000002</v>
      </c>
      <c r="D6" s="1155">
        <f>SUMMARY!D23</f>
        <v>2.12</v>
      </c>
      <c r="E6" s="1155">
        <f>SUMMARY!E23</f>
        <v>2.4300000000000002</v>
      </c>
      <c r="F6" s="1155">
        <f>SUMMARY!F23</f>
        <v>2.6</v>
      </c>
      <c r="G6" s="1155">
        <f>SUMMARY!G23</f>
        <v>2.5499999999999998</v>
      </c>
      <c r="H6" s="1155">
        <f>SUMMARY!H23</f>
        <v>2.66</v>
      </c>
      <c r="I6" s="1155">
        <f>SUMMARY!I23</f>
        <v>2.61</v>
      </c>
      <c r="J6" s="1155">
        <f>SUMMARY!J23</f>
        <v>2.63</v>
      </c>
      <c r="K6" s="1155">
        <f>SUMMARY!K23</f>
        <v>2.71</v>
      </c>
      <c r="L6" s="1155">
        <f>SUMMARY!L23</f>
        <v>2.6</v>
      </c>
      <c r="M6" s="1155">
        <f>SUMMARY!M23</f>
        <v>2.52</v>
      </c>
      <c r="N6" s="1155">
        <f>SUMMARY!N23</f>
        <v>2.79</v>
      </c>
      <c r="O6" s="1155">
        <f>SUMPRODUCT(C5:N5,C6:N6)/O5</f>
        <v>2.5477788924402556</v>
      </c>
      <c r="R6" s="1171">
        <v>45778</v>
      </c>
      <c r="S6" s="1172">
        <v>38339</v>
      </c>
      <c r="T6" s="1172">
        <f>G8</f>
        <v>28505</v>
      </c>
      <c r="U6" s="1173">
        <f t="shared" si="1"/>
        <v>-9834</v>
      </c>
      <c r="W6" s="749" t="s">
        <v>17</v>
      </c>
      <c r="X6" s="714">
        <f>SUM(X2:X5)</f>
        <v>150712</v>
      </c>
      <c r="Y6" s="714">
        <f>SUM(Y2:Y5)</f>
        <v>89197.697</v>
      </c>
      <c r="Z6" s="715">
        <f>SUM(Z2:Z5)</f>
        <v>-61514.303</v>
      </c>
    </row>
    <row r="7" spans="1:26" ht="15.75" thickBot="1" x14ac:dyDescent="0.3">
      <c r="A7" s="1564"/>
      <c r="B7" s="1175" t="s">
        <v>3</v>
      </c>
      <c r="C7" s="1143">
        <f>SUMMARY!C24</f>
        <v>65.711923200000015</v>
      </c>
      <c r="D7" s="1143">
        <f>SUMMARY!D24</f>
        <v>52.126729600000004</v>
      </c>
      <c r="E7" s="1143">
        <f>SUMMARY!E24</f>
        <v>58.446748800000009</v>
      </c>
      <c r="F7" s="1143">
        <f>SUMMARY!F24</f>
        <v>66.077439999999996</v>
      </c>
      <c r="G7" s="1143">
        <f>SUMMARY!G24</f>
        <v>60.767520000000005</v>
      </c>
      <c r="H7" s="1143">
        <f>SUMMARY!H24</f>
        <v>65.865430400000008</v>
      </c>
      <c r="I7" s="1143">
        <f>SUMMARY!I24</f>
        <v>67.677508799999984</v>
      </c>
      <c r="J7" s="1143">
        <f>SUMMARY!J24</f>
        <v>74.8916696</v>
      </c>
      <c r="K7" s="1143">
        <f>SUMMARY!K24</f>
        <v>93.364920000000012</v>
      </c>
      <c r="L7" s="1143">
        <f>SUMMARY!L24</f>
        <v>85.086144000000004</v>
      </c>
      <c r="M7" s="1143">
        <f>SUMMARY!M24</f>
        <v>83.962771200000006</v>
      </c>
      <c r="N7" s="1143">
        <f>SUMMARY!N24</f>
        <v>90.928331999999997</v>
      </c>
      <c r="O7" s="1143">
        <f>SUM(C7:N7)</f>
        <v>864.90713760000006</v>
      </c>
      <c r="R7" s="1171">
        <v>45809</v>
      </c>
      <c r="S7" s="1172">
        <v>38339</v>
      </c>
      <c r="T7" s="1172">
        <f>H8</f>
        <v>27265</v>
      </c>
      <c r="U7" s="1173">
        <f t="shared" si="1"/>
        <v>-11074</v>
      </c>
    </row>
    <row r="8" spans="1:26" x14ac:dyDescent="0.25">
      <c r="A8" s="1562" t="s">
        <v>4</v>
      </c>
      <c r="B8" s="939" t="s">
        <v>1</v>
      </c>
      <c r="C8" s="111">
        <f>SUMMARY!C28</f>
        <v>20721</v>
      </c>
      <c r="D8" s="111">
        <f>SUMMARY!D28</f>
        <v>22145</v>
      </c>
      <c r="E8" s="111">
        <f>SUMMARY!E28</f>
        <v>22805.697</v>
      </c>
      <c r="F8" s="111">
        <f>SUMMARY!F28</f>
        <v>23526</v>
      </c>
      <c r="G8" s="111">
        <v>28505</v>
      </c>
      <c r="H8" s="111">
        <v>27265</v>
      </c>
      <c r="I8" s="111">
        <v>27858</v>
      </c>
      <c r="J8" s="111">
        <v>30680.57</v>
      </c>
      <c r="K8" s="111">
        <v>31641.61</v>
      </c>
      <c r="L8" s="111">
        <v>30969.809999999998</v>
      </c>
      <c r="M8" s="111">
        <v>34200.42</v>
      </c>
      <c r="N8" s="111">
        <v>34051.89</v>
      </c>
      <c r="O8" s="111">
        <f>SUM(C8:N8)</f>
        <v>334369.99699999997</v>
      </c>
      <c r="R8" s="1171">
        <v>45839</v>
      </c>
      <c r="S8" s="1172">
        <v>37560</v>
      </c>
      <c r="T8" s="1172">
        <f>I8</f>
        <v>27858</v>
      </c>
      <c r="U8" s="1173">
        <f t="shared" si="1"/>
        <v>-9702</v>
      </c>
      <c r="W8" s="212" t="s">
        <v>18</v>
      </c>
      <c r="X8" s="213" t="s">
        <v>11</v>
      </c>
      <c r="Y8" s="213" t="s">
        <v>12</v>
      </c>
      <c r="Z8" s="214" t="s">
        <v>13</v>
      </c>
    </row>
    <row r="9" spans="1:26" x14ac:dyDescent="0.25">
      <c r="A9" s="1563"/>
      <c r="B9" s="1174" t="s">
        <v>2</v>
      </c>
      <c r="C9" s="1146">
        <f>SUMMARY!C29</f>
        <v>2.0699999999999998</v>
      </c>
      <c r="D9" s="1146">
        <f>SUMMARY!D29</f>
        <v>2.37</v>
      </c>
      <c r="E9" s="1146">
        <f>SUMMARY!E29</f>
        <v>2.6930000000000001</v>
      </c>
      <c r="F9" s="1146">
        <f>SUMMARY!F29</f>
        <v>2.5499999999999998</v>
      </c>
      <c r="G9" s="1146">
        <v>2.3643448517803898</v>
      </c>
      <c r="H9" s="1146">
        <v>2.4378008435723455</v>
      </c>
      <c r="I9" s="1146">
        <v>2.4061537080910331</v>
      </c>
      <c r="J9" s="1146">
        <v>2.31</v>
      </c>
      <c r="K9" s="1146">
        <v>2.4</v>
      </c>
      <c r="L9" s="1146">
        <v>2.58</v>
      </c>
      <c r="M9" s="1146">
        <v>2.72</v>
      </c>
      <c r="N9" s="1146">
        <v>2.62</v>
      </c>
      <c r="O9" s="1146">
        <f>SUMPRODUCT(C8:N8,C9:N9)/O8</f>
        <v>2.4722052640416781</v>
      </c>
      <c r="R9" s="1171">
        <v>45870</v>
      </c>
      <c r="S9" s="1172">
        <v>37560</v>
      </c>
      <c r="T9" s="1172">
        <f>J8</f>
        <v>30680.57</v>
      </c>
      <c r="U9" s="1173">
        <f t="shared" si="1"/>
        <v>-6879.43</v>
      </c>
      <c r="W9" s="1171">
        <v>45778</v>
      </c>
      <c r="X9" s="1172">
        <f t="shared" ref="X9:Z16" si="3">S6</f>
        <v>38339</v>
      </c>
      <c r="Y9" s="1172">
        <f t="shared" si="3"/>
        <v>28505</v>
      </c>
      <c r="Z9" s="1173">
        <f t="shared" si="3"/>
        <v>-9834</v>
      </c>
    </row>
    <row r="10" spans="1:26" ht="15.75" thickBot="1" x14ac:dyDescent="0.3">
      <c r="A10" s="1564"/>
      <c r="B10" s="1175" t="s">
        <v>3</v>
      </c>
      <c r="C10" s="1143">
        <f>SUMMARY!C30</f>
        <v>36.052550312177033</v>
      </c>
      <c r="D10" s="1143">
        <f>SUMMARY!D30</f>
        <v>45.28656495033249</v>
      </c>
      <c r="E10" s="1143">
        <f>SUMMARY!E30</f>
        <v>54.892628663168743</v>
      </c>
      <c r="F10" s="1143">
        <f>SUMMARY!F30</f>
        <v>53.327651118770291</v>
      </c>
      <c r="G10" s="1143">
        <v>60.9582336</v>
      </c>
      <c r="H10" s="1143">
        <v>57.247106400000007</v>
      </c>
      <c r="I10" s="1143">
        <v>71.673071184000008</v>
      </c>
      <c r="J10" s="1143">
        <v>62.367462695999997</v>
      </c>
      <c r="K10" s="1143">
        <v>66.827080320000007</v>
      </c>
      <c r="L10" s="1143">
        <v>70.313856623999996</v>
      </c>
      <c r="M10" s="1143">
        <v>81.862125311999989</v>
      </c>
      <c r="N10" s="1143">
        <v>78.510037584000003</v>
      </c>
      <c r="O10" s="1143">
        <f>SUM(C10:N10)</f>
        <v>739.31836876444856</v>
      </c>
      <c r="R10" s="1171">
        <v>45901</v>
      </c>
      <c r="S10" s="1172">
        <v>38339</v>
      </c>
      <c r="T10" s="1172">
        <f>K8</f>
        <v>31641.61</v>
      </c>
      <c r="U10" s="1173">
        <f t="shared" si="1"/>
        <v>-6697.3899999999994</v>
      </c>
      <c r="W10" s="1171">
        <v>45809</v>
      </c>
      <c r="X10" s="1172">
        <f t="shared" si="3"/>
        <v>38339</v>
      </c>
      <c r="Y10" s="1172">
        <f t="shared" si="3"/>
        <v>27265</v>
      </c>
      <c r="Z10" s="1173">
        <f t="shared" si="3"/>
        <v>-11074</v>
      </c>
    </row>
    <row r="11" spans="1:26" ht="15.75" thickBot="1" x14ac:dyDescent="0.3">
      <c r="A11" s="938"/>
      <c r="B11" s="940"/>
      <c r="C11" s="941"/>
      <c r="D11" s="941"/>
      <c r="E11" s="941"/>
      <c r="F11" s="941"/>
      <c r="G11" s="941"/>
      <c r="H11" s="941"/>
      <c r="I11" s="941"/>
      <c r="J11" s="941"/>
      <c r="K11" s="941"/>
      <c r="L11" s="941"/>
      <c r="M11" s="941"/>
      <c r="N11" s="941"/>
      <c r="O11" s="941" t="s">
        <v>19</v>
      </c>
      <c r="R11" s="1171">
        <v>45931</v>
      </c>
      <c r="S11" s="1172">
        <v>38339</v>
      </c>
      <c r="T11" s="1172">
        <f>L8</f>
        <v>30969.809999999998</v>
      </c>
      <c r="U11" s="1173">
        <f t="shared" si="1"/>
        <v>-7369.1900000000023</v>
      </c>
      <c r="W11" s="1171">
        <v>45839</v>
      </c>
      <c r="X11" s="1172">
        <f t="shared" si="3"/>
        <v>37560</v>
      </c>
      <c r="Y11" s="1172">
        <f t="shared" si="3"/>
        <v>27858</v>
      </c>
      <c r="Z11" s="1173">
        <f t="shared" si="3"/>
        <v>-9702</v>
      </c>
    </row>
    <row r="12" spans="1:26" x14ac:dyDescent="0.25">
      <c r="A12" s="1562" t="s">
        <v>5</v>
      </c>
      <c r="B12" s="939" t="s">
        <v>1</v>
      </c>
      <c r="C12" s="111">
        <f>SUMMARY!C28</f>
        <v>20721</v>
      </c>
      <c r="D12" s="111">
        <f>SUMMARY!D28</f>
        <v>22145</v>
      </c>
      <c r="E12" s="111">
        <f>SUMMARY!E28</f>
        <v>22805.697</v>
      </c>
      <c r="F12" s="111">
        <f>SUMMARY!F28</f>
        <v>23526</v>
      </c>
      <c r="G12" s="111">
        <f>SUMMARY!G28</f>
        <v>25132.529300000002</v>
      </c>
      <c r="H12" s="111"/>
      <c r="I12" s="111"/>
      <c r="J12" s="111"/>
      <c r="K12" s="111"/>
      <c r="L12" s="111"/>
      <c r="M12" s="111"/>
      <c r="N12" s="111"/>
      <c r="O12" s="111">
        <f>SUM(F2:N2)</f>
        <v>341947</v>
      </c>
      <c r="R12" s="1171">
        <v>45962</v>
      </c>
      <c r="S12" s="1172">
        <v>37879</v>
      </c>
      <c r="T12" s="1172">
        <f>M8</f>
        <v>34200.42</v>
      </c>
      <c r="U12" s="1173">
        <f t="shared" si="1"/>
        <v>-3678.5800000000017</v>
      </c>
      <c r="W12" s="1171">
        <v>45870</v>
      </c>
      <c r="X12" s="1172">
        <f t="shared" si="3"/>
        <v>37560</v>
      </c>
      <c r="Y12" s="1172">
        <f t="shared" si="3"/>
        <v>30680.57</v>
      </c>
      <c r="Z12" s="1173">
        <f t="shared" si="3"/>
        <v>-6879.43</v>
      </c>
    </row>
    <row r="13" spans="1:26" ht="15.75" thickBot="1" x14ac:dyDescent="0.3">
      <c r="A13" s="1563"/>
      <c r="B13" s="1174" t="s">
        <v>2</v>
      </c>
      <c r="C13" s="1146">
        <f>SUMMARY!C29</f>
        <v>2.0699999999999998</v>
      </c>
      <c r="D13" s="1146">
        <f>SUMMARY!D29</f>
        <v>2.37</v>
      </c>
      <c r="E13" s="1146">
        <f>SUMMARY!E29</f>
        <v>2.6930000000000001</v>
      </c>
      <c r="F13" s="1146">
        <f>SUMMARY!F29</f>
        <v>2.5499999999999998</v>
      </c>
      <c r="G13" s="1146">
        <f>SUMMARY!G29</f>
        <v>2.0731186894853506</v>
      </c>
      <c r="H13" s="1146"/>
      <c r="I13" s="1146"/>
      <c r="J13" s="1146"/>
      <c r="K13" s="1146"/>
      <c r="L13" s="1146"/>
      <c r="M13" s="1146"/>
      <c r="N13" s="1146"/>
      <c r="O13" s="1146">
        <f>SUMPRODUCT(F2:N2,F3:N3)/O12</f>
        <v>2.3796702133923717</v>
      </c>
      <c r="R13" s="1176">
        <v>45992</v>
      </c>
      <c r="S13" s="1177">
        <v>37253</v>
      </c>
      <c r="T13" s="1177">
        <f>N8</f>
        <v>34051.89</v>
      </c>
      <c r="U13" s="1178">
        <f>T13-S13</f>
        <v>-3201.1100000000006</v>
      </c>
      <c r="W13" s="1171">
        <v>45901</v>
      </c>
      <c r="X13" s="1172">
        <f t="shared" si="3"/>
        <v>38339</v>
      </c>
      <c r="Y13" s="1172">
        <f t="shared" si="3"/>
        <v>31641.61</v>
      </c>
      <c r="Z13" s="1173">
        <f t="shared" si="3"/>
        <v>-6697.3899999999994</v>
      </c>
    </row>
    <row r="14" spans="1:26" ht="15.75" thickBot="1" x14ac:dyDescent="0.3">
      <c r="A14" s="1564"/>
      <c r="B14" s="1175" t="s">
        <v>3</v>
      </c>
      <c r="C14" s="1143">
        <f>SUMMARY!C30</f>
        <v>36.052550312177033</v>
      </c>
      <c r="D14" s="1143">
        <f>SUMMARY!D30</f>
        <v>45.28656495033249</v>
      </c>
      <c r="E14" s="1143">
        <f>SUMMARY!E30</f>
        <v>54.892628663168743</v>
      </c>
      <c r="F14" s="1143">
        <f>SUMMARY!F30</f>
        <v>53.327651118770291</v>
      </c>
      <c r="G14" s="1143">
        <f>SUMMARY!G30</f>
        <v>44.452548198900338</v>
      </c>
      <c r="H14" s="1143"/>
      <c r="I14" s="1143"/>
      <c r="J14" s="1143"/>
      <c r="K14" s="1143"/>
      <c r="L14" s="1143"/>
      <c r="M14" s="1143"/>
      <c r="N14" s="1143"/>
      <c r="O14" s="1143">
        <f>SUM(F7:N7)</f>
        <v>688.62173599999994</v>
      </c>
      <c r="R14" s="749" t="s">
        <v>17</v>
      </c>
      <c r="S14" s="712">
        <f>SUM(S2:S13)</f>
        <v>454320</v>
      </c>
      <c r="T14" s="712">
        <f>SUM(T2:T13)</f>
        <v>334369.99699999997</v>
      </c>
      <c r="U14" s="1007">
        <f>SUM(U2:U13)</f>
        <v>-119950.00300000001</v>
      </c>
      <c r="W14" s="1171">
        <v>45931</v>
      </c>
      <c r="X14" s="1172">
        <f t="shared" si="3"/>
        <v>38339</v>
      </c>
      <c r="Y14" s="1172">
        <f t="shared" si="3"/>
        <v>30969.809999999998</v>
      </c>
      <c r="Z14" s="1173">
        <f t="shared" si="3"/>
        <v>-7369.1900000000023</v>
      </c>
    </row>
    <row r="15" spans="1:26" x14ac:dyDescent="0.25">
      <c r="E15" s="52">
        <f>SUM(C12:F12)</f>
        <v>89197.697</v>
      </c>
      <c r="O15" s="52">
        <f>SUM(F8:N8)</f>
        <v>268698.3</v>
      </c>
      <c r="W15" s="1171">
        <v>45962</v>
      </c>
      <c r="X15" s="1172">
        <f t="shared" si="3"/>
        <v>37879</v>
      </c>
      <c r="Y15" s="1172">
        <f t="shared" si="3"/>
        <v>34200.42</v>
      </c>
      <c r="Z15" s="1173">
        <f t="shared" si="3"/>
        <v>-3678.5800000000017</v>
      </c>
    </row>
    <row r="16" spans="1:26" ht="15.75" thickBot="1" x14ac:dyDescent="0.3">
      <c r="E16" s="63">
        <f>SUMPRODUCT(C12:F12,C13:F13)/E15</f>
        <v>2.4303672551209479</v>
      </c>
      <c r="O16" s="63">
        <f>SUMPRODUCT(F8:N8,F9:N9)/O15</f>
        <v>2.4929052573090345</v>
      </c>
      <c r="W16" s="1176">
        <v>45992</v>
      </c>
      <c r="X16" s="1172">
        <f t="shared" si="3"/>
        <v>37253</v>
      </c>
      <c r="Y16" s="1172">
        <f t="shared" si="3"/>
        <v>34051.89</v>
      </c>
      <c r="Z16" s="1173">
        <f t="shared" si="3"/>
        <v>-3201.1100000000006</v>
      </c>
    </row>
    <row r="17" spans="2:26" ht="15.75" thickBot="1" x14ac:dyDescent="0.3">
      <c r="E17" s="99">
        <f>SUM(C14:F14)</f>
        <v>189.55939504444856</v>
      </c>
      <c r="O17" s="99">
        <f>SUM(F10:N10)</f>
        <v>603.08662483877026</v>
      </c>
      <c r="W17" s="749" t="s">
        <v>17</v>
      </c>
      <c r="X17" s="714">
        <f>SUM(X9:X16)</f>
        <v>303608</v>
      </c>
      <c r="Y17" s="714">
        <f>SUM(Y9:Y16)</f>
        <v>245172.3</v>
      </c>
      <c r="Z17" s="715">
        <f>SUM(Z9:Z16)</f>
        <v>-58435.700000000004</v>
      </c>
    </row>
    <row r="18" spans="2:26" ht="15.75" thickBot="1" x14ac:dyDescent="0.3"/>
    <row r="19" spans="2:26" x14ac:dyDescent="0.25">
      <c r="B19" s="746"/>
      <c r="C19" s="747"/>
      <c r="D19" s="747" t="s">
        <v>20</v>
      </c>
      <c r="E19" s="747"/>
      <c r="F19" s="747" t="s">
        <v>21</v>
      </c>
      <c r="G19" s="747"/>
      <c r="H19" s="748" t="s">
        <v>22</v>
      </c>
      <c r="I19" s="748"/>
      <c r="O19" s="52">
        <f>O12-O15</f>
        <v>73248.700000000012</v>
      </c>
    </row>
    <row r="20" spans="2:26" x14ac:dyDescent="0.25">
      <c r="B20" s="1179" t="s">
        <v>23</v>
      </c>
      <c r="C20" s="1180"/>
      <c r="D20" s="1172">
        <f>SUM(C2:F2)</f>
        <v>145709</v>
      </c>
      <c r="E20" s="1180"/>
      <c r="F20" s="1172">
        <f>SUM(G2:N2)</f>
        <v>303608</v>
      </c>
      <c r="G20" s="1180"/>
      <c r="H20" s="1181">
        <f>SUM(D20,F20)</f>
        <v>449317</v>
      </c>
      <c r="I20" s="1181">
        <v>914</v>
      </c>
    </row>
    <row r="21" spans="2:26" x14ac:dyDescent="0.25">
      <c r="B21" s="1179" t="s">
        <v>24</v>
      </c>
      <c r="C21" s="1180"/>
      <c r="D21" s="1182">
        <f>SUM(C5:F5)</f>
        <v>117489</v>
      </c>
      <c r="E21" s="1180"/>
      <c r="F21" s="1182">
        <f>SUM(G5:N5)</f>
        <v>268278</v>
      </c>
      <c r="G21" s="1180"/>
      <c r="H21" s="1181">
        <f t="shared" ref="H21:H23" si="4">SUM(D21,F21)</f>
        <v>385767</v>
      </c>
      <c r="I21" s="1181">
        <v>865</v>
      </c>
    </row>
    <row r="22" spans="2:26" x14ac:dyDescent="0.25">
      <c r="B22" s="1179" t="s">
        <v>25</v>
      </c>
      <c r="C22" s="1180"/>
      <c r="D22" s="1182">
        <f>SUM(C8:F8)</f>
        <v>89197.697</v>
      </c>
      <c r="E22" s="1180"/>
      <c r="F22" s="1182">
        <f>SUM(G8:N8)</f>
        <v>245172.3</v>
      </c>
      <c r="G22" s="1180"/>
      <c r="H22" s="1181">
        <f t="shared" si="4"/>
        <v>334369.99699999997</v>
      </c>
      <c r="I22" s="1181">
        <v>764</v>
      </c>
    </row>
    <row r="23" spans="2:26" hidden="1" x14ac:dyDescent="0.25">
      <c r="B23" s="1179" t="s">
        <v>26</v>
      </c>
      <c r="C23" s="1180"/>
      <c r="D23" s="1183">
        <f>D22-D21</f>
        <v>-28291.303</v>
      </c>
      <c r="E23" s="1180"/>
      <c r="F23" s="1183">
        <f>F22-F21</f>
        <v>-23105.700000000012</v>
      </c>
      <c r="G23" s="1180"/>
      <c r="H23" s="1173">
        <f t="shared" si="4"/>
        <v>-51397.003000000012</v>
      </c>
    </row>
    <row r="24" spans="2:26" ht="15.75" thickBot="1" x14ac:dyDescent="0.3">
      <c r="B24" s="1184" t="s">
        <v>27</v>
      </c>
      <c r="C24" s="1185"/>
      <c r="D24" s="1186">
        <f>D22-D20</f>
        <v>-56511.303</v>
      </c>
      <c r="E24" s="1185"/>
      <c r="F24" s="1186">
        <f>F22-F20</f>
        <v>-58435.700000000012</v>
      </c>
      <c r="G24" s="1185"/>
      <c r="H24" s="1187">
        <f>H22-H20</f>
        <v>-114947.00300000003</v>
      </c>
      <c r="I24" s="1187">
        <f>I20-I22</f>
        <v>150</v>
      </c>
    </row>
  </sheetData>
  <mergeCells count="4">
    <mergeCell ref="A2:A4"/>
    <mergeCell ref="A8:A10"/>
    <mergeCell ref="A12:A14"/>
    <mergeCell ref="A5:A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827D0-96D1-4E0B-9EE3-BA5BB2466F85}">
  <dimension ref="B2:AC38"/>
  <sheetViews>
    <sheetView zoomScale="70" zoomScaleNormal="70" workbookViewId="0">
      <selection activeCell="N11" sqref="N11"/>
    </sheetView>
  </sheetViews>
  <sheetFormatPr defaultRowHeight="15" x14ac:dyDescent="0.25"/>
  <cols>
    <col min="2" max="2" width="23" customWidth="1"/>
    <col min="3" max="3" width="2.5703125" customWidth="1"/>
    <col min="4" max="4" width="16" customWidth="1"/>
    <col min="5" max="5" width="2.5703125" customWidth="1"/>
    <col min="6" max="6" width="16" customWidth="1"/>
    <col min="7" max="7" width="2.5703125" customWidth="1"/>
    <col min="8" max="8" width="16" customWidth="1"/>
    <col min="9" max="9" width="18.140625" bestFit="1" customWidth="1"/>
    <col min="10" max="11" width="16" customWidth="1"/>
    <col min="20" max="21" width="10.28515625" bestFit="1" customWidth="1"/>
  </cols>
  <sheetData>
    <row r="2" spans="2:29" ht="15.75" thickBot="1" x14ac:dyDescent="0.3"/>
    <row r="3" spans="2:29" ht="42.75" thickBot="1" x14ac:dyDescent="0.3">
      <c r="B3" s="735"/>
      <c r="C3" s="739"/>
      <c r="D3" s="734" t="s">
        <v>28</v>
      </c>
      <c r="E3" s="739"/>
      <c r="F3" s="734" t="s">
        <v>21</v>
      </c>
      <c r="G3" s="739"/>
      <c r="H3" s="734" t="s">
        <v>22</v>
      </c>
      <c r="I3" s="753"/>
      <c r="J3" s="753"/>
      <c r="K3" s="753"/>
      <c r="L3" s="736"/>
      <c r="O3" s="105"/>
      <c r="P3" s="106"/>
      <c r="Q3" s="115">
        <v>45658</v>
      </c>
      <c r="R3" s="115">
        <v>45689</v>
      </c>
      <c r="S3" s="115">
        <v>45717</v>
      </c>
      <c r="T3" s="115">
        <v>45748</v>
      </c>
      <c r="U3" s="115">
        <v>45778</v>
      </c>
      <c r="V3" s="115">
        <v>45809</v>
      </c>
      <c r="W3" s="115">
        <v>45839</v>
      </c>
      <c r="X3" s="115">
        <v>45870</v>
      </c>
      <c r="Y3" s="115">
        <v>45901</v>
      </c>
      <c r="Z3" s="115">
        <v>45931</v>
      </c>
      <c r="AA3" s="115">
        <v>45962</v>
      </c>
      <c r="AB3" s="116">
        <v>45992</v>
      </c>
      <c r="AC3" t="s">
        <v>29</v>
      </c>
    </row>
    <row r="4" spans="2:29" ht="22.5" customHeight="1" thickBot="1" x14ac:dyDescent="0.3">
      <c r="B4" s="737" t="s">
        <v>23</v>
      </c>
      <c r="C4" s="739"/>
      <c r="D4" s="1188">
        <f>SUM('Rough Working'!O7:O9)</f>
        <v>112373</v>
      </c>
      <c r="E4" s="740"/>
      <c r="F4" s="1188">
        <f>SUM('Rough Working'!U7:U15)</f>
        <v>341947</v>
      </c>
      <c r="G4" s="740"/>
      <c r="H4" s="1188">
        <f>D4+F4</f>
        <v>454320</v>
      </c>
      <c r="I4" s="1189"/>
      <c r="J4" s="1189"/>
      <c r="K4" s="1189"/>
      <c r="L4" s="736"/>
      <c r="O4" s="751" t="s">
        <v>15</v>
      </c>
      <c r="P4" s="107" t="s">
        <v>1</v>
      </c>
      <c r="Q4" s="1172">
        <v>38339</v>
      </c>
      <c r="R4" s="1172">
        <v>35695</v>
      </c>
      <c r="S4" s="1172">
        <v>38339</v>
      </c>
      <c r="T4" s="1172">
        <v>38339</v>
      </c>
      <c r="U4" s="1172">
        <v>38339</v>
      </c>
      <c r="V4" s="1172">
        <v>38339</v>
      </c>
      <c r="W4" s="1172">
        <v>37560</v>
      </c>
      <c r="X4" s="1172">
        <v>37560</v>
      </c>
      <c r="Y4" s="1172">
        <v>38339</v>
      </c>
      <c r="Z4" s="1172">
        <v>38339</v>
      </c>
      <c r="AA4" s="1172">
        <v>37879</v>
      </c>
      <c r="AB4" s="1177">
        <v>37253</v>
      </c>
      <c r="AC4" s="118">
        <f>SUM(T4:AB4)</f>
        <v>341947</v>
      </c>
    </row>
    <row r="5" spans="2:29" ht="30.75" thickBot="1" x14ac:dyDescent="0.3">
      <c r="B5" s="737" t="s">
        <v>24</v>
      </c>
      <c r="C5" s="739"/>
      <c r="D5" s="1188">
        <f>SUM('Rough Working'!I37:K37)</f>
        <v>67108</v>
      </c>
      <c r="E5" s="740"/>
      <c r="F5" s="1188">
        <f>SUM('Rough Working'!L34:T34)</f>
        <v>279258.57</v>
      </c>
      <c r="G5" s="740"/>
      <c r="H5" s="1188">
        <f>D5+F5</f>
        <v>346366.57</v>
      </c>
      <c r="I5" s="1189"/>
      <c r="J5" s="1189"/>
      <c r="K5" s="1189"/>
      <c r="L5" s="736"/>
      <c r="O5" s="751" t="s">
        <v>24</v>
      </c>
      <c r="P5" s="107" t="s">
        <v>1</v>
      </c>
      <c r="Q5" s="111">
        <v>33336</v>
      </c>
      <c r="R5" s="111">
        <v>27941</v>
      </c>
      <c r="S5" s="111">
        <v>27332</v>
      </c>
      <c r="T5" s="111">
        <v>28880</v>
      </c>
      <c r="U5" s="111">
        <v>27080</v>
      </c>
      <c r="V5" s="111">
        <v>28138</v>
      </c>
      <c r="W5" s="111">
        <v>29466</v>
      </c>
      <c r="X5" s="111">
        <v>32359</v>
      </c>
      <c r="Y5" s="111">
        <v>39150</v>
      </c>
      <c r="Z5" s="111">
        <v>37188</v>
      </c>
      <c r="AA5" s="111">
        <v>37862</v>
      </c>
      <c r="AB5" s="111">
        <v>37035</v>
      </c>
      <c r="AC5" s="118">
        <f t="shared" ref="AC5:AC7" si="0">SUM(T5:AB5)</f>
        <v>297158</v>
      </c>
    </row>
    <row r="6" spans="2:29" ht="24" thickBot="1" x14ac:dyDescent="0.3">
      <c r="B6" s="737" t="s">
        <v>25</v>
      </c>
      <c r="C6" s="739"/>
      <c r="D6" s="1188">
        <f>SUM('Rough Working'!I37:K37)</f>
        <v>67108</v>
      </c>
      <c r="E6" s="740"/>
      <c r="F6" s="1188">
        <f>SUM('Rough Working'!L34:T34)</f>
        <v>279258.57</v>
      </c>
      <c r="G6" s="740"/>
      <c r="H6" s="1188">
        <f>D6+F6</f>
        <v>346366.57</v>
      </c>
      <c r="I6" s="1189"/>
      <c r="J6" s="1189"/>
      <c r="K6" s="1189"/>
      <c r="L6" s="736"/>
      <c r="O6" s="750" t="s">
        <v>25</v>
      </c>
      <c r="P6" s="107" t="s">
        <v>1</v>
      </c>
      <c r="Q6" s="111">
        <v>0</v>
      </c>
      <c r="R6" s="111">
        <v>0</v>
      </c>
      <c r="S6" s="111">
        <v>0</v>
      </c>
      <c r="T6" s="745">
        <v>0</v>
      </c>
      <c r="U6" s="111">
        <v>29352</v>
      </c>
      <c r="V6" s="111">
        <v>26771</v>
      </c>
      <c r="W6" s="111">
        <v>34806.270000000004</v>
      </c>
      <c r="X6" s="111">
        <v>30680.57</v>
      </c>
      <c r="Y6" s="111">
        <v>31641.61</v>
      </c>
      <c r="Z6" s="111">
        <v>30969.809999999998</v>
      </c>
      <c r="AA6" s="111">
        <v>34200.42</v>
      </c>
      <c r="AB6" s="112">
        <v>34051.89</v>
      </c>
      <c r="AC6" s="118">
        <f t="shared" si="0"/>
        <v>252473.57</v>
      </c>
    </row>
    <row r="7" spans="2:29" ht="45.75" thickBot="1" x14ac:dyDescent="0.3">
      <c r="B7" s="737" t="s">
        <v>30</v>
      </c>
      <c r="C7" s="739"/>
      <c r="D7" s="738">
        <f>D6-D4</f>
        <v>-45265</v>
      </c>
      <c r="E7" s="740"/>
      <c r="F7" s="738">
        <f>F6-F4</f>
        <v>-62688.429999999993</v>
      </c>
      <c r="G7" s="740"/>
      <c r="H7" s="738">
        <f>H6-H4</f>
        <v>-107953.43</v>
      </c>
      <c r="I7" s="754"/>
      <c r="J7" s="754"/>
      <c r="K7" s="754"/>
      <c r="L7" s="736"/>
      <c r="O7" s="750" t="s">
        <v>31</v>
      </c>
      <c r="P7" s="107"/>
      <c r="Q7" s="111"/>
      <c r="R7" s="111"/>
      <c r="S7" s="111"/>
      <c r="T7" s="745">
        <f>T19</f>
        <v>23111.058707696386</v>
      </c>
      <c r="U7" s="745">
        <f t="shared" ref="U7:AB7" si="1">U19</f>
        <v>25325.958379253476</v>
      </c>
      <c r="V7" s="745">
        <f t="shared" si="1"/>
        <v>23098.979005553105</v>
      </c>
      <c r="W7" s="745">
        <f t="shared" si="1"/>
        <v>30032.09816561253</v>
      </c>
      <c r="X7" s="745">
        <f t="shared" si="1"/>
        <v>26472.296227574705</v>
      </c>
      <c r="Y7" s="745">
        <f t="shared" si="1"/>
        <v>27301.516009558822</v>
      </c>
      <c r="Z7" s="745">
        <f t="shared" si="1"/>
        <v>26721.862873854865</v>
      </c>
      <c r="AA7" s="745">
        <f t="shared" si="1"/>
        <v>29509.34905536209</v>
      </c>
      <c r="AB7" s="745">
        <f t="shared" si="1"/>
        <v>29381.192043980565</v>
      </c>
      <c r="AC7" s="118">
        <f t="shared" si="0"/>
        <v>240954.31046844652</v>
      </c>
    </row>
    <row r="8" spans="2:29" ht="15.75" thickBot="1" x14ac:dyDescent="0.3">
      <c r="O8" s="750" t="s">
        <v>32</v>
      </c>
      <c r="P8" s="107" t="s">
        <v>1</v>
      </c>
      <c r="Q8" s="111">
        <v>21224</v>
      </c>
      <c r="R8" s="111">
        <v>21098</v>
      </c>
      <c r="S8" s="111">
        <f>S36</f>
        <v>24786</v>
      </c>
      <c r="T8" s="111">
        <f>'Rough Working'!L37</f>
        <v>24001</v>
      </c>
      <c r="U8" s="111"/>
      <c r="V8" s="111"/>
      <c r="W8" s="111"/>
      <c r="X8" s="111"/>
      <c r="Y8" s="111"/>
      <c r="Z8" s="111"/>
    </row>
    <row r="9" spans="2:29" ht="25.9" customHeight="1" thickBot="1" x14ac:dyDescent="0.3">
      <c r="B9" s="778"/>
      <c r="C9" s="779"/>
      <c r="D9" s="780" t="s">
        <v>28</v>
      </c>
      <c r="E9" s="781"/>
      <c r="F9" s="780" t="s">
        <v>21</v>
      </c>
      <c r="G9" s="781"/>
      <c r="H9" s="780" t="s">
        <v>22</v>
      </c>
      <c r="I9" s="780" t="s">
        <v>33</v>
      </c>
      <c r="J9" s="753"/>
      <c r="K9" s="753"/>
      <c r="T9" s="1146">
        <f>'Rough Working'!L38</f>
        <v>2.54</v>
      </c>
      <c r="U9" s="1140">
        <v>2.36</v>
      </c>
      <c r="V9" s="1140">
        <v>2.4300000000000002</v>
      </c>
      <c r="W9" s="1140">
        <v>2.34</v>
      </c>
      <c r="X9" s="1140">
        <v>2.31</v>
      </c>
      <c r="Y9" s="1140">
        <v>2.4</v>
      </c>
      <c r="Z9" s="1140">
        <v>2.58</v>
      </c>
      <c r="AA9" s="1140">
        <v>2.72</v>
      </c>
      <c r="AB9" s="1141">
        <v>2.62</v>
      </c>
    </row>
    <row r="10" spans="2:29" ht="22.5" customHeight="1" thickBot="1" x14ac:dyDescent="0.3">
      <c r="B10" s="775" t="s">
        <v>23</v>
      </c>
      <c r="C10" s="776"/>
      <c r="D10" s="1190">
        <v>112373</v>
      </c>
      <c r="E10" s="777"/>
      <c r="F10" s="1190">
        <v>341947</v>
      </c>
      <c r="G10" s="777"/>
      <c r="H10" s="1190">
        <v>454320</v>
      </c>
      <c r="I10" s="1190">
        <f>'Yearly Forecast'!O4</f>
        <v>913.5937239095116</v>
      </c>
      <c r="J10" s="1189"/>
      <c r="K10" s="1189"/>
      <c r="T10" s="752">
        <f>'Yearly Forecast'!$F$14</f>
        <v>53.327651118770291</v>
      </c>
      <c r="U10" s="752">
        <f t="shared" ref="U10:AB10" si="2">U7*U9*0.88/1000</f>
        <v>52.59695036203361</v>
      </c>
      <c r="V10" s="752">
        <f t="shared" si="2"/>
        <v>49.394856705474758</v>
      </c>
      <c r="W10" s="752">
        <f t="shared" si="2"/>
        <v>61.842096542629314</v>
      </c>
      <c r="X10" s="752">
        <f t="shared" si="2"/>
        <v>53.812883771413865</v>
      </c>
      <c r="Y10" s="752">
        <f t="shared" si="2"/>
        <v>57.660801812188225</v>
      </c>
      <c r="Z10" s="752">
        <f t="shared" si="2"/>
        <v>60.669317468800088</v>
      </c>
      <c r="AA10" s="752">
        <f t="shared" si="2"/>
        <v>70.633577898914709</v>
      </c>
      <c r="AB10" s="752">
        <f t="shared" si="2"/>
        <v>67.741276376601604</v>
      </c>
      <c r="AC10" s="52">
        <f>SUM(T10:AB10)</f>
        <v>527.67941205682655</v>
      </c>
    </row>
    <row r="11" spans="2:29" ht="23.25" x14ac:dyDescent="0.25">
      <c r="B11" s="1191" t="s">
        <v>24</v>
      </c>
      <c r="C11" s="1192"/>
      <c r="D11" s="1193">
        <v>88609</v>
      </c>
      <c r="E11" s="1194"/>
      <c r="F11" s="1193">
        <v>297158</v>
      </c>
      <c r="G11" s="1194"/>
      <c r="H11" s="1193">
        <v>385767</v>
      </c>
      <c r="I11" s="1193">
        <f>'Yearly Forecast'!O7</f>
        <v>864.90713760000006</v>
      </c>
      <c r="J11" s="1189"/>
      <c r="K11" s="1189"/>
      <c r="Q11" s="115">
        <v>45658</v>
      </c>
      <c r="R11" s="115">
        <v>45689</v>
      </c>
      <c r="S11" s="115">
        <v>45717</v>
      </c>
      <c r="T11" s="115">
        <v>45748</v>
      </c>
      <c r="U11" s="115">
        <v>45778</v>
      </c>
      <c r="V11" s="115">
        <v>45809</v>
      </c>
      <c r="W11" s="115">
        <v>45839</v>
      </c>
      <c r="X11" s="115">
        <v>45870</v>
      </c>
      <c r="Y11" s="115">
        <v>45901</v>
      </c>
      <c r="Z11" s="115">
        <v>45931</v>
      </c>
      <c r="AA11" s="115">
        <v>45962</v>
      </c>
      <c r="AB11" s="115">
        <v>45992</v>
      </c>
    </row>
    <row r="12" spans="2:29" ht="23.25" x14ac:dyDescent="0.25">
      <c r="B12" s="1191" t="s">
        <v>25</v>
      </c>
      <c r="C12" s="1192"/>
      <c r="D12" s="1193">
        <v>66675</v>
      </c>
      <c r="E12" s="1194"/>
      <c r="F12" s="1193">
        <v>279258.57</v>
      </c>
      <c r="G12" s="1194"/>
      <c r="H12" s="1193">
        <v>345933.57</v>
      </c>
      <c r="I12" s="1195">
        <f>'Yearly Forecast'!O10</f>
        <v>739.31836876444856</v>
      </c>
      <c r="J12" s="1189"/>
      <c r="K12" s="1189"/>
      <c r="O12" t="s">
        <v>23</v>
      </c>
      <c r="P12" t="s">
        <v>1</v>
      </c>
      <c r="Q12">
        <v>38339</v>
      </c>
      <c r="R12">
        <v>35695</v>
      </c>
      <c r="S12">
        <v>38339</v>
      </c>
      <c r="T12">
        <v>38339</v>
      </c>
      <c r="U12">
        <v>38339</v>
      </c>
      <c r="V12">
        <v>38339</v>
      </c>
      <c r="W12">
        <v>37560</v>
      </c>
      <c r="X12">
        <v>37560</v>
      </c>
      <c r="Y12">
        <v>38339</v>
      </c>
      <c r="Z12">
        <v>38339</v>
      </c>
      <c r="AA12">
        <v>37879</v>
      </c>
      <c r="AB12">
        <v>37253</v>
      </c>
    </row>
    <row r="13" spans="2:29" ht="23.25" hidden="1" x14ac:dyDescent="0.25">
      <c r="B13" s="1191" t="s">
        <v>26</v>
      </c>
      <c r="C13" s="1192"/>
      <c r="D13" s="1196">
        <v>-21934</v>
      </c>
      <c r="E13" s="1194"/>
      <c r="F13" s="1196">
        <v>-17899.429999999993</v>
      </c>
      <c r="G13" s="1194"/>
      <c r="H13" s="1196">
        <v>-39833.429999999993</v>
      </c>
      <c r="I13" s="1196"/>
      <c r="J13" s="754"/>
      <c r="K13" s="754"/>
      <c r="O13" t="s">
        <v>24</v>
      </c>
      <c r="P13" t="s">
        <v>1</v>
      </c>
      <c r="Q13">
        <v>33336</v>
      </c>
      <c r="R13">
        <v>27941</v>
      </c>
      <c r="S13">
        <v>27332</v>
      </c>
      <c r="T13">
        <v>28880</v>
      </c>
      <c r="U13">
        <v>27080</v>
      </c>
      <c r="V13">
        <v>28138</v>
      </c>
      <c r="W13">
        <v>29466</v>
      </c>
      <c r="X13">
        <v>32359</v>
      </c>
      <c r="Y13">
        <v>39150</v>
      </c>
      <c r="Z13">
        <v>37188</v>
      </c>
      <c r="AA13">
        <v>37862</v>
      </c>
      <c r="AB13">
        <v>37035</v>
      </c>
    </row>
    <row r="14" spans="2:29" ht="63" x14ac:dyDescent="0.25">
      <c r="B14" s="1191" t="s">
        <v>34</v>
      </c>
      <c r="C14" s="1192"/>
      <c r="D14" s="1195">
        <f>D12</f>
        <v>66675</v>
      </c>
      <c r="E14" s="1194"/>
      <c r="F14" s="1195">
        <f>SUM(T7:AB7)</f>
        <v>240954.31046844652</v>
      </c>
      <c r="G14" s="1194"/>
      <c r="H14" s="1195">
        <f>SUM(D14+F14)</f>
        <v>307629.31046844652</v>
      </c>
      <c r="I14" s="1195">
        <f>'Yearly Forecast'!O17</f>
        <v>603.08662483877026</v>
      </c>
      <c r="J14" s="754"/>
      <c r="K14" s="754"/>
      <c r="O14" t="s">
        <v>25</v>
      </c>
      <c r="P14" t="s">
        <v>1</v>
      </c>
      <c r="Q14">
        <v>0</v>
      </c>
      <c r="R14">
        <v>0</v>
      </c>
      <c r="S14">
        <v>0</v>
      </c>
      <c r="T14">
        <v>26785</v>
      </c>
      <c r="U14">
        <v>29352</v>
      </c>
      <c r="V14">
        <v>26771</v>
      </c>
      <c r="W14">
        <v>34806.270000000004</v>
      </c>
      <c r="X14">
        <v>30680.57</v>
      </c>
      <c r="Y14">
        <v>31641.61</v>
      </c>
      <c r="Z14">
        <v>30969.809999999998</v>
      </c>
      <c r="AA14">
        <v>34200.42</v>
      </c>
      <c r="AB14">
        <v>34051.89</v>
      </c>
    </row>
    <row r="15" spans="2:29" ht="24" thickBot="1" x14ac:dyDescent="0.3">
      <c r="B15" s="1197" t="s">
        <v>27</v>
      </c>
      <c r="C15" s="1198"/>
      <c r="D15" s="1199">
        <v>-45698</v>
      </c>
      <c r="E15" s="1200"/>
      <c r="F15" s="1199">
        <v>-62688.429999999993</v>
      </c>
      <c r="G15" s="1200"/>
      <c r="H15" s="1199">
        <v>-108386.43</v>
      </c>
      <c r="I15" s="1199">
        <f>I12-I10</f>
        <v>-174.27535514506303</v>
      </c>
      <c r="O15" t="s">
        <v>32</v>
      </c>
      <c r="P15" t="s">
        <v>1</v>
      </c>
      <c r="Q15">
        <v>21224</v>
      </c>
      <c r="R15">
        <v>21098</v>
      </c>
      <c r="S15">
        <v>24353</v>
      </c>
      <c r="T15">
        <v>0</v>
      </c>
    </row>
    <row r="16" spans="2:29" x14ac:dyDescent="0.25">
      <c r="AC16">
        <v>34051.89</v>
      </c>
    </row>
    <row r="18" spans="15:29" x14ac:dyDescent="0.25">
      <c r="O18" t="s">
        <v>25</v>
      </c>
      <c r="P18" t="s">
        <v>1</v>
      </c>
      <c r="Q18">
        <f>'Monthly Stope Performance'!C16</f>
        <v>24395</v>
      </c>
      <c r="R18">
        <f>'Monthly Stope Performance'!C33</f>
        <v>24500</v>
      </c>
      <c r="S18">
        <f>'Monthly Stope Performance'!C50</f>
        <v>28910</v>
      </c>
      <c r="T18">
        <v>26785</v>
      </c>
      <c r="U18">
        <v>29352</v>
      </c>
      <c r="V18">
        <v>26771</v>
      </c>
      <c r="W18">
        <v>34806.270000000004</v>
      </c>
      <c r="X18">
        <v>30680.57</v>
      </c>
      <c r="Y18">
        <v>31641.61</v>
      </c>
      <c r="Z18">
        <v>30969.809999999998</v>
      </c>
      <c r="AA18">
        <v>34200.42</v>
      </c>
      <c r="AB18">
        <v>34051.89</v>
      </c>
    </row>
    <row r="19" spans="15:29" x14ac:dyDescent="0.25">
      <c r="O19" t="s">
        <v>32</v>
      </c>
      <c r="Q19" s="52">
        <f>Q8</f>
        <v>21224</v>
      </c>
      <c r="R19" s="52">
        <f>R8</f>
        <v>21098</v>
      </c>
      <c r="S19" s="52">
        <f>S8</f>
        <v>24786</v>
      </c>
      <c r="T19" s="52">
        <f>T18*AVERAGE($Q$20:$S$20)</f>
        <v>23111.058707696386</v>
      </c>
      <c r="U19" s="52">
        <f t="shared" ref="U19:AB19" si="3">U18*AVERAGE($Q$20:$S$20)</f>
        <v>25325.958379253476</v>
      </c>
      <c r="V19" s="52">
        <f t="shared" si="3"/>
        <v>23098.979005553105</v>
      </c>
      <c r="W19" s="52">
        <f t="shared" si="3"/>
        <v>30032.09816561253</v>
      </c>
      <c r="X19" s="52">
        <f t="shared" si="3"/>
        <v>26472.296227574705</v>
      </c>
      <c r="Y19" s="52">
        <f t="shared" si="3"/>
        <v>27301.516009558822</v>
      </c>
      <c r="Z19" s="52">
        <f t="shared" si="3"/>
        <v>26721.862873854865</v>
      </c>
      <c r="AA19" s="52">
        <f t="shared" si="3"/>
        <v>29509.34905536209</v>
      </c>
      <c r="AB19" s="52">
        <f t="shared" si="3"/>
        <v>29381.192043980565</v>
      </c>
    </row>
    <row r="20" spans="15:29" x14ac:dyDescent="0.25">
      <c r="Q20" s="49">
        <f>Q19/Q18</f>
        <v>0.87001434720229553</v>
      </c>
      <c r="R20" s="49">
        <f t="shared" ref="R20:S20" si="4">R19/R18</f>
        <v>0.8611428571428571</v>
      </c>
      <c r="S20" s="49">
        <f t="shared" si="4"/>
        <v>0.85735039778623312</v>
      </c>
    </row>
    <row r="21" spans="15:29" ht="15.75" thickBot="1" x14ac:dyDescent="0.3"/>
    <row r="22" spans="15:29" ht="15.75" thickBot="1" x14ac:dyDescent="0.3">
      <c r="O22" s="105"/>
      <c r="P22" s="106"/>
      <c r="Q22" s="115">
        <v>45658</v>
      </c>
      <c r="R22" s="115">
        <v>45689</v>
      </c>
      <c r="S22" s="115">
        <v>45717</v>
      </c>
      <c r="T22" s="115">
        <v>45748</v>
      </c>
      <c r="U22" s="115">
        <v>45778</v>
      </c>
      <c r="V22" s="115">
        <v>45809</v>
      </c>
      <c r="W22" s="115">
        <v>45839</v>
      </c>
      <c r="X22" s="115">
        <v>45870</v>
      </c>
      <c r="Y22" s="115">
        <v>45901</v>
      </c>
      <c r="Z22" s="115">
        <v>45931</v>
      </c>
      <c r="AA22" s="115">
        <v>45962</v>
      </c>
      <c r="AB22" s="116">
        <v>45992</v>
      </c>
    </row>
    <row r="23" spans="15:29" ht="15.75" thickBot="1" x14ac:dyDescent="0.3">
      <c r="O23" s="1561" t="s">
        <v>15</v>
      </c>
      <c r="P23" s="107" t="s">
        <v>1</v>
      </c>
      <c r="Q23" s="1172">
        <v>38339</v>
      </c>
      <c r="R23" s="1172">
        <v>35695</v>
      </c>
      <c r="S23" s="1172">
        <v>38339</v>
      </c>
      <c r="T23" s="1172">
        <v>38339</v>
      </c>
      <c r="U23" s="1172">
        <v>38339</v>
      </c>
      <c r="V23" s="1172">
        <v>38339</v>
      </c>
      <c r="W23" s="1172">
        <v>37560</v>
      </c>
      <c r="X23" s="1172">
        <v>37560</v>
      </c>
      <c r="Y23" s="1172">
        <v>38339</v>
      </c>
      <c r="Z23" s="1172">
        <v>38339</v>
      </c>
      <c r="AA23" s="1172">
        <v>37879</v>
      </c>
      <c r="AB23" s="1177">
        <v>37253</v>
      </c>
      <c r="AC23" s="118">
        <f>SUM(Q23:AB23)</f>
        <v>454320</v>
      </c>
    </row>
    <row r="24" spans="15:29" x14ac:dyDescent="0.25">
      <c r="O24" s="1559"/>
      <c r="P24" s="1139" t="s">
        <v>2</v>
      </c>
      <c r="Q24" s="121">
        <v>1.9828321211739379</v>
      </c>
      <c r="R24" s="1146">
        <v>1.9723109855471086</v>
      </c>
      <c r="S24" s="1146">
        <v>1.9757204805199777</v>
      </c>
      <c r="T24" s="1146">
        <v>2.1703806986024596</v>
      </c>
      <c r="U24" s="1146">
        <v>1.9987248797699899</v>
      </c>
      <c r="V24" s="1146">
        <v>2.1235057477292911</v>
      </c>
      <c r="W24" s="1146">
        <v>2.1896171282144929</v>
      </c>
      <c r="X24" s="1146">
        <v>2.3515975265196518</v>
      </c>
      <c r="Y24" s="1146">
        <v>2.7030839522033139</v>
      </c>
      <c r="Z24" s="1146">
        <v>2.5890720960164675</v>
      </c>
      <c r="AA24" s="1146">
        <v>2.52166476716073</v>
      </c>
      <c r="AB24" s="1201">
        <v>2.7779382049143098</v>
      </c>
      <c r="AC24" s="63">
        <f>SUMPRODUCT(Q23:AB23,Q24:AB24)/AC23</f>
        <v>2.2800882181817412</v>
      </c>
    </row>
    <row r="25" spans="15:29" ht="15.75" thickBot="1" x14ac:dyDescent="0.3">
      <c r="O25" s="1560"/>
      <c r="P25" s="1142" t="s">
        <v>3</v>
      </c>
      <c r="Q25" s="1143">
        <v>67.044939397561222</v>
      </c>
      <c r="R25" s="1143">
        <v>62.089936659218459</v>
      </c>
      <c r="S25" s="1143">
        <v>66.804475511803872</v>
      </c>
      <c r="T25" s="1143">
        <v>73.386466183172047</v>
      </c>
      <c r="U25" s="1143">
        <v>67.582316730495251</v>
      </c>
      <c r="V25" s="1143">
        <v>71.801496781579672</v>
      </c>
      <c r="W25" s="1143">
        <v>72.532155759660753</v>
      </c>
      <c r="X25" s="1143">
        <v>77.897836968714017</v>
      </c>
      <c r="Y25" s="1143">
        <v>91.398610011772021</v>
      </c>
      <c r="Z25" s="1143">
        <v>87.543559497397169</v>
      </c>
      <c r="AA25" s="1143">
        <v>84.242097231674009</v>
      </c>
      <c r="AB25" s="1160">
        <v>91.269833176463024</v>
      </c>
      <c r="AC25" s="118">
        <f>SUM(Q25:AB25)</f>
        <v>913.5937239095116</v>
      </c>
    </row>
    <row r="26" spans="15:29" x14ac:dyDescent="0.25">
      <c r="O26" s="1561" t="s">
        <v>16</v>
      </c>
      <c r="P26" s="107" t="s">
        <v>1</v>
      </c>
      <c r="Q26" s="111">
        <v>33336</v>
      </c>
      <c r="R26" s="111">
        <v>27941</v>
      </c>
      <c r="S26" s="111">
        <v>27332</v>
      </c>
      <c r="T26" s="111">
        <v>28880</v>
      </c>
      <c r="U26" s="111">
        <v>27080</v>
      </c>
      <c r="V26" s="111">
        <v>28138</v>
      </c>
      <c r="W26" s="111">
        <v>29466</v>
      </c>
      <c r="X26" s="111">
        <v>32359</v>
      </c>
      <c r="Y26" s="111">
        <v>39150</v>
      </c>
      <c r="Z26" s="111">
        <v>37188</v>
      </c>
      <c r="AA26" s="111">
        <v>37862</v>
      </c>
      <c r="AB26" s="111">
        <v>37035</v>
      </c>
      <c r="AC26" s="118">
        <f>SUM(Q26:AB26)</f>
        <v>385767</v>
      </c>
    </row>
    <row r="27" spans="15:29" x14ac:dyDescent="0.25">
      <c r="O27" s="1559"/>
      <c r="P27" s="1139" t="s">
        <v>2</v>
      </c>
      <c r="Q27" s="1155">
        <v>2.2400000000000002</v>
      </c>
      <c r="R27" s="1155">
        <v>2.12</v>
      </c>
      <c r="S27" s="1155">
        <v>2.4300000000000002</v>
      </c>
      <c r="T27" s="1155">
        <v>2.6</v>
      </c>
      <c r="U27" s="1155">
        <v>2.5499999999999998</v>
      </c>
      <c r="V27" s="1155">
        <v>2.66</v>
      </c>
      <c r="W27" s="1155">
        <v>2.61</v>
      </c>
      <c r="X27" s="1155">
        <v>2.63</v>
      </c>
      <c r="Y27" s="1155">
        <v>2.71</v>
      </c>
      <c r="Z27" s="1155">
        <v>2.6</v>
      </c>
      <c r="AA27" s="1140">
        <v>2.52</v>
      </c>
      <c r="AB27" s="1141">
        <v>2.79</v>
      </c>
      <c r="AC27" s="63">
        <f>SUMPRODUCT(Q26:AB26,Q27:AB27)/AC26</f>
        <v>2.5477788924402556</v>
      </c>
    </row>
    <row r="28" spans="15:29" ht="15.75" thickBot="1" x14ac:dyDescent="0.3">
      <c r="O28" s="1560"/>
      <c r="P28" s="1142" t="s">
        <v>3</v>
      </c>
      <c r="Q28" s="1143">
        <v>65.711923200000015</v>
      </c>
      <c r="R28" s="1143">
        <v>52.126729600000004</v>
      </c>
      <c r="S28" s="1143">
        <v>58.446748800000009</v>
      </c>
      <c r="T28" s="1143">
        <v>66.077439999999996</v>
      </c>
      <c r="U28" s="1143">
        <v>60.767520000000005</v>
      </c>
      <c r="V28" s="1143">
        <v>65.865430400000008</v>
      </c>
      <c r="W28" s="1143">
        <v>67.677508799999984</v>
      </c>
      <c r="X28" s="1143">
        <v>74.8916696</v>
      </c>
      <c r="Y28" s="1143">
        <v>93.364920000000012</v>
      </c>
      <c r="Z28" s="1143">
        <v>85.086144000000004</v>
      </c>
      <c r="AA28" s="1143">
        <v>83.962771200000006</v>
      </c>
      <c r="AB28" s="1160">
        <v>90.928331999999997</v>
      </c>
      <c r="AC28" s="118">
        <f>SUM(Q28:AB28)</f>
        <v>864.90713760000006</v>
      </c>
    </row>
    <row r="29" spans="15:29" x14ac:dyDescent="0.25">
      <c r="O29" s="1561" t="s">
        <v>4</v>
      </c>
      <c r="P29" s="107" t="s">
        <v>1</v>
      </c>
      <c r="Q29" s="111">
        <v>21224</v>
      </c>
      <c r="R29" s="111">
        <v>21098</v>
      </c>
      <c r="S29" s="111">
        <f>'Rough Working'!AB34</f>
        <v>24786</v>
      </c>
      <c r="T29" s="745">
        <v>26785</v>
      </c>
      <c r="U29" s="111">
        <v>29352</v>
      </c>
      <c r="V29" s="111">
        <v>26771</v>
      </c>
      <c r="W29" s="111">
        <v>34806.270000000004</v>
      </c>
      <c r="X29" s="111">
        <v>30680.57</v>
      </c>
      <c r="Y29" s="111">
        <v>31641.61</v>
      </c>
      <c r="Z29" s="111">
        <v>30969.809999999998</v>
      </c>
      <c r="AA29" s="111">
        <v>34200.42</v>
      </c>
      <c r="AB29" s="112">
        <v>34051.89</v>
      </c>
      <c r="AC29" s="118">
        <f>SUM(Q29:AB29)</f>
        <v>346366.57</v>
      </c>
    </row>
    <row r="30" spans="15:29" x14ac:dyDescent="0.25">
      <c r="O30" s="1559"/>
      <c r="P30" s="1139" t="s">
        <v>2</v>
      </c>
      <c r="Q30" s="1146">
        <v>2.0699999999999998</v>
      </c>
      <c r="R30" s="1146">
        <v>2.36</v>
      </c>
      <c r="S30" s="1146">
        <f>'Rough Working'!K35</f>
        <v>2.36</v>
      </c>
      <c r="T30" s="1146">
        <v>2.42</v>
      </c>
      <c r="U30" s="1140">
        <v>2.36</v>
      </c>
      <c r="V30" s="1140">
        <v>2.4300000000000002</v>
      </c>
      <c r="W30" s="1140">
        <v>2.34</v>
      </c>
      <c r="X30" s="1140">
        <v>2.31</v>
      </c>
      <c r="Y30" s="1140">
        <v>2.4</v>
      </c>
      <c r="Z30" s="1140">
        <v>2.58</v>
      </c>
      <c r="AA30" s="1140">
        <v>2.72</v>
      </c>
      <c r="AB30" s="1141">
        <v>2.62</v>
      </c>
      <c r="AC30" s="63">
        <f>SUMPRODUCT(Q29:AB29,Q30:AB30)/AC29</f>
        <v>2.4302741644495311</v>
      </c>
    </row>
    <row r="31" spans="15:29" ht="15.75" thickBot="1" x14ac:dyDescent="0.3">
      <c r="O31" s="1560"/>
      <c r="P31" s="1142" t="s">
        <v>3</v>
      </c>
      <c r="Q31" s="1143">
        <v>38.661638399999994</v>
      </c>
      <c r="R31" s="1143">
        <v>43.816326400000001</v>
      </c>
      <c r="S31" s="1143">
        <f>'Rough Working'!K36</f>
        <v>51.475564800000001</v>
      </c>
      <c r="T31" s="1143">
        <v>57.041336000000001</v>
      </c>
      <c r="U31" s="1143">
        <v>60.9582336</v>
      </c>
      <c r="V31" s="1143">
        <v>57.247106400000007</v>
      </c>
      <c r="W31" s="1143">
        <v>71.673071184000008</v>
      </c>
      <c r="X31" s="1143">
        <v>62.367462695999997</v>
      </c>
      <c r="Y31" s="1143">
        <v>66.827080320000007</v>
      </c>
      <c r="Z31" s="1143">
        <v>70.313856623999996</v>
      </c>
      <c r="AA31" s="1148">
        <v>81.862125311999989</v>
      </c>
      <c r="AB31" s="1547">
        <v>78.510037584000003</v>
      </c>
      <c r="AC31" s="118">
        <f>SUM(Q31:AB31)</f>
        <v>740.75383932</v>
      </c>
    </row>
    <row r="32" spans="15:29" x14ac:dyDescent="0.25">
      <c r="O32" s="1561" t="s">
        <v>4</v>
      </c>
      <c r="P32" s="107" t="s">
        <v>1</v>
      </c>
      <c r="Q32" s="111">
        <f>Q15</f>
        <v>21224</v>
      </c>
      <c r="R32" s="111">
        <f t="shared" ref="R32" si="5">R15</f>
        <v>21098</v>
      </c>
      <c r="S32" s="111">
        <f>'Rough Working'!K37</f>
        <v>24786</v>
      </c>
      <c r="T32" s="745">
        <f>T7</f>
        <v>23111.058707696386</v>
      </c>
      <c r="U32" s="745">
        <f t="shared" ref="U32:AB32" si="6">U7</f>
        <v>25325.958379253476</v>
      </c>
      <c r="V32" s="745">
        <f t="shared" si="6"/>
        <v>23098.979005553105</v>
      </c>
      <c r="W32" s="745">
        <f t="shared" si="6"/>
        <v>30032.09816561253</v>
      </c>
      <c r="X32" s="745">
        <f t="shared" si="6"/>
        <v>26472.296227574705</v>
      </c>
      <c r="Y32" s="745">
        <f t="shared" si="6"/>
        <v>27301.516009558822</v>
      </c>
      <c r="Z32" s="745">
        <f t="shared" si="6"/>
        <v>26721.862873854865</v>
      </c>
      <c r="AA32" s="745">
        <f t="shared" si="6"/>
        <v>29509.34905536209</v>
      </c>
      <c r="AB32" s="745">
        <f t="shared" si="6"/>
        <v>29381.192043980565</v>
      </c>
      <c r="AC32" s="118">
        <f>SUM(Q32:AB32)</f>
        <v>308062.31046844658</v>
      </c>
    </row>
    <row r="33" spans="15:29" x14ac:dyDescent="0.25">
      <c r="O33" s="1559"/>
      <c r="P33" s="1139" t="s">
        <v>2</v>
      </c>
      <c r="Q33" s="1146">
        <f>'Yearly Forecast'!C9</f>
        <v>2.0699999999999998</v>
      </c>
      <c r="R33" s="1146">
        <f>'Yearly Forecast'!D9</f>
        <v>2.37</v>
      </c>
      <c r="S33" s="1146">
        <f>'Rough Working'!K38</f>
        <v>2.36</v>
      </c>
      <c r="T33" s="1146">
        <f>'Yearly Forecast'!F9</f>
        <v>2.5499999999999998</v>
      </c>
      <c r="U33" s="1146">
        <f>'Yearly Forecast'!G9</f>
        <v>2.3643448517803898</v>
      </c>
      <c r="V33" s="1146">
        <f>'Yearly Forecast'!H9</f>
        <v>2.4378008435723455</v>
      </c>
      <c r="W33" s="1146">
        <f>'Yearly Forecast'!I9</f>
        <v>2.4061537080910331</v>
      </c>
      <c r="X33" s="1146">
        <f>'Yearly Forecast'!J9</f>
        <v>2.31</v>
      </c>
      <c r="Y33" s="1146">
        <f>'Yearly Forecast'!K9</f>
        <v>2.4</v>
      </c>
      <c r="Z33" s="1146">
        <f>'Yearly Forecast'!L9</f>
        <v>2.58</v>
      </c>
      <c r="AA33" s="1146">
        <f>'Yearly Forecast'!M9</f>
        <v>2.72</v>
      </c>
      <c r="AB33" s="1146">
        <f>'Yearly Forecast'!N9</f>
        <v>2.62</v>
      </c>
      <c r="AC33" s="63">
        <f>SUMPRODUCT(Q32:AB32,Q33:AB33)/AC32</f>
        <v>2.4432627095726773</v>
      </c>
    </row>
    <row r="34" spans="15:29" ht="15.75" thickBot="1" x14ac:dyDescent="0.3">
      <c r="O34" s="1560"/>
      <c r="P34" s="1142" t="s">
        <v>3</v>
      </c>
      <c r="Q34" s="1143">
        <f>Q32*Q33*0.88/1000</f>
        <v>38.661638399999994</v>
      </c>
      <c r="R34" s="1143">
        <f t="shared" ref="R34:AB34" si="7">R32*R33*0.88/1000</f>
        <v>44.001988799999999</v>
      </c>
      <c r="S34" s="1143">
        <f>'Rough Working'!K39</f>
        <v>51.475564800000001</v>
      </c>
      <c r="T34" s="1143">
        <f t="shared" si="7"/>
        <v>51.861215740070683</v>
      </c>
      <c r="U34" s="1143">
        <f t="shared" si="7"/>
        <v>52.693783393145289</v>
      </c>
      <c r="V34" s="1143">
        <f t="shared" si="7"/>
        <v>49.553425244749583</v>
      </c>
      <c r="W34" s="1143">
        <f t="shared" si="7"/>
        <v>63.5904230393894</v>
      </c>
      <c r="X34" s="1143">
        <f t="shared" si="7"/>
        <v>53.812883771413865</v>
      </c>
      <c r="Y34" s="1143">
        <f t="shared" si="7"/>
        <v>57.660801812188225</v>
      </c>
      <c r="Z34" s="1143">
        <f t="shared" si="7"/>
        <v>60.669317468800088</v>
      </c>
      <c r="AA34" s="1143">
        <f t="shared" si="7"/>
        <v>70.633577898914709</v>
      </c>
      <c r="AB34" s="1143">
        <f t="shared" si="7"/>
        <v>67.741276376601604</v>
      </c>
      <c r="AC34" s="118">
        <f>SUM(Q34:AB34)</f>
        <v>662.35589674527341</v>
      </c>
    </row>
    <row r="35" spans="15:29" ht="15.75" thickBot="1" x14ac:dyDescent="0.3">
      <c r="O35" s="741"/>
      <c r="P35" s="742"/>
      <c r="Q35" s="743"/>
      <c r="R35" s="743"/>
      <c r="S35" s="743"/>
      <c r="T35" s="743"/>
      <c r="U35" s="744"/>
      <c r="V35" s="744"/>
      <c r="W35" s="744"/>
      <c r="X35" s="744"/>
      <c r="Y35" s="744"/>
      <c r="Z35" s="744"/>
      <c r="AA35" s="736"/>
      <c r="AB35" s="736"/>
    </row>
    <row r="36" spans="15:29" x14ac:dyDescent="0.25">
      <c r="O36" s="1561" t="s">
        <v>5</v>
      </c>
      <c r="P36" s="107" t="s">
        <v>1</v>
      </c>
      <c r="Q36" s="111">
        <v>21224</v>
      </c>
      <c r="R36" s="111">
        <v>21098</v>
      </c>
      <c r="S36" s="111">
        <f>S32</f>
        <v>24786</v>
      </c>
      <c r="T36" s="111">
        <v>1541.6999999999998</v>
      </c>
      <c r="U36" s="111"/>
      <c r="V36" s="111"/>
      <c r="W36" s="111"/>
      <c r="X36" s="111"/>
      <c r="Y36" s="111"/>
      <c r="Z36" s="111"/>
    </row>
    <row r="37" spans="15:29" x14ac:dyDescent="0.25">
      <c r="O37" s="1559"/>
      <c r="P37" s="1139" t="s">
        <v>2</v>
      </c>
      <c r="Q37" s="1146">
        <v>2.0699999999999998</v>
      </c>
      <c r="R37" s="1146">
        <v>2.36</v>
      </c>
      <c r="S37" s="1146">
        <f>S33</f>
        <v>2.36</v>
      </c>
      <c r="T37" s="1146">
        <v>2.3323551923201662</v>
      </c>
      <c r="U37" s="1140"/>
      <c r="V37" s="1140"/>
      <c r="W37" s="1140"/>
      <c r="X37" s="1140"/>
      <c r="Y37" s="1140"/>
      <c r="Z37" s="1140"/>
    </row>
    <row r="38" spans="15:29" ht="15.75" thickBot="1" x14ac:dyDescent="0.3">
      <c r="O38" s="1565"/>
      <c r="P38" s="1147" t="s">
        <v>3</v>
      </c>
      <c r="Q38" s="1143">
        <v>38.661638399999994</v>
      </c>
      <c r="R38" s="1143">
        <v>43.816326400000001</v>
      </c>
      <c r="S38" s="1143">
        <f>S34</f>
        <v>51.475564800000001</v>
      </c>
      <c r="T38" s="1148">
        <v>3.1642969599999997</v>
      </c>
      <c r="U38" s="1149"/>
      <c r="V38" s="1149"/>
      <c r="W38" s="1149"/>
      <c r="X38" s="1149"/>
      <c r="Y38" s="1149"/>
      <c r="Z38" s="1149"/>
    </row>
  </sheetData>
  <mergeCells count="5">
    <mergeCell ref="O29:O31"/>
    <mergeCell ref="O36:O38"/>
    <mergeCell ref="O32:O34"/>
    <mergeCell ref="O23:O25"/>
    <mergeCell ref="O26:O2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CC0C4-DF51-4296-B7CF-BDAFD7B2D53A}">
  <dimension ref="B5:AN76"/>
  <sheetViews>
    <sheetView zoomScale="40" zoomScaleNormal="40" workbookViewId="0">
      <selection activeCell="AC41" sqref="AC41"/>
    </sheetView>
  </sheetViews>
  <sheetFormatPr defaultRowHeight="15" x14ac:dyDescent="0.25"/>
  <cols>
    <col min="3" max="6" width="10.5703125" customWidth="1"/>
    <col min="7" max="7" width="12" customWidth="1"/>
    <col min="8" max="8" width="11.28515625" customWidth="1"/>
    <col min="9" max="13" width="10.42578125" customWidth="1"/>
    <col min="14" max="14" width="12.28515625" customWidth="1"/>
    <col min="15" max="19" width="10.42578125" customWidth="1"/>
    <col min="20" max="20" width="12.28515625" customWidth="1"/>
    <col min="21" max="21" width="10.42578125" customWidth="1"/>
    <col min="22" max="22" width="9.7109375" customWidth="1"/>
    <col min="23" max="23" width="11" bestFit="1" customWidth="1"/>
    <col min="24" max="24" width="11.7109375" customWidth="1"/>
    <col min="25" max="25" width="2.5703125" customWidth="1"/>
    <col min="38" max="38" width="13.7109375" bestFit="1" customWidth="1"/>
    <col min="46" max="46" width="10.42578125" bestFit="1" customWidth="1"/>
    <col min="48" max="48" width="13.7109375" bestFit="1" customWidth="1"/>
    <col min="52" max="53" width="0" hidden="1" customWidth="1"/>
    <col min="62" max="62" width="13.42578125" bestFit="1" customWidth="1"/>
    <col min="63" max="63" width="11.7109375" bestFit="1" customWidth="1"/>
    <col min="65" max="65" width="11" customWidth="1"/>
  </cols>
  <sheetData>
    <row r="5" spans="3:23" ht="15.75" thickBot="1" x14ac:dyDescent="0.3"/>
    <row r="6" spans="3:23" x14ac:dyDescent="0.25">
      <c r="N6" s="721" t="s">
        <v>14</v>
      </c>
      <c r="O6" s="716" t="s">
        <v>11</v>
      </c>
      <c r="P6" s="213" t="s">
        <v>12</v>
      </c>
      <c r="Q6" s="214" t="s">
        <v>13</v>
      </c>
      <c r="T6" s="721" t="s">
        <v>18</v>
      </c>
      <c r="U6" s="716" t="s">
        <v>11</v>
      </c>
      <c r="V6" s="213" t="s">
        <v>12</v>
      </c>
      <c r="W6" s="214" t="s">
        <v>13</v>
      </c>
    </row>
    <row r="7" spans="3:23" x14ac:dyDescent="0.25">
      <c r="N7" s="1202">
        <v>45658</v>
      </c>
      <c r="O7" s="1203">
        <v>38339</v>
      </c>
      <c r="P7" s="1172">
        <f>E16</f>
        <v>21223.727999999999</v>
      </c>
      <c r="Q7" s="1173">
        <f>P7-O7</f>
        <v>-17115.272000000001</v>
      </c>
      <c r="T7" s="1202">
        <v>45748</v>
      </c>
      <c r="U7" s="1203">
        <f t="shared" ref="U7:V13" si="0">D19</f>
        <v>38339</v>
      </c>
      <c r="V7" s="1172">
        <f t="shared" si="0"/>
        <v>24001</v>
      </c>
      <c r="W7" s="1173">
        <f>V7-U7</f>
        <v>-14338</v>
      </c>
    </row>
    <row r="8" spans="3:23" x14ac:dyDescent="0.25">
      <c r="N8" s="1202">
        <v>45689</v>
      </c>
      <c r="O8" s="1203">
        <v>35695</v>
      </c>
      <c r="P8" s="1172">
        <f>E17</f>
        <v>21098</v>
      </c>
      <c r="Q8" s="1173">
        <f t="shared" ref="Q8:Q9" si="1">P8-O8</f>
        <v>-14597</v>
      </c>
      <c r="T8" s="1202">
        <v>45778</v>
      </c>
      <c r="U8" s="1203">
        <f t="shared" si="0"/>
        <v>38339</v>
      </c>
      <c r="V8" s="1172">
        <f t="shared" si="0"/>
        <v>29352</v>
      </c>
      <c r="W8" s="1173">
        <f t="shared" ref="W8:W15" si="2">V8-U8</f>
        <v>-8987</v>
      </c>
    </row>
    <row r="9" spans="3:23" ht="15.75" thickBot="1" x14ac:dyDescent="0.3">
      <c r="N9" s="1204">
        <v>45717</v>
      </c>
      <c r="O9" s="1205">
        <v>38339</v>
      </c>
      <c r="P9" s="1177">
        <f>E18</f>
        <v>24786</v>
      </c>
      <c r="Q9" s="1178">
        <f t="shared" si="1"/>
        <v>-13553</v>
      </c>
      <c r="T9" s="1202">
        <v>45809</v>
      </c>
      <c r="U9" s="1203">
        <f t="shared" si="0"/>
        <v>38339</v>
      </c>
      <c r="V9" s="1172">
        <f t="shared" si="0"/>
        <v>26771</v>
      </c>
      <c r="W9" s="1173">
        <f t="shared" si="2"/>
        <v>-11568</v>
      </c>
    </row>
    <row r="10" spans="3:23" ht="15.75" thickBot="1" x14ac:dyDescent="0.3">
      <c r="I10">
        <v>2225</v>
      </c>
      <c r="J10">
        <v>32.150700000000001</v>
      </c>
      <c r="K10" s="64">
        <f>I10*J10</f>
        <v>71535.307499999995</v>
      </c>
      <c r="N10" s="718" t="s">
        <v>17</v>
      </c>
      <c r="O10" s="717">
        <f>SUM(O7:O9)</f>
        <v>112373</v>
      </c>
      <c r="P10" s="714">
        <f>SUM(P7:P9)</f>
        <v>67107.728000000003</v>
      </c>
      <c r="Q10" s="715">
        <f>SUM(Q7:Q9)</f>
        <v>-45265.271999999997</v>
      </c>
      <c r="T10" s="1202">
        <v>45839</v>
      </c>
      <c r="U10" s="1203">
        <f t="shared" si="0"/>
        <v>37560</v>
      </c>
      <c r="V10" s="1172">
        <f t="shared" si="0"/>
        <v>34806.270000000004</v>
      </c>
      <c r="W10" s="1173">
        <f t="shared" si="2"/>
        <v>-2753.7299999999959</v>
      </c>
    </row>
    <row r="11" spans="3:23" x14ac:dyDescent="0.25">
      <c r="T11" s="1202">
        <v>45870</v>
      </c>
      <c r="U11" s="1203">
        <f t="shared" si="0"/>
        <v>37560</v>
      </c>
      <c r="V11" s="1172">
        <f t="shared" si="0"/>
        <v>30680.57</v>
      </c>
      <c r="W11" s="1173">
        <f t="shared" si="2"/>
        <v>-6879.43</v>
      </c>
    </row>
    <row r="12" spans="3:23" x14ac:dyDescent="0.25">
      <c r="T12" s="1202">
        <v>45901</v>
      </c>
      <c r="U12" s="1203">
        <f t="shared" si="0"/>
        <v>38339</v>
      </c>
      <c r="V12" s="1172">
        <f t="shared" si="0"/>
        <v>31641.61</v>
      </c>
      <c r="W12" s="1173">
        <f t="shared" si="2"/>
        <v>-6697.3899999999994</v>
      </c>
    </row>
    <row r="13" spans="3:23" x14ac:dyDescent="0.25">
      <c r="T13" s="1202">
        <v>45931</v>
      </c>
      <c r="U13" s="1203">
        <f t="shared" si="0"/>
        <v>38339</v>
      </c>
      <c r="V13" s="1172">
        <f t="shared" si="0"/>
        <v>30969.809999999998</v>
      </c>
      <c r="W13" s="1173">
        <f t="shared" si="2"/>
        <v>-7369.1900000000023</v>
      </c>
    </row>
    <row r="14" spans="3:23" ht="15.75" thickBot="1" x14ac:dyDescent="0.3">
      <c r="I14" s="99">
        <f>F28*-1</f>
        <v>110737.702</v>
      </c>
      <c r="T14" s="1202">
        <v>45962</v>
      </c>
      <c r="U14" s="1203">
        <f t="shared" ref="U14:U15" si="3">D26</f>
        <v>37879</v>
      </c>
      <c r="V14" s="1172">
        <f t="shared" ref="V14:V15" si="4">E26</f>
        <v>34200.42</v>
      </c>
      <c r="W14" s="1173">
        <f t="shared" si="2"/>
        <v>-3678.5800000000017</v>
      </c>
    </row>
    <row r="15" spans="3:23" ht="15.75" thickBot="1" x14ac:dyDescent="0.3">
      <c r="C15" s="212"/>
      <c r="D15" s="213" t="s">
        <v>11</v>
      </c>
      <c r="E15" s="213" t="s">
        <v>12</v>
      </c>
      <c r="F15" s="214" t="s">
        <v>13</v>
      </c>
      <c r="I15" s="118">
        <f>SUM(F19:F27)</f>
        <v>-65472.43</v>
      </c>
      <c r="T15" s="1204">
        <v>45992</v>
      </c>
      <c r="U15" s="1203">
        <f t="shared" si="3"/>
        <v>37253</v>
      </c>
      <c r="V15" s="1172">
        <f t="shared" si="4"/>
        <v>34051.89</v>
      </c>
      <c r="W15" s="1173">
        <f t="shared" si="2"/>
        <v>-3201.1100000000006</v>
      </c>
    </row>
    <row r="16" spans="3:23" ht="15.75" thickBot="1" x14ac:dyDescent="0.3">
      <c r="C16" s="1171">
        <v>45658</v>
      </c>
      <c r="D16" s="1172">
        <v>38339</v>
      </c>
      <c r="E16" s="1172">
        <v>21223.727999999999</v>
      </c>
      <c r="F16" s="1173">
        <f>E16-D16</f>
        <v>-17115.272000000001</v>
      </c>
      <c r="I16" s="58">
        <f>SUM(I14:I15)</f>
        <v>45265.272000000004</v>
      </c>
      <c r="K16">
        <f>38*9</f>
        <v>342</v>
      </c>
      <c r="T16" s="718" t="s">
        <v>17</v>
      </c>
      <c r="U16" s="717">
        <f>SUM(U7:U15)</f>
        <v>341947</v>
      </c>
      <c r="V16" s="717">
        <f>SUM(V7:V15)</f>
        <v>276474.57</v>
      </c>
      <c r="W16" s="722">
        <f>SUM(W7:W15)</f>
        <v>-65472.43</v>
      </c>
    </row>
    <row r="17" spans="2:37" x14ac:dyDescent="0.25">
      <c r="C17" s="1171">
        <v>45689</v>
      </c>
      <c r="D17" s="1172">
        <v>35695</v>
      </c>
      <c r="E17" s="1172">
        <f>J34</f>
        <v>21098</v>
      </c>
      <c r="F17" s="1173">
        <f t="shared" ref="F17:F26" si="5">E17-D17</f>
        <v>-14597</v>
      </c>
      <c r="T17" s="719"/>
      <c r="U17" s="118"/>
      <c r="V17" s="118"/>
      <c r="W17" s="720"/>
    </row>
    <row r="18" spans="2:37" x14ac:dyDescent="0.25">
      <c r="C18" s="1171">
        <v>45717</v>
      </c>
      <c r="D18" s="1172">
        <v>38339</v>
      </c>
      <c r="E18" s="1172">
        <f>K37</f>
        <v>24786</v>
      </c>
      <c r="F18" s="1173">
        <f t="shared" si="5"/>
        <v>-13553</v>
      </c>
      <c r="O18">
        <v>32000</v>
      </c>
      <c r="P18">
        <v>2.5</v>
      </c>
      <c r="Q18">
        <f>O18*P18*0.88/1000</f>
        <v>70.400000000000006</v>
      </c>
      <c r="T18" s="719"/>
      <c r="U18" s="118"/>
      <c r="V18" s="118"/>
      <c r="W18" s="720"/>
    </row>
    <row r="19" spans="2:37" x14ac:dyDescent="0.25">
      <c r="C19" s="1171">
        <v>45748</v>
      </c>
      <c r="D19" s="1172">
        <v>38339</v>
      </c>
      <c r="E19" s="1172">
        <f>L37</f>
        <v>24001</v>
      </c>
      <c r="F19" s="1173">
        <f t="shared" si="5"/>
        <v>-14338</v>
      </c>
      <c r="O19">
        <v>11000</v>
      </c>
      <c r="P19">
        <v>2.25</v>
      </c>
      <c r="Q19">
        <f>O19*P19*0.88/1000</f>
        <v>21.78</v>
      </c>
    </row>
    <row r="20" spans="2:37" x14ac:dyDescent="0.25">
      <c r="C20" s="1171">
        <v>45778</v>
      </c>
      <c r="D20" s="1172">
        <v>38339</v>
      </c>
      <c r="E20" s="1172">
        <f>M34</f>
        <v>29352</v>
      </c>
      <c r="F20" s="1173">
        <f t="shared" si="5"/>
        <v>-8987</v>
      </c>
      <c r="O20">
        <f>SUM(O18:O19)</f>
        <v>43000</v>
      </c>
      <c r="P20">
        <f>SUMPRODUCT(O18:O19,P18:P19)/O20</f>
        <v>2.4360465116279069</v>
      </c>
      <c r="Q20">
        <f>SUM(Q18:Q19)</f>
        <v>92.18</v>
      </c>
    </row>
    <row r="21" spans="2:37" x14ac:dyDescent="0.25">
      <c r="C21" s="1171">
        <v>45809</v>
      </c>
      <c r="D21" s="1172">
        <v>38339</v>
      </c>
      <c r="E21" s="1172">
        <f>N34</f>
        <v>26771</v>
      </c>
      <c r="F21" s="1173">
        <f t="shared" si="5"/>
        <v>-11568</v>
      </c>
    </row>
    <row r="22" spans="2:37" x14ac:dyDescent="0.25">
      <c r="C22" s="1171">
        <v>45839</v>
      </c>
      <c r="D22" s="1172">
        <v>37560</v>
      </c>
      <c r="E22" s="1172">
        <f>O34</f>
        <v>34806.270000000004</v>
      </c>
      <c r="F22" s="1173">
        <f t="shared" si="5"/>
        <v>-2753.7299999999959</v>
      </c>
    </row>
    <row r="23" spans="2:37" x14ac:dyDescent="0.25">
      <c r="C23" s="1171">
        <v>45870</v>
      </c>
      <c r="D23" s="1172">
        <v>37560</v>
      </c>
      <c r="E23" s="1172">
        <f>P34</f>
        <v>30680.57</v>
      </c>
      <c r="F23" s="1173">
        <f t="shared" si="5"/>
        <v>-6879.43</v>
      </c>
      <c r="O23" s="52">
        <f>SUM(L24:O24)</f>
        <v>-4150.2700000000041</v>
      </c>
      <c r="U23" s="52">
        <f>SUM(P24:T24)</f>
        <v>22049.700000000004</v>
      </c>
      <c r="AC23" s="118"/>
    </row>
    <row r="24" spans="2:37" x14ac:dyDescent="0.25">
      <c r="C24" s="1171">
        <v>45901</v>
      </c>
      <c r="D24" s="1172">
        <v>38339</v>
      </c>
      <c r="E24" s="1172">
        <f>Q34</f>
        <v>31641.61</v>
      </c>
      <c r="F24" s="1173">
        <f t="shared" si="5"/>
        <v>-6697.3899999999994</v>
      </c>
      <c r="I24" s="52">
        <f t="shared" ref="I24:O24" si="6">I31-I34</f>
        <v>12112</v>
      </c>
      <c r="J24" s="52">
        <f t="shared" si="6"/>
        <v>6843</v>
      </c>
      <c r="K24" s="52">
        <f t="shared" si="6"/>
        <v>2546</v>
      </c>
      <c r="L24" s="52">
        <f t="shared" si="6"/>
        <v>2095</v>
      </c>
      <c r="M24" s="52">
        <f t="shared" si="6"/>
        <v>-2272</v>
      </c>
      <c r="N24" s="52">
        <f t="shared" si="6"/>
        <v>1367</v>
      </c>
      <c r="O24" s="52">
        <f t="shared" si="6"/>
        <v>-5340.2700000000041</v>
      </c>
      <c r="P24" s="52">
        <f>P31-P34</f>
        <v>1678.4300000000003</v>
      </c>
      <c r="Q24" s="52">
        <f t="shared" ref="Q24:T24" si="7">Q31-Q34</f>
        <v>7508.3899999999994</v>
      </c>
      <c r="R24" s="52">
        <f t="shared" si="7"/>
        <v>6218.1900000000023</v>
      </c>
      <c r="S24" s="52">
        <f t="shared" si="7"/>
        <v>3661.5800000000017</v>
      </c>
      <c r="T24" s="52">
        <f t="shared" si="7"/>
        <v>2983.1100000000006</v>
      </c>
      <c r="U24" s="52">
        <f>SUM(I24:T24)</f>
        <v>39400.43</v>
      </c>
      <c r="AC24" s="118"/>
    </row>
    <row r="25" spans="2:37" x14ac:dyDescent="0.25">
      <c r="C25" s="1171">
        <v>45931</v>
      </c>
      <c r="D25" s="1172">
        <v>38339</v>
      </c>
      <c r="E25" s="1172">
        <f>R34</f>
        <v>30969.809999999998</v>
      </c>
      <c r="F25" s="1173">
        <f t="shared" si="5"/>
        <v>-7369.1900000000023</v>
      </c>
      <c r="U25" s="52">
        <f>SUM(I31:K31)</f>
        <v>88609</v>
      </c>
      <c r="AC25" s="118"/>
    </row>
    <row r="26" spans="2:37" ht="15.75" thickBot="1" x14ac:dyDescent="0.3">
      <c r="C26" s="1171">
        <v>45962</v>
      </c>
      <c r="D26" s="1172">
        <v>37879</v>
      </c>
      <c r="E26" s="1172">
        <f>S34</f>
        <v>34200.42</v>
      </c>
      <c r="F26" s="1173">
        <f t="shared" si="5"/>
        <v>-3678.5800000000017</v>
      </c>
      <c r="U26" s="52">
        <f>SUM(I34:K34)</f>
        <v>67108</v>
      </c>
      <c r="V26" s="52">
        <f>U26-U25</f>
        <v>-21501</v>
      </c>
    </row>
    <row r="27" spans="2:37" ht="15.75" thickBot="1" x14ac:dyDescent="0.3">
      <c r="C27" s="1176">
        <v>45992</v>
      </c>
      <c r="D27" s="1177">
        <v>37253</v>
      </c>
      <c r="E27" s="1177">
        <f>T34</f>
        <v>34051.89</v>
      </c>
      <c r="F27" s="1178">
        <f>E27-D27</f>
        <v>-3201.1100000000006</v>
      </c>
      <c r="I27" t="s">
        <v>35</v>
      </c>
      <c r="K27" s="52">
        <f>SUM(I31:K31)</f>
        <v>88609</v>
      </c>
      <c r="L27" t="s">
        <v>36</v>
      </c>
      <c r="M27" t="s">
        <v>37</v>
      </c>
      <c r="P27" s="52">
        <f>SUM(L31:T31)</f>
        <v>297158</v>
      </c>
      <c r="Q27" t="s">
        <v>36</v>
      </c>
      <c r="T27" s="52">
        <f>K27+P27</f>
        <v>385767</v>
      </c>
      <c r="U27" t="s">
        <v>36</v>
      </c>
      <c r="V27">
        <v>386889</v>
      </c>
      <c r="AC27" s="118">
        <v>31063</v>
      </c>
      <c r="AD27" s="118">
        <v>27760</v>
      </c>
      <c r="AE27" s="118">
        <v>32856</v>
      </c>
      <c r="AF27" s="111">
        <v>34806.270000000004</v>
      </c>
      <c r="AG27" s="111">
        <v>30680.57</v>
      </c>
      <c r="AH27" s="111">
        <v>31641.61</v>
      </c>
      <c r="AI27" s="111">
        <v>30969.809999999998</v>
      </c>
      <c r="AJ27" s="111">
        <v>34200.42</v>
      </c>
      <c r="AK27" s="111">
        <v>34051.89</v>
      </c>
    </row>
    <row r="28" spans="2:37" ht="15.75" thickBot="1" x14ac:dyDescent="0.3">
      <c r="C28" s="711" t="s">
        <v>17</v>
      </c>
      <c r="D28" s="712">
        <f>SUM(D16:D27)</f>
        <v>454320</v>
      </c>
      <c r="E28" s="712">
        <f>SUM(E16:E27)</f>
        <v>343582.29800000001</v>
      </c>
      <c r="F28" s="713">
        <f>SUM(F16:F27)</f>
        <v>-110737.702</v>
      </c>
      <c r="I28" t="s">
        <v>38</v>
      </c>
      <c r="K28" s="52">
        <f>SUM(I34:K34)</f>
        <v>67108</v>
      </c>
      <c r="L28" t="s">
        <v>36</v>
      </c>
      <c r="M28" t="s">
        <v>39</v>
      </c>
      <c r="P28" s="52">
        <f>SUM(L34:T34)</f>
        <v>279258.57</v>
      </c>
      <c r="Q28" t="s">
        <v>36</v>
      </c>
      <c r="T28" s="52">
        <f>K28+P28</f>
        <v>346366.57</v>
      </c>
      <c r="U28" t="s">
        <v>36</v>
      </c>
      <c r="V28" s="52">
        <f>V27-T27</f>
        <v>1122</v>
      </c>
      <c r="AC28">
        <v>26785</v>
      </c>
      <c r="AD28">
        <v>29352</v>
      </c>
      <c r="AE28">
        <v>26771</v>
      </c>
      <c r="AF28" s="52">
        <f>AF27-3000</f>
        <v>31806.270000000004</v>
      </c>
      <c r="AG28" s="52">
        <f t="shared" ref="AG28:AK28" si="8">AG27-3000</f>
        <v>27680.57</v>
      </c>
      <c r="AH28" s="52">
        <f t="shared" si="8"/>
        <v>28641.61</v>
      </c>
      <c r="AI28" s="52">
        <f t="shared" si="8"/>
        <v>27969.809999999998</v>
      </c>
      <c r="AJ28" s="52">
        <f t="shared" si="8"/>
        <v>31200.42</v>
      </c>
      <c r="AK28" s="52">
        <f t="shared" si="8"/>
        <v>31051.89</v>
      </c>
    </row>
    <row r="29" spans="2:37" ht="15.75" thickBot="1" x14ac:dyDescent="0.3">
      <c r="B29">
        <v>34051.89</v>
      </c>
      <c r="E29" s="118"/>
      <c r="F29" s="118"/>
      <c r="I29" t="s">
        <v>40</v>
      </c>
      <c r="K29" s="52">
        <f>K28-K27</f>
        <v>-21501</v>
      </c>
      <c r="L29" t="s">
        <v>36</v>
      </c>
      <c r="M29" t="s">
        <v>41</v>
      </c>
      <c r="P29" s="52">
        <f>P28-P27</f>
        <v>-17899.429999999993</v>
      </c>
      <c r="Q29" t="s">
        <v>36</v>
      </c>
      <c r="T29" s="52">
        <f>K29+P29</f>
        <v>-39400.429999999993</v>
      </c>
      <c r="U29" t="s">
        <v>36</v>
      </c>
      <c r="AC29" s="118">
        <f>AC28-AC27</f>
        <v>-4278</v>
      </c>
      <c r="AD29" s="118">
        <f t="shared" ref="AD29:AE29" si="9">AD28-AD27</f>
        <v>1592</v>
      </c>
      <c r="AE29" s="118">
        <f t="shared" si="9"/>
        <v>-6085</v>
      </c>
    </row>
    <row r="30" spans="2:37" ht="18" customHeight="1" thickBot="1" x14ac:dyDescent="0.3">
      <c r="D30" t="s">
        <v>11</v>
      </c>
      <c r="E30" t="s">
        <v>12</v>
      </c>
      <c r="F30" t="s">
        <v>13</v>
      </c>
      <c r="G30" s="222"/>
      <c r="H30" s="223"/>
      <c r="I30" s="224">
        <v>45658</v>
      </c>
      <c r="J30" s="224">
        <v>45689</v>
      </c>
      <c r="K30" s="224">
        <v>45717</v>
      </c>
      <c r="L30" s="224">
        <v>45748</v>
      </c>
      <c r="M30" s="224">
        <v>45778</v>
      </c>
      <c r="N30" s="224">
        <v>45809</v>
      </c>
      <c r="O30" s="224">
        <v>45839</v>
      </c>
      <c r="P30" s="224">
        <v>45870</v>
      </c>
      <c r="Q30" s="224">
        <v>45901</v>
      </c>
      <c r="R30" s="224">
        <v>45931</v>
      </c>
      <c r="S30" s="224">
        <v>45962</v>
      </c>
      <c r="T30" s="225">
        <v>45992</v>
      </c>
      <c r="V30" s="222"/>
      <c r="W30" s="223"/>
      <c r="X30" s="224" t="s">
        <v>9</v>
      </c>
      <c r="Y30" s="224"/>
      <c r="Z30" s="224">
        <v>45658</v>
      </c>
      <c r="AA30" s="224">
        <v>45689</v>
      </c>
      <c r="AB30" s="224">
        <v>45717</v>
      </c>
      <c r="AC30" s="224">
        <v>45748</v>
      </c>
      <c r="AD30" s="224">
        <v>45778</v>
      </c>
      <c r="AE30" s="224">
        <v>45809</v>
      </c>
      <c r="AF30" s="224">
        <v>45839</v>
      </c>
      <c r="AG30" s="224">
        <v>45870</v>
      </c>
      <c r="AH30" s="224">
        <v>45901</v>
      </c>
      <c r="AI30" s="224">
        <v>45931</v>
      </c>
      <c r="AJ30" s="224">
        <v>45962</v>
      </c>
      <c r="AK30" s="225">
        <v>45992</v>
      </c>
    </row>
    <row r="31" spans="2:37" ht="18" customHeight="1" thickBot="1" x14ac:dyDescent="0.3">
      <c r="C31" s="98">
        <v>45658</v>
      </c>
      <c r="D31" s="118">
        <v>38339</v>
      </c>
      <c r="E31" s="1172">
        <v>21223.727999999999</v>
      </c>
      <c r="F31" s="118">
        <f>E31-D31</f>
        <v>-17115.272000000001</v>
      </c>
      <c r="G31" s="1561" t="s">
        <v>0</v>
      </c>
      <c r="H31" s="107" t="s">
        <v>1</v>
      </c>
      <c r="I31" s="111">
        <v>33336</v>
      </c>
      <c r="J31" s="111">
        <v>27941</v>
      </c>
      <c r="K31" s="111">
        <v>27332</v>
      </c>
      <c r="L31" s="111">
        <v>28880</v>
      </c>
      <c r="M31" s="111">
        <v>27080</v>
      </c>
      <c r="N31" s="111">
        <v>28138</v>
      </c>
      <c r="O31" s="111">
        <v>29466</v>
      </c>
      <c r="P31" s="111">
        <v>32359</v>
      </c>
      <c r="Q31" s="111">
        <v>39150</v>
      </c>
      <c r="R31" s="111">
        <v>37188</v>
      </c>
      <c r="S31" s="111">
        <v>37862</v>
      </c>
      <c r="T31" s="111">
        <v>37035</v>
      </c>
      <c r="U31" s="52">
        <f>SUM(I31:T31)</f>
        <v>385767</v>
      </c>
      <c r="V31" s="1562" t="s">
        <v>0</v>
      </c>
      <c r="W31" s="732" t="s">
        <v>1</v>
      </c>
      <c r="X31" s="733">
        <f>SUM(Z31:AK31)</f>
        <v>385767</v>
      </c>
      <c r="Y31" s="236"/>
      <c r="Z31" s="112">
        <v>33336</v>
      </c>
      <c r="AA31" s="111">
        <v>27941</v>
      </c>
      <c r="AB31" s="111">
        <v>27332</v>
      </c>
      <c r="AC31" s="111">
        <v>28880</v>
      </c>
      <c r="AD31" s="111">
        <v>27080</v>
      </c>
      <c r="AE31" s="111">
        <v>28138</v>
      </c>
      <c r="AF31" s="111">
        <v>29466</v>
      </c>
      <c r="AG31" s="111">
        <v>32359</v>
      </c>
      <c r="AH31" s="111">
        <v>39150</v>
      </c>
      <c r="AI31" s="111">
        <v>37188</v>
      </c>
      <c r="AJ31" s="111">
        <v>37862</v>
      </c>
      <c r="AK31" s="111">
        <v>37035</v>
      </c>
    </row>
    <row r="32" spans="2:37" ht="18" customHeight="1" x14ac:dyDescent="0.25">
      <c r="C32" s="98">
        <v>45689</v>
      </c>
      <c r="D32" s="118">
        <v>35695</v>
      </c>
      <c r="E32" s="1172">
        <v>25480</v>
      </c>
      <c r="F32" s="118">
        <f t="shared" ref="F32:F42" si="10">E32-D32</f>
        <v>-10215</v>
      </c>
      <c r="G32" s="1559"/>
      <c r="H32" s="1139" t="s">
        <v>2</v>
      </c>
      <c r="I32" s="121">
        <v>2.2400000000000002</v>
      </c>
      <c r="J32" s="121">
        <v>2.12</v>
      </c>
      <c r="K32" s="121">
        <v>2.4300000000000002</v>
      </c>
      <c r="L32" s="121">
        <v>2.6</v>
      </c>
      <c r="M32" s="121">
        <v>2.5499999999999998</v>
      </c>
      <c r="N32" s="121">
        <v>2.66</v>
      </c>
      <c r="O32" s="121">
        <v>2.61</v>
      </c>
      <c r="P32" s="121">
        <v>2.63</v>
      </c>
      <c r="Q32" s="121">
        <v>2.71</v>
      </c>
      <c r="R32" s="121">
        <v>2.6</v>
      </c>
      <c r="S32" s="121">
        <v>2.52</v>
      </c>
      <c r="T32" s="121">
        <v>2.79</v>
      </c>
      <c r="U32" s="52">
        <f>SUM(I32:T32)</f>
        <v>30.46</v>
      </c>
      <c r="V32" s="1563"/>
      <c r="W32" s="1151" t="s">
        <v>2</v>
      </c>
      <c r="X32" s="1152">
        <f>SUMPRODUCT(Z31:AK31,Z32:AK32)/X31</f>
        <v>2.5477788924402556</v>
      </c>
      <c r="Y32" s="1153"/>
      <c r="Z32" s="1154">
        <v>2.2400000000000002</v>
      </c>
      <c r="AA32" s="1155">
        <v>2.12</v>
      </c>
      <c r="AB32" s="1155">
        <v>2.4300000000000002</v>
      </c>
      <c r="AC32" s="1155">
        <v>2.6</v>
      </c>
      <c r="AD32" s="1155">
        <v>2.5499999999999998</v>
      </c>
      <c r="AE32" s="1155">
        <v>2.66</v>
      </c>
      <c r="AF32" s="1155">
        <v>2.61</v>
      </c>
      <c r="AG32" s="1155">
        <v>2.63</v>
      </c>
      <c r="AH32" s="1155">
        <v>2.71</v>
      </c>
      <c r="AI32" s="1155">
        <v>2.6</v>
      </c>
      <c r="AJ32" s="1155">
        <v>2.52</v>
      </c>
      <c r="AK32" s="1155">
        <v>2.79</v>
      </c>
    </row>
    <row r="33" spans="3:40" ht="18" customHeight="1" thickBot="1" x14ac:dyDescent="0.3">
      <c r="C33" s="98">
        <v>45717</v>
      </c>
      <c r="D33" s="118">
        <v>38339</v>
      </c>
      <c r="E33" s="1172">
        <v>30758.489999999998</v>
      </c>
      <c r="F33" s="118">
        <f t="shared" si="10"/>
        <v>-7580.510000000002</v>
      </c>
      <c r="G33" s="1560"/>
      <c r="H33" s="1142" t="s">
        <v>3</v>
      </c>
      <c r="I33" s="1143">
        <f>I31*I32/1000</f>
        <v>74.672640000000015</v>
      </c>
      <c r="J33" s="1143">
        <f t="shared" ref="J33:T33" si="11">J31*J32/1000</f>
        <v>59.234920000000002</v>
      </c>
      <c r="K33" s="1143">
        <f t="shared" si="11"/>
        <v>66.416760000000011</v>
      </c>
      <c r="L33" s="1143">
        <f t="shared" si="11"/>
        <v>75.087999999999994</v>
      </c>
      <c r="M33" s="1143">
        <f t="shared" si="11"/>
        <v>69.054000000000002</v>
      </c>
      <c r="N33" s="1143">
        <f t="shared" si="11"/>
        <v>74.847080000000005</v>
      </c>
      <c r="O33" s="1143">
        <f t="shared" si="11"/>
        <v>76.906259999999989</v>
      </c>
      <c r="P33" s="1143">
        <f t="shared" si="11"/>
        <v>85.104169999999996</v>
      </c>
      <c r="Q33" s="1143">
        <f t="shared" si="11"/>
        <v>106.09650000000001</v>
      </c>
      <c r="R33" s="1143">
        <f t="shared" si="11"/>
        <v>96.688800000000001</v>
      </c>
      <c r="S33" s="1143">
        <f t="shared" si="11"/>
        <v>95.412240000000011</v>
      </c>
      <c r="T33" s="1143">
        <f t="shared" si="11"/>
        <v>103.32764999999999</v>
      </c>
      <c r="U33" s="52">
        <f>SUM(I33:T33)*0.88</f>
        <v>864.90713759999994</v>
      </c>
      <c r="V33" s="1564"/>
      <c r="W33" s="1157" t="s">
        <v>3</v>
      </c>
      <c r="X33" s="1158">
        <f>SUM(Z33:AK33)</f>
        <v>864.90713760000006</v>
      </c>
      <c r="Y33" s="1159"/>
      <c r="Z33" s="1160">
        <f>Z31*Z32/1000*0.88</f>
        <v>65.711923200000015</v>
      </c>
      <c r="AA33" s="1143">
        <f t="shared" ref="AA33:AK33" si="12">AA31*AA32/1000*0.88</f>
        <v>52.126729600000004</v>
      </c>
      <c r="AB33" s="1143">
        <f t="shared" si="12"/>
        <v>58.446748800000009</v>
      </c>
      <c r="AC33" s="1143">
        <f t="shared" si="12"/>
        <v>66.077439999999996</v>
      </c>
      <c r="AD33" s="1143">
        <f t="shared" si="12"/>
        <v>60.767520000000005</v>
      </c>
      <c r="AE33" s="1143">
        <f t="shared" si="12"/>
        <v>65.865430400000008</v>
      </c>
      <c r="AF33" s="1143">
        <f t="shared" si="12"/>
        <v>67.677508799999984</v>
      </c>
      <c r="AG33" s="1143">
        <f t="shared" si="12"/>
        <v>74.8916696</v>
      </c>
      <c r="AH33" s="1143">
        <f t="shared" si="12"/>
        <v>93.364920000000012</v>
      </c>
      <c r="AI33" s="1143">
        <f t="shared" si="12"/>
        <v>85.086144000000004</v>
      </c>
      <c r="AJ33" s="1143">
        <f t="shared" si="12"/>
        <v>83.962771200000006</v>
      </c>
      <c r="AK33" s="1143">
        <f t="shared" si="12"/>
        <v>90.928331999999997</v>
      </c>
    </row>
    <row r="34" spans="3:40" ht="18" customHeight="1" x14ac:dyDescent="0.25">
      <c r="C34" s="98">
        <v>45748</v>
      </c>
      <c r="D34" s="118">
        <v>38339</v>
      </c>
      <c r="E34" s="1172">
        <v>31062.639999999999</v>
      </c>
      <c r="F34" s="118">
        <f t="shared" si="10"/>
        <v>-7276.3600000000006</v>
      </c>
      <c r="G34" s="1561" t="s">
        <v>4</v>
      </c>
      <c r="H34" s="107" t="s">
        <v>1</v>
      </c>
      <c r="I34" s="111">
        <v>21224</v>
      </c>
      <c r="J34" s="111">
        <f>J37</f>
        <v>21098</v>
      </c>
      <c r="K34" s="111">
        <v>24786</v>
      </c>
      <c r="L34" s="111">
        <v>26785</v>
      </c>
      <c r="M34" s="111">
        <v>29352</v>
      </c>
      <c r="N34" s="111">
        <v>26771</v>
      </c>
      <c r="O34" s="111">
        <v>34806.270000000004</v>
      </c>
      <c r="P34" s="111">
        <v>30680.57</v>
      </c>
      <c r="Q34" s="111">
        <v>31641.61</v>
      </c>
      <c r="R34" s="111">
        <v>30969.809999999998</v>
      </c>
      <c r="S34" s="111">
        <v>34200.42</v>
      </c>
      <c r="T34" s="111">
        <v>34051.89</v>
      </c>
      <c r="U34" s="52">
        <f>SUM(I34:T34)</f>
        <v>346366.57</v>
      </c>
      <c r="V34" s="1562" t="s">
        <v>4</v>
      </c>
      <c r="W34" s="234" t="s">
        <v>1</v>
      </c>
      <c r="X34" s="235">
        <f>SUM(Z34:AK34)</f>
        <v>343229.57</v>
      </c>
      <c r="Y34" s="236"/>
      <c r="Z34" s="111">
        <v>21224</v>
      </c>
      <c r="AA34" s="111">
        <v>21098</v>
      </c>
      <c r="AB34" s="111">
        <v>24786</v>
      </c>
      <c r="AC34" s="111">
        <f>SUMMARY!F8</f>
        <v>24001</v>
      </c>
      <c r="AD34" s="111">
        <f>'Yearly Forecast'!G8</f>
        <v>28505</v>
      </c>
      <c r="AE34" s="111">
        <f>'Yearly Forecast'!H8</f>
        <v>27265</v>
      </c>
      <c r="AF34" s="111">
        <v>34806.270000000004</v>
      </c>
      <c r="AG34" s="111">
        <v>30680.57</v>
      </c>
      <c r="AH34" s="111">
        <v>31641.61</v>
      </c>
      <c r="AI34" s="111">
        <v>30969.809999999998</v>
      </c>
      <c r="AJ34" s="111">
        <v>34200.42</v>
      </c>
      <c r="AK34" s="111">
        <v>34051.89</v>
      </c>
      <c r="AM34" s="44">
        <f>(AA37-AA34)/AA34</f>
        <v>0</v>
      </c>
      <c r="AN34" s="44">
        <f>(AA37-AA31)/AA37</f>
        <v>-0.3243435396720068</v>
      </c>
    </row>
    <row r="35" spans="3:40" ht="18" customHeight="1" x14ac:dyDescent="0.25">
      <c r="C35" s="98">
        <v>45778</v>
      </c>
      <c r="D35" s="118">
        <v>38339</v>
      </c>
      <c r="E35" s="1172">
        <v>27760.46</v>
      </c>
      <c r="F35" s="118">
        <f t="shared" si="10"/>
        <v>-10578.54</v>
      </c>
      <c r="G35" s="1559"/>
      <c r="H35" s="1139" t="s">
        <v>2</v>
      </c>
      <c r="I35" s="1150">
        <v>2.0699999999999998</v>
      </c>
      <c r="J35" s="1155">
        <f>J38</f>
        <v>2.36</v>
      </c>
      <c r="K35" s="1146">
        <v>2.36</v>
      </c>
      <c r="L35" s="1155">
        <v>2.42</v>
      </c>
      <c r="M35" s="1155">
        <v>2.36</v>
      </c>
      <c r="N35" s="1155">
        <v>2.4300000000000002</v>
      </c>
      <c r="O35" s="1155">
        <v>2.34</v>
      </c>
      <c r="P35" s="1155">
        <v>2.31</v>
      </c>
      <c r="Q35" s="1155">
        <v>2.4</v>
      </c>
      <c r="R35" s="1155">
        <v>2.58</v>
      </c>
      <c r="S35" s="1155">
        <v>2.72</v>
      </c>
      <c r="T35" s="1155">
        <v>2.62</v>
      </c>
      <c r="U35" s="52">
        <f>U34-U31</f>
        <v>-39400.429999999993</v>
      </c>
      <c r="V35" s="1563"/>
      <c r="W35" s="1161" t="s">
        <v>2</v>
      </c>
      <c r="X35" s="1162">
        <f>SUMPRODUCT(Z34:AK34,Z35:AK35)/X34</f>
        <v>2.4399022686186393</v>
      </c>
      <c r="Y35" s="1153"/>
      <c r="Z35" s="1155">
        <v>2.0699999999999998</v>
      </c>
      <c r="AA35" s="1155">
        <v>2.36</v>
      </c>
      <c r="AB35" s="1146">
        <v>2.36</v>
      </c>
      <c r="AC35" s="1146">
        <f>SUMMARY!F9</f>
        <v>2.54</v>
      </c>
      <c r="AD35" s="1155">
        <f>'Yearly Forecast'!G9</f>
        <v>2.3643448517803898</v>
      </c>
      <c r="AE35" s="1155">
        <f>'Yearly Forecast'!H9</f>
        <v>2.4378008435723455</v>
      </c>
      <c r="AF35" s="1155">
        <v>2.34</v>
      </c>
      <c r="AG35" s="1155">
        <v>2.31</v>
      </c>
      <c r="AH35" s="1155">
        <v>2.4</v>
      </c>
      <c r="AI35" s="1155">
        <v>2.58</v>
      </c>
      <c r="AJ35" s="1155">
        <v>2.72</v>
      </c>
      <c r="AK35" s="1155">
        <v>2.62</v>
      </c>
    </row>
    <row r="36" spans="3:40" ht="18" customHeight="1" thickBot="1" x14ac:dyDescent="0.3">
      <c r="C36" s="98">
        <v>45809</v>
      </c>
      <c r="D36" s="118">
        <v>38339</v>
      </c>
      <c r="E36" s="1172">
        <v>32855.899999999994</v>
      </c>
      <c r="F36" s="118">
        <f t="shared" si="10"/>
        <v>-5483.1000000000058</v>
      </c>
      <c r="G36" s="1560"/>
      <c r="H36" s="1142" t="s">
        <v>3</v>
      </c>
      <c r="I36" s="1156">
        <f>I34*I35/1000*0.88</f>
        <v>38.661638399999994</v>
      </c>
      <c r="J36" s="1163">
        <f>(J34*J35/1000)*0.88</f>
        <v>43.816326400000001</v>
      </c>
      <c r="K36" s="1156">
        <f t="shared" ref="K36" si="13">K34*K35/1000*0.88</f>
        <v>51.475564800000001</v>
      </c>
      <c r="L36" s="1163">
        <f t="shared" ref="L36:S36" si="14">(L34*L35/1000)*0.88</f>
        <v>57.041336000000001</v>
      </c>
      <c r="M36" s="1163">
        <f t="shared" si="14"/>
        <v>60.9582336</v>
      </c>
      <c r="N36" s="1163">
        <f t="shared" si="14"/>
        <v>57.247106400000007</v>
      </c>
      <c r="O36" s="1163">
        <f t="shared" si="14"/>
        <v>71.673071184000008</v>
      </c>
      <c r="P36" s="1163">
        <f t="shared" si="14"/>
        <v>62.367462695999997</v>
      </c>
      <c r="Q36" s="1163">
        <f t="shared" si="14"/>
        <v>66.827080320000007</v>
      </c>
      <c r="R36" s="1163">
        <f t="shared" si="14"/>
        <v>70.313856623999996</v>
      </c>
      <c r="S36" s="1163">
        <f t="shared" si="14"/>
        <v>81.862125311999989</v>
      </c>
      <c r="T36" s="1163">
        <f>(T34*T35/1000)*0.88</f>
        <v>78.510037584000003</v>
      </c>
      <c r="U36" s="52">
        <f>SUM(I36:T36)</f>
        <v>740.75383932</v>
      </c>
      <c r="V36" s="1564"/>
      <c r="W36" s="1164" t="s">
        <v>3</v>
      </c>
      <c r="X36" s="1165">
        <f>SUM(Z36:AK36)</f>
        <v>737.60597852000001</v>
      </c>
      <c r="Y36" s="1159"/>
      <c r="Z36" s="1156">
        <f>Z34*Z35/1000*0.88</f>
        <v>38.661638399999994</v>
      </c>
      <c r="AA36" s="1156">
        <f t="shared" ref="AA36" si="15">AA34*AA35/1000*0.88</f>
        <v>43.816326400000001</v>
      </c>
      <c r="AB36" s="1156">
        <f t="shared" ref="AB36" si="16">AB34*AB35/1000*0.88</f>
        <v>51.475564800000001</v>
      </c>
      <c r="AC36" s="1156">
        <f>SUMMARY!F10</f>
        <v>54.3</v>
      </c>
      <c r="AD36" s="1143">
        <f>(AD34*AD35/1000)*0.88</f>
        <v>59.308172000000006</v>
      </c>
      <c r="AE36" s="1143">
        <f>(AE34*AE35/1000)*0.88</f>
        <v>58.490643200000001</v>
      </c>
      <c r="AF36" s="1143">
        <f t="shared" ref="AF36:AK36" si="17">(AF34*AF35/1000)*0.88</f>
        <v>71.673071184000008</v>
      </c>
      <c r="AG36" s="1143">
        <f t="shared" si="17"/>
        <v>62.367462695999997</v>
      </c>
      <c r="AH36" s="1143">
        <f t="shared" si="17"/>
        <v>66.827080320000007</v>
      </c>
      <c r="AI36" s="1143">
        <f t="shared" si="17"/>
        <v>70.313856623999996</v>
      </c>
      <c r="AJ36" s="1143">
        <f t="shared" si="17"/>
        <v>81.862125311999989</v>
      </c>
      <c r="AK36" s="1143">
        <f t="shared" si="17"/>
        <v>78.510037584000003</v>
      </c>
    </row>
    <row r="37" spans="3:40" ht="18" customHeight="1" x14ac:dyDescent="0.25">
      <c r="C37" s="98">
        <v>45839</v>
      </c>
      <c r="D37" s="118">
        <v>37560</v>
      </c>
      <c r="E37" s="1172">
        <v>34806.270000000004</v>
      </c>
      <c r="F37" s="118">
        <f t="shared" si="10"/>
        <v>-2753.7299999999959</v>
      </c>
      <c r="G37" s="1561" t="s">
        <v>5</v>
      </c>
      <c r="H37" s="107" t="s">
        <v>1</v>
      </c>
      <c r="I37" s="360">
        <v>21224</v>
      </c>
      <c r="J37" s="360">
        <v>21098</v>
      </c>
      <c r="K37" s="360">
        <v>24786</v>
      </c>
      <c r="L37" s="111">
        <f>SUMMARY!F8</f>
        <v>24001</v>
      </c>
      <c r="M37" s="111">
        <f>SUMMARY!G8</f>
        <v>29974</v>
      </c>
      <c r="N37" s="111">
        <f>SUMMARY!H8</f>
        <v>30245</v>
      </c>
      <c r="O37" s="111">
        <f>SUMMARY!I8</f>
        <v>23970.7</v>
      </c>
      <c r="P37" s="111">
        <f>SUMMARY!J8</f>
        <v>0</v>
      </c>
      <c r="Q37" s="111">
        <f>SUMMARY!K8</f>
        <v>0</v>
      </c>
      <c r="R37" s="111">
        <f>SUMMARY!L8</f>
        <v>0</v>
      </c>
      <c r="S37" s="111">
        <f>SUMMARY!M8</f>
        <v>0</v>
      </c>
      <c r="T37" s="111">
        <f>SUMMARY!N8</f>
        <v>0</v>
      </c>
      <c r="V37" s="1561" t="s">
        <v>5</v>
      </c>
      <c r="W37" s="234" t="s">
        <v>1</v>
      </c>
      <c r="X37" s="235">
        <f>SUM(Z37:AK37)</f>
        <v>113354.6</v>
      </c>
      <c r="Y37" s="236"/>
      <c r="Z37" s="111">
        <v>21224</v>
      </c>
      <c r="AA37" s="111">
        <f t="shared" ref="AA37:AA38" si="18">J37</f>
        <v>21098</v>
      </c>
      <c r="AB37" s="111">
        <v>24786</v>
      </c>
      <c r="AC37" s="111">
        <f>L37</f>
        <v>24001</v>
      </c>
      <c r="AD37" s="111">
        <f>'Monthly Stope Performance'!E89</f>
        <v>22245.600000000002</v>
      </c>
      <c r="AE37" s="111"/>
      <c r="AF37" s="111"/>
      <c r="AG37" s="111"/>
      <c r="AH37" s="111"/>
      <c r="AI37" s="111"/>
      <c r="AJ37" s="111"/>
      <c r="AK37" s="111"/>
    </row>
    <row r="38" spans="3:40" ht="18" customHeight="1" x14ac:dyDescent="0.25">
      <c r="C38" s="98">
        <v>45870</v>
      </c>
      <c r="D38" s="118">
        <v>37560</v>
      </c>
      <c r="E38" s="1172">
        <v>30680.57</v>
      </c>
      <c r="F38" s="118">
        <f t="shared" si="10"/>
        <v>-6879.43</v>
      </c>
      <c r="G38" s="1559"/>
      <c r="H38" s="1139" t="s">
        <v>2</v>
      </c>
      <c r="I38" s="1150">
        <v>2.0699999999999998</v>
      </c>
      <c r="J38" s="1166">
        <v>2.36</v>
      </c>
      <c r="K38" s="1166">
        <v>2.36</v>
      </c>
      <c r="L38" s="1155">
        <f>SUMMARY!F9</f>
        <v>2.54</v>
      </c>
      <c r="M38" s="1155">
        <f>SUMMARY!G9</f>
        <v>1.99</v>
      </c>
      <c r="N38" s="1155">
        <f>SUMMARY!H9</f>
        <v>1.784754</v>
      </c>
      <c r="O38" s="1155">
        <f>SUMMARY!I9</f>
        <v>2.282246075417071</v>
      </c>
      <c r="P38" s="1155">
        <f>SUMMARY!J9</f>
        <v>0</v>
      </c>
      <c r="Q38" s="1155">
        <f>SUMMARY!K9</f>
        <v>0</v>
      </c>
      <c r="R38" s="1155">
        <f>SUMMARY!L9</f>
        <v>0</v>
      </c>
      <c r="S38" s="1155">
        <f>SUMMARY!M9</f>
        <v>0</v>
      </c>
      <c r="T38" s="1155">
        <f>SUMMARY!N9</f>
        <v>0</v>
      </c>
      <c r="U38">
        <f>SUMPRODUCT(I34:T34,I35:T35)/U34</f>
        <v>2.4302741644495311</v>
      </c>
      <c r="V38" s="1559"/>
      <c r="W38" s="1161" t="s">
        <v>2</v>
      </c>
      <c r="X38" s="1162">
        <f>SUMPRODUCT(Z37:AK37,Z38:AK38)/X37</f>
        <v>2.389361375718321</v>
      </c>
      <c r="Y38" s="1153"/>
      <c r="Z38" s="1155">
        <v>2.0699999999999998</v>
      </c>
      <c r="AA38" s="1155">
        <f t="shared" si="18"/>
        <v>2.36</v>
      </c>
      <c r="AB38" s="1146">
        <v>2.36</v>
      </c>
      <c r="AC38" s="1155">
        <f t="shared" ref="AC38:AC39" si="19">L38</f>
        <v>2.54</v>
      </c>
      <c r="AD38" s="1155">
        <f>'Monthly Stope Performance'!G89</f>
        <v>2.5920920541590244</v>
      </c>
      <c r="AE38" s="1155"/>
      <c r="AF38" s="1155"/>
      <c r="AG38" s="1155"/>
      <c r="AH38" s="1155"/>
      <c r="AI38" s="1155"/>
      <c r="AJ38" s="1155"/>
      <c r="AK38" s="1155"/>
    </row>
    <row r="39" spans="3:40" ht="18" customHeight="1" thickBot="1" x14ac:dyDescent="0.3">
      <c r="C39" s="98">
        <v>45901</v>
      </c>
      <c r="D39" s="118">
        <v>38339</v>
      </c>
      <c r="E39" s="1172">
        <v>31641.61</v>
      </c>
      <c r="F39" s="118">
        <f t="shared" si="10"/>
        <v>-6697.3899999999994</v>
      </c>
      <c r="G39" s="1565"/>
      <c r="H39" s="1147" t="s">
        <v>3</v>
      </c>
      <c r="I39" s="1156">
        <f>I37*I38/1000*0.88</f>
        <v>38.661638399999994</v>
      </c>
      <c r="J39" s="1163">
        <f>(J37*J38/1000)*0.88</f>
        <v>43.816326400000001</v>
      </c>
      <c r="K39" s="1163">
        <f t="shared" ref="K39" si="20">K37*K38/1000*0.88</f>
        <v>51.475564800000001</v>
      </c>
      <c r="L39" s="1163">
        <f>SUMMARY!F10</f>
        <v>54.3</v>
      </c>
      <c r="M39" s="1163">
        <f>SUMMARY!G10</f>
        <v>50.9</v>
      </c>
      <c r="N39" s="1163">
        <f>SUMMARY!H10</f>
        <v>45.763570000000001</v>
      </c>
      <c r="O39" s="1163">
        <f>SUMMARY!I10</f>
        <v>54.707036000000002</v>
      </c>
      <c r="P39" s="1163">
        <f>SUMMARY!J10</f>
        <v>0</v>
      </c>
      <c r="Q39" s="1163">
        <f>SUMMARY!K10</f>
        <v>0</v>
      </c>
      <c r="R39" s="1163">
        <f>SUMMARY!L10</f>
        <v>0</v>
      </c>
      <c r="S39" s="1163">
        <f>SUMMARY!M10</f>
        <v>0</v>
      </c>
      <c r="T39" s="1163">
        <f>SUMMARY!N10</f>
        <v>0</v>
      </c>
      <c r="V39" s="1565"/>
      <c r="W39" s="1164" t="s">
        <v>3</v>
      </c>
      <c r="X39" s="1165">
        <f>SUM(Z39:AK39)</f>
        <v>238.99665543999998</v>
      </c>
      <c r="Y39" s="1159"/>
      <c r="Z39" s="1156">
        <f>Z37*Z38/1000*0.88</f>
        <v>38.661638399999994</v>
      </c>
      <c r="AA39" s="1156">
        <f t="shared" ref="AA39" si="21">AA37*AA38/1000*0.88</f>
        <v>43.816326400000001</v>
      </c>
      <c r="AB39" s="1156">
        <f>AB37*AB38/1000*0.88</f>
        <v>51.475564800000001</v>
      </c>
      <c r="AC39" s="1143">
        <f t="shared" si="19"/>
        <v>54.3</v>
      </c>
      <c r="AD39" s="1143">
        <f>'Monthly Stope Performance'!J89</f>
        <v>50.74312583999999</v>
      </c>
      <c r="AE39" s="1143"/>
      <c r="AF39" s="1143"/>
      <c r="AG39" s="1143"/>
      <c r="AH39" s="1143"/>
      <c r="AI39" s="1143"/>
      <c r="AJ39" s="1143"/>
      <c r="AK39" s="1143"/>
    </row>
    <row r="40" spans="3:40" ht="18" customHeight="1" thickBot="1" x14ac:dyDescent="0.3">
      <c r="C40" s="98">
        <v>45931</v>
      </c>
      <c r="D40" s="118">
        <v>38339</v>
      </c>
      <c r="E40" s="1172">
        <v>30969.809999999998</v>
      </c>
      <c r="F40" s="118">
        <f t="shared" si="10"/>
        <v>-7369.1900000000023</v>
      </c>
      <c r="G40" s="217"/>
      <c r="H40" s="218"/>
      <c r="I40" s="219"/>
      <c r="J40" s="361"/>
      <c r="K40" s="666"/>
      <c r="L40" s="220"/>
      <c r="M40" s="220"/>
      <c r="N40" s="220"/>
      <c r="O40" s="220"/>
      <c r="P40" s="220"/>
      <c r="Q40" s="220"/>
      <c r="R40" s="220"/>
      <c r="S40" s="220"/>
      <c r="T40" s="221"/>
      <c r="V40" s="217"/>
      <c r="W40" s="218"/>
      <c r="X40" s="218"/>
      <c r="Y40" s="218"/>
      <c r="Z40" s="219"/>
      <c r="AA40" s="219"/>
      <c r="AB40" s="220"/>
      <c r="AC40" s="220"/>
      <c r="AD40" s="220"/>
      <c r="AE40" s="220"/>
      <c r="AF40" s="220"/>
      <c r="AG40" s="220"/>
      <c r="AH40" s="220"/>
      <c r="AI40" s="220"/>
      <c r="AJ40" s="220"/>
      <c r="AK40" s="221"/>
    </row>
    <row r="41" spans="3:40" ht="18" customHeight="1" x14ac:dyDescent="0.25">
      <c r="C41" s="98">
        <v>45962</v>
      </c>
      <c r="D41" s="118">
        <v>37879</v>
      </c>
      <c r="E41" s="1172">
        <v>34200.42</v>
      </c>
      <c r="F41" s="118">
        <f t="shared" si="10"/>
        <v>-3678.5800000000017</v>
      </c>
      <c r="G41" s="1558" t="s">
        <v>6</v>
      </c>
      <c r="H41" s="215" t="s">
        <v>1</v>
      </c>
      <c r="I41" s="216">
        <v>1050</v>
      </c>
      <c r="J41" s="113">
        <f>'Monthly Stope Performance'!C21</f>
        <v>980</v>
      </c>
      <c r="K41" s="113"/>
      <c r="L41" s="113"/>
      <c r="M41" s="113"/>
      <c r="N41" s="113"/>
      <c r="O41" s="113"/>
      <c r="P41" s="113"/>
      <c r="Q41" s="113"/>
      <c r="R41" s="113"/>
      <c r="S41" s="113"/>
      <c r="T41" s="114"/>
      <c r="V41" s="1558" t="s">
        <v>6</v>
      </c>
      <c r="W41" s="234" t="s">
        <v>1</v>
      </c>
      <c r="X41" s="235">
        <f>SUM(Z41:AK41)</f>
        <v>7035</v>
      </c>
      <c r="Y41" s="236"/>
      <c r="Z41" s="216">
        <v>1050</v>
      </c>
      <c r="AA41" s="113">
        <v>980</v>
      </c>
      <c r="AB41" s="723">
        <f>SUM('Monthly Stope Performance'!X38,'Monthly Stope Performance'!X49)</f>
        <v>2345</v>
      </c>
      <c r="AC41" s="113">
        <f>'Monthly Stope Performance'!C71</f>
        <v>980</v>
      </c>
      <c r="AD41" s="113">
        <f>'Monthly Stope Performance'!D78</f>
        <v>1680</v>
      </c>
      <c r="AE41" s="113"/>
      <c r="AF41" s="113"/>
      <c r="AG41" s="113"/>
      <c r="AH41" s="113"/>
      <c r="AI41" s="113"/>
      <c r="AJ41" s="113"/>
      <c r="AK41" s="114"/>
    </row>
    <row r="42" spans="3:40" ht="18" customHeight="1" thickBot="1" x14ac:dyDescent="0.3">
      <c r="C42" s="98">
        <v>45992</v>
      </c>
      <c r="D42" s="118">
        <v>37253</v>
      </c>
      <c r="E42" s="1206">
        <v>34051.89</v>
      </c>
      <c r="F42" s="118">
        <f t="shared" si="10"/>
        <v>-3201.1100000000006</v>
      </c>
      <c r="G42" s="1559"/>
      <c r="H42" s="1139" t="s">
        <v>2</v>
      </c>
      <c r="I42" s="1146">
        <v>1.0499999999999994</v>
      </c>
      <c r="J42" s="1140">
        <f>'Monthly Stope Performance'!E21</f>
        <v>1.81</v>
      </c>
      <c r="K42" s="1140"/>
      <c r="L42" s="1140"/>
      <c r="M42" s="1140"/>
      <c r="N42" s="1140"/>
      <c r="O42" s="1140"/>
      <c r="P42" s="1140"/>
      <c r="Q42" s="1140"/>
      <c r="R42" s="1140"/>
      <c r="S42" s="1140"/>
      <c r="T42" s="1141"/>
      <c r="V42" s="1559"/>
      <c r="W42" s="1161" t="s">
        <v>2</v>
      </c>
      <c r="X42" s="1162">
        <f>SUMPRODUCT(Z41:AK41,Z42:AK42)/X41</f>
        <v>2.3397093969405303</v>
      </c>
      <c r="Y42" s="1153"/>
      <c r="Z42" s="1146">
        <v>1.0499999999999994</v>
      </c>
      <c r="AA42" s="1140">
        <v>1.81</v>
      </c>
      <c r="AB42" s="1146">
        <f>('Monthly Stope Performance'!X38*'Monthly Stope Performance'!Z38+'Monthly Stope Performance'!X49*'Monthly Stope Performance'!Z49)/AB41</f>
        <v>2.4409192355977121</v>
      </c>
      <c r="AC42" s="1140">
        <f>'Monthly Stope Performance'!F71</f>
        <v>1.42</v>
      </c>
      <c r="AD42" s="1146">
        <f>'Monthly Stope Performance'!F78</f>
        <v>3.8499999999999988</v>
      </c>
      <c r="AE42" s="1140"/>
      <c r="AF42" s="1140"/>
      <c r="AG42" s="1140"/>
      <c r="AH42" s="1140"/>
      <c r="AI42" s="1140"/>
      <c r="AJ42" s="1140"/>
      <c r="AK42" s="1141"/>
    </row>
    <row r="43" spans="3:40" ht="18" customHeight="1" thickBot="1" x14ac:dyDescent="0.3">
      <c r="G43" s="1560"/>
      <c r="H43" s="1142" t="s">
        <v>3</v>
      </c>
      <c r="I43" s="1143">
        <v>1.1024999999999994</v>
      </c>
      <c r="J43" s="1143">
        <f>'Monthly Stope Performance'!G21</f>
        <v>1.5609440000000001</v>
      </c>
      <c r="K43" s="1144"/>
      <c r="L43" s="1144"/>
      <c r="M43" s="1144"/>
      <c r="N43" s="1144"/>
      <c r="O43" s="1144"/>
      <c r="P43" s="1144"/>
      <c r="Q43" s="1144"/>
      <c r="R43" s="1144"/>
      <c r="S43" s="1144"/>
      <c r="T43" s="1145"/>
      <c r="V43" s="1560"/>
      <c r="W43" s="1164" t="s">
        <v>3</v>
      </c>
      <c r="X43" s="1169">
        <f>SUM(Z43:AK43)</f>
        <v>14.616972934579437</v>
      </c>
      <c r="Y43" s="1159"/>
      <c r="Z43" s="1143">
        <v>1.1024999999999994</v>
      </c>
      <c r="AA43" s="1143">
        <v>1.5609440000000001</v>
      </c>
      <c r="AB43" s="1207">
        <f>(AB41*AB42/1000)*0.88</f>
        <v>5.0370809345794392</v>
      </c>
      <c r="AC43" s="1168">
        <f>'Monthly Stope Performance'!H71</f>
        <v>1.2246079999999999</v>
      </c>
      <c r="AD43" s="1168">
        <f>'Monthly Stope Performance'!I78</f>
        <v>5.6918399999999982</v>
      </c>
      <c r="AE43" s="1144"/>
      <c r="AF43" s="1144"/>
      <c r="AG43" s="1144"/>
      <c r="AH43" s="1144"/>
      <c r="AI43" s="1144"/>
      <c r="AJ43" s="1144"/>
      <c r="AK43" s="1145"/>
    </row>
    <row r="44" spans="3:40" ht="18" customHeight="1" thickBot="1" x14ac:dyDescent="0.3">
      <c r="G44" s="217"/>
      <c r="H44" s="218"/>
      <c r="I44" s="219"/>
      <c r="J44" s="219"/>
      <c r="K44" s="220"/>
      <c r="L44" s="220"/>
      <c r="M44" s="220"/>
      <c r="N44" s="220"/>
      <c r="O44" s="220"/>
      <c r="P44" s="220"/>
      <c r="Q44" s="220"/>
      <c r="R44" s="220"/>
      <c r="S44" s="220"/>
      <c r="T44" s="221"/>
      <c r="V44" s="217"/>
      <c r="W44" s="218"/>
      <c r="X44" s="218"/>
      <c r="Y44" s="218"/>
      <c r="Z44" s="219"/>
      <c r="AA44" s="219"/>
      <c r="AB44" s="220"/>
      <c r="AC44" s="220"/>
      <c r="AD44" s="220"/>
      <c r="AE44" s="220"/>
      <c r="AF44" s="220"/>
      <c r="AG44" s="220"/>
      <c r="AH44" s="220"/>
      <c r="AI44" s="220"/>
      <c r="AJ44" s="220"/>
      <c r="AK44" s="221"/>
    </row>
    <row r="45" spans="3:40" ht="18" customHeight="1" x14ac:dyDescent="0.25">
      <c r="G45" s="1558" t="s">
        <v>7</v>
      </c>
      <c r="H45" s="107" t="s">
        <v>1</v>
      </c>
      <c r="I45" s="108" t="s">
        <v>10</v>
      </c>
      <c r="J45" s="113">
        <f>'Monthly Stope Performance'!D27</f>
        <v>0</v>
      </c>
      <c r="K45" s="113"/>
      <c r="L45" s="113"/>
      <c r="M45" s="113"/>
      <c r="N45" s="113"/>
      <c r="O45" s="113"/>
      <c r="P45" s="113"/>
      <c r="Q45" s="113"/>
      <c r="R45" s="113"/>
      <c r="S45" s="113"/>
      <c r="T45" s="114"/>
      <c r="V45" s="1558" t="s">
        <v>7</v>
      </c>
      <c r="W45" s="234" t="s">
        <v>1</v>
      </c>
      <c r="X45" s="235">
        <f>SUM(Z45:AK45)</f>
        <v>0</v>
      </c>
      <c r="Y45" s="236"/>
      <c r="Z45" s="108" t="s">
        <v>10</v>
      </c>
      <c r="AA45" s="113">
        <f>'Monthly Stope Performance'!O27</f>
        <v>0</v>
      </c>
      <c r="AB45" s="108" t="s">
        <v>10</v>
      </c>
      <c r="AC45" s="113"/>
      <c r="AD45" s="113"/>
      <c r="AE45" s="113"/>
      <c r="AF45" s="113"/>
      <c r="AG45" s="113"/>
      <c r="AH45" s="113"/>
      <c r="AI45" s="113"/>
      <c r="AJ45" s="113"/>
      <c r="AK45" s="114"/>
    </row>
    <row r="46" spans="3:40" ht="18" customHeight="1" x14ac:dyDescent="0.25">
      <c r="G46" s="1559"/>
      <c r="H46" s="1139" t="s">
        <v>2</v>
      </c>
      <c r="I46" s="108" t="s">
        <v>10</v>
      </c>
      <c r="J46" s="1146">
        <f>'Monthly Stope Performance'!F27</f>
        <v>0</v>
      </c>
      <c r="K46" s="1140"/>
      <c r="L46" s="1140"/>
      <c r="M46" s="1140"/>
      <c r="N46" s="1140"/>
      <c r="O46" s="1140"/>
      <c r="P46" s="1140"/>
      <c r="Q46" s="1140"/>
      <c r="R46" s="1140"/>
      <c r="S46" s="1140"/>
      <c r="T46" s="1141"/>
      <c r="V46" s="1559"/>
      <c r="W46" s="1161" t="s">
        <v>2</v>
      </c>
      <c r="X46" s="1162" t="e">
        <f>SUMPRODUCT(Z45:AK45,Z46:AK46)/X45</f>
        <v>#DIV/0!</v>
      </c>
      <c r="Y46" s="1153"/>
      <c r="Z46" s="108" t="s">
        <v>10</v>
      </c>
      <c r="AA46" s="1146">
        <f>'Monthly Stope Performance'!Q27</f>
        <v>0</v>
      </c>
      <c r="AB46" s="108" t="s">
        <v>10</v>
      </c>
      <c r="AC46" s="1140"/>
      <c r="AD46" s="1140"/>
      <c r="AE46" s="1140"/>
      <c r="AF46" s="1140"/>
      <c r="AG46" s="1140"/>
      <c r="AH46" s="1140"/>
      <c r="AI46" s="1140"/>
      <c r="AJ46" s="1140"/>
      <c r="AK46" s="1141"/>
    </row>
    <row r="47" spans="3:40" ht="18" customHeight="1" thickBot="1" x14ac:dyDescent="0.3">
      <c r="G47" s="1560"/>
      <c r="H47" s="1142" t="s">
        <v>3</v>
      </c>
      <c r="I47" s="1170" t="s">
        <v>10</v>
      </c>
      <c r="J47" s="1143">
        <f>'Monthly Stope Performance'!H27</f>
        <v>0</v>
      </c>
      <c r="K47" s="1144"/>
      <c r="L47" s="1144"/>
      <c r="M47" s="1144"/>
      <c r="N47" s="1144"/>
      <c r="O47" s="1144"/>
      <c r="P47" s="1144"/>
      <c r="Q47" s="1144"/>
      <c r="R47" s="1144"/>
      <c r="S47" s="1144"/>
      <c r="T47" s="1145"/>
      <c r="V47" s="1560"/>
      <c r="W47" s="1164" t="s">
        <v>3</v>
      </c>
      <c r="X47" s="1169">
        <f>SUM(Z47:AK47)</f>
        <v>0</v>
      </c>
      <c r="Y47" s="1159"/>
      <c r="Z47" s="1170" t="s">
        <v>10</v>
      </c>
      <c r="AA47" s="1143">
        <f>'Monthly Stope Performance'!S27</f>
        <v>0</v>
      </c>
      <c r="AB47" s="1170" t="s">
        <v>10</v>
      </c>
      <c r="AC47" s="1144"/>
      <c r="AD47" s="1144"/>
      <c r="AE47" s="1144"/>
      <c r="AF47" s="1144"/>
      <c r="AG47" s="1144"/>
      <c r="AH47" s="1144"/>
      <c r="AI47" s="1144"/>
      <c r="AJ47" s="1144"/>
      <c r="AK47" s="1145"/>
    </row>
    <row r="48" spans="3:40" ht="18" customHeight="1" x14ac:dyDescent="0.25">
      <c r="K48" s="52">
        <f>SUM(I49:K49)</f>
        <v>75044.760000000009</v>
      </c>
      <c r="P48" s="52">
        <f>SUM(L49:T49)</f>
        <v>275213.42404723202</v>
      </c>
    </row>
    <row r="49" spans="7:23" x14ac:dyDescent="0.25">
      <c r="I49">
        <v>18806.27</v>
      </c>
      <c r="J49">
        <v>25480</v>
      </c>
      <c r="K49">
        <v>30758.489999999998</v>
      </c>
      <c r="L49">
        <v>31062.639999999999</v>
      </c>
      <c r="M49">
        <v>26944.46</v>
      </c>
      <c r="N49">
        <v>27653.314559999999</v>
      </c>
      <c r="O49">
        <v>27418.659840000004</v>
      </c>
      <c r="P49">
        <v>28169.856000000003</v>
      </c>
      <c r="Q49">
        <v>31418.655808</v>
      </c>
      <c r="R49">
        <v>33369.704767999996</v>
      </c>
      <c r="S49">
        <v>34013.904687999995</v>
      </c>
      <c r="T49">
        <v>35162.228383232003</v>
      </c>
    </row>
    <row r="50" spans="7:23" ht="16.5" x14ac:dyDescent="0.3">
      <c r="I50" s="359">
        <v>18938.79896</v>
      </c>
      <c r="J50" s="359">
        <v>25480</v>
      </c>
      <c r="K50" s="359">
        <v>30758.489999999998</v>
      </c>
      <c r="L50" s="359">
        <v>31062.639999999999</v>
      </c>
      <c r="M50" s="359">
        <v>26944.46</v>
      </c>
      <c r="N50" s="359">
        <v>27653.314559999999</v>
      </c>
      <c r="O50" s="359">
        <v>27418.659840000004</v>
      </c>
      <c r="P50" s="359">
        <v>28169.856000000003</v>
      </c>
      <c r="Q50" s="359">
        <v>31418.655808</v>
      </c>
      <c r="R50" s="359">
        <v>33369.704767999996</v>
      </c>
      <c r="S50" s="359">
        <v>34013.904687999995</v>
      </c>
      <c r="T50" s="359">
        <v>35153.585599999999</v>
      </c>
    </row>
    <row r="51" spans="7:23" x14ac:dyDescent="0.25">
      <c r="I51" s="52">
        <f>I31-I49</f>
        <v>14529.73</v>
      </c>
      <c r="J51" s="52">
        <f t="shared" ref="J51:T51" si="22">J31-J49</f>
        <v>2461</v>
      </c>
      <c r="K51" s="52">
        <f t="shared" si="22"/>
        <v>-3426.489999999998</v>
      </c>
      <c r="L51" s="52">
        <f t="shared" si="22"/>
        <v>-2182.6399999999994</v>
      </c>
      <c r="M51" s="52">
        <f t="shared" si="22"/>
        <v>135.54000000000087</v>
      </c>
      <c r="N51" s="52">
        <f t="shared" si="22"/>
        <v>484.68544000000111</v>
      </c>
      <c r="O51" s="52">
        <f t="shared" si="22"/>
        <v>2047.3401599999961</v>
      </c>
      <c r="P51" s="52">
        <f t="shared" si="22"/>
        <v>4189.1439999999966</v>
      </c>
      <c r="Q51" s="52">
        <f t="shared" si="22"/>
        <v>7731.3441920000005</v>
      </c>
      <c r="R51" s="52">
        <f t="shared" si="22"/>
        <v>3818.295232000004</v>
      </c>
      <c r="S51" s="52">
        <f t="shared" si="22"/>
        <v>3848.0953120000049</v>
      </c>
      <c r="T51" s="52">
        <f t="shared" si="22"/>
        <v>1872.7716167679973</v>
      </c>
    </row>
    <row r="53" spans="7:23" x14ac:dyDescent="0.25">
      <c r="I53" s="58"/>
      <c r="J53" s="58"/>
      <c r="K53" s="58"/>
      <c r="L53" s="58"/>
      <c r="M53" s="58"/>
      <c r="N53" s="58"/>
      <c r="O53" s="58"/>
      <c r="P53" s="58"/>
      <c r="Q53" s="58"/>
      <c r="R53" s="58"/>
      <c r="S53" s="58"/>
      <c r="T53" s="58"/>
    </row>
    <row r="55" spans="7:23" x14ac:dyDescent="0.25">
      <c r="I55" s="52"/>
      <c r="J55" s="52"/>
      <c r="K55" s="52"/>
      <c r="L55" s="52"/>
      <c r="M55" s="52"/>
      <c r="N55" s="52"/>
      <c r="O55" s="52"/>
      <c r="P55" s="52"/>
      <c r="Q55" s="52"/>
      <c r="R55" s="52"/>
      <c r="S55" s="52"/>
      <c r="T55" s="52"/>
    </row>
    <row r="58" spans="7:23" ht="15.75" thickBot="1" x14ac:dyDescent="0.3"/>
    <row r="59" spans="7:23" ht="14.65" customHeight="1" thickBot="1" x14ac:dyDescent="0.3">
      <c r="G59" s="222"/>
      <c r="H59" s="223"/>
      <c r="I59" s="224">
        <v>45658</v>
      </c>
      <c r="J59" s="224">
        <v>45689</v>
      </c>
      <c r="K59" s="224">
        <v>45717</v>
      </c>
      <c r="L59" s="224">
        <v>45748</v>
      </c>
      <c r="M59" s="224">
        <v>45778</v>
      </c>
      <c r="N59" s="224">
        <v>45809</v>
      </c>
      <c r="O59" s="224">
        <v>45839</v>
      </c>
      <c r="P59" s="224">
        <v>45870</v>
      </c>
      <c r="Q59" s="224">
        <v>45901</v>
      </c>
      <c r="R59" s="224">
        <v>45931</v>
      </c>
      <c r="S59" s="224">
        <v>45962</v>
      </c>
      <c r="T59" s="225">
        <v>45992</v>
      </c>
    </row>
    <row r="60" spans="7:23" ht="14.65" customHeight="1" thickBot="1" x14ac:dyDescent="0.3">
      <c r="G60" s="1561" t="s">
        <v>0</v>
      </c>
      <c r="H60" s="107" t="s">
        <v>1</v>
      </c>
      <c r="I60" s="111">
        <v>33336</v>
      </c>
      <c r="J60" s="111">
        <v>27941</v>
      </c>
      <c r="K60" s="111">
        <v>27332</v>
      </c>
      <c r="L60" s="111">
        <v>28880</v>
      </c>
      <c r="M60" s="111">
        <v>27080</v>
      </c>
      <c r="N60" s="111">
        <v>28138</v>
      </c>
      <c r="O60" s="111">
        <v>29466</v>
      </c>
      <c r="P60" s="111">
        <v>32359</v>
      </c>
      <c r="Q60" s="111">
        <v>39150</v>
      </c>
      <c r="R60" s="111">
        <v>37188</v>
      </c>
      <c r="S60" s="111">
        <v>37862</v>
      </c>
      <c r="T60" s="111">
        <v>37035</v>
      </c>
    </row>
    <row r="61" spans="7:23" x14ac:dyDescent="0.25">
      <c r="G61" s="1559"/>
      <c r="H61" s="1139" t="s">
        <v>2</v>
      </c>
      <c r="I61" s="121">
        <v>2.2400000000000002</v>
      </c>
      <c r="J61" s="121">
        <v>2.12</v>
      </c>
      <c r="K61" s="121">
        <v>2.4300000000000002</v>
      </c>
      <c r="L61" s="121">
        <v>2.6</v>
      </c>
      <c r="M61" s="121">
        <v>2.5499999999999998</v>
      </c>
      <c r="N61" s="121">
        <v>2.66</v>
      </c>
      <c r="O61" s="121">
        <v>2.61</v>
      </c>
      <c r="P61" s="121">
        <v>2.63</v>
      </c>
      <c r="Q61" s="121">
        <v>2.71</v>
      </c>
      <c r="R61" s="121">
        <v>2.6</v>
      </c>
      <c r="S61" s="121">
        <v>2.52</v>
      </c>
      <c r="T61" s="121">
        <v>2.79</v>
      </c>
    </row>
    <row r="62" spans="7:23" ht="15.75" thickBot="1" x14ac:dyDescent="0.3">
      <c r="G62" s="1560"/>
      <c r="H62" s="1142" t="s">
        <v>3</v>
      </c>
      <c r="I62" s="1143">
        <v>74.672640000000015</v>
      </c>
      <c r="J62" s="1143">
        <v>59.234920000000002</v>
      </c>
      <c r="K62" s="1143">
        <v>66.416760000000011</v>
      </c>
      <c r="L62" s="1143">
        <v>75.087999999999994</v>
      </c>
      <c r="M62" s="1143">
        <v>69.054000000000002</v>
      </c>
      <c r="N62" s="1143">
        <v>74.847080000000005</v>
      </c>
      <c r="O62" s="1143">
        <v>76.906259999999989</v>
      </c>
      <c r="P62" s="1143">
        <v>85.104169999999996</v>
      </c>
      <c r="Q62" s="1143">
        <v>106.09650000000001</v>
      </c>
      <c r="R62" s="1143">
        <v>96.688800000000001</v>
      </c>
      <c r="S62" s="1143">
        <v>95.412240000000011</v>
      </c>
      <c r="T62" s="1143">
        <v>103.32764999999999</v>
      </c>
    </row>
    <row r="63" spans="7:23" ht="14.65" customHeight="1" thickBot="1" x14ac:dyDescent="0.3">
      <c r="G63" s="1561" t="s">
        <v>4</v>
      </c>
      <c r="H63" s="107" t="s">
        <v>1</v>
      </c>
      <c r="I63" s="111">
        <v>21224</v>
      </c>
      <c r="J63" s="111">
        <v>21098</v>
      </c>
      <c r="K63" s="111">
        <v>27125</v>
      </c>
      <c r="L63" s="111">
        <v>31062.639999999999</v>
      </c>
      <c r="M63" s="111">
        <v>27760.46</v>
      </c>
      <c r="N63" s="111">
        <v>32855.899999999994</v>
      </c>
      <c r="O63" s="111">
        <v>34806.270000000004</v>
      </c>
      <c r="P63" s="111">
        <v>30680.57</v>
      </c>
      <c r="Q63" s="111">
        <v>31641.61</v>
      </c>
      <c r="R63" s="111">
        <v>30969.809999999998</v>
      </c>
      <c r="S63" s="111">
        <v>34200.42</v>
      </c>
      <c r="T63" s="111">
        <v>34051.89</v>
      </c>
      <c r="U63" s="52">
        <f>SUM(I63:T63)</f>
        <v>357476.57</v>
      </c>
      <c r="W63" s="49">
        <f>U63*U64*0.88/1000</f>
        <v>757.75953466400006</v>
      </c>
    </row>
    <row r="64" spans="7:23" x14ac:dyDescent="0.25">
      <c r="G64" s="1559"/>
      <c r="H64" s="1139" t="s">
        <v>2</v>
      </c>
      <c r="I64" s="121">
        <v>2.0699999999999998</v>
      </c>
      <c r="J64" s="121">
        <v>2.36</v>
      </c>
      <c r="K64" s="121">
        <v>2.4700000000000002</v>
      </c>
      <c r="L64" s="121">
        <v>2.08</v>
      </c>
      <c r="M64" s="121">
        <v>2.36</v>
      </c>
      <c r="N64" s="121">
        <v>2.4300000000000002</v>
      </c>
      <c r="O64" s="121">
        <v>2.34</v>
      </c>
      <c r="P64" s="121">
        <v>2.31</v>
      </c>
      <c r="Q64" s="121">
        <v>2.4</v>
      </c>
      <c r="R64" s="121">
        <v>2.58</v>
      </c>
      <c r="S64" s="121">
        <v>2.72</v>
      </c>
      <c r="T64" s="121">
        <v>2.62</v>
      </c>
      <c r="U64">
        <f>SUMPRODUCT(I63:T63,I64:T64)/SUM(I63:T63)</f>
        <v>2.4088022896157923</v>
      </c>
    </row>
    <row r="65" spans="7:21" ht="15.75" thickBot="1" x14ac:dyDescent="0.3">
      <c r="G65" s="1560"/>
      <c r="H65" s="1142" t="s">
        <v>3</v>
      </c>
      <c r="I65" s="1143">
        <v>43.933679999999995</v>
      </c>
      <c r="J65" s="1148">
        <v>43.816326400000001</v>
      </c>
      <c r="K65" s="1143">
        <v>58.9589</v>
      </c>
      <c r="L65" s="1143">
        <v>56.857056256000007</v>
      </c>
      <c r="M65" s="1143">
        <v>57.652923327999993</v>
      </c>
      <c r="N65" s="1143">
        <v>70.259056559999991</v>
      </c>
      <c r="O65" s="1143">
        <v>71.673071184000008</v>
      </c>
      <c r="P65" s="1143">
        <v>62.367462695999997</v>
      </c>
      <c r="Q65" s="1143">
        <v>66.827080320000007</v>
      </c>
      <c r="R65" s="1143">
        <v>70.313856623999996</v>
      </c>
      <c r="S65" s="1143">
        <v>81.862125311999989</v>
      </c>
      <c r="T65" s="1143">
        <v>78.510037584000003</v>
      </c>
      <c r="U65" s="99">
        <f>SUM(I65:T65)</f>
        <v>763.03157626399991</v>
      </c>
    </row>
    <row r="66" spans="7:21" x14ac:dyDescent="0.25">
      <c r="G66" s="1561" t="s">
        <v>5</v>
      </c>
      <c r="H66" s="107" t="s">
        <v>1</v>
      </c>
      <c r="I66" s="360">
        <v>21224</v>
      </c>
      <c r="J66" s="111">
        <v>19610.150000000001</v>
      </c>
      <c r="K66" s="112"/>
      <c r="L66" s="111"/>
      <c r="M66" s="111"/>
      <c r="N66" s="111"/>
      <c r="O66" s="111"/>
      <c r="P66" s="111"/>
      <c r="Q66" s="111"/>
      <c r="R66" s="111"/>
      <c r="S66" s="111"/>
      <c r="T66" s="111"/>
    </row>
    <row r="67" spans="7:21" x14ac:dyDescent="0.25">
      <c r="G67" s="1559"/>
      <c r="H67" s="1139" t="s">
        <v>2</v>
      </c>
      <c r="I67" s="1150">
        <v>2.0699999999999998</v>
      </c>
      <c r="J67" s="1155">
        <v>2.274896163466368</v>
      </c>
      <c r="K67" s="1201"/>
      <c r="L67" s="1146"/>
      <c r="M67" s="1146"/>
      <c r="N67" s="1146"/>
      <c r="O67" s="1146"/>
      <c r="P67" s="1146"/>
      <c r="Q67" s="1146"/>
      <c r="R67" s="1146"/>
      <c r="S67" s="1146"/>
      <c r="T67" s="1146"/>
    </row>
    <row r="68" spans="7:21" ht="15.75" thickBot="1" x14ac:dyDescent="0.3">
      <c r="G68" s="1565"/>
      <c r="H68" s="1147" t="s">
        <v>3</v>
      </c>
      <c r="I68" s="1156">
        <v>43.933679999999995</v>
      </c>
      <c r="J68" s="1163">
        <v>39.257728399999998</v>
      </c>
      <c r="K68" s="1546"/>
      <c r="L68" s="1149"/>
      <c r="M68" s="1149"/>
      <c r="N68" s="1149"/>
      <c r="O68" s="1149"/>
      <c r="P68" s="1149"/>
      <c r="Q68" s="1149"/>
      <c r="R68" s="1149"/>
      <c r="S68" s="1149"/>
      <c r="T68" s="1546"/>
    </row>
    <row r="69" spans="7:21" ht="15.75" thickBot="1" x14ac:dyDescent="0.3">
      <c r="G69" s="217"/>
      <c r="H69" s="218"/>
      <c r="I69" s="219"/>
      <c r="J69" s="361"/>
      <c r="K69" s="220"/>
      <c r="L69" s="220"/>
      <c r="M69" s="220"/>
      <c r="N69" s="220"/>
      <c r="O69" s="220"/>
      <c r="P69" s="220"/>
      <c r="Q69" s="220"/>
      <c r="R69" s="220"/>
      <c r="S69" s="220"/>
      <c r="T69" s="221"/>
    </row>
    <row r="70" spans="7:21" ht="14.25" customHeight="1" x14ac:dyDescent="0.25">
      <c r="G70" s="1558" t="s">
        <v>6</v>
      </c>
      <c r="H70" s="215" t="s">
        <v>1</v>
      </c>
      <c r="I70" s="216">
        <v>1050</v>
      </c>
      <c r="J70" s="113">
        <v>980</v>
      </c>
      <c r="K70" s="113"/>
      <c r="L70" s="113"/>
      <c r="M70" s="113"/>
      <c r="N70" s="113"/>
      <c r="O70" s="113"/>
      <c r="P70" s="113"/>
      <c r="Q70" s="113"/>
      <c r="R70" s="113"/>
      <c r="S70" s="113"/>
      <c r="T70" s="114"/>
    </row>
    <row r="71" spans="7:21" x14ac:dyDescent="0.25">
      <c r="G71" s="1559"/>
      <c r="H71" s="1139" t="s">
        <v>2</v>
      </c>
      <c r="I71" s="1146">
        <v>1.0499999999999994</v>
      </c>
      <c r="J71" s="1140">
        <v>1.81</v>
      </c>
      <c r="K71" s="1140"/>
      <c r="L71" s="1140"/>
      <c r="M71" s="1140"/>
      <c r="N71" s="1140"/>
      <c r="O71" s="1140"/>
      <c r="P71" s="1140"/>
      <c r="Q71" s="1140"/>
      <c r="R71" s="1140"/>
      <c r="S71" s="1140"/>
      <c r="T71" s="1141"/>
    </row>
    <row r="72" spans="7:21" ht="15.75" thickBot="1" x14ac:dyDescent="0.3">
      <c r="G72" s="1560"/>
      <c r="H72" s="1142" t="s">
        <v>3</v>
      </c>
      <c r="I72" s="1143">
        <v>1.1024999999999994</v>
      </c>
      <c r="J72" s="1143">
        <v>1.5609440000000001</v>
      </c>
      <c r="K72" s="1144"/>
      <c r="L72" s="1144"/>
      <c r="M72" s="1144"/>
      <c r="N72" s="1144"/>
      <c r="O72" s="1144"/>
      <c r="P72" s="1144"/>
      <c r="Q72" s="1144"/>
      <c r="R72" s="1144"/>
      <c r="S72" s="1144"/>
      <c r="T72" s="1145"/>
    </row>
    <row r="73" spans="7:21" ht="15.75" thickBot="1" x14ac:dyDescent="0.3">
      <c r="G73" s="217"/>
      <c r="H73" s="218"/>
      <c r="I73" s="219"/>
      <c r="J73" s="219"/>
      <c r="K73" s="220"/>
      <c r="L73" s="220"/>
      <c r="M73" s="220"/>
      <c r="N73" s="220"/>
      <c r="O73" s="220"/>
      <c r="P73" s="220"/>
      <c r="Q73" s="220"/>
      <c r="R73" s="220"/>
      <c r="S73" s="220"/>
      <c r="T73" s="221"/>
    </row>
    <row r="74" spans="7:21" ht="14.25" customHeight="1" x14ac:dyDescent="0.25">
      <c r="G74" s="1558" t="s">
        <v>7</v>
      </c>
      <c r="H74" s="107" t="s">
        <v>1</v>
      </c>
      <c r="I74" s="108" t="s">
        <v>10</v>
      </c>
      <c r="J74" s="113">
        <v>700.4</v>
      </c>
      <c r="K74" s="113"/>
      <c r="L74" s="113"/>
      <c r="M74" s="113"/>
      <c r="N74" s="113"/>
      <c r="O74" s="113"/>
      <c r="P74" s="113"/>
      <c r="Q74" s="113"/>
      <c r="R74" s="113"/>
      <c r="S74" s="113"/>
      <c r="T74" s="114"/>
    </row>
    <row r="75" spans="7:21" x14ac:dyDescent="0.25">
      <c r="G75" s="1559"/>
      <c r="H75" s="1139" t="s">
        <v>2</v>
      </c>
      <c r="I75" s="108" t="s">
        <v>10</v>
      </c>
      <c r="J75" s="1146">
        <v>2.3859394631639064</v>
      </c>
      <c r="K75" s="1140"/>
      <c r="L75" s="1140"/>
      <c r="M75" s="1140"/>
      <c r="N75" s="1140"/>
      <c r="O75" s="1140"/>
      <c r="P75" s="1140"/>
      <c r="Q75" s="1140"/>
      <c r="R75" s="1140"/>
      <c r="S75" s="1140"/>
      <c r="T75" s="1141"/>
    </row>
    <row r="76" spans="7:21" ht="15.75" thickBot="1" x14ac:dyDescent="0.3">
      <c r="G76" s="1560"/>
      <c r="H76" s="1142" t="s">
        <v>3</v>
      </c>
      <c r="I76" s="1170" t="s">
        <v>10</v>
      </c>
      <c r="J76" s="1143">
        <v>1.4705785600000001</v>
      </c>
      <c r="K76" s="1144"/>
      <c r="L76" s="1144"/>
      <c r="M76" s="1144"/>
      <c r="N76" s="1144"/>
      <c r="O76" s="1144"/>
      <c r="P76" s="1144"/>
      <c r="Q76" s="1144"/>
      <c r="R76" s="1144"/>
      <c r="S76" s="1144"/>
      <c r="T76" s="1145"/>
    </row>
  </sheetData>
  <mergeCells count="15">
    <mergeCell ref="G45:G47"/>
    <mergeCell ref="G31:G33"/>
    <mergeCell ref="G34:G36"/>
    <mergeCell ref="G37:G39"/>
    <mergeCell ref="G41:G43"/>
    <mergeCell ref="V31:V33"/>
    <mergeCell ref="V34:V36"/>
    <mergeCell ref="V37:V39"/>
    <mergeCell ref="V41:V43"/>
    <mergeCell ref="V45:V47"/>
    <mergeCell ref="G60:G62"/>
    <mergeCell ref="G63:G65"/>
    <mergeCell ref="G66:G68"/>
    <mergeCell ref="G70:G72"/>
    <mergeCell ref="G74:G76"/>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3BF8C-49E4-49A3-B87B-D0EEF53978CD}">
  <dimension ref="B2:Q16"/>
  <sheetViews>
    <sheetView workbookViewId="0">
      <selection activeCell="L18" sqref="L18"/>
    </sheetView>
  </sheetViews>
  <sheetFormatPr defaultRowHeight="15" x14ac:dyDescent="0.25"/>
  <cols>
    <col min="3" max="14" width="6.5703125" customWidth="1"/>
  </cols>
  <sheetData>
    <row r="2" spans="2:17" ht="15.75" thickBot="1" x14ac:dyDescent="0.3">
      <c r="B2" s="1569" t="s">
        <v>42</v>
      </c>
      <c r="C2" s="1570"/>
      <c r="D2" s="1570"/>
      <c r="E2" s="1570"/>
      <c r="F2" s="1570"/>
      <c r="G2" s="1570"/>
      <c r="H2" s="1570"/>
      <c r="I2" s="1570"/>
      <c r="J2" s="1570"/>
      <c r="K2" s="1570"/>
      <c r="L2" s="1570"/>
      <c r="M2" s="1570"/>
      <c r="N2" s="1570"/>
    </row>
    <row r="3" spans="2:17" ht="15.75" thickBot="1" x14ac:dyDescent="0.3">
      <c r="B3" s="1575" t="s">
        <v>43</v>
      </c>
      <c r="C3" s="1574">
        <v>45658</v>
      </c>
      <c r="D3" s="1572"/>
      <c r="E3" s="1573"/>
      <c r="F3" s="1574">
        <v>45689</v>
      </c>
      <c r="G3" s="1572"/>
      <c r="H3" s="1573"/>
      <c r="I3" s="1571">
        <v>45717</v>
      </c>
      <c r="J3" s="1572"/>
      <c r="K3" s="1573"/>
      <c r="L3" s="1571">
        <v>45748</v>
      </c>
      <c r="M3" s="1572"/>
      <c r="N3" s="1573"/>
      <c r="O3" s="1571" t="s">
        <v>44</v>
      </c>
      <c r="P3" s="1572"/>
      <c r="Q3" s="1573"/>
    </row>
    <row r="4" spans="2:17" ht="15.75" thickBot="1" x14ac:dyDescent="0.3">
      <c r="B4" s="1576"/>
      <c r="C4" s="808" t="s">
        <v>45</v>
      </c>
      <c r="D4" s="808" t="s">
        <v>46</v>
      </c>
      <c r="E4" s="808" t="s">
        <v>47</v>
      </c>
      <c r="F4" s="808" t="s">
        <v>45</v>
      </c>
      <c r="G4" s="808" t="s">
        <v>46</v>
      </c>
      <c r="H4" s="808" t="s">
        <v>47</v>
      </c>
      <c r="I4" s="809" t="s">
        <v>45</v>
      </c>
      <c r="J4" s="808" t="s">
        <v>46</v>
      </c>
      <c r="K4" s="808" t="s">
        <v>47</v>
      </c>
      <c r="L4" s="809"/>
      <c r="M4" s="809"/>
      <c r="N4" s="809"/>
      <c r="O4" s="809" t="s">
        <v>45</v>
      </c>
      <c r="P4" s="808" t="s">
        <v>46</v>
      </c>
      <c r="Q4" s="808" t="s">
        <v>47</v>
      </c>
    </row>
    <row r="5" spans="2:17" x14ac:dyDescent="0.25">
      <c r="B5" s="795" t="s">
        <v>48</v>
      </c>
      <c r="C5" s="796"/>
      <c r="D5" s="797"/>
      <c r="E5" s="798"/>
      <c r="F5" s="796"/>
      <c r="G5" s="797"/>
      <c r="H5" s="798"/>
      <c r="I5" s="799">
        <f>'Monthly Stope Performance'!C38</f>
        <v>1260</v>
      </c>
      <c r="J5" s="804">
        <f>'Monthly Stope Performance'!F38</f>
        <v>3.0584112149532694</v>
      </c>
      <c r="K5" s="805">
        <f>'Monthly Stope Performance'!H38</f>
        <v>3.3911663551401854</v>
      </c>
      <c r="L5" s="796"/>
      <c r="M5" s="797"/>
      <c r="N5" s="798"/>
      <c r="O5" s="799">
        <f>C5+F5+I5</f>
        <v>1260</v>
      </c>
      <c r="P5" s="804">
        <f>(C5*D5+F5*G5+I5*J5)/O5</f>
        <v>3.0584112149532694</v>
      </c>
      <c r="Q5" s="805">
        <f>E5+H5+K5</f>
        <v>3.3911663551401854</v>
      </c>
    </row>
    <row r="6" spans="2:17" x14ac:dyDescent="0.25">
      <c r="B6" s="1208" t="s">
        <v>49</v>
      </c>
      <c r="C6" s="1209"/>
      <c r="D6" s="1210"/>
      <c r="E6" s="1211"/>
      <c r="F6" s="1212">
        <f>'Monthly Stope Performance'!C21</f>
        <v>980</v>
      </c>
      <c r="G6" s="1210">
        <f>'Monthly Stope Performance'!E21</f>
        <v>1.81</v>
      </c>
      <c r="H6" s="1213">
        <f>'Monthly Stope Performance'!G21</f>
        <v>1.5609440000000001</v>
      </c>
      <c r="I6" s="1214"/>
      <c r="J6" s="1210"/>
      <c r="K6" s="1211"/>
      <c r="L6" s="1209"/>
      <c r="M6" s="1210"/>
      <c r="N6" s="1211"/>
      <c r="O6" s="1214">
        <f>C6+F6+I6</f>
        <v>980</v>
      </c>
      <c r="P6" s="1210">
        <f t="shared" ref="P6:P8" si="0">(C6*D6+F6*G6+I6*J6)/O6</f>
        <v>1.81</v>
      </c>
      <c r="Q6" s="1211">
        <f>E6+H6+K6</f>
        <v>1.5609440000000001</v>
      </c>
    </row>
    <row r="7" spans="2:17" x14ac:dyDescent="0.25">
      <c r="B7" s="1208" t="s">
        <v>50</v>
      </c>
      <c r="C7" s="1212">
        <f>'Monthly Stope Performance'!C12</f>
        <v>1050</v>
      </c>
      <c r="D7" s="1210">
        <f>'Monthly Stope Performance'!E12</f>
        <v>1.0499999999999994</v>
      </c>
      <c r="E7" s="1213">
        <f>'Monthly Stope Performance'!G12</f>
        <v>1.1024999999999994</v>
      </c>
      <c r="F7" s="1209"/>
      <c r="G7" s="1210"/>
      <c r="H7" s="1211"/>
      <c r="I7" s="1214"/>
      <c r="J7" s="1210"/>
      <c r="K7" s="1211"/>
      <c r="L7" s="1212"/>
      <c r="M7" s="1210"/>
      <c r="N7" s="1213"/>
      <c r="O7" s="1214">
        <f>C7+F7+I7</f>
        <v>1050</v>
      </c>
      <c r="P7" s="1210">
        <f t="shared" si="0"/>
        <v>1.0499999999999994</v>
      </c>
      <c r="Q7" s="1211">
        <f>E7+H7+K7</f>
        <v>1.1024999999999994</v>
      </c>
    </row>
    <row r="8" spans="2:17" x14ac:dyDescent="0.25">
      <c r="B8" s="1215" t="s">
        <v>51</v>
      </c>
      <c r="C8" s="796"/>
      <c r="D8" s="797"/>
      <c r="E8" s="798"/>
      <c r="F8" s="796"/>
      <c r="G8" s="797"/>
      <c r="H8" s="798"/>
      <c r="I8" s="796">
        <f>'Monthly Stope Performance'!C49</f>
        <v>1085</v>
      </c>
      <c r="J8" s="797">
        <f>'Monthly Stope Performance'!F49</f>
        <v>1.7238317757009356</v>
      </c>
      <c r="K8" s="798">
        <f>'Monthly Stope Performance'!H49</f>
        <v>1.6459145794392533</v>
      </c>
      <c r="L8" s="796"/>
      <c r="M8" s="797"/>
      <c r="N8" s="798"/>
      <c r="O8" s="800">
        <f>C8+F8+I8</f>
        <v>1085</v>
      </c>
      <c r="P8" s="1216">
        <f t="shared" si="0"/>
        <v>1.7238317757009356</v>
      </c>
      <c r="Q8" s="1217">
        <f>E8+H8+K8</f>
        <v>1.6459145794392533</v>
      </c>
    </row>
    <row r="9" spans="2:17" ht="15.75" thickBot="1" x14ac:dyDescent="0.3">
      <c r="B9" s="1215" t="s">
        <v>52</v>
      </c>
      <c r="C9" s="1209"/>
      <c r="D9" s="1210"/>
      <c r="E9" s="1211"/>
      <c r="F9" s="1209"/>
      <c r="G9" s="1210"/>
      <c r="H9" s="1211"/>
      <c r="I9" s="1209"/>
      <c r="J9" s="1210"/>
      <c r="K9" s="1211"/>
      <c r="L9" s="1209">
        <f>'Monthly Stope Performance'!C71</f>
        <v>980</v>
      </c>
      <c r="M9" s="1210">
        <f>'Monthly Stope Performance'!F71</f>
        <v>1.42</v>
      </c>
      <c r="N9" s="1211">
        <f>'Monthly Stope Performance'!H71</f>
        <v>1.2246079999999999</v>
      </c>
      <c r="O9" s="800">
        <f>C9+F9+I9+L9</f>
        <v>980</v>
      </c>
      <c r="P9" s="1216">
        <f>(C9*D9+F9*G9+I9*J9+L9*M9)/O9</f>
        <v>1.42</v>
      </c>
      <c r="Q9" s="1217">
        <f>E9+H9+K9</f>
        <v>0</v>
      </c>
    </row>
    <row r="10" spans="2:17" ht="15.75" thickBot="1" x14ac:dyDescent="0.3">
      <c r="B10" s="810" t="s">
        <v>17</v>
      </c>
      <c r="C10" s="811">
        <f>SUM(C5:C9)</f>
        <v>1050</v>
      </c>
      <c r="D10" s="812">
        <f>SUMPRODUCT(C5:C9,D5:D9)/C10</f>
        <v>1.0499999999999994</v>
      </c>
      <c r="E10" s="813">
        <f>SUM(E5:E9)</f>
        <v>1.1024999999999994</v>
      </c>
      <c r="F10" s="811">
        <f>SUM(F5:F9)</f>
        <v>980</v>
      </c>
      <c r="G10" s="812">
        <f>SUMPRODUCT(F5:F9,G5:G9)/F10</f>
        <v>1.81</v>
      </c>
      <c r="H10" s="813">
        <f>SUM(H5:H9)</f>
        <v>1.5609440000000001</v>
      </c>
      <c r="I10" s="811">
        <f>SUM(I5:I9)</f>
        <v>2345</v>
      </c>
      <c r="J10" s="812">
        <f>SUMPRODUCT(I5:I9,J5:J9)/I10</f>
        <v>2.4409192355977121</v>
      </c>
      <c r="K10" s="813">
        <f>SUM(K5:K9)</f>
        <v>5.0370809345794392</v>
      </c>
      <c r="L10" s="811">
        <f>SUM(L5:L9)</f>
        <v>980</v>
      </c>
      <c r="M10" s="812">
        <f>SUMPRODUCT(L5:L9,M5:M9)/L10</f>
        <v>1.42</v>
      </c>
      <c r="N10" s="813">
        <f>SUM(N5:N9)</f>
        <v>1.2246079999999999</v>
      </c>
      <c r="O10" s="811">
        <f>C10+F10+I10+L10</f>
        <v>5355</v>
      </c>
      <c r="P10" s="812">
        <f>(C10*D10+F10*G10+I10*J10+L10*M10)/O10</f>
        <v>1.8658927371571681</v>
      </c>
      <c r="Q10" s="813">
        <f>E10+H10+K10+N10</f>
        <v>8.9251329345794375</v>
      </c>
    </row>
    <row r="12" spans="2:17" ht="15.75" thickBot="1" x14ac:dyDescent="0.3">
      <c r="B12" s="1569" t="s">
        <v>53</v>
      </c>
      <c r="C12" s="1570"/>
      <c r="D12" s="1570"/>
      <c r="E12" s="1570"/>
      <c r="F12" s="1570"/>
      <c r="G12" s="1570"/>
      <c r="H12" s="1570"/>
      <c r="I12" s="1570"/>
      <c r="J12" s="1570"/>
      <c r="K12" s="1570"/>
      <c r="L12" s="1570"/>
      <c r="M12" s="1570"/>
      <c r="N12" s="1570"/>
    </row>
    <row r="13" spans="2:17" ht="15.75" thickBot="1" x14ac:dyDescent="0.3">
      <c r="B13" s="1575" t="s">
        <v>43</v>
      </c>
      <c r="C13" s="1574">
        <v>45658</v>
      </c>
      <c r="D13" s="1572"/>
      <c r="E13" s="1573"/>
      <c r="F13" s="1574">
        <v>45689</v>
      </c>
      <c r="G13" s="1572"/>
      <c r="H13" s="1573"/>
      <c r="I13" s="1571">
        <v>45717</v>
      </c>
      <c r="J13" s="1572"/>
      <c r="K13" s="1573"/>
      <c r="L13" s="1571">
        <v>45748</v>
      </c>
      <c r="M13" s="1572"/>
      <c r="N13" s="1573"/>
      <c r="O13" s="1574" t="s">
        <v>44</v>
      </c>
      <c r="P13" s="1572"/>
      <c r="Q13" s="1573"/>
    </row>
    <row r="14" spans="2:17" ht="15.75" thickBot="1" x14ac:dyDescent="0.3">
      <c r="B14" s="1576"/>
      <c r="C14" s="808" t="s">
        <v>45</v>
      </c>
      <c r="D14" s="808" t="s">
        <v>46</v>
      </c>
      <c r="E14" s="808" t="s">
        <v>47</v>
      </c>
      <c r="F14" s="808" t="s">
        <v>45</v>
      </c>
      <c r="G14" s="808" t="s">
        <v>46</v>
      </c>
      <c r="H14" s="808" t="s">
        <v>47</v>
      </c>
      <c r="I14" s="809" t="s">
        <v>45</v>
      </c>
      <c r="J14" s="808" t="s">
        <v>46</v>
      </c>
      <c r="K14" s="808" t="s">
        <v>47</v>
      </c>
      <c r="L14" s="808"/>
      <c r="M14" s="808"/>
      <c r="N14" s="808"/>
      <c r="O14" s="808" t="s">
        <v>45</v>
      </c>
      <c r="P14" s="808" t="s">
        <v>46</v>
      </c>
      <c r="Q14" s="808" t="s">
        <v>47</v>
      </c>
    </row>
    <row r="15" spans="2:17" ht="15.75" thickBot="1" x14ac:dyDescent="0.3">
      <c r="B15" s="795" t="s">
        <v>54</v>
      </c>
      <c r="C15" s="796"/>
      <c r="D15" s="797"/>
      <c r="E15" s="798"/>
      <c r="F15" s="796">
        <f>'Monthly Stope Performance'!O27</f>
        <v>0</v>
      </c>
      <c r="G15" s="806">
        <f>'Monthly Stope Performance'!Q27</f>
        <v>0</v>
      </c>
      <c r="H15" s="807">
        <f>'Monthly Stope Performance'!S27</f>
        <v>0</v>
      </c>
      <c r="I15" s="801"/>
      <c r="J15" s="802"/>
      <c r="K15" s="803"/>
      <c r="L15" s="801"/>
      <c r="M15" s="802"/>
      <c r="N15" s="803"/>
      <c r="O15" s="796">
        <f t="shared" ref="O15:O16" si="1">C15+F15+I15</f>
        <v>0</v>
      </c>
      <c r="P15" s="806" t="e">
        <f t="shared" ref="P15:P16" si="2">(C15*D15+F15*G15+I15*J15)/O15</f>
        <v>#DIV/0!</v>
      </c>
      <c r="Q15" s="807">
        <f t="shared" ref="Q15:Q16" si="3">E15+H15+K15</f>
        <v>0</v>
      </c>
    </row>
    <row r="16" spans="2:17" ht="15.75" thickBot="1" x14ac:dyDescent="0.3">
      <c r="B16" s="810" t="s">
        <v>17</v>
      </c>
      <c r="C16" s="811"/>
      <c r="D16" s="812"/>
      <c r="E16" s="813"/>
      <c r="F16" s="811">
        <f>SUM(F15:F15)</f>
        <v>0</v>
      </c>
      <c r="G16" s="812" t="e">
        <f>SUMPRODUCT(F15:F15,G15:G15)/F16</f>
        <v>#DIV/0!</v>
      </c>
      <c r="H16" s="813">
        <f>SUM(H15:H15)</f>
        <v>0</v>
      </c>
      <c r="I16" s="814"/>
      <c r="J16" s="815"/>
      <c r="K16" s="816"/>
      <c r="L16" s="814"/>
      <c r="M16" s="815"/>
      <c r="N16" s="816"/>
      <c r="O16" s="817">
        <f t="shared" si="1"/>
        <v>0</v>
      </c>
      <c r="P16" s="818" t="e">
        <f t="shared" si="2"/>
        <v>#DIV/0!</v>
      </c>
      <c r="Q16" s="819">
        <f t="shared" si="3"/>
        <v>0</v>
      </c>
    </row>
  </sheetData>
  <mergeCells count="14">
    <mergeCell ref="B2:N2"/>
    <mergeCell ref="O3:Q3"/>
    <mergeCell ref="O13:Q13"/>
    <mergeCell ref="B13:B14"/>
    <mergeCell ref="C13:E13"/>
    <mergeCell ref="F13:H13"/>
    <mergeCell ref="I13:K13"/>
    <mergeCell ref="L3:N3"/>
    <mergeCell ref="L13:N13"/>
    <mergeCell ref="B12:N12"/>
    <mergeCell ref="B3:B4"/>
    <mergeCell ref="C3:E3"/>
    <mergeCell ref="F3:H3"/>
    <mergeCell ref="I3:K3"/>
  </mergeCells>
  <phoneticPr fontId="1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19669-FC57-4257-8791-9BC96924F533}">
  <sheetPr codeName="Sheet5">
    <tabColor rgb="FF92D050"/>
  </sheetPr>
  <dimension ref="A1:Y3329"/>
  <sheetViews>
    <sheetView tabSelected="1" zoomScale="85" zoomScaleNormal="85" workbookViewId="0">
      <pane xSplit="3" ySplit="1" topLeftCell="D2382" activePane="bottomRight" state="frozen"/>
      <selection pane="topRight" activeCell="D1" sqref="D1"/>
      <selection pane="bottomLeft" activeCell="A2" sqref="A2"/>
      <selection pane="bottomRight" activeCell="K1840" sqref="K1840"/>
    </sheetView>
  </sheetViews>
  <sheetFormatPr defaultRowHeight="15" x14ac:dyDescent="0.25"/>
  <cols>
    <col min="1" max="1" width="21.85546875" bestFit="1" customWidth="1"/>
    <col min="4" max="4" width="15.28515625" customWidth="1"/>
    <col min="5" max="5" width="13.7109375" customWidth="1"/>
    <col min="6" max="6" width="13.140625" customWidth="1"/>
    <col min="7" max="7" width="14" customWidth="1"/>
    <col min="8" max="8" width="12.140625" bestFit="1" customWidth="1"/>
    <col min="9" max="9" width="14.42578125" customWidth="1"/>
    <col min="10" max="10" width="14.85546875" bestFit="1" customWidth="1"/>
    <col min="11" max="11" width="14.42578125" bestFit="1" customWidth="1"/>
    <col min="12" max="12" width="14.42578125" customWidth="1"/>
    <col min="13" max="13" width="11.5703125" bestFit="1" customWidth="1"/>
    <col min="14" max="15" width="11.5703125" customWidth="1"/>
    <col min="16" max="16" width="10.7109375" bestFit="1" customWidth="1"/>
    <col min="17" max="17" width="10.140625" bestFit="1" customWidth="1"/>
    <col min="18" max="18" width="10.85546875" bestFit="1" customWidth="1"/>
    <col min="19" max="19" width="9.28515625" bestFit="1" customWidth="1"/>
    <col min="20" max="20" width="14" customWidth="1"/>
    <col min="21" max="21" width="10" bestFit="1" customWidth="1"/>
    <col min="22" max="22" width="12.28515625" customWidth="1"/>
    <col min="23" max="23" width="11.85546875" customWidth="1"/>
    <col min="24" max="24" width="11.28515625" customWidth="1"/>
    <col min="25" max="25" width="9.85546875" bestFit="1" customWidth="1"/>
  </cols>
  <sheetData>
    <row r="1" spans="1:25" ht="45.75" thickBot="1" x14ac:dyDescent="0.3">
      <c r="A1" s="96" t="s">
        <v>55</v>
      </c>
      <c r="B1" s="96" t="s">
        <v>56</v>
      </c>
      <c r="C1" s="96" t="s">
        <v>57</v>
      </c>
      <c r="D1" s="96" t="s">
        <v>58</v>
      </c>
      <c r="E1" s="96" t="s">
        <v>59</v>
      </c>
      <c r="F1" s="96" t="s">
        <v>60</v>
      </c>
      <c r="G1" s="96" t="s">
        <v>61</v>
      </c>
      <c r="H1" s="96" t="s">
        <v>62</v>
      </c>
      <c r="I1" s="96" t="s">
        <v>63</v>
      </c>
      <c r="J1" s="96" t="s">
        <v>64</v>
      </c>
      <c r="K1" s="96" t="s">
        <v>65</v>
      </c>
      <c r="L1" s="96" t="s">
        <v>66</v>
      </c>
      <c r="M1" s="96" t="s">
        <v>67</v>
      </c>
      <c r="N1" s="96" t="s">
        <v>68</v>
      </c>
      <c r="O1" s="96" t="s">
        <v>69</v>
      </c>
      <c r="P1" s="96" t="s">
        <v>70</v>
      </c>
      <c r="Q1" s="96" t="s">
        <v>71</v>
      </c>
      <c r="R1" s="96" t="s">
        <v>72</v>
      </c>
      <c r="S1" s="96" t="s">
        <v>73</v>
      </c>
      <c r="T1" s="96" t="s">
        <v>74</v>
      </c>
      <c r="U1" s="96" t="s">
        <v>75</v>
      </c>
      <c r="V1" s="96" t="s">
        <v>76</v>
      </c>
      <c r="W1" s="96" t="s">
        <v>77</v>
      </c>
      <c r="X1" s="96" t="s">
        <v>78</v>
      </c>
      <c r="Y1" s="96" t="s">
        <v>79</v>
      </c>
    </row>
    <row r="2" spans="1:25" x14ac:dyDescent="0.25">
      <c r="A2" s="97" t="s">
        <v>80</v>
      </c>
      <c r="B2" s="98">
        <v>45292</v>
      </c>
      <c r="C2" s="117" t="str">
        <f>LEFT(A2,2)</f>
        <v>1L</v>
      </c>
      <c r="D2" s="96"/>
      <c r="E2" s="96"/>
      <c r="F2" s="96"/>
      <c r="G2" s="96"/>
      <c r="H2" s="96"/>
      <c r="I2" s="99">
        <f t="shared" ref="I2:I68" si="0">IFERROR(G2*H2/1000,"")</f>
        <v>0</v>
      </c>
      <c r="J2" s="96"/>
      <c r="K2" s="96"/>
      <c r="L2" s="99">
        <f t="shared" ref="L2:L68" si="1">IFERROR(J2*K2/1000,"")</f>
        <v>0</v>
      </c>
      <c r="M2" s="44" t="str">
        <f t="shared" ref="M2:M3" si="2">IFERROR((L2-I2)/I2,"")</f>
        <v/>
      </c>
      <c r="N2" s="100">
        <f t="shared" ref="N2:N3" si="3">J2-G2</f>
        <v>0</v>
      </c>
      <c r="O2" s="101">
        <f t="shared" ref="O2:O3" si="4">L2-I2</f>
        <v>0</v>
      </c>
      <c r="P2" s="52">
        <f t="shared" ref="P2:P3" si="5">U2-W2</f>
        <v>0</v>
      </c>
      <c r="Q2" s="49">
        <v>116.88487613461319</v>
      </c>
      <c r="R2">
        <v>2225</v>
      </c>
      <c r="S2" s="50">
        <f t="shared" ref="S2:S68" si="6">R2*32.1507</f>
        <v>71535.307499999995</v>
      </c>
      <c r="T2" s="50">
        <f t="shared" ref="T2:T3" si="7">IFERROR(S2*I2,"")</f>
        <v>0</v>
      </c>
      <c r="U2" s="58">
        <f t="shared" ref="U2:U3" si="8">IFERROR(S2*L2,"")</f>
        <v>0</v>
      </c>
      <c r="V2" s="58">
        <f t="shared" ref="V2:V3" si="9">IFERROR(Q2*G2,"")</f>
        <v>0</v>
      </c>
      <c r="W2" s="58">
        <f t="shared" ref="W2:W3" si="10">IFERROR(Q2*J2,"")</f>
        <v>0</v>
      </c>
      <c r="X2" s="58">
        <f t="shared" ref="X2:X3" si="11">T2-V2</f>
        <v>0</v>
      </c>
      <c r="Y2" s="52">
        <f t="shared" ref="Y2:Y3" si="12">U2-W2</f>
        <v>0</v>
      </c>
    </row>
    <row r="3" spans="1:25" x14ac:dyDescent="0.25">
      <c r="A3" s="1218" t="s">
        <v>81</v>
      </c>
      <c r="B3" s="98">
        <v>45292</v>
      </c>
      <c r="C3" s="117" t="str">
        <f t="shared" ref="C3:C67" si="13">LEFT(A3,2)</f>
        <v>1L</v>
      </c>
      <c r="D3" s="96"/>
      <c r="E3" s="96"/>
      <c r="F3" s="96"/>
      <c r="G3" s="96"/>
      <c r="H3" s="96"/>
      <c r="I3" s="99">
        <f t="shared" si="0"/>
        <v>0</v>
      </c>
      <c r="J3" s="96"/>
      <c r="K3" s="96"/>
      <c r="L3" s="99">
        <f t="shared" si="1"/>
        <v>0</v>
      </c>
      <c r="M3" s="44" t="str">
        <f t="shared" si="2"/>
        <v/>
      </c>
      <c r="N3" s="100">
        <f t="shared" si="3"/>
        <v>0</v>
      </c>
      <c r="O3" s="101">
        <f t="shared" si="4"/>
        <v>0</v>
      </c>
      <c r="P3" s="52">
        <f t="shared" si="5"/>
        <v>0</v>
      </c>
      <c r="Q3" s="49">
        <v>116.88487613461319</v>
      </c>
      <c r="R3">
        <v>2225</v>
      </c>
      <c r="S3" s="50">
        <f t="shared" si="6"/>
        <v>71535.307499999995</v>
      </c>
      <c r="T3" s="50">
        <f t="shared" si="7"/>
        <v>0</v>
      </c>
      <c r="U3" s="58">
        <f t="shared" si="8"/>
        <v>0</v>
      </c>
      <c r="V3" s="58">
        <f t="shared" si="9"/>
        <v>0</v>
      </c>
      <c r="W3" s="58">
        <f t="shared" si="10"/>
        <v>0</v>
      </c>
      <c r="X3" s="58">
        <f t="shared" si="11"/>
        <v>0</v>
      </c>
      <c r="Y3" s="52">
        <f t="shared" si="12"/>
        <v>0</v>
      </c>
    </row>
    <row r="4" spans="1:25" x14ac:dyDescent="0.25">
      <c r="A4" s="1218" t="s">
        <v>82</v>
      </c>
      <c r="B4" s="98">
        <v>45292</v>
      </c>
      <c r="C4" s="117" t="str">
        <f t="shared" si="13"/>
        <v>1L</v>
      </c>
      <c r="D4" s="96"/>
      <c r="E4" s="96"/>
      <c r="F4" s="96"/>
      <c r="G4" s="96"/>
      <c r="H4" s="96"/>
      <c r="I4" s="99">
        <f t="shared" si="0"/>
        <v>0</v>
      </c>
      <c r="J4" s="96"/>
      <c r="K4" s="96"/>
      <c r="L4" s="99">
        <f t="shared" si="1"/>
        <v>0</v>
      </c>
      <c r="M4" s="44" t="str">
        <f t="shared" ref="M4:M70" si="14">IFERROR((L4-I4)/I4,"")</f>
        <v/>
      </c>
      <c r="N4" s="100">
        <f t="shared" ref="N4:N70" si="15">J4-G4</f>
        <v>0</v>
      </c>
      <c r="O4" s="101">
        <f t="shared" ref="O4:O70" si="16">L4-I4</f>
        <v>0</v>
      </c>
      <c r="P4" s="52">
        <f t="shared" ref="P4:P70" si="17">U4-W4</f>
        <v>0</v>
      </c>
      <c r="Q4" s="49">
        <v>116.88487613461319</v>
      </c>
      <c r="R4">
        <v>2225</v>
      </c>
      <c r="S4" s="50">
        <f t="shared" si="6"/>
        <v>71535.307499999995</v>
      </c>
      <c r="T4" s="50">
        <f t="shared" ref="T4:T70" si="18">IFERROR(S4*I4,"")</f>
        <v>0</v>
      </c>
      <c r="U4" s="58">
        <f t="shared" ref="U4:U70" si="19">IFERROR(S4*L4,"")</f>
        <v>0</v>
      </c>
      <c r="V4" s="58">
        <f t="shared" ref="V4:V70" si="20">IFERROR(Q4*G4,"")</f>
        <v>0</v>
      </c>
      <c r="W4" s="58">
        <f t="shared" ref="W4:W70" si="21">IFERROR(Q4*J4,"")</f>
        <v>0</v>
      </c>
      <c r="X4" s="58">
        <f t="shared" ref="X4:X70" si="22">T4-V4</f>
        <v>0</v>
      </c>
      <c r="Y4" s="52">
        <f t="shared" ref="Y4:Y70" si="23">U4-W4</f>
        <v>0</v>
      </c>
    </row>
    <row r="5" spans="1:25" x14ac:dyDescent="0.25">
      <c r="A5" s="1218" t="s">
        <v>83</v>
      </c>
      <c r="B5" s="98">
        <v>45292</v>
      </c>
      <c r="C5" s="117" t="str">
        <f t="shared" si="13"/>
        <v>1L</v>
      </c>
      <c r="D5" s="96"/>
      <c r="E5" s="96"/>
      <c r="F5" s="96"/>
      <c r="G5" s="96"/>
      <c r="H5" s="96"/>
      <c r="I5" s="99">
        <f t="shared" si="0"/>
        <v>0</v>
      </c>
      <c r="J5" s="96"/>
      <c r="K5" s="96"/>
      <c r="L5" s="99">
        <f t="shared" si="1"/>
        <v>0</v>
      </c>
      <c r="M5" s="44" t="str">
        <f t="shared" si="14"/>
        <v/>
      </c>
      <c r="N5" s="100">
        <f t="shared" si="15"/>
        <v>0</v>
      </c>
      <c r="O5" s="101">
        <f t="shared" si="16"/>
        <v>0</v>
      </c>
      <c r="P5" s="52">
        <f t="shared" si="17"/>
        <v>0</v>
      </c>
      <c r="Q5" s="49">
        <v>116.88487613461319</v>
      </c>
      <c r="R5">
        <v>2225</v>
      </c>
      <c r="S5" s="50">
        <f t="shared" si="6"/>
        <v>71535.307499999995</v>
      </c>
      <c r="T5" s="50">
        <f t="shared" si="18"/>
        <v>0</v>
      </c>
      <c r="U5" s="58">
        <f t="shared" si="19"/>
        <v>0</v>
      </c>
      <c r="V5" s="58">
        <f t="shared" si="20"/>
        <v>0</v>
      </c>
      <c r="W5" s="58">
        <f t="shared" si="21"/>
        <v>0</v>
      </c>
      <c r="X5" s="58">
        <f t="shared" si="22"/>
        <v>0</v>
      </c>
      <c r="Y5" s="52">
        <f t="shared" si="23"/>
        <v>0</v>
      </c>
    </row>
    <row r="6" spans="1:25" x14ac:dyDescent="0.25">
      <c r="A6" s="1218" t="s">
        <v>84</v>
      </c>
      <c r="B6" s="98">
        <v>45292</v>
      </c>
      <c r="C6" s="117" t="str">
        <f t="shared" si="13"/>
        <v>2L</v>
      </c>
      <c r="D6" s="96"/>
      <c r="E6" s="98"/>
      <c r="F6" s="98"/>
      <c r="I6" s="99">
        <f>IFERROR(G6*H6/1000,"")</f>
        <v>0</v>
      </c>
      <c r="L6" s="99">
        <f>IFERROR(J6*K6/1000,"")</f>
        <v>0</v>
      </c>
      <c r="M6" s="44" t="str">
        <f t="shared" si="14"/>
        <v/>
      </c>
      <c r="N6" s="100">
        <f t="shared" si="15"/>
        <v>0</v>
      </c>
      <c r="O6" s="101">
        <f t="shared" si="16"/>
        <v>0</v>
      </c>
      <c r="P6" s="52">
        <f t="shared" si="17"/>
        <v>0</v>
      </c>
      <c r="Q6" s="49">
        <v>116.88487613461319</v>
      </c>
      <c r="R6">
        <v>2225</v>
      </c>
      <c r="S6" s="50">
        <f t="shared" si="6"/>
        <v>71535.307499999995</v>
      </c>
      <c r="T6" s="50">
        <f t="shared" si="18"/>
        <v>0</v>
      </c>
      <c r="U6" s="58">
        <f t="shared" si="19"/>
        <v>0</v>
      </c>
      <c r="V6" s="58">
        <f t="shared" si="20"/>
        <v>0</v>
      </c>
      <c r="W6" s="58">
        <f t="shared" si="21"/>
        <v>0</v>
      </c>
      <c r="X6" s="58">
        <f t="shared" si="22"/>
        <v>0</v>
      </c>
      <c r="Y6" s="52">
        <f t="shared" si="23"/>
        <v>0</v>
      </c>
    </row>
    <row r="7" spans="1:25" x14ac:dyDescent="0.25">
      <c r="A7" s="1218" t="s">
        <v>85</v>
      </c>
      <c r="B7" s="98">
        <v>45292</v>
      </c>
      <c r="C7" s="117" t="str">
        <f t="shared" si="13"/>
        <v>2L</v>
      </c>
      <c r="D7" s="96"/>
      <c r="E7" s="98"/>
      <c r="F7" s="98"/>
      <c r="I7" s="99">
        <f t="shared" si="0"/>
        <v>0</v>
      </c>
      <c r="L7" s="99">
        <f t="shared" si="1"/>
        <v>0</v>
      </c>
      <c r="M7" s="44" t="str">
        <f t="shared" si="14"/>
        <v/>
      </c>
      <c r="N7" s="100">
        <f t="shared" si="15"/>
        <v>0</v>
      </c>
      <c r="O7" s="101">
        <f t="shared" si="16"/>
        <v>0</v>
      </c>
      <c r="P7" s="52">
        <f t="shared" si="17"/>
        <v>0</v>
      </c>
      <c r="Q7" s="49">
        <v>116.88487613461319</v>
      </c>
      <c r="R7">
        <v>2225</v>
      </c>
      <c r="S7" s="50">
        <f t="shared" si="6"/>
        <v>71535.307499999995</v>
      </c>
      <c r="T7" s="50">
        <f t="shared" si="18"/>
        <v>0</v>
      </c>
      <c r="U7" s="58">
        <f t="shared" si="19"/>
        <v>0</v>
      </c>
      <c r="V7" s="58">
        <f t="shared" si="20"/>
        <v>0</v>
      </c>
      <c r="W7" s="58">
        <f t="shared" si="21"/>
        <v>0</v>
      </c>
      <c r="X7" s="58">
        <f t="shared" si="22"/>
        <v>0</v>
      </c>
      <c r="Y7" s="52">
        <f t="shared" si="23"/>
        <v>0</v>
      </c>
    </row>
    <row r="8" spans="1:25" x14ac:dyDescent="0.25">
      <c r="A8" s="1218" t="s">
        <v>86</v>
      </c>
      <c r="B8" s="98">
        <v>45292</v>
      </c>
      <c r="C8" s="117" t="str">
        <f t="shared" si="13"/>
        <v>2L</v>
      </c>
      <c r="D8" s="96"/>
      <c r="E8" s="98"/>
      <c r="F8" s="98"/>
      <c r="G8" s="41">
        <v>2100</v>
      </c>
      <c r="H8" s="47">
        <v>2.9</v>
      </c>
      <c r="I8" s="99">
        <f t="shared" si="0"/>
        <v>6.09</v>
      </c>
      <c r="J8" s="41">
        <v>2258</v>
      </c>
      <c r="K8" s="47">
        <v>3.11</v>
      </c>
      <c r="L8" s="99">
        <f t="shared" si="1"/>
        <v>7.0223800000000001</v>
      </c>
      <c r="M8" s="44">
        <f t="shared" si="14"/>
        <v>0.15310016420361253</v>
      </c>
      <c r="N8" s="100">
        <f t="shared" si="15"/>
        <v>158</v>
      </c>
      <c r="O8" s="101">
        <f t="shared" si="16"/>
        <v>0.93238000000000021</v>
      </c>
      <c r="P8" s="52">
        <f t="shared" si="17"/>
        <v>238422.06236989336</v>
      </c>
      <c r="Q8" s="49">
        <v>116.88487613461319</v>
      </c>
      <c r="R8">
        <v>2225</v>
      </c>
      <c r="S8" s="50">
        <f t="shared" si="6"/>
        <v>71535.307499999995</v>
      </c>
      <c r="T8" s="50">
        <f t="shared" si="18"/>
        <v>435650.02267499996</v>
      </c>
      <c r="U8" s="58">
        <f t="shared" si="19"/>
        <v>502348.11268184998</v>
      </c>
      <c r="V8" s="58">
        <f t="shared" si="20"/>
        <v>245458.23988268772</v>
      </c>
      <c r="W8" s="58">
        <f t="shared" si="21"/>
        <v>263926.05031195661</v>
      </c>
      <c r="X8" s="58">
        <f t="shared" si="22"/>
        <v>190191.78279231224</v>
      </c>
      <c r="Y8" s="52">
        <f t="shared" si="23"/>
        <v>238422.06236989336</v>
      </c>
    </row>
    <row r="9" spans="1:25" x14ac:dyDescent="0.25">
      <c r="A9" s="1218" t="s">
        <v>87</v>
      </c>
      <c r="B9" s="98">
        <v>45292</v>
      </c>
      <c r="C9" s="117" t="str">
        <f t="shared" si="13"/>
        <v>3L</v>
      </c>
      <c r="D9" s="96"/>
      <c r="E9" s="98"/>
      <c r="F9" s="98"/>
      <c r="G9" s="41"/>
      <c r="H9" s="47"/>
      <c r="I9" s="99">
        <f t="shared" si="0"/>
        <v>0</v>
      </c>
      <c r="J9" s="41"/>
      <c r="K9" s="47"/>
      <c r="L9" s="99">
        <f t="shared" si="1"/>
        <v>0</v>
      </c>
      <c r="M9" s="44" t="str">
        <f t="shared" si="14"/>
        <v/>
      </c>
      <c r="N9" s="100">
        <f t="shared" si="15"/>
        <v>0</v>
      </c>
      <c r="O9" s="101">
        <f t="shared" si="16"/>
        <v>0</v>
      </c>
      <c r="P9" s="52">
        <f t="shared" si="17"/>
        <v>0</v>
      </c>
      <c r="Q9" s="49">
        <v>116.88487613461319</v>
      </c>
      <c r="R9">
        <v>2225</v>
      </c>
      <c r="S9" s="50">
        <f t="shared" si="6"/>
        <v>71535.307499999995</v>
      </c>
      <c r="T9" s="50">
        <f t="shared" si="18"/>
        <v>0</v>
      </c>
      <c r="U9" s="58">
        <f t="shared" si="19"/>
        <v>0</v>
      </c>
      <c r="V9" s="58">
        <f t="shared" si="20"/>
        <v>0</v>
      </c>
      <c r="W9" s="58">
        <f t="shared" si="21"/>
        <v>0</v>
      </c>
      <c r="X9" s="58">
        <f t="shared" si="22"/>
        <v>0</v>
      </c>
      <c r="Y9" s="52">
        <f t="shared" si="23"/>
        <v>0</v>
      </c>
    </row>
    <row r="10" spans="1:25" x14ac:dyDescent="0.25">
      <c r="A10" s="1218" t="s">
        <v>88</v>
      </c>
      <c r="B10" s="98">
        <v>45292</v>
      </c>
      <c r="C10" s="117" t="str">
        <f t="shared" si="13"/>
        <v>3L</v>
      </c>
      <c r="D10" s="96"/>
      <c r="E10" s="98"/>
      <c r="F10" s="98"/>
      <c r="G10" s="41"/>
      <c r="H10" s="47"/>
      <c r="I10" s="99">
        <f t="shared" si="0"/>
        <v>0</v>
      </c>
      <c r="J10" s="41"/>
      <c r="K10" s="47"/>
      <c r="L10" s="99">
        <f t="shared" si="1"/>
        <v>0</v>
      </c>
      <c r="M10" s="44" t="str">
        <f t="shared" si="14"/>
        <v/>
      </c>
      <c r="N10" s="100">
        <f t="shared" si="15"/>
        <v>0</v>
      </c>
      <c r="O10" s="101">
        <f t="shared" si="16"/>
        <v>0</v>
      </c>
      <c r="P10" s="52">
        <f t="shared" si="17"/>
        <v>0</v>
      </c>
      <c r="Q10" s="49">
        <v>116.88487613461319</v>
      </c>
      <c r="R10">
        <v>2225</v>
      </c>
      <c r="S10" s="50">
        <f t="shared" si="6"/>
        <v>71535.307499999995</v>
      </c>
      <c r="T10" s="50">
        <f t="shared" si="18"/>
        <v>0</v>
      </c>
      <c r="U10" s="58">
        <f t="shared" si="19"/>
        <v>0</v>
      </c>
      <c r="V10" s="58">
        <f t="shared" si="20"/>
        <v>0</v>
      </c>
      <c r="W10" s="58">
        <f t="shared" si="21"/>
        <v>0</v>
      </c>
      <c r="X10" s="58">
        <f t="shared" si="22"/>
        <v>0</v>
      </c>
      <c r="Y10" s="52">
        <f t="shared" si="23"/>
        <v>0</v>
      </c>
    </row>
    <row r="11" spans="1:25" x14ac:dyDescent="0.25">
      <c r="A11" s="1218" t="s">
        <v>89</v>
      </c>
      <c r="B11" s="98">
        <v>45292</v>
      </c>
      <c r="C11" s="117" t="str">
        <f t="shared" si="13"/>
        <v>3L</v>
      </c>
      <c r="D11" s="96"/>
      <c r="E11" s="98"/>
      <c r="F11" s="98"/>
      <c r="G11" s="41"/>
      <c r="H11" s="47"/>
      <c r="I11" s="99">
        <f t="shared" si="0"/>
        <v>0</v>
      </c>
      <c r="J11" s="41"/>
      <c r="K11" s="47"/>
      <c r="L11" s="99">
        <f t="shared" si="1"/>
        <v>0</v>
      </c>
      <c r="M11" s="44" t="str">
        <f t="shared" si="14"/>
        <v/>
      </c>
      <c r="N11" s="100">
        <f t="shared" si="15"/>
        <v>0</v>
      </c>
      <c r="O11" s="101">
        <f t="shared" si="16"/>
        <v>0</v>
      </c>
      <c r="P11" s="52">
        <f t="shared" si="17"/>
        <v>0</v>
      </c>
      <c r="Q11" s="49">
        <v>116.88487613461319</v>
      </c>
      <c r="R11">
        <v>2225</v>
      </c>
      <c r="S11" s="50">
        <f t="shared" si="6"/>
        <v>71535.307499999995</v>
      </c>
      <c r="T11" s="50">
        <f t="shared" si="18"/>
        <v>0</v>
      </c>
      <c r="U11" s="58">
        <f t="shared" si="19"/>
        <v>0</v>
      </c>
      <c r="V11" s="58">
        <f t="shared" si="20"/>
        <v>0</v>
      </c>
      <c r="W11" s="58">
        <f t="shared" si="21"/>
        <v>0</v>
      </c>
      <c r="X11" s="58">
        <f t="shared" si="22"/>
        <v>0</v>
      </c>
      <c r="Y11" s="52">
        <f t="shared" si="23"/>
        <v>0</v>
      </c>
    </row>
    <row r="12" spans="1:25" x14ac:dyDescent="0.25">
      <c r="A12" s="1218" t="s">
        <v>90</v>
      </c>
      <c r="B12" s="98">
        <v>45292</v>
      </c>
      <c r="C12" s="117" t="str">
        <f t="shared" si="13"/>
        <v>3L</v>
      </c>
      <c r="D12" s="96"/>
      <c r="E12" s="98"/>
      <c r="F12" s="98"/>
      <c r="G12" s="41"/>
      <c r="H12" s="47"/>
      <c r="I12" s="99">
        <f t="shared" si="0"/>
        <v>0</v>
      </c>
      <c r="J12" s="41"/>
      <c r="K12" s="47"/>
      <c r="L12" s="99">
        <f t="shared" si="1"/>
        <v>0</v>
      </c>
      <c r="M12" s="44" t="str">
        <f t="shared" si="14"/>
        <v/>
      </c>
      <c r="N12" s="100">
        <f t="shared" si="15"/>
        <v>0</v>
      </c>
      <c r="O12" s="101">
        <f t="shared" si="16"/>
        <v>0</v>
      </c>
      <c r="P12" s="52">
        <f t="shared" si="17"/>
        <v>0</v>
      </c>
      <c r="Q12" s="49">
        <v>116.88487613461319</v>
      </c>
      <c r="R12">
        <v>2225</v>
      </c>
      <c r="S12" s="50">
        <f t="shared" si="6"/>
        <v>71535.307499999995</v>
      </c>
      <c r="T12" s="50">
        <f t="shared" si="18"/>
        <v>0</v>
      </c>
      <c r="U12" s="58">
        <f t="shared" si="19"/>
        <v>0</v>
      </c>
      <c r="V12" s="58">
        <f t="shared" si="20"/>
        <v>0</v>
      </c>
      <c r="W12" s="58">
        <f t="shared" si="21"/>
        <v>0</v>
      </c>
      <c r="X12" s="58">
        <f t="shared" si="22"/>
        <v>0</v>
      </c>
      <c r="Y12" s="52">
        <f t="shared" si="23"/>
        <v>0</v>
      </c>
    </row>
    <row r="13" spans="1:25" x14ac:dyDescent="0.25">
      <c r="A13" s="1218" t="s">
        <v>91</v>
      </c>
      <c r="B13" s="98">
        <v>45292</v>
      </c>
      <c r="C13" s="117" t="str">
        <f t="shared" si="13"/>
        <v>3L</v>
      </c>
      <c r="D13" s="96"/>
      <c r="E13" s="98"/>
      <c r="F13" s="98"/>
      <c r="G13" s="41"/>
      <c r="H13" s="47"/>
      <c r="I13" s="99">
        <f t="shared" si="0"/>
        <v>0</v>
      </c>
      <c r="J13" s="41"/>
      <c r="K13" s="47"/>
      <c r="L13" s="99">
        <f t="shared" si="1"/>
        <v>0</v>
      </c>
      <c r="M13" s="44" t="str">
        <f t="shared" si="14"/>
        <v/>
      </c>
      <c r="N13" s="100">
        <f t="shared" si="15"/>
        <v>0</v>
      </c>
      <c r="O13" s="101">
        <f t="shared" si="16"/>
        <v>0</v>
      </c>
      <c r="P13" s="52">
        <f t="shared" si="17"/>
        <v>0</v>
      </c>
      <c r="Q13" s="49">
        <v>116.88487613461319</v>
      </c>
      <c r="R13">
        <v>2225</v>
      </c>
      <c r="S13" s="50">
        <f t="shared" si="6"/>
        <v>71535.307499999995</v>
      </c>
      <c r="T13" s="50">
        <f t="shared" si="18"/>
        <v>0</v>
      </c>
      <c r="U13" s="58">
        <f t="shared" si="19"/>
        <v>0</v>
      </c>
      <c r="V13" s="58">
        <f t="shared" si="20"/>
        <v>0</v>
      </c>
      <c r="W13" s="58">
        <f t="shared" si="21"/>
        <v>0</v>
      </c>
      <c r="X13" s="58">
        <f t="shared" si="22"/>
        <v>0</v>
      </c>
      <c r="Y13" s="52">
        <f t="shared" si="23"/>
        <v>0</v>
      </c>
    </row>
    <row r="14" spans="1:25" x14ac:dyDescent="0.25">
      <c r="A14" s="1218" t="s">
        <v>92</v>
      </c>
      <c r="B14" s="98">
        <v>45292</v>
      </c>
      <c r="C14" s="117" t="str">
        <f t="shared" si="13"/>
        <v>3L</v>
      </c>
      <c r="D14" s="96"/>
      <c r="E14" s="98"/>
      <c r="F14" s="98"/>
      <c r="G14" s="41"/>
      <c r="H14" s="47"/>
      <c r="I14" s="99">
        <f t="shared" si="0"/>
        <v>0</v>
      </c>
      <c r="J14" s="41"/>
      <c r="K14" s="47"/>
      <c r="L14" s="99">
        <f t="shared" si="1"/>
        <v>0</v>
      </c>
      <c r="M14" s="44" t="str">
        <f t="shared" si="14"/>
        <v/>
      </c>
      <c r="N14" s="100">
        <f t="shared" si="15"/>
        <v>0</v>
      </c>
      <c r="O14" s="101">
        <f t="shared" si="16"/>
        <v>0</v>
      </c>
      <c r="P14" s="52">
        <f t="shared" si="17"/>
        <v>0</v>
      </c>
      <c r="Q14" s="49">
        <v>116.88487613461319</v>
      </c>
      <c r="R14">
        <v>2225</v>
      </c>
      <c r="S14" s="50">
        <f t="shared" si="6"/>
        <v>71535.307499999995</v>
      </c>
      <c r="T14" s="50">
        <f t="shared" si="18"/>
        <v>0</v>
      </c>
      <c r="U14" s="58">
        <f t="shared" si="19"/>
        <v>0</v>
      </c>
      <c r="V14" s="58">
        <f t="shared" si="20"/>
        <v>0</v>
      </c>
      <c r="W14" s="58">
        <f t="shared" si="21"/>
        <v>0</v>
      </c>
      <c r="X14" s="58">
        <f t="shared" si="22"/>
        <v>0</v>
      </c>
      <c r="Y14" s="52">
        <f t="shared" si="23"/>
        <v>0</v>
      </c>
    </row>
    <row r="15" spans="1:25" x14ac:dyDescent="0.25">
      <c r="A15" s="1218" t="s">
        <v>93</v>
      </c>
      <c r="B15" s="98">
        <v>45292</v>
      </c>
      <c r="C15" s="117" t="str">
        <f t="shared" si="13"/>
        <v>3L</v>
      </c>
      <c r="D15" s="96"/>
      <c r="E15" s="98"/>
      <c r="F15" s="98"/>
      <c r="G15" s="41"/>
      <c r="H15" s="47"/>
      <c r="I15" s="99">
        <f t="shared" si="0"/>
        <v>0</v>
      </c>
      <c r="J15" s="41"/>
      <c r="K15" s="47"/>
      <c r="L15" s="99">
        <f t="shared" si="1"/>
        <v>0</v>
      </c>
      <c r="M15" s="44" t="str">
        <f t="shared" si="14"/>
        <v/>
      </c>
      <c r="N15" s="100">
        <f t="shared" si="15"/>
        <v>0</v>
      </c>
      <c r="O15" s="101">
        <f t="shared" si="16"/>
        <v>0</v>
      </c>
      <c r="P15" s="52">
        <f t="shared" si="17"/>
        <v>0</v>
      </c>
      <c r="Q15" s="49">
        <v>116.88487613461319</v>
      </c>
      <c r="R15">
        <v>2225</v>
      </c>
      <c r="S15" s="50">
        <f t="shared" si="6"/>
        <v>71535.307499999995</v>
      </c>
      <c r="T15" s="50">
        <f t="shared" si="18"/>
        <v>0</v>
      </c>
      <c r="U15" s="58">
        <f t="shared" si="19"/>
        <v>0</v>
      </c>
      <c r="V15" s="58">
        <f t="shared" si="20"/>
        <v>0</v>
      </c>
      <c r="W15" s="58">
        <f t="shared" si="21"/>
        <v>0</v>
      </c>
      <c r="X15" s="58">
        <f t="shared" si="22"/>
        <v>0</v>
      </c>
      <c r="Y15" s="52">
        <f t="shared" si="23"/>
        <v>0</v>
      </c>
    </row>
    <row r="16" spans="1:25" x14ac:dyDescent="0.25">
      <c r="A16" s="1218" t="s">
        <v>94</v>
      </c>
      <c r="B16" s="98">
        <v>45292</v>
      </c>
      <c r="C16" s="117" t="str">
        <f t="shared" si="13"/>
        <v>3L</v>
      </c>
      <c r="D16" s="96"/>
      <c r="E16" s="98"/>
      <c r="F16" s="98"/>
      <c r="G16" s="41"/>
      <c r="H16" s="47"/>
      <c r="I16" s="99">
        <f t="shared" si="0"/>
        <v>0</v>
      </c>
      <c r="J16" s="41"/>
      <c r="K16" s="47"/>
      <c r="L16" s="99">
        <f t="shared" si="1"/>
        <v>0</v>
      </c>
      <c r="M16" s="44" t="str">
        <f t="shared" si="14"/>
        <v/>
      </c>
      <c r="N16" s="100">
        <f t="shared" si="15"/>
        <v>0</v>
      </c>
      <c r="O16" s="101">
        <f t="shared" si="16"/>
        <v>0</v>
      </c>
      <c r="P16" s="52">
        <f t="shared" si="17"/>
        <v>0</v>
      </c>
      <c r="Q16" s="49">
        <v>116.88487613461319</v>
      </c>
      <c r="R16">
        <v>2225</v>
      </c>
      <c r="S16" s="50">
        <f t="shared" si="6"/>
        <v>71535.307499999995</v>
      </c>
      <c r="T16" s="50">
        <f t="shared" si="18"/>
        <v>0</v>
      </c>
      <c r="U16" s="58">
        <f t="shared" si="19"/>
        <v>0</v>
      </c>
      <c r="V16" s="58">
        <f t="shared" si="20"/>
        <v>0</v>
      </c>
      <c r="W16" s="58">
        <f t="shared" si="21"/>
        <v>0</v>
      </c>
      <c r="X16" s="58">
        <f t="shared" si="22"/>
        <v>0</v>
      </c>
      <c r="Y16" s="52">
        <f t="shared" si="23"/>
        <v>0</v>
      </c>
    </row>
    <row r="17" spans="1:25" x14ac:dyDescent="0.25">
      <c r="A17" s="1218" t="s">
        <v>95</v>
      </c>
      <c r="B17" s="98">
        <v>45292</v>
      </c>
      <c r="C17" s="117" t="str">
        <f t="shared" si="13"/>
        <v>3L</v>
      </c>
      <c r="D17" s="96"/>
      <c r="E17" s="98"/>
      <c r="F17" s="98"/>
      <c r="G17" s="41"/>
      <c r="H17" s="47"/>
      <c r="I17" s="99">
        <f t="shared" si="0"/>
        <v>0</v>
      </c>
      <c r="J17" s="41"/>
      <c r="K17" s="47"/>
      <c r="L17" s="99">
        <f t="shared" si="1"/>
        <v>0</v>
      </c>
      <c r="M17" s="44" t="str">
        <f t="shared" si="14"/>
        <v/>
      </c>
      <c r="N17" s="100">
        <f t="shared" si="15"/>
        <v>0</v>
      </c>
      <c r="O17" s="101">
        <f t="shared" si="16"/>
        <v>0</v>
      </c>
      <c r="P17" s="52">
        <f t="shared" si="17"/>
        <v>0</v>
      </c>
      <c r="Q17" s="49">
        <v>116.88487613461319</v>
      </c>
      <c r="R17">
        <v>2225</v>
      </c>
      <c r="S17" s="50">
        <f t="shared" si="6"/>
        <v>71535.307499999995</v>
      </c>
      <c r="T17" s="50">
        <f t="shared" si="18"/>
        <v>0</v>
      </c>
      <c r="U17" s="58">
        <f t="shared" si="19"/>
        <v>0</v>
      </c>
      <c r="V17" s="58">
        <f t="shared" si="20"/>
        <v>0</v>
      </c>
      <c r="W17" s="58">
        <f t="shared" si="21"/>
        <v>0</v>
      </c>
      <c r="X17" s="58">
        <f t="shared" si="22"/>
        <v>0</v>
      </c>
      <c r="Y17" s="52">
        <f t="shared" si="23"/>
        <v>0</v>
      </c>
    </row>
    <row r="18" spans="1:25" x14ac:dyDescent="0.25">
      <c r="A18" s="1218" t="s">
        <v>96</v>
      </c>
      <c r="B18" s="98">
        <v>45292</v>
      </c>
      <c r="C18" s="117" t="str">
        <f t="shared" si="13"/>
        <v>3L</v>
      </c>
      <c r="D18" s="96"/>
      <c r="E18" s="98"/>
      <c r="F18" s="98"/>
      <c r="G18" s="41"/>
      <c r="H18" s="47"/>
      <c r="I18" s="99">
        <f t="shared" si="0"/>
        <v>0</v>
      </c>
      <c r="J18" s="41"/>
      <c r="K18" s="47"/>
      <c r="L18" s="99">
        <f t="shared" si="1"/>
        <v>0</v>
      </c>
      <c r="M18" s="44" t="str">
        <f t="shared" si="14"/>
        <v/>
      </c>
      <c r="N18" s="100">
        <f t="shared" si="15"/>
        <v>0</v>
      </c>
      <c r="O18" s="101">
        <f t="shared" si="16"/>
        <v>0</v>
      </c>
      <c r="P18" s="52">
        <f t="shared" si="17"/>
        <v>0</v>
      </c>
      <c r="Q18" s="49">
        <v>116.88487613461319</v>
      </c>
      <c r="R18">
        <v>2225</v>
      </c>
      <c r="S18" s="50">
        <f t="shared" si="6"/>
        <v>71535.307499999995</v>
      </c>
      <c r="T18" s="50">
        <f t="shared" si="18"/>
        <v>0</v>
      </c>
      <c r="U18" s="58">
        <f t="shared" si="19"/>
        <v>0</v>
      </c>
      <c r="V18" s="58">
        <f t="shared" si="20"/>
        <v>0</v>
      </c>
      <c r="W18" s="58">
        <f t="shared" si="21"/>
        <v>0</v>
      </c>
      <c r="X18" s="58">
        <f t="shared" si="22"/>
        <v>0</v>
      </c>
      <c r="Y18" s="52">
        <f t="shared" si="23"/>
        <v>0</v>
      </c>
    </row>
    <row r="19" spans="1:25" x14ac:dyDescent="0.25">
      <c r="A19" s="1218" t="s">
        <v>97</v>
      </c>
      <c r="B19" s="98">
        <v>45292</v>
      </c>
      <c r="C19" s="117" t="str">
        <f t="shared" si="13"/>
        <v>4L</v>
      </c>
      <c r="D19" s="96"/>
      <c r="E19" s="98"/>
      <c r="F19" s="98"/>
      <c r="G19" s="54"/>
      <c r="H19" s="47"/>
      <c r="I19" s="99">
        <f t="shared" si="0"/>
        <v>0</v>
      </c>
      <c r="J19" s="54"/>
      <c r="K19" s="47"/>
      <c r="L19" s="99">
        <f t="shared" si="1"/>
        <v>0</v>
      </c>
      <c r="M19" s="44" t="str">
        <f t="shared" si="14"/>
        <v/>
      </c>
      <c r="N19" s="100">
        <f t="shared" si="15"/>
        <v>0</v>
      </c>
      <c r="O19" s="101">
        <f t="shared" si="16"/>
        <v>0</v>
      </c>
      <c r="P19" s="52">
        <f t="shared" si="17"/>
        <v>0</v>
      </c>
      <c r="Q19" s="49">
        <v>116.88487613461319</v>
      </c>
      <c r="R19">
        <v>2225</v>
      </c>
      <c r="S19" s="50">
        <f t="shared" si="6"/>
        <v>71535.307499999995</v>
      </c>
      <c r="T19" s="50">
        <f t="shared" si="18"/>
        <v>0</v>
      </c>
      <c r="U19" s="58">
        <f t="shared" si="19"/>
        <v>0</v>
      </c>
      <c r="V19" s="58">
        <f t="shared" si="20"/>
        <v>0</v>
      </c>
      <c r="W19" s="58">
        <f t="shared" si="21"/>
        <v>0</v>
      </c>
      <c r="X19" s="58">
        <f t="shared" si="22"/>
        <v>0</v>
      </c>
      <c r="Y19" s="52">
        <f t="shared" si="23"/>
        <v>0</v>
      </c>
    </row>
    <row r="20" spans="1:25" x14ac:dyDescent="0.25">
      <c r="A20" s="1218" t="s">
        <v>98</v>
      </c>
      <c r="B20" s="98">
        <v>45292</v>
      </c>
      <c r="C20" s="117" t="str">
        <f t="shared" si="13"/>
        <v>4L</v>
      </c>
      <c r="D20" s="96"/>
      <c r="E20" s="98"/>
      <c r="F20" s="98"/>
      <c r="G20" s="103">
        <v>0</v>
      </c>
      <c r="H20" s="103">
        <v>0</v>
      </c>
      <c r="I20" s="99">
        <f t="shared" si="0"/>
        <v>0</v>
      </c>
      <c r="J20" s="41">
        <v>2471.9389999999999</v>
      </c>
      <c r="K20" s="41">
        <v>2.35</v>
      </c>
      <c r="L20" s="99">
        <f t="shared" si="1"/>
        <v>5.8090566499999996</v>
      </c>
      <c r="M20" s="44" t="str">
        <f t="shared" si="14"/>
        <v/>
      </c>
      <c r="N20" s="100">
        <f t="shared" si="15"/>
        <v>2471.9389999999999</v>
      </c>
      <c r="O20" s="101">
        <f t="shared" si="16"/>
        <v>5.8090566499999996</v>
      </c>
      <c r="P20" s="52">
        <f t="shared" si="17"/>
        <v>126620.36991535022</v>
      </c>
      <c r="Q20" s="49">
        <v>116.88487613461319</v>
      </c>
      <c r="R20">
        <v>2225</v>
      </c>
      <c r="S20" s="50">
        <f t="shared" si="6"/>
        <v>71535.307499999995</v>
      </c>
      <c r="T20" s="50">
        <f t="shared" si="18"/>
        <v>0</v>
      </c>
      <c r="U20" s="58">
        <f t="shared" si="19"/>
        <v>415552.65374266979</v>
      </c>
      <c r="V20" s="58">
        <f t="shared" si="20"/>
        <v>0</v>
      </c>
      <c r="W20" s="58">
        <f t="shared" si="21"/>
        <v>288932.28382731957</v>
      </c>
      <c r="X20" s="58">
        <f t="shared" si="22"/>
        <v>0</v>
      </c>
      <c r="Y20" s="52">
        <f t="shared" si="23"/>
        <v>126620.36991535022</v>
      </c>
    </row>
    <row r="21" spans="1:25" x14ac:dyDescent="0.25">
      <c r="A21" s="1218" t="s">
        <v>99</v>
      </c>
      <c r="B21" s="98">
        <v>45292</v>
      </c>
      <c r="C21" s="117" t="str">
        <f t="shared" si="13"/>
        <v>4L</v>
      </c>
      <c r="D21" s="96"/>
      <c r="E21" s="98"/>
      <c r="F21" s="98"/>
      <c r="I21" s="99">
        <f t="shared" si="0"/>
        <v>0</v>
      </c>
      <c r="J21" s="41">
        <v>1027.2550000000001</v>
      </c>
      <c r="K21" s="41">
        <v>2.2999999999999998</v>
      </c>
      <c r="L21" s="99">
        <f t="shared" si="1"/>
        <v>2.3626865000000001</v>
      </c>
      <c r="M21" s="44" t="str">
        <f t="shared" si="14"/>
        <v/>
      </c>
      <c r="N21" s="100">
        <f t="shared" si="15"/>
        <v>1027.2550000000001</v>
      </c>
      <c r="O21" s="101">
        <f t="shared" si="16"/>
        <v>2.3626865000000001</v>
      </c>
      <c r="P21" s="52">
        <f t="shared" si="17"/>
        <v>48944.931869936641</v>
      </c>
      <c r="Q21" s="49">
        <v>116.88487613461319</v>
      </c>
      <c r="R21">
        <v>2225</v>
      </c>
      <c r="S21" s="50">
        <f t="shared" si="6"/>
        <v>71535.307499999995</v>
      </c>
      <c r="T21" s="50">
        <f t="shared" si="18"/>
        <v>0</v>
      </c>
      <c r="U21" s="58">
        <f t="shared" si="19"/>
        <v>169015.50530359874</v>
      </c>
      <c r="V21" s="58">
        <f t="shared" si="20"/>
        <v>0</v>
      </c>
      <c r="W21" s="58">
        <f t="shared" si="21"/>
        <v>120070.5734336621</v>
      </c>
      <c r="X21" s="58">
        <f t="shared" si="22"/>
        <v>0</v>
      </c>
      <c r="Y21" s="52">
        <f t="shared" si="23"/>
        <v>48944.931869936641</v>
      </c>
    </row>
    <row r="22" spans="1:25" x14ac:dyDescent="0.25">
      <c r="A22" s="1218" t="s">
        <v>100</v>
      </c>
      <c r="B22" s="98">
        <v>45292</v>
      </c>
      <c r="C22" s="117" t="str">
        <f t="shared" si="13"/>
        <v>4L</v>
      </c>
      <c r="D22" s="96"/>
      <c r="E22" s="98"/>
      <c r="F22" s="98"/>
      <c r="G22" s="41">
        <v>1890</v>
      </c>
      <c r="H22" s="41">
        <v>2.4</v>
      </c>
      <c r="I22" s="99">
        <f t="shared" si="0"/>
        <v>4.5359999999999996</v>
      </c>
      <c r="J22" s="102">
        <v>0</v>
      </c>
      <c r="K22" s="104">
        <v>0</v>
      </c>
      <c r="L22" s="99">
        <f t="shared" si="1"/>
        <v>0</v>
      </c>
      <c r="M22" s="44">
        <f t="shared" si="14"/>
        <v>-1</v>
      </c>
      <c r="N22" s="100">
        <f t="shared" si="15"/>
        <v>-1890</v>
      </c>
      <c r="O22" s="101">
        <f t="shared" si="16"/>
        <v>-4.5359999999999996</v>
      </c>
      <c r="P22" s="52">
        <f t="shared" si="17"/>
        <v>0</v>
      </c>
      <c r="Q22" s="49">
        <v>116.88487613461319</v>
      </c>
      <c r="R22">
        <v>2225</v>
      </c>
      <c r="S22" s="50">
        <f t="shared" si="6"/>
        <v>71535.307499999995</v>
      </c>
      <c r="T22" s="50">
        <f t="shared" si="18"/>
        <v>324484.15481999994</v>
      </c>
      <c r="U22" s="58">
        <f t="shared" si="19"/>
        <v>0</v>
      </c>
      <c r="V22" s="58">
        <f t="shared" si="20"/>
        <v>220912.41589441893</v>
      </c>
      <c r="W22" s="58">
        <f t="shared" si="21"/>
        <v>0</v>
      </c>
      <c r="X22" s="58">
        <f t="shared" si="22"/>
        <v>103571.73892558101</v>
      </c>
      <c r="Y22" s="52">
        <f t="shared" si="23"/>
        <v>0</v>
      </c>
    </row>
    <row r="23" spans="1:25" x14ac:dyDescent="0.25">
      <c r="A23" s="1218" t="s">
        <v>101</v>
      </c>
      <c r="B23" s="98">
        <v>45292</v>
      </c>
      <c r="C23" s="117" t="str">
        <f t="shared" si="13"/>
        <v>4L</v>
      </c>
      <c r="D23" s="96"/>
      <c r="E23" s="98"/>
      <c r="F23" s="98"/>
      <c r="G23" s="54">
        <v>1050</v>
      </c>
      <c r="H23" s="47">
        <v>2.15</v>
      </c>
      <c r="I23" s="99">
        <f t="shared" si="0"/>
        <v>2.2574999999999998</v>
      </c>
      <c r="J23" s="54">
        <v>747</v>
      </c>
      <c r="K23" s="47">
        <v>2.38</v>
      </c>
      <c r="L23" s="99">
        <f t="shared" si="1"/>
        <v>1.77786</v>
      </c>
      <c r="M23" s="44">
        <f t="shared" si="14"/>
        <v>-0.21246511627906972</v>
      </c>
      <c r="N23" s="100">
        <f t="shared" si="15"/>
        <v>-303</v>
      </c>
      <c r="O23" s="101">
        <f t="shared" si="16"/>
        <v>-0.47963999999999984</v>
      </c>
      <c r="P23" s="52">
        <f t="shared" si="17"/>
        <v>39866.759319393939</v>
      </c>
      <c r="Q23" s="49">
        <v>116.88487613461319</v>
      </c>
      <c r="R23">
        <v>2225</v>
      </c>
      <c r="S23" s="50">
        <f t="shared" si="6"/>
        <v>71535.307499999995</v>
      </c>
      <c r="T23" s="50">
        <f t="shared" si="18"/>
        <v>161490.95668124998</v>
      </c>
      <c r="U23" s="58">
        <f t="shared" si="19"/>
        <v>127179.76179194999</v>
      </c>
      <c r="V23" s="58">
        <f t="shared" si="20"/>
        <v>122729.11994134386</v>
      </c>
      <c r="W23" s="58">
        <f t="shared" si="21"/>
        <v>87313.002472556051</v>
      </c>
      <c r="X23" s="58">
        <f t="shared" si="22"/>
        <v>38761.836739906124</v>
      </c>
      <c r="Y23" s="52">
        <f t="shared" si="23"/>
        <v>39866.759319393939</v>
      </c>
    </row>
    <row r="24" spans="1:25" x14ac:dyDescent="0.25">
      <c r="A24" s="1218" t="s">
        <v>102</v>
      </c>
      <c r="B24" s="98">
        <v>45292</v>
      </c>
      <c r="C24" s="117" t="str">
        <f t="shared" si="13"/>
        <v>4L</v>
      </c>
      <c r="D24" s="96"/>
      <c r="E24" s="98"/>
      <c r="F24" s="98"/>
      <c r="G24" s="54"/>
      <c r="H24" s="41"/>
      <c r="I24" s="99">
        <f t="shared" si="0"/>
        <v>0</v>
      </c>
      <c r="J24" s="54"/>
      <c r="K24" s="41"/>
      <c r="L24" s="99">
        <f t="shared" si="1"/>
        <v>0</v>
      </c>
      <c r="M24" s="44" t="str">
        <f t="shared" si="14"/>
        <v/>
      </c>
      <c r="N24" s="100">
        <f t="shared" si="15"/>
        <v>0</v>
      </c>
      <c r="O24" s="101">
        <f t="shared" si="16"/>
        <v>0</v>
      </c>
      <c r="P24" s="52">
        <f t="shared" si="17"/>
        <v>0</v>
      </c>
      <c r="Q24" s="49">
        <v>116.88487613461319</v>
      </c>
      <c r="R24">
        <v>2225</v>
      </c>
      <c r="S24" s="50">
        <f t="shared" si="6"/>
        <v>71535.307499999995</v>
      </c>
      <c r="T24" s="50">
        <f t="shared" si="18"/>
        <v>0</v>
      </c>
      <c r="U24" s="58">
        <f t="shared" si="19"/>
        <v>0</v>
      </c>
      <c r="V24" s="58">
        <f t="shared" si="20"/>
        <v>0</v>
      </c>
      <c r="W24" s="58">
        <f t="shared" si="21"/>
        <v>0</v>
      </c>
      <c r="X24" s="58">
        <f t="shared" si="22"/>
        <v>0</v>
      </c>
      <c r="Y24" s="52">
        <f t="shared" si="23"/>
        <v>0</v>
      </c>
    </row>
    <row r="25" spans="1:25" x14ac:dyDescent="0.25">
      <c r="A25" s="1218" t="s">
        <v>103</v>
      </c>
      <c r="B25" s="98">
        <v>45292</v>
      </c>
      <c r="C25" s="117" t="str">
        <f t="shared" si="13"/>
        <v>4L</v>
      </c>
      <c r="D25" s="96"/>
      <c r="E25" s="98"/>
      <c r="F25" s="98"/>
      <c r="G25" s="41">
        <v>3150</v>
      </c>
      <c r="H25" s="41">
        <v>2.2399999999999989</v>
      </c>
      <c r="I25" s="99">
        <f t="shared" si="0"/>
        <v>7.0559999999999965</v>
      </c>
      <c r="J25" s="41">
        <v>1122</v>
      </c>
      <c r="K25" s="41">
        <v>2.5299999999999998</v>
      </c>
      <c r="L25" s="99">
        <f t="shared" si="1"/>
        <v>2.83866</v>
      </c>
      <c r="M25" s="44">
        <f t="shared" si="14"/>
        <v>-0.59769557823129227</v>
      </c>
      <c r="N25" s="100">
        <f t="shared" si="15"/>
        <v>-2028</v>
      </c>
      <c r="O25" s="101">
        <f t="shared" si="16"/>
        <v>-4.2173399999999965</v>
      </c>
      <c r="P25" s="52">
        <f t="shared" si="17"/>
        <v>71919.584964913985</v>
      </c>
      <c r="Q25" s="49">
        <v>116.88487613461319</v>
      </c>
      <c r="R25">
        <v>2225</v>
      </c>
      <c r="S25" s="50">
        <f t="shared" si="6"/>
        <v>71535.307499999995</v>
      </c>
      <c r="T25" s="50">
        <f t="shared" si="18"/>
        <v>504753.12971999974</v>
      </c>
      <c r="U25" s="58">
        <f t="shared" si="19"/>
        <v>203064.41598794999</v>
      </c>
      <c r="V25" s="58">
        <f t="shared" si="20"/>
        <v>368187.35982403153</v>
      </c>
      <c r="W25" s="58">
        <f t="shared" si="21"/>
        <v>131144.83102303601</v>
      </c>
      <c r="X25" s="58">
        <f t="shared" si="22"/>
        <v>136565.7698959682</v>
      </c>
      <c r="Y25" s="52">
        <f t="shared" si="23"/>
        <v>71919.584964913985</v>
      </c>
    </row>
    <row r="26" spans="1:25" x14ac:dyDescent="0.25">
      <c r="A26" s="1218" t="s">
        <v>104</v>
      </c>
      <c r="B26" s="98">
        <v>45292</v>
      </c>
      <c r="C26" s="117" t="str">
        <f t="shared" si="13"/>
        <v>4L</v>
      </c>
      <c r="D26" s="96"/>
      <c r="E26" s="98"/>
      <c r="F26" s="98"/>
      <c r="G26" s="41"/>
      <c r="H26" s="41"/>
      <c r="I26" s="99">
        <f t="shared" si="0"/>
        <v>0</v>
      </c>
      <c r="J26" s="41">
        <v>463</v>
      </c>
      <c r="K26" s="41">
        <v>1.69</v>
      </c>
      <c r="L26" s="99">
        <f t="shared" si="1"/>
        <v>0.78247</v>
      </c>
      <c r="M26" s="44" t="str">
        <f t="shared" si="14"/>
        <v/>
      </c>
      <c r="N26" s="100">
        <f t="shared" si="15"/>
        <v>463</v>
      </c>
      <c r="O26" s="101">
        <f t="shared" si="16"/>
        <v>0.78247</v>
      </c>
      <c r="P26" s="52">
        <f t="shared" si="17"/>
        <v>1856.5344091990919</v>
      </c>
      <c r="Q26" s="49">
        <v>116.88487613461319</v>
      </c>
      <c r="R26">
        <v>2225</v>
      </c>
      <c r="S26" s="50">
        <f t="shared" si="6"/>
        <v>71535.307499999995</v>
      </c>
      <c r="T26" s="50">
        <f t="shared" si="18"/>
        <v>0</v>
      </c>
      <c r="U26" s="58">
        <f t="shared" si="19"/>
        <v>55974.232059524998</v>
      </c>
      <c r="V26" s="58">
        <f t="shared" si="20"/>
        <v>0</v>
      </c>
      <c r="W26" s="58">
        <f t="shared" si="21"/>
        <v>54117.697650325907</v>
      </c>
      <c r="X26" s="58">
        <f t="shared" si="22"/>
        <v>0</v>
      </c>
      <c r="Y26" s="52">
        <f t="shared" si="23"/>
        <v>1856.5344091990919</v>
      </c>
    </row>
    <row r="27" spans="1:25" x14ac:dyDescent="0.25">
      <c r="A27" s="1218" t="s">
        <v>105</v>
      </c>
      <c r="B27" s="98">
        <v>45292</v>
      </c>
      <c r="C27" s="117" t="str">
        <f t="shared" si="13"/>
        <v>4L</v>
      </c>
      <c r="D27" s="96"/>
      <c r="E27" s="98"/>
      <c r="F27" s="98"/>
      <c r="G27" s="41"/>
      <c r="H27" s="41"/>
      <c r="I27" s="99">
        <f t="shared" si="0"/>
        <v>0</v>
      </c>
      <c r="J27" s="41">
        <v>211</v>
      </c>
      <c r="K27" s="41">
        <v>2.6</v>
      </c>
      <c r="L27" s="99">
        <f t="shared" si="1"/>
        <v>0.54859999999999998</v>
      </c>
      <c r="M27" s="44" t="str">
        <f t="shared" si="14"/>
        <v/>
      </c>
      <c r="N27" s="100">
        <f t="shared" si="15"/>
        <v>211</v>
      </c>
      <c r="O27" s="101">
        <f t="shared" si="16"/>
        <v>0.54859999999999998</v>
      </c>
      <c r="P27" s="52">
        <f t="shared" si="17"/>
        <v>14581.560830096616</v>
      </c>
      <c r="Q27" s="49">
        <v>116.88487613461319</v>
      </c>
      <c r="R27">
        <v>2225</v>
      </c>
      <c r="S27" s="50">
        <f t="shared" si="6"/>
        <v>71535.307499999995</v>
      </c>
      <c r="T27" s="50">
        <f t="shared" si="18"/>
        <v>0</v>
      </c>
      <c r="U27" s="58">
        <f t="shared" si="19"/>
        <v>39244.269694499999</v>
      </c>
      <c r="V27" s="58">
        <f t="shared" si="20"/>
        <v>0</v>
      </c>
      <c r="W27" s="58">
        <f t="shared" si="21"/>
        <v>24662.708864403383</v>
      </c>
      <c r="X27" s="58">
        <f t="shared" si="22"/>
        <v>0</v>
      </c>
      <c r="Y27" s="52">
        <f t="shared" si="23"/>
        <v>14581.560830096616</v>
      </c>
    </row>
    <row r="28" spans="1:25" x14ac:dyDescent="0.25">
      <c r="A28" s="1218" t="s">
        <v>106</v>
      </c>
      <c r="B28" s="98">
        <v>45292</v>
      </c>
      <c r="C28" s="117" t="str">
        <f t="shared" si="13"/>
        <v>4L</v>
      </c>
      <c r="D28" s="96"/>
      <c r="E28" s="98"/>
      <c r="F28" s="98"/>
      <c r="G28" s="54">
        <v>2100</v>
      </c>
      <c r="H28" s="47">
        <v>2.3400000000000012</v>
      </c>
      <c r="I28" s="99">
        <f t="shared" si="0"/>
        <v>4.9140000000000024</v>
      </c>
      <c r="J28" s="54">
        <v>436</v>
      </c>
      <c r="K28" s="47">
        <v>1.84</v>
      </c>
      <c r="L28" s="99">
        <f t="shared" si="1"/>
        <v>0.80224000000000006</v>
      </c>
      <c r="M28" s="44">
        <f t="shared" si="14"/>
        <v>-0.8367439967439968</v>
      </c>
      <c r="N28" s="100">
        <f t="shared" si="15"/>
        <v>-1664</v>
      </c>
      <c r="O28" s="101">
        <f t="shared" si="16"/>
        <v>-4.1117600000000021</v>
      </c>
      <c r="P28" s="52">
        <f t="shared" si="17"/>
        <v>6426.679094108651</v>
      </c>
      <c r="Q28" s="49">
        <v>116.88487613461319</v>
      </c>
      <c r="R28">
        <v>2225</v>
      </c>
      <c r="S28" s="50">
        <f t="shared" si="6"/>
        <v>71535.307499999995</v>
      </c>
      <c r="T28" s="50">
        <f t="shared" si="18"/>
        <v>351524.50105500018</v>
      </c>
      <c r="U28" s="58">
        <f t="shared" si="19"/>
        <v>57388.4850888</v>
      </c>
      <c r="V28" s="58">
        <f t="shared" si="20"/>
        <v>245458.23988268772</v>
      </c>
      <c r="W28" s="58">
        <f t="shared" si="21"/>
        <v>50961.805994691349</v>
      </c>
      <c r="X28" s="58">
        <f t="shared" si="22"/>
        <v>106066.26117231246</v>
      </c>
      <c r="Y28" s="52">
        <f t="shared" si="23"/>
        <v>6426.679094108651</v>
      </c>
    </row>
    <row r="29" spans="1:25" x14ac:dyDescent="0.25">
      <c r="A29" s="1218" t="s">
        <v>107</v>
      </c>
      <c r="B29" s="98">
        <v>45292</v>
      </c>
      <c r="C29" s="117" t="str">
        <f t="shared" si="13"/>
        <v>4L</v>
      </c>
      <c r="D29" s="96"/>
      <c r="E29" s="98"/>
      <c r="F29" s="98"/>
      <c r="G29" s="54"/>
      <c r="H29" s="47"/>
      <c r="I29" s="99">
        <f t="shared" si="0"/>
        <v>0</v>
      </c>
      <c r="J29" s="54"/>
      <c r="K29" s="47"/>
      <c r="L29" s="99">
        <f t="shared" si="1"/>
        <v>0</v>
      </c>
      <c r="M29" s="44" t="str">
        <f t="shared" si="14"/>
        <v/>
      </c>
      <c r="N29" s="100">
        <f t="shared" si="15"/>
        <v>0</v>
      </c>
      <c r="O29" s="101">
        <f t="shared" si="16"/>
        <v>0</v>
      </c>
      <c r="P29" s="52">
        <f t="shared" si="17"/>
        <v>0</v>
      </c>
      <c r="Q29" s="49">
        <v>116.88487613461319</v>
      </c>
      <c r="R29">
        <v>2225</v>
      </c>
      <c r="S29" s="50">
        <f t="shared" si="6"/>
        <v>71535.307499999995</v>
      </c>
      <c r="T29" s="50">
        <f t="shared" si="18"/>
        <v>0</v>
      </c>
      <c r="U29" s="58">
        <f t="shared" si="19"/>
        <v>0</v>
      </c>
      <c r="V29" s="58">
        <f t="shared" si="20"/>
        <v>0</v>
      </c>
      <c r="W29" s="58">
        <f t="shared" si="21"/>
        <v>0</v>
      </c>
      <c r="X29" s="58">
        <f t="shared" si="22"/>
        <v>0</v>
      </c>
      <c r="Y29" s="52">
        <f t="shared" si="23"/>
        <v>0</v>
      </c>
    </row>
    <row r="30" spans="1:25" x14ac:dyDescent="0.25">
      <c r="A30" s="1218" t="s">
        <v>108</v>
      </c>
      <c r="B30" s="98">
        <v>45292</v>
      </c>
      <c r="C30" s="117" t="str">
        <f t="shared" si="13"/>
        <v>4L</v>
      </c>
      <c r="D30" s="96"/>
      <c r="E30" s="98"/>
      <c r="F30" s="98"/>
      <c r="G30" s="54"/>
      <c r="H30" s="47"/>
      <c r="I30" s="99">
        <f t="shared" si="0"/>
        <v>0</v>
      </c>
      <c r="J30" s="41">
        <v>223</v>
      </c>
      <c r="K30" s="41">
        <v>3.01</v>
      </c>
      <c r="L30" s="99">
        <f t="shared" si="1"/>
        <v>0.67122999999999988</v>
      </c>
      <c r="M30" s="44" t="str">
        <f t="shared" si="14"/>
        <v/>
      </c>
      <c r="N30" s="100">
        <f t="shared" si="15"/>
        <v>223</v>
      </c>
      <c r="O30" s="101">
        <f t="shared" si="16"/>
        <v>0.67122999999999988</v>
      </c>
      <c r="P30" s="52">
        <f t="shared" si="17"/>
        <v>21951.317075206247</v>
      </c>
      <c r="Q30" s="49">
        <v>116.88487613461319</v>
      </c>
      <c r="R30">
        <v>2225</v>
      </c>
      <c r="S30" s="50">
        <f t="shared" si="6"/>
        <v>71535.307499999995</v>
      </c>
      <c r="T30" s="50">
        <f t="shared" si="18"/>
        <v>0</v>
      </c>
      <c r="U30" s="58">
        <f t="shared" si="19"/>
        <v>48016.644453224988</v>
      </c>
      <c r="V30" s="58">
        <f t="shared" si="20"/>
        <v>0</v>
      </c>
      <c r="W30" s="58">
        <f t="shared" si="21"/>
        <v>26065.327378018741</v>
      </c>
      <c r="X30" s="58">
        <f t="shared" si="22"/>
        <v>0</v>
      </c>
      <c r="Y30" s="52">
        <f t="shared" si="23"/>
        <v>21951.317075206247</v>
      </c>
    </row>
    <row r="31" spans="1:25" x14ac:dyDescent="0.25">
      <c r="A31" s="1218" t="s">
        <v>109</v>
      </c>
      <c r="B31" s="98">
        <v>45292</v>
      </c>
      <c r="C31" s="117" t="str">
        <f t="shared" si="13"/>
        <v>4L</v>
      </c>
      <c r="D31" s="96"/>
      <c r="E31" s="98"/>
      <c r="F31" s="98"/>
      <c r="G31" s="54">
        <v>3150</v>
      </c>
      <c r="H31" s="47">
        <v>2.3899999999999988</v>
      </c>
      <c r="I31" s="99">
        <f t="shared" si="0"/>
        <v>7.5284999999999966</v>
      </c>
      <c r="J31" s="54">
        <v>1105</v>
      </c>
      <c r="K31" s="47">
        <v>2.39</v>
      </c>
      <c r="L31" s="99">
        <f t="shared" si="1"/>
        <v>2.6409500000000001</v>
      </c>
      <c r="M31" s="44">
        <f t="shared" si="14"/>
        <v>-0.64920634920634901</v>
      </c>
      <c r="N31" s="100">
        <f t="shared" si="15"/>
        <v>-2045</v>
      </c>
      <c r="O31" s="101">
        <f t="shared" si="16"/>
        <v>-4.8875499999999965</v>
      </c>
      <c r="P31" s="52">
        <f t="shared" si="17"/>
        <v>59763.382213377423</v>
      </c>
      <c r="Q31" s="49">
        <v>116.88487613461319</v>
      </c>
      <c r="R31">
        <v>2225</v>
      </c>
      <c r="S31" s="50">
        <f t="shared" si="6"/>
        <v>71535.307499999995</v>
      </c>
      <c r="T31" s="50">
        <f t="shared" si="18"/>
        <v>538553.5625137497</v>
      </c>
      <c r="U31" s="58">
        <f t="shared" si="19"/>
        <v>188921.170342125</v>
      </c>
      <c r="V31" s="58">
        <f t="shared" si="20"/>
        <v>368187.35982403153</v>
      </c>
      <c r="W31" s="58">
        <f t="shared" si="21"/>
        <v>129157.78812874758</v>
      </c>
      <c r="X31" s="58">
        <f t="shared" si="22"/>
        <v>170366.20268971816</v>
      </c>
      <c r="Y31" s="52">
        <f t="shared" si="23"/>
        <v>59763.382213377423</v>
      </c>
    </row>
    <row r="32" spans="1:25" x14ac:dyDescent="0.25">
      <c r="A32" s="1218" t="s">
        <v>110</v>
      </c>
      <c r="B32" s="98">
        <v>45292</v>
      </c>
      <c r="C32" s="117" t="str">
        <f t="shared" si="13"/>
        <v>4L</v>
      </c>
      <c r="D32" s="96"/>
      <c r="E32" s="98"/>
      <c r="F32" s="98"/>
      <c r="G32" s="54"/>
      <c r="H32" s="47"/>
      <c r="I32" s="99">
        <f t="shared" si="0"/>
        <v>0</v>
      </c>
      <c r="J32" s="41">
        <v>2209</v>
      </c>
      <c r="K32" s="41">
        <v>2.33</v>
      </c>
      <c r="L32" s="99">
        <f t="shared" si="1"/>
        <v>5.1469700000000005</v>
      </c>
      <c r="M32" s="44" t="str">
        <f t="shared" si="14"/>
        <v/>
      </c>
      <c r="N32" s="100">
        <f t="shared" si="15"/>
        <v>2209</v>
      </c>
      <c r="O32" s="101">
        <f t="shared" si="16"/>
        <v>5.1469700000000005</v>
      </c>
      <c r="P32" s="52">
        <f t="shared" si="17"/>
        <v>109991.39026191444</v>
      </c>
      <c r="Q32" s="49">
        <v>116.88487613461319</v>
      </c>
      <c r="R32">
        <v>2225</v>
      </c>
      <c r="S32" s="50">
        <f t="shared" si="6"/>
        <v>71535.307499999995</v>
      </c>
      <c r="T32" s="50">
        <f t="shared" si="18"/>
        <v>0</v>
      </c>
      <c r="U32" s="58">
        <f t="shared" si="19"/>
        <v>368190.08164327499</v>
      </c>
      <c r="V32" s="58">
        <f t="shared" si="20"/>
        <v>0</v>
      </c>
      <c r="W32" s="58">
        <f t="shared" si="21"/>
        <v>258198.69138136055</v>
      </c>
      <c r="X32" s="58">
        <f t="shared" si="22"/>
        <v>0</v>
      </c>
      <c r="Y32" s="52">
        <f t="shared" si="23"/>
        <v>109991.39026191444</v>
      </c>
    </row>
    <row r="33" spans="1:25" x14ac:dyDescent="0.25">
      <c r="A33" s="1218" t="s">
        <v>111</v>
      </c>
      <c r="B33" s="98">
        <v>45292</v>
      </c>
      <c r="C33" s="117" t="str">
        <f t="shared" si="13"/>
        <v>4L</v>
      </c>
      <c r="D33" s="96"/>
      <c r="E33" s="98"/>
      <c r="F33" s="98"/>
      <c r="G33" s="54">
        <v>1050</v>
      </c>
      <c r="H33" s="47">
        <v>2.3900000000000015</v>
      </c>
      <c r="I33" s="99">
        <f t="shared" si="0"/>
        <v>2.5095000000000014</v>
      </c>
      <c r="J33" s="54">
        <v>2266</v>
      </c>
      <c r="K33" s="47">
        <v>2.35</v>
      </c>
      <c r="L33" s="99">
        <f t="shared" si="1"/>
        <v>5.3250999999999999</v>
      </c>
      <c r="M33" s="44">
        <f t="shared" si="14"/>
        <v>1.1219764893405049</v>
      </c>
      <c r="N33" s="100">
        <f t="shared" si="15"/>
        <v>1216</v>
      </c>
      <c r="O33" s="101">
        <f t="shared" si="16"/>
        <v>2.8155999999999985</v>
      </c>
      <c r="P33" s="52">
        <f t="shared" si="17"/>
        <v>116071.53664721648</v>
      </c>
      <c r="Q33" s="49">
        <v>116.88487613461319</v>
      </c>
      <c r="R33">
        <v>2225</v>
      </c>
      <c r="S33" s="50">
        <f t="shared" si="6"/>
        <v>71535.307499999995</v>
      </c>
      <c r="T33" s="50">
        <f t="shared" si="18"/>
        <v>179517.85417125007</v>
      </c>
      <c r="U33" s="58">
        <f t="shared" si="19"/>
        <v>380932.66596824996</v>
      </c>
      <c r="V33" s="58">
        <f t="shared" si="20"/>
        <v>122729.11994134386</v>
      </c>
      <c r="W33" s="58">
        <f t="shared" si="21"/>
        <v>264861.12932103348</v>
      </c>
      <c r="X33" s="58">
        <f t="shared" si="22"/>
        <v>56788.734229906215</v>
      </c>
      <c r="Y33" s="52">
        <f t="shared" si="23"/>
        <v>116071.53664721648</v>
      </c>
    </row>
    <row r="34" spans="1:25" x14ac:dyDescent="0.25">
      <c r="A34" s="1218" t="s">
        <v>112</v>
      </c>
      <c r="B34" s="98">
        <v>45292</v>
      </c>
      <c r="C34" s="117" t="str">
        <f t="shared" si="13"/>
        <v>4L</v>
      </c>
      <c r="D34" s="96"/>
      <c r="E34" s="98"/>
      <c r="F34" s="98"/>
      <c r="G34" s="41">
        <v>2100</v>
      </c>
      <c r="H34" s="41">
        <v>3.1620000000000013</v>
      </c>
      <c r="I34" s="99">
        <f t="shared" si="0"/>
        <v>6.6402000000000028</v>
      </c>
      <c r="J34" s="102">
        <v>0</v>
      </c>
      <c r="K34" s="103">
        <v>0</v>
      </c>
      <c r="L34" s="99">
        <f t="shared" si="1"/>
        <v>0</v>
      </c>
      <c r="M34" s="44">
        <f t="shared" si="14"/>
        <v>-1</v>
      </c>
      <c r="N34" s="100">
        <f t="shared" si="15"/>
        <v>-2100</v>
      </c>
      <c r="O34" s="101">
        <f t="shared" si="16"/>
        <v>-6.6402000000000028</v>
      </c>
      <c r="P34" s="52">
        <f t="shared" si="17"/>
        <v>0</v>
      </c>
      <c r="Q34" s="49">
        <v>116.88487613461319</v>
      </c>
      <c r="R34">
        <v>2225</v>
      </c>
      <c r="S34" s="50">
        <f t="shared" si="6"/>
        <v>71535.307499999995</v>
      </c>
      <c r="T34" s="50">
        <f t="shared" si="18"/>
        <v>475008.74886150018</v>
      </c>
      <c r="U34" s="58">
        <f t="shared" si="19"/>
        <v>0</v>
      </c>
      <c r="V34" s="58">
        <f t="shared" si="20"/>
        <v>245458.23988268772</v>
      </c>
      <c r="W34" s="58">
        <f t="shared" si="21"/>
        <v>0</v>
      </c>
      <c r="X34" s="58">
        <f t="shared" si="22"/>
        <v>229550.50897881246</v>
      </c>
      <c r="Y34" s="52">
        <f t="shared" si="23"/>
        <v>0</v>
      </c>
    </row>
    <row r="35" spans="1:25" x14ac:dyDescent="0.25">
      <c r="A35" s="1218" t="s">
        <v>113</v>
      </c>
      <c r="B35" s="98">
        <v>45292</v>
      </c>
      <c r="C35" s="117" t="str">
        <f t="shared" si="13"/>
        <v>4L</v>
      </c>
      <c r="D35" s="96"/>
      <c r="E35" s="98"/>
      <c r="F35" s="98"/>
      <c r="G35" s="41">
        <v>2100</v>
      </c>
      <c r="H35" s="41">
        <v>3.1620000000000013</v>
      </c>
      <c r="I35" s="99">
        <f t="shared" si="0"/>
        <v>6.6402000000000028</v>
      </c>
      <c r="J35" s="102">
        <v>0</v>
      </c>
      <c r="K35" s="104">
        <v>0</v>
      </c>
      <c r="L35" s="99">
        <f t="shared" si="1"/>
        <v>0</v>
      </c>
      <c r="M35" s="44">
        <f t="shared" si="14"/>
        <v>-1</v>
      </c>
      <c r="N35" s="100">
        <f t="shared" si="15"/>
        <v>-2100</v>
      </c>
      <c r="O35" s="101">
        <f t="shared" si="16"/>
        <v>-6.6402000000000028</v>
      </c>
      <c r="P35" s="52">
        <f t="shared" si="17"/>
        <v>0</v>
      </c>
      <c r="Q35" s="49">
        <v>116.88487613461319</v>
      </c>
      <c r="R35">
        <v>2225</v>
      </c>
      <c r="S35" s="50">
        <f t="shared" si="6"/>
        <v>71535.307499999995</v>
      </c>
      <c r="T35" s="50">
        <f t="shared" si="18"/>
        <v>475008.74886150018</v>
      </c>
      <c r="U35" s="58">
        <f t="shared" si="19"/>
        <v>0</v>
      </c>
      <c r="V35" s="58">
        <f t="shared" si="20"/>
        <v>245458.23988268772</v>
      </c>
      <c r="W35" s="58">
        <f t="shared" si="21"/>
        <v>0</v>
      </c>
      <c r="X35" s="58">
        <f t="shared" si="22"/>
        <v>229550.50897881246</v>
      </c>
      <c r="Y35" s="52">
        <f t="shared" si="23"/>
        <v>0</v>
      </c>
    </row>
    <row r="36" spans="1:25" x14ac:dyDescent="0.25">
      <c r="A36" s="1218" t="s">
        <v>114</v>
      </c>
      <c r="B36" s="98">
        <v>45292</v>
      </c>
      <c r="C36" s="117" t="str">
        <f t="shared" si="13"/>
        <v>4L</v>
      </c>
      <c r="D36" s="96"/>
      <c r="E36" s="98"/>
      <c r="F36" s="98"/>
      <c r="G36" s="41"/>
      <c r="H36" s="41"/>
      <c r="I36" s="99">
        <f t="shared" si="0"/>
        <v>0</v>
      </c>
      <c r="J36" s="41">
        <v>1622</v>
      </c>
      <c r="K36" s="41">
        <v>3.4</v>
      </c>
      <c r="L36" s="99">
        <f t="shared" si="1"/>
        <v>5.5148000000000001</v>
      </c>
      <c r="M36" s="44" t="str">
        <f t="shared" si="14"/>
        <v/>
      </c>
      <c r="N36" s="100">
        <f t="shared" si="15"/>
        <v>1622</v>
      </c>
      <c r="O36" s="101">
        <f t="shared" si="16"/>
        <v>5.5148000000000001</v>
      </c>
      <c r="P36" s="52">
        <f t="shared" si="17"/>
        <v>204915.64471065739</v>
      </c>
      <c r="Q36" s="49">
        <v>116.88487613461319</v>
      </c>
      <c r="R36">
        <v>2225</v>
      </c>
      <c r="S36" s="50">
        <f t="shared" si="6"/>
        <v>71535.307499999995</v>
      </c>
      <c r="T36" s="50">
        <f t="shared" si="18"/>
        <v>0</v>
      </c>
      <c r="U36" s="58">
        <f t="shared" si="19"/>
        <v>394502.91380099999</v>
      </c>
      <c r="V36" s="58">
        <f t="shared" si="20"/>
        <v>0</v>
      </c>
      <c r="W36" s="58">
        <f t="shared" si="21"/>
        <v>189587.2690903426</v>
      </c>
      <c r="X36" s="58">
        <f t="shared" si="22"/>
        <v>0</v>
      </c>
      <c r="Y36" s="52">
        <f t="shared" si="23"/>
        <v>204915.64471065739</v>
      </c>
    </row>
    <row r="37" spans="1:25" x14ac:dyDescent="0.25">
      <c r="A37" s="1218" t="s">
        <v>115</v>
      </c>
      <c r="B37" s="98">
        <v>45292</v>
      </c>
      <c r="C37" s="117" t="str">
        <f t="shared" si="13"/>
        <v>4L</v>
      </c>
      <c r="D37" s="96"/>
      <c r="E37" s="98"/>
      <c r="F37" s="98"/>
      <c r="G37" s="41"/>
      <c r="H37" s="41"/>
      <c r="I37" s="99">
        <f t="shared" si="0"/>
        <v>0</v>
      </c>
      <c r="J37" s="41">
        <v>326</v>
      </c>
      <c r="K37" s="41">
        <v>2.2000000000000002</v>
      </c>
      <c r="L37" s="99">
        <f t="shared" si="1"/>
        <v>0.71720000000000006</v>
      </c>
      <c r="M37" s="44" t="str">
        <f t="shared" si="14"/>
        <v/>
      </c>
      <c r="N37" s="100">
        <f t="shared" si="15"/>
        <v>326</v>
      </c>
      <c r="O37" s="101">
        <f t="shared" si="16"/>
        <v>0.71720000000000006</v>
      </c>
      <c r="P37" s="52">
        <f t="shared" si="17"/>
        <v>13200.652919116103</v>
      </c>
      <c r="Q37" s="49">
        <v>116.88487613461319</v>
      </c>
      <c r="R37">
        <v>2225</v>
      </c>
      <c r="S37" s="50">
        <f t="shared" si="6"/>
        <v>71535.307499999995</v>
      </c>
      <c r="T37" s="50">
        <f t="shared" si="18"/>
        <v>0</v>
      </c>
      <c r="U37" s="58">
        <f t="shared" si="19"/>
        <v>51305.122539000004</v>
      </c>
      <c r="V37" s="58">
        <f t="shared" si="20"/>
        <v>0</v>
      </c>
      <c r="W37" s="58">
        <f t="shared" si="21"/>
        <v>38104.469619883901</v>
      </c>
      <c r="X37" s="58">
        <f t="shared" si="22"/>
        <v>0</v>
      </c>
      <c r="Y37" s="52">
        <f t="shared" si="23"/>
        <v>13200.652919116103</v>
      </c>
    </row>
    <row r="38" spans="1:25" x14ac:dyDescent="0.25">
      <c r="A38" s="1218" t="s">
        <v>116</v>
      </c>
      <c r="B38" s="98">
        <v>45292</v>
      </c>
      <c r="C38" s="117" t="str">
        <f t="shared" si="13"/>
        <v>4L</v>
      </c>
      <c r="D38" s="96"/>
      <c r="E38" s="98"/>
      <c r="F38" s="98"/>
      <c r="G38" s="41"/>
      <c r="H38" s="41"/>
      <c r="I38" s="99">
        <f t="shared" si="0"/>
        <v>0</v>
      </c>
      <c r="J38" s="41">
        <v>0</v>
      </c>
      <c r="K38" s="41">
        <v>0</v>
      </c>
      <c r="L38" s="99">
        <f t="shared" si="1"/>
        <v>0</v>
      </c>
      <c r="M38" s="44" t="str">
        <f t="shared" si="14"/>
        <v/>
      </c>
      <c r="N38" s="100">
        <f t="shared" si="15"/>
        <v>0</v>
      </c>
      <c r="O38" s="101">
        <f t="shared" si="16"/>
        <v>0</v>
      </c>
      <c r="P38" s="52">
        <f t="shared" si="17"/>
        <v>0</v>
      </c>
      <c r="Q38" s="49">
        <v>116.88487613461319</v>
      </c>
      <c r="R38">
        <v>2225</v>
      </c>
      <c r="S38" s="50">
        <f t="shared" si="6"/>
        <v>71535.307499999995</v>
      </c>
      <c r="T38" s="50">
        <f t="shared" si="18"/>
        <v>0</v>
      </c>
      <c r="U38" s="58">
        <f t="shared" si="19"/>
        <v>0</v>
      </c>
      <c r="V38" s="58">
        <f t="shared" si="20"/>
        <v>0</v>
      </c>
      <c r="W38" s="58">
        <f t="shared" si="21"/>
        <v>0</v>
      </c>
      <c r="X38" s="58">
        <f t="shared" si="22"/>
        <v>0</v>
      </c>
      <c r="Y38" s="52">
        <f t="shared" si="23"/>
        <v>0</v>
      </c>
    </row>
    <row r="39" spans="1:25" x14ac:dyDescent="0.25">
      <c r="A39" s="1218" t="s">
        <v>117</v>
      </c>
      <c r="B39" s="98">
        <v>45292</v>
      </c>
      <c r="C39" s="117" t="str">
        <f t="shared" si="13"/>
        <v>4L</v>
      </c>
      <c r="D39" s="96"/>
      <c r="E39" s="98"/>
      <c r="F39" s="98"/>
      <c r="G39" s="41"/>
      <c r="H39" s="41"/>
      <c r="I39" s="99">
        <f t="shared" si="0"/>
        <v>0</v>
      </c>
      <c r="J39" s="41">
        <v>1615</v>
      </c>
      <c r="K39" s="41">
        <v>2.68</v>
      </c>
      <c r="L39" s="99">
        <f t="shared" si="1"/>
        <v>4.3281999999999998</v>
      </c>
      <c r="M39" s="44" t="str">
        <f t="shared" si="14"/>
        <v/>
      </c>
      <c r="N39" s="100">
        <f t="shared" si="15"/>
        <v>1615</v>
      </c>
      <c r="O39" s="101">
        <f t="shared" si="16"/>
        <v>4.3281999999999998</v>
      </c>
      <c r="P39" s="52">
        <f t="shared" si="17"/>
        <v>120850.04296409964</v>
      </c>
      <c r="Q39" s="49">
        <v>116.88487613461319</v>
      </c>
      <c r="R39">
        <v>2225</v>
      </c>
      <c r="S39" s="50">
        <f t="shared" si="6"/>
        <v>71535.307499999995</v>
      </c>
      <c r="T39" s="50">
        <f t="shared" si="18"/>
        <v>0</v>
      </c>
      <c r="U39" s="58">
        <f t="shared" si="19"/>
        <v>309619.11792149994</v>
      </c>
      <c r="V39" s="58">
        <f t="shared" si="20"/>
        <v>0</v>
      </c>
      <c r="W39" s="58">
        <f t="shared" si="21"/>
        <v>188769.0749574003</v>
      </c>
      <c r="X39" s="58">
        <f t="shared" si="22"/>
        <v>0</v>
      </c>
      <c r="Y39" s="52">
        <f t="shared" si="23"/>
        <v>120850.04296409964</v>
      </c>
    </row>
    <row r="40" spans="1:25" x14ac:dyDescent="0.25">
      <c r="A40" s="1218" t="s">
        <v>118</v>
      </c>
      <c r="B40" s="98">
        <v>45292</v>
      </c>
      <c r="C40" s="117" t="str">
        <f t="shared" si="13"/>
        <v>4L</v>
      </c>
      <c r="D40" s="96"/>
      <c r="E40" s="98"/>
      <c r="F40" s="98"/>
      <c r="G40" s="41"/>
      <c r="H40" s="41"/>
      <c r="I40" s="99">
        <f t="shared" si="0"/>
        <v>0</v>
      </c>
      <c r="J40" s="102"/>
      <c r="K40" s="104"/>
      <c r="L40" s="99">
        <f t="shared" si="1"/>
        <v>0</v>
      </c>
      <c r="M40" s="44" t="str">
        <f t="shared" si="14"/>
        <v/>
      </c>
      <c r="N40" s="100">
        <f t="shared" si="15"/>
        <v>0</v>
      </c>
      <c r="O40" s="101">
        <f t="shared" si="16"/>
        <v>0</v>
      </c>
      <c r="P40" s="52">
        <f t="shared" si="17"/>
        <v>0</v>
      </c>
      <c r="Q40" s="49">
        <v>116.88487613461319</v>
      </c>
      <c r="R40">
        <v>2225</v>
      </c>
      <c r="S40" s="50">
        <f t="shared" si="6"/>
        <v>71535.307499999995</v>
      </c>
      <c r="T40" s="50">
        <f t="shared" si="18"/>
        <v>0</v>
      </c>
      <c r="U40" s="58">
        <f t="shared" si="19"/>
        <v>0</v>
      </c>
      <c r="V40" s="58">
        <f t="shared" si="20"/>
        <v>0</v>
      </c>
      <c r="W40" s="58">
        <f t="shared" si="21"/>
        <v>0</v>
      </c>
      <c r="X40" s="58">
        <f t="shared" si="22"/>
        <v>0</v>
      </c>
      <c r="Y40" s="52">
        <f t="shared" si="23"/>
        <v>0</v>
      </c>
    </row>
    <row r="41" spans="1:25" x14ac:dyDescent="0.25">
      <c r="A41" s="1218" t="s">
        <v>119</v>
      </c>
      <c r="B41" s="98">
        <v>45292</v>
      </c>
      <c r="C41" s="117" t="str">
        <f t="shared" si="13"/>
        <v>4L</v>
      </c>
      <c r="D41" s="96"/>
      <c r="E41" s="98"/>
      <c r="F41" s="98"/>
      <c r="G41" s="41"/>
      <c r="H41" s="41"/>
      <c r="I41" s="99">
        <f t="shared" si="0"/>
        <v>0</v>
      </c>
      <c r="J41" s="102"/>
      <c r="K41" s="104"/>
      <c r="L41" s="99">
        <f t="shared" si="1"/>
        <v>0</v>
      </c>
      <c r="M41" s="44" t="str">
        <f t="shared" si="14"/>
        <v/>
      </c>
      <c r="N41" s="100">
        <f t="shared" si="15"/>
        <v>0</v>
      </c>
      <c r="O41" s="101">
        <f t="shared" si="16"/>
        <v>0</v>
      </c>
      <c r="P41" s="52">
        <f t="shared" si="17"/>
        <v>0</v>
      </c>
      <c r="Q41" s="49">
        <v>116.88487613461319</v>
      </c>
      <c r="R41">
        <v>2225</v>
      </c>
      <c r="S41" s="50">
        <f t="shared" si="6"/>
        <v>71535.307499999995</v>
      </c>
      <c r="T41" s="50">
        <f t="shared" si="18"/>
        <v>0</v>
      </c>
      <c r="U41" s="58">
        <f t="shared" si="19"/>
        <v>0</v>
      </c>
      <c r="V41" s="58">
        <f t="shared" si="20"/>
        <v>0</v>
      </c>
      <c r="W41" s="58">
        <f t="shared" si="21"/>
        <v>0</v>
      </c>
      <c r="X41" s="58">
        <f t="shared" si="22"/>
        <v>0</v>
      </c>
      <c r="Y41" s="52">
        <f t="shared" si="23"/>
        <v>0</v>
      </c>
    </row>
    <row r="42" spans="1:25" x14ac:dyDescent="0.25">
      <c r="A42" s="1218" t="s">
        <v>120</v>
      </c>
      <c r="B42" s="98">
        <v>45292</v>
      </c>
      <c r="C42" s="117" t="str">
        <f t="shared" si="13"/>
        <v>4L</v>
      </c>
      <c r="D42" s="96"/>
      <c r="E42" s="98"/>
      <c r="F42" s="98"/>
      <c r="G42" s="41"/>
      <c r="H42" s="41"/>
      <c r="I42" s="99">
        <f t="shared" si="0"/>
        <v>0</v>
      </c>
      <c r="J42" s="102"/>
      <c r="K42" s="104"/>
      <c r="L42" s="99">
        <f t="shared" si="1"/>
        <v>0</v>
      </c>
      <c r="M42" s="44" t="str">
        <f t="shared" si="14"/>
        <v/>
      </c>
      <c r="N42" s="100">
        <f t="shared" si="15"/>
        <v>0</v>
      </c>
      <c r="O42" s="101">
        <f t="shared" si="16"/>
        <v>0</v>
      </c>
      <c r="P42" s="52">
        <f t="shared" si="17"/>
        <v>0</v>
      </c>
      <c r="Q42" s="49">
        <v>116.88487613461319</v>
      </c>
      <c r="R42">
        <v>2225</v>
      </c>
      <c r="S42" s="50">
        <f t="shared" si="6"/>
        <v>71535.307499999995</v>
      </c>
      <c r="T42" s="50">
        <f t="shared" si="18"/>
        <v>0</v>
      </c>
      <c r="U42" s="58">
        <f t="shared" si="19"/>
        <v>0</v>
      </c>
      <c r="V42" s="58">
        <f t="shared" si="20"/>
        <v>0</v>
      </c>
      <c r="W42" s="58">
        <f t="shared" si="21"/>
        <v>0</v>
      </c>
      <c r="X42" s="58">
        <f t="shared" si="22"/>
        <v>0</v>
      </c>
      <c r="Y42" s="52">
        <f t="shared" si="23"/>
        <v>0</v>
      </c>
    </row>
    <row r="43" spans="1:25" x14ac:dyDescent="0.25">
      <c r="A43" s="1218" t="s">
        <v>121</v>
      </c>
      <c r="B43" s="98">
        <v>45292</v>
      </c>
      <c r="C43" s="117" t="str">
        <f t="shared" si="13"/>
        <v>4L</v>
      </c>
      <c r="D43" s="96"/>
      <c r="E43" s="98"/>
      <c r="F43" s="98"/>
      <c r="G43" s="41"/>
      <c r="H43" s="41"/>
      <c r="I43" s="99">
        <f t="shared" si="0"/>
        <v>0</v>
      </c>
      <c r="J43" s="102"/>
      <c r="K43" s="104"/>
      <c r="L43" s="99">
        <f t="shared" si="1"/>
        <v>0</v>
      </c>
      <c r="M43" s="44" t="str">
        <f t="shared" si="14"/>
        <v/>
      </c>
      <c r="N43" s="100">
        <f t="shared" si="15"/>
        <v>0</v>
      </c>
      <c r="O43" s="101">
        <f t="shared" si="16"/>
        <v>0</v>
      </c>
      <c r="P43" s="52">
        <f t="shared" si="17"/>
        <v>0</v>
      </c>
      <c r="Q43" s="49">
        <v>116.88487613461319</v>
      </c>
      <c r="R43">
        <v>2225</v>
      </c>
      <c r="S43" s="50">
        <f t="shared" si="6"/>
        <v>71535.307499999995</v>
      </c>
      <c r="T43" s="50">
        <f t="shared" si="18"/>
        <v>0</v>
      </c>
      <c r="U43" s="58">
        <f t="shared" si="19"/>
        <v>0</v>
      </c>
      <c r="V43" s="58">
        <f t="shared" si="20"/>
        <v>0</v>
      </c>
      <c r="W43" s="58">
        <f t="shared" si="21"/>
        <v>0</v>
      </c>
      <c r="X43" s="58">
        <f t="shared" si="22"/>
        <v>0</v>
      </c>
      <c r="Y43" s="52">
        <f t="shared" si="23"/>
        <v>0</v>
      </c>
    </row>
    <row r="44" spans="1:25" x14ac:dyDescent="0.25">
      <c r="A44" s="1218" t="s">
        <v>122</v>
      </c>
      <c r="B44" s="98">
        <v>45292</v>
      </c>
      <c r="C44" s="117" t="str">
        <f t="shared" si="13"/>
        <v>4L</v>
      </c>
      <c r="D44" s="96"/>
      <c r="E44" s="98"/>
      <c r="F44" s="98"/>
      <c r="G44" s="41"/>
      <c r="H44" s="41"/>
      <c r="I44" s="99">
        <f t="shared" si="0"/>
        <v>0</v>
      </c>
      <c r="J44" s="102"/>
      <c r="K44" s="104"/>
      <c r="L44" s="99">
        <f t="shared" si="1"/>
        <v>0</v>
      </c>
      <c r="M44" s="44" t="str">
        <f t="shared" si="14"/>
        <v/>
      </c>
      <c r="N44" s="100">
        <f t="shared" si="15"/>
        <v>0</v>
      </c>
      <c r="O44" s="101">
        <f t="shared" si="16"/>
        <v>0</v>
      </c>
      <c r="P44" s="52">
        <f t="shared" si="17"/>
        <v>0</v>
      </c>
      <c r="Q44" s="49">
        <v>116.88487613461319</v>
      </c>
      <c r="R44">
        <v>2225</v>
      </c>
      <c r="S44" s="50">
        <f t="shared" si="6"/>
        <v>71535.307499999995</v>
      </c>
      <c r="T44" s="50">
        <f t="shared" si="18"/>
        <v>0</v>
      </c>
      <c r="U44" s="58">
        <f t="shared" si="19"/>
        <v>0</v>
      </c>
      <c r="V44" s="58">
        <f t="shared" si="20"/>
        <v>0</v>
      </c>
      <c r="W44" s="58">
        <f t="shared" si="21"/>
        <v>0</v>
      </c>
      <c r="X44" s="58">
        <f t="shared" si="22"/>
        <v>0</v>
      </c>
      <c r="Y44" s="52">
        <f t="shared" si="23"/>
        <v>0</v>
      </c>
    </row>
    <row r="45" spans="1:25" x14ac:dyDescent="0.25">
      <c r="A45" s="1218" t="s">
        <v>123</v>
      </c>
      <c r="B45" s="98">
        <v>45292</v>
      </c>
      <c r="C45" s="117" t="str">
        <f t="shared" si="13"/>
        <v>4L</v>
      </c>
      <c r="D45" s="96"/>
      <c r="E45" s="98"/>
      <c r="F45" s="98"/>
      <c r="G45" s="41"/>
      <c r="H45" s="41"/>
      <c r="I45" s="99">
        <f t="shared" si="0"/>
        <v>0</v>
      </c>
      <c r="J45" s="102"/>
      <c r="K45" s="104"/>
      <c r="L45" s="99">
        <f t="shared" si="1"/>
        <v>0</v>
      </c>
      <c r="M45" s="44" t="str">
        <f t="shared" si="14"/>
        <v/>
      </c>
      <c r="N45" s="100">
        <f t="shared" si="15"/>
        <v>0</v>
      </c>
      <c r="O45" s="101">
        <f t="shared" si="16"/>
        <v>0</v>
      </c>
      <c r="P45" s="52">
        <f t="shared" si="17"/>
        <v>0</v>
      </c>
      <c r="Q45" s="49">
        <v>116.88487613461319</v>
      </c>
      <c r="R45">
        <v>2225</v>
      </c>
      <c r="S45" s="50">
        <f t="shared" si="6"/>
        <v>71535.307499999995</v>
      </c>
      <c r="T45" s="50">
        <f t="shared" si="18"/>
        <v>0</v>
      </c>
      <c r="U45" s="58">
        <f t="shared" si="19"/>
        <v>0</v>
      </c>
      <c r="V45" s="58">
        <f t="shared" si="20"/>
        <v>0</v>
      </c>
      <c r="W45" s="58">
        <f t="shared" si="21"/>
        <v>0</v>
      </c>
      <c r="X45" s="58">
        <f t="shared" si="22"/>
        <v>0</v>
      </c>
      <c r="Y45" s="52">
        <f t="shared" si="23"/>
        <v>0</v>
      </c>
    </row>
    <row r="46" spans="1:25" x14ac:dyDescent="0.25">
      <c r="A46" s="1218" t="s">
        <v>124</v>
      </c>
      <c r="B46" s="98">
        <v>45292</v>
      </c>
      <c r="C46" s="117" t="str">
        <f t="shared" si="13"/>
        <v>4L</v>
      </c>
      <c r="D46" s="96"/>
      <c r="E46" s="98"/>
      <c r="F46" s="98"/>
      <c r="G46" s="41"/>
      <c r="H46" s="41"/>
      <c r="I46" s="99">
        <f t="shared" si="0"/>
        <v>0</v>
      </c>
      <c r="J46" s="102"/>
      <c r="K46" s="104"/>
      <c r="L46" s="99">
        <f t="shared" si="1"/>
        <v>0</v>
      </c>
      <c r="M46" s="44" t="str">
        <f t="shared" si="14"/>
        <v/>
      </c>
      <c r="N46" s="100">
        <f t="shared" si="15"/>
        <v>0</v>
      </c>
      <c r="O46" s="101">
        <f t="shared" si="16"/>
        <v>0</v>
      </c>
      <c r="P46" s="52">
        <f t="shared" si="17"/>
        <v>0</v>
      </c>
      <c r="Q46" s="49">
        <v>116.88487613461319</v>
      </c>
      <c r="R46">
        <v>2225</v>
      </c>
      <c r="S46" s="50">
        <f t="shared" si="6"/>
        <v>71535.307499999995</v>
      </c>
      <c r="T46" s="50">
        <f t="shared" si="18"/>
        <v>0</v>
      </c>
      <c r="U46" s="58">
        <f t="shared" si="19"/>
        <v>0</v>
      </c>
      <c r="V46" s="58">
        <f t="shared" si="20"/>
        <v>0</v>
      </c>
      <c r="W46" s="58">
        <f t="shared" si="21"/>
        <v>0</v>
      </c>
      <c r="X46" s="58">
        <f t="shared" si="22"/>
        <v>0</v>
      </c>
      <c r="Y46" s="52">
        <f t="shared" si="23"/>
        <v>0</v>
      </c>
    </row>
    <row r="47" spans="1:25" x14ac:dyDescent="0.25">
      <c r="A47" s="1218" t="s">
        <v>125</v>
      </c>
      <c r="B47" s="98">
        <v>45292</v>
      </c>
      <c r="C47" s="117" t="str">
        <f t="shared" si="13"/>
        <v>4L</v>
      </c>
      <c r="D47" s="96"/>
      <c r="E47" s="98"/>
      <c r="F47" s="98"/>
      <c r="G47" s="41"/>
      <c r="H47" s="41"/>
      <c r="I47" s="99">
        <f t="shared" si="0"/>
        <v>0</v>
      </c>
      <c r="J47" s="102"/>
      <c r="K47" s="104"/>
      <c r="L47" s="99">
        <f t="shared" si="1"/>
        <v>0</v>
      </c>
      <c r="M47" s="44" t="str">
        <f t="shared" si="14"/>
        <v/>
      </c>
      <c r="N47" s="100">
        <f t="shared" si="15"/>
        <v>0</v>
      </c>
      <c r="O47" s="101">
        <f t="shared" si="16"/>
        <v>0</v>
      </c>
      <c r="P47" s="52">
        <f t="shared" si="17"/>
        <v>0</v>
      </c>
      <c r="Q47" s="49">
        <v>116.88487613461319</v>
      </c>
      <c r="R47">
        <v>2225</v>
      </c>
      <c r="S47" s="50">
        <f t="shared" si="6"/>
        <v>71535.307499999995</v>
      </c>
      <c r="T47" s="50">
        <f t="shared" si="18"/>
        <v>0</v>
      </c>
      <c r="U47" s="58">
        <f t="shared" si="19"/>
        <v>0</v>
      </c>
      <c r="V47" s="58">
        <f t="shared" si="20"/>
        <v>0</v>
      </c>
      <c r="W47" s="58">
        <f t="shared" si="21"/>
        <v>0</v>
      </c>
      <c r="X47" s="58">
        <f t="shared" si="22"/>
        <v>0</v>
      </c>
      <c r="Y47" s="52">
        <f t="shared" si="23"/>
        <v>0</v>
      </c>
    </row>
    <row r="48" spans="1:25" x14ac:dyDescent="0.25">
      <c r="A48" s="1218" t="s">
        <v>126</v>
      </c>
      <c r="B48" s="98">
        <v>45292</v>
      </c>
      <c r="C48" s="117" t="str">
        <f t="shared" si="13"/>
        <v>4L</v>
      </c>
      <c r="D48" s="96"/>
      <c r="E48" s="98"/>
      <c r="F48" s="98"/>
      <c r="G48" s="41"/>
      <c r="H48" s="41"/>
      <c r="I48" s="99"/>
      <c r="J48" s="102"/>
      <c r="K48" s="104"/>
      <c r="L48" s="99"/>
      <c r="M48" s="44"/>
      <c r="N48" s="100"/>
      <c r="O48" s="101"/>
      <c r="P48" s="52"/>
      <c r="Q48" s="49"/>
      <c r="S48" s="50"/>
      <c r="T48" s="50"/>
      <c r="U48" s="58"/>
      <c r="V48" s="58"/>
      <c r="W48" s="58"/>
      <c r="X48" s="58"/>
      <c r="Y48" s="52"/>
    </row>
    <row r="49" spans="1:25" x14ac:dyDescent="0.25">
      <c r="A49" s="1218" t="s">
        <v>127</v>
      </c>
      <c r="B49" s="98">
        <v>45292</v>
      </c>
      <c r="C49" s="117" t="str">
        <f t="shared" si="13"/>
        <v>4L</v>
      </c>
      <c r="D49" s="96"/>
      <c r="E49" s="98"/>
      <c r="F49" s="98"/>
      <c r="G49" s="41"/>
      <c r="H49" s="41"/>
      <c r="I49" s="99"/>
      <c r="J49" s="102"/>
      <c r="K49" s="104"/>
      <c r="L49" s="99"/>
      <c r="M49" s="44"/>
      <c r="N49" s="100"/>
      <c r="O49" s="101"/>
      <c r="P49" s="52"/>
      <c r="Q49" s="49"/>
      <c r="S49" s="50"/>
      <c r="T49" s="50"/>
      <c r="U49" s="58"/>
      <c r="V49" s="58"/>
      <c r="W49" s="58"/>
      <c r="X49" s="58"/>
      <c r="Y49" s="52"/>
    </row>
    <row r="50" spans="1:25" x14ac:dyDescent="0.25">
      <c r="A50" s="1218" t="s">
        <v>128</v>
      </c>
      <c r="B50" s="98">
        <v>45292</v>
      </c>
      <c r="C50" s="117" t="str">
        <f t="shared" si="13"/>
        <v>4L</v>
      </c>
      <c r="D50" s="96"/>
      <c r="E50" s="98"/>
      <c r="F50" s="98"/>
      <c r="G50" s="41"/>
      <c r="H50" s="41"/>
      <c r="I50" s="99"/>
      <c r="J50" s="102"/>
      <c r="K50" s="104"/>
      <c r="L50" s="99"/>
      <c r="M50" s="44"/>
      <c r="N50" s="100"/>
      <c r="O50" s="101"/>
      <c r="P50" s="52"/>
      <c r="Q50" s="49"/>
      <c r="S50" s="50"/>
      <c r="T50" s="50"/>
      <c r="U50" s="58"/>
      <c r="V50" s="58"/>
      <c r="W50" s="58"/>
      <c r="X50" s="58"/>
      <c r="Y50" s="52"/>
    </row>
    <row r="51" spans="1:25" x14ac:dyDescent="0.25">
      <c r="A51" s="1218" t="s">
        <v>129</v>
      </c>
      <c r="B51" s="98">
        <v>45292</v>
      </c>
      <c r="C51" s="117" t="str">
        <f t="shared" si="13"/>
        <v>4L</v>
      </c>
      <c r="D51" s="96"/>
      <c r="E51" s="98"/>
      <c r="F51" s="98"/>
      <c r="G51" s="41"/>
      <c r="H51" s="41"/>
      <c r="I51" s="99">
        <f t="shared" si="0"/>
        <v>0</v>
      </c>
      <c r="J51" s="102"/>
      <c r="K51" s="104"/>
      <c r="L51" s="99">
        <f t="shared" si="1"/>
        <v>0</v>
      </c>
      <c r="M51" s="44" t="str">
        <f t="shared" si="14"/>
        <v/>
      </c>
      <c r="N51" s="100">
        <f t="shared" si="15"/>
        <v>0</v>
      </c>
      <c r="O51" s="101">
        <f t="shared" si="16"/>
        <v>0</v>
      </c>
      <c r="P51" s="52">
        <f t="shared" si="17"/>
        <v>0</v>
      </c>
      <c r="Q51" s="49">
        <v>116.88487613461319</v>
      </c>
      <c r="R51">
        <v>2225</v>
      </c>
      <c r="S51" s="50">
        <f t="shared" si="6"/>
        <v>71535.307499999995</v>
      </c>
      <c r="T51" s="50">
        <f t="shared" si="18"/>
        <v>0</v>
      </c>
      <c r="U51" s="58">
        <f t="shared" si="19"/>
        <v>0</v>
      </c>
      <c r="V51" s="58">
        <f t="shared" si="20"/>
        <v>0</v>
      </c>
      <c r="W51" s="58">
        <f t="shared" si="21"/>
        <v>0</v>
      </c>
      <c r="X51" s="58">
        <f t="shared" si="22"/>
        <v>0</v>
      </c>
      <c r="Y51" s="52">
        <f t="shared" si="23"/>
        <v>0</v>
      </c>
    </row>
    <row r="52" spans="1:25" x14ac:dyDescent="0.25">
      <c r="A52" s="1218" t="s">
        <v>130</v>
      </c>
      <c r="B52" s="98">
        <v>45292</v>
      </c>
      <c r="C52" s="117" t="str">
        <f t="shared" si="13"/>
        <v>5L</v>
      </c>
      <c r="D52" s="96"/>
      <c r="E52" s="98"/>
      <c r="F52" s="98"/>
      <c r="G52" s="41">
        <v>1050</v>
      </c>
      <c r="H52" s="41">
        <v>3.5300000000000016</v>
      </c>
      <c r="I52" s="99">
        <f t="shared" si="0"/>
        <v>3.7065000000000019</v>
      </c>
      <c r="J52" s="41">
        <v>1628</v>
      </c>
      <c r="K52" s="41">
        <v>2.9</v>
      </c>
      <c r="L52" s="99">
        <f t="shared" si="1"/>
        <v>4.7211999999999996</v>
      </c>
      <c r="M52" s="44">
        <f t="shared" si="14"/>
        <v>0.27376230945635971</v>
      </c>
      <c r="N52" s="100">
        <f t="shared" si="15"/>
        <v>578</v>
      </c>
      <c r="O52" s="101">
        <f t="shared" si="16"/>
        <v>1.0146999999999977</v>
      </c>
      <c r="P52" s="52">
        <f t="shared" si="17"/>
        <v>147443.91542184967</v>
      </c>
      <c r="Q52" s="49">
        <v>116.88487613461319</v>
      </c>
      <c r="R52">
        <v>2225</v>
      </c>
      <c r="S52" s="50">
        <f t="shared" si="6"/>
        <v>71535.307499999995</v>
      </c>
      <c r="T52" s="50">
        <f t="shared" si="18"/>
        <v>265145.61724875012</v>
      </c>
      <c r="U52" s="58">
        <f t="shared" si="19"/>
        <v>337732.49376899994</v>
      </c>
      <c r="V52" s="58">
        <f t="shared" si="20"/>
        <v>122729.11994134386</v>
      </c>
      <c r="W52" s="58">
        <f t="shared" si="21"/>
        <v>190288.57834715027</v>
      </c>
      <c r="X52" s="58">
        <f t="shared" si="22"/>
        <v>142416.49730740627</v>
      </c>
      <c r="Y52" s="52">
        <f t="shared" si="23"/>
        <v>147443.91542184967</v>
      </c>
    </row>
    <row r="53" spans="1:25" x14ac:dyDescent="0.25">
      <c r="A53" s="1218" t="s">
        <v>131</v>
      </c>
      <c r="B53" s="98">
        <v>45292</v>
      </c>
      <c r="C53" s="117" t="str">
        <f t="shared" si="13"/>
        <v>5L</v>
      </c>
      <c r="D53" s="96"/>
      <c r="E53" s="98"/>
      <c r="F53" s="98"/>
      <c r="G53" s="41">
        <v>3150</v>
      </c>
      <c r="H53" s="41">
        <v>3.5299999999999985</v>
      </c>
      <c r="I53" s="99">
        <f t="shared" si="0"/>
        <v>11.119499999999995</v>
      </c>
      <c r="J53" s="41">
        <v>3412</v>
      </c>
      <c r="K53" s="41">
        <v>3.53</v>
      </c>
      <c r="L53" s="99">
        <f t="shared" si="1"/>
        <v>12.044359999999999</v>
      </c>
      <c r="M53" s="44">
        <f t="shared" si="14"/>
        <v>8.3174603174603595E-2</v>
      </c>
      <c r="N53" s="100">
        <f t="shared" si="15"/>
        <v>262</v>
      </c>
      <c r="O53" s="101">
        <f t="shared" si="16"/>
        <v>0.92486000000000423</v>
      </c>
      <c r="P53" s="52">
        <f t="shared" si="17"/>
        <v>462785.7988693997</v>
      </c>
      <c r="Q53" s="49">
        <v>116.88487613461319</v>
      </c>
      <c r="R53">
        <v>2225</v>
      </c>
      <c r="S53" s="50">
        <f t="shared" si="6"/>
        <v>71535.307499999995</v>
      </c>
      <c r="T53" s="50">
        <f t="shared" si="18"/>
        <v>795436.85174624959</v>
      </c>
      <c r="U53" s="58">
        <f t="shared" si="19"/>
        <v>861596.9962406999</v>
      </c>
      <c r="V53" s="58">
        <f t="shared" si="20"/>
        <v>368187.35982403153</v>
      </c>
      <c r="W53" s="58">
        <f t="shared" si="21"/>
        <v>398811.19737130019</v>
      </c>
      <c r="X53" s="58">
        <f t="shared" si="22"/>
        <v>427249.49192221806</v>
      </c>
      <c r="Y53" s="52">
        <f t="shared" si="23"/>
        <v>462785.7988693997</v>
      </c>
    </row>
    <row r="54" spans="1:25" x14ac:dyDescent="0.25">
      <c r="A54" s="1218" t="s">
        <v>132</v>
      </c>
      <c r="B54" s="98">
        <v>45292</v>
      </c>
      <c r="C54" s="117" t="str">
        <f t="shared" si="13"/>
        <v>5L</v>
      </c>
      <c r="D54" s="96"/>
      <c r="E54" s="98"/>
      <c r="F54" s="98"/>
      <c r="G54" s="103"/>
      <c r="H54" s="103"/>
      <c r="I54" s="99">
        <f t="shared" si="0"/>
        <v>0</v>
      </c>
      <c r="J54" s="41"/>
      <c r="K54" s="41"/>
      <c r="L54" s="99">
        <f t="shared" si="1"/>
        <v>0</v>
      </c>
      <c r="M54" s="44" t="str">
        <f t="shared" si="14"/>
        <v/>
      </c>
      <c r="N54" s="100">
        <f t="shared" si="15"/>
        <v>0</v>
      </c>
      <c r="O54" s="101">
        <f t="shared" si="16"/>
        <v>0</v>
      </c>
      <c r="P54" s="52">
        <f t="shared" si="17"/>
        <v>0</v>
      </c>
      <c r="Q54" s="49">
        <v>116.88487613461319</v>
      </c>
      <c r="R54">
        <v>2225</v>
      </c>
      <c r="S54" s="50">
        <f t="shared" si="6"/>
        <v>71535.307499999995</v>
      </c>
      <c r="T54" s="50">
        <f t="shared" si="18"/>
        <v>0</v>
      </c>
      <c r="U54" s="58">
        <f t="shared" si="19"/>
        <v>0</v>
      </c>
      <c r="V54" s="58">
        <f t="shared" si="20"/>
        <v>0</v>
      </c>
      <c r="W54" s="58">
        <f t="shared" si="21"/>
        <v>0</v>
      </c>
      <c r="X54" s="58">
        <f t="shared" si="22"/>
        <v>0</v>
      </c>
      <c r="Y54" s="52">
        <f t="shared" si="23"/>
        <v>0</v>
      </c>
    </row>
    <row r="55" spans="1:25" x14ac:dyDescent="0.25">
      <c r="A55" s="1218" t="s">
        <v>133</v>
      </c>
      <c r="B55" s="98">
        <v>45292</v>
      </c>
      <c r="C55" s="117" t="str">
        <f t="shared" si="13"/>
        <v>5L</v>
      </c>
      <c r="D55" s="96"/>
      <c r="E55" s="98"/>
      <c r="F55" s="98"/>
      <c r="G55" s="103"/>
      <c r="H55" s="103"/>
      <c r="I55" s="99">
        <f t="shared" si="0"/>
        <v>0</v>
      </c>
      <c r="J55" s="41"/>
      <c r="K55" s="41"/>
      <c r="L55" s="99">
        <f t="shared" si="1"/>
        <v>0</v>
      </c>
      <c r="M55" s="44" t="str">
        <f t="shared" si="14"/>
        <v/>
      </c>
      <c r="N55" s="100">
        <f t="shared" si="15"/>
        <v>0</v>
      </c>
      <c r="O55" s="101">
        <f t="shared" si="16"/>
        <v>0</v>
      </c>
      <c r="P55" s="52">
        <f t="shared" si="17"/>
        <v>0</v>
      </c>
      <c r="Q55" s="49">
        <v>116.88487613461319</v>
      </c>
      <c r="R55">
        <v>2225</v>
      </c>
      <c r="S55" s="50">
        <f t="shared" si="6"/>
        <v>71535.307499999995</v>
      </c>
      <c r="T55" s="50">
        <f t="shared" si="18"/>
        <v>0</v>
      </c>
      <c r="U55" s="58">
        <f t="shared" si="19"/>
        <v>0</v>
      </c>
      <c r="V55" s="58">
        <f t="shared" si="20"/>
        <v>0</v>
      </c>
      <c r="W55" s="58">
        <f t="shared" si="21"/>
        <v>0</v>
      </c>
      <c r="X55" s="58">
        <f t="shared" si="22"/>
        <v>0</v>
      </c>
      <c r="Y55" s="52">
        <f t="shared" si="23"/>
        <v>0</v>
      </c>
    </row>
    <row r="56" spans="1:25" x14ac:dyDescent="0.25">
      <c r="A56" s="1218" t="s">
        <v>134</v>
      </c>
      <c r="B56" s="98">
        <v>45292</v>
      </c>
      <c r="C56" s="117" t="str">
        <f t="shared" si="13"/>
        <v>5L</v>
      </c>
      <c r="D56" s="96"/>
      <c r="E56" s="98"/>
      <c r="F56" s="98"/>
      <c r="G56" s="103"/>
      <c r="H56" s="103"/>
      <c r="I56" s="99">
        <f t="shared" si="0"/>
        <v>0</v>
      </c>
      <c r="J56" s="41"/>
      <c r="K56" s="41"/>
      <c r="L56" s="99">
        <f t="shared" si="1"/>
        <v>0</v>
      </c>
      <c r="M56" s="44" t="str">
        <f t="shared" si="14"/>
        <v/>
      </c>
      <c r="N56" s="100">
        <f t="shared" si="15"/>
        <v>0</v>
      </c>
      <c r="O56" s="101">
        <f t="shared" si="16"/>
        <v>0</v>
      </c>
      <c r="P56" s="52">
        <f t="shared" si="17"/>
        <v>0</v>
      </c>
      <c r="Q56" s="49">
        <v>116.88487613461319</v>
      </c>
      <c r="R56">
        <v>2225</v>
      </c>
      <c r="S56" s="50">
        <f t="shared" si="6"/>
        <v>71535.307499999995</v>
      </c>
      <c r="T56" s="50">
        <f t="shared" si="18"/>
        <v>0</v>
      </c>
      <c r="U56" s="58">
        <f t="shared" si="19"/>
        <v>0</v>
      </c>
      <c r="V56" s="58">
        <f t="shared" si="20"/>
        <v>0</v>
      </c>
      <c r="W56" s="58">
        <f t="shared" si="21"/>
        <v>0</v>
      </c>
      <c r="X56" s="58">
        <f t="shared" si="22"/>
        <v>0</v>
      </c>
      <c r="Y56" s="52">
        <f t="shared" si="23"/>
        <v>0</v>
      </c>
    </row>
    <row r="57" spans="1:25" x14ac:dyDescent="0.25">
      <c r="A57" s="1218" t="s">
        <v>135</v>
      </c>
      <c r="B57" s="98">
        <v>45292</v>
      </c>
      <c r="C57" s="117" t="str">
        <f t="shared" si="13"/>
        <v>5L</v>
      </c>
      <c r="D57" s="96"/>
      <c r="E57" s="98"/>
      <c r="F57" s="98"/>
      <c r="G57" s="103"/>
      <c r="H57" s="103"/>
      <c r="I57" s="99">
        <f t="shared" si="0"/>
        <v>0</v>
      </c>
      <c r="J57" s="41"/>
      <c r="K57" s="41"/>
      <c r="L57" s="99">
        <f t="shared" si="1"/>
        <v>0</v>
      </c>
      <c r="M57" s="44" t="str">
        <f t="shared" si="14"/>
        <v/>
      </c>
      <c r="N57" s="100">
        <f t="shared" si="15"/>
        <v>0</v>
      </c>
      <c r="O57" s="101">
        <f t="shared" si="16"/>
        <v>0</v>
      </c>
      <c r="P57" s="52">
        <f t="shared" si="17"/>
        <v>0</v>
      </c>
      <c r="Q57" s="49">
        <v>116.88487613461319</v>
      </c>
      <c r="R57">
        <v>2225</v>
      </c>
      <c r="S57" s="50">
        <f t="shared" si="6"/>
        <v>71535.307499999995</v>
      </c>
      <c r="T57" s="50">
        <f t="shared" si="18"/>
        <v>0</v>
      </c>
      <c r="U57" s="58">
        <f t="shared" si="19"/>
        <v>0</v>
      </c>
      <c r="V57" s="58">
        <f t="shared" si="20"/>
        <v>0</v>
      </c>
      <c r="W57" s="58">
        <f t="shared" si="21"/>
        <v>0</v>
      </c>
      <c r="X57" s="58">
        <f t="shared" si="22"/>
        <v>0</v>
      </c>
      <c r="Y57" s="52">
        <f t="shared" si="23"/>
        <v>0</v>
      </c>
    </row>
    <row r="58" spans="1:25" x14ac:dyDescent="0.25">
      <c r="A58" s="1218" t="s">
        <v>136</v>
      </c>
      <c r="B58" s="98">
        <v>45292</v>
      </c>
      <c r="C58" s="117" t="str">
        <f t="shared" si="13"/>
        <v>5L</v>
      </c>
      <c r="D58" s="96"/>
      <c r="E58" s="98"/>
      <c r="F58" s="98"/>
      <c r="G58" s="103"/>
      <c r="H58" s="103"/>
      <c r="I58" s="99">
        <f t="shared" si="0"/>
        <v>0</v>
      </c>
      <c r="J58" s="41"/>
      <c r="K58" s="41"/>
      <c r="L58" s="99">
        <f t="shared" si="1"/>
        <v>0</v>
      </c>
      <c r="M58" s="44" t="str">
        <f t="shared" si="14"/>
        <v/>
      </c>
      <c r="N58" s="100">
        <f t="shared" si="15"/>
        <v>0</v>
      </c>
      <c r="O58" s="101">
        <f t="shared" si="16"/>
        <v>0</v>
      </c>
      <c r="P58" s="52">
        <f t="shared" si="17"/>
        <v>0</v>
      </c>
      <c r="Q58" s="49">
        <v>116.88487613461319</v>
      </c>
      <c r="R58">
        <v>2225</v>
      </c>
      <c r="S58" s="50">
        <f t="shared" si="6"/>
        <v>71535.307499999995</v>
      </c>
      <c r="T58" s="50">
        <f t="shared" si="18"/>
        <v>0</v>
      </c>
      <c r="U58" s="58">
        <f t="shared" si="19"/>
        <v>0</v>
      </c>
      <c r="V58" s="58">
        <f t="shared" si="20"/>
        <v>0</v>
      </c>
      <c r="W58" s="58">
        <f t="shared" si="21"/>
        <v>0</v>
      </c>
      <c r="X58" s="58">
        <f t="shared" si="22"/>
        <v>0</v>
      </c>
      <c r="Y58" s="52">
        <f t="shared" si="23"/>
        <v>0</v>
      </c>
    </row>
    <row r="59" spans="1:25" x14ac:dyDescent="0.25">
      <c r="A59" s="1218" t="s">
        <v>137</v>
      </c>
      <c r="B59" s="98">
        <v>45292</v>
      </c>
      <c r="C59" s="117" t="str">
        <f t="shared" si="13"/>
        <v>5L</v>
      </c>
      <c r="D59" s="96"/>
      <c r="E59" s="98"/>
      <c r="F59" s="98"/>
      <c r="G59" s="103"/>
      <c r="H59" s="103"/>
      <c r="I59" s="99">
        <f t="shared" si="0"/>
        <v>0</v>
      </c>
      <c r="J59" s="41"/>
      <c r="K59" s="41"/>
      <c r="L59" s="99">
        <f t="shared" si="1"/>
        <v>0</v>
      </c>
      <c r="M59" s="44" t="str">
        <f t="shared" si="14"/>
        <v/>
      </c>
      <c r="N59" s="100">
        <f t="shared" si="15"/>
        <v>0</v>
      </c>
      <c r="O59" s="101">
        <f t="shared" si="16"/>
        <v>0</v>
      </c>
      <c r="P59" s="52">
        <f t="shared" si="17"/>
        <v>0</v>
      </c>
      <c r="Q59" s="49">
        <v>116.88487613461319</v>
      </c>
      <c r="R59">
        <v>2225</v>
      </c>
      <c r="S59" s="50">
        <f t="shared" si="6"/>
        <v>71535.307499999995</v>
      </c>
      <c r="T59" s="50">
        <f t="shared" si="18"/>
        <v>0</v>
      </c>
      <c r="U59" s="58">
        <f t="shared" si="19"/>
        <v>0</v>
      </c>
      <c r="V59" s="58">
        <f t="shared" si="20"/>
        <v>0</v>
      </c>
      <c r="W59" s="58">
        <f t="shared" si="21"/>
        <v>0</v>
      </c>
      <c r="X59" s="58">
        <f t="shared" si="22"/>
        <v>0</v>
      </c>
      <c r="Y59" s="52">
        <f t="shared" si="23"/>
        <v>0</v>
      </c>
    </row>
    <row r="60" spans="1:25" x14ac:dyDescent="0.25">
      <c r="A60" s="1218" t="s">
        <v>138</v>
      </c>
      <c r="B60" s="98">
        <v>45292</v>
      </c>
      <c r="C60" s="117" t="str">
        <f t="shared" si="13"/>
        <v>5L</v>
      </c>
      <c r="D60" s="96"/>
      <c r="E60" s="98"/>
      <c r="F60" s="98"/>
      <c r="G60" s="103"/>
      <c r="H60" s="103"/>
      <c r="I60" s="99">
        <f t="shared" si="0"/>
        <v>0</v>
      </c>
      <c r="J60" s="41"/>
      <c r="K60" s="41"/>
      <c r="L60" s="99">
        <f t="shared" si="1"/>
        <v>0</v>
      </c>
      <c r="M60" s="44" t="str">
        <f t="shared" si="14"/>
        <v/>
      </c>
      <c r="N60" s="100">
        <f t="shared" si="15"/>
        <v>0</v>
      </c>
      <c r="O60" s="101">
        <f t="shared" si="16"/>
        <v>0</v>
      </c>
      <c r="P60" s="52">
        <f t="shared" si="17"/>
        <v>0</v>
      </c>
      <c r="Q60" s="49">
        <v>116.88487613461319</v>
      </c>
      <c r="R60">
        <v>2225</v>
      </c>
      <c r="S60" s="50">
        <f t="shared" si="6"/>
        <v>71535.307499999995</v>
      </c>
      <c r="T60" s="50">
        <f t="shared" si="18"/>
        <v>0</v>
      </c>
      <c r="U60" s="58">
        <f t="shared" si="19"/>
        <v>0</v>
      </c>
      <c r="V60" s="58">
        <f t="shared" si="20"/>
        <v>0</v>
      </c>
      <c r="W60" s="58">
        <f t="shared" si="21"/>
        <v>0</v>
      </c>
      <c r="X60" s="58">
        <f t="shared" si="22"/>
        <v>0</v>
      </c>
      <c r="Y60" s="52">
        <f t="shared" si="23"/>
        <v>0</v>
      </c>
    </row>
    <row r="61" spans="1:25" x14ac:dyDescent="0.25">
      <c r="A61" s="1218" t="s">
        <v>139</v>
      </c>
      <c r="B61" s="98">
        <v>45292</v>
      </c>
      <c r="C61" s="117" t="str">
        <f t="shared" si="13"/>
        <v>5L</v>
      </c>
      <c r="D61" s="96"/>
      <c r="E61" s="98"/>
      <c r="F61" s="98"/>
      <c r="G61" s="103"/>
      <c r="H61" s="103"/>
      <c r="I61" s="99">
        <f t="shared" si="0"/>
        <v>0</v>
      </c>
      <c r="J61" s="41"/>
      <c r="K61" s="41"/>
      <c r="L61" s="99">
        <f t="shared" si="1"/>
        <v>0</v>
      </c>
      <c r="M61" s="44" t="str">
        <f t="shared" si="14"/>
        <v/>
      </c>
      <c r="N61" s="100">
        <f t="shared" si="15"/>
        <v>0</v>
      </c>
      <c r="O61" s="101">
        <f t="shared" si="16"/>
        <v>0</v>
      </c>
      <c r="P61" s="52">
        <f t="shared" si="17"/>
        <v>0</v>
      </c>
      <c r="Q61" s="49">
        <v>116.88487613461319</v>
      </c>
      <c r="R61">
        <v>2225</v>
      </c>
      <c r="S61" s="50">
        <f t="shared" si="6"/>
        <v>71535.307499999995</v>
      </c>
      <c r="T61" s="50">
        <f t="shared" si="18"/>
        <v>0</v>
      </c>
      <c r="U61" s="58">
        <f t="shared" si="19"/>
        <v>0</v>
      </c>
      <c r="V61" s="58">
        <f t="shared" si="20"/>
        <v>0</v>
      </c>
      <c r="W61" s="58">
        <f t="shared" si="21"/>
        <v>0</v>
      </c>
      <c r="X61" s="58">
        <f t="shared" si="22"/>
        <v>0</v>
      </c>
      <c r="Y61" s="52">
        <f t="shared" si="23"/>
        <v>0</v>
      </c>
    </row>
    <row r="62" spans="1:25" x14ac:dyDescent="0.25">
      <c r="A62" s="1218" t="s">
        <v>140</v>
      </c>
      <c r="B62" s="98">
        <v>45292</v>
      </c>
      <c r="C62" s="117" t="str">
        <f t="shared" si="13"/>
        <v>5L</v>
      </c>
      <c r="D62" s="96"/>
      <c r="E62" s="98"/>
      <c r="F62" s="98"/>
      <c r="G62" s="55"/>
      <c r="H62" s="55"/>
      <c r="I62" s="99">
        <f t="shared" si="0"/>
        <v>0</v>
      </c>
      <c r="J62" s="55"/>
      <c r="K62" s="55"/>
      <c r="L62" s="99">
        <f t="shared" si="1"/>
        <v>0</v>
      </c>
      <c r="M62" s="44" t="str">
        <f t="shared" si="14"/>
        <v/>
      </c>
      <c r="N62" s="100">
        <f t="shared" si="15"/>
        <v>0</v>
      </c>
      <c r="O62" s="101">
        <f t="shared" si="16"/>
        <v>0</v>
      </c>
      <c r="P62" s="52">
        <f t="shared" si="17"/>
        <v>0</v>
      </c>
      <c r="Q62" s="49">
        <v>116.88487613461319</v>
      </c>
      <c r="R62">
        <v>2225</v>
      </c>
      <c r="S62" s="50">
        <f t="shared" si="6"/>
        <v>71535.307499999995</v>
      </c>
      <c r="T62" s="50">
        <f t="shared" si="18"/>
        <v>0</v>
      </c>
      <c r="U62" s="58">
        <f t="shared" si="19"/>
        <v>0</v>
      </c>
      <c r="V62" s="58">
        <f t="shared" si="20"/>
        <v>0</v>
      </c>
      <c r="W62" s="58">
        <f t="shared" si="21"/>
        <v>0</v>
      </c>
      <c r="X62" s="58">
        <f t="shared" si="22"/>
        <v>0</v>
      </c>
      <c r="Y62" s="52">
        <f t="shared" si="23"/>
        <v>0</v>
      </c>
    </row>
    <row r="63" spans="1:25" x14ac:dyDescent="0.25">
      <c r="A63" s="1218" t="s">
        <v>141</v>
      </c>
      <c r="B63" s="98">
        <v>45292</v>
      </c>
      <c r="C63" s="117" t="str">
        <f t="shared" si="13"/>
        <v>5L</v>
      </c>
      <c r="D63" s="96"/>
      <c r="E63" s="98"/>
      <c r="F63" s="98"/>
      <c r="G63" s="55"/>
      <c r="H63" s="55"/>
      <c r="I63" s="99">
        <f t="shared" si="0"/>
        <v>0</v>
      </c>
      <c r="J63" s="55"/>
      <c r="K63" s="55"/>
      <c r="L63" s="99">
        <f t="shared" si="1"/>
        <v>0</v>
      </c>
      <c r="M63" s="44" t="str">
        <f t="shared" si="14"/>
        <v/>
      </c>
      <c r="N63" s="100">
        <f t="shared" si="15"/>
        <v>0</v>
      </c>
      <c r="O63" s="101">
        <f t="shared" si="16"/>
        <v>0</v>
      </c>
      <c r="P63" s="52">
        <f t="shared" si="17"/>
        <v>0</v>
      </c>
      <c r="Q63" s="49">
        <v>116.88487613461319</v>
      </c>
      <c r="R63">
        <v>2225</v>
      </c>
      <c r="S63" s="50">
        <f t="shared" si="6"/>
        <v>71535.307499999995</v>
      </c>
      <c r="T63" s="50">
        <f t="shared" si="18"/>
        <v>0</v>
      </c>
      <c r="U63" s="58">
        <f t="shared" si="19"/>
        <v>0</v>
      </c>
      <c r="V63" s="58">
        <f t="shared" si="20"/>
        <v>0</v>
      </c>
      <c r="W63" s="58">
        <f t="shared" si="21"/>
        <v>0</v>
      </c>
      <c r="X63" s="58">
        <f t="shared" si="22"/>
        <v>0</v>
      </c>
      <c r="Y63" s="52">
        <f t="shared" si="23"/>
        <v>0</v>
      </c>
    </row>
    <row r="64" spans="1:25" x14ac:dyDescent="0.25">
      <c r="A64" s="1218" t="s">
        <v>142</v>
      </c>
      <c r="B64" s="98">
        <v>45292</v>
      </c>
      <c r="C64" s="117" t="str">
        <f t="shared" si="13"/>
        <v>5L</v>
      </c>
      <c r="D64" s="96"/>
      <c r="E64" s="98"/>
      <c r="F64" s="98"/>
      <c r="G64" s="55"/>
      <c r="H64" s="55"/>
      <c r="I64" s="99">
        <f t="shared" si="0"/>
        <v>0</v>
      </c>
      <c r="J64" s="55"/>
      <c r="K64" s="55"/>
      <c r="L64" s="99">
        <f t="shared" si="1"/>
        <v>0</v>
      </c>
      <c r="M64" s="44" t="str">
        <f t="shared" si="14"/>
        <v/>
      </c>
      <c r="N64" s="100">
        <f t="shared" si="15"/>
        <v>0</v>
      </c>
      <c r="O64" s="101">
        <f t="shared" si="16"/>
        <v>0</v>
      </c>
      <c r="P64" s="52">
        <f t="shared" si="17"/>
        <v>0</v>
      </c>
      <c r="Q64" s="49">
        <v>116.88487613461319</v>
      </c>
      <c r="R64">
        <v>2225</v>
      </c>
      <c r="S64" s="50">
        <f t="shared" si="6"/>
        <v>71535.307499999995</v>
      </c>
      <c r="T64" s="50">
        <f t="shared" si="18"/>
        <v>0</v>
      </c>
      <c r="U64" s="58">
        <f t="shared" si="19"/>
        <v>0</v>
      </c>
      <c r="V64" s="58">
        <f t="shared" si="20"/>
        <v>0</v>
      </c>
      <c r="W64" s="58">
        <f t="shared" si="21"/>
        <v>0</v>
      </c>
      <c r="X64" s="58">
        <f t="shared" si="22"/>
        <v>0</v>
      </c>
      <c r="Y64" s="52">
        <f t="shared" si="23"/>
        <v>0</v>
      </c>
    </row>
    <row r="65" spans="1:25" x14ac:dyDescent="0.25">
      <c r="A65" s="1218" t="s">
        <v>143</v>
      </c>
      <c r="B65" s="98">
        <v>45292</v>
      </c>
      <c r="C65" s="117" t="str">
        <f t="shared" si="13"/>
        <v>5L</v>
      </c>
      <c r="D65" s="96"/>
      <c r="E65" s="98"/>
      <c r="F65" s="98"/>
      <c r="G65" s="55"/>
      <c r="H65" s="55"/>
      <c r="I65" s="99">
        <f t="shared" si="0"/>
        <v>0</v>
      </c>
      <c r="J65" s="55"/>
      <c r="K65" s="55"/>
      <c r="L65" s="99">
        <f t="shared" si="1"/>
        <v>0</v>
      </c>
      <c r="M65" s="44" t="str">
        <f t="shared" si="14"/>
        <v/>
      </c>
      <c r="N65" s="100">
        <f t="shared" si="15"/>
        <v>0</v>
      </c>
      <c r="O65" s="101">
        <f t="shared" si="16"/>
        <v>0</v>
      </c>
      <c r="P65" s="52">
        <f t="shared" si="17"/>
        <v>0</v>
      </c>
      <c r="Q65" s="49">
        <v>116.88487613461319</v>
      </c>
      <c r="R65">
        <v>2225</v>
      </c>
      <c r="S65" s="50">
        <f t="shared" si="6"/>
        <v>71535.307499999995</v>
      </c>
      <c r="T65" s="50">
        <f t="shared" si="18"/>
        <v>0</v>
      </c>
      <c r="U65" s="58">
        <f t="shared" si="19"/>
        <v>0</v>
      </c>
      <c r="V65" s="58">
        <f t="shared" si="20"/>
        <v>0</v>
      </c>
      <c r="W65" s="58">
        <f t="shared" si="21"/>
        <v>0</v>
      </c>
      <c r="X65" s="58">
        <f t="shared" si="22"/>
        <v>0</v>
      </c>
      <c r="Y65" s="52">
        <f t="shared" si="23"/>
        <v>0</v>
      </c>
    </row>
    <row r="66" spans="1:25" x14ac:dyDescent="0.25">
      <c r="A66" s="1218" t="s">
        <v>144</v>
      </c>
      <c r="B66" s="98">
        <v>45292</v>
      </c>
      <c r="C66" s="117" t="str">
        <f t="shared" si="13"/>
        <v>5L</v>
      </c>
      <c r="D66" s="96"/>
      <c r="E66" s="98"/>
      <c r="F66" s="98"/>
      <c r="G66" s="55"/>
      <c r="H66" s="55"/>
      <c r="I66" s="99">
        <f t="shared" si="0"/>
        <v>0</v>
      </c>
      <c r="J66" s="55"/>
      <c r="K66" s="55"/>
      <c r="L66" s="99">
        <f t="shared" si="1"/>
        <v>0</v>
      </c>
      <c r="M66" s="44" t="str">
        <f t="shared" si="14"/>
        <v/>
      </c>
      <c r="N66" s="100">
        <f t="shared" si="15"/>
        <v>0</v>
      </c>
      <c r="O66" s="101">
        <f t="shared" si="16"/>
        <v>0</v>
      </c>
      <c r="P66" s="52">
        <f t="shared" si="17"/>
        <v>0</v>
      </c>
      <c r="Q66" s="49">
        <v>116.88487613461319</v>
      </c>
      <c r="R66">
        <v>2225</v>
      </c>
      <c r="S66" s="50">
        <f t="shared" si="6"/>
        <v>71535.307499999995</v>
      </c>
      <c r="T66" s="50">
        <f t="shared" si="18"/>
        <v>0</v>
      </c>
      <c r="U66" s="58">
        <f t="shared" si="19"/>
        <v>0</v>
      </c>
      <c r="V66" s="58">
        <f t="shared" si="20"/>
        <v>0</v>
      </c>
      <c r="W66" s="58">
        <f t="shared" si="21"/>
        <v>0</v>
      </c>
      <c r="X66" s="58">
        <f t="shared" si="22"/>
        <v>0</v>
      </c>
      <c r="Y66" s="52">
        <f t="shared" si="23"/>
        <v>0</v>
      </c>
    </row>
    <row r="67" spans="1:25" x14ac:dyDescent="0.25">
      <c r="A67" s="1218" t="s">
        <v>145</v>
      </c>
      <c r="B67" s="98">
        <v>45292</v>
      </c>
      <c r="C67" s="117" t="str">
        <f t="shared" si="13"/>
        <v>5L</v>
      </c>
      <c r="D67" s="96"/>
      <c r="E67" s="98"/>
      <c r="F67" s="98"/>
      <c r="G67" s="55"/>
      <c r="H67" s="55"/>
      <c r="I67" s="99">
        <f t="shared" si="0"/>
        <v>0</v>
      </c>
      <c r="J67" s="55"/>
      <c r="K67" s="55"/>
      <c r="L67" s="99">
        <f t="shared" si="1"/>
        <v>0</v>
      </c>
      <c r="M67" s="44" t="str">
        <f t="shared" si="14"/>
        <v/>
      </c>
      <c r="N67" s="100">
        <f t="shared" si="15"/>
        <v>0</v>
      </c>
      <c r="O67" s="101">
        <f t="shared" si="16"/>
        <v>0</v>
      </c>
      <c r="P67" s="52">
        <f t="shared" si="17"/>
        <v>0</v>
      </c>
      <c r="Q67" s="49">
        <v>116.88487613461319</v>
      </c>
      <c r="R67">
        <v>2225</v>
      </c>
      <c r="S67" s="50">
        <f t="shared" si="6"/>
        <v>71535.307499999995</v>
      </c>
      <c r="T67" s="50">
        <f t="shared" si="18"/>
        <v>0</v>
      </c>
      <c r="U67" s="58">
        <f t="shared" si="19"/>
        <v>0</v>
      </c>
      <c r="V67" s="58">
        <f t="shared" si="20"/>
        <v>0</v>
      </c>
      <c r="W67" s="58">
        <f t="shared" si="21"/>
        <v>0</v>
      </c>
      <c r="X67" s="58">
        <f t="shared" si="22"/>
        <v>0</v>
      </c>
      <c r="Y67" s="52">
        <f t="shared" si="23"/>
        <v>0</v>
      </c>
    </row>
    <row r="68" spans="1:25" x14ac:dyDescent="0.25">
      <c r="A68" s="1218" t="s">
        <v>146</v>
      </c>
      <c r="B68" s="98">
        <v>45292</v>
      </c>
      <c r="C68" s="117" t="str">
        <f t="shared" ref="C68:C131" si="24">LEFT(A68,2)</f>
        <v>5L</v>
      </c>
      <c r="D68" s="96"/>
      <c r="E68" s="98"/>
      <c r="F68" s="98"/>
      <c r="G68" s="55"/>
      <c r="H68" s="55"/>
      <c r="I68" s="99">
        <f t="shared" si="0"/>
        <v>0</v>
      </c>
      <c r="J68" s="55"/>
      <c r="K68" s="55"/>
      <c r="L68" s="99">
        <f t="shared" si="1"/>
        <v>0</v>
      </c>
      <c r="M68" s="44" t="str">
        <f t="shared" si="14"/>
        <v/>
      </c>
      <c r="N68" s="100">
        <f t="shared" si="15"/>
        <v>0</v>
      </c>
      <c r="O68" s="101">
        <f t="shared" si="16"/>
        <v>0</v>
      </c>
      <c r="P68" s="52">
        <f t="shared" si="17"/>
        <v>0</v>
      </c>
      <c r="Q68" s="49">
        <v>116.88487613461319</v>
      </c>
      <c r="R68">
        <v>2225</v>
      </c>
      <c r="S68" s="50">
        <f t="shared" si="6"/>
        <v>71535.307499999995</v>
      </c>
      <c r="T68" s="50">
        <f t="shared" si="18"/>
        <v>0</v>
      </c>
      <c r="U68" s="58">
        <f t="shared" si="19"/>
        <v>0</v>
      </c>
      <c r="V68" s="58">
        <f t="shared" si="20"/>
        <v>0</v>
      </c>
      <c r="W68" s="58">
        <f t="shared" si="21"/>
        <v>0</v>
      </c>
      <c r="X68" s="58">
        <f t="shared" si="22"/>
        <v>0</v>
      </c>
      <c r="Y68" s="52">
        <f t="shared" si="23"/>
        <v>0</v>
      </c>
    </row>
    <row r="69" spans="1:25" x14ac:dyDescent="0.25">
      <c r="A69" s="1218" t="s">
        <v>147</v>
      </c>
      <c r="B69" s="98">
        <v>45292</v>
      </c>
      <c r="C69" s="117" t="str">
        <f t="shared" si="24"/>
        <v>5L</v>
      </c>
      <c r="D69" s="96"/>
      <c r="E69" s="98"/>
      <c r="F69" s="98"/>
      <c r="G69" s="55"/>
      <c r="H69" s="55"/>
      <c r="I69" s="99">
        <f t="shared" ref="I69:I134" si="25">IFERROR(G69*H69/1000,"")</f>
        <v>0</v>
      </c>
      <c r="J69" s="55"/>
      <c r="K69" s="55"/>
      <c r="L69" s="99">
        <f t="shared" ref="L69:L134" si="26">IFERROR(J69*K69/1000,"")</f>
        <v>0</v>
      </c>
      <c r="M69" s="44" t="str">
        <f t="shared" si="14"/>
        <v/>
      </c>
      <c r="N69" s="100">
        <f t="shared" si="15"/>
        <v>0</v>
      </c>
      <c r="O69" s="101">
        <f t="shared" si="16"/>
        <v>0</v>
      </c>
      <c r="P69" s="52">
        <f t="shared" si="17"/>
        <v>0</v>
      </c>
      <c r="Q69" s="49">
        <v>116.88487613461319</v>
      </c>
      <c r="R69">
        <v>2225</v>
      </c>
      <c r="S69" s="50">
        <f t="shared" ref="S69:S134" si="27">R69*32.1507</f>
        <v>71535.307499999995</v>
      </c>
      <c r="T69" s="50">
        <f t="shared" si="18"/>
        <v>0</v>
      </c>
      <c r="U69" s="58">
        <f t="shared" si="19"/>
        <v>0</v>
      </c>
      <c r="V69" s="58">
        <f t="shared" si="20"/>
        <v>0</v>
      </c>
      <c r="W69" s="58">
        <f t="shared" si="21"/>
        <v>0</v>
      </c>
      <c r="X69" s="58">
        <f t="shared" si="22"/>
        <v>0</v>
      </c>
      <c r="Y69" s="52">
        <f t="shared" si="23"/>
        <v>0</v>
      </c>
    </row>
    <row r="70" spans="1:25" x14ac:dyDescent="0.25">
      <c r="A70" s="1218" t="s">
        <v>148</v>
      </c>
      <c r="B70" s="98">
        <v>45292</v>
      </c>
      <c r="C70" s="117" t="str">
        <f t="shared" si="24"/>
        <v>5L</v>
      </c>
      <c r="D70" s="96"/>
      <c r="E70" s="98"/>
      <c r="F70" s="98"/>
      <c r="G70" s="55"/>
      <c r="H70" s="55"/>
      <c r="I70" s="99">
        <f t="shared" si="25"/>
        <v>0</v>
      </c>
      <c r="J70" s="55"/>
      <c r="K70" s="55"/>
      <c r="L70" s="99">
        <f t="shared" si="26"/>
        <v>0</v>
      </c>
      <c r="M70" s="44" t="str">
        <f t="shared" si="14"/>
        <v/>
      </c>
      <c r="N70" s="100">
        <f t="shared" si="15"/>
        <v>0</v>
      </c>
      <c r="O70" s="101">
        <f t="shared" si="16"/>
        <v>0</v>
      </c>
      <c r="P70" s="52">
        <f t="shared" si="17"/>
        <v>0</v>
      </c>
      <c r="Q70" s="49">
        <v>116.88487613461319</v>
      </c>
      <c r="R70">
        <v>2225</v>
      </c>
      <c r="S70" s="50">
        <f t="shared" si="27"/>
        <v>71535.307499999995</v>
      </c>
      <c r="T70" s="50">
        <f t="shared" si="18"/>
        <v>0</v>
      </c>
      <c r="U70" s="58">
        <f t="shared" si="19"/>
        <v>0</v>
      </c>
      <c r="V70" s="58">
        <f t="shared" si="20"/>
        <v>0</v>
      </c>
      <c r="W70" s="58">
        <f t="shared" si="21"/>
        <v>0</v>
      </c>
      <c r="X70" s="58">
        <f t="shared" si="22"/>
        <v>0</v>
      </c>
      <c r="Y70" s="52">
        <f t="shared" si="23"/>
        <v>0</v>
      </c>
    </row>
    <row r="71" spans="1:25" x14ac:dyDescent="0.25">
      <c r="A71" s="1218" t="s">
        <v>149</v>
      </c>
      <c r="B71" s="98">
        <v>45292</v>
      </c>
      <c r="C71" s="117" t="str">
        <f t="shared" si="24"/>
        <v>5L</v>
      </c>
      <c r="D71" s="96"/>
      <c r="E71" s="98"/>
      <c r="F71" s="98"/>
      <c r="G71" s="55"/>
      <c r="H71" s="55"/>
      <c r="I71" s="99">
        <f t="shared" si="25"/>
        <v>0</v>
      </c>
      <c r="J71" s="55"/>
      <c r="K71" s="55"/>
      <c r="L71" s="99">
        <f t="shared" si="26"/>
        <v>0</v>
      </c>
      <c r="M71" s="44" t="str">
        <f t="shared" ref="M71:M136" si="28">IFERROR((L71-I71)/I71,"")</f>
        <v/>
      </c>
      <c r="N71" s="100">
        <f t="shared" ref="N71:N136" si="29">J71-G71</f>
        <v>0</v>
      </c>
      <c r="O71" s="101">
        <f t="shared" ref="O71:O136" si="30">L71-I71</f>
        <v>0</v>
      </c>
      <c r="P71" s="52">
        <f t="shared" ref="P71:P136" si="31">U71-W71</f>
        <v>0</v>
      </c>
      <c r="Q71" s="49">
        <v>116.88487613461319</v>
      </c>
      <c r="R71">
        <v>2225</v>
      </c>
      <c r="S71" s="50">
        <f t="shared" si="27"/>
        <v>71535.307499999995</v>
      </c>
      <c r="T71" s="50">
        <f t="shared" ref="T71:T136" si="32">IFERROR(S71*I71,"")</f>
        <v>0</v>
      </c>
      <c r="U71" s="58">
        <f t="shared" ref="U71:U136" si="33">IFERROR(S71*L71,"")</f>
        <v>0</v>
      </c>
      <c r="V71" s="58">
        <f t="shared" ref="V71:V136" si="34">IFERROR(Q71*G71,"")</f>
        <v>0</v>
      </c>
      <c r="W71" s="58">
        <f t="shared" ref="W71:W136" si="35">IFERROR(Q71*J71,"")</f>
        <v>0</v>
      </c>
      <c r="X71" s="58">
        <f t="shared" ref="X71:X136" si="36">T71-V71</f>
        <v>0</v>
      </c>
      <c r="Y71" s="52">
        <f t="shared" ref="Y71:Y136" si="37">U71-W71</f>
        <v>0</v>
      </c>
    </row>
    <row r="72" spans="1:25" x14ac:dyDescent="0.25">
      <c r="A72" s="1218" t="s">
        <v>150</v>
      </c>
      <c r="B72" s="98">
        <v>45292</v>
      </c>
      <c r="C72" s="117" t="str">
        <f t="shared" si="24"/>
        <v>6L</v>
      </c>
      <c r="D72" s="96"/>
      <c r="E72" s="98"/>
      <c r="F72" s="98"/>
      <c r="I72" s="99">
        <f t="shared" si="25"/>
        <v>0</v>
      </c>
      <c r="L72" s="99">
        <f t="shared" si="26"/>
        <v>0</v>
      </c>
      <c r="M72" s="44" t="str">
        <f t="shared" si="28"/>
        <v/>
      </c>
      <c r="N72" s="100">
        <f t="shared" si="29"/>
        <v>0</v>
      </c>
      <c r="O72" s="101">
        <f t="shared" si="30"/>
        <v>0</v>
      </c>
      <c r="P72" s="52">
        <f t="shared" si="31"/>
        <v>0</v>
      </c>
      <c r="Q72" s="49">
        <v>116.88487613461319</v>
      </c>
      <c r="R72">
        <v>2225</v>
      </c>
      <c r="S72" s="50">
        <f t="shared" si="27"/>
        <v>71535.307499999995</v>
      </c>
      <c r="T72" s="50">
        <f t="shared" si="32"/>
        <v>0</v>
      </c>
      <c r="U72" s="58">
        <f t="shared" si="33"/>
        <v>0</v>
      </c>
      <c r="V72" s="58">
        <f t="shared" si="34"/>
        <v>0</v>
      </c>
      <c r="W72" s="58">
        <f t="shared" si="35"/>
        <v>0</v>
      </c>
      <c r="X72" s="58">
        <f t="shared" si="36"/>
        <v>0</v>
      </c>
      <c r="Y72" s="52">
        <f t="shared" si="37"/>
        <v>0</v>
      </c>
    </row>
    <row r="73" spans="1:25" x14ac:dyDescent="0.25">
      <c r="A73" s="1218" t="s">
        <v>151</v>
      </c>
      <c r="B73" s="98">
        <v>45292</v>
      </c>
      <c r="C73" s="117" t="str">
        <f t="shared" si="24"/>
        <v>6L</v>
      </c>
      <c r="D73" s="96"/>
      <c r="E73" s="98"/>
      <c r="F73" s="98"/>
      <c r="I73" s="99">
        <f t="shared" si="25"/>
        <v>0</v>
      </c>
      <c r="L73" s="99">
        <f t="shared" si="26"/>
        <v>0</v>
      </c>
      <c r="M73" s="44" t="str">
        <f t="shared" si="28"/>
        <v/>
      </c>
      <c r="N73" s="100">
        <f t="shared" si="29"/>
        <v>0</v>
      </c>
      <c r="O73" s="101">
        <f t="shared" si="30"/>
        <v>0</v>
      </c>
      <c r="P73" s="52">
        <f t="shared" si="31"/>
        <v>0</v>
      </c>
      <c r="Q73" s="49">
        <v>116.88487613461319</v>
      </c>
      <c r="R73">
        <v>2225</v>
      </c>
      <c r="S73" s="50">
        <f t="shared" si="27"/>
        <v>71535.307499999995</v>
      </c>
      <c r="T73" s="50">
        <f t="shared" si="32"/>
        <v>0</v>
      </c>
      <c r="U73" s="58">
        <f t="shared" si="33"/>
        <v>0</v>
      </c>
      <c r="V73" s="58">
        <f t="shared" si="34"/>
        <v>0</v>
      </c>
      <c r="W73" s="58">
        <f t="shared" si="35"/>
        <v>0</v>
      </c>
      <c r="X73" s="58">
        <f t="shared" si="36"/>
        <v>0</v>
      </c>
      <c r="Y73" s="52">
        <f t="shared" si="37"/>
        <v>0</v>
      </c>
    </row>
    <row r="74" spans="1:25" x14ac:dyDescent="0.25">
      <c r="A74" s="1218" t="s">
        <v>152</v>
      </c>
      <c r="B74" s="98">
        <v>45292</v>
      </c>
      <c r="C74" s="117" t="str">
        <f t="shared" si="24"/>
        <v>6L</v>
      </c>
      <c r="D74" s="96"/>
      <c r="E74" s="98"/>
      <c r="F74" s="98"/>
      <c r="I74" s="99"/>
      <c r="L74" s="99"/>
      <c r="M74" s="44"/>
      <c r="N74" s="100"/>
      <c r="O74" s="101"/>
      <c r="P74" s="52"/>
      <c r="Q74" s="49"/>
      <c r="S74" s="50"/>
      <c r="T74" s="50"/>
      <c r="U74" s="58"/>
      <c r="V74" s="58"/>
      <c r="W74" s="58"/>
      <c r="X74" s="58"/>
      <c r="Y74" s="52"/>
    </row>
    <row r="75" spans="1:25" x14ac:dyDescent="0.25">
      <c r="A75" s="1218" t="s">
        <v>153</v>
      </c>
      <c r="B75" s="98">
        <v>45292</v>
      </c>
      <c r="C75" s="117" t="str">
        <f t="shared" si="24"/>
        <v>6L</v>
      </c>
      <c r="D75" s="96"/>
      <c r="E75" s="98"/>
      <c r="F75" s="98"/>
      <c r="I75" s="99">
        <f t="shared" si="25"/>
        <v>0</v>
      </c>
      <c r="L75" s="99">
        <f t="shared" si="26"/>
        <v>0</v>
      </c>
      <c r="M75" s="44" t="str">
        <f t="shared" si="28"/>
        <v/>
      </c>
      <c r="N75" s="100">
        <f t="shared" si="29"/>
        <v>0</v>
      </c>
      <c r="O75" s="101">
        <f t="shared" si="30"/>
        <v>0</v>
      </c>
      <c r="P75" s="52">
        <f t="shared" si="31"/>
        <v>0</v>
      </c>
      <c r="Q75" s="49">
        <v>116.88487613461319</v>
      </c>
      <c r="R75">
        <v>2225</v>
      </c>
      <c r="S75" s="50">
        <f t="shared" si="27"/>
        <v>71535.307499999995</v>
      </c>
      <c r="T75" s="50">
        <f t="shared" si="32"/>
        <v>0</v>
      </c>
      <c r="U75" s="58">
        <f t="shared" si="33"/>
        <v>0</v>
      </c>
      <c r="V75" s="58">
        <f t="shared" si="34"/>
        <v>0</v>
      </c>
      <c r="W75" s="58">
        <f t="shared" si="35"/>
        <v>0</v>
      </c>
      <c r="X75" s="58">
        <f t="shared" si="36"/>
        <v>0</v>
      </c>
      <c r="Y75" s="52">
        <f t="shared" si="37"/>
        <v>0</v>
      </c>
    </row>
    <row r="76" spans="1:25" x14ac:dyDescent="0.25">
      <c r="A76" s="1218" t="s">
        <v>154</v>
      </c>
      <c r="B76" s="98">
        <v>45292</v>
      </c>
      <c r="C76" s="117" t="str">
        <f t="shared" si="24"/>
        <v>6L</v>
      </c>
      <c r="D76" s="96"/>
      <c r="E76" s="98"/>
      <c r="F76" s="98"/>
      <c r="I76" s="99"/>
      <c r="L76" s="99"/>
      <c r="M76" s="44"/>
      <c r="N76" s="100"/>
      <c r="O76" s="101"/>
      <c r="P76" s="52"/>
      <c r="Q76" s="49"/>
      <c r="S76" s="50"/>
      <c r="T76" s="50"/>
      <c r="U76" s="58"/>
      <c r="V76" s="58"/>
      <c r="W76" s="58"/>
      <c r="X76" s="58"/>
      <c r="Y76" s="52"/>
    </row>
    <row r="77" spans="1:25" x14ac:dyDescent="0.25">
      <c r="A77" s="1218" t="s">
        <v>155</v>
      </c>
      <c r="B77" s="98">
        <v>45292</v>
      </c>
      <c r="C77" s="117" t="str">
        <f t="shared" si="24"/>
        <v>6L</v>
      </c>
      <c r="D77" s="96"/>
      <c r="E77" s="98"/>
      <c r="F77" s="98"/>
      <c r="I77" s="99">
        <f t="shared" si="25"/>
        <v>0</v>
      </c>
      <c r="L77" s="99">
        <f t="shared" si="26"/>
        <v>0</v>
      </c>
      <c r="M77" s="44" t="str">
        <f t="shared" si="28"/>
        <v/>
      </c>
      <c r="N77" s="100">
        <f t="shared" si="29"/>
        <v>0</v>
      </c>
      <c r="O77" s="101">
        <f t="shared" si="30"/>
        <v>0</v>
      </c>
      <c r="P77" s="52">
        <f t="shared" si="31"/>
        <v>0</v>
      </c>
      <c r="Q77" s="49">
        <v>116.88487613461319</v>
      </c>
      <c r="R77">
        <v>2225</v>
      </c>
      <c r="S77" s="50">
        <f t="shared" si="27"/>
        <v>71535.307499999995</v>
      </c>
      <c r="T77" s="50">
        <f t="shared" si="32"/>
        <v>0</v>
      </c>
      <c r="U77" s="58">
        <f t="shared" si="33"/>
        <v>0</v>
      </c>
      <c r="V77" s="58">
        <f t="shared" si="34"/>
        <v>0</v>
      </c>
      <c r="W77" s="58">
        <f t="shared" si="35"/>
        <v>0</v>
      </c>
      <c r="X77" s="58">
        <f t="shared" si="36"/>
        <v>0</v>
      </c>
      <c r="Y77" s="52">
        <f t="shared" si="37"/>
        <v>0</v>
      </c>
    </row>
    <row r="78" spans="1:25" x14ac:dyDescent="0.25">
      <c r="A78" s="1218" t="s">
        <v>156</v>
      </c>
      <c r="B78" s="98">
        <v>45292</v>
      </c>
      <c r="C78" s="117" t="str">
        <f t="shared" si="24"/>
        <v>6L</v>
      </c>
      <c r="D78" s="96"/>
      <c r="E78" s="98"/>
      <c r="F78" s="98"/>
      <c r="I78" s="99">
        <f t="shared" si="25"/>
        <v>0</v>
      </c>
      <c r="L78" s="99">
        <f t="shared" si="26"/>
        <v>0</v>
      </c>
      <c r="M78" s="44" t="str">
        <f t="shared" si="28"/>
        <v/>
      </c>
      <c r="N78" s="100">
        <f t="shared" si="29"/>
        <v>0</v>
      </c>
      <c r="O78" s="101">
        <f t="shared" si="30"/>
        <v>0</v>
      </c>
      <c r="P78" s="52">
        <f t="shared" si="31"/>
        <v>0</v>
      </c>
      <c r="Q78" s="49">
        <v>116.88487613461319</v>
      </c>
      <c r="R78">
        <v>2225</v>
      </c>
      <c r="S78" s="50">
        <f t="shared" si="27"/>
        <v>71535.307499999995</v>
      </c>
      <c r="T78" s="50">
        <f t="shared" si="32"/>
        <v>0</v>
      </c>
      <c r="U78" s="58">
        <f t="shared" si="33"/>
        <v>0</v>
      </c>
      <c r="V78" s="58">
        <f t="shared" si="34"/>
        <v>0</v>
      </c>
      <c r="W78" s="58">
        <f t="shared" si="35"/>
        <v>0</v>
      </c>
      <c r="X78" s="58">
        <f t="shared" si="36"/>
        <v>0</v>
      </c>
      <c r="Y78" s="52">
        <f t="shared" si="37"/>
        <v>0</v>
      </c>
    </row>
    <row r="79" spans="1:25" x14ac:dyDescent="0.25">
      <c r="A79" s="1218" t="s">
        <v>157</v>
      </c>
      <c r="B79" s="98">
        <v>45292</v>
      </c>
      <c r="C79" s="117" t="str">
        <f t="shared" si="24"/>
        <v>6L</v>
      </c>
      <c r="D79" s="96"/>
      <c r="E79" s="98"/>
      <c r="F79" s="98"/>
      <c r="I79" s="99">
        <f t="shared" si="25"/>
        <v>0</v>
      </c>
      <c r="L79" s="99">
        <f t="shared" si="26"/>
        <v>0</v>
      </c>
      <c r="M79" s="44" t="str">
        <f t="shared" si="28"/>
        <v/>
      </c>
      <c r="N79" s="100">
        <f t="shared" si="29"/>
        <v>0</v>
      </c>
      <c r="O79" s="101">
        <f t="shared" si="30"/>
        <v>0</v>
      </c>
      <c r="P79" s="52">
        <f t="shared" si="31"/>
        <v>0</v>
      </c>
      <c r="Q79" s="49">
        <v>116.88487613461319</v>
      </c>
      <c r="R79">
        <v>2225</v>
      </c>
      <c r="S79" s="50">
        <f t="shared" si="27"/>
        <v>71535.307499999995</v>
      </c>
      <c r="T79" s="50">
        <f t="shared" si="32"/>
        <v>0</v>
      </c>
      <c r="U79" s="58">
        <f t="shared" si="33"/>
        <v>0</v>
      </c>
      <c r="V79" s="58">
        <f t="shared" si="34"/>
        <v>0</v>
      </c>
      <c r="W79" s="58">
        <f t="shared" si="35"/>
        <v>0</v>
      </c>
      <c r="X79" s="58">
        <f t="shared" si="36"/>
        <v>0</v>
      </c>
      <c r="Y79" s="52">
        <f t="shared" si="37"/>
        <v>0</v>
      </c>
    </row>
    <row r="80" spans="1:25" x14ac:dyDescent="0.25">
      <c r="A80" s="1218" t="s">
        <v>158</v>
      </c>
      <c r="B80" s="98">
        <v>45292</v>
      </c>
      <c r="C80" s="117" t="str">
        <f t="shared" si="24"/>
        <v>6L</v>
      </c>
      <c r="D80" s="96"/>
      <c r="E80" s="98"/>
      <c r="F80" s="98"/>
      <c r="I80" s="99">
        <f t="shared" si="25"/>
        <v>0</v>
      </c>
      <c r="L80" s="99">
        <f t="shared" si="26"/>
        <v>0</v>
      </c>
      <c r="M80" s="44" t="str">
        <f t="shared" si="28"/>
        <v/>
      </c>
      <c r="N80" s="100">
        <f t="shared" si="29"/>
        <v>0</v>
      </c>
      <c r="O80" s="101">
        <f t="shared" si="30"/>
        <v>0</v>
      </c>
      <c r="P80" s="52">
        <f t="shared" si="31"/>
        <v>0</v>
      </c>
      <c r="Q80" s="49">
        <v>116.88487613461319</v>
      </c>
      <c r="R80">
        <v>2225</v>
      </c>
      <c r="S80" s="50">
        <f t="shared" si="27"/>
        <v>71535.307499999995</v>
      </c>
      <c r="T80" s="50">
        <f t="shared" si="32"/>
        <v>0</v>
      </c>
      <c r="U80" s="58">
        <f t="shared" si="33"/>
        <v>0</v>
      </c>
      <c r="V80" s="58">
        <f t="shared" si="34"/>
        <v>0</v>
      </c>
      <c r="W80" s="58">
        <f t="shared" si="35"/>
        <v>0</v>
      </c>
      <c r="X80" s="58">
        <f t="shared" si="36"/>
        <v>0</v>
      </c>
      <c r="Y80" s="52">
        <f t="shared" si="37"/>
        <v>0</v>
      </c>
    </row>
    <row r="81" spans="1:25" x14ac:dyDescent="0.25">
      <c r="A81" s="1218" t="s">
        <v>159</v>
      </c>
      <c r="B81" s="98">
        <v>45292</v>
      </c>
      <c r="C81" s="117" t="str">
        <f t="shared" si="24"/>
        <v>6L</v>
      </c>
      <c r="D81" s="96"/>
      <c r="E81" s="98"/>
      <c r="F81" s="98"/>
      <c r="I81" s="99">
        <f t="shared" si="25"/>
        <v>0</v>
      </c>
      <c r="L81" s="99">
        <f t="shared" si="26"/>
        <v>0</v>
      </c>
      <c r="M81" s="44" t="str">
        <f t="shared" si="28"/>
        <v/>
      </c>
      <c r="N81" s="100">
        <f t="shared" si="29"/>
        <v>0</v>
      </c>
      <c r="O81" s="101">
        <f t="shared" si="30"/>
        <v>0</v>
      </c>
      <c r="P81" s="52">
        <f t="shared" si="31"/>
        <v>0</v>
      </c>
      <c r="Q81" s="49">
        <v>116.88487613461319</v>
      </c>
      <c r="R81">
        <v>2225</v>
      </c>
      <c r="S81" s="50">
        <f t="shared" si="27"/>
        <v>71535.307499999995</v>
      </c>
      <c r="T81" s="50">
        <f t="shared" si="32"/>
        <v>0</v>
      </c>
      <c r="U81" s="58">
        <f t="shared" si="33"/>
        <v>0</v>
      </c>
      <c r="V81" s="58">
        <f t="shared" si="34"/>
        <v>0</v>
      </c>
      <c r="W81" s="58">
        <f t="shared" si="35"/>
        <v>0</v>
      </c>
      <c r="X81" s="58">
        <f t="shared" si="36"/>
        <v>0</v>
      </c>
      <c r="Y81" s="52">
        <f t="shared" si="37"/>
        <v>0</v>
      </c>
    </row>
    <row r="82" spans="1:25" x14ac:dyDescent="0.25">
      <c r="A82" s="1218" t="s">
        <v>160</v>
      </c>
      <c r="B82" s="98">
        <v>45292</v>
      </c>
      <c r="C82" s="117" t="str">
        <f t="shared" si="24"/>
        <v>6L</v>
      </c>
      <c r="D82" s="96"/>
      <c r="E82" s="98"/>
      <c r="F82" s="98"/>
      <c r="I82" s="99">
        <f t="shared" si="25"/>
        <v>0</v>
      </c>
      <c r="L82" s="99">
        <f t="shared" si="26"/>
        <v>0</v>
      </c>
      <c r="M82" s="44" t="str">
        <f t="shared" si="28"/>
        <v/>
      </c>
      <c r="N82" s="100">
        <f t="shared" si="29"/>
        <v>0</v>
      </c>
      <c r="O82" s="101">
        <f t="shared" si="30"/>
        <v>0</v>
      </c>
      <c r="P82" s="52">
        <f t="shared" si="31"/>
        <v>0</v>
      </c>
      <c r="Q82" s="49">
        <v>116.88487613461319</v>
      </c>
      <c r="R82">
        <v>2225</v>
      </c>
      <c r="S82" s="50">
        <f t="shared" si="27"/>
        <v>71535.307499999995</v>
      </c>
      <c r="T82" s="50">
        <f t="shared" si="32"/>
        <v>0</v>
      </c>
      <c r="U82" s="58">
        <f t="shared" si="33"/>
        <v>0</v>
      </c>
      <c r="V82" s="58">
        <f t="shared" si="34"/>
        <v>0</v>
      </c>
      <c r="W82" s="58">
        <f t="shared" si="35"/>
        <v>0</v>
      </c>
      <c r="X82" s="58">
        <f t="shared" si="36"/>
        <v>0</v>
      </c>
      <c r="Y82" s="52">
        <f t="shared" si="37"/>
        <v>0</v>
      </c>
    </row>
    <row r="83" spans="1:25" x14ac:dyDescent="0.25">
      <c r="A83" s="1218" t="s">
        <v>161</v>
      </c>
      <c r="B83" s="98">
        <v>45292</v>
      </c>
      <c r="C83" s="117" t="str">
        <f t="shared" si="24"/>
        <v>6L</v>
      </c>
      <c r="D83" s="96"/>
      <c r="E83" s="98"/>
      <c r="F83" s="98"/>
      <c r="I83" s="99">
        <f t="shared" si="25"/>
        <v>0</v>
      </c>
      <c r="L83" s="99">
        <f t="shared" si="26"/>
        <v>0</v>
      </c>
      <c r="M83" s="44" t="str">
        <f t="shared" si="28"/>
        <v/>
      </c>
      <c r="N83" s="100">
        <f t="shared" si="29"/>
        <v>0</v>
      </c>
      <c r="O83" s="101">
        <f t="shared" si="30"/>
        <v>0</v>
      </c>
      <c r="P83" s="52">
        <f t="shared" si="31"/>
        <v>0</v>
      </c>
      <c r="Q83" s="49">
        <v>116.88487613461319</v>
      </c>
      <c r="R83">
        <v>2225</v>
      </c>
      <c r="S83" s="50">
        <f t="shared" si="27"/>
        <v>71535.307499999995</v>
      </c>
      <c r="T83" s="50">
        <f t="shared" si="32"/>
        <v>0</v>
      </c>
      <c r="U83" s="58">
        <f t="shared" si="33"/>
        <v>0</v>
      </c>
      <c r="V83" s="58">
        <f t="shared" si="34"/>
        <v>0</v>
      </c>
      <c r="W83" s="58">
        <f t="shared" si="35"/>
        <v>0</v>
      </c>
      <c r="X83" s="58">
        <f t="shared" si="36"/>
        <v>0</v>
      </c>
      <c r="Y83" s="52">
        <f t="shared" si="37"/>
        <v>0</v>
      </c>
    </row>
    <row r="84" spans="1:25" x14ac:dyDescent="0.25">
      <c r="A84" s="1218" t="s">
        <v>162</v>
      </c>
      <c r="B84" s="98">
        <v>45292</v>
      </c>
      <c r="C84" s="117" t="str">
        <f t="shared" si="24"/>
        <v>6L</v>
      </c>
      <c r="D84" s="96"/>
      <c r="E84" s="98"/>
      <c r="F84" s="98"/>
      <c r="I84" s="99">
        <f t="shared" si="25"/>
        <v>0</v>
      </c>
      <c r="L84" s="99">
        <f t="shared" si="26"/>
        <v>0</v>
      </c>
      <c r="M84" s="44" t="str">
        <f t="shared" si="28"/>
        <v/>
      </c>
      <c r="N84" s="100">
        <f t="shared" si="29"/>
        <v>0</v>
      </c>
      <c r="O84" s="101">
        <f t="shared" si="30"/>
        <v>0</v>
      </c>
      <c r="P84" s="52">
        <f t="shared" si="31"/>
        <v>0</v>
      </c>
      <c r="Q84" s="49">
        <v>116.88487613461319</v>
      </c>
      <c r="R84">
        <v>2225</v>
      </c>
      <c r="S84" s="50">
        <f t="shared" si="27"/>
        <v>71535.307499999995</v>
      </c>
      <c r="T84" s="50">
        <f t="shared" si="32"/>
        <v>0</v>
      </c>
      <c r="U84" s="58">
        <f t="shared" si="33"/>
        <v>0</v>
      </c>
      <c r="V84" s="58">
        <f t="shared" si="34"/>
        <v>0</v>
      </c>
      <c r="W84" s="58">
        <f t="shared" si="35"/>
        <v>0</v>
      </c>
      <c r="X84" s="58">
        <f t="shared" si="36"/>
        <v>0</v>
      </c>
      <c r="Y84" s="52">
        <f t="shared" si="37"/>
        <v>0</v>
      </c>
    </row>
    <row r="85" spans="1:25" x14ac:dyDescent="0.25">
      <c r="A85" s="1218" t="s">
        <v>163</v>
      </c>
      <c r="B85" s="98">
        <v>45292</v>
      </c>
      <c r="C85" s="117" t="str">
        <f t="shared" si="24"/>
        <v>6L</v>
      </c>
      <c r="D85" s="96"/>
      <c r="E85" s="98"/>
      <c r="F85" s="98"/>
      <c r="I85" s="99">
        <f t="shared" si="25"/>
        <v>0</v>
      </c>
      <c r="L85" s="99">
        <f t="shared" si="26"/>
        <v>0</v>
      </c>
      <c r="M85" s="44" t="str">
        <f t="shared" si="28"/>
        <v/>
      </c>
      <c r="N85" s="100">
        <f t="shared" si="29"/>
        <v>0</v>
      </c>
      <c r="O85" s="101">
        <f t="shared" si="30"/>
        <v>0</v>
      </c>
      <c r="P85" s="52">
        <f t="shared" si="31"/>
        <v>0</v>
      </c>
      <c r="Q85" s="49">
        <v>116.88487613461319</v>
      </c>
      <c r="R85">
        <v>2225</v>
      </c>
      <c r="S85" s="50">
        <f t="shared" si="27"/>
        <v>71535.307499999995</v>
      </c>
      <c r="T85" s="50">
        <f t="shared" si="32"/>
        <v>0</v>
      </c>
      <c r="U85" s="58">
        <f t="shared" si="33"/>
        <v>0</v>
      </c>
      <c r="V85" s="58">
        <f t="shared" si="34"/>
        <v>0</v>
      </c>
      <c r="W85" s="58">
        <f t="shared" si="35"/>
        <v>0</v>
      </c>
      <c r="X85" s="58">
        <f t="shared" si="36"/>
        <v>0</v>
      </c>
      <c r="Y85" s="52">
        <f t="shared" si="37"/>
        <v>0</v>
      </c>
    </row>
    <row r="86" spans="1:25" x14ac:dyDescent="0.25">
      <c r="A86" s="1218" t="s">
        <v>164</v>
      </c>
      <c r="B86" s="98">
        <v>45292</v>
      </c>
      <c r="C86" s="117" t="str">
        <f t="shared" si="24"/>
        <v>6L</v>
      </c>
      <c r="D86" s="96"/>
      <c r="E86" s="98"/>
      <c r="F86" s="98"/>
      <c r="I86" s="99">
        <f t="shared" si="25"/>
        <v>0</v>
      </c>
      <c r="L86" s="99">
        <f t="shared" si="26"/>
        <v>0</v>
      </c>
      <c r="M86" s="44" t="str">
        <f t="shared" si="28"/>
        <v/>
      </c>
      <c r="N86" s="100">
        <f t="shared" si="29"/>
        <v>0</v>
      </c>
      <c r="O86" s="101">
        <f t="shared" si="30"/>
        <v>0</v>
      </c>
      <c r="P86" s="52">
        <f t="shared" si="31"/>
        <v>0</v>
      </c>
      <c r="Q86" s="49">
        <v>116.88487613461319</v>
      </c>
      <c r="R86">
        <v>2225</v>
      </c>
      <c r="S86" s="50">
        <f t="shared" si="27"/>
        <v>71535.307499999995</v>
      </c>
      <c r="T86" s="50">
        <f t="shared" si="32"/>
        <v>0</v>
      </c>
      <c r="U86" s="58">
        <f t="shared" si="33"/>
        <v>0</v>
      </c>
      <c r="V86" s="58">
        <f t="shared" si="34"/>
        <v>0</v>
      </c>
      <c r="W86" s="58">
        <f t="shared" si="35"/>
        <v>0</v>
      </c>
      <c r="X86" s="58">
        <f t="shared" si="36"/>
        <v>0</v>
      </c>
      <c r="Y86" s="52">
        <f t="shared" si="37"/>
        <v>0</v>
      </c>
    </row>
    <row r="87" spans="1:25" x14ac:dyDescent="0.25">
      <c r="A87" s="1218" t="s">
        <v>165</v>
      </c>
      <c r="B87" s="98">
        <v>45292</v>
      </c>
      <c r="C87" s="117" t="str">
        <f t="shared" si="24"/>
        <v>6L</v>
      </c>
      <c r="D87" s="96"/>
      <c r="E87" s="98"/>
      <c r="F87" s="98"/>
      <c r="I87" s="99">
        <f t="shared" si="25"/>
        <v>0</v>
      </c>
      <c r="L87" s="99">
        <f t="shared" si="26"/>
        <v>0</v>
      </c>
      <c r="M87" s="44" t="str">
        <f t="shared" si="28"/>
        <v/>
      </c>
      <c r="N87" s="100">
        <f t="shared" si="29"/>
        <v>0</v>
      </c>
      <c r="O87" s="101">
        <f t="shared" si="30"/>
        <v>0</v>
      </c>
      <c r="P87" s="52">
        <f t="shared" si="31"/>
        <v>0</v>
      </c>
      <c r="Q87" s="49">
        <v>116.88487613461319</v>
      </c>
      <c r="R87">
        <v>2225</v>
      </c>
      <c r="S87" s="50">
        <f t="shared" si="27"/>
        <v>71535.307499999995</v>
      </c>
      <c r="T87" s="50">
        <f t="shared" si="32"/>
        <v>0</v>
      </c>
      <c r="U87" s="58">
        <f t="shared" si="33"/>
        <v>0</v>
      </c>
      <c r="V87" s="58">
        <f t="shared" si="34"/>
        <v>0</v>
      </c>
      <c r="W87" s="58">
        <f t="shared" si="35"/>
        <v>0</v>
      </c>
      <c r="X87" s="58">
        <f t="shared" si="36"/>
        <v>0</v>
      </c>
      <c r="Y87" s="52">
        <f t="shared" si="37"/>
        <v>0</v>
      </c>
    </row>
    <row r="88" spans="1:25" x14ac:dyDescent="0.25">
      <c r="A88" s="1218" t="s">
        <v>166</v>
      </c>
      <c r="B88" s="98">
        <v>45292</v>
      </c>
      <c r="C88" s="117" t="str">
        <f t="shared" si="24"/>
        <v>6L</v>
      </c>
      <c r="D88" s="96"/>
      <c r="E88" s="98"/>
      <c r="F88" s="98"/>
      <c r="I88" s="99">
        <f t="shared" si="25"/>
        <v>0</v>
      </c>
      <c r="L88" s="99">
        <f t="shared" si="26"/>
        <v>0</v>
      </c>
      <c r="M88" s="44" t="str">
        <f t="shared" si="28"/>
        <v/>
      </c>
      <c r="N88" s="100">
        <f t="shared" si="29"/>
        <v>0</v>
      </c>
      <c r="O88" s="101">
        <f t="shared" si="30"/>
        <v>0</v>
      </c>
      <c r="P88" s="52">
        <f t="shared" si="31"/>
        <v>0</v>
      </c>
      <c r="Q88" s="49">
        <v>116.88487613461319</v>
      </c>
      <c r="R88">
        <v>2225</v>
      </c>
      <c r="S88" s="50">
        <f t="shared" si="27"/>
        <v>71535.307499999995</v>
      </c>
      <c r="T88" s="50">
        <f t="shared" si="32"/>
        <v>0</v>
      </c>
      <c r="U88" s="58">
        <f t="shared" si="33"/>
        <v>0</v>
      </c>
      <c r="V88" s="58">
        <f t="shared" si="34"/>
        <v>0</v>
      </c>
      <c r="W88" s="58">
        <f t="shared" si="35"/>
        <v>0</v>
      </c>
      <c r="X88" s="58">
        <f t="shared" si="36"/>
        <v>0</v>
      </c>
      <c r="Y88" s="52">
        <f t="shared" si="37"/>
        <v>0</v>
      </c>
    </row>
    <row r="89" spans="1:25" x14ac:dyDescent="0.25">
      <c r="A89" s="1218" t="s">
        <v>167</v>
      </c>
      <c r="B89" s="98">
        <v>45292</v>
      </c>
      <c r="C89" s="117" t="str">
        <f t="shared" si="24"/>
        <v>6L</v>
      </c>
      <c r="D89" s="96"/>
      <c r="E89" s="98"/>
      <c r="F89" s="98"/>
      <c r="I89" s="99">
        <f t="shared" si="25"/>
        <v>0</v>
      </c>
      <c r="L89" s="99">
        <f t="shared" si="26"/>
        <v>0</v>
      </c>
      <c r="M89" s="44" t="str">
        <f t="shared" si="28"/>
        <v/>
      </c>
      <c r="N89" s="100">
        <f t="shared" si="29"/>
        <v>0</v>
      </c>
      <c r="O89" s="101">
        <f t="shared" si="30"/>
        <v>0</v>
      </c>
      <c r="P89" s="52">
        <f t="shared" si="31"/>
        <v>0</v>
      </c>
      <c r="Q89" s="49">
        <v>116.88487613461319</v>
      </c>
      <c r="R89">
        <v>2225</v>
      </c>
      <c r="S89" s="50">
        <f t="shared" si="27"/>
        <v>71535.307499999995</v>
      </c>
      <c r="T89" s="50">
        <f t="shared" si="32"/>
        <v>0</v>
      </c>
      <c r="U89" s="58">
        <f t="shared" si="33"/>
        <v>0</v>
      </c>
      <c r="V89" s="58">
        <f t="shared" si="34"/>
        <v>0</v>
      </c>
      <c r="W89" s="58">
        <f t="shared" si="35"/>
        <v>0</v>
      </c>
      <c r="X89" s="58">
        <f t="shared" si="36"/>
        <v>0</v>
      </c>
      <c r="Y89" s="52">
        <f t="shared" si="37"/>
        <v>0</v>
      </c>
    </row>
    <row r="90" spans="1:25" x14ac:dyDescent="0.25">
      <c r="A90" s="1218" t="s">
        <v>168</v>
      </c>
      <c r="B90" s="98">
        <v>45292</v>
      </c>
      <c r="C90" s="117" t="str">
        <f t="shared" si="24"/>
        <v>6L</v>
      </c>
      <c r="D90" s="96"/>
      <c r="E90" s="98"/>
      <c r="F90" s="98"/>
      <c r="I90" s="99">
        <f t="shared" si="25"/>
        <v>0</v>
      </c>
      <c r="L90" s="99">
        <f t="shared" si="26"/>
        <v>0</v>
      </c>
      <c r="M90" s="44" t="str">
        <f t="shared" si="28"/>
        <v/>
      </c>
      <c r="N90" s="100">
        <f t="shared" si="29"/>
        <v>0</v>
      </c>
      <c r="O90" s="101">
        <f t="shared" si="30"/>
        <v>0</v>
      </c>
      <c r="P90" s="52">
        <f t="shared" si="31"/>
        <v>0</v>
      </c>
      <c r="Q90" s="49">
        <v>116.88487613461319</v>
      </c>
      <c r="R90">
        <v>2225</v>
      </c>
      <c r="S90" s="50">
        <f t="shared" si="27"/>
        <v>71535.307499999995</v>
      </c>
      <c r="T90" s="50">
        <f t="shared" si="32"/>
        <v>0</v>
      </c>
      <c r="U90" s="58">
        <f t="shared" si="33"/>
        <v>0</v>
      </c>
      <c r="V90" s="58">
        <f t="shared" si="34"/>
        <v>0</v>
      </c>
      <c r="W90" s="58">
        <f t="shared" si="35"/>
        <v>0</v>
      </c>
      <c r="X90" s="58">
        <f t="shared" si="36"/>
        <v>0</v>
      </c>
      <c r="Y90" s="52">
        <f t="shared" si="37"/>
        <v>0</v>
      </c>
    </row>
    <row r="91" spans="1:25" x14ac:dyDescent="0.25">
      <c r="A91" s="1218" t="s">
        <v>169</v>
      </c>
      <c r="B91" s="98">
        <v>45292</v>
      </c>
      <c r="C91" s="117" t="str">
        <f t="shared" si="24"/>
        <v>6L</v>
      </c>
      <c r="D91" s="96"/>
      <c r="E91" s="98"/>
      <c r="F91" s="98"/>
      <c r="I91" s="99">
        <f t="shared" si="25"/>
        <v>0</v>
      </c>
      <c r="L91" s="99">
        <f t="shared" si="26"/>
        <v>0</v>
      </c>
      <c r="M91" s="44" t="str">
        <f t="shared" si="28"/>
        <v/>
      </c>
      <c r="N91" s="100">
        <f t="shared" si="29"/>
        <v>0</v>
      </c>
      <c r="O91" s="101">
        <f t="shared" si="30"/>
        <v>0</v>
      </c>
      <c r="P91" s="52">
        <f t="shared" si="31"/>
        <v>0</v>
      </c>
      <c r="Q91" s="49">
        <v>116.88487613461319</v>
      </c>
      <c r="R91">
        <v>2225</v>
      </c>
      <c r="S91" s="50">
        <f t="shared" si="27"/>
        <v>71535.307499999995</v>
      </c>
      <c r="T91" s="50">
        <f t="shared" si="32"/>
        <v>0</v>
      </c>
      <c r="U91" s="58">
        <f t="shared" si="33"/>
        <v>0</v>
      </c>
      <c r="V91" s="58">
        <f t="shared" si="34"/>
        <v>0</v>
      </c>
      <c r="W91" s="58">
        <f t="shared" si="35"/>
        <v>0</v>
      </c>
      <c r="X91" s="58">
        <f t="shared" si="36"/>
        <v>0</v>
      </c>
      <c r="Y91" s="52">
        <f t="shared" si="37"/>
        <v>0</v>
      </c>
    </row>
    <row r="92" spans="1:25" x14ac:dyDescent="0.25">
      <c r="A92" s="1218" t="s">
        <v>170</v>
      </c>
      <c r="B92" s="98">
        <v>45292</v>
      </c>
      <c r="C92" s="117" t="str">
        <f t="shared" si="24"/>
        <v>6L</v>
      </c>
      <c r="D92" s="96"/>
      <c r="E92" s="98"/>
      <c r="F92" s="98"/>
      <c r="I92" s="99">
        <f t="shared" si="25"/>
        <v>0</v>
      </c>
      <c r="L92" s="99">
        <f t="shared" si="26"/>
        <v>0</v>
      </c>
      <c r="M92" s="44" t="str">
        <f t="shared" si="28"/>
        <v/>
      </c>
      <c r="N92" s="100">
        <f t="shared" si="29"/>
        <v>0</v>
      </c>
      <c r="O92" s="101">
        <f t="shared" si="30"/>
        <v>0</v>
      </c>
      <c r="P92" s="52">
        <f t="shared" si="31"/>
        <v>0</v>
      </c>
      <c r="Q92" s="49">
        <v>116.88487613461319</v>
      </c>
      <c r="R92">
        <v>2225</v>
      </c>
      <c r="S92" s="50">
        <f t="shared" si="27"/>
        <v>71535.307499999995</v>
      </c>
      <c r="T92" s="50">
        <f t="shared" si="32"/>
        <v>0</v>
      </c>
      <c r="U92" s="58">
        <f t="shared" si="33"/>
        <v>0</v>
      </c>
      <c r="V92" s="58">
        <f t="shared" si="34"/>
        <v>0</v>
      </c>
      <c r="W92" s="58">
        <f t="shared" si="35"/>
        <v>0</v>
      </c>
      <c r="X92" s="58">
        <f t="shared" si="36"/>
        <v>0</v>
      </c>
      <c r="Y92" s="52">
        <f t="shared" si="37"/>
        <v>0</v>
      </c>
    </row>
    <row r="93" spans="1:25" x14ac:dyDescent="0.25">
      <c r="A93" s="1218" t="s">
        <v>171</v>
      </c>
      <c r="B93" s="98">
        <v>45292</v>
      </c>
      <c r="C93" s="117" t="str">
        <f t="shared" si="24"/>
        <v>6L</v>
      </c>
      <c r="D93" s="96"/>
      <c r="E93" s="98"/>
      <c r="F93" s="98"/>
      <c r="I93" s="99">
        <f t="shared" si="25"/>
        <v>0</v>
      </c>
      <c r="L93" s="99">
        <f t="shared" si="26"/>
        <v>0</v>
      </c>
      <c r="M93" s="44" t="str">
        <f t="shared" si="28"/>
        <v/>
      </c>
      <c r="N93" s="100">
        <f t="shared" si="29"/>
        <v>0</v>
      </c>
      <c r="O93" s="101">
        <f t="shared" si="30"/>
        <v>0</v>
      </c>
      <c r="P93" s="52">
        <f t="shared" si="31"/>
        <v>0</v>
      </c>
      <c r="Q93" s="49">
        <v>116.88487613461319</v>
      </c>
      <c r="R93">
        <v>2225</v>
      </c>
      <c r="S93" s="50">
        <f t="shared" si="27"/>
        <v>71535.307499999995</v>
      </c>
      <c r="T93" s="50">
        <f t="shared" si="32"/>
        <v>0</v>
      </c>
      <c r="U93" s="58">
        <f t="shared" si="33"/>
        <v>0</v>
      </c>
      <c r="V93" s="58">
        <f t="shared" si="34"/>
        <v>0</v>
      </c>
      <c r="W93" s="58">
        <f t="shared" si="35"/>
        <v>0</v>
      </c>
      <c r="X93" s="58">
        <f t="shared" si="36"/>
        <v>0</v>
      </c>
      <c r="Y93" s="52">
        <f t="shared" si="37"/>
        <v>0</v>
      </c>
    </row>
    <row r="94" spans="1:25" x14ac:dyDescent="0.25">
      <c r="A94" s="1218" t="s">
        <v>172</v>
      </c>
      <c r="B94" s="98">
        <v>45292</v>
      </c>
      <c r="C94" s="117" t="str">
        <f t="shared" si="24"/>
        <v>6L</v>
      </c>
      <c r="D94" s="96"/>
      <c r="E94" s="98"/>
      <c r="F94" s="98"/>
      <c r="I94" s="99">
        <f t="shared" si="25"/>
        <v>0</v>
      </c>
      <c r="L94" s="99">
        <f t="shared" si="26"/>
        <v>0</v>
      </c>
      <c r="M94" s="44" t="str">
        <f t="shared" si="28"/>
        <v/>
      </c>
      <c r="N94" s="100">
        <f t="shared" si="29"/>
        <v>0</v>
      </c>
      <c r="O94" s="101">
        <f t="shared" si="30"/>
        <v>0</v>
      </c>
      <c r="P94" s="52">
        <f t="shared" si="31"/>
        <v>0</v>
      </c>
      <c r="Q94" s="49">
        <v>116.88487613461319</v>
      </c>
      <c r="R94">
        <v>2225</v>
      </c>
      <c r="S94" s="50">
        <f t="shared" si="27"/>
        <v>71535.307499999995</v>
      </c>
      <c r="T94" s="50">
        <f t="shared" si="32"/>
        <v>0</v>
      </c>
      <c r="U94" s="58">
        <f t="shared" si="33"/>
        <v>0</v>
      </c>
      <c r="V94" s="58">
        <f t="shared" si="34"/>
        <v>0</v>
      </c>
      <c r="W94" s="58">
        <f t="shared" si="35"/>
        <v>0</v>
      </c>
      <c r="X94" s="58">
        <f t="shared" si="36"/>
        <v>0</v>
      </c>
      <c r="Y94" s="52">
        <f t="shared" si="37"/>
        <v>0</v>
      </c>
    </row>
    <row r="95" spans="1:25" x14ac:dyDescent="0.25">
      <c r="A95" s="1218" t="s">
        <v>173</v>
      </c>
      <c r="B95" s="98">
        <v>45292</v>
      </c>
      <c r="C95" s="117" t="str">
        <f t="shared" si="24"/>
        <v>6L</v>
      </c>
      <c r="D95" s="96"/>
      <c r="E95" s="98"/>
      <c r="F95" s="98"/>
      <c r="I95" s="99">
        <f t="shared" si="25"/>
        <v>0</v>
      </c>
      <c r="L95" s="99">
        <f t="shared" si="26"/>
        <v>0</v>
      </c>
      <c r="M95" s="44" t="str">
        <f t="shared" si="28"/>
        <v/>
      </c>
      <c r="N95" s="100">
        <f t="shared" si="29"/>
        <v>0</v>
      </c>
      <c r="O95" s="101">
        <f t="shared" si="30"/>
        <v>0</v>
      </c>
      <c r="P95" s="52">
        <f t="shared" si="31"/>
        <v>0</v>
      </c>
      <c r="Q95" s="49">
        <v>116.88487613461319</v>
      </c>
      <c r="R95">
        <v>2225</v>
      </c>
      <c r="S95" s="50">
        <f t="shared" si="27"/>
        <v>71535.307499999995</v>
      </c>
      <c r="T95" s="50">
        <f t="shared" si="32"/>
        <v>0</v>
      </c>
      <c r="U95" s="58">
        <f t="shared" si="33"/>
        <v>0</v>
      </c>
      <c r="V95" s="58">
        <f t="shared" si="34"/>
        <v>0</v>
      </c>
      <c r="W95" s="58">
        <f t="shared" si="35"/>
        <v>0</v>
      </c>
      <c r="X95" s="58">
        <f t="shared" si="36"/>
        <v>0</v>
      </c>
      <c r="Y95" s="52">
        <f t="shared" si="37"/>
        <v>0</v>
      </c>
    </row>
    <row r="96" spans="1:25" x14ac:dyDescent="0.25">
      <c r="A96" s="1218" t="s">
        <v>174</v>
      </c>
      <c r="B96" s="98">
        <v>45292</v>
      </c>
      <c r="C96" s="117" t="str">
        <f t="shared" si="24"/>
        <v>6L</v>
      </c>
      <c r="D96" s="96"/>
      <c r="E96" s="98"/>
      <c r="F96" s="98"/>
      <c r="I96" s="99">
        <f t="shared" si="25"/>
        <v>0</v>
      </c>
      <c r="L96" s="99">
        <f t="shared" si="26"/>
        <v>0</v>
      </c>
      <c r="M96" s="44" t="str">
        <f t="shared" si="28"/>
        <v/>
      </c>
      <c r="N96" s="100">
        <f t="shared" si="29"/>
        <v>0</v>
      </c>
      <c r="O96" s="101">
        <f t="shared" si="30"/>
        <v>0</v>
      </c>
      <c r="P96" s="52">
        <f t="shared" si="31"/>
        <v>0</v>
      </c>
      <c r="Q96" s="49">
        <v>116.88487613461319</v>
      </c>
      <c r="R96">
        <v>2225</v>
      </c>
      <c r="S96" s="50">
        <f t="shared" si="27"/>
        <v>71535.307499999995</v>
      </c>
      <c r="T96" s="50">
        <f t="shared" si="32"/>
        <v>0</v>
      </c>
      <c r="U96" s="58">
        <f t="shared" si="33"/>
        <v>0</v>
      </c>
      <c r="V96" s="58">
        <f t="shared" si="34"/>
        <v>0</v>
      </c>
      <c r="W96" s="58">
        <f t="shared" si="35"/>
        <v>0</v>
      </c>
      <c r="X96" s="58">
        <f t="shared" si="36"/>
        <v>0</v>
      </c>
      <c r="Y96" s="52">
        <f t="shared" si="37"/>
        <v>0</v>
      </c>
    </row>
    <row r="97" spans="1:25" x14ac:dyDescent="0.25">
      <c r="A97" s="1218" t="s">
        <v>175</v>
      </c>
      <c r="B97" s="98">
        <v>45292</v>
      </c>
      <c r="C97" s="117" t="str">
        <f t="shared" si="24"/>
        <v>6L</v>
      </c>
      <c r="D97" s="96"/>
      <c r="E97" s="98"/>
      <c r="F97" s="98"/>
      <c r="I97" s="99">
        <f t="shared" si="25"/>
        <v>0</v>
      </c>
      <c r="L97" s="99">
        <f t="shared" si="26"/>
        <v>0</v>
      </c>
      <c r="M97" s="44" t="str">
        <f t="shared" si="28"/>
        <v/>
      </c>
      <c r="N97" s="100">
        <f t="shared" si="29"/>
        <v>0</v>
      </c>
      <c r="O97" s="101">
        <f t="shared" si="30"/>
        <v>0</v>
      </c>
      <c r="P97" s="52">
        <f t="shared" si="31"/>
        <v>0</v>
      </c>
      <c r="Q97" s="49">
        <v>116.88487613461319</v>
      </c>
      <c r="R97">
        <v>2225</v>
      </c>
      <c r="S97" s="50">
        <f t="shared" si="27"/>
        <v>71535.307499999995</v>
      </c>
      <c r="T97" s="50">
        <f t="shared" si="32"/>
        <v>0</v>
      </c>
      <c r="U97" s="58">
        <f t="shared" si="33"/>
        <v>0</v>
      </c>
      <c r="V97" s="58">
        <f t="shared" si="34"/>
        <v>0</v>
      </c>
      <c r="W97" s="58">
        <f t="shared" si="35"/>
        <v>0</v>
      </c>
      <c r="X97" s="58">
        <f t="shared" si="36"/>
        <v>0</v>
      </c>
      <c r="Y97" s="52">
        <f t="shared" si="37"/>
        <v>0</v>
      </c>
    </row>
    <row r="98" spans="1:25" x14ac:dyDescent="0.25">
      <c r="A98" s="1218" t="s">
        <v>176</v>
      </c>
      <c r="B98" s="98">
        <v>45292</v>
      </c>
      <c r="C98" s="117" t="str">
        <f t="shared" si="24"/>
        <v>6L</v>
      </c>
      <c r="D98" s="96"/>
      <c r="E98" s="98"/>
      <c r="F98" s="98"/>
      <c r="I98" s="99">
        <f t="shared" si="25"/>
        <v>0</v>
      </c>
      <c r="L98" s="99">
        <f t="shared" si="26"/>
        <v>0</v>
      </c>
      <c r="M98" s="44" t="str">
        <f t="shared" si="28"/>
        <v/>
      </c>
      <c r="N98" s="100">
        <f t="shared" si="29"/>
        <v>0</v>
      </c>
      <c r="O98" s="101">
        <f t="shared" si="30"/>
        <v>0</v>
      </c>
      <c r="P98" s="52">
        <f t="shared" si="31"/>
        <v>0</v>
      </c>
      <c r="Q98" s="49">
        <v>116.88487613461319</v>
      </c>
      <c r="R98">
        <v>2225</v>
      </c>
      <c r="S98" s="50">
        <f t="shared" si="27"/>
        <v>71535.307499999995</v>
      </c>
      <c r="T98" s="50">
        <f t="shared" si="32"/>
        <v>0</v>
      </c>
      <c r="U98" s="58">
        <f t="shared" si="33"/>
        <v>0</v>
      </c>
      <c r="V98" s="58">
        <f t="shared" si="34"/>
        <v>0</v>
      </c>
      <c r="W98" s="58">
        <f t="shared" si="35"/>
        <v>0</v>
      </c>
      <c r="X98" s="58">
        <f t="shared" si="36"/>
        <v>0</v>
      </c>
      <c r="Y98" s="52">
        <f t="shared" si="37"/>
        <v>0</v>
      </c>
    </row>
    <row r="99" spans="1:25" x14ac:dyDescent="0.25">
      <c r="A99" s="1218" t="s">
        <v>177</v>
      </c>
      <c r="B99" s="98">
        <v>45292</v>
      </c>
      <c r="C99" s="117" t="str">
        <f t="shared" si="24"/>
        <v>6L</v>
      </c>
      <c r="D99" s="96"/>
      <c r="E99" s="98"/>
      <c r="F99" s="98"/>
      <c r="I99" s="99">
        <f t="shared" si="25"/>
        <v>0</v>
      </c>
      <c r="L99" s="99">
        <f t="shared" si="26"/>
        <v>0</v>
      </c>
      <c r="M99" s="44" t="str">
        <f t="shared" si="28"/>
        <v/>
      </c>
      <c r="N99" s="100">
        <f t="shared" si="29"/>
        <v>0</v>
      </c>
      <c r="O99" s="101">
        <f t="shared" si="30"/>
        <v>0</v>
      </c>
      <c r="P99" s="52">
        <f t="shared" si="31"/>
        <v>0</v>
      </c>
      <c r="Q99" s="49">
        <v>116.88487613461319</v>
      </c>
      <c r="R99">
        <v>2225</v>
      </c>
      <c r="S99" s="50">
        <f t="shared" si="27"/>
        <v>71535.307499999995</v>
      </c>
      <c r="T99" s="50">
        <f t="shared" si="32"/>
        <v>0</v>
      </c>
      <c r="U99" s="58">
        <f t="shared" si="33"/>
        <v>0</v>
      </c>
      <c r="V99" s="58">
        <f t="shared" si="34"/>
        <v>0</v>
      </c>
      <c r="W99" s="58">
        <f t="shared" si="35"/>
        <v>0</v>
      </c>
      <c r="X99" s="58">
        <f t="shared" si="36"/>
        <v>0</v>
      </c>
      <c r="Y99" s="52">
        <f t="shared" si="37"/>
        <v>0</v>
      </c>
    </row>
    <row r="100" spans="1:25" x14ac:dyDescent="0.25">
      <c r="A100" s="1218" t="s">
        <v>178</v>
      </c>
      <c r="B100" s="98">
        <v>45292</v>
      </c>
      <c r="C100" s="117" t="str">
        <f t="shared" si="24"/>
        <v>7L</v>
      </c>
      <c r="D100" s="96"/>
      <c r="I100" s="99">
        <f t="shared" si="25"/>
        <v>0</v>
      </c>
      <c r="L100" s="99">
        <f t="shared" si="26"/>
        <v>0</v>
      </c>
      <c r="M100" s="44" t="str">
        <f t="shared" si="28"/>
        <v/>
      </c>
      <c r="N100" s="100">
        <f t="shared" si="29"/>
        <v>0</v>
      </c>
      <c r="O100" s="101">
        <f t="shared" si="30"/>
        <v>0</v>
      </c>
      <c r="P100" s="52">
        <f t="shared" si="31"/>
        <v>0</v>
      </c>
      <c r="Q100" s="49">
        <v>116.88487613461319</v>
      </c>
      <c r="R100">
        <v>2225</v>
      </c>
      <c r="S100" s="50">
        <f t="shared" si="27"/>
        <v>71535.307499999995</v>
      </c>
      <c r="T100" s="50">
        <f t="shared" si="32"/>
        <v>0</v>
      </c>
      <c r="U100" s="58">
        <f t="shared" si="33"/>
        <v>0</v>
      </c>
      <c r="V100" s="58">
        <f t="shared" si="34"/>
        <v>0</v>
      </c>
      <c r="W100" s="58">
        <f t="shared" si="35"/>
        <v>0</v>
      </c>
      <c r="X100" s="58">
        <f t="shared" si="36"/>
        <v>0</v>
      </c>
      <c r="Y100" s="52">
        <f t="shared" si="37"/>
        <v>0</v>
      </c>
    </row>
    <row r="101" spans="1:25" x14ac:dyDescent="0.25">
      <c r="A101" s="1218" t="s">
        <v>179</v>
      </c>
      <c r="B101" s="98">
        <v>45292</v>
      </c>
      <c r="C101" s="117" t="str">
        <f t="shared" si="24"/>
        <v>7L</v>
      </c>
      <c r="D101" s="96"/>
      <c r="I101" s="99">
        <f t="shared" si="25"/>
        <v>0</v>
      </c>
      <c r="L101" s="99">
        <f t="shared" si="26"/>
        <v>0</v>
      </c>
      <c r="M101" s="44" t="str">
        <f t="shared" si="28"/>
        <v/>
      </c>
      <c r="N101" s="100">
        <f t="shared" si="29"/>
        <v>0</v>
      </c>
      <c r="O101" s="101">
        <f t="shared" si="30"/>
        <v>0</v>
      </c>
      <c r="P101" s="52">
        <f t="shared" si="31"/>
        <v>0</v>
      </c>
      <c r="Q101" s="49">
        <v>116.88487613461319</v>
      </c>
      <c r="R101">
        <v>2225</v>
      </c>
      <c r="S101" s="50">
        <f t="shared" si="27"/>
        <v>71535.307499999995</v>
      </c>
      <c r="T101" s="50">
        <f t="shared" si="32"/>
        <v>0</v>
      </c>
      <c r="U101" s="58">
        <f t="shared" si="33"/>
        <v>0</v>
      </c>
      <c r="V101" s="58">
        <f t="shared" si="34"/>
        <v>0</v>
      </c>
      <c r="W101" s="58">
        <f t="shared" si="35"/>
        <v>0</v>
      </c>
      <c r="X101" s="58">
        <f t="shared" si="36"/>
        <v>0</v>
      </c>
      <c r="Y101" s="52">
        <f t="shared" si="37"/>
        <v>0</v>
      </c>
    </row>
    <row r="102" spans="1:25" x14ac:dyDescent="0.25">
      <c r="A102" s="1218" t="s">
        <v>180</v>
      </c>
      <c r="B102" s="98">
        <v>45292</v>
      </c>
      <c r="C102" s="117" t="str">
        <f t="shared" si="24"/>
        <v>7L</v>
      </c>
      <c r="D102" s="96"/>
      <c r="I102" s="99">
        <f t="shared" si="25"/>
        <v>0</v>
      </c>
      <c r="L102" s="99">
        <f t="shared" si="26"/>
        <v>0</v>
      </c>
      <c r="M102" s="44" t="str">
        <f t="shared" si="28"/>
        <v/>
      </c>
      <c r="N102" s="100">
        <f t="shared" si="29"/>
        <v>0</v>
      </c>
      <c r="O102" s="101">
        <f t="shared" si="30"/>
        <v>0</v>
      </c>
      <c r="P102" s="52">
        <f t="shared" si="31"/>
        <v>0</v>
      </c>
      <c r="Q102" s="49">
        <v>116.88487613461319</v>
      </c>
      <c r="R102">
        <v>2225</v>
      </c>
      <c r="S102" s="50">
        <f t="shared" si="27"/>
        <v>71535.307499999995</v>
      </c>
      <c r="T102" s="50">
        <f t="shared" si="32"/>
        <v>0</v>
      </c>
      <c r="U102" s="58">
        <f t="shared" si="33"/>
        <v>0</v>
      </c>
      <c r="V102" s="58">
        <f t="shared" si="34"/>
        <v>0</v>
      </c>
      <c r="W102" s="58">
        <f t="shared" si="35"/>
        <v>0</v>
      </c>
      <c r="X102" s="58">
        <f t="shared" si="36"/>
        <v>0</v>
      </c>
      <c r="Y102" s="52">
        <f t="shared" si="37"/>
        <v>0</v>
      </c>
    </row>
    <row r="103" spans="1:25" x14ac:dyDescent="0.25">
      <c r="A103" s="1218" t="s">
        <v>181</v>
      </c>
      <c r="B103" s="98">
        <v>45292</v>
      </c>
      <c r="C103" s="117" t="str">
        <f t="shared" si="24"/>
        <v>7L</v>
      </c>
      <c r="D103" s="96"/>
      <c r="I103" s="99">
        <f t="shared" si="25"/>
        <v>0</v>
      </c>
      <c r="L103" s="99">
        <f t="shared" si="26"/>
        <v>0</v>
      </c>
      <c r="M103" s="44" t="str">
        <f t="shared" si="28"/>
        <v/>
      </c>
      <c r="N103" s="100">
        <f t="shared" si="29"/>
        <v>0</v>
      </c>
      <c r="O103" s="101">
        <f t="shared" si="30"/>
        <v>0</v>
      </c>
      <c r="P103" s="52">
        <f t="shared" si="31"/>
        <v>0</v>
      </c>
      <c r="Q103" s="49">
        <v>116.88487613461319</v>
      </c>
      <c r="R103">
        <v>2225</v>
      </c>
      <c r="S103" s="50">
        <f t="shared" si="27"/>
        <v>71535.307499999995</v>
      </c>
      <c r="T103" s="50">
        <f t="shared" si="32"/>
        <v>0</v>
      </c>
      <c r="U103" s="58">
        <f t="shared" si="33"/>
        <v>0</v>
      </c>
      <c r="V103" s="58">
        <f t="shared" si="34"/>
        <v>0</v>
      </c>
      <c r="W103" s="58">
        <f t="shared" si="35"/>
        <v>0</v>
      </c>
      <c r="X103" s="58">
        <f t="shared" si="36"/>
        <v>0</v>
      </c>
      <c r="Y103" s="52">
        <f t="shared" si="37"/>
        <v>0</v>
      </c>
    </row>
    <row r="104" spans="1:25" x14ac:dyDescent="0.25">
      <c r="A104" s="1218" t="s">
        <v>182</v>
      </c>
      <c r="B104" s="98">
        <v>45292</v>
      </c>
      <c r="C104" s="117" t="str">
        <f t="shared" si="24"/>
        <v>7L</v>
      </c>
      <c r="D104" s="96"/>
      <c r="I104" s="99">
        <f t="shared" si="25"/>
        <v>0</v>
      </c>
      <c r="L104" s="99">
        <f t="shared" si="26"/>
        <v>0</v>
      </c>
      <c r="M104" s="44" t="str">
        <f t="shared" si="28"/>
        <v/>
      </c>
      <c r="N104" s="100">
        <f t="shared" si="29"/>
        <v>0</v>
      </c>
      <c r="O104" s="101">
        <f t="shared" si="30"/>
        <v>0</v>
      </c>
      <c r="P104" s="52">
        <f t="shared" si="31"/>
        <v>0</v>
      </c>
      <c r="Q104" s="49">
        <v>116.88487613461319</v>
      </c>
      <c r="R104">
        <v>2225</v>
      </c>
      <c r="S104" s="50">
        <f t="shared" si="27"/>
        <v>71535.307499999995</v>
      </c>
      <c r="T104" s="50">
        <f t="shared" si="32"/>
        <v>0</v>
      </c>
      <c r="U104" s="58">
        <f t="shared" si="33"/>
        <v>0</v>
      </c>
      <c r="V104" s="58">
        <f t="shared" si="34"/>
        <v>0</v>
      </c>
      <c r="W104" s="58">
        <f t="shared" si="35"/>
        <v>0</v>
      </c>
      <c r="X104" s="58">
        <f t="shared" si="36"/>
        <v>0</v>
      </c>
      <c r="Y104" s="52">
        <f t="shared" si="37"/>
        <v>0</v>
      </c>
    </row>
    <row r="105" spans="1:25" x14ac:dyDescent="0.25">
      <c r="A105" s="1218" t="s">
        <v>183</v>
      </c>
      <c r="B105" s="98">
        <v>45292</v>
      </c>
      <c r="C105" s="117" t="str">
        <f t="shared" si="24"/>
        <v>7L</v>
      </c>
      <c r="D105" s="96"/>
      <c r="I105" s="99">
        <f t="shared" si="25"/>
        <v>0</v>
      </c>
      <c r="L105" s="99">
        <f t="shared" si="26"/>
        <v>0</v>
      </c>
      <c r="M105" s="44" t="str">
        <f t="shared" si="28"/>
        <v/>
      </c>
      <c r="N105" s="100">
        <f t="shared" si="29"/>
        <v>0</v>
      </c>
      <c r="O105" s="101">
        <f t="shared" si="30"/>
        <v>0</v>
      </c>
      <c r="P105" s="52">
        <f t="shared" si="31"/>
        <v>0</v>
      </c>
      <c r="Q105" s="49">
        <v>116.88487613461319</v>
      </c>
      <c r="R105">
        <v>2225</v>
      </c>
      <c r="S105" s="50">
        <f t="shared" si="27"/>
        <v>71535.307499999995</v>
      </c>
      <c r="T105" s="50">
        <f t="shared" si="32"/>
        <v>0</v>
      </c>
      <c r="U105" s="58">
        <f t="shared" si="33"/>
        <v>0</v>
      </c>
      <c r="V105" s="58">
        <f t="shared" si="34"/>
        <v>0</v>
      </c>
      <c r="W105" s="58">
        <f t="shared" si="35"/>
        <v>0</v>
      </c>
      <c r="X105" s="58">
        <f t="shared" si="36"/>
        <v>0</v>
      </c>
      <c r="Y105" s="52">
        <f t="shared" si="37"/>
        <v>0</v>
      </c>
    </row>
    <row r="106" spans="1:25" x14ac:dyDescent="0.25">
      <c r="A106" s="1218" t="s">
        <v>184</v>
      </c>
      <c r="B106" s="98">
        <v>45292</v>
      </c>
      <c r="C106" s="117" t="str">
        <f t="shared" si="24"/>
        <v>7L</v>
      </c>
      <c r="D106" s="96"/>
      <c r="I106" s="99">
        <f t="shared" si="25"/>
        <v>0</v>
      </c>
      <c r="L106" s="99">
        <f t="shared" si="26"/>
        <v>0</v>
      </c>
      <c r="M106" s="44" t="str">
        <f t="shared" si="28"/>
        <v/>
      </c>
      <c r="N106" s="100">
        <f t="shared" si="29"/>
        <v>0</v>
      </c>
      <c r="O106" s="101">
        <f t="shared" si="30"/>
        <v>0</v>
      </c>
      <c r="P106" s="52">
        <f t="shared" si="31"/>
        <v>0</v>
      </c>
      <c r="Q106" s="49">
        <v>116.88487613461319</v>
      </c>
      <c r="R106">
        <v>2225</v>
      </c>
      <c r="S106" s="50">
        <f t="shared" si="27"/>
        <v>71535.307499999995</v>
      </c>
      <c r="T106" s="50">
        <f t="shared" si="32"/>
        <v>0</v>
      </c>
      <c r="U106" s="58">
        <f t="shared" si="33"/>
        <v>0</v>
      </c>
      <c r="V106" s="58">
        <f t="shared" si="34"/>
        <v>0</v>
      </c>
      <c r="W106" s="58">
        <f t="shared" si="35"/>
        <v>0</v>
      </c>
      <c r="X106" s="58">
        <f t="shared" si="36"/>
        <v>0</v>
      </c>
      <c r="Y106" s="52">
        <f t="shared" si="37"/>
        <v>0</v>
      </c>
    </row>
    <row r="107" spans="1:25" x14ac:dyDescent="0.25">
      <c r="A107" s="1218" t="s">
        <v>185</v>
      </c>
      <c r="B107" s="98">
        <v>45292</v>
      </c>
      <c r="C107" s="117" t="str">
        <f t="shared" si="24"/>
        <v>7L</v>
      </c>
      <c r="D107" s="96"/>
      <c r="I107" s="99">
        <f t="shared" si="25"/>
        <v>0</v>
      </c>
      <c r="L107" s="99">
        <f t="shared" si="26"/>
        <v>0</v>
      </c>
      <c r="M107" s="44" t="str">
        <f t="shared" si="28"/>
        <v/>
      </c>
      <c r="N107" s="100">
        <f t="shared" si="29"/>
        <v>0</v>
      </c>
      <c r="O107" s="101">
        <f t="shared" si="30"/>
        <v>0</v>
      </c>
      <c r="P107" s="52">
        <f t="shared" si="31"/>
        <v>0</v>
      </c>
      <c r="Q107" s="49">
        <v>116.88487613461319</v>
      </c>
      <c r="R107">
        <v>2225</v>
      </c>
      <c r="S107" s="50">
        <f t="shared" si="27"/>
        <v>71535.307499999995</v>
      </c>
      <c r="T107" s="50">
        <f t="shared" si="32"/>
        <v>0</v>
      </c>
      <c r="U107" s="58">
        <f t="shared" si="33"/>
        <v>0</v>
      </c>
      <c r="V107" s="58">
        <f t="shared" si="34"/>
        <v>0</v>
      </c>
      <c r="W107" s="58">
        <f t="shared" si="35"/>
        <v>0</v>
      </c>
      <c r="X107" s="58">
        <f t="shared" si="36"/>
        <v>0</v>
      </c>
      <c r="Y107" s="52">
        <f t="shared" si="37"/>
        <v>0</v>
      </c>
    </row>
    <row r="108" spans="1:25" x14ac:dyDescent="0.25">
      <c r="A108" s="1218" t="s">
        <v>186</v>
      </c>
      <c r="B108" s="98">
        <v>45292</v>
      </c>
      <c r="C108" s="117" t="str">
        <f t="shared" si="24"/>
        <v>7L</v>
      </c>
      <c r="D108" s="96"/>
      <c r="I108" s="99">
        <f t="shared" si="25"/>
        <v>0</v>
      </c>
      <c r="L108" s="99">
        <f t="shared" si="26"/>
        <v>0</v>
      </c>
      <c r="M108" s="44" t="str">
        <f t="shared" si="28"/>
        <v/>
      </c>
      <c r="N108" s="100">
        <f t="shared" si="29"/>
        <v>0</v>
      </c>
      <c r="O108" s="101">
        <f t="shared" si="30"/>
        <v>0</v>
      </c>
      <c r="P108" s="52">
        <f t="shared" si="31"/>
        <v>0</v>
      </c>
      <c r="Q108" s="49">
        <v>116.88487613461319</v>
      </c>
      <c r="R108">
        <v>2225</v>
      </c>
      <c r="S108" s="50">
        <f t="shared" si="27"/>
        <v>71535.307499999995</v>
      </c>
      <c r="T108" s="50">
        <f t="shared" si="32"/>
        <v>0</v>
      </c>
      <c r="U108" s="58">
        <f t="shared" si="33"/>
        <v>0</v>
      </c>
      <c r="V108" s="58">
        <f t="shared" si="34"/>
        <v>0</v>
      </c>
      <c r="W108" s="58">
        <f t="shared" si="35"/>
        <v>0</v>
      </c>
      <c r="X108" s="58">
        <f t="shared" si="36"/>
        <v>0</v>
      </c>
      <c r="Y108" s="52">
        <f t="shared" si="37"/>
        <v>0</v>
      </c>
    </row>
    <row r="109" spans="1:25" x14ac:dyDescent="0.25">
      <c r="A109" s="1218" t="s">
        <v>187</v>
      </c>
      <c r="B109" s="98">
        <v>45292</v>
      </c>
      <c r="C109" s="117" t="str">
        <f t="shared" si="24"/>
        <v>7L</v>
      </c>
      <c r="D109" s="96"/>
      <c r="I109" s="99">
        <f t="shared" si="25"/>
        <v>0</v>
      </c>
      <c r="L109" s="99">
        <f t="shared" si="26"/>
        <v>0</v>
      </c>
      <c r="M109" s="44" t="str">
        <f t="shared" si="28"/>
        <v/>
      </c>
      <c r="N109" s="100">
        <f t="shared" si="29"/>
        <v>0</v>
      </c>
      <c r="O109" s="101">
        <f t="shared" si="30"/>
        <v>0</v>
      </c>
      <c r="P109" s="52">
        <f t="shared" si="31"/>
        <v>0</v>
      </c>
      <c r="Q109" s="49">
        <v>116.88487613461319</v>
      </c>
      <c r="R109">
        <v>2225</v>
      </c>
      <c r="S109" s="50">
        <f t="shared" si="27"/>
        <v>71535.307499999995</v>
      </c>
      <c r="T109" s="50">
        <f t="shared" si="32"/>
        <v>0</v>
      </c>
      <c r="U109" s="58">
        <f t="shared" si="33"/>
        <v>0</v>
      </c>
      <c r="V109" s="58">
        <f t="shared" si="34"/>
        <v>0</v>
      </c>
      <c r="W109" s="58">
        <f t="shared" si="35"/>
        <v>0</v>
      </c>
      <c r="X109" s="58">
        <f t="shared" si="36"/>
        <v>0</v>
      </c>
      <c r="Y109" s="52">
        <f t="shared" si="37"/>
        <v>0</v>
      </c>
    </row>
    <row r="110" spans="1:25" x14ac:dyDescent="0.25">
      <c r="A110" s="1218" t="s">
        <v>188</v>
      </c>
      <c r="B110" s="98">
        <v>45292</v>
      </c>
      <c r="C110" s="117" t="str">
        <f t="shared" si="24"/>
        <v>7L</v>
      </c>
      <c r="D110" s="96"/>
      <c r="I110" s="99">
        <f t="shared" si="25"/>
        <v>0</v>
      </c>
      <c r="L110" s="99">
        <f t="shared" si="26"/>
        <v>0</v>
      </c>
      <c r="M110" s="44" t="str">
        <f t="shared" si="28"/>
        <v/>
      </c>
      <c r="N110" s="100">
        <f t="shared" si="29"/>
        <v>0</v>
      </c>
      <c r="O110" s="101">
        <f t="shared" si="30"/>
        <v>0</v>
      </c>
      <c r="P110" s="52">
        <f t="shared" si="31"/>
        <v>0</v>
      </c>
      <c r="Q110" s="49">
        <v>116.88487613461319</v>
      </c>
      <c r="R110">
        <v>2225</v>
      </c>
      <c r="S110" s="50">
        <f t="shared" si="27"/>
        <v>71535.307499999995</v>
      </c>
      <c r="T110" s="50">
        <f t="shared" si="32"/>
        <v>0</v>
      </c>
      <c r="U110" s="58">
        <f t="shared" si="33"/>
        <v>0</v>
      </c>
      <c r="V110" s="58">
        <f t="shared" si="34"/>
        <v>0</v>
      </c>
      <c r="W110" s="58">
        <f t="shared" si="35"/>
        <v>0</v>
      </c>
      <c r="X110" s="58">
        <f t="shared" si="36"/>
        <v>0</v>
      </c>
      <c r="Y110" s="52">
        <f t="shared" si="37"/>
        <v>0</v>
      </c>
    </row>
    <row r="111" spans="1:25" x14ac:dyDescent="0.25">
      <c r="A111" s="1218" t="s">
        <v>189</v>
      </c>
      <c r="B111" s="98">
        <v>45292</v>
      </c>
      <c r="C111" s="117" t="str">
        <f t="shared" si="24"/>
        <v>7L</v>
      </c>
      <c r="D111" s="96"/>
      <c r="I111" s="99">
        <f t="shared" si="25"/>
        <v>0</v>
      </c>
      <c r="L111" s="99">
        <f t="shared" si="26"/>
        <v>0</v>
      </c>
      <c r="M111" s="44" t="str">
        <f t="shared" si="28"/>
        <v/>
      </c>
      <c r="N111" s="100">
        <f t="shared" si="29"/>
        <v>0</v>
      </c>
      <c r="O111" s="101">
        <f t="shared" si="30"/>
        <v>0</v>
      </c>
      <c r="P111" s="52">
        <f t="shared" si="31"/>
        <v>0</v>
      </c>
      <c r="Q111" s="49">
        <v>116.88487613461319</v>
      </c>
      <c r="R111">
        <v>2225</v>
      </c>
      <c r="S111" s="50">
        <f t="shared" si="27"/>
        <v>71535.307499999995</v>
      </c>
      <c r="T111" s="50">
        <f t="shared" si="32"/>
        <v>0</v>
      </c>
      <c r="U111" s="58">
        <f t="shared" si="33"/>
        <v>0</v>
      </c>
      <c r="V111" s="58">
        <f t="shared" si="34"/>
        <v>0</v>
      </c>
      <c r="W111" s="58">
        <f t="shared" si="35"/>
        <v>0</v>
      </c>
      <c r="X111" s="58">
        <f t="shared" si="36"/>
        <v>0</v>
      </c>
      <c r="Y111" s="52">
        <f t="shared" si="37"/>
        <v>0</v>
      </c>
    </row>
    <row r="112" spans="1:25" x14ac:dyDescent="0.25">
      <c r="A112" s="1218" t="s">
        <v>190</v>
      </c>
      <c r="B112" s="98">
        <v>45292</v>
      </c>
      <c r="C112" s="117" t="str">
        <f t="shared" si="24"/>
        <v>8L</v>
      </c>
      <c r="D112" s="96"/>
      <c r="I112" s="99">
        <f t="shared" si="25"/>
        <v>0</v>
      </c>
      <c r="L112" s="99">
        <f t="shared" si="26"/>
        <v>0</v>
      </c>
      <c r="M112" s="44" t="str">
        <f t="shared" si="28"/>
        <v/>
      </c>
      <c r="N112" s="100">
        <f t="shared" si="29"/>
        <v>0</v>
      </c>
      <c r="O112" s="101">
        <f t="shared" si="30"/>
        <v>0</v>
      </c>
      <c r="P112" s="52">
        <f t="shared" si="31"/>
        <v>0</v>
      </c>
      <c r="Q112" s="49">
        <v>116.88487613461319</v>
      </c>
      <c r="R112">
        <v>2225</v>
      </c>
      <c r="S112" s="50">
        <f t="shared" si="27"/>
        <v>71535.307499999995</v>
      </c>
      <c r="T112" s="50">
        <f t="shared" si="32"/>
        <v>0</v>
      </c>
      <c r="U112" s="58">
        <f t="shared" si="33"/>
        <v>0</v>
      </c>
      <c r="V112" s="58">
        <f t="shared" si="34"/>
        <v>0</v>
      </c>
      <c r="W112" s="58">
        <f t="shared" si="35"/>
        <v>0</v>
      </c>
      <c r="X112" s="58">
        <f t="shared" si="36"/>
        <v>0</v>
      </c>
      <c r="Y112" s="52">
        <f t="shared" si="37"/>
        <v>0</v>
      </c>
    </row>
    <row r="113" spans="1:25" x14ac:dyDescent="0.25">
      <c r="A113" s="1218" t="s">
        <v>191</v>
      </c>
      <c r="B113" s="98">
        <v>45292</v>
      </c>
      <c r="C113" s="117" t="str">
        <f t="shared" si="24"/>
        <v>8L</v>
      </c>
      <c r="D113" s="96"/>
      <c r="I113" s="99">
        <f t="shared" si="25"/>
        <v>0</v>
      </c>
      <c r="L113" s="99">
        <f t="shared" si="26"/>
        <v>0</v>
      </c>
      <c r="M113" s="44" t="str">
        <f t="shared" si="28"/>
        <v/>
      </c>
      <c r="N113" s="100">
        <f t="shared" si="29"/>
        <v>0</v>
      </c>
      <c r="O113" s="101">
        <f t="shared" si="30"/>
        <v>0</v>
      </c>
      <c r="P113" s="52">
        <f t="shared" si="31"/>
        <v>0</v>
      </c>
      <c r="Q113" s="49">
        <v>116.88487613461319</v>
      </c>
      <c r="R113">
        <v>2225</v>
      </c>
      <c r="S113" s="50">
        <f t="shared" si="27"/>
        <v>71535.307499999995</v>
      </c>
      <c r="T113" s="50">
        <f t="shared" si="32"/>
        <v>0</v>
      </c>
      <c r="U113" s="58">
        <f t="shared" si="33"/>
        <v>0</v>
      </c>
      <c r="V113" s="58">
        <f t="shared" si="34"/>
        <v>0</v>
      </c>
      <c r="W113" s="58">
        <f t="shared" si="35"/>
        <v>0</v>
      </c>
      <c r="X113" s="58">
        <f t="shared" si="36"/>
        <v>0</v>
      </c>
      <c r="Y113" s="52">
        <f t="shared" si="37"/>
        <v>0</v>
      </c>
    </row>
    <row r="114" spans="1:25" x14ac:dyDescent="0.25">
      <c r="A114" s="1218" t="s">
        <v>192</v>
      </c>
      <c r="B114" s="98">
        <v>45292</v>
      </c>
      <c r="C114" s="117" t="str">
        <f t="shared" si="24"/>
        <v>8L</v>
      </c>
      <c r="D114" s="96"/>
      <c r="I114" s="99">
        <f t="shared" si="25"/>
        <v>0</v>
      </c>
      <c r="L114" s="99">
        <f t="shared" si="26"/>
        <v>0</v>
      </c>
      <c r="M114" s="44" t="str">
        <f t="shared" si="28"/>
        <v/>
      </c>
      <c r="N114" s="100">
        <f t="shared" si="29"/>
        <v>0</v>
      </c>
      <c r="O114" s="101">
        <f t="shared" si="30"/>
        <v>0</v>
      </c>
      <c r="P114" s="52">
        <f t="shared" si="31"/>
        <v>0</v>
      </c>
      <c r="Q114" s="49">
        <v>116.88487613461319</v>
      </c>
      <c r="R114">
        <v>2225</v>
      </c>
      <c r="S114" s="50">
        <f t="shared" si="27"/>
        <v>71535.307499999995</v>
      </c>
      <c r="T114" s="50">
        <f t="shared" si="32"/>
        <v>0</v>
      </c>
      <c r="U114" s="58">
        <f t="shared" si="33"/>
        <v>0</v>
      </c>
      <c r="V114" s="58">
        <f t="shared" si="34"/>
        <v>0</v>
      </c>
      <c r="W114" s="58">
        <f t="shared" si="35"/>
        <v>0</v>
      </c>
      <c r="X114" s="58">
        <f t="shared" si="36"/>
        <v>0</v>
      </c>
      <c r="Y114" s="52">
        <f t="shared" si="37"/>
        <v>0</v>
      </c>
    </row>
    <row r="115" spans="1:25" x14ac:dyDescent="0.25">
      <c r="A115" s="1218" t="s">
        <v>193</v>
      </c>
      <c r="B115" s="98">
        <v>45292</v>
      </c>
      <c r="C115" s="117" t="str">
        <f t="shared" si="24"/>
        <v>8L</v>
      </c>
      <c r="D115" s="96"/>
      <c r="I115" s="99">
        <f t="shared" si="25"/>
        <v>0</v>
      </c>
      <c r="L115" s="99">
        <f t="shared" si="26"/>
        <v>0</v>
      </c>
      <c r="M115" s="44" t="str">
        <f t="shared" si="28"/>
        <v/>
      </c>
      <c r="N115" s="100">
        <f t="shared" si="29"/>
        <v>0</v>
      </c>
      <c r="O115" s="101">
        <f t="shared" si="30"/>
        <v>0</v>
      </c>
      <c r="P115" s="52">
        <f t="shared" si="31"/>
        <v>0</v>
      </c>
      <c r="Q115" s="49">
        <v>116.88487613461319</v>
      </c>
      <c r="R115">
        <v>2225</v>
      </c>
      <c r="S115" s="50">
        <f t="shared" si="27"/>
        <v>71535.307499999995</v>
      </c>
      <c r="T115" s="50">
        <f t="shared" si="32"/>
        <v>0</v>
      </c>
      <c r="U115" s="58">
        <f t="shared" si="33"/>
        <v>0</v>
      </c>
      <c r="V115" s="58">
        <f t="shared" si="34"/>
        <v>0</v>
      </c>
      <c r="W115" s="58">
        <f t="shared" si="35"/>
        <v>0</v>
      </c>
      <c r="X115" s="58">
        <f t="shared" si="36"/>
        <v>0</v>
      </c>
      <c r="Y115" s="52">
        <f t="shared" si="37"/>
        <v>0</v>
      </c>
    </row>
    <row r="116" spans="1:25" x14ac:dyDescent="0.25">
      <c r="A116" s="1218" t="s">
        <v>194</v>
      </c>
      <c r="B116" s="98">
        <v>45292</v>
      </c>
      <c r="C116" s="117" t="str">
        <f t="shared" si="24"/>
        <v>8L</v>
      </c>
      <c r="D116" s="96"/>
      <c r="I116" s="99">
        <f t="shared" si="25"/>
        <v>0</v>
      </c>
      <c r="L116" s="99">
        <f t="shared" si="26"/>
        <v>0</v>
      </c>
      <c r="M116" s="44" t="str">
        <f t="shared" si="28"/>
        <v/>
      </c>
      <c r="N116" s="100">
        <f t="shared" si="29"/>
        <v>0</v>
      </c>
      <c r="O116" s="101">
        <f t="shared" si="30"/>
        <v>0</v>
      </c>
      <c r="P116" s="52">
        <f t="shared" si="31"/>
        <v>0</v>
      </c>
      <c r="Q116" s="49">
        <v>116.88487613461319</v>
      </c>
      <c r="R116">
        <v>2225</v>
      </c>
      <c r="S116" s="50">
        <f t="shared" si="27"/>
        <v>71535.307499999995</v>
      </c>
      <c r="T116" s="50">
        <f t="shared" si="32"/>
        <v>0</v>
      </c>
      <c r="U116" s="58">
        <f t="shared" si="33"/>
        <v>0</v>
      </c>
      <c r="V116" s="58">
        <f t="shared" si="34"/>
        <v>0</v>
      </c>
      <c r="W116" s="58">
        <f t="shared" si="35"/>
        <v>0</v>
      </c>
      <c r="X116" s="58">
        <f t="shared" si="36"/>
        <v>0</v>
      </c>
      <c r="Y116" s="52">
        <f t="shared" si="37"/>
        <v>0</v>
      </c>
    </row>
    <row r="117" spans="1:25" x14ac:dyDescent="0.25">
      <c r="A117" s="1218" t="s">
        <v>195</v>
      </c>
      <c r="B117" s="98">
        <v>45292</v>
      </c>
      <c r="C117" s="117" t="str">
        <f t="shared" si="24"/>
        <v>8L</v>
      </c>
      <c r="D117" s="96"/>
      <c r="I117" s="99">
        <f t="shared" si="25"/>
        <v>0</v>
      </c>
      <c r="L117" s="99">
        <f t="shared" si="26"/>
        <v>0</v>
      </c>
      <c r="M117" s="44" t="str">
        <f t="shared" si="28"/>
        <v/>
      </c>
      <c r="N117" s="100">
        <f t="shared" si="29"/>
        <v>0</v>
      </c>
      <c r="O117" s="101">
        <f t="shared" si="30"/>
        <v>0</v>
      </c>
      <c r="P117" s="52">
        <f t="shared" si="31"/>
        <v>0</v>
      </c>
      <c r="Q117" s="49">
        <v>116.88487613461319</v>
      </c>
      <c r="R117">
        <v>2225</v>
      </c>
      <c r="S117" s="50">
        <f t="shared" si="27"/>
        <v>71535.307499999995</v>
      </c>
      <c r="T117" s="50">
        <f t="shared" si="32"/>
        <v>0</v>
      </c>
      <c r="U117" s="58">
        <f t="shared" si="33"/>
        <v>0</v>
      </c>
      <c r="V117" s="58">
        <f t="shared" si="34"/>
        <v>0</v>
      </c>
      <c r="W117" s="58">
        <f t="shared" si="35"/>
        <v>0</v>
      </c>
      <c r="X117" s="58">
        <f t="shared" si="36"/>
        <v>0</v>
      </c>
      <c r="Y117" s="52">
        <f t="shared" si="37"/>
        <v>0</v>
      </c>
    </row>
    <row r="118" spans="1:25" x14ac:dyDescent="0.25">
      <c r="A118" s="1218" t="s">
        <v>196</v>
      </c>
      <c r="B118" s="98">
        <v>45292</v>
      </c>
      <c r="C118" s="117" t="str">
        <f t="shared" si="24"/>
        <v>8L</v>
      </c>
      <c r="D118" s="96"/>
      <c r="I118" s="99">
        <f t="shared" si="25"/>
        <v>0</v>
      </c>
      <c r="L118" s="99">
        <f t="shared" si="26"/>
        <v>0</v>
      </c>
      <c r="M118" s="44" t="str">
        <f t="shared" si="28"/>
        <v/>
      </c>
      <c r="N118" s="100">
        <f t="shared" si="29"/>
        <v>0</v>
      </c>
      <c r="O118" s="101">
        <f t="shared" si="30"/>
        <v>0</v>
      </c>
      <c r="P118" s="52">
        <f t="shared" si="31"/>
        <v>0</v>
      </c>
      <c r="Q118" s="49">
        <v>116.88487613461319</v>
      </c>
      <c r="R118">
        <v>2225</v>
      </c>
      <c r="S118" s="50">
        <f t="shared" si="27"/>
        <v>71535.307499999995</v>
      </c>
      <c r="T118" s="50">
        <f t="shared" si="32"/>
        <v>0</v>
      </c>
      <c r="U118" s="58">
        <f t="shared" si="33"/>
        <v>0</v>
      </c>
      <c r="V118" s="58">
        <f t="shared" si="34"/>
        <v>0</v>
      </c>
      <c r="W118" s="58">
        <f t="shared" si="35"/>
        <v>0</v>
      </c>
      <c r="X118" s="58">
        <f t="shared" si="36"/>
        <v>0</v>
      </c>
      <c r="Y118" s="52">
        <f t="shared" si="37"/>
        <v>0</v>
      </c>
    </row>
    <row r="119" spans="1:25" x14ac:dyDescent="0.25">
      <c r="A119" s="1218" t="s">
        <v>197</v>
      </c>
      <c r="B119" s="98">
        <v>45292</v>
      </c>
      <c r="C119" s="117" t="str">
        <f t="shared" si="24"/>
        <v>8L</v>
      </c>
      <c r="D119" s="96"/>
      <c r="I119" s="99">
        <f t="shared" si="25"/>
        <v>0</v>
      </c>
      <c r="L119" s="99">
        <f t="shared" si="26"/>
        <v>0</v>
      </c>
      <c r="M119" s="44" t="str">
        <f t="shared" si="28"/>
        <v/>
      </c>
      <c r="N119" s="100">
        <f t="shared" si="29"/>
        <v>0</v>
      </c>
      <c r="O119" s="101">
        <f t="shared" si="30"/>
        <v>0</v>
      </c>
      <c r="P119" s="52">
        <f t="shared" si="31"/>
        <v>0</v>
      </c>
      <c r="Q119" s="49">
        <v>116.88487613461319</v>
      </c>
      <c r="R119">
        <v>2225</v>
      </c>
      <c r="S119" s="50">
        <f t="shared" si="27"/>
        <v>71535.307499999995</v>
      </c>
      <c r="T119" s="50">
        <f t="shared" si="32"/>
        <v>0</v>
      </c>
      <c r="U119" s="58">
        <f t="shared" si="33"/>
        <v>0</v>
      </c>
      <c r="V119" s="58">
        <f t="shared" si="34"/>
        <v>0</v>
      </c>
      <c r="W119" s="58">
        <f t="shared" si="35"/>
        <v>0</v>
      </c>
      <c r="X119" s="58">
        <f t="shared" si="36"/>
        <v>0</v>
      </c>
      <c r="Y119" s="52">
        <f t="shared" si="37"/>
        <v>0</v>
      </c>
    </row>
    <row r="120" spans="1:25" x14ac:dyDescent="0.25">
      <c r="A120" s="1218" t="s">
        <v>198</v>
      </c>
      <c r="B120" s="98">
        <v>45292</v>
      </c>
      <c r="C120" s="117" t="str">
        <f t="shared" si="24"/>
        <v>8L</v>
      </c>
      <c r="D120" s="96"/>
      <c r="I120" s="99">
        <f t="shared" si="25"/>
        <v>0</v>
      </c>
      <c r="L120" s="99">
        <f t="shared" si="26"/>
        <v>0</v>
      </c>
      <c r="M120" s="44" t="str">
        <f t="shared" si="28"/>
        <v/>
      </c>
      <c r="N120" s="100">
        <f t="shared" si="29"/>
        <v>0</v>
      </c>
      <c r="O120" s="101">
        <f t="shared" si="30"/>
        <v>0</v>
      </c>
      <c r="P120" s="52">
        <f t="shared" si="31"/>
        <v>0</v>
      </c>
      <c r="Q120" s="49">
        <v>116.88487613461319</v>
      </c>
      <c r="R120">
        <v>2225</v>
      </c>
      <c r="S120" s="50">
        <f t="shared" si="27"/>
        <v>71535.307499999995</v>
      </c>
      <c r="T120" s="50">
        <f t="shared" si="32"/>
        <v>0</v>
      </c>
      <c r="U120" s="58">
        <f t="shared" si="33"/>
        <v>0</v>
      </c>
      <c r="V120" s="58">
        <f t="shared" si="34"/>
        <v>0</v>
      </c>
      <c r="W120" s="58">
        <f t="shared" si="35"/>
        <v>0</v>
      </c>
      <c r="X120" s="58">
        <f t="shared" si="36"/>
        <v>0</v>
      </c>
      <c r="Y120" s="52">
        <f t="shared" si="37"/>
        <v>0</v>
      </c>
    </row>
    <row r="121" spans="1:25" x14ac:dyDescent="0.25">
      <c r="A121" s="1218" t="s">
        <v>199</v>
      </c>
      <c r="B121" s="98">
        <v>45292</v>
      </c>
      <c r="C121" s="117" t="str">
        <f t="shared" si="24"/>
        <v>8L</v>
      </c>
      <c r="D121" s="96"/>
      <c r="I121" s="99">
        <f t="shared" si="25"/>
        <v>0</v>
      </c>
      <c r="L121" s="99">
        <f t="shared" si="26"/>
        <v>0</v>
      </c>
      <c r="M121" s="44" t="str">
        <f t="shared" si="28"/>
        <v/>
      </c>
      <c r="N121" s="100">
        <f t="shared" si="29"/>
        <v>0</v>
      </c>
      <c r="O121" s="101">
        <f t="shared" si="30"/>
        <v>0</v>
      </c>
      <c r="P121" s="52">
        <f t="shared" si="31"/>
        <v>0</v>
      </c>
      <c r="Q121" s="49">
        <v>116.88487613461319</v>
      </c>
      <c r="R121">
        <v>2225</v>
      </c>
      <c r="S121" s="50">
        <f t="shared" si="27"/>
        <v>71535.307499999995</v>
      </c>
      <c r="T121" s="50">
        <f t="shared" si="32"/>
        <v>0</v>
      </c>
      <c r="U121" s="58">
        <f t="shared" si="33"/>
        <v>0</v>
      </c>
      <c r="V121" s="58">
        <f t="shared" si="34"/>
        <v>0</v>
      </c>
      <c r="W121" s="58">
        <f t="shared" si="35"/>
        <v>0</v>
      </c>
      <c r="X121" s="58">
        <f t="shared" si="36"/>
        <v>0</v>
      </c>
      <c r="Y121" s="52">
        <f t="shared" si="37"/>
        <v>0</v>
      </c>
    </row>
    <row r="122" spans="1:25" x14ac:dyDescent="0.25">
      <c r="A122" s="1218" t="s">
        <v>200</v>
      </c>
      <c r="B122" s="98">
        <v>45292</v>
      </c>
      <c r="C122" s="117" t="str">
        <f t="shared" si="24"/>
        <v>8L</v>
      </c>
      <c r="D122" s="96"/>
      <c r="I122" s="99">
        <f t="shared" si="25"/>
        <v>0</v>
      </c>
      <c r="L122" s="99">
        <f t="shared" si="26"/>
        <v>0</v>
      </c>
      <c r="M122" s="44" t="str">
        <f t="shared" si="28"/>
        <v/>
      </c>
      <c r="N122" s="100">
        <f t="shared" si="29"/>
        <v>0</v>
      </c>
      <c r="O122" s="101">
        <f t="shared" si="30"/>
        <v>0</v>
      </c>
      <c r="P122" s="52">
        <f t="shared" si="31"/>
        <v>0</v>
      </c>
      <c r="Q122" s="49">
        <v>116.88487613461319</v>
      </c>
      <c r="R122">
        <v>2225</v>
      </c>
      <c r="S122" s="50">
        <f t="shared" si="27"/>
        <v>71535.307499999995</v>
      </c>
      <c r="T122" s="50">
        <f t="shared" si="32"/>
        <v>0</v>
      </c>
      <c r="U122" s="58">
        <f t="shared" si="33"/>
        <v>0</v>
      </c>
      <c r="V122" s="58">
        <f t="shared" si="34"/>
        <v>0</v>
      </c>
      <c r="W122" s="58">
        <f t="shared" si="35"/>
        <v>0</v>
      </c>
      <c r="X122" s="58">
        <f t="shared" si="36"/>
        <v>0</v>
      </c>
      <c r="Y122" s="52">
        <f t="shared" si="37"/>
        <v>0</v>
      </c>
    </row>
    <row r="123" spans="1:25" x14ac:dyDescent="0.25">
      <c r="A123" s="1218" t="s">
        <v>201</v>
      </c>
      <c r="B123" s="98">
        <v>45292</v>
      </c>
      <c r="C123" s="117" t="str">
        <f t="shared" si="24"/>
        <v>8L</v>
      </c>
      <c r="D123" s="96"/>
      <c r="I123" s="99">
        <f t="shared" si="25"/>
        <v>0</v>
      </c>
      <c r="L123" s="99">
        <f t="shared" si="26"/>
        <v>0</v>
      </c>
      <c r="M123" s="44" t="str">
        <f t="shared" si="28"/>
        <v/>
      </c>
      <c r="N123" s="100">
        <f t="shared" si="29"/>
        <v>0</v>
      </c>
      <c r="O123" s="101">
        <f t="shared" si="30"/>
        <v>0</v>
      </c>
      <c r="P123" s="52">
        <f t="shared" si="31"/>
        <v>0</v>
      </c>
      <c r="Q123" s="49">
        <v>116.88487613461319</v>
      </c>
      <c r="R123">
        <v>2225</v>
      </c>
      <c r="S123" s="50">
        <f t="shared" si="27"/>
        <v>71535.307499999995</v>
      </c>
      <c r="T123" s="50">
        <f t="shared" si="32"/>
        <v>0</v>
      </c>
      <c r="U123" s="58">
        <f t="shared" si="33"/>
        <v>0</v>
      </c>
      <c r="V123" s="58">
        <f t="shared" si="34"/>
        <v>0</v>
      </c>
      <c r="W123" s="58">
        <f t="shared" si="35"/>
        <v>0</v>
      </c>
      <c r="X123" s="58">
        <f t="shared" si="36"/>
        <v>0</v>
      </c>
      <c r="Y123" s="52">
        <f t="shared" si="37"/>
        <v>0</v>
      </c>
    </row>
    <row r="124" spans="1:25" x14ac:dyDescent="0.25">
      <c r="A124" s="1218" t="s">
        <v>202</v>
      </c>
      <c r="B124" s="98">
        <v>45292</v>
      </c>
      <c r="C124" s="117" t="str">
        <f t="shared" si="24"/>
        <v>8L</v>
      </c>
      <c r="D124" s="96"/>
      <c r="I124" s="99">
        <f t="shared" si="25"/>
        <v>0</v>
      </c>
      <c r="L124" s="99">
        <f t="shared" si="26"/>
        <v>0</v>
      </c>
      <c r="M124" s="44" t="str">
        <f t="shared" si="28"/>
        <v/>
      </c>
      <c r="N124" s="100">
        <f t="shared" si="29"/>
        <v>0</v>
      </c>
      <c r="O124" s="101">
        <f t="shared" si="30"/>
        <v>0</v>
      </c>
      <c r="P124" s="52">
        <f t="shared" si="31"/>
        <v>0</v>
      </c>
      <c r="Q124" s="49">
        <v>116.88487613461319</v>
      </c>
      <c r="R124">
        <v>2225</v>
      </c>
      <c r="S124" s="50">
        <f t="shared" si="27"/>
        <v>71535.307499999995</v>
      </c>
      <c r="T124" s="50">
        <f t="shared" si="32"/>
        <v>0</v>
      </c>
      <c r="U124" s="58">
        <f t="shared" si="33"/>
        <v>0</v>
      </c>
      <c r="V124" s="58">
        <f t="shared" si="34"/>
        <v>0</v>
      </c>
      <c r="W124" s="58">
        <f t="shared" si="35"/>
        <v>0</v>
      </c>
      <c r="X124" s="58">
        <f t="shared" si="36"/>
        <v>0</v>
      </c>
      <c r="Y124" s="52">
        <f t="shared" si="37"/>
        <v>0</v>
      </c>
    </row>
    <row r="125" spans="1:25" x14ac:dyDescent="0.25">
      <c r="A125" s="1218" t="s">
        <v>203</v>
      </c>
      <c r="B125" s="98">
        <v>45292</v>
      </c>
      <c r="C125" s="117" t="str">
        <f t="shared" si="24"/>
        <v>8L</v>
      </c>
      <c r="D125" s="96"/>
      <c r="I125" s="99">
        <f t="shared" si="25"/>
        <v>0</v>
      </c>
      <c r="L125" s="99">
        <f t="shared" si="26"/>
        <v>0</v>
      </c>
      <c r="M125" s="44" t="str">
        <f t="shared" si="28"/>
        <v/>
      </c>
      <c r="N125" s="100">
        <f t="shared" si="29"/>
        <v>0</v>
      </c>
      <c r="O125" s="101">
        <f t="shared" si="30"/>
        <v>0</v>
      </c>
      <c r="P125" s="52">
        <f t="shared" si="31"/>
        <v>0</v>
      </c>
      <c r="Q125" s="49">
        <v>116.88487613461319</v>
      </c>
      <c r="R125">
        <v>2225</v>
      </c>
      <c r="S125" s="50">
        <f t="shared" si="27"/>
        <v>71535.307499999995</v>
      </c>
      <c r="T125" s="50">
        <f t="shared" si="32"/>
        <v>0</v>
      </c>
      <c r="U125" s="58">
        <f t="shared" si="33"/>
        <v>0</v>
      </c>
      <c r="V125" s="58">
        <f t="shared" si="34"/>
        <v>0</v>
      </c>
      <c r="W125" s="58">
        <f t="shared" si="35"/>
        <v>0</v>
      </c>
      <c r="X125" s="58">
        <f t="shared" si="36"/>
        <v>0</v>
      </c>
      <c r="Y125" s="52">
        <f t="shared" si="37"/>
        <v>0</v>
      </c>
    </row>
    <row r="126" spans="1:25" x14ac:dyDescent="0.25">
      <c r="A126" s="1218" t="s">
        <v>204</v>
      </c>
      <c r="B126" s="98">
        <v>45292</v>
      </c>
      <c r="C126" s="117" t="str">
        <f t="shared" si="24"/>
        <v>8L</v>
      </c>
      <c r="D126" s="96"/>
      <c r="I126" s="99">
        <f t="shared" si="25"/>
        <v>0</v>
      </c>
      <c r="L126" s="99">
        <f t="shared" si="26"/>
        <v>0</v>
      </c>
      <c r="M126" s="44" t="str">
        <f t="shared" si="28"/>
        <v/>
      </c>
      <c r="N126" s="100">
        <f t="shared" si="29"/>
        <v>0</v>
      </c>
      <c r="O126" s="101">
        <f t="shared" si="30"/>
        <v>0</v>
      </c>
      <c r="P126" s="52">
        <f t="shared" si="31"/>
        <v>0</v>
      </c>
      <c r="Q126" s="49">
        <v>116.88487613461319</v>
      </c>
      <c r="R126">
        <v>2225</v>
      </c>
      <c r="S126" s="50">
        <f t="shared" si="27"/>
        <v>71535.307499999995</v>
      </c>
      <c r="T126" s="50">
        <f t="shared" si="32"/>
        <v>0</v>
      </c>
      <c r="U126" s="58">
        <f t="shared" si="33"/>
        <v>0</v>
      </c>
      <c r="V126" s="58">
        <f t="shared" si="34"/>
        <v>0</v>
      </c>
      <c r="W126" s="58">
        <f t="shared" si="35"/>
        <v>0</v>
      </c>
      <c r="X126" s="58">
        <f t="shared" si="36"/>
        <v>0</v>
      </c>
      <c r="Y126" s="52">
        <f t="shared" si="37"/>
        <v>0</v>
      </c>
    </row>
    <row r="127" spans="1:25" x14ac:dyDescent="0.25">
      <c r="A127" s="1218" t="s">
        <v>205</v>
      </c>
      <c r="B127" s="98">
        <v>45292</v>
      </c>
      <c r="C127" s="117" t="str">
        <f t="shared" si="24"/>
        <v>8L</v>
      </c>
      <c r="D127" s="96"/>
      <c r="I127" s="99">
        <f t="shared" si="25"/>
        <v>0</v>
      </c>
      <c r="L127" s="99">
        <f t="shared" si="26"/>
        <v>0</v>
      </c>
      <c r="M127" s="44" t="str">
        <f t="shared" si="28"/>
        <v/>
      </c>
      <c r="N127" s="100">
        <f t="shared" si="29"/>
        <v>0</v>
      </c>
      <c r="O127" s="101">
        <f t="shared" si="30"/>
        <v>0</v>
      </c>
      <c r="P127" s="52">
        <f t="shared" si="31"/>
        <v>0</v>
      </c>
      <c r="Q127" s="49">
        <v>116.88487613461319</v>
      </c>
      <c r="R127">
        <v>2225</v>
      </c>
      <c r="S127" s="50">
        <f t="shared" si="27"/>
        <v>71535.307499999995</v>
      </c>
      <c r="T127" s="50">
        <f t="shared" si="32"/>
        <v>0</v>
      </c>
      <c r="U127" s="58">
        <f t="shared" si="33"/>
        <v>0</v>
      </c>
      <c r="V127" s="58">
        <f t="shared" si="34"/>
        <v>0</v>
      </c>
      <c r="W127" s="58">
        <f t="shared" si="35"/>
        <v>0</v>
      </c>
      <c r="X127" s="58">
        <f t="shared" si="36"/>
        <v>0</v>
      </c>
      <c r="Y127" s="52">
        <f t="shared" si="37"/>
        <v>0</v>
      </c>
    </row>
    <row r="128" spans="1:25" x14ac:dyDescent="0.25">
      <c r="A128" s="1218" t="s">
        <v>206</v>
      </c>
      <c r="B128" s="98">
        <v>45292</v>
      </c>
      <c r="C128" s="117" t="str">
        <f t="shared" si="24"/>
        <v>8L</v>
      </c>
      <c r="D128" s="96"/>
      <c r="I128" s="99">
        <f t="shared" si="25"/>
        <v>0</v>
      </c>
      <c r="L128" s="99">
        <f t="shared" si="26"/>
        <v>0</v>
      </c>
      <c r="M128" s="44" t="str">
        <f t="shared" si="28"/>
        <v/>
      </c>
      <c r="N128" s="100">
        <f t="shared" si="29"/>
        <v>0</v>
      </c>
      <c r="O128" s="101">
        <f t="shared" si="30"/>
        <v>0</v>
      </c>
      <c r="P128" s="52">
        <f t="shared" si="31"/>
        <v>0</v>
      </c>
      <c r="Q128" s="49">
        <v>116.88487613461319</v>
      </c>
      <c r="R128">
        <v>2225</v>
      </c>
      <c r="S128" s="50">
        <f t="shared" si="27"/>
        <v>71535.307499999995</v>
      </c>
      <c r="T128" s="50">
        <f t="shared" si="32"/>
        <v>0</v>
      </c>
      <c r="U128" s="58">
        <f t="shared" si="33"/>
        <v>0</v>
      </c>
      <c r="V128" s="58">
        <f t="shared" si="34"/>
        <v>0</v>
      </c>
      <c r="W128" s="58">
        <f t="shared" si="35"/>
        <v>0</v>
      </c>
      <c r="X128" s="58">
        <f t="shared" si="36"/>
        <v>0</v>
      </c>
      <c r="Y128" s="52">
        <f t="shared" si="37"/>
        <v>0</v>
      </c>
    </row>
    <row r="129" spans="1:25" ht="15.75" thickBot="1" x14ac:dyDescent="0.3">
      <c r="A129" s="1219" t="s">
        <v>207</v>
      </c>
      <c r="B129" s="98">
        <v>45292</v>
      </c>
      <c r="C129" s="117" t="str">
        <f t="shared" si="24"/>
        <v>8L</v>
      </c>
      <c r="D129" s="96"/>
      <c r="I129" s="99">
        <f t="shared" si="25"/>
        <v>0</v>
      </c>
      <c r="L129" s="99">
        <f t="shared" si="26"/>
        <v>0</v>
      </c>
      <c r="M129" s="44" t="str">
        <f t="shared" si="28"/>
        <v/>
      </c>
      <c r="N129" s="100">
        <f t="shared" si="29"/>
        <v>0</v>
      </c>
      <c r="O129" s="101">
        <f t="shared" si="30"/>
        <v>0</v>
      </c>
      <c r="P129" s="52">
        <f t="shared" si="31"/>
        <v>0</v>
      </c>
      <c r="Q129" s="49">
        <v>116.88487613461319</v>
      </c>
      <c r="R129">
        <v>2225</v>
      </c>
      <c r="S129" s="50">
        <f t="shared" si="27"/>
        <v>71535.307499999995</v>
      </c>
      <c r="T129" s="50">
        <f t="shared" si="32"/>
        <v>0</v>
      </c>
      <c r="U129" s="58">
        <f t="shared" si="33"/>
        <v>0</v>
      </c>
      <c r="V129" s="58">
        <f t="shared" si="34"/>
        <v>0</v>
      </c>
      <c r="W129" s="58">
        <f t="shared" si="35"/>
        <v>0</v>
      </c>
      <c r="X129" s="58">
        <f t="shared" si="36"/>
        <v>0</v>
      </c>
      <c r="Y129" s="52">
        <f t="shared" si="37"/>
        <v>0</v>
      </c>
    </row>
    <row r="130" spans="1:25" x14ac:dyDescent="0.25">
      <c r="A130" s="97" t="s">
        <v>80</v>
      </c>
      <c r="B130" s="98">
        <v>45323</v>
      </c>
      <c r="C130" s="117" t="str">
        <f t="shared" si="24"/>
        <v>1L</v>
      </c>
      <c r="D130" s="96"/>
      <c r="E130" s="96"/>
      <c r="F130" s="96"/>
      <c r="G130" s="96"/>
      <c r="H130" s="96"/>
      <c r="I130" s="99">
        <f t="shared" si="25"/>
        <v>0</v>
      </c>
      <c r="J130" s="96"/>
      <c r="K130" s="96"/>
      <c r="L130" s="99">
        <f t="shared" si="26"/>
        <v>0</v>
      </c>
      <c r="M130" s="44" t="str">
        <f t="shared" si="28"/>
        <v/>
      </c>
      <c r="N130" s="100">
        <f t="shared" si="29"/>
        <v>0</v>
      </c>
      <c r="O130" s="101">
        <f t="shared" si="30"/>
        <v>0</v>
      </c>
      <c r="P130" s="52">
        <f t="shared" si="31"/>
        <v>0</v>
      </c>
      <c r="Q130" s="49">
        <v>116.88487613461319</v>
      </c>
      <c r="R130">
        <v>2225</v>
      </c>
      <c r="S130" s="50">
        <f t="shared" si="27"/>
        <v>71535.307499999995</v>
      </c>
      <c r="T130" s="50">
        <f t="shared" si="32"/>
        <v>0</v>
      </c>
      <c r="U130" s="58">
        <f t="shared" si="33"/>
        <v>0</v>
      </c>
      <c r="V130" s="58">
        <f t="shared" si="34"/>
        <v>0</v>
      </c>
      <c r="W130" s="58">
        <f t="shared" si="35"/>
        <v>0</v>
      </c>
      <c r="X130" s="58">
        <f t="shared" si="36"/>
        <v>0</v>
      </c>
      <c r="Y130" s="52">
        <f t="shared" si="37"/>
        <v>0</v>
      </c>
    </row>
    <row r="131" spans="1:25" x14ac:dyDescent="0.25">
      <c r="A131" s="1218" t="s">
        <v>81</v>
      </c>
      <c r="B131" s="98">
        <v>45323</v>
      </c>
      <c r="C131" s="117" t="str">
        <f t="shared" si="24"/>
        <v>1L</v>
      </c>
      <c r="D131" s="96"/>
      <c r="E131" s="96"/>
      <c r="F131" s="96"/>
      <c r="G131" s="96"/>
      <c r="H131" s="96"/>
      <c r="I131" s="99">
        <f t="shared" si="25"/>
        <v>0</v>
      </c>
      <c r="J131" s="96"/>
      <c r="K131" s="96"/>
      <c r="L131" s="99">
        <f t="shared" si="26"/>
        <v>0</v>
      </c>
      <c r="M131" s="44" t="str">
        <f t="shared" si="28"/>
        <v/>
      </c>
      <c r="N131" s="100">
        <f t="shared" si="29"/>
        <v>0</v>
      </c>
      <c r="O131" s="101">
        <f t="shared" si="30"/>
        <v>0</v>
      </c>
      <c r="P131" s="52">
        <f t="shared" si="31"/>
        <v>0</v>
      </c>
      <c r="Q131" s="49">
        <v>116.88487613461319</v>
      </c>
      <c r="R131">
        <v>2225</v>
      </c>
      <c r="S131" s="50">
        <f t="shared" si="27"/>
        <v>71535.307499999995</v>
      </c>
      <c r="T131" s="50">
        <f t="shared" si="32"/>
        <v>0</v>
      </c>
      <c r="U131" s="58">
        <f t="shared" si="33"/>
        <v>0</v>
      </c>
      <c r="V131" s="58">
        <f t="shared" si="34"/>
        <v>0</v>
      </c>
      <c r="W131" s="58">
        <f t="shared" si="35"/>
        <v>0</v>
      </c>
      <c r="X131" s="58">
        <f t="shared" si="36"/>
        <v>0</v>
      </c>
      <c r="Y131" s="52">
        <f t="shared" si="37"/>
        <v>0</v>
      </c>
    </row>
    <row r="132" spans="1:25" x14ac:dyDescent="0.25">
      <c r="A132" s="1218" t="s">
        <v>82</v>
      </c>
      <c r="B132" s="98">
        <v>45323</v>
      </c>
      <c r="C132" s="117" t="str">
        <f t="shared" ref="C132:C196" si="38">LEFT(A132,2)</f>
        <v>1L</v>
      </c>
      <c r="D132" s="96"/>
      <c r="E132" s="96"/>
      <c r="F132" s="96"/>
      <c r="G132" s="96"/>
      <c r="H132" s="96"/>
      <c r="I132" s="99">
        <f t="shared" si="25"/>
        <v>0</v>
      </c>
      <c r="J132" s="96"/>
      <c r="K132" s="96"/>
      <c r="L132" s="99">
        <f t="shared" si="26"/>
        <v>0</v>
      </c>
      <c r="M132" s="44" t="str">
        <f t="shared" si="28"/>
        <v/>
      </c>
      <c r="N132" s="100">
        <f t="shared" si="29"/>
        <v>0</v>
      </c>
      <c r="O132" s="101">
        <f t="shared" si="30"/>
        <v>0</v>
      </c>
      <c r="P132" s="52">
        <f t="shared" si="31"/>
        <v>0</v>
      </c>
      <c r="Q132" s="49">
        <v>116.88487613461319</v>
      </c>
      <c r="R132">
        <v>2225</v>
      </c>
      <c r="S132" s="50">
        <f t="shared" si="27"/>
        <v>71535.307499999995</v>
      </c>
      <c r="T132" s="50">
        <f t="shared" si="32"/>
        <v>0</v>
      </c>
      <c r="U132" s="58">
        <f t="shared" si="33"/>
        <v>0</v>
      </c>
      <c r="V132" s="58">
        <f t="shared" si="34"/>
        <v>0</v>
      </c>
      <c r="W132" s="58">
        <f t="shared" si="35"/>
        <v>0</v>
      </c>
      <c r="X132" s="58">
        <f t="shared" si="36"/>
        <v>0</v>
      </c>
      <c r="Y132" s="52">
        <f t="shared" si="37"/>
        <v>0</v>
      </c>
    </row>
    <row r="133" spans="1:25" x14ac:dyDescent="0.25">
      <c r="A133" s="1218" t="s">
        <v>83</v>
      </c>
      <c r="B133" s="98">
        <v>45323</v>
      </c>
      <c r="C133" s="117" t="str">
        <f t="shared" si="38"/>
        <v>1L</v>
      </c>
      <c r="D133" s="96"/>
      <c r="E133" s="96"/>
      <c r="F133" s="96"/>
      <c r="G133" s="96"/>
      <c r="H133" s="96"/>
      <c r="I133" s="99">
        <f t="shared" si="25"/>
        <v>0</v>
      </c>
      <c r="J133" s="96"/>
      <c r="K133" s="96"/>
      <c r="L133" s="99">
        <f t="shared" si="26"/>
        <v>0</v>
      </c>
      <c r="M133" s="44" t="str">
        <f t="shared" si="28"/>
        <v/>
      </c>
      <c r="N133" s="100">
        <f t="shared" si="29"/>
        <v>0</v>
      </c>
      <c r="O133" s="101">
        <f t="shared" si="30"/>
        <v>0</v>
      </c>
      <c r="P133" s="52">
        <f t="shared" si="31"/>
        <v>0</v>
      </c>
      <c r="Q133" s="49">
        <v>116.88487613461319</v>
      </c>
      <c r="R133">
        <v>2225</v>
      </c>
      <c r="S133" s="50">
        <f t="shared" si="27"/>
        <v>71535.307499999995</v>
      </c>
      <c r="T133" s="50">
        <f t="shared" si="32"/>
        <v>0</v>
      </c>
      <c r="U133" s="58">
        <f t="shared" si="33"/>
        <v>0</v>
      </c>
      <c r="V133" s="58">
        <f t="shared" si="34"/>
        <v>0</v>
      </c>
      <c r="W133" s="58">
        <f t="shared" si="35"/>
        <v>0</v>
      </c>
      <c r="X133" s="58">
        <f t="shared" si="36"/>
        <v>0</v>
      </c>
      <c r="Y133" s="52">
        <f t="shared" si="37"/>
        <v>0</v>
      </c>
    </row>
    <row r="134" spans="1:25" x14ac:dyDescent="0.25">
      <c r="A134" s="1218" t="s">
        <v>84</v>
      </c>
      <c r="B134" s="98">
        <v>45323</v>
      </c>
      <c r="C134" s="117" t="str">
        <f t="shared" si="38"/>
        <v>2L</v>
      </c>
      <c r="D134" s="96"/>
      <c r="E134" s="98"/>
      <c r="F134" s="98"/>
      <c r="I134" s="99">
        <f t="shared" si="25"/>
        <v>0</v>
      </c>
      <c r="L134" s="99">
        <f t="shared" si="26"/>
        <v>0</v>
      </c>
      <c r="M134" s="44" t="str">
        <f t="shared" si="28"/>
        <v/>
      </c>
      <c r="N134" s="100">
        <f t="shared" si="29"/>
        <v>0</v>
      </c>
      <c r="O134" s="101">
        <f t="shared" si="30"/>
        <v>0</v>
      </c>
      <c r="P134" s="52">
        <f t="shared" si="31"/>
        <v>0</v>
      </c>
      <c r="Q134" s="49">
        <v>116.88487613461319</v>
      </c>
      <c r="R134">
        <v>2225</v>
      </c>
      <c r="S134" s="50">
        <f t="shared" si="27"/>
        <v>71535.307499999995</v>
      </c>
      <c r="T134" s="50">
        <f t="shared" si="32"/>
        <v>0</v>
      </c>
      <c r="U134" s="58">
        <f t="shared" si="33"/>
        <v>0</v>
      </c>
      <c r="V134" s="58">
        <f t="shared" si="34"/>
        <v>0</v>
      </c>
      <c r="W134" s="58">
        <f t="shared" si="35"/>
        <v>0</v>
      </c>
      <c r="X134" s="58">
        <f t="shared" si="36"/>
        <v>0</v>
      </c>
      <c r="Y134" s="52">
        <f t="shared" si="37"/>
        <v>0</v>
      </c>
    </row>
    <row r="135" spans="1:25" x14ac:dyDescent="0.25">
      <c r="A135" s="1218" t="s">
        <v>85</v>
      </c>
      <c r="B135" s="98">
        <v>45323</v>
      </c>
      <c r="C135" s="117" t="str">
        <f t="shared" si="38"/>
        <v>2L</v>
      </c>
      <c r="D135" s="96"/>
      <c r="E135" s="98"/>
      <c r="F135" s="98"/>
      <c r="I135" s="99">
        <f t="shared" ref="I135:I201" si="39">IFERROR(G135*H135/1000,"")</f>
        <v>0</v>
      </c>
      <c r="L135" s="99">
        <f t="shared" ref="L135:L201" si="40">IFERROR(J135*K135/1000,"")</f>
        <v>0</v>
      </c>
      <c r="M135" s="44" t="str">
        <f t="shared" si="28"/>
        <v/>
      </c>
      <c r="N135" s="100">
        <f t="shared" si="29"/>
        <v>0</v>
      </c>
      <c r="O135" s="101">
        <f t="shared" si="30"/>
        <v>0</v>
      </c>
      <c r="P135" s="52">
        <f t="shared" si="31"/>
        <v>0</v>
      </c>
      <c r="Q135" s="49">
        <v>116.88487613461319</v>
      </c>
      <c r="R135">
        <v>2225</v>
      </c>
      <c r="S135" s="50">
        <f t="shared" ref="S135:S201" si="41">R135*32.1507</f>
        <v>71535.307499999995</v>
      </c>
      <c r="T135" s="50">
        <f t="shared" si="32"/>
        <v>0</v>
      </c>
      <c r="U135" s="58">
        <f t="shared" si="33"/>
        <v>0</v>
      </c>
      <c r="V135" s="58">
        <f t="shared" si="34"/>
        <v>0</v>
      </c>
      <c r="W135" s="58">
        <f t="shared" si="35"/>
        <v>0</v>
      </c>
      <c r="X135" s="58">
        <f t="shared" si="36"/>
        <v>0</v>
      </c>
      <c r="Y135" s="52">
        <f t="shared" si="37"/>
        <v>0</v>
      </c>
    </row>
    <row r="136" spans="1:25" x14ac:dyDescent="0.25">
      <c r="A136" s="1218" t="s">
        <v>86</v>
      </c>
      <c r="B136" s="98">
        <v>45323</v>
      </c>
      <c r="C136" s="117" t="str">
        <f t="shared" si="38"/>
        <v>2L</v>
      </c>
      <c r="D136" s="96"/>
      <c r="E136" s="98"/>
      <c r="F136" s="98"/>
      <c r="I136" s="99">
        <f t="shared" si="39"/>
        <v>0</v>
      </c>
      <c r="J136" s="41">
        <v>866</v>
      </c>
      <c r="K136" s="47">
        <v>3.26</v>
      </c>
      <c r="L136" s="99">
        <f t="shared" si="40"/>
        <v>2.8231599999999997</v>
      </c>
      <c r="M136" s="44" t="str">
        <f t="shared" si="28"/>
        <v/>
      </c>
      <c r="N136" s="100">
        <f t="shared" si="29"/>
        <v>866</v>
      </c>
      <c r="O136" s="101">
        <f t="shared" si="30"/>
        <v>2.8231599999999997</v>
      </c>
      <c r="P136" s="52">
        <f t="shared" si="31"/>
        <v>100733.31598912492</v>
      </c>
      <c r="Q136" s="49">
        <v>116.88487613461319</v>
      </c>
      <c r="R136">
        <v>2225</v>
      </c>
      <c r="S136" s="50">
        <f t="shared" si="41"/>
        <v>71535.307499999995</v>
      </c>
      <c r="T136" s="50">
        <f t="shared" si="32"/>
        <v>0</v>
      </c>
      <c r="U136" s="58">
        <f t="shared" si="33"/>
        <v>201955.61872169995</v>
      </c>
      <c r="V136" s="58">
        <f t="shared" si="34"/>
        <v>0</v>
      </c>
      <c r="W136" s="58">
        <f t="shared" si="35"/>
        <v>101222.30273257503</v>
      </c>
      <c r="X136" s="58">
        <f t="shared" si="36"/>
        <v>0</v>
      </c>
      <c r="Y136" s="52">
        <f t="shared" si="37"/>
        <v>100733.31598912492</v>
      </c>
    </row>
    <row r="137" spans="1:25" x14ac:dyDescent="0.25">
      <c r="A137" s="1218" t="s">
        <v>87</v>
      </c>
      <c r="B137" s="98">
        <v>45323</v>
      </c>
      <c r="C137" s="117" t="str">
        <f t="shared" si="38"/>
        <v>3L</v>
      </c>
      <c r="D137" s="96"/>
      <c r="E137" s="98"/>
      <c r="F137" s="98"/>
      <c r="I137" s="99">
        <f t="shared" si="39"/>
        <v>0</v>
      </c>
      <c r="L137" s="99">
        <f t="shared" si="40"/>
        <v>0</v>
      </c>
      <c r="M137" s="44" t="str">
        <f t="shared" ref="M137:M207" si="42">IFERROR((L137-I137)/I137,"")</f>
        <v/>
      </c>
      <c r="N137" s="100">
        <f t="shared" ref="N137:N207" si="43">J137-G137</f>
        <v>0</v>
      </c>
      <c r="O137" s="101">
        <f t="shared" ref="O137:O207" si="44">L137-I137</f>
        <v>0</v>
      </c>
      <c r="P137" s="52">
        <f t="shared" ref="P137:P207" si="45">U137-W137</f>
        <v>0</v>
      </c>
      <c r="Q137" s="49">
        <v>116.88487613461319</v>
      </c>
      <c r="R137">
        <v>2225</v>
      </c>
      <c r="S137" s="50">
        <f t="shared" si="41"/>
        <v>71535.307499999995</v>
      </c>
      <c r="T137" s="50">
        <f t="shared" ref="T137:T207" si="46">IFERROR(S137*I137,"")</f>
        <v>0</v>
      </c>
      <c r="U137" s="58">
        <f t="shared" ref="U137:U207" si="47">IFERROR(S137*L137,"")</f>
        <v>0</v>
      </c>
      <c r="V137" s="58">
        <f t="shared" ref="V137:V207" si="48">IFERROR(Q137*G137,"")</f>
        <v>0</v>
      </c>
      <c r="W137" s="58">
        <f t="shared" ref="W137:W207" si="49">IFERROR(Q137*J137,"")</f>
        <v>0</v>
      </c>
      <c r="X137" s="58">
        <f t="shared" ref="X137:X207" si="50">T137-V137</f>
        <v>0</v>
      </c>
      <c r="Y137" s="52">
        <f t="shared" ref="Y137:Y207" si="51">U137-W137</f>
        <v>0</v>
      </c>
    </row>
    <row r="138" spans="1:25" x14ac:dyDescent="0.25">
      <c r="A138" s="1218" t="s">
        <v>88</v>
      </c>
      <c r="B138" s="98">
        <v>45323</v>
      </c>
      <c r="C138" s="117" t="str">
        <f t="shared" si="38"/>
        <v>3L</v>
      </c>
      <c r="D138" s="96"/>
      <c r="E138" s="98"/>
      <c r="F138" s="98"/>
      <c r="I138" s="99">
        <f t="shared" si="39"/>
        <v>0</v>
      </c>
      <c r="L138" s="99">
        <f t="shared" si="40"/>
        <v>0</v>
      </c>
      <c r="M138" s="44" t="str">
        <f t="shared" si="42"/>
        <v/>
      </c>
      <c r="N138" s="100">
        <f t="shared" si="43"/>
        <v>0</v>
      </c>
      <c r="O138" s="101">
        <f t="shared" si="44"/>
        <v>0</v>
      </c>
      <c r="P138" s="52">
        <f t="shared" si="45"/>
        <v>0</v>
      </c>
      <c r="Q138" s="49">
        <v>116.88487613461319</v>
      </c>
      <c r="R138">
        <v>2225</v>
      </c>
      <c r="S138" s="50">
        <f t="shared" si="41"/>
        <v>71535.307499999995</v>
      </c>
      <c r="T138" s="50">
        <f t="shared" si="46"/>
        <v>0</v>
      </c>
      <c r="U138" s="58">
        <f t="shared" si="47"/>
        <v>0</v>
      </c>
      <c r="V138" s="58">
        <f t="shared" si="48"/>
        <v>0</v>
      </c>
      <c r="W138" s="58">
        <f t="shared" si="49"/>
        <v>0</v>
      </c>
      <c r="X138" s="58">
        <f t="shared" si="50"/>
        <v>0</v>
      </c>
      <c r="Y138" s="52">
        <f t="shared" si="51"/>
        <v>0</v>
      </c>
    </row>
    <row r="139" spans="1:25" x14ac:dyDescent="0.25">
      <c r="A139" s="1218" t="s">
        <v>89</v>
      </c>
      <c r="B139" s="98">
        <v>45323</v>
      </c>
      <c r="C139" s="117" t="str">
        <f t="shared" si="38"/>
        <v>3L</v>
      </c>
      <c r="D139" s="96"/>
      <c r="E139" s="98"/>
      <c r="F139" s="98"/>
      <c r="I139" s="99">
        <f t="shared" si="39"/>
        <v>0</v>
      </c>
      <c r="L139" s="99">
        <f t="shared" si="40"/>
        <v>0</v>
      </c>
      <c r="M139" s="44" t="str">
        <f t="shared" si="42"/>
        <v/>
      </c>
      <c r="N139" s="100">
        <f t="shared" si="43"/>
        <v>0</v>
      </c>
      <c r="O139" s="101">
        <f t="shared" si="44"/>
        <v>0</v>
      </c>
      <c r="P139" s="52">
        <f t="shared" si="45"/>
        <v>0</v>
      </c>
      <c r="Q139" s="49">
        <v>116.88487613461319</v>
      </c>
      <c r="R139">
        <v>2225</v>
      </c>
      <c r="S139" s="50">
        <f t="shared" si="41"/>
        <v>71535.307499999995</v>
      </c>
      <c r="T139" s="50">
        <f t="shared" si="46"/>
        <v>0</v>
      </c>
      <c r="U139" s="58">
        <f t="shared" si="47"/>
        <v>0</v>
      </c>
      <c r="V139" s="58">
        <f t="shared" si="48"/>
        <v>0</v>
      </c>
      <c r="W139" s="58">
        <f t="shared" si="49"/>
        <v>0</v>
      </c>
      <c r="X139" s="58">
        <f t="shared" si="50"/>
        <v>0</v>
      </c>
      <c r="Y139" s="52">
        <f t="shared" si="51"/>
        <v>0</v>
      </c>
    </row>
    <row r="140" spans="1:25" x14ac:dyDescent="0.25">
      <c r="A140" s="1218" t="s">
        <v>90</v>
      </c>
      <c r="B140" s="98">
        <v>45323</v>
      </c>
      <c r="C140" s="117" t="str">
        <f t="shared" si="38"/>
        <v>3L</v>
      </c>
      <c r="D140" s="96"/>
      <c r="E140" s="98"/>
      <c r="F140" s="98"/>
      <c r="I140" s="99">
        <f t="shared" si="39"/>
        <v>0</v>
      </c>
      <c r="L140" s="99">
        <f t="shared" si="40"/>
        <v>0</v>
      </c>
      <c r="M140" s="44" t="str">
        <f t="shared" si="42"/>
        <v/>
      </c>
      <c r="N140" s="100">
        <f t="shared" si="43"/>
        <v>0</v>
      </c>
      <c r="O140" s="101">
        <f t="shared" si="44"/>
        <v>0</v>
      </c>
      <c r="P140" s="52">
        <f t="shared" si="45"/>
        <v>0</v>
      </c>
      <c r="Q140" s="49">
        <v>116.88487613461319</v>
      </c>
      <c r="R140">
        <v>2225</v>
      </c>
      <c r="S140" s="50">
        <f t="shared" si="41"/>
        <v>71535.307499999995</v>
      </c>
      <c r="T140" s="50">
        <f t="shared" si="46"/>
        <v>0</v>
      </c>
      <c r="U140" s="58">
        <f t="shared" si="47"/>
        <v>0</v>
      </c>
      <c r="V140" s="58">
        <f t="shared" si="48"/>
        <v>0</v>
      </c>
      <c r="W140" s="58">
        <f t="shared" si="49"/>
        <v>0</v>
      </c>
      <c r="X140" s="58">
        <f t="shared" si="50"/>
        <v>0</v>
      </c>
      <c r="Y140" s="52">
        <f t="shared" si="51"/>
        <v>0</v>
      </c>
    </row>
    <row r="141" spans="1:25" x14ac:dyDescent="0.25">
      <c r="A141" s="1218" t="s">
        <v>91</v>
      </c>
      <c r="B141" s="98">
        <v>45323</v>
      </c>
      <c r="C141" s="117" t="str">
        <f t="shared" si="38"/>
        <v>3L</v>
      </c>
      <c r="D141" s="96"/>
      <c r="E141" s="98"/>
      <c r="F141" s="98"/>
      <c r="I141" s="99">
        <f t="shared" si="39"/>
        <v>0</v>
      </c>
      <c r="L141" s="99">
        <f t="shared" si="40"/>
        <v>0</v>
      </c>
      <c r="M141" s="44" t="str">
        <f t="shared" si="42"/>
        <v/>
      </c>
      <c r="N141" s="100">
        <f t="shared" si="43"/>
        <v>0</v>
      </c>
      <c r="O141" s="101">
        <f t="shared" si="44"/>
        <v>0</v>
      </c>
      <c r="P141" s="52">
        <f t="shared" si="45"/>
        <v>0</v>
      </c>
      <c r="Q141" s="49">
        <v>116.88487613461319</v>
      </c>
      <c r="R141">
        <v>2225</v>
      </c>
      <c r="S141" s="50">
        <f t="shared" si="41"/>
        <v>71535.307499999995</v>
      </c>
      <c r="T141" s="50">
        <f t="shared" si="46"/>
        <v>0</v>
      </c>
      <c r="U141" s="58">
        <f t="shared" si="47"/>
        <v>0</v>
      </c>
      <c r="V141" s="58">
        <f t="shared" si="48"/>
        <v>0</v>
      </c>
      <c r="W141" s="58">
        <f t="shared" si="49"/>
        <v>0</v>
      </c>
      <c r="X141" s="58">
        <f t="shared" si="50"/>
        <v>0</v>
      </c>
      <c r="Y141" s="52">
        <f t="shared" si="51"/>
        <v>0</v>
      </c>
    </row>
    <row r="142" spans="1:25" x14ac:dyDescent="0.25">
      <c r="A142" s="1218" t="s">
        <v>92</v>
      </c>
      <c r="B142" s="98">
        <v>45323</v>
      </c>
      <c r="C142" s="117" t="str">
        <f t="shared" si="38"/>
        <v>3L</v>
      </c>
      <c r="D142" s="96"/>
      <c r="E142" s="98"/>
      <c r="F142" s="98"/>
      <c r="G142" s="41"/>
      <c r="H142" s="47"/>
      <c r="I142" s="99">
        <f t="shared" si="39"/>
        <v>0</v>
      </c>
      <c r="J142" s="41"/>
      <c r="K142" s="47"/>
      <c r="L142" s="99">
        <f t="shared" si="40"/>
        <v>0</v>
      </c>
      <c r="M142" s="44" t="str">
        <f t="shared" si="42"/>
        <v/>
      </c>
      <c r="N142" s="100">
        <f t="shared" si="43"/>
        <v>0</v>
      </c>
      <c r="O142" s="101">
        <f t="shared" si="44"/>
        <v>0</v>
      </c>
      <c r="P142" s="52">
        <f t="shared" si="45"/>
        <v>0</v>
      </c>
      <c r="Q142" s="49">
        <v>116.88487613461319</v>
      </c>
      <c r="R142">
        <v>2225</v>
      </c>
      <c r="S142" s="50">
        <f t="shared" si="41"/>
        <v>71535.307499999995</v>
      </c>
      <c r="T142" s="50">
        <f t="shared" si="46"/>
        <v>0</v>
      </c>
      <c r="U142" s="58">
        <f t="shared" si="47"/>
        <v>0</v>
      </c>
      <c r="V142" s="58">
        <f t="shared" si="48"/>
        <v>0</v>
      </c>
      <c r="W142" s="58">
        <f t="shared" si="49"/>
        <v>0</v>
      </c>
      <c r="X142" s="58">
        <f t="shared" si="50"/>
        <v>0</v>
      </c>
      <c r="Y142" s="52">
        <f t="shared" si="51"/>
        <v>0</v>
      </c>
    </row>
    <row r="143" spans="1:25" x14ac:dyDescent="0.25">
      <c r="A143" s="1218" t="s">
        <v>93</v>
      </c>
      <c r="B143" s="98">
        <v>45323</v>
      </c>
      <c r="C143" s="117" t="str">
        <f t="shared" si="38"/>
        <v>3L</v>
      </c>
      <c r="D143" s="96"/>
      <c r="E143" s="98"/>
      <c r="F143" s="98"/>
      <c r="G143" s="41"/>
      <c r="H143" s="47"/>
      <c r="I143" s="99">
        <f t="shared" si="39"/>
        <v>0</v>
      </c>
      <c r="J143" s="41"/>
      <c r="K143" s="47"/>
      <c r="L143" s="99">
        <f t="shared" si="40"/>
        <v>0</v>
      </c>
      <c r="M143" s="44" t="str">
        <f t="shared" si="42"/>
        <v/>
      </c>
      <c r="N143" s="100">
        <f t="shared" si="43"/>
        <v>0</v>
      </c>
      <c r="O143" s="101">
        <f t="shared" si="44"/>
        <v>0</v>
      </c>
      <c r="P143" s="52">
        <f t="shared" si="45"/>
        <v>0</v>
      </c>
      <c r="Q143" s="49">
        <v>116.88487613461319</v>
      </c>
      <c r="R143">
        <v>2225</v>
      </c>
      <c r="S143" s="50">
        <f t="shared" si="41"/>
        <v>71535.307499999995</v>
      </c>
      <c r="T143" s="50">
        <f t="shared" si="46"/>
        <v>0</v>
      </c>
      <c r="U143" s="58">
        <f t="shared" si="47"/>
        <v>0</v>
      </c>
      <c r="V143" s="58">
        <f t="shared" si="48"/>
        <v>0</v>
      </c>
      <c r="W143" s="58">
        <f t="shared" si="49"/>
        <v>0</v>
      </c>
      <c r="X143" s="58">
        <f t="shared" si="50"/>
        <v>0</v>
      </c>
      <c r="Y143" s="52">
        <f t="shared" si="51"/>
        <v>0</v>
      </c>
    </row>
    <row r="144" spans="1:25" x14ac:dyDescent="0.25">
      <c r="A144" s="1218" t="s">
        <v>94</v>
      </c>
      <c r="B144" s="98">
        <v>45323</v>
      </c>
      <c r="C144" s="117" t="str">
        <f t="shared" si="38"/>
        <v>3L</v>
      </c>
      <c r="D144" s="96"/>
      <c r="E144" s="98"/>
      <c r="F144" s="98"/>
      <c r="G144" s="41"/>
      <c r="H144" s="47"/>
      <c r="I144" s="99">
        <f t="shared" si="39"/>
        <v>0</v>
      </c>
      <c r="J144" s="41"/>
      <c r="K144" s="47"/>
      <c r="L144" s="99">
        <f t="shared" si="40"/>
        <v>0</v>
      </c>
      <c r="M144" s="44" t="str">
        <f t="shared" si="42"/>
        <v/>
      </c>
      <c r="N144" s="100">
        <f t="shared" si="43"/>
        <v>0</v>
      </c>
      <c r="O144" s="101">
        <f t="shared" si="44"/>
        <v>0</v>
      </c>
      <c r="P144" s="52">
        <f t="shared" si="45"/>
        <v>0</v>
      </c>
      <c r="Q144" s="49">
        <v>116.88487613461319</v>
      </c>
      <c r="R144">
        <v>2225</v>
      </c>
      <c r="S144" s="50">
        <f t="shared" si="41"/>
        <v>71535.307499999995</v>
      </c>
      <c r="T144" s="50">
        <f t="shared" si="46"/>
        <v>0</v>
      </c>
      <c r="U144" s="58">
        <f t="shared" si="47"/>
        <v>0</v>
      </c>
      <c r="V144" s="58">
        <f t="shared" si="48"/>
        <v>0</v>
      </c>
      <c r="W144" s="58">
        <f t="shared" si="49"/>
        <v>0</v>
      </c>
      <c r="X144" s="58">
        <f t="shared" si="50"/>
        <v>0</v>
      </c>
      <c r="Y144" s="52">
        <f t="shared" si="51"/>
        <v>0</v>
      </c>
    </row>
    <row r="145" spans="1:25" x14ac:dyDescent="0.25">
      <c r="A145" s="1218" t="s">
        <v>95</v>
      </c>
      <c r="B145" s="98">
        <v>45323</v>
      </c>
      <c r="C145" s="117" t="str">
        <f t="shared" si="38"/>
        <v>3L</v>
      </c>
      <c r="D145" s="96"/>
      <c r="E145" s="98"/>
      <c r="F145" s="98"/>
      <c r="G145" s="41"/>
      <c r="H145" s="47"/>
      <c r="I145" s="99">
        <f t="shared" si="39"/>
        <v>0</v>
      </c>
      <c r="J145" s="41"/>
      <c r="K145" s="47"/>
      <c r="L145" s="99">
        <f t="shared" si="40"/>
        <v>0</v>
      </c>
      <c r="M145" s="44" t="str">
        <f t="shared" si="42"/>
        <v/>
      </c>
      <c r="N145" s="100">
        <f t="shared" si="43"/>
        <v>0</v>
      </c>
      <c r="O145" s="101">
        <f t="shared" si="44"/>
        <v>0</v>
      </c>
      <c r="P145" s="52">
        <f t="shared" si="45"/>
        <v>0</v>
      </c>
      <c r="Q145" s="49">
        <v>116.88487613461319</v>
      </c>
      <c r="R145">
        <v>2225</v>
      </c>
      <c r="S145" s="50">
        <f t="shared" si="41"/>
        <v>71535.307499999995</v>
      </c>
      <c r="T145" s="50">
        <f t="shared" si="46"/>
        <v>0</v>
      </c>
      <c r="U145" s="58">
        <f t="shared" si="47"/>
        <v>0</v>
      </c>
      <c r="V145" s="58">
        <f t="shared" si="48"/>
        <v>0</v>
      </c>
      <c r="W145" s="58">
        <f t="shared" si="49"/>
        <v>0</v>
      </c>
      <c r="X145" s="58">
        <f t="shared" si="50"/>
        <v>0</v>
      </c>
      <c r="Y145" s="52">
        <f t="shared" si="51"/>
        <v>0</v>
      </c>
    </row>
    <row r="146" spans="1:25" x14ac:dyDescent="0.25">
      <c r="A146" s="1218" t="s">
        <v>96</v>
      </c>
      <c r="B146" s="98">
        <v>45323</v>
      </c>
      <c r="C146" s="117" t="str">
        <f t="shared" si="38"/>
        <v>3L</v>
      </c>
      <c r="D146" s="96"/>
      <c r="E146" s="98"/>
      <c r="F146" s="98"/>
      <c r="G146" s="41"/>
      <c r="H146" s="47"/>
      <c r="I146" s="99">
        <f t="shared" si="39"/>
        <v>0</v>
      </c>
      <c r="J146" s="41"/>
      <c r="K146" s="47"/>
      <c r="L146" s="99">
        <f t="shared" si="40"/>
        <v>0</v>
      </c>
      <c r="M146" s="44" t="str">
        <f t="shared" si="42"/>
        <v/>
      </c>
      <c r="N146" s="100">
        <f t="shared" si="43"/>
        <v>0</v>
      </c>
      <c r="O146" s="101">
        <f t="shared" si="44"/>
        <v>0</v>
      </c>
      <c r="P146" s="52">
        <f t="shared" si="45"/>
        <v>0</v>
      </c>
      <c r="Q146" s="49">
        <v>116.88487613461319</v>
      </c>
      <c r="R146">
        <v>2225</v>
      </c>
      <c r="S146" s="50">
        <f t="shared" si="41"/>
        <v>71535.307499999995</v>
      </c>
      <c r="T146" s="50">
        <f t="shared" si="46"/>
        <v>0</v>
      </c>
      <c r="U146" s="58">
        <f t="shared" si="47"/>
        <v>0</v>
      </c>
      <c r="V146" s="58">
        <f t="shared" si="48"/>
        <v>0</v>
      </c>
      <c r="W146" s="58">
        <f t="shared" si="49"/>
        <v>0</v>
      </c>
      <c r="X146" s="58">
        <f t="shared" si="50"/>
        <v>0</v>
      </c>
      <c r="Y146" s="52">
        <f t="shared" si="51"/>
        <v>0</v>
      </c>
    </row>
    <row r="147" spans="1:25" x14ac:dyDescent="0.25">
      <c r="A147" s="1218" t="s">
        <v>97</v>
      </c>
      <c r="B147" s="98">
        <v>45323</v>
      </c>
      <c r="C147" s="117" t="str">
        <f t="shared" si="38"/>
        <v>4L</v>
      </c>
      <c r="D147" s="96"/>
      <c r="E147" s="98"/>
      <c r="F147" s="98"/>
      <c r="I147" s="99">
        <f t="shared" si="39"/>
        <v>0</v>
      </c>
      <c r="L147" s="99">
        <f t="shared" si="40"/>
        <v>0</v>
      </c>
      <c r="M147" s="44" t="str">
        <f t="shared" si="42"/>
        <v/>
      </c>
      <c r="N147" s="100">
        <f t="shared" si="43"/>
        <v>0</v>
      </c>
      <c r="O147" s="101">
        <f t="shared" si="44"/>
        <v>0</v>
      </c>
      <c r="P147" s="52">
        <f t="shared" si="45"/>
        <v>0</v>
      </c>
      <c r="Q147" s="49">
        <v>116.88487613461319</v>
      </c>
      <c r="R147">
        <v>2225</v>
      </c>
      <c r="S147" s="50">
        <f t="shared" si="41"/>
        <v>71535.307499999995</v>
      </c>
      <c r="T147" s="50">
        <f t="shared" si="46"/>
        <v>0</v>
      </c>
      <c r="U147" s="58">
        <f t="shared" si="47"/>
        <v>0</v>
      </c>
      <c r="V147" s="58">
        <f t="shared" si="48"/>
        <v>0</v>
      </c>
      <c r="W147" s="58">
        <f t="shared" si="49"/>
        <v>0</v>
      </c>
      <c r="X147" s="58">
        <f t="shared" si="50"/>
        <v>0</v>
      </c>
      <c r="Y147" s="52">
        <f t="shared" si="51"/>
        <v>0</v>
      </c>
    </row>
    <row r="148" spans="1:25" x14ac:dyDescent="0.25">
      <c r="A148" s="1218" t="s">
        <v>98</v>
      </c>
      <c r="B148" s="98">
        <v>45323</v>
      </c>
      <c r="C148" s="117" t="str">
        <f t="shared" si="38"/>
        <v>4L</v>
      </c>
      <c r="D148" s="96"/>
      <c r="E148" s="98"/>
      <c r="F148" s="98"/>
      <c r="I148" s="99">
        <f t="shared" si="39"/>
        <v>0</v>
      </c>
      <c r="L148" s="99">
        <f t="shared" si="40"/>
        <v>0</v>
      </c>
      <c r="M148" s="44" t="str">
        <f t="shared" si="42"/>
        <v/>
      </c>
      <c r="N148" s="100">
        <f t="shared" si="43"/>
        <v>0</v>
      </c>
      <c r="O148" s="101">
        <f t="shared" si="44"/>
        <v>0</v>
      </c>
      <c r="P148" s="52">
        <f t="shared" si="45"/>
        <v>0</v>
      </c>
      <c r="Q148" s="49">
        <v>116.88487613461319</v>
      </c>
      <c r="R148">
        <v>2225</v>
      </c>
      <c r="S148" s="50">
        <f t="shared" si="41"/>
        <v>71535.307499999995</v>
      </c>
      <c r="T148" s="50">
        <f t="shared" si="46"/>
        <v>0</v>
      </c>
      <c r="U148" s="58">
        <f t="shared" si="47"/>
        <v>0</v>
      </c>
      <c r="V148" s="58">
        <f t="shared" si="48"/>
        <v>0</v>
      </c>
      <c r="W148" s="58">
        <f t="shared" si="49"/>
        <v>0</v>
      </c>
      <c r="X148" s="58">
        <f t="shared" si="50"/>
        <v>0</v>
      </c>
      <c r="Y148" s="52">
        <f t="shared" si="51"/>
        <v>0</v>
      </c>
    </row>
    <row r="149" spans="1:25" x14ac:dyDescent="0.25">
      <c r="A149" s="1218" t="s">
        <v>99</v>
      </c>
      <c r="B149" s="98">
        <v>45323</v>
      </c>
      <c r="C149" s="117" t="str">
        <f t="shared" si="38"/>
        <v>4L</v>
      </c>
      <c r="D149" s="96"/>
      <c r="E149" s="98"/>
      <c r="F149" s="98"/>
      <c r="I149" s="99">
        <f t="shared" si="39"/>
        <v>0</v>
      </c>
      <c r="L149" s="99">
        <f t="shared" si="40"/>
        <v>0</v>
      </c>
      <c r="M149" s="44" t="str">
        <f t="shared" si="42"/>
        <v/>
      </c>
      <c r="N149" s="100">
        <f t="shared" si="43"/>
        <v>0</v>
      </c>
      <c r="O149" s="101">
        <f t="shared" si="44"/>
        <v>0</v>
      </c>
      <c r="P149" s="52">
        <f t="shared" si="45"/>
        <v>0</v>
      </c>
      <c r="Q149" s="49">
        <v>116.88487613461319</v>
      </c>
      <c r="R149">
        <v>2225</v>
      </c>
      <c r="S149" s="50">
        <f t="shared" si="41"/>
        <v>71535.307499999995</v>
      </c>
      <c r="T149" s="50">
        <f t="shared" si="46"/>
        <v>0</v>
      </c>
      <c r="U149" s="58">
        <f t="shared" si="47"/>
        <v>0</v>
      </c>
      <c r="V149" s="58">
        <f t="shared" si="48"/>
        <v>0</v>
      </c>
      <c r="W149" s="58">
        <f t="shared" si="49"/>
        <v>0</v>
      </c>
      <c r="X149" s="58">
        <f t="shared" si="50"/>
        <v>0</v>
      </c>
      <c r="Y149" s="52">
        <f t="shared" si="51"/>
        <v>0</v>
      </c>
    </row>
    <row r="150" spans="1:25" x14ac:dyDescent="0.25">
      <c r="A150" s="1218" t="s">
        <v>100</v>
      </c>
      <c r="B150" s="98">
        <v>45323</v>
      </c>
      <c r="C150" s="117" t="str">
        <f t="shared" si="38"/>
        <v>4L</v>
      </c>
      <c r="D150" s="96"/>
      <c r="E150" s="98"/>
      <c r="F150" s="98"/>
      <c r="G150" s="40">
        <v>1820</v>
      </c>
      <c r="H150" s="40">
        <v>2.0400000000000009</v>
      </c>
      <c r="I150" s="99">
        <f t="shared" si="39"/>
        <v>3.7128000000000014</v>
      </c>
      <c r="L150" s="99">
        <f t="shared" si="40"/>
        <v>0</v>
      </c>
      <c r="M150" s="44">
        <f t="shared" si="42"/>
        <v>-1</v>
      </c>
      <c r="N150" s="100">
        <f t="shared" si="43"/>
        <v>-1820</v>
      </c>
      <c r="O150" s="101">
        <f t="shared" si="44"/>
        <v>-3.7128000000000014</v>
      </c>
      <c r="P150" s="52">
        <f t="shared" si="45"/>
        <v>0</v>
      </c>
      <c r="Q150" s="49">
        <v>116.88487613461319</v>
      </c>
      <c r="R150">
        <v>2225</v>
      </c>
      <c r="S150" s="50">
        <f t="shared" si="41"/>
        <v>71535.307499999995</v>
      </c>
      <c r="T150" s="50">
        <f t="shared" si="46"/>
        <v>265596.28968600009</v>
      </c>
      <c r="U150" s="58">
        <f t="shared" si="47"/>
        <v>0</v>
      </c>
      <c r="V150" s="58">
        <f t="shared" si="48"/>
        <v>212730.47456499602</v>
      </c>
      <c r="W150" s="58">
        <f t="shared" si="49"/>
        <v>0</v>
      </c>
      <c r="X150" s="58">
        <f t="shared" si="50"/>
        <v>52865.815121004067</v>
      </c>
      <c r="Y150" s="52">
        <f t="shared" si="51"/>
        <v>0</v>
      </c>
    </row>
    <row r="151" spans="1:25" x14ac:dyDescent="0.25">
      <c r="A151" s="1218" t="s">
        <v>101</v>
      </c>
      <c r="B151" s="98">
        <v>45323</v>
      </c>
      <c r="C151" s="117" t="str">
        <f t="shared" si="38"/>
        <v>4L</v>
      </c>
      <c r="D151" s="96"/>
      <c r="E151" s="98"/>
      <c r="F151" s="98"/>
      <c r="G151" s="53">
        <v>2030</v>
      </c>
      <c r="H151" s="46">
        <v>2.3900000000000015</v>
      </c>
      <c r="I151" s="99">
        <f t="shared" si="39"/>
        <v>4.8517000000000028</v>
      </c>
      <c r="L151" s="99">
        <f t="shared" si="40"/>
        <v>0</v>
      </c>
      <c r="M151" s="44">
        <f t="shared" si="42"/>
        <v>-1</v>
      </c>
      <c r="N151" s="100">
        <f t="shared" si="43"/>
        <v>-2030</v>
      </c>
      <c r="O151" s="101">
        <f t="shared" si="44"/>
        <v>-4.8517000000000028</v>
      </c>
      <c r="P151" s="52">
        <f t="shared" si="45"/>
        <v>0</v>
      </c>
      <c r="Q151" s="49">
        <v>116.88487613461319</v>
      </c>
      <c r="R151">
        <v>2225</v>
      </c>
      <c r="S151" s="50">
        <f t="shared" si="41"/>
        <v>71535.307499999995</v>
      </c>
      <c r="T151" s="50">
        <f t="shared" si="46"/>
        <v>347067.8513977502</v>
      </c>
      <c r="U151" s="58">
        <f t="shared" si="47"/>
        <v>0</v>
      </c>
      <c r="V151" s="58">
        <f t="shared" si="48"/>
        <v>237276.29855326479</v>
      </c>
      <c r="W151" s="58">
        <f t="shared" si="49"/>
        <v>0</v>
      </c>
      <c r="X151" s="58">
        <f t="shared" si="50"/>
        <v>109791.55284448541</v>
      </c>
      <c r="Y151" s="52">
        <f t="shared" si="51"/>
        <v>0</v>
      </c>
    </row>
    <row r="152" spans="1:25" x14ac:dyDescent="0.25">
      <c r="A152" s="1218" t="s">
        <v>102</v>
      </c>
      <c r="B152" s="98">
        <v>45323</v>
      </c>
      <c r="C152" s="117" t="str">
        <f t="shared" si="38"/>
        <v>4L</v>
      </c>
      <c r="D152" s="96"/>
      <c r="E152" s="98"/>
      <c r="F152" s="98"/>
      <c r="G152" s="54"/>
      <c r="H152" s="41"/>
      <c r="I152" s="99">
        <f t="shared" si="39"/>
        <v>0</v>
      </c>
      <c r="J152" s="54"/>
      <c r="K152" s="41"/>
      <c r="L152" s="99">
        <f t="shared" si="40"/>
        <v>0</v>
      </c>
      <c r="M152" s="44" t="str">
        <f t="shared" si="42"/>
        <v/>
      </c>
      <c r="N152" s="100">
        <f t="shared" si="43"/>
        <v>0</v>
      </c>
      <c r="O152" s="101">
        <f t="shared" si="44"/>
        <v>0</v>
      </c>
      <c r="P152" s="52">
        <f t="shared" si="45"/>
        <v>0</v>
      </c>
      <c r="Q152" s="49">
        <v>116.88487613461319</v>
      </c>
      <c r="R152">
        <v>2225</v>
      </c>
      <c r="S152" s="50">
        <f t="shared" si="41"/>
        <v>71535.307499999995</v>
      </c>
      <c r="T152" s="50">
        <f t="shared" si="46"/>
        <v>0</v>
      </c>
      <c r="U152" s="58">
        <f t="shared" si="47"/>
        <v>0</v>
      </c>
      <c r="V152" s="58">
        <f t="shared" si="48"/>
        <v>0</v>
      </c>
      <c r="W152" s="58">
        <f t="shared" si="49"/>
        <v>0</v>
      </c>
      <c r="X152" s="58">
        <f t="shared" si="50"/>
        <v>0</v>
      </c>
      <c r="Y152" s="52">
        <f t="shared" si="51"/>
        <v>0</v>
      </c>
    </row>
    <row r="153" spans="1:25" x14ac:dyDescent="0.25">
      <c r="A153" s="1218" t="s">
        <v>103</v>
      </c>
      <c r="B153" s="98">
        <v>45323</v>
      </c>
      <c r="C153" s="117" t="str">
        <f t="shared" si="38"/>
        <v>4L</v>
      </c>
      <c r="D153" s="96"/>
      <c r="E153" s="98"/>
      <c r="F153" s="98"/>
      <c r="G153" s="40">
        <v>3045</v>
      </c>
      <c r="H153" s="40">
        <v>2.5</v>
      </c>
      <c r="I153" s="99">
        <f t="shared" si="39"/>
        <v>7.6124999999999998</v>
      </c>
      <c r="L153" s="99">
        <f t="shared" si="40"/>
        <v>0</v>
      </c>
      <c r="M153" s="44">
        <f t="shared" si="42"/>
        <v>-1</v>
      </c>
      <c r="N153" s="100">
        <f t="shared" si="43"/>
        <v>-3045</v>
      </c>
      <c r="O153" s="101">
        <f t="shared" si="44"/>
        <v>-7.6124999999999998</v>
      </c>
      <c r="P153" s="52">
        <f t="shared" si="45"/>
        <v>0</v>
      </c>
      <c r="Q153" s="49">
        <v>116.88487613461319</v>
      </c>
      <c r="R153">
        <v>2225</v>
      </c>
      <c r="S153" s="50">
        <f t="shared" si="41"/>
        <v>71535.307499999995</v>
      </c>
      <c r="T153" s="50">
        <f t="shared" si="46"/>
        <v>544562.52834374993</v>
      </c>
      <c r="U153" s="58">
        <f t="shared" si="47"/>
        <v>0</v>
      </c>
      <c r="V153" s="58">
        <f t="shared" si="48"/>
        <v>355914.44782989717</v>
      </c>
      <c r="W153" s="58">
        <f t="shared" si="49"/>
        <v>0</v>
      </c>
      <c r="X153" s="58">
        <f t="shared" si="50"/>
        <v>188648.08051385276</v>
      </c>
      <c r="Y153" s="52">
        <f t="shared" si="51"/>
        <v>0</v>
      </c>
    </row>
    <row r="154" spans="1:25" x14ac:dyDescent="0.25">
      <c r="A154" s="1218" t="s">
        <v>104</v>
      </c>
      <c r="B154" s="98">
        <v>45323</v>
      </c>
      <c r="C154" s="117" t="str">
        <f t="shared" si="38"/>
        <v>4L</v>
      </c>
      <c r="D154" s="96"/>
      <c r="E154" s="98"/>
      <c r="F154" s="98"/>
      <c r="I154" s="99">
        <f t="shared" si="39"/>
        <v>0</v>
      </c>
      <c r="L154" s="99">
        <f t="shared" si="40"/>
        <v>0</v>
      </c>
      <c r="M154" s="44" t="str">
        <f t="shared" si="42"/>
        <v/>
      </c>
      <c r="N154" s="100">
        <f t="shared" si="43"/>
        <v>0</v>
      </c>
      <c r="O154" s="101">
        <f t="shared" si="44"/>
        <v>0</v>
      </c>
      <c r="P154" s="52">
        <f t="shared" si="45"/>
        <v>0</v>
      </c>
      <c r="Q154" s="49">
        <v>116.88487613461319</v>
      </c>
      <c r="R154">
        <v>2225</v>
      </c>
      <c r="S154" s="50">
        <f t="shared" si="41"/>
        <v>71535.307499999995</v>
      </c>
      <c r="T154" s="50">
        <f t="shared" si="46"/>
        <v>0</v>
      </c>
      <c r="U154" s="58">
        <f t="shared" si="47"/>
        <v>0</v>
      </c>
      <c r="V154" s="58">
        <f t="shared" si="48"/>
        <v>0</v>
      </c>
      <c r="W154" s="58">
        <f t="shared" si="49"/>
        <v>0</v>
      </c>
      <c r="X154" s="58">
        <f t="shared" si="50"/>
        <v>0</v>
      </c>
      <c r="Y154" s="52">
        <f t="shared" si="51"/>
        <v>0</v>
      </c>
    </row>
    <row r="155" spans="1:25" x14ac:dyDescent="0.25">
      <c r="A155" s="1218" t="s">
        <v>105</v>
      </c>
      <c r="B155" s="98">
        <v>45323</v>
      </c>
      <c r="C155" s="117" t="str">
        <f t="shared" si="38"/>
        <v>4L</v>
      </c>
      <c r="D155" s="96"/>
      <c r="E155" s="98"/>
      <c r="F155" s="98"/>
      <c r="I155" s="99">
        <f t="shared" si="39"/>
        <v>0</v>
      </c>
      <c r="L155" s="99">
        <f t="shared" si="40"/>
        <v>0</v>
      </c>
      <c r="M155" s="44" t="str">
        <f t="shared" si="42"/>
        <v/>
      </c>
      <c r="N155" s="100">
        <f t="shared" si="43"/>
        <v>0</v>
      </c>
      <c r="O155" s="101">
        <f t="shared" si="44"/>
        <v>0</v>
      </c>
      <c r="P155" s="52">
        <f t="shared" si="45"/>
        <v>0</v>
      </c>
      <c r="Q155" s="49">
        <v>116.88487613461319</v>
      </c>
      <c r="R155">
        <v>2225</v>
      </c>
      <c r="S155" s="50">
        <f t="shared" si="41"/>
        <v>71535.307499999995</v>
      </c>
      <c r="T155" s="50">
        <f t="shared" si="46"/>
        <v>0</v>
      </c>
      <c r="U155" s="58">
        <f t="shared" si="47"/>
        <v>0</v>
      </c>
      <c r="V155" s="58">
        <f t="shared" si="48"/>
        <v>0</v>
      </c>
      <c r="W155" s="58">
        <f t="shared" si="49"/>
        <v>0</v>
      </c>
      <c r="X155" s="58">
        <f t="shared" si="50"/>
        <v>0</v>
      </c>
      <c r="Y155" s="52">
        <f t="shared" si="51"/>
        <v>0</v>
      </c>
    </row>
    <row r="156" spans="1:25" x14ac:dyDescent="0.25">
      <c r="A156" s="1218" t="s">
        <v>106</v>
      </c>
      <c r="B156" s="98">
        <v>45323</v>
      </c>
      <c r="C156" s="117" t="str">
        <f t="shared" si="38"/>
        <v>4L</v>
      </c>
      <c r="D156" s="96"/>
      <c r="E156" s="98"/>
      <c r="F156" s="98"/>
      <c r="G156" s="53">
        <v>1015</v>
      </c>
      <c r="H156" s="46">
        <v>1.7799999999999991</v>
      </c>
      <c r="I156" s="99">
        <f t="shared" si="39"/>
        <v>1.8066999999999991</v>
      </c>
      <c r="J156" s="41">
        <v>1192</v>
      </c>
      <c r="K156" s="47">
        <v>1.75</v>
      </c>
      <c r="L156" s="99">
        <f t="shared" si="40"/>
        <v>2.0859999999999999</v>
      </c>
      <c r="M156" s="44">
        <f t="shared" si="42"/>
        <v>0.15459124370399122</v>
      </c>
      <c r="N156" s="100">
        <f t="shared" si="43"/>
        <v>177</v>
      </c>
      <c r="O156" s="101">
        <f t="shared" si="44"/>
        <v>0.27930000000000077</v>
      </c>
      <c r="P156" s="52">
        <f t="shared" si="45"/>
        <v>9895.8790925410285</v>
      </c>
      <c r="Q156" s="49">
        <v>116.88487613461319</v>
      </c>
      <c r="R156">
        <v>2225</v>
      </c>
      <c r="S156" s="50">
        <f t="shared" si="41"/>
        <v>71535.307499999995</v>
      </c>
      <c r="T156" s="50">
        <f t="shared" si="46"/>
        <v>129242.84006024993</v>
      </c>
      <c r="U156" s="58">
        <f t="shared" si="47"/>
        <v>149222.65144499997</v>
      </c>
      <c r="V156" s="58">
        <f t="shared" si="48"/>
        <v>118638.14927663239</v>
      </c>
      <c r="W156" s="58">
        <f t="shared" si="49"/>
        <v>139326.77235245894</v>
      </c>
      <c r="X156" s="58">
        <f t="shared" si="50"/>
        <v>10604.690783617538</v>
      </c>
      <c r="Y156" s="52">
        <f t="shared" si="51"/>
        <v>9895.8790925410285</v>
      </c>
    </row>
    <row r="157" spans="1:25" x14ac:dyDescent="0.25">
      <c r="A157" s="1218" t="s">
        <v>107</v>
      </c>
      <c r="B157" s="98">
        <v>45323</v>
      </c>
      <c r="C157" s="117" t="str">
        <f t="shared" si="38"/>
        <v>4L</v>
      </c>
      <c r="D157" s="96"/>
      <c r="E157" s="98"/>
      <c r="F157" s="98"/>
      <c r="G157" s="53"/>
      <c r="H157" s="46"/>
      <c r="I157" s="99">
        <f t="shared" si="39"/>
        <v>0</v>
      </c>
      <c r="L157" s="99">
        <f t="shared" si="40"/>
        <v>0</v>
      </c>
      <c r="M157" s="44" t="str">
        <f t="shared" si="42"/>
        <v/>
      </c>
      <c r="N157" s="100">
        <f t="shared" si="43"/>
        <v>0</v>
      </c>
      <c r="O157" s="101">
        <f t="shared" si="44"/>
        <v>0</v>
      </c>
      <c r="P157" s="52">
        <f t="shared" si="45"/>
        <v>0</v>
      </c>
      <c r="Q157" s="49">
        <v>116.88487613461319</v>
      </c>
      <c r="R157">
        <v>2225</v>
      </c>
      <c r="S157" s="50">
        <f t="shared" si="41"/>
        <v>71535.307499999995</v>
      </c>
      <c r="T157" s="50">
        <f t="shared" si="46"/>
        <v>0</v>
      </c>
      <c r="U157" s="58">
        <f t="shared" si="47"/>
        <v>0</v>
      </c>
      <c r="V157" s="58">
        <f t="shared" si="48"/>
        <v>0</v>
      </c>
      <c r="W157" s="58">
        <f t="shared" si="49"/>
        <v>0</v>
      </c>
      <c r="X157" s="58">
        <f t="shared" si="50"/>
        <v>0</v>
      </c>
      <c r="Y157" s="52">
        <f t="shared" si="51"/>
        <v>0</v>
      </c>
    </row>
    <row r="158" spans="1:25" x14ac:dyDescent="0.25">
      <c r="A158" s="1218" t="s">
        <v>108</v>
      </c>
      <c r="B158" s="98">
        <v>45323</v>
      </c>
      <c r="C158" s="117" t="str">
        <f t="shared" si="38"/>
        <v>4L</v>
      </c>
      <c r="D158" s="96"/>
      <c r="E158" s="98"/>
      <c r="F158" s="98"/>
      <c r="I158" s="99">
        <f t="shared" si="39"/>
        <v>0</v>
      </c>
      <c r="L158" s="99">
        <f t="shared" si="40"/>
        <v>0</v>
      </c>
      <c r="M158" s="44" t="str">
        <f t="shared" si="42"/>
        <v/>
      </c>
      <c r="N158" s="100">
        <f t="shared" si="43"/>
        <v>0</v>
      </c>
      <c r="O158" s="101">
        <f t="shared" si="44"/>
        <v>0</v>
      </c>
      <c r="P158" s="52">
        <f t="shared" si="45"/>
        <v>0</v>
      </c>
      <c r="Q158" s="49">
        <v>116.88487613461319</v>
      </c>
      <c r="R158">
        <v>2225</v>
      </c>
      <c r="S158" s="50">
        <f t="shared" si="41"/>
        <v>71535.307499999995</v>
      </c>
      <c r="T158" s="50">
        <f t="shared" si="46"/>
        <v>0</v>
      </c>
      <c r="U158" s="58">
        <f t="shared" si="47"/>
        <v>0</v>
      </c>
      <c r="V158" s="58">
        <f t="shared" si="48"/>
        <v>0</v>
      </c>
      <c r="W158" s="58">
        <f t="shared" si="49"/>
        <v>0</v>
      </c>
      <c r="X158" s="58">
        <f t="shared" si="50"/>
        <v>0</v>
      </c>
      <c r="Y158" s="52">
        <f t="shared" si="51"/>
        <v>0</v>
      </c>
    </row>
    <row r="159" spans="1:25" x14ac:dyDescent="0.25">
      <c r="A159" s="1218" t="s">
        <v>109</v>
      </c>
      <c r="B159" s="98">
        <v>45323</v>
      </c>
      <c r="C159" s="117" t="str">
        <f t="shared" si="38"/>
        <v>4L</v>
      </c>
      <c r="D159" s="96"/>
      <c r="E159" s="98"/>
      <c r="F159" s="98"/>
      <c r="G159" s="53">
        <v>4060</v>
      </c>
      <c r="H159" s="46">
        <v>2.2599999999999989</v>
      </c>
      <c r="I159" s="99">
        <f t="shared" si="39"/>
        <v>9.1755999999999958</v>
      </c>
      <c r="J159" s="41">
        <v>5606</v>
      </c>
      <c r="K159" s="47">
        <v>2.5099999999999998</v>
      </c>
      <c r="L159" s="99">
        <f t="shared" si="40"/>
        <v>14.071059999999999</v>
      </c>
      <c r="M159" s="44">
        <f t="shared" si="42"/>
        <v>0.53353023235537789</v>
      </c>
      <c r="N159" s="100">
        <f t="shared" si="43"/>
        <v>1546</v>
      </c>
      <c r="O159" s="101">
        <f t="shared" si="44"/>
        <v>4.8954600000000035</v>
      </c>
      <c r="P159" s="52">
        <f t="shared" si="45"/>
        <v>351320.98834030831</v>
      </c>
      <c r="Q159" s="49">
        <v>116.88487613461319</v>
      </c>
      <c r="R159">
        <v>2225</v>
      </c>
      <c r="S159" s="50">
        <f t="shared" si="41"/>
        <v>71535.307499999995</v>
      </c>
      <c r="T159" s="50">
        <f t="shared" si="46"/>
        <v>656379.36749699968</v>
      </c>
      <c r="U159" s="58">
        <f t="shared" si="47"/>
        <v>1006577.6039509499</v>
      </c>
      <c r="V159" s="58">
        <f t="shared" si="48"/>
        <v>474552.59710652957</v>
      </c>
      <c r="W159" s="58">
        <f t="shared" si="49"/>
        <v>655256.61561064154</v>
      </c>
      <c r="X159" s="58">
        <f t="shared" si="50"/>
        <v>181826.7703904701</v>
      </c>
      <c r="Y159" s="52">
        <f t="shared" si="51"/>
        <v>351320.98834030831</v>
      </c>
    </row>
    <row r="160" spans="1:25" x14ac:dyDescent="0.25">
      <c r="A160" s="1218" t="s">
        <v>110</v>
      </c>
      <c r="B160" s="98">
        <v>45323</v>
      </c>
      <c r="C160" s="117" t="str">
        <f t="shared" si="38"/>
        <v>4L</v>
      </c>
      <c r="D160" s="96"/>
      <c r="E160" s="98"/>
      <c r="F160" s="98"/>
      <c r="I160" s="99">
        <f t="shared" si="39"/>
        <v>0</v>
      </c>
      <c r="L160" s="99">
        <f t="shared" si="40"/>
        <v>0</v>
      </c>
      <c r="M160" s="44" t="str">
        <f t="shared" si="42"/>
        <v/>
      </c>
      <c r="N160" s="100">
        <f t="shared" si="43"/>
        <v>0</v>
      </c>
      <c r="O160" s="101">
        <f t="shared" si="44"/>
        <v>0</v>
      </c>
      <c r="P160" s="52">
        <f t="shared" si="45"/>
        <v>0</v>
      </c>
      <c r="Q160" s="49">
        <v>116.88487613461319</v>
      </c>
      <c r="R160">
        <v>2225</v>
      </c>
      <c r="S160" s="50">
        <f t="shared" si="41"/>
        <v>71535.307499999995</v>
      </c>
      <c r="T160" s="50">
        <f t="shared" si="46"/>
        <v>0</v>
      </c>
      <c r="U160" s="58">
        <f t="shared" si="47"/>
        <v>0</v>
      </c>
      <c r="V160" s="58">
        <f t="shared" si="48"/>
        <v>0</v>
      </c>
      <c r="W160" s="58">
        <f t="shared" si="49"/>
        <v>0</v>
      </c>
      <c r="X160" s="58">
        <f t="shared" si="50"/>
        <v>0</v>
      </c>
      <c r="Y160" s="52">
        <f t="shared" si="51"/>
        <v>0</v>
      </c>
    </row>
    <row r="161" spans="1:25" x14ac:dyDescent="0.25">
      <c r="A161" s="1218" t="s">
        <v>111</v>
      </c>
      <c r="B161" s="98">
        <v>45323</v>
      </c>
      <c r="C161" s="117" t="str">
        <f t="shared" si="38"/>
        <v>4L</v>
      </c>
      <c r="D161" s="96"/>
      <c r="E161" s="98"/>
      <c r="F161" s="98"/>
      <c r="I161" s="99">
        <f t="shared" si="39"/>
        <v>0</v>
      </c>
      <c r="L161" s="99">
        <f t="shared" si="40"/>
        <v>0</v>
      </c>
      <c r="M161" s="44" t="str">
        <f t="shared" si="42"/>
        <v/>
      </c>
      <c r="N161" s="100">
        <f t="shared" si="43"/>
        <v>0</v>
      </c>
      <c r="O161" s="101">
        <f t="shared" si="44"/>
        <v>0</v>
      </c>
      <c r="P161" s="52">
        <f t="shared" si="45"/>
        <v>0</v>
      </c>
      <c r="Q161" s="49">
        <v>116.88487613461319</v>
      </c>
      <c r="R161">
        <v>2225</v>
      </c>
      <c r="S161" s="50">
        <f t="shared" si="41"/>
        <v>71535.307499999995</v>
      </c>
      <c r="T161" s="50">
        <f t="shared" si="46"/>
        <v>0</v>
      </c>
      <c r="U161" s="58">
        <f t="shared" si="47"/>
        <v>0</v>
      </c>
      <c r="V161" s="58">
        <f t="shared" si="48"/>
        <v>0</v>
      </c>
      <c r="W161" s="58">
        <f t="shared" si="49"/>
        <v>0</v>
      </c>
      <c r="X161" s="58">
        <f t="shared" si="50"/>
        <v>0</v>
      </c>
      <c r="Y161" s="52">
        <f t="shared" si="51"/>
        <v>0</v>
      </c>
    </row>
    <row r="162" spans="1:25" x14ac:dyDescent="0.25">
      <c r="A162" s="1218" t="s">
        <v>112</v>
      </c>
      <c r="B162" s="98">
        <v>45323</v>
      </c>
      <c r="C162" s="117" t="str">
        <f t="shared" si="38"/>
        <v>4L</v>
      </c>
      <c r="D162" s="96"/>
      <c r="E162" s="98"/>
      <c r="F162" s="98"/>
      <c r="G162" s="40">
        <v>1015</v>
      </c>
      <c r="H162" s="40">
        <v>2.7800000000000007</v>
      </c>
      <c r="I162" s="99">
        <f t="shared" si="39"/>
        <v>2.8217000000000008</v>
      </c>
      <c r="L162" s="99">
        <f t="shared" si="40"/>
        <v>0</v>
      </c>
      <c r="M162" s="44">
        <f t="shared" si="42"/>
        <v>-1</v>
      </c>
      <c r="N162" s="100">
        <f t="shared" si="43"/>
        <v>-1015</v>
      </c>
      <c r="O162" s="101">
        <f t="shared" si="44"/>
        <v>-2.8217000000000008</v>
      </c>
      <c r="P162" s="52">
        <f t="shared" si="45"/>
        <v>0</v>
      </c>
      <c r="Q162" s="49">
        <v>116.88487613461319</v>
      </c>
      <c r="R162">
        <v>2225</v>
      </c>
      <c r="S162" s="50">
        <f t="shared" si="41"/>
        <v>71535.307499999995</v>
      </c>
      <c r="T162" s="50">
        <f t="shared" si="46"/>
        <v>201851.17717275003</v>
      </c>
      <c r="U162" s="58">
        <f t="shared" si="47"/>
        <v>0</v>
      </c>
      <c r="V162" s="58">
        <f t="shared" si="48"/>
        <v>118638.14927663239</v>
      </c>
      <c r="W162" s="58">
        <f t="shared" si="49"/>
        <v>0</v>
      </c>
      <c r="X162" s="58">
        <f t="shared" si="50"/>
        <v>83213.027896117637</v>
      </c>
      <c r="Y162" s="52">
        <f t="shared" si="51"/>
        <v>0</v>
      </c>
    </row>
    <row r="163" spans="1:25" x14ac:dyDescent="0.25">
      <c r="A163" s="1218" t="s">
        <v>113</v>
      </c>
      <c r="B163" s="98">
        <v>45323</v>
      </c>
      <c r="C163" s="117" t="str">
        <f t="shared" si="38"/>
        <v>4L</v>
      </c>
      <c r="D163" s="96"/>
      <c r="E163" s="98"/>
      <c r="F163" s="98"/>
      <c r="I163" s="99">
        <f t="shared" si="39"/>
        <v>0</v>
      </c>
      <c r="L163" s="99">
        <f t="shared" si="40"/>
        <v>0</v>
      </c>
      <c r="M163" s="44" t="str">
        <f t="shared" si="42"/>
        <v/>
      </c>
      <c r="N163" s="100">
        <f t="shared" si="43"/>
        <v>0</v>
      </c>
      <c r="O163" s="101">
        <f t="shared" si="44"/>
        <v>0</v>
      </c>
      <c r="P163" s="52">
        <f t="shared" si="45"/>
        <v>0</v>
      </c>
      <c r="Q163" s="49">
        <v>116.88487613461319</v>
      </c>
      <c r="R163">
        <v>2225</v>
      </c>
      <c r="S163" s="50">
        <f t="shared" si="41"/>
        <v>71535.307499999995</v>
      </c>
      <c r="T163" s="50">
        <f t="shared" si="46"/>
        <v>0</v>
      </c>
      <c r="U163" s="58">
        <f t="shared" si="47"/>
        <v>0</v>
      </c>
      <c r="V163" s="58">
        <f t="shared" si="48"/>
        <v>0</v>
      </c>
      <c r="W163" s="58">
        <f t="shared" si="49"/>
        <v>0</v>
      </c>
      <c r="X163" s="58">
        <f t="shared" si="50"/>
        <v>0</v>
      </c>
      <c r="Y163" s="52">
        <f t="shared" si="51"/>
        <v>0</v>
      </c>
    </row>
    <row r="164" spans="1:25" x14ac:dyDescent="0.25">
      <c r="A164" s="1218" t="s">
        <v>114</v>
      </c>
      <c r="B164" s="98">
        <v>45323</v>
      </c>
      <c r="C164" s="117" t="str">
        <f t="shared" si="38"/>
        <v>4L</v>
      </c>
      <c r="D164" s="96"/>
      <c r="E164" s="98"/>
      <c r="F164" s="98"/>
      <c r="I164" s="99">
        <f t="shared" si="39"/>
        <v>0</v>
      </c>
      <c r="L164" s="99">
        <f t="shared" si="40"/>
        <v>0</v>
      </c>
      <c r="M164" s="44" t="str">
        <f t="shared" si="42"/>
        <v/>
      </c>
      <c r="N164" s="100">
        <f t="shared" si="43"/>
        <v>0</v>
      </c>
      <c r="O164" s="101">
        <f t="shared" si="44"/>
        <v>0</v>
      </c>
      <c r="P164" s="52">
        <f t="shared" si="45"/>
        <v>0</v>
      </c>
      <c r="Q164" s="49">
        <v>116.88487613461319</v>
      </c>
      <c r="R164">
        <v>2225</v>
      </c>
      <c r="S164" s="50">
        <f t="shared" si="41"/>
        <v>71535.307499999995</v>
      </c>
      <c r="T164" s="50">
        <f t="shared" si="46"/>
        <v>0</v>
      </c>
      <c r="U164" s="58">
        <f t="shared" si="47"/>
        <v>0</v>
      </c>
      <c r="V164" s="58">
        <f t="shared" si="48"/>
        <v>0</v>
      </c>
      <c r="W164" s="58">
        <f t="shared" si="49"/>
        <v>0</v>
      </c>
      <c r="X164" s="58">
        <f t="shared" si="50"/>
        <v>0</v>
      </c>
      <c r="Y164" s="52">
        <f t="shared" si="51"/>
        <v>0</v>
      </c>
    </row>
    <row r="165" spans="1:25" x14ac:dyDescent="0.25">
      <c r="A165" s="1218" t="s">
        <v>115</v>
      </c>
      <c r="B165" s="98">
        <v>45323</v>
      </c>
      <c r="C165" s="117" t="str">
        <f t="shared" si="38"/>
        <v>4L</v>
      </c>
      <c r="D165" s="96"/>
      <c r="E165" s="98"/>
      <c r="F165" s="98"/>
      <c r="G165" s="40">
        <v>3045</v>
      </c>
      <c r="H165" s="40">
        <v>1.9</v>
      </c>
      <c r="I165" s="99">
        <f t="shared" si="39"/>
        <v>5.7854999999999999</v>
      </c>
      <c r="J165" s="41">
        <v>3795</v>
      </c>
      <c r="K165" s="47">
        <v>1.82</v>
      </c>
      <c r="L165" s="99">
        <f t="shared" si="40"/>
        <v>6.9069000000000003</v>
      </c>
      <c r="M165" s="44">
        <f t="shared" si="42"/>
        <v>0.19382940108892929</v>
      </c>
      <c r="N165" s="100">
        <f t="shared" si="43"/>
        <v>750</v>
      </c>
      <c r="O165" s="101">
        <f t="shared" si="44"/>
        <v>1.1214000000000004</v>
      </c>
      <c r="P165" s="52">
        <f t="shared" si="45"/>
        <v>50509.110440892924</v>
      </c>
      <c r="Q165" s="49">
        <v>116.88487613461319</v>
      </c>
      <c r="R165">
        <v>2225</v>
      </c>
      <c r="S165" s="50">
        <f t="shared" si="41"/>
        <v>71535.307499999995</v>
      </c>
      <c r="T165" s="50">
        <f t="shared" si="46"/>
        <v>413867.52154124994</v>
      </c>
      <c r="U165" s="58">
        <f t="shared" si="47"/>
        <v>494087.21537175</v>
      </c>
      <c r="V165" s="58">
        <f t="shared" si="48"/>
        <v>355914.44782989717</v>
      </c>
      <c r="W165" s="58">
        <f t="shared" si="49"/>
        <v>443578.10493085708</v>
      </c>
      <c r="X165" s="58">
        <f t="shared" si="50"/>
        <v>57953.073711352772</v>
      </c>
      <c r="Y165" s="52">
        <f t="shared" si="51"/>
        <v>50509.110440892924</v>
      </c>
    </row>
    <row r="166" spans="1:25" x14ac:dyDescent="0.25">
      <c r="A166" s="1218" t="s">
        <v>116</v>
      </c>
      <c r="B166" s="98">
        <v>45323</v>
      </c>
      <c r="C166" s="117" t="str">
        <f t="shared" si="38"/>
        <v>4L</v>
      </c>
      <c r="D166" s="96"/>
      <c r="E166" s="98"/>
      <c r="F166" s="98"/>
      <c r="I166" s="99">
        <f t="shared" si="39"/>
        <v>0</v>
      </c>
      <c r="L166" s="99">
        <f t="shared" si="40"/>
        <v>0</v>
      </c>
      <c r="M166" s="44" t="str">
        <f t="shared" si="42"/>
        <v/>
      </c>
      <c r="N166" s="100">
        <f t="shared" si="43"/>
        <v>0</v>
      </c>
      <c r="O166" s="101">
        <f t="shared" si="44"/>
        <v>0</v>
      </c>
      <c r="P166" s="52">
        <f t="shared" si="45"/>
        <v>0</v>
      </c>
      <c r="Q166" s="49">
        <v>116.88487613461319</v>
      </c>
      <c r="R166">
        <v>2225</v>
      </c>
      <c r="S166" s="50">
        <f t="shared" si="41"/>
        <v>71535.307499999995</v>
      </c>
      <c r="T166" s="50">
        <f t="shared" si="46"/>
        <v>0</v>
      </c>
      <c r="U166" s="58">
        <f t="shared" si="47"/>
        <v>0</v>
      </c>
      <c r="V166" s="58">
        <f t="shared" si="48"/>
        <v>0</v>
      </c>
      <c r="W166" s="58">
        <f t="shared" si="49"/>
        <v>0</v>
      </c>
      <c r="X166" s="58">
        <f t="shared" si="50"/>
        <v>0</v>
      </c>
      <c r="Y166" s="52">
        <f t="shared" si="51"/>
        <v>0</v>
      </c>
    </row>
    <row r="167" spans="1:25" x14ac:dyDescent="0.25">
      <c r="A167" s="1218" t="s">
        <v>117</v>
      </c>
      <c r="B167" s="98">
        <v>45323</v>
      </c>
      <c r="C167" s="117" t="str">
        <f t="shared" si="38"/>
        <v>4L</v>
      </c>
      <c r="D167" s="96"/>
      <c r="E167" s="98"/>
      <c r="F167" s="98"/>
      <c r="I167" s="99">
        <f t="shared" si="39"/>
        <v>0</v>
      </c>
      <c r="L167" s="99">
        <f t="shared" si="40"/>
        <v>0</v>
      </c>
      <c r="M167" s="44" t="str">
        <f t="shared" si="42"/>
        <v/>
      </c>
      <c r="N167" s="100">
        <f t="shared" si="43"/>
        <v>0</v>
      </c>
      <c r="O167" s="101">
        <f t="shared" si="44"/>
        <v>0</v>
      </c>
      <c r="P167" s="52">
        <f t="shared" si="45"/>
        <v>0</v>
      </c>
      <c r="Q167" s="49">
        <v>116.88487613461319</v>
      </c>
      <c r="R167">
        <v>2225</v>
      </c>
      <c r="S167" s="50">
        <f t="shared" si="41"/>
        <v>71535.307499999995</v>
      </c>
      <c r="T167" s="50">
        <f t="shared" si="46"/>
        <v>0</v>
      </c>
      <c r="U167" s="58">
        <f t="shared" si="47"/>
        <v>0</v>
      </c>
      <c r="V167" s="58">
        <f t="shared" si="48"/>
        <v>0</v>
      </c>
      <c r="W167" s="58">
        <f t="shared" si="49"/>
        <v>0</v>
      </c>
      <c r="X167" s="58">
        <f t="shared" si="50"/>
        <v>0</v>
      </c>
      <c r="Y167" s="52">
        <f t="shared" si="51"/>
        <v>0</v>
      </c>
    </row>
    <row r="168" spans="1:25" x14ac:dyDescent="0.25">
      <c r="A168" s="1218" t="s">
        <v>118</v>
      </c>
      <c r="B168" s="98">
        <v>45323</v>
      </c>
      <c r="C168" s="117" t="str">
        <f t="shared" si="38"/>
        <v>4L</v>
      </c>
      <c r="D168" s="96"/>
      <c r="E168" s="98"/>
      <c r="F168" s="98"/>
      <c r="I168" s="99">
        <f t="shared" si="39"/>
        <v>0</v>
      </c>
      <c r="L168" s="99">
        <f t="shared" si="40"/>
        <v>0</v>
      </c>
      <c r="M168" s="44" t="str">
        <f t="shared" si="42"/>
        <v/>
      </c>
      <c r="N168" s="100">
        <f t="shared" si="43"/>
        <v>0</v>
      </c>
      <c r="O168" s="101">
        <f t="shared" si="44"/>
        <v>0</v>
      </c>
      <c r="P168" s="52">
        <f t="shared" si="45"/>
        <v>0</v>
      </c>
      <c r="Q168" s="49">
        <v>116.88487613461319</v>
      </c>
      <c r="R168">
        <v>2225</v>
      </c>
      <c r="S168" s="50">
        <f t="shared" si="41"/>
        <v>71535.307499999995</v>
      </c>
      <c r="T168" s="50">
        <f t="shared" si="46"/>
        <v>0</v>
      </c>
      <c r="U168" s="58">
        <f t="shared" si="47"/>
        <v>0</v>
      </c>
      <c r="V168" s="58">
        <f t="shared" si="48"/>
        <v>0</v>
      </c>
      <c r="W168" s="58">
        <f t="shared" si="49"/>
        <v>0</v>
      </c>
      <c r="X168" s="58">
        <f t="shared" si="50"/>
        <v>0</v>
      </c>
      <c r="Y168" s="52">
        <f t="shared" si="51"/>
        <v>0</v>
      </c>
    </row>
    <row r="169" spans="1:25" x14ac:dyDescent="0.25">
      <c r="A169" s="1218" t="s">
        <v>119</v>
      </c>
      <c r="B169" s="98">
        <v>45323</v>
      </c>
      <c r="C169" s="117" t="str">
        <f t="shared" si="38"/>
        <v>4L</v>
      </c>
      <c r="D169" s="96"/>
      <c r="E169" s="98"/>
      <c r="F169" s="98"/>
      <c r="I169" s="99">
        <f t="shared" si="39"/>
        <v>0</v>
      </c>
      <c r="L169" s="99">
        <f t="shared" si="40"/>
        <v>0</v>
      </c>
      <c r="M169" s="44" t="str">
        <f t="shared" si="42"/>
        <v/>
      </c>
      <c r="N169" s="100">
        <f t="shared" si="43"/>
        <v>0</v>
      </c>
      <c r="O169" s="101">
        <f t="shared" si="44"/>
        <v>0</v>
      </c>
      <c r="P169" s="52">
        <f t="shared" si="45"/>
        <v>0</v>
      </c>
      <c r="Q169" s="49">
        <v>116.88487613461319</v>
      </c>
      <c r="R169">
        <v>2225</v>
      </c>
      <c r="S169" s="50">
        <f t="shared" si="41"/>
        <v>71535.307499999995</v>
      </c>
      <c r="T169" s="50">
        <f t="shared" si="46"/>
        <v>0</v>
      </c>
      <c r="U169" s="58">
        <f t="shared" si="47"/>
        <v>0</v>
      </c>
      <c r="V169" s="58">
        <f t="shared" si="48"/>
        <v>0</v>
      </c>
      <c r="W169" s="58">
        <f t="shared" si="49"/>
        <v>0</v>
      </c>
      <c r="X169" s="58">
        <f t="shared" si="50"/>
        <v>0</v>
      </c>
      <c r="Y169" s="52">
        <f t="shared" si="51"/>
        <v>0</v>
      </c>
    </row>
    <row r="170" spans="1:25" x14ac:dyDescent="0.25">
      <c r="A170" s="1218" t="s">
        <v>120</v>
      </c>
      <c r="B170" s="98">
        <v>45323</v>
      </c>
      <c r="C170" s="117" t="str">
        <f t="shared" si="38"/>
        <v>4L</v>
      </c>
      <c r="D170" s="96"/>
      <c r="E170" s="98"/>
      <c r="F170" s="98"/>
      <c r="I170" s="99">
        <f t="shared" si="39"/>
        <v>0</v>
      </c>
      <c r="L170" s="99">
        <f t="shared" si="40"/>
        <v>0</v>
      </c>
      <c r="M170" s="44" t="str">
        <f t="shared" si="42"/>
        <v/>
      </c>
      <c r="N170" s="100">
        <f t="shared" si="43"/>
        <v>0</v>
      </c>
      <c r="O170" s="101">
        <f t="shared" si="44"/>
        <v>0</v>
      </c>
      <c r="P170" s="52">
        <f t="shared" si="45"/>
        <v>0</v>
      </c>
      <c r="Q170" s="49">
        <v>116.88487613461319</v>
      </c>
      <c r="R170">
        <v>2225</v>
      </c>
      <c r="S170" s="50">
        <f t="shared" si="41"/>
        <v>71535.307499999995</v>
      </c>
      <c r="T170" s="50">
        <f t="shared" si="46"/>
        <v>0</v>
      </c>
      <c r="U170" s="58">
        <f t="shared" si="47"/>
        <v>0</v>
      </c>
      <c r="V170" s="58">
        <f t="shared" si="48"/>
        <v>0</v>
      </c>
      <c r="W170" s="58">
        <f t="shared" si="49"/>
        <v>0</v>
      </c>
      <c r="X170" s="58">
        <f t="shared" si="50"/>
        <v>0</v>
      </c>
      <c r="Y170" s="52">
        <f t="shared" si="51"/>
        <v>0</v>
      </c>
    </row>
    <row r="171" spans="1:25" x14ac:dyDescent="0.25">
      <c r="A171" s="1218" t="s">
        <v>121</v>
      </c>
      <c r="B171" s="98">
        <v>45323</v>
      </c>
      <c r="C171" s="117" t="str">
        <f t="shared" si="38"/>
        <v>4L</v>
      </c>
      <c r="D171" s="96"/>
      <c r="E171" s="98"/>
      <c r="F171" s="98"/>
      <c r="I171" s="99">
        <f t="shared" si="39"/>
        <v>0</v>
      </c>
      <c r="L171" s="99">
        <f t="shared" si="40"/>
        <v>0</v>
      </c>
      <c r="M171" s="44" t="str">
        <f t="shared" si="42"/>
        <v/>
      </c>
      <c r="N171" s="100">
        <f t="shared" si="43"/>
        <v>0</v>
      </c>
      <c r="O171" s="101">
        <f t="shared" si="44"/>
        <v>0</v>
      </c>
      <c r="P171" s="52">
        <f t="shared" si="45"/>
        <v>0</v>
      </c>
      <c r="Q171" s="49">
        <v>116.88487613461319</v>
      </c>
      <c r="R171">
        <v>2225</v>
      </c>
      <c r="S171" s="50">
        <f t="shared" si="41"/>
        <v>71535.307499999995</v>
      </c>
      <c r="T171" s="50">
        <f t="shared" si="46"/>
        <v>0</v>
      </c>
      <c r="U171" s="58">
        <f t="shared" si="47"/>
        <v>0</v>
      </c>
      <c r="V171" s="58">
        <f t="shared" si="48"/>
        <v>0</v>
      </c>
      <c r="W171" s="58">
        <f t="shared" si="49"/>
        <v>0</v>
      </c>
      <c r="X171" s="58">
        <f t="shared" si="50"/>
        <v>0</v>
      </c>
      <c r="Y171" s="52">
        <f t="shared" si="51"/>
        <v>0</v>
      </c>
    </row>
    <row r="172" spans="1:25" x14ac:dyDescent="0.25">
      <c r="A172" s="1218" t="s">
        <v>122</v>
      </c>
      <c r="B172" s="98">
        <v>45323</v>
      </c>
      <c r="C172" s="117" t="str">
        <f t="shared" si="38"/>
        <v>4L</v>
      </c>
      <c r="D172" s="96"/>
      <c r="E172" s="98"/>
      <c r="F172" s="98"/>
      <c r="I172" s="99">
        <f t="shared" si="39"/>
        <v>0</v>
      </c>
      <c r="L172" s="99">
        <f t="shared" si="40"/>
        <v>0</v>
      </c>
      <c r="M172" s="44" t="str">
        <f t="shared" si="42"/>
        <v/>
      </c>
      <c r="N172" s="100">
        <f t="shared" si="43"/>
        <v>0</v>
      </c>
      <c r="O172" s="101">
        <f t="shared" si="44"/>
        <v>0</v>
      </c>
      <c r="P172" s="52">
        <f t="shared" si="45"/>
        <v>0</v>
      </c>
      <c r="Q172" s="49">
        <v>116.88487613461319</v>
      </c>
      <c r="R172">
        <v>2225</v>
      </c>
      <c r="S172" s="50">
        <f t="shared" si="41"/>
        <v>71535.307499999995</v>
      </c>
      <c r="T172" s="50">
        <f t="shared" si="46"/>
        <v>0</v>
      </c>
      <c r="U172" s="58">
        <f t="shared" si="47"/>
        <v>0</v>
      </c>
      <c r="V172" s="58">
        <f t="shared" si="48"/>
        <v>0</v>
      </c>
      <c r="W172" s="58">
        <f t="shared" si="49"/>
        <v>0</v>
      </c>
      <c r="X172" s="58">
        <f t="shared" si="50"/>
        <v>0</v>
      </c>
      <c r="Y172" s="52">
        <f t="shared" si="51"/>
        <v>0</v>
      </c>
    </row>
    <row r="173" spans="1:25" x14ac:dyDescent="0.25">
      <c r="A173" s="1218" t="s">
        <v>123</v>
      </c>
      <c r="B173" s="98">
        <v>45323</v>
      </c>
      <c r="C173" s="117" t="str">
        <f t="shared" si="38"/>
        <v>4L</v>
      </c>
      <c r="D173" s="96"/>
      <c r="E173" s="98"/>
      <c r="F173" s="98"/>
      <c r="G173" s="41"/>
      <c r="H173" s="41"/>
      <c r="I173" s="99">
        <f t="shared" si="39"/>
        <v>0</v>
      </c>
      <c r="J173" s="102"/>
      <c r="K173" s="104"/>
      <c r="L173" s="99">
        <f t="shared" si="40"/>
        <v>0</v>
      </c>
      <c r="M173" s="44" t="str">
        <f t="shared" si="42"/>
        <v/>
      </c>
      <c r="N173" s="100">
        <f t="shared" si="43"/>
        <v>0</v>
      </c>
      <c r="O173" s="101">
        <f t="shared" si="44"/>
        <v>0</v>
      </c>
      <c r="P173" s="52">
        <f t="shared" si="45"/>
        <v>0</v>
      </c>
      <c r="Q173" s="49">
        <v>116.88487613461319</v>
      </c>
      <c r="R173">
        <v>2225</v>
      </c>
      <c r="S173" s="50">
        <f t="shared" si="41"/>
        <v>71535.307499999995</v>
      </c>
      <c r="T173" s="50">
        <f t="shared" si="46"/>
        <v>0</v>
      </c>
      <c r="U173" s="58">
        <f t="shared" si="47"/>
        <v>0</v>
      </c>
      <c r="V173" s="58">
        <f t="shared" si="48"/>
        <v>0</v>
      </c>
      <c r="W173" s="58">
        <f t="shared" si="49"/>
        <v>0</v>
      </c>
      <c r="X173" s="58">
        <f t="shared" si="50"/>
        <v>0</v>
      </c>
      <c r="Y173" s="52">
        <f t="shared" si="51"/>
        <v>0</v>
      </c>
    </row>
    <row r="174" spans="1:25" x14ac:dyDescent="0.25">
      <c r="A174" s="1218" t="s">
        <v>124</v>
      </c>
      <c r="B174" s="98">
        <v>45323</v>
      </c>
      <c r="C174" s="117" t="str">
        <f t="shared" si="38"/>
        <v>4L</v>
      </c>
      <c r="D174" s="96"/>
      <c r="E174" s="98"/>
      <c r="F174" s="98"/>
      <c r="G174" s="41"/>
      <c r="H174" s="41"/>
      <c r="I174" s="99">
        <f t="shared" si="39"/>
        <v>0</v>
      </c>
      <c r="J174" s="102"/>
      <c r="K174" s="104"/>
      <c r="L174" s="99">
        <f t="shared" si="40"/>
        <v>0</v>
      </c>
      <c r="M174" s="44" t="str">
        <f t="shared" si="42"/>
        <v/>
      </c>
      <c r="N174" s="100">
        <f t="shared" si="43"/>
        <v>0</v>
      </c>
      <c r="O174" s="101">
        <f t="shared" si="44"/>
        <v>0</v>
      </c>
      <c r="P174" s="52">
        <f t="shared" si="45"/>
        <v>0</v>
      </c>
      <c r="Q174" s="49">
        <v>116.88487613461319</v>
      </c>
      <c r="R174">
        <v>2225</v>
      </c>
      <c r="S174" s="50">
        <f t="shared" si="41"/>
        <v>71535.307499999995</v>
      </c>
      <c r="T174" s="50">
        <f t="shared" si="46"/>
        <v>0</v>
      </c>
      <c r="U174" s="58">
        <f t="shared" si="47"/>
        <v>0</v>
      </c>
      <c r="V174" s="58">
        <f t="shared" si="48"/>
        <v>0</v>
      </c>
      <c r="W174" s="58">
        <f t="shared" si="49"/>
        <v>0</v>
      </c>
      <c r="X174" s="58">
        <f t="shared" si="50"/>
        <v>0</v>
      </c>
      <c r="Y174" s="52">
        <f t="shared" si="51"/>
        <v>0</v>
      </c>
    </row>
    <row r="175" spans="1:25" x14ac:dyDescent="0.25">
      <c r="A175" s="1218" t="s">
        <v>125</v>
      </c>
      <c r="B175" s="98">
        <v>45323</v>
      </c>
      <c r="C175" s="117" t="str">
        <f t="shared" si="38"/>
        <v>4L</v>
      </c>
      <c r="D175" s="96"/>
      <c r="E175" s="98"/>
      <c r="F175" s="98"/>
      <c r="I175" s="99">
        <f t="shared" si="39"/>
        <v>0</v>
      </c>
      <c r="L175" s="99">
        <f t="shared" si="40"/>
        <v>0</v>
      </c>
      <c r="M175" s="44" t="str">
        <f t="shared" si="42"/>
        <v/>
      </c>
      <c r="N175" s="100">
        <f t="shared" si="43"/>
        <v>0</v>
      </c>
      <c r="O175" s="101">
        <f t="shared" si="44"/>
        <v>0</v>
      </c>
      <c r="P175" s="52">
        <f t="shared" si="45"/>
        <v>0</v>
      </c>
      <c r="Q175" s="49">
        <v>116.88487613461319</v>
      </c>
      <c r="R175">
        <v>2225</v>
      </c>
      <c r="S175" s="50">
        <f t="shared" si="41"/>
        <v>71535.307499999995</v>
      </c>
      <c r="T175" s="50">
        <f t="shared" si="46"/>
        <v>0</v>
      </c>
      <c r="U175" s="58">
        <f t="shared" si="47"/>
        <v>0</v>
      </c>
      <c r="V175" s="58">
        <f t="shared" si="48"/>
        <v>0</v>
      </c>
      <c r="W175" s="58">
        <f t="shared" si="49"/>
        <v>0</v>
      </c>
      <c r="X175" s="58">
        <f t="shared" si="50"/>
        <v>0</v>
      </c>
      <c r="Y175" s="52">
        <f t="shared" si="51"/>
        <v>0</v>
      </c>
    </row>
    <row r="176" spans="1:25" x14ac:dyDescent="0.25">
      <c r="A176" s="1218" t="s">
        <v>126</v>
      </c>
      <c r="B176" s="98">
        <v>45323</v>
      </c>
      <c r="C176" s="117" t="str">
        <f t="shared" si="38"/>
        <v>4L</v>
      </c>
      <c r="D176" s="96"/>
      <c r="E176" s="98"/>
      <c r="F176" s="98"/>
      <c r="I176" s="99"/>
      <c r="L176" s="99"/>
      <c r="M176" s="44"/>
      <c r="N176" s="100"/>
      <c r="O176" s="101"/>
      <c r="P176" s="52"/>
      <c r="Q176" s="49"/>
      <c r="S176" s="50"/>
      <c r="T176" s="50"/>
      <c r="U176" s="58"/>
      <c r="V176" s="58"/>
      <c r="W176" s="58"/>
      <c r="X176" s="58"/>
      <c r="Y176" s="52"/>
    </row>
    <row r="177" spans="1:25" x14ac:dyDescent="0.25">
      <c r="A177" s="1218" t="s">
        <v>127</v>
      </c>
      <c r="B177" s="98">
        <v>45323</v>
      </c>
      <c r="C177" s="117" t="str">
        <f t="shared" si="38"/>
        <v>4L</v>
      </c>
      <c r="D177" s="96"/>
      <c r="E177" s="98"/>
      <c r="F177" s="98"/>
      <c r="I177" s="99"/>
      <c r="L177" s="99"/>
      <c r="M177" s="44"/>
      <c r="N177" s="100"/>
      <c r="O177" s="101"/>
      <c r="P177" s="52"/>
      <c r="Q177" s="49"/>
      <c r="S177" s="50"/>
      <c r="T177" s="50"/>
      <c r="U177" s="58"/>
      <c r="V177" s="58"/>
      <c r="W177" s="58"/>
      <c r="X177" s="58"/>
      <c r="Y177" s="52"/>
    </row>
    <row r="178" spans="1:25" x14ac:dyDescent="0.25">
      <c r="A178" s="1218" t="s">
        <v>128</v>
      </c>
      <c r="B178" s="98">
        <v>45323</v>
      </c>
      <c r="C178" s="117" t="str">
        <f t="shared" si="38"/>
        <v>4L</v>
      </c>
      <c r="D178" s="96"/>
      <c r="E178" s="98"/>
      <c r="F178" s="98"/>
      <c r="I178" s="99"/>
      <c r="L178" s="99"/>
      <c r="M178" s="44"/>
      <c r="N178" s="100"/>
      <c r="O178" s="101"/>
      <c r="P178" s="52"/>
      <c r="Q178" s="49"/>
      <c r="S178" s="50"/>
      <c r="T178" s="50"/>
      <c r="U178" s="58"/>
      <c r="V178" s="58"/>
      <c r="W178" s="58"/>
      <c r="X178" s="58"/>
      <c r="Y178" s="52"/>
    </row>
    <row r="179" spans="1:25" x14ac:dyDescent="0.25">
      <c r="A179" s="1218" t="s">
        <v>129</v>
      </c>
      <c r="B179" s="98">
        <v>45323</v>
      </c>
      <c r="C179" s="117" t="str">
        <f t="shared" si="38"/>
        <v>4L</v>
      </c>
      <c r="D179" s="96"/>
      <c r="E179" s="98"/>
      <c r="F179" s="98"/>
      <c r="I179" s="99">
        <f t="shared" si="39"/>
        <v>0</v>
      </c>
      <c r="L179" s="99">
        <f t="shared" si="40"/>
        <v>0</v>
      </c>
      <c r="M179" s="44" t="str">
        <f t="shared" si="42"/>
        <v/>
      </c>
      <c r="N179" s="100">
        <f t="shared" si="43"/>
        <v>0</v>
      </c>
      <c r="O179" s="101">
        <f t="shared" si="44"/>
        <v>0</v>
      </c>
      <c r="P179" s="52">
        <f t="shared" si="45"/>
        <v>0</v>
      </c>
      <c r="Q179" s="49">
        <v>116.88487613461319</v>
      </c>
      <c r="R179">
        <v>2225</v>
      </c>
      <c r="S179" s="50">
        <f t="shared" si="41"/>
        <v>71535.307499999995</v>
      </c>
      <c r="T179" s="50">
        <f t="shared" si="46"/>
        <v>0</v>
      </c>
      <c r="U179" s="58">
        <f t="shared" si="47"/>
        <v>0</v>
      </c>
      <c r="V179" s="58">
        <f t="shared" si="48"/>
        <v>0</v>
      </c>
      <c r="W179" s="58">
        <f t="shared" si="49"/>
        <v>0</v>
      </c>
      <c r="X179" s="58">
        <f t="shared" si="50"/>
        <v>0</v>
      </c>
      <c r="Y179" s="52">
        <f t="shared" si="51"/>
        <v>0</v>
      </c>
    </row>
    <row r="180" spans="1:25" x14ac:dyDescent="0.25">
      <c r="A180" s="1218" t="s">
        <v>130</v>
      </c>
      <c r="B180" s="98">
        <v>45323</v>
      </c>
      <c r="C180" s="117" t="str">
        <f t="shared" si="38"/>
        <v>5L</v>
      </c>
      <c r="D180" s="96"/>
      <c r="E180" s="98"/>
      <c r="F180" s="98"/>
      <c r="I180" s="99">
        <f t="shared" si="39"/>
        <v>0</v>
      </c>
      <c r="L180" s="99">
        <f t="shared" si="40"/>
        <v>0</v>
      </c>
      <c r="M180" s="44" t="str">
        <f t="shared" si="42"/>
        <v/>
      </c>
      <c r="N180" s="100">
        <f t="shared" si="43"/>
        <v>0</v>
      </c>
      <c r="O180" s="101">
        <f t="shared" si="44"/>
        <v>0</v>
      </c>
      <c r="P180" s="52">
        <f t="shared" si="45"/>
        <v>0</v>
      </c>
      <c r="Q180" s="49">
        <v>116.88487613461319</v>
      </c>
      <c r="R180">
        <v>2225</v>
      </c>
      <c r="S180" s="50">
        <f t="shared" si="41"/>
        <v>71535.307499999995</v>
      </c>
      <c r="T180" s="50">
        <f t="shared" si="46"/>
        <v>0</v>
      </c>
      <c r="U180" s="58">
        <f t="shared" si="47"/>
        <v>0</v>
      </c>
      <c r="V180" s="58">
        <f t="shared" si="48"/>
        <v>0</v>
      </c>
      <c r="W180" s="58">
        <f t="shared" si="49"/>
        <v>0</v>
      </c>
      <c r="X180" s="58">
        <f t="shared" si="50"/>
        <v>0</v>
      </c>
      <c r="Y180" s="52">
        <f t="shared" si="51"/>
        <v>0</v>
      </c>
    </row>
    <row r="181" spans="1:25" x14ac:dyDescent="0.25">
      <c r="A181" s="1218" t="s">
        <v>131</v>
      </c>
      <c r="B181" s="98">
        <v>45323</v>
      </c>
      <c r="C181" s="117" t="str">
        <f t="shared" si="38"/>
        <v>5L</v>
      </c>
      <c r="D181" s="96"/>
      <c r="E181" s="98"/>
      <c r="F181" s="98"/>
      <c r="I181" s="99">
        <f t="shared" si="39"/>
        <v>0</v>
      </c>
      <c r="L181" s="99">
        <f t="shared" si="40"/>
        <v>0</v>
      </c>
      <c r="M181" s="44" t="str">
        <f t="shared" si="42"/>
        <v/>
      </c>
      <c r="N181" s="100">
        <f t="shared" si="43"/>
        <v>0</v>
      </c>
      <c r="O181" s="101">
        <f t="shared" si="44"/>
        <v>0</v>
      </c>
      <c r="P181" s="52">
        <f t="shared" si="45"/>
        <v>0</v>
      </c>
      <c r="Q181" s="49">
        <v>116.88487613461319</v>
      </c>
      <c r="R181">
        <v>2225</v>
      </c>
      <c r="S181" s="50">
        <f t="shared" si="41"/>
        <v>71535.307499999995</v>
      </c>
      <c r="T181" s="50">
        <f t="shared" si="46"/>
        <v>0</v>
      </c>
      <c r="U181" s="58">
        <f t="shared" si="47"/>
        <v>0</v>
      </c>
      <c r="V181" s="58">
        <f t="shared" si="48"/>
        <v>0</v>
      </c>
      <c r="W181" s="58">
        <f t="shared" si="49"/>
        <v>0</v>
      </c>
      <c r="X181" s="58">
        <f t="shared" si="50"/>
        <v>0</v>
      </c>
      <c r="Y181" s="52">
        <f t="shared" si="51"/>
        <v>0</v>
      </c>
    </row>
    <row r="182" spans="1:25" x14ac:dyDescent="0.25">
      <c r="A182" s="1218" t="s">
        <v>132</v>
      </c>
      <c r="B182" s="98">
        <v>45323</v>
      </c>
      <c r="C182" s="117" t="str">
        <f t="shared" si="38"/>
        <v>5L</v>
      </c>
      <c r="D182" s="96"/>
      <c r="E182" s="98"/>
      <c r="F182" s="98"/>
      <c r="G182" s="40">
        <v>2030</v>
      </c>
      <c r="H182" s="40">
        <v>3.4599999999999982</v>
      </c>
      <c r="I182" s="99">
        <f t="shared" si="39"/>
        <v>7.0237999999999969</v>
      </c>
      <c r="L182" s="99">
        <f t="shared" si="40"/>
        <v>0</v>
      </c>
      <c r="M182" s="44">
        <f t="shared" si="42"/>
        <v>-1</v>
      </c>
      <c r="N182" s="100">
        <f t="shared" si="43"/>
        <v>-2030</v>
      </c>
      <c r="O182" s="101">
        <f t="shared" si="44"/>
        <v>-7.0237999999999969</v>
      </c>
      <c r="P182" s="52">
        <f t="shared" si="45"/>
        <v>0</v>
      </c>
      <c r="Q182" s="49">
        <v>116.88487613461319</v>
      </c>
      <c r="R182">
        <v>2225</v>
      </c>
      <c r="S182" s="50">
        <f t="shared" si="41"/>
        <v>71535.307499999995</v>
      </c>
      <c r="T182" s="50">
        <f t="shared" si="46"/>
        <v>502449.69281849975</v>
      </c>
      <c r="U182" s="58">
        <f t="shared" si="47"/>
        <v>0</v>
      </c>
      <c r="V182" s="58">
        <f t="shared" si="48"/>
        <v>237276.29855326479</v>
      </c>
      <c r="W182" s="58">
        <f t="shared" si="49"/>
        <v>0</v>
      </c>
      <c r="X182" s="58">
        <f t="shared" si="50"/>
        <v>265173.39426523494</v>
      </c>
      <c r="Y182" s="52">
        <f t="shared" si="51"/>
        <v>0</v>
      </c>
    </row>
    <row r="183" spans="1:25" x14ac:dyDescent="0.25">
      <c r="A183" s="1218" t="s">
        <v>133</v>
      </c>
      <c r="B183" s="98">
        <v>45323</v>
      </c>
      <c r="C183" s="117" t="str">
        <f t="shared" si="38"/>
        <v>5L</v>
      </c>
      <c r="D183" s="96"/>
      <c r="E183" s="98"/>
      <c r="F183" s="98"/>
      <c r="G183" s="40">
        <v>1820</v>
      </c>
      <c r="H183" s="40">
        <v>4.8199999999999976</v>
      </c>
      <c r="I183" s="99">
        <f t="shared" si="39"/>
        <v>8.7723999999999958</v>
      </c>
      <c r="J183" s="41">
        <v>5361</v>
      </c>
      <c r="K183" s="47">
        <v>3.27</v>
      </c>
      <c r="L183" s="99">
        <f t="shared" si="40"/>
        <v>17.530470000000001</v>
      </c>
      <c r="M183" s="44">
        <f t="shared" si="42"/>
        <v>0.99836646755734004</v>
      </c>
      <c r="N183" s="100">
        <f t="shared" si="43"/>
        <v>3541</v>
      </c>
      <c r="O183" s="101">
        <f t="shared" si="44"/>
        <v>8.7580700000000054</v>
      </c>
      <c r="P183" s="52">
        <f t="shared" si="45"/>
        <v>627427.74111186364</v>
      </c>
      <c r="Q183" s="49">
        <v>116.88487613461319</v>
      </c>
      <c r="R183">
        <v>2225</v>
      </c>
      <c r="S183" s="50">
        <f t="shared" si="41"/>
        <v>71535.307499999995</v>
      </c>
      <c r="T183" s="50">
        <f t="shared" si="46"/>
        <v>627536.3315129996</v>
      </c>
      <c r="U183" s="58">
        <f t="shared" si="47"/>
        <v>1254047.562069525</v>
      </c>
      <c r="V183" s="58">
        <f t="shared" si="48"/>
        <v>212730.47456499602</v>
      </c>
      <c r="W183" s="58">
        <f t="shared" si="49"/>
        <v>626619.82095766137</v>
      </c>
      <c r="X183" s="58">
        <f t="shared" si="50"/>
        <v>414805.85694800358</v>
      </c>
      <c r="Y183" s="52">
        <f t="shared" si="51"/>
        <v>627427.74111186364</v>
      </c>
    </row>
    <row r="184" spans="1:25" x14ac:dyDescent="0.25">
      <c r="A184" s="1218" t="s">
        <v>134</v>
      </c>
      <c r="B184" s="98">
        <v>45323</v>
      </c>
      <c r="C184" s="117" t="str">
        <f t="shared" si="38"/>
        <v>5L</v>
      </c>
      <c r="D184" s="96"/>
      <c r="E184" s="98"/>
      <c r="F184" s="98"/>
      <c r="I184" s="99">
        <f t="shared" si="39"/>
        <v>0</v>
      </c>
      <c r="L184" s="99">
        <f t="shared" si="40"/>
        <v>0</v>
      </c>
      <c r="M184" s="44" t="str">
        <f t="shared" si="42"/>
        <v/>
      </c>
      <c r="N184" s="100">
        <f t="shared" si="43"/>
        <v>0</v>
      </c>
      <c r="O184" s="101">
        <f t="shared" si="44"/>
        <v>0</v>
      </c>
      <c r="P184" s="52">
        <f t="shared" si="45"/>
        <v>0</v>
      </c>
      <c r="Q184" s="49">
        <v>116.88487613461319</v>
      </c>
      <c r="R184">
        <v>2225</v>
      </c>
      <c r="S184" s="50">
        <f t="shared" si="41"/>
        <v>71535.307499999995</v>
      </c>
      <c r="T184" s="50">
        <f t="shared" si="46"/>
        <v>0</v>
      </c>
      <c r="U184" s="58">
        <f t="shared" si="47"/>
        <v>0</v>
      </c>
      <c r="V184" s="58">
        <f t="shared" si="48"/>
        <v>0</v>
      </c>
      <c r="W184" s="58">
        <f t="shared" si="49"/>
        <v>0</v>
      </c>
      <c r="X184" s="58">
        <f t="shared" si="50"/>
        <v>0</v>
      </c>
      <c r="Y184" s="52">
        <f t="shared" si="51"/>
        <v>0</v>
      </c>
    </row>
    <row r="185" spans="1:25" x14ac:dyDescent="0.25">
      <c r="A185" s="1218" t="s">
        <v>135</v>
      </c>
      <c r="B185" s="98">
        <v>45323</v>
      </c>
      <c r="C185" s="117" t="str">
        <f t="shared" si="38"/>
        <v>5L</v>
      </c>
      <c r="D185" s="96"/>
      <c r="E185" s="98"/>
      <c r="F185" s="98"/>
      <c r="G185" s="103"/>
      <c r="H185" s="103"/>
      <c r="I185" s="99">
        <f t="shared" si="39"/>
        <v>0</v>
      </c>
      <c r="J185" s="41"/>
      <c r="K185" s="41"/>
      <c r="L185" s="99">
        <f t="shared" si="40"/>
        <v>0</v>
      </c>
      <c r="M185" s="44" t="str">
        <f t="shared" si="42"/>
        <v/>
      </c>
      <c r="N185" s="100">
        <f t="shared" si="43"/>
        <v>0</v>
      </c>
      <c r="O185" s="101">
        <f t="shared" si="44"/>
        <v>0</v>
      </c>
      <c r="P185" s="52">
        <f t="shared" si="45"/>
        <v>0</v>
      </c>
      <c r="Q185" s="49">
        <v>116.88487613461319</v>
      </c>
      <c r="R185">
        <v>2225</v>
      </c>
      <c r="S185" s="50">
        <f t="shared" si="41"/>
        <v>71535.307499999995</v>
      </c>
      <c r="T185" s="50">
        <f t="shared" si="46"/>
        <v>0</v>
      </c>
      <c r="U185" s="58">
        <f t="shared" si="47"/>
        <v>0</v>
      </c>
      <c r="V185" s="58">
        <f t="shared" si="48"/>
        <v>0</v>
      </c>
      <c r="W185" s="58">
        <f t="shared" si="49"/>
        <v>0</v>
      </c>
      <c r="X185" s="58">
        <f t="shared" si="50"/>
        <v>0</v>
      </c>
      <c r="Y185" s="52">
        <f t="shared" si="51"/>
        <v>0</v>
      </c>
    </row>
    <row r="186" spans="1:25" x14ac:dyDescent="0.25">
      <c r="A186" s="1218" t="s">
        <v>136</v>
      </c>
      <c r="B186" s="98">
        <v>45323</v>
      </c>
      <c r="C186" s="117" t="str">
        <f t="shared" si="38"/>
        <v>5L</v>
      </c>
      <c r="D186" s="96"/>
      <c r="E186" s="98"/>
      <c r="F186" s="98"/>
      <c r="G186" s="103"/>
      <c r="H186" s="103"/>
      <c r="I186" s="99">
        <f t="shared" si="39"/>
        <v>0</v>
      </c>
      <c r="J186" s="41"/>
      <c r="K186" s="41"/>
      <c r="L186" s="99">
        <f t="shared" si="40"/>
        <v>0</v>
      </c>
      <c r="M186" s="44" t="str">
        <f t="shared" si="42"/>
        <v/>
      </c>
      <c r="N186" s="100">
        <f t="shared" si="43"/>
        <v>0</v>
      </c>
      <c r="O186" s="101">
        <f t="shared" si="44"/>
        <v>0</v>
      </c>
      <c r="P186" s="52">
        <f t="shared" si="45"/>
        <v>0</v>
      </c>
      <c r="Q186" s="49">
        <v>116.88487613461319</v>
      </c>
      <c r="R186">
        <v>2225</v>
      </c>
      <c r="S186" s="50">
        <f t="shared" si="41"/>
        <v>71535.307499999995</v>
      </c>
      <c r="T186" s="50">
        <f t="shared" si="46"/>
        <v>0</v>
      </c>
      <c r="U186" s="58">
        <f t="shared" si="47"/>
        <v>0</v>
      </c>
      <c r="V186" s="58">
        <f t="shared" si="48"/>
        <v>0</v>
      </c>
      <c r="W186" s="58">
        <f t="shared" si="49"/>
        <v>0</v>
      </c>
      <c r="X186" s="58">
        <f t="shared" si="50"/>
        <v>0</v>
      </c>
      <c r="Y186" s="52">
        <f t="shared" si="51"/>
        <v>0</v>
      </c>
    </row>
    <row r="187" spans="1:25" x14ac:dyDescent="0.25">
      <c r="A187" s="1218" t="s">
        <v>137</v>
      </c>
      <c r="B187" s="98">
        <v>45323</v>
      </c>
      <c r="C187" s="117" t="str">
        <f t="shared" si="38"/>
        <v>5L</v>
      </c>
      <c r="D187" s="96"/>
      <c r="E187" s="98"/>
      <c r="F187" s="98"/>
      <c r="I187" s="99">
        <f t="shared" si="39"/>
        <v>0</v>
      </c>
      <c r="L187" s="99">
        <f t="shared" si="40"/>
        <v>0</v>
      </c>
      <c r="M187" s="44" t="str">
        <f t="shared" si="42"/>
        <v/>
      </c>
      <c r="N187" s="100">
        <f t="shared" si="43"/>
        <v>0</v>
      </c>
      <c r="O187" s="101">
        <f t="shared" si="44"/>
        <v>0</v>
      </c>
      <c r="P187" s="52">
        <f t="shared" si="45"/>
        <v>0</v>
      </c>
      <c r="Q187" s="49">
        <v>116.88487613461319</v>
      </c>
      <c r="R187">
        <v>2225</v>
      </c>
      <c r="S187" s="50">
        <f t="shared" si="41"/>
        <v>71535.307499999995</v>
      </c>
      <c r="T187" s="50">
        <f t="shared" si="46"/>
        <v>0</v>
      </c>
      <c r="U187" s="58">
        <f t="shared" si="47"/>
        <v>0</v>
      </c>
      <c r="V187" s="58">
        <f t="shared" si="48"/>
        <v>0</v>
      </c>
      <c r="W187" s="58">
        <f t="shared" si="49"/>
        <v>0</v>
      </c>
      <c r="X187" s="58">
        <f t="shared" si="50"/>
        <v>0</v>
      </c>
      <c r="Y187" s="52">
        <f t="shared" si="51"/>
        <v>0</v>
      </c>
    </row>
    <row r="188" spans="1:25" x14ac:dyDescent="0.25">
      <c r="A188" s="1218" t="s">
        <v>138</v>
      </c>
      <c r="B188" s="98">
        <v>45323</v>
      </c>
      <c r="C188" s="117" t="str">
        <f t="shared" si="38"/>
        <v>5L</v>
      </c>
      <c r="D188" s="96"/>
      <c r="E188" s="98"/>
      <c r="F188" s="98"/>
      <c r="G188" s="103"/>
      <c r="H188" s="103"/>
      <c r="I188" s="99">
        <f t="shared" si="39"/>
        <v>0</v>
      </c>
      <c r="J188" s="41"/>
      <c r="K188" s="41"/>
      <c r="L188" s="99">
        <f t="shared" si="40"/>
        <v>0</v>
      </c>
      <c r="M188" s="44" t="str">
        <f t="shared" si="42"/>
        <v/>
      </c>
      <c r="N188" s="100">
        <f t="shared" si="43"/>
        <v>0</v>
      </c>
      <c r="O188" s="101">
        <f t="shared" si="44"/>
        <v>0</v>
      </c>
      <c r="P188" s="52">
        <f t="shared" si="45"/>
        <v>0</v>
      </c>
      <c r="Q188" s="49">
        <v>116.88487613461319</v>
      </c>
      <c r="R188">
        <v>2225</v>
      </c>
      <c r="S188" s="50">
        <f t="shared" si="41"/>
        <v>71535.307499999995</v>
      </c>
      <c r="T188" s="50">
        <f t="shared" si="46"/>
        <v>0</v>
      </c>
      <c r="U188" s="58">
        <f t="shared" si="47"/>
        <v>0</v>
      </c>
      <c r="V188" s="58">
        <f t="shared" si="48"/>
        <v>0</v>
      </c>
      <c r="W188" s="58">
        <f t="shared" si="49"/>
        <v>0</v>
      </c>
      <c r="X188" s="58">
        <f t="shared" si="50"/>
        <v>0</v>
      </c>
      <c r="Y188" s="52">
        <f t="shared" si="51"/>
        <v>0</v>
      </c>
    </row>
    <row r="189" spans="1:25" x14ac:dyDescent="0.25">
      <c r="A189" s="1218" t="s">
        <v>139</v>
      </c>
      <c r="B189" s="98">
        <v>45323</v>
      </c>
      <c r="C189" s="117" t="str">
        <f t="shared" si="38"/>
        <v>5L</v>
      </c>
      <c r="D189" s="96"/>
      <c r="E189" s="98"/>
      <c r="F189" s="98"/>
      <c r="I189" s="99">
        <f t="shared" si="39"/>
        <v>0</v>
      </c>
      <c r="L189" s="99">
        <f t="shared" si="40"/>
        <v>0</v>
      </c>
      <c r="M189" s="44" t="str">
        <f t="shared" si="42"/>
        <v/>
      </c>
      <c r="N189" s="100">
        <f t="shared" si="43"/>
        <v>0</v>
      </c>
      <c r="O189" s="101">
        <f t="shared" si="44"/>
        <v>0</v>
      </c>
      <c r="P189" s="52">
        <f t="shared" si="45"/>
        <v>0</v>
      </c>
      <c r="Q189" s="49">
        <v>116.88487613461319</v>
      </c>
      <c r="R189">
        <v>2225</v>
      </c>
      <c r="S189" s="50">
        <f t="shared" si="41"/>
        <v>71535.307499999995</v>
      </c>
      <c r="T189" s="50">
        <f t="shared" si="46"/>
        <v>0</v>
      </c>
      <c r="U189" s="58">
        <f t="shared" si="47"/>
        <v>0</v>
      </c>
      <c r="V189" s="58">
        <f t="shared" si="48"/>
        <v>0</v>
      </c>
      <c r="W189" s="58">
        <f t="shared" si="49"/>
        <v>0</v>
      </c>
      <c r="X189" s="58">
        <f t="shared" si="50"/>
        <v>0</v>
      </c>
      <c r="Y189" s="52">
        <f t="shared" si="51"/>
        <v>0</v>
      </c>
    </row>
    <row r="190" spans="1:25" x14ac:dyDescent="0.25">
      <c r="A190" s="1218" t="s">
        <v>140</v>
      </c>
      <c r="B190" s="98">
        <v>45323</v>
      </c>
      <c r="C190" s="117" t="str">
        <f t="shared" si="38"/>
        <v>5L</v>
      </c>
      <c r="D190" s="96"/>
      <c r="E190" s="98"/>
      <c r="F190" s="98"/>
      <c r="G190" s="55"/>
      <c r="H190" s="55"/>
      <c r="I190" s="99">
        <f t="shared" si="39"/>
        <v>0</v>
      </c>
      <c r="J190" s="55"/>
      <c r="K190" s="55"/>
      <c r="L190" s="99">
        <f t="shared" si="40"/>
        <v>0</v>
      </c>
      <c r="M190" s="44" t="str">
        <f t="shared" si="42"/>
        <v/>
      </c>
      <c r="N190" s="100">
        <f t="shared" si="43"/>
        <v>0</v>
      </c>
      <c r="O190" s="101">
        <f t="shared" si="44"/>
        <v>0</v>
      </c>
      <c r="P190" s="52">
        <f t="shared" si="45"/>
        <v>0</v>
      </c>
      <c r="Q190" s="49">
        <v>116.88487613461319</v>
      </c>
      <c r="R190">
        <v>2225</v>
      </c>
      <c r="S190" s="50">
        <f t="shared" si="41"/>
        <v>71535.307499999995</v>
      </c>
      <c r="T190" s="50">
        <f t="shared" si="46"/>
        <v>0</v>
      </c>
      <c r="U190" s="58">
        <f t="shared" si="47"/>
        <v>0</v>
      </c>
      <c r="V190" s="58">
        <f t="shared" si="48"/>
        <v>0</v>
      </c>
      <c r="W190" s="58">
        <f t="shared" si="49"/>
        <v>0</v>
      </c>
      <c r="X190" s="58">
        <f t="shared" si="50"/>
        <v>0</v>
      </c>
      <c r="Y190" s="52">
        <f t="shared" si="51"/>
        <v>0</v>
      </c>
    </row>
    <row r="191" spans="1:25" x14ac:dyDescent="0.25">
      <c r="A191" s="1218" t="s">
        <v>141</v>
      </c>
      <c r="B191" s="98">
        <v>45323</v>
      </c>
      <c r="C191" s="117" t="str">
        <f t="shared" si="38"/>
        <v>5L</v>
      </c>
      <c r="D191" s="96"/>
      <c r="E191" s="98"/>
      <c r="F191" s="98"/>
      <c r="G191" s="55"/>
      <c r="H191" s="55"/>
      <c r="I191" s="99">
        <f t="shared" si="39"/>
        <v>0</v>
      </c>
      <c r="J191" s="55"/>
      <c r="K191" s="55"/>
      <c r="L191" s="99">
        <f t="shared" si="40"/>
        <v>0</v>
      </c>
      <c r="M191" s="44" t="str">
        <f t="shared" si="42"/>
        <v/>
      </c>
      <c r="N191" s="100">
        <f t="shared" si="43"/>
        <v>0</v>
      </c>
      <c r="O191" s="101">
        <f t="shared" si="44"/>
        <v>0</v>
      </c>
      <c r="P191" s="52">
        <f t="shared" si="45"/>
        <v>0</v>
      </c>
      <c r="Q191" s="49">
        <v>116.88487613461319</v>
      </c>
      <c r="R191">
        <v>2225</v>
      </c>
      <c r="S191" s="50">
        <f t="shared" si="41"/>
        <v>71535.307499999995</v>
      </c>
      <c r="T191" s="50">
        <f t="shared" si="46"/>
        <v>0</v>
      </c>
      <c r="U191" s="58">
        <f t="shared" si="47"/>
        <v>0</v>
      </c>
      <c r="V191" s="58">
        <f t="shared" si="48"/>
        <v>0</v>
      </c>
      <c r="W191" s="58">
        <f t="shared" si="49"/>
        <v>0</v>
      </c>
      <c r="X191" s="58">
        <f t="shared" si="50"/>
        <v>0</v>
      </c>
      <c r="Y191" s="52">
        <f t="shared" si="51"/>
        <v>0</v>
      </c>
    </row>
    <row r="192" spans="1:25" x14ac:dyDescent="0.25">
      <c r="A192" s="1218" t="s">
        <v>142</v>
      </c>
      <c r="B192" s="98">
        <v>45323</v>
      </c>
      <c r="C192" s="117" t="str">
        <f t="shared" si="38"/>
        <v>5L</v>
      </c>
      <c r="D192" s="96"/>
      <c r="E192" s="98"/>
      <c r="F192" s="98"/>
      <c r="G192" s="55"/>
      <c r="H192" s="55"/>
      <c r="I192" s="99">
        <f t="shared" si="39"/>
        <v>0</v>
      </c>
      <c r="J192" s="55"/>
      <c r="K192" s="55"/>
      <c r="L192" s="99">
        <f t="shared" si="40"/>
        <v>0</v>
      </c>
      <c r="M192" s="44" t="str">
        <f t="shared" si="42"/>
        <v/>
      </c>
      <c r="N192" s="100">
        <f t="shared" si="43"/>
        <v>0</v>
      </c>
      <c r="O192" s="101">
        <f t="shared" si="44"/>
        <v>0</v>
      </c>
      <c r="P192" s="52">
        <f t="shared" si="45"/>
        <v>0</v>
      </c>
      <c r="Q192" s="49">
        <v>116.88487613461319</v>
      </c>
      <c r="R192">
        <v>2225</v>
      </c>
      <c r="S192" s="50">
        <f t="shared" si="41"/>
        <v>71535.307499999995</v>
      </c>
      <c r="T192" s="50">
        <f t="shared" si="46"/>
        <v>0</v>
      </c>
      <c r="U192" s="58">
        <f t="shared" si="47"/>
        <v>0</v>
      </c>
      <c r="V192" s="58">
        <f t="shared" si="48"/>
        <v>0</v>
      </c>
      <c r="W192" s="58">
        <f t="shared" si="49"/>
        <v>0</v>
      </c>
      <c r="X192" s="58">
        <f t="shared" si="50"/>
        <v>0</v>
      </c>
      <c r="Y192" s="52">
        <f t="shared" si="51"/>
        <v>0</v>
      </c>
    </row>
    <row r="193" spans="1:25" x14ac:dyDescent="0.25">
      <c r="A193" s="1218" t="s">
        <v>143</v>
      </c>
      <c r="B193" s="98">
        <v>45323</v>
      </c>
      <c r="C193" s="117" t="str">
        <f t="shared" si="38"/>
        <v>5L</v>
      </c>
      <c r="D193" s="96"/>
      <c r="E193" s="98"/>
      <c r="F193" s="98"/>
      <c r="G193" s="55"/>
      <c r="H193" s="55"/>
      <c r="I193" s="99">
        <f t="shared" si="39"/>
        <v>0</v>
      </c>
      <c r="J193" s="55"/>
      <c r="K193" s="55"/>
      <c r="L193" s="99">
        <f t="shared" si="40"/>
        <v>0</v>
      </c>
      <c r="M193" s="44" t="str">
        <f t="shared" si="42"/>
        <v/>
      </c>
      <c r="N193" s="100">
        <f t="shared" si="43"/>
        <v>0</v>
      </c>
      <c r="O193" s="101">
        <f t="shared" si="44"/>
        <v>0</v>
      </c>
      <c r="P193" s="52">
        <f t="shared" si="45"/>
        <v>0</v>
      </c>
      <c r="Q193" s="49">
        <v>116.88487613461319</v>
      </c>
      <c r="R193">
        <v>2225</v>
      </c>
      <c r="S193" s="50">
        <f t="shared" si="41"/>
        <v>71535.307499999995</v>
      </c>
      <c r="T193" s="50">
        <f t="shared" si="46"/>
        <v>0</v>
      </c>
      <c r="U193" s="58">
        <f t="shared" si="47"/>
        <v>0</v>
      </c>
      <c r="V193" s="58">
        <f t="shared" si="48"/>
        <v>0</v>
      </c>
      <c r="W193" s="58">
        <f t="shared" si="49"/>
        <v>0</v>
      </c>
      <c r="X193" s="58">
        <f t="shared" si="50"/>
        <v>0</v>
      </c>
      <c r="Y193" s="52">
        <f t="shared" si="51"/>
        <v>0</v>
      </c>
    </row>
    <row r="194" spans="1:25" x14ac:dyDescent="0.25">
      <c r="A194" s="1218" t="s">
        <v>144</v>
      </c>
      <c r="B194" s="98">
        <v>45323</v>
      </c>
      <c r="C194" s="117" t="str">
        <f t="shared" si="38"/>
        <v>5L</v>
      </c>
      <c r="D194" s="96"/>
      <c r="E194" s="98"/>
      <c r="F194" s="98"/>
      <c r="G194" s="55"/>
      <c r="H194" s="55"/>
      <c r="I194" s="99">
        <f t="shared" si="39"/>
        <v>0</v>
      </c>
      <c r="J194" s="55"/>
      <c r="K194" s="55"/>
      <c r="L194" s="99">
        <f t="shared" si="40"/>
        <v>0</v>
      </c>
      <c r="M194" s="44" t="str">
        <f t="shared" si="42"/>
        <v/>
      </c>
      <c r="N194" s="100">
        <f t="shared" si="43"/>
        <v>0</v>
      </c>
      <c r="O194" s="101">
        <f t="shared" si="44"/>
        <v>0</v>
      </c>
      <c r="P194" s="52">
        <f t="shared" si="45"/>
        <v>0</v>
      </c>
      <c r="Q194" s="49">
        <v>116.88487613461319</v>
      </c>
      <c r="R194">
        <v>2225</v>
      </c>
      <c r="S194" s="50">
        <f t="shared" si="41"/>
        <v>71535.307499999995</v>
      </c>
      <c r="T194" s="50">
        <f t="shared" si="46"/>
        <v>0</v>
      </c>
      <c r="U194" s="58">
        <f t="shared" si="47"/>
        <v>0</v>
      </c>
      <c r="V194" s="58">
        <f t="shared" si="48"/>
        <v>0</v>
      </c>
      <c r="W194" s="58">
        <f t="shared" si="49"/>
        <v>0</v>
      </c>
      <c r="X194" s="58">
        <f t="shared" si="50"/>
        <v>0</v>
      </c>
      <c r="Y194" s="52">
        <f t="shared" si="51"/>
        <v>0</v>
      </c>
    </row>
    <row r="195" spans="1:25" x14ac:dyDescent="0.25">
      <c r="A195" s="1218" t="s">
        <v>145</v>
      </c>
      <c r="B195" s="98">
        <v>45323</v>
      </c>
      <c r="C195" s="117" t="str">
        <f t="shared" si="38"/>
        <v>5L</v>
      </c>
      <c r="D195" s="96"/>
      <c r="E195" s="98"/>
      <c r="F195" s="98"/>
      <c r="G195" s="55"/>
      <c r="H195" s="55"/>
      <c r="I195" s="99">
        <f t="shared" si="39"/>
        <v>0</v>
      </c>
      <c r="J195" s="55"/>
      <c r="K195" s="55"/>
      <c r="L195" s="99">
        <f t="shared" si="40"/>
        <v>0</v>
      </c>
      <c r="M195" s="44" t="str">
        <f t="shared" si="42"/>
        <v/>
      </c>
      <c r="N195" s="100">
        <f t="shared" si="43"/>
        <v>0</v>
      </c>
      <c r="O195" s="101">
        <f t="shared" si="44"/>
        <v>0</v>
      </c>
      <c r="P195" s="52">
        <f t="shared" si="45"/>
        <v>0</v>
      </c>
      <c r="Q195" s="49">
        <v>116.88487613461319</v>
      </c>
      <c r="R195">
        <v>2225</v>
      </c>
      <c r="S195" s="50">
        <f t="shared" si="41"/>
        <v>71535.307499999995</v>
      </c>
      <c r="T195" s="50">
        <f t="shared" si="46"/>
        <v>0</v>
      </c>
      <c r="U195" s="58">
        <f t="shared" si="47"/>
        <v>0</v>
      </c>
      <c r="V195" s="58">
        <f t="shared" si="48"/>
        <v>0</v>
      </c>
      <c r="W195" s="58">
        <f t="shared" si="49"/>
        <v>0</v>
      </c>
      <c r="X195" s="58">
        <f t="shared" si="50"/>
        <v>0</v>
      </c>
      <c r="Y195" s="52">
        <f t="shared" si="51"/>
        <v>0</v>
      </c>
    </row>
    <row r="196" spans="1:25" x14ac:dyDescent="0.25">
      <c r="A196" s="1218" t="s">
        <v>146</v>
      </c>
      <c r="B196" s="98">
        <v>45323</v>
      </c>
      <c r="C196" s="117" t="str">
        <f t="shared" si="38"/>
        <v>5L</v>
      </c>
      <c r="D196" s="96"/>
      <c r="E196" s="98"/>
      <c r="F196" s="98"/>
      <c r="G196" s="55"/>
      <c r="H196" s="55"/>
      <c r="I196" s="99">
        <f t="shared" si="39"/>
        <v>0</v>
      </c>
      <c r="J196" s="55"/>
      <c r="K196" s="55"/>
      <c r="L196" s="99">
        <f t="shared" si="40"/>
        <v>0</v>
      </c>
      <c r="M196" s="44" t="str">
        <f t="shared" si="42"/>
        <v/>
      </c>
      <c r="N196" s="100">
        <f t="shared" si="43"/>
        <v>0</v>
      </c>
      <c r="O196" s="101">
        <f t="shared" si="44"/>
        <v>0</v>
      </c>
      <c r="P196" s="52">
        <f t="shared" si="45"/>
        <v>0</v>
      </c>
      <c r="Q196" s="49">
        <v>116.88487613461319</v>
      </c>
      <c r="R196">
        <v>2225</v>
      </c>
      <c r="S196" s="50">
        <f t="shared" si="41"/>
        <v>71535.307499999995</v>
      </c>
      <c r="T196" s="50">
        <f t="shared" si="46"/>
        <v>0</v>
      </c>
      <c r="U196" s="58">
        <f t="shared" si="47"/>
        <v>0</v>
      </c>
      <c r="V196" s="58">
        <f t="shared" si="48"/>
        <v>0</v>
      </c>
      <c r="W196" s="58">
        <f t="shared" si="49"/>
        <v>0</v>
      </c>
      <c r="X196" s="58">
        <f t="shared" si="50"/>
        <v>0</v>
      </c>
      <c r="Y196" s="52">
        <f t="shared" si="51"/>
        <v>0</v>
      </c>
    </row>
    <row r="197" spans="1:25" x14ac:dyDescent="0.25">
      <c r="A197" s="1218" t="s">
        <v>147</v>
      </c>
      <c r="B197" s="98">
        <v>45323</v>
      </c>
      <c r="C197" s="117" t="str">
        <f t="shared" ref="C197:C260" si="52">LEFT(A197,2)</f>
        <v>5L</v>
      </c>
      <c r="D197" s="96"/>
      <c r="E197" s="98"/>
      <c r="F197" s="98"/>
      <c r="G197" s="55"/>
      <c r="H197" s="55"/>
      <c r="I197" s="99">
        <f t="shared" si="39"/>
        <v>0</v>
      </c>
      <c r="J197" s="55"/>
      <c r="K197" s="55"/>
      <c r="L197" s="99">
        <f t="shared" si="40"/>
        <v>0</v>
      </c>
      <c r="M197" s="44" t="str">
        <f t="shared" si="42"/>
        <v/>
      </c>
      <c r="N197" s="100">
        <f t="shared" si="43"/>
        <v>0</v>
      </c>
      <c r="O197" s="101">
        <f t="shared" si="44"/>
        <v>0</v>
      </c>
      <c r="P197" s="52">
        <f t="shared" si="45"/>
        <v>0</v>
      </c>
      <c r="Q197" s="49">
        <v>116.88487613461319</v>
      </c>
      <c r="R197">
        <v>2225</v>
      </c>
      <c r="S197" s="50">
        <f t="shared" si="41"/>
        <v>71535.307499999995</v>
      </c>
      <c r="T197" s="50">
        <f t="shared" si="46"/>
        <v>0</v>
      </c>
      <c r="U197" s="58">
        <f t="shared" si="47"/>
        <v>0</v>
      </c>
      <c r="V197" s="58">
        <f t="shared" si="48"/>
        <v>0</v>
      </c>
      <c r="W197" s="58">
        <f t="shared" si="49"/>
        <v>0</v>
      </c>
      <c r="X197" s="58">
        <f t="shared" si="50"/>
        <v>0</v>
      </c>
      <c r="Y197" s="52">
        <f t="shared" si="51"/>
        <v>0</v>
      </c>
    </row>
    <row r="198" spans="1:25" x14ac:dyDescent="0.25">
      <c r="A198" s="1218" t="s">
        <v>148</v>
      </c>
      <c r="B198" s="98">
        <v>45323</v>
      </c>
      <c r="C198" s="117" t="str">
        <f t="shared" si="52"/>
        <v>5L</v>
      </c>
      <c r="D198" s="96"/>
      <c r="E198" s="98"/>
      <c r="F198" s="98"/>
      <c r="G198" s="55"/>
      <c r="H198" s="55"/>
      <c r="I198" s="99">
        <f t="shared" si="39"/>
        <v>0</v>
      </c>
      <c r="J198" s="55"/>
      <c r="K198" s="55"/>
      <c r="L198" s="99">
        <f t="shared" si="40"/>
        <v>0</v>
      </c>
      <c r="M198" s="44" t="str">
        <f t="shared" si="42"/>
        <v/>
      </c>
      <c r="N198" s="100">
        <f t="shared" si="43"/>
        <v>0</v>
      </c>
      <c r="O198" s="101">
        <f t="shared" si="44"/>
        <v>0</v>
      </c>
      <c r="P198" s="52">
        <f t="shared" si="45"/>
        <v>0</v>
      </c>
      <c r="Q198" s="49">
        <v>116.88487613461319</v>
      </c>
      <c r="R198">
        <v>2225</v>
      </c>
      <c r="S198" s="50">
        <f t="shared" si="41"/>
        <v>71535.307499999995</v>
      </c>
      <c r="T198" s="50">
        <f t="shared" si="46"/>
        <v>0</v>
      </c>
      <c r="U198" s="58">
        <f t="shared" si="47"/>
        <v>0</v>
      </c>
      <c r="V198" s="58">
        <f t="shared" si="48"/>
        <v>0</v>
      </c>
      <c r="W198" s="58">
        <f t="shared" si="49"/>
        <v>0</v>
      </c>
      <c r="X198" s="58">
        <f t="shared" si="50"/>
        <v>0</v>
      </c>
      <c r="Y198" s="52">
        <f t="shared" si="51"/>
        <v>0</v>
      </c>
    </row>
    <row r="199" spans="1:25" x14ac:dyDescent="0.25">
      <c r="A199" s="1218" t="s">
        <v>149</v>
      </c>
      <c r="B199" s="98">
        <v>45323</v>
      </c>
      <c r="C199" s="117" t="str">
        <f t="shared" si="52"/>
        <v>5L</v>
      </c>
      <c r="D199" s="96"/>
      <c r="E199" s="98"/>
      <c r="F199" s="98"/>
      <c r="G199" s="55"/>
      <c r="H199" s="55"/>
      <c r="I199" s="99">
        <f t="shared" si="39"/>
        <v>0</v>
      </c>
      <c r="J199" s="55"/>
      <c r="K199" s="55"/>
      <c r="L199" s="99">
        <f t="shared" si="40"/>
        <v>0</v>
      </c>
      <c r="M199" s="44" t="str">
        <f t="shared" si="42"/>
        <v/>
      </c>
      <c r="N199" s="100">
        <f t="shared" si="43"/>
        <v>0</v>
      </c>
      <c r="O199" s="101">
        <f t="shared" si="44"/>
        <v>0</v>
      </c>
      <c r="P199" s="52">
        <f t="shared" si="45"/>
        <v>0</v>
      </c>
      <c r="Q199" s="49">
        <v>116.88487613461319</v>
      </c>
      <c r="R199">
        <v>2225</v>
      </c>
      <c r="S199" s="50">
        <f t="shared" si="41"/>
        <v>71535.307499999995</v>
      </c>
      <c r="T199" s="50">
        <f t="shared" si="46"/>
        <v>0</v>
      </c>
      <c r="U199" s="58">
        <f t="shared" si="47"/>
        <v>0</v>
      </c>
      <c r="V199" s="58">
        <f t="shared" si="48"/>
        <v>0</v>
      </c>
      <c r="W199" s="58">
        <f t="shared" si="49"/>
        <v>0</v>
      </c>
      <c r="X199" s="58">
        <f t="shared" si="50"/>
        <v>0</v>
      </c>
      <c r="Y199" s="52">
        <f t="shared" si="51"/>
        <v>0</v>
      </c>
    </row>
    <row r="200" spans="1:25" x14ac:dyDescent="0.25">
      <c r="A200" s="1218" t="s">
        <v>150</v>
      </c>
      <c r="B200" s="98">
        <v>45323</v>
      </c>
      <c r="C200" s="117" t="str">
        <f t="shared" si="52"/>
        <v>6L</v>
      </c>
      <c r="D200" s="96"/>
      <c r="E200" s="98"/>
      <c r="F200" s="98"/>
      <c r="I200" s="99">
        <f t="shared" si="39"/>
        <v>0</v>
      </c>
      <c r="L200" s="99">
        <f t="shared" si="40"/>
        <v>0</v>
      </c>
      <c r="M200" s="44" t="str">
        <f t="shared" si="42"/>
        <v/>
      </c>
      <c r="N200" s="100">
        <f t="shared" si="43"/>
        <v>0</v>
      </c>
      <c r="O200" s="101">
        <f t="shared" si="44"/>
        <v>0</v>
      </c>
      <c r="P200" s="52">
        <f t="shared" si="45"/>
        <v>0</v>
      </c>
      <c r="Q200" s="49">
        <v>116.88487613461319</v>
      </c>
      <c r="R200">
        <v>2225</v>
      </c>
      <c r="S200" s="50">
        <f t="shared" si="41"/>
        <v>71535.307499999995</v>
      </c>
      <c r="T200" s="50">
        <f t="shared" si="46"/>
        <v>0</v>
      </c>
      <c r="U200" s="58">
        <f t="shared" si="47"/>
        <v>0</v>
      </c>
      <c r="V200" s="58">
        <f t="shared" si="48"/>
        <v>0</v>
      </c>
      <c r="W200" s="58">
        <f t="shared" si="49"/>
        <v>0</v>
      </c>
      <c r="X200" s="58">
        <f t="shared" si="50"/>
        <v>0</v>
      </c>
      <c r="Y200" s="52">
        <f t="shared" si="51"/>
        <v>0</v>
      </c>
    </row>
    <row r="201" spans="1:25" x14ac:dyDescent="0.25">
      <c r="A201" s="1218" t="s">
        <v>151</v>
      </c>
      <c r="B201" s="98">
        <v>45323</v>
      </c>
      <c r="C201" s="117" t="str">
        <f t="shared" si="52"/>
        <v>6L</v>
      </c>
      <c r="D201" s="96"/>
      <c r="E201" s="98"/>
      <c r="F201" s="98"/>
      <c r="I201" s="99">
        <f t="shared" si="39"/>
        <v>0</v>
      </c>
      <c r="L201" s="99">
        <f t="shared" si="40"/>
        <v>0</v>
      </c>
      <c r="M201" s="44" t="str">
        <f t="shared" si="42"/>
        <v/>
      </c>
      <c r="N201" s="100">
        <f t="shared" si="43"/>
        <v>0</v>
      </c>
      <c r="O201" s="101">
        <f t="shared" si="44"/>
        <v>0</v>
      </c>
      <c r="P201" s="52">
        <f t="shared" si="45"/>
        <v>0</v>
      </c>
      <c r="Q201" s="49">
        <v>116.88487613461319</v>
      </c>
      <c r="R201">
        <v>2225</v>
      </c>
      <c r="S201" s="50">
        <f t="shared" si="41"/>
        <v>71535.307499999995</v>
      </c>
      <c r="T201" s="50">
        <f t="shared" si="46"/>
        <v>0</v>
      </c>
      <c r="U201" s="58">
        <f t="shared" si="47"/>
        <v>0</v>
      </c>
      <c r="V201" s="58">
        <f t="shared" si="48"/>
        <v>0</v>
      </c>
      <c r="W201" s="58">
        <f t="shared" si="49"/>
        <v>0</v>
      </c>
      <c r="X201" s="58">
        <f t="shared" si="50"/>
        <v>0</v>
      </c>
      <c r="Y201" s="52">
        <f t="shared" si="51"/>
        <v>0</v>
      </c>
    </row>
    <row r="202" spans="1:25" x14ac:dyDescent="0.25">
      <c r="A202" s="1218" t="s">
        <v>152</v>
      </c>
      <c r="B202" s="98">
        <v>45323</v>
      </c>
      <c r="C202" s="117" t="str">
        <f t="shared" si="52"/>
        <v>6L</v>
      </c>
      <c r="D202" s="96"/>
      <c r="E202" s="98"/>
      <c r="F202" s="98"/>
      <c r="I202" s="99"/>
      <c r="L202" s="99"/>
      <c r="M202" s="44"/>
      <c r="N202" s="100"/>
      <c r="O202" s="101"/>
      <c r="P202" s="52"/>
      <c r="Q202" s="49"/>
      <c r="S202" s="50"/>
      <c r="T202" s="50"/>
      <c r="U202" s="58"/>
      <c r="V202" s="58"/>
      <c r="W202" s="58"/>
      <c r="X202" s="58"/>
      <c r="Y202" s="52"/>
    </row>
    <row r="203" spans="1:25" x14ac:dyDescent="0.25">
      <c r="A203" s="1218" t="s">
        <v>153</v>
      </c>
      <c r="B203" s="98">
        <v>45323</v>
      </c>
      <c r="C203" s="117" t="str">
        <f t="shared" si="52"/>
        <v>6L</v>
      </c>
      <c r="D203" s="96"/>
      <c r="E203" s="98"/>
      <c r="F203" s="98"/>
      <c r="I203" s="99"/>
      <c r="L203" s="99"/>
      <c r="M203" s="44"/>
      <c r="N203" s="100"/>
      <c r="O203" s="101"/>
      <c r="P203" s="52"/>
      <c r="Q203" s="49"/>
      <c r="S203" s="50"/>
      <c r="T203" s="50"/>
      <c r="U203" s="58"/>
      <c r="V203" s="58"/>
      <c r="W203" s="58"/>
      <c r="X203" s="58"/>
      <c r="Y203" s="52"/>
    </row>
    <row r="204" spans="1:25" x14ac:dyDescent="0.25">
      <c r="A204" s="1218" t="s">
        <v>154</v>
      </c>
      <c r="B204" s="98">
        <v>45323</v>
      </c>
      <c r="C204" s="117" t="str">
        <f t="shared" si="52"/>
        <v>6L</v>
      </c>
      <c r="D204" s="96"/>
      <c r="E204" s="98"/>
      <c r="F204" s="98"/>
      <c r="I204" s="99"/>
      <c r="L204" s="99"/>
      <c r="M204" s="44"/>
      <c r="N204" s="100"/>
      <c r="O204" s="101"/>
      <c r="P204" s="52"/>
      <c r="Q204" s="49"/>
      <c r="S204" s="50"/>
      <c r="T204" s="50"/>
      <c r="U204" s="58"/>
      <c r="V204" s="58"/>
      <c r="W204" s="58"/>
      <c r="X204" s="58"/>
      <c r="Y204" s="52"/>
    </row>
    <row r="205" spans="1:25" x14ac:dyDescent="0.25">
      <c r="A205" s="1218" t="s">
        <v>155</v>
      </c>
      <c r="B205" s="98">
        <v>45323</v>
      </c>
      <c r="C205" s="117" t="str">
        <f t="shared" si="52"/>
        <v>6L</v>
      </c>
      <c r="D205" s="96"/>
      <c r="E205" s="98"/>
      <c r="F205" s="98"/>
      <c r="I205" s="99">
        <f t="shared" ref="I205:I267" si="53">IFERROR(G205*H205/1000,"")</f>
        <v>0</v>
      </c>
      <c r="L205" s="99">
        <f t="shared" ref="L205:L267" si="54">IFERROR(J205*K205/1000,"")</f>
        <v>0</v>
      </c>
      <c r="M205" s="44" t="str">
        <f t="shared" si="42"/>
        <v/>
      </c>
      <c r="N205" s="100">
        <f t="shared" si="43"/>
        <v>0</v>
      </c>
      <c r="O205" s="101">
        <f t="shared" si="44"/>
        <v>0</v>
      </c>
      <c r="P205" s="52">
        <f t="shared" si="45"/>
        <v>0</v>
      </c>
      <c r="Q205" s="49">
        <v>116.88487613461319</v>
      </c>
      <c r="R205">
        <v>2225</v>
      </c>
      <c r="S205" s="50">
        <f t="shared" ref="S205:S267" si="55">R205*32.1507</f>
        <v>71535.307499999995</v>
      </c>
      <c r="T205" s="50">
        <f t="shared" si="46"/>
        <v>0</v>
      </c>
      <c r="U205" s="58">
        <f t="shared" si="47"/>
        <v>0</v>
      </c>
      <c r="V205" s="58">
        <f t="shared" si="48"/>
        <v>0</v>
      </c>
      <c r="W205" s="58">
        <f t="shared" si="49"/>
        <v>0</v>
      </c>
      <c r="X205" s="58">
        <f t="shared" si="50"/>
        <v>0</v>
      </c>
      <c r="Y205" s="52">
        <f t="shared" si="51"/>
        <v>0</v>
      </c>
    </row>
    <row r="206" spans="1:25" x14ac:dyDescent="0.25">
      <c r="A206" s="1218" t="s">
        <v>156</v>
      </c>
      <c r="B206" s="98">
        <v>45323</v>
      </c>
      <c r="C206" s="117" t="str">
        <f t="shared" si="52"/>
        <v>6L</v>
      </c>
      <c r="D206" s="96"/>
      <c r="E206" s="98"/>
      <c r="F206" s="98"/>
      <c r="I206" s="99"/>
      <c r="L206" s="99"/>
      <c r="M206" s="44"/>
      <c r="N206" s="100"/>
      <c r="O206" s="101"/>
      <c r="P206" s="52"/>
      <c r="Q206" s="49"/>
      <c r="S206" s="50"/>
      <c r="T206" s="50"/>
      <c r="U206" s="58"/>
      <c r="V206" s="58"/>
      <c r="W206" s="58"/>
      <c r="X206" s="58"/>
      <c r="Y206" s="52"/>
    </row>
    <row r="207" spans="1:25" x14ac:dyDescent="0.25">
      <c r="A207" s="1218" t="s">
        <v>157</v>
      </c>
      <c r="B207" s="98">
        <v>45323</v>
      </c>
      <c r="C207" s="117" t="str">
        <f t="shared" si="52"/>
        <v>6L</v>
      </c>
      <c r="D207" s="96"/>
      <c r="E207" s="98"/>
      <c r="F207" s="98"/>
      <c r="I207" s="99">
        <f t="shared" si="53"/>
        <v>0</v>
      </c>
      <c r="L207" s="99">
        <f t="shared" si="54"/>
        <v>0</v>
      </c>
      <c r="M207" s="44" t="str">
        <f t="shared" si="42"/>
        <v/>
      </c>
      <c r="N207" s="100">
        <f t="shared" si="43"/>
        <v>0</v>
      </c>
      <c r="O207" s="101">
        <f t="shared" si="44"/>
        <v>0</v>
      </c>
      <c r="P207" s="52">
        <f t="shared" si="45"/>
        <v>0</v>
      </c>
      <c r="Q207" s="49">
        <v>116.88487613461319</v>
      </c>
      <c r="R207">
        <v>2225</v>
      </c>
      <c r="S207" s="50">
        <f t="shared" si="55"/>
        <v>71535.307499999995</v>
      </c>
      <c r="T207" s="50">
        <f t="shared" si="46"/>
        <v>0</v>
      </c>
      <c r="U207" s="58">
        <f t="shared" si="47"/>
        <v>0</v>
      </c>
      <c r="V207" s="58">
        <f t="shared" si="48"/>
        <v>0</v>
      </c>
      <c r="W207" s="58">
        <f t="shared" si="49"/>
        <v>0</v>
      </c>
      <c r="X207" s="58">
        <f t="shared" si="50"/>
        <v>0</v>
      </c>
      <c r="Y207" s="52">
        <f t="shared" si="51"/>
        <v>0</v>
      </c>
    </row>
    <row r="208" spans="1:25" x14ac:dyDescent="0.25">
      <c r="A208" s="1218" t="s">
        <v>158</v>
      </c>
      <c r="B208" s="98">
        <v>45323</v>
      </c>
      <c r="C208" s="117" t="str">
        <f t="shared" si="52"/>
        <v>6L</v>
      </c>
      <c r="D208" s="96"/>
      <c r="E208" s="98"/>
      <c r="F208" s="98"/>
      <c r="I208" s="99">
        <f t="shared" si="53"/>
        <v>0</v>
      </c>
      <c r="L208" s="99">
        <f t="shared" si="54"/>
        <v>0</v>
      </c>
      <c r="M208" s="44" t="str">
        <f t="shared" ref="M208:M269" si="56">IFERROR((L208-I208)/I208,"")</f>
        <v/>
      </c>
      <c r="N208" s="100">
        <f t="shared" ref="N208:N269" si="57">J208-G208</f>
        <v>0</v>
      </c>
      <c r="O208" s="101">
        <f t="shared" ref="O208:O269" si="58">L208-I208</f>
        <v>0</v>
      </c>
      <c r="P208" s="52">
        <f t="shared" ref="P208:P269" si="59">U208-W208</f>
        <v>0</v>
      </c>
      <c r="Q208" s="49">
        <v>116.88487613461319</v>
      </c>
      <c r="R208">
        <v>2225</v>
      </c>
      <c r="S208" s="50">
        <f t="shared" si="55"/>
        <v>71535.307499999995</v>
      </c>
      <c r="T208" s="50">
        <f t="shared" ref="T208:T269" si="60">IFERROR(S208*I208,"")</f>
        <v>0</v>
      </c>
      <c r="U208" s="58">
        <f t="shared" ref="U208:U269" si="61">IFERROR(S208*L208,"")</f>
        <v>0</v>
      </c>
      <c r="V208" s="58">
        <f t="shared" ref="V208:V269" si="62">IFERROR(Q208*G208,"")</f>
        <v>0</v>
      </c>
      <c r="W208" s="58">
        <f t="shared" ref="W208:W269" si="63">IFERROR(Q208*J208,"")</f>
        <v>0</v>
      </c>
      <c r="X208" s="58">
        <f t="shared" ref="X208:X269" si="64">T208-V208</f>
        <v>0</v>
      </c>
      <c r="Y208" s="52">
        <f t="shared" ref="Y208:Y269" si="65">U208-W208</f>
        <v>0</v>
      </c>
    </row>
    <row r="209" spans="1:25" x14ac:dyDescent="0.25">
      <c r="A209" s="1218" t="s">
        <v>159</v>
      </c>
      <c r="B209" s="98">
        <v>45323</v>
      </c>
      <c r="C209" s="117" t="str">
        <f t="shared" si="52"/>
        <v>6L</v>
      </c>
      <c r="D209" s="96"/>
      <c r="E209" s="98"/>
      <c r="F209" s="98"/>
      <c r="I209" s="99">
        <f t="shared" si="53"/>
        <v>0</v>
      </c>
      <c r="L209" s="99">
        <f t="shared" si="54"/>
        <v>0</v>
      </c>
      <c r="M209" s="44" t="str">
        <f t="shared" si="56"/>
        <v/>
      </c>
      <c r="N209" s="100">
        <f t="shared" si="57"/>
        <v>0</v>
      </c>
      <c r="O209" s="101">
        <f t="shared" si="58"/>
        <v>0</v>
      </c>
      <c r="P209" s="52">
        <f t="shared" si="59"/>
        <v>0</v>
      </c>
      <c r="Q209" s="49">
        <v>116.88487613461319</v>
      </c>
      <c r="R209">
        <v>2225</v>
      </c>
      <c r="S209" s="50">
        <f t="shared" si="55"/>
        <v>71535.307499999995</v>
      </c>
      <c r="T209" s="50">
        <f t="shared" si="60"/>
        <v>0</v>
      </c>
      <c r="U209" s="58">
        <f t="shared" si="61"/>
        <v>0</v>
      </c>
      <c r="V209" s="58">
        <f t="shared" si="62"/>
        <v>0</v>
      </c>
      <c r="W209" s="58">
        <f t="shared" si="63"/>
        <v>0</v>
      </c>
      <c r="X209" s="58">
        <f t="shared" si="64"/>
        <v>0</v>
      </c>
      <c r="Y209" s="52">
        <f t="shared" si="65"/>
        <v>0</v>
      </c>
    </row>
    <row r="210" spans="1:25" x14ac:dyDescent="0.25">
      <c r="A210" s="1218" t="s">
        <v>160</v>
      </c>
      <c r="B210" s="98">
        <v>45323</v>
      </c>
      <c r="C210" s="117" t="str">
        <f t="shared" si="52"/>
        <v>6L</v>
      </c>
      <c r="D210" s="96"/>
      <c r="E210" s="98"/>
      <c r="F210" s="98"/>
      <c r="I210" s="99">
        <f t="shared" si="53"/>
        <v>0</v>
      </c>
      <c r="L210" s="99">
        <f t="shared" si="54"/>
        <v>0</v>
      </c>
      <c r="M210" s="44" t="str">
        <f t="shared" si="56"/>
        <v/>
      </c>
      <c r="N210" s="100">
        <f t="shared" si="57"/>
        <v>0</v>
      </c>
      <c r="O210" s="101">
        <f t="shared" si="58"/>
        <v>0</v>
      </c>
      <c r="P210" s="52">
        <f t="shared" si="59"/>
        <v>0</v>
      </c>
      <c r="Q210" s="49">
        <v>116.88487613461319</v>
      </c>
      <c r="R210">
        <v>2225</v>
      </c>
      <c r="S210" s="50">
        <f t="shared" si="55"/>
        <v>71535.307499999995</v>
      </c>
      <c r="T210" s="50">
        <f t="shared" si="60"/>
        <v>0</v>
      </c>
      <c r="U210" s="58">
        <f t="shared" si="61"/>
        <v>0</v>
      </c>
      <c r="V210" s="58">
        <f t="shared" si="62"/>
        <v>0</v>
      </c>
      <c r="W210" s="58">
        <f t="shared" si="63"/>
        <v>0</v>
      </c>
      <c r="X210" s="58">
        <f t="shared" si="64"/>
        <v>0</v>
      </c>
      <c r="Y210" s="52">
        <f t="shared" si="65"/>
        <v>0</v>
      </c>
    </row>
    <row r="211" spans="1:25" x14ac:dyDescent="0.25">
      <c r="A211" s="1218" t="s">
        <v>161</v>
      </c>
      <c r="B211" s="98">
        <v>45323</v>
      </c>
      <c r="C211" s="117" t="str">
        <f t="shared" si="52"/>
        <v>6L</v>
      </c>
      <c r="D211" s="96"/>
      <c r="E211" s="98"/>
      <c r="F211" s="98"/>
      <c r="I211" s="99">
        <f t="shared" si="53"/>
        <v>0</v>
      </c>
      <c r="L211" s="99">
        <f t="shared" si="54"/>
        <v>0</v>
      </c>
      <c r="M211" s="44" t="str">
        <f t="shared" si="56"/>
        <v/>
      </c>
      <c r="N211" s="100">
        <f t="shared" si="57"/>
        <v>0</v>
      </c>
      <c r="O211" s="101">
        <f t="shared" si="58"/>
        <v>0</v>
      </c>
      <c r="P211" s="52">
        <f t="shared" si="59"/>
        <v>0</v>
      </c>
      <c r="Q211" s="49">
        <v>116.88487613461319</v>
      </c>
      <c r="R211">
        <v>2225</v>
      </c>
      <c r="S211" s="50">
        <f t="shared" si="55"/>
        <v>71535.307499999995</v>
      </c>
      <c r="T211" s="50">
        <f t="shared" si="60"/>
        <v>0</v>
      </c>
      <c r="U211" s="58">
        <f t="shared" si="61"/>
        <v>0</v>
      </c>
      <c r="V211" s="58">
        <f t="shared" si="62"/>
        <v>0</v>
      </c>
      <c r="W211" s="58">
        <f t="shared" si="63"/>
        <v>0</v>
      </c>
      <c r="X211" s="58">
        <f t="shared" si="64"/>
        <v>0</v>
      </c>
      <c r="Y211" s="52">
        <f t="shared" si="65"/>
        <v>0</v>
      </c>
    </row>
    <row r="212" spans="1:25" x14ac:dyDescent="0.25">
      <c r="A212" s="1218" t="s">
        <v>162</v>
      </c>
      <c r="B212" s="98">
        <v>45323</v>
      </c>
      <c r="C212" s="117" t="str">
        <f t="shared" si="52"/>
        <v>6L</v>
      </c>
      <c r="D212" s="96"/>
      <c r="E212" s="98"/>
      <c r="F212" s="98"/>
      <c r="I212" s="99">
        <f t="shared" si="53"/>
        <v>0</v>
      </c>
      <c r="L212" s="99">
        <f t="shared" si="54"/>
        <v>0</v>
      </c>
      <c r="M212" s="44" t="str">
        <f t="shared" si="56"/>
        <v/>
      </c>
      <c r="N212" s="100">
        <f t="shared" si="57"/>
        <v>0</v>
      </c>
      <c r="O212" s="101">
        <f t="shared" si="58"/>
        <v>0</v>
      </c>
      <c r="P212" s="52">
        <f t="shared" si="59"/>
        <v>0</v>
      </c>
      <c r="Q212" s="49">
        <v>116.88487613461319</v>
      </c>
      <c r="R212">
        <v>2225</v>
      </c>
      <c r="S212" s="50">
        <f t="shared" si="55"/>
        <v>71535.307499999995</v>
      </c>
      <c r="T212" s="50">
        <f t="shared" si="60"/>
        <v>0</v>
      </c>
      <c r="U212" s="58">
        <f t="shared" si="61"/>
        <v>0</v>
      </c>
      <c r="V212" s="58">
        <f t="shared" si="62"/>
        <v>0</v>
      </c>
      <c r="W212" s="58">
        <f t="shared" si="63"/>
        <v>0</v>
      </c>
      <c r="X212" s="58">
        <f t="shared" si="64"/>
        <v>0</v>
      </c>
      <c r="Y212" s="52">
        <f t="shared" si="65"/>
        <v>0</v>
      </c>
    </row>
    <row r="213" spans="1:25" x14ac:dyDescent="0.25">
      <c r="A213" s="1218" t="s">
        <v>163</v>
      </c>
      <c r="B213" s="98">
        <v>45323</v>
      </c>
      <c r="C213" s="117" t="str">
        <f t="shared" si="52"/>
        <v>6L</v>
      </c>
      <c r="D213" s="96"/>
      <c r="E213" s="98"/>
      <c r="F213" s="98"/>
      <c r="I213" s="99">
        <f t="shared" si="53"/>
        <v>0</v>
      </c>
      <c r="L213" s="99">
        <f t="shared" si="54"/>
        <v>0</v>
      </c>
      <c r="M213" s="44" t="str">
        <f t="shared" si="56"/>
        <v/>
      </c>
      <c r="N213" s="100">
        <f t="shared" si="57"/>
        <v>0</v>
      </c>
      <c r="O213" s="101">
        <f t="shared" si="58"/>
        <v>0</v>
      </c>
      <c r="P213" s="52">
        <f t="shared" si="59"/>
        <v>0</v>
      </c>
      <c r="Q213" s="49">
        <v>116.88487613461319</v>
      </c>
      <c r="R213">
        <v>2225</v>
      </c>
      <c r="S213" s="50">
        <f t="shared" si="55"/>
        <v>71535.307499999995</v>
      </c>
      <c r="T213" s="50">
        <f t="shared" si="60"/>
        <v>0</v>
      </c>
      <c r="U213" s="58">
        <f t="shared" si="61"/>
        <v>0</v>
      </c>
      <c r="V213" s="58">
        <f t="shared" si="62"/>
        <v>0</v>
      </c>
      <c r="W213" s="58">
        <f t="shared" si="63"/>
        <v>0</v>
      </c>
      <c r="X213" s="58">
        <f t="shared" si="64"/>
        <v>0</v>
      </c>
      <c r="Y213" s="52">
        <f t="shared" si="65"/>
        <v>0</v>
      </c>
    </row>
    <row r="214" spans="1:25" x14ac:dyDescent="0.25">
      <c r="A214" s="1218" t="s">
        <v>164</v>
      </c>
      <c r="B214" s="98">
        <v>45323</v>
      </c>
      <c r="C214" s="117" t="str">
        <f t="shared" si="52"/>
        <v>6L</v>
      </c>
      <c r="D214" s="96"/>
      <c r="E214" s="98"/>
      <c r="F214" s="98"/>
      <c r="I214" s="99">
        <f t="shared" si="53"/>
        <v>0</v>
      </c>
      <c r="L214" s="99">
        <f t="shared" si="54"/>
        <v>0</v>
      </c>
      <c r="M214" s="44" t="str">
        <f t="shared" si="56"/>
        <v/>
      </c>
      <c r="N214" s="100">
        <f t="shared" si="57"/>
        <v>0</v>
      </c>
      <c r="O214" s="101">
        <f t="shared" si="58"/>
        <v>0</v>
      </c>
      <c r="P214" s="52">
        <f t="shared" si="59"/>
        <v>0</v>
      </c>
      <c r="Q214" s="49">
        <v>116.88487613461319</v>
      </c>
      <c r="R214">
        <v>2225</v>
      </c>
      <c r="S214" s="50">
        <f t="shared" si="55"/>
        <v>71535.307499999995</v>
      </c>
      <c r="T214" s="50">
        <f t="shared" si="60"/>
        <v>0</v>
      </c>
      <c r="U214" s="58">
        <f t="shared" si="61"/>
        <v>0</v>
      </c>
      <c r="V214" s="58">
        <f t="shared" si="62"/>
        <v>0</v>
      </c>
      <c r="W214" s="58">
        <f t="shared" si="63"/>
        <v>0</v>
      </c>
      <c r="X214" s="58">
        <f t="shared" si="64"/>
        <v>0</v>
      </c>
      <c r="Y214" s="52">
        <f t="shared" si="65"/>
        <v>0</v>
      </c>
    </row>
    <row r="215" spans="1:25" x14ac:dyDescent="0.25">
      <c r="A215" s="1218" t="s">
        <v>165</v>
      </c>
      <c r="B215" s="98">
        <v>45323</v>
      </c>
      <c r="C215" s="117" t="str">
        <f t="shared" si="52"/>
        <v>6L</v>
      </c>
      <c r="D215" s="96"/>
      <c r="E215" s="98"/>
      <c r="F215" s="98"/>
      <c r="I215" s="99">
        <f t="shared" si="53"/>
        <v>0</v>
      </c>
      <c r="L215" s="99">
        <f t="shared" si="54"/>
        <v>0</v>
      </c>
      <c r="M215" s="44" t="str">
        <f t="shared" si="56"/>
        <v/>
      </c>
      <c r="N215" s="100">
        <f t="shared" si="57"/>
        <v>0</v>
      </c>
      <c r="O215" s="101">
        <f t="shared" si="58"/>
        <v>0</v>
      </c>
      <c r="P215" s="52">
        <f t="shared" si="59"/>
        <v>0</v>
      </c>
      <c r="Q215" s="49">
        <v>116.88487613461319</v>
      </c>
      <c r="R215">
        <v>2225</v>
      </c>
      <c r="S215" s="50">
        <f t="shared" si="55"/>
        <v>71535.307499999995</v>
      </c>
      <c r="T215" s="50">
        <f t="shared" si="60"/>
        <v>0</v>
      </c>
      <c r="U215" s="58">
        <f t="shared" si="61"/>
        <v>0</v>
      </c>
      <c r="V215" s="58">
        <f t="shared" si="62"/>
        <v>0</v>
      </c>
      <c r="W215" s="58">
        <f t="shared" si="63"/>
        <v>0</v>
      </c>
      <c r="X215" s="58">
        <f t="shared" si="64"/>
        <v>0</v>
      </c>
      <c r="Y215" s="52">
        <f t="shared" si="65"/>
        <v>0</v>
      </c>
    </row>
    <row r="216" spans="1:25" x14ac:dyDescent="0.25">
      <c r="A216" s="1218" t="s">
        <v>166</v>
      </c>
      <c r="B216" s="98">
        <v>45323</v>
      </c>
      <c r="C216" s="117" t="str">
        <f t="shared" si="52"/>
        <v>6L</v>
      </c>
      <c r="D216" s="96"/>
      <c r="E216" s="98"/>
      <c r="F216" s="98"/>
      <c r="I216" s="99">
        <f t="shared" si="53"/>
        <v>0</v>
      </c>
      <c r="L216" s="99">
        <f t="shared" si="54"/>
        <v>0</v>
      </c>
      <c r="M216" s="44" t="str">
        <f t="shared" si="56"/>
        <v/>
      </c>
      <c r="N216" s="100">
        <f t="shared" si="57"/>
        <v>0</v>
      </c>
      <c r="O216" s="101">
        <f t="shared" si="58"/>
        <v>0</v>
      </c>
      <c r="P216" s="52">
        <f t="shared" si="59"/>
        <v>0</v>
      </c>
      <c r="Q216" s="49">
        <v>116.88487613461319</v>
      </c>
      <c r="R216">
        <v>2225</v>
      </c>
      <c r="S216" s="50">
        <f t="shared" si="55"/>
        <v>71535.307499999995</v>
      </c>
      <c r="T216" s="50">
        <f t="shared" si="60"/>
        <v>0</v>
      </c>
      <c r="U216" s="58">
        <f t="shared" si="61"/>
        <v>0</v>
      </c>
      <c r="V216" s="58">
        <f t="shared" si="62"/>
        <v>0</v>
      </c>
      <c r="W216" s="58">
        <f t="shared" si="63"/>
        <v>0</v>
      </c>
      <c r="X216" s="58">
        <f t="shared" si="64"/>
        <v>0</v>
      </c>
      <c r="Y216" s="52">
        <f t="shared" si="65"/>
        <v>0</v>
      </c>
    </row>
    <row r="217" spans="1:25" x14ac:dyDescent="0.25">
      <c r="A217" s="1218" t="s">
        <v>167</v>
      </c>
      <c r="B217" s="98">
        <v>45323</v>
      </c>
      <c r="C217" s="117" t="str">
        <f t="shared" si="52"/>
        <v>6L</v>
      </c>
      <c r="D217" s="96"/>
      <c r="E217" s="98"/>
      <c r="F217" s="98"/>
      <c r="I217" s="99">
        <f t="shared" si="53"/>
        <v>0</v>
      </c>
      <c r="L217" s="99">
        <f t="shared" si="54"/>
        <v>0</v>
      </c>
      <c r="M217" s="44" t="str">
        <f t="shared" si="56"/>
        <v/>
      </c>
      <c r="N217" s="100">
        <f t="shared" si="57"/>
        <v>0</v>
      </c>
      <c r="O217" s="101">
        <f t="shared" si="58"/>
        <v>0</v>
      </c>
      <c r="P217" s="52">
        <f t="shared" si="59"/>
        <v>0</v>
      </c>
      <c r="Q217" s="49">
        <v>116.88487613461319</v>
      </c>
      <c r="R217">
        <v>2225</v>
      </c>
      <c r="S217" s="50">
        <f t="shared" si="55"/>
        <v>71535.307499999995</v>
      </c>
      <c r="T217" s="50">
        <f t="shared" si="60"/>
        <v>0</v>
      </c>
      <c r="U217" s="58">
        <f t="shared" si="61"/>
        <v>0</v>
      </c>
      <c r="V217" s="58">
        <f t="shared" si="62"/>
        <v>0</v>
      </c>
      <c r="W217" s="58">
        <f t="shared" si="63"/>
        <v>0</v>
      </c>
      <c r="X217" s="58">
        <f t="shared" si="64"/>
        <v>0</v>
      </c>
      <c r="Y217" s="52">
        <f t="shared" si="65"/>
        <v>0</v>
      </c>
    </row>
    <row r="218" spans="1:25" x14ac:dyDescent="0.25">
      <c r="A218" s="1218" t="s">
        <v>168</v>
      </c>
      <c r="B218" s="98">
        <v>45323</v>
      </c>
      <c r="C218" s="117" t="str">
        <f t="shared" si="52"/>
        <v>6L</v>
      </c>
      <c r="D218" s="96"/>
      <c r="E218" s="98"/>
      <c r="F218" s="98"/>
      <c r="I218" s="99">
        <f t="shared" si="53"/>
        <v>0</v>
      </c>
      <c r="L218" s="99">
        <f t="shared" si="54"/>
        <v>0</v>
      </c>
      <c r="M218" s="44" t="str">
        <f t="shared" si="56"/>
        <v/>
      </c>
      <c r="N218" s="100">
        <f t="shared" si="57"/>
        <v>0</v>
      </c>
      <c r="O218" s="101">
        <f t="shared" si="58"/>
        <v>0</v>
      </c>
      <c r="P218" s="52">
        <f t="shared" si="59"/>
        <v>0</v>
      </c>
      <c r="Q218" s="49">
        <v>116.88487613461319</v>
      </c>
      <c r="R218">
        <v>2225</v>
      </c>
      <c r="S218" s="50">
        <f t="shared" si="55"/>
        <v>71535.307499999995</v>
      </c>
      <c r="T218" s="50">
        <f t="shared" si="60"/>
        <v>0</v>
      </c>
      <c r="U218" s="58">
        <f t="shared" si="61"/>
        <v>0</v>
      </c>
      <c r="V218" s="58">
        <f t="shared" si="62"/>
        <v>0</v>
      </c>
      <c r="W218" s="58">
        <f t="shared" si="63"/>
        <v>0</v>
      </c>
      <c r="X218" s="58">
        <f t="shared" si="64"/>
        <v>0</v>
      </c>
      <c r="Y218" s="52">
        <f t="shared" si="65"/>
        <v>0</v>
      </c>
    </row>
    <row r="219" spans="1:25" x14ac:dyDescent="0.25">
      <c r="A219" s="1218" t="s">
        <v>169</v>
      </c>
      <c r="B219" s="98">
        <v>45323</v>
      </c>
      <c r="C219" s="117" t="str">
        <f t="shared" si="52"/>
        <v>6L</v>
      </c>
      <c r="D219" s="96"/>
      <c r="E219" s="98"/>
      <c r="F219" s="98"/>
      <c r="I219" s="99">
        <f t="shared" si="53"/>
        <v>0</v>
      </c>
      <c r="L219" s="99">
        <f t="shared" si="54"/>
        <v>0</v>
      </c>
      <c r="M219" s="44" t="str">
        <f t="shared" si="56"/>
        <v/>
      </c>
      <c r="N219" s="100">
        <f t="shared" si="57"/>
        <v>0</v>
      </c>
      <c r="O219" s="101">
        <f t="shared" si="58"/>
        <v>0</v>
      </c>
      <c r="P219" s="52">
        <f t="shared" si="59"/>
        <v>0</v>
      </c>
      <c r="Q219" s="49">
        <v>116.88487613461319</v>
      </c>
      <c r="R219">
        <v>2225</v>
      </c>
      <c r="S219" s="50">
        <f t="shared" si="55"/>
        <v>71535.307499999995</v>
      </c>
      <c r="T219" s="50">
        <f t="shared" si="60"/>
        <v>0</v>
      </c>
      <c r="U219" s="58">
        <f t="shared" si="61"/>
        <v>0</v>
      </c>
      <c r="V219" s="58">
        <f t="shared" si="62"/>
        <v>0</v>
      </c>
      <c r="W219" s="58">
        <f t="shared" si="63"/>
        <v>0</v>
      </c>
      <c r="X219" s="58">
        <f t="shared" si="64"/>
        <v>0</v>
      </c>
      <c r="Y219" s="52">
        <f t="shared" si="65"/>
        <v>0</v>
      </c>
    </row>
    <row r="220" spans="1:25" x14ac:dyDescent="0.25">
      <c r="A220" s="1218" t="s">
        <v>170</v>
      </c>
      <c r="B220" s="98">
        <v>45323</v>
      </c>
      <c r="C220" s="117" t="str">
        <f t="shared" si="52"/>
        <v>6L</v>
      </c>
      <c r="D220" s="96"/>
      <c r="E220" s="98"/>
      <c r="F220" s="98"/>
      <c r="I220" s="99">
        <f t="shared" si="53"/>
        <v>0</v>
      </c>
      <c r="L220" s="99">
        <f t="shared" si="54"/>
        <v>0</v>
      </c>
      <c r="M220" s="44" t="str">
        <f t="shared" si="56"/>
        <v/>
      </c>
      <c r="N220" s="100">
        <f t="shared" si="57"/>
        <v>0</v>
      </c>
      <c r="O220" s="101">
        <f t="shared" si="58"/>
        <v>0</v>
      </c>
      <c r="P220" s="52">
        <f t="shared" si="59"/>
        <v>0</v>
      </c>
      <c r="Q220" s="49">
        <v>116.88487613461319</v>
      </c>
      <c r="R220">
        <v>2225</v>
      </c>
      <c r="S220" s="50">
        <f t="shared" si="55"/>
        <v>71535.307499999995</v>
      </c>
      <c r="T220" s="50">
        <f t="shared" si="60"/>
        <v>0</v>
      </c>
      <c r="U220" s="58">
        <f t="shared" si="61"/>
        <v>0</v>
      </c>
      <c r="V220" s="58">
        <f t="shared" si="62"/>
        <v>0</v>
      </c>
      <c r="W220" s="58">
        <f t="shared" si="63"/>
        <v>0</v>
      </c>
      <c r="X220" s="58">
        <f t="shared" si="64"/>
        <v>0</v>
      </c>
      <c r="Y220" s="52">
        <f t="shared" si="65"/>
        <v>0</v>
      </c>
    </row>
    <row r="221" spans="1:25" x14ac:dyDescent="0.25">
      <c r="A221" s="1218" t="s">
        <v>171</v>
      </c>
      <c r="B221" s="98">
        <v>45323</v>
      </c>
      <c r="C221" s="117" t="str">
        <f t="shared" si="52"/>
        <v>6L</v>
      </c>
      <c r="D221" s="96"/>
      <c r="E221" s="98"/>
      <c r="F221" s="98"/>
      <c r="I221" s="99">
        <f t="shared" si="53"/>
        <v>0</v>
      </c>
      <c r="L221" s="99">
        <f t="shared" si="54"/>
        <v>0</v>
      </c>
      <c r="M221" s="44" t="str">
        <f t="shared" si="56"/>
        <v/>
      </c>
      <c r="N221" s="100">
        <f t="shared" si="57"/>
        <v>0</v>
      </c>
      <c r="O221" s="101">
        <f t="shared" si="58"/>
        <v>0</v>
      </c>
      <c r="P221" s="52">
        <f t="shared" si="59"/>
        <v>0</v>
      </c>
      <c r="Q221" s="49">
        <v>116.88487613461319</v>
      </c>
      <c r="R221">
        <v>2225</v>
      </c>
      <c r="S221" s="50">
        <f t="shared" si="55"/>
        <v>71535.307499999995</v>
      </c>
      <c r="T221" s="50">
        <f t="shared" si="60"/>
        <v>0</v>
      </c>
      <c r="U221" s="58">
        <f t="shared" si="61"/>
        <v>0</v>
      </c>
      <c r="V221" s="58">
        <f t="shared" si="62"/>
        <v>0</v>
      </c>
      <c r="W221" s="58">
        <f t="shared" si="63"/>
        <v>0</v>
      </c>
      <c r="X221" s="58">
        <f t="shared" si="64"/>
        <v>0</v>
      </c>
      <c r="Y221" s="52">
        <f t="shared" si="65"/>
        <v>0</v>
      </c>
    </row>
    <row r="222" spans="1:25" x14ac:dyDescent="0.25">
      <c r="A222" s="1218" t="s">
        <v>172</v>
      </c>
      <c r="B222" s="98">
        <v>45323</v>
      </c>
      <c r="C222" s="117" t="str">
        <f t="shared" si="52"/>
        <v>6L</v>
      </c>
      <c r="D222" s="96"/>
      <c r="E222" s="98"/>
      <c r="F222" s="98"/>
      <c r="I222" s="99">
        <f t="shared" si="53"/>
        <v>0</v>
      </c>
      <c r="L222" s="99">
        <f t="shared" si="54"/>
        <v>0</v>
      </c>
      <c r="M222" s="44" t="str">
        <f t="shared" si="56"/>
        <v/>
      </c>
      <c r="N222" s="100">
        <f t="shared" si="57"/>
        <v>0</v>
      </c>
      <c r="O222" s="101">
        <f t="shared" si="58"/>
        <v>0</v>
      </c>
      <c r="P222" s="52">
        <f t="shared" si="59"/>
        <v>0</v>
      </c>
      <c r="Q222" s="49">
        <v>116.88487613461319</v>
      </c>
      <c r="R222">
        <v>2225</v>
      </c>
      <c r="S222" s="50">
        <f t="shared" si="55"/>
        <v>71535.307499999995</v>
      </c>
      <c r="T222" s="50">
        <f t="shared" si="60"/>
        <v>0</v>
      </c>
      <c r="U222" s="58">
        <f t="shared" si="61"/>
        <v>0</v>
      </c>
      <c r="V222" s="58">
        <f t="shared" si="62"/>
        <v>0</v>
      </c>
      <c r="W222" s="58">
        <f t="shared" si="63"/>
        <v>0</v>
      </c>
      <c r="X222" s="58">
        <f t="shared" si="64"/>
        <v>0</v>
      </c>
      <c r="Y222" s="52">
        <f t="shared" si="65"/>
        <v>0</v>
      </c>
    </row>
    <row r="223" spans="1:25" x14ac:dyDescent="0.25">
      <c r="A223" s="1218" t="s">
        <v>173</v>
      </c>
      <c r="B223" s="98">
        <v>45323</v>
      </c>
      <c r="C223" s="117" t="str">
        <f t="shared" si="52"/>
        <v>6L</v>
      </c>
      <c r="D223" s="96"/>
      <c r="E223" s="98"/>
      <c r="F223" s="98"/>
      <c r="I223" s="99">
        <f t="shared" si="53"/>
        <v>0</v>
      </c>
      <c r="L223" s="99">
        <f t="shared" si="54"/>
        <v>0</v>
      </c>
      <c r="M223" s="44" t="str">
        <f t="shared" si="56"/>
        <v/>
      </c>
      <c r="N223" s="100">
        <f t="shared" si="57"/>
        <v>0</v>
      </c>
      <c r="O223" s="101">
        <f t="shared" si="58"/>
        <v>0</v>
      </c>
      <c r="P223" s="52">
        <f t="shared" si="59"/>
        <v>0</v>
      </c>
      <c r="Q223" s="49">
        <v>116.88487613461319</v>
      </c>
      <c r="R223">
        <v>2225</v>
      </c>
      <c r="S223" s="50">
        <f t="shared" si="55"/>
        <v>71535.307499999995</v>
      </c>
      <c r="T223" s="50">
        <f t="shared" si="60"/>
        <v>0</v>
      </c>
      <c r="U223" s="58">
        <f t="shared" si="61"/>
        <v>0</v>
      </c>
      <c r="V223" s="58">
        <f t="shared" si="62"/>
        <v>0</v>
      </c>
      <c r="W223" s="58">
        <f t="shared" si="63"/>
        <v>0</v>
      </c>
      <c r="X223" s="58">
        <f t="shared" si="64"/>
        <v>0</v>
      </c>
      <c r="Y223" s="52">
        <f t="shared" si="65"/>
        <v>0</v>
      </c>
    </row>
    <row r="224" spans="1:25" x14ac:dyDescent="0.25">
      <c r="A224" s="1218" t="s">
        <v>174</v>
      </c>
      <c r="B224" s="98">
        <v>45323</v>
      </c>
      <c r="C224" s="117" t="str">
        <f t="shared" si="52"/>
        <v>6L</v>
      </c>
      <c r="D224" s="96"/>
      <c r="E224" s="98"/>
      <c r="F224" s="98"/>
      <c r="I224" s="99">
        <f t="shared" si="53"/>
        <v>0</v>
      </c>
      <c r="L224" s="99">
        <f t="shared" si="54"/>
        <v>0</v>
      </c>
      <c r="M224" s="44" t="str">
        <f t="shared" si="56"/>
        <v/>
      </c>
      <c r="N224" s="100">
        <f t="shared" si="57"/>
        <v>0</v>
      </c>
      <c r="O224" s="101">
        <f t="shared" si="58"/>
        <v>0</v>
      </c>
      <c r="P224" s="52">
        <f t="shared" si="59"/>
        <v>0</v>
      </c>
      <c r="Q224" s="49">
        <v>116.88487613461319</v>
      </c>
      <c r="R224">
        <v>2225</v>
      </c>
      <c r="S224" s="50">
        <f t="shared" si="55"/>
        <v>71535.307499999995</v>
      </c>
      <c r="T224" s="50">
        <f t="shared" si="60"/>
        <v>0</v>
      </c>
      <c r="U224" s="58">
        <f t="shared" si="61"/>
        <v>0</v>
      </c>
      <c r="V224" s="58">
        <f t="shared" si="62"/>
        <v>0</v>
      </c>
      <c r="W224" s="58">
        <f t="shared" si="63"/>
        <v>0</v>
      </c>
      <c r="X224" s="58">
        <f t="shared" si="64"/>
        <v>0</v>
      </c>
      <c r="Y224" s="52">
        <f t="shared" si="65"/>
        <v>0</v>
      </c>
    </row>
    <row r="225" spans="1:25" x14ac:dyDescent="0.25">
      <c r="A225" s="1218" t="s">
        <v>175</v>
      </c>
      <c r="B225" s="98">
        <v>45323</v>
      </c>
      <c r="C225" s="117" t="str">
        <f t="shared" si="52"/>
        <v>6L</v>
      </c>
      <c r="D225" s="96"/>
      <c r="E225" s="98"/>
      <c r="F225" s="98"/>
      <c r="I225" s="99">
        <f t="shared" si="53"/>
        <v>0</v>
      </c>
      <c r="L225" s="99">
        <f t="shared" si="54"/>
        <v>0</v>
      </c>
      <c r="M225" s="44" t="str">
        <f t="shared" si="56"/>
        <v/>
      </c>
      <c r="N225" s="100">
        <f t="shared" si="57"/>
        <v>0</v>
      </c>
      <c r="O225" s="101">
        <f t="shared" si="58"/>
        <v>0</v>
      </c>
      <c r="P225" s="52">
        <f t="shared" si="59"/>
        <v>0</v>
      </c>
      <c r="Q225" s="49">
        <v>116.88487613461319</v>
      </c>
      <c r="R225">
        <v>2225</v>
      </c>
      <c r="S225" s="50">
        <f t="shared" si="55"/>
        <v>71535.307499999995</v>
      </c>
      <c r="T225" s="50">
        <f t="shared" si="60"/>
        <v>0</v>
      </c>
      <c r="U225" s="58">
        <f t="shared" si="61"/>
        <v>0</v>
      </c>
      <c r="V225" s="58">
        <f t="shared" si="62"/>
        <v>0</v>
      </c>
      <c r="W225" s="58">
        <f t="shared" si="63"/>
        <v>0</v>
      </c>
      <c r="X225" s="58">
        <f t="shared" si="64"/>
        <v>0</v>
      </c>
      <c r="Y225" s="52">
        <f t="shared" si="65"/>
        <v>0</v>
      </c>
    </row>
    <row r="226" spans="1:25" x14ac:dyDescent="0.25">
      <c r="A226" s="1218" t="s">
        <v>176</v>
      </c>
      <c r="B226" s="98">
        <v>45323</v>
      </c>
      <c r="C226" s="117" t="str">
        <f t="shared" si="52"/>
        <v>6L</v>
      </c>
      <c r="D226" s="96"/>
      <c r="E226" s="98"/>
      <c r="F226" s="98"/>
      <c r="I226" s="99">
        <f t="shared" si="53"/>
        <v>0</v>
      </c>
      <c r="L226" s="99">
        <f t="shared" si="54"/>
        <v>0</v>
      </c>
      <c r="M226" s="44" t="str">
        <f t="shared" si="56"/>
        <v/>
      </c>
      <c r="N226" s="100">
        <f t="shared" si="57"/>
        <v>0</v>
      </c>
      <c r="O226" s="101">
        <f t="shared" si="58"/>
        <v>0</v>
      </c>
      <c r="P226" s="52">
        <f t="shared" si="59"/>
        <v>0</v>
      </c>
      <c r="Q226" s="49">
        <v>116.88487613461319</v>
      </c>
      <c r="R226">
        <v>2225</v>
      </c>
      <c r="S226" s="50">
        <f t="shared" si="55"/>
        <v>71535.307499999995</v>
      </c>
      <c r="T226" s="50">
        <f t="shared" si="60"/>
        <v>0</v>
      </c>
      <c r="U226" s="58">
        <f t="shared" si="61"/>
        <v>0</v>
      </c>
      <c r="V226" s="58">
        <f t="shared" si="62"/>
        <v>0</v>
      </c>
      <c r="W226" s="58">
        <f t="shared" si="63"/>
        <v>0</v>
      </c>
      <c r="X226" s="58">
        <f t="shared" si="64"/>
        <v>0</v>
      </c>
      <c r="Y226" s="52">
        <f t="shared" si="65"/>
        <v>0</v>
      </c>
    </row>
    <row r="227" spans="1:25" x14ac:dyDescent="0.25">
      <c r="A227" s="1218" t="s">
        <v>177</v>
      </c>
      <c r="B227" s="98">
        <v>45323</v>
      </c>
      <c r="C227" s="117" t="str">
        <f t="shared" si="52"/>
        <v>6L</v>
      </c>
      <c r="D227" s="96"/>
      <c r="E227" s="98"/>
      <c r="F227" s="98"/>
      <c r="I227" s="99">
        <f t="shared" si="53"/>
        <v>0</v>
      </c>
      <c r="L227" s="99">
        <f t="shared" si="54"/>
        <v>0</v>
      </c>
      <c r="M227" s="44" t="str">
        <f t="shared" si="56"/>
        <v/>
      </c>
      <c r="N227" s="100">
        <f t="shared" si="57"/>
        <v>0</v>
      </c>
      <c r="O227" s="101">
        <f t="shared" si="58"/>
        <v>0</v>
      </c>
      <c r="P227" s="52">
        <f t="shared" si="59"/>
        <v>0</v>
      </c>
      <c r="Q227" s="49">
        <v>116.88487613461319</v>
      </c>
      <c r="R227">
        <v>2225</v>
      </c>
      <c r="S227" s="50">
        <f t="shared" si="55"/>
        <v>71535.307499999995</v>
      </c>
      <c r="T227" s="50">
        <f t="shared" si="60"/>
        <v>0</v>
      </c>
      <c r="U227" s="58">
        <f t="shared" si="61"/>
        <v>0</v>
      </c>
      <c r="V227" s="58">
        <f t="shared" si="62"/>
        <v>0</v>
      </c>
      <c r="W227" s="58">
        <f t="shared" si="63"/>
        <v>0</v>
      </c>
      <c r="X227" s="58">
        <f t="shared" si="64"/>
        <v>0</v>
      </c>
      <c r="Y227" s="52">
        <f t="shared" si="65"/>
        <v>0</v>
      </c>
    </row>
    <row r="228" spans="1:25" x14ac:dyDescent="0.25">
      <c r="A228" s="1218" t="s">
        <v>178</v>
      </c>
      <c r="B228" s="98">
        <v>45323</v>
      </c>
      <c r="C228" s="117" t="str">
        <f t="shared" si="52"/>
        <v>7L</v>
      </c>
      <c r="D228" s="96"/>
      <c r="I228" s="99">
        <f t="shared" si="53"/>
        <v>0</v>
      </c>
      <c r="L228" s="99">
        <f t="shared" si="54"/>
        <v>0</v>
      </c>
      <c r="M228" s="44" t="str">
        <f t="shared" si="56"/>
        <v/>
      </c>
      <c r="N228" s="100">
        <f t="shared" si="57"/>
        <v>0</v>
      </c>
      <c r="O228" s="101">
        <f t="shared" si="58"/>
        <v>0</v>
      </c>
      <c r="P228" s="52">
        <f t="shared" si="59"/>
        <v>0</v>
      </c>
      <c r="Q228" s="49">
        <v>116.88487613461319</v>
      </c>
      <c r="R228">
        <v>2225</v>
      </c>
      <c r="S228" s="50">
        <f t="shared" si="55"/>
        <v>71535.307499999995</v>
      </c>
      <c r="T228" s="50">
        <f t="shared" si="60"/>
        <v>0</v>
      </c>
      <c r="U228" s="58">
        <f t="shared" si="61"/>
        <v>0</v>
      </c>
      <c r="V228" s="58">
        <f t="shared" si="62"/>
        <v>0</v>
      </c>
      <c r="W228" s="58">
        <f t="shared" si="63"/>
        <v>0</v>
      </c>
      <c r="X228" s="58">
        <f t="shared" si="64"/>
        <v>0</v>
      </c>
      <c r="Y228" s="52">
        <f t="shared" si="65"/>
        <v>0</v>
      </c>
    </row>
    <row r="229" spans="1:25" x14ac:dyDescent="0.25">
      <c r="A229" s="1218" t="s">
        <v>179</v>
      </c>
      <c r="B229" s="98">
        <v>45323</v>
      </c>
      <c r="C229" s="117" t="str">
        <f t="shared" si="52"/>
        <v>7L</v>
      </c>
      <c r="D229" s="96"/>
      <c r="I229" s="99">
        <f t="shared" si="53"/>
        <v>0</v>
      </c>
      <c r="L229" s="99">
        <f t="shared" si="54"/>
        <v>0</v>
      </c>
      <c r="M229" s="44" t="str">
        <f t="shared" si="56"/>
        <v/>
      </c>
      <c r="N229" s="100">
        <f t="shared" si="57"/>
        <v>0</v>
      </c>
      <c r="O229" s="101">
        <f t="shared" si="58"/>
        <v>0</v>
      </c>
      <c r="P229" s="52">
        <f t="shared" si="59"/>
        <v>0</v>
      </c>
      <c r="Q229" s="49">
        <v>116.88487613461319</v>
      </c>
      <c r="R229">
        <v>2225</v>
      </c>
      <c r="S229" s="50">
        <f t="shared" si="55"/>
        <v>71535.307499999995</v>
      </c>
      <c r="T229" s="50">
        <f t="shared" si="60"/>
        <v>0</v>
      </c>
      <c r="U229" s="58">
        <f t="shared" si="61"/>
        <v>0</v>
      </c>
      <c r="V229" s="58">
        <f t="shared" si="62"/>
        <v>0</v>
      </c>
      <c r="W229" s="58">
        <f t="shared" si="63"/>
        <v>0</v>
      </c>
      <c r="X229" s="58">
        <f t="shared" si="64"/>
        <v>0</v>
      </c>
      <c r="Y229" s="52">
        <f t="shared" si="65"/>
        <v>0</v>
      </c>
    </row>
    <row r="230" spans="1:25" x14ac:dyDescent="0.25">
      <c r="A230" s="1218" t="s">
        <v>180</v>
      </c>
      <c r="B230" s="98">
        <v>45323</v>
      </c>
      <c r="C230" s="117" t="str">
        <f t="shared" si="52"/>
        <v>7L</v>
      </c>
      <c r="D230" s="96"/>
      <c r="I230" s="99">
        <f t="shared" si="53"/>
        <v>0</v>
      </c>
      <c r="L230" s="99">
        <f t="shared" si="54"/>
        <v>0</v>
      </c>
      <c r="M230" s="44" t="str">
        <f t="shared" si="56"/>
        <v/>
      </c>
      <c r="N230" s="100">
        <f t="shared" si="57"/>
        <v>0</v>
      </c>
      <c r="O230" s="101">
        <f t="shared" si="58"/>
        <v>0</v>
      </c>
      <c r="P230" s="52">
        <f t="shared" si="59"/>
        <v>0</v>
      </c>
      <c r="Q230" s="49">
        <v>116.88487613461319</v>
      </c>
      <c r="R230">
        <v>2225</v>
      </c>
      <c r="S230" s="50">
        <f t="shared" si="55"/>
        <v>71535.307499999995</v>
      </c>
      <c r="T230" s="50">
        <f t="shared" si="60"/>
        <v>0</v>
      </c>
      <c r="U230" s="58">
        <f t="shared" si="61"/>
        <v>0</v>
      </c>
      <c r="V230" s="58">
        <f t="shared" si="62"/>
        <v>0</v>
      </c>
      <c r="W230" s="58">
        <f t="shared" si="63"/>
        <v>0</v>
      </c>
      <c r="X230" s="58">
        <f t="shared" si="64"/>
        <v>0</v>
      </c>
      <c r="Y230" s="52">
        <f t="shared" si="65"/>
        <v>0</v>
      </c>
    </row>
    <row r="231" spans="1:25" x14ac:dyDescent="0.25">
      <c r="A231" s="1218" t="s">
        <v>181</v>
      </c>
      <c r="B231" s="98">
        <v>45323</v>
      </c>
      <c r="C231" s="117" t="str">
        <f t="shared" si="52"/>
        <v>7L</v>
      </c>
      <c r="D231" s="96"/>
      <c r="I231" s="99">
        <f t="shared" si="53"/>
        <v>0</v>
      </c>
      <c r="L231" s="99">
        <f t="shared" si="54"/>
        <v>0</v>
      </c>
      <c r="M231" s="44" t="str">
        <f t="shared" si="56"/>
        <v/>
      </c>
      <c r="N231" s="100">
        <f t="shared" si="57"/>
        <v>0</v>
      </c>
      <c r="O231" s="101">
        <f t="shared" si="58"/>
        <v>0</v>
      </c>
      <c r="P231" s="52">
        <f t="shared" si="59"/>
        <v>0</v>
      </c>
      <c r="Q231" s="49">
        <v>116.88487613461319</v>
      </c>
      <c r="R231">
        <v>2225</v>
      </c>
      <c r="S231" s="50">
        <f t="shared" si="55"/>
        <v>71535.307499999995</v>
      </c>
      <c r="T231" s="50">
        <f t="shared" si="60"/>
        <v>0</v>
      </c>
      <c r="U231" s="58">
        <f t="shared" si="61"/>
        <v>0</v>
      </c>
      <c r="V231" s="58">
        <f t="shared" si="62"/>
        <v>0</v>
      </c>
      <c r="W231" s="58">
        <f t="shared" si="63"/>
        <v>0</v>
      </c>
      <c r="X231" s="58">
        <f t="shared" si="64"/>
        <v>0</v>
      </c>
      <c r="Y231" s="52">
        <f t="shared" si="65"/>
        <v>0</v>
      </c>
    </row>
    <row r="232" spans="1:25" x14ac:dyDescent="0.25">
      <c r="A232" s="1218" t="s">
        <v>182</v>
      </c>
      <c r="B232" s="98">
        <v>45323</v>
      </c>
      <c r="C232" s="117" t="str">
        <f t="shared" si="52"/>
        <v>7L</v>
      </c>
      <c r="D232" s="96"/>
      <c r="I232" s="99">
        <f t="shared" si="53"/>
        <v>0</v>
      </c>
      <c r="L232" s="99">
        <f t="shared" si="54"/>
        <v>0</v>
      </c>
      <c r="M232" s="44" t="str">
        <f t="shared" si="56"/>
        <v/>
      </c>
      <c r="N232" s="100">
        <f t="shared" si="57"/>
        <v>0</v>
      </c>
      <c r="O232" s="101">
        <f t="shared" si="58"/>
        <v>0</v>
      </c>
      <c r="P232" s="52">
        <f t="shared" si="59"/>
        <v>0</v>
      </c>
      <c r="Q232" s="49">
        <v>116.88487613461319</v>
      </c>
      <c r="R232">
        <v>2225</v>
      </c>
      <c r="S232" s="50">
        <f t="shared" si="55"/>
        <v>71535.307499999995</v>
      </c>
      <c r="T232" s="50">
        <f t="shared" si="60"/>
        <v>0</v>
      </c>
      <c r="U232" s="58">
        <f t="shared" si="61"/>
        <v>0</v>
      </c>
      <c r="V232" s="58">
        <f t="shared" si="62"/>
        <v>0</v>
      </c>
      <c r="W232" s="58">
        <f t="shared" si="63"/>
        <v>0</v>
      </c>
      <c r="X232" s="58">
        <f t="shared" si="64"/>
        <v>0</v>
      </c>
      <c r="Y232" s="52">
        <f t="shared" si="65"/>
        <v>0</v>
      </c>
    </row>
    <row r="233" spans="1:25" x14ac:dyDescent="0.25">
      <c r="A233" s="1218" t="s">
        <v>183</v>
      </c>
      <c r="B233" s="98">
        <v>45323</v>
      </c>
      <c r="C233" s="117" t="str">
        <f t="shared" si="52"/>
        <v>7L</v>
      </c>
      <c r="D233" s="96"/>
      <c r="I233" s="99">
        <f t="shared" si="53"/>
        <v>0</v>
      </c>
      <c r="L233" s="99">
        <f t="shared" si="54"/>
        <v>0</v>
      </c>
      <c r="M233" s="44" t="str">
        <f t="shared" si="56"/>
        <v/>
      </c>
      <c r="N233" s="100">
        <f t="shared" si="57"/>
        <v>0</v>
      </c>
      <c r="O233" s="101">
        <f t="shared" si="58"/>
        <v>0</v>
      </c>
      <c r="P233" s="52">
        <f t="shared" si="59"/>
        <v>0</v>
      </c>
      <c r="Q233" s="49">
        <v>116.88487613461319</v>
      </c>
      <c r="R233">
        <v>2225</v>
      </c>
      <c r="S233" s="50">
        <f t="shared" si="55"/>
        <v>71535.307499999995</v>
      </c>
      <c r="T233" s="50">
        <f t="shared" si="60"/>
        <v>0</v>
      </c>
      <c r="U233" s="58">
        <f t="shared" si="61"/>
        <v>0</v>
      </c>
      <c r="V233" s="58">
        <f t="shared" si="62"/>
        <v>0</v>
      </c>
      <c r="W233" s="58">
        <f t="shared" si="63"/>
        <v>0</v>
      </c>
      <c r="X233" s="58">
        <f t="shared" si="64"/>
        <v>0</v>
      </c>
      <c r="Y233" s="52">
        <f t="shared" si="65"/>
        <v>0</v>
      </c>
    </row>
    <row r="234" spans="1:25" x14ac:dyDescent="0.25">
      <c r="A234" s="1218" t="s">
        <v>184</v>
      </c>
      <c r="B234" s="98">
        <v>45323</v>
      </c>
      <c r="C234" s="117" t="str">
        <f t="shared" si="52"/>
        <v>7L</v>
      </c>
      <c r="D234" s="96"/>
      <c r="I234" s="99">
        <f t="shared" si="53"/>
        <v>0</v>
      </c>
      <c r="L234" s="99">
        <f t="shared" si="54"/>
        <v>0</v>
      </c>
      <c r="M234" s="44" t="str">
        <f t="shared" si="56"/>
        <v/>
      </c>
      <c r="N234" s="100">
        <f t="shared" si="57"/>
        <v>0</v>
      </c>
      <c r="O234" s="101">
        <f t="shared" si="58"/>
        <v>0</v>
      </c>
      <c r="P234" s="52">
        <f t="shared" si="59"/>
        <v>0</v>
      </c>
      <c r="Q234" s="49">
        <v>116.88487613461319</v>
      </c>
      <c r="R234">
        <v>2225</v>
      </c>
      <c r="S234" s="50">
        <f t="shared" si="55"/>
        <v>71535.307499999995</v>
      </c>
      <c r="T234" s="50">
        <f t="shared" si="60"/>
        <v>0</v>
      </c>
      <c r="U234" s="58">
        <f t="shared" si="61"/>
        <v>0</v>
      </c>
      <c r="V234" s="58">
        <f t="shared" si="62"/>
        <v>0</v>
      </c>
      <c r="W234" s="58">
        <f t="shared" si="63"/>
        <v>0</v>
      </c>
      <c r="X234" s="58">
        <f t="shared" si="64"/>
        <v>0</v>
      </c>
      <c r="Y234" s="52">
        <f t="shared" si="65"/>
        <v>0</v>
      </c>
    </row>
    <row r="235" spans="1:25" x14ac:dyDescent="0.25">
      <c r="A235" s="1218" t="s">
        <v>185</v>
      </c>
      <c r="B235" s="98">
        <v>45323</v>
      </c>
      <c r="C235" s="117" t="str">
        <f t="shared" si="52"/>
        <v>7L</v>
      </c>
      <c r="D235" s="96"/>
      <c r="I235" s="99">
        <f t="shared" si="53"/>
        <v>0</v>
      </c>
      <c r="L235" s="99">
        <f t="shared" si="54"/>
        <v>0</v>
      </c>
      <c r="M235" s="44" t="str">
        <f t="shared" si="56"/>
        <v/>
      </c>
      <c r="N235" s="100">
        <f t="shared" si="57"/>
        <v>0</v>
      </c>
      <c r="O235" s="101">
        <f t="shared" si="58"/>
        <v>0</v>
      </c>
      <c r="P235" s="52">
        <f t="shared" si="59"/>
        <v>0</v>
      </c>
      <c r="Q235" s="49">
        <v>116.88487613461319</v>
      </c>
      <c r="R235">
        <v>2225</v>
      </c>
      <c r="S235" s="50">
        <f t="shared" si="55"/>
        <v>71535.307499999995</v>
      </c>
      <c r="T235" s="50">
        <f t="shared" si="60"/>
        <v>0</v>
      </c>
      <c r="U235" s="58">
        <f t="shared" si="61"/>
        <v>0</v>
      </c>
      <c r="V235" s="58">
        <f t="shared" si="62"/>
        <v>0</v>
      </c>
      <c r="W235" s="58">
        <f t="shared" si="63"/>
        <v>0</v>
      </c>
      <c r="X235" s="58">
        <f t="shared" si="64"/>
        <v>0</v>
      </c>
      <c r="Y235" s="52">
        <f t="shared" si="65"/>
        <v>0</v>
      </c>
    </row>
    <row r="236" spans="1:25" x14ac:dyDescent="0.25">
      <c r="A236" s="1218" t="s">
        <v>186</v>
      </c>
      <c r="B236" s="98">
        <v>45323</v>
      </c>
      <c r="C236" s="117" t="str">
        <f t="shared" si="52"/>
        <v>7L</v>
      </c>
      <c r="D236" s="96"/>
      <c r="I236" s="99">
        <f t="shared" si="53"/>
        <v>0</v>
      </c>
      <c r="L236" s="99">
        <f t="shared" si="54"/>
        <v>0</v>
      </c>
      <c r="M236" s="44" t="str">
        <f t="shared" si="56"/>
        <v/>
      </c>
      <c r="N236" s="100">
        <f t="shared" si="57"/>
        <v>0</v>
      </c>
      <c r="O236" s="101">
        <f t="shared" si="58"/>
        <v>0</v>
      </c>
      <c r="P236" s="52">
        <f t="shared" si="59"/>
        <v>0</v>
      </c>
      <c r="Q236" s="49">
        <v>116.88487613461319</v>
      </c>
      <c r="R236">
        <v>2225</v>
      </c>
      <c r="S236" s="50">
        <f t="shared" si="55"/>
        <v>71535.307499999995</v>
      </c>
      <c r="T236" s="50">
        <f t="shared" si="60"/>
        <v>0</v>
      </c>
      <c r="U236" s="58">
        <f t="shared" si="61"/>
        <v>0</v>
      </c>
      <c r="V236" s="58">
        <f t="shared" si="62"/>
        <v>0</v>
      </c>
      <c r="W236" s="58">
        <f t="shared" si="63"/>
        <v>0</v>
      </c>
      <c r="X236" s="58">
        <f t="shared" si="64"/>
        <v>0</v>
      </c>
      <c r="Y236" s="52">
        <f t="shared" si="65"/>
        <v>0</v>
      </c>
    </row>
    <row r="237" spans="1:25" x14ac:dyDescent="0.25">
      <c r="A237" s="1218" t="s">
        <v>187</v>
      </c>
      <c r="B237" s="98">
        <v>45323</v>
      </c>
      <c r="C237" s="117" t="str">
        <f t="shared" si="52"/>
        <v>7L</v>
      </c>
      <c r="D237" s="96"/>
      <c r="I237" s="99">
        <f t="shared" si="53"/>
        <v>0</v>
      </c>
      <c r="L237" s="99">
        <f t="shared" si="54"/>
        <v>0</v>
      </c>
      <c r="M237" s="44" t="str">
        <f t="shared" si="56"/>
        <v/>
      </c>
      <c r="N237" s="100">
        <f t="shared" si="57"/>
        <v>0</v>
      </c>
      <c r="O237" s="101">
        <f t="shared" si="58"/>
        <v>0</v>
      </c>
      <c r="P237" s="52">
        <f t="shared" si="59"/>
        <v>0</v>
      </c>
      <c r="Q237" s="49">
        <v>116.88487613461319</v>
      </c>
      <c r="R237">
        <v>2225</v>
      </c>
      <c r="S237" s="50">
        <f t="shared" si="55"/>
        <v>71535.307499999995</v>
      </c>
      <c r="T237" s="50">
        <f t="shared" si="60"/>
        <v>0</v>
      </c>
      <c r="U237" s="58">
        <f t="shared" si="61"/>
        <v>0</v>
      </c>
      <c r="V237" s="58">
        <f t="shared" si="62"/>
        <v>0</v>
      </c>
      <c r="W237" s="58">
        <f t="shared" si="63"/>
        <v>0</v>
      </c>
      <c r="X237" s="58">
        <f t="shared" si="64"/>
        <v>0</v>
      </c>
      <c r="Y237" s="52">
        <f t="shared" si="65"/>
        <v>0</v>
      </c>
    </row>
    <row r="238" spans="1:25" x14ac:dyDescent="0.25">
      <c r="A238" s="1218" t="s">
        <v>188</v>
      </c>
      <c r="B238" s="98">
        <v>45323</v>
      </c>
      <c r="C238" s="117" t="str">
        <f t="shared" si="52"/>
        <v>7L</v>
      </c>
      <c r="D238" s="96"/>
      <c r="I238" s="99">
        <f t="shared" si="53"/>
        <v>0</v>
      </c>
      <c r="L238" s="99">
        <f t="shared" si="54"/>
        <v>0</v>
      </c>
      <c r="M238" s="44" t="str">
        <f t="shared" si="56"/>
        <v/>
      </c>
      <c r="N238" s="100">
        <f t="shared" si="57"/>
        <v>0</v>
      </c>
      <c r="O238" s="101">
        <f t="shared" si="58"/>
        <v>0</v>
      </c>
      <c r="P238" s="52">
        <f t="shared" si="59"/>
        <v>0</v>
      </c>
      <c r="Q238" s="49">
        <v>116.88487613461319</v>
      </c>
      <c r="R238">
        <v>2225</v>
      </c>
      <c r="S238" s="50">
        <f t="shared" si="55"/>
        <v>71535.307499999995</v>
      </c>
      <c r="T238" s="50">
        <f t="shared" si="60"/>
        <v>0</v>
      </c>
      <c r="U238" s="58">
        <f t="shared" si="61"/>
        <v>0</v>
      </c>
      <c r="V238" s="58">
        <f t="shared" si="62"/>
        <v>0</v>
      </c>
      <c r="W238" s="58">
        <f t="shared" si="63"/>
        <v>0</v>
      </c>
      <c r="X238" s="58">
        <f t="shared" si="64"/>
        <v>0</v>
      </c>
      <c r="Y238" s="52">
        <f t="shared" si="65"/>
        <v>0</v>
      </c>
    </row>
    <row r="239" spans="1:25" x14ac:dyDescent="0.25">
      <c r="A239" s="1218" t="s">
        <v>189</v>
      </c>
      <c r="B239" s="98">
        <v>45323</v>
      </c>
      <c r="C239" s="117" t="str">
        <f t="shared" si="52"/>
        <v>7L</v>
      </c>
      <c r="D239" s="96"/>
      <c r="I239" s="99">
        <f t="shared" si="53"/>
        <v>0</v>
      </c>
      <c r="L239" s="99">
        <f t="shared" si="54"/>
        <v>0</v>
      </c>
      <c r="M239" s="44" t="str">
        <f t="shared" si="56"/>
        <v/>
      </c>
      <c r="N239" s="100">
        <f t="shared" si="57"/>
        <v>0</v>
      </c>
      <c r="O239" s="101">
        <f t="shared" si="58"/>
        <v>0</v>
      </c>
      <c r="P239" s="52">
        <f t="shared" si="59"/>
        <v>0</v>
      </c>
      <c r="Q239" s="49">
        <v>116.88487613461319</v>
      </c>
      <c r="R239">
        <v>2225</v>
      </c>
      <c r="S239" s="50">
        <f t="shared" si="55"/>
        <v>71535.307499999995</v>
      </c>
      <c r="T239" s="50">
        <f t="shared" si="60"/>
        <v>0</v>
      </c>
      <c r="U239" s="58">
        <f t="shared" si="61"/>
        <v>0</v>
      </c>
      <c r="V239" s="58">
        <f t="shared" si="62"/>
        <v>0</v>
      </c>
      <c r="W239" s="58">
        <f t="shared" si="63"/>
        <v>0</v>
      </c>
      <c r="X239" s="58">
        <f t="shared" si="64"/>
        <v>0</v>
      </c>
      <c r="Y239" s="52">
        <f t="shared" si="65"/>
        <v>0</v>
      </c>
    </row>
    <row r="240" spans="1:25" x14ac:dyDescent="0.25">
      <c r="A240" s="1218" t="s">
        <v>190</v>
      </c>
      <c r="B240" s="98">
        <v>45323</v>
      </c>
      <c r="C240" s="117" t="str">
        <f t="shared" si="52"/>
        <v>8L</v>
      </c>
      <c r="D240" s="96"/>
      <c r="I240" s="99">
        <f t="shared" si="53"/>
        <v>0</v>
      </c>
      <c r="L240" s="99">
        <f t="shared" si="54"/>
        <v>0</v>
      </c>
      <c r="M240" s="44" t="str">
        <f t="shared" si="56"/>
        <v/>
      </c>
      <c r="N240" s="100">
        <f t="shared" si="57"/>
        <v>0</v>
      </c>
      <c r="O240" s="101">
        <f t="shared" si="58"/>
        <v>0</v>
      </c>
      <c r="P240" s="52">
        <f t="shared" si="59"/>
        <v>0</v>
      </c>
      <c r="Q240" s="49">
        <v>116.88487613461319</v>
      </c>
      <c r="R240">
        <v>2225</v>
      </c>
      <c r="S240" s="50">
        <f t="shared" si="55"/>
        <v>71535.307499999995</v>
      </c>
      <c r="T240" s="50">
        <f t="shared" si="60"/>
        <v>0</v>
      </c>
      <c r="U240" s="58">
        <f t="shared" si="61"/>
        <v>0</v>
      </c>
      <c r="V240" s="58">
        <f t="shared" si="62"/>
        <v>0</v>
      </c>
      <c r="W240" s="58">
        <f t="shared" si="63"/>
        <v>0</v>
      </c>
      <c r="X240" s="58">
        <f t="shared" si="64"/>
        <v>0</v>
      </c>
      <c r="Y240" s="52">
        <f t="shared" si="65"/>
        <v>0</v>
      </c>
    </row>
    <row r="241" spans="1:25" x14ac:dyDescent="0.25">
      <c r="A241" s="1218" t="s">
        <v>191</v>
      </c>
      <c r="B241" s="98">
        <v>45323</v>
      </c>
      <c r="C241" s="117" t="str">
        <f t="shared" si="52"/>
        <v>8L</v>
      </c>
      <c r="D241" s="96"/>
      <c r="I241" s="99">
        <f t="shared" si="53"/>
        <v>0</v>
      </c>
      <c r="L241" s="99">
        <f t="shared" si="54"/>
        <v>0</v>
      </c>
      <c r="M241" s="44" t="str">
        <f t="shared" si="56"/>
        <v/>
      </c>
      <c r="N241" s="100">
        <f t="shared" si="57"/>
        <v>0</v>
      </c>
      <c r="O241" s="101">
        <f t="shared" si="58"/>
        <v>0</v>
      </c>
      <c r="P241" s="52">
        <f t="shared" si="59"/>
        <v>0</v>
      </c>
      <c r="Q241" s="49">
        <v>116.88487613461319</v>
      </c>
      <c r="R241">
        <v>2225</v>
      </c>
      <c r="S241" s="50">
        <f t="shared" si="55"/>
        <v>71535.307499999995</v>
      </c>
      <c r="T241" s="50">
        <f t="shared" si="60"/>
        <v>0</v>
      </c>
      <c r="U241" s="58">
        <f t="shared" si="61"/>
        <v>0</v>
      </c>
      <c r="V241" s="58">
        <f t="shared" si="62"/>
        <v>0</v>
      </c>
      <c r="W241" s="58">
        <f t="shared" si="63"/>
        <v>0</v>
      </c>
      <c r="X241" s="58">
        <f t="shared" si="64"/>
        <v>0</v>
      </c>
      <c r="Y241" s="52">
        <f t="shared" si="65"/>
        <v>0</v>
      </c>
    </row>
    <row r="242" spans="1:25" x14ac:dyDescent="0.25">
      <c r="A242" s="1218" t="s">
        <v>192</v>
      </c>
      <c r="B242" s="98">
        <v>45323</v>
      </c>
      <c r="C242" s="117" t="str">
        <f t="shared" si="52"/>
        <v>8L</v>
      </c>
      <c r="D242" s="96"/>
      <c r="I242" s="99">
        <f t="shared" si="53"/>
        <v>0</v>
      </c>
      <c r="L242" s="99">
        <f t="shared" si="54"/>
        <v>0</v>
      </c>
      <c r="M242" s="44" t="str">
        <f t="shared" si="56"/>
        <v/>
      </c>
      <c r="N242" s="100">
        <f t="shared" si="57"/>
        <v>0</v>
      </c>
      <c r="O242" s="101">
        <f t="shared" si="58"/>
        <v>0</v>
      </c>
      <c r="P242" s="52">
        <f t="shared" si="59"/>
        <v>0</v>
      </c>
      <c r="Q242" s="49">
        <v>116.88487613461319</v>
      </c>
      <c r="R242">
        <v>2225</v>
      </c>
      <c r="S242" s="50">
        <f t="shared" si="55"/>
        <v>71535.307499999995</v>
      </c>
      <c r="T242" s="50">
        <f t="shared" si="60"/>
        <v>0</v>
      </c>
      <c r="U242" s="58">
        <f t="shared" si="61"/>
        <v>0</v>
      </c>
      <c r="V242" s="58">
        <f t="shared" si="62"/>
        <v>0</v>
      </c>
      <c r="W242" s="58">
        <f t="shared" si="63"/>
        <v>0</v>
      </c>
      <c r="X242" s="58">
        <f t="shared" si="64"/>
        <v>0</v>
      </c>
      <c r="Y242" s="52">
        <f t="shared" si="65"/>
        <v>0</v>
      </c>
    </row>
    <row r="243" spans="1:25" x14ac:dyDescent="0.25">
      <c r="A243" s="1218" t="s">
        <v>193</v>
      </c>
      <c r="B243" s="98">
        <v>45323</v>
      </c>
      <c r="C243" s="117" t="str">
        <f t="shared" si="52"/>
        <v>8L</v>
      </c>
      <c r="D243" s="96"/>
      <c r="I243" s="99">
        <f t="shared" si="53"/>
        <v>0</v>
      </c>
      <c r="L243" s="99">
        <f t="shared" si="54"/>
        <v>0</v>
      </c>
      <c r="M243" s="44" t="str">
        <f t="shared" si="56"/>
        <v/>
      </c>
      <c r="N243" s="100">
        <f t="shared" si="57"/>
        <v>0</v>
      </c>
      <c r="O243" s="101">
        <f t="shared" si="58"/>
        <v>0</v>
      </c>
      <c r="P243" s="52">
        <f t="shared" si="59"/>
        <v>0</v>
      </c>
      <c r="Q243" s="49">
        <v>116.88487613461319</v>
      </c>
      <c r="R243">
        <v>2225</v>
      </c>
      <c r="S243" s="50">
        <f t="shared" si="55"/>
        <v>71535.307499999995</v>
      </c>
      <c r="T243" s="50">
        <f t="shared" si="60"/>
        <v>0</v>
      </c>
      <c r="U243" s="58">
        <f t="shared" si="61"/>
        <v>0</v>
      </c>
      <c r="V243" s="58">
        <f t="shared" si="62"/>
        <v>0</v>
      </c>
      <c r="W243" s="58">
        <f t="shared" si="63"/>
        <v>0</v>
      </c>
      <c r="X243" s="58">
        <f t="shared" si="64"/>
        <v>0</v>
      </c>
      <c r="Y243" s="52">
        <f t="shared" si="65"/>
        <v>0</v>
      </c>
    </row>
    <row r="244" spans="1:25" x14ac:dyDescent="0.25">
      <c r="A244" s="1218" t="s">
        <v>194</v>
      </c>
      <c r="B244" s="98">
        <v>45323</v>
      </c>
      <c r="C244" s="117" t="str">
        <f t="shared" si="52"/>
        <v>8L</v>
      </c>
      <c r="D244" s="96"/>
      <c r="I244" s="99">
        <f t="shared" si="53"/>
        <v>0</v>
      </c>
      <c r="L244" s="99">
        <f t="shared" si="54"/>
        <v>0</v>
      </c>
      <c r="M244" s="44" t="str">
        <f t="shared" si="56"/>
        <v/>
      </c>
      <c r="N244" s="100">
        <f t="shared" si="57"/>
        <v>0</v>
      </c>
      <c r="O244" s="101">
        <f t="shared" si="58"/>
        <v>0</v>
      </c>
      <c r="P244" s="52">
        <f t="shared" si="59"/>
        <v>0</v>
      </c>
      <c r="Q244" s="49">
        <v>116.88487613461319</v>
      </c>
      <c r="R244">
        <v>2225</v>
      </c>
      <c r="S244" s="50">
        <f t="shared" si="55"/>
        <v>71535.307499999995</v>
      </c>
      <c r="T244" s="50">
        <f t="shared" si="60"/>
        <v>0</v>
      </c>
      <c r="U244" s="58">
        <f t="shared" si="61"/>
        <v>0</v>
      </c>
      <c r="V244" s="58">
        <f t="shared" si="62"/>
        <v>0</v>
      </c>
      <c r="W244" s="58">
        <f t="shared" si="63"/>
        <v>0</v>
      </c>
      <c r="X244" s="58">
        <f t="shared" si="64"/>
        <v>0</v>
      </c>
      <c r="Y244" s="52">
        <f t="shared" si="65"/>
        <v>0</v>
      </c>
    </row>
    <row r="245" spans="1:25" x14ac:dyDescent="0.25">
      <c r="A245" s="1218" t="s">
        <v>195</v>
      </c>
      <c r="B245" s="98">
        <v>45323</v>
      </c>
      <c r="C245" s="117" t="str">
        <f t="shared" si="52"/>
        <v>8L</v>
      </c>
      <c r="D245" s="96"/>
      <c r="I245" s="99">
        <f t="shared" si="53"/>
        <v>0</v>
      </c>
      <c r="L245" s="99">
        <f t="shared" si="54"/>
        <v>0</v>
      </c>
      <c r="M245" s="44" t="str">
        <f t="shared" si="56"/>
        <v/>
      </c>
      <c r="N245" s="100">
        <f t="shared" si="57"/>
        <v>0</v>
      </c>
      <c r="O245" s="101">
        <f t="shared" si="58"/>
        <v>0</v>
      </c>
      <c r="P245" s="52">
        <f t="shared" si="59"/>
        <v>0</v>
      </c>
      <c r="Q245" s="49">
        <v>116.88487613461319</v>
      </c>
      <c r="R245">
        <v>2225</v>
      </c>
      <c r="S245" s="50">
        <f t="shared" si="55"/>
        <v>71535.307499999995</v>
      </c>
      <c r="T245" s="50">
        <f t="shared" si="60"/>
        <v>0</v>
      </c>
      <c r="U245" s="58">
        <f t="shared" si="61"/>
        <v>0</v>
      </c>
      <c r="V245" s="58">
        <f t="shared" si="62"/>
        <v>0</v>
      </c>
      <c r="W245" s="58">
        <f t="shared" si="63"/>
        <v>0</v>
      </c>
      <c r="X245" s="58">
        <f t="shared" si="64"/>
        <v>0</v>
      </c>
      <c r="Y245" s="52">
        <f t="shared" si="65"/>
        <v>0</v>
      </c>
    </row>
    <row r="246" spans="1:25" x14ac:dyDescent="0.25">
      <c r="A246" s="1218" t="s">
        <v>196</v>
      </c>
      <c r="B246" s="98">
        <v>45323</v>
      </c>
      <c r="C246" s="117" t="str">
        <f t="shared" si="52"/>
        <v>8L</v>
      </c>
      <c r="D246" s="96"/>
      <c r="I246" s="99">
        <f t="shared" si="53"/>
        <v>0</v>
      </c>
      <c r="L246" s="99">
        <f t="shared" si="54"/>
        <v>0</v>
      </c>
      <c r="M246" s="44" t="str">
        <f t="shared" si="56"/>
        <v/>
      </c>
      <c r="N246" s="100">
        <f t="shared" si="57"/>
        <v>0</v>
      </c>
      <c r="O246" s="101">
        <f t="shared" si="58"/>
        <v>0</v>
      </c>
      <c r="P246" s="52">
        <f t="shared" si="59"/>
        <v>0</v>
      </c>
      <c r="Q246" s="49">
        <v>116.88487613461319</v>
      </c>
      <c r="R246">
        <v>2225</v>
      </c>
      <c r="S246" s="50">
        <f t="shared" si="55"/>
        <v>71535.307499999995</v>
      </c>
      <c r="T246" s="50">
        <f t="shared" si="60"/>
        <v>0</v>
      </c>
      <c r="U246" s="58">
        <f t="shared" si="61"/>
        <v>0</v>
      </c>
      <c r="V246" s="58">
        <f t="shared" si="62"/>
        <v>0</v>
      </c>
      <c r="W246" s="58">
        <f t="shared" si="63"/>
        <v>0</v>
      </c>
      <c r="X246" s="58">
        <f t="shared" si="64"/>
        <v>0</v>
      </c>
      <c r="Y246" s="52">
        <f t="shared" si="65"/>
        <v>0</v>
      </c>
    </row>
    <row r="247" spans="1:25" x14ac:dyDescent="0.25">
      <c r="A247" s="1218" t="s">
        <v>197</v>
      </c>
      <c r="B247" s="98">
        <v>45323</v>
      </c>
      <c r="C247" s="117" t="str">
        <f t="shared" si="52"/>
        <v>8L</v>
      </c>
      <c r="D247" s="96"/>
      <c r="I247" s="99">
        <f t="shared" si="53"/>
        <v>0</v>
      </c>
      <c r="L247" s="99">
        <f t="shared" si="54"/>
        <v>0</v>
      </c>
      <c r="M247" s="44" t="str">
        <f t="shared" si="56"/>
        <v/>
      </c>
      <c r="N247" s="100">
        <f t="shared" si="57"/>
        <v>0</v>
      </c>
      <c r="O247" s="101">
        <f t="shared" si="58"/>
        <v>0</v>
      </c>
      <c r="P247" s="52">
        <f t="shared" si="59"/>
        <v>0</v>
      </c>
      <c r="Q247" s="49">
        <v>116.88487613461319</v>
      </c>
      <c r="R247">
        <v>2225</v>
      </c>
      <c r="S247" s="50">
        <f t="shared" si="55"/>
        <v>71535.307499999995</v>
      </c>
      <c r="T247" s="50">
        <f t="shared" si="60"/>
        <v>0</v>
      </c>
      <c r="U247" s="58">
        <f t="shared" si="61"/>
        <v>0</v>
      </c>
      <c r="V247" s="58">
        <f t="shared" si="62"/>
        <v>0</v>
      </c>
      <c r="W247" s="58">
        <f t="shared" si="63"/>
        <v>0</v>
      </c>
      <c r="X247" s="58">
        <f t="shared" si="64"/>
        <v>0</v>
      </c>
      <c r="Y247" s="52">
        <f t="shared" si="65"/>
        <v>0</v>
      </c>
    </row>
    <row r="248" spans="1:25" x14ac:dyDescent="0.25">
      <c r="A248" s="1218" t="s">
        <v>198</v>
      </c>
      <c r="B248" s="98">
        <v>45323</v>
      </c>
      <c r="C248" s="117" t="str">
        <f t="shared" si="52"/>
        <v>8L</v>
      </c>
      <c r="D248" s="96"/>
      <c r="I248" s="99">
        <f t="shared" si="53"/>
        <v>0</v>
      </c>
      <c r="L248" s="99">
        <f t="shared" si="54"/>
        <v>0</v>
      </c>
      <c r="M248" s="44" t="str">
        <f t="shared" si="56"/>
        <v/>
      </c>
      <c r="N248" s="100">
        <f t="shared" si="57"/>
        <v>0</v>
      </c>
      <c r="O248" s="101">
        <f t="shared" si="58"/>
        <v>0</v>
      </c>
      <c r="P248" s="52">
        <f t="shared" si="59"/>
        <v>0</v>
      </c>
      <c r="Q248" s="49">
        <v>116.88487613461319</v>
      </c>
      <c r="R248">
        <v>2225</v>
      </c>
      <c r="S248" s="50">
        <f t="shared" si="55"/>
        <v>71535.307499999995</v>
      </c>
      <c r="T248" s="50">
        <f t="shared" si="60"/>
        <v>0</v>
      </c>
      <c r="U248" s="58">
        <f t="shared" si="61"/>
        <v>0</v>
      </c>
      <c r="V248" s="58">
        <f t="shared" si="62"/>
        <v>0</v>
      </c>
      <c r="W248" s="58">
        <f t="shared" si="63"/>
        <v>0</v>
      </c>
      <c r="X248" s="58">
        <f t="shared" si="64"/>
        <v>0</v>
      </c>
      <c r="Y248" s="52">
        <f t="shared" si="65"/>
        <v>0</v>
      </c>
    </row>
    <row r="249" spans="1:25" x14ac:dyDescent="0.25">
      <c r="A249" s="1218" t="s">
        <v>199</v>
      </c>
      <c r="B249" s="98">
        <v>45323</v>
      </c>
      <c r="C249" s="117" t="str">
        <f t="shared" si="52"/>
        <v>8L</v>
      </c>
      <c r="D249" s="96"/>
      <c r="I249" s="99">
        <f t="shared" si="53"/>
        <v>0</v>
      </c>
      <c r="L249" s="99">
        <f t="shared" si="54"/>
        <v>0</v>
      </c>
      <c r="M249" s="44" t="str">
        <f t="shared" si="56"/>
        <v/>
      </c>
      <c r="N249" s="100">
        <f t="shared" si="57"/>
        <v>0</v>
      </c>
      <c r="O249" s="101">
        <f t="shared" si="58"/>
        <v>0</v>
      </c>
      <c r="P249" s="52">
        <f t="shared" si="59"/>
        <v>0</v>
      </c>
      <c r="Q249" s="49">
        <v>116.88487613461319</v>
      </c>
      <c r="R249">
        <v>2225</v>
      </c>
      <c r="S249" s="50">
        <f t="shared" si="55"/>
        <v>71535.307499999995</v>
      </c>
      <c r="T249" s="50">
        <f t="shared" si="60"/>
        <v>0</v>
      </c>
      <c r="U249" s="58">
        <f t="shared" si="61"/>
        <v>0</v>
      </c>
      <c r="V249" s="58">
        <f t="shared" si="62"/>
        <v>0</v>
      </c>
      <c r="W249" s="58">
        <f t="shared" si="63"/>
        <v>0</v>
      </c>
      <c r="X249" s="58">
        <f t="shared" si="64"/>
        <v>0</v>
      </c>
      <c r="Y249" s="52">
        <f t="shared" si="65"/>
        <v>0</v>
      </c>
    </row>
    <row r="250" spans="1:25" x14ac:dyDescent="0.25">
      <c r="A250" s="1218" t="s">
        <v>200</v>
      </c>
      <c r="B250" s="98">
        <v>45323</v>
      </c>
      <c r="C250" s="117" t="str">
        <f t="shared" si="52"/>
        <v>8L</v>
      </c>
      <c r="D250" s="96"/>
      <c r="I250" s="99">
        <f t="shared" si="53"/>
        <v>0</v>
      </c>
      <c r="L250" s="99">
        <f t="shared" si="54"/>
        <v>0</v>
      </c>
      <c r="M250" s="44" t="str">
        <f t="shared" si="56"/>
        <v/>
      </c>
      <c r="N250" s="100">
        <f t="shared" si="57"/>
        <v>0</v>
      </c>
      <c r="O250" s="101">
        <f t="shared" si="58"/>
        <v>0</v>
      </c>
      <c r="P250" s="52">
        <f t="shared" si="59"/>
        <v>0</v>
      </c>
      <c r="Q250" s="49">
        <v>116.88487613461319</v>
      </c>
      <c r="R250">
        <v>2225</v>
      </c>
      <c r="S250" s="50">
        <f t="shared" si="55"/>
        <v>71535.307499999995</v>
      </c>
      <c r="T250" s="50">
        <f t="shared" si="60"/>
        <v>0</v>
      </c>
      <c r="U250" s="58">
        <f t="shared" si="61"/>
        <v>0</v>
      </c>
      <c r="V250" s="58">
        <f t="shared" si="62"/>
        <v>0</v>
      </c>
      <c r="W250" s="58">
        <f t="shared" si="63"/>
        <v>0</v>
      </c>
      <c r="X250" s="58">
        <f t="shared" si="64"/>
        <v>0</v>
      </c>
      <c r="Y250" s="52">
        <f t="shared" si="65"/>
        <v>0</v>
      </c>
    </row>
    <row r="251" spans="1:25" x14ac:dyDescent="0.25">
      <c r="A251" s="1218" t="s">
        <v>201</v>
      </c>
      <c r="B251" s="98">
        <v>45323</v>
      </c>
      <c r="C251" s="117" t="str">
        <f t="shared" si="52"/>
        <v>8L</v>
      </c>
      <c r="D251" s="96"/>
      <c r="I251" s="99">
        <f t="shared" si="53"/>
        <v>0</v>
      </c>
      <c r="L251" s="99">
        <f t="shared" si="54"/>
        <v>0</v>
      </c>
      <c r="M251" s="44" t="str">
        <f t="shared" si="56"/>
        <v/>
      </c>
      <c r="N251" s="100">
        <f t="shared" si="57"/>
        <v>0</v>
      </c>
      <c r="O251" s="101">
        <f t="shared" si="58"/>
        <v>0</v>
      </c>
      <c r="P251" s="52">
        <f t="shared" si="59"/>
        <v>0</v>
      </c>
      <c r="Q251" s="49">
        <v>116.88487613461319</v>
      </c>
      <c r="R251">
        <v>2225</v>
      </c>
      <c r="S251" s="50">
        <f t="shared" si="55"/>
        <v>71535.307499999995</v>
      </c>
      <c r="T251" s="50">
        <f t="shared" si="60"/>
        <v>0</v>
      </c>
      <c r="U251" s="58">
        <f t="shared" si="61"/>
        <v>0</v>
      </c>
      <c r="V251" s="58">
        <f t="shared" si="62"/>
        <v>0</v>
      </c>
      <c r="W251" s="58">
        <f t="shared" si="63"/>
        <v>0</v>
      </c>
      <c r="X251" s="58">
        <f t="shared" si="64"/>
        <v>0</v>
      </c>
      <c r="Y251" s="52">
        <f t="shared" si="65"/>
        <v>0</v>
      </c>
    </row>
    <row r="252" spans="1:25" x14ac:dyDescent="0.25">
      <c r="A252" s="1218" t="s">
        <v>202</v>
      </c>
      <c r="B252" s="98">
        <v>45323</v>
      </c>
      <c r="C252" s="117" t="str">
        <f t="shared" si="52"/>
        <v>8L</v>
      </c>
      <c r="D252" s="96"/>
      <c r="I252" s="99">
        <f t="shared" si="53"/>
        <v>0</v>
      </c>
      <c r="L252" s="99">
        <f t="shared" si="54"/>
        <v>0</v>
      </c>
      <c r="M252" s="44" t="str">
        <f t="shared" si="56"/>
        <v/>
      </c>
      <c r="N252" s="100">
        <f t="shared" si="57"/>
        <v>0</v>
      </c>
      <c r="O252" s="101">
        <f t="shared" si="58"/>
        <v>0</v>
      </c>
      <c r="P252" s="52">
        <f t="shared" si="59"/>
        <v>0</v>
      </c>
      <c r="Q252" s="49">
        <v>116.88487613461319</v>
      </c>
      <c r="R252">
        <v>2225</v>
      </c>
      <c r="S252" s="50">
        <f t="shared" si="55"/>
        <v>71535.307499999995</v>
      </c>
      <c r="T252" s="50">
        <f t="shared" si="60"/>
        <v>0</v>
      </c>
      <c r="U252" s="58">
        <f t="shared" si="61"/>
        <v>0</v>
      </c>
      <c r="V252" s="58">
        <f t="shared" si="62"/>
        <v>0</v>
      </c>
      <c r="W252" s="58">
        <f t="shared" si="63"/>
        <v>0</v>
      </c>
      <c r="X252" s="58">
        <f t="shared" si="64"/>
        <v>0</v>
      </c>
      <c r="Y252" s="52">
        <f t="shared" si="65"/>
        <v>0</v>
      </c>
    </row>
    <row r="253" spans="1:25" x14ac:dyDescent="0.25">
      <c r="A253" s="1218" t="s">
        <v>203</v>
      </c>
      <c r="B253" s="98">
        <v>45323</v>
      </c>
      <c r="C253" s="117" t="str">
        <f t="shared" si="52"/>
        <v>8L</v>
      </c>
      <c r="D253" s="96"/>
      <c r="I253" s="99">
        <f t="shared" si="53"/>
        <v>0</v>
      </c>
      <c r="L253" s="99">
        <f t="shared" si="54"/>
        <v>0</v>
      </c>
      <c r="M253" s="44" t="str">
        <f t="shared" si="56"/>
        <v/>
      </c>
      <c r="N253" s="100">
        <f t="shared" si="57"/>
        <v>0</v>
      </c>
      <c r="O253" s="101">
        <f t="shared" si="58"/>
        <v>0</v>
      </c>
      <c r="P253" s="52">
        <f t="shared" si="59"/>
        <v>0</v>
      </c>
      <c r="Q253" s="49">
        <v>116.88487613461319</v>
      </c>
      <c r="R253">
        <v>2225</v>
      </c>
      <c r="S253" s="50">
        <f t="shared" si="55"/>
        <v>71535.307499999995</v>
      </c>
      <c r="T253" s="50">
        <f t="shared" si="60"/>
        <v>0</v>
      </c>
      <c r="U253" s="58">
        <f t="shared" si="61"/>
        <v>0</v>
      </c>
      <c r="V253" s="58">
        <f t="shared" si="62"/>
        <v>0</v>
      </c>
      <c r="W253" s="58">
        <f t="shared" si="63"/>
        <v>0</v>
      </c>
      <c r="X253" s="58">
        <f t="shared" si="64"/>
        <v>0</v>
      </c>
      <c r="Y253" s="52">
        <f t="shared" si="65"/>
        <v>0</v>
      </c>
    </row>
    <row r="254" spans="1:25" x14ac:dyDescent="0.25">
      <c r="A254" s="1218" t="s">
        <v>204</v>
      </c>
      <c r="B254" s="98">
        <v>45323</v>
      </c>
      <c r="C254" s="117" t="str">
        <f t="shared" si="52"/>
        <v>8L</v>
      </c>
      <c r="D254" s="96"/>
      <c r="I254" s="99">
        <f t="shared" si="53"/>
        <v>0</v>
      </c>
      <c r="L254" s="99">
        <f t="shared" si="54"/>
        <v>0</v>
      </c>
      <c r="M254" s="44" t="str">
        <f t="shared" si="56"/>
        <v/>
      </c>
      <c r="N254" s="100">
        <f t="shared" si="57"/>
        <v>0</v>
      </c>
      <c r="O254" s="101">
        <f t="shared" si="58"/>
        <v>0</v>
      </c>
      <c r="P254" s="52">
        <f t="shared" si="59"/>
        <v>0</v>
      </c>
      <c r="Q254" s="49">
        <v>116.88487613461319</v>
      </c>
      <c r="R254">
        <v>2225</v>
      </c>
      <c r="S254" s="50">
        <f t="shared" si="55"/>
        <v>71535.307499999995</v>
      </c>
      <c r="T254" s="50">
        <f t="shared" si="60"/>
        <v>0</v>
      </c>
      <c r="U254" s="58">
        <f t="shared" si="61"/>
        <v>0</v>
      </c>
      <c r="V254" s="58">
        <f t="shared" si="62"/>
        <v>0</v>
      </c>
      <c r="W254" s="58">
        <f t="shared" si="63"/>
        <v>0</v>
      </c>
      <c r="X254" s="58">
        <f t="shared" si="64"/>
        <v>0</v>
      </c>
      <c r="Y254" s="52">
        <f t="shared" si="65"/>
        <v>0</v>
      </c>
    </row>
    <row r="255" spans="1:25" x14ac:dyDescent="0.25">
      <c r="A255" s="1218" t="s">
        <v>205</v>
      </c>
      <c r="B255" s="98">
        <v>45323</v>
      </c>
      <c r="C255" s="117" t="str">
        <f t="shared" si="52"/>
        <v>8L</v>
      </c>
      <c r="D255" s="96"/>
      <c r="I255" s="99">
        <f t="shared" si="53"/>
        <v>0</v>
      </c>
      <c r="L255" s="99">
        <f t="shared" si="54"/>
        <v>0</v>
      </c>
      <c r="M255" s="44" t="str">
        <f t="shared" si="56"/>
        <v/>
      </c>
      <c r="N255" s="100">
        <f t="shared" si="57"/>
        <v>0</v>
      </c>
      <c r="O255" s="101">
        <f t="shared" si="58"/>
        <v>0</v>
      </c>
      <c r="P255" s="52">
        <f t="shared" si="59"/>
        <v>0</v>
      </c>
      <c r="Q255" s="49">
        <v>116.88487613461319</v>
      </c>
      <c r="R255">
        <v>2225</v>
      </c>
      <c r="S255" s="50">
        <f t="shared" si="55"/>
        <v>71535.307499999995</v>
      </c>
      <c r="T255" s="50">
        <f t="shared" si="60"/>
        <v>0</v>
      </c>
      <c r="U255" s="58">
        <f t="shared" si="61"/>
        <v>0</v>
      </c>
      <c r="V255" s="58">
        <f t="shared" si="62"/>
        <v>0</v>
      </c>
      <c r="W255" s="58">
        <f t="shared" si="63"/>
        <v>0</v>
      </c>
      <c r="X255" s="58">
        <f t="shared" si="64"/>
        <v>0</v>
      </c>
      <c r="Y255" s="52">
        <f t="shared" si="65"/>
        <v>0</v>
      </c>
    </row>
    <row r="256" spans="1:25" x14ac:dyDescent="0.25">
      <c r="A256" s="1218" t="s">
        <v>206</v>
      </c>
      <c r="B256" s="98">
        <v>45323</v>
      </c>
      <c r="C256" s="117" t="str">
        <f t="shared" si="52"/>
        <v>8L</v>
      </c>
      <c r="D256" s="96"/>
      <c r="I256" s="99">
        <f t="shared" si="53"/>
        <v>0</v>
      </c>
      <c r="L256" s="99">
        <f t="shared" si="54"/>
        <v>0</v>
      </c>
      <c r="M256" s="44" t="str">
        <f t="shared" si="56"/>
        <v/>
      </c>
      <c r="N256" s="100">
        <f t="shared" si="57"/>
        <v>0</v>
      </c>
      <c r="O256" s="101">
        <f t="shared" si="58"/>
        <v>0</v>
      </c>
      <c r="P256" s="52">
        <f t="shared" si="59"/>
        <v>0</v>
      </c>
      <c r="Q256" s="49">
        <v>116.88487613461319</v>
      </c>
      <c r="R256">
        <v>2225</v>
      </c>
      <c r="S256" s="50">
        <f t="shared" si="55"/>
        <v>71535.307499999995</v>
      </c>
      <c r="T256" s="50">
        <f t="shared" si="60"/>
        <v>0</v>
      </c>
      <c r="U256" s="58">
        <f t="shared" si="61"/>
        <v>0</v>
      </c>
      <c r="V256" s="58">
        <f t="shared" si="62"/>
        <v>0</v>
      </c>
      <c r="W256" s="58">
        <f t="shared" si="63"/>
        <v>0</v>
      </c>
      <c r="X256" s="58">
        <f t="shared" si="64"/>
        <v>0</v>
      </c>
      <c r="Y256" s="52">
        <f t="shared" si="65"/>
        <v>0</v>
      </c>
    </row>
    <row r="257" spans="1:25" ht="15.75" thickBot="1" x14ac:dyDescent="0.3">
      <c r="A257" s="1219" t="s">
        <v>207</v>
      </c>
      <c r="B257" s="98">
        <v>45323</v>
      </c>
      <c r="C257" s="117" t="str">
        <f t="shared" si="52"/>
        <v>8L</v>
      </c>
      <c r="D257" s="96"/>
      <c r="I257" s="99">
        <f t="shared" si="53"/>
        <v>0</v>
      </c>
      <c r="L257" s="99">
        <f t="shared" si="54"/>
        <v>0</v>
      </c>
      <c r="M257" s="44" t="str">
        <f t="shared" si="56"/>
        <v/>
      </c>
      <c r="N257" s="100">
        <f t="shared" si="57"/>
        <v>0</v>
      </c>
      <c r="O257" s="101">
        <f t="shared" si="58"/>
        <v>0</v>
      </c>
      <c r="P257" s="52">
        <f t="shared" si="59"/>
        <v>0</v>
      </c>
      <c r="Q257" s="49">
        <v>116.88487613461319</v>
      </c>
      <c r="R257">
        <v>2225</v>
      </c>
      <c r="S257" s="50">
        <f t="shared" si="55"/>
        <v>71535.307499999995</v>
      </c>
      <c r="T257" s="50">
        <f t="shared" si="60"/>
        <v>0</v>
      </c>
      <c r="U257" s="58">
        <f t="shared" si="61"/>
        <v>0</v>
      </c>
      <c r="V257" s="58">
        <f t="shared" si="62"/>
        <v>0</v>
      </c>
      <c r="W257" s="58">
        <f t="shared" si="63"/>
        <v>0</v>
      </c>
      <c r="X257" s="58">
        <f t="shared" si="64"/>
        <v>0</v>
      </c>
      <c r="Y257" s="52">
        <f t="shared" si="65"/>
        <v>0</v>
      </c>
    </row>
    <row r="258" spans="1:25" x14ac:dyDescent="0.25">
      <c r="A258" s="97" t="s">
        <v>80</v>
      </c>
      <c r="B258" s="98">
        <v>45352</v>
      </c>
      <c r="C258" s="117" t="str">
        <f t="shared" si="52"/>
        <v>1L</v>
      </c>
      <c r="D258" s="96"/>
      <c r="E258" s="96"/>
      <c r="F258" s="96"/>
      <c r="G258" s="96"/>
      <c r="H258" s="96"/>
      <c r="I258" s="99">
        <f t="shared" si="53"/>
        <v>0</v>
      </c>
      <c r="J258" s="96"/>
      <c r="K258" s="96"/>
      <c r="L258" s="99">
        <f t="shared" si="54"/>
        <v>0</v>
      </c>
      <c r="M258" s="44" t="str">
        <f t="shared" si="56"/>
        <v/>
      </c>
      <c r="N258" s="100">
        <f t="shared" si="57"/>
        <v>0</v>
      </c>
      <c r="O258" s="101">
        <f t="shared" si="58"/>
        <v>0</v>
      </c>
      <c r="P258" s="52">
        <f t="shared" si="59"/>
        <v>0</v>
      </c>
      <c r="Q258" s="49">
        <v>116.88487613461319</v>
      </c>
      <c r="R258">
        <v>2225</v>
      </c>
      <c r="S258" s="50">
        <f t="shared" si="55"/>
        <v>71535.307499999995</v>
      </c>
      <c r="T258" s="50">
        <f t="shared" si="60"/>
        <v>0</v>
      </c>
      <c r="U258" s="58">
        <f t="shared" si="61"/>
        <v>0</v>
      </c>
      <c r="V258" s="58">
        <f t="shared" si="62"/>
        <v>0</v>
      </c>
      <c r="W258" s="58">
        <f t="shared" si="63"/>
        <v>0</v>
      </c>
      <c r="X258" s="58">
        <f t="shared" si="64"/>
        <v>0</v>
      </c>
      <c r="Y258" s="52">
        <f t="shared" si="65"/>
        <v>0</v>
      </c>
    </row>
    <row r="259" spans="1:25" x14ac:dyDescent="0.25">
      <c r="A259" s="1218" t="s">
        <v>81</v>
      </c>
      <c r="B259" s="98">
        <v>45352</v>
      </c>
      <c r="C259" s="117" t="str">
        <f t="shared" si="52"/>
        <v>1L</v>
      </c>
      <c r="D259" s="96"/>
      <c r="E259" s="96"/>
      <c r="F259" s="96"/>
      <c r="G259" s="96"/>
      <c r="H259" s="96"/>
      <c r="I259" s="99">
        <f t="shared" si="53"/>
        <v>0</v>
      </c>
      <c r="J259" s="96"/>
      <c r="K259" s="96"/>
      <c r="L259" s="99">
        <f t="shared" si="54"/>
        <v>0</v>
      </c>
      <c r="M259" s="44" t="str">
        <f t="shared" si="56"/>
        <v/>
      </c>
      <c r="N259" s="100">
        <f t="shared" si="57"/>
        <v>0</v>
      </c>
      <c r="O259" s="101">
        <f t="shared" si="58"/>
        <v>0</v>
      </c>
      <c r="P259" s="52">
        <f t="shared" si="59"/>
        <v>0</v>
      </c>
      <c r="Q259" s="49">
        <v>116.88487613461319</v>
      </c>
      <c r="R259">
        <v>2225</v>
      </c>
      <c r="S259" s="50">
        <f t="shared" si="55"/>
        <v>71535.307499999995</v>
      </c>
      <c r="T259" s="50">
        <f t="shared" si="60"/>
        <v>0</v>
      </c>
      <c r="U259" s="58">
        <f t="shared" si="61"/>
        <v>0</v>
      </c>
      <c r="V259" s="58">
        <f t="shared" si="62"/>
        <v>0</v>
      </c>
      <c r="W259" s="58">
        <f t="shared" si="63"/>
        <v>0</v>
      </c>
      <c r="X259" s="58">
        <f t="shared" si="64"/>
        <v>0</v>
      </c>
      <c r="Y259" s="52">
        <f t="shared" si="65"/>
        <v>0</v>
      </c>
    </row>
    <row r="260" spans="1:25" x14ac:dyDescent="0.25">
      <c r="A260" s="1218" t="s">
        <v>82</v>
      </c>
      <c r="B260" s="98">
        <v>45352</v>
      </c>
      <c r="C260" s="117" t="str">
        <f t="shared" si="52"/>
        <v>1L</v>
      </c>
      <c r="D260" s="96"/>
      <c r="E260" s="96"/>
      <c r="F260" s="96"/>
      <c r="G260" s="96"/>
      <c r="H260" s="96"/>
      <c r="I260" s="99">
        <f t="shared" si="53"/>
        <v>0</v>
      </c>
      <c r="J260" s="96"/>
      <c r="K260" s="96"/>
      <c r="L260" s="99">
        <f t="shared" si="54"/>
        <v>0</v>
      </c>
      <c r="M260" s="44" t="str">
        <f t="shared" si="56"/>
        <v/>
      </c>
      <c r="N260" s="100">
        <f t="shared" si="57"/>
        <v>0</v>
      </c>
      <c r="O260" s="101">
        <f t="shared" si="58"/>
        <v>0</v>
      </c>
      <c r="P260" s="52">
        <f t="shared" si="59"/>
        <v>0</v>
      </c>
      <c r="Q260" s="49">
        <v>116.88487613461319</v>
      </c>
      <c r="R260">
        <v>2225</v>
      </c>
      <c r="S260" s="50">
        <f t="shared" si="55"/>
        <v>71535.307499999995</v>
      </c>
      <c r="T260" s="50">
        <f t="shared" si="60"/>
        <v>0</v>
      </c>
      <c r="U260" s="58">
        <f t="shared" si="61"/>
        <v>0</v>
      </c>
      <c r="V260" s="58">
        <f t="shared" si="62"/>
        <v>0</v>
      </c>
      <c r="W260" s="58">
        <f t="shared" si="63"/>
        <v>0</v>
      </c>
      <c r="X260" s="58">
        <f t="shared" si="64"/>
        <v>0</v>
      </c>
      <c r="Y260" s="52">
        <f t="shared" si="65"/>
        <v>0</v>
      </c>
    </row>
    <row r="261" spans="1:25" x14ac:dyDescent="0.25">
      <c r="A261" s="1218" t="s">
        <v>83</v>
      </c>
      <c r="B261" s="98">
        <v>45352</v>
      </c>
      <c r="C261" s="117" t="str">
        <f t="shared" ref="C261:C325" si="66">LEFT(A261,2)</f>
        <v>1L</v>
      </c>
      <c r="D261" s="96"/>
      <c r="E261" s="96"/>
      <c r="F261" s="96"/>
      <c r="G261" s="96"/>
      <c r="H261" s="96"/>
      <c r="I261" s="99">
        <f t="shared" si="53"/>
        <v>0</v>
      </c>
      <c r="J261" s="96"/>
      <c r="K261" s="96"/>
      <c r="L261" s="99">
        <f t="shared" si="54"/>
        <v>0</v>
      </c>
      <c r="M261" s="44" t="str">
        <f t="shared" si="56"/>
        <v/>
      </c>
      <c r="N261" s="100">
        <f t="shared" si="57"/>
        <v>0</v>
      </c>
      <c r="O261" s="101">
        <f t="shared" si="58"/>
        <v>0</v>
      </c>
      <c r="P261" s="52">
        <f t="shared" si="59"/>
        <v>0</v>
      </c>
      <c r="Q261" s="49">
        <v>116.88487613461319</v>
      </c>
      <c r="R261">
        <v>2225</v>
      </c>
      <c r="S261" s="50">
        <f t="shared" si="55"/>
        <v>71535.307499999995</v>
      </c>
      <c r="T261" s="50">
        <f t="shared" si="60"/>
        <v>0</v>
      </c>
      <c r="U261" s="58">
        <f t="shared" si="61"/>
        <v>0</v>
      </c>
      <c r="V261" s="58">
        <f t="shared" si="62"/>
        <v>0</v>
      </c>
      <c r="W261" s="58">
        <f t="shared" si="63"/>
        <v>0</v>
      </c>
      <c r="X261" s="58">
        <f t="shared" si="64"/>
        <v>0</v>
      </c>
      <c r="Y261" s="52">
        <f t="shared" si="65"/>
        <v>0</v>
      </c>
    </row>
    <row r="262" spans="1:25" x14ac:dyDescent="0.25">
      <c r="A262" s="1218" t="s">
        <v>84</v>
      </c>
      <c r="B262" s="98">
        <v>45352</v>
      </c>
      <c r="C262" s="117" t="str">
        <f t="shared" si="66"/>
        <v>2L</v>
      </c>
      <c r="D262" s="96"/>
      <c r="E262" s="98"/>
      <c r="F262" s="98"/>
      <c r="I262" s="99">
        <f t="shared" si="53"/>
        <v>0</v>
      </c>
      <c r="L262" s="99">
        <f t="shared" si="54"/>
        <v>0</v>
      </c>
      <c r="M262" s="44" t="str">
        <f t="shared" si="56"/>
        <v/>
      </c>
      <c r="N262" s="100">
        <f t="shared" si="57"/>
        <v>0</v>
      </c>
      <c r="O262" s="101">
        <f t="shared" si="58"/>
        <v>0</v>
      </c>
      <c r="P262" s="52">
        <f t="shared" si="59"/>
        <v>0</v>
      </c>
      <c r="Q262" s="49">
        <v>116.88487613461319</v>
      </c>
      <c r="R262">
        <v>2225</v>
      </c>
      <c r="S262" s="50">
        <f t="shared" si="55"/>
        <v>71535.307499999995</v>
      </c>
      <c r="T262" s="50">
        <f t="shared" si="60"/>
        <v>0</v>
      </c>
      <c r="U262" s="58">
        <f t="shared" si="61"/>
        <v>0</v>
      </c>
      <c r="V262" s="58">
        <f t="shared" si="62"/>
        <v>0</v>
      </c>
      <c r="W262" s="58">
        <f t="shared" si="63"/>
        <v>0</v>
      </c>
      <c r="X262" s="58">
        <f t="shared" si="64"/>
        <v>0</v>
      </c>
      <c r="Y262" s="52">
        <f t="shared" si="65"/>
        <v>0</v>
      </c>
    </row>
    <row r="263" spans="1:25" x14ac:dyDescent="0.25">
      <c r="A263" s="1218" t="s">
        <v>85</v>
      </c>
      <c r="B263" s="98">
        <v>45352</v>
      </c>
      <c r="C263" s="117" t="str">
        <f t="shared" si="66"/>
        <v>2L</v>
      </c>
      <c r="D263" s="96"/>
      <c r="E263" s="98"/>
      <c r="F263" s="98"/>
      <c r="I263" s="99">
        <f t="shared" si="53"/>
        <v>0</v>
      </c>
      <c r="L263" s="99">
        <f t="shared" si="54"/>
        <v>0</v>
      </c>
      <c r="M263" s="44" t="str">
        <f t="shared" si="56"/>
        <v/>
      </c>
      <c r="N263" s="100">
        <f t="shared" si="57"/>
        <v>0</v>
      </c>
      <c r="O263" s="101">
        <f t="shared" si="58"/>
        <v>0</v>
      </c>
      <c r="P263" s="52">
        <f t="shared" si="59"/>
        <v>0</v>
      </c>
      <c r="Q263" s="49">
        <v>116.88487613461319</v>
      </c>
      <c r="R263">
        <v>2225</v>
      </c>
      <c r="S263" s="50">
        <f t="shared" si="55"/>
        <v>71535.307499999995</v>
      </c>
      <c r="T263" s="50">
        <f t="shared" si="60"/>
        <v>0</v>
      </c>
      <c r="U263" s="58">
        <f t="shared" si="61"/>
        <v>0</v>
      </c>
      <c r="V263" s="58">
        <f t="shared" si="62"/>
        <v>0</v>
      </c>
      <c r="W263" s="58">
        <f t="shared" si="63"/>
        <v>0</v>
      </c>
      <c r="X263" s="58">
        <f t="shared" si="64"/>
        <v>0</v>
      </c>
      <c r="Y263" s="52">
        <f t="shared" si="65"/>
        <v>0</v>
      </c>
    </row>
    <row r="264" spans="1:25" x14ac:dyDescent="0.25">
      <c r="A264" s="1218" t="s">
        <v>86</v>
      </c>
      <c r="B264" s="98">
        <v>45352</v>
      </c>
      <c r="C264" s="117" t="str">
        <f t="shared" si="66"/>
        <v>2L</v>
      </c>
      <c r="D264" s="96"/>
      <c r="E264" s="98"/>
      <c r="F264" s="98"/>
      <c r="I264" s="99">
        <f t="shared" si="53"/>
        <v>0</v>
      </c>
      <c r="J264" s="41">
        <v>390</v>
      </c>
      <c r="K264" s="47">
        <v>2.37</v>
      </c>
      <c r="L264" s="99">
        <f t="shared" si="54"/>
        <v>0.92430000000000012</v>
      </c>
      <c r="M264" s="44" t="str">
        <f t="shared" si="56"/>
        <v/>
      </c>
      <c r="N264" s="100">
        <f t="shared" si="57"/>
        <v>390</v>
      </c>
      <c r="O264" s="101">
        <f t="shared" si="58"/>
        <v>0.92430000000000012</v>
      </c>
      <c r="P264" s="52">
        <f t="shared" si="59"/>
        <v>20534.983029750852</v>
      </c>
      <c r="Q264" s="49">
        <v>116.88487613461319</v>
      </c>
      <c r="R264">
        <v>2225</v>
      </c>
      <c r="S264" s="50">
        <f t="shared" si="55"/>
        <v>71535.307499999995</v>
      </c>
      <c r="T264" s="50">
        <f t="shared" si="60"/>
        <v>0</v>
      </c>
      <c r="U264" s="58">
        <f t="shared" si="61"/>
        <v>66120.084722250002</v>
      </c>
      <c r="V264" s="58">
        <f t="shared" si="62"/>
        <v>0</v>
      </c>
      <c r="W264" s="58">
        <f t="shared" si="63"/>
        <v>45585.101692499149</v>
      </c>
      <c r="X264" s="58">
        <f t="shared" si="64"/>
        <v>0</v>
      </c>
      <c r="Y264" s="52">
        <f t="shared" si="65"/>
        <v>20534.983029750852</v>
      </c>
    </row>
    <row r="265" spans="1:25" x14ac:dyDescent="0.25">
      <c r="A265" s="1218" t="s">
        <v>87</v>
      </c>
      <c r="B265" s="98">
        <v>45352</v>
      </c>
      <c r="C265" s="117" t="str">
        <f t="shared" si="66"/>
        <v>3L</v>
      </c>
      <c r="D265" s="96"/>
      <c r="E265" s="98"/>
      <c r="F265" s="98"/>
      <c r="I265" s="99">
        <f t="shared" si="53"/>
        <v>0</v>
      </c>
      <c r="L265" s="99">
        <f t="shared" si="54"/>
        <v>0</v>
      </c>
      <c r="M265" s="44" t="str">
        <f t="shared" si="56"/>
        <v/>
      </c>
      <c r="N265" s="100">
        <f t="shared" si="57"/>
        <v>0</v>
      </c>
      <c r="O265" s="101">
        <f t="shared" si="58"/>
        <v>0</v>
      </c>
      <c r="P265" s="52">
        <f t="shared" si="59"/>
        <v>0</v>
      </c>
      <c r="Q265" s="49">
        <v>116.88487613461319</v>
      </c>
      <c r="R265">
        <v>2225</v>
      </c>
      <c r="S265" s="50">
        <f t="shared" si="55"/>
        <v>71535.307499999995</v>
      </c>
      <c r="T265" s="50">
        <f t="shared" si="60"/>
        <v>0</v>
      </c>
      <c r="U265" s="58">
        <f t="shared" si="61"/>
        <v>0</v>
      </c>
      <c r="V265" s="58">
        <f t="shared" si="62"/>
        <v>0</v>
      </c>
      <c r="W265" s="58">
        <f t="shared" si="63"/>
        <v>0</v>
      </c>
      <c r="X265" s="58">
        <f t="shared" si="64"/>
        <v>0</v>
      </c>
      <c r="Y265" s="52">
        <f t="shared" si="65"/>
        <v>0</v>
      </c>
    </row>
    <row r="266" spans="1:25" x14ac:dyDescent="0.25">
      <c r="A266" s="1218" t="s">
        <v>88</v>
      </c>
      <c r="B266" s="98">
        <v>45352</v>
      </c>
      <c r="C266" s="117" t="str">
        <f t="shared" si="66"/>
        <v>3L</v>
      </c>
      <c r="D266" s="96"/>
      <c r="E266" s="98"/>
      <c r="F266" s="98"/>
      <c r="I266" s="99">
        <f t="shared" si="53"/>
        <v>0</v>
      </c>
      <c r="L266" s="99">
        <f t="shared" si="54"/>
        <v>0</v>
      </c>
      <c r="M266" s="44" t="str">
        <f t="shared" si="56"/>
        <v/>
      </c>
      <c r="N266" s="100">
        <f t="shared" si="57"/>
        <v>0</v>
      </c>
      <c r="O266" s="101">
        <f t="shared" si="58"/>
        <v>0</v>
      </c>
      <c r="P266" s="52">
        <f t="shared" si="59"/>
        <v>0</v>
      </c>
      <c r="Q266" s="49">
        <v>116.88487613461319</v>
      </c>
      <c r="R266">
        <v>2225</v>
      </c>
      <c r="S266" s="50">
        <f t="shared" si="55"/>
        <v>71535.307499999995</v>
      </c>
      <c r="T266" s="50">
        <f t="shared" si="60"/>
        <v>0</v>
      </c>
      <c r="U266" s="58">
        <f t="shared" si="61"/>
        <v>0</v>
      </c>
      <c r="V266" s="58">
        <f t="shared" si="62"/>
        <v>0</v>
      </c>
      <c r="W266" s="58">
        <f t="shared" si="63"/>
        <v>0</v>
      </c>
      <c r="X266" s="58">
        <f t="shared" si="64"/>
        <v>0</v>
      </c>
      <c r="Y266" s="52">
        <f t="shared" si="65"/>
        <v>0</v>
      </c>
    </row>
    <row r="267" spans="1:25" x14ac:dyDescent="0.25">
      <c r="A267" s="1218" t="s">
        <v>89</v>
      </c>
      <c r="B267" s="98">
        <v>45352</v>
      </c>
      <c r="C267" s="117" t="str">
        <f t="shared" si="66"/>
        <v>3L</v>
      </c>
      <c r="D267" s="96"/>
      <c r="E267" s="98"/>
      <c r="F267" s="98"/>
      <c r="I267" s="99">
        <f t="shared" si="53"/>
        <v>0</v>
      </c>
      <c r="L267" s="99">
        <f t="shared" si="54"/>
        <v>0</v>
      </c>
      <c r="M267" s="44" t="str">
        <f t="shared" si="56"/>
        <v/>
      </c>
      <c r="N267" s="100">
        <f t="shared" si="57"/>
        <v>0</v>
      </c>
      <c r="O267" s="101">
        <f t="shared" si="58"/>
        <v>0</v>
      </c>
      <c r="P267" s="52">
        <f t="shared" si="59"/>
        <v>0</v>
      </c>
      <c r="Q267" s="49">
        <v>116.88487613461319</v>
      </c>
      <c r="R267">
        <v>2225</v>
      </c>
      <c r="S267" s="50">
        <f t="shared" si="55"/>
        <v>71535.307499999995</v>
      </c>
      <c r="T267" s="50">
        <f t="shared" si="60"/>
        <v>0</v>
      </c>
      <c r="U267" s="58">
        <f t="shared" si="61"/>
        <v>0</v>
      </c>
      <c r="V267" s="58">
        <f t="shared" si="62"/>
        <v>0</v>
      </c>
      <c r="W267" s="58">
        <f t="shared" si="63"/>
        <v>0</v>
      </c>
      <c r="X267" s="58">
        <f t="shared" si="64"/>
        <v>0</v>
      </c>
      <c r="Y267" s="52">
        <f t="shared" si="65"/>
        <v>0</v>
      </c>
    </row>
    <row r="268" spans="1:25" x14ac:dyDescent="0.25">
      <c r="A268" s="1218" t="s">
        <v>90</v>
      </c>
      <c r="B268" s="98">
        <v>45352</v>
      </c>
      <c r="C268" s="117" t="str">
        <f t="shared" si="66"/>
        <v>3L</v>
      </c>
      <c r="D268" s="96"/>
      <c r="E268" s="98"/>
      <c r="F268" s="98"/>
      <c r="I268" s="99">
        <f t="shared" ref="I268:I338" si="67">IFERROR(G268*H268/1000,"")</f>
        <v>0</v>
      </c>
      <c r="L268" s="99">
        <f t="shared" ref="L268:L338" si="68">IFERROR(J268*K268/1000,"")</f>
        <v>0</v>
      </c>
      <c r="M268" s="44" t="str">
        <f t="shared" si="56"/>
        <v/>
      </c>
      <c r="N268" s="100">
        <f t="shared" si="57"/>
        <v>0</v>
      </c>
      <c r="O268" s="101">
        <f t="shared" si="58"/>
        <v>0</v>
      </c>
      <c r="P268" s="52">
        <f t="shared" si="59"/>
        <v>0</v>
      </c>
      <c r="Q268" s="49">
        <v>116.88487613461319</v>
      </c>
      <c r="R268">
        <v>2225</v>
      </c>
      <c r="S268" s="50">
        <f t="shared" ref="S268:S338" si="69">R268*32.1507</f>
        <v>71535.307499999995</v>
      </c>
      <c r="T268" s="50">
        <f t="shared" si="60"/>
        <v>0</v>
      </c>
      <c r="U268" s="58">
        <f t="shared" si="61"/>
        <v>0</v>
      </c>
      <c r="V268" s="58">
        <f t="shared" si="62"/>
        <v>0</v>
      </c>
      <c r="W268" s="58">
        <f t="shared" si="63"/>
        <v>0</v>
      </c>
      <c r="X268" s="58">
        <f t="shared" si="64"/>
        <v>0</v>
      </c>
      <c r="Y268" s="52">
        <f t="shared" si="65"/>
        <v>0</v>
      </c>
    </row>
    <row r="269" spans="1:25" x14ac:dyDescent="0.25">
      <c r="A269" s="1218" t="s">
        <v>91</v>
      </c>
      <c r="B269" s="98">
        <v>45352</v>
      </c>
      <c r="C269" s="117" t="str">
        <f t="shared" si="66"/>
        <v>3L</v>
      </c>
      <c r="D269" s="96"/>
      <c r="E269" s="98"/>
      <c r="F269" s="98"/>
      <c r="I269" s="99">
        <f t="shared" si="67"/>
        <v>0</v>
      </c>
      <c r="L269" s="99">
        <f t="shared" si="68"/>
        <v>0</v>
      </c>
      <c r="M269" s="44" t="str">
        <f t="shared" si="56"/>
        <v/>
      </c>
      <c r="N269" s="100">
        <f t="shared" si="57"/>
        <v>0</v>
      </c>
      <c r="O269" s="101">
        <f t="shared" si="58"/>
        <v>0</v>
      </c>
      <c r="P269" s="52">
        <f t="shared" si="59"/>
        <v>0</v>
      </c>
      <c r="Q269" s="49">
        <v>116.88487613461319</v>
      </c>
      <c r="R269">
        <v>2225</v>
      </c>
      <c r="S269" s="50">
        <f t="shared" si="69"/>
        <v>71535.307499999995</v>
      </c>
      <c r="T269" s="50">
        <f t="shared" si="60"/>
        <v>0</v>
      </c>
      <c r="U269" s="58">
        <f t="shared" si="61"/>
        <v>0</v>
      </c>
      <c r="V269" s="58">
        <f t="shared" si="62"/>
        <v>0</v>
      </c>
      <c r="W269" s="58">
        <f t="shared" si="63"/>
        <v>0</v>
      </c>
      <c r="X269" s="58">
        <f t="shared" si="64"/>
        <v>0</v>
      </c>
      <c r="Y269" s="52">
        <f t="shared" si="65"/>
        <v>0</v>
      </c>
    </row>
    <row r="270" spans="1:25" x14ac:dyDescent="0.25">
      <c r="A270" s="1218" t="s">
        <v>92</v>
      </c>
      <c r="B270" s="98">
        <v>45352</v>
      </c>
      <c r="C270" s="117" t="str">
        <f t="shared" si="66"/>
        <v>3L</v>
      </c>
      <c r="D270" s="96"/>
      <c r="E270" s="98"/>
      <c r="F270" s="98"/>
      <c r="G270" s="41"/>
      <c r="H270" s="47"/>
      <c r="I270" s="99">
        <f t="shared" si="67"/>
        <v>0</v>
      </c>
      <c r="J270" s="41"/>
      <c r="K270" s="47"/>
      <c r="L270" s="99">
        <f t="shared" si="68"/>
        <v>0</v>
      </c>
      <c r="M270" s="44" t="str">
        <f t="shared" ref="M270:M340" si="70">IFERROR((L270-I270)/I270,"")</f>
        <v/>
      </c>
      <c r="N270" s="100">
        <f t="shared" ref="N270:N340" si="71">J270-G270</f>
        <v>0</v>
      </c>
      <c r="O270" s="101">
        <f t="shared" ref="O270:O340" si="72">L270-I270</f>
        <v>0</v>
      </c>
      <c r="P270" s="52">
        <f t="shared" ref="P270:P340" si="73">U270-W270</f>
        <v>0</v>
      </c>
      <c r="Q270" s="49">
        <v>116.88487613461319</v>
      </c>
      <c r="R270">
        <v>2225</v>
      </c>
      <c r="S270" s="50">
        <f t="shared" si="69"/>
        <v>71535.307499999995</v>
      </c>
      <c r="T270" s="50">
        <f t="shared" ref="T270:T340" si="74">IFERROR(S270*I270,"")</f>
        <v>0</v>
      </c>
      <c r="U270" s="58">
        <f t="shared" ref="U270:U340" si="75">IFERROR(S270*L270,"")</f>
        <v>0</v>
      </c>
      <c r="V270" s="58">
        <f t="shared" ref="V270:V340" si="76">IFERROR(Q270*G270,"")</f>
        <v>0</v>
      </c>
      <c r="W270" s="58">
        <f t="shared" ref="W270:W340" si="77">IFERROR(Q270*J270,"")</f>
        <v>0</v>
      </c>
      <c r="X270" s="58">
        <f t="shared" ref="X270:X340" si="78">T270-V270</f>
        <v>0</v>
      </c>
      <c r="Y270" s="52">
        <f t="shared" ref="Y270:Y340" si="79">U270-W270</f>
        <v>0</v>
      </c>
    </row>
    <row r="271" spans="1:25" x14ac:dyDescent="0.25">
      <c r="A271" s="1218" t="s">
        <v>93</v>
      </c>
      <c r="B271" s="98">
        <v>45352</v>
      </c>
      <c r="C271" s="117" t="str">
        <f t="shared" si="66"/>
        <v>3L</v>
      </c>
      <c r="D271" s="96"/>
      <c r="E271" s="98"/>
      <c r="F271" s="98"/>
      <c r="G271" s="41"/>
      <c r="H271" s="47"/>
      <c r="I271" s="99">
        <f t="shared" si="67"/>
        <v>0</v>
      </c>
      <c r="J271" s="41"/>
      <c r="K271" s="47"/>
      <c r="L271" s="99">
        <f t="shared" si="68"/>
        <v>0</v>
      </c>
      <c r="M271" s="44" t="str">
        <f t="shared" si="70"/>
        <v/>
      </c>
      <c r="N271" s="100">
        <f t="shared" si="71"/>
        <v>0</v>
      </c>
      <c r="O271" s="101">
        <f t="shared" si="72"/>
        <v>0</v>
      </c>
      <c r="P271" s="52">
        <f t="shared" si="73"/>
        <v>0</v>
      </c>
      <c r="Q271" s="49">
        <v>116.88487613461319</v>
      </c>
      <c r="R271">
        <v>2225</v>
      </c>
      <c r="S271" s="50">
        <f t="shared" si="69"/>
        <v>71535.307499999995</v>
      </c>
      <c r="T271" s="50">
        <f t="shared" si="74"/>
        <v>0</v>
      </c>
      <c r="U271" s="58">
        <f t="shared" si="75"/>
        <v>0</v>
      </c>
      <c r="V271" s="58">
        <f t="shared" si="76"/>
        <v>0</v>
      </c>
      <c r="W271" s="58">
        <f t="shared" si="77"/>
        <v>0</v>
      </c>
      <c r="X271" s="58">
        <f t="shared" si="78"/>
        <v>0</v>
      </c>
      <c r="Y271" s="52">
        <f t="shared" si="79"/>
        <v>0</v>
      </c>
    </row>
    <row r="272" spans="1:25" x14ac:dyDescent="0.25">
      <c r="A272" s="1218" t="s">
        <v>94</v>
      </c>
      <c r="B272" s="98">
        <v>45352</v>
      </c>
      <c r="C272" s="117" t="str">
        <f t="shared" si="66"/>
        <v>3L</v>
      </c>
      <c r="D272" s="96"/>
      <c r="E272" s="98"/>
      <c r="F272" s="98"/>
      <c r="G272" s="41"/>
      <c r="H272" s="47"/>
      <c r="I272" s="99">
        <f t="shared" si="67"/>
        <v>0</v>
      </c>
      <c r="J272" s="41"/>
      <c r="K272" s="47"/>
      <c r="L272" s="99">
        <f t="shared" si="68"/>
        <v>0</v>
      </c>
      <c r="M272" s="44" t="str">
        <f t="shared" si="70"/>
        <v/>
      </c>
      <c r="N272" s="100">
        <f t="shared" si="71"/>
        <v>0</v>
      </c>
      <c r="O272" s="101">
        <f t="shared" si="72"/>
        <v>0</v>
      </c>
      <c r="P272" s="52">
        <f t="shared" si="73"/>
        <v>0</v>
      </c>
      <c r="Q272" s="49">
        <v>116.88487613461319</v>
      </c>
      <c r="R272">
        <v>2225</v>
      </c>
      <c r="S272" s="50">
        <f t="shared" si="69"/>
        <v>71535.307499999995</v>
      </c>
      <c r="T272" s="50">
        <f t="shared" si="74"/>
        <v>0</v>
      </c>
      <c r="U272" s="58">
        <f t="shared" si="75"/>
        <v>0</v>
      </c>
      <c r="V272" s="58">
        <f t="shared" si="76"/>
        <v>0</v>
      </c>
      <c r="W272" s="58">
        <f t="shared" si="77"/>
        <v>0</v>
      </c>
      <c r="X272" s="58">
        <f t="shared" si="78"/>
        <v>0</v>
      </c>
      <c r="Y272" s="52">
        <f t="shared" si="79"/>
        <v>0</v>
      </c>
    </row>
    <row r="273" spans="1:25" x14ac:dyDescent="0.25">
      <c r="A273" s="1218" t="s">
        <v>95</v>
      </c>
      <c r="B273" s="98">
        <v>45352</v>
      </c>
      <c r="C273" s="117" t="str">
        <f t="shared" si="66"/>
        <v>3L</v>
      </c>
      <c r="D273" s="96"/>
      <c r="E273" s="98"/>
      <c r="F273" s="98"/>
      <c r="G273" s="41"/>
      <c r="H273" s="47"/>
      <c r="I273" s="99">
        <f t="shared" si="67"/>
        <v>0</v>
      </c>
      <c r="J273" s="41"/>
      <c r="K273" s="47"/>
      <c r="L273" s="99">
        <f t="shared" si="68"/>
        <v>0</v>
      </c>
      <c r="M273" s="44" t="str">
        <f t="shared" si="70"/>
        <v/>
      </c>
      <c r="N273" s="100">
        <f t="shared" si="71"/>
        <v>0</v>
      </c>
      <c r="O273" s="101">
        <f t="shared" si="72"/>
        <v>0</v>
      </c>
      <c r="P273" s="52">
        <f t="shared" si="73"/>
        <v>0</v>
      </c>
      <c r="Q273" s="49">
        <v>116.88487613461319</v>
      </c>
      <c r="R273">
        <v>2225</v>
      </c>
      <c r="S273" s="50">
        <f t="shared" si="69"/>
        <v>71535.307499999995</v>
      </c>
      <c r="T273" s="50">
        <f t="shared" si="74"/>
        <v>0</v>
      </c>
      <c r="U273" s="58">
        <f t="shared" si="75"/>
        <v>0</v>
      </c>
      <c r="V273" s="58">
        <f t="shared" si="76"/>
        <v>0</v>
      </c>
      <c r="W273" s="58">
        <f t="shared" si="77"/>
        <v>0</v>
      </c>
      <c r="X273" s="58">
        <f t="shared" si="78"/>
        <v>0</v>
      </c>
      <c r="Y273" s="52">
        <f t="shared" si="79"/>
        <v>0</v>
      </c>
    </row>
    <row r="274" spans="1:25" x14ac:dyDescent="0.25">
      <c r="A274" s="1218" t="s">
        <v>96</v>
      </c>
      <c r="B274" s="98">
        <v>45352</v>
      </c>
      <c r="C274" s="117" t="str">
        <f t="shared" si="66"/>
        <v>3L</v>
      </c>
      <c r="D274" s="96"/>
      <c r="E274" s="98"/>
      <c r="F274" s="98"/>
      <c r="G274" s="41"/>
      <c r="H274" s="47"/>
      <c r="I274" s="99">
        <f t="shared" si="67"/>
        <v>0</v>
      </c>
      <c r="J274" s="41"/>
      <c r="K274" s="47"/>
      <c r="L274" s="99">
        <f t="shared" si="68"/>
        <v>0</v>
      </c>
      <c r="M274" s="44" t="str">
        <f t="shared" si="70"/>
        <v/>
      </c>
      <c r="N274" s="100">
        <f t="shared" si="71"/>
        <v>0</v>
      </c>
      <c r="O274" s="101">
        <f t="shared" si="72"/>
        <v>0</v>
      </c>
      <c r="P274" s="52">
        <f t="shared" si="73"/>
        <v>0</v>
      </c>
      <c r="Q274" s="49">
        <v>116.88487613461319</v>
      </c>
      <c r="R274">
        <v>2225</v>
      </c>
      <c r="S274" s="50">
        <f t="shared" si="69"/>
        <v>71535.307499999995</v>
      </c>
      <c r="T274" s="50">
        <f t="shared" si="74"/>
        <v>0</v>
      </c>
      <c r="U274" s="58">
        <f t="shared" si="75"/>
        <v>0</v>
      </c>
      <c r="V274" s="58">
        <f t="shared" si="76"/>
        <v>0</v>
      </c>
      <c r="W274" s="58">
        <f t="shared" si="77"/>
        <v>0</v>
      </c>
      <c r="X274" s="58">
        <f t="shared" si="78"/>
        <v>0</v>
      </c>
      <c r="Y274" s="52">
        <f t="shared" si="79"/>
        <v>0</v>
      </c>
    </row>
    <row r="275" spans="1:25" x14ac:dyDescent="0.25">
      <c r="A275" s="1218" t="s">
        <v>97</v>
      </c>
      <c r="B275" s="98">
        <v>45352</v>
      </c>
      <c r="C275" s="117" t="str">
        <f t="shared" si="66"/>
        <v>4L</v>
      </c>
      <c r="D275" s="96"/>
      <c r="E275" s="98"/>
      <c r="F275" s="98"/>
      <c r="I275" s="99">
        <f t="shared" si="67"/>
        <v>0</v>
      </c>
      <c r="L275" s="99">
        <f t="shared" si="68"/>
        <v>0</v>
      </c>
      <c r="M275" s="44" t="str">
        <f t="shared" si="70"/>
        <v/>
      </c>
      <c r="N275" s="100">
        <f t="shared" si="71"/>
        <v>0</v>
      </c>
      <c r="O275" s="101">
        <f t="shared" si="72"/>
        <v>0</v>
      </c>
      <c r="P275" s="52">
        <f t="shared" si="73"/>
        <v>0</v>
      </c>
      <c r="Q275" s="49">
        <v>116.88487613461319</v>
      </c>
      <c r="R275">
        <v>2225</v>
      </c>
      <c r="S275" s="50">
        <f t="shared" si="69"/>
        <v>71535.307499999995</v>
      </c>
      <c r="T275" s="50">
        <f t="shared" si="74"/>
        <v>0</v>
      </c>
      <c r="U275" s="58">
        <f t="shared" si="75"/>
        <v>0</v>
      </c>
      <c r="V275" s="58">
        <f t="shared" si="76"/>
        <v>0</v>
      </c>
      <c r="W275" s="58">
        <f t="shared" si="77"/>
        <v>0</v>
      </c>
      <c r="X275" s="58">
        <f t="shared" si="78"/>
        <v>0</v>
      </c>
      <c r="Y275" s="52">
        <f t="shared" si="79"/>
        <v>0</v>
      </c>
    </row>
    <row r="276" spans="1:25" x14ac:dyDescent="0.25">
      <c r="A276" s="1218" t="s">
        <v>98</v>
      </c>
      <c r="B276" s="98">
        <v>45352</v>
      </c>
      <c r="C276" s="117" t="str">
        <f t="shared" si="66"/>
        <v>4L</v>
      </c>
      <c r="D276" s="96"/>
      <c r="E276" s="98"/>
      <c r="F276" s="98"/>
      <c r="I276" s="99">
        <f t="shared" si="67"/>
        <v>0</v>
      </c>
      <c r="L276" s="99">
        <f t="shared" si="68"/>
        <v>0</v>
      </c>
      <c r="M276" s="44" t="str">
        <f t="shared" si="70"/>
        <v/>
      </c>
      <c r="N276" s="100">
        <f t="shared" si="71"/>
        <v>0</v>
      </c>
      <c r="O276" s="101">
        <f t="shared" si="72"/>
        <v>0</v>
      </c>
      <c r="P276" s="52">
        <f t="shared" si="73"/>
        <v>0</v>
      </c>
      <c r="Q276" s="49">
        <v>116.88487613461319</v>
      </c>
      <c r="R276">
        <v>2225</v>
      </c>
      <c r="S276" s="50">
        <f t="shared" si="69"/>
        <v>71535.307499999995</v>
      </c>
      <c r="T276" s="50">
        <f t="shared" si="74"/>
        <v>0</v>
      </c>
      <c r="U276" s="58">
        <f t="shared" si="75"/>
        <v>0</v>
      </c>
      <c r="V276" s="58">
        <f t="shared" si="76"/>
        <v>0</v>
      </c>
      <c r="W276" s="58">
        <f t="shared" si="77"/>
        <v>0</v>
      </c>
      <c r="X276" s="58">
        <f t="shared" si="78"/>
        <v>0</v>
      </c>
      <c r="Y276" s="52">
        <f t="shared" si="79"/>
        <v>0</v>
      </c>
    </row>
    <row r="277" spans="1:25" x14ac:dyDescent="0.25">
      <c r="A277" s="1218" t="s">
        <v>99</v>
      </c>
      <c r="B277" s="98">
        <v>45352</v>
      </c>
      <c r="C277" s="117" t="str">
        <f t="shared" si="66"/>
        <v>4L</v>
      </c>
      <c r="D277" s="96"/>
      <c r="E277" s="98"/>
      <c r="F277" s="98"/>
      <c r="I277" s="99">
        <f t="shared" si="67"/>
        <v>0</v>
      </c>
      <c r="L277" s="99">
        <f t="shared" si="68"/>
        <v>0</v>
      </c>
      <c r="M277" s="44" t="str">
        <f t="shared" si="70"/>
        <v/>
      </c>
      <c r="N277" s="100">
        <f t="shared" si="71"/>
        <v>0</v>
      </c>
      <c r="O277" s="101">
        <f t="shared" si="72"/>
        <v>0</v>
      </c>
      <c r="P277" s="52">
        <f t="shared" si="73"/>
        <v>0</v>
      </c>
      <c r="Q277" s="49">
        <v>116.88487613461319</v>
      </c>
      <c r="R277">
        <v>2225</v>
      </c>
      <c r="S277" s="50">
        <f t="shared" si="69"/>
        <v>71535.307499999995</v>
      </c>
      <c r="T277" s="50">
        <f t="shared" si="74"/>
        <v>0</v>
      </c>
      <c r="U277" s="58">
        <f t="shared" si="75"/>
        <v>0</v>
      </c>
      <c r="V277" s="58">
        <f t="shared" si="76"/>
        <v>0</v>
      </c>
      <c r="W277" s="58">
        <f t="shared" si="77"/>
        <v>0</v>
      </c>
      <c r="X277" s="58">
        <f t="shared" si="78"/>
        <v>0</v>
      </c>
      <c r="Y277" s="52">
        <f t="shared" si="79"/>
        <v>0</v>
      </c>
    </row>
    <row r="278" spans="1:25" x14ac:dyDescent="0.25">
      <c r="A278" s="1218" t="s">
        <v>100</v>
      </c>
      <c r="B278" s="98">
        <v>45352</v>
      </c>
      <c r="C278" s="117" t="str">
        <f t="shared" si="66"/>
        <v>4L</v>
      </c>
      <c r="D278" s="96"/>
      <c r="E278" s="98"/>
      <c r="F278" s="98"/>
      <c r="G278" s="40">
        <v>2030</v>
      </c>
      <c r="H278" s="40">
        <v>2.4</v>
      </c>
      <c r="I278" s="99">
        <f t="shared" si="67"/>
        <v>4.8719999999999999</v>
      </c>
      <c r="J278" s="41">
        <v>1492</v>
      </c>
      <c r="K278" s="41">
        <v>1.75</v>
      </c>
      <c r="L278" s="99">
        <f t="shared" si="68"/>
        <v>2.6110000000000002</v>
      </c>
      <c r="M278" s="44">
        <f t="shared" si="70"/>
        <v>-0.46408045977011486</v>
      </c>
      <c r="N278" s="100">
        <f t="shared" si="71"/>
        <v>-538</v>
      </c>
      <c r="O278" s="101">
        <f t="shared" si="72"/>
        <v>-2.2609999999999997</v>
      </c>
      <c r="P278" s="52">
        <f t="shared" si="73"/>
        <v>12386.452689657104</v>
      </c>
      <c r="Q278" s="49">
        <v>116.88487613461319</v>
      </c>
      <c r="R278">
        <v>2225</v>
      </c>
      <c r="S278" s="50">
        <f t="shared" si="69"/>
        <v>71535.307499999995</v>
      </c>
      <c r="T278" s="50">
        <f t="shared" si="74"/>
        <v>348520.01813999994</v>
      </c>
      <c r="U278" s="58">
        <f t="shared" si="75"/>
        <v>186778.6878825</v>
      </c>
      <c r="V278" s="58">
        <f t="shared" si="76"/>
        <v>237276.29855326479</v>
      </c>
      <c r="W278" s="58">
        <f t="shared" si="77"/>
        <v>174392.2351928429</v>
      </c>
      <c r="X278" s="58">
        <f t="shared" si="78"/>
        <v>111243.71958673515</v>
      </c>
      <c r="Y278" s="52">
        <f t="shared" si="79"/>
        <v>12386.452689657104</v>
      </c>
    </row>
    <row r="279" spans="1:25" x14ac:dyDescent="0.25">
      <c r="A279" s="1218" t="s">
        <v>101</v>
      </c>
      <c r="B279" s="98">
        <v>45352</v>
      </c>
      <c r="C279" s="117" t="str">
        <f t="shared" si="66"/>
        <v>4L</v>
      </c>
      <c r="D279" s="96"/>
      <c r="E279" s="98"/>
      <c r="F279" s="98"/>
      <c r="G279" s="53">
        <v>2030</v>
      </c>
      <c r="H279" s="46">
        <v>2.1</v>
      </c>
      <c r="I279" s="99">
        <f t="shared" si="67"/>
        <v>4.2629999999999999</v>
      </c>
      <c r="J279" s="54">
        <v>1685</v>
      </c>
      <c r="K279" s="47">
        <v>1.81</v>
      </c>
      <c r="L279" s="99">
        <f t="shared" si="68"/>
        <v>3.0498499999999997</v>
      </c>
      <c r="M279" s="44">
        <f t="shared" si="70"/>
        <v>-0.28457658925639223</v>
      </c>
      <c r="N279" s="100">
        <f t="shared" si="71"/>
        <v>-345</v>
      </c>
      <c r="O279" s="101">
        <f t="shared" si="72"/>
        <v>-1.2131500000000002</v>
      </c>
      <c r="P279" s="52">
        <f t="shared" si="73"/>
        <v>21220.94129205175</v>
      </c>
      <c r="Q279" s="49">
        <v>116.88487613461319</v>
      </c>
      <c r="R279">
        <v>2225</v>
      </c>
      <c r="S279" s="50">
        <f t="shared" si="69"/>
        <v>71535.307499999995</v>
      </c>
      <c r="T279" s="50">
        <f t="shared" si="74"/>
        <v>304955.01587249996</v>
      </c>
      <c r="U279" s="58">
        <f t="shared" si="75"/>
        <v>218171.95757887498</v>
      </c>
      <c r="V279" s="58">
        <f t="shared" si="76"/>
        <v>237276.29855326479</v>
      </c>
      <c r="W279" s="58">
        <f t="shared" si="77"/>
        <v>196951.01628682323</v>
      </c>
      <c r="X279" s="58">
        <f t="shared" si="78"/>
        <v>67678.717319235177</v>
      </c>
      <c r="Y279" s="52">
        <f t="shared" si="79"/>
        <v>21220.94129205175</v>
      </c>
    </row>
    <row r="280" spans="1:25" x14ac:dyDescent="0.25">
      <c r="A280" s="1218" t="s">
        <v>102</v>
      </c>
      <c r="B280" s="98">
        <v>45352</v>
      </c>
      <c r="C280" s="117" t="str">
        <f t="shared" si="66"/>
        <v>4L</v>
      </c>
      <c r="D280" s="96"/>
      <c r="E280" s="98"/>
      <c r="F280" s="98"/>
      <c r="G280" s="54"/>
      <c r="H280" s="41"/>
      <c r="I280" s="99">
        <f t="shared" si="67"/>
        <v>0</v>
      </c>
      <c r="J280" s="54"/>
      <c r="K280" s="41"/>
      <c r="L280" s="99">
        <f t="shared" si="68"/>
        <v>0</v>
      </c>
      <c r="M280" s="44" t="str">
        <f t="shared" si="70"/>
        <v/>
      </c>
      <c r="N280" s="100">
        <f t="shared" si="71"/>
        <v>0</v>
      </c>
      <c r="O280" s="101">
        <f t="shared" si="72"/>
        <v>0</v>
      </c>
      <c r="P280" s="52">
        <f t="shared" si="73"/>
        <v>0</v>
      </c>
      <c r="Q280" s="49">
        <v>116.88487613461319</v>
      </c>
      <c r="R280">
        <v>2225</v>
      </c>
      <c r="S280" s="50">
        <f t="shared" si="69"/>
        <v>71535.307499999995</v>
      </c>
      <c r="T280" s="50">
        <f t="shared" si="74"/>
        <v>0</v>
      </c>
      <c r="U280" s="58">
        <f t="shared" si="75"/>
        <v>0</v>
      </c>
      <c r="V280" s="58">
        <f t="shared" si="76"/>
        <v>0</v>
      </c>
      <c r="W280" s="58">
        <f t="shared" si="77"/>
        <v>0</v>
      </c>
      <c r="X280" s="58">
        <f t="shared" si="78"/>
        <v>0</v>
      </c>
      <c r="Y280" s="52">
        <f t="shared" si="79"/>
        <v>0</v>
      </c>
    </row>
    <row r="281" spans="1:25" x14ac:dyDescent="0.25">
      <c r="A281" s="1218" t="s">
        <v>103</v>
      </c>
      <c r="B281" s="98">
        <v>45352</v>
      </c>
      <c r="C281" s="117" t="str">
        <f t="shared" si="66"/>
        <v>4L</v>
      </c>
      <c r="D281" s="96"/>
      <c r="E281" s="98"/>
      <c r="F281" s="98"/>
      <c r="I281" s="99">
        <f t="shared" si="67"/>
        <v>0</v>
      </c>
      <c r="J281" s="41">
        <v>612</v>
      </c>
      <c r="K281" s="41">
        <v>0.98</v>
      </c>
      <c r="L281" s="99">
        <f t="shared" si="68"/>
        <v>0.59975999999999996</v>
      </c>
      <c r="M281" s="44" t="str">
        <f t="shared" si="70"/>
        <v/>
      </c>
      <c r="N281" s="100">
        <f t="shared" si="71"/>
        <v>612</v>
      </c>
      <c r="O281" s="101">
        <f t="shared" si="72"/>
        <v>0.59975999999999996</v>
      </c>
      <c r="P281" s="52">
        <f t="shared" si="73"/>
        <v>-28629.528168183278</v>
      </c>
      <c r="Q281" s="49">
        <v>116.88487613461319</v>
      </c>
      <c r="R281">
        <v>2225</v>
      </c>
      <c r="S281" s="50">
        <f t="shared" si="69"/>
        <v>71535.307499999995</v>
      </c>
      <c r="T281" s="50">
        <f t="shared" si="74"/>
        <v>0</v>
      </c>
      <c r="U281" s="58">
        <f t="shared" si="75"/>
        <v>42904.016026199992</v>
      </c>
      <c r="V281" s="58">
        <f t="shared" si="76"/>
        <v>0</v>
      </c>
      <c r="W281" s="58">
        <f t="shared" si="77"/>
        <v>71533.54419438327</v>
      </c>
      <c r="X281" s="58">
        <f t="shared" si="78"/>
        <v>0</v>
      </c>
      <c r="Y281" s="52">
        <f t="shared" si="79"/>
        <v>-28629.528168183278</v>
      </c>
    </row>
    <row r="282" spans="1:25" x14ac:dyDescent="0.25">
      <c r="A282" s="1218" t="s">
        <v>104</v>
      </c>
      <c r="B282" s="98">
        <v>45352</v>
      </c>
      <c r="C282" s="117" t="str">
        <f t="shared" si="66"/>
        <v>4L</v>
      </c>
      <c r="D282" s="96"/>
      <c r="E282" s="98"/>
      <c r="F282" s="98"/>
      <c r="I282" s="99">
        <f t="shared" si="67"/>
        <v>0</v>
      </c>
      <c r="L282" s="99">
        <f t="shared" si="68"/>
        <v>0</v>
      </c>
      <c r="M282" s="44" t="str">
        <f t="shared" si="70"/>
        <v/>
      </c>
      <c r="N282" s="100">
        <f t="shared" si="71"/>
        <v>0</v>
      </c>
      <c r="O282" s="101">
        <f t="shared" si="72"/>
        <v>0</v>
      </c>
      <c r="P282" s="52">
        <f t="shared" si="73"/>
        <v>0</v>
      </c>
      <c r="Q282" s="49">
        <v>116.88487613461319</v>
      </c>
      <c r="R282">
        <v>2225</v>
      </c>
      <c r="S282" s="50">
        <f t="shared" si="69"/>
        <v>71535.307499999995</v>
      </c>
      <c r="T282" s="50">
        <f t="shared" si="74"/>
        <v>0</v>
      </c>
      <c r="U282" s="58">
        <f t="shared" si="75"/>
        <v>0</v>
      </c>
      <c r="V282" s="58">
        <f t="shared" si="76"/>
        <v>0</v>
      </c>
      <c r="W282" s="58">
        <f t="shared" si="77"/>
        <v>0</v>
      </c>
      <c r="X282" s="58">
        <f t="shared" si="78"/>
        <v>0</v>
      </c>
      <c r="Y282" s="52">
        <f t="shared" si="79"/>
        <v>0</v>
      </c>
    </row>
    <row r="283" spans="1:25" x14ac:dyDescent="0.25">
      <c r="A283" s="1218" t="s">
        <v>105</v>
      </c>
      <c r="B283" s="98">
        <v>45352</v>
      </c>
      <c r="C283" s="117" t="str">
        <f t="shared" si="66"/>
        <v>4L</v>
      </c>
      <c r="D283" s="96"/>
      <c r="E283" s="98"/>
      <c r="F283" s="98"/>
      <c r="I283" s="99">
        <f t="shared" si="67"/>
        <v>0</v>
      </c>
      <c r="L283" s="99">
        <f t="shared" si="68"/>
        <v>0</v>
      </c>
      <c r="M283" s="44" t="str">
        <f t="shared" si="70"/>
        <v/>
      </c>
      <c r="N283" s="100">
        <f t="shared" si="71"/>
        <v>0</v>
      </c>
      <c r="O283" s="101">
        <f t="shared" si="72"/>
        <v>0</v>
      </c>
      <c r="P283" s="52">
        <f t="shared" si="73"/>
        <v>0</v>
      </c>
      <c r="Q283" s="49">
        <v>116.88487613461319</v>
      </c>
      <c r="R283">
        <v>2225</v>
      </c>
      <c r="S283" s="50">
        <f t="shared" si="69"/>
        <v>71535.307499999995</v>
      </c>
      <c r="T283" s="50">
        <f t="shared" si="74"/>
        <v>0</v>
      </c>
      <c r="U283" s="58">
        <f t="shared" si="75"/>
        <v>0</v>
      </c>
      <c r="V283" s="58">
        <f t="shared" si="76"/>
        <v>0</v>
      </c>
      <c r="W283" s="58">
        <f t="shared" si="77"/>
        <v>0</v>
      </c>
      <c r="X283" s="58">
        <f t="shared" si="78"/>
        <v>0</v>
      </c>
      <c r="Y283" s="52">
        <f t="shared" si="79"/>
        <v>0</v>
      </c>
    </row>
    <row r="284" spans="1:25" x14ac:dyDescent="0.25">
      <c r="A284" s="1218" t="s">
        <v>106</v>
      </c>
      <c r="B284" s="98">
        <v>45352</v>
      </c>
      <c r="C284" s="117" t="str">
        <f t="shared" si="66"/>
        <v>4L</v>
      </c>
      <c r="D284" s="96"/>
      <c r="E284" s="98"/>
      <c r="F284" s="98"/>
      <c r="G284" s="53">
        <v>3045</v>
      </c>
      <c r="H284" s="46">
        <v>2.339999999999999</v>
      </c>
      <c r="I284" s="99">
        <f t="shared" si="67"/>
        <v>7.1252999999999966</v>
      </c>
      <c r="J284" s="54">
        <v>2150</v>
      </c>
      <c r="K284" s="47">
        <v>1.1000000000000001</v>
      </c>
      <c r="L284" s="99">
        <f t="shared" si="68"/>
        <v>2.3650000000000002</v>
      </c>
      <c r="M284" s="44">
        <f t="shared" si="70"/>
        <v>-0.6680841508427714</v>
      </c>
      <c r="N284" s="100">
        <f t="shared" si="71"/>
        <v>-895</v>
      </c>
      <c r="O284" s="101">
        <f t="shared" si="72"/>
        <v>-4.7602999999999964</v>
      </c>
      <c r="P284" s="52">
        <f t="shared" si="73"/>
        <v>-82121.481451918342</v>
      </c>
      <c r="Q284" s="49">
        <v>116.88487613461319</v>
      </c>
      <c r="R284">
        <v>2225</v>
      </c>
      <c r="S284" s="50">
        <f t="shared" si="69"/>
        <v>71535.307499999995</v>
      </c>
      <c r="T284" s="50">
        <f t="shared" si="74"/>
        <v>509710.52652974974</v>
      </c>
      <c r="U284" s="58">
        <f t="shared" si="75"/>
        <v>169181.00223750001</v>
      </c>
      <c r="V284" s="58">
        <f t="shared" si="76"/>
        <v>355914.44782989717</v>
      </c>
      <c r="W284" s="58">
        <f t="shared" si="77"/>
        <v>251302.48368941835</v>
      </c>
      <c r="X284" s="58">
        <f t="shared" si="78"/>
        <v>153796.07869985257</v>
      </c>
      <c r="Y284" s="52">
        <f t="shared" si="79"/>
        <v>-82121.481451918342</v>
      </c>
    </row>
    <row r="285" spans="1:25" x14ac:dyDescent="0.25">
      <c r="A285" s="1218" t="s">
        <v>107</v>
      </c>
      <c r="B285" s="98">
        <v>45352</v>
      </c>
      <c r="C285" s="117" t="str">
        <f t="shared" si="66"/>
        <v>4L</v>
      </c>
      <c r="D285" s="96"/>
      <c r="E285" s="98"/>
      <c r="F285" s="98"/>
      <c r="I285" s="99">
        <f t="shared" si="67"/>
        <v>0</v>
      </c>
      <c r="L285" s="99">
        <f t="shared" si="68"/>
        <v>0</v>
      </c>
      <c r="M285" s="44" t="str">
        <f t="shared" si="70"/>
        <v/>
      </c>
      <c r="N285" s="100">
        <f t="shared" si="71"/>
        <v>0</v>
      </c>
      <c r="O285" s="101">
        <f t="shared" si="72"/>
        <v>0</v>
      </c>
      <c r="P285" s="52">
        <f t="shared" si="73"/>
        <v>0</v>
      </c>
      <c r="Q285" s="49">
        <v>116.88487613461319</v>
      </c>
      <c r="R285">
        <v>2225</v>
      </c>
      <c r="S285" s="50">
        <f t="shared" si="69"/>
        <v>71535.307499999995</v>
      </c>
      <c r="T285" s="50">
        <f t="shared" si="74"/>
        <v>0</v>
      </c>
      <c r="U285" s="58">
        <f t="shared" si="75"/>
        <v>0</v>
      </c>
      <c r="V285" s="58">
        <f t="shared" si="76"/>
        <v>0</v>
      </c>
      <c r="W285" s="58">
        <f t="shared" si="77"/>
        <v>0</v>
      </c>
      <c r="X285" s="58">
        <f t="shared" si="78"/>
        <v>0</v>
      </c>
      <c r="Y285" s="52">
        <f t="shared" si="79"/>
        <v>0</v>
      </c>
    </row>
    <row r="286" spans="1:25" x14ac:dyDescent="0.25">
      <c r="A286" s="1218" t="s">
        <v>108</v>
      </c>
      <c r="B286" s="98">
        <v>45352</v>
      </c>
      <c r="C286" s="117" t="str">
        <f t="shared" si="66"/>
        <v>4L</v>
      </c>
      <c r="D286" s="96"/>
      <c r="E286" s="98"/>
      <c r="F286" s="98"/>
      <c r="I286" s="99">
        <f t="shared" si="67"/>
        <v>0</v>
      </c>
      <c r="L286" s="99">
        <f t="shared" si="68"/>
        <v>0</v>
      </c>
      <c r="M286" s="44" t="str">
        <f t="shared" si="70"/>
        <v/>
      </c>
      <c r="N286" s="100">
        <f t="shared" si="71"/>
        <v>0</v>
      </c>
      <c r="O286" s="101">
        <f t="shared" si="72"/>
        <v>0</v>
      </c>
      <c r="P286" s="52">
        <f t="shared" si="73"/>
        <v>0</v>
      </c>
      <c r="Q286" s="49">
        <v>116.88487613461319</v>
      </c>
      <c r="R286">
        <v>2225</v>
      </c>
      <c r="S286" s="50">
        <f t="shared" si="69"/>
        <v>71535.307499999995</v>
      </c>
      <c r="T286" s="50">
        <f t="shared" si="74"/>
        <v>0</v>
      </c>
      <c r="U286" s="58">
        <f t="shared" si="75"/>
        <v>0</v>
      </c>
      <c r="V286" s="58">
        <f t="shared" si="76"/>
        <v>0</v>
      </c>
      <c r="W286" s="58">
        <f t="shared" si="77"/>
        <v>0</v>
      </c>
      <c r="X286" s="58">
        <f t="shared" si="78"/>
        <v>0</v>
      </c>
      <c r="Y286" s="52">
        <f t="shared" si="79"/>
        <v>0</v>
      </c>
    </row>
    <row r="287" spans="1:25" x14ac:dyDescent="0.25">
      <c r="A287" s="1218" t="s">
        <v>109</v>
      </c>
      <c r="B287" s="98">
        <v>45352</v>
      </c>
      <c r="C287" s="117" t="str">
        <f t="shared" si="66"/>
        <v>4L</v>
      </c>
      <c r="D287" s="96"/>
      <c r="E287" s="98"/>
      <c r="F287" s="98"/>
      <c r="G287" s="53">
        <v>4060</v>
      </c>
      <c r="H287" s="46">
        <v>3.2900000000000018</v>
      </c>
      <c r="I287" s="99">
        <f t="shared" si="67"/>
        <v>13.357400000000007</v>
      </c>
      <c r="J287" s="54">
        <v>5282</v>
      </c>
      <c r="K287" s="47">
        <v>2.86</v>
      </c>
      <c r="L287" s="99">
        <f t="shared" si="68"/>
        <v>15.106519999999998</v>
      </c>
      <c r="M287" s="44">
        <f t="shared" si="70"/>
        <v>0.13094763951068245</v>
      </c>
      <c r="N287" s="100">
        <f t="shared" si="71"/>
        <v>1222</v>
      </c>
      <c r="O287" s="101">
        <f t="shared" si="72"/>
        <v>1.7491199999999907</v>
      </c>
      <c r="P287" s="52">
        <f t="shared" si="73"/>
        <v>463263.63771187281</v>
      </c>
      <c r="Q287" s="49">
        <v>116.88487613461319</v>
      </c>
      <c r="R287">
        <v>2225</v>
      </c>
      <c r="S287" s="50">
        <f t="shared" si="69"/>
        <v>71535.307499999995</v>
      </c>
      <c r="T287" s="50">
        <f t="shared" si="74"/>
        <v>955525.7164005005</v>
      </c>
      <c r="U287" s="58">
        <f t="shared" si="75"/>
        <v>1080649.5534548997</v>
      </c>
      <c r="V287" s="58">
        <f t="shared" si="76"/>
        <v>474552.59710652957</v>
      </c>
      <c r="W287" s="58">
        <f t="shared" si="77"/>
        <v>617385.91574302688</v>
      </c>
      <c r="X287" s="58">
        <f t="shared" si="78"/>
        <v>480973.11929397093</v>
      </c>
      <c r="Y287" s="52">
        <f t="shared" si="79"/>
        <v>463263.63771187281</v>
      </c>
    </row>
    <row r="288" spans="1:25" x14ac:dyDescent="0.25">
      <c r="A288" s="1218" t="s">
        <v>110</v>
      </c>
      <c r="B288" s="98">
        <v>45352</v>
      </c>
      <c r="C288" s="117" t="str">
        <f t="shared" si="66"/>
        <v>4L</v>
      </c>
      <c r="D288" s="96"/>
      <c r="E288" s="98"/>
      <c r="F288" s="98"/>
      <c r="I288" s="99">
        <f t="shared" si="67"/>
        <v>0</v>
      </c>
      <c r="L288" s="99">
        <f t="shared" si="68"/>
        <v>0</v>
      </c>
      <c r="M288" s="44" t="str">
        <f t="shared" si="70"/>
        <v/>
      </c>
      <c r="N288" s="100">
        <f t="shared" si="71"/>
        <v>0</v>
      </c>
      <c r="O288" s="101">
        <f t="shared" si="72"/>
        <v>0</v>
      </c>
      <c r="P288" s="52">
        <f t="shared" si="73"/>
        <v>0</v>
      </c>
      <c r="Q288" s="49">
        <v>116.88487613461319</v>
      </c>
      <c r="R288">
        <v>2225</v>
      </c>
      <c r="S288" s="50">
        <f t="shared" si="69"/>
        <v>71535.307499999995</v>
      </c>
      <c r="T288" s="50">
        <f t="shared" si="74"/>
        <v>0</v>
      </c>
      <c r="U288" s="58">
        <f t="shared" si="75"/>
        <v>0</v>
      </c>
      <c r="V288" s="58">
        <f t="shared" si="76"/>
        <v>0</v>
      </c>
      <c r="W288" s="58">
        <f t="shared" si="77"/>
        <v>0</v>
      </c>
      <c r="X288" s="58">
        <f t="shared" si="78"/>
        <v>0</v>
      </c>
      <c r="Y288" s="52">
        <f t="shared" si="79"/>
        <v>0</v>
      </c>
    </row>
    <row r="289" spans="1:25" x14ac:dyDescent="0.25">
      <c r="A289" s="1218" t="s">
        <v>111</v>
      </c>
      <c r="B289" s="98">
        <v>45352</v>
      </c>
      <c r="C289" s="117" t="str">
        <f t="shared" si="66"/>
        <v>4L</v>
      </c>
      <c r="D289" s="96"/>
      <c r="E289" s="98"/>
      <c r="F289" s="98"/>
      <c r="I289" s="99">
        <f t="shared" si="67"/>
        <v>0</v>
      </c>
      <c r="L289" s="99">
        <f t="shared" si="68"/>
        <v>0</v>
      </c>
      <c r="M289" s="44" t="str">
        <f t="shared" si="70"/>
        <v/>
      </c>
      <c r="N289" s="100">
        <f t="shared" si="71"/>
        <v>0</v>
      </c>
      <c r="O289" s="101">
        <f t="shared" si="72"/>
        <v>0</v>
      </c>
      <c r="P289" s="52">
        <f t="shared" si="73"/>
        <v>0</v>
      </c>
      <c r="Q289" s="49">
        <v>116.88487613461319</v>
      </c>
      <c r="R289">
        <v>2225</v>
      </c>
      <c r="S289" s="50">
        <f t="shared" si="69"/>
        <v>71535.307499999995</v>
      </c>
      <c r="T289" s="50">
        <f t="shared" si="74"/>
        <v>0</v>
      </c>
      <c r="U289" s="58">
        <f t="shared" si="75"/>
        <v>0</v>
      </c>
      <c r="V289" s="58">
        <f t="shared" si="76"/>
        <v>0</v>
      </c>
      <c r="W289" s="58">
        <f t="shared" si="77"/>
        <v>0</v>
      </c>
      <c r="X289" s="58">
        <f t="shared" si="78"/>
        <v>0</v>
      </c>
      <c r="Y289" s="52">
        <f t="shared" si="79"/>
        <v>0</v>
      </c>
    </row>
    <row r="290" spans="1:25" x14ac:dyDescent="0.25">
      <c r="A290" s="1218" t="s">
        <v>112</v>
      </c>
      <c r="B290" s="98">
        <v>45352</v>
      </c>
      <c r="C290" s="117" t="str">
        <f t="shared" si="66"/>
        <v>4L</v>
      </c>
      <c r="D290" s="96"/>
      <c r="E290" s="98"/>
      <c r="F290" s="98"/>
      <c r="G290" s="40">
        <v>2030</v>
      </c>
      <c r="H290" s="40">
        <v>2.4</v>
      </c>
      <c r="I290" s="99">
        <f t="shared" si="67"/>
        <v>4.8719999999999999</v>
      </c>
      <c r="J290" s="41">
        <v>715</v>
      </c>
      <c r="K290" s="41">
        <v>1.38</v>
      </c>
      <c r="L290" s="99">
        <f t="shared" si="68"/>
        <v>0.98669999999999991</v>
      </c>
      <c r="M290" s="44">
        <f t="shared" si="70"/>
        <v>-0.79747536945812814</v>
      </c>
      <c r="N290" s="100">
        <f t="shared" si="71"/>
        <v>-1315</v>
      </c>
      <c r="O290" s="101">
        <f t="shared" si="72"/>
        <v>-3.8853</v>
      </c>
      <c r="P290" s="52">
        <f t="shared" si="73"/>
        <v>-12988.798525998442</v>
      </c>
      <c r="Q290" s="49">
        <v>116.88487613461319</v>
      </c>
      <c r="R290">
        <v>2225</v>
      </c>
      <c r="S290" s="50">
        <f t="shared" si="69"/>
        <v>71535.307499999995</v>
      </c>
      <c r="T290" s="50">
        <f t="shared" si="74"/>
        <v>348520.01813999994</v>
      </c>
      <c r="U290" s="58">
        <f t="shared" si="75"/>
        <v>70583.887910249992</v>
      </c>
      <c r="V290" s="58">
        <f t="shared" si="76"/>
        <v>237276.29855326479</v>
      </c>
      <c r="W290" s="58">
        <f t="shared" si="77"/>
        <v>83572.686436248434</v>
      </c>
      <c r="X290" s="58">
        <f t="shared" si="78"/>
        <v>111243.71958673515</v>
      </c>
      <c r="Y290" s="52">
        <f t="shared" si="79"/>
        <v>-12988.798525998442</v>
      </c>
    </row>
    <row r="291" spans="1:25" x14ac:dyDescent="0.25">
      <c r="A291" s="1218" t="s">
        <v>113</v>
      </c>
      <c r="B291" s="98">
        <v>45352</v>
      </c>
      <c r="C291" s="117" t="str">
        <f t="shared" si="66"/>
        <v>4L</v>
      </c>
      <c r="D291" s="96"/>
      <c r="E291" s="98"/>
      <c r="F291" s="98"/>
      <c r="I291" s="99">
        <f t="shared" si="67"/>
        <v>0</v>
      </c>
      <c r="L291" s="99">
        <f t="shared" si="68"/>
        <v>0</v>
      </c>
      <c r="M291" s="44" t="str">
        <f t="shared" si="70"/>
        <v/>
      </c>
      <c r="N291" s="100">
        <f t="shared" si="71"/>
        <v>0</v>
      </c>
      <c r="O291" s="101">
        <f t="shared" si="72"/>
        <v>0</v>
      </c>
      <c r="P291" s="52">
        <f t="shared" si="73"/>
        <v>0</v>
      </c>
      <c r="Q291" s="49">
        <v>116.88487613461319</v>
      </c>
      <c r="R291">
        <v>2225</v>
      </c>
      <c r="S291" s="50">
        <f t="shared" si="69"/>
        <v>71535.307499999995</v>
      </c>
      <c r="T291" s="50">
        <f t="shared" si="74"/>
        <v>0</v>
      </c>
      <c r="U291" s="58">
        <f t="shared" si="75"/>
        <v>0</v>
      </c>
      <c r="V291" s="58">
        <f t="shared" si="76"/>
        <v>0</v>
      </c>
      <c r="W291" s="58">
        <f t="shared" si="77"/>
        <v>0</v>
      </c>
      <c r="X291" s="58">
        <f t="shared" si="78"/>
        <v>0</v>
      </c>
      <c r="Y291" s="52">
        <f t="shared" si="79"/>
        <v>0</v>
      </c>
    </row>
    <row r="292" spans="1:25" x14ac:dyDescent="0.25">
      <c r="A292" s="1218" t="s">
        <v>114</v>
      </c>
      <c r="B292" s="98">
        <v>45352</v>
      </c>
      <c r="C292" s="117" t="str">
        <f t="shared" si="66"/>
        <v>4L</v>
      </c>
      <c r="D292" s="96"/>
      <c r="E292" s="98"/>
      <c r="F292" s="98"/>
      <c r="I292" s="99">
        <f t="shared" si="67"/>
        <v>0</v>
      </c>
      <c r="L292" s="99">
        <f t="shared" si="68"/>
        <v>0</v>
      </c>
      <c r="M292" s="44" t="str">
        <f t="shared" si="70"/>
        <v/>
      </c>
      <c r="N292" s="100">
        <f t="shared" si="71"/>
        <v>0</v>
      </c>
      <c r="O292" s="101">
        <f t="shared" si="72"/>
        <v>0</v>
      </c>
      <c r="P292" s="52">
        <f t="shared" si="73"/>
        <v>0</v>
      </c>
      <c r="Q292" s="49">
        <v>116.88487613461319</v>
      </c>
      <c r="R292">
        <v>2225</v>
      </c>
      <c r="S292" s="50">
        <f t="shared" si="69"/>
        <v>71535.307499999995</v>
      </c>
      <c r="T292" s="50">
        <f t="shared" si="74"/>
        <v>0</v>
      </c>
      <c r="U292" s="58">
        <f t="shared" si="75"/>
        <v>0</v>
      </c>
      <c r="V292" s="58">
        <f t="shared" si="76"/>
        <v>0</v>
      </c>
      <c r="W292" s="58">
        <f t="shared" si="77"/>
        <v>0</v>
      </c>
      <c r="X292" s="58">
        <f t="shared" si="78"/>
        <v>0</v>
      </c>
      <c r="Y292" s="52">
        <f t="shared" si="79"/>
        <v>0</v>
      </c>
    </row>
    <row r="293" spans="1:25" x14ac:dyDescent="0.25">
      <c r="A293" s="1218" t="s">
        <v>115</v>
      </c>
      <c r="B293" s="98">
        <v>45352</v>
      </c>
      <c r="C293" s="117" t="str">
        <f t="shared" si="66"/>
        <v>4L</v>
      </c>
      <c r="D293" s="96"/>
      <c r="E293" s="98"/>
      <c r="F293" s="98"/>
      <c r="G293" s="40">
        <v>4060</v>
      </c>
      <c r="H293" s="40">
        <v>2.5</v>
      </c>
      <c r="I293" s="99">
        <f t="shared" si="67"/>
        <v>10.15</v>
      </c>
      <c r="J293" s="41">
        <v>5812</v>
      </c>
      <c r="K293" s="41">
        <v>1.76</v>
      </c>
      <c r="L293" s="99">
        <f t="shared" si="68"/>
        <v>10.22912</v>
      </c>
      <c r="M293" s="44">
        <f t="shared" si="70"/>
        <v>7.7950738916255794E-3</v>
      </c>
      <c r="N293" s="100">
        <f t="shared" si="71"/>
        <v>1752</v>
      </c>
      <c r="O293" s="101">
        <f t="shared" si="72"/>
        <v>7.9119999999999635E-2</v>
      </c>
      <c r="P293" s="52">
        <f t="shared" si="73"/>
        <v>52408.344560028054</v>
      </c>
      <c r="Q293" s="49">
        <v>116.88487613461319</v>
      </c>
      <c r="R293">
        <v>2225</v>
      </c>
      <c r="S293" s="50">
        <f t="shared" si="69"/>
        <v>71535.307499999995</v>
      </c>
      <c r="T293" s="50">
        <f t="shared" si="74"/>
        <v>726083.37112499995</v>
      </c>
      <c r="U293" s="58">
        <f t="shared" si="75"/>
        <v>731743.24465439992</v>
      </c>
      <c r="V293" s="58">
        <f t="shared" si="76"/>
        <v>474552.59710652957</v>
      </c>
      <c r="W293" s="58">
        <f t="shared" si="77"/>
        <v>679334.90009437187</v>
      </c>
      <c r="X293" s="58">
        <f t="shared" si="78"/>
        <v>251530.77401847037</v>
      </c>
      <c r="Y293" s="52">
        <f t="shared" si="79"/>
        <v>52408.344560028054</v>
      </c>
    </row>
    <row r="294" spans="1:25" x14ac:dyDescent="0.25">
      <c r="A294" s="1218" t="s">
        <v>116</v>
      </c>
      <c r="B294" s="98">
        <v>45352</v>
      </c>
      <c r="C294" s="117" t="str">
        <f t="shared" si="66"/>
        <v>4L</v>
      </c>
      <c r="D294" s="96"/>
      <c r="E294" s="98"/>
      <c r="F294" s="98"/>
      <c r="I294" s="99">
        <f t="shared" si="67"/>
        <v>0</v>
      </c>
      <c r="L294" s="99">
        <f t="shared" si="68"/>
        <v>0</v>
      </c>
      <c r="M294" s="44" t="str">
        <f t="shared" si="70"/>
        <v/>
      </c>
      <c r="N294" s="100">
        <f t="shared" si="71"/>
        <v>0</v>
      </c>
      <c r="O294" s="101">
        <f t="shared" si="72"/>
        <v>0</v>
      </c>
      <c r="P294" s="52">
        <f t="shared" si="73"/>
        <v>0</v>
      </c>
      <c r="Q294" s="49">
        <v>116.88487613461319</v>
      </c>
      <c r="R294">
        <v>2225</v>
      </c>
      <c r="S294" s="50">
        <f t="shared" si="69"/>
        <v>71535.307499999995</v>
      </c>
      <c r="T294" s="50">
        <f t="shared" si="74"/>
        <v>0</v>
      </c>
      <c r="U294" s="58">
        <f t="shared" si="75"/>
        <v>0</v>
      </c>
      <c r="V294" s="58">
        <f t="shared" si="76"/>
        <v>0</v>
      </c>
      <c r="W294" s="58">
        <f t="shared" si="77"/>
        <v>0</v>
      </c>
      <c r="X294" s="58">
        <f t="shared" si="78"/>
        <v>0</v>
      </c>
      <c r="Y294" s="52">
        <f t="shared" si="79"/>
        <v>0</v>
      </c>
    </row>
    <row r="295" spans="1:25" x14ac:dyDescent="0.25">
      <c r="A295" s="1218" t="s">
        <v>117</v>
      </c>
      <c r="B295" s="98">
        <v>45352</v>
      </c>
      <c r="C295" s="117" t="str">
        <f t="shared" si="66"/>
        <v>4L</v>
      </c>
      <c r="D295" s="96"/>
      <c r="E295" s="98"/>
      <c r="F295" s="98"/>
      <c r="I295" s="99">
        <f t="shared" si="67"/>
        <v>0</v>
      </c>
      <c r="L295" s="99">
        <f t="shared" si="68"/>
        <v>0</v>
      </c>
      <c r="M295" s="44" t="str">
        <f t="shared" si="70"/>
        <v/>
      </c>
      <c r="N295" s="100">
        <f t="shared" si="71"/>
        <v>0</v>
      </c>
      <c r="O295" s="101">
        <f t="shared" si="72"/>
        <v>0</v>
      </c>
      <c r="P295" s="52">
        <f t="shared" si="73"/>
        <v>0</v>
      </c>
      <c r="Q295" s="49">
        <v>116.88487613461319</v>
      </c>
      <c r="R295">
        <v>2225</v>
      </c>
      <c r="S295" s="50">
        <f t="shared" si="69"/>
        <v>71535.307499999995</v>
      </c>
      <c r="T295" s="50">
        <f t="shared" si="74"/>
        <v>0</v>
      </c>
      <c r="U295" s="58">
        <f t="shared" si="75"/>
        <v>0</v>
      </c>
      <c r="V295" s="58">
        <f t="shared" si="76"/>
        <v>0</v>
      </c>
      <c r="W295" s="58">
        <f t="shared" si="77"/>
        <v>0</v>
      </c>
      <c r="X295" s="58">
        <f t="shared" si="78"/>
        <v>0</v>
      </c>
      <c r="Y295" s="52">
        <f t="shared" si="79"/>
        <v>0</v>
      </c>
    </row>
    <row r="296" spans="1:25" x14ac:dyDescent="0.25">
      <c r="A296" s="1218" t="s">
        <v>118</v>
      </c>
      <c r="B296" s="98">
        <v>45352</v>
      </c>
      <c r="C296" s="117" t="str">
        <f t="shared" si="66"/>
        <v>4L</v>
      </c>
      <c r="D296" s="96"/>
      <c r="E296" s="98"/>
      <c r="F296" s="98"/>
      <c r="G296" s="40">
        <v>2030</v>
      </c>
      <c r="H296" s="40">
        <v>2.4800000000000004</v>
      </c>
      <c r="I296" s="99">
        <f t="shared" si="67"/>
        <v>5.0344000000000007</v>
      </c>
      <c r="J296" s="41">
        <v>2196</v>
      </c>
      <c r="K296" s="41">
        <v>1.94</v>
      </c>
      <c r="L296" s="99">
        <f t="shared" si="68"/>
        <v>4.2602399999999996</v>
      </c>
      <c r="M296" s="44">
        <f t="shared" si="70"/>
        <v>-0.15377403464166553</v>
      </c>
      <c r="N296" s="100">
        <f t="shared" si="71"/>
        <v>166</v>
      </c>
      <c r="O296" s="101">
        <f t="shared" si="72"/>
        <v>-0.77416000000000107</v>
      </c>
      <c r="P296" s="52">
        <f t="shared" si="73"/>
        <v>48078.390432189364</v>
      </c>
      <c r="Q296" s="49">
        <v>116.88487613461319</v>
      </c>
      <c r="R296">
        <v>2225</v>
      </c>
      <c r="S296" s="50">
        <f t="shared" si="69"/>
        <v>71535.307499999995</v>
      </c>
      <c r="T296" s="50">
        <f t="shared" si="74"/>
        <v>360137.35207800003</v>
      </c>
      <c r="U296" s="58">
        <f t="shared" si="75"/>
        <v>304757.57842379995</v>
      </c>
      <c r="V296" s="58">
        <f t="shared" si="76"/>
        <v>237276.29855326479</v>
      </c>
      <c r="W296" s="58">
        <f t="shared" si="77"/>
        <v>256679.18799161058</v>
      </c>
      <c r="X296" s="58">
        <f t="shared" si="78"/>
        <v>122861.05352473524</v>
      </c>
      <c r="Y296" s="52">
        <f t="shared" si="79"/>
        <v>48078.390432189364</v>
      </c>
    </row>
    <row r="297" spans="1:25" x14ac:dyDescent="0.25">
      <c r="A297" s="1218" t="s">
        <v>119</v>
      </c>
      <c r="B297" s="98">
        <v>45352</v>
      </c>
      <c r="C297" s="117" t="str">
        <f t="shared" si="66"/>
        <v>4L</v>
      </c>
      <c r="D297" s="96"/>
      <c r="E297" s="98"/>
      <c r="F297" s="98"/>
      <c r="I297" s="99">
        <f t="shared" si="67"/>
        <v>0</v>
      </c>
      <c r="L297" s="99">
        <f t="shared" si="68"/>
        <v>0</v>
      </c>
      <c r="M297" s="44" t="str">
        <f t="shared" si="70"/>
        <v/>
      </c>
      <c r="N297" s="100">
        <f t="shared" si="71"/>
        <v>0</v>
      </c>
      <c r="O297" s="101">
        <f t="shared" si="72"/>
        <v>0</v>
      </c>
      <c r="P297" s="52">
        <f t="shared" si="73"/>
        <v>0</v>
      </c>
      <c r="Q297" s="49">
        <v>116.88487613461319</v>
      </c>
      <c r="R297">
        <v>2225</v>
      </c>
      <c r="S297" s="50">
        <f t="shared" si="69"/>
        <v>71535.307499999995</v>
      </c>
      <c r="T297" s="50">
        <f t="shared" si="74"/>
        <v>0</v>
      </c>
      <c r="U297" s="58">
        <f t="shared" si="75"/>
        <v>0</v>
      </c>
      <c r="V297" s="58">
        <f t="shared" si="76"/>
        <v>0</v>
      </c>
      <c r="W297" s="58">
        <f t="shared" si="77"/>
        <v>0</v>
      </c>
      <c r="X297" s="58">
        <f t="shared" si="78"/>
        <v>0</v>
      </c>
      <c r="Y297" s="52">
        <f t="shared" si="79"/>
        <v>0</v>
      </c>
    </row>
    <row r="298" spans="1:25" x14ac:dyDescent="0.25">
      <c r="A298" s="1218" t="s">
        <v>120</v>
      </c>
      <c r="B298" s="98">
        <v>45352</v>
      </c>
      <c r="C298" s="117" t="str">
        <f t="shared" si="66"/>
        <v>4L</v>
      </c>
      <c r="D298" s="96"/>
      <c r="E298" s="98"/>
      <c r="F298" s="98"/>
      <c r="I298" s="99">
        <f t="shared" si="67"/>
        <v>0</v>
      </c>
      <c r="L298" s="99">
        <f t="shared" si="68"/>
        <v>0</v>
      </c>
      <c r="M298" s="44" t="str">
        <f t="shared" si="70"/>
        <v/>
      </c>
      <c r="N298" s="100">
        <f t="shared" si="71"/>
        <v>0</v>
      </c>
      <c r="O298" s="101">
        <f t="shared" si="72"/>
        <v>0</v>
      </c>
      <c r="P298" s="52">
        <f t="shared" si="73"/>
        <v>0</v>
      </c>
      <c r="Q298" s="49">
        <v>116.88487613461319</v>
      </c>
      <c r="R298">
        <v>2225</v>
      </c>
      <c r="S298" s="50">
        <f t="shared" si="69"/>
        <v>71535.307499999995</v>
      </c>
      <c r="T298" s="50">
        <f t="shared" si="74"/>
        <v>0</v>
      </c>
      <c r="U298" s="58">
        <f t="shared" si="75"/>
        <v>0</v>
      </c>
      <c r="V298" s="58">
        <f t="shared" si="76"/>
        <v>0</v>
      </c>
      <c r="W298" s="58">
        <f t="shared" si="77"/>
        <v>0</v>
      </c>
      <c r="X298" s="58">
        <f t="shared" si="78"/>
        <v>0</v>
      </c>
      <c r="Y298" s="52">
        <f t="shared" si="79"/>
        <v>0</v>
      </c>
    </row>
    <row r="299" spans="1:25" x14ac:dyDescent="0.25">
      <c r="A299" s="1218" t="s">
        <v>121</v>
      </c>
      <c r="B299" s="98">
        <v>45352</v>
      </c>
      <c r="C299" s="117" t="str">
        <f t="shared" si="66"/>
        <v>4L</v>
      </c>
      <c r="D299" s="96"/>
      <c r="E299" s="98"/>
      <c r="F299" s="98"/>
      <c r="G299" s="41"/>
      <c r="H299" s="41"/>
      <c r="I299" s="99">
        <f t="shared" si="67"/>
        <v>0</v>
      </c>
      <c r="J299" s="102"/>
      <c r="K299" s="104"/>
      <c r="L299" s="99">
        <f t="shared" si="68"/>
        <v>0</v>
      </c>
      <c r="M299" s="44" t="str">
        <f t="shared" si="70"/>
        <v/>
      </c>
      <c r="N299" s="100">
        <f t="shared" si="71"/>
        <v>0</v>
      </c>
      <c r="O299" s="101">
        <f t="shared" si="72"/>
        <v>0</v>
      </c>
      <c r="P299" s="52">
        <f t="shared" si="73"/>
        <v>0</v>
      </c>
      <c r="Q299" s="49">
        <v>116.88487613461319</v>
      </c>
      <c r="R299">
        <v>2225</v>
      </c>
      <c r="S299" s="50">
        <f t="shared" si="69"/>
        <v>71535.307499999995</v>
      </c>
      <c r="T299" s="50">
        <f t="shared" si="74"/>
        <v>0</v>
      </c>
      <c r="U299" s="58">
        <f t="shared" si="75"/>
        <v>0</v>
      </c>
      <c r="V299" s="58">
        <f t="shared" si="76"/>
        <v>0</v>
      </c>
      <c r="W299" s="58">
        <f t="shared" si="77"/>
        <v>0</v>
      </c>
      <c r="X299" s="58">
        <f t="shared" si="78"/>
        <v>0</v>
      </c>
      <c r="Y299" s="52">
        <f t="shared" si="79"/>
        <v>0</v>
      </c>
    </row>
    <row r="300" spans="1:25" x14ac:dyDescent="0.25">
      <c r="A300" s="1218" t="s">
        <v>122</v>
      </c>
      <c r="B300" s="98">
        <v>45352</v>
      </c>
      <c r="C300" s="117" t="str">
        <f t="shared" si="66"/>
        <v>4L</v>
      </c>
      <c r="D300" s="96"/>
      <c r="E300" s="98"/>
      <c r="F300" s="98"/>
      <c r="G300" s="41"/>
      <c r="H300" s="41"/>
      <c r="I300" s="99">
        <f t="shared" si="67"/>
        <v>0</v>
      </c>
      <c r="J300" s="102"/>
      <c r="K300" s="104"/>
      <c r="L300" s="99">
        <f t="shared" si="68"/>
        <v>0</v>
      </c>
      <c r="M300" s="44" t="str">
        <f t="shared" si="70"/>
        <v/>
      </c>
      <c r="N300" s="100">
        <f t="shared" si="71"/>
        <v>0</v>
      </c>
      <c r="O300" s="101">
        <f t="shared" si="72"/>
        <v>0</v>
      </c>
      <c r="P300" s="52">
        <f t="shared" si="73"/>
        <v>0</v>
      </c>
      <c r="Q300" s="49">
        <v>116.88487613461319</v>
      </c>
      <c r="R300">
        <v>2225</v>
      </c>
      <c r="S300" s="50">
        <f t="shared" si="69"/>
        <v>71535.307499999995</v>
      </c>
      <c r="T300" s="50">
        <f t="shared" si="74"/>
        <v>0</v>
      </c>
      <c r="U300" s="58">
        <f t="shared" si="75"/>
        <v>0</v>
      </c>
      <c r="V300" s="58">
        <f t="shared" si="76"/>
        <v>0</v>
      </c>
      <c r="W300" s="58">
        <f t="shared" si="77"/>
        <v>0</v>
      </c>
      <c r="X300" s="58">
        <f t="shared" si="78"/>
        <v>0</v>
      </c>
      <c r="Y300" s="52">
        <f t="shared" si="79"/>
        <v>0</v>
      </c>
    </row>
    <row r="301" spans="1:25" x14ac:dyDescent="0.25">
      <c r="A301" s="1218" t="s">
        <v>123</v>
      </c>
      <c r="B301" s="98">
        <v>45352</v>
      </c>
      <c r="C301" s="117" t="str">
        <f t="shared" si="66"/>
        <v>4L</v>
      </c>
      <c r="D301" s="96"/>
      <c r="E301" s="98"/>
      <c r="F301" s="98"/>
      <c r="I301" s="99">
        <f t="shared" si="67"/>
        <v>0</v>
      </c>
      <c r="L301" s="99">
        <f t="shared" si="68"/>
        <v>0</v>
      </c>
      <c r="M301" s="44" t="str">
        <f t="shared" si="70"/>
        <v/>
      </c>
      <c r="N301" s="100">
        <f t="shared" si="71"/>
        <v>0</v>
      </c>
      <c r="O301" s="101">
        <f t="shared" si="72"/>
        <v>0</v>
      </c>
      <c r="P301" s="52">
        <f t="shared" si="73"/>
        <v>0</v>
      </c>
      <c r="Q301" s="49">
        <v>116.88487613461319</v>
      </c>
      <c r="R301">
        <v>2225</v>
      </c>
      <c r="S301" s="50">
        <f t="shared" si="69"/>
        <v>71535.307499999995</v>
      </c>
      <c r="T301" s="50">
        <f t="shared" si="74"/>
        <v>0</v>
      </c>
      <c r="U301" s="58">
        <f t="shared" si="75"/>
        <v>0</v>
      </c>
      <c r="V301" s="58">
        <f t="shared" si="76"/>
        <v>0</v>
      </c>
      <c r="W301" s="58">
        <f t="shared" si="77"/>
        <v>0</v>
      </c>
      <c r="X301" s="58">
        <f t="shared" si="78"/>
        <v>0</v>
      </c>
      <c r="Y301" s="52">
        <f t="shared" si="79"/>
        <v>0</v>
      </c>
    </row>
    <row r="302" spans="1:25" x14ac:dyDescent="0.25">
      <c r="A302" s="1218" t="s">
        <v>124</v>
      </c>
      <c r="B302" s="98">
        <v>45352</v>
      </c>
      <c r="C302" s="117" t="str">
        <f t="shared" si="66"/>
        <v>4L</v>
      </c>
      <c r="D302" s="96"/>
      <c r="E302" s="98"/>
      <c r="F302" s="98"/>
      <c r="I302" s="99">
        <f t="shared" si="67"/>
        <v>0</v>
      </c>
      <c r="L302" s="99">
        <f t="shared" si="68"/>
        <v>0</v>
      </c>
      <c r="M302" s="44" t="str">
        <f t="shared" si="70"/>
        <v/>
      </c>
      <c r="N302" s="100">
        <f t="shared" si="71"/>
        <v>0</v>
      </c>
      <c r="O302" s="101">
        <f t="shared" si="72"/>
        <v>0</v>
      </c>
      <c r="P302" s="52">
        <f t="shared" si="73"/>
        <v>0</v>
      </c>
      <c r="Q302" s="49">
        <v>116.88487613461319</v>
      </c>
      <c r="R302">
        <v>2225</v>
      </c>
      <c r="S302" s="50">
        <f t="shared" si="69"/>
        <v>71535.307499999995</v>
      </c>
      <c r="T302" s="50">
        <f t="shared" si="74"/>
        <v>0</v>
      </c>
      <c r="U302" s="58">
        <f t="shared" si="75"/>
        <v>0</v>
      </c>
      <c r="V302" s="58">
        <f t="shared" si="76"/>
        <v>0</v>
      </c>
      <c r="W302" s="58">
        <f t="shared" si="77"/>
        <v>0</v>
      </c>
      <c r="X302" s="58">
        <f t="shared" si="78"/>
        <v>0</v>
      </c>
      <c r="Y302" s="52">
        <f t="shared" si="79"/>
        <v>0</v>
      </c>
    </row>
    <row r="303" spans="1:25" x14ac:dyDescent="0.25">
      <c r="A303" s="1218" t="s">
        <v>125</v>
      </c>
      <c r="B303" s="98">
        <v>45352</v>
      </c>
      <c r="C303" s="117" t="str">
        <f t="shared" si="66"/>
        <v>4L</v>
      </c>
      <c r="D303" s="96"/>
      <c r="E303" s="98"/>
      <c r="F303" s="98"/>
      <c r="I303" s="99">
        <f t="shared" si="67"/>
        <v>0</v>
      </c>
      <c r="L303" s="99">
        <f t="shared" si="68"/>
        <v>0</v>
      </c>
      <c r="M303" s="44" t="str">
        <f t="shared" si="70"/>
        <v/>
      </c>
      <c r="N303" s="100">
        <f t="shared" si="71"/>
        <v>0</v>
      </c>
      <c r="O303" s="101">
        <f t="shared" si="72"/>
        <v>0</v>
      </c>
      <c r="P303" s="52">
        <f t="shared" si="73"/>
        <v>0</v>
      </c>
      <c r="Q303" s="49">
        <v>116.88487613461319</v>
      </c>
      <c r="R303">
        <v>2225</v>
      </c>
      <c r="S303" s="50">
        <f t="shared" si="69"/>
        <v>71535.307499999995</v>
      </c>
      <c r="T303" s="50">
        <f t="shared" si="74"/>
        <v>0</v>
      </c>
      <c r="U303" s="58">
        <f t="shared" si="75"/>
        <v>0</v>
      </c>
      <c r="V303" s="58">
        <f t="shared" si="76"/>
        <v>0</v>
      </c>
      <c r="W303" s="58">
        <f t="shared" si="77"/>
        <v>0</v>
      </c>
      <c r="X303" s="58">
        <f t="shared" si="78"/>
        <v>0</v>
      </c>
      <c r="Y303" s="52">
        <f t="shared" si="79"/>
        <v>0</v>
      </c>
    </row>
    <row r="304" spans="1:25" x14ac:dyDescent="0.25">
      <c r="A304" s="1218" t="s">
        <v>126</v>
      </c>
      <c r="B304" s="98">
        <v>45352</v>
      </c>
      <c r="C304" s="117" t="str">
        <f t="shared" ref="C304" si="80">LEFT(A304,2)</f>
        <v>4L</v>
      </c>
      <c r="D304" s="96"/>
      <c r="E304" s="98"/>
      <c r="F304" s="98"/>
      <c r="I304" s="99"/>
      <c r="L304" s="99"/>
      <c r="M304" s="44"/>
      <c r="N304" s="100"/>
      <c r="O304" s="101"/>
      <c r="P304" s="52"/>
      <c r="Q304" s="49"/>
      <c r="S304" s="50"/>
      <c r="T304" s="50"/>
      <c r="U304" s="58"/>
      <c r="V304" s="58"/>
      <c r="W304" s="58"/>
      <c r="X304" s="58"/>
      <c r="Y304" s="52"/>
    </row>
    <row r="305" spans="1:25" x14ac:dyDescent="0.25">
      <c r="A305" s="1218" t="s">
        <v>127</v>
      </c>
      <c r="B305" s="98">
        <v>45352</v>
      </c>
      <c r="C305" s="117" t="str">
        <f t="shared" si="66"/>
        <v>4L</v>
      </c>
      <c r="D305" s="96"/>
      <c r="E305" s="98"/>
      <c r="F305" s="98"/>
      <c r="I305" s="99"/>
      <c r="L305" s="99"/>
      <c r="M305" s="44"/>
      <c r="N305" s="100"/>
      <c r="O305" s="101"/>
      <c r="P305" s="52"/>
      <c r="Q305" s="49"/>
      <c r="S305" s="50"/>
      <c r="T305" s="50"/>
      <c r="U305" s="58"/>
      <c r="V305" s="58"/>
      <c r="W305" s="58"/>
      <c r="X305" s="58"/>
      <c r="Y305" s="52"/>
    </row>
    <row r="306" spans="1:25" x14ac:dyDescent="0.25">
      <c r="A306" s="1218" t="s">
        <v>128</v>
      </c>
      <c r="B306" s="98">
        <v>45352</v>
      </c>
      <c r="C306" s="117" t="str">
        <f t="shared" si="66"/>
        <v>4L</v>
      </c>
      <c r="D306" s="96"/>
      <c r="E306" s="98"/>
      <c r="F306" s="98"/>
      <c r="I306" s="99"/>
      <c r="L306" s="99"/>
      <c r="M306" s="44"/>
      <c r="N306" s="100"/>
      <c r="O306" s="101"/>
      <c r="P306" s="52"/>
      <c r="Q306" s="49"/>
      <c r="S306" s="50"/>
      <c r="T306" s="50"/>
      <c r="U306" s="58"/>
      <c r="V306" s="58"/>
      <c r="W306" s="58"/>
      <c r="X306" s="58"/>
      <c r="Y306" s="52"/>
    </row>
    <row r="307" spans="1:25" x14ac:dyDescent="0.25">
      <c r="A307" s="1218" t="s">
        <v>129</v>
      </c>
      <c r="B307" s="98">
        <v>45352</v>
      </c>
      <c r="C307" s="117" t="str">
        <f t="shared" si="66"/>
        <v>4L</v>
      </c>
      <c r="D307" s="96"/>
      <c r="E307" s="98"/>
      <c r="F307" s="98"/>
      <c r="I307" s="99">
        <f t="shared" si="67"/>
        <v>0</v>
      </c>
      <c r="L307" s="99">
        <f t="shared" si="68"/>
        <v>0</v>
      </c>
      <c r="M307" s="44" t="str">
        <f t="shared" si="70"/>
        <v/>
      </c>
      <c r="N307" s="100">
        <f t="shared" si="71"/>
        <v>0</v>
      </c>
      <c r="O307" s="101">
        <f t="shared" si="72"/>
        <v>0</v>
      </c>
      <c r="P307" s="52">
        <f t="shared" si="73"/>
        <v>0</v>
      </c>
      <c r="Q307" s="49">
        <v>116.88487613461319</v>
      </c>
      <c r="R307">
        <v>2225</v>
      </c>
      <c r="S307" s="50">
        <f t="shared" si="69"/>
        <v>71535.307499999995</v>
      </c>
      <c r="T307" s="50">
        <f t="shared" si="74"/>
        <v>0</v>
      </c>
      <c r="U307" s="58">
        <f t="shared" si="75"/>
        <v>0</v>
      </c>
      <c r="V307" s="58">
        <f t="shared" si="76"/>
        <v>0</v>
      </c>
      <c r="W307" s="58">
        <f t="shared" si="77"/>
        <v>0</v>
      </c>
      <c r="X307" s="58">
        <f t="shared" si="78"/>
        <v>0</v>
      </c>
      <c r="Y307" s="52">
        <f t="shared" si="79"/>
        <v>0</v>
      </c>
    </row>
    <row r="308" spans="1:25" x14ac:dyDescent="0.25">
      <c r="A308" s="1218" t="s">
        <v>130</v>
      </c>
      <c r="B308" s="98">
        <v>45352</v>
      </c>
      <c r="C308" s="117" t="str">
        <f t="shared" si="66"/>
        <v>5L</v>
      </c>
      <c r="D308" s="96"/>
      <c r="E308" s="98"/>
      <c r="F308" s="98"/>
      <c r="I308" s="99">
        <f t="shared" si="67"/>
        <v>0</v>
      </c>
      <c r="L308" s="99">
        <f t="shared" si="68"/>
        <v>0</v>
      </c>
      <c r="M308" s="44" t="str">
        <f t="shared" si="70"/>
        <v/>
      </c>
      <c r="N308" s="100">
        <f t="shared" si="71"/>
        <v>0</v>
      </c>
      <c r="O308" s="101">
        <f t="shared" si="72"/>
        <v>0</v>
      </c>
      <c r="P308" s="52">
        <f t="shared" si="73"/>
        <v>0</v>
      </c>
      <c r="Q308" s="49">
        <v>116.88487613461319</v>
      </c>
      <c r="R308">
        <v>2225</v>
      </c>
      <c r="S308" s="50">
        <f t="shared" si="69"/>
        <v>71535.307499999995</v>
      </c>
      <c r="T308" s="50">
        <f t="shared" si="74"/>
        <v>0</v>
      </c>
      <c r="U308" s="58">
        <f t="shared" si="75"/>
        <v>0</v>
      </c>
      <c r="V308" s="58">
        <f t="shared" si="76"/>
        <v>0</v>
      </c>
      <c r="W308" s="58">
        <f t="shared" si="77"/>
        <v>0</v>
      </c>
      <c r="X308" s="58">
        <f t="shared" si="78"/>
        <v>0</v>
      </c>
      <c r="Y308" s="52">
        <f t="shared" si="79"/>
        <v>0</v>
      </c>
    </row>
    <row r="309" spans="1:25" x14ac:dyDescent="0.25">
      <c r="A309" s="1218" t="s">
        <v>131</v>
      </c>
      <c r="B309" s="98">
        <v>45352</v>
      </c>
      <c r="C309" s="117" t="str">
        <f t="shared" si="66"/>
        <v>5L</v>
      </c>
      <c r="D309" s="96"/>
      <c r="E309" s="98"/>
      <c r="F309" s="98"/>
      <c r="G309" s="40">
        <v>3045</v>
      </c>
      <c r="H309" s="40">
        <v>3.3099999999999996</v>
      </c>
      <c r="I309" s="99">
        <f t="shared" si="67"/>
        <v>10.078949999999999</v>
      </c>
      <c r="J309" s="41">
        <v>5002</v>
      </c>
      <c r="K309" s="41">
        <v>2.46</v>
      </c>
      <c r="L309" s="99">
        <f t="shared" si="68"/>
        <v>12.304919999999999</v>
      </c>
      <c r="M309" s="44">
        <f t="shared" si="70"/>
        <v>0.22085336270147193</v>
      </c>
      <c r="N309" s="100">
        <f t="shared" si="71"/>
        <v>1957</v>
      </c>
      <c r="O309" s="101">
        <f t="shared" si="72"/>
        <v>2.2259700000000002</v>
      </c>
      <c r="P309" s="52">
        <f t="shared" si="73"/>
        <v>295578.08553756471</v>
      </c>
      <c r="Q309" s="49">
        <v>116.88487613461319</v>
      </c>
      <c r="R309">
        <v>2225</v>
      </c>
      <c r="S309" s="50">
        <f t="shared" si="69"/>
        <v>71535.307499999995</v>
      </c>
      <c r="T309" s="50">
        <f t="shared" si="74"/>
        <v>721000.78752712486</v>
      </c>
      <c r="U309" s="58">
        <f t="shared" si="75"/>
        <v>880236.23596289987</v>
      </c>
      <c r="V309" s="58">
        <f t="shared" si="76"/>
        <v>355914.44782989717</v>
      </c>
      <c r="W309" s="58">
        <f t="shared" si="77"/>
        <v>584658.15042533516</v>
      </c>
      <c r="X309" s="58">
        <f t="shared" si="78"/>
        <v>365086.3396972277</v>
      </c>
      <c r="Y309" s="52">
        <f t="shared" si="79"/>
        <v>295578.08553756471</v>
      </c>
    </row>
    <row r="310" spans="1:25" x14ac:dyDescent="0.25">
      <c r="A310" s="1218" t="s">
        <v>132</v>
      </c>
      <c r="B310" s="98">
        <v>45352</v>
      </c>
      <c r="C310" s="117" t="str">
        <f t="shared" si="66"/>
        <v>5L</v>
      </c>
      <c r="D310" s="96"/>
      <c r="E310" s="98"/>
      <c r="F310" s="98"/>
      <c r="I310" s="99">
        <f t="shared" si="67"/>
        <v>0</v>
      </c>
      <c r="L310" s="99">
        <f t="shared" si="68"/>
        <v>0</v>
      </c>
      <c r="M310" s="44" t="str">
        <f t="shared" si="70"/>
        <v/>
      </c>
      <c r="N310" s="100">
        <f t="shared" si="71"/>
        <v>0</v>
      </c>
      <c r="O310" s="101">
        <f t="shared" si="72"/>
        <v>0</v>
      </c>
      <c r="P310" s="52">
        <f t="shared" si="73"/>
        <v>0</v>
      </c>
      <c r="Q310" s="49">
        <v>116.88487613461319</v>
      </c>
      <c r="R310">
        <v>2225</v>
      </c>
      <c r="S310" s="50">
        <f t="shared" si="69"/>
        <v>71535.307499999995</v>
      </c>
      <c r="T310" s="50">
        <f t="shared" si="74"/>
        <v>0</v>
      </c>
      <c r="U310" s="58">
        <f t="shared" si="75"/>
        <v>0</v>
      </c>
      <c r="V310" s="58">
        <f t="shared" si="76"/>
        <v>0</v>
      </c>
      <c r="W310" s="58">
        <f t="shared" si="77"/>
        <v>0</v>
      </c>
      <c r="X310" s="58">
        <f t="shared" si="78"/>
        <v>0</v>
      </c>
      <c r="Y310" s="52">
        <f t="shared" si="79"/>
        <v>0</v>
      </c>
    </row>
    <row r="311" spans="1:25" x14ac:dyDescent="0.25">
      <c r="A311" s="1218" t="s">
        <v>133</v>
      </c>
      <c r="B311" s="98">
        <v>45352</v>
      </c>
      <c r="C311" s="117" t="str">
        <f t="shared" si="66"/>
        <v>5L</v>
      </c>
      <c r="D311" s="96"/>
      <c r="E311" s="98"/>
      <c r="F311" s="98"/>
      <c r="I311" s="99">
        <f t="shared" si="67"/>
        <v>0</v>
      </c>
      <c r="L311" s="99">
        <f t="shared" si="68"/>
        <v>0</v>
      </c>
      <c r="M311" s="44" t="str">
        <f t="shared" si="70"/>
        <v/>
      </c>
      <c r="N311" s="100">
        <f t="shared" si="71"/>
        <v>0</v>
      </c>
      <c r="O311" s="101">
        <f t="shared" si="72"/>
        <v>0</v>
      </c>
      <c r="P311" s="52">
        <f t="shared" si="73"/>
        <v>0</v>
      </c>
      <c r="Q311" s="49">
        <v>116.88487613461319</v>
      </c>
      <c r="R311">
        <v>2225</v>
      </c>
      <c r="S311" s="50">
        <f t="shared" si="69"/>
        <v>71535.307499999995</v>
      </c>
      <c r="T311" s="50">
        <f t="shared" si="74"/>
        <v>0</v>
      </c>
      <c r="U311" s="58">
        <f t="shared" si="75"/>
        <v>0</v>
      </c>
      <c r="V311" s="58">
        <f t="shared" si="76"/>
        <v>0</v>
      </c>
      <c r="W311" s="58">
        <f t="shared" si="77"/>
        <v>0</v>
      </c>
      <c r="X311" s="58">
        <f t="shared" si="78"/>
        <v>0</v>
      </c>
      <c r="Y311" s="52">
        <f t="shared" si="79"/>
        <v>0</v>
      </c>
    </row>
    <row r="312" spans="1:25" x14ac:dyDescent="0.25">
      <c r="A312" s="1218" t="s">
        <v>134</v>
      </c>
      <c r="B312" s="98">
        <v>45352</v>
      </c>
      <c r="C312" s="117" t="str">
        <f t="shared" si="66"/>
        <v>5L</v>
      </c>
      <c r="D312" s="96"/>
      <c r="E312" s="98"/>
      <c r="F312" s="98"/>
      <c r="I312" s="99">
        <f t="shared" si="67"/>
        <v>0</v>
      </c>
      <c r="L312" s="99">
        <f t="shared" si="68"/>
        <v>0</v>
      </c>
      <c r="M312" s="44" t="str">
        <f t="shared" si="70"/>
        <v/>
      </c>
      <c r="N312" s="100">
        <f t="shared" si="71"/>
        <v>0</v>
      </c>
      <c r="O312" s="101">
        <f t="shared" si="72"/>
        <v>0</v>
      </c>
      <c r="P312" s="52">
        <f t="shared" si="73"/>
        <v>0</v>
      </c>
      <c r="Q312" s="49">
        <v>116.88487613461319</v>
      </c>
      <c r="R312">
        <v>2225</v>
      </c>
      <c r="S312" s="50">
        <f t="shared" si="69"/>
        <v>71535.307499999995</v>
      </c>
      <c r="T312" s="50">
        <f t="shared" si="74"/>
        <v>0</v>
      </c>
      <c r="U312" s="58">
        <f t="shared" si="75"/>
        <v>0</v>
      </c>
      <c r="V312" s="58">
        <f t="shared" si="76"/>
        <v>0</v>
      </c>
      <c r="W312" s="58">
        <f t="shared" si="77"/>
        <v>0</v>
      </c>
      <c r="X312" s="58">
        <f t="shared" si="78"/>
        <v>0</v>
      </c>
      <c r="Y312" s="52">
        <f t="shared" si="79"/>
        <v>0</v>
      </c>
    </row>
    <row r="313" spans="1:25" x14ac:dyDescent="0.25">
      <c r="A313" s="1218" t="s">
        <v>135</v>
      </c>
      <c r="B313" s="98">
        <v>45352</v>
      </c>
      <c r="C313" s="117" t="str">
        <f t="shared" si="66"/>
        <v>5L</v>
      </c>
      <c r="D313" s="96"/>
      <c r="E313" s="98"/>
      <c r="F313" s="98"/>
      <c r="I313" s="99">
        <f t="shared" si="67"/>
        <v>0</v>
      </c>
      <c r="L313" s="99">
        <f t="shared" si="68"/>
        <v>0</v>
      </c>
      <c r="M313" s="44" t="str">
        <f t="shared" si="70"/>
        <v/>
      </c>
      <c r="N313" s="100">
        <f t="shared" si="71"/>
        <v>0</v>
      </c>
      <c r="O313" s="101">
        <f t="shared" si="72"/>
        <v>0</v>
      </c>
      <c r="P313" s="52">
        <f t="shared" si="73"/>
        <v>0</v>
      </c>
      <c r="Q313" s="49">
        <v>116.88487613461319</v>
      </c>
      <c r="R313">
        <v>2225</v>
      </c>
      <c r="S313" s="50">
        <f t="shared" si="69"/>
        <v>71535.307499999995</v>
      </c>
      <c r="T313" s="50">
        <f t="shared" si="74"/>
        <v>0</v>
      </c>
      <c r="U313" s="58">
        <f t="shared" si="75"/>
        <v>0</v>
      </c>
      <c r="V313" s="58">
        <f t="shared" si="76"/>
        <v>0</v>
      </c>
      <c r="W313" s="58">
        <f t="shared" si="77"/>
        <v>0</v>
      </c>
      <c r="X313" s="58">
        <f t="shared" si="78"/>
        <v>0</v>
      </c>
      <c r="Y313" s="52">
        <f t="shared" si="79"/>
        <v>0</v>
      </c>
    </row>
    <row r="314" spans="1:25" x14ac:dyDescent="0.25">
      <c r="A314" s="1218" t="s">
        <v>136</v>
      </c>
      <c r="B314" s="98">
        <v>45352</v>
      </c>
      <c r="C314" s="117" t="str">
        <f t="shared" si="66"/>
        <v>5L</v>
      </c>
      <c r="D314" s="96"/>
      <c r="E314" s="98"/>
      <c r="F314" s="98"/>
      <c r="G314" s="103"/>
      <c r="H314" s="103"/>
      <c r="I314" s="99">
        <f t="shared" si="67"/>
        <v>0</v>
      </c>
      <c r="J314" s="41"/>
      <c r="K314" s="41"/>
      <c r="L314" s="99">
        <f t="shared" si="68"/>
        <v>0</v>
      </c>
      <c r="M314" s="44" t="str">
        <f t="shared" si="70"/>
        <v/>
      </c>
      <c r="N314" s="100">
        <f t="shared" si="71"/>
        <v>0</v>
      </c>
      <c r="O314" s="101">
        <f t="shared" si="72"/>
        <v>0</v>
      </c>
      <c r="P314" s="52">
        <f t="shared" si="73"/>
        <v>0</v>
      </c>
      <c r="Q314" s="49">
        <v>116.88487613461319</v>
      </c>
      <c r="R314">
        <v>2225</v>
      </c>
      <c r="S314" s="50">
        <f t="shared" si="69"/>
        <v>71535.307499999995</v>
      </c>
      <c r="T314" s="50">
        <f t="shared" si="74"/>
        <v>0</v>
      </c>
      <c r="U314" s="58">
        <f t="shared" si="75"/>
        <v>0</v>
      </c>
      <c r="V314" s="58">
        <f t="shared" si="76"/>
        <v>0</v>
      </c>
      <c r="W314" s="58">
        <f t="shared" si="77"/>
        <v>0</v>
      </c>
      <c r="X314" s="58">
        <f t="shared" si="78"/>
        <v>0</v>
      </c>
      <c r="Y314" s="52">
        <f t="shared" si="79"/>
        <v>0</v>
      </c>
    </row>
    <row r="315" spans="1:25" x14ac:dyDescent="0.25">
      <c r="A315" s="1218" t="s">
        <v>137</v>
      </c>
      <c r="B315" s="98">
        <v>45352</v>
      </c>
      <c r="C315" s="117" t="str">
        <f t="shared" si="66"/>
        <v>5L</v>
      </c>
      <c r="D315" s="96"/>
      <c r="E315" s="98"/>
      <c r="F315" s="98"/>
      <c r="I315" s="99">
        <f t="shared" si="67"/>
        <v>0</v>
      </c>
      <c r="L315" s="99">
        <f t="shared" si="68"/>
        <v>0</v>
      </c>
      <c r="M315" s="44" t="str">
        <f t="shared" si="70"/>
        <v/>
      </c>
      <c r="N315" s="100">
        <f t="shared" si="71"/>
        <v>0</v>
      </c>
      <c r="O315" s="101">
        <f t="shared" si="72"/>
        <v>0</v>
      </c>
      <c r="P315" s="52">
        <f t="shared" si="73"/>
        <v>0</v>
      </c>
      <c r="Q315" s="49">
        <v>116.88487613461319</v>
      </c>
      <c r="R315">
        <v>2225</v>
      </c>
      <c r="S315" s="50">
        <f t="shared" si="69"/>
        <v>71535.307499999995</v>
      </c>
      <c r="T315" s="50">
        <f t="shared" si="74"/>
        <v>0</v>
      </c>
      <c r="U315" s="58">
        <f t="shared" si="75"/>
        <v>0</v>
      </c>
      <c r="V315" s="58">
        <f t="shared" si="76"/>
        <v>0</v>
      </c>
      <c r="W315" s="58">
        <f t="shared" si="77"/>
        <v>0</v>
      </c>
      <c r="X315" s="58">
        <f t="shared" si="78"/>
        <v>0</v>
      </c>
      <c r="Y315" s="52">
        <f t="shared" si="79"/>
        <v>0</v>
      </c>
    </row>
    <row r="316" spans="1:25" x14ac:dyDescent="0.25">
      <c r="A316" s="1218" t="s">
        <v>138</v>
      </c>
      <c r="B316" s="98">
        <v>45352</v>
      </c>
      <c r="C316" s="117" t="str">
        <f t="shared" si="66"/>
        <v>5L</v>
      </c>
      <c r="D316" s="96"/>
      <c r="E316" s="98"/>
      <c r="F316" s="98"/>
      <c r="I316" s="99">
        <f t="shared" si="67"/>
        <v>0</v>
      </c>
      <c r="L316" s="99">
        <f t="shared" si="68"/>
        <v>0</v>
      </c>
      <c r="M316" s="44" t="str">
        <f t="shared" si="70"/>
        <v/>
      </c>
      <c r="N316" s="100">
        <f t="shared" si="71"/>
        <v>0</v>
      </c>
      <c r="O316" s="101">
        <f t="shared" si="72"/>
        <v>0</v>
      </c>
      <c r="P316" s="52">
        <f t="shared" si="73"/>
        <v>0</v>
      </c>
      <c r="Q316" s="49">
        <v>116.88487613461319</v>
      </c>
      <c r="R316">
        <v>2225</v>
      </c>
      <c r="S316" s="50">
        <f t="shared" si="69"/>
        <v>71535.307499999995</v>
      </c>
      <c r="T316" s="50">
        <f t="shared" si="74"/>
        <v>0</v>
      </c>
      <c r="U316" s="58">
        <f t="shared" si="75"/>
        <v>0</v>
      </c>
      <c r="V316" s="58">
        <f t="shared" si="76"/>
        <v>0</v>
      </c>
      <c r="W316" s="58">
        <f t="shared" si="77"/>
        <v>0</v>
      </c>
      <c r="X316" s="58">
        <f t="shared" si="78"/>
        <v>0</v>
      </c>
      <c r="Y316" s="52">
        <f t="shared" si="79"/>
        <v>0</v>
      </c>
    </row>
    <row r="317" spans="1:25" x14ac:dyDescent="0.25">
      <c r="A317" s="1218" t="s">
        <v>139</v>
      </c>
      <c r="B317" s="98">
        <v>45352</v>
      </c>
      <c r="C317" s="117" t="str">
        <f t="shared" si="66"/>
        <v>5L</v>
      </c>
      <c r="D317" s="96"/>
      <c r="E317" s="98"/>
      <c r="F317" s="98"/>
      <c r="I317" s="99">
        <f t="shared" si="67"/>
        <v>0</v>
      </c>
      <c r="L317" s="99">
        <f t="shared" si="68"/>
        <v>0</v>
      </c>
      <c r="M317" s="44" t="str">
        <f t="shared" si="70"/>
        <v/>
      </c>
      <c r="N317" s="100">
        <f t="shared" si="71"/>
        <v>0</v>
      </c>
      <c r="O317" s="101">
        <f t="shared" si="72"/>
        <v>0</v>
      </c>
      <c r="P317" s="52">
        <f t="shared" si="73"/>
        <v>0</v>
      </c>
      <c r="Q317" s="49">
        <v>116.88487613461319</v>
      </c>
      <c r="R317">
        <v>2225</v>
      </c>
      <c r="S317" s="50">
        <f t="shared" si="69"/>
        <v>71535.307499999995</v>
      </c>
      <c r="T317" s="50">
        <f t="shared" si="74"/>
        <v>0</v>
      </c>
      <c r="U317" s="58">
        <f t="shared" si="75"/>
        <v>0</v>
      </c>
      <c r="V317" s="58">
        <f t="shared" si="76"/>
        <v>0</v>
      </c>
      <c r="W317" s="58">
        <f t="shared" si="77"/>
        <v>0</v>
      </c>
      <c r="X317" s="58">
        <f t="shared" si="78"/>
        <v>0</v>
      </c>
      <c r="Y317" s="52">
        <f t="shared" si="79"/>
        <v>0</v>
      </c>
    </row>
    <row r="318" spans="1:25" x14ac:dyDescent="0.25">
      <c r="A318" s="1218" t="s">
        <v>140</v>
      </c>
      <c r="B318" s="98">
        <v>45352</v>
      </c>
      <c r="C318" s="117" t="str">
        <f t="shared" si="66"/>
        <v>5L</v>
      </c>
      <c r="D318" s="96"/>
      <c r="E318" s="98"/>
      <c r="F318" s="98"/>
      <c r="G318" s="55"/>
      <c r="H318" s="55"/>
      <c r="I318" s="99">
        <f t="shared" si="67"/>
        <v>0</v>
      </c>
      <c r="J318" s="55"/>
      <c r="K318" s="55"/>
      <c r="L318" s="99">
        <f t="shared" si="68"/>
        <v>0</v>
      </c>
      <c r="M318" s="44" t="str">
        <f t="shared" si="70"/>
        <v/>
      </c>
      <c r="N318" s="100">
        <f t="shared" si="71"/>
        <v>0</v>
      </c>
      <c r="O318" s="101">
        <f t="shared" si="72"/>
        <v>0</v>
      </c>
      <c r="P318" s="52">
        <f t="shared" si="73"/>
        <v>0</v>
      </c>
      <c r="Q318" s="49">
        <v>116.88487613461319</v>
      </c>
      <c r="R318">
        <v>2225</v>
      </c>
      <c r="S318" s="50">
        <f t="shared" si="69"/>
        <v>71535.307499999995</v>
      </c>
      <c r="T318" s="50">
        <f t="shared" si="74"/>
        <v>0</v>
      </c>
      <c r="U318" s="58">
        <f t="shared" si="75"/>
        <v>0</v>
      </c>
      <c r="V318" s="58">
        <f t="shared" si="76"/>
        <v>0</v>
      </c>
      <c r="W318" s="58">
        <f t="shared" si="77"/>
        <v>0</v>
      </c>
      <c r="X318" s="58">
        <f t="shared" si="78"/>
        <v>0</v>
      </c>
      <c r="Y318" s="52">
        <f t="shared" si="79"/>
        <v>0</v>
      </c>
    </row>
    <row r="319" spans="1:25" x14ac:dyDescent="0.25">
      <c r="A319" s="1218" t="s">
        <v>141</v>
      </c>
      <c r="B319" s="98">
        <v>45352</v>
      </c>
      <c r="C319" s="117" t="str">
        <f t="shared" si="66"/>
        <v>5L</v>
      </c>
      <c r="D319" s="96"/>
      <c r="E319" s="98"/>
      <c r="F319" s="98"/>
      <c r="G319" s="55"/>
      <c r="H319" s="55"/>
      <c r="I319" s="99">
        <f t="shared" si="67"/>
        <v>0</v>
      </c>
      <c r="J319" s="55"/>
      <c r="K319" s="55"/>
      <c r="L319" s="99">
        <f t="shared" si="68"/>
        <v>0</v>
      </c>
      <c r="M319" s="44" t="str">
        <f t="shared" si="70"/>
        <v/>
      </c>
      <c r="N319" s="100">
        <f t="shared" si="71"/>
        <v>0</v>
      </c>
      <c r="O319" s="101">
        <f t="shared" si="72"/>
        <v>0</v>
      </c>
      <c r="P319" s="52">
        <f t="shared" si="73"/>
        <v>0</v>
      </c>
      <c r="Q319" s="49">
        <v>116.88487613461319</v>
      </c>
      <c r="R319">
        <v>2225</v>
      </c>
      <c r="S319" s="50">
        <f t="shared" si="69"/>
        <v>71535.307499999995</v>
      </c>
      <c r="T319" s="50">
        <f t="shared" si="74"/>
        <v>0</v>
      </c>
      <c r="U319" s="58">
        <f t="shared" si="75"/>
        <v>0</v>
      </c>
      <c r="V319" s="58">
        <f t="shared" si="76"/>
        <v>0</v>
      </c>
      <c r="W319" s="58">
        <f t="shared" si="77"/>
        <v>0</v>
      </c>
      <c r="X319" s="58">
        <f t="shared" si="78"/>
        <v>0</v>
      </c>
      <c r="Y319" s="52">
        <f t="shared" si="79"/>
        <v>0</v>
      </c>
    </row>
    <row r="320" spans="1:25" x14ac:dyDescent="0.25">
      <c r="A320" s="1218" t="s">
        <v>142</v>
      </c>
      <c r="B320" s="98">
        <v>45352</v>
      </c>
      <c r="C320" s="117" t="str">
        <f t="shared" si="66"/>
        <v>5L</v>
      </c>
      <c r="D320" s="96"/>
      <c r="E320" s="98"/>
      <c r="F320" s="98"/>
      <c r="G320" s="55"/>
      <c r="H320" s="55"/>
      <c r="I320" s="99">
        <f t="shared" si="67"/>
        <v>0</v>
      </c>
      <c r="J320" s="55"/>
      <c r="K320" s="55"/>
      <c r="L320" s="99">
        <f t="shared" si="68"/>
        <v>0</v>
      </c>
      <c r="M320" s="44" t="str">
        <f t="shared" si="70"/>
        <v/>
      </c>
      <c r="N320" s="100">
        <f t="shared" si="71"/>
        <v>0</v>
      </c>
      <c r="O320" s="101">
        <f t="shared" si="72"/>
        <v>0</v>
      </c>
      <c r="P320" s="52">
        <f t="shared" si="73"/>
        <v>0</v>
      </c>
      <c r="Q320" s="49">
        <v>116.88487613461319</v>
      </c>
      <c r="R320">
        <v>2225</v>
      </c>
      <c r="S320" s="50">
        <f t="shared" si="69"/>
        <v>71535.307499999995</v>
      </c>
      <c r="T320" s="50">
        <f t="shared" si="74"/>
        <v>0</v>
      </c>
      <c r="U320" s="58">
        <f t="shared" si="75"/>
        <v>0</v>
      </c>
      <c r="V320" s="58">
        <f t="shared" si="76"/>
        <v>0</v>
      </c>
      <c r="W320" s="58">
        <f t="shared" si="77"/>
        <v>0</v>
      </c>
      <c r="X320" s="58">
        <f t="shared" si="78"/>
        <v>0</v>
      </c>
      <c r="Y320" s="52">
        <f t="shared" si="79"/>
        <v>0</v>
      </c>
    </row>
    <row r="321" spans="1:25" x14ac:dyDescent="0.25">
      <c r="A321" s="1218" t="s">
        <v>143</v>
      </c>
      <c r="B321" s="98">
        <v>45352</v>
      </c>
      <c r="C321" s="117" t="str">
        <f t="shared" si="66"/>
        <v>5L</v>
      </c>
      <c r="D321" s="96"/>
      <c r="E321" s="98"/>
      <c r="F321" s="98"/>
      <c r="G321" s="55"/>
      <c r="H321" s="55"/>
      <c r="I321" s="99">
        <f t="shared" si="67"/>
        <v>0</v>
      </c>
      <c r="J321" s="55"/>
      <c r="K321" s="55"/>
      <c r="L321" s="99">
        <f t="shared" si="68"/>
        <v>0</v>
      </c>
      <c r="M321" s="44" t="str">
        <f t="shared" si="70"/>
        <v/>
      </c>
      <c r="N321" s="100">
        <f t="shared" si="71"/>
        <v>0</v>
      </c>
      <c r="O321" s="101">
        <f t="shared" si="72"/>
        <v>0</v>
      </c>
      <c r="P321" s="52">
        <f t="shared" si="73"/>
        <v>0</v>
      </c>
      <c r="Q321" s="49">
        <v>116.88487613461319</v>
      </c>
      <c r="R321">
        <v>2225</v>
      </c>
      <c r="S321" s="50">
        <f t="shared" si="69"/>
        <v>71535.307499999995</v>
      </c>
      <c r="T321" s="50">
        <f t="shared" si="74"/>
        <v>0</v>
      </c>
      <c r="U321" s="58">
        <f t="shared" si="75"/>
        <v>0</v>
      </c>
      <c r="V321" s="58">
        <f t="shared" si="76"/>
        <v>0</v>
      </c>
      <c r="W321" s="58">
        <f t="shared" si="77"/>
        <v>0</v>
      </c>
      <c r="X321" s="58">
        <f t="shared" si="78"/>
        <v>0</v>
      </c>
      <c r="Y321" s="52">
        <f t="shared" si="79"/>
        <v>0</v>
      </c>
    </row>
    <row r="322" spans="1:25" x14ac:dyDescent="0.25">
      <c r="A322" s="1218" t="s">
        <v>144</v>
      </c>
      <c r="B322" s="98">
        <v>45352</v>
      </c>
      <c r="C322" s="117" t="str">
        <f t="shared" si="66"/>
        <v>5L</v>
      </c>
      <c r="D322" s="96"/>
      <c r="E322" s="98"/>
      <c r="F322" s="98"/>
      <c r="G322" s="55"/>
      <c r="H322" s="55"/>
      <c r="I322" s="99">
        <f t="shared" si="67"/>
        <v>0</v>
      </c>
      <c r="J322" s="55"/>
      <c r="K322" s="55"/>
      <c r="L322" s="99">
        <f t="shared" si="68"/>
        <v>0</v>
      </c>
      <c r="M322" s="44" t="str">
        <f t="shared" si="70"/>
        <v/>
      </c>
      <c r="N322" s="100">
        <f t="shared" si="71"/>
        <v>0</v>
      </c>
      <c r="O322" s="101">
        <f t="shared" si="72"/>
        <v>0</v>
      </c>
      <c r="P322" s="52">
        <f t="shared" si="73"/>
        <v>0</v>
      </c>
      <c r="Q322" s="49">
        <v>116.88487613461319</v>
      </c>
      <c r="R322">
        <v>2225</v>
      </c>
      <c r="S322" s="50">
        <f t="shared" si="69"/>
        <v>71535.307499999995</v>
      </c>
      <c r="T322" s="50">
        <f t="shared" si="74"/>
        <v>0</v>
      </c>
      <c r="U322" s="58">
        <f t="shared" si="75"/>
        <v>0</v>
      </c>
      <c r="V322" s="58">
        <f t="shared" si="76"/>
        <v>0</v>
      </c>
      <c r="W322" s="58">
        <f t="shared" si="77"/>
        <v>0</v>
      </c>
      <c r="X322" s="58">
        <f t="shared" si="78"/>
        <v>0</v>
      </c>
      <c r="Y322" s="52">
        <f t="shared" si="79"/>
        <v>0</v>
      </c>
    </row>
    <row r="323" spans="1:25" x14ac:dyDescent="0.25">
      <c r="A323" s="1218" t="s">
        <v>145</v>
      </c>
      <c r="B323" s="98">
        <v>45352</v>
      </c>
      <c r="C323" s="117" t="str">
        <f t="shared" si="66"/>
        <v>5L</v>
      </c>
      <c r="D323" s="96"/>
      <c r="E323" s="98"/>
      <c r="F323" s="98"/>
      <c r="G323" s="55"/>
      <c r="H323" s="55"/>
      <c r="I323" s="99">
        <f t="shared" si="67"/>
        <v>0</v>
      </c>
      <c r="J323" s="55"/>
      <c r="K323" s="55"/>
      <c r="L323" s="99">
        <f t="shared" si="68"/>
        <v>0</v>
      </c>
      <c r="M323" s="44" t="str">
        <f t="shared" si="70"/>
        <v/>
      </c>
      <c r="N323" s="100">
        <f t="shared" si="71"/>
        <v>0</v>
      </c>
      <c r="O323" s="101">
        <f t="shared" si="72"/>
        <v>0</v>
      </c>
      <c r="P323" s="52">
        <f t="shared" si="73"/>
        <v>0</v>
      </c>
      <c r="Q323" s="49">
        <v>116.88487613461319</v>
      </c>
      <c r="R323">
        <v>2225</v>
      </c>
      <c r="S323" s="50">
        <f t="shared" si="69"/>
        <v>71535.307499999995</v>
      </c>
      <c r="T323" s="50">
        <f t="shared" si="74"/>
        <v>0</v>
      </c>
      <c r="U323" s="58">
        <f t="shared" si="75"/>
        <v>0</v>
      </c>
      <c r="V323" s="58">
        <f t="shared" si="76"/>
        <v>0</v>
      </c>
      <c r="W323" s="58">
        <f t="shared" si="77"/>
        <v>0</v>
      </c>
      <c r="X323" s="58">
        <f t="shared" si="78"/>
        <v>0</v>
      </c>
      <c r="Y323" s="52">
        <f t="shared" si="79"/>
        <v>0</v>
      </c>
    </row>
    <row r="324" spans="1:25" x14ac:dyDescent="0.25">
      <c r="A324" s="1218" t="s">
        <v>146</v>
      </c>
      <c r="B324" s="98">
        <v>45352</v>
      </c>
      <c r="C324" s="117" t="str">
        <f t="shared" si="66"/>
        <v>5L</v>
      </c>
      <c r="D324" s="96"/>
      <c r="E324" s="98"/>
      <c r="F324" s="98"/>
      <c r="G324" s="55"/>
      <c r="H324" s="55"/>
      <c r="I324" s="99">
        <f t="shared" si="67"/>
        <v>0</v>
      </c>
      <c r="J324" s="55"/>
      <c r="K324" s="55"/>
      <c r="L324" s="99">
        <f t="shared" si="68"/>
        <v>0</v>
      </c>
      <c r="M324" s="44" t="str">
        <f t="shared" si="70"/>
        <v/>
      </c>
      <c r="N324" s="100">
        <f t="shared" si="71"/>
        <v>0</v>
      </c>
      <c r="O324" s="101">
        <f t="shared" si="72"/>
        <v>0</v>
      </c>
      <c r="P324" s="52">
        <f t="shared" si="73"/>
        <v>0</v>
      </c>
      <c r="Q324" s="49">
        <v>116.88487613461319</v>
      </c>
      <c r="R324">
        <v>2225</v>
      </c>
      <c r="S324" s="50">
        <f t="shared" si="69"/>
        <v>71535.307499999995</v>
      </c>
      <c r="T324" s="50">
        <f t="shared" si="74"/>
        <v>0</v>
      </c>
      <c r="U324" s="58">
        <f t="shared" si="75"/>
        <v>0</v>
      </c>
      <c r="V324" s="58">
        <f t="shared" si="76"/>
        <v>0</v>
      </c>
      <c r="W324" s="58">
        <f t="shared" si="77"/>
        <v>0</v>
      </c>
      <c r="X324" s="58">
        <f t="shared" si="78"/>
        <v>0</v>
      </c>
      <c r="Y324" s="52">
        <f t="shared" si="79"/>
        <v>0</v>
      </c>
    </row>
    <row r="325" spans="1:25" x14ac:dyDescent="0.25">
      <c r="A325" s="1218" t="s">
        <v>147</v>
      </c>
      <c r="B325" s="98">
        <v>45352</v>
      </c>
      <c r="C325" s="117" t="str">
        <f t="shared" si="66"/>
        <v>5L</v>
      </c>
      <c r="D325" s="96"/>
      <c r="E325" s="98"/>
      <c r="F325" s="98"/>
      <c r="G325" s="55"/>
      <c r="H325" s="55"/>
      <c r="I325" s="99">
        <f t="shared" si="67"/>
        <v>0</v>
      </c>
      <c r="J325" s="55"/>
      <c r="K325" s="55"/>
      <c r="L325" s="99">
        <f t="shared" si="68"/>
        <v>0</v>
      </c>
      <c r="M325" s="44" t="str">
        <f t="shared" si="70"/>
        <v/>
      </c>
      <c r="N325" s="100">
        <f t="shared" si="71"/>
        <v>0</v>
      </c>
      <c r="O325" s="101">
        <f t="shared" si="72"/>
        <v>0</v>
      </c>
      <c r="P325" s="52">
        <f t="shared" si="73"/>
        <v>0</v>
      </c>
      <c r="Q325" s="49">
        <v>116.88487613461319</v>
      </c>
      <c r="R325">
        <v>2225</v>
      </c>
      <c r="S325" s="50">
        <f t="shared" si="69"/>
        <v>71535.307499999995</v>
      </c>
      <c r="T325" s="50">
        <f t="shared" si="74"/>
        <v>0</v>
      </c>
      <c r="U325" s="58">
        <f t="shared" si="75"/>
        <v>0</v>
      </c>
      <c r="V325" s="58">
        <f t="shared" si="76"/>
        <v>0</v>
      </c>
      <c r="W325" s="58">
        <f t="shared" si="77"/>
        <v>0</v>
      </c>
      <c r="X325" s="58">
        <f t="shared" si="78"/>
        <v>0</v>
      </c>
      <c r="Y325" s="52">
        <f t="shared" si="79"/>
        <v>0</v>
      </c>
    </row>
    <row r="326" spans="1:25" x14ac:dyDescent="0.25">
      <c r="A326" s="1218" t="s">
        <v>148</v>
      </c>
      <c r="B326" s="98">
        <v>45352</v>
      </c>
      <c r="C326" s="117" t="str">
        <f t="shared" ref="C326:C389" si="81">LEFT(A326,2)</f>
        <v>5L</v>
      </c>
      <c r="D326" s="96"/>
      <c r="E326" s="98"/>
      <c r="F326" s="98"/>
      <c r="G326" s="55"/>
      <c r="H326" s="55"/>
      <c r="I326" s="99">
        <f t="shared" si="67"/>
        <v>0</v>
      </c>
      <c r="J326" s="55"/>
      <c r="K326" s="55"/>
      <c r="L326" s="99">
        <f t="shared" si="68"/>
        <v>0</v>
      </c>
      <c r="M326" s="44" t="str">
        <f t="shared" si="70"/>
        <v/>
      </c>
      <c r="N326" s="100">
        <f t="shared" si="71"/>
        <v>0</v>
      </c>
      <c r="O326" s="101">
        <f t="shared" si="72"/>
        <v>0</v>
      </c>
      <c r="P326" s="52">
        <f t="shared" si="73"/>
        <v>0</v>
      </c>
      <c r="Q326" s="49">
        <v>116.88487613461319</v>
      </c>
      <c r="R326">
        <v>2225</v>
      </c>
      <c r="S326" s="50">
        <f t="shared" si="69"/>
        <v>71535.307499999995</v>
      </c>
      <c r="T326" s="50">
        <f t="shared" si="74"/>
        <v>0</v>
      </c>
      <c r="U326" s="58">
        <f t="shared" si="75"/>
        <v>0</v>
      </c>
      <c r="V326" s="58">
        <f t="shared" si="76"/>
        <v>0</v>
      </c>
      <c r="W326" s="58">
        <f t="shared" si="77"/>
        <v>0</v>
      </c>
      <c r="X326" s="58">
        <f t="shared" si="78"/>
        <v>0</v>
      </c>
      <c r="Y326" s="52">
        <f t="shared" si="79"/>
        <v>0</v>
      </c>
    </row>
    <row r="327" spans="1:25" x14ac:dyDescent="0.25">
      <c r="A327" s="1218" t="s">
        <v>149</v>
      </c>
      <c r="B327" s="98">
        <v>45352</v>
      </c>
      <c r="C327" s="117" t="str">
        <f t="shared" si="81"/>
        <v>5L</v>
      </c>
      <c r="D327" s="96"/>
      <c r="E327" s="98"/>
      <c r="F327" s="98"/>
      <c r="G327" s="55"/>
      <c r="H327" s="55"/>
      <c r="I327" s="99">
        <f t="shared" si="67"/>
        <v>0</v>
      </c>
      <c r="J327" s="55"/>
      <c r="K327" s="55"/>
      <c r="L327" s="99">
        <f t="shared" si="68"/>
        <v>0</v>
      </c>
      <c r="M327" s="44" t="str">
        <f t="shared" si="70"/>
        <v/>
      </c>
      <c r="N327" s="100">
        <f t="shared" si="71"/>
        <v>0</v>
      </c>
      <c r="O327" s="101">
        <f t="shared" si="72"/>
        <v>0</v>
      </c>
      <c r="P327" s="52">
        <f t="shared" si="73"/>
        <v>0</v>
      </c>
      <c r="Q327" s="49">
        <v>116.88487613461319</v>
      </c>
      <c r="R327">
        <v>2225</v>
      </c>
      <c r="S327" s="50">
        <f t="shared" si="69"/>
        <v>71535.307499999995</v>
      </c>
      <c r="T327" s="50">
        <f t="shared" si="74"/>
        <v>0</v>
      </c>
      <c r="U327" s="58">
        <f t="shared" si="75"/>
        <v>0</v>
      </c>
      <c r="V327" s="58">
        <f t="shared" si="76"/>
        <v>0</v>
      </c>
      <c r="W327" s="58">
        <f t="shared" si="77"/>
        <v>0</v>
      </c>
      <c r="X327" s="58">
        <f t="shared" si="78"/>
        <v>0</v>
      </c>
      <c r="Y327" s="52">
        <f t="shared" si="79"/>
        <v>0</v>
      </c>
    </row>
    <row r="328" spans="1:25" x14ac:dyDescent="0.25">
      <c r="A328" s="1218" t="s">
        <v>150</v>
      </c>
      <c r="B328" s="98">
        <v>45352</v>
      </c>
      <c r="C328" s="117" t="str">
        <f t="shared" si="81"/>
        <v>6L</v>
      </c>
      <c r="D328" s="96"/>
      <c r="E328" s="98"/>
      <c r="F328" s="98"/>
      <c r="I328" s="99">
        <f t="shared" si="67"/>
        <v>0</v>
      </c>
      <c r="L328" s="99">
        <f t="shared" si="68"/>
        <v>0</v>
      </c>
      <c r="M328" s="44" t="str">
        <f t="shared" si="70"/>
        <v/>
      </c>
      <c r="N328" s="100">
        <f t="shared" si="71"/>
        <v>0</v>
      </c>
      <c r="O328" s="101">
        <f t="shared" si="72"/>
        <v>0</v>
      </c>
      <c r="P328" s="52">
        <f t="shared" si="73"/>
        <v>0</v>
      </c>
      <c r="Q328" s="49">
        <v>116.88487613461319</v>
      </c>
      <c r="R328">
        <v>2225</v>
      </c>
      <c r="S328" s="50">
        <f t="shared" si="69"/>
        <v>71535.307499999995</v>
      </c>
      <c r="T328" s="50">
        <f t="shared" si="74"/>
        <v>0</v>
      </c>
      <c r="U328" s="58">
        <f t="shared" si="75"/>
        <v>0</v>
      </c>
      <c r="V328" s="58">
        <f t="shared" si="76"/>
        <v>0</v>
      </c>
      <c r="W328" s="58">
        <f t="shared" si="77"/>
        <v>0</v>
      </c>
      <c r="X328" s="58">
        <f t="shared" si="78"/>
        <v>0</v>
      </c>
      <c r="Y328" s="52">
        <f t="shared" si="79"/>
        <v>0</v>
      </c>
    </row>
    <row r="329" spans="1:25" x14ac:dyDescent="0.25">
      <c r="A329" s="1218" t="s">
        <v>151</v>
      </c>
      <c r="B329" s="98">
        <v>45352</v>
      </c>
      <c r="C329" s="117" t="str">
        <f t="shared" si="81"/>
        <v>6L</v>
      </c>
      <c r="D329" s="96"/>
      <c r="E329" s="98"/>
      <c r="F329" s="98"/>
      <c r="I329" s="99">
        <f t="shared" si="67"/>
        <v>0</v>
      </c>
      <c r="L329" s="99">
        <f t="shared" si="68"/>
        <v>0</v>
      </c>
      <c r="M329" s="44" t="str">
        <f t="shared" si="70"/>
        <v/>
      </c>
      <c r="N329" s="100">
        <f t="shared" si="71"/>
        <v>0</v>
      </c>
      <c r="O329" s="101">
        <f t="shared" si="72"/>
        <v>0</v>
      </c>
      <c r="P329" s="52">
        <f t="shared" si="73"/>
        <v>0</v>
      </c>
      <c r="Q329" s="49">
        <v>116.88487613461319</v>
      </c>
      <c r="R329">
        <v>2225</v>
      </c>
      <c r="S329" s="50">
        <f t="shared" si="69"/>
        <v>71535.307499999995</v>
      </c>
      <c r="T329" s="50">
        <f t="shared" si="74"/>
        <v>0</v>
      </c>
      <c r="U329" s="58">
        <f t="shared" si="75"/>
        <v>0</v>
      </c>
      <c r="V329" s="58">
        <f t="shared" si="76"/>
        <v>0</v>
      </c>
      <c r="W329" s="58">
        <f t="shared" si="77"/>
        <v>0</v>
      </c>
      <c r="X329" s="58">
        <f t="shared" si="78"/>
        <v>0</v>
      </c>
      <c r="Y329" s="52">
        <f t="shared" si="79"/>
        <v>0</v>
      </c>
    </row>
    <row r="330" spans="1:25" x14ac:dyDescent="0.25">
      <c r="A330" s="1218" t="s">
        <v>152</v>
      </c>
      <c r="B330" s="98">
        <v>45352</v>
      </c>
      <c r="C330" s="117" t="str">
        <f t="shared" si="81"/>
        <v>6L</v>
      </c>
      <c r="D330" s="96"/>
      <c r="E330" s="98"/>
      <c r="F330" s="98"/>
      <c r="I330" s="99"/>
      <c r="L330" s="99"/>
      <c r="M330" s="44"/>
      <c r="N330" s="100"/>
      <c r="O330" s="101"/>
      <c r="P330" s="52"/>
      <c r="Q330" s="49"/>
      <c r="S330" s="50"/>
      <c r="T330" s="50"/>
      <c r="U330" s="58"/>
      <c r="V330" s="58"/>
      <c r="W330" s="58"/>
      <c r="X330" s="58"/>
      <c r="Y330" s="52"/>
    </row>
    <row r="331" spans="1:25" x14ac:dyDescent="0.25">
      <c r="A331" s="1218" t="s">
        <v>153</v>
      </c>
      <c r="B331" s="98">
        <v>45352</v>
      </c>
      <c r="C331" s="117" t="str">
        <f t="shared" si="81"/>
        <v>6L</v>
      </c>
      <c r="D331" s="96"/>
      <c r="E331" s="98"/>
      <c r="F331" s="98"/>
      <c r="I331" s="99"/>
      <c r="L331" s="99"/>
      <c r="M331" s="44"/>
      <c r="N331" s="100"/>
      <c r="O331" s="101"/>
      <c r="P331" s="52"/>
      <c r="Q331" s="49"/>
      <c r="S331" s="50"/>
      <c r="T331" s="50"/>
      <c r="U331" s="58"/>
      <c r="V331" s="58"/>
      <c r="W331" s="58"/>
      <c r="X331" s="58"/>
      <c r="Y331" s="52"/>
    </row>
    <row r="332" spans="1:25" x14ac:dyDescent="0.25">
      <c r="A332" s="1218" t="s">
        <v>154</v>
      </c>
      <c r="B332" s="98">
        <v>45352</v>
      </c>
      <c r="C332" s="117" t="str">
        <f t="shared" si="81"/>
        <v>6L</v>
      </c>
      <c r="D332" s="96"/>
      <c r="E332" s="98"/>
      <c r="F332" s="98"/>
      <c r="I332" s="99"/>
      <c r="L332" s="99"/>
      <c r="M332" s="44"/>
      <c r="N332" s="100"/>
      <c r="O332" s="101"/>
      <c r="P332" s="52"/>
      <c r="Q332" s="49"/>
      <c r="S332" s="50"/>
      <c r="T332" s="50"/>
      <c r="U332" s="58"/>
      <c r="V332" s="58"/>
      <c r="W332" s="58"/>
      <c r="X332" s="58"/>
      <c r="Y332" s="52"/>
    </row>
    <row r="333" spans="1:25" x14ac:dyDescent="0.25">
      <c r="A333" s="1218" t="s">
        <v>155</v>
      </c>
      <c r="B333" s="98">
        <v>45352</v>
      </c>
      <c r="C333" s="117" t="str">
        <f t="shared" si="81"/>
        <v>6L</v>
      </c>
      <c r="D333" s="96"/>
      <c r="E333" s="98"/>
      <c r="F333" s="98"/>
      <c r="I333" s="99">
        <f t="shared" si="67"/>
        <v>0</v>
      </c>
      <c r="L333" s="99">
        <f t="shared" si="68"/>
        <v>0</v>
      </c>
      <c r="M333" s="44" t="str">
        <f t="shared" si="70"/>
        <v/>
      </c>
      <c r="N333" s="100">
        <f t="shared" si="71"/>
        <v>0</v>
      </c>
      <c r="O333" s="101">
        <f t="shared" si="72"/>
        <v>0</v>
      </c>
      <c r="P333" s="52">
        <f t="shared" si="73"/>
        <v>0</v>
      </c>
      <c r="Q333" s="49">
        <v>116.88487613461319</v>
      </c>
      <c r="R333">
        <v>2225</v>
      </c>
      <c r="S333" s="50">
        <f t="shared" si="69"/>
        <v>71535.307499999995</v>
      </c>
      <c r="T333" s="50">
        <f t="shared" si="74"/>
        <v>0</v>
      </c>
      <c r="U333" s="58">
        <f t="shared" si="75"/>
        <v>0</v>
      </c>
      <c r="V333" s="58">
        <f t="shared" si="76"/>
        <v>0</v>
      </c>
      <c r="W333" s="58">
        <f t="shared" si="77"/>
        <v>0</v>
      </c>
      <c r="X333" s="58">
        <f t="shared" si="78"/>
        <v>0</v>
      </c>
      <c r="Y333" s="52">
        <f t="shared" si="79"/>
        <v>0</v>
      </c>
    </row>
    <row r="334" spans="1:25" x14ac:dyDescent="0.25">
      <c r="A334" s="1218" t="s">
        <v>156</v>
      </c>
      <c r="B334" s="98">
        <v>45352</v>
      </c>
      <c r="C334" s="117" t="str">
        <f t="shared" si="81"/>
        <v>6L</v>
      </c>
      <c r="D334" s="96"/>
      <c r="E334" s="98"/>
      <c r="F334" s="98"/>
      <c r="I334" s="99"/>
      <c r="L334" s="99"/>
      <c r="M334" s="44"/>
      <c r="N334" s="100"/>
      <c r="O334" s="101"/>
      <c r="P334" s="52"/>
      <c r="Q334" s="49"/>
      <c r="S334" s="50"/>
      <c r="T334" s="50"/>
      <c r="U334" s="58"/>
      <c r="V334" s="58"/>
      <c r="W334" s="58"/>
      <c r="X334" s="58"/>
      <c r="Y334" s="52"/>
    </row>
    <row r="335" spans="1:25" x14ac:dyDescent="0.25">
      <c r="A335" s="1218" t="s">
        <v>157</v>
      </c>
      <c r="B335" s="98">
        <v>45352</v>
      </c>
      <c r="C335" s="117" t="str">
        <f t="shared" si="81"/>
        <v>6L</v>
      </c>
      <c r="D335" s="96"/>
      <c r="E335" s="98"/>
      <c r="F335" s="98"/>
      <c r="I335" s="99">
        <f t="shared" si="67"/>
        <v>0</v>
      </c>
      <c r="L335" s="99">
        <f t="shared" si="68"/>
        <v>0</v>
      </c>
      <c r="M335" s="44" t="str">
        <f t="shared" si="70"/>
        <v/>
      </c>
      <c r="N335" s="100">
        <f t="shared" si="71"/>
        <v>0</v>
      </c>
      <c r="O335" s="101">
        <f t="shared" si="72"/>
        <v>0</v>
      </c>
      <c r="P335" s="52">
        <f t="shared" si="73"/>
        <v>0</v>
      </c>
      <c r="Q335" s="49">
        <v>116.88487613461319</v>
      </c>
      <c r="R335">
        <v>2225</v>
      </c>
      <c r="S335" s="50">
        <f t="shared" si="69"/>
        <v>71535.307499999995</v>
      </c>
      <c r="T335" s="50">
        <f t="shared" si="74"/>
        <v>0</v>
      </c>
      <c r="U335" s="58">
        <f t="shared" si="75"/>
        <v>0</v>
      </c>
      <c r="V335" s="58">
        <f t="shared" si="76"/>
        <v>0</v>
      </c>
      <c r="W335" s="58">
        <f t="shared" si="77"/>
        <v>0</v>
      </c>
      <c r="X335" s="58">
        <f t="shared" si="78"/>
        <v>0</v>
      </c>
      <c r="Y335" s="52">
        <f t="shared" si="79"/>
        <v>0</v>
      </c>
    </row>
    <row r="336" spans="1:25" x14ac:dyDescent="0.25">
      <c r="A336" s="1218" t="s">
        <v>158</v>
      </c>
      <c r="B336" s="98">
        <v>45352</v>
      </c>
      <c r="C336" s="117" t="str">
        <f t="shared" si="81"/>
        <v>6L</v>
      </c>
      <c r="D336" s="96"/>
      <c r="E336" s="98"/>
      <c r="F336" s="98"/>
      <c r="I336" s="99">
        <f t="shared" si="67"/>
        <v>0</v>
      </c>
      <c r="L336" s="99">
        <f t="shared" si="68"/>
        <v>0</v>
      </c>
      <c r="M336" s="44" t="str">
        <f t="shared" si="70"/>
        <v/>
      </c>
      <c r="N336" s="100">
        <f t="shared" si="71"/>
        <v>0</v>
      </c>
      <c r="O336" s="101">
        <f t="shared" si="72"/>
        <v>0</v>
      </c>
      <c r="P336" s="52">
        <f t="shared" si="73"/>
        <v>0</v>
      </c>
      <c r="Q336" s="49">
        <v>116.88487613461319</v>
      </c>
      <c r="R336">
        <v>2225</v>
      </c>
      <c r="S336" s="50">
        <f t="shared" si="69"/>
        <v>71535.307499999995</v>
      </c>
      <c r="T336" s="50">
        <f t="shared" si="74"/>
        <v>0</v>
      </c>
      <c r="U336" s="58">
        <f t="shared" si="75"/>
        <v>0</v>
      </c>
      <c r="V336" s="58">
        <f t="shared" si="76"/>
        <v>0</v>
      </c>
      <c r="W336" s="58">
        <f t="shared" si="77"/>
        <v>0</v>
      </c>
      <c r="X336" s="58">
        <f t="shared" si="78"/>
        <v>0</v>
      </c>
      <c r="Y336" s="52">
        <f t="shared" si="79"/>
        <v>0</v>
      </c>
    </row>
    <row r="337" spans="1:25" x14ac:dyDescent="0.25">
      <c r="A337" s="1218" t="s">
        <v>159</v>
      </c>
      <c r="B337" s="98">
        <v>45352</v>
      </c>
      <c r="C337" s="117" t="str">
        <f t="shared" si="81"/>
        <v>6L</v>
      </c>
      <c r="D337" s="96"/>
      <c r="E337" s="98"/>
      <c r="F337" s="98"/>
      <c r="I337" s="99">
        <f t="shared" si="67"/>
        <v>0</v>
      </c>
      <c r="L337" s="99">
        <f t="shared" si="68"/>
        <v>0</v>
      </c>
      <c r="M337" s="44" t="str">
        <f t="shared" si="70"/>
        <v/>
      </c>
      <c r="N337" s="100">
        <f t="shared" si="71"/>
        <v>0</v>
      </c>
      <c r="O337" s="101">
        <f t="shared" si="72"/>
        <v>0</v>
      </c>
      <c r="P337" s="52">
        <f t="shared" si="73"/>
        <v>0</v>
      </c>
      <c r="Q337" s="49">
        <v>116.88487613461319</v>
      </c>
      <c r="R337">
        <v>2225</v>
      </c>
      <c r="S337" s="50">
        <f t="shared" si="69"/>
        <v>71535.307499999995</v>
      </c>
      <c r="T337" s="50">
        <f t="shared" si="74"/>
        <v>0</v>
      </c>
      <c r="U337" s="58">
        <f t="shared" si="75"/>
        <v>0</v>
      </c>
      <c r="V337" s="58">
        <f t="shared" si="76"/>
        <v>0</v>
      </c>
      <c r="W337" s="58">
        <f t="shared" si="77"/>
        <v>0</v>
      </c>
      <c r="X337" s="58">
        <f t="shared" si="78"/>
        <v>0</v>
      </c>
      <c r="Y337" s="52">
        <f t="shared" si="79"/>
        <v>0</v>
      </c>
    </row>
    <row r="338" spans="1:25" x14ac:dyDescent="0.25">
      <c r="A338" s="1218" t="s">
        <v>160</v>
      </c>
      <c r="B338" s="98">
        <v>45352</v>
      </c>
      <c r="C338" s="117" t="str">
        <f t="shared" si="81"/>
        <v>6L</v>
      </c>
      <c r="D338" s="96"/>
      <c r="E338" s="98"/>
      <c r="F338" s="98"/>
      <c r="I338" s="99">
        <f t="shared" si="67"/>
        <v>0</v>
      </c>
      <c r="L338" s="99">
        <f t="shared" si="68"/>
        <v>0</v>
      </c>
      <c r="M338" s="44" t="str">
        <f t="shared" si="70"/>
        <v/>
      </c>
      <c r="N338" s="100">
        <f t="shared" si="71"/>
        <v>0</v>
      </c>
      <c r="O338" s="101">
        <f t="shared" si="72"/>
        <v>0</v>
      </c>
      <c r="P338" s="52">
        <f t="shared" si="73"/>
        <v>0</v>
      </c>
      <c r="Q338" s="49">
        <v>116.88487613461319</v>
      </c>
      <c r="R338">
        <v>2225</v>
      </c>
      <c r="S338" s="50">
        <f t="shared" si="69"/>
        <v>71535.307499999995</v>
      </c>
      <c r="T338" s="50">
        <f t="shared" si="74"/>
        <v>0</v>
      </c>
      <c r="U338" s="58">
        <f t="shared" si="75"/>
        <v>0</v>
      </c>
      <c r="V338" s="58">
        <f t="shared" si="76"/>
        <v>0</v>
      </c>
      <c r="W338" s="58">
        <f t="shared" si="77"/>
        <v>0</v>
      </c>
      <c r="X338" s="58">
        <f t="shared" si="78"/>
        <v>0</v>
      </c>
      <c r="Y338" s="52">
        <f t="shared" si="79"/>
        <v>0</v>
      </c>
    </row>
    <row r="339" spans="1:25" x14ac:dyDescent="0.25">
      <c r="A339" s="1218" t="s">
        <v>161</v>
      </c>
      <c r="B339" s="98">
        <v>45352</v>
      </c>
      <c r="C339" s="117" t="str">
        <f t="shared" si="81"/>
        <v>6L</v>
      </c>
      <c r="D339" s="96"/>
      <c r="E339" s="98"/>
      <c r="F339" s="98"/>
      <c r="I339" s="99">
        <f t="shared" ref="I339:I400" si="82">IFERROR(G339*H339/1000,"")</f>
        <v>0</v>
      </c>
      <c r="L339" s="99">
        <f t="shared" ref="L339:L400" si="83">IFERROR(J339*K339/1000,"")</f>
        <v>0</v>
      </c>
      <c r="M339" s="44" t="str">
        <f t="shared" si="70"/>
        <v/>
      </c>
      <c r="N339" s="100">
        <f t="shared" si="71"/>
        <v>0</v>
      </c>
      <c r="O339" s="101">
        <f t="shared" si="72"/>
        <v>0</v>
      </c>
      <c r="P339" s="52">
        <f t="shared" si="73"/>
        <v>0</v>
      </c>
      <c r="Q339" s="49">
        <v>116.88487613461319</v>
      </c>
      <c r="R339">
        <v>2225</v>
      </c>
      <c r="S339" s="50">
        <f t="shared" ref="S339:S400" si="84">R339*32.1507</f>
        <v>71535.307499999995</v>
      </c>
      <c r="T339" s="50">
        <f t="shared" si="74"/>
        <v>0</v>
      </c>
      <c r="U339" s="58">
        <f t="shared" si="75"/>
        <v>0</v>
      </c>
      <c r="V339" s="58">
        <f t="shared" si="76"/>
        <v>0</v>
      </c>
      <c r="W339" s="58">
        <f t="shared" si="77"/>
        <v>0</v>
      </c>
      <c r="X339" s="58">
        <f t="shared" si="78"/>
        <v>0</v>
      </c>
      <c r="Y339" s="52">
        <f t="shared" si="79"/>
        <v>0</v>
      </c>
    </row>
    <row r="340" spans="1:25" x14ac:dyDescent="0.25">
      <c r="A340" s="1218" t="s">
        <v>162</v>
      </c>
      <c r="B340" s="98">
        <v>45352</v>
      </c>
      <c r="C340" s="117" t="str">
        <f t="shared" si="81"/>
        <v>6L</v>
      </c>
      <c r="D340" s="96"/>
      <c r="E340" s="98"/>
      <c r="F340" s="98"/>
      <c r="I340" s="99">
        <f t="shared" si="82"/>
        <v>0</v>
      </c>
      <c r="L340" s="99">
        <f t="shared" si="83"/>
        <v>0</v>
      </c>
      <c r="M340" s="44" t="str">
        <f t="shared" si="70"/>
        <v/>
      </c>
      <c r="N340" s="100">
        <f t="shared" si="71"/>
        <v>0</v>
      </c>
      <c r="O340" s="101">
        <f t="shared" si="72"/>
        <v>0</v>
      </c>
      <c r="P340" s="52">
        <f t="shared" si="73"/>
        <v>0</v>
      </c>
      <c r="Q340" s="49">
        <v>116.88487613461319</v>
      </c>
      <c r="R340">
        <v>2225</v>
      </c>
      <c r="S340" s="50">
        <f t="shared" si="84"/>
        <v>71535.307499999995</v>
      </c>
      <c r="T340" s="50">
        <f t="shared" si="74"/>
        <v>0</v>
      </c>
      <c r="U340" s="58">
        <f t="shared" si="75"/>
        <v>0</v>
      </c>
      <c r="V340" s="58">
        <f t="shared" si="76"/>
        <v>0</v>
      </c>
      <c r="W340" s="58">
        <f t="shared" si="77"/>
        <v>0</v>
      </c>
      <c r="X340" s="58">
        <f t="shared" si="78"/>
        <v>0</v>
      </c>
      <c r="Y340" s="52">
        <f t="shared" si="79"/>
        <v>0</v>
      </c>
    </row>
    <row r="341" spans="1:25" x14ac:dyDescent="0.25">
      <c r="A341" s="1218" t="s">
        <v>163</v>
      </c>
      <c r="B341" s="98">
        <v>45352</v>
      </c>
      <c r="C341" s="117" t="str">
        <f t="shared" si="81"/>
        <v>6L</v>
      </c>
      <c r="D341" s="96"/>
      <c r="E341" s="98"/>
      <c r="F341" s="98"/>
      <c r="I341" s="99">
        <f t="shared" si="82"/>
        <v>0</v>
      </c>
      <c r="L341" s="99">
        <f t="shared" si="83"/>
        <v>0</v>
      </c>
      <c r="M341" s="44" t="str">
        <f t="shared" ref="M341:M402" si="85">IFERROR((L341-I341)/I341,"")</f>
        <v/>
      </c>
      <c r="N341" s="100">
        <f t="shared" ref="N341:N402" si="86">J341-G341</f>
        <v>0</v>
      </c>
      <c r="O341" s="101">
        <f t="shared" ref="O341:O402" si="87">L341-I341</f>
        <v>0</v>
      </c>
      <c r="P341" s="52">
        <f t="shared" ref="P341:P402" si="88">U341-W341</f>
        <v>0</v>
      </c>
      <c r="Q341" s="49">
        <v>116.88487613461319</v>
      </c>
      <c r="R341">
        <v>2225</v>
      </c>
      <c r="S341" s="50">
        <f t="shared" si="84"/>
        <v>71535.307499999995</v>
      </c>
      <c r="T341" s="50">
        <f t="shared" ref="T341:T402" si="89">IFERROR(S341*I341,"")</f>
        <v>0</v>
      </c>
      <c r="U341" s="58">
        <f t="shared" ref="U341:U402" si="90">IFERROR(S341*L341,"")</f>
        <v>0</v>
      </c>
      <c r="V341" s="58">
        <f t="shared" ref="V341:V402" si="91">IFERROR(Q341*G341,"")</f>
        <v>0</v>
      </c>
      <c r="W341" s="58">
        <f t="shared" ref="W341:W402" si="92">IFERROR(Q341*J341,"")</f>
        <v>0</v>
      </c>
      <c r="X341" s="58">
        <f t="shared" ref="X341:X402" si="93">T341-V341</f>
        <v>0</v>
      </c>
      <c r="Y341" s="52">
        <f t="shared" ref="Y341:Y402" si="94">U341-W341</f>
        <v>0</v>
      </c>
    </row>
    <row r="342" spans="1:25" x14ac:dyDescent="0.25">
      <c r="A342" s="1218" t="s">
        <v>164</v>
      </c>
      <c r="B342" s="98">
        <v>45352</v>
      </c>
      <c r="C342" s="117" t="str">
        <f t="shared" si="81"/>
        <v>6L</v>
      </c>
      <c r="D342" s="96"/>
      <c r="E342" s="98"/>
      <c r="F342" s="98"/>
      <c r="I342" s="99">
        <f t="shared" si="82"/>
        <v>0</v>
      </c>
      <c r="L342" s="99">
        <f t="shared" si="83"/>
        <v>0</v>
      </c>
      <c r="M342" s="44" t="str">
        <f t="shared" si="85"/>
        <v/>
      </c>
      <c r="N342" s="100">
        <f t="shared" si="86"/>
        <v>0</v>
      </c>
      <c r="O342" s="101">
        <f t="shared" si="87"/>
        <v>0</v>
      </c>
      <c r="P342" s="52">
        <f t="shared" si="88"/>
        <v>0</v>
      </c>
      <c r="Q342" s="49">
        <v>116.88487613461319</v>
      </c>
      <c r="R342">
        <v>2225</v>
      </c>
      <c r="S342" s="50">
        <f t="shared" si="84"/>
        <v>71535.307499999995</v>
      </c>
      <c r="T342" s="50">
        <f t="shared" si="89"/>
        <v>0</v>
      </c>
      <c r="U342" s="58">
        <f t="shared" si="90"/>
        <v>0</v>
      </c>
      <c r="V342" s="58">
        <f t="shared" si="91"/>
        <v>0</v>
      </c>
      <c r="W342" s="58">
        <f t="shared" si="92"/>
        <v>0</v>
      </c>
      <c r="X342" s="58">
        <f t="shared" si="93"/>
        <v>0</v>
      </c>
      <c r="Y342" s="52">
        <f t="shared" si="94"/>
        <v>0</v>
      </c>
    </row>
    <row r="343" spans="1:25" x14ac:dyDescent="0.25">
      <c r="A343" s="1218" t="s">
        <v>165</v>
      </c>
      <c r="B343" s="98">
        <v>45352</v>
      </c>
      <c r="C343" s="117" t="str">
        <f t="shared" si="81"/>
        <v>6L</v>
      </c>
      <c r="D343" s="96"/>
      <c r="E343" s="98"/>
      <c r="F343" s="98"/>
      <c r="I343" s="99">
        <f t="shared" si="82"/>
        <v>0</v>
      </c>
      <c r="L343" s="99">
        <f t="shared" si="83"/>
        <v>0</v>
      </c>
      <c r="M343" s="44" t="str">
        <f t="shared" si="85"/>
        <v/>
      </c>
      <c r="N343" s="100">
        <f t="shared" si="86"/>
        <v>0</v>
      </c>
      <c r="O343" s="101">
        <f t="shared" si="87"/>
        <v>0</v>
      </c>
      <c r="P343" s="52">
        <f t="shared" si="88"/>
        <v>0</v>
      </c>
      <c r="Q343" s="49">
        <v>116.88487613461319</v>
      </c>
      <c r="R343">
        <v>2225</v>
      </c>
      <c r="S343" s="50">
        <f t="shared" si="84"/>
        <v>71535.307499999995</v>
      </c>
      <c r="T343" s="50">
        <f t="shared" si="89"/>
        <v>0</v>
      </c>
      <c r="U343" s="58">
        <f t="shared" si="90"/>
        <v>0</v>
      </c>
      <c r="V343" s="58">
        <f t="shared" si="91"/>
        <v>0</v>
      </c>
      <c r="W343" s="58">
        <f t="shared" si="92"/>
        <v>0</v>
      </c>
      <c r="X343" s="58">
        <f t="shared" si="93"/>
        <v>0</v>
      </c>
      <c r="Y343" s="52">
        <f t="shared" si="94"/>
        <v>0</v>
      </c>
    </row>
    <row r="344" spans="1:25" x14ac:dyDescent="0.25">
      <c r="A344" s="1218" t="s">
        <v>166</v>
      </c>
      <c r="B344" s="98">
        <v>45352</v>
      </c>
      <c r="C344" s="117" t="str">
        <f t="shared" si="81"/>
        <v>6L</v>
      </c>
      <c r="D344" s="96"/>
      <c r="E344" s="98"/>
      <c r="F344" s="98"/>
      <c r="I344" s="99">
        <f t="shared" si="82"/>
        <v>0</v>
      </c>
      <c r="L344" s="99">
        <f t="shared" si="83"/>
        <v>0</v>
      </c>
      <c r="M344" s="44" t="str">
        <f t="shared" si="85"/>
        <v/>
      </c>
      <c r="N344" s="100">
        <f t="shared" si="86"/>
        <v>0</v>
      </c>
      <c r="O344" s="101">
        <f t="shared" si="87"/>
        <v>0</v>
      </c>
      <c r="P344" s="52">
        <f t="shared" si="88"/>
        <v>0</v>
      </c>
      <c r="Q344" s="49">
        <v>116.88487613461319</v>
      </c>
      <c r="R344">
        <v>2225</v>
      </c>
      <c r="S344" s="50">
        <f t="shared" si="84"/>
        <v>71535.307499999995</v>
      </c>
      <c r="T344" s="50">
        <f t="shared" si="89"/>
        <v>0</v>
      </c>
      <c r="U344" s="58">
        <f t="shared" si="90"/>
        <v>0</v>
      </c>
      <c r="V344" s="58">
        <f t="shared" si="91"/>
        <v>0</v>
      </c>
      <c r="W344" s="58">
        <f t="shared" si="92"/>
        <v>0</v>
      </c>
      <c r="X344" s="58">
        <f t="shared" si="93"/>
        <v>0</v>
      </c>
      <c r="Y344" s="52">
        <f t="shared" si="94"/>
        <v>0</v>
      </c>
    </row>
    <row r="345" spans="1:25" x14ac:dyDescent="0.25">
      <c r="A345" s="1218" t="s">
        <v>167</v>
      </c>
      <c r="B345" s="98">
        <v>45352</v>
      </c>
      <c r="C345" s="117" t="str">
        <f t="shared" si="81"/>
        <v>6L</v>
      </c>
      <c r="D345" s="96"/>
      <c r="E345" s="98"/>
      <c r="F345" s="98"/>
      <c r="I345" s="99">
        <f t="shared" si="82"/>
        <v>0</v>
      </c>
      <c r="L345" s="99">
        <f t="shared" si="83"/>
        <v>0</v>
      </c>
      <c r="M345" s="44" t="str">
        <f t="shared" si="85"/>
        <v/>
      </c>
      <c r="N345" s="100">
        <f t="shared" si="86"/>
        <v>0</v>
      </c>
      <c r="O345" s="101">
        <f t="shared" si="87"/>
        <v>0</v>
      </c>
      <c r="P345" s="52">
        <f t="shared" si="88"/>
        <v>0</v>
      </c>
      <c r="Q345" s="49">
        <v>116.88487613461319</v>
      </c>
      <c r="R345">
        <v>2225</v>
      </c>
      <c r="S345" s="50">
        <f t="shared" si="84"/>
        <v>71535.307499999995</v>
      </c>
      <c r="T345" s="50">
        <f t="shared" si="89"/>
        <v>0</v>
      </c>
      <c r="U345" s="58">
        <f t="shared" si="90"/>
        <v>0</v>
      </c>
      <c r="V345" s="58">
        <f t="shared" si="91"/>
        <v>0</v>
      </c>
      <c r="W345" s="58">
        <f t="shared" si="92"/>
        <v>0</v>
      </c>
      <c r="X345" s="58">
        <f t="shared" si="93"/>
        <v>0</v>
      </c>
      <c r="Y345" s="52">
        <f t="shared" si="94"/>
        <v>0</v>
      </c>
    </row>
    <row r="346" spans="1:25" x14ac:dyDescent="0.25">
      <c r="A346" s="1218" t="s">
        <v>168</v>
      </c>
      <c r="B346" s="98">
        <v>45352</v>
      </c>
      <c r="C346" s="117" t="str">
        <f t="shared" si="81"/>
        <v>6L</v>
      </c>
      <c r="D346" s="96"/>
      <c r="E346" s="98"/>
      <c r="F346" s="98"/>
      <c r="I346" s="99">
        <f t="shared" si="82"/>
        <v>0</v>
      </c>
      <c r="L346" s="99">
        <f t="shared" si="83"/>
        <v>0</v>
      </c>
      <c r="M346" s="44" t="str">
        <f t="shared" si="85"/>
        <v/>
      </c>
      <c r="N346" s="100">
        <f t="shared" si="86"/>
        <v>0</v>
      </c>
      <c r="O346" s="101">
        <f t="shared" si="87"/>
        <v>0</v>
      </c>
      <c r="P346" s="52">
        <f t="shared" si="88"/>
        <v>0</v>
      </c>
      <c r="Q346" s="49">
        <v>116.88487613461319</v>
      </c>
      <c r="R346">
        <v>2225</v>
      </c>
      <c r="S346" s="50">
        <f t="shared" si="84"/>
        <v>71535.307499999995</v>
      </c>
      <c r="T346" s="50">
        <f t="shared" si="89"/>
        <v>0</v>
      </c>
      <c r="U346" s="58">
        <f t="shared" si="90"/>
        <v>0</v>
      </c>
      <c r="V346" s="58">
        <f t="shared" si="91"/>
        <v>0</v>
      </c>
      <c r="W346" s="58">
        <f t="shared" si="92"/>
        <v>0</v>
      </c>
      <c r="X346" s="58">
        <f t="shared" si="93"/>
        <v>0</v>
      </c>
      <c r="Y346" s="52">
        <f t="shared" si="94"/>
        <v>0</v>
      </c>
    </row>
    <row r="347" spans="1:25" x14ac:dyDescent="0.25">
      <c r="A347" s="1218" t="s">
        <v>169</v>
      </c>
      <c r="B347" s="98">
        <v>45352</v>
      </c>
      <c r="C347" s="117" t="str">
        <f t="shared" si="81"/>
        <v>6L</v>
      </c>
      <c r="D347" s="96"/>
      <c r="E347" s="98"/>
      <c r="F347" s="98"/>
      <c r="I347" s="99">
        <f t="shared" si="82"/>
        <v>0</v>
      </c>
      <c r="L347" s="99">
        <f t="shared" si="83"/>
        <v>0</v>
      </c>
      <c r="M347" s="44" t="str">
        <f t="shared" si="85"/>
        <v/>
      </c>
      <c r="N347" s="100">
        <f t="shared" si="86"/>
        <v>0</v>
      </c>
      <c r="O347" s="101">
        <f t="shared" si="87"/>
        <v>0</v>
      </c>
      <c r="P347" s="52">
        <f t="shared" si="88"/>
        <v>0</v>
      </c>
      <c r="Q347" s="49">
        <v>116.88487613461319</v>
      </c>
      <c r="R347">
        <v>2225</v>
      </c>
      <c r="S347" s="50">
        <f t="shared" si="84"/>
        <v>71535.307499999995</v>
      </c>
      <c r="T347" s="50">
        <f t="shared" si="89"/>
        <v>0</v>
      </c>
      <c r="U347" s="58">
        <f t="shared" si="90"/>
        <v>0</v>
      </c>
      <c r="V347" s="58">
        <f t="shared" si="91"/>
        <v>0</v>
      </c>
      <c r="W347" s="58">
        <f t="shared" si="92"/>
        <v>0</v>
      </c>
      <c r="X347" s="58">
        <f t="shared" si="93"/>
        <v>0</v>
      </c>
      <c r="Y347" s="52">
        <f t="shared" si="94"/>
        <v>0</v>
      </c>
    </row>
    <row r="348" spans="1:25" x14ac:dyDescent="0.25">
      <c r="A348" s="1218" t="s">
        <v>170</v>
      </c>
      <c r="B348" s="98">
        <v>45352</v>
      </c>
      <c r="C348" s="117" t="str">
        <f t="shared" si="81"/>
        <v>6L</v>
      </c>
      <c r="D348" s="96"/>
      <c r="E348" s="98"/>
      <c r="F348" s="98"/>
      <c r="I348" s="99">
        <f t="shared" si="82"/>
        <v>0</v>
      </c>
      <c r="L348" s="99">
        <f t="shared" si="83"/>
        <v>0</v>
      </c>
      <c r="M348" s="44" t="str">
        <f t="shared" si="85"/>
        <v/>
      </c>
      <c r="N348" s="100">
        <f t="shared" si="86"/>
        <v>0</v>
      </c>
      <c r="O348" s="101">
        <f t="shared" si="87"/>
        <v>0</v>
      </c>
      <c r="P348" s="52">
        <f t="shared" si="88"/>
        <v>0</v>
      </c>
      <c r="Q348" s="49">
        <v>116.88487613461319</v>
      </c>
      <c r="R348">
        <v>2225</v>
      </c>
      <c r="S348" s="50">
        <f t="shared" si="84"/>
        <v>71535.307499999995</v>
      </c>
      <c r="T348" s="50">
        <f t="shared" si="89"/>
        <v>0</v>
      </c>
      <c r="U348" s="58">
        <f t="shared" si="90"/>
        <v>0</v>
      </c>
      <c r="V348" s="58">
        <f t="shared" si="91"/>
        <v>0</v>
      </c>
      <c r="W348" s="58">
        <f t="shared" si="92"/>
        <v>0</v>
      </c>
      <c r="X348" s="58">
        <f t="shared" si="93"/>
        <v>0</v>
      </c>
      <c r="Y348" s="52">
        <f t="shared" si="94"/>
        <v>0</v>
      </c>
    </row>
    <row r="349" spans="1:25" x14ac:dyDescent="0.25">
      <c r="A349" s="1218" t="s">
        <v>171</v>
      </c>
      <c r="B349" s="98">
        <v>45352</v>
      </c>
      <c r="C349" s="117" t="str">
        <f t="shared" si="81"/>
        <v>6L</v>
      </c>
      <c r="D349" s="96"/>
      <c r="E349" s="98"/>
      <c r="F349" s="98"/>
      <c r="I349" s="99">
        <f t="shared" si="82"/>
        <v>0</v>
      </c>
      <c r="L349" s="99">
        <f t="shared" si="83"/>
        <v>0</v>
      </c>
      <c r="M349" s="44" t="str">
        <f t="shared" si="85"/>
        <v/>
      </c>
      <c r="N349" s="100">
        <f t="shared" si="86"/>
        <v>0</v>
      </c>
      <c r="O349" s="101">
        <f t="shared" si="87"/>
        <v>0</v>
      </c>
      <c r="P349" s="52">
        <f t="shared" si="88"/>
        <v>0</v>
      </c>
      <c r="Q349" s="49">
        <v>116.88487613461319</v>
      </c>
      <c r="R349">
        <v>2225</v>
      </c>
      <c r="S349" s="50">
        <f t="shared" si="84"/>
        <v>71535.307499999995</v>
      </c>
      <c r="T349" s="50">
        <f t="shared" si="89"/>
        <v>0</v>
      </c>
      <c r="U349" s="58">
        <f t="shared" si="90"/>
        <v>0</v>
      </c>
      <c r="V349" s="58">
        <f t="shared" si="91"/>
        <v>0</v>
      </c>
      <c r="W349" s="58">
        <f t="shared" si="92"/>
        <v>0</v>
      </c>
      <c r="X349" s="58">
        <f t="shared" si="93"/>
        <v>0</v>
      </c>
      <c r="Y349" s="52">
        <f t="shared" si="94"/>
        <v>0</v>
      </c>
    </row>
    <row r="350" spans="1:25" x14ac:dyDescent="0.25">
      <c r="A350" s="1218" t="s">
        <v>172</v>
      </c>
      <c r="B350" s="98">
        <v>45352</v>
      </c>
      <c r="C350" s="117" t="str">
        <f t="shared" si="81"/>
        <v>6L</v>
      </c>
      <c r="D350" s="96"/>
      <c r="E350" s="98"/>
      <c r="F350" s="98"/>
      <c r="I350" s="99">
        <f t="shared" si="82"/>
        <v>0</v>
      </c>
      <c r="L350" s="99">
        <f t="shared" si="83"/>
        <v>0</v>
      </c>
      <c r="M350" s="44" t="str">
        <f t="shared" si="85"/>
        <v/>
      </c>
      <c r="N350" s="100">
        <f t="shared" si="86"/>
        <v>0</v>
      </c>
      <c r="O350" s="101">
        <f t="shared" si="87"/>
        <v>0</v>
      </c>
      <c r="P350" s="52">
        <f t="shared" si="88"/>
        <v>0</v>
      </c>
      <c r="Q350" s="49">
        <v>116.88487613461319</v>
      </c>
      <c r="R350">
        <v>2225</v>
      </c>
      <c r="S350" s="50">
        <f t="shared" si="84"/>
        <v>71535.307499999995</v>
      </c>
      <c r="T350" s="50">
        <f t="shared" si="89"/>
        <v>0</v>
      </c>
      <c r="U350" s="58">
        <f t="shared" si="90"/>
        <v>0</v>
      </c>
      <c r="V350" s="58">
        <f t="shared" si="91"/>
        <v>0</v>
      </c>
      <c r="W350" s="58">
        <f t="shared" si="92"/>
        <v>0</v>
      </c>
      <c r="X350" s="58">
        <f t="shared" si="93"/>
        <v>0</v>
      </c>
      <c r="Y350" s="52">
        <f t="shared" si="94"/>
        <v>0</v>
      </c>
    </row>
    <row r="351" spans="1:25" x14ac:dyDescent="0.25">
      <c r="A351" s="1218" t="s">
        <v>173</v>
      </c>
      <c r="B351" s="98">
        <v>45352</v>
      </c>
      <c r="C351" s="117" t="str">
        <f t="shared" si="81"/>
        <v>6L</v>
      </c>
      <c r="D351" s="96"/>
      <c r="E351" s="98"/>
      <c r="F351" s="98"/>
      <c r="I351" s="99">
        <f t="shared" si="82"/>
        <v>0</v>
      </c>
      <c r="L351" s="99">
        <f t="shared" si="83"/>
        <v>0</v>
      </c>
      <c r="M351" s="44" t="str">
        <f t="shared" si="85"/>
        <v/>
      </c>
      <c r="N351" s="100">
        <f t="shared" si="86"/>
        <v>0</v>
      </c>
      <c r="O351" s="101">
        <f t="shared" si="87"/>
        <v>0</v>
      </c>
      <c r="P351" s="52">
        <f t="shared" si="88"/>
        <v>0</v>
      </c>
      <c r="Q351" s="49">
        <v>116.88487613461319</v>
      </c>
      <c r="R351">
        <v>2225</v>
      </c>
      <c r="S351" s="50">
        <f t="shared" si="84"/>
        <v>71535.307499999995</v>
      </c>
      <c r="T351" s="50">
        <f t="shared" si="89"/>
        <v>0</v>
      </c>
      <c r="U351" s="58">
        <f t="shared" si="90"/>
        <v>0</v>
      </c>
      <c r="V351" s="58">
        <f t="shared" si="91"/>
        <v>0</v>
      </c>
      <c r="W351" s="58">
        <f t="shared" si="92"/>
        <v>0</v>
      </c>
      <c r="X351" s="58">
        <f t="shared" si="93"/>
        <v>0</v>
      </c>
      <c r="Y351" s="52">
        <f t="shared" si="94"/>
        <v>0</v>
      </c>
    </row>
    <row r="352" spans="1:25" x14ac:dyDescent="0.25">
      <c r="A352" s="1218" t="s">
        <v>174</v>
      </c>
      <c r="B352" s="98">
        <v>45352</v>
      </c>
      <c r="C352" s="117" t="str">
        <f t="shared" si="81"/>
        <v>6L</v>
      </c>
      <c r="D352" s="96"/>
      <c r="E352" s="98"/>
      <c r="F352" s="98"/>
      <c r="I352" s="99">
        <f t="shared" si="82"/>
        <v>0</v>
      </c>
      <c r="L352" s="99">
        <f t="shared" si="83"/>
        <v>0</v>
      </c>
      <c r="M352" s="44" t="str">
        <f t="shared" si="85"/>
        <v/>
      </c>
      <c r="N352" s="100">
        <f t="shared" si="86"/>
        <v>0</v>
      </c>
      <c r="O352" s="101">
        <f t="shared" si="87"/>
        <v>0</v>
      </c>
      <c r="P352" s="52">
        <f t="shared" si="88"/>
        <v>0</v>
      </c>
      <c r="Q352" s="49">
        <v>116.88487613461319</v>
      </c>
      <c r="R352">
        <v>2225</v>
      </c>
      <c r="S352" s="50">
        <f t="shared" si="84"/>
        <v>71535.307499999995</v>
      </c>
      <c r="T352" s="50">
        <f t="shared" si="89"/>
        <v>0</v>
      </c>
      <c r="U352" s="58">
        <f t="shared" si="90"/>
        <v>0</v>
      </c>
      <c r="V352" s="58">
        <f t="shared" si="91"/>
        <v>0</v>
      </c>
      <c r="W352" s="58">
        <f t="shared" si="92"/>
        <v>0</v>
      </c>
      <c r="X352" s="58">
        <f t="shared" si="93"/>
        <v>0</v>
      </c>
      <c r="Y352" s="52">
        <f t="shared" si="94"/>
        <v>0</v>
      </c>
    </row>
    <row r="353" spans="1:25" x14ac:dyDescent="0.25">
      <c r="A353" s="1218" t="s">
        <v>175</v>
      </c>
      <c r="B353" s="98">
        <v>45352</v>
      </c>
      <c r="C353" s="117" t="str">
        <f t="shared" si="81"/>
        <v>6L</v>
      </c>
      <c r="D353" s="96"/>
      <c r="E353" s="98"/>
      <c r="F353" s="98"/>
      <c r="I353" s="99">
        <f t="shared" si="82"/>
        <v>0</v>
      </c>
      <c r="L353" s="99">
        <f t="shared" si="83"/>
        <v>0</v>
      </c>
      <c r="M353" s="44" t="str">
        <f t="shared" si="85"/>
        <v/>
      </c>
      <c r="N353" s="100">
        <f t="shared" si="86"/>
        <v>0</v>
      </c>
      <c r="O353" s="101">
        <f t="shared" si="87"/>
        <v>0</v>
      </c>
      <c r="P353" s="52">
        <f t="shared" si="88"/>
        <v>0</v>
      </c>
      <c r="Q353" s="49">
        <v>116.88487613461319</v>
      </c>
      <c r="R353">
        <v>2225</v>
      </c>
      <c r="S353" s="50">
        <f t="shared" si="84"/>
        <v>71535.307499999995</v>
      </c>
      <c r="T353" s="50">
        <f t="shared" si="89"/>
        <v>0</v>
      </c>
      <c r="U353" s="58">
        <f t="shared" si="90"/>
        <v>0</v>
      </c>
      <c r="V353" s="58">
        <f t="shared" si="91"/>
        <v>0</v>
      </c>
      <c r="W353" s="58">
        <f t="shared" si="92"/>
        <v>0</v>
      </c>
      <c r="X353" s="58">
        <f t="shared" si="93"/>
        <v>0</v>
      </c>
      <c r="Y353" s="52">
        <f t="shared" si="94"/>
        <v>0</v>
      </c>
    </row>
    <row r="354" spans="1:25" x14ac:dyDescent="0.25">
      <c r="A354" s="1218" t="s">
        <v>176</v>
      </c>
      <c r="B354" s="98">
        <v>45352</v>
      </c>
      <c r="C354" s="117" t="str">
        <f t="shared" si="81"/>
        <v>6L</v>
      </c>
      <c r="D354" s="96"/>
      <c r="E354" s="98"/>
      <c r="F354" s="98"/>
      <c r="I354" s="99">
        <f t="shared" si="82"/>
        <v>0</v>
      </c>
      <c r="L354" s="99">
        <f t="shared" si="83"/>
        <v>0</v>
      </c>
      <c r="M354" s="44" t="str">
        <f t="shared" si="85"/>
        <v/>
      </c>
      <c r="N354" s="100">
        <f t="shared" si="86"/>
        <v>0</v>
      </c>
      <c r="O354" s="101">
        <f t="shared" si="87"/>
        <v>0</v>
      </c>
      <c r="P354" s="52">
        <f t="shared" si="88"/>
        <v>0</v>
      </c>
      <c r="Q354" s="49">
        <v>116.88487613461319</v>
      </c>
      <c r="R354">
        <v>2225</v>
      </c>
      <c r="S354" s="50">
        <f t="shared" si="84"/>
        <v>71535.307499999995</v>
      </c>
      <c r="T354" s="50">
        <f t="shared" si="89"/>
        <v>0</v>
      </c>
      <c r="U354" s="58">
        <f t="shared" si="90"/>
        <v>0</v>
      </c>
      <c r="V354" s="58">
        <f t="shared" si="91"/>
        <v>0</v>
      </c>
      <c r="W354" s="58">
        <f t="shared" si="92"/>
        <v>0</v>
      </c>
      <c r="X354" s="58">
        <f t="shared" si="93"/>
        <v>0</v>
      </c>
      <c r="Y354" s="52">
        <f t="shared" si="94"/>
        <v>0</v>
      </c>
    </row>
    <row r="355" spans="1:25" x14ac:dyDescent="0.25">
      <c r="A355" s="1218" t="s">
        <v>177</v>
      </c>
      <c r="B355" s="98">
        <v>45352</v>
      </c>
      <c r="C355" s="117" t="str">
        <f t="shared" si="81"/>
        <v>6L</v>
      </c>
      <c r="D355" s="96"/>
      <c r="E355" s="98"/>
      <c r="F355" s="98"/>
      <c r="I355" s="99">
        <f t="shared" si="82"/>
        <v>0</v>
      </c>
      <c r="L355" s="99">
        <f t="shared" si="83"/>
        <v>0</v>
      </c>
      <c r="M355" s="44" t="str">
        <f t="shared" si="85"/>
        <v/>
      </c>
      <c r="N355" s="100">
        <f t="shared" si="86"/>
        <v>0</v>
      </c>
      <c r="O355" s="101">
        <f t="shared" si="87"/>
        <v>0</v>
      </c>
      <c r="P355" s="52">
        <f t="shared" si="88"/>
        <v>0</v>
      </c>
      <c r="Q355" s="49">
        <v>116.88487613461319</v>
      </c>
      <c r="R355">
        <v>2225</v>
      </c>
      <c r="S355" s="50">
        <f t="shared" si="84"/>
        <v>71535.307499999995</v>
      </c>
      <c r="T355" s="50">
        <f t="shared" si="89"/>
        <v>0</v>
      </c>
      <c r="U355" s="58">
        <f t="shared" si="90"/>
        <v>0</v>
      </c>
      <c r="V355" s="58">
        <f t="shared" si="91"/>
        <v>0</v>
      </c>
      <c r="W355" s="58">
        <f t="shared" si="92"/>
        <v>0</v>
      </c>
      <c r="X355" s="58">
        <f t="shared" si="93"/>
        <v>0</v>
      </c>
      <c r="Y355" s="52">
        <f t="shared" si="94"/>
        <v>0</v>
      </c>
    </row>
    <row r="356" spans="1:25" x14ac:dyDescent="0.25">
      <c r="A356" s="1218" t="s">
        <v>178</v>
      </c>
      <c r="B356" s="98">
        <v>45352</v>
      </c>
      <c r="C356" s="117" t="str">
        <f t="shared" si="81"/>
        <v>7L</v>
      </c>
      <c r="D356" s="96"/>
      <c r="I356" s="99">
        <f t="shared" si="82"/>
        <v>0</v>
      </c>
      <c r="L356" s="99">
        <f t="shared" si="83"/>
        <v>0</v>
      </c>
      <c r="M356" s="44" t="str">
        <f t="shared" si="85"/>
        <v/>
      </c>
      <c r="N356" s="100">
        <f t="shared" si="86"/>
        <v>0</v>
      </c>
      <c r="O356" s="101">
        <f t="shared" si="87"/>
        <v>0</v>
      </c>
      <c r="P356" s="52">
        <f t="shared" si="88"/>
        <v>0</v>
      </c>
      <c r="Q356" s="49">
        <v>116.88487613461319</v>
      </c>
      <c r="R356">
        <v>2225</v>
      </c>
      <c r="S356" s="50">
        <f t="shared" si="84"/>
        <v>71535.307499999995</v>
      </c>
      <c r="T356" s="50">
        <f t="shared" si="89"/>
        <v>0</v>
      </c>
      <c r="U356" s="58">
        <f t="shared" si="90"/>
        <v>0</v>
      </c>
      <c r="V356" s="58">
        <f t="shared" si="91"/>
        <v>0</v>
      </c>
      <c r="W356" s="58">
        <f t="shared" si="92"/>
        <v>0</v>
      </c>
      <c r="X356" s="58">
        <f t="shared" si="93"/>
        <v>0</v>
      </c>
      <c r="Y356" s="52">
        <f t="shared" si="94"/>
        <v>0</v>
      </c>
    </row>
    <row r="357" spans="1:25" x14ac:dyDescent="0.25">
      <c r="A357" s="1218" t="s">
        <v>179</v>
      </c>
      <c r="B357" s="98">
        <v>45352</v>
      </c>
      <c r="C357" s="117" t="str">
        <f t="shared" si="81"/>
        <v>7L</v>
      </c>
      <c r="D357" s="96"/>
      <c r="I357" s="99">
        <f t="shared" si="82"/>
        <v>0</v>
      </c>
      <c r="L357" s="99">
        <f t="shared" si="83"/>
        <v>0</v>
      </c>
      <c r="M357" s="44" t="str">
        <f t="shared" si="85"/>
        <v/>
      </c>
      <c r="N357" s="100">
        <f t="shared" si="86"/>
        <v>0</v>
      </c>
      <c r="O357" s="101">
        <f t="shared" si="87"/>
        <v>0</v>
      </c>
      <c r="P357" s="52">
        <f t="shared" si="88"/>
        <v>0</v>
      </c>
      <c r="Q357" s="49">
        <v>116.88487613461319</v>
      </c>
      <c r="R357">
        <v>2225</v>
      </c>
      <c r="S357" s="50">
        <f t="shared" si="84"/>
        <v>71535.307499999995</v>
      </c>
      <c r="T357" s="50">
        <f t="shared" si="89"/>
        <v>0</v>
      </c>
      <c r="U357" s="58">
        <f t="shared" si="90"/>
        <v>0</v>
      </c>
      <c r="V357" s="58">
        <f t="shared" si="91"/>
        <v>0</v>
      </c>
      <c r="W357" s="58">
        <f t="shared" si="92"/>
        <v>0</v>
      </c>
      <c r="X357" s="58">
        <f t="shared" si="93"/>
        <v>0</v>
      </c>
      <c r="Y357" s="52">
        <f t="shared" si="94"/>
        <v>0</v>
      </c>
    </row>
    <row r="358" spans="1:25" x14ac:dyDescent="0.25">
      <c r="A358" s="1218" t="s">
        <v>180</v>
      </c>
      <c r="B358" s="98">
        <v>45352</v>
      </c>
      <c r="C358" s="117" t="str">
        <f t="shared" si="81"/>
        <v>7L</v>
      </c>
      <c r="D358" s="96"/>
      <c r="I358" s="99">
        <f t="shared" si="82"/>
        <v>0</v>
      </c>
      <c r="L358" s="99">
        <f t="shared" si="83"/>
        <v>0</v>
      </c>
      <c r="M358" s="44" t="str">
        <f t="shared" si="85"/>
        <v/>
      </c>
      <c r="N358" s="100">
        <f t="shared" si="86"/>
        <v>0</v>
      </c>
      <c r="O358" s="101">
        <f t="shared" si="87"/>
        <v>0</v>
      </c>
      <c r="P358" s="52">
        <f t="shared" si="88"/>
        <v>0</v>
      </c>
      <c r="Q358" s="49">
        <v>116.88487613461319</v>
      </c>
      <c r="R358">
        <v>2225</v>
      </c>
      <c r="S358" s="50">
        <f t="shared" si="84"/>
        <v>71535.307499999995</v>
      </c>
      <c r="T358" s="50">
        <f t="shared" si="89"/>
        <v>0</v>
      </c>
      <c r="U358" s="58">
        <f t="shared" si="90"/>
        <v>0</v>
      </c>
      <c r="V358" s="58">
        <f t="shared" si="91"/>
        <v>0</v>
      </c>
      <c r="W358" s="58">
        <f t="shared" si="92"/>
        <v>0</v>
      </c>
      <c r="X358" s="58">
        <f t="shared" si="93"/>
        <v>0</v>
      </c>
      <c r="Y358" s="52">
        <f t="shared" si="94"/>
        <v>0</v>
      </c>
    </row>
    <row r="359" spans="1:25" x14ac:dyDescent="0.25">
      <c r="A359" s="1218" t="s">
        <v>181</v>
      </c>
      <c r="B359" s="98">
        <v>45352</v>
      </c>
      <c r="C359" s="117" t="str">
        <f t="shared" si="81"/>
        <v>7L</v>
      </c>
      <c r="D359" s="96"/>
      <c r="I359" s="99">
        <f t="shared" si="82"/>
        <v>0</v>
      </c>
      <c r="L359" s="99">
        <f t="shared" si="83"/>
        <v>0</v>
      </c>
      <c r="M359" s="44" t="str">
        <f t="shared" si="85"/>
        <v/>
      </c>
      <c r="N359" s="100">
        <f t="shared" si="86"/>
        <v>0</v>
      </c>
      <c r="O359" s="101">
        <f t="shared" si="87"/>
        <v>0</v>
      </c>
      <c r="P359" s="52">
        <f t="shared" si="88"/>
        <v>0</v>
      </c>
      <c r="Q359" s="49">
        <v>116.88487613461319</v>
      </c>
      <c r="R359">
        <v>2225</v>
      </c>
      <c r="S359" s="50">
        <f t="shared" si="84"/>
        <v>71535.307499999995</v>
      </c>
      <c r="T359" s="50">
        <f t="shared" si="89"/>
        <v>0</v>
      </c>
      <c r="U359" s="58">
        <f t="shared" si="90"/>
        <v>0</v>
      </c>
      <c r="V359" s="58">
        <f t="shared" si="91"/>
        <v>0</v>
      </c>
      <c r="W359" s="58">
        <f t="shared" si="92"/>
        <v>0</v>
      </c>
      <c r="X359" s="58">
        <f t="shared" si="93"/>
        <v>0</v>
      </c>
      <c r="Y359" s="52">
        <f t="shared" si="94"/>
        <v>0</v>
      </c>
    </row>
    <row r="360" spans="1:25" x14ac:dyDescent="0.25">
      <c r="A360" s="1218" t="s">
        <v>182</v>
      </c>
      <c r="B360" s="98">
        <v>45352</v>
      </c>
      <c r="C360" s="117" t="str">
        <f t="shared" si="81"/>
        <v>7L</v>
      </c>
      <c r="D360" s="96"/>
      <c r="I360" s="99">
        <f t="shared" si="82"/>
        <v>0</v>
      </c>
      <c r="L360" s="99">
        <f t="shared" si="83"/>
        <v>0</v>
      </c>
      <c r="M360" s="44" t="str">
        <f t="shared" si="85"/>
        <v/>
      </c>
      <c r="N360" s="100">
        <f t="shared" si="86"/>
        <v>0</v>
      </c>
      <c r="O360" s="101">
        <f t="shared" si="87"/>
        <v>0</v>
      </c>
      <c r="P360" s="52">
        <f t="shared" si="88"/>
        <v>0</v>
      </c>
      <c r="Q360" s="49">
        <v>116.88487613461319</v>
      </c>
      <c r="R360">
        <v>2225</v>
      </c>
      <c r="S360" s="50">
        <f t="shared" si="84"/>
        <v>71535.307499999995</v>
      </c>
      <c r="T360" s="50">
        <f t="shared" si="89"/>
        <v>0</v>
      </c>
      <c r="U360" s="58">
        <f t="shared" si="90"/>
        <v>0</v>
      </c>
      <c r="V360" s="58">
        <f t="shared" si="91"/>
        <v>0</v>
      </c>
      <c r="W360" s="58">
        <f t="shared" si="92"/>
        <v>0</v>
      </c>
      <c r="X360" s="58">
        <f t="shared" si="93"/>
        <v>0</v>
      </c>
      <c r="Y360" s="52">
        <f t="shared" si="94"/>
        <v>0</v>
      </c>
    </row>
    <row r="361" spans="1:25" x14ac:dyDescent="0.25">
      <c r="A361" s="1218" t="s">
        <v>183</v>
      </c>
      <c r="B361" s="98">
        <v>45352</v>
      </c>
      <c r="C361" s="117" t="str">
        <f t="shared" si="81"/>
        <v>7L</v>
      </c>
      <c r="D361" s="96"/>
      <c r="I361" s="99">
        <f t="shared" si="82"/>
        <v>0</v>
      </c>
      <c r="L361" s="99">
        <f t="shared" si="83"/>
        <v>0</v>
      </c>
      <c r="M361" s="44" t="str">
        <f t="shared" si="85"/>
        <v/>
      </c>
      <c r="N361" s="100">
        <f t="shared" si="86"/>
        <v>0</v>
      </c>
      <c r="O361" s="101">
        <f t="shared" si="87"/>
        <v>0</v>
      </c>
      <c r="P361" s="52">
        <f t="shared" si="88"/>
        <v>0</v>
      </c>
      <c r="Q361" s="49">
        <v>116.88487613461319</v>
      </c>
      <c r="R361">
        <v>2225</v>
      </c>
      <c r="S361" s="50">
        <f t="shared" si="84"/>
        <v>71535.307499999995</v>
      </c>
      <c r="T361" s="50">
        <f t="shared" si="89"/>
        <v>0</v>
      </c>
      <c r="U361" s="58">
        <f t="shared" si="90"/>
        <v>0</v>
      </c>
      <c r="V361" s="58">
        <f t="shared" si="91"/>
        <v>0</v>
      </c>
      <c r="W361" s="58">
        <f t="shared" si="92"/>
        <v>0</v>
      </c>
      <c r="X361" s="58">
        <f t="shared" si="93"/>
        <v>0</v>
      </c>
      <c r="Y361" s="52">
        <f t="shared" si="94"/>
        <v>0</v>
      </c>
    </row>
    <row r="362" spans="1:25" x14ac:dyDescent="0.25">
      <c r="A362" s="1218" t="s">
        <v>184</v>
      </c>
      <c r="B362" s="98">
        <v>45352</v>
      </c>
      <c r="C362" s="117" t="str">
        <f t="shared" si="81"/>
        <v>7L</v>
      </c>
      <c r="D362" s="96"/>
      <c r="I362" s="99">
        <f t="shared" si="82"/>
        <v>0</v>
      </c>
      <c r="L362" s="99">
        <f t="shared" si="83"/>
        <v>0</v>
      </c>
      <c r="M362" s="44" t="str">
        <f t="shared" si="85"/>
        <v/>
      </c>
      <c r="N362" s="100">
        <f t="shared" si="86"/>
        <v>0</v>
      </c>
      <c r="O362" s="101">
        <f t="shared" si="87"/>
        <v>0</v>
      </c>
      <c r="P362" s="52">
        <f t="shared" si="88"/>
        <v>0</v>
      </c>
      <c r="Q362" s="49">
        <v>116.88487613461319</v>
      </c>
      <c r="R362">
        <v>2225</v>
      </c>
      <c r="S362" s="50">
        <f t="shared" si="84"/>
        <v>71535.307499999995</v>
      </c>
      <c r="T362" s="50">
        <f t="shared" si="89"/>
        <v>0</v>
      </c>
      <c r="U362" s="58">
        <f t="shared" si="90"/>
        <v>0</v>
      </c>
      <c r="V362" s="58">
        <f t="shared" si="91"/>
        <v>0</v>
      </c>
      <c r="W362" s="58">
        <f t="shared" si="92"/>
        <v>0</v>
      </c>
      <c r="X362" s="58">
        <f t="shared" si="93"/>
        <v>0</v>
      </c>
      <c r="Y362" s="52">
        <f t="shared" si="94"/>
        <v>0</v>
      </c>
    </row>
    <row r="363" spans="1:25" x14ac:dyDescent="0.25">
      <c r="A363" s="1218" t="s">
        <v>185</v>
      </c>
      <c r="B363" s="98">
        <v>45352</v>
      </c>
      <c r="C363" s="117" t="str">
        <f t="shared" si="81"/>
        <v>7L</v>
      </c>
      <c r="D363" s="96"/>
      <c r="I363" s="99">
        <f t="shared" si="82"/>
        <v>0</v>
      </c>
      <c r="L363" s="99">
        <f t="shared" si="83"/>
        <v>0</v>
      </c>
      <c r="M363" s="44" t="str">
        <f t="shared" si="85"/>
        <v/>
      </c>
      <c r="N363" s="100">
        <f t="shared" si="86"/>
        <v>0</v>
      </c>
      <c r="O363" s="101">
        <f t="shared" si="87"/>
        <v>0</v>
      </c>
      <c r="P363" s="52">
        <f t="shared" si="88"/>
        <v>0</v>
      </c>
      <c r="Q363" s="49">
        <v>116.88487613461319</v>
      </c>
      <c r="R363">
        <v>2225</v>
      </c>
      <c r="S363" s="50">
        <f t="shared" si="84"/>
        <v>71535.307499999995</v>
      </c>
      <c r="T363" s="50">
        <f t="shared" si="89"/>
        <v>0</v>
      </c>
      <c r="U363" s="58">
        <f t="shared" si="90"/>
        <v>0</v>
      </c>
      <c r="V363" s="58">
        <f t="shared" si="91"/>
        <v>0</v>
      </c>
      <c r="W363" s="58">
        <f t="shared" si="92"/>
        <v>0</v>
      </c>
      <c r="X363" s="58">
        <f t="shared" si="93"/>
        <v>0</v>
      </c>
      <c r="Y363" s="52">
        <f t="shared" si="94"/>
        <v>0</v>
      </c>
    </row>
    <row r="364" spans="1:25" x14ac:dyDescent="0.25">
      <c r="A364" s="1218" t="s">
        <v>186</v>
      </c>
      <c r="B364" s="98">
        <v>45352</v>
      </c>
      <c r="C364" s="117" t="str">
        <f t="shared" si="81"/>
        <v>7L</v>
      </c>
      <c r="D364" s="96"/>
      <c r="I364" s="99">
        <f t="shared" si="82"/>
        <v>0</v>
      </c>
      <c r="L364" s="99">
        <f t="shared" si="83"/>
        <v>0</v>
      </c>
      <c r="M364" s="44" t="str">
        <f t="shared" si="85"/>
        <v/>
      </c>
      <c r="N364" s="100">
        <f t="shared" si="86"/>
        <v>0</v>
      </c>
      <c r="O364" s="101">
        <f t="shared" si="87"/>
        <v>0</v>
      </c>
      <c r="P364" s="52">
        <f t="shared" si="88"/>
        <v>0</v>
      </c>
      <c r="Q364" s="49">
        <v>116.88487613461319</v>
      </c>
      <c r="R364">
        <v>2225</v>
      </c>
      <c r="S364" s="50">
        <f t="shared" si="84"/>
        <v>71535.307499999995</v>
      </c>
      <c r="T364" s="50">
        <f t="shared" si="89"/>
        <v>0</v>
      </c>
      <c r="U364" s="58">
        <f t="shared" si="90"/>
        <v>0</v>
      </c>
      <c r="V364" s="58">
        <f t="shared" si="91"/>
        <v>0</v>
      </c>
      <c r="W364" s="58">
        <f t="shared" si="92"/>
        <v>0</v>
      </c>
      <c r="X364" s="58">
        <f t="shared" si="93"/>
        <v>0</v>
      </c>
      <c r="Y364" s="52">
        <f t="shared" si="94"/>
        <v>0</v>
      </c>
    </row>
    <row r="365" spans="1:25" x14ac:dyDescent="0.25">
      <c r="A365" s="1218" t="s">
        <v>187</v>
      </c>
      <c r="B365" s="98">
        <v>45352</v>
      </c>
      <c r="C365" s="117" t="str">
        <f t="shared" si="81"/>
        <v>7L</v>
      </c>
      <c r="D365" s="96"/>
      <c r="I365" s="99">
        <f t="shared" si="82"/>
        <v>0</v>
      </c>
      <c r="L365" s="99">
        <f t="shared" si="83"/>
        <v>0</v>
      </c>
      <c r="M365" s="44" t="str">
        <f t="shared" si="85"/>
        <v/>
      </c>
      <c r="N365" s="100">
        <f t="shared" si="86"/>
        <v>0</v>
      </c>
      <c r="O365" s="101">
        <f t="shared" si="87"/>
        <v>0</v>
      </c>
      <c r="P365" s="52">
        <f t="shared" si="88"/>
        <v>0</v>
      </c>
      <c r="Q365" s="49">
        <v>116.88487613461319</v>
      </c>
      <c r="R365">
        <v>2225</v>
      </c>
      <c r="S365" s="50">
        <f t="shared" si="84"/>
        <v>71535.307499999995</v>
      </c>
      <c r="T365" s="50">
        <f t="shared" si="89"/>
        <v>0</v>
      </c>
      <c r="U365" s="58">
        <f t="shared" si="90"/>
        <v>0</v>
      </c>
      <c r="V365" s="58">
        <f t="shared" si="91"/>
        <v>0</v>
      </c>
      <c r="W365" s="58">
        <f t="shared" si="92"/>
        <v>0</v>
      </c>
      <c r="X365" s="58">
        <f t="shared" si="93"/>
        <v>0</v>
      </c>
      <c r="Y365" s="52">
        <f t="shared" si="94"/>
        <v>0</v>
      </c>
    </row>
    <row r="366" spans="1:25" x14ac:dyDescent="0.25">
      <c r="A366" s="1218" t="s">
        <v>188</v>
      </c>
      <c r="B366" s="98">
        <v>45352</v>
      </c>
      <c r="C366" s="117" t="str">
        <f t="shared" si="81"/>
        <v>7L</v>
      </c>
      <c r="D366" s="96"/>
      <c r="I366" s="99">
        <f t="shared" si="82"/>
        <v>0</v>
      </c>
      <c r="L366" s="99">
        <f t="shared" si="83"/>
        <v>0</v>
      </c>
      <c r="M366" s="44" t="str">
        <f t="shared" si="85"/>
        <v/>
      </c>
      <c r="N366" s="100">
        <f t="shared" si="86"/>
        <v>0</v>
      </c>
      <c r="O366" s="101">
        <f t="shared" si="87"/>
        <v>0</v>
      </c>
      <c r="P366" s="52">
        <f t="shared" si="88"/>
        <v>0</v>
      </c>
      <c r="Q366" s="49">
        <v>116.88487613461319</v>
      </c>
      <c r="R366">
        <v>2225</v>
      </c>
      <c r="S366" s="50">
        <f t="shared" si="84"/>
        <v>71535.307499999995</v>
      </c>
      <c r="T366" s="50">
        <f t="shared" si="89"/>
        <v>0</v>
      </c>
      <c r="U366" s="58">
        <f t="shared" si="90"/>
        <v>0</v>
      </c>
      <c r="V366" s="58">
        <f t="shared" si="91"/>
        <v>0</v>
      </c>
      <c r="W366" s="58">
        <f t="shared" si="92"/>
        <v>0</v>
      </c>
      <c r="X366" s="58">
        <f t="shared" si="93"/>
        <v>0</v>
      </c>
      <c r="Y366" s="52">
        <f t="shared" si="94"/>
        <v>0</v>
      </c>
    </row>
    <row r="367" spans="1:25" x14ac:dyDescent="0.25">
      <c r="A367" s="1218" t="s">
        <v>189</v>
      </c>
      <c r="B367" s="98">
        <v>45352</v>
      </c>
      <c r="C367" s="117" t="str">
        <f t="shared" si="81"/>
        <v>7L</v>
      </c>
      <c r="D367" s="96"/>
      <c r="I367" s="99">
        <f t="shared" si="82"/>
        <v>0</v>
      </c>
      <c r="L367" s="99">
        <f t="shared" si="83"/>
        <v>0</v>
      </c>
      <c r="M367" s="44" t="str">
        <f t="shared" si="85"/>
        <v/>
      </c>
      <c r="N367" s="100">
        <f t="shared" si="86"/>
        <v>0</v>
      </c>
      <c r="O367" s="101">
        <f t="shared" si="87"/>
        <v>0</v>
      </c>
      <c r="P367" s="52">
        <f t="shared" si="88"/>
        <v>0</v>
      </c>
      <c r="Q367" s="49">
        <v>116.88487613461319</v>
      </c>
      <c r="R367">
        <v>2225</v>
      </c>
      <c r="S367" s="50">
        <f t="shared" si="84"/>
        <v>71535.307499999995</v>
      </c>
      <c r="T367" s="50">
        <f t="shared" si="89"/>
        <v>0</v>
      </c>
      <c r="U367" s="58">
        <f t="shared" si="90"/>
        <v>0</v>
      </c>
      <c r="V367" s="58">
        <f t="shared" si="91"/>
        <v>0</v>
      </c>
      <c r="W367" s="58">
        <f t="shared" si="92"/>
        <v>0</v>
      </c>
      <c r="X367" s="58">
        <f t="shared" si="93"/>
        <v>0</v>
      </c>
      <c r="Y367" s="52">
        <f t="shared" si="94"/>
        <v>0</v>
      </c>
    </row>
    <row r="368" spans="1:25" x14ac:dyDescent="0.25">
      <c r="A368" s="1218" t="s">
        <v>190</v>
      </c>
      <c r="B368" s="98">
        <v>45352</v>
      </c>
      <c r="C368" s="117" t="str">
        <f t="shared" si="81"/>
        <v>8L</v>
      </c>
      <c r="D368" s="96"/>
      <c r="I368" s="99">
        <f t="shared" si="82"/>
        <v>0</v>
      </c>
      <c r="L368" s="99">
        <f t="shared" si="83"/>
        <v>0</v>
      </c>
      <c r="M368" s="44" t="str">
        <f t="shared" si="85"/>
        <v/>
      </c>
      <c r="N368" s="100">
        <f t="shared" si="86"/>
        <v>0</v>
      </c>
      <c r="O368" s="101">
        <f t="shared" si="87"/>
        <v>0</v>
      </c>
      <c r="P368" s="52">
        <f t="shared" si="88"/>
        <v>0</v>
      </c>
      <c r="Q368" s="49">
        <v>116.88487613461319</v>
      </c>
      <c r="R368">
        <v>2225</v>
      </c>
      <c r="S368" s="50">
        <f t="shared" si="84"/>
        <v>71535.307499999995</v>
      </c>
      <c r="T368" s="50">
        <f t="shared" si="89"/>
        <v>0</v>
      </c>
      <c r="U368" s="58">
        <f t="shared" si="90"/>
        <v>0</v>
      </c>
      <c r="V368" s="58">
        <f t="shared" si="91"/>
        <v>0</v>
      </c>
      <c r="W368" s="58">
        <f t="shared" si="92"/>
        <v>0</v>
      </c>
      <c r="X368" s="58">
        <f t="shared" si="93"/>
        <v>0</v>
      </c>
      <c r="Y368" s="52">
        <f t="shared" si="94"/>
        <v>0</v>
      </c>
    </row>
    <row r="369" spans="1:25" x14ac:dyDescent="0.25">
      <c r="A369" s="1218" t="s">
        <v>191</v>
      </c>
      <c r="B369" s="98">
        <v>45352</v>
      </c>
      <c r="C369" s="117" t="str">
        <f t="shared" si="81"/>
        <v>8L</v>
      </c>
      <c r="D369" s="96"/>
      <c r="I369" s="99">
        <f t="shared" si="82"/>
        <v>0</v>
      </c>
      <c r="L369" s="99">
        <f t="shared" si="83"/>
        <v>0</v>
      </c>
      <c r="M369" s="44" t="str">
        <f t="shared" si="85"/>
        <v/>
      </c>
      <c r="N369" s="100">
        <f t="shared" si="86"/>
        <v>0</v>
      </c>
      <c r="O369" s="101">
        <f t="shared" si="87"/>
        <v>0</v>
      </c>
      <c r="P369" s="52">
        <f t="shared" si="88"/>
        <v>0</v>
      </c>
      <c r="Q369" s="49">
        <v>116.88487613461319</v>
      </c>
      <c r="R369">
        <v>2225</v>
      </c>
      <c r="S369" s="50">
        <f t="shared" si="84"/>
        <v>71535.307499999995</v>
      </c>
      <c r="T369" s="50">
        <f t="shared" si="89"/>
        <v>0</v>
      </c>
      <c r="U369" s="58">
        <f t="shared" si="90"/>
        <v>0</v>
      </c>
      <c r="V369" s="58">
        <f t="shared" si="91"/>
        <v>0</v>
      </c>
      <c r="W369" s="58">
        <f t="shared" si="92"/>
        <v>0</v>
      </c>
      <c r="X369" s="58">
        <f t="shared" si="93"/>
        <v>0</v>
      </c>
      <c r="Y369" s="52">
        <f t="shared" si="94"/>
        <v>0</v>
      </c>
    </row>
    <row r="370" spans="1:25" x14ac:dyDescent="0.25">
      <c r="A370" s="1218" t="s">
        <v>192</v>
      </c>
      <c r="B370" s="98">
        <v>45352</v>
      </c>
      <c r="C370" s="117" t="str">
        <f t="shared" si="81"/>
        <v>8L</v>
      </c>
      <c r="D370" s="96"/>
      <c r="I370" s="99">
        <f t="shared" si="82"/>
        <v>0</v>
      </c>
      <c r="L370" s="99">
        <f t="shared" si="83"/>
        <v>0</v>
      </c>
      <c r="M370" s="44" t="str">
        <f t="shared" si="85"/>
        <v/>
      </c>
      <c r="N370" s="100">
        <f t="shared" si="86"/>
        <v>0</v>
      </c>
      <c r="O370" s="101">
        <f t="shared" si="87"/>
        <v>0</v>
      </c>
      <c r="P370" s="52">
        <f t="shared" si="88"/>
        <v>0</v>
      </c>
      <c r="Q370" s="49">
        <v>116.88487613461319</v>
      </c>
      <c r="R370">
        <v>2225</v>
      </c>
      <c r="S370" s="50">
        <f t="shared" si="84"/>
        <v>71535.307499999995</v>
      </c>
      <c r="T370" s="50">
        <f t="shared" si="89"/>
        <v>0</v>
      </c>
      <c r="U370" s="58">
        <f t="shared" si="90"/>
        <v>0</v>
      </c>
      <c r="V370" s="58">
        <f t="shared" si="91"/>
        <v>0</v>
      </c>
      <c r="W370" s="58">
        <f t="shared" si="92"/>
        <v>0</v>
      </c>
      <c r="X370" s="58">
        <f t="shared" si="93"/>
        <v>0</v>
      </c>
      <c r="Y370" s="52">
        <f t="shared" si="94"/>
        <v>0</v>
      </c>
    </row>
    <row r="371" spans="1:25" x14ac:dyDescent="0.25">
      <c r="A371" s="1218" t="s">
        <v>193</v>
      </c>
      <c r="B371" s="98">
        <v>45352</v>
      </c>
      <c r="C371" s="117" t="str">
        <f t="shared" si="81"/>
        <v>8L</v>
      </c>
      <c r="D371" s="96"/>
      <c r="I371" s="99">
        <f t="shared" si="82"/>
        <v>0</v>
      </c>
      <c r="L371" s="99">
        <f t="shared" si="83"/>
        <v>0</v>
      </c>
      <c r="M371" s="44" t="str">
        <f t="shared" si="85"/>
        <v/>
      </c>
      <c r="N371" s="100">
        <f t="shared" si="86"/>
        <v>0</v>
      </c>
      <c r="O371" s="101">
        <f t="shared" si="87"/>
        <v>0</v>
      </c>
      <c r="P371" s="52">
        <f t="shared" si="88"/>
        <v>0</v>
      </c>
      <c r="Q371" s="49">
        <v>116.88487613461319</v>
      </c>
      <c r="R371">
        <v>2225</v>
      </c>
      <c r="S371" s="50">
        <f t="shared" si="84"/>
        <v>71535.307499999995</v>
      </c>
      <c r="T371" s="50">
        <f t="shared" si="89"/>
        <v>0</v>
      </c>
      <c r="U371" s="58">
        <f t="shared" si="90"/>
        <v>0</v>
      </c>
      <c r="V371" s="58">
        <f t="shared" si="91"/>
        <v>0</v>
      </c>
      <c r="W371" s="58">
        <f t="shared" si="92"/>
        <v>0</v>
      </c>
      <c r="X371" s="58">
        <f t="shared" si="93"/>
        <v>0</v>
      </c>
      <c r="Y371" s="52">
        <f t="shared" si="94"/>
        <v>0</v>
      </c>
    </row>
    <row r="372" spans="1:25" x14ac:dyDescent="0.25">
      <c r="A372" s="1218" t="s">
        <v>194</v>
      </c>
      <c r="B372" s="98">
        <v>45352</v>
      </c>
      <c r="C372" s="117" t="str">
        <f t="shared" si="81"/>
        <v>8L</v>
      </c>
      <c r="D372" s="96"/>
      <c r="I372" s="99">
        <f t="shared" si="82"/>
        <v>0</v>
      </c>
      <c r="L372" s="99">
        <f t="shared" si="83"/>
        <v>0</v>
      </c>
      <c r="M372" s="44" t="str">
        <f t="shared" si="85"/>
        <v/>
      </c>
      <c r="N372" s="100">
        <f t="shared" si="86"/>
        <v>0</v>
      </c>
      <c r="O372" s="101">
        <f t="shared" si="87"/>
        <v>0</v>
      </c>
      <c r="P372" s="52">
        <f t="shared" si="88"/>
        <v>0</v>
      </c>
      <c r="Q372" s="49">
        <v>116.88487613461319</v>
      </c>
      <c r="R372">
        <v>2225</v>
      </c>
      <c r="S372" s="50">
        <f t="shared" si="84"/>
        <v>71535.307499999995</v>
      </c>
      <c r="T372" s="50">
        <f t="shared" si="89"/>
        <v>0</v>
      </c>
      <c r="U372" s="58">
        <f t="shared" si="90"/>
        <v>0</v>
      </c>
      <c r="V372" s="58">
        <f t="shared" si="91"/>
        <v>0</v>
      </c>
      <c r="W372" s="58">
        <f t="shared" si="92"/>
        <v>0</v>
      </c>
      <c r="X372" s="58">
        <f t="shared" si="93"/>
        <v>0</v>
      </c>
      <c r="Y372" s="52">
        <f t="shared" si="94"/>
        <v>0</v>
      </c>
    </row>
    <row r="373" spans="1:25" x14ac:dyDescent="0.25">
      <c r="A373" s="1218" t="s">
        <v>195</v>
      </c>
      <c r="B373" s="98">
        <v>45352</v>
      </c>
      <c r="C373" s="117" t="str">
        <f t="shared" si="81"/>
        <v>8L</v>
      </c>
      <c r="D373" s="96"/>
      <c r="I373" s="99">
        <f t="shared" si="82"/>
        <v>0</v>
      </c>
      <c r="L373" s="99">
        <f t="shared" si="83"/>
        <v>0</v>
      </c>
      <c r="M373" s="44" t="str">
        <f t="shared" si="85"/>
        <v/>
      </c>
      <c r="N373" s="100">
        <f t="shared" si="86"/>
        <v>0</v>
      </c>
      <c r="O373" s="101">
        <f t="shared" si="87"/>
        <v>0</v>
      </c>
      <c r="P373" s="52">
        <f t="shared" si="88"/>
        <v>0</v>
      </c>
      <c r="Q373" s="49">
        <v>116.88487613461319</v>
      </c>
      <c r="R373">
        <v>2225</v>
      </c>
      <c r="S373" s="50">
        <f t="shared" si="84"/>
        <v>71535.307499999995</v>
      </c>
      <c r="T373" s="50">
        <f t="shared" si="89"/>
        <v>0</v>
      </c>
      <c r="U373" s="58">
        <f t="shared" si="90"/>
        <v>0</v>
      </c>
      <c r="V373" s="58">
        <f t="shared" si="91"/>
        <v>0</v>
      </c>
      <c r="W373" s="58">
        <f t="shared" si="92"/>
        <v>0</v>
      </c>
      <c r="X373" s="58">
        <f t="shared" si="93"/>
        <v>0</v>
      </c>
      <c r="Y373" s="52">
        <f t="shared" si="94"/>
        <v>0</v>
      </c>
    </row>
    <row r="374" spans="1:25" x14ac:dyDescent="0.25">
      <c r="A374" s="1218" t="s">
        <v>196</v>
      </c>
      <c r="B374" s="98">
        <v>45352</v>
      </c>
      <c r="C374" s="117" t="str">
        <f t="shared" si="81"/>
        <v>8L</v>
      </c>
      <c r="D374" s="96"/>
      <c r="I374" s="99">
        <f t="shared" si="82"/>
        <v>0</v>
      </c>
      <c r="L374" s="99">
        <f t="shared" si="83"/>
        <v>0</v>
      </c>
      <c r="M374" s="44" t="str">
        <f t="shared" si="85"/>
        <v/>
      </c>
      <c r="N374" s="100">
        <f t="shared" si="86"/>
        <v>0</v>
      </c>
      <c r="O374" s="101">
        <f t="shared" si="87"/>
        <v>0</v>
      </c>
      <c r="P374" s="52">
        <f t="shared" si="88"/>
        <v>0</v>
      </c>
      <c r="Q374" s="49">
        <v>116.88487613461319</v>
      </c>
      <c r="R374">
        <v>2225</v>
      </c>
      <c r="S374" s="50">
        <f t="shared" si="84"/>
        <v>71535.307499999995</v>
      </c>
      <c r="T374" s="50">
        <f t="shared" si="89"/>
        <v>0</v>
      </c>
      <c r="U374" s="58">
        <f t="shared" si="90"/>
        <v>0</v>
      </c>
      <c r="V374" s="58">
        <f t="shared" si="91"/>
        <v>0</v>
      </c>
      <c r="W374" s="58">
        <f t="shared" si="92"/>
        <v>0</v>
      </c>
      <c r="X374" s="58">
        <f t="shared" si="93"/>
        <v>0</v>
      </c>
      <c r="Y374" s="52">
        <f t="shared" si="94"/>
        <v>0</v>
      </c>
    </row>
    <row r="375" spans="1:25" x14ac:dyDescent="0.25">
      <c r="A375" s="1218" t="s">
        <v>197</v>
      </c>
      <c r="B375" s="98">
        <v>45352</v>
      </c>
      <c r="C375" s="117" t="str">
        <f t="shared" si="81"/>
        <v>8L</v>
      </c>
      <c r="D375" s="96"/>
      <c r="I375" s="99">
        <f t="shared" si="82"/>
        <v>0</v>
      </c>
      <c r="L375" s="99">
        <f t="shared" si="83"/>
        <v>0</v>
      </c>
      <c r="M375" s="44" t="str">
        <f t="shared" si="85"/>
        <v/>
      </c>
      <c r="N375" s="100">
        <f t="shared" si="86"/>
        <v>0</v>
      </c>
      <c r="O375" s="101">
        <f t="shared" si="87"/>
        <v>0</v>
      </c>
      <c r="P375" s="52">
        <f t="shared" si="88"/>
        <v>0</v>
      </c>
      <c r="Q375" s="49">
        <v>116.88487613461319</v>
      </c>
      <c r="R375">
        <v>2225</v>
      </c>
      <c r="S375" s="50">
        <f t="shared" si="84"/>
        <v>71535.307499999995</v>
      </c>
      <c r="T375" s="50">
        <f t="shared" si="89"/>
        <v>0</v>
      </c>
      <c r="U375" s="58">
        <f t="shared" si="90"/>
        <v>0</v>
      </c>
      <c r="V375" s="58">
        <f t="shared" si="91"/>
        <v>0</v>
      </c>
      <c r="W375" s="58">
        <f t="shared" si="92"/>
        <v>0</v>
      </c>
      <c r="X375" s="58">
        <f t="shared" si="93"/>
        <v>0</v>
      </c>
      <c r="Y375" s="52">
        <f t="shared" si="94"/>
        <v>0</v>
      </c>
    </row>
    <row r="376" spans="1:25" x14ac:dyDescent="0.25">
      <c r="A376" s="1218" t="s">
        <v>198</v>
      </c>
      <c r="B376" s="98">
        <v>45352</v>
      </c>
      <c r="C376" s="117" t="str">
        <f t="shared" si="81"/>
        <v>8L</v>
      </c>
      <c r="D376" s="96"/>
      <c r="I376" s="99">
        <f t="shared" si="82"/>
        <v>0</v>
      </c>
      <c r="L376" s="99">
        <f t="shared" si="83"/>
        <v>0</v>
      </c>
      <c r="M376" s="44" t="str">
        <f t="shared" si="85"/>
        <v/>
      </c>
      <c r="N376" s="100">
        <f t="shared" si="86"/>
        <v>0</v>
      </c>
      <c r="O376" s="101">
        <f t="shared" si="87"/>
        <v>0</v>
      </c>
      <c r="P376" s="52">
        <f t="shared" si="88"/>
        <v>0</v>
      </c>
      <c r="Q376" s="49">
        <v>116.88487613461319</v>
      </c>
      <c r="R376">
        <v>2225</v>
      </c>
      <c r="S376" s="50">
        <f t="shared" si="84"/>
        <v>71535.307499999995</v>
      </c>
      <c r="T376" s="50">
        <f t="shared" si="89"/>
        <v>0</v>
      </c>
      <c r="U376" s="58">
        <f t="shared" si="90"/>
        <v>0</v>
      </c>
      <c r="V376" s="58">
        <f t="shared" si="91"/>
        <v>0</v>
      </c>
      <c r="W376" s="58">
        <f t="shared" si="92"/>
        <v>0</v>
      </c>
      <c r="X376" s="58">
        <f t="shared" si="93"/>
        <v>0</v>
      </c>
      <c r="Y376" s="52">
        <f t="shared" si="94"/>
        <v>0</v>
      </c>
    </row>
    <row r="377" spans="1:25" x14ac:dyDescent="0.25">
      <c r="A377" s="1218" t="s">
        <v>199</v>
      </c>
      <c r="B377" s="98">
        <v>45352</v>
      </c>
      <c r="C377" s="117" t="str">
        <f t="shared" si="81"/>
        <v>8L</v>
      </c>
      <c r="D377" s="96"/>
      <c r="I377" s="99">
        <f t="shared" si="82"/>
        <v>0</v>
      </c>
      <c r="L377" s="99">
        <f t="shared" si="83"/>
        <v>0</v>
      </c>
      <c r="M377" s="44" t="str">
        <f t="shared" si="85"/>
        <v/>
      </c>
      <c r="N377" s="100">
        <f t="shared" si="86"/>
        <v>0</v>
      </c>
      <c r="O377" s="101">
        <f t="shared" si="87"/>
        <v>0</v>
      </c>
      <c r="P377" s="52">
        <f t="shared" si="88"/>
        <v>0</v>
      </c>
      <c r="Q377" s="49">
        <v>116.88487613461319</v>
      </c>
      <c r="R377">
        <v>2225</v>
      </c>
      <c r="S377" s="50">
        <f t="shared" si="84"/>
        <v>71535.307499999995</v>
      </c>
      <c r="T377" s="50">
        <f t="shared" si="89"/>
        <v>0</v>
      </c>
      <c r="U377" s="58">
        <f t="shared" si="90"/>
        <v>0</v>
      </c>
      <c r="V377" s="58">
        <f t="shared" si="91"/>
        <v>0</v>
      </c>
      <c r="W377" s="58">
        <f t="shared" si="92"/>
        <v>0</v>
      </c>
      <c r="X377" s="58">
        <f t="shared" si="93"/>
        <v>0</v>
      </c>
      <c r="Y377" s="52">
        <f t="shared" si="94"/>
        <v>0</v>
      </c>
    </row>
    <row r="378" spans="1:25" x14ac:dyDescent="0.25">
      <c r="A378" s="1218" t="s">
        <v>200</v>
      </c>
      <c r="B378" s="98">
        <v>45352</v>
      </c>
      <c r="C378" s="117" t="str">
        <f t="shared" si="81"/>
        <v>8L</v>
      </c>
      <c r="D378" s="96"/>
      <c r="I378" s="99">
        <f t="shared" si="82"/>
        <v>0</v>
      </c>
      <c r="L378" s="99">
        <f t="shared" si="83"/>
        <v>0</v>
      </c>
      <c r="M378" s="44" t="str">
        <f t="shared" si="85"/>
        <v/>
      </c>
      <c r="N378" s="100">
        <f t="shared" si="86"/>
        <v>0</v>
      </c>
      <c r="O378" s="101">
        <f t="shared" si="87"/>
        <v>0</v>
      </c>
      <c r="P378" s="52">
        <f t="shared" si="88"/>
        <v>0</v>
      </c>
      <c r="Q378" s="49">
        <v>116.88487613461319</v>
      </c>
      <c r="R378">
        <v>2225</v>
      </c>
      <c r="S378" s="50">
        <f t="shared" si="84"/>
        <v>71535.307499999995</v>
      </c>
      <c r="T378" s="50">
        <f t="shared" si="89"/>
        <v>0</v>
      </c>
      <c r="U378" s="58">
        <f t="shared" si="90"/>
        <v>0</v>
      </c>
      <c r="V378" s="58">
        <f t="shared" si="91"/>
        <v>0</v>
      </c>
      <c r="W378" s="58">
        <f t="shared" si="92"/>
        <v>0</v>
      </c>
      <c r="X378" s="58">
        <f t="shared" si="93"/>
        <v>0</v>
      </c>
      <c r="Y378" s="52">
        <f t="shared" si="94"/>
        <v>0</v>
      </c>
    </row>
    <row r="379" spans="1:25" x14ac:dyDescent="0.25">
      <c r="A379" s="1218" t="s">
        <v>201</v>
      </c>
      <c r="B379" s="98">
        <v>45352</v>
      </c>
      <c r="C379" s="117" t="str">
        <f t="shared" si="81"/>
        <v>8L</v>
      </c>
      <c r="D379" s="96"/>
      <c r="I379" s="99">
        <f t="shared" si="82"/>
        <v>0</v>
      </c>
      <c r="L379" s="99">
        <f t="shared" si="83"/>
        <v>0</v>
      </c>
      <c r="M379" s="44" t="str">
        <f t="shared" si="85"/>
        <v/>
      </c>
      <c r="N379" s="100">
        <f t="shared" si="86"/>
        <v>0</v>
      </c>
      <c r="O379" s="101">
        <f t="shared" si="87"/>
        <v>0</v>
      </c>
      <c r="P379" s="52">
        <f t="shared" si="88"/>
        <v>0</v>
      </c>
      <c r="Q379" s="49">
        <v>116.88487613461319</v>
      </c>
      <c r="R379">
        <v>2225</v>
      </c>
      <c r="S379" s="50">
        <f t="shared" si="84"/>
        <v>71535.307499999995</v>
      </c>
      <c r="T379" s="50">
        <f t="shared" si="89"/>
        <v>0</v>
      </c>
      <c r="U379" s="58">
        <f t="shared" si="90"/>
        <v>0</v>
      </c>
      <c r="V379" s="58">
        <f t="shared" si="91"/>
        <v>0</v>
      </c>
      <c r="W379" s="58">
        <f t="shared" si="92"/>
        <v>0</v>
      </c>
      <c r="X379" s="58">
        <f t="shared" si="93"/>
        <v>0</v>
      </c>
      <c r="Y379" s="52">
        <f t="shared" si="94"/>
        <v>0</v>
      </c>
    </row>
    <row r="380" spans="1:25" x14ac:dyDescent="0.25">
      <c r="A380" s="1218" t="s">
        <v>202</v>
      </c>
      <c r="B380" s="98">
        <v>45352</v>
      </c>
      <c r="C380" s="117" t="str">
        <f t="shared" si="81"/>
        <v>8L</v>
      </c>
      <c r="D380" s="96"/>
      <c r="I380" s="99">
        <f t="shared" si="82"/>
        <v>0</v>
      </c>
      <c r="L380" s="99">
        <f t="shared" si="83"/>
        <v>0</v>
      </c>
      <c r="M380" s="44" t="str">
        <f t="shared" si="85"/>
        <v/>
      </c>
      <c r="N380" s="100">
        <f t="shared" si="86"/>
        <v>0</v>
      </c>
      <c r="O380" s="101">
        <f t="shared" si="87"/>
        <v>0</v>
      </c>
      <c r="P380" s="52">
        <f t="shared" si="88"/>
        <v>0</v>
      </c>
      <c r="Q380" s="49">
        <v>116.88487613461319</v>
      </c>
      <c r="R380">
        <v>2225</v>
      </c>
      <c r="S380" s="50">
        <f t="shared" si="84"/>
        <v>71535.307499999995</v>
      </c>
      <c r="T380" s="50">
        <f t="shared" si="89"/>
        <v>0</v>
      </c>
      <c r="U380" s="58">
        <f t="shared" si="90"/>
        <v>0</v>
      </c>
      <c r="V380" s="58">
        <f t="shared" si="91"/>
        <v>0</v>
      </c>
      <c r="W380" s="58">
        <f t="shared" si="92"/>
        <v>0</v>
      </c>
      <c r="X380" s="58">
        <f t="shared" si="93"/>
        <v>0</v>
      </c>
      <c r="Y380" s="52">
        <f t="shared" si="94"/>
        <v>0</v>
      </c>
    </row>
    <row r="381" spans="1:25" x14ac:dyDescent="0.25">
      <c r="A381" s="1218" t="s">
        <v>203</v>
      </c>
      <c r="B381" s="98">
        <v>45352</v>
      </c>
      <c r="C381" s="117" t="str">
        <f t="shared" si="81"/>
        <v>8L</v>
      </c>
      <c r="D381" s="96"/>
      <c r="I381" s="99">
        <f t="shared" si="82"/>
        <v>0</v>
      </c>
      <c r="L381" s="99">
        <f t="shared" si="83"/>
        <v>0</v>
      </c>
      <c r="M381" s="44" t="str">
        <f t="shared" si="85"/>
        <v/>
      </c>
      <c r="N381" s="100">
        <f t="shared" si="86"/>
        <v>0</v>
      </c>
      <c r="O381" s="101">
        <f t="shared" si="87"/>
        <v>0</v>
      </c>
      <c r="P381" s="52">
        <f t="shared" si="88"/>
        <v>0</v>
      </c>
      <c r="Q381" s="49">
        <v>116.88487613461319</v>
      </c>
      <c r="R381">
        <v>2225</v>
      </c>
      <c r="S381" s="50">
        <f t="shared" si="84"/>
        <v>71535.307499999995</v>
      </c>
      <c r="T381" s="50">
        <f t="shared" si="89"/>
        <v>0</v>
      </c>
      <c r="U381" s="58">
        <f t="shared" si="90"/>
        <v>0</v>
      </c>
      <c r="V381" s="58">
        <f t="shared" si="91"/>
        <v>0</v>
      </c>
      <c r="W381" s="58">
        <f t="shared" si="92"/>
        <v>0</v>
      </c>
      <c r="X381" s="58">
        <f t="shared" si="93"/>
        <v>0</v>
      </c>
      <c r="Y381" s="52">
        <f t="shared" si="94"/>
        <v>0</v>
      </c>
    </row>
    <row r="382" spans="1:25" x14ac:dyDescent="0.25">
      <c r="A382" s="1218" t="s">
        <v>204</v>
      </c>
      <c r="B382" s="98">
        <v>45352</v>
      </c>
      <c r="C382" s="117" t="str">
        <f t="shared" si="81"/>
        <v>8L</v>
      </c>
      <c r="D382" s="96"/>
      <c r="I382" s="99">
        <f t="shared" si="82"/>
        <v>0</v>
      </c>
      <c r="L382" s="99">
        <f t="shared" si="83"/>
        <v>0</v>
      </c>
      <c r="M382" s="44" t="str">
        <f t="shared" si="85"/>
        <v/>
      </c>
      <c r="N382" s="100">
        <f t="shared" si="86"/>
        <v>0</v>
      </c>
      <c r="O382" s="101">
        <f t="shared" si="87"/>
        <v>0</v>
      </c>
      <c r="P382" s="52">
        <f t="shared" si="88"/>
        <v>0</v>
      </c>
      <c r="Q382" s="49">
        <v>116.88487613461319</v>
      </c>
      <c r="R382">
        <v>2225</v>
      </c>
      <c r="S382" s="50">
        <f t="shared" si="84"/>
        <v>71535.307499999995</v>
      </c>
      <c r="T382" s="50">
        <f t="shared" si="89"/>
        <v>0</v>
      </c>
      <c r="U382" s="58">
        <f t="shared" si="90"/>
        <v>0</v>
      </c>
      <c r="V382" s="58">
        <f t="shared" si="91"/>
        <v>0</v>
      </c>
      <c r="W382" s="58">
        <f t="shared" si="92"/>
        <v>0</v>
      </c>
      <c r="X382" s="58">
        <f t="shared" si="93"/>
        <v>0</v>
      </c>
      <c r="Y382" s="52">
        <f t="shared" si="94"/>
        <v>0</v>
      </c>
    </row>
    <row r="383" spans="1:25" x14ac:dyDescent="0.25">
      <c r="A383" s="1218" t="s">
        <v>205</v>
      </c>
      <c r="B383" s="98">
        <v>45352</v>
      </c>
      <c r="C383" s="117" t="str">
        <f t="shared" si="81"/>
        <v>8L</v>
      </c>
      <c r="D383" s="96"/>
      <c r="I383" s="99">
        <f t="shared" si="82"/>
        <v>0</v>
      </c>
      <c r="L383" s="99">
        <f t="shared" si="83"/>
        <v>0</v>
      </c>
      <c r="M383" s="44" t="str">
        <f t="shared" si="85"/>
        <v/>
      </c>
      <c r="N383" s="100">
        <f t="shared" si="86"/>
        <v>0</v>
      </c>
      <c r="O383" s="101">
        <f t="shared" si="87"/>
        <v>0</v>
      </c>
      <c r="P383" s="52">
        <f t="shared" si="88"/>
        <v>0</v>
      </c>
      <c r="Q383" s="49">
        <v>116.88487613461319</v>
      </c>
      <c r="R383">
        <v>2225</v>
      </c>
      <c r="S383" s="50">
        <f t="shared" si="84"/>
        <v>71535.307499999995</v>
      </c>
      <c r="T383" s="50">
        <f t="shared" si="89"/>
        <v>0</v>
      </c>
      <c r="U383" s="58">
        <f t="shared" si="90"/>
        <v>0</v>
      </c>
      <c r="V383" s="58">
        <f t="shared" si="91"/>
        <v>0</v>
      </c>
      <c r="W383" s="58">
        <f t="shared" si="92"/>
        <v>0</v>
      </c>
      <c r="X383" s="58">
        <f t="shared" si="93"/>
        <v>0</v>
      </c>
      <c r="Y383" s="52">
        <f t="shared" si="94"/>
        <v>0</v>
      </c>
    </row>
    <row r="384" spans="1:25" x14ac:dyDescent="0.25">
      <c r="A384" s="1218" t="s">
        <v>206</v>
      </c>
      <c r="B384" s="98">
        <v>45352</v>
      </c>
      <c r="C384" s="117" t="str">
        <f t="shared" si="81"/>
        <v>8L</v>
      </c>
      <c r="D384" s="96"/>
      <c r="I384" s="99">
        <f t="shared" si="82"/>
        <v>0</v>
      </c>
      <c r="L384" s="99">
        <f t="shared" si="83"/>
        <v>0</v>
      </c>
      <c r="M384" s="44" t="str">
        <f t="shared" si="85"/>
        <v/>
      </c>
      <c r="N384" s="100">
        <f t="shared" si="86"/>
        <v>0</v>
      </c>
      <c r="O384" s="101">
        <f t="shared" si="87"/>
        <v>0</v>
      </c>
      <c r="P384" s="52">
        <f t="shared" si="88"/>
        <v>0</v>
      </c>
      <c r="Q384" s="49">
        <v>116.88487613461319</v>
      </c>
      <c r="R384">
        <v>2225</v>
      </c>
      <c r="S384" s="50">
        <f t="shared" si="84"/>
        <v>71535.307499999995</v>
      </c>
      <c r="T384" s="50">
        <f t="shared" si="89"/>
        <v>0</v>
      </c>
      <c r="U384" s="58">
        <f t="shared" si="90"/>
        <v>0</v>
      </c>
      <c r="V384" s="58">
        <f t="shared" si="91"/>
        <v>0</v>
      </c>
      <c r="W384" s="58">
        <f t="shared" si="92"/>
        <v>0</v>
      </c>
      <c r="X384" s="58">
        <f t="shared" si="93"/>
        <v>0</v>
      </c>
      <c r="Y384" s="52">
        <f t="shared" si="94"/>
        <v>0</v>
      </c>
    </row>
    <row r="385" spans="1:25" ht="15.75" thickBot="1" x14ac:dyDescent="0.3">
      <c r="A385" s="1219" t="s">
        <v>207</v>
      </c>
      <c r="B385" s="98">
        <v>45352</v>
      </c>
      <c r="C385" s="117" t="str">
        <f t="shared" si="81"/>
        <v>8L</v>
      </c>
      <c r="D385" s="96"/>
      <c r="I385" s="99">
        <f t="shared" si="82"/>
        <v>0</v>
      </c>
      <c r="L385" s="99">
        <f t="shared" si="83"/>
        <v>0</v>
      </c>
      <c r="M385" s="44" t="str">
        <f t="shared" si="85"/>
        <v/>
      </c>
      <c r="N385" s="100">
        <f t="shared" si="86"/>
        <v>0</v>
      </c>
      <c r="O385" s="101">
        <f t="shared" si="87"/>
        <v>0</v>
      </c>
      <c r="P385" s="52">
        <f t="shared" si="88"/>
        <v>0</v>
      </c>
      <c r="Q385" s="49">
        <v>116.88487613461319</v>
      </c>
      <c r="R385">
        <v>2225</v>
      </c>
      <c r="S385" s="50">
        <f t="shared" si="84"/>
        <v>71535.307499999995</v>
      </c>
      <c r="T385" s="50">
        <f t="shared" si="89"/>
        <v>0</v>
      </c>
      <c r="U385" s="58">
        <f t="shared" si="90"/>
        <v>0</v>
      </c>
      <c r="V385" s="58">
        <f t="shared" si="91"/>
        <v>0</v>
      </c>
      <c r="W385" s="58">
        <f t="shared" si="92"/>
        <v>0</v>
      </c>
      <c r="X385" s="58">
        <f t="shared" si="93"/>
        <v>0</v>
      </c>
      <c r="Y385" s="52">
        <f t="shared" si="94"/>
        <v>0</v>
      </c>
    </row>
    <row r="386" spans="1:25" x14ac:dyDescent="0.25">
      <c r="A386" s="97" t="s">
        <v>80</v>
      </c>
      <c r="B386" s="98">
        <v>45383</v>
      </c>
      <c r="C386" s="117" t="str">
        <f t="shared" si="81"/>
        <v>1L</v>
      </c>
      <c r="D386" s="96"/>
      <c r="E386" s="96"/>
      <c r="F386" s="96"/>
      <c r="G386" s="96"/>
      <c r="H386" s="96"/>
      <c r="I386" s="99">
        <f t="shared" si="82"/>
        <v>0</v>
      </c>
      <c r="J386" s="96"/>
      <c r="K386" s="96"/>
      <c r="L386" s="99">
        <f t="shared" si="83"/>
        <v>0</v>
      </c>
      <c r="M386" s="44" t="str">
        <f t="shared" si="85"/>
        <v/>
      </c>
      <c r="N386" s="100">
        <f t="shared" si="86"/>
        <v>0</v>
      </c>
      <c r="O386" s="101">
        <f t="shared" si="87"/>
        <v>0</v>
      </c>
      <c r="P386" s="52">
        <f t="shared" si="88"/>
        <v>0</v>
      </c>
      <c r="Q386" s="49">
        <v>116.88487613461319</v>
      </c>
      <c r="R386">
        <v>2225</v>
      </c>
      <c r="S386" s="50">
        <f t="shared" si="84"/>
        <v>71535.307499999995</v>
      </c>
      <c r="T386" s="50">
        <f t="shared" si="89"/>
        <v>0</v>
      </c>
      <c r="U386" s="58">
        <f t="shared" si="90"/>
        <v>0</v>
      </c>
      <c r="V386" s="58">
        <f t="shared" si="91"/>
        <v>0</v>
      </c>
      <c r="W386" s="58">
        <f t="shared" si="92"/>
        <v>0</v>
      </c>
      <c r="X386" s="58">
        <f t="shared" si="93"/>
        <v>0</v>
      </c>
      <c r="Y386" s="52">
        <f t="shared" si="94"/>
        <v>0</v>
      </c>
    </row>
    <row r="387" spans="1:25" x14ac:dyDescent="0.25">
      <c r="A387" s="1218" t="s">
        <v>81</v>
      </c>
      <c r="B387" s="98">
        <v>45383</v>
      </c>
      <c r="C387" s="117" t="str">
        <f t="shared" si="81"/>
        <v>1L</v>
      </c>
      <c r="D387" s="96"/>
      <c r="E387" s="96"/>
      <c r="F387" s="96"/>
      <c r="G387" s="96"/>
      <c r="H387" s="96"/>
      <c r="I387" s="99">
        <f t="shared" si="82"/>
        <v>0</v>
      </c>
      <c r="J387" s="96"/>
      <c r="K387" s="96"/>
      <c r="L387" s="99">
        <f t="shared" si="83"/>
        <v>0</v>
      </c>
      <c r="M387" s="44" t="str">
        <f t="shared" si="85"/>
        <v/>
      </c>
      <c r="N387" s="100">
        <f t="shared" si="86"/>
        <v>0</v>
      </c>
      <c r="O387" s="101">
        <f t="shared" si="87"/>
        <v>0</v>
      </c>
      <c r="P387" s="52">
        <f t="shared" si="88"/>
        <v>0</v>
      </c>
      <c r="Q387" s="49">
        <v>116.88487613461319</v>
      </c>
      <c r="R387">
        <v>2225</v>
      </c>
      <c r="S387" s="50">
        <f t="shared" si="84"/>
        <v>71535.307499999995</v>
      </c>
      <c r="T387" s="50">
        <f t="shared" si="89"/>
        <v>0</v>
      </c>
      <c r="U387" s="58">
        <f t="shared" si="90"/>
        <v>0</v>
      </c>
      <c r="V387" s="58">
        <f t="shared" si="91"/>
        <v>0</v>
      </c>
      <c r="W387" s="58">
        <f t="shared" si="92"/>
        <v>0</v>
      </c>
      <c r="X387" s="58">
        <f t="shared" si="93"/>
        <v>0</v>
      </c>
      <c r="Y387" s="52">
        <f t="shared" si="94"/>
        <v>0</v>
      </c>
    </row>
    <row r="388" spans="1:25" x14ac:dyDescent="0.25">
      <c r="A388" s="1218" t="s">
        <v>82</v>
      </c>
      <c r="B388" s="98">
        <v>45383</v>
      </c>
      <c r="C388" s="117" t="str">
        <f t="shared" si="81"/>
        <v>1L</v>
      </c>
      <c r="D388" s="96"/>
      <c r="E388" s="96"/>
      <c r="F388" s="96"/>
      <c r="G388" s="96"/>
      <c r="H388" s="96"/>
      <c r="I388" s="99">
        <f t="shared" si="82"/>
        <v>0</v>
      </c>
      <c r="J388" s="96"/>
      <c r="K388" s="96"/>
      <c r="L388" s="99">
        <f t="shared" si="83"/>
        <v>0</v>
      </c>
      <c r="M388" s="44" t="str">
        <f t="shared" si="85"/>
        <v/>
      </c>
      <c r="N388" s="100">
        <f t="shared" si="86"/>
        <v>0</v>
      </c>
      <c r="O388" s="101">
        <f t="shared" si="87"/>
        <v>0</v>
      </c>
      <c r="P388" s="52">
        <f t="shared" si="88"/>
        <v>0</v>
      </c>
      <c r="Q388" s="49">
        <v>116.88487613461319</v>
      </c>
      <c r="R388">
        <v>2225</v>
      </c>
      <c r="S388" s="50">
        <f t="shared" si="84"/>
        <v>71535.307499999995</v>
      </c>
      <c r="T388" s="50">
        <f t="shared" si="89"/>
        <v>0</v>
      </c>
      <c r="U388" s="58">
        <f t="shared" si="90"/>
        <v>0</v>
      </c>
      <c r="V388" s="58">
        <f t="shared" si="91"/>
        <v>0</v>
      </c>
      <c r="W388" s="58">
        <f t="shared" si="92"/>
        <v>0</v>
      </c>
      <c r="X388" s="58">
        <f t="shared" si="93"/>
        <v>0</v>
      </c>
      <c r="Y388" s="52">
        <f t="shared" si="94"/>
        <v>0</v>
      </c>
    </row>
    <row r="389" spans="1:25" x14ac:dyDescent="0.25">
      <c r="A389" s="1218" t="s">
        <v>83</v>
      </c>
      <c r="B389" s="98">
        <v>45383</v>
      </c>
      <c r="C389" s="117" t="str">
        <f t="shared" si="81"/>
        <v>1L</v>
      </c>
      <c r="D389" s="96"/>
      <c r="E389" s="96"/>
      <c r="F389" s="96"/>
      <c r="G389" s="96"/>
      <c r="H389" s="96"/>
      <c r="I389" s="99">
        <f t="shared" si="82"/>
        <v>0</v>
      </c>
      <c r="J389" s="96"/>
      <c r="K389" s="96"/>
      <c r="L389" s="99">
        <f t="shared" si="83"/>
        <v>0</v>
      </c>
      <c r="M389" s="44" t="str">
        <f t="shared" si="85"/>
        <v/>
      </c>
      <c r="N389" s="100">
        <f t="shared" si="86"/>
        <v>0</v>
      </c>
      <c r="O389" s="101">
        <f t="shared" si="87"/>
        <v>0</v>
      </c>
      <c r="P389" s="52">
        <f t="shared" si="88"/>
        <v>0</v>
      </c>
      <c r="Q389" s="49">
        <v>116.88487613461319</v>
      </c>
      <c r="R389">
        <v>2225</v>
      </c>
      <c r="S389" s="50">
        <f t="shared" si="84"/>
        <v>71535.307499999995</v>
      </c>
      <c r="T389" s="50">
        <f t="shared" si="89"/>
        <v>0</v>
      </c>
      <c r="U389" s="58">
        <f t="shared" si="90"/>
        <v>0</v>
      </c>
      <c r="V389" s="58">
        <f t="shared" si="91"/>
        <v>0</v>
      </c>
      <c r="W389" s="58">
        <f t="shared" si="92"/>
        <v>0</v>
      </c>
      <c r="X389" s="58">
        <f t="shared" si="93"/>
        <v>0</v>
      </c>
      <c r="Y389" s="52">
        <f t="shared" si="94"/>
        <v>0</v>
      </c>
    </row>
    <row r="390" spans="1:25" x14ac:dyDescent="0.25">
      <c r="A390" s="1218" t="s">
        <v>84</v>
      </c>
      <c r="B390" s="98">
        <v>45383</v>
      </c>
      <c r="C390" s="117" t="str">
        <f t="shared" ref="C390:C454" si="95">LEFT(A390,2)</f>
        <v>2L</v>
      </c>
      <c r="D390" s="96"/>
      <c r="E390" s="98"/>
      <c r="F390" s="98"/>
      <c r="I390" s="99">
        <f t="shared" si="82"/>
        <v>0</v>
      </c>
      <c r="J390" s="41">
        <v>1783</v>
      </c>
      <c r="K390" s="47">
        <v>0.9</v>
      </c>
      <c r="L390" s="99">
        <f t="shared" si="83"/>
        <v>1.6047</v>
      </c>
      <c r="M390" s="44" t="str">
        <f t="shared" si="85"/>
        <v/>
      </c>
      <c r="N390" s="100">
        <f t="shared" si="86"/>
        <v>1783</v>
      </c>
      <c r="O390" s="101">
        <f t="shared" si="87"/>
        <v>1.6047</v>
      </c>
      <c r="P390" s="52">
        <f t="shared" si="88"/>
        <v>-93613.026202765337</v>
      </c>
      <c r="Q390" s="49">
        <v>116.88487613461319</v>
      </c>
      <c r="R390">
        <v>2225</v>
      </c>
      <c r="S390" s="50">
        <f t="shared" si="84"/>
        <v>71535.307499999995</v>
      </c>
      <c r="T390" s="50">
        <f t="shared" si="89"/>
        <v>0</v>
      </c>
      <c r="U390" s="58">
        <f t="shared" si="90"/>
        <v>114792.70794524999</v>
      </c>
      <c r="V390" s="58">
        <f t="shared" si="91"/>
        <v>0</v>
      </c>
      <c r="W390" s="58">
        <f t="shared" si="92"/>
        <v>208405.73414801533</v>
      </c>
      <c r="X390" s="58">
        <f t="shared" si="93"/>
        <v>0</v>
      </c>
      <c r="Y390" s="52">
        <f t="shared" si="94"/>
        <v>-93613.026202765337</v>
      </c>
    </row>
    <row r="391" spans="1:25" x14ac:dyDescent="0.25">
      <c r="A391" s="1218" t="s">
        <v>85</v>
      </c>
      <c r="B391" s="98">
        <v>45383</v>
      </c>
      <c r="C391" s="117" t="str">
        <f t="shared" si="95"/>
        <v>2L</v>
      </c>
      <c r="D391" s="96"/>
      <c r="E391" s="98"/>
      <c r="F391" s="98"/>
      <c r="I391" s="99">
        <f t="shared" si="82"/>
        <v>0</v>
      </c>
      <c r="L391" s="99">
        <f t="shared" si="83"/>
        <v>0</v>
      </c>
      <c r="M391" s="44" t="str">
        <f t="shared" si="85"/>
        <v/>
      </c>
      <c r="N391" s="100">
        <f t="shared" si="86"/>
        <v>0</v>
      </c>
      <c r="O391" s="101">
        <f t="shared" si="87"/>
        <v>0</v>
      </c>
      <c r="P391" s="52">
        <f t="shared" si="88"/>
        <v>0</v>
      </c>
      <c r="Q391" s="49">
        <v>116.88487613461319</v>
      </c>
      <c r="R391">
        <v>2225</v>
      </c>
      <c r="S391" s="50">
        <f t="shared" si="84"/>
        <v>71535.307499999995</v>
      </c>
      <c r="T391" s="50">
        <f t="shared" si="89"/>
        <v>0</v>
      </c>
      <c r="U391" s="58">
        <f t="shared" si="90"/>
        <v>0</v>
      </c>
      <c r="V391" s="58">
        <f t="shared" si="91"/>
        <v>0</v>
      </c>
      <c r="W391" s="58">
        <f t="shared" si="92"/>
        <v>0</v>
      </c>
      <c r="X391" s="58">
        <f t="shared" si="93"/>
        <v>0</v>
      </c>
      <c r="Y391" s="52">
        <f t="shared" si="94"/>
        <v>0</v>
      </c>
    </row>
    <row r="392" spans="1:25" x14ac:dyDescent="0.25">
      <c r="A392" s="1218" t="s">
        <v>86</v>
      </c>
      <c r="B392" s="98">
        <v>45383</v>
      </c>
      <c r="C392" s="117" t="str">
        <f t="shared" si="95"/>
        <v>2L</v>
      </c>
      <c r="D392" s="96"/>
      <c r="E392" s="98"/>
      <c r="F392" s="98"/>
      <c r="G392" s="40">
        <v>1960</v>
      </c>
      <c r="H392" s="46">
        <v>1.5200000000000009</v>
      </c>
      <c r="I392" s="99">
        <f t="shared" si="82"/>
        <v>2.9792000000000018</v>
      </c>
      <c r="J392" s="41">
        <v>2025</v>
      </c>
      <c r="K392" s="47">
        <v>1.83</v>
      </c>
      <c r="L392" s="99">
        <f t="shared" si="83"/>
        <v>3.7057500000000001</v>
      </c>
      <c r="M392" s="44">
        <f t="shared" si="85"/>
        <v>0.2438741944146072</v>
      </c>
      <c r="N392" s="100">
        <f t="shared" si="86"/>
        <v>65</v>
      </c>
      <c r="O392" s="101">
        <f t="shared" si="87"/>
        <v>0.72654999999999825</v>
      </c>
      <c r="P392" s="52">
        <f t="shared" si="88"/>
        <v>28400.091595533246</v>
      </c>
      <c r="Q392" s="49">
        <v>116.88487613461319</v>
      </c>
      <c r="R392">
        <v>2225</v>
      </c>
      <c r="S392" s="50">
        <f t="shared" si="84"/>
        <v>71535.307499999995</v>
      </c>
      <c r="T392" s="50">
        <f t="shared" si="89"/>
        <v>213117.98810400011</v>
      </c>
      <c r="U392" s="58">
        <f t="shared" si="90"/>
        <v>265091.96576812497</v>
      </c>
      <c r="V392" s="58">
        <f t="shared" si="91"/>
        <v>229094.35722384186</v>
      </c>
      <c r="W392" s="58">
        <f t="shared" si="92"/>
        <v>236691.87417259172</v>
      </c>
      <c r="X392" s="58">
        <f t="shared" si="93"/>
        <v>-15976.369119841751</v>
      </c>
      <c r="Y392" s="52">
        <f t="shared" si="94"/>
        <v>28400.091595533246</v>
      </c>
    </row>
    <row r="393" spans="1:25" x14ac:dyDescent="0.25">
      <c r="A393" s="1218" t="s">
        <v>87</v>
      </c>
      <c r="B393" s="98">
        <v>45383</v>
      </c>
      <c r="C393" s="117" t="str">
        <f t="shared" si="95"/>
        <v>3L</v>
      </c>
      <c r="D393" s="96"/>
      <c r="E393" s="98"/>
      <c r="F393" s="98"/>
      <c r="I393" s="99">
        <f t="shared" si="82"/>
        <v>0</v>
      </c>
      <c r="L393" s="99">
        <f t="shared" si="83"/>
        <v>0</v>
      </c>
      <c r="M393" s="44" t="str">
        <f t="shared" si="85"/>
        <v/>
      </c>
      <c r="N393" s="100">
        <f t="shared" si="86"/>
        <v>0</v>
      </c>
      <c r="O393" s="101">
        <f t="shared" si="87"/>
        <v>0</v>
      </c>
      <c r="P393" s="52">
        <f t="shared" si="88"/>
        <v>0</v>
      </c>
      <c r="Q393" s="49">
        <v>116.88487613461319</v>
      </c>
      <c r="R393">
        <v>2225</v>
      </c>
      <c r="S393" s="50">
        <f t="shared" si="84"/>
        <v>71535.307499999995</v>
      </c>
      <c r="T393" s="50">
        <f t="shared" si="89"/>
        <v>0</v>
      </c>
      <c r="U393" s="58">
        <f t="shared" si="90"/>
        <v>0</v>
      </c>
      <c r="V393" s="58">
        <f t="shared" si="91"/>
        <v>0</v>
      </c>
      <c r="W393" s="58">
        <f t="shared" si="92"/>
        <v>0</v>
      </c>
      <c r="X393" s="58">
        <f t="shared" si="93"/>
        <v>0</v>
      </c>
      <c r="Y393" s="52">
        <f t="shared" si="94"/>
        <v>0</v>
      </c>
    </row>
    <row r="394" spans="1:25" x14ac:dyDescent="0.25">
      <c r="A394" s="1218" t="s">
        <v>88</v>
      </c>
      <c r="B394" s="98">
        <v>45383</v>
      </c>
      <c r="C394" s="117" t="str">
        <f t="shared" si="95"/>
        <v>3L</v>
      </c>
      <c r="D394" s="96"/>
      <c r="E394" s="98"/>
      <c r="F394" s="98"/>
      <c r="I394" s="99">
        <f t="shared" si="82"/>
        <v>0</v>
      </c>
      <c r="L394" s="99">
        <f t="shared" si="83"/>
        <v>0</v>
      </c>
      <c r="M394" s="44" t="str">
        <f t="shared" si="85"/>
        <v/>
      </c>
      <c r="N394" s="100">
        <f t="shared" si="86"/>
        <v>0</v>
      </c>
      <c r="O394" s="101">
        <f t="shared" si="87"/>
        <v>0</v>
      </c>
      <c r="P394" s="52">
        <f t="shared" si="88"/>
        <v>0</v>
      </c>
      <c r="Q394" s="49">
        <v>116.88487613461319</v>
      </c>
      <c r="R394">
        <v>2225</v>
      </c>
      <c r="S394" s="50">
        <f t="shared" si="84"/>
        <v>71535.307499999995</v>
      </c>
      <c r="T394" s="50">
        <f t="shared" si="89"/>
        <v>0</v>
      </c>
      <c r="U394" s="58">
        <f t="shared" si="90"/>
        <v>0</v>
      </c>
      <c r="V394" s="58">
        <f t="shared" si="91"/>
        <v>0</v>
      </c>
      <c r="W394" s="58">
        <f t="shared" si="92"/>
        <v>0</v>
      </c>
      <c r="X394" s="58">
        <f t="shared" si="93"/>
        <v>0</v>
      </c>
      <c r="Y394" s="52">
        <f t="shared" si="94"/>
        <v>0</v>
      </c>
    </row>
    <row r="395" spans="1:25" x14ac:dyDescent="0.25">
      <c r="A395" s="1218" t="s">
        <v>89</v>
      </c>
      <c r="B395" s="98">
        <v>45383</v>
      </c>
      <c r="C395" s="117" t="str">
        <f t="shared" si="95"/>
        <v>3L</v>
      </c>
      <c r="D395" s="96"/>
      <c r="E395" s="98"/>
      <c r="F395" s="98"/>
      <c r="I395" s="99">
        <f t="shared" si="82"/>
        <v>0</v>
      </c>
      <c r="L395" s="99">
        <f t="shared" si="83"/>
        <v>0</v>
      </c>
      <c r="M395" s="44" t="str">
        <f t="shared" si="85"/>
        <v/>
      </c>
      <c r="N395" s="100">
        <f t="shared" si="86"/>
        <v>0</v>
      </c>
      <c r="O395" s="101">
        <f t="shared" si="87"/>
        <v>0</v>
      </c>
      <c r="P395" s="52">
        <f t="shared" si="88"/>
        <v>0</v>
      </c>
      <c r="Q395" s="49">
        <v>116.88487613461319</v>
      </c>
      <c r="R395">
        <v>2225</v>
      </c>
      <c r="S395" s="50">
        <f t="shared" si="84"/>
        <v>71535.307499999995</v>
      </c>
      <c r="T395" s="50">
        <f t="shared" si="89"/>
        <v>0</v>
      </c>
      <c r="U395" s="58">
        <f t="shared" si="90"/>
        <v>0</v>
      </c>
      <c r="V395" s="58">
        <f t="shared" si="91"/>
        <v>0</v>
      </c>
      <c r="W395" s="58">
        <f t="shared" si="92"/>
        <v>0</v>
      </c>
      <c r="X395" s="58">
        <f t="shared" si="93"/>
        <v>0</v>
      </c>
      <c r="Y395" s="52">
        <f t="shared" si="94"/>
        <v>0</v>
      </c>
    </row>
    <row r="396" spans="1:25" x14ac:dyDescent="0.25">
      <c r="A396" s="1218" t="s">
        <v>90</v>
      </c>
      <c r="B396" s="98">
        <v>45383</v>
      </c>
      <c r="C396" s="117" t="str">
        <f t="shared" si="95"/>
        <v>3L</v>
      </c>
      <c r="D396" s="96"/>
      <c r="E396" s="98"/>
      <c r="F396" s="98"/>
      <c r="I396" s="99">
        <f t="shared" si="82"/>
        <v>0</v>
      </c>
      <c r="L396" s="99">
        <f t="shared" si="83"/>
        <v>0</v>
      </c>
      <c r="M396" s="44" t="str">
        <f t="shared" si="85"/>
        <v/>
      </c>
      <c r="N396" s="100">
        <f t="shared" si="86"/>
        <v>0</v>
      </c>
      <c r="O396" s="101">
        <f t="shared" si="87"/>
        <v>0</v>
      </c>
      <c r="P396" s="52">
        <f t="shared" si="88"/>
        <v>0</v>
      </c>
      <c r="Q396" s="49">
        <v>116.88487613461319</v>
      </c>
      <c r="R396">
        <v>2225</v>
      </c>
      <c r="S396" s="50">
        <f t="shared" si="84"/>
        <v>71535.307499999995</v>
      </c>
      <c r="T396" s="50">
        <f t="shared" si="89"/>
        <v>0</v>
      </c>
      <c r="U396" s="58">
        <f t="shared" si="90"/>
        <v>0</v>
      </c>
      <c r="V396" s="58">
        <f t="shared" si="91"/>
        <v>0</v>
      </c>
      <c r="W396" s="58">
        <f t="shared" si="92"/>
        <v>0</v>
      </c>
      <c r="X396" s="58">
        <f t="shared" si="93"/>
        <v>0</v>
      </c>
      <c r="Y396" s="52">
        <f t="shared" si="94"/>
        <v>0</v>
      </c>
    </row>
    <row r="397" spans="1:25" x14ac:dyDescent="0.25">
      <c r="A397" s="1218" t="s">
        <v>91</v>
      </c>
      <c r="B397" s="98">
        <v>45383</v>
      </c>
      <c r="C397" s="117" t="str">
        <f t="shared" si="95"/>
        <v>3L</v>
      </c>
      <c r="D397" s="96"/>
      <c r="E397" s="98"/>
      <c r="F397" s="98"/>
      <c r="I397" s="99">
        <f t="shared" si="82"/>
        <v>0</v>
      </c>
      <c r="L397" s="99">
        <f t="shared" si="83"/>
        <v>0</v>
      </c>
      <c r="M397" s="44" t="str">
        <f t="shared" si="85"/>
        <v/>
      </c>
      <c r="N397" s="100">
        <f t="shared" si="86"/>
        <v>0</v>
      </c>
      <c r="O397" s="101">
        <f t="shared" si="87"/>
        <v>0</v>
      </c>
      <c r="P397" s="52">
        <f t="shared" si="88"/>
        <v>0</v>
      </c>
      <c r="Q397" s="49">
        <v>116.88487613461319</v>
      </c>
      <c r="R397">
        <v>2225</v>
      </c>
      <c r="S397" s="50">
        <f t="shared" si="84"/>
        <v>71535.307499999995</v>
      </c>
      <c r="T397" s="50">
        <f t="shared" si="89"/>
        <v>0</v>
      </c>
      <c r="U397" s="58">
        <f t="shared" si="90"/>
        <v>0</v>
      </c>
      <c r="V397" s="58">
        <f t="shared" si="91"/>
        <v>0</v>
      </c>
      <c r="W397" s="58">
        <f t="shared" si="92"/>
        <v>0</v>
      </c>
      <c r="X397" s="58">
        <f t="shared" si="93"/>
        <v>0</v>
      </c>
      <c r="Y397" s="52">
        <f t="shared" si="94"/>
        <v>0</v>
      </c>
    </row>
    <row r="398" spans="1:25" x14ac:dyDescent="0.25">
      <c r="A398" s="1218" t="s">
        <v>92</v>
      </c>
      <c r="B398" s="98">
        <v>45383</v>
      </c>
      <c r="C398" s="117" t="str">
        <f t="shared" si="95"/>
        <v>3L</v>
      </c>
      <c r="D398" s="96"/>
      <c r="E398" s="98"/>
      <c r="F398" s="98"/>
      <c r="G398" s="41"/>
      <c r="H398" s="47"/>
      <c r="I398" s="99">
        <f t="shared" si="82"/>
        <v>0</v>
      </c>
      <c r="J398" s="41"/>
      <c r="K398" s="47"/>
      <c r="L398" s="99">
        <f t="shared" si="83"/>
        <v>0</v>
      </c>
      <c r="M398" s="44" t="str">
        <f t="shared" si="85"/>
        <v/>
      </c>
      <c r="N398" s="100">
        <f t="shared" si="86"/>
        <v>0</v>
      </c>
      <c r="O398" s="101">
        <f t="shared" si="87"/>
        <v>0</v>
      </c>
      <c r="P398" s="52">
        <f t="shared" si="88"/>
        <v>0</v>
      </c>
      <c r="Q398" s="49">
        <v>116.88487613461319</v>
      </c>
      <c r="R398">
        <v>2225</v>
      </c>
      <c r="S398" s="50">
        <f t="shared" si="84"/>
        <v>71535.307499999995</v>
      </c>
      <c r="T398" s="50">
        <f t="shared" si="89"/>
        <v>0</v>
      </c>
      <c r="U398" s="58">
        <f t="shared" si="90"/>
        <v>0</v>
      </c>
      <c r="V398" s="58">
        <f t="shared" si="91"/>
        <v>0</v>
      </c>
      <c r="W398" s="58">
        <f t="shared" si="92"/>
        <v>0</v>
      </c>
      <c r="X398" s="58">
        <f t="shared" si="93"/>
        <v>0</v>
      </c>
      <c r="Y398" s="52">
        <f t="shared" si="94"/>
        <v>0</v>
      </c>
    </row>
    <row r="399" spans="1:25" x14ac:dyDescent="0.25">
      <c r="A399" s="1218" t="s">
        <v>93</v>
      </c>
      <c r="B399" s="98">
        <v>45383</v>
      </c>
      <c r="C399" s="117" t="str">
        <f t="shared" si="95"/>
        <v>3L</v>
      </c>
      <c r="D399" s="96"/>
      <c r="E399" s="98"/>
      <c r="F399" s="98"/>
      <c r="G399" s="41"/>
      <c r="H399" s="47"/>
      <c r="I399" s="99">
        <f t="shared" si="82"/>
        <v>0</v>
      </c>
      <c r="J399" s="41"/>
      <c r="K399" s="47"/>
      <c r="L399" s="99">
        <f t="shared" si="83"/>
        <v>0</v>
      </c>
      <c r="M399" s="44" t="str">
        <f t="shared" si="85"/>
        <v/>
      </c>
      <c r="N399" s="100">
        <f t="shared" si="86"/>
        <v>0</v>
      </c>
      <c r="O399" s="101">
        <f t="shared" si="87"/>
        <v>0</v>
      </c>
      <c r="P399" s="52">
        <f t="shared" si="88"/>
        <v>0</v>
      </c>
      <c r="Q399" s="49">
        <v>116.88487613461319</v>
      </c>
      <c r="R399">
        <v>2225</v>
      </c>
      <c r="S399" s="50">
        <f t="shared" si="84"/>
        <v>71535.307499999995</v>
      </c>
      <c r="T399" s="50">
        <f t="shared" si="89"/>
        <v>0</v>
      </c>
      <c r="U399" s="58">
        <f t="shared" si="90"/>
        <v>0</v>
      </c>
      <c r="V399" s="58">
        <f t="shared" si="91"/>
        <v>0</v>
      </c>
      <c r="W399" s="58">
        <f t="shared" si="92"/>
        <v>0</v>
      </c>
      <c r="X399" s="58">
        <f t="shared" si="93"/>
        <v>0</v>
      </c>
      <c r="Y399" s="52">
        <f t="shared" si="94"/>
        <v>0</v>
      </c>
    </row>
    <row r="400" spans="1:25" x14ac:dyDescent="0.25">
      <c r="A400" s="1218" t="s">
        <v>94</v>
      </c>
      <c r="B400" s="98">
        <v>45383</v>
      </c>
      <c r="C400" s="117" t="str">
        <f t="shared" si="95"/>
        <v>3L</v>
      </c>
      <c r="D400" s="96"/>
      <c r="E400" s="98"/>
      <c r="F400" s="98"/>
      <c r="G400" s="41"/>
      <c r="H400" s="47"/>
      <c r="I400" s="99">
        <f t="shared" si="82"/>
        <v>0</v>
      </c>
      <c r="J400" s="41"/>
      <c r="K400" s="47"/>
      <c r="L400" s="99">
        <f t="shared" si="83"/>
        <v>0</v>
      </c>
      <c r="M400" s="44" t="str">
        <f t="shared" si="85"/>
        <v/>
      </c>
      <c r="N400" s="100">
        <f t="shared" si="86"/>
        <v>0</v>
      </c>
      <c r="O400" s="101">
        <f t="shared" si="87"/>
        <v>0</v>
      </c>
      <c r="P400" s="52">
        <f t="shared" si="88"/>
        <v>0</v>
      </c>
      <c r="Q400" s="49">
        <v>116.88487613461319</v>
      </c>
      <c r="R400">
        <v>2225</v>
      </c>
      <c r="S400" s="50">
        <f t="shared" si="84"/>
        <v>71535.307499999995</v>
      </c>
      <c r="T400" s="50">
        <f t="shared" si="89"/>
        <v>0</v>
      </c>
      <c r="U400" s="58">
        <f t="shared" si="90"/>
        <v>0</v>
      </c>
      <c r="V400" s="58">
        <f t="shared" si="91"/>
        <v>0</v>
      </c>
      <c r="W400" s="58">
        <f t="shared" si="92"/>
        <v>0</v>
      </c>
      <c r="X400" s="58">
        <f t="shared" si="93"/>
        <v>0</v>
      </c>
      <c r="Y400" s="52">
        <f t="shared" si="94"/>
        <v>0</v>
      </c>
    </row>
    <row r="401" spans="1:25" x14ac:dyDescent="0.25">
      <c r="A401" s="1218" t="s">
        <v>95</v>
      </c>
      <c r="B401" s="98">
        <v>45383</v>
      </c>
      <c r="C401" s="117" t="str">
        <f t="shared" si="95"/>
        <v>3L</v>
      </c>
      <c r="D401" s="96"/>
      <c r="E401" s="98"/>
      <c r="F401" s="98"/>
      <c r="G401" s="41"/>
      <c r="H401" s="47"/>
      <c r="I401" s="99">
        <f t="shared" ref="I401:I469" si="96">IFERROR(G401*H401/1000,"")</f>
        <v>0</v>
      </c>
      <c r="J401" s="41"/>
      <c r="K401" s="47"/>
      <c r="L401" s="99">
        <f t="shared" ref="L401:L469" si="97">IFERROR(J401*K401/1000,"")</f>
        <v>0</v>
      </c>
      <c r="M401" s="44" t="str">
        <f t="shared" si="85"/>
        <v/>
      </c>
      <c r="N401" s="100">
        <f t="shared" si="86"/>
        <v>0</v>
      </c>
      <c r="O401" s="101">
        <f t="shared" si="87"/>
        <v>0</v>
      </c>
      <c r="P401" s="52">
        <f t="shared" si="88"/>
        <v>0</v>
      </c>
      <c r="Q401" s="49">
        <v>116.88487613461319</v>
      </c>
      <c r="R401">
        <v>2225</v>
      </c>
      <c r="S401" s="50">
        <f t="shared" ref="S401:S469" si="98">R401*32.1507</f>
        <v>71535.307499999995</v>
      </c>
      <c r="T401" s="50">
        <f t="shared" si="89"/>
        <v>0</v>
      </c>
      <c r="U401" s="58">
        <f t="shared" si="90"/>
        <v>0</v>
      </c>
      <c r="V401" s="58">
        <f t="shared" si="91"/>
        <v>0</v>
      </c>
      <c r="W401" s="58">
        <f t="shared" si="92"/>
        <v>0</v>
      </c>
      <c r="X401" s="58">
        <f t="shared" si="93"/>
        <v>0</v>
      </c>
      <c r="Y401" s="52">
        <f t="shared" si="94"/>
        <v>0</v>
      </c>
    </row>
    <row r="402" spans="1:25" x14ac:dyDescent="0.25">
      <c r="A402" s="1218" t="s">
        <v>96</v>
      </c>
      <c r="B402" s="98">
        <v>45383</v>
      </c>
      <c r="C402" s="117" t="str">
        <f t="shared" si="95"/>
        <v>3L</v>
      </c>
      <c r="D402" s="96"/>
      <c r="E402" s="98"/>
      <c r="F402" s="98"/>
      <c r="G402" s="41"/>
      <c r="H402" s="47"/>
      <c r="I402" s="99">
        <f t="shared" si="96"/>
        <v>0</v>
      </c>
      <c r="J402" s="41"/>
      <c r="K402" s="47"/>
      <c r="L402" s="99">
        <f t="shared" si="97"/>
        <v>0</v>
      </c>
      <c r="M402" s="44" t="str">
        <f t="shared" si="85"/>
        <v/>
      </c>
      <c r="N402" s="100">
        <f t="shared" si="86"/>
        <v>0</v>
      </c>
      <c r="O402" s="101">
        <f t="shared" si="87"/>
        <v>0</v>
      </c>
      <c r="P402" s="52">
        <f t="shared" si="88"/>
        <v>0</v>
      </c>
      <c r="Q402" s="49">
        <v>116.88487613461319</v>
      </c>
      <c r="R402">
        <v>2225</v>
      </c>
      <c r="S402" s="50">
        <f t="shared" si="98"/>
        <v>71535.307499999995</v>
      </c>
      <c r="T402" s="50">
        <f t="shared" si="89"/>
        <v>0</v>
      </c>
      <c r="U402" s="58">
        <f t="shared" si="90"/>
        <v>0</v>
      </c>
      <c r="V402" s="58">
        <f t="shared" si="91"/>
        <v>0</v>
      </c>
      <c r="W402" s="58">
        <f t="shared" si="92"/>
        <v>0</v>
      </c>
      <c r="X402" s="58">
        <f t="shared" si="93"/>
        <v>0</v>
      </c>
      <c r="Y402" s="52">
        <f t="shared" si="94"/>
        <v>0</v>
      </c>
    </row>
    <row r="403" spans="1:25" x14ac:dyDescent="0.25">
      <c r="A403" s="1218" t="s">
        <v>97</v>
      </c>
      <c r="B403" s="98">
        <v>45383</v>
      </c>
      <c r="C403" s="117" t="str">
        <f t="shared" si="95"/>
        <v>4L</v>
      </c>
      <c r="D403" s="96"/>
      <c r="E403" s="98"/>
      <c r="F403" s="98"/>
      <c r="I403" s="99">
        <f t="shared" si="96"/>
        <v>0</v>
      </c>
      <c r="L403" s="99">
        <f t="shared" si="97"/>
        <v>0</v>
      </c>
      <c r="M403" s="44" t="str">
        <f t="shared" ref="M403:M471" si="99">IFERROR((L403-I403)/I403,"")</f>
        <v/>
      </c>
      <c r="N403" s="100">
        <f t="shared" ref="N403:N471" si="100">J403-G403</f>
        <v>0</v>
      </c>
      <c r="O403" s="101">
        <f t="shared" ref="O403:O471" si="101">L403-I403</f>
        <v>0</v>
      </c>
      <c r="P403" s="52">
        <f t="shared" ref="P403:P471" si="102">U403-W403</f>
        <v>0</v>
      </c>
      <c r="Q403" s="49">
        <v>116.88487613461319</v>
      </c>
      <c r="R403">
        <v>2225</v>
      </c>
      <c r="S403" s="50">
        <f t="shared" si="98"/>
        <v>71535.307499999995</v>
      </c>
      <c r="T403" s="50">
        <f t="shared" ref="T403:T471" si="103">IFERROR(S403*I403,"")</f>
        <v>0</v>
      </c>
      <c r="U403" s="58">
        <f t="shared" ref="U403:U471" si="104">IFERROR(S403*L403,"")</f>
        <v>0</v>
      </c>
      <c r="V403" s="58">
        <f t="shared" ref="V403:V471" si="105">IFERROR(Q403*G403,"")</f>
        <v>0</v>
      </c>
      <c r="W403" s="58">
        <f t="shared" ref="W403:W471" si="106">IFERROR(Q403*J403,"")</f>
        <v>0</v>
      </c>
      <c r="X403" s="58">
        <f t="shared" ref="X403:X471" si="107">T403-V403</f>
        <v>0</v>
      </c>
      <c r="Y403" s="52">
        <f t="shared" ref="Y403:Y471" si="108">U403-W403</f>
        <v>0</v>
      </c>
    </row>
    <row r="404" spans="1:25" x14ac:dyDescent="0.25">
      <c r="A404" s="1218" t="s">
        <v>98</v>
      </c>
      <c r="B404" s="98">
        <v>45383</v>
      </c>
      <c r="C404" s="117" t="str">
        <f t="shared" si="95"/>
        <v>4L</v>
      </c>
      <c r="D404" s="96"/>
      <c r="E404" s="98"/>
      <c r="F404" s="98"/>
      <c r="I404" s="99">
        <f t="shared" si="96"/>
        <v>0</v>
      </c>
      <c r="L404" s="99">
        <f t="shared" si="97"/>
        <v>0</v>
      </c>
      <c r="M404" s="44" t="str">
        <f t="shared" si="99"/>
        <v/>
      </c>
      <c r="N404" s="100">
        <f t="shared" si="100"/>
        <v>0</v>
      </c>
      <c r="O404" s="101">
        <f t="shared" si="101"/>
        <v>0</v>
      </c>
      <c r="P404" s="52">
        <f t="shared" si="102"/>
        <v>0</v>
      </c>
      <c r="Q404" s="49">
        <v>116.88487613461319</v>
      </c>
      <c r="R404">
        <v>2225</v>
      </c>
      <c r="S404" s="50">
        <f t="shared" si="98"/>
        <v>71535.307499999995</v>
      </c>
      <c r="T404" s="50">
        <f t="shared" si="103"/>
        <v>0</v>
      </c>
      <c r="U404" s="58">
        <f t="shared" si="104"/>
        <v>0</v>
      </c>
      <c r="V404" s="58">
        <f t="shared" si="105"/>
        <v>0</v>
      </c>
      <c r="W404" s="58">
        <f t="shared" si="106"/>
        <v>0</v>
      </c>
      <c r="X404" s="58">
        <f t="shared" si="107"/>
        <v>0</v>
      </c>
      <c r="Y404" s="52">
        <f t="shared" si="108"/>
        <v>0</v>
      </c>
    </row>
    <row r="405" spans="1:25" x14ac:dyDescent="0.25">
      <c r="A405" s="1218" t="s">
        <v>99</v>
      </c>
      <c r="B405" s="98">
        <v>45383</v>
      </c>
      <c r="C405" s="117" t="str">
        <f t="shared" si="95"/>
        <v>4L</v>
      </c>
      <c r="D405" s="96"/>
      <c r="E405" s="98"/>
      <c r="F405" s="98"/>
      <c r="I405" s="99">
        <f t="shared" si="96"/>
        <v>0</v>
      </c>
      <c r="L405" s="99">
        <f t="shared" si="97"/>
        <v>0</v>
      </c>
      <c r="M405" s="44" t="str">
        <f t="shared" si="99"/>
        <v/>
      </c>
      <c r="N405" s="100">
        <f t="shared" si="100"/>
        <v>0</v>
      </c>
      <c r="O405" s="101">
        <f t="shared" si="101"/>
        <v>0</v>
      </c>
      <c r="P405" s="52">
        <f t="shared" si="102"/>
        <v>0</v>
      </c>
      <c r="Q405" s="49">
        <v>116.88487613461319</v>
      </c>
      <c r="R405">
        <v>2225</v>
      </c>
      <c r="S405" s="50">
        <f t="shared" si="98"/>
        <v>71535.307499999995</v>
      </c>
      <c r="T405" s="50">
        <f t="shared" si="103"/>
        <v>0</v>
      </c>
      <c r="U405" s="58">
        <f t="shared" si="104"/>
        <v>0</v>
      </c>
      <c r="V405" s="58">
        <f t="shared" si="105"/>
        <v>0</v>
      </c>
      <c r="W405" s="58">
        <f t="shared" si="106"/>
        <v>0</v>
      </c>
      <c r="X405" s="58">
        <f t="shared" si="107"/>
        <v>0</v>
      </c>
      <c r="Y405" s="52">
        <f t="shared" si="108"/>
        <v>0</v>
      </c>
    </row>
    <row r="406" spans="1:25" x14ac:dyDescent="0.25">
      <c r="A406" s="1218" t="s">
        <v>100</v>
      </c>
      <c r="B406" s="98">
        <v>45383</v>
      </c>
      <c r="C406" s="117" t="str">
        <f t="shared" si="95"/>
        <v>4L</v>
      </c>
      <c r="D406" s="96"/>
      <c r="E406" s="98"/>
      <c r="F406" s="98"/>
      <c r="I406" s="99">
        <f t="shared" si="96"/>
        <v>0</v>
      </c>
      <c r="L406" s="99">
        <f t="shared" si="97"/>
        <v>0</v>
      </c>
      <c r="M406" s="44" t="str">
        <f t="shared" si="99"/>
        <v/>
      </c>
      <c r="N406" s="100">
        <f t="shared" si="100"/>
        <v>0</v>
      </c>
      <c r="O406" s="101">
        <f t="shared" si="101"/>
        <v>0</v>
      </c>
      <c r="P406" s="52">
        <f t="shared" si="102"/>
        <v>0</v>
      </c>
      <c r="Q406" s="49">
        <v>116.88487613461319</v>
      </c>
      <c r="R406">
        <v>2225</v>
      </c>
      <c r="S406" s="50">
        <f t="shared" si="98"/>
        <v>71535.307499999995</v>
      </c>
      <c r="T406" s="50">
        <f t="shared" si="103"/>
        <v>0</v>
      </c>
      <c r="U406" s="58">
        <f t="shared" si="104"/>
        <v>0</v>
      </c>
      <c r="V406" s="58">
        <f t="shared" si="105"/>
        <v>0</v>
      </c>
      <c r="W406" s="58">
        <f t="shared" si="106"/>
        <v>0</v>
      </c>
      <c r="X406" s="58">
        <f t="shared" si="107"/>
        <v>0</v>
      </c>
      <c r="Y406" s="52">
        <f t="shared" si="108"/>
        <v>0</v>
      </c>
    </row>
    <row r="407" spans="1:25" x14ac:dyDescent="0.25">
      <c r="A407" s="1218" t="s">
        <v>101</v>
      </c>
      <c r="B407" s="98">
        <v>45383</v>
      </c>
      <c r="C407" s="117" t="str">
        <f t="shared" si="95"/>
        <v>4L</v>
      </c>
      <c r="D407" s="96"/>
      <c r="E407" s="98"/>
      <c r="F407" s="98"/>
      <c r="I407" s="99">
        <f t="shared" si="96"/>
        <v>0</v>
      </c>
      <c r="L407" s="99">
        <f t="shared" si="97"/>
        <v>0</v>
      </c>
      <c r="M407" s="44" t="str">
        <f t="shared" si="99"/>
        <v/>
      </c>
      <c r="N407" s="100">
        <f t="shared" si="100"/>
        <v>0</v>
      </c>
      <c r="O407" s="101">
        <f t="shared" si="101"/>
        <v>0</v>
      </c>
      <c r="P407" s="52">
        <f t="shared" si="102"/>
        <v>0</v>
      </c>
      <c r="Q407" s="49">
        <v>116.88487613461319</v>
      </c>
      <c r="R407">
        <v>2225</v>
      </c>
      <c r="S407" s="50">
        <f t="shared" si="98"/>
        <v>71535.307499999995</v>
      </c>
      <c r="T407" s="50">
        <f t="shared" si="103"/>
        <v>0</v>
      </c>
      <c r="U407" s="58">
        <f t="shared" si="104"/>
        <v>0</v>
      </c>
      <c r="V407" s="58">
        <f t="shared" si="105"/>
        <v>0</v>
      </c>
      <c r="W407" s="58">
        <f t="shared" si="106"/>
        <v>0</v>
      </c>
      <c r="X407" s="58">
        <f t="shared" si="107"/>
        <v>0</v>
      </c>
      <c r="Y407" s="52">
        <f t="shared" si="108"/>
        <v>0</v>
      </c>
    </row>
    <row r="408" spans="1:25" x14ac:dyDescent="0.25">
      <c r="A408" s="1218" t="s">
        <v>102</v>
      </c>
      <c r="B408" s="98">
        <v>45383</v>
      </c>
      <c r="C408" s="117" t="str">
        <f t="shared" si="95"/>
        <v>4L</v>
      </c>
      <c r="D408" s="96"/>
      <c r="E408" s="98"/>
      <c r="F408" s="98"/>
      <c r="I408" s="99">
        <f t="shared" si="96"/>
        <v>0</v>
      </c>
      <c r="L408" s="99">
        <f t="shared" si="97"/>
        <v>0</v>
      </c>
      <c r="M408" s="44" t="str">
        <f t="shared" si="99"/>
        <v/>
      </c>
      <c r="N408" s="100">
        <f t="shared" si="100"/>
        <v>0</v>
      </c>
      <c r="O408" s="101">
        <f t="shared" si="101"/>
        <v>0</v>
      </c>
      <c r="P408" s="52">
        <f t="shared" si="102"/>
        <v>0</v>
      </c>
      <c r="Q408" s="49">
        <v>116.88487613461319</v>
      </c>
      <c r="R408">
        <v>2225</v>
      </c>
      <c r="S408" s="50">
        <f t="shared" si="98"/>
        <v>71535.307499999995</v>
      </c>
      <c r="T408" s="50">
        <f t="shared" si="103"/>
        <v>0</v>
      </c>
      <c r="U408" s="58">
        <f t="shared" si="104"/>
        <v>0</v>
      </c>
      <c r="V408" s="58">
        <f t="shared" si="105"/>
        <v>0</v>
      </c>
      <c r="W408" s="58">
        <f t="shared" si="106"/>
        <v>0</v>
      </c>
      <c r="X408" s="58">
        <f t="shared" si="107"/>
        <v>0</v>
      </c>
      <c r="Y408" s="52">
        <f t="shared" si="108"/>
        <v>0</v>
      </c>
    </row>
    <row r="409" spans="1:25" x14ac:dyDescent="0.25">
      <c r="A409" s="1218" t="s">
        <v>103</v>
      </c>
      <c r="B409" s="98">
        <v>45383</v>
      </c>
      <c r="C409" s="117" t="str">
        <f t="shared" si="95"/>
        <v>4L</v>
      </c>
      <c r="D409" s="96"/>
      <c r="E409" s="98"/>
      <c r="F409" s="98"/>
      <c r="I409" s="99">
        <f t="shared" si="96"/>
        <v>0</v>
      </c>
      <c r="L409" s="99">
        <f t="shared" si="97"/>
        <v>0</v>
      </c>
      <c r="M409" s="44" t="str">
        <f t="shared" si="99"/>
        <v/>
      </c>
      <c r="N409" s="100">
        <f t="shared" si="100"/>
        <v>0</v>
      </c>
      <c r="O409" s="101">
        <f t="shared" si="101"/>
        <v>0</v>
      </c>
      <c r="P409" s="52">
        <f t="shared" si="102"/>
        <v>0</v>
      </c>
      <c r="Q409" s="49">
        <v>116.88487613461319</v>
      </c>
      <c r="R409">
        <v>2225</v>
      </c>
      <c r="S409" s="50">
        <f t="shared" si="98"/>
        <v>71535.307499999995</v>
      </c>
      <c r="T409" s="50">
        <f t="shared" si="103"/>
        <v>0</v>
      </c>
      <c r="U409" s="58">
        <f t="shared" si="104"/>
        <v>0</v>
      </c>
      <c r="V409" s="58">
        <f t="shared" si="105"/>
        <v>0</v>
      </c>
      <c r="W409" s="58">
        <f t="shared" si="106"/>
        <v>0</v>
      </c>
      <c r="X409" s="58">
        <f t="shared" si="107"/>
        <v>0</v>
      </c>
      <c r="Y409" s="52">
        <f t="shared" si="108"/>
        <v>0</v>
      </c>
    </row>
    <row r="410" spans="1:25" x14ac:dyDescent="0.25">
      <c r="A410" s="1218" t="s">
        <v>104</v>
      </c>
      <c r="B410" s="98">
        <v>45383</v>
      </c>
      <c r="C410" s="117" t="str">
        <f t="shared" si="95"/>
        <v>4L</v>
      </c>
      <c r="D410" s="96"/>
      <c r="E410" s="98"/>
      <c r="F410" s="98"/>
      <c r="I410" s="99">
        <f t="shared" si="96"/>
        <v>0</v>
      </c>
      <c r="L410" s="99">
        <f t="shared" si="97"/>
        <v>0</v>
      </c>
      <c r="M410" s="44" t="str">
        <f t="shared" si="99"/>
        <v/>
      </c>
      <c r="N410" s="100">
        <f t="shared" si="100"/>
        <v>0</v>
      </c>
      <c r="O410" s="101">
        <f t="shared" si="101"/>
        <v>0</v>
      </c>
      <c r="P410" s="52">
        <f t="shared" si="102"/>
        <v>0</v>
      </c>
      <c r="Q410" s="49">
        <v>116.88487613461319</v>
      </c>
      <c r="R410">
        <v>2225</v>
      </c>
      <c r="S410" s="50">
        <f t="shared" si="98"/>
        <v>71535.307499999995</v>
      </c>
      <c r="T410" s="50">
        <f t="shared" si="103"/>
        <v>0</v>
      </c>
      <c r="U410" s="58">
        <f t="shared" si="104"/>
        <v>0</v>
      </c>
      <c r="V410" s="58">
        <f t="shared" si="105"/>
        <v>0</v>
      </c>
      <c r="W410" s="58">
        <f t="shared" si="106"/>
        <v>0</v>
      </c>
      <c r="X410" s="58">
        <f t="shared" si="107"/>
        <v>0</v>
      </c>
      <c r="Y410" s="52">
        <f t="shared" si="108"/>
        <v>0</v>
      </c>
    </row>
    <row r="411" spans="1:25" x14ac:dyDescent="0.25">
      <c r="A411" s="1218" t="s">
        <v>105</v>
      </c>
      <c r="B411" s="98">
        <v>45383</v>
      </c>
      <c r="C411" s="117" t="str">
        <f t="shared" si="95"/>
        <v>4L</v>
      </c>
      <c r="D411" s="96"/>
      <c r="E411" s="98"/>
      <c r="F411" s="98"/>
      <c r="I411" s="99">
        <f t="shared" si="96"/>
        <v>0</v>
      </c>
      <c r="L411" s="99">
        <f t="shared" si="97"/>
        <v>0</v>
      </c>
      <c r="M411" s="44" t="str">
        <f t="shared" si="99"/>
        <v/>
      </c>
      <c r="N411" s="100">
        <f t="shared" si="100"/>
        <v>0</v>
      </c>
      <c r="O411" s="101">
        <f t="shared" si="101"/>
        <v>0</v>
      </c>
      <c r="P411" s="52">
        <f t="shared" si="102"/>
        <v>0</v>
      </c>
      <c r="Q411" s="49">
        <v>116.88487613461319</v>
      </c>
      <c r="R411">
        <v>2225</v>
      </c>
      <c r="S411" s="50">
        <f t="shared" si="98"/>
        <v>71535.307499999995</v>
      </c>
      <c r="T411" s="50">
        <f t="shared" si="103"/>
        <v>0</v>
      </c>
      <c r="U411" s="58">
        <f t="shared" si="104"/>
        <v>0</v>
      </c>
      <c r="V411" s="58">
        <f t="shared" si="105"/>
        <v>0</v>
      </c>
      <c r="W411" s="58">
        <f t="shared" si="106"/>
        <v>0</v>
      </c>
      <c r="X411" s="58">
        <f t="shared" si="107"/>
        <v>0</v>
      </c>
      <c r="Y411" s="52">
        <f t="shared" si="108"/>
        <v>0</v>
      </c>
    </row>
    <row r="412" spans="1:25" x14ac:dyDescent="0.25">
      <c r="A412" s="1218" t="s">
        <v>106</v>
      </c>
      <c r="B412" s="98">
        <v>45383</v>
      </c>
      <c r="C412" s="117" t="str">
        <f t="shared" si="95"/>
        <v>4L</v>
      </c>
      <c r="D412" s="96"/>
      <c r="E412" s="98"/>
      <c r="F412" s="98"/>
      <c r="G412" s="53">
        <v>3920</v>
      </c>
      <c r="H412" s="46">
        <v>1.9700000000000009</v>
      </c>
      <c r="I412" s="99">
        <f t="shared" si="96"/>
        <v>7.722400000000003</v>
      </c>
      <c r="J412" s="54">
        <v>3065</v>
      </c>
      <c r="K412" s="47">
        <v>1.58</v>
      </c>
      <c r="L412" s="99">
        <f t="shared" si="97"/>
        <v>4.8426999999999998</v>
      </c>
      <c r="M412" s="44">
        <f t="shared" si="99"/>
        <v>-0.37290220656790662</v>
      </c>
      <c r="N412" s="100">
        <f t="shared" si="100"/>
        <v>-855</v>
      </c>
      <c r="O412" s="101">
        <f t="shared" si="101"/>
        <v>-2.8797000000000033</v>
      </c>
      <c r="P412" s="52">
        <f t="shared" si="102"/>
        <v>-11828.111722339469</v>
      </c>
      <c r="Q412" s="49">
        <v>116.88487613461319</v>
      </c>
      <c r="R412">
        <v>2225</v>
      </c>
      <c r="S412" s="50">
        <f t="shared" si="98"/>
        <v>71535.307499999995</v>
      </c>
      <c r="T412" s="50">
        <f t="shared" si="103"/>
        <v>552424.25863800023</v>
      </c>
      <c r="U412" s="58">
        <f t="shared" si="104"/>
        <v>346424.03363024996</v>
      </c>
      <c r="V412" s="58">
        <f t="shared" si="105"/>
        <v>458188.71444768371</v>
      </c>
      <c r="W412" s="58">
        <f t="shared" si="106"/>
        <v>358252.14535258943</v>
      </c>
      <c r="X412" s="58">
        <f t="shared" si="107"/>
        <v>94235.544190316519</v>
      </c>
      <c r="Y412" s="52">
        <f t="shared" si="108"/>
        <v>-11828.111722339469</v>
      </c>
    </row>
    <row r="413" spans="1:25" x14ac:dyDescent="0.25">
      <c r="A413" s="1218" t="s">
        <v>107</v>
      </c>
      <c r="B413" s="98">
        <v>45383</v>
      </c>
      <c r="C413" s="117" t="str">
        <f t="shared" si="95"/>
        <v>4L</v>
      </c>
      <c r="D413" s="96"/>
      <c r="E413" s="98"/>
      <c r="F413" s="98"/>
      <c r="I413" s="99">
        <f t="shared" si="96"/>
        <v>0</v>
      </c>
      <c r="L413" s="99">
        <f t="shared" si="97"/>
        <v>0</v>
      </c>
      <c r="M413" s="44" t="str">
        <f t="shared" si="99"/>
        <v/>
      </c>
      <c r="N413" s="100">
        <f t="shared" si="100"/>
        <v>0</v>
      </c>
      <c r="O413" s="101">
        <f t="shared" si="101"/>
        <v>0</v>
      </c>
      <c r="P413" s="52">
        <f t="shared" si="102"/>
        <v>0</v>
      </c>
      <c r="Q413" s="49">
        <v>116.88487613461319</v>
      </c>
      <c r="R413">
        <v>2225</v>
      </c>
      <c r="S413" s="50">
        <f t="shared" si="98"/>
        <v>71535.307499999995</v>
      </c>
      <c r="T413" s="50">
        <f t="shared" si="103"/>
        <v>0</v>
      </c>
      <c r="U413" s="58">
        <f t="shared" si="104"/>
        <v>0</v>
      </c>
      <c r="V413" s="58">
        <f t="shared" si="105"/>
        <v>0</v>
      </c>
      <c r="W413" s="58">
        <f t="shared" si="106"/>
        <v>0</v>
      </c>
      <c r="X413" s="58">
        <f t="shared" si="107"/>
        <v>0</v>
      </c>
      <c r="Y413" s="52">
        <f t="shared" si="108"/>
        <v>0</v>
      </c>
    </row>
    <row r="414" spans="1:25" x14ac:dyDescent="0.25">
      <c r="A414" s="1218" t="s">
        <v>108</v>
      </c>
      <c r="B414" s="98">
        <v>45383</v>
      </c>
      <c r="C414" s="117" t="str">
        <f t="shared" si="95"/>
        <v>4L</v>
      </c>
      <c r="D414" s="96"/>
      <c r="E414" s="98"/>
      <c r="F414" s="98"/>
      <c r="I414" s="99">
        <f t="shared" si="96"/>
        <v>0</v>
      </c>
      <c r="L414" s="99">
        <f t="shared" si="97"/>
        <v>0</v>
      </c>
      <c r="M414" s="44" t="str">
        <f t="shared" si="99"/>
        <v/>
      </c>
      <c r="N414" s="100">
        <f t="shared" si="100"/>
        <v>0</v>
      </c>
      <c r="O414" s="101">
        <f t="shared" si="101"/>
        <v>0</v>
      </c>
      <c r="P414" s="52">
        <f t="shared" si="102"/>
        <v>0</v>
      </c>
      <c r="Q414" s="49">
        <v>116.88487613461319</v>
      </c>
      <c r="R414">
        <v>2225</v>
      </c>
      <c r="S414" s="50">
        <f t="shared" si="98"/>
        <v>71535.307499999995</v>
      </c>
      <c r="T414" s="50">
        <f t="shared" si="103"/>
        <v>0</v>
      </c>
      <c r="U414" s="58">
        <f t="shared" si="104"/>
        <v>0</v>
      </c>
      <c r="V414" s="58">
        <f t="shared" si="105"/>
        <v>0</v>
      </c>
      <c r="W414" s="58">
        <f t="shared" si="106"/>
        <v>0</v>
      </c>
      <c r="X414" s="58">
        <f t="shared" si="107"/>
        <v>0</v>
      </c>
      <c r="Y414" s="52">
        <f t="shared" si="108"/>
        <v>0</v>
      </c>
    </row>
    <row r="415" spans="1:25" x14ac:dyDescent="0.25">
      <c r="A415" s="1218" t="s">
        <v>109</v>
      </c>
      <c r="B415" s="98">
        <v>45383</v>
      </c>
      <c r="C415" s="117" t="str">
        <f t="shared" si="95"/>
        <v>4L</v>
      </c>
      <c r="D415" s="96"/>
      <c r="E415" s="98"/>
      <c r="F415" s="98"/>
      <c r="G415" s="53">
        <v>1960</v>
      </c>
      <c r="H415" s="46">
        <v>2.1799999999999997</v>
      </c>
      <c r="I415" s="99">
        <f t="shared" si="96"/>
        <v>4.2727999999999993</v>
      </c>
      <c r="L415" s="99">
        <f t="shared" si="97"/>
        <v>0</v>
      </c>
      <c r="M415" s="44">
        <f t="shared" si="99"/>
        <v>-1</v>
      </c>
      <c r="N415" s="100">
        <f t="shared" si="100"/>
        <v>-1960</v>
      </c>
      <c r="O415" s="101">
        <f t="shared" si="101"/>
        <v>-4.2727999999999993</v>
      </c>
      <c r="P415" s="52">
        <f t="shared" si="102"/>
        <v>0</v>
      </c>
      <c r="Q415" s="49">
        <v>116.88487613461319</v>
      </c>
      <c r="R415">
        <v>2225</v>
      </c>
      <c r="S415" s="50">
        <f t="shared" si="98"/>
        <v>71535.307499999995</v>
      </c>
      <c r="T415" s="50">
        <f t="shared" si="103"/>
        <v>305656.06188599992</v>
      </c>
      <c r="U415" s="58">
        <f t="shared" si="104"/>
        <v>0</v>
      </c>
      <c r="V415" s="58">
        <f t="shared" si="105"/>
        <v>229094.35722384186</v>
      </c>
      <c r="W415" s="58">
        <f t="shared" si="106"/>
        <v>0</v>
      </c>
      <c r="X415" s="58">
        <f t="shared" si="107"/>
        <v>76561.704662158067</v>
      </c>
      <c r="Y415" s="52">
        <f t="shared" si="108"/>
        <v>0</v>
      </c>
    </row>
    <row r="416" spans="1:25" x14ac:dyDescent="0.25">
      <c r="A416" s="1218" t="s">
        <v>110</v>
      </c>
      <c r="B416" s="98">
        <v>45383</v>
      </c>
      <c r="C416" s="117" t="str">
        <f t="shared" si="95"/>
        <v>4L</v>
      </c>
      <c r="D416" s="96"/>
      <c r="E416" s="98"/>
      <c r="F416" s="98"/>
      <c r="G416" s="40">
        <v>1960</v>
      </c>
      <c r="H416" s="40">
        <v>1.8</v>
      </c>
      <c r="I416" s="99">
        <f t="shared" si="96"/>
        <v>3.528</v>
      </c>
      <c r="J416" s="41">
        <v>4174</v>
      </c>
      <c r="K416" s="41">
        <v>1.44</v>
      </c>
      <c r="L416" s="99">
        <f t="shared" si="97"/>
        <v>6.0105599999999999</v>
      </c>
      <c r="M416" s="44">
        <f t="shared" si="99"/>
        <v>0.7036734693877551</v>
      </c>
      <c r="N416" s="100">
        <f t="shared" si="100"/>
        <v>2214</v>
      </c>
      <c r="O416" s="101">
        <f t="shared" si="101"/>
        <v>2.4825599999999999</v>
      </c>
      <c r="P416" s="52">
        <f t="shared" si="102"/>
        <v>-57910.21513867547</v>
      </c>
      <c r="Q416" s="49">
        <v>116.88487613461319</v>
      </c>
      <c r="R416">
        <v>2225</v>
      </c>
      <c r="S416" s="50">
        <f t="shared" si="98"/>
        <v>71535.307499999995</v>
      </c>
      <c r="T416" s="50">
        <f t="shared" si="103"/>
        <v>252376.56485999998</v>
      </c>
      <c r="U416" s="58">
        <f t="shared" si="104"/>
        <v>429967.25784719997</v>
      </c>
      <c r="V416" s="58">
        <f t="shared" si="105"/>
        <v>229094.35722384186</v>
      </c>
      <c r="W416" s="58">
        <f t="shared" si="106"/>
        <v>487877.47298587544</v>
      </c>
      <c r="X416" s="58">
        <f t="shared" si="107"/>
        <v>23282.207636158128</v>
      </c>
      <c r="Y416" s="52">
        <f t="shared" si="108"/>
        <v>-57910.21513867547</v>
      </c>
    </row>
    <row r="417" spans="1:25" x14ac:dyDescent="0.25">
      <c r="A417" s="1218" t="s">
        <v>111</v>
      </c>
      <c r="B417" s="98">
        <v>45383</v>
      </c>
      <c r="C417" s="117" t="str">
        <f t="shared" si="95"/>
        <v>4L</v>
      </c>
      <c r="D417" s="96"/>
      <c r="E417" s="98"/>
      <c r="F417" s="98"/>
      <c r="G417" s="53">
        <v>1960</v>
      </c>
      <c r="H417" s="46">
        <v>1.8799999999999992</v>
      </c>
      <c r="I417" s="99">
        <f t="shared" si="96"/>
        <v>3.6847999999999983</v>
      </c>
      <c r="J417" s="54">
        <v>141</v>
      </c>
      <c r="K417" s="47">
        <v>1.72</v>
      </c>
      <c r="L417" s="99">
        <f t="shared" si="97"/>
        <v>0.24252000000000001</v>
      </c>
      <c r="M417" s="44">
        <f t="shared" si="99"/>
        <v>-0.9341836734693878</v>
      </c>
      <c r="N417" s="100">
        <f t="shared" si="100"/>
        <v>-1819</v>
      </c>
      <c r="O417" s="101">
        <f t="shared" si="101"/>
        <v>-3.4422799999999985</v>
      </c>
      <c r="P417" s="52">
        <f t="shared" si="102"/>
        <v>867.97523991953858</v>
      </c>
      <c r="Q417" s="49">
        <v>116.88487613461319</v>
      </c>
      <c r="R417">
        <v>2225</v>
      </c>
      <c r="S417" s="50">
        <f t="shared" si="98"/>
        <v>71535.307499999995</v>
      </c>
      <c r="T417" s="50">
        <f t="shared" si="103"/>
        <v>263593.30107599986</v>
      </c>
      <c r="U417" s="58">
        <f t="shared" si="104"/>
        <v>17348.742774899998</v>
      </c>
      <c r="V417" s="58">
        <f t="shared" si="105"/>
        <v>229094.35722384186</v>
      </c>
      <c r="W417" s="58">
        <f t="shared" si="106"/>
        <v>16480.767534980459</v>
      </c>
      <c r="X417" s="58">
        <f t="shared" si="107"/>
        <v>34498.943852158001</v>
      </c>
      <c r="Y417" s="52">
        <f t="shared" si="108"/>
        <v>867.97523991953858</v>
      </c>
    </row>
    <row r="418" spans="1:25" x14ac:dyDescent="0.25">
      <c r="A418" s="1218" t="s">
        <v>112</v>
      </c>
      <c r="B418" s="98">
        <v>45383</v>
      </c>
      <c r="C418" s="117" t="str">
        <f t="shared" si="95"/>
        <v>4L</v>
      </c>
      <c r="D418" s="96"/>
      <c r="E418" s="98"/>
      <c r="F418" s="98"/>
      <c r="G418" s="40">
        <v>1960</v>
      </c>
      <c r="H418" s="40">
        <v>2.3400000000000012</v>
      </c>
      <c r="I418" s="99">
        <f t="shared" si="96"/>
        <v>4.586400000000002</v>
      </c>
      <c r="J418" s="41">
        <v>6902</v>
      </c>
      <c r="K418" s="41">
        <v>1.91</v>
      </c>
      <c r="L418" s="99">
        <f t="shared" si="97"/>
        <v>13.18282</v>
      </c>
      <c r="M418" s="44">
        <f t="shared" si="99"/>
        <v>1.8743284493284482</v>
      </c>
      <c r="N418" s="100">
        <f t="shared" si="100"/>
        <v>4942</v>
      </c>
      <c r="O418" s="101">
        <f t="shared" si="101"/>
        <v>8.5964199999999984</v>
      </c>
      <c r="P418" s="52">
        <f t="shared" si="102"/>
        <v>136297.66733604961</v>
      </c>
      <c r="Q418" s="49">
        <v>116.88487613461319</v>
      </c>
      <c r="R418">
        <v>2225</v>
      </c>
      <c r="S418" s="50">
        <f t="shared" si="98"/>
        <v>71535.307499999995</v>
      </c>
      <c r="T418" s="50">
        <f t="shared" si="103"/>
        <v>328089.53431800014</v>
      </c>
      <c r="U418" s="58">
        <f t="shared" si="104"/>
        <v>943037.08241714991</v>
      </c>
      <c r="V418" s="58">
        <f t="shared" si="105"/>
        <v>229094.35722384186</v>
      </c>
      <c r="W418" s="58">
        <f t="shared" si="106"/>
        <v>806739.41508110031</v>
      </c>
      <c r="X418" s="58">
        <f t="shared" si="107"/>
        <v>98995.17709415828</v>
      </c>
      <c r="Y418" s="52">
        <f t="shared" si="108"/>
        <v>136297.66733604961</v>
      </c>
    </row>
    <row r="419" spans="1:25" x14ac:dyDescent="0.25">
      <c r="A419" s="1218" t="s">
        <v>113</v>
      </c>
      <c r="B419" s="98">
        <v>45383</v>
      </c>
      <c r="C419" s="117" t="str">
        <f t="shared" si="95"/>
        <v>4L</v>
      </c>
      <c r="D419" s="96"/>
      <c r="E419" s="98"/>
      <c r="F419" s="98"/>
      <c r="G419" s="53">
        <v>1960</v>
      </c>
      <c r="H419" s="46">
        <v>2.8800000000000003</v>
      </c>
      <c r="I419" s="99">
        <f t="shared" si="96"/>
        <v>5.6448000000000009</v>
      </c>
      <c r="L419" s="99">
        <f t="shared" si="97"/>
        <v>0</v>
      </c>
      <c r="M419" s="44">
        <f t="shared" si="99"/>
        <v>-1</v>
      </c>
      <c r="N419" s="100">
        <f t="shared" si="100"/>
        <v>-1960</v>
      </c>
      <c r="O419" s="101">
        <f t="shared" si="101"/>
        <v>-5.6448000000000009</v>
      </c>
      <c r="P419" s="52">
        <f t="shared" si="102"/>
        <v>0</v>
      </c>
      <c r="Q419" s="49">
        <v>116.88487613461319</v>
      </c>
      <c r="R419">
        <v>2225</v>
      </c>
      <c r="S419" s="50">
        <f t="shared" si="98"/>
        <v>71535.307499999995</v>
      </c>
      <c r="T419" s="50">
        <f t="shared" si="103"/>
        <v>403802.50377600006</v>
      </c>
      <c r="U419" s="58">
        <f t="shared" si="104"/>
        <v>0</v>
      </c>
      <c r="V419" s="58">
        <f t="shared" si="105"/>
        <v>229094.35722384186</v>
      </c>
      <c r="W419" s="58">
        <f t="shared" si="106"/>
        <v>0</v>
      </c>
      <c r="X419" s="58">
        <f t="shared" si="107"/>
        <v>174708.1465521582</v>
      </c>
      <c r="Y419" s="52">
        <f t="shared" si="108"/>
        <v>0</v>
      </c>
    </row>
    <row r="420" spans="1:25" x14ac:dyDescent="0.25">
      <c r="A420" s="1218" t="s">
        <v>114</v>
      </c>
      <c r="B420" s="98">
        <v>45383</v>
      </c>
      <c r="C420" s="117" t="str">
        <f t="shared" si="95"/>
        <v>4L</v>
      </c>
      <c r="D420" s="96"/>
      <c r="E420" s="98"/>
      <c r="F420" s="98"/>
      <c r="G420" s="40">
        <v>1960</v>
      </c>
      <c r="H420" s="40">
        <v>2.2299999999999995</v>
      </c>
      <c r="I420" s="99">
        <f t="shared" si="96"/>
        <v>4.3707999999999991</v>
      </c>
      <c r="J420" s="41">
        <v>1369</v>
      </c>
      <c r="K420" s="41">
        <v>1.31</v>
      </c>
      <c r="L420" s="99">
        <f t="shared" si="97"/>
        <v>1.79339</v>
      </c>
      <c r="M420" s="44">
        <f t="shared" si="99"/>
        <v>-0.58968838656538836</v>
      </c>
      <c r="N420" s="100">
        <f t="shared" si="100"/>
        <v>-591</v>
      </c>
      <c r="O420" s="101">
        <f t="shared" si="101"/>
        <v>-2.5774099999999991</v>
      </c>
      <c r="P420" s="52">
        <f t="shared" si="102"/>
        <v>-31724.690310860475</v>
      </c>
      <c r="Q420" s="49">
        <v>116.88487613461319</v>
      </c>
      <c r="R420">
        <v>2225</v>
      </c>
      <c r="S420" s="50">
        <f t="shared" si="98"/>
        <v>71535.307499999995</v>
      </c>
      <c r="T420" s="50">
        <f t="shared" si="103"/>
        <v>312666.52202099992</v>
      </c>
      <c r="U420" s="58">
        <f t="shared" si="104"/>
        <v>128290.70511742499</v>
      </c>
      <c r="V420" s="58">
        <f t="shared" si="105"/>
        <v>229094.35722384186</v>
      </c>
      <c r="W420" s="58">
        <f t="shared" si="106"/>
        <v>160015.39542828547</v>
      </c>
      <c r="X420" s="58">
        <f t="shared" si="107"/>
        <v>83572.164797158068</v>
      </c>
      <c r="Y420" s="52">
        <f t="shared" si="108"/>
        <v>-31724.690310860475</v>
      </c>
    </row>
    <row r="421" spans="1:25" x14ac:dyDescent="0.25">
      <c r="A421" s="1218" t="s">
        <v>115</v>
      </c>
      <c r="B421" s="98">
        <v>45383</v>
      </c>
      <c r="C421" s="117" t="str">
        <f t="shared" si="95"/>
        <v>4L</v>
      </c>
      <c r="D421" s="96"/>
      <c r="E421" s="98"/>
      <c r="F421" s="98"/>
      <c r="I421" s="99">
        <f t="shared" si="96"/>
        <v>0</v>
      </c>
      <c r="L421" s="99">
        <f t="shared" si="97"/>
        <v>0</v>
      </c>
      <c r="M421" s="44" t="str">
        <f t="shared" si="99"/>
        <v/>
      </c>
      <c r="N421" s="100">
        <f t="shared" si="100"/>
        <v>0</v>
      </c>
      <c r="O421" s="101">
        <f t="shared" si="101"/>
        <v>0</v>
      </c>
      <c r="P421" s="52">
        <f t="shared" si="102"/>
        <v>0</v>
      </c>
      <c r="Q421" s="49">
        <v>116.88487613461319</v>
      </c>
      <c r="R421">
        <v>2225</v>
      </c>
      <c r="S421" s="50">
        <f t="shared" si="98"/>
        <v>71535.307499999995</v>
      </c>
      <c r="T421" s="50">
        <f t="shared" si="103"/>
        <v>0</v>
      </c>
      <c r="U421" s="58">
        <f t="shared" si="104"/>
        <v>0</v>
      </c>
      <c r="V421" s="58">
        <f t="shared" si="105"/>
        <v>0</v>
      </c>
      <c r="W421" s="58">
        <f t="shared" si="106"/>
        <v>0</v>
      </c>
      <c r="X421" s="58">
        <f t="shared" si="107"/>
        <v>0</v>
      </c>
      <c r="Y421" s="52">
        <f t="shared" si="108"/>
        <v>0</v>
      </c>
    </row>
    <row r="422" spans="1:25" x14ac:dyDescent="0.25">
      <c r="A422" s="1218" t="s">
        <v>116</v>
      </c>
      <c r="B422" s="98">
        <v>45383</v>
      </c>
      <c r="C422" s="117" t="str">
        <f t="shared" si="95"/>
        <v>4L</v>
      </c>
      <c r="D422" s="96"/>
      <c r="E422" s="98"/>
      <c r="F422" s="98"/>
      <c r="I422" s="99">
        <f t="shared" si="96"/>
        <v>0</v>
      </c>
      <c r="L422" s="99">
        <f t="shared" si="97"/>
        <v>0</v>
      </c>
      <c r="M422" s="44" t="str">
        <f t="shared" si="99"/>
        <v/>
      </c>
      <c r="N422" s="100">
        <f t="shared" si="100"/>
        <v>0</v>
      </c>
      <c r="O422" s="101">
        <f t="shared" si="101"/>
        <v>0</v>
      </c>
      <c r="P422" s="52">
        <f t="shared" si="102"/>
        <v>0</v>
      </c>
      <c r="Q422" s="49">
        <v>116.88487613461319</v>
      </c>
      <c r="R422">
        <v>2225</v>
      </c>
      <c r="S422" s="50">
        <f t="shared" si="98"/>
        <v>71535.307499999995</v>
      </c>
      <c r="T422" s="50">
        <f t="shared" si="103"/>
        <v>0</v>
      </c>
      <c r="U422" s="58">
        <f t="shared" si="104"/>
        <v>0</v>
      </c>
      <c r="V422" s="58">
        <f t="shared" si="105"/>
        <v>0</v>
      </c>
      <c r="W422" s="58">
        <f t="shared" si="106"/>
        <v>0</v>
      </c>
      <c r="X422" s="58">
        <f t="shared" si="107"/>
        <v>0</v>
      </c>
      <c r="Y422" s="52">
        <f t="shared" si="108"/>
        <v>0</v>
      </c>
    </row>
    <row r="423" spans="1:25" x14ac:dyDescent="0.25">
      <c r="A423" s="1218" t="s">
        <v>117</v>
      </c>
      <c r="B423" s="98">
        <v>45383</v>
      </c>
      <c r="C423" s="117" t="str">
        <f t="shared" si="95"/>
        <v>4L</v>
      </c>
      <c r="D423" s="96"/>
      <c r="E423" s="98"/>
      <c r="F423" s="98"/>
      <c r="G423" s="40">
        <v>1960</v>
      </c>
      <c r="H423" s="40">
        <v>2.4</v>
      </c>
      <c r="I423" s="99">
        <f t="shared" si="96"/>
        <v>4.7039999999999997</v>
      </c>
      <c r="J423" s="41">
        <v>317</v>
      </c>
      <c r="K423" s="41">
        <v>4.09</v>
      </c>
      <c r="L423" s="99">
        <f t="shared" si="97"/>
        <v>1.29653</v>
      </c>
      <c r="M423" s="44">
        <f t="shared" si="99"/>
        <v>-0.7243771258503402</v>
      </c>
      <c r="N423" s="100">
        <f t="shared" si="100"/>
        <v>-1643</v>
      </c>
      <c r="O423" s="101">
        <f t="shared" si="101"/>
        <v>-3.40747</v>
      </c>
      <c r="P423" s="52">
        <f t="shared" si="102"/>
        <v>55695.166498302606</v>
      </c>
      <c r="Q423" s="49">
        <v>116.88487613461319</v>
      </c>
      <c r="R423">
        <v>2225</v>
      </c>
      <c r="S423" s="50">
        <f t="shared" si="98"/>
        <v>71535.307499999995</v>
      </c>
      <c r="T423" s="50">
        <f t="shared" si="103"/>
        <v>336502.08647999994</v>
      </c>
      <c r="U423" s="58">
        <f t="shared" si="104"/>
        <v>92747.67223297499</v>
      </c>
      <c r="V423" s="58">
        <f t="shared" si="105"/>
        <v>229094.35722384186</v>
      </c>
      <c r="W423" s="58">
        <f t="shared" si="106"/>
        <v>37052.505734672384</v>
      </c>
      <c r="X423" s="58">
        <f t="shared" si="107"/>
        <v>107407.72925615808</v>
      </c>
      <c r="Y423" s="52">
        <f t="shared" si="108"/>
        <v>55695.166498302606</v>
      </c>
    </row>
    <row r="424" spans="1:25" x14ac:dyDescent="0.25">
      <c r="A424" s="1218" t="s">
        <v>118</v>
      </c>
      <c r="B424" s="98">
        <v>45383</v>
      </c>
      <c r="C424" s="117" t="str">
        <f t="shared" si="95"/>
        <v>4L</v>
      </c>
      <c r="D424" s="96"/>
      <c r="E424" s="98"/>
      <c r="F424" s="98"/>
      <c r="G424" s="40">
        <v>1960</v>
      </c>
      <c r="H424" s="40">
        <v>2.95</v>
      </c>
      <c r="I424" s="99">
        <f t="shared" si="96"/>
        <v>5.782</v>
      </c>
      <c r="J424" s="41">
        <v>3510</v>
      </c>
      <c r="K424" s="41">
        <v>2.9</v>
      </c>
      <c r="L424" s="99">
        <f t="shared" si="97"/>
        <v>10.179</v>
      </c>
      <c r="M424" s="44">
        <f t="shared" si="99"/>
        <v>0.76046350743687308</v>
      </c>
      <c r="N424" s="100">
        <f t="shared" si="100"/>
        <v>1550</v>
      </c>
      <c r="O424" s="101">
        <f t="shared" si="101"/>
        <v>4.3970000000000002</v>
      </c>
      <c r="P424" s="52">
        <f t="shared" si="102"/>
        <v>317891.97981000767</v>
      </c>
      <c r="Q424" s="49">
        <v>116.88487613461319</v>
      </c>
      <c r="R424">
        <v>2225</v>
      </c>
      <c r="S424" s="50">
        <f t="shared" si="98"/>
        <v>71535.307499999995</v>
      </c>
      <c r="T424" s="50">
        <f t="shared" si="103"/>
        <v>413617.14796499995</v>
      </c>
      <c r="U424" s="58">
        <f t="shared" si="104"/>
        <v>728157.89504249999</v>
      </c>
      <c r="V424" s="58">
        <f t="shared" si="105"/>
        <v>229094.35722384186</v>
      </c>
      <c r="W424" s="58">
        <f t="shared" si="106"/>
        <v>410265.91523249232</v>
      </c>
      <c r="X424" s="58">
        <f t="shared" si="107"/>
        <v>184522.7907411581</v>
      </c>
      <c r="Y424" s="52">
        <f t="shared" si="108"/>
        <v>317891.97981000767</v>
      </c>
    </row>
    <row r="425" spans="1:25" x14ac:dyDescent="0.25">
      <c r="A425" s="1218" t="s">
        <v>119</v>
      </c>
      <c r="B425" s="98">
        <v>45383</v>
      </c>
      <c r="C425" s="117" t="str">
        <f t="shared" si="95"/>
        <v>4L</v>
      </c>
      <c r="D425" s="96"/>
      <c r="E425" s="98"/>
      <c r="F425" s="98"/>
      <c r="I425" s="99">
        <f t="shared" si="96"/>
        <v>0</v>
      </c>
      <c r="L425" s="99">
        <f t="shared" si="97"/>
        <v>0</v>
      </c>
      <c r="M425" s="44" t="str">
        <f t="shared" si="99"/>
        <v/>
      </c>
      <c r="N425" s="100">
        <f t="shared" si="100"/>
        <v>0</v>
      </c>
      <c r="O425" s="101">
        <f t="shared" si="101"/>
        <v>0</v>
      </c>
      <c r="P425" s="52">
        <f t="shared" si="102"/>
        <v>0</v>
      </c>
      <c r="Q425" s="49">
        <v>116.88487613461319</v>
      </c>
      <c r="R425">
        <v>2225</v>
      </c>
      <c r="S425" s="50">
        <f t="shared" si="98"/>
        <v>71535.307499999995</v>
      </c>
      <c r="T425" s="50">
        <f t="shared" si="103"/>
        <v>0</v>
      </c>
      <c r="U425" s="58">
        <f t="shared" si="104"/>
        <v>0</v>
      </c>
      <c r="V425" s="58">
        <f t="shared" si="105"/>
        <v>0</v>
      </c>
      <c r="W425" s="58">
        <f t="shared" si="106"/>
        <v>0</v>
      </c>
      <c r="X425" s="58">
        <f t="shared" si="107"/>
        <v>0</v>
      </c>
      <c r="Y425" s="52">
        <f t="shared" si="108"/>
        <v>0</v>
      </c>
    </row>
    <row r="426" spans="1:25" x14ac:dyDescent="0.25">
      <c r="A426" s="1218" t="s">
        <v>120</v>
      </c>
      <c r="B426" s="98">
        <v>45383</v>
      </c>
      <c r="C426" s="117" t="str">
        <f t="shared" si="95"/>
        <v>4L</v>
      </c>
      <c r="D426" s="96"/>
      <c r="E426" s="98"/>
      <c r="F426" s="98"/>
      <c r="I426" s="99">
        <f t="shared" si="96"/>
        <v>0</v>
      </c>
      <c r="L426" s="99">
        <f t="shared" si="97"/>
        <v>0</v>
      </c>
      <c r="M426" s="44" t="str">
        <f t="shared" si="99"/>
        <v/>
      </c>
      <c r="N426" s="100">
        <f t="shared" si="100"/>
        <v>0</v>
      </c>
      <c r="O426" s="101">
        <f t="shared" si="101"/>
        <v>0</v>
      </c>
      <c r="P426" s="52">
        <f t="shared" si="102"/>
        <v>0</v>
      </c>
      <c r="Q426" s="49">
        <v>116.88487613461319</v>
      </c>
      <c r="R426">
        <v>2225</v>
      </c>
      <c r="S426" s="50">
        <f t="shared" si="98"/>
        <v>71535.307499999995</v>
      </c>
      <c r="T426" s="50">
        <f t="shared" si="103"/>
        <v>0</v>
      </c>
      <c r="U426" s="58">
        <f t="shared" si="104"/>
        <v>0</v>
      </c>
      <c r="V426" s="58">
        <f t="shared" si="105"/>
        <v>0</v>
      </c>
      <c r="W426" s="58">
        <f t="shared" si="106"/>
        <v>0</v>
      </c>
      <c r="X426" s="58">
        <f t="shared" si="107"/>
        <v>0</v>
      </c>
      <c r="Y426" s="52">
        <f t="shared" si="108"/>
        <v>0</v>
      </c>
    </row>
    <row r="427" spans="1:25" x14ac:dyDescent="0.25">
      <c r="A427" s="1218" t="s">
        <v>121</v>
      </c>
      <c r="B427" s="98">
        <v>45383</v>
      </c>
      <c r="C427" s="117" t="str">
        <f t="shared" si="95"/>
        <v>4L</v>
      </c>
      <c r="D427" s="96"/>
      <c r="E427" s="98"/>
      <c r="F427" s="98"/>
      <c r="I427" s="99">
        <f t="shared" si="96"/>
        <v>0</v>
      </c>
      <c r="L427" s="99">
        <f t="shared" si="97"/>
        <v>0</v>
      </c>
      <c r="M427" s="44" t="str">
        <f t="shared" si="99"/>
        <v/>
      </c>
      <c r="N427" s="100">
        <f t="shared" si="100"/>
        <v>0</v>
      </c>
      <c r="O427" s="101">
        <f t="shared" si="101"/>
        <v>0</v>
      </c>
      <c r="P427" s="52">
        <f t="shared" si="102"/>
        <v>0</v>
      </c>
      <c r="Q427" s="49">
        <v>116.88487613461319</v>
      </c>
      <c r="R427">
        <v>2225</v>
      </c>
      <c r="S427" s="50">
        <f t="shared" si="98"/>
        <v>71535.307499999995</v>
      </c>
      <c r="T427" s="50">
        <f t="shared" si="103"/>
        <v>0</v>
      </c>
      <c r="U427" s="58">
        <f t="shared" si="104"/>
        <v>0</v>
      </c>
      <c r="V427" s="58">
        <f t="shared" si="105"/>
        <v>0</v>
      </c>
      <c r="W427" s="58">
        <f t="shared" si="106"/>
        <v>0</v>
      </c>
      <c r="X427" s="58">
        <f t="shared" si="107"/>
        <v>0</v>
      </c>
      <c r="Y427" s="52">
        <f t="shared" si="108"/>
        <v>0</v>
      </c>
    </row>
    <row r="428" spans="1:25" x14ac:dyDescent="0.25">
      <c r="A428" s="1218" t="s">
        <v>122</v>
      </c>
      <c r="B428" s="98">
        <v>45383</v>
      </c>
      <c r="C428" s="117" t="str">
        <f t="shared" si="95"/>
        <v>4L</v>
      </c>
      <c r="D428" s="96"/>
      <c r="E428" s="98"/>
      <c r="F428" s="98"/>
      <c r="I428" s="99">
        <f t="shared" si="96"/>
        <v>0</v>
      </c>
      <c r="L428" s="99">
        <f t="shared" si="97"/>
        <v>0</v>
      </c>
      <c r="M428" s="44" t="str">
        <f t="shared" si="99"/>
        <v/>
      </c>
      <c r="N428" s="100">
        <f t="shared" si="100"/>
        <v>0</v>
      </c>
      <c r="O428" s="101">
        <f t="shared" si="101"/>
        <v>0</v>
      </c>
      <c r="P428" s="52">
        <f t="shared" si="102"/>
        <v>0</v>
      </c>
      <c r="Q428" s="49">
        <v>116.88487613461319</v>
      </c>
      <c r="R428">
        <v>2225</v>
      </c>
      <c r="S428" s="50">
        <f t="shared" si="98"/>
        <v>71535.307499999995</v>
      </c>
      <c r="T428" s="50">
        <f t="shared" si="103"/>
        <v>0</v>
      </c>
      <c r="U428" s="58">
        <f t="shared" si="104"/>
        <v>0</v>
      </c>
      <c r="V428" s="58">
        <f t="shared" si="105"/>
        <v>0</v>
      </c>
      <c r="W428" s="58">
        <f t="shared" si="106"/>
        <v>0</v>
      </c>
      <c r="X428" s="58">
        <f t="shared" si="107"/>
        <v>0</v>
      </c>
      <c r="Y428" s="52">
        <f t="shared" si="108"/>
        <v>0</v>
      </c>
    </row>
    <row r="429" spans="1:25" x14ac:dyDescent="0.25">
      <c r="A429" s="1218" t="s">
        <v>123</v>
      </c>
      <c r="B429" s="98">
        <v>45383</v>
      </c>
      <c r="C429" s="117" t="str">
        <f t="shared" si="95"/>
        <v>4L</v>
      </c>
      <c r="D429" s="96"/>
      <c r="E429" s="98"/>
      <c r="F429" s="98"/>
      <c r="I429" s="99">
        <f t="shared" si="96"/>
        <v>0</v>
      </c>
      <c r="L429" s="99">
        <f t="shared" si="97"/>
        <v>0</v>
      </c>
      <c r="M429" s="44" t="str">
        <f t="shared" si="99"/>
        <v/>
      </c>
      <c r="N429" s="100">
        <f t="shared" si="100"/>
        <v>0</v>
      </c>
      <c r="O429" s="101">
        <f t="shared" si="101"/>
        <v>0</v>
      </c>
      <c r="P429" s="52">
        <f t="shared" si="102"/>
        <v>0</v>
      </c>
      <c r="Q429" s="49">
        <v>116.88487613461319</v>
      </c>
      <c r="R429">
        <v>2225</v>
      </c>
      <c r="S429" s="50">
        <f t="shared" si="98"/>
        <v>71535.307499999995</v>
      </c>
      <c r="T429" s="50">
        <f t="shared" si="103"/>
        <v>0</v>
      </c>
      <c r="U429" s="58">
        <f t="shared" si="104"/>
        <v>0</v>
      </c>
      <c r="V429" s="58">
        <f t="shared" si="105"/>
        <v>0</v>
      </c>
      <c r="W429" s="58">
        <f t="shared" si="106"/>
        <v>0</v>
      </c>
      <c r="X429" s="58">
        <f t="shared" si="107"/>
        <v>0</v>
      </c>
      <c r="Y429" s="52">
        <f t="shared" si="108"/>
        <v>0</v>
      </c>
    </row>
    <row r="430" spans="1:25" x14ac:dyDescent="0.25">
      <c r="A430" s="1218" t="s">
        <v>124</v>
      </c>
      <c r="B430" s="98">
        <v>45383</v>
      </c>
      <c r="C430" s="117" t="str">
        <f t="shared" si="95"/>
        <v>4L</v>
      </c>
      <c r="D430" s="96"/>
      <c r="E430" s="98"/>
      <c r="F430" s="98"/>
      <c r="I430" s="99">
        <f t="shared" si="96"/>
        <v>0</v>
      </c>
      <c r="L430" s="99">
        <f t="shared" si="97"/>
        <v>0</v>
      </c>
      <c r="M430" s="44" t="str">
        <f t="shared" si="99"/>
        <v/>
      </c>
      <c r="N430" s="100">
        <f t="shared" si="100"/>
        <v>0</v>
      </c>
      <c r="O430" s="101">
        <f t="shared" si="101"/>
        <v>0</v>
      </c>
      <c r="P430" s="52">
        <f t="shared" si="102"/>
        <v>0</v>
      </c>
      <c r="Q430" s="49">
        <v>116.88487613461319</v>
      </c>
      <c r="R430">
        <v>2225</v>
      </c>
      <c r="S430" s="50">
        <f t="shared" si="98"/>
        <v>71535.307499999995</v>
      </c>
      <c r="T430" s="50">
        <f t="shared" si="103"/>
        <v>0</v>
      </c>
      <c r="U430" s="58">
        <f t="shared" si="104"/>
        <v>0</v>
      </c>
      <c r="V430" s="58">
        <f t="shared" si="105"/>
        <v>0</v>
      </c>
      <c r="W430" s="58">
        <f t="shared" si="106"/>
        <v>0</v>
      </c>
      <c r="X430" s="58">
        <f t="shared" si="107"/>
        <v>0</v>
      </c>
      <c r="Y430" s="52">
        <f t="shared" si="108"/>
        <v>0</v>
      </c>
    </row>
    <row r="431" spans="1:25" x14ac:dyDescent="0.25">
      <c r="A431" s="1218" t="s">
        <v>125</v>
      </c>
      <c r="B431" s="98">
        <v>45383</v>
      </c>
      <c r="C431" s="117" t="str">
        <f t="shared" si="95"/>
        <v>4L</v>
      </c>
      <c r="D431" s="96"/>
      <c r="E431" s="98"/>
      <c r="F431" s="98"/>
      <c r="I431" s="99">
        <f t="shared" si="96"/>
        <v>0</v>
      </c>
      <c r="L431" s="99">
        <f t="shared" si="97"/>
        <v>0</v>
      </c>
      <c r="M431" s="44" t="str">
        <f t="shared" si="99"/>
        <v/>
      </c>
      <c r="N431" s="100">
        <f t="shared" si="100"/>
        <v>0</v>
      </c>
      <c r="O431" s="101">
        <f t="shared" si="101"/>
        <v>0</v>
      </c>
      <c r="P431" s="52">
        <f t="shared" si="102"/>
        <v>0</v>
      </c>
      <c r="Q431" s="49">
        <v>116.88487613461319</v>
      </c>
      <c r="R431">
        <v>2225</v>
      </c>
      <c r="S431" s="50">
        <f t="shared" si="98"/>
        <v>71535.307499999995</v>
      </c>
      <c r="T431" s="50">
        <f t="shared" si="103"/>
        <v>0</v>
      </c>
      <c r="U431" s="58">
        <f t="shared" si="104"/>
        <v>0</v>
      </c>
      <c r="V431" s="58">
        <f t="shared" si="105"/>
        <v>0</v>
      </c>
      <c r="W431" s="58">
        <f t="shared" si="106"/>
        <v>0</v>
      </c>
      <c r="X431" s="58">
        <f t="shared" si="107"/>
        <v>0</v>
      </c>
      <c r="Y431" s="52">
        <f t="shared" si="108"/>
        <v>0</v>
      </c>
    </row>
    <row r="432" spans="1:25" x14ac:dyDescent="0.25">
      <c r="A432" s="1218" t="s">
        <v>126</v>
      </c>
      <c r="B432" s="98">
        <v>45383</v>
      </c>
      <c r="C432" s="117" t="str">
        <f t="shared" ref="C432:C433" si="109">LEFT(A432,2)</f>
        <v>4L</v>
      </c>
      <c r="D432" s="96"/>
      <c r="E432" s="98"/>
      <c r="F432" s="98"/>
      <c r="I432" s="99"/>
      <c r="L432" s="99"/>
      <c r="M432" s="44"/>
      <c r="N432" s="100"/>
      <c r="O432" s="101"/>
      <c r="P432" s="52"/>
      <c r="Q432" s="49"/>
      <c r="S432" s="50"/>
      <c r="T432" s="50"/>
      <c r="U432" s="58"/>
      <c r="V432" s="58"/>
      <c r="W432" s="58"/>
      <c r="X432" s="58"/>
      <c r="Y432" s="52"/>
    </row>
    <row r="433" spans="1:25" x14ac:dyDescent="0.25">
      <c r="A433" s="1218" t="s">
        <v>127</v>
      </c>
      <c r="B433" s="98">
        <v>45383</v>
      </c>
      <c r="C433" s="117" t="str">
        <f t="shared" si="109"/>
        <v>4L</v>
      </c>
      <c r="D433" s="96"/>
      <c r="E433" s="98"/>
      <c r="F433" s="98"/>
      <c r="I433" s="99"/>
      <c r="L433" s="99"/>
      <c r="M433" s="44"/>
      <c r="N433" s="100"/>
      <c r="O433" s="101"/>
      <c r="P433" s="52"/>
      <c r="Q433" s="49"/>
      <c r="S433" s="50"/>
      <c r="T433" s="50"/>
      <c r="U433" s="58"/>
      <c r="V433" s="58"/>
      <c r="W433" s="58"/>
      <c r="X433" s="58"/>
      <c r="Y433" s="52"/>
    </row>
    <row r="434" spans="1:25" x14ac:dyDescent="0.25">
      <c r="A434" s="1218" t="s">
        <v>128</v>
      </c>
      <c r="B434" s="98">
        <v>45383</v>
      </c>
      <c r="C434" s="117" t="str">
        <f t="shared" si="95"/>
        <v>4L</v>
      </c>
      <c r="D434" s="96"/>
      <c r="E434" s="98"/>
      <c r="F434" s="98"/>
      <c r="I434" s="99"/>
      <c r="L434" s="99"/>
      <c r="M434" s="44"/>
      <c r="N434" s="100"/>
      <c r="O434" s="101"/>
      <c r="P434" s="52"/>
      <c r="Q434" s="49"/>
      <c r="S434" s="50"/>
      <c r="T434" s="50"/>
      <c r="U434" s="58"/>
      <c r="V434" s="58"/>
      <c r="W434" s="58"/>
      <c r="X434" s="58"/>
      <c r="Y434" s="52"/>
    </row>
    <row r="435" spans="1:25" x14ac:dyDescent="0.25">
      <c r="A435" s="1218" t="s">
        <v>129</v>
      </c>
      <c r="B435" s="98">
        <v>45383</v>
      </c>
      <c r="C435" s="117" t="str">
        <f t="shared" si="95"/>
        <v>4L</v>
      </c>
      <c r="D435" s="96"/>
      <c r="E435" s="98"/>
      <c r="F435" s="98"/>
      <c r="I435" s="99">
        <f t="shared" si="96"/>
        <v>0</v>
      </c>
      <c r="L435" s="99">
        <f t="shared" si="97"/>
        <v>0</v>
      </c>
      <c r="M435" s="44" t="str">
        <f t="shared" si="99"/>
        <v/>
      </c>
      <c r="N435" s="100">
        <f t="shared" si="100"/>
        <v>0</v>
      </c>
      <c r="O435" s="101">
        <f t="shared" si="101"/>
        <v>0</v>
      </c>
      <c r="P435" s="52">
        <f t="shared" si="102"/>
        <v>0</v>
      </c>
      <c r="Q435" s="49">
        <v>116.88487613461319</v>
      </c>
      <c r="R435">
        <v>2225</v>
      </c>
      <c r="S435" s="50">
        <f t="shared" si="98"/>
        <v>71535.307499999995</v>
      </c>
      <c r="T435" s="50">
        <f t="shared" si="103"/>
        <v>0</v>
      </c>
      <c r="U435" s="58">
        <f t="shared" si="104"/>
        <v>0</v>
      </c>
      <c r="V435" s="58">
        <f t="shared" si="105"/>
        <v>0</v>
      </c>
      <c r="W435" s="58">
        <f t="shared" si="106"/>
        <v>0</v>
      </c>
      <c r="X435" s="58">
        <f t="shared" si="107"/>
        <v>0</v>
      </c>
      <c r="Y435" s="52">
        <f t="shared" si="108"/>
        <v>0</v>
      </c>
    </row>
    <row r="436" spans="1:25" x14ac:dyDescent="0.25">
      <c r="A436" s="1218" t="s">
        <v>130</v>
      </c>
      <c r="B436" s="98">
        <v>45383</v>
      </c>
      <c r="C436" s="117" t="str">
        <f t="shared" si="95"/>
        <v>5L</v>
      </c>
      <c r="D436" s="96"/>
      <c r="E436" s="98"/>
      <c r="F436" s="98"/>
      <c r="I436" s="99">
        <f t="shared" si="96"/>
        <v>0</v>
      </c>
      <c r="L436" s="99">
        <f t="shared" si="97"/>
        <v>0</v>
      </c>
      <c r="M436" s="44" t="str">
        <f t="shared" si="99"/>
        <v/>
      </c>
      <c r="N436" s="100">
        <f t="shared" si="100"/>
        <v>0</v>
      </c>
      <c r="O436" s="101">
        <f t="shared" si="101"/>
        <v>0</v>
      </c>
      <c r="P436" s="52">
        <f t="shared" si="102"/>
        <v>0</v>
      </c>
      <c r="Q436" s="49">
        <v>116.88487613461319</v>
      </c>
      <c r="R436">
        <v>2225</v>
      </c>
      <c r="S436" s="50">
        <f t="shared" si="98"/>
        <v>71535.307499999995</v>
      </c>
      <c r="T436" s="50">
        <f t="shared" si="103"/>
        <v>0</v>
      </c>
      <c r="U436" s="58">
        <f t="shared" si="104"/>
        <v>0</v>
      </c>
      <c r="V436" s="58">
        <f t="shared" si="105"/>
        <v>0</v>
      </c>
      <c r="W436" s="58">
        <f t="shared" si="106"/>
        <v>0</v>
      </c>
      <c r="X436" s="58">
        <f t="shared" si="107"/>
        <v>0</v>
      </c>
      <c r="Y436" s="52">
        <f t="shared" si="108"/>
        <v>0</v>
      </c>
    </row>
    <row r="437" spans="1:25" x14ac:dyDescent="0.25">
      <c r="A437" s="1218" t="s">
        <v>131</v>
      </c>
      <c r="B437" s="98">
        <v>45383</v>
      </c>
      <c r="C437" s="117" t="str">
        <f t="shared" si="95"/>
        <v>5L</v>
      </c>
      <c r="D437" s="96"/>
      <c r="E437" s="98"/>
      <c r="F437" s="98"/>
      <c r="I437" s="99">
        <f t="shared" si="96"/>
        <v>0</v>
      </c>
      <c r="L437" s="99">
        <f t="shared" si="97"/>
        <v>0</v>
      </c>
      <c r="M437" s="44" t="str">
        <f t="shared" si="99"/>
        <v/>
      </c>
      <c r="N437" s="100">
        <f t="shared" si="100"/>
        <v>0</v>
      </c>
      <c r="O437" s="101">
        <f t="shared" si="101"/>
        <v>0</v>
      </c>
      <c r="P437" s="52">
        <f t="shared" si="102"/>
        <v>0</v>
      </c>
      <c r="Q437" s="49">
        <v>116.88487613461319</v>
      </c>
      <c r="R437">
        <v>2225</v>
      </c>
      <c r="S437" s="50">
        <f t="shared" si="98"/>
        <v>71535.307499999995</v>
      </c>
      <c r="T437" s="50">
        <f t="shared" si="103"/>
        <v>0</v>
      </c>
      <c r="U437" s="58">
        <f t="shared" si="104"/>
        <v>0</v>
      </c>
      <c r="V437" s="58">
        <f t="shared" si="105"/>
        <v>0</v>
      </c>
      <c r="W437" s="58">
        <f t="shared" si="106"/>
        <v>0</v>
      </c>
      <c r="X437" s="58">
        <f t="shared" si="107"/>
        <v>0</v>
      </c>
      <c r="Y437" s="52">
        <f t="shared" si="108"/>
        <v>0</v>
      </c>
    </row>
    <row r="438" spans="1:25" x14ac:dyDescent="0.25">
      <c r="A438" s="1218" t="s">
        <v>132</v>
      </c>
      <c r="B438" s="98">
        <v>45383</v>
      </c>
      <c r="C438" s="117" t="str">
        <f t="shared" si="95"/>
        <v>5L</v>
      </c>
      <c r="D438" s="96"/>
      <c r="E438" s="98"/>
      <c r="F438" s="98"/>
      <c r="I438" s="99">
        <f t="shared" si="96"/>
        <v>0</v>
      </c>
      <c r="L438" s="99">
        <f t="shared" si="97"/>
        <v>0</v>
      </c>
      <c r="M438" s="44" t="str">
        <f t="shared" si="99"/>
        <v/>
      </c>
      <c r="N438" s="100">
        <f t="shared" si="100"/>
        <v>0</v>
      </c>
      <c r="O438" s="101">
        <f t="shared" si="101"/>
        <v>0</v>
      </c>
      <c r="P438" s="52">
        <f t="shared" si="102"/>
        <v>0</v>
      </c>
      <c r="Q438" s="49">
        <v>116.88487613461319</v>
      </c>
      <c r="R438">
        <v>2225</v>
      </c>
      <c r="S438" s="50">
        <f t="shared" si="98"/>
        <v>71535.307499999995</v>
      </c>
      <c r="T438" s="50">
        <f t="shared" si="103"/>
        <v>0</v>
      </c>
      <c r="U438" s="58">
        <f t="shared" si="104"/>
        <v>0</v>
      </c>
      <c r="V438" s="58">
        <f t="shared" si="105"/>
        <v>0</v>
      </c>
      <c r="W438" s="58">
        <f t="shared" si="106"/>
        <v>0</v>
      </c>
      <c r="X438" s="58">
        <f t="shared" si="107"/>
        <v>0</v>
      </c>
      <c r="Y438" s="52">
        <f t="shared" si="108"/>
        <v>0</v>
      </c>
    </row>
    <row r="439" spans="1:25" x14ac:dyDescent="0.25">
      <c r="A439" s="1218" t="s">
        <v>133</v>
      </c>
      <c r="B439" s="98">
        <v>45383</v>
      </c>
      <c r="C439" s="117" t="str">
        <f t="shared" si="95"/>
        <v>5L</v>
      </c>
      <c r="D439" s="96"/>
      <c r="E439" s="98"/>
      <c r="F439" s="98"/>
      <c r="I439" s="99">
        <f t="shared" si="96"/>
        <v>0</v>
      </c>
      <c r="L439" s="99">
        <f t="shared" si="97"/>
        <v>0</v>
      </c>
      <c r="M439" s="44" t="str">
        <f t="shared" si="99"/>
        <v/>
      </c>
      <c r="N439" s="100">
        <f t="shared" si="100"/>
        <v>0</v>
      </c>
      <c r="O439" s="101">
        <f t="shared" si="101"/>
        <v>0</v>
      </c>
      <c r="P439" s="52">
        <f t="shared" si="102"/>
        <v>0</v>
      </c>
      <c r="Q439" s="49">
        <v>116.88487613461319</v>
      </c>
      <c r="R439">
        <v>2225</v>
      </c>
      <c r="S439" s="50">
        <f t="shared" si="98"/>
        <v>71535.307499999995</v>
      </c>
      <c r="T439" s="50">
        <f t="shared" si="103"/>
        <v>0</v>
      </c>
      <c r="U439" s="58">
        <f t="shared" si="104"/>
        <v>0</v>
      </c>
      <c r="V439" s="58">
        <f t="shared" si="105"/>
        <v>0</v>
      </c>
      <c r="W439" s="58">
        <f t="shared" si="106"/>
        <v>0</v>
      </c>
      <c r="X439" s="58">
        <f t="shared" si="107"/>
        <v>0</v>
      </c>
      <c r="Y439" s="52">
        <f t="shared" si="108"/>
        <v>0</v>
      </c>
    </row>
    <row r="440" spans="1:25" x14ac:dyDescent="0.25">
      <c r="A440" s="1218" t="s">
        <v>134</v>
      </c>
      <c r="B440" s="98">
        <v>45383</v>
      </c>
      <c r="C440" s="117" t="str">
        <f t="shared" si="95"/>
        <v>5L</v>
      </c>
      <c r="D440" s="96"/>
      <c r="E440" s="98"/>
      <c r="F440" s="98"/>
      <c r="I440" s="99">
        <f t="shared" si="96"/>
        <v>0</v>
      </c>
      <c r="L440" s="99">
        <f t="shared" si="97"/>
        <v>0</v>
      </c>
      <c r="M440" s="44" t="str">
        <f t="shared" si="99"/>
        <v/>
      </c>
      <c r="N440" s="100">
        <f t="shared" si="100"/>
        <v>0</v>
      </c>
      <c r="O440" s="101">
        <f t="shared" si="101"/>
        <v>0</v>
      </c>
      <c r="P440" s="52">
        <f t="shared" si="102"/>
        <v>0</v>
      </c>
      <c r="Q440" s="49">
        <v>116.88487613461319</v>
      </c>
      <c r="R440">
        <v>2225</v>
      </c>
      <c r="S440" s="50">
        <f t="shared" si="98"/>
        <v>71535.307499999995</v>
      </c>
      <c r="T440" s="50">
        <f t="shared" si="103"/>
        <v>0</v>
      </c>
      <c r="U440" s="58">
        <f t="shared" si="104"/>
        <v>0</v>
      </c>
      <c r="V440" s="58">
        <f t="shared" si="105"/>
        <v>0</v>
      </c>
      <c r="W440" s="58">
        <f t="shared" si="106"/>
        <v>0</v>
      </c>
      <c r="X440" s="58">
        <f t="shared" si="107"/>
        <v>0</v>
      </c>
      <c r="Y440" s="52">
        <f t="shared" si="108"/>
        <v>0</v>
      </c>
    </row>
    <row r="441" spans="1:25" x14ac:dyDescent="0.25">
      <c r="A441" s="1218" t="s">
        <v>135</v>
      </c>
      <c r="B441" s="98">
        <v>45383</v>
      </c>
      <c r="C441" s="117" t="str">
        <f t="shared" si="95"/>
        <v>5L</v>
      </c>
      <c r="D441" s="96"/>
      <c r="E441" s="98"/>
      <c r="F441" s="98"/>
      <c r="I441" s="99">
        <f t="shared" si="96"/>
        <v>0</v>
      </c>
      <c r="L441" s="99">
        <f t="shared" si="97"/>
        <v>0</v>
      </c>
      <c r="M441" s="44" t="str">
        <f t="shared" si="99"/>
        <v/>
      </c>
      <c r="N441" s="100">
        <f t="shared" si="100"/>
        <v>0</v>
      </c>
      <c r="O441" s="101">
        <f t="shared" si="101"/>
        <v>0</v>
      </c>
      <c r="P441" s="52">
        <f t="shared" si="102"/>
        <v>0</v>
      </c>
      <c r="Q441" s="49">
        <v>116.88487613461319</v>
      </c>
      <c r="R441">
        <v>2225</v>
      </c>
      <c r="S441" s="50">
        <f t="shared" si="98"/>
        <v>71535.307499999995</v>
      </c>
      <c r="T441" s="50">
        <f t="shared" si="103"/>
        <v>0</v>
      </c>
      <c r="U441" s="58">
        <f t="shared" si="104"/>
        <v>0</v>
      </c>
      <c r="V441" s="58">
        <f t="shared" si="105"/>
        <v>0</v>
      </c>
      <c r="W441" s="58">
        <f t="shared" si="106"/>
        <v>0</v>
      </c>
      <c r="X441" s="58">
        <f t="shared" si="107"/>
        <v>0</v>
      </c>
      <c r="Y441" s="52">
        <f t="shared" si="108"/>
        <v>0</v>
      </c>
    </row>
    <row r="442" spans="1:25" x14ac:dyDescent="0.25">
      <c r="A442" s="1218" t="s">
        <v>136</v>
      </c>
      <c r="B442" s="98">
        <v>45383</v>
      </c>
      <c r="C442" s="117" t="str">
        <f t="shared" si="95"/>
        <v>5L</v>
      </c>
      <c r="D442" s="96"/>
      <c r="E442" s="98"/>
      <c r="F442" s="98"/>
      <c r="I442" s="99">
        <f t="shared" si="96"/>
        <v>0</v>
      </c>
      <c r="L442" s="99">
        <f t="shared" si="97"/>
        <v>0</v>
      </c>
      <c r="M442" s="44" t="str">
        <f t="shared" si="99"/>
        <v/>
      </c>
      <c r="N442" s="100">
        <f t="shared" si="100"/>
        <v>0</v>
      </c>
      <c r="O442" s="101">
        <f t="shared" si="101"/>
        <v>0</v>
      </c>
      <c r="P442" s="52">
        <f t="shared" si="102"/>
        <v>0</v>
      </c>
      <c r="Q442" s="49">
        <v>116.88487613461319</v>
      </c>
      <c r="R442">
        <v>2225</v>
      </c>
      <c r="S442" s="50">
        <f t="shared" si="98"/>
        <v>71535.307499999995</v>
      </c>
      <c r="T442" s="50">
        <f t="shared" si="103"/>
        <v>0</v>
      </c>
      <c r="U442" s="58">
        <f t="shared" si="104"/>
        <v>0</v>
      </c>
      <c r="V442" s="58">
        <f t="shared" si="105"/>
        <v>0</v>
      </c>
      <c r="W442" s="58">
        <f t="shared" si="106"/>
        <v>0</v>
      </c>
      <c r="X442" s="58">
        <f t="shared" si="107"/>
        <v>0</v>
      </c>
      <c r="Y442" s="52">
        <f t="shared" si="108"/>
        <v>0</v>
      </c>
    </row>
    <row r="443" spans="1:25" x14ac:dyDescent="0.25">
      <c r="A443" s="1218" t="s">
        <v>137</v>
      </c>
      <c r="B443" s="98">
        <v>45383</v>
      </c>
      <c r="C443" s="117" t="str">
        <f t="shared" si="95"/>
        <v>5L</v>
      </c>
      <c r="D443" s="96"/>
      <c r="E443" s="98"/>
      <c r="F443" s="98"/>
      <c r="I443" s="99">
        <f t="shared" si="96"/>
        <v>0</v>
      </c>
      <c r="L443" s="99">
        <f t="shared" si="97"/>
        <v>0</v>
      </c>
      <c r="M443" s="44" t="str">
        <f t="shared" si="99"/>
        <v/>
      </c>
      <c r="N443" s="100">
        <f t="shared" si="100"/>
        <v>0</v>
      </c>
      <c r="O443" s="101">
        <f t="shared" si="101"/>
        <v>0</v>
      </c>
      <c r="P443" s="52">
        <f t="shared" si="102"/>
        <v>0</v>
      </c>
      <c r="Q443" s="49">
        <v>116.88487613461319</v>
      </c>
      <c r="R443">
        <v>2225</v>
      </c>
      <c r="S443" s="50">
        <f t="shared" si="98"/>
        <v>71535.307499999995</v>
      </c>
      <c r="T443" s="50">
        <f t="shared" si="103"/>
        <v>0</v>
      </c>
      <c r="U443" s="58">
        <f t="shared" si="104"/>
        <v>0</v>
      </c>
      <c r="V443" s="58">
        <f t="shared" si="105"/>
        <v>0</v>
      </c>
      <c r="W443" s="58">
        <f t="shared" si="106"/>
        <v>0</v>
      </c>
      <c r="X443" s="58">
        <f t="shared" si="107"/>
        <v>0</v>
      </c>
      <c r="Y443" s="52">
        <f t="shared" si="108"/>
        <v>0</v>
      </c>
    </row>
    <row r="444" spans="1:25" x14ac:dyDescent="0.25">
      <c r="A444" s="1218" t="s">
        <v>138</v>
      </c>
      <c r="B444" s="98">
        <v>45383</v>
      </c>
      <c r="C444" s="117" t="str">
        <f t="shared" si="95"/>
        <v>5L</v>
      </c>
      <c r="D444" s="96"/>
      <c r="E444" s="98"/>
      <c r="F444" s="98"/>
      <c r="G444" s="103"/>
      <c r="H444" s="103"/>
      <c r="I444" s="99">
        <f t="shared" si="96"/>
        <v>0</v>
      </c>
      <c r="J444" s="41"/>
      <c r="K444" s="41"/>
      <c r="L444" s="99">
        <f t="shared" si="97"/>
        <v>0</v>
      </c>
      <c r="M444" s="44" t="str">
        <f t="shared" si="99"/>
        <v/>
      </c>
      <c r="N444" s="100">
        <f t="shared" si="100"/>
        <v>0</v>
      </c>
      <c r="O444" s="101">
        <f t="shared" si="101"/>
        <v>0</v>
      </c>
      <c r="P444" s="52">
        <f t="shared" si="102"/>
        <v>0</v>
      </c>
      <c r="Q444" s="49">
        <v>116.88487613461319</v>
      </c>
      <c r="R444">
        <v>2225</v>
      </c>
      <c r="S444" s="50">
        <f t="shared" si="98"/>
        <v>71535.307499999995</v>
      </c>
      <c r="T444" s="50">
        <f t="shared" si="103"/>
        <v>0</v>
      </c>
      <c r="U444" s="58">
        <f t="shared" si="104"/>
        <v>0</v>
      </c>
      <c r="V444" s="58">
        <f t="shared" si="105"/>
        <v>0</v>
      </c>
      <c r="W444" s="58">
        <f t="shared" si="106"/>
        <v>0</v>
      </c>
      <c r="X444" s="58">
        <f t="shared" si="107"/>
        <v>0</v>
      </c>
      <c r="Y444" s="52">
        <f t="shared" si="108"/>
        <v>0</v>
      </c>
    </row>
    <row r="445" spans="1:25" x14ac:dyDescent="0.25">
      <c r="A445" s="1218" t="s">
        <v>139</v>
      </c>
      <c r="B445" s="98">
        <v>45383</v>
      </c>
      <c r="C445" s="117" t="str">
        <f t="shared" si="95"/>
        <v>5L</v>
      </c>
      <c r="D445" s="96"/>
      <c r="E445" s="98"/>
      <c r="F445" s="98"/>
      <c r="I445" s="99">
        <f t="shared" si="96"/>
        <v>0</v>
      </c>
      <c r="L445" s="99">
        <f t="shared" si="97"/>
        <v>0</v>
      </c>
      <c r="M445" s="44" t="str">
        <f t="shared" si="99"/>
        <v/>
      </c>
      <c r="N445" s="100">
        <f t="shared" si="100"/>
        <v>0</v>
      </c>
      <c r="O445" s="101">
        <f t="shared" si="101"/>
        <v>0</v>
      </c>
      <c r="P445" s="52">
        <f t="shared" si="102"/>
        <v>0</v>
      </c>
      <c r="Q445" s="49">
        <v>116.88487613461319</v>
      </c>
      <c r="R445">
        <v>2225</v>
      </c>
      <c r="S445" s="50">
        <f t="shared" si="98"/>
        <v>71535.307499999995</v>
      </c>
      <c r="T445" s="50">
        <f t="shared" si="103"/>
        <v>0</v>
      </c>
      <c r="U445" s="58">
        <f t="shared" si="104"/>
        <v>0</v>
      </c>
      <c r="V445" s="58">
        <f t="shared" si="105"/>
        <v>0</v>
      </c>
      <c r="W445" s="58">
        <f t="shared" si="106"/>
        <v>0</v>
      </c>
      <c r="X445" s="58">
        <f t="shared" si="107"/>
        <v>0</v>
      </c>
      <c r="Y445" s="52">
        <f t="shared" si="108"/>
        <v>0</v>
      </c>
    </row>
    <row r="446" spans="1:25" x14ac:dyDescent="0.25">
      <c r="A446" s="1218" t="s">
        <v>140</v>
      </c>
      <c r="B446" s="98">
        <v>45383</v>
      </c>
      <c r="C446" s="117" t="str">
        <f t="shared" si="95"/>
        <v>5L</v>
      </c>
      <c r="D446" s="96"/>
      <c r="E446" s="98"/>
      <c r="F446" s="98"/>
      <c r="G446" s="55"/>
      <c r="H446" s="55"/>
      <c r="I446" s="99">
        <f t="shared" si="96"/>
        <v>0</v>
      </c>
      <c r="J446" s="55"/>
      <c r="K446" s="55"/>
      <c r="L446" s="99">
        <f t="shared" si="97"/>
        <v>0</v>
      </c>
      <c r="M446" s="44" t="str">
        <f t="shared" si="99"/>
        <v/>
      </c>
      <c r="N446" s="100">
        <f t="shared" si="100"/>
        <v>0</v>
      </c>
      <c r="O446" s="101">
        <f t="shared" si="101"/>
        <v>0</v>
      </c>
      <c r="P446" s="52">
        <f t="shared" si="102"/>
        <v>0</v>
      </c>
      <c r="Q446" s="49">
        <v>116.88487613461319</v>
      </c>
      <c r="R446">
        <v>2225</v>
      </c>
      <c r="S446" s="50">
        <f t="shared" si="98"/>
        <v>71535.307499999995</v>
      </c>
      <c r="T446" s="50">
        <f t="shared" si="103"/>
        <v>0</v>
      </c>
      <c r="U446" s="58">
        <f t="shared" si="104"/>
        <v>0</v>
      </c>
      <c r="V446" s="58">
        <f t="shared" si="105"/>
        <v>0</v>
      </c>
      <c r="W446" s="58">
        <f t="shared" si="106"/>
        <v>0</v>
      </c>
      <c r="X446" s="58">
        <f t="shared" si="107"/>
        <v>0</v>
      </c>
      <c r="Y446" s="52">
        <f t="shared" si="108"/>
        <v>0</v>
      </c>
    </row>
    <row r="447" spans="1:25" x14ac:dyDescent="0.25">
      <c r="A447" s="1218" t="s">
        <v>141</v>
      </c>
      <c r="B447" s="98">
        <v>45383</v>
      </c>
      <c r="C447" s="117" t="str">
        <f t="shared" si="95"/>
        <v>5L</v>
      </c>
      <c r="D447" s="96"/>
      <c r="E447" s="98"/>
      <c r="F447" s="98"/>
      <c r="G447" s="55"/>
      <c r="H447" s="55"/>
      <c r="I447" s="99">
        <f t="shared" si="96"/>
        <v>0</v>
      </c>
      <c r="J447" s="55"/>
      <c r="K447" s="55"/>
      <c r="L447" s="99">
        <f t="shared" si="97"/>
        <v>0</v>
      </c>
      <c r="M447" s="44" t="str">
        <f t="shared" si="99"/>
        <v/>
      </c>
      <c r="N447" s="100">
        <f t="shared" si="100"/>
        <v>0</v>
      </c>
      <c r="O447" s="101">
        <f t="shared" si="101"/>
        <v>0</v>
      </c>
      <c r="P447" s="52">
        <f t="shared" si="102"/>
        <v>0</v>
      </c>
      <c r="Q447" s="49">
        <v>116.88487613461319</v>
      </c>
      <c r="R447">
        <v>2225</v>
      </c>
      <c r="S447" s="50">
        <f t="shared" si="98"/>
        <v>71535.307499999995</v>
      </c>
      <c r="T447" s="50">
        <f t="shared" si="103"/>
        <v>0</v>
      </c>
      <c r="U447" s="58">
        <f t="shared" si="104"/>
        <v>0</v>
      </c>
      <c r="V447" s="58">
        <f t="shared" si="105"/>
        <v>0</v>
      </c>
      <c r="W447" s="58">
        <f t="shared" si="106"/>
        <v>0</v>
      </c>
      <c r="X447" s="58">
        <f t="shared" si="107"/>
        <v>0</v>
      </c>
      <c r="Y447" s="52">
        <f t="shared" si="108"/>
        <v>0</v>
      </c>
    </row>
    <row r="448" spans="1:25" x14ac:dyDescent="0.25">
      <c r="A448" s="1218" t="s">
        <v>142</v>
      </c>
      <c r="B448" s="98">
        <v>45383</v>
      </c>
      <c r="C448" s="117" t="str">
        <f t="shared" si="95"/>
        <v>5L</v>
      </c>
      <c r="D448" s="96"/>
      <c r="E448" s="98"/>
      <c r="F448" s="98"/>
      <c r="G448" s="55"/>
      <c r="H448" s="55"/>
      <c r="I448" s="99">
        <f t="shared" si="96"/>
        <v>0</v>
      </c>
      <c r="J448" s="55"/>
      <c r="K448" s="55"/>
      <c r="L448" s="99">
        <f t="shared" si="97"/>
        <v>0</v>
      </c>
      <c r="M448" s="44" t="str">
        <f t="shared" si="99"/>
        <v/>
      </c>
      <c r="N448" s="100">
        <f t="shared" si="100"/>
        <v>0</v>
      </c>
      <c r="O448" s="101">
        <f t="shared" si="101"/>
        <v>0</v>
      </c>
      <c r="P448" s="52">
        <f t="shared" si="102"/>
        <v>0</v>
      </c>
      <c r="Q448" s="49">
        <v>116.88487613461319</v>
      </c>
      <c r="R448">
        <v>2225</v>
      </c>
      <c r="S448" s="50">
        <f t="shared" si="98"/>
        <v>71535.307499999995</v>
      </c>
      <c r="T448" s="50">
        <f t="shared" si="103"/>
        <v>0</v>
      </c>
      <c r="U448" s="58">
        <f t="shared" si="104"/>
        <v>0</v>
      </c>
      <c r="V448" s="58">
        <f t="shared" si="105"/>
        <v>0</v>
      </c>
      <c r="W448" s="58">
        <f t="shared" si="106"/>
        <v>0</v>
      </c>
      <c r="X448" s="58">
        <f t="shared" si="107"/>
        <v>0</v>
      </c>
      <c r="Y448" s="52">
        <f t="shared" si="108"/>
        <v>0</v>
      </c>
    </row>
    <row r="449" spans="1:25" x14ac:dyDescent="0.25">
      <c r="A449" s="1218" t="s">
        <v>143</v>
      </c>
      <c r="B449" s="98">
        <v>45383</v>
      </c>
      <c r="C449" s="117" t="str">
        <f t="shared" si="95"/>
        <v>5L</v>
      </c>
      <c r="D449" s="96"/>
      <c r="E449" s="98"/>
      <c r="F449" s="98"/>
      <c r="G449" s="55"/>
      <c r="H449" s="55"/>
      <c r="I449" s="99">
        <f t="shared" si="96"/>
        <v>0</v>
      </c>
      <c r="J449" s="55"/>
      <c r="K449" s="55"/>
      <c r="L449" s="99">
        <f t="shared" si="97"/>
        <v>0</v>
      </c>
      <c r="M449" s="44" t="str">
        <f t="shared" si="99"/>
        <v/>
      </c>
      <c r="N449" s="100">
        <f t="shared" si="100"/>
        <v>0</v>
      </c>
      <c r="O449" s="101">
        <f t="shared" si="101"/>
        <v>0</v>
      </c>
      <c r="P449" s="52">
        <f t="shared" si="102"/>
        <v>0</v>
      </c>
      <c r="Q449" s="49">
        <v>116.88487613461319</v>
      </c>
      <c r="R449">
        <v>2225</v>
      </c>
      <c r="S449" s="50">
        <f t="shared" si="98"/>
        <v>71535.307499999995</v>
      </c>
      <c r="T449" s="50">
        <f t="shared" si="103"/>
        <v>0</v>
      </c>
      <c r="U449" s="58">
        <f t="shared" si="104"/>
        <v>0</v>
      </c>
      <c r="V449" s="58">
        <f t="shared" si="105"/>
        <v>0</v>
      </c>
      <c r="W449" s="58">
        <f t="shared" si="106"/>
        <v>0</v>
      </c>
      <c r="X449" s="58">
        <f t="shared" si="107"/>
        <v>0</v>
      </c>
      <c r="Y449" s="52">
        <f t="shared" si="108"/>
        <v>0</v>
      </c>
    </row>
    <row r="450" spans="1:25" x14ac:dyDescent="0.25">
      <c r="A450" s="1218" t="s">
        <v>144</v>
      </c>
      <c r="B450" s="98">
        <v>45383</v>
      </c>
      <c r="C450" s="117" t="str">
        <f t="shared" si="95"/>
        <v>5L</v>
      </c>
      <c r="D450" s="96"/>
      <c r="E450" s="98"/>
      <c r="F450" s="98"/>
      <c r="G450" s="55"/>
      <c r="H450" s="55"/>
      <c r="I450" s="99">
        <f t="shared" si="96"/>
        <v>0</v>
      </c>
      <c r="J450" s="55"/>
      <c r="K450" s="55"/>
      <c r="L450" s="99">
        <f t="shared" si="97"/>
        <v>0</v>
      </c>
      <c r="M450" s="44" t="str">
        <f t="shared" si="99"/>
        <v/>
      </c>
      <c r="N450" s="100">
        <f t="shared" si="100"/>
        <v>0</v>
      </c>
      <c r="O450" s="101">
        <f t="shared" si="101"/>
        <v>0</v>
      </c>
      <c r="P450" s="52">
        <f t="shared" si="102"/>
        <v>0</v>
      </c>
      <c r="Q450" s="49">
        <v>116.88487613461319</v>
      </c>
      <c r="R450">
        <v>2225</v>
      </c>
      <c r="S450" s="50">
        <f t="shared" si="98"/>
        <v>71535.307499999995</v>
      </c>
      <c r="T450" s="50">
        <f t="shared" si="103"/>
        <v>0</v>
      </c>
      <c r="U450" s="58">
        <f t="shared" si="104"/>
        <v>0</v>
      </c>
      <c r="V450" s="58">
        <f t="shared" si="105"/>
        <v>0</v>
      </c>
      <c r="W450" s="58">
        <f t="shared" si="106"/>
        <v>0</v>
      </c>
      <c r="X450" s="58">
        <f t="shared" si="107"/>
        <v>0</v>
      </c>
      <c r="Y450" s="52">
        <f t="shared" si="108"/>
        <v>0</v>
      </c>
    </row>
    <row r="451" spans="1:25" x14ac:dyDescent="0.25">
      <c r="A451" s="1218" t="s">
        <v>145</v>
      </c>
      <c r="B451" s="98">
        <v>45383</v>
      </c>
      <c r="C451" s="117" t="str">
        <f t="shared" si="95"/>
        <v>5L</v>
      </c>
      <c r="D451" s="96"/>
      <c r="E451" s="98"/>
      <c r="F451" s="98"/>
      <c r="G451" s="55"/>
      <c r="H451" s="55"/>
      <c r="I451" s="99">
        <f t="shared" si="96"/>
        <v>0</v>
      </c>
      <c r="J451" s="55"/>
      <c r="K451" s="55"/>
      <c r="L451" s="99">
        <f t="shared" si="97"/>
        <v>0</v>
      </c>
      <c r="M451" s="44" t="str">
        <f t="shared" si="99"/>
        <v/>
      </c>
      <c r="N451" s="100">
        <f t="shared" si="100"/>
        <v>0</v>
      </c>
      <c r="O451" s="101">
        <f t="shared" si="101"/>
        <v>0</v>
      </c>
      <c r="P451" s="52">
        <f t="shared" si="102"/>
        <v>0</v>
      </c>
      <c r="Q451" s="49">
        <v>116.88487613461319</v>
      </c>
      <c r="R451">
        <v>2225</v>
      </c>
      <c r="S451" s="50">
        <f t="shared" si="98"/>
        <v>71535.307499999995</v>
      </c>
      <c r="T451" s="50">
        <f t="shared" si="103"/>
        <v>0</v>
      </c>
      <c r="U451" s="58">
        <f t="shared" si="104"/>
        <v>0</v>
      </c>
      <c r="V451" s="58">
        <f t="shared" si="105"/>
        <v>0</v>
      </c>
      <c r="W451" s="58">
        <f t="shared" si="106"/>
        <v>0</v>
      </c>
      <c r="X451" s="58">
        <f t="shared" si="107"/>
        <v>0</v>
      </c>
      <c r="Y451" s="52">
        <f t="shared" si="108"/>
        <v>0</v>
      </c>
    </row>
    <row r="452" spans="1:25" x14ac:dyDescent="0.25">
      <c r="A452" s="1218" t="s">
        <v>146</v>
      </c>
      <c r="B452" s="98">
        <v>45383</v>
      </c>
      <c r="C452" s="117" t="str">
        <f t="shared" si="95"/>
        <v>5L</v>
      </c>
      <c r="D452" s="96"/>
      <c r="E452" s="98"/>
      <c r="F452" s="98"/>
      <c r="G452" s="55"/>
      <c r="H452" s="55"/>
      <c r="I452" s="99">
        <f t="shared" si="96"/>
        <v>0</v>
      </c>
      <c r="J452" s="55"/>
      <c r="K452" s="55"/>
      <c r="L452" s="99">
        <f t="shared" si="97"/>
        <v>0</v>
      </c>
      <c r="M452" s="44" t="str">
        <f t="shared" si="99"/>
        <v/>
      </c>
      <c r="N452" s="100">
        <f t="shared" si="100"/>
        <v>0</v>
      </c>
      <c r="O452" s="101">
        <f t="shared" si="101"/>
        <v>0</v>
      </c>
      <c r="P452" s="52">
        <f t="shared" si="102"/>
        <v>0</v>
      </c>
      <c r="Q452" s="49">
        <v>116.88487613461319</v>
      </c>
      <c r="R452">
        <v>2225</v>
      </c>
      <c r="S452" s="50">
        <f t="shared" si="98"/>
        <v>71535.307499999995</v>
      </c>
      <c r="T452" s="50">
        <f t="shared" si="103"/>
        <v>0</v>
      </c>
      <c r="U452" s="58">
        <f t="shared" si="104"/>
        <v>0</v>
      </c>
      <c r="V452" s="58">
        <f t="shared" si="105"/>
        <v>0</v>
      </c>
      <c r="W452" s="58">
        <f t="shared" si="106"/>
        <v>0</v>
      </c>
      <c r="X452" s="58">
        <f t="shared" si="107"/>
        <v>0</v>
      </c>
      <c r="Y452" s="52">
        <f t="shared" si="108"/>
        <v>0</v>
      </c>
    </row>
    <row r="453" spans="1:25" x14ac:dyDescent="0.25">
      <c r="A453" s="1218" t="s">
        <v>147</v>
      </c>
      <c r="B453" s="98">
        <v>45383</v>
      </c>
      <c r="C453" s="117" t="str">
        <f t="shared" si="95"/>
        <v>5L</v>
      </c>
      <c r="D453" s="96"/>
      <c r="E453" s="98"/>
      <c r="F453" s="98"/>
      <c r="G453" s="55"/>
      <c r="H453" s="55"/>
      <c r="I453" s="99">
        <f t="shared" si="96"/>
        <v>0</v>
      </c>
      <c r="J453" s="55"/>
      <c r="K453" s="55"/>
      <c r="L453" s="99">
        <f t="shared" si="97"/>
        <v>0</v>
      </c>
      <c r="M453" s="44" t="str">
        <f t="shared" si="99"/>
        <v/>
      </c>
      <c r="N453" s="100">
        <f t="shared" si="100"/>
        <v>0</v>
      </c>
      <c r="O453" s="101">
        <f t="shared" si="101"/>
        <v>0</v>
      </c>
      <c r="P453" s="52">
        <f t="shared" si="102"/>
        <v>0</v>
      </c>
      <c r="Q453" s="49">
        <v>116.88487613461319</v>
      </c>
      <c r="R453">
        <v>2225</v>
      </c>
      <c r="S453" s="50">
        <f t="shared" si="98"/>
        <v>71535.307499999995</v>
      </c>
      <c r="T453" s="50">
        <f t="shared" si="103"/>
        <v>0</v>
      </c>
      <c r="U453" s="58">
        <f t="shared" si="104"/>
        <v>0</v>
      </c>
      <c r="V453" s="58">
        <f t="shared" si="105"/>
        <v>0</v>
      </c>
      <c r="W453" s="58">
        <f t="shared" si="106"/>
        <v>0</v>
      </c>
      <c r="X453" s="58">
        <f t="shared" si="107"/>
        <v>0</v>
      </c>
      <c r="Y453" s="52">
        <f t="shared" si="108"/>
        <v>0</v>
      </c>
    </row>
    <row r="454" spans="1:25" x14ac:dyDescent="0.25">
      <c r="A454" s="1218" t="s">
        <v>148</v>
      </c>
      <c r="B454" s="98">
        <v>45383</v>
      </c>
      <c r="C454" s="117" t="str">
        <f t="shared" si="95"/>
        <v>5L</v>
      </c>
      <c r="D454" s="96"/>
      <c r="E454" s="98"/>
      <c r="F454" s="98"/>
      <c r="G454" s="55"/>
      <c r="H454" s="55"/>
      <c r="I454" s="99">
        <f t="shared" si="96"/>
        <v>0</v>
      </c>
      <c r="J454" s="55"/>
      <c r="K454" s="55"/>
      <c r="L454" s="99">
        <f t="shared" si="97"/>
        <v>0</v>
      </c>
      <c r="M454" s="44" t="str">
        <f t="shared" si="99"/>
        <v/>
      </c>
      <c r="N454" s="100">
        <f t="shared" si="100"/>
        <v>0</v>
      </c>
      <c r="O454" s="101">
        <f t="shared" si="101"/>
        <v>0</v>
      </c>
      <c r="P454" s="52">
        <f t="shared" si="102"/>
        <v>0</v>
      </c>
      <c r="Q454" s="49">
        <v>116.88487613461319</v>
      </c>
      <c r="R454">
        <v>2225</v>
      </c>
      <c r="S454" s="50">
        <f t="shared" si="98"/>
        <v>71535.307499999995</v>
      </c>
      <c r="T454" s="50">
        <f t="shared" si="103"/>
        <v>0</v>
      </c>
      <c r="U454" s="58">
        <f t="shared" si="104"/>
        <v>0</v>
      </c>
      <c r="V454" s="58">
        <f t="shared" si="105"/>
        <v>0</v>
      </c>
      <c r="W454" s="58">
        <f t="shared" si="106"/>
        <v>0</v>
      </c>
      <c r="X454" s="58">
        <f t="shared" si="107"/>
        <v>0</v>
      </c>
      <c r="Y454" s="52">
        <f t="shared" si="108"/>
        <v>0</v>
      </c>
    </row>
    <row r="455" spans="1:25" x14ac:dyDescent="0.25">
      <c r="A455" s="1218" t="s">
        <v>149</v>
      </c>
      <c r="B455" s="98">
        <v>45383</v>
      </c>
      <c r="C455" s="117" t="str">
        <f t="shared" ref="C455:C518" si="110">LEFT(A455,2)</f>
        <v>5L</v>
      </c>
      <c r="D455" s="96"/>
      <c r="E455" s="98"/>
      <c r="F455" s="98"/>
      <c r="G455" s="55"/>
      <c r="H455" s="55"/>
      <c r="I455" s="99">
        <f t="shared" si="96"/>
        <v>0</v>
      </c>
      <c r="J455" s="55"/>
      <c r="K455" s="55"/>
      <c r="L455" s="99">
        <f t="shared" si="97"/>
        <v>0</v>
      </c>
      <c r="M455" s="44" t="str">
        <f t="shared" si="99"/>
        <v/>
      </c>
      <c r="N455" s="100">
        <f t="shared" si="100"/>
        <v>0</v>
      </c>
      <c r="O455" s="101">
        <f t="shared" si="101"/>
        <v>0</v>
      </c>
      <c r="P455" s="52">
        <f t="shared" si="102"/>
        <v>0</v>
      </c>
      <c r="Q455" s="49">
        <v>116.88487613461319</v>
      </c>
      <c r="R455">
        <v>2225</v>
      </c>
      <c r="S455" s="50">
        <f t="shared" si="98"/>
        <v>71535.307499999995</v>
      </c>
      <c r="T455" s="50">
        <f t="shared" si="103"/>
        <v>0</v>
      </c>
      <c r="U455" s="58">
        <f t="shared" si="104"/>
        <v>0</v>
      </c>
      <c r="V455" s="58">
        <f t="shared" si="105"/>
        <v>0</v>
      </c>
      <c r="W455" s="58">
        <f t="shared" si="106"/>
        <v>0</v>
      </c>
      <c r="X455" s="58">
        <f t="shared" si="107"/>
        <v>0</v>
      </c>
      <c r="Y455" s="52">
        <f t="shared" si="108"/>
        <v>0</v>
      </c>
    </row>
    <row r="456" spans="1:25" x14ac:dyDescent="0.25">
      <c r="A456" s="1218" t="s">
        <v>150</v>
      </c>
      <c r="B456" s="98">
        <v>45383</v>
      </c>
      <c r="C456" s="117" t="str">
        <f t="shared" si="110"/>
        <v>6L</v>
      </c>
      <c r="D456" s="96"/>
      <c r="E456" s="98"/>
      <c r="F456" s="98"/>
      <c r="I456" s="99">
        <f t="shared" si="96"/>
        <v>0</v>
      </c>
      <c r="L456" s="99">
        <f t="shared" si="97"/>
        <v>0</v>
      </c>
      <c r="M456" s="44" t="str">
        <f t="shared" si="99"/>
        <v/>
      </c>
      <c r="N456" s="100">
        <f t="shared" si="100"/>
        <v>0</v>
      </c>
      <c r="O456" s="101">
        <f t="shared" si="101"/>
        <v>0</v>
      </c>
      <c r="P456" s="52">
        <f t="shared" si="102"/>
        <v>0</v>
      </c>
      <c r="Q456" s="49">
        <v>116.88487613461319</v>
      </c>
      <c r="R456">
        <v>2225</v>
      </c>
      <c r="S456" s="50">
        <f t="shared" si="98"/>
        <v>71535.307499999995</v>
      </c>
      <c r="T456" s="50">
        <f t="shared" si="103"/>
        <v>0</v>
      </c>
      <c r="U456" s="58">
        <f t="shared" si="104"/>
        <v>0</v>
      </c>
      <c r="V456" s="58">
        <f t="shared" si="105"/>
        <v>0</v>
      </c>
      <c r="W456" s="58">
        <f t="shared" si="106"/>
        <v>0</v>
      </c>
      <c r="X456" s="58">
        <f t="shared" si="107"/>
        <v>0</v>
      </c>
      <c r="Y456" s="52">
        <f t="shared" si="108"/>
        <v>0</v>
      </c>
    </row>
    <row r="457" spans="1:25" x14ac:dyDescent="0.25">
      <c r="A457" s="1218" t="s">
        <v>151</v>
      </c>
      <c r="B457" s="98">
        <v>45383</v>
      </c>
      <c r="C457" s="117" t="str">
        <f t="shared" si="110"/>
        <v>6L</v>
      </c>
      <c r="D457" s="96"/>
      <c r="E457" s="98"/>
      <c r="F457" s="98"/>
      <c r="I457" s="99">
        <f t="shared" si="96"/>
        <v>0</v>
      </c>
      <c r="L457" s="99">
        <f t="shared" si="97"/>
        <v>0</v>
      </c>
      <c r="M457" s="44" t="str">
        <f t="shared" si="99"/>
        <v/>
      </c>
      <c r="N457" s="100">
        <f t="shared" si="100"/>
        <v>0</v>
      </c>
      <c r="O457" s="101">
        <f t="shared" si="101"/>
        <v>0</v>
      </c>
      <c r="P457" s="52">
        <f t="shared" si="102"/>
        <v>0</v>
      </c>
      <c r="Q457" s="49">
        <v>116.88487613461319</v>
      </c>
      <c r="R457">
        <v>2225</v>
      </c>
      <c r="S457" s="50">
        <f t="shared" si="98"/>
        <v>71535.307499999995</v>
      </c>
      <c r="T457" s="50">
        <f t="shared" si="103"/>
        <v>0</v>
      </c>
      <c r="U457" s="58">
        <f t="shared" si="104"/>
        <v>0</v>
      </c>
      <c r="V457" s="58">
        <f t="shared" si="105"/>
        <v>0</v>
      </c>
      <c r="W457" s="58">
        <f t="shared" si="106"/>
        <v>0</v>
      </c>
      <c r="X457" s="58">
        <f t="shared" si="107"/>
        <v>0</v>
      </c>
      <c r="Y457" s="52">
        <f t="shared" si="108"/>
        <v>0</v>
      </c>
    </row>
    <row r="458" spans="1:25" x14ac:dyDescent="0.25">
      <c r="A458" s="1218" t="s">
        <v>152</v>
      </c>
      <c r="B458" s="98">
        <v>45383</v>
      </c>
      <c r="C458" s="117" t="str">
        <f t="shared" si="110"/>
        <v>6L</v>
      </c>
      <c r="D458" s="96"/>
      <c r="E458" s="98"/>
      <c r="F458" s="98"/>
      <c r="I458" s="99"/>
      <c r="L458" s="99"/>
      <c r="M458" s="44"/>
      <c r="N458" s="100"/>
      <c r="O458" s="101"/>
      <c r="P458" s="52"/>
      <c r="Q458" s="49"/>
      <c r="S458" s="50"/>
      <c r="T458" s="50"/>
      <c r="U458" s="58"/>
      <c r="V458" s="58"/>
      <c r="W458" s="58"/>
      <c r="X458" s="58"/>
      <c r="Y458" s="52"/>
    </row>
    <row r="459" spans="1:25" x14ac:dyDescent="0.25">
      <c r="A459" s="1218" t="s">
        <v>153</v>
      </c>
      <c r="B459" s="98">
        <v>45383</v>
      </c>
      <c r="C459" s="117" t="str">
        <f t="shared" si="110"/>
        <v>6L</v>
      </c>
      <c r="D459" s="96"/>
      <c r="E459" s="98"/>
      <c r="F459" s="98"/>
      <c r="I459" s="99">
        <f t="shared" si="96"/>
        <v>0</v>
      </c>
      <c r="L459" s="99">
        <f t="shared" si="97"/>
        <v>0</v>
      </c>
      <c r="M459" s="44" t="str">
        <f t="shared" si="99"/>
        <v/>
      </c>
      <c r="N459" s="100">
        <f t="shared" si="100"/>
        <v>0</v>
      </c>
      <c r="O459" s="101">
        <f t="shared" si="101"/>
        <v>0</v>
      </c>
      <c r="P459" s="52">
        <f t="shared" si="102"/>
        <v>0</v>
      </c>
      <c r="Q459" s="49">
        <v>116.88487613461319</v>
      </c>
      <c r="R459">
        <v>2225</v>
      </c>
      <c r="S459" s="50">
        <f t="shared" si="98"/>
        <v>71535.307499999995</v>
      </c>
      <c r="T459" s="50">
        <f t="shared" si="103"/>
        <v>0</v>
      </c>
      <c r="U459" s="58">
        <f t="shared" si="104"/>
        <v>0</v>
      </c>
      <c r="V459" s="58">
        <f t="shared" si="105"/>
        <v>0</v>
      </c>
      <c r="W459" s="58">
        <f t="shared" si="106"/>
        <v>0</v>
      </c>
      <c r="X459" s="58">
        <f t="shared" si="107"/>
        <v>0</v>
      </c>
      <c r="Y459" s="52">
        <f t="shared" si="108"/>
        <v>0</v>
      </c>
    </row>
    <row r="460" spans="1:25" x14ac:dyDescent="0.25">
      <c r="A460" s="1218" t="s">
        <v>154</v>
      </c>
      <c r="B460" s="98">
        <v>45383</v>
      </c>
      <c r="C460" s="117" t="str">
        <f t="shared" si="110"/>
        <v>6L</v>
      </c>
      <c r="D460" s="96"/>
      <c r="E460" s="98"/>
      <c r="F460" s="98"/>
      <c r="I460" s="99"/>
      <c r="L460" s="99"/>
      <c r="M460" s="44"/>
      <c r="N460" s="100"/>
      <c r="O460" s="101"/>
      <c r="P460" s="52"/>
      <c r="Q460" s="49"/>
      <c r="S460" s="50"/>
      <c r="T460" s="50"/>
      <c r="U460" s="58"/>
      <c r="V460" s="58"/>
      <c r="W460" s="58"/>
      <c r="X460" s="58"/>
      <c r="Y460" s="52"/>
    </row>
    <row r="461" spans="1:25" x14ac:dyDescent="0.25">
      <c r="A461" s="1218" t="s">
        <v>155</v>
      </c>
      <c r="B461" s="98">
        <v>45383</v>
      </c>
      <c r="C461" s="117" t="str">
        <f t="shared" si="110"/>
        <v>6L</v>
      </c>
      <c r="D461" s="96"/>
      <c r="E461" s="98"/>
      <c r="F461" s="98"/>
      <c r="I461" s="99">
        <f t="shared" si="96"/>
        <v>0</v>
      </c>
      <c r="L461" s="99">
        <f t="shared" si="97"/>
        <v>0</v>
      </c>
      <c r="M461" s="44" t="str">
        <f t="shared" si="99"/>
        <v/>
      </c>
      <c r="N461" s="100">
        <f t="shared" si="100"/>
        <v>0</v>
      </c>
      <c r="O461" s="101">
        <f t="shared" si="101"/>
        <v>0</v>
      </c>
      <c r="P461" s="52">
        <f t="shared" si="102"/>
        <v>0</v>
      </c>
      <c r="Q461" s="49">
        <v>116.88487613461319</v>
      </c>
      <c r="R461">
        <v>2225</v>
      </c>
      <c r="S461" s="50">
        <f t="shared" si="98"/>
        <v>71535.307499999995</v>
      </c>
      <c r="T461" s="50">
        <f t="shared" si="103"/>
        <v>0</v>
      </c>
      <c r="U461" s="58">
        <f t="shared" si="104"/>
        <v>0</v>
      </c>
      <c r="V461" s="58">
        <f t="shared" si="105"/>
        <v>0</v>
      </c>
      <c r="W461" s="58">
        <f t="shared" si="106"/>
        <v>0</v>
      </c>
      <c r="X461" s="58">
        <f t="shared" si="107"/>
        <v>0</v>
      </c>
      <c r="Y461" s="52">
        <f t="shared" si="108"/>
        <v>0</v>
      </c>
    </row>
    <row r="462" spans="1:25" x14ac:dyDescent="0.25">
      <c r="A462" s="1218" t="s">
        <v>156</v>
      </c>
      <c r="B462" s="98">
        <v>45383</v>
      </c>
      <c r="C462" s="117" t="str">
        <f t="shared" si="110"/>
        <v>6L</v>
      </c>
      <c r="D462" s="96"/>
      <c r="E462" s="98"/>
      <c r="F462" s="98"/>
      <c r="I462" s="99">
        <f t="shared" si="96"/>
        <v>0</v>
      </c>
      <c r="L462" s="99">
        <f t="shared" si="97"/>
        <v>0</v>
      </c>
      <c r="M462" s="44" t="str">
        <f t="shared" si="99"/>
        <v/>
      </c>
      <c r="N462" s="100">
        <f t="shared" si="100"/>
        <v>0</v>
      </c>
      <c r="O462" s="101">
        <f t="shared" si="101"/>
        <v>0</v>
      </c>
      <c r="P462" s="52">
        <f t="shared" si="102"/>
        <v>0</v>
      </c>
      <c r="Q462" s="49">
        <v>116.88487613461319</v>
      </c>
      <c r="R462">
        <v>2225</v>
      </c>
      <c r="S462" s="50">
        <f t="shared" si="98"/>
        <v>71535.307499999995</v>
      </c>
      <c r="T462" s="50">
        <f t="shared" si="103"/>
        <v>0</v>
      </c>
      <c r="U462" s="58">
        <f t="shared" si="104"/>
        <v>0</v>
      </c>
      <c r="V462" s="58">
        <f t="shared" si="105"/>
        <v>0</v>
      </c>
      <c r="W462" s="58">
        <f t="shared" si="106"/>
        <v>0</v>
      </c>
      <c r="X462" s="58">
        <f t="shared" si="107"/>
        <v>0</v>
      </c>
      <c r="Y462" s="52">
        <f t="shared" si="108"/>
        <v>0</v>
      </c>
    </row>
    <row r="463" spans="1:25" x14ac:dyDescent="0.25">
      <c r="A463" s="1218" t="s">
        <v>157</v>
      </c>
      <c r="B463" s="98">
        <v>45383</v>
      </c>
      <c r="C463" s="117" t="str">
        <f t="shared" si="110"/>
        <v>6L</v>
      </c>
      <c r="D463" s="96"/>
      <c r="E463" s="98"/>
      <c r="F463" s="98"/>
      <c r="I463" s="99">
        <f t="shared" si="96"/>
        <v>0</v>
      </c>
      <c r="L463" s="99">
        <f t="shared" si="97"/>
        <v>0</v>
      </c>
      <c r="M463" s="44" t="str">
        <f t="shared" si="99"/>
        <v/>
      </c>
      <c r="N463" s="100">
        <f t="shared" si="100"/>
        <v>0</v>
      </c>
      <c r="O463" s="101">
        <f t="shared" si="101"/>
        <v>0</v>
      </c>
      <c r="P463" s="52">
        <f t="shared" si="102"/>
        <v>0</v>
      </c>
      <c r="Q463" s="49">
        <v>116.88487613461319</v>
      </c>
      <c r="R463">
        <v>2225</v>
      </c>
      <c r="S463" s="50">
        <f t="shared" si="98"/>
        <v>71535.307499999995</v>
      </c>
      <c r="T463" s="50">
        <f t="shared" si="103"/>
        <v>0</v>
      </c>
      <c r="U463" s="58">
        <f t="shared" si="104"/>
        <v>0</v>
      </c>
      <c r="V463" s="58">
        <f t="shared" si="105"/>
        <v>0</v>
      </c>
      <c r="W463" s="58">
        <f t="shared" si="106"/>
        <v>0</v>
      </c>
      <c r="X463" s="58">
        <f t="shared" si="107"/>
        <v>0</v>
      </c>
      <c r="Y463" s="52">
        <f t="shared" si="108"/>
        <v>0</v>
      </c>
    </row>
    <row r="464" spans="1:25" x14ac:dyDescent="0.25">
      <c r="A464" s="1218" t="s">
        <v>158</v>
      </c>
      <c r="B464" s="98">
        <v>45383</v>
      </c>
      <c r="C464" s="117" t="str">
        <f t="shared" si="110"/>
        <v>6L</v>
      </c>
      <c r="D464" s="96"/>
      <c r="E464" s="98"/>
      <c r="F464" s="98"/>
      <c r="I464" s="99">
        <f t="shared" si="96"/>
        <v>0</v>
      </c>
      <c r="L464" s="99">
        <f t="shared" si="97"/>
        <v>0</v>
      </c>
      <c r="M464" s="44" t="str">
        <f t="shared" si="99"/>
        <v/>
      </c>
      <c r="N464" s="100">
        <f t="shared" si="100"/>
        <v>0</v>
      </c>
      <c r="O464" s="101">
        <f t="shared" si="101"/>
        <v>0</v>
      </c>
      <c r="P464" s="52">
        <f t="shared" si="102"/>
        <v>0</v>
      </c>
      <c r="Q464" s="49">
        <v>116.88487613461319</v>
      </c>
      <c r="R464">
        <v>2225</v>
      </c>
      <c r="S464" s="50">
        <f t="shared" si="98"/>
        <v>71535.307499999995</v>
      </c>
      <c r="T464" s="50">
        <f t="shared" si="103"/>
        <v>0</v>
      </c>
      <c r="U464" s="58">
        <f t="shared" si="104"/>
        <v>0</v>
      </c>
      <c r="V464" s="58">
        <f t="shared" si="105"/>
        <v>0</v>
      </c>
      <c r="W464" s="58">
        <f t="shared" si="106"/>
        <v>0</v>
      </c>
      <c r="X464" s="58">
        <f t="shared" si="107"/>
        <v>0</v>
      </c>
      <c r="Y464" s="52">
        <f t="shared" si="108"/>
        <v>0</v>
      </c>
    </row>
    <row r="465" spans="1:25" x14ac:dyDescent="0.25">
      <c r="A465" s="1218" t="s">
        <v>159</v>
      </c>
      <c r="B465" s="98">
        <v>45383</v>
      </c>
      <c r="C465" s="117" t="str">
        <f t="shared" si="110"/>
        <v>6L</v>
      </c>
      <c r="D465" s="96"/>
      <c r="E465" s="98"/>
      <c r="F465" s="98"/>
      <c r="I465" s="99">
        <f t="shared" si="96"/>
        <v>0</v>
      </c>
      <c r="L465" s="99">
        <f t="shared" si="97"/>
        <v>0</v>
      </c>
      <c r="M465" s="44" t="str">
        <f t="shared" si="99"/>
        <v/>
      </c>
      <c r="N465" s="100">
        <f t="shared" si="100"/>
        <v>0</v>
      </c>
      <c r="O465" s="101">
        <f t="shared" si="101"/>
        <v>0</v>
      </c>
      <c r="P465" s="52">
        <f t="shared" si="102"/>
        <v>0</v>
      </c>
      <c r="Q465" s="49">
        <v>116.88487613461319</v>
      </c>
      <c r="R465">
        <v>2225</v>
      </c>
      <c r="S465" s="50">
        <f t="shared" si="98"/>
        <v>71535.307499999995</v>
      </c>
      <c r="T465" s="50">
        <f t="shared" si="103"/>
        <v>0</v>
      </c>
      <c r="U465" s="58">
        <f t="shared" si="104"/>
        <v>0</v>
      </c>
      <c r="V465" s="58">
        <f t="shared" si="105"/>
        <v>0</v>
      </c>
      <c r="W465" s="58">
        <f t="shared" si="106"/>
        <v>0</v>
      </c>
      <c r="X465" s="58">
        <f t="shared" si="107"/>
        <v>0</v>
      </c>
      <c r="Y465" s="52">
        <f t="shared" si="108"/>
        <v>0</v>
      </c>
    </row>
    <row r="466" spans="1:25" x14ac:dyDescent="0.25">
      <c r="A466" s="1218" t="s">
        <v>160</v>
      </c>
      <c r="B466" s="98">
        <v>45383</v>
      </c>
      <c r="C466" s="117" t="str">
        <f t="shared" si="110"/>
        <v>6L</v>
      </c>
      <c r="D466" s="96"/>
      <c r="E466" s="98"/>
      <c r="F466" s="98"/>
      <c r="I466" s="99">
        <f t="shared" si="96"/>
        <v>0</v>
      </c>
      <c r="L466" s="99">
        <f t="shared" si="97"/>
        <v>0</v>
      </c>
      <c r="M466" s="44" t="str">
        <f t="shared" si="99"/>
        <v/>
      </c>
      <c r="N466" s="100">
        <f t="shared" si="100"/>
        <v>0</v>
      </c>
      <c r="O466" s="101">
        <f t="shared" si="101"/>
        <v>0</v>
      </c>
      <c r="P466" s="52">
        <f t="shared" si="102"/>
        <v>0</v>
      </c>
      <c r="Q466" s="49">
        <v>116.88487613461319</v>
      </c>
      <c r="R466">
        <v>2225</v>
      </c>
      <c r="S466" s="50">
        <f t="shared" si="98"/>
        <v>71535.307499999995</v>
      </c>
      <c r="T466" s="50">
        <f t="shared" si="103"/>
        <v>0</v>
      </c>
      <c r="U466" s="58">
        <f t="shared" si="104"/>
        <v>0</v>
      </c>
      <c r="V466" s="58">
        <f t="shared" si="105"/>
        <v>0</v>
      </c>
      <c r="W466" s="58">
        <f t="shared" si="106"/>
        <v>0</v>
      </c>
      <c r="X466" s="58">
        <f t="shared" si="107"/>
        <v>0</v>
      </c>
      <c r="Y466" s="52">
        <f t="shared" si="108"/>
        <v>0</v>
      </c>
    </row>
    <row r="467" spans="1:25" x14ac:dyDescent="0.25">
      <c r="A467" s="1218" t="s">
        <v>161</v>
      </c>
      <c r="B467" s="98">
        <v>45383</v>
      </c>
      <c r="C467" s="117" t="str">
        <f t="shared" si="110"/>
        <v>6L</v>
      </c>
      <c r="D467" s="96"/>
      <c r="E467" s="98"/>
      <c r="F467" s="98"/>
      <c r="I467" s="99">
        <f t="shared" si="96"/>
        <v>0</v>
      </c>
      <c r="L467" s="99">
        <f t="shared" si="97"/>
        <v>0</v>
      </c>
      <c r="M467" s="44" t="str">
        <f t="shared" si="99"/>
        <v/>
      </c>
      <c r="N467" s="100">
        <f t="shared" si="100"/>
        <v>0</v>
      </c>
      <c r="O467" s="101">
        <f t="shared" si="101"/>
        <v>0</v>
      </c>
      <c r="P467" s="52">
        <f t="shared" si="102"/>
        <v>0</v>
      </c>
      <c r="Q467" s="49">
        <v>116.88487613461319</v>
      </c>
      <c r="R467">
        <v>2225</v>
      </c>
      <c r="S467" s="50">
        <f t="shared" si="98"/>
        <v>71535.307499999995</v>
      </c>
      <c r="T467" s="50">
        <f t="shared" si="103"/>
        <v>0</v>
      </c>
      <c r="U467" s="58">
        <f t="shared" si="104"/>
        <v>0</v>
      </c>
      <c r="V467" s="58">
        <f t="shared" si="105"/>
        <v>0</v>
      </c>
      <c r="W467" s="58">
        <f t="shared" si="106"/>
        <v>0</v>
      </c>
      <c r="X467" s="58">
        <f t="shared" si="107"/>
        <v>0</v>
      </c>
      <c r="Y467" s="52">
        <f t="shared" si="108"/>
        <v>0</v>
      </c>
    </row>
    <row r="468" spans="1:25" x14ac:dyDescent="0.25">
      <c r="A468" s="1218" t="s">
        <v>162</v>
      </c>
      <c r="B468" s="98">
        <v>45383</v>
      </c>
      <c r="C468" s="117" t="str">
        <f t="shared" si="110"/>
        <v>6L</v>
      </c>
      <c r="D468" s="96"/>
      <c r="E468" s="98"/>
      <c r="F468" s="98"/>
      <c r="I468" s="99">
        <f t="shared" si="96"/>
        <v>0</v>
      </c>
      <c r="L468" s="99">
        <f t="shared" si="97"/>
        <v>0</v>
      </c>
      <c r="M468" s="44" t="str">
        <f t="shared" si="99"/>
        <v/>
      </c>
      <c r="N468" s="100">
        <f t="shared" si="100"/>
        <v>0</v>
      </c>
      <c r="O468" s="101">
        <f t="shared" si="101"/>
        <v>0</v>
      </c>
      <c r="P468" s="52">
        <f t="shared" si="102"/>
        <v>0</v>
      </c>
      <c r="Q468" s="49">
        <v>116.88487613461319</v>
      </c>
      <c r="R468">
        <v>2225</v>
      </c>
      <c r="S468" s="50">
        <f t="shared" si="98"/>
        <v>71535.307499999995</v>
      </c>
      <c r="T468" s="50">
        <f t="shared" si="103"/>
        <v>0</v>
      </c>
      <c r="U468" s="58">
        <f t="shared" si="104"/>
        <v>0</v>
      </c>
      <c r="V468" s="58">
        <f t="shared" si="105"/>
        <v>0</v>
      </c>
      <c r="W468" s="58">
        <f t="shared" si="106"/>
        <v>0</v>
      </c>
      <c r="X468" s="58">
        <f t="shared" si="107"/>
        <v>0</v>
      </c>
      <c r="Y468" s="52">
        <f t="shared" si="108"/>
        <v>0</v>
      </c>
    </row>
    <row r="469" spans="1:25" x14ac:dyDescent="0.25">
      <c r="A469" s="1218" t="s">
        <v>163</v>
      </c>
      <c r="B469" s="98">
        <v>45383</v>
      </c>
      <c r="C469" s="117" t="str">
        <f t="shared" si="110"/>
        <v>6L</v>
      </c>
      <c r="D469" s="96"/>
      <c r="E469" s="98"/>
      <c r="F469" s="98"/>
      <c r="I469" s="99">
        <f t="shared" si="96"/>
        <v>0</v>
      </c>
      <c r="L469" s="99">
        <f t="shared" si="97"/>
        <v>0</v>
      </c>
      <c r="M469" s="44" t="str">
        <f t="shared" si="99"/>
        <v/>
      </c>
      <c r="N469" s="100">
        <f t="shared" si="100"/>
        <v>0</v>
      </c>
      <c r="O469" s="101">
        <f t="shared" si="101"/>
        <v>0</v>
      </c>
      <c r="P469" s="52">
        <f t="shared" si="102"/>
        <v>0</v>
      </c>
      <c r="Q469" s="49">
        <v>116.88487613461319</v>
      </c>
      <c r="R469">
        <v>2225</v>
      </c>
      <c r="S469" s="50">
        <f t="shared" si="98"/>
        <v>71535.307499999995</v>
      </c>
      <c r="T469" s="50">
        <f t="shared" si="103"/>
        <v>0</v>
      </c>
      <c r="U469" s="58">
        <f t="shared" si="104"/>
        <v>0</v>
      </c>
      <c r="V469" s="58">
        <f t="shared" si="105"/>
        <v>0</v>
      </c>
      <c r="W469" s="58">
        <f t="shared" si="106"/>
        <v>0</v>
      </c>
      <c r="X469" s="58">
        <f t="shared" si="107"/>
        <v>0</v>
      </c>
      <c r="Y469" s="52">
        <f t="shared" si="108"/>
        <v>0</v>
      </c>
    </row>
    <row r="470" spans="1:25" x14ac:dyDescent="0.25">
      <c r="A470" s="1218" t="s">
        <v>164</v>
      </c>
      <c r="B470" s="98">
        <v>45383</v>
      </c>
      <c r="C470" s="117" t="str">
        <f t="shared" si="110"/>
        <v>6L</v>
      </c>
      <c r="D470" s="96"/>
      <c r="E470" s="98"/>
      <c r="F470" s="98"/>
      <c r="I470" s="99">
        <f t="shared" ref="I470:I533" si="111">IFERROR(G470*H470/1000,"")</f>
        <v>0</v>
      </c>
      <c r="L470" s="99">
        <f t="shared" ref="L470:L533" si="112">IFERROR(J470*K470/1000,"")</f>
        <v>0</v>
      </c>
      <c r="M470" s="44" t="str">
        <f t="shared" si="99"/>
        <v/>
      </c>
      <c r="N470" s="100">
        <f t="shared" si="100"/>
        <v>0</v>
      </c>
      <c r="O470" s="101">
        <f t="shared" si="101"/>
        <v>0</v>
      </c>
      <c r="P470" s="52">
        <f t="shared" si="102"/>
        <v>0</v>
      </c>
      <c r="Q470" s="49">
        <v>116.88487613461319</v>
      </c>
      <c r="R470">
        <v>2225</v>
      </c>
      <c r="S470" s="50">
        <f t="shared" ref="S470:S533" si="113">R470*32.1507</f>
        <v>71535.307499999995</v>
      </c>
      <c r="T470" s="50">
        <f t="shared" si="103"/>
        <v>0</v>
      </c>
      <c r="U470" s="58">
        <f t="shared" si="104"/>
        <v>0</v>
      </c>
      <c r="V470" s="58">
        <f t="shared" si="105"/>
        <v>0</v>
      </c>
      <c r="W470" s="58">
        <f t="shared" si="106"/>
        <v>0</v>
      </c>
      <c r="X470" s="58">
        <f t="shared" si="107"/>
        <v>0</v>
      </c>
      <c r="Y470" s="52">
        <f t="shared" si="108"/>
        <v>0</v>
      </c>
    </row>
    <row r="471" spans="1:25" x14ac:dyDescent="0.25">
      <c r="A471" s="1218" t="s">
        <v>165</v>
      </c>
      <c r="B471" s="98">
        <v>45383</v>
      </c>
      <c r="C471" s="117" t="str">
        <f t="shared" si="110"/>
        <v>6L</v>
      </c>
      <c r="D471" s="96"/>
      <c r="E471" s="98"/>
      <c r="F471" s="98"/>
      <c r="I471" s="99">
        <f t="shared" si="111"/>
        <v>0</v>
      </c>
      <c r="L471" s="99">
        <f t="shared" si="112"/>
        <v>0</v>
      </c>
      <c r="M471" s="44" t="str">
        <f t="shared" si="99"/>
        <v/>
      </c>
      <c r="N471" s="100">
        <f t="shared" si="100"/>
        <v>0</v>
      </c>
      <c r="O471" s="101">
        <f t="shared" si="101"/>
        <v>0</v>
      </c>
      <c r="P471" s="52">
        <f t="shared" si="102"/>
        <v>0</v>
      </c>
      <c r="Q471" s="49">
        <v>116.88487613461319</v>
      </c>
      <c r="R471">
        <v>2225</v>
      </c>
      <c r="S471" s="50">
        <f t="shared" si="113"/>
        <v>71535.307499999995</v>
      </c>
      <c r="T471" s="50">
        <f t="shared" si="103"/>
        <v>0</v>
      </c>
      <c r="U471" s="58">
        <f t="shared" si="104"/>
        <v>0</v>
      </c>
      <c r="V471" s="58">
        <f t="shared" si="105"/>
        <v>0</v>
      </c>
      <c r="W471" s="58">
        <f t="shared" si="106"/>
        <v>0</v>
      </c>
      <c r="X471" s="58">
        <f t="shared" si="107"/>
        <v>0</v>
      </c>
      <c r="Y471" s="52">
        <f t="shared" si="108"/>
        <v>0</v>
      </c>
    </row>
    <row r="472" spans="1:25" x14ac:dyDescent="0.25">
      <c r="A472" s="1218" t="s">
        <v>166</v>
      </c>
      <c r="B472" s="98">
        <v>45383</v>
      </c>
      <c r="C472" s="117" t="str">
        <f t="shared" si="110"/>
        <v>6L</v>
      </c>
      <c r="D472" s="96"/>
      <c r="E472" s="98"/>
      <c r="F472" s="98"/>
      <c r="I472" s="99">
        <f t="shared" si="111"/>
        <v>0</v>
      </c>
      <c r="L472" s="99">
        <f t="shared" si="112"/>
        <v>0</v>
      </c>
      <c r="M472" s="44" t="str">
        <f t="shared" ref="M472:M535" si="114">IFERROR((L472-I472)/I472,"")</f>
        <v/>
      </c>
      <c r="N472" s="100">
        <f t="shared" ref="N472:N535" si="115">J472-G472</f>
        <v>0</v>
      </c>
      <c r="O472" s="101">
        <f t="shared" ref="O472:O535" si="116">L472-I472</f>
        <v>0</v>
      </c>
      <c r="P472" s="52">
        <f t="shared" ref="P472:P535" si="117">U472-W472</f>
        <v>0</v>
      </c>
      <c r="Q472" s="49">
        <v>116.88487613461319</v>
      </c>
      <c r="R472">
        <v>2225</v>
      </c>
      <c r="S472" s="50">
        <f t="shared" si="113"/>
        <v>71535.307499999995</v>
      </c>
      <c r="T472" s="50">
        <f t="shared" ref="T472:T535" si="118">IFERROR(S472*I472,"")</f>
        <v>0</v>
      </c>
      <c r="U472" s="58">
        <f t="shared" ref="U472:U535" si="119">IFERROR(S472*L472,"")</f>
        <v>0</v>
      </c>
      <c r="V472" s="58">
        <f t="shared" ref="V472:V535" si="120">IFERROR(Q472*G472,"")</f>
        <v>0</v>
      </c>
      <c r="W472" s="58">
        <f t="shared" ref="W472:W535" si="121">IFERROR(Q472*J472,"")</f>
        <v>0</v>
      </c>
      <c r="X472" s="58">
        <f t="shared" ref="X472:X535" si="122">T472-V472</f>
        <v>0</v>
      </c>
      <c r="Y472" s="52">
        <f t="shared" ref="Y472:Y535" si="123">U472-W472</f>
        <v>0</v>
      </c>
    </row>
    <row r="473" spans="1:25" x14ac:dyDescent="0.25">
      <c r="A473" s="1218" t="s">
        <v>167</v>
      </c>
      <c r="B473" s="98">
        <v>45383</v>
      </c>
      <c r="C473" s="117" t="str">
        <f t="shared" si="110"/>
        <v>6L</v>
      </c>
      <c r="D473" s="96"/>
      <c r="E473" s="98"/>
      <c r="F473" s="98"/>
      <c r="I473" s="99">
        <f t="shared" si="111"/>
        <v>0</v>
      </c>
      <c r="L473" s="99">
        <f t="shared" si="112"/>
        <v>0</v>
      </c>
      <c r="M473" s="44" t="str">
        <f t="shared" si="114"/>
        <v/>
      </c>
      <c r="N473" s="100">
        <f t="shared" si="115"/>
        <v>0</v>
      </c>
      <c r="O473" s="101">
        <f t="shared" si="116"/>
        <v>0</v>
      </c>
      <c r="P473" s="52">
        <f t="shared" si="117"/>
        <v>0</v>
      </c>
      <c r="Q473" s="49">
        <v>116.88487613461319</v>
      </c>
      <c r="R473">
        <v>2225</v>
      </c>
      <c r="S473" s="50">
        <f t="shared" si="113"/>
        <v>71535.307499999995</v>
      </c>
      <c r="T473" s="50">
        <f t="shared" si="118"/>
        <v>0</v>
      </c>
      <c r="U473" s="58">
        <f t="shared" si="119"/>
        <v>0</v>
      </c>
      <c r="V473" s="58">
        <f t="shared" si="120"/>
        <v>0</v>
      </c>
      <c r="W473" s="58">
        <f t="shared" si="121"/>
        <v>0</v>
      </c>
      <c r="X473" s="58">
        <f t="shared" si="122"/>
        <v>0</v>
      </c>
      <c r="Y473" s="52">
        <f t="shared" si="123"/>
        <v>0</v>
      </c>
    </row>
    <row r="474" spans="1:25" x14ac:dyDescent="0.25">
      <c r="A474" s="1218" t="s">
        <v>168</v>
      </c>
      <c r="B474" s="98">
        <v>45383</v>
      </c>
      <c r="C474" s="117" t="str">
        <f t="shared" si="110"/>
        <v>6L</v>
      </c>
      <c r="D474" s="96"/>
      <c r="E474" s="98"/>
      <c r="F474" s="98"/>
      <c r="I474" s="99">
        <f t="shared" si="111"/>
        <v>0</v>
      </c>
      <c r="L474" s="99">
        <f t="shared" si="112"/>
        <v>0</v>
      </c>
      <c r="M474" s="44" t="str">
        <f t="shared" si="114"/>
        <v/>
      </c>
      <c r="N474" s="100">
        <f t="shared" si="115"/>
        <v>0</v>
      </c>
      <c r="O474" s="101">
        <f t="shared" si="116"/>
        <v>0</v>
      </c>
      <c r="P474" s="52">
        <f t="shared" si="117"/>
        <v>0</v>
      </c>
      <c r="Q474" s="49">
        <v>116.88487613461319</v>
      </c>
      <c r="R474">
        <v>2225</v>
      </c>
      <c r="S474" s="50">
        <f t="shared" si="113"/>
        <v>71535.307499999995</v>
      </c>
      <c r="T474" s="50">
        <f t="shared" si="118"/>
        <v>0</v>
      </c>
      <c r="U474" s="58">
        <f t="shared" si="119"/>
        <v>0</v>
      </c>
      <c r="V474" s="58">
        <f t="shared" si="120"/>
        <v>0</v>
      </c>
      <c r="W474" s="58">
        <f t="shared" si="121"/>
        <v>0</v>
      </c>
      <c r="X474" s="58">
        <f t="shared" si="122"/>
        <v>0</v>
      </c>
      <c r="Y474" s="52">
        <f t="shared" si="123"/>
        <v>0</v>
      </c>
    </row>
    <row r="475" spans="1:25" x14ac:dyDescent="0.25">
      <c r="A475" s="1218" t="s">
        <v>169</v>
      </c>
      <c r="B475" s="98">
        <v>45383</v>
      </c>
      <c r="C475" s="117" t="str">
        <f t="shared" si="110"/>
        <v>6L</v>
      </c>
      <c r="D475" s="96"/>
      <c r="E475" s="98"/>
      <c r="F475" s="98"/>
      <c r="I475" s="99">
        <f t="shared" si="111"/>
        <v>0</v>
      </c>
      <c r="L475" s="99">
        <f t="shared" si="112"/>
        <v>0</v>
      </c>
      <c r="M475" s="44" t="str">
        <f t="shared" si="114"/>
        <v/>
      </c>
      <c r="N475" s="100">
        <f t="shared" si="115"/>
        <v>0</v>
      </c>
      <c r="O475" s="101">
        <f t="shared" si="116"/>
        <v>0</v>
      </c>
      <c r="P475" s="52">
        <f t="shared" si="117"/>
        <v>0</v>
      </c>
      <c r="Q475" s="49">
        <v>116.88487613461319</v>
      </c>
      <c r="R475">
        <v>2225</v>
      </c>
      <c r="S475" s="50">
        <f t="shared" si="113"/>
        <v>71535.307499999995</v>
      </c>
      <c r="T475" s="50">
        <f t="shared" si="118"/>
        <v>0</v>
      </c>
      <c r="U475" s="58">
        <f t="shared" si="119"/>
        <v>0</v>
      </c>
      <c r="V475" s="58">
        <f t="shared" si="120"/>
        <v>0</v>
      </c>
      <c r="W475" s="58">
        <f t="shared" si="121"/>
        <v>0</v>
      </c>
      <c r="X475" s="58">
        <f t="shared" si="122"/>
        <v>0</v>
      </c>
      <c r="Y475" s="52">
        <f t="shared" si="123"/>
        <v>0</v>
      </c>
    </row>
    <row r="476" spans="1:25" x14ac:dyDescent="0.25">
      <c r="A476" s="1218" t="s">
        <v>170</v>
      </c>
      <c r="B476" s="98">
        <v>45383</v>
      </c>
      <c r="C476" s="117" t="str">
        <f t="shared" si="110"/>
        <v>6L</v>
      </c>
      <c r="D476" s="96"/>
      <c r="E476" s="98"/>
      <c r="F476" s="98"/>
      <c r="I476" s="99">
        <f t="shared" si="111"/>
        <v>0</v>
      </c>
      <c r="L476" s="99">
        <f t="shared" si="112"/>
        <v>0</v>
      </c>
      <c r="M476" s="44" t="str">
        <f t="shared" si="114"/>
        <v/>
      </c>
      <c r="N476" s="100">
        <f t="shared" si="115"/>
        <v>0</v>
      </c>
      <c r="O476" s="101">
        <f t="shared" si="116"/>
        <v>0</v>
      </c>
      <c r="P476" s="52">
        <f t="shared" si="117"/>
        <v>0</v>
      </c>
      <c r="Q476" s="49">
        <v>116.88487613461319</v>
      </c>
      <c r="R476">
        <v>2225</v>
      </c>
      <c r="S476" s="50">
        <f t="shared" si="113"/>
        <v>71535.307499999995</v>
      </c>
      <c r="T476" s="50">
        <f t="shared" si="118"/>
        <v>0</v>
      </c>
      <c r="U476" s="58">
        <f t="shared" si="119"/>
        <v>0</v>
      </c>
      <c r="V476" s="58">
        <f t="shared" si="120"/>
        <v>0</v>
      </c>
      <c r="W476" s="58">
        <f t="shared" si="121"/>
        <v>0</v>
      </c>
      <c r="X476" s="58">
        <f t="shared" si="122"/>
        <v>0</v>
      </c>
      <c r="Y476" s="52">
        <f t="shared" si="123"/>
        <v>0</v>
      </c>
    </row>
    <row r="477" spans="1:25" x14ac:dyDescent="0.25">
      <c r="A477" s="1218" t="s">
        <v>171</v>
      </c>
      <c r="B477" s="98">
        <v>45383</v>
      </c>
      <c r="C477" s="117" t="str">
        <f t="shared" si="110"/>
        <v>6L</v>
      </c>
      <c r="D477" s="96"/>
      <c r="E477" s="98"/>
      <c r="F477" s="98"/>
      <c r="I477" s="99">
        <f t="shared" si="111"/>
        <v>0</v>
      </c>
      <c r="L477" s="99">
        <f t="shared" si="112"/>
        <v>0</v>
      </c>
      <c r="M477" s="44" t="str">
        <f t="shared" si="114"/>
        <v/>
      </c>
      <c r="N477" s="100">
        <f t="shared" si="115"/>
        <v>0</v>
      </c>
      <c r="O477" s="101">
        <f t="shared" si="116"/>
        <v>0</v>
      </c>
      <c r="P477" s="52">
        <f t="shared" si="117"/>
        <v>0</v>
      </c>
      <c r="Q477" s="49">
        <v>116.88487613461319</v>
      </c>
      <c r="R477">
        <v>2225</v>
      </c>
      <c r="S477" s="50">
        <f t="shared" si="113"/>
        <v>71535.307499999995</v>
      </c>
      <c r="T477" s="50">
        <f t="shared" si="118"/>
        <v>0</v>
      </c>
      <c r="U477" s="58">
        <f t="shared" si="119"/>
        <v>0</v>
      </c>
      <c r="V477" s="58">
        <f t="shared" si="120"/>
        <v>0</v>
      </c>
      <c r="W477" s="58">
        <f t="shared" si="121"/>
        <v>0</v>
      </c>
      <c r="X477" s="58">
        <f t="shared" si="122"/>
        <v>0</v>
      </c>
      <c r="Y477" s="52">
        <f t="shared" si="123"/>
        <v>0</v>
      </c>
    </row>
    <row r="478" spans="1:25" x14ac:dyDescent="0.25">
      <c r="A478" s="1218" t="s">
        <v>172</v>
      </c>
      <c r="B478" s="98">
        <v>45383</v>
      </c>
      <c r="C478" s="117" t="str">
        <f t="shared" si="110"/>
        <v>6L</v>
      </c>
      <c r="D478" s="96"/>
      <c r="E478" s="98"/>
      <c r="F478" s="98"/>
      <c r="I478" s="99">
        <f t="shared" si="111"/>
        <v>0</v>
      </c>
      <c r="L478" s="99">
        <f t="shared" si="112"/>
        <v>0</v>
      </c>
      <c r="M478" s="44" t="str">
        <f t="shared" si="114"/>
        <v/>
      </c>
      <c r="N478" s="100">
        <f t="shared" si="115"/>
        <v>0</v>
      </c>
      <c r="O478" s="101">
        <f t="shared" si="116"/>
        <v>0</v>
      </c>
      <c r="P478" s="52">
        <f t="shared" si="117"/>
        <v>0</v>
      </c>
      <c r="Q478" s="49">
        <v>116.88487613461319</v>
      </c>
      <c r="R478">
        <v>2225</v>
      </c>
      <c r="S478" s="50">
        <f t="shared" si="113"/>
        <v>71535.307499999995</v>
      </c>
      <c r="T478" s="50">
        <f t="shared" si="118"/>
        <v>0</v>
      </c>
      <c r="U478" s="58">
        <f t="shared" si="119"/>
        <v>0</v>
      </c>
      <c r="V478" s="58">
        <f t="shared" si="120"/>
        <v>0</v>
      </c>
      <c r="W478" s="58">
        <f t="shared" si="121"/>
        <v>0</v>
      </c>
      <c r="X478" s="58">
        <f t="shared" si="122"/>
        <v>0</v>
      </c>
      <c r="Y478" s="52">
        <f t="shared" si="123"/>
        <v>0</v>
      </c>
    </row>
    <row r="479" spans="1:25" x14ac:dyDescent="0.25">
      <c r="A479" s="1218" t="s">
        <v>173</v>
      </c>
      <c r="B479" s="98">
        <v>45383</v>
      </c>
      <c r="C479" s="117" t="str">
        <f t="shared" si="110"/>
        <v>6L</v>
      </c>
      <c r="D479" s="96"/>
      <c r="E479" s="98"/>
      <c r="F479" s="98"/>
      <c r="I479" s="99">
        <f t="shared" si="111"/>
        <v>0</v>
      </c>
      <c r="L479" s="99">
        <f t="shared" si="112"/>
        <v>0</v>
      </c>
      <c r="M479" s="44" t="str">
        <f t="shared" si="114"/>
        <v/>
      </c>
      <c r="N479" s="100">
        <f t="shared" si="115"/>
        <v>0</v>
      </c>
      <c r="O479" s="101">
        <f t="shared" si="116"/>
        <v>0</v>
      </c>
      <c r="P479" s="52">
        <f t="shared" si="117"/>
        <v>0</v>
      </c>
      <c r="Q479" s="49">
        <v>116.88487613461319</v>
      </c>
      <c r="R479">
        <v>2225</v>
      </c>
      <c r="S479" s="50">
        <f t="shared" si="113"/>
        <v>71535.307499999995</v>
      </c>
      <c r="T479" s="50">
        <f t="shared" si="118"/>
        <v>0</v>
      </c>
      <c r="U479" s="58">
        <f t="shared" si="119"/>
        <v>0</v>
      </c>
      <c r="V479" s="58">
        <f t="shared" si="120"/>
        <v>0</v>
      </c>
      <c r="W479" s="58">
        <f t="shared" si="121"/>
        <v>0</v>
      </c>
      <c r="X479" s="58">
        <f t="shared" si="122"/>
        <v>0</v>
      </c>
      <c r="Y479" s="52">
        <f t="shared" si="123"/>
        <v>0</v>
      </c>
    </row>
    <row r="480" spans="1:25" x14ac:dyDescent="0.25">
      <c r="A480" s="1218" t="s">
        <v>174</v>
      </c>
      <c r="B480" s="98">
        <v>45383</v>
      </c>
      <c r="C480" s="117" t="str">
        <f t="shared" si="110"/>
        <v>6L</v>
      </c>
      <c r="D480" s="96"/>
      <c r="E480" s="98"/>
      <c r="F480" s="98"/>
      <c r="I480" s="99">
        <f t="shared" si="111"/>
        <v>0</v>
      </c>
      <c r="L480" s="99">
        <f t="shared" si="112"/>
        <v>0</v>
      </c>
      <c r="M480" s="44" t="str">
        <f t="shared" si="114"/>
        <v/>
      </c>
      <c r="N480" s="100">
        <f t="shared" si="115"/>
        <v>0</v>
      </c>
      <c r="O480" s="101">
        <f t="shared" si="116"/>
        <v>0</v>
      </c>
      <c r="P480" s="52">
        <f t="shared" si="117"/>
        <v>0</v>
      </c>
      <c r="Q480" s="49">
        <v>116.88487613461319</v>
      </c>
      <c r="R480">
        <v>2225</v>
      </c>
      <c r="S480" s="50">
        <f t="shared" si="113"/>
        <v>71535.307499999995</v>
      </c>
      <c r="T480" s="50">
        <f t="shared" si="118"/>
        <v>0</v>
      </c>
      <c r="U480" s="58">
        <f t="shared" si="119"/>
        <v>0</v>
      </c>
      <c r="V480" s="58">
        <f t="shared" si="120"/>
        <v>0</v>
      </c>
      <c r="W480" s="58">
        <f t="shared" si="121"/>
        <v>0</v>
      </c>
      <c r="X480" s="58">
        <f t="shared" si="122"/>
        <v>0</v>
      </c>
      <c r="Y480" s="52">
        <f t="shared" si="123"/>
        <v>0</v>
      </c>
    </row>
    <row r="481" spans="1:25" x14ac:dyDescent="0.25">
      <c r="A481" s="1218" t="s">
        <v>175</v>
      </c>
      <c r="B481" s="98">
        <v>45383</v>
      </c>
      <c r="C481" s="117" t="str">
        <f t="shared" si="110"/>
        <v>6L</v>
      </c>
      <c r="D481" s="96"/>
      <c r="E481" s="98"/>
      <c r="F481" s="98"/>
      <c r="I481" s="99">
        <f t="shared" si="111"/>
        <v>0</v>
      </c>
      <c r="L481" s="99">
        <f t="shared" si="112"/>
        <v>0</v>
      </c>
      <c r="M481" s="44" t="str">
        <f t="shared" si="114"/>
        <v/>
      </c>
      <c r="N481" s="100">
        <f t="shared" si="115"/>
        <v>0</v>
      </c>
      <c r="O481" s="101">
        <f t="shared" si="116"/>
        <v>0</v>
      </c>
      <c r="P481" s="52">
        <f t="shared" si="117"/>
        <v>0</v>
      </c>
      <c r="Q481" s="49">
        <v>116.88487613461319</v>
      </c>
      <c r="R481">
        <v>2225</v>
      </c>
      <c r="S481" s="50">
        <f t="shared" si="113"/>
        <v>71535.307499999995</v>
      </c>
      <c r="T481" s="50">
        <f t="shared" si="118"/>
        <v>0</v>
      </c>
      <c r="U481" s="58">
        <f t="shared" si="119"/>
        <v>0</v>
      </c>
      <c r="V481" s="58">
        <f t="shared" si="120"/>
        <v>0</v>
      </c>
      <c r="W481" s="58">
        <f t="shared" si="121"/>
        <v>0</v>
      </c>
      <c r="X481" s="58">
        <f t="shared" si="122"/>
        <v>0</v>
      </c>
      <c r="Y481" s="52">
        <f t="shared" si="123"/>
        <v>0</v>
      </c>
    </row>
    <row r="482" spans="1:25" x14ac:dyDescent="0.25">
      <c r="A482" s="1218" t="s">
        <v>176</v>
      </c>
      <c r="B482" s="98">
        <v>45383</v>
      </c>
      <c r="C482" s="117" t="str">
        <f t="shared" si="110"/>
        <v>6L</v>
      </c>
      <c r="D482" s="96"/>
      <c r="E482" s="98"/>
      <c r="F482" s="98"/>
      <c r="I482" s="99">
        <f t="shared" si="111"/>
        <v>0</v>
      </c>
      <c r="L482" s="99">
        <f t="shared" si="112"/>
        <v>0</v>
      </c>
      <c r="M482" s="44" t="str">
        <f t="shared" si="114"/>
        <v/>
      </c>
      <c r="N482" s="100">
        <f t="shared" si="115"/>
        <v>0</v>
      </c>
      <c r="O482" s="101">
        <f t="shared" si="116"/>
        <v>0</v>
      </c>
      <c r="P482" s="52">
        <f t="shared" si="117"/>
        <v>0</v>
      </c>
      <c r="Q482" s="49">
        <v>116.88487613461319</v>
      </c>
      <c r="R482">
        <v>2225</v>
      </c>
      <c r="S482" s="50">
        <f t="shared" si="113"/>
        <v>71535.307499999995</v>
      </c>
      <c r="T482" s="50">
        <f t="shared" si="118"/>
        <v>0</v>
      </c>
      <c r="U482" s="58">
        <f t="shared" si="119"/>
        <v>0</v>
      </c>
      <c r="V482" s="58">
        <f t="shared" si="120"/>
        <v>0</v>
      </c>
      <c r="W482" s="58">
        <f t="shared" si="121"/>
        <v>0</v>
      </c>
      <c r="X482" s="58">
        <f t="shared" si="122"/>
        <v>0</v>
      </c>
      <c r="Y482" s="52">
        <f t="shared" si="123"/>
        <v>0</v>
      </c>
    </row>
    <row r="483" spans="1:25" x14ac:dyDescent="0.25">
      <c r="A483" s="1218" t="s">
        <v>177</v>
      </c>
      <c r="B483" s="98">
        <v>45383</v>
      </c>
      <c r="C483" s="117" t="str">
        <f t="shared" si="110"/>
        <v>6L</v>
      </c>
      <c r="D483" s="96"/>
      <c r="E483" s="98"/>
      <c r="F483" s="98"/>
      <c r="I483" s="99">
        <f t="shared" si="111"/>
        <v>0</v>
      </c>
      <c r="L483" s="99">
        <f t="shared" si="112"/>
        <v>0</v>
      </c>
      <c r="M483" s="44" t="str">
        <f t="shared" si="114"/>
        <v/>
      </c>
      <c r="N483" s="100">
        <f t="shared" si="115"/>
        <v>0</v>
      </c>
      <c r="O483" s="101">
        <f t="shared" si="116"/>
        <v>0</v>
      </c>
      <c r="P483" s="52">
        <f t="shared" si="117"/>
        <v>0</v>
      </c>
      <c r="Q483" s="49">
        <v>116.88487613461319</v>
      </c>
      <c r="R483">
        <v>2225</v>
      </c>
      <c r="S483" s="50">
        <f t="shared" si="113"/>
        <v>71535.307499999995</v>
      </c>
      <c r="T483" s="50">
        <f t="shared" si="118"/>
        <v>0</v>
      </c>
      <c r="U483" s="58">
        <f t="shared" si="119"/>
        <v>0</v>
      </c>
      <c r="V483" s="58">
        <f t="shared" si="120"/>
        <v>0</v>
      </c>
      <c r="W483" s="58">
        <f t="shared" si="121"/>
        <v>0</v>
      </c>
      <c r="X483" s="58">
        <f t="shared" si="122"/>
        <v>0</v>
      </c>
      <c r="Y483" s="52">
        <f t="shared" si="123"/>
        <v>0</v>
      </c>
    </row>
    <row r="484" spans="1:25" x14ac:dyDescent="0.25">
      <c r="A484" s="1218" t="s">
        <v>178</v>
      </c>
      <c r="B484" s="98">
        <v>45383</v>
      </c>
      <c r="C484" s="117" t="str">
        <f t="shared" si="110"/>
        <v>7L</v>
      </c>
      <c r="D484" s="96"/>
      <c r="I484" s="99">
        <f t="shared" si="111"/>
        <v>0</v>
      </c>
      <c r="L484" s="99">
        <f t="shared" si="112"/>
        <v>0</v>
      </c>
      <c r="M484" s="44" t="str">
        <f t="shared" si="114"/>
        <v/>
      </c>
      <c r="N484" s="100">
        <f t="shared" si="115"/>
        <v>0</v>
      </c>
      <c r="O484" s="101">
        <f t="shared" si="116"/>
        <v>0</v>
      </c>
      <c r="P484" s="52">
        <f t="shared" si="117"/>
        <v>0</v>
      </c>
      <c r="Q484" s="49">
        <v>116.88487613461319</v>
      </c>
      <c r="R484">
        <v>2225</v>
      </c>
      <c r="S484" s="50">
        <f t="shared" si="113"/>
        <v>71535.307499999995</v>
      </c>
      <c r="T484" s="50">
        <f t="shared" si="118"/>
        <v>0</v>
      </c>
      <c r="U484" s="58">
        <f t="shared" si="119"/>
        <v>0</v>
      </c>
      <c r="V484" s="58">
        <f t="shared" si="120"/>
        <v>0</v>
      </c>
      <c r="W484" s="58">
        <f t="shared" si="121"/>
        <v>0</v>
      </c>
      <c r="X484" s="58">
        <f t="shared" si="122"/>
        <v>0</v>
      </c>
      <c r="Y484" s="52">
        <f t="shared" si="123"/>
        <v>0</v>
      </c>
    </row>
    <row r="485" spans="1:25" x14ac:dyDescent="0.25">
      <c r="A485" s="1218" t="s">
        <v>179</v>
      </c>
      <c r="B485" s="98">
        <v>45383</v>
      </c>
      <c r="C485" s="117" t="str">
        <f t="shared" si="110"/>
        <v>7L</v>
      </c>
      <c r="D485" s="96"/>
      <c r="I485" s="99">
        <f t="shared" si="111"/>
        <v>0</v>
      </c>
      <c r="L485" s="99">
        <f t="shared" si="112"/>
        <v>0</v>
      </c>
      <c r="M485" s="44" t="str">
        <f t="shared" si="114"/>
        <v/>
      </c>
      <c r="N485" s="100">
        <f t="shared" si="115"/>
        <v>0</v>
      </c>
      <c r="O485" s="101">
        <f t="shared" si="116"/>
        <v>0</v>
      </c>
      <c r="P485" s="52">
        <f t="shared" si="117"/>
        <v>0</v>
      </c>
      <c r="Q485" s="49">
        <v>116.88487613461319</v>
      </c>
      <c r="R485">
        <v>2225</v>
      </c>
      <c r="S485" s="50">
        <f t="shared" si="113"/>
        <v>71535.307499999995</v>
      </c>
      <c r="T485" s="50">
        <f t="shared" si="118"/>
        <v>0</v>
      </c>
      <c r="U485" s="58">
        <f t="shared" si="119"/>
        <v>0</v>
      </c>
      <c r="V485" s="58">
        <f t="shared" si="120"/>
        <v>0</v>
      </c>
      <c r="W485" s="58">
        <f t="shared" si="121"/>
        <v>0</v>
      </c>
      <c r="X485" s="58">
        <f t="shared" si="122"/>
        <v>0</v>
      </c>
      <c r="Y485" s="52">
        <f t="shared" si="123"/>
        <v>0</v>
      </c>
    </row>
    <row r="486" spans="1:25" x14ac:dyDescent="0.25">
      <c r="A486" s="1218" t="s">
        <v>180</v>
      </c>
      <c r="B486" s="98">
        <v>45383</v>
      </c>
      <c r="C486" s="117" t="str">
        <f t="shared" si="110"/>
        <v>7L</v>
      </c>
      <c r="D486" s="96"/>
      <c r="I486" s="99">
        <f t="shared" si="111"/>
        <v>0</v>
      </c>
      <c r="L486" s="99">
        <f t="shared" si="112"/>
        <v>0</v>
      </c>
      <c r="M486" s="44" t="str">
        <f t="shared" si="114"/>
        <v/>
      </c>
      <c r="N486" s="100">
        <f t="shared" si="115"/>
        <v>0</v>
      </c>
      <c r="O486" s="101">
        <f t="shared" si="116"/>
        <v>0</v>
      </c>
      <c r="P486" s="52">
        <f t="shared" si="117"/>
        <v>0</v>
      </c>
      <c r="Q486" s="49">
        <v>116.88487613461319</v>
      </c>
      <c r="R486">
        <v>2225</v>
      </c>
      <c r="S486" s="50">
        <f t="shared" si="113"/>
        <v>71535.307499999995</v>
      </c>
      <c r="T486" s="50">
        <f t="shared" si="118"/>
        <v>0</v>
      </c>
      <c r="U486" s="58">
        <f t="shared" si="119"/>
        <v>0</v>
      </c>
      <c r="V486" s="58">
        <f t="shared" si="120"/>
        <v>0</v>
      </c>
      <c r="W486" s="58">
        <f t="shared" si="121"/>
        <v>0</v>
      </c>
      <c r="X486" s="58">
        <f t="shared" si="122"/>
        <v>0</v>
      </c>
      <c r="Y486" s="52">
        <f t="shared" si="123"/>
        <v>0</v>
      </c>
    </row>
    <row r="487" spans="1:25" x14ac:dyDescent="0.25">
      <c r="A487" s="1218" t="s">
        <v>181</v>
      </c>
      <c r="B487" s="98">
        <v>45383</v>
      </c>
      <c r="C487" s="117" t="str">
        <f t="shared" si="110"/>
        <v>7L</v>
      </c>
      <c r="D487" s="96"/>
      <c r="I487" s="99">
        <f t="shared" si="111"/>
        <v>0</v>
      </c>
      <c r="L487" s="99">
        <f t="shared" si="112"/>
        <v>0</v>
      </c>
      <c r="M487" s="44" t="str">
        <f t="shared" si="114"/>
        <v/>
      </c>
      <c r="N487" s="100">
        <f t="shared" si="115"/>
        <v>0</v>
      </c>
      <c r="O487" s="101">
        <f t="shared" si="116"/>
        <v>0</v>
      </c>
      <c r="P487" s="52">
        <f t="shared" si="117"/>
        <v>0</v>
      </c>
      <c r="Q487" s="49">
        <v>116.88487613461319</v>
      </c>
      <c r="R487">
        <v>2225</v>
      </c>
      <c r="S487" s="50">
        <f t="shared" si="113"/>
        <v>71535.307499999995</v>
      </c>
      <c r="T487" s="50">
        <f t="shared" si="118"/>
        <v>0</v>
      </c>
      <c r="U487" s="58">
        <f t="shared" si="119"/>
        <v>0</v>
      </c>
      <c r="V487" s="58">
        <f t="shared" si="120"/>
        <v>0</v>
      </c>
      <c r="W487" s="58">
        <f t="shared" si="121"/>
        <v>0</v>
      </c>
      <c r="X487" s="58">
        <f t="shared" si="122"/>
        <v>0</v>
      </c>
      <c r="Y487" s="52">
        <f t="shared" si="123"/>
        <v>0</v>
      </c>
    </row>
    <row r="488" spans="1:25" x14ac:dyDescent="0.25">
      <c r="A488" s="1218" t="s">
        <v>182</v>
      </c>
      <c r="B488" s="98">
        <v>45383</v>
      </c>
      <c r="C488" s="117" t="str">
        <f t="shared" si="110"/>
        <v>7L</v>
      </c>
      <c r="D488" s="96"/>
      <c r="I488" s="99">
        <f t="shared" si="111"/>
        <v>0</v>
      </c>
      <c r="L488" s="99">
        <f t="shared" si="112"/>
        <v>0</v>
      </c>
      <c r="M488" s="44" t="str">
        <f t="shared" si="114"/>
        <v/>
      </c>
      <c r="N488" s="100">
        <f t="shared" si="115"/>
        <v>0</v>
      </c>
      <c r="O488" s="101">
        <f t="shared" si="116"/>
        <v>0</v>
      </c>
      <c r="P488" s="52">
        <f t="shared" si="117"/>
        <v>0</v>
      </c>
      <c r="Q488" s="49">
        <v>116.88487613461319</v>
      </c>
      <c r="R488">
        <v>2225</v>
      </c>
      <c r="S488" s="50">
        <f t="shared" si="113"/>
        <v>71535.307499999995</v>
      </c>
      <c r="T488" s="50">
        <f t="shared" si="118"/>
        <v>0</v>
      </c>
      <c r="U488" s="58">
        <f t="shared" si="119"/>
        <v>0</v>
      </c>
      <c r="V488" s="58">
        <f t="shared" si="120"/>
        <v>0</v>
      </c>
      <c r="W488" s="58">
        <f t="shared" si="121"/>
        <v>0</v>
      </c>
      <c r="X488" s="58">
        <f t="shared" si="122"/>
        <v>0</v>
      </c>
      <c r="Y488" s="52">
        <f t="shared" si="123"/>
        <v>0</v>
      </c>
    </row>
    <row r="489" spans="1:25" x14ac:dyDescent="0.25">
      <c r="A489" s="1218" t="s">
        <v>183</v>
      </c>
      <c r="B489" s="98">
        <v>45383</v>
      </c>
      <c r="C489" s="117" t="str">
        <f t="shared" si="110"/>
        <v>7L</v>
      </c>
      <c r="D489" s="96"/>
      <c r="I489" s="99">
        <f t="shared" si="111"/>
        <v>0</v>
      </c>
      <c r="L489" s="99">
        <f t="shared" si="112"/>
        <v>0</v>
      </c>
      <c r="M489" s="44" t="str">
        <f t="shared" si="114"/>
        <v/>
      </c>
      <c r="N489" s="100">
        <f t="shared" si="115"/>
        <v>0</v>
      </c>
      <c r="O489" s="101">
        <f t="shared" si="116"/>
        <v>0</v>
      </c>
      <c r="P489" s="52">
        <f t="shared" si="117"/>
        <v>0</v>
      </c>
      <c r="Q489" s="49">
        <v>116.88487613461319</v>
      </c>
      <c r="R489">
        <v>2225</v>
      </c>
      <c r="S489" s="50">
        <f t="shared" si="113"/>
        <v>71535.307499999995</v>
      </c>
      <c r="T489" s="50">
        <f t="shared" si="118"/>
        <v>0</v>
      </c>
      <c r="U489" s="58">
        <f t="shared" si="119"/>
        <v>0</v>
      </c>
      <c r="V489" s="58">
        <f t="shared" si="120"/>
        <v>0</v>
      </c>
      <c r="W489" s="58">
        <f t="shared" si="121"/>
        <v>0</v>
      </c>
      <c r="X489" s="58">
        <f t="shared" si="122"/>
        <v>0</v>
      </c>
      <c r="Y489" s="52">
        <f t="shared" si="123"/>
        <v>0</v>
      </c>
    </row>
    <row r="490" spans="1:25" x14ac:dyDescent="0.25">
      <c r="A490" s="1218" t="s">
        <v>184</v>
      </c>
      <c r="B490" s="98">
        <v>45383</v>
      </c>
      <c r="C490" s="117" t="str">
        <f t="shared" si="110"/>
        <v>7L</v>
      </c>
      <c r="D490" s="96"/>
      <c r="I490" s="99">
        <f t="shared" si="111"/>
        <v>0</v>
      </c>
      <c r="L490" s="99">
        <f t="shared" si="112"/>
        <v>0</v>
      </c>
      <c r="M490" s="44" t="str">
        <f t="shared" si="114"/>
        <v/>
      </c>
      <c r="N490" s="100">
        <f t="shared" si="115"/>
        <v>0</v>
      </c>
      <c r="O490" s="101">
        <f t="shared" si="116"/>
        <v>0</v>
      </c>
      <c r="P490" s="52">
        <f t="shared" si="117"/>
        <v>0</v>
      </c>
      <c r="Q490" s="49">
        <v>116.88487613461319</v>
      </c>
      <c r="R490">
        <v>2225</v>
      </c>
      <c r="S490" s="50">
        <f t="shared" si="113"/>
        <v>71535.307499999995</v>
      </c>
      <c r="T490" s="50">
        <f t="shared" si="118"/>
        <v>0</v>
      </c>
      <c r="U490" s="58">
        <f t="shared" si="119"/>
        <v>0</v>
      </c>
      <c r="V490" s="58">
        <f t="shared" si="120"/>
        <v>0</v>
      </c>
      <c r="W490" s="58">
        <f t="shared" si="121"/>
        <v>0</v>
      </c>
      <c r="X490" s="58">
        <f t="shared" si="122"/>
        <v>0</v>
      </c>
      <c r="Y490" s="52">
        <f t="shared" si="123"/>
        <v>0</v>
      </c>
    </row>
    <row r="491" spans="1:25" x14ac:dyDescent="0.25">
      <c r="A491" s="1218" t="s">
        <v>185</v>
      </c>
      <c r="B491" s="98">
        <v>45383</v>
      </c>
      <c r="C491" s="117" t="str">
        <f t="shared" si="110"/>
        <v>7L</v>
      </c>
      <c r="D491" s="96"/>
      <c r="I491" s="99">
        <f t="shared" si="111"/>
        <v>0</v>
      </c>
      <c r="L491" s="99">
        <f t="shared" si="112"/>
        <v>0</v>
      </c>
      <c r="M491" s="44" t="str">
        <f t="shared" si="114"/>
        <v/>
      </c>
      <c r="N491" s="100">
        <f t="shared" si="115"/>
        <v>0</v>
      </c>
      <c r="O491" s="101">
        <f t="shared" si="116"/>
        <v>0</v>
      </c>
      <c r="P491" s="52">
        <f t="shared" si="117"/>
        <v>0</v>
      </c>
      <c r="Q491" s="49">
        <v>116.88487613461319</v>
      </c>
      <c r="R491">
        <v>2225</v>
      </c>
      <c r="S491" s="50">
        <f t="shared" si="113"/>
        <v>71535.307499999995</v>
      </c>
      <c r="T491" s="50">
        <f t="shared" si="118"/>
        <v>0</v>
      </c>
      <c r="U491" s="58">
        <f t="shared" si="119"/>
        <v>0</v>
      </c>
      <c r="V491" s="58">
        <f t="shared" si="120"/>
        <v>0</v>
      </c>
      <c r="W491" s="58">
        <f t="shared" si="121"/>
        <v>0</v>
      </c>
      <c r="X491" s="58">
        <f t="shared" si="122"/>
        <v>0</v>
      </c>
      <c r="Y491" s="52">
        <f t="shared" si="123"/>
        <v>0</v>
      </c>
    </row>
    <row r="492" spans="1:25" x14ac:dyDescent="0.25">
      <c r="A492" s="1218" t="s">
        <v>186</v>
      </c>
      <c r="B492" s="98">
        <v>45383</v>
      </c>
      <c r="C492" s="117" t="str">
        <f t="shared" si="110"/>
        <v>7L</v>
      </c>
      <c r="D492" s="96"/>
      <c r="I492" s="99">
        <f t="shared" si="111"/>
        <v>0</v>
      </c>
      <c r="L492" s="99">
        <f t="shared" si="112"/>
        <v>0</v>
      </c>
      <c r="M492" s="44" t="str">
        <f t="shared" si="114"/>
        <v/>
      </c>
      <c r="N492" s="100">
        <f t="shared" si="115"/>
        <v>0</v>
      </c>
      <c r="O492" s="101">
        <f t="shared" si="116"/>
        <v>0</v>
      </c>
      <c r="P492" s="52">
        <f t="shared" si="117"/>
        <v>0</v>
      </c>
      <c r="Q492" s="49">
        <v>116.88487613461319</v>
      </c>
      <c r="R492">
        <v>2225</v>
      </c>
      <c r="S492" s="50">
        <f t="shared" si="113"/>
        <v>71535.307499999995</v>
      </c>
      <c r="T492" s="50">
        <f t="shared" si="118"/>
        <v>0</v>
      </c>
      <c r="U492" s="58">
        <f t="shared" si="119"/>
        <v>0</v>
      </c>
      <c r="V492" s="58">
        <f t="shared" si="120"/>
        <v>0</v>
      </c>
      <c r="W492" s="58">
        <f t="shared" si="121"/>
        <v>0</v>
      </c>
      <c r="X492" s="58">
        <f t="shared" si="122"/>
        <v>0</v>
      </c>
      <c r="Y492" s="52">
        <f t="shared" si="123"/>
        <v>0</v>
      </c>
    </row>
    <row r="493" spans="1:25" x14ac:dyDescent="0.25">
      <c r="A493" s="1218" t="s">
        <v>187</v>
      </c>
      <c r="B493" s="98">
        <v>45383</v>
      </c>
      <c r="C493" s="117" t="str">
        <f t="shared" si="110"/>
        <v>7L</v>
      </c>
      <c r="D493" s="96"/>
      <c r="I493" s="99">
        <f t="shared" si="111"/>
        <v>0</v>
      </c>
      <c r="L493" s="99">
        <f t="shared" si="112"/>
        <v>0</v>
      </c>
      <c r="M493" s="44" t="str">
        <f t="shared" si="114"/>
        <v/>
      </c>
      <c r="N493" s="100">
        <f t="shared" si="115"/>
        <v>0</v>
      </c>
      <c r="O493" s="101">
        <f t="shared" si="116"/>
        <v>0</v>
      </c>
      <c r="P493" s="52">
        <f t="shared" si="117"/>
        <v>0</v>
      </c>
      <c r="Q493" s="49">
        <v>116.88487613461319</v>
      </c>
      <c r="R493">
        <v>2225</v>
      </c>
      <c r="S493" s="50">
        <f t="shared" si="113"/>
        <v>71535.307499999995</v>
      </c>
      <c r="T493" s="50">
        <f t="shared" si="118"/>
        <v>0</v>
      </c>
      <c r="U493" s="58">
        <f t="shared" si="119"/>
        <v>0</v>
      </c>
      <c r="V493" s="58">
        <f t="shared" si="120"/>
        <v>0</v>
      </c>
      <c r="W493" s="58">
        <f t="shared" si="121"/>
        <v>0</v>
      </c>
      <c r="X493" s="58">
        <f t="shared" si="122"/>
        <v>0</v>
      </c>
      <c r="Y493" s="52">
        <f t="shared" si="123"/>
        <v>0</v>
      </c>
    </row>
    <row r="494" spans="1:25" x14ac:dyDescent="0.25">
      <c r="A494" s="1218" t="s">
        <v>188</v>
      </c>
      <c r="B494" s="98">
        <v>45383</v>
      </c>
      <c r="C494" s="117" t="str">
        <f t="shared" si="110"/>
        <v>7L</v>
      </c>
      <c r="D494" s="96"/>
      <c r="I494" s="99">
        <f t="shared" si="111"/>
        <v>0</v>
      </c>
      <c r="L494" s="99">
        <f t="shared" si="112"/>
        <v>0</v>
      </c>
      <c r="M494" s="44" t="str">
        <f t="shared" si="114"/>
        <v/>
      </c>
      <c r="N494" s="100">
        <f t="shared" si="115"/>
        <v>0</v>
      </c>
      <c r="O494" s="101">
        <f t="shared" si="116"/>
        <v>0</v>
      </c>
      <c r="P494" s="52">
        <f t="shared" si="117"/>
        <v>0</v>
      </c>
      <c r="Q494" s="49">
        <v>116.88487613461319</v>
      </c>
      <c r="R494">
        <v>2225</v>
      </c>
      <c r="S494" s="50">
        <f t="shared" si="113"/>
        <v>71535.307499999995</v>
      </c>
      <c r="T494" s="50">
        <f t="shared" si="118"/>
        <v>0</v>
      </c>
      <c r="U494" s="58">
        <f t="shared" si="119"/>
        <v>0</v>
      </c>
      <c r="V494" s="58">
        <f t="shared" si="120"/>
        <v>0</v>
      </c>
      <c r="W494" s="58">
        <f t="shared" si="121"/>
        <v>0</v>
      </c>
      <c r="X494" s="58">
        <f t="shared" si="122"/>
        <v>0</v>
      </c>
      <c r="Y494" s="52">
        <f t="shared" si="123"/>
        <v>0</v>
      </c>
    </row>
    <row r="495" spans="1:25" x14ac:dyDescent="0.25">
      <c r="A495" s="1218" t="s">
        <v>189</v>
      </c>
      <c r="B495" s="98">
        <v>45383</v>
      </c>
      <c r="C495" s="117" t="str">
        <f t="shared" si="110"/>
        <v>7L</v>
      </c>
      <c r="D495" s="96"/>
      <c r="I495" s="99">
        <f t="shared" si="111"/>
        <v>0</v>
      </c>
      <c r="L495" s="99">
        <f t="shared" si="112"/>
        <v>0</v>
      </c>
      <c r="M495" s="44" t="str">
        <f t="shared" si="114"/>
        <v/>
      </c>
      <c r="N495" s="100">
        <f t="shared" si="115"/>
        <v>0</v>
      </c>
      <c r="O495" s="101">
        <f t="shared" si="116"/>
        <v>0</v>
      </c>
      <c r="P495" s="52">
        <f t="shared" si="117"/>
        <v>0</v>
      </c>
      <c r="Q495" s="49">
        <v>116.88487613461319</v>
      </c>
      <c r="R495">
        <v>2225</v>
      </c>
      <c r="S495" s="50">
        <f t="shared" si="113"/>
        <v>71535.307499999995</v>
      </c>
      <c r="T495" s="50">
        <f t="shared" si="118"/>
        <v>0</v>
      </c>
      <c r="U495" s="58">
        <f t="shared" si="119"/>
        <v>0</v>
      </c>
      <c r="V495" s="58">
        <f t="shared" si="120"/>
        <v>0</v>
      </c>
      <c r="W495" s="58">
        <f t="shared" si="121"/>
        <v>0</v>
      </c>
      <c r="X495" s="58">
        <f t="shared" si="122"/>
        <v>0</v>
      </c>
      <c r="Y495" s="52">
        <f t="shared" si="123"/>
        <v>0</v>
      </c>
    </row>
    <row r="496" spans="1:25" x14ac:dyDescent="0.25">
      <c r="A496" s="1218" t="s">
        <v>190</v>
      </c>
      <c r="B496" s="98">
        <v>45383</v>
      </c>
      <c r="C496" s="117" t="str">
        <f t="shared" si="110"/>
        <v>8L</v>
      </c>
      <c r="D496" s="96"/>
      <c r="I496" s="99">
        <f t="shared" si="111"/>
        <v>0</v>
      </c>
      <c r="L496" s="99">
        <f t="shared" si="112"/>
        <v>0</v>
      </c>
      <c r="M496" s="44" t="str">
        <f t="shared" si="114"/>
        <v/>
      </c>
      <c r="N496" s="100">
        <f t="shared" si="115"/>
        <v>0</v>
      </c>
      <c r="O496" s="101">
        <f t="shared" si="116"/>
        <v>0</v>
      </c>
      <c r="P496" s="52">
        <f t="shared" si="117"/>
        <v>0</v>
      </c>
      <c r="Q496" s="49">
        <v>116.88487613461319</v>
      </c>
      <c r="R496">
        <v>2225</v>
      </c>
      <c r="S496" s="50">
        <f t="shared" si="113"/>
        <v>71535.307499999995</v>
      </c>
      <c r="T496" s="50">
        <f t="shared" si="118"/>
        <v>0</v>
      </c>
      <c r="U496" s="58">
        <f t="shared" si="119"/>
        <v>0</v>
      </c>
      <c r="V496" s="58">
        <f t="shared" si="120"/>
        <v>0</v>
      </c>
      <c r="W496" s="58">
        <f t="shared" si="121"/>
        <v>0</v>
      </c>
      <c r="X496" s="58">
        <f t="shared" si="122"/>
        <v>0</v>
      </c>
      <c r="Y496" s="52">
        <f t="shared" si="123"/>
        <v>0</v>
      </c>
    </row>
    <row r="497" spans="1:25" x14ac:dyDescent="0.25">
      <c r="A497" s="1218" t="s">
        <v>191</v>
      </c>
      <c r="B497" s="98">
        <v>45383</v>
      </c>
      <c r="C497" s="117" t="str">
        <f t="shared" si="110"/>
        <v>8L</v>
      </c>
      <c r="D497" s="96"/>
      <c r="I497" s="99">
        <f t="shared" si="111"/>
        <v>0</v>
      </c>
      <c r="L497" s="99">
        <f t="shared" si="112"/>
        <v>0</v>
      </c>
      <c r="M497" s="44" t="str">
        <f t="shared" si="114"/>
        <v/>
      </c>
      <c r="N497" s="100">
        <f t="shared" si="115"/>
        <v>0</v>
      </c>
      <c r="O497" s="101">
        <f t="shared" si="116"/>
        <v>0</v>
      </c>
      <c r="P497" s="52">
        <f t="shared" si="117"/>
        <v>0</v>
      </c>
      <c r="Q497" s="49">
        <v>116.88487613461319</v>
      </c>
      <c r="R497">
        <v>2225</v>
      </c>
      <c r="S497" s="50">
        <f t="shared" si="113"/>
        <v>71535.307499999995</v>
      </c>
      <c r="T497" s="50">
        <f t="shared" si="118"/>
        <v>0</v>
      </c>
      <c r="U497" s="58">
        <f t="shared" si="119"/>
        <v>0</v>
      </c>
      <c r="V497" s="58">
        <f t="shared" si="120"/>
        <v>0</v>
      </c>
      <c r="W497" s="58">
        <f t="shared" si="121"/>
        <v>0</v>
      </c>
      <c r="X497" s="58">
        <f t="shared" si="122"/>
        <v>0</v>
      </c>
      <c r="Y497" s="52">
        <f t="shared" si="123"/>
        <v>0</v>
      </c>
    </row>
    <row r="498" spans="1:25" x14ac:dyDescent="0.25">
      <c r="A498" s="1218" t="s">
        <v>192</v>
      </c>
      <c r="B498" s="98">
        <v>45383</v>
      </c>
      <c r="C498" s="117" t="str">
        <f t="shared" si="110"/>
        <v>8L</v>
      </c>
      <c r="D498" s="96"/>
      <c r="I498" s="99">
        <f t="shared" si="111"/>
        <v>0</v>
      </c>
      <c r="L498" s="99">
        <f t="shared" si="112"/>
        <v>0</v>
      </c>
      <c r="M498" s="44" t="str">
        <f t="shared" si="114"/>
        <v/>
      </c>
      <c r="N498" s="100">
        <f t="shared" si="115"/>
        <v>0</v>
      </c>
      <c r="O498" s="101">
        <f t="shared" si="116"/>
        <v>0</v>
      </c>
      <c r="P498" s="52">
        <f t="shared" si="117"/>
        <v>0</v>
      </c>
      <c r="Q498" s="49">
        <v>116.88487613461319</v>
      </c>
      <c r="R498">
        <v>2225</v>
      </c>
      <c r="S498" s="50">
        <f t="shared" si="113"/>
        <v>71535.307499999995</v>
      </c>
      <c r="T498" s="50">
        <f t="shared" si="118"/>
        <v>0</v>
      </c>
      <c r="U498" s="58">
        <f t="shared" si="119"/>
        <v>0</v>
      </c>
      <c r="V498" s="58">
        <f t="shared" si="120"/>
        <v>0</v>
      </c>
      <c r="W498" s="58">
        <f t="shared" si="121"/>
        <v>0</v>
      </c>
      <c r="X498" s="58">
        <f t="shared" si="122"/>
        <v>0</v>
      </c>
      <c r="Y498" s="52">
        <f t="shared" si="123"/>
        <v>0</v>
      </c>
    </row>
    <row r="499" spans="1:25" x14ac:dyDescent="0.25">
      <c r="A499" s="1218" t="s">
        <v>193</v>
      </c>
      <c r="B499" s="98">
        <v>45383</v>
      </c>
      <c r="C499" s="117" t="str">
        <f t="shared" si="110"/>
        <v>8L</v>
      </c>
      <c r="D499" s="96"/>
      <c r="I499" s="99">
        <f t="shared" si="111"/>
        <v>0</v>
      </c>
      <c r="L499" s="99">
        <f t="shared" si="112"/>
        <v>0</v>
      </c>
      <c r="M499" s="44" t="str">
        <f t="shared" si="114"/>
        <v/>
      </c>
      <c r="N499" s="100">
        <f t="shared" si="115"/>
        <v>0</v>
      </c>
      <c r="O499" s="101">
        <f t="shared" si="116"/>
        <v>0</v>
      </c>
      <c r="P499" s="52">
        <f t="shared" si="117"/>
        <v>0</v>
      </c>
      <c r="Q499" s="49">
        <v>116.88487613461319</v>
      </c>
      <c r="R499">
        <v>2225</v>
      </c>
      <c r="S499" s="50">
        <f t="shared" si="113"/>
        <v>71535.307499999995</v>
      </c>
      <c r="T499" s="50">
        <f t="shared" si="118"/>
        <v>0</v>
      </c>
      <c r="U499" s="58">
        <f t="shared" si="119"/>
        <v>0</v>
      </c>
      <c r="V499" s="58">
        <f t="shared" si="120"/>
        <v>0</v>
      </c>
      <c r="W499" s="58">
        <f t="shared" si="121"/>
        <v>0</v>
      </c>
      <c r="X499" s="58">
        <f t="shared" si="122"/>
        <v>0</v>
      </c>
      <c r="Y499" s="52">
        <f t="shared" si="123"/>
        <v>0</v>
      </c>
    </row>
    <row r="500" spans="1:25" x14ac:dyDescent="0.25">
      <c r="A500" s="1218" t="s">
        <v>194</v>
      </c>
      <c r="B500" s="98">
        <v>45383</v>
      </c>
      <c r="C500" s="117" t="str">
        <f t="shared" si="110"/>
        <v>8L</v>
      </c>
      <c r="D500" s="96"/>
      <c r="I500" s="99">
        <f t="shared" si="111"/>
        <v>0</v>
      </c>
      <c r="L500" s="99">
        <f t="shared" si="112"/>
        <v>0</v>
      </c>
      <c r="M500" s="44" t="str">
        <f t="shared" si="114"/>
        <v/>
      </c>
      <c r="N500" s="100">
        <f t="shared" si="115"/>
        <v>0</v>
      </c>
      <c r="O500" s="101">
        <f t="shared" si="116"/>
        <v>0</v>
      </c>
      <c r="P500" s="52">
        <f t="shared" si="117"/>
        <v>0</v>
      </c>
      <c r="Q500" s="49">
        <v>116.88487613461319</v>
      </c>
      <c r="R500">
        <v>2225</v>
      </c>
      <c r="S500" s="50">
        <f t="shared" si="113"/>
        <v>71535.307499999995</v>
      </c>
      <c r="T500" s="50">
        <f t="shared" si="118"/>
        <v>0</v>
      </c>
      <c r="U500" s="58">
        <f t="shared" si="119"/>
        <v>0</v>
      </c>
      <c r="V500" s="58">
        <f t="shared" si="120"/>
        <v>0</v>
      </c>
      <c r="W500" s="58">
        <f t="shared" si="121"/>
        <v>0</v>
      </c>
      <c r="X500" s="58">
        <f t="shared" si="122"/>
        <v>0</v>
      </c>
      <c r="Y500" s="52">
        <f t="shared" si="123"/>
        <v>0</v>
      </c>
    </row>
    <row r="501" spans="1:25" x14ac:dyDescent="0.25">
      <c r="A501" s="1218" t="s">
        <v>195</v>
      </c>
      <c r="B501" s="98">
        <v>45383</v>
      </c>
      <c r="C501" s="117" t="str">
        <f t="shared" si="110"/>
        <v>8L</v>
      </c>
      <c r="D501" s="96"/>
      <c r="I501" s="99">
        <f t="shared" si="111"/>
        <v>0</v>
      </c>
      <c r="L501" s="99">
        <f t="shared" si="112"/>
        <v>0</v>
      </c>
      <c r="M501" s="44" t="str">
        <f t="shared" si="114"/>
        <v/>
      </c>
      <c r="N501" s="100">
        <f t="shared" si="115"/>
        <v>0</v>
      </c>
      <c r="O501" s="101">
        <f t="shared" si="116"/>
        <v>0</v>
      </c>
      <c r="P501" s="52">
        <f t="shared" si="117"/>
        <v>0</v>
      </c>
      <c r="Q501" s="49">
        <v>116.88487613461319</v>
      </c>
      <c r="R501">
        <v>2225</v>
      </c>
      <c r="S501" s="50">
        <f t="shared" si="113"/>
        <v>71535.307499999995</v>
      </c>
      <c r="T501" s="50">
        <f t="shared" si="118"/>
        <v>0</v>
      </c>
      <c r="U501" s="58">
        <f t="shared" si="119"/>
        <v>0</v>
      </c>
      <c r="V501" s="58">
        <f t="shared" si="120"/>
        <v>0</v>
      </c>
      <c r="W501" s="58">
        <f t="shared" si="121"/>
        <v>0</v>
      </c>
      <c r="X501" s="58">
        <f t="shared" si="122"/>
        <v>0</v>
      </c>
      <c r="Y501" s="52">
        <f t="shared" si="123"/>
        <v>0</v>
      </c>
    </row>
    <row r="502" spans="1:25" x14ac:dyDescent="0.25">
      <c r="A502" s="1218" t="s">
        <v>196</v>
      </c>
      <c r="B502" s="98">
        <v>45383</v>
      </c>
      <c r="C502" s="117" t="str">
        <f t="shared" si="110"/>
        <v>8L</v>
      </c>
      <c r="D502" s="96"/>
      <c r="I502" s="99">
        <f t="shared" si="111"/>
        <v>0</v>
      </c>
      <c r="L502" s="99">
        <f t="shared" si="112"/>
        <v>0</v>
      </c>
      <c r="M502" s="44" t="str">
        <f t="shared" si="114"/>
        <v/>
      </c>
      <c r="N502" s="100">
        <f t="shared" si="115"/>
        <v>0</v>
      </c>
      <c r="O502" s="101">
        <f t="shared" si="116"/>
        <v>0</v>
      </c>
      <c r="P502" s="52">
        <f t="shared" si="117"/>
        <v>0</v>
      </c>
      <c r="Q502" s="49">
        <v>116.88487613461319</v>
      </c>
      <c r="R502">
        <v>2225</v>
      </c>
      <c r="S502" s="50">
        <f t="shared" si="113"/>
        <v>71535.307499999995</v>
      </c>
      <c r="T502" s="50">
        <f t="shared" si="118"/>
        <v>0</v>
      </c>
      <c r="U502" s="58">
        <f t="shared" si="119"/>
        <v>0</v>
      </c>
      <c r="V502" s="58">
        <f t="shared" si="120"/>
        <v>0</v>
      </c>
      <c r="W502" s="58">
        <f t="shared" si="121"/>
        <v>0</v>
      </c>
      <c r="X502" s="58">
        <f t="shared" si="122"/>
        <v>0</v>
      </c>
      <c r="Y502" s="52">
        <f t="shared" si="123"/>
        <v>0</v>
      </c>
    </row>
    <row r="503" spans="1:25" x14ac:dyDescent="0.25">
      <c r="A503" s="1218" t="s">
        <v>197</v>
      </c>
      <c r="B503" s="98">
        <v>45383</v>
      </c>
      <c r="C503" s="117" t="str">
        <f t="shared" si="110"/>
        <v>8L</v>
      </c>
      <c r="D503" s="96"/>
      <c r="I503" s="99">
        <f t="shared" si="111"/>
        <v>0</v>
      </c>
      <c r="L503" s="99">
        <f t="shared" si="112"/>
        <v>0</v>
      </c>
      <c r="M503" s="44" t="str">
        <f t="shared" si="114"/>
        <v/>
      </c>
      <c r="N503" s="100">
        <f t="shared" si="115"/>
        <v>0</v>
      </c>
      <c r="O503" s="101">
        <f t="shared" si="116"/>
        <v>0</v>
      </c>
      <c r="P503" s="52">
        <f t="shared" si="117"/>
        <v>0</v>
      </c>
      <c r="Q503" s="49">
        <v>116.88487613461319</v>
      </c>
      <c r="R503">
        <v>2225</v>
      </c>
      <c r="S503" s="50">
        <f t="shared" si="113"/>
        <v>71535.307499999995</v>
      </c>
      <c r="T503" s="50">
        <f t="shared" si="118"/>
        <v>0</v>
      </c>
      <c r="U503" s="58">
        <f t="shared" si="119"/>
        <v>0</v>
      </c>
      <c r="V503" s="58">
        <f t="shared" si="120"/>
        <v>0</v>
      </c>
      <c r="W503" s="58">
        <f t="shared" si="121"/>
        <v>0</v>
      </c>
      <c r="X503" s="58">
        <f t="shared" si="122"/>
        <v>0</v>
      </c>
      <c r="Y503" s="52">
        <f t="shared" si="123"/>
        <v>0</v>
      </c>
    </row>
    <row r="504" spans="1:25" x14ac:dyDescent="0.25">
      <c r="A504" s="1218" t="s">
        <v>198</v>
      </c>
      <c r="B504" s="98">
        <v>45383</v>
      </c>
      <c r="C504" s="117" t="str">
        <f t="shared" si="110"/>
        <v>8L</v>
      </c>
      <c r="D504" s="96"/>
      <c r="I504" s="99">
        <f t="shared" si="111"/>
        <v>0</v>
      </c>
      <c r="L504" s="99">
        <f t="shared" si="112"/>
        <v>0</v>
      </c>
      <c r="M504" s="44" t="str">
        <f t="shared" si="114"/>
        <v/>
      </c>
      <c r="N504" s="100">
        <f t="shared" si="115"/>
        <v>0</v>
      </c>
      <c r="O504" s="101">
        <f t="shared" si="116"/>
        <v>0</v>
      </c>
      <c r="P504" s="52">
        <f t="shared" si="117"/>
        <v>0</v>
      </c>
      <c r="Q504" s="49">
        <v>116.88487613461319</v>
      </c>
      <c r="R504">
        <v>2225</v>
      </c>
      <c r="S504" s="50">
        <f t="shared" si="113"/>
        <v>71535.307499999995</v>
      </c>
      <c r="T504" s="50">
        <f t="shared" si="118"/>
        <v>0</v>
      </c>
      <c r="U504" s="58">
        <f t="shared" si="119"/>
        <v>0</v>
      </c>
      <c r="V504" s="58">
        <f t="shared" si="120"/>
        <v>0</v>
      </c>
      <c r="W504" s="58">
        <f t="shared" si="121"/>
        <v>0</v>
      </c>
      <c r="X504" s="58">
        <f t="shared" si="122"/>
        <v>0</v>
      </c>
      <c r="Y504" s="52">
        <f t="shared" si="123"/>
        <v>0</v>
      </c>
    </row>
    <row r="505" spans="1:25" x14ac:dyDescent="0.25">
      <c r="A505" s="1218" t="s">
        <v>199</v>
      </c>
      <c r="B505" s="98">
        <v>45383</v>
      </c>
      <c r="C505" s="117" t="str">
        <f t="shared" si="110"/>
        <v>8L</v>
      </c>
      <c r="D505" s="96"/>
      <c r="I505" s="99">
        <f t="shared" si="111"/>
        <v>0</v>
      </c>
      <c r="L505" s="99">
        <f t="shared" si="112"/>
        <v>0</v>
      </c>
      <c r="M505" s="44" t="str">
        <f t="shared" si="114"/>
        <v/>
      </c>
      <c r="N505" s="100">
        <f t="shared" si="115"/>
        <v>0</v>
      </c>
      <c r="O505" s="101">
        <f t="shared" si="116"/>
        <v>0</v>
      </c>
      <c r="P505" s="52">
        <f t="shared" si="117"/>
        <v>0</v>
      </c>
      <c r="Q505" s="49">
        <v>116.88487613461319</v>
      </c>
      <c r="R505">
        <v>2225</v>
      </c>
      <c r="S505" s="50">
        <f t="shared" si="113"/>
        <v>71535.307499999995</v>
      </c>
      <c r="T505" s="50">
        <f t="shared" si="118"/>
        <v>0</v>
      </c>
      <c r="U505" s="58">
        <f t="shared" si="119"/>
        <v>0</v>
      </c>
      <c r="V505" s="58">
        <f t="shared" si="120"/>
        <v>0</v>
      </c>
      <c r="W505" s="58">
        <f t="shared" si="121"/>
        <v>0</v>
      </c>
      <c r="X505" s="58">
        <f t="shared" si="122"/>
        <v>0</v>
      </c>
      <c r="Y505" s="52">
        <f t="shared" si="123"/>
        <v>0</v>
      </c>
    </row>
    <row r="506" spans="1:25" x14ac:dyDescent="0.25">
      <c r="A506" s="1218" t="s">
        <v>200</v>
      </c>
      <c r="B506" s="98">
        <v>45383</v>
      </c>
      <c r="C506" s="117" t="str">
        <f t="shared" si="110"/>
        <v>8L</v>
      </c>
      <c r="D506" s="96"/>
      <c r="I506" s="99">
        <f t="shared" si="111"/>
        <v>0</v>
      </c>
      <c r="L506" s="99">
        <f t="shared" si="112"/>
        <v>0</v>
      </c>
      <c r="M506" s="44" t="str">
        <f t="shared" si="114"/>
        <v/>
      </c>
      <c r="N506" s="100">
        <f t="shared" si="115"/>
        <v>0</v>
      </c>
      <c r="O506" s="101">
        <f t="shared" si="116"/>
        <v>0</v>
      </c>
      <c r="P506" s="52">
        <f t="shared" si="117"/>
        <v>0</v>
      </c>
      <c r="Q506" s="49">
        <v>116.88487613461319</v>
      </c>
      <c r="R506">
        <v>2225</v>
      </c>
      <c r="S506" s="50">
        <f t="shared" si="113"/>
        <v>71535.307499999995</v>
      </c>
      <c r="T506" s="50">
        <f t="shared" si="118"/>
        <v>0</v>
      </c>
      <c r="U506" s="58">
        <f t="shared" si="119"/>
        <v>0</v>
      </c>
      <c r="V506" s="58">
        <f t="shared" si="120"/>
        <v>0</v>
      </c>
      <c r="W506" s="58">
        <f t="shared" si="121"/>
        <v>0</v>
      </c>
      <c r="X506" s="58">
        <f t="shared" si="122"/>
        <v>0</v>
      </c>
      <c r="Y506" s="52">
        <f t="shared" si="123"/>
        <v>0</v>
      </c>
    </row>
    <row r="507" spans="1:25" x14ac:dyDescent="0.25">
      <c r="A507" s="1218" t="s">
        <v>201</v>
      </c>
      <c r="B507" s="98">
        <v>45383</v>
      </c>
      <c r="C507" s="117" t="str">
        <f t="shared" si="110"/>
        <v>8L</v>
      </c>
      <c r="D507" s="96"/>
      <c r="I507" s="99">
        <f t="shared" si="111"/>
        <v>0</v>
      </c>
      <c r="L507" s="99">
        <f t="shared" si="112"/>
        <v>0</v>
      </c>
      <c r="M507" s="44" t="str">
        <f t="shared" si="114"/>
        <v/>
      </c>
      <c r="N507" s="100">
        <f t="shared" si="115"/>
        <v>0</v>
      </c>
      <c r="O507" s="101">
        <f t="shared" si="116"/>
        <v>0</v>
      </c>
      <c r="P507" s="52">
        <f t="shared" si="117"/>
        <v>0</v>
      </c>
      <c r="Q507" s="49">
        <v>116.88487613461319</v>
      </c>
      <c r="R507">
        <v>2225</v>
      </c>
      <c r="S507" s="50">
        <f t="shared" si="113"/>
        <v>71535.307499999995</v>
      </c>
      <c r="T507" s="50">
        <f t="shared" si="118"/>
        <v>0</v>
      </c>
      <c r="U507" s="58">
        <f t="shared" si="119"/>
        <v>0</v>
      </c>
      <c r="V507" s="58">
        <f t="shared" si="120"/>
        <v>0</v>
      </c>
      <c r="W507" s="58">
        <f t="shared" si="121"/>
        <v>0</v>
      </c>
      <c r="X507" s="58">
        <f t="shared" si="122"/>
        <v>0</v>
      </c>
      <c r="Y507" s="52">
        <f t="shared" si="123"/>
        <v>0</v>
      </c>
    </row>
    <row r="508" spans="1:25" x14ac:dyDescent="0.25">
      <c r="A508" s="1218" t="s">
        <v>202</v>
      </c>
      <c r="B508" s="98">
        <v>45383</v>
      </c>
      <c r="C508" s="117" t="str">
        <f t="shared" si="110"/>
        <v>8L</v>
      </c>
      <c r="D508" s="96"/>
      <c r="I508" s="99">
        <f t="shared" si="111"/>
        <v>0</v>
      </c>
      <c r="L508" s="99">
        <f t="shared" si="112"/>
        <v>0</v>
      </c>
      <c r="M508" s="44" t="str">
        <f t="shared" si="114"/>
        <v/>
      </c>
      <c r="N508" s="100">
        <f t="shared" si="115"/>
        <v>0</v>
      </c>
      <c r="O508" s="101">
        <f t="shared" si="116"/>
        <v>0</v>
      </c>
      <c r="P508" s="52">
        <f t="shared" si="117"/>
        <v>0</v>
      </c>
      <c r="Q508" s="49">
        <v>116.88487613461319</v>
      </c>
      <c r="R508">
        <v>2225</v>
      </c>
      <c r="S508" s="50">
        <f t="shared" si="113"/>
        <v>71535.307499999995</v>
      </c>
      <c r="T508" s="50">
        <f t="shared" si="118"/>
        <v>0</v>
      </c>
      <c r="U508" s="58">
        <f t="shared" si="119"/>
        <v>0</v>
      </c>
      <c r="V508" s="58">
        <f t="shared" si="120"/>
        <v>0</v>
      </c>
      <c r="W508" s="58">
        <f t="shared" si="121"/>
        <v>0</v>
      </c>
      <c r="X508" s="58">
        <f t="shared" si="122"/>
        <v>0</v>
      </c>
      <c r="Y508" s="52">
        <f t="shared" si="123"/>
        <v>0</v>
      </c>
    </row>
    <row r="509" spans="1:25" x14ac:dyDescent="0.25">
      <c r="A509" s="1218" t="s">
        <v>203</v>
      </c>
      <c r="B509" s="98">
        <v>45383</v>
      </c>
      <c r="C509" s="117" t="str">
        <f t="shared" si="110"/>
        <v>8L</v>
      </c>
      <c r="D509" s="96"/>
      <c r="I509" s="99">
        <f t="shared" si="111"/>
        <v>0</v>
      </c>
      <c r="L509" s="99">
        <f t="shared" si="112"/>
        <v>0</v>
      </c>
      <c r="M509" s="44" t="str">
        <f t="shared" si="114"/>
        <v/>
      </c>
      <c r="N509" s="100">
        <f t="shared" si="115"/>
        <v>0</v>
      </c>
      <c r="O509" s="101">
        <f t="shared" si="116"/>
        <v>0</v>
      </c>
      <c r="P509" s="52">
        <f t="shared" si="117"/>
        <v>0</v>
      </c>
      <c r="Q509" s="49">
        <v>116.88487613461319</v>
      </c>
      <c r="R509">
        <v>2225</v>
      </c>
      <c r="S509" s="50">
        <f t="shared" si="113"/>
        <v>71535.307499999995</v>
      </c>
      <c r="T509" s="50">
        <f t="shared" si="118"/>
        <v>0</v>
      </c>
      <c r="U509" s="58">
        <f t="shared" si="119"/>
        <v>0</v>
      </c>
      <c r="V509" s="58">
        <f t="shared" si="120"/>
        <v>0</v>
      </c>
      <c r="W509" s="58">
        <f t="shared" si="121"/>
        <v>0</v>
      </c>
      <c r="X509" s="58">
        <f t="shared" si="122"/>
        <v>0</v>
      </c>
      <c r="Y509" s="52">
        <f t="shared" si="123"/>
        <v>0</v>
      </c>
    </row>
    <row r="510" spans="1:25" x14ac:dyDescent="0.25">
      <c r="A510" s="1218" t="s">
        <v>204</v>
      </c>
      <c r="B510" s="98">
        <v>45383</v>
      </c>
      <c r="C510" s="117" t="str">
        <f t="shared" si="110"/>
        <v>8L</v>
      </c>
      <c r="D510" s="96"/>
      <c r="I510" s="99">
        <f t="shared" si="111"/>
        <v>0</v>
      </c>
      <c r="L510" s="99">
        <f t="shared" si="112"/>
        <v>0</v>
      </c>
      <c r="M510" s="44" t="str">
        <f t="shared" si="114"/>
        <v/>
      </c>
      <c r="N510" s="100">
        <f t="shared" si="115"/>
        <v>0</v>
      </c>
      <c r="O510" s="101">
        <f t="shared" si="116"/>
        <v>0</v>
      </c>
      <c r="P510" s="52">
        <f t="shared" si="117"/>
        <v>0</v>
      </c>
      <c r="Q510" s="49">
        <v>116.88487613461319</v>
      </c>
      <c r="R510">
        <v>2225</v>
      </c>
      <c r="S510" s="50">
        <f t="shared" si="113"/>
        <v>71535.307499999995</v>
      </c>
      <c r="T510" s="50">
        <f t="shared" si="118"/>
        <v>0</v>
      </c>
      <c r="U510" s="58">
        <f t="shared" si="119"/>
        <v>0</v>
      </c>
      <c r="V510" s="58">
        <f t="shared" si="120"/>
        <v>0</v>
      </c>
      <c r="W510" s="58">
        <f t="shared" si="121"/>
        <v>0</v>
      </c>
      <c r="X510" s="58">
        <f t="shared" si="122"/>
        <v>0</v>
      </c>
      <c r="Y510" s="52">
        <f t="shared" si="123"/>
        <v>0</v>
      </c>
    </row>
    <row r="511" spans="1:25" x14ac:dyDescent="0.25">
      <c r="A511" s="1218" t="s">
        <v>205</v>
      </c>
      <c r="B511" s="98">
        <v>45383</v>
      </c>
      <c r="C511" s="117" t="str">
        <f t="shared" si="110"/>
        <v>8L</v>
      </c>
      <c r="D511" s="96"/>
      <c r="I511" s="99">
        <f t="shared" si="111"/>
        <v>0</v>
      </c>
      <c r="L511" s="99">
        <f t="shared" si="112"/>
        <v>0</v>
      </c>
      <c r="M511" s="44" t="str">
        <f t="shared" si="114"/>
        <v/>
      </c>
      <c r="N511" s="100">
        <f t="shared" si="115"/>
        <v>0</v>
      </c>
      <c r="O511" s="101">
        <f t="shared" si="116"/>
        <v>0</v>
      </c>
      <c r="P511" s="52">
        <f t="shared" si="117"/>
        <v>0</v>
      </c>
      <c r="Q511" s="49">
        <v>116.88487613461319</v>
      </c>
      <c r="R511">
        <v>2225</v>
      </c>
      <c r="S511" s="50">
        <f t="shared" si="113"/>
        <v>71535.307499999995</v>
      </c>
      <c r="T511" s="50">
        <f t="shared" si="118"/>
        <v>0</v>
      </c>
      <c r="U511" s="58">
        <f t="shared" si="119"/>
        <v>0</v>
      </c>
      <c r="V511" s="58">
        <f t="shared" si="120"/>
        <v>0</v>
      </c>
      <c r="W511" s="58">
        <f t="shared" si="121"/>
        <v>0</v>
      </c>
      <c r="X511" s="58">
        <f t="shared" si="122"/>
        <v>0</v>
      </c>
      <c r="Y511" s="52">
        <f t="shared" si="123"/>
        <v>0</v>
      </c>
    </row>
    <row r="512" spans="1:25" x14ac:dyDescent="0.25">
      <c r="A512" s="1218" t="s">
        <v>206</v>
      </c>
      <c r="B512" s="98">
        <v>45383</v>
      </c>
      <c r="C512" s="117" t="str">
        <f t="shared" si="110"/>
        <v>8L</v>
      </c>
      <c r="D512" s="96"/>
      <c r="I512" s="99">
        <f t="shared" si="111"/>
        <v>0</v>
      </c>
      <c r="L512" s="99">
        <f t="shared" si="112"/>
        <v>0</v>
      </c>
      <c r="M512" s="44" t="str">
        <f t="shared" si="114"/>
        <v/>
      </c>
      <c r="N512" s="100">
        <f t="shared" si="115"/>
        <v>0</v>
      </c>
      <c r="O512" s="101">
        <f t="shared" si="116"/>
        <v>0</v>
      </c>
      <c r="P512" s="52">
        <f t="shared" si="117"/>
        <v>0</v>
      </c>
      <c r="Q512" s="49">
        <v>116.88487613461319</v>
      </c>
      <c r="R512">
        <v>2225</v>
      </c>
      <c r="S512" s="50">
        <f t="shared" si="113"/>
        <v>71535.307499999995</v>
      </c>
      <c r="T512" s="50">
        <f t="shared" si="118"/>
        <v>0</v>
      </c>
      <c r="U512" s="58">
        <f t="shared" si="119"/>
        <v>0</v>
      </c>
      <c r="V512" s="58">
        <f t="shared" si="120"/>
        <v>0</v>
      </c>
      <c r="W512" s="58">
        <f t="shared" si="121"/>
        <v>0</v>
      </c>
      <c r="X512" s="58">
        <f t="shared" si="122"/>
        <v>0</v>
      </c>
      <c r="Y512" s="52">
        <f t="shared" si="123"/>
        <v>0</v>
      </c>
    </row>
    <row r="513" spans="1:25" ht="15.75" thickBot="1" x14ac:dyDescent="0.3">
      <c r="A513" s="1219" t="s">
        <v>207</v>
      </c>
      <c r="B513" s="98">
        <v>45383</v>
      </c>
      <c r="C513" s="117" t="str">
        <f t="shared" si="110"/>
        <v>8L</v>
      </c>
      <c r="D513" s="96"/>
      <c r="I513" s="99">
        <f t="shared" si="111"/>
        <v>0</v>
      </c>
      <c r="L513" s="99">
        <f t="shared" si="112"/>
        <v>0</v>
      </c>
      <c r="M513" s="44" t="str">
        <f t="shared" si="114"/>
        <v/>
      </c>
      <c r="N513" s="100">
        <f t="shared" si="115"/>
        <v>0</v>
      </c>
      <c r="O513" s="101">
        <f t="shared" si="116"/>
        <v>0</v>
      </c>
      <c r="P513" s="52">
        <f t="shared" si="117"/>
        <v>0</v>
      </c>
      <c r="Q513" s="49">
        <v>116.88487613461319</v>
      </c>
      <c r="R513">
        <v>2225</v>
      </c>
      <c r="S513" s="50">
        <f t="shared" si="113"/>
        <v>71535.307499999995</v>
      </c>
      <c r="T513" s="50">
        <f t="shared" si="118"/>
        <v>0</v>
      </c>
      <c r="U513" s="58">
        <f t="shared" si="119"/>
        <v>0</v>
      </c>
      <c r="V513" s="58">
        <f t="shared" si="120"/>
        <v>0</v>
      </c>
      <c r="W513" s="58">
        <f t="shared" si="121"/>
        <v>0</v>
      </c>
      <c r="X513" s="58">
        <f t="shared" si="122"/>
        <v>0</v>
      </c>
      <c r="Y513" s="52">
        <f t="shared" si="123"/>
        <v>0</v>
      </c>
    </row>
    <row r="514" spans="1:25" x14ac:dyDescent="0.25">
      <c r="A514" s="97" t="s">
        <v>80</v>
      </c>
      <c r="B514" s="98">
        <v>45413</v>
      </c>
      <c r="C514" s="117" t="str">
        <f t="shared" si="110"/>
        <v>1L</v>
      </c>
      <c r="D514" s="96"/>
      <c r="E514" s="96"/>
      <c r="F514" s="96"/>
      <c r="G514" s="96"/>
      <c r="H514" s="96"/>
      <c r="I514" s="99">
        <f t="shared" si="111"/>
        <v>0</v>
      </c>
      <c r="J514" s="96"/>
      <c r="K514" s="96"/>
      <c r="L514" s="99">
        <f t="shared" si="112"/>
        <v>0</v>
      </c>
      <c r="M514" s="44" t="str">
        <f t="shared" si="114"/>
        <v/>
      </c>
      <c r="N514" s="100">
        <f t="shared" si="115"/>
        <v>0</v>
      </c>
      <c r="O514" s="101">
        <f t="shared" si="116"/>
        <v>0</v>
      </c>
      <c r="P514" s="52">
        <f t="shared" si="117"/>
        <v>0</v>
      </c>
      <c r="Q514" s="49">
        <v>116.88487613461319</v>
      </c>
      <c r="R514">
        <v>2225</v>
      </c>
      <c r="S514" s="50">
        <f t="shared" si="113"/>
        <v>71535.307499999995</v>
      </c>
      <c r="T514" s="50">
        <f t="shared" si="118"/>
        <v>0</v>
      </c>
      <c r="U514" s="58">
        <f t="shared" si="119"/>
        <v>0</v>
      </c>
      <c r="V514" s="58">
        <f t="shared" si="120"/>
        <v>0</v>
      </c>
      <c r="W514" s="58">
        <f t="shared" si="121"/>
        <v>0</v>
      </c>
      <c r="X514" s="58">
        <f t="shared" si="122"/>
        <v>0</v>
      </c>
      <c r="Y514" s="52">
        <f t="shared" si="123"/>
        <v>0</v>
      </c>
    </row>
    <row r="515" spans="1:25" x14ac:dyDescent="0.25">
      <c r="A515" s="1218" t="s">
        <v>81</v>
      </c>
      <c r="B515" s="98">
        <v>45413</v>
      </c>
      <c r="C515" s="117" t="str">
        <f t="shared" si="110"/>
        <v>1L</v>
      </c>
      <c r="D515" s="96"/>
      <c r="E515" s="96"/>
      <c r="F515" s="96"/>
      <c r="G515" s="96"/>
      <c r="H515" s="96"/>
      <c r="I515" s="99">
        <f t="shared" si="111"/>
        <v>0</v>
      </c>
      <c r="J515" s="96"/>
      <c r="K515" s="96"/>
      <c r="L515" s="99">
        <f t="shared" si="112"/>
        <v>0</v>
      </c>
      <c r="M515" s="44" t="str">
        <f t="shared" si="114"/>
        <v/>
      </c>
      <c r="N515" s="100">
        <f t="shared" si="115"/>
        <v>0</v>
      </c>
      <c r="O515" s="101">
        <f t="shared" si="116"/>
        <v>0</v>
      </c>
      <c r="P515" s="52">
        <f t="shared" si="117"/>
        <v>0</v>
      </c>
      <c r="Q515" s="49">
        <v>116.88487613461319</v>
      </c>
      <c r="R515">
        <v>2225</v>
      </c>
      <c r="S515" s="50">
        <f t="shared" si="113"/>
        <v>71535.307499999995</v>
      </c>
      <c r="T515" s="50">
        <f t="shared" si="118"/>
        <v>0</v>
      </c>
      <c r="U515" s="58">
        <f t="shared" si="119"/>
        <v>0</v>
      </c>
      <c r="V515" s="58">
        <f t="shared" si="120"/>
        <v>0</v>
      </c>
      <c r="W515" s="58">
        <f t="shared" si="121"/>
        <v>0</v>
      </c>
      <c r="X515" s="58">
        <f t="shared" si="122"/>
        <v>0</v>
      </c>
      <c r="Y515" s="52">
        <f t="shared" si="123"/>
        <v>0</v>
      </c>
    </row>
    <row r="516" spans="1:25" x14ac:dyDescent="0.25">
      <c r="A516" s="1218" t="s">
        <v>82</v>
      </c>
      <c r="B516" s="98">
        <v>45413</v>
      </c>
      <c r="C516" s="117" t="str">
        <f t="shared" si="110"/>
        <v>1L</v>
      </c>
      <c r="D516" s="96"/>
      <c r="E516" s="96"/>
      <c r="F516" s="96"/>
      <c r="G516" s="96"/>
      <c r="H516" s="96"/>
      <c r="I516" s="99">
        <f t="shared" si="111"/>
        <v>0</v>
      </c>
      <c r="J516" s="96"/>
      <c r="K516" s="96"/>
      <c r="L516" s="99">
        <f t="shared" si="112"/>
        <v>0</v>
      </c>
      <c r="M516" s="44" t="str">
        <f t="shared" si="114"/>
        <v/>
      </c>
      <c r="N516" s="100">
        <f t="shared" si="115"/>
        <v>0</v>
      </c>
      <c r="O516" s="101">
        <f t="shared" si="116"/>
        <v>0</v>
      </c>
      <c r="P516" s="52">
        <f t="shared" si="117"/>
        <v>0</v>
      </c>
      <c r="Q516" s="49">
        <v>116.88487613461319</v>
      </c>
      <c r="R516">
        <v>2225</v>
      </c>
      <c r="S516" s="50">
        <f t="shared" si="113"/>
        <v>71535.307499999995</v>
      </c>
      <c r="T516" s="50">
        <f t="shared" si="118"/>
        <v>0</v>
      </c>
      <c r="U516" s="58">
        <f t="shared" si="119"/>
        <v>0</v>
      </c>
      <c r="V516" s="58">
        <f t="shared" si="120"/>
        <v>0</v>
      </c>
      <c r="W516" s="58">
        <f t="shared" si="121"/>
        <v>0</v>
      </c>
      <c r="X516" s="58">
        <f t="shared" si="122"/>
        <v>0</v>
      </c>
      <c r="Y516" s="52">
        <f t="shared" si="123"/>
        <v>0</v>
      </c>
    </row>
    <row r="517" spans="1:25" x14ac:dyDescent="0.25">
      <c r="A517" s="1218" t="s">
        <v>83</v>
      </c>
      <c r="B517" s="98">
        <v>45413</v>
      </c>
      <c r="C517" s="117" t="str">
        <f t="shared" si="110"/>
        <v>1L</v>
      </c>
      <c r="D517" s="96"/>
      <c r="E517" s="96"/>
      <c r="F517" s="96"/>
      <c r="G517" s="96"/>
      <c r="H517" s="96"/>
      <c r="I517" s="99">
        <f t="shared" si="111"/>
        <v>0</v>
      </c>
      <c r="J517" s="96"/>
      <c r="K517" s="96"/>
      <c r="L517" s="99">
        <f t="shared" si="112"/>
        <v>0</v>
      </c>
      <c r="M517" s="44" t="str">
        <f t="shared" si="114"/>
        <v/>
      </c>
      <c r="N517" s="100">
        <f t="shared" si="115"/>
        <v>0</v>
      </c>
      <c r="O517" s="101">
        <f t="shared" si="116"/>
        <v>0</v>
      </c>
      <c r="P517" s="52">
        <f t="shared" si="117"/>
        <v>0</v>
      </c>
      <c r="Q517" s="49">
        <v>116.88487613461319</v>
      </c>
      <c r="R517">
        <v>2225</v>
      </c>
      <c r="S517" s="50">
        <f t="shared" si="113"/>
        <v>71535.307499999995</v>
      </c>
      <c r="T517" s="50">
        <f t="shared" si="118"/>
        <v>0</v>
      </c>
      <c r="U517" s="58">
        <f t="shared" si="119"/>
        <v>0</v>
      </c>
      <c r="V517" s="58">
        <f t="shared" si="120"/>
        <v>0</v>
      </c>
      <c r="W517" s="58">
        <f t="shared" si="121"/>
        <v>0</v>
      </c>
      <c r="X517" s="58">
        <f t="shared" si="122"/>
        <v>0</v>
      </c>
      <c r="Y517" s="52">
        <f t="shared" si="123"/>
        <v>0</v>
      </c>
    </row>
    <row r="518" spans="1:25" x14ac:dyDescent="0.25">
      <c r="A518" s="1218" t="s">
        <v>84</v>
      </c>
      <c r="B518" s="98">
        <v>45413</v>
      </c>
      <c r="C518" s="117" t="str">
        <f t="shared" si="110"/>
        <v>2L</v>
      </c>
      <c r="D518" s="96"/>
      <c r="E518" s="98"/>
      <c r="F518" s="98"/>
      <c r="G518" s="40">
        <v>2030</v>
      </c>
      <c r="H518" s="46">
        <v>2.9</v>
      </c>
      <c r="I518" s="99">
        <f t="shared" si="111"/>
        <v>5.8869999999999996</v>
      </c>
      <c r="J518" s="41">
        <v>4343.8</v>
      </c>
      <c r="K518" s="47">
        <v>1.4562093762346915</v>
      </c>
      <c r="L518" s="99">
        <f t="shared" si="112"/>
        <v>6.3254822884882529</v>
      </c>
      <c r="M518" s="44">
        <f t="shared" si="114"/>
        <v>7.4483147356591367E-2</v>
      </c>
      <c r="N518" s="100">
        <f t="shared" si="115"/>
        <v>2313.8000000000002</v>
      </c>
      <c r="O518" s="101">
        <f t="shared" si="116"/>
        <v>0.43848228848825332</v>
      </c>
      <c r="P518" s="52">
        <f t="shared" si="117"/>
        <v>-55229.204360721924</v>
      </c>
      <c r="Q518" s="49">
        <v>116.88487613461319</v>
      </c>
      <c r="R518">
        <v>2225</v>
      </c>
      <c r="S518" s="50">
        <f t="shared" si="113"/>
        <v>71535.307499999995</v>
      </c>
      <c r="T518" s="50">
        <f t="shared" si="118"/>
        <v>421128.35525249992</v>
      </c>
      <c r="U518" s="58">
        <f t="shared" si="119"/>
        <v>452495.32059281087</v>
      </c>
      <c r="V518" s="58">
        <f t="shared" si="120"/>
        <v>237276.29855326479</v>
      </c>
      <c r="W518" s="58">
        <f t="shared" si="121"/>
        <v>507724.52495353279</v>
      </c>
      <c r="X518" s="58">
        <f t="shared" si="122"/>
        <v>183852.05669923514</v>
      </c>
      <c r="Y518" s="52">
        <f t="shared" si="123"/>
        <v>-55229.204360721924</v>
      </c>
    </row>
    <row r="519" spans="1:25" x14ac:dyDescent="0.25">
      <c r="A519" s="1218" t="s">
        <v>85</v>
      </c>
      <c r="B519" s="98">
        <v>45413</v>
      </c>
      <c r="C519" s="117" t="str">
        <f t="shared" ref="C519:C583" si="124">LEFT(A519,2)</f>
        <v>2L</v>
      </c>
      <c r="D519" s="96"/>
      <c r="E519" s="98"/>
      <c r="F519" s="98"/>
      <c r="I519" s="99">
        <f t="shared" si="111"/>
        <v>0</v>
      </c>
      <c r="L519" s="99">
        <f t="shared" si="112"/>
        <v>0</v>
      </c>
      <c r="M519" s="44" t="str">
        <f t="shared" si="114"/>
        <v/>
      </c>
      <c r="N519" s="100">
        <f t="shared" si="115"/>
        <v>0</v>
      </c>
      <c r="O519" s="101">
        <f t="shared" si="116"/>
        <v>0</v>
      </c>
      <c r="P519" s="52">
        <f t="shared" si="117"/>
        <v>0</v>
      </c>
      <c r="Q519" s="49">
        <v>116.88487613461319</v>
      </c>
      <c r="R519">
        <v>2225</v>
      </c>
      <c r="S519" s="50">
        <f t="shared" si="113"/>
        <v>71535.307499999995</v>
      </c>
      <c r="T519" s="50">
        <f t="shared" si="118"/>
        <v>0</v>
      </c>
      <c r="U519" s="58">
        <f t="shared" si="119"/>
        <v>0</v>
      </c>
      <c r="V519" s="58">
        <f t="shared" si="120"/>
        <v>0</v>
      </c>
      <c r="W519" s="58">
        <f t="shared" si="121"/>
        <v>0</v>
      </c>
      <c r="X519" s="58">
        <f t="shared" si="122"/>
        <v>0</v>
      </c>
      <c r="Y519" s="52">
        <f t="shared" si="123"/>
        <v>0</v>
      </c>
    </row>
    <row r="520" spans="1:25" x14ac:dyDescent="0.25">
      <c r="A520" s="1218" t="s">
        <v>86</v>
      </c>
      <c r="B520" s="98">
        <v>45413</v>
      </c>
      <c r="C520" s="117" t="str">
        <f t="shared" si="124"/>
        <v>2L</v>
      </c>
      <c r="D520" s="96"/>
      <c r="E520" s="98"/>
      <c r="F520" s="98"/>
      <c r="I520" s="99">
        <f t="shared" si="111"/>
        <v>0</v>
      </c>
      <c r="J520" s="41">
        <v>1787.6</v>
      </c>
      <c r="K520" s="47">
        <v>1.7682542425706969</v>
      </c>
      <c r="L520" s="99">
        <f t="shared" si="112"/>
        <v>3.1609312840193775</v>
      </c>
      <c r="M520" s="44" t="str">
        <f t="shared" si="114"/>
        <v/>
      </c>
      <c r="N520" s="100">
        <f t="shared" si="115"/>
        <v>1787.6</v>
      </c>
      <c r="O520" s="101">
        <f t="shared" si="116"/>
        <v>3.1609312840193775</v>
      </c>
      <c r="P520" s="52">
        <f t="shared" si="117"/>
        <v>17174.786810461461</v>
      </c>
      <c r="Q520" s="49">
        <v>116.88487613461319</v>
      </c>
      <c r="R520">
        <v>2225</v>
      </c>
      <c r="S520" s="50">
        <f t="shared" si="113"/>
        <v>71535.307499999995</v>
      </c>
      <c r="T520" s="50">
        <f t="shared" si="118"/>
        <v>0</v>
      </c>
      <c r="U520" s="58">
        <f t="shared" si="119"/>
        <v>226118.191388696</v>
      </c>
      <c r="V520" s="58">
        <f t="shared" si="120"/>
        <v>0</v>
      </c>
      <c r="W520" s="58">
        <f t="shared" si="121"/>
        <v>208943.40457823453</v>
      </c>
      <c r="X520" s="58">
        <f t="shared" si="122"/>
        <v>0</v>
      </c>
      <c r="Y520" s="52">
        <f t="shared" si="123"/>
        <v>17174.786810461461</v>
      </c>
    </row>
    <row r="521" spans="1:25" x14ac:dyDescent="0.25">
      <c r="A521" s="1218" t="s">
        <v>87</v>
      </c>
      <c r="B521" s="98">
        <v>45413</v>
      </c>
      <c r="C521" s="117" t="str">
        <f t="shared" si="124"/>
        <v>3L</v>
      </c>
      <c r="D521" s="96"/>
      <c r="E521" s="98"/>
      <c r="F521" s="98"/>
      <c r="I521" s="99">
        <f t="shared" si="111"/>
        <v>0</v>
      </c>
      <c r="L521" s="99">
        <f t="shared" si="112"/>
        <v>0</v>
      </c>
      <c r="M521" s="44" t="str">
        <f t="shared" si="114"/>
        <v/>
      </c>
      <c r="N521" s="100">
        <f t="shared" si="115"/>
        <v>0</v>
      </c>
      <c r="O521" s="101">
        <f t="shared" si="116"/>
        <v>0</v>
      </c>
      <c r="P521" s="52">
        <f t="shared" si="117"/>
        <v>0</v>
      </c>
      <c r="Q521" s="49">
        <v>116.88487613461319</v>
      </c>
      <c r="R521">
        <v>2225</v>
      </c>
      <c r="S521" s="50">
        <f t="shared" si="113"/>
        <v>71535.307499999995</v>
      </c>
      <c r="T521" s="50">
        <f t="shared" si="118"/>
        <v>0</v>
      </c>
      <c r="U521" s="58">
        <f t="shared" si="119"/>
        <v>0</v>
      </c>
      <c r="V521" s="58">
        <f t="shared" si="120"/>
        <v>0</v>
      </c>
      <c r="W521" s="58">
        <f t="shared" si="121"/>
        <v>0</v>
      </c>
      <c r="X521" s="58">
        <f t="shared" si="122"/>
        <v>0</v>
      </c>
      <c r="Y521" s="52">
        <f t="shared" si="123"/>
        <v>0</v>
      </c>
    </row>
    <row r="522" spans="1:25" x14ac:dyDescent="0.25">
      <c r="A522" s="1218" t="s">
        <v>88</v>
      </c>
      <c r="B522" s="98">
        <v>45413</v>
      </c>
      <c r="C522" s="117" t="str">
        <f t="shared" si="124"/>
        <v>3L</v>
      </c>
      <c r="D522" s="96"/>
      <c r="E522" s="98"/>
      <c r="F522" s="98"/>
      <c r="I522" s="99">
        <f t="shared" si="111"/>
        <v>0</v>
      </c>
      <c r="L522" s="99">
        <f t="shared" si="112"/>
        <v>0</v>
      </c>
      <c r="M522" s="44" t="str">
        <f t="shared" si="114"/>
        <v/>
      </c>
      <c r="N522" s="100">
        <f t="shared" si="115"/>
        <v>0</v>
      </c>
      <c r="O522" s="101">
        <f t="shared" si="116"/>
        <v>0</v>
      </c>
      <c r="P522" s="52">
        <f t="shared" si="117"/>
        <v>0</v>
      </c>
      <c r="Q522" s="49">
        <v>116.88487613461319</v>
      </c>
      <c r="R522">
        <v>2225</v>
      </c>
      <c r="S522" s="50">
        <f t="shared" si="113"/>
        <v>71535.307499999995</v>
      </c>
      <c r="T522" s="50">
        <f t="shared" si="118"/>
        <v>0</v>
      </c>
      <c r="U522" s="58">
        <f t="shared" si="119"/>
        <v>0</v>
      </c>
      <c r="V522" s="58">
        <f t="shared" si="120"/>
        <v>0</v>
      </c>
      <c r="W522" s="58">
        <f t="shared" si="121"/>
        <v>0</v>
      </c>
      <c r="X522" s="58">
        <f t="shared" si="122"/>
        <v>0</v>
      </c>
      <c r="Y522" s="52">
        <f t="shared" si="123"/>
        <v>0</v>
      </c>
    </row>
    <row r="523" spans="1:25" x14ac:dyDescent="0.25">
      <c r="A523" s="1218" t="s">
        <v>89</v>
      </c>
      <c r="B523" s="98">
        <v>45413</v>
      </c>
      <c r="C523" s="117" t="str">
        <f t="shared" si="124"/>
        <v>3L</v>
      </c>
      <c r="D523" s="96"/>
      <c r="E523" s="98"/>
      <c r="F523" s="98"/>
      <c r="I523" s="99">
        <f t="shared" si="111"/>
        <v>0</v>
      </c>
      <c r="L523" s="99">
        <f t="shared" si="112"/>
        <v>0</v>
      </c>
      <c r="M523" s="44" t="str">
        <f t="shared" si="114"/>
        <v/>
      </c>
      <c r="N523" s="100">
        <f t="shared" si="115"/>
        <v>0</v>
      </c>
      <c r="O523" s="101">
        <f t="shared" si="116"/>
        <v>0</v>
      </c>
      <c r="P523" s="52">
        <f t="shared" si="117"/>
        <v>0</v>
      </c>
      <c r="Q523" s="49">
        <v>116.88487613461319</v>
      </c>
      <c r="R523">
        <v>2225</v>
      </c>
      <c r="S523" s="50">
        <f t="shared" si="113"/>
        <v>71535.307499999995</v>
      </c>
      <c r="T523" s="50">
        <f t="shared" si="118"/>
        <v>0</v>
      </c>
      <c r="U523" s="58">
        <f t="shared" si="119"/>
        <v>0</v>
      </c>
      <c r="V523" s="58">
        <f t="shared" si="120"/>
        <v>0</v>
      </c>
      <c r="W523" s="58">
        <f t="shared" si="121"/>
        <v>0</v>
      </c>
      <c r="X523" s="58">
        <f t="shared" si="122"/>
        <v>0</v>
      </c>
      <c r="Y523" s="52">
        <f t="shared" si="123"/>
        <v>0</v>
      </c>
    </row>
    <row r="524" spans="1:25" x14ac:dyDescent="0.25">
      <c r="A524" s="1218" t="s">
        <v>90</v>
      </c>
      <c r="B524" s="98">
        <v>45413</v>
      </c>
      <c r="C524" s="117" t="str">
        <f t="shared" si="124"/>
        <v>3L</v>
      </c>
      <c r="D524" s="96"/>
      <c r="E524" s="98"/>
      <c r="F524" s="98"/>
      <c r="I524" s="99">
        <f t="shared" si="111"/>
        <v>0</v>
      </c>
      <c r="L524" s="99">
        <f t="shared" si="112"/>
        <v>0</v>
      </c>
      <c r="M524" s="44" t="str">
        <f t="shared" si="114"/>
        <v/>
      </c>
      <c r="N524" s="100">
        <f t="shared" si="115"/>
        <v>0</v>
      </c>
      <c r="O524" s="101">
        <f t="shared" si="116"/>
        <v>0</v>
      </c>
      <c r="P524" s="52">
        <f t="shared" si="117"/>
        <v>0</v>
      </c>
      <c r="Q524" s="49">
        <v>116.88487613461319</v>
      </c>
      <c r="R524">
        <v>2225</v>
      </c>
      <c r="S524" s="50">
        <f t="shared" si="113"/>
        <v>71535.307499999995</v>
      </c>
      <c r="T524" s="50">
        <f t="shared" si="118"/>
        <v>0</v>
      </c>
      <c r="U524" s="58">
        <f t="shared" si="119"/>
        <v>0</v>
      </c>
      <c r="V524" s="58">
        <f t="shared" si="120"/>
        <v>0</v>
      </c>
      <c r="W524" s="58">
        <f t="shared" si="121"/>
        <v>0</v>
      </c>
      <c r="X524" s="58">
        <f t="shared" si="122"/>
        <v>0</v>
      </c>
      <c r="Y524" s="52">
        <f t="shared" si="123"/>
        <v>0</v>
      </c>
    </row>
    <row r="525" spans="1:25" x14ac:dyDescent="0.25">
      <c r="A525" s="1218" t="s">
        <v>91</v>
      </c>
      <c r="B525" s="98">
        <v>45413</v>
      </c>
      <c r="C525" s="117" t="str">
        <f t="shared" si="124"/>
        <v>3L</v>
      </c>
      <c r="D525" s="96"/>
      <c r="E525" s="98"/>
      <c r="F525" s="98"/>
      <c r="I525" s="99">
        <f t="shared" si="111"/>
        <v>0</v>
      </c>
      <c r="L525" s="99">
        <f t="shared" si="112"/>
        <v>0</v>
      </c>
      <c r="M525" s="44" t="str">
        <f t="shared" si="114"/>
        <v/>
      </c>
      <c r="N525" s="100">
        <f t="shared" si="115"/>
        <v>0</v>
      </c>
      <c r="O525" s="101">
        <f t="shared" si="116"/>
        <v>0</v>
      </c>
      <c r="P525" s="52">
        <f t="shared" si="117"/>
        <v>0</v>
      </c>
      <c r="Q525" s="49">
        <v>116.88487613461319</v>
      </c>
      <c r="R525">
        <v>2225</v>
      </c>
      <c r="S525" s="50">
        <f t="shared" si="113"/>
        <v>71535.307499999995</v>
      </c>
      <c r="T525" s="50">
        <f t="shared" si="118"/>
        <v>0</v>
      </c>
      <c r="U525" s="58">
        <f t="shared" si="119"/>
        <v>0</v>
      </c>
      <c r="V525" s="58">
        <f t="shared" si="120"/>
        <v>0</v>
      </c>
      <c r="W525" s="58">
        <f t="shared" si="121"/>
        <v>0</v>
      </c>
      <c r="X525" s="58">
        <f t="shared" si="122"/>
        <v>0</v>
      </c>
      <c r="Y525" s="52">
        <f t="shared" si="123"/>
        <v>0</v>
      </c>
    </row>
    <row r="526" spans="1:25" x14ac:dyDescent="0.25">
      <c r="A526" s="1218" t="s">
        <v>92</v>
      </c>
      <c r="B526" s="98">
        <v>45413</v>
      </c>
      <c r="C526" s="117" t="str">
        <f t="shared" si="124"/>
        <v>3L</v>
      </c>
      <c r="D526" s="96"/>
      <c r="E526" s="98"/>
      <c r="F526" s="98"/>
      <c r="G526" s="41"/>
      <c r="H526" s="47"/>
      <c r="I526" s="99">
        <f t="shared" si="111"/>
        <v>0</v>
      </c>
      <c r="J526" s="41"/>
      <c r="K526" s="47"/>
      <c r="L526" s="99">
        <f t="shared" si="112"/>
        <v>0</v>
      </c>
      <c r="M526" s="44" t="str">
        <f t="shared" si="114"/>
        <v/>
      </c>
      <c r="N526" s="100">
        <f t="shared" si="115"/>
        <v>0</v>
      </c>
      <c r="O526" s="101">
        <f t="shared" si="116"/>
        <v>0</v>
      </c>
      <c r="P526" s="52">
        <f t="shared" si="117"/>
        <v>0</v>
      </c>
      <c r="Q526" s="49">
        <v>116.88487613461319</v>
      </c>
      <c r="R526">
        <v>2225</v>
      </c>
      <c r="S526" s="50">
        <f t="shared" si="113"/>
        <v>71535.307499999995</v>
      </c>
      <c r="T526" s="50">
        <f t="shared" si="118"/>
        <v>0</v>
      </c>
      <c r="U526" s="58">
        <f t="shared" si="119"/>
        <v>0</v>
      </c>
      <c r="V526" s="58">
        <f t="shared" si="120"/>
        <v>0</v>
      </c>
      <c r="W526" s="58">
        <f t="shared" si="121"/>
        <v>0</v>
      </c>
      <c r="X526" s="58">
        <f t="shared" si="122"/>
        <v>0</v>
      </c>
      <c r="Y526" s="52">
        <f t="shared" si="123"/>
        <v>0</v>
      </c>
    </row>
    <row r="527" spans="1:25" x14ac:dyDescent="0.25">
      <c r="A527" s="1218" t="s">
        <v>93</v>
      </c>
      <c r="B527" s="98">
        <v>45413</v>
      </c>
      <c r="C527" s="117" t="str">
        <f t="shared" si="124"/>
        <v>3L</v>
      </c>
      <c r="D527" s="96"/>
      <c r="E527" s="98"/>
      <c r="F527" s="98"/>
      <c r="G527" s="41"/>
      <c r="H527" s="47"/>
      <c r="I527" s="99">
        <f t="shared" si="111"/>
        <v>0</v>
      </c>
      <c r="J527" s="41"/>
      <c r="K527" s="47"/>
      <c r="L527" s="99">
        <f t="shared" si="112"/>
        <v>0</v>
      </c>
      <c r="M527" s="44" t="str">
        <f t="shared" si="114"/>
        <v/>
      </c>
      <c r="N527" s="100">
        <f t="shared" si="115"/>
        <v>0</v>
      </c>
      <c r="O527" s="101">
        <f t="shared" si="116"/>
        <v>0</v>
      </c>
      <c r="P527" s="52">
        <f t="shared" si="117"/>
        <v>0</v>
      </c>
      <c r="Q527" s="49">
        <v>116.88487613461319</v>
      </c>
      <c r="R527">
        <v>2225</v>
      </c>
      <c r="S527" s="50">
        <f t="shared" si="113"/>
        <v>71535.307499999995</v>
      </c>
      <c r="T527" s="50">
        <f t="shared" si="118"/>
        <v>0</v>
      </c>
      <c r="U527" s="58">
        <f t="shared" si="119"/>
        <v>0</v>
      </c>
      <c r="V527" s="58">
        <f t="shared" si="120"/>
        <v>0</v>
      </c>
      <c r="W527" s="58">
        <f t="shared" si="121"/>
        <v>0</v>
      </c>
      <c r="X527" s="58">
        <f t="shared" si="122"/>
        <v>0</v>
      </c>
      <c r="Y527" s="52">
        <f t="shared" si="123"/>
        <v>0</v>
      </c>
    </row>
    <row r="528" spans="1:25" x14ac:dyDescent="0.25">
      <c r="A528" s="1218" t="s">
        <v>94</v>
      </c>
      <c r="B528" s="98">
        <v>45413</v>
      </c>
      <c r="C528" s="117" t="str">
        <f t="shared" si="124"/>
        <v>3L</v>
      </c>
      <c r="D528" s="96"/>
      <c r="E528" s="98"/>
      <c r="F528" s="98"/>
      <c r="G528" s="41"/>
      <c r="H528" s="47"/>
      <c r="I528" s="99">
        <f t="shared" si="111"/>
        <v>0</v>
      </c>
      <c r="J528" s="41"/>
      <c r="K528" s="47"/>
      <c r="L528" s="99">
        <f t="shared" si="112"/>
        <v>0</v>
      </c>
      <c r="M528" s="44" t="str">
        <f t="shared" si="114"/>
        <v/>
      </c>
      <c r="N528" s="100">
        <f t="shared" si="115"/>
        <v>0</v>
      </c>
      <c r="O528" s="101">
        <f t="shared" si="116"/>
        <v>0</v>
      </c>
      <c r="P528" s="52">
        <f t="shared" si="117"/>
        <v>0</v>
      </c>
      <c r="Q528" s="49">
        <v>116.88487613461319</v>
      </c>
      <c r="R528">
        <v>2225</v>
      </c>
      <c r="S528" s="50">
        <f t="shared" si="113"/>
        <v>71535.307499999995</v>
      </c>
      <c r="T528" s="50">
        <f t="shared" si="118"/>
        <v>0</v>
      </c>
      <c r="U528" s="58">
        <f t="shared" si="119"/>
        <v>0</v>
      </c>
      <c r="V528" s="58">
        <f t="shared" si="120"/>
        <v>0</v>
      </c>
      <c r="W528" s="58">
        <f t="shared" si="121"/>
        <v>0</v>
      </c>
      <c r="X528" s="58">
        <f t="shared" si="122"/>
        <v>0</v>
      </c>
      <c r="Y528" s="52">
        <f t="shared" si="123"/>
        <v>0</v>
      </c>
    </row>
    <row r="529" spans="1:25" x14ac:dyDescent="0.25">
      <c r="A529" s="1218" t="s">
        <v>95</v>
      </c>
      <c r="B529" s="98">
        <v>45413</v>
      </c>
      <c r="C529" s="117" t="str">
        <f t="shared" si="124"/>
        <v>3L</v>
      </c>
      <c r="D529" s="96"/>
      <c r="E529" s="98"/>
      <c r="F529" s="98"/>
      <c r="G529" s="41"/>
      <c r="H529" s="47"/>
      <c r="I529" s="99">
        <f t="shared" si="111"/>
        <v>0</v>
      </c>
      <c r="J529" s="41"/>
      <c r="K529" s="47"/>
      <c r="L529" s="99">
        <f t="shared" si="112"/>
        <v>0</v>
      </c>
      <c r="M529" s="44" t="str">
        <f t="shared" si="114"/>
        <v/>
      </c>
      <c r="N529" s="100">
        <f t="shared" si="115"/>
        <v>0</v>
      </c>
      <c r="O529" s="101">
        <f t="shared" si="116"/>
        <v>0</v>
      </c>
      <c r="P529" s="52">
        <f t="shared" si="117"/>
        <v>0</v>
      </c>
      <c r="Q529" s="49">
        <v>116.88487613461319</v>
      </c>
      <c r="R529">
        <v>2225</v>
      </c>
      <c r="S529" s="50">
        <f t="shared" si="113"/>
        <v>71535.307499999995</v>
      </c>
      <c r="T529" s="50">
        <f t="shared" si="118"/>
        <v>0</v>
      </c>
      <c r="U529" s="58">
        <f t="shared" si="119"/>
        <v>0</v>
      </c>
      <c r="V529" s="58">
        <f t="shared" si="120"/>
        <v>0</v>
      </c>
      <c r="W529" s="58">
        <f t="shared" si="121"/>
        <v>0</v>
      </c>
      <c r="X529" s="58">
        <f t="shared" si="122"/>
        <v>0</v>
      </c>
      <c r="Y529" s="52">
        <f t="shared" si="123"/>
        <v>0</v>
      </c>
    </row>
    <row r="530" spans="1:25" x14ac:dyDescent="0.25">
      <c r="A530" s="1218" t="s">
        <v>96</v>
      </c>
      <c r="B530" s="98">
        <v>45413</v>
      </c>
      <c r="C530" s="117" t="str">
        <f t="shared" si="124"/>
        <v>3L</v>
      </c>
      <c r="D530" s="96"/>
      <c r="E530" s="98"/>
      <c r="F530" s="98"/>
      <c r="G530" s="41"/>
      <c r="H530" s="47"/>
      <c r="I530" s="99">
        <f t="shared" si="111"/>
        <v>0</v>
      </c>
      <c r="J530" s="41"/>
      <c r="K530" s="47"/>
      <c r="L530" s="99">
        <f t="shared" si="112"/>
        <v>0</v>
      </c>
      <c r="M530" s="44" t="str">
        <f t="shared" si="114"/>
        <v/>
      </c>
      <c r="N530" s="100">
        <f t="shared" si="115"/>
        <v>0</v>
      </c>
      <c r="O530" s="101">
        <f t="shared" si="116"/>
        <v>0</v>
      </c>
      <c r="P530" s="52">
        <f t="shared" si="117"/>
        <v>0</v>
      </c>
      <c r="Q530" s="49">
        <v>116.88487613461319</v>
      </c>
      <c r="R530">
        <v>2225</v>
      </c>
      <c r="S530" s="50">
        <f t="shared" si="113"/>
        <v>71535.307499999995</v>
      </c>
      <c r="T530" s="50">
        <f t="shared" si="118"/>
        <v>0</v>
      </c>
      <c r="U530" s="58">
        <f t="shared" si="119"/>
        <v>0</v>
      </c>
      <c r="V530" s="58">
        <f t="shared" si="120"/>
        <v>0</v>
      </c>
      <c r="W530" s="58">
        <f t="shared" si="121"/>
        <v>0</v>
      </c>
      <c r="X530" s="58">
        <f t="shared" si="122"/>
        <v>0</v>
      </c>
      <c r="Y530" s="52">
        <f t="shared" si="123"/>
        <v>0</v>
      </c>
    </row>
    <row r="531" spans="1:25" x14ac:dyDescent="0.25">
      <c r="A531" s="1218" t="s">
        <v>97</v>
      </c>
      <c r="B531" s="98">
        <v>45413</v>
      </c>
      <c r="C531" s="117" t="str">
        <f t="shared" si="124"/>
        <v>4L</v>
      </c>
      <c r="D531" s="96"/>
      <c r="E531" s="98"/>
      <c r="F531" s="98"/>
      <c r="I531" s="99">
        <f t="shared" si="111"/>
        <v>0</v>
      </c>
      <c r="L531" s="99">
        <f t="shared" si="112"/>
        <v>0</v>
      </c>
      <c r="M531" s="44" t="str">
        <f t="shared" si="114"/>
        <v/>
      </c>
      <c r="N531" s="100">
        <f t="shared" si="115"/>
        <v>0</v>
      </c>
      <c r="O531" s="101">
        <f t="shared" si="116"/>
        <v>0</v>
      </c>
      <c r="P531" s="52">
        <f t="shared" si="117"/>
        <v>0</v>
      </c>
      <c r="Q531" s="49">
        <v>116.88487613461319</v>
      </c>
      <c r="R531">
        <v>2225</v>
      </c>
      <c r="S531" s="50">
        <f t="shared" si="113"/>
        <v>71535.307499999995</v>
      </c>
      <c r="T531" s="50">
        <f t="shared" si="118"/>
        <v>0</v>
      </c>
      <c r="U531" s="58">
        <f t="shared" si="119"/>
        <v>0</v>
      </c>
      <c r="V531" s="58">
        <f t="shared" si="120"/>
        <v>0</v>
      </c>
      <c r="W531" s="58">
        <f t="shared" si="121"/>
        <v>0</v>
      </c>
      <c r="X531" s="58">
        <f t="shared" si="122"/>
        <v>0</v>
      </c>
      <c r="Y531" s="52">
        <f t="shared" si="123"/>
        <v>0</v>
      </c>
    </row>
    <row r="532" spans="1:25" x14ac:dyDescent="0.25">
      <c r="A532" s="1218" t="s">
        <v>98</v>
      </c>
      <c r="B532" s="98">
        <v>45413</v>
      </c>
      <c r="C532" s="117" t="str">
        <f t="shared" si="124"/>
        <v>4L</v>
      </c>
      <c r="D532" s="96"/>
      <c r="E532" s="98"/>
      <c r="F532" s="98"/>
      <c r="I532" s="99">
        <f t="shared" si="111"/>
        <v>0</v>
      </c>
      <c r="L532" s="99">
        <f t="shared" si="112"/>
        <v>0</v>
      </c>
      <c r="M532" s="44" t="str">
        <f t="shared" si="114"/>
        <v/>
      </c>
      <c r="N532" s="100">
        <f t="shared" si="115"/>
        <v>0</v>
      </c>
      <c r="O532" s="101">
        <f t="shared" si="116"/>
        <v>0</v>
      </c>
      <c r="P532" s="52">
        <f t="shared" si="117"/>
        <v>0</v>
      </c>
      <c r="Q532" s="49">
        <v>116.88487613461319</v>
      </c>
      <c r="R532">
        <v>2225</v>
      </c>
      <c r="S532" s="50">
        <f t="shared" si="113"/>
        <v>71535.307499999995</v>
      </c>
      <c r="T532" s="50">
        <f t="shared" si="118"/>
        <v>0</v>
      </c>
      <c r="U532" s="58">
        <f t="shared" si="119"/>
        <v>0</v>
      </c>
      <c r="V532" s="58">
        <f t="shared" si="120"/>
        <v>0</v>
      </c>
      <c r="W532" s="58">
        <f t="shared" si="121"/>
        <v>0</v>
      </c>
      <c r="X532" s="58">
        <f t="shared" si="122"/>
        <v>0</v>
      </c>
      <c r="Y532" s="52">
        <f t="shared" si="123"/>
        <v>0</v>
      </c>
    </row>
    <row r="533" spans="1:25" x14ac:dyDescent="0.25">
      <c r="A533" s="1218" t="s">
        <v>99</v>
      </c>
      <c r="B533" s="98">
        <v>45413</v>
      </c>
      <c r="C533" s="117" t="str">
        <f t="shared" si="124"/>
        <v>4L</v>
      </c>
      <c r="D533" s="96"/>
      <c r="E533" s="98"/>
      <c r="F533" s="98"/>
      <c r="I533" s="99">
        <f t="shared" si="111"/>
        <v>0</v>
      </c>
      <c r="L533" s="99">
        <f t="shared" si="112"/>
        <v>0</v>
      </c>
      <c r="M533" s="44" t="str">
        <f t="shared" si="114"/>
        <v/>
      </c>
      <c r="N533" s="100">
        <f t="shared" si="115"/>
        <v>0</v>
      </c>
      <c r="O533" s="101">
        <f t="shared" si="116"/>
        <v>0</v>
      </c>
      <c r="P533" s="52">
        <f t="shared" si="117"/>
        <v>0</v>
      </c>
      <c r="Q533" s="49">
        <v>116.88487613461319</v>
      </c>
      <c r="R533">
        <v>2225</v>
      </c>
      <c r="S533" s="50">
        <f t="shared" si="113"/>
        <v>71535.307499999995</v>
      </c>
      <c r="T533" s="50">
        <f t="shared" si="118"/>
        <v>0</v>
      </c>
      <c r="U533" s="58">
        <f t="shared" si="119"/>
        <v>0</v>
      </c>
      <c r="V533" s="58">
        <f t="shared" si="120"/>
        <v>0</v>
      </c>
      <c r="W533" s="58">
        <f t="shared" si="121"/>
        <v>0</v>
      </c>
      <c r="X533" s="58">
        <f t="shared" si="122"/>
        <v>0</v>
      </c>
      <c r="Y533" s="52">
        <f t="shared" si="123"/>
        <v>0</v>
      </c>
    </row>
    <row r="534" spans="1:25" x14ac:dyDescent="0.25">
      <c r="A534" s="1218" t="s">
        <v>100</v>
      </c>
      <c r="B534" s="98">
        <v>45413</v>
      </c>
      <c r="C534" s="117" t="str">
        <f t="shared" si="124"/>
        <v>4L</v>
      </c>
      <c r="D534" s="96"/>
      <c r="E534" s="98"/>
      <c r="F534" s="98"/>
      <c r="I534" s="99">
        <f t="shared" ref="I534:I603" si="125">IFERROR(G534*H534/1000,"")</f>
        <v>0</v>
      </c>
      <c r="J534" s="41">
        <v>1075</v>
      </c>
      <c r="K534" s="41">
        <v>3.3388800697952568</v>
      </c>
      <c r="L534" s="99">
        <f t="shared" ref="L534:L603" si="126">IFERROR(J534*K534/1000,"")</f>
        <v>3.589296075029901</v>
      </c>
      <c r="M534" s="44" t="str">
        <f t="shared" si="114"/>
        <v/>
      </c>
      <c r="N534" s="100">
        <f t="shared" si="115"/>
        <v>1075</v>
      </c>
      <c r="O534" s="101">
        <f t="shared" si="116"/>
        <v>3.589296075029901</v>
      </c>
      <c r="P534" s="52">
        <f t="shared" si="117"/>
        <v>131110.15659109785</v>
      </c>
      <c r="Q534" s="49">
        <v>116.88487613461319</v>
      </c>
      <c r="R534">
        <v>2225</v>
      </c>
      <c r="S534" s="50">
        <f t="shared" ref="S534:S603" si="127">R534*32.1507</f>
        <v>71535.307499999995</v>
      </c>
      <c r="T534" s="50">
        <f t="shared" si="118"/>
        <v>0</v>
      </c>
      <c r="U534" s="58">
        <f t="shared" si="119"/>
        <v>256761.39843580703</v>
      </c>
      <c r="V534" s="58">
        <f t="shared" si="120"/>
        <v>0</v>
      </c>
      <c r="W534" s="58">
        <f t="shared" si="121"/>
        <v>125651.24184470918</v>
      </c>
      <c r="X534" s="58">
        <f t="shared" si="122"/>
        <v>0</v>
      </c>
      <c r="Y534" s="52">
        <f t="shared" si="123"/>
        <v>131110.15659109785</v>
      </c>
    </row>
    <row r="535" spans="1:25" x14ac:dyDescent="0.25">
      <c r="A535" s="1218" t="s">
        <v>101</v>
      </c>
      <c r="B535" s="98">
        <v>45413</v>
      </c>
      <c r="C535" s="117" t="str">
        <f t="shared" si="124"/>
        <v>4L</v>
      </c>
      <c r="D535" s="96"/>
      <c r="E535" s="98"/>
      <c r="F535" s="98"/>
      <c r="G535" s="53">
        <v>4060</v>
      </c>
      <c r="H535" s="46">
        <v>1.5200000000000009</v>
      </c>
      <c r="I535" s="99">
        <f t="shared" si="125"/>
        <v>6.1712000000000033</v>
      </c>
      <c r="L535" s="99">
        <f t="shared" si="126"/>
        <v>0</v>
      </c>
      <c r="M535" s="44">
        <f t="shared" si="114"/>
        <v>-1</v>
      </c>
      <c r="N535" s="100">
        <f t="shared" si="115"/>
        <v>-4060</v>
      </c>
      <c r="O535" s="101">
        <f t="shared" si="116"/>
        <v>-6.1712000000000033</v>
      </c>
      <c r="P535" s="52">
        <f t="shared" si="117"/>
        <v>0</v>
      </c>
      <c r="Q535" s="49">
        <v>116.88487613461319</v>
      </c>
      <c r="R535">
        <v>2225</v>
      </c>
      <c r="S535" s="50">
        <f t="shared" si="127"/>
        <v>71535.307499999995</v>
      </c>
      <c r="T535" s="50">
        <f t="shared" si="118"/>
        <v>441458.6896440002</v>
      </c>
      <c r="U535" s="58">
        <f t="shared" si="119"/>
        <v>0</v>
      </c>
      <c r="V535" s="58">
        <f t="shared" si="120"/>
        <v>474552.59710652957</v>
      </c>
      <c r="W535" s="58">
        <f t="shared" si="121"/>
        <v>0</v>
      </c>
      <c r="X535" s="58">
        <f t="shared" si="122"/>
        <v>-33093.907462529372</v>
      </c>
      <c r="Y535" s="52">
        <f t="shared" si="123"/>
        <v>0</v>
      </c>
    </row>
    <row r="536" spans="1:25" x14ac:dyDescent="0.25">
      <c r="A536" s="1218" t="s">
        <v>102</v>
      </c>
      <c r="B536" s="98">
        <v>45413</v>
      </c>
      <c r="C536" s="117" t="str">
        <f t="shared" si="124"/>
        <v>4L</v>
      </c>
      <c r="D536" s="96"/>
      <c r="E536" s="98"/>
      <c r="F536" s="98"/>
      <c r="G536" s="53"/>
      <c r="H536" s="40"/>
      <c r="I536" s="99">
        <f t="shared" si="125"/>
        <v>0</v>
      </c>
      <c r="L536" s="99">
        <f t="shared" si="126"/>
        <v>0</v>
      </c>
      <c r="M536" s="44" t="str">
        <f t="shared" ref="M536:M604" si="128">IFERROR((L536-I536)/I536,"")</f>
        <v/>
      </c>
      <c r="N536" s="100">
        <f t="shared" ref="N536:N604" si="129">J536-G536</f>
        <v>0</v>
      </c>
      <c r="O536" s="101">
        <f t="shared" ref="O536:O604" si="130">L536-I536</f>
        <v>0</v>
      </c>
      <c r="P536" s="52">
        <f t="shared" ref="P536:P604" si="131">U536-W536</f>
        <v>0</v>
      </c>
      <c r="Q536" s="49">
        <v>116.88487613461319</v>
      </c>
      <c r="R536">
        <v>2225</v>
      </c>
      <c r="S536" s="50">
        <f t="shared" si="127"/>
        <v>71535.307499999995</v>
      </c>
      <c r="T536" s="50">
        <f t="shared" ref="T536:T604" si="132">IFERROR(S536*I536,"")</f>
        <v>0</v>
      </c>
      <c r="U536" s="58">
        <f t="shared" ref="U536:U604" si="133">IFERROR(S536*L536,"")</f>
        <v>0</v>
      </c>
      <c r="V536" s="58">
        <f t="shared" ref="V536:V604" si="134">IFERROR(Q536*G536,"")</f>
        <v>0</v>
      </c>
      <c r="W536" s="58">
        <f t="shared" ref="W536:W604" si="135">IFERROR(Q536*J536,"")</f>
        <v>0</v>
      </c>
      <c r="X536" s="58">
        <f t="shared" ref="X536:X604" si="136">T536-V536</f>
        <v>0</v>
      </c>
      <c r="Y536" s="52">
        <f t="shared" ref="Y536:Y604" si="137">U536-W536</f>
        <v>0</v>
      </c>
    </row>
    <row r="537" spans="1:25" x14ac:dyDescent="0.25">
      <c r="A537" s="1218" t="s">
        <v>103</v>
      </c>
      <c r="B537" s="98">
        <v>45413</v>
      </c>
      <c r="C537" s="117" t="str">
        <f t="shared" si="124"/>
        <v>4L</v>
      </c>
      <c r="D537" s="96"/>
      <c r="E537" s="98"/>
      <c r="F537" s="98"/>
      <c r="G537" s="40">
        <v>2030</v>
      </c>
      <c r="H537" s="40">
        <v>2.23</v>
      </c>
      <c r="I537" s="99">
        <f t="shared" si="125"/>
        <v>4.5268999999999995</v>
      </c>
      <c r="L537" s="99">
        <f t="shared" si="126"/>
        <v>0</v>
      </c>
      <c r="M537" s="44">
        <f t="shared" si="128"/>
        <v>-1</v>
      </c>
      <c r="N537" s="100">
        <f t="shared" si="129"/>
        <v>-2030</v>
      </c>
      <c r="O537" s="101">
        <f t="shared" si="130"/>
        <v>-4.5268999999999995</v>
      </c>
      <c r="P537" s="52">
        <f t="shared" si="131"/>
        <v>0</v>
      </c>
      <c r="Q537" s="49">
        <v>116.88487613461319</v>
      </c>
      <c r="R537">
        <v>2225</v>
      </c>
      <c r="S537" s="50">
        <f t="shared" si="127"/>
        <v>71535.307499999995</v>
      </c>
      <c r="T537" s="50">
        <f t="shared" si="132"/>
        <v>323833.18352174992</v>
      </c>
      <c r="U537" s="58">
        <f t="shared" si="133"/>
        <v>0</v>
      </c>
      <c r="V537" s="58">
        <f t="shared" si="134"/>
        <v>237276.29855326479</v>
      </c>
      <c r="W537" s="58">
        <f t="shared" si="135"/>
        <v>0</v>
      </c>
      <c r="X537" s="58">
        <f t="shared" si="136"/>
        <v>86556.88496848513</v>
      </c>
      <c r="Y537" s="52">
        <f t="shared" si="137"/>
        <v>0</v>
      </c>
    </row>
    <row r="538" spans="1:25" x14ac:dyDescent="0.25">
      <c r="A538" s="1218" t="s">
        <v>104</v>
      </c>
      <c r="B538" s="98">
        <v>45413</v>
      </c>
      <c r="C538" s="117" t="str">
        <f t="shared" si="124"/>
        <v>4L</v>
      </c>
      <c r="D538" s="96"/>
      <c r="E538" s="98"/>
      <c r="F538" s="98"/>
      <c r="I538" s="99">
        <f t="shared" si="125"/>
        <v>0</v>
      </c>
      <c r="L538" s="99">
        <f t="shared" si="126"/>
        <v>0</v>
      </c>
      <c r="M538" s="44" t="str">
        <f t="shared" si="128"/>
        <v/>
      </c>
      <c r="N538" s="100">
        <f t="shared" si="129"/>
        <v>0</v>
      </c>
      <c r="O538" s="101">
        <f t="shared" si="130"/>
        <v>0</v>
      </c>
      <c r="P538" s="52">
        <f t="shared" si="131"/>
        <v>0</v>
      </c>
      <c r="Q538" s="49">
        <v>116.88487613461319</v>
      </c>
      <c r="R538">
        <v>2225</v>
      </c>
      <c r="S538" s="50">
        <f t="shared" si="127"/>
        <v>71535.307499999995</v>
      </c>
      <c r="T538" s="50">
        <f t="shared" si="132"/>
        <v>0</v>
      </c>
      <c r="U538" s="58">
        <f t="shared" si="133"/>
        <v>0</v>
      </c>
      <c r="V538" s="58">
        <f t="shared" si="134"/>
        <v>0</v>
      </c>
      <c r="W538" s="58">
        <f t="shared" si="135"/>
        <v>0</v>
      </c>
      <c r="X538" s="58">
        <f t="shared" si="136"/>
        <v>0</v>
      </c>
      <c r="Y538" s="52">
        <f t="shared" si="137"/>
        <v>0</v>
      </c>
    </row>
    <row r="539" spans="1:25" x14ac:dyDescent="0.25">
      <c r="A539" s="1218" t="s">
        <v>105</v>
      </c>
      <c r="B539" s="98">
        <v>45413</v>
      </c>
      <c r="C539" s="117" t="str">
        <f t="shared" si="124"/>
        <v>4L</v>
      </c>
      <c r="D539" s="96"/>
      <c r="E539" s="98"/>
      <c r="F539" s="98"/>
      <c r="I539" s="99">
        <f t="shared" si="125"/>
        <v>0</v>
      </c>
      <c r="L539" s="99">
        <f t="shared" si="126"/>
        <v>0</v>
      </c>
      <c r="M539" s="44" t="str">
        <f t="shared" si="128"/>
        <v/>
      </c>
      <c r="N539" s="100">
        <f t="shared" si="129"/>
        <v>0</v>
      </c>
      <c r="O539" s="101">
        <f t="shared" si="130"/>
        <v>0</v>
      </c>
      <c r="P539" s="52">
        <f t="shared" si="131"/>
        <v>0</v>
      </c>
      <c r="Q539" s="49">
        <v>116.88487613461319</v>
      </c>
      <c r="R539">
        <v>2225</v>
      </c>
      <c r="S539" s="50">
        <f t="shared" si="127"/>
        <v>71535.307499999995</v>
      </c>
      <c r="T539" s="50">
        <f t="shared" si="132"/>
        <v>0</v>
      </c>
      <c r="U539" s="58">
        <f t="shared" si="133"/>
        <v>0</v>
      </c>
      <c r="V539" s="58">
        <f t="shared" si="134"/>
        <v>0</v>
      </c>
      <c r="W539" s="58">
        <f t="shared" si="135"/>
        <v>0</v>
      </c>
      <c r="X539" s="58">
        <f t="shared" si="136"/>
        <v>0</v>
      </c>
      <c r="Y539" s="52">
        <f t="shared" si="137"/>
        <v>0</v>
      </c>
    </row>
    <row r="540" spans="1:25" x14ac:dyDescent="0.25">
      <c r="A540" s="1218" t="s">
        <v>106</v>
      </c>
      <c r="B540" s="98">
        <v>45413</v>
      </c>
      <c r="C540" s="117" t="str">
        <f t="shared" si="124"/>
        <v>4L</v>
      </c>
      <c r="D540" s="96"/>
      <c r="E540" s="98"/>
      <c r="F540" s="98"/>
      <c r="I540" s="99">
        <f t="shared" si="125"/>
        <v>0</v>
      </c>
      <c r="J540" s="41">
        <v>130</v>
      </c>
      <c r="K540" s="41">
        <v>1.695443773758962</v>
      </c>
      <c r="L540" s="99">
        <f t="shared" si="126"/>
        <v>0.22040769058866508</v>
      </c>
      <c r="M540" s="44" t="str">
        <f t="shared" si="128"/>
        <v/>
      </c>
      <c r="N540" s="100">
        <f t="shared" si="129"/>
        <v>130</v>
      </c>
      <c r="O540" s="101">
        <f t="shared" si="130"/>
        <v>0.22040769058866508</v>
      </c>
      <c r="P540" s="52">
        <f t="shared" si="131"/>
        <v>571.89802412529571</v>
      </c>
      <c r="Q540" s="49">
        <v>116.88487613461319</v>
      </c>
      <c r="R540">
        <v>2225</v>
      </c>
      <c r="S540" s="50">
        <f t="shared" si="127"/>
        <v>71535.307499999995</v>
      </c>
      <c r="T540" s="50">
        <f t="shared" si="132"/>
        <v>0</v>
      </c>
      <c r="U540" s="58">
        <f t="shared" si="133"/>
        <v>15766.931921625011</v>
      </c>
      <c r="V540" s="58">
        <f t="shared" si="134"/>
        <v>0</v>
      </c>
      <c r="W540" s="58">
        <f t="shared" si="135"/>
        <v>15195.033897499716</v>
      </c>
      <c r="X540" s="58">
        <f t="shared" si="136"/>
        <v>0</v>
      </c>
      <c r="Y540" s="52">
        <f t="shared" si="137"/>
        <v>571.89802412529571</v>
      </c>
    </row>
    <row r="541" spans="1:25" x14ac:dyDescent="0.25">
      <c r="A541" s="1218" t="s">
        <v>107</v>
      </c>
      <c r="B541" s="98">
        <v>45413</v>
      </c>
      <c r="C541" s="117" t="str">
        <f t="shared" si="124"/>
        <v>4L</v>
      </c>
      <c r="D541" s="96"/>
      <c r="E541" s="98"/>
      <c r="F541" s="98"/>
      <c r="I541" s="99">
        <f t="shared" si="125"/>
        <v>0</v>
      </c>
      <c r="L541" s="99">
        <f t="shared" si="126"/>
        <v>0</v>
      </c>
      <c r="M541" s="44" t="str">
        <f t="shared" si="128"/>
        <v/>
      </c>
      <c r="N541" s="100">
        <f t="shared" si="129"/>
        <v>0</v>
      </c>
      <c r="O541" s="101">
        <f t="shared" si="130"/>
        <v>0</v>
      </c>
      <c r="P541" s="52">
        <f t="shared" si="131"/>
        <v>0</v>
      </c>
      <c r="Q541" s="49">
        <v>116.88487613461319</v>
      </c>
      <c r="R541">
        <v>2225</v>
      </c>
      <c r="S541" s="50">
        <f t="shared" si="127"/>
        <v>71535.307499999995</v>
      </c>
      <c r="T541" s="50">
        <f t="shared" si="132"/>
        <v>0</v>
      </c>
      <c r="U541" s="58">
        <f t="shared" si="133"/>
        <v>0</v>
      </c>
      <c r="V541" s="58">
        <f t="shared" si="134"/>
        <v>0</v>
      </c>
      <c r="W541" s="58">
        <f t="shared" si="135"/>
        <v>0</v>
      </c>
      <c r="X541" s="58">
        <f t="shared" si="136"/>
        <v>0</v>
      </c>
      <c r="Y541" s="52">
        <f t="shared" si="137"/>
        <v>0</v>
      </c>
    </row>
    <row r="542" spans="1:25" x14ac:dyDescent="0.25">
      <c r="A542" s="1218" t="s">
        <v>108</v>
      </c>
      <c r="B542" s="98">
        <v>45413</v>
      </c>
      <c r="C542" s="117" t="str">
        <f t="shared" si="124"/>
        <v>4L</v>
      </c>
      <c r="D542" s="96"/>
      <c r="E542" s="98"/>
      <c r="F542" s="98"/>
      <c r="G542" s="53">
        <v>2030</v>
      </c>
      <c r="H542" s="46">
        <v>1.9700000000000009</v>
      </c>
      <c r="I542" s="99">
        <f t="shared" si="125"/>
        <v>3.9991000000000017</v>
      </c>
      <c r="J542" s="47">
        <v>2245.8000000000002</v>
      </c>
      <c r="K542" s="41">
        <v>1.7266482603925628</v>
      </c>
      <c r="L542" s="99">
        <f t="shared" si="126"/>
        <v>3.8777066631896178</v>
      </c>
      <c r="M542" s="44">
        <f t="shared" si="128"/>
        <v>-3.0355164114521726E-2</v>
      </c>
      <c r="N542" s="100">
        <f t="shared" si="129"/>
        <v>215.80000000000018</v>
      </c>
      <c r="O542" s="101">
        <f t="shared" si="130"/>
        <v>-0.12139333681038389</v>
      </c>
      <c r="P542" s="52">
        <f t="shared" si="131"/>
        <v>14892.883722953906</v>
      </c>
      <c r="Q542" s="49">
        <v>116.88487613461319</v>
      </c>
      <c r="R542">
        <v>2225</v>
      </c>
      <c r="S542" s="50">
        <f t="shared" si="127"/>
        <v>71535.307499999995</v>
      </c>
      <c r="T542" s="50">
        <f t="shared" si="132"/>
        <v>286076.84822325013</v>
      </c>
      <c r="U542" s="58">
        <f t="shared" si="133"/>
        <v>277392.93854606821</v>
      </c>
      <c r="V542" s="58">
        <f t="shared" si="134"/>
        <v>237276.29855326479</v>
      </c>
      <c r="W542" s="58">
        <f t="shared" si="135"/>
        <v>262500.0548231143</v>
      </c>
      <c r="X542" s="58">
        <f t="shared" si="136"/>
        <v>48800.549669985339</v>
      </c>
      <c r="Y542" s="52">
        <f t="shared" si="137"/>
        <v>14892.883722953906</v>
      </c>
    </row>
    <row r="543" spans="1:25" x14ac:dyDescent="0.25">
      <c r="A543" s="1218" t="s">
        <v>109</v>
      </c>
      <c r="B543" s="98">
        <v>45413</v>
      </c>
      <c r="C543" s="117" t="str">
        <f t="shared" si="124"/>
        <v>4L</v>
      </c>
      <c r="D543" s="96"/>
      <c r="E543" s="98"/>
      <c r="F543" s="98"/>
      <c r="G543" s="40">
        <v>2030</v>
      </c>
      <c r="H543" s="40">
        <v>2.1799999999999997</v>
      </c>
      <c r="I543" s="99">
        <f t="shared" si="125"/>
        <v>4.4253999999999998</v>
      </c>
      <c r="L543" s="99">
        <f t="shared" si="126"/>
        <v>0</v>
      </c>
      <c r="M543" s="44">
        <f t="shared" si="128"/>
        <v>-1</v>
      </c>
      <c r="N543" s="100">
        <f t="shared" si="129"/>
        <v>-2030</v>
      </c>
      <c r="O543" s="101">
        <f t="shared" si="130"/>
        <v>-4.4253999999999998</v>
      </c>
      <c r="P543" s="52">
        <f t="shared" si="131"/>
        <v>0</v>
      </c>
      <c r="Q543" s="49">
        <v>116.88487613461319</v>
      </c>
      <c r="R543">
        <v>2225</v>
      </c>
      <c r="S543" s="50">
        <f t="shared" si="127"/>
        <v>71535.307499999995</v>
      </c>
      <c r="T543" s="50">
        <f t="shared" si="132"/>
        <v>316572.34981049999</v>
      </c>
      <c r="U543" s="58">
        <f t="shared" si="133"/>
        <v>0</v>
      </c>
      <c r="V543" s="58">
        <f t="shared" si="134"/>
        <v>237276.29855326479</v>
      </c>
      <c r="W543" s="58">
        <f t="shared" si="135"/>
        <v>0</v>
      </c>
      <c r="X543" s="58">
        <f t="shared" si="136"/>
        <v>79296.051257235202</v>
      </c>
      <c r="Y543" s="52">
        <f t="shared" si="137"/>
        <v>0</v>
      </c>
    </row>
    <row r="544" spans="1:25" x14ac:dyDescent="0.25">
      <c r="A544" s="1218" t="s">
        <v>110</v>
      </c>
      <c r="B544" s="98">
        <v>45413</v>
      </c>
      <c r="C544" s="117" t="str">
        <f t="shared" si="124"/>
        <v>4L</v>
      </c>
      <c r="D544" s="96"/>
      <c r="E544" s="98"/>
      <c r="F544" s="98"/>
      <c r="I544" s="99">
        <f t="shared" si="125"/>
        <v>0</v>
      </c>
      <c r="J544" s="54">
        <v>684</v>
      </c>
      <c r="K544" s="47">
        <v>1.3417929252448231</v>
      </c>
      <c r="L544" s="99">
        <f t="shared" si="126"/>
        <v>0.91778636086745891</v>
      </c>
      <c r="M544" s="44" t="str">
        <f t="shared" si="128"/>
        <v/>
      </c>
      <c r="N544" s="100">
        <f t="shared" si="129"/>
        <v>684</v>
      </c>
      <c r="O544" s="101">
        <f t="shared" si="130"/>
        <v>0.91778636086745891</v>
      </c>
      <c r="P544" s="52">
        <f t="shared" si="131"/>
        <v>-14295.12573211579</v>
      </c>
      <c r="Q544" s="49">
        <v>116.88487613461319</v>
      </c>
      <c r="R544">
        <v>2225</v>
      </c>
      <c r="S544" s="50">
        <f t="shared" si="127"/>
        <v>71535.307499999995</v>
      </c>
      <c r="T544" s="50">
        <f t="shared" si="132"/>
        <v>0</v>
      </c>
      <c r="U544" s="58">
        <f t="shared" si="133"/>
        <v>65654.129543959629</v>
      </c>
      <c r="V544" s="58">
        <f t="shared" si="134"/>
        <v>0</v>
      </c>
      <c r="W544" s="58">
        <f t="shared" si="135"/>
        <v>79949.255276075419</v>
      </c>
      <c r="X544" s="58">
        <f t="shared" si="136"/>
        <v>0</v>
      </c>
      <c r="Y544" s="52">
        <f t="shared" si="137"/>
        <v>-14295.12573211579</v>
      </c>
    </row>
    <row r="545" spans="1:25" x14ac:dyDescent="0.25">
      <c r="A545" s="1218" t="s">
        <v>111</v>
      </c>
      <c r="B545" s="98">
        <v>45413</v>
      </c>
      <c r="C545" s="117" t="str">
        <f t="shared" si="124"/>
        <v>4L</v>
      </c>
      <c r="D545" s="96"/>
      <c r="E545" s="98"/>
      <c r="F545" s="98"/>
      <c r="I545" s="99">
        <f t="shared" si="125"/>
        <v>0</v>
      </c>
      <c r="J545" s="41">
        <v>276.8</v>
      </c>
      <c r="K545" s="41">
        <v>1.6330348004917614</v>
      </c>
      <c r="L545" s="99">
        <f t="shared" si="126"/>
        <v>0.45202403277611958</v>
      </c>
      <c r="M545" s="44" t="str">
        <f t="shared" si="128"/>
        <v/>
      </c>
      <c r="N545" s="100">
        <f t="shared" si="129"/>
        <v>276.8</v>
      </c>
      <c r="O545" s="101">
        <f t="shared" si="130"/>
        <v>0.45202403277611958</v>
      </c>
      <c r="P545" s="52">
        <f t="shared" si="131"/>
        <v>-18.05553203114323</v>
      </c>
      <c r="Q545" s="49">
        <v>116.88487613461319</v>
      </c>
      <c r="R545">
        <v>2225</v>
      </c>
      <c r="S545" s="50">
        <f t="shared" si="127"/>
        <v>71535.307499999995</v>
      </c>
      <c r="T545" s="50">
        <f t="shared" si="132"/>
        <v>0</v>
      </c>
      <c r="U545" s="58">
        <f t="shared" si="133"/>
        <v>32335.678182029791</v>
      </c>
      <c r="V545" s="58">
        <f t="shared" si="134"/>
        <v>0</v>
      </c>
      <c r="W545" s="58">
        <f t="shared" si="135"/>
        <v>32353.733714060934</v>
      </c>
      <c r="X545" s="58">
        <f t="shared" si="136"/>
        <v>0</v>
      </c>
      <c r="Y545" s="52">
        <f t="shared" si="137"/>
        <v>-18.05553203114323</v>
      </c>
    </row>
    <row r="546" spans="1:25" x14ac:dyDescent="0.25">
      <c r="A546" s="1218" t="s">
        <v>112</v>
      </c>
      <c r="B546" s="98">
        <v>45413</v>
      </c>
      <c r="C546" s="117" t="str">
        <f t="shared" si="124"/>
        <v>4L</v>
      </c>
      <c r="D546" s="96"/>
      <c r="E546" s="98"/>
      <c r="F546" s="98"/>
      <c r="G546" s="40">
        <v>2030</v>
      </c>
      <c r="H546" s="40">
        <v>1.8</v>
      </c>
      <c r="I546" s="99">
        <f t="shared" si="125"/>
        <v>3.6539999999999999</v>
      </c>
      <c r="J546" s="41">
        <v>2547.8000000000002</v>
      </c>
      <c r="K546" s="41">
        <v>2.2883290197973722</v>
      </c>
      <c r="L546" s="99">
        <f t="shared" si="126"/>
        <v>5.8302046766397453</v>
      </c>
      <c r="M546" s="44">
        <f t="shared" si="128"/>
        <v>0.59556778233162166</v>
      </c>
      <c r="N546" s="100">
        <f t="shared" si="129"/>
        <v>517.80000000000018</v>
      </c>
      <c r="O546" s="101">
        <f t="shared" si="130"/>
        <v>2.1762046766397454</v>
      </c>
      <c r="P546" s="52">
        <f t="shared" si="131"/>
        <v>119266.19691559474</v>
      </c>
      <c r="Q546" s="49">
        <v>116.88487613461319</v>
      </c>
      <c r="R546">
        <v>2225</v>
      </c>
      <c r="S546" s="50">
        <f t="shared" si="127"/>
        <v>71535.307499999995</v>
      </c>
      <c r="T546" s="50">
        <f t="shared" si="132"/>
        <v>261390.01360499999</v>
      </c>
      <c r="U546" s="58">
        <f t="shared" si="133"/>
        <v>417065.48433136224</v>
      </c>
      <c r="V546" s="58">
        <f t="shared" si="134"/>
        <v>237276.29855326479</v>
      </c>
      <c r="W546" s="58">
        <f t="shared" si="135"/>
        <v>297799.2874157675</v>
      </c>
      <c r="X546" s="58">
        <f t="shared" si="136"/>
        <v>24113.715051735198</v>
      </c>
      <c r="Y546" s="52">
        <f t="shared" si="137"/>
        <v>119266.19691559474</v>
      </c>
    </row>
    <row r="547" spans="1:25" x14ac:dyDescent="0.25">
      <c r="A547" s="1218" t="s">
        <v>113</v>
      </c>
      <c r="B547" s="98">
        <v>45413</v>
      </c>
      <c r="C547" s="117" t="str">
        <f t="shared" si="124"/>
        <v>4L</v>
      </c>
      <c r="D547" s="96"/>
      <c r="E547" s="98"/>
      <c r="F547" s="98"/>
      <c r="G547" s="53">
        <v>2030</v>
      </c>
      <c r="H547" s="46">
        <v>1.8799999999999992</v>
      </c>
      <c r="I547" s="99">
        <f t="shared" si="125"/>
        <v>3.8163999999999985</v>
      </c>
      <c r="L547" s="99">
        <f t="shared" si="126"/>
        <v>0</v>
      </c>
      <c r="M547" s="44">
        <f t="shared" si="128"/>
        <v>-1</v>
      </c>
      <c r="N547" s="100">
        <f t="shared" si="129"/>
        <v>-2030</v>
      </c>
      <c r="O547" s="101">
        <f t="shared" si="130"/>
        <v>-3.8163999999999985</v>
      </c>
      <c r="P547" s="52">
        <f t="shared" si="131"/>
        <v>0</v>
      </c>
      <c r="Q547" s="49">
        <v>116.88487613461319</v>
      </c>
      <c r="R547">
        <v>2225</v>
      </c>
      <c r="S547" s="50">
        <f t="shared" si="127"/>
        <v>71535.307499999995</v>
      </c>
      <c r="T547" s="50">
        <f t="shared" si="132"/>
        <v>273007.34754299989</v>
      </c>
      <c r="U547" s="58">
        <f t="shared" si="133"/>
        <v>0</v>
      </c>
      <c r="V547" s="58">
        <f t="shared" si="134"/>
        <v>237276.29855326479</v>
      </c>
      <c r="W547" s="58">
        <f t="shared" si="135"/>
        <v>0</v>
      </c>
      <c r="X547" s="58">
        <f t="shared" si="136"/>
        <v>35731.048989735107</v>
      </c>
      <c r="Y547" s="52">
        <f t="shared" si="137"/>
        <v>0</v>
      </c>
    </row>
    <row r="548" spans="1:25" x14ac:dyDescent="0.25">
      <c r="A548" s="1218" t="s">
        <v>114</v>
      </c>
      <c r="B548" s="98">
        <v>45413</v>
      </c>
      <c r="C548" s="117" t="str">
        <f t="shared" si="124"/>
        <v>4L</v>
      </c>
      <c r="D548" s="96"/>
      <c r="E548" s="98"/>
      <c r="F548" s="98"/>
      <c r="G548" s="40">
        <v>2030</v>
      </c>
      <c r="H548" s="40">
        <v>2.3400000000000012</v>
      </c>
      <c r="I548" s="99">
        <f t="shared" si="125"/>
        <v>4.7502000000000022</v>
      </c>
      <c r="J548" s="41">
        <v>2600.0000000000005</v>
      </c>
      <c r="K548" s="41">
        <v>1.5810273227690934</v>
      </c>
      <c r="L548" s="99">
        <f t="shared" si="126"/>
        <v>4.1106710391996435</v>
      </c>
      <c r="M548" s="44">
        <f t="shared" si="128"/>
        <v>-0.1346320072418758</v>
      </c>
      <c r="N548" s="100">
        <f t="shared" si="129"/>
        <v>570.00000000000045</v>
      </c>
      <c r="O548" s="101">
        <f t="shared" si="130"/>
        <v>-0.6395289608003587</v>
      </c>
      <c r="P548" s="52">
        <f t="shared" si="131"/>
        <v>-9842.5611295033013</v>
      </c>
      <c r="Q548" s="49">
        <v>116.88487613461319</v>
      </c>
      <c r="R548">
        <v>2225</v>
      </c>
      <c r="S548" s="50">
        <f t="shared" si="127"/>
        <v>71535.307499999995</v>
      </c>
      <c r="T548" s="50">
        <f t="shared" si="132"/>
        <v>339807.01768650016</v>
      </c>
      <c r="U548" s="58">
        <f t="shared" si="133"/>
        <v>294058.11682049104</v>
      </c>
      <c r="V548" s="58">
        <f t="shared" si="134"/>
        <v>237276.29855326479</v>
      </c>
      <c r="W548" s="58">
        <f t="shared" si="135"/>
        <v>303900.67794999434</v>
      </c>
      <c r="X548" s="58">
        <f t="shared" si="136"/>
        <v>102530.71913323537</v>
      </c>
      <c r="Y548" s="52">
        <f t="shared" si="137"/>
        <v>-9842.5611295033013</v>
      </c>
    </row>
    <row r="549" spans="1:25" x14ac:dyDescent="0.25">
      <c r="A549" s="1218" t="s">
        <v>115</v>
      </c>
      <c r="B549" s="98">
        <v>45413</v>
      </c>
      <c r="C549" s="117" t="str">
        <f t="shared" si="124"/>
        <v>4L</v>
      </c>
      <c r="D549" s="96"/>
      <c r="E549" s="98"/>
      <c r="F549" s="98"/>
      <c r="G549" s="53">
        <v>4060</v>
      </c>
      <c r="H549" s="46">
        <v>2.8800000000000008</v>
      </c>
      <c r="I549" s="99">
        <f t="shared" si="125"/>
        <v>11.692800000000004</v>
      </c>
      <c r="J549" s="54">
        <v>2052</v>
      </c>
      <c r="K549" s="47">
        <v>2.1635110732629701</v>
      </c>
      <c r="L549" s="99">
        <f t="shared" si="126"/>
        <v>4.4395247223356149</v>
      </c>
      <c r="M549" s="44">
        <f t="shared" si="128"/>
        <v>-0.62031979317737296</v>
      </c>
      <c r="N549" s="100">
        <f t="shared" si="129"/>
        <v>-2008</v>
      </c>
      <c r="O549" s="101">
        <f t="shared" si="130"/>
        <v>-7.2532752776643887</v>
      </c>
      <c r="P549" s="52">
        <f t="shared" si="131"/>
        <v>77735.000337904028</v>
      </c>
      <c r="Q549" s="49">
        <v>116.88487613461319</v>
      </c>
      <c r="R549">
        <v>2225</v>
      </c>
      <c r="S549" s="50">
        <f t="shared" si="127"/>
        <v>71535.307499999995</v>
      </c>
      <c r="T549" s="50">
        <f t="shared" si="132"/>
        <v>836448.04353600019</v>
      </c>
      <c r="U549" s="58">
        <f t="shared" si="133"/>
        <v>317582.76616613031</v>
      </c>
      <c r="V549" s="58">
        <f t="shared" si="134"/>
        <v>474552.59710652957</v>
      </c>
      <c r="W549" s="58">
        <f t="shared" si="135"/>
        <v>239847.76582822629</v>
      </c>
      <c r="X549" s="58">
        <f t="shared" si="136"/>
        <v>361895.44642947061</v>
      </c>
      <c r="Y549" s="52">
        <f t="shared" si="137"/>
        <v>77735.000337904028</v>
      </c>
    </row>
    <row r="550" spans="1:25" x14ac:dyDescent="0.25">
      <c r="A550" s="1218" t="s">
        <v>116</v>
      </c>
      <c r="B550" s="98">
        <v>45413</v>
      </c>
      <c r="C550" s="117" t="str">
        <f t="shared" si="124"/>
        <v>4L</v>
      </c>
      <c r="D550" s="96"/>
      <c r="E550" s="98"/>
      <c r="F550" s="98"/>
      <c r="I550" s="99">
        <f t="shared" si="125"/>
        <v>0</v>
      </c>
      <c r="L550" s="99">
        <f t="shared" si="126"/>
        <v>0</v>
      </c>
      <c r="M550" s="44" t="str">
        <f t="shared" si="128"/>
        <v/>
      </c>
      <c r="N550" s="100">
        <f t="shared" si="129"/>
        <v>0</v>
      </c>
      <c r="O550" s="101">
        <f t="shared" si="130"/>
        <v>0</v>
      </c>
      <c r="P550" s="52">
        <f t="shared" si="131"/>
        <v>0</v>
      </c>
      <c r="Q550" s="49">
        <v>116.88487613461319</v>
      </c>
      <c r="R550">
        <v>2225</v>
      </c>
      <c r="S550" s="50">
        <f t="shared" si="127"/>
        <v>71535.307499999995</v>
      </c>
      <c r="T550" s="50">
        <f t="shared" si="132"/>
        <v>0</v>
      </c>
      <c r="U550" s="58">
        <f t="shared" si="133"/>
        <v>0</v>
      </c>
      <c r="V550" s="58">
        <f t="shared" si="134"/>
        <v>0</v>
      </c>
      <c r="W550" s="58">
        <f t="shared" si="135"/>
        <v>0</v>
      </c>
      <c r="X550" s="58">
        <f t="shared" si="136"/>
        <v>0</v>
      </c>
      <c r="Y550" s="52">
        <f t="shared" si="137"/>
        <v>0</v>
      </c>
    </row>
    <row r="551" spans="1:25" x14ac:dyDescent="0.25">
      <c r="A551" s="1218" t="s">
        <v>117</v>
      </c>
      <c r="B551" s="98">
        <v>45413</v>
      </c>
      <c r="C551" s="117" t="str">
        <f t="shared" si="124"/>
        <v>4L</v>
      </c>
      <c r="D551" s="96"/>
      <c r="E551" s="98"/>
      <c r="F551" s="98"/>
      <c r="I551" s="99">
        <f t="shared" si="125"/>
        <v>0</v>
      </c>
      <c r="J551" s="41">
        <v>151</v>
      </c>
      <c r="K551" s="41">
        <v>0.73850618366187926</v>
      </c>
      <c r="L551" s="99">
        <f t="shared" si="126"/>
        <v>0.11151443373294377</v>
      </c>
      <c r="M551" s="44" t="str">
        <f t="shared" si="128"/>
        <v/>
      </c>
      <c r="N551" s="100">
        <f t="shared" si="129"/>
        <v>151</v>
      </c>
      <c r="O551" s="101">
        <f t="shared" si="130"/>
        <v>0.11151443373294377</v>
      </c>
      <c r="P551" s="52">
        <f t="shared" si="131"/>
        <v>-9672.3969885520874</v>
      </c>
      <c r="Q551" s="49">
        <v>116.88487613461319</v>
      </c>
      <c r="R551">
        <v>2225</v>
      </c>
      <c r="S551" s="50">
        <f t="shared" si="127"/>
        <v>71535.307499999995</v>
      </c>
      <c r="T551" s="50">
        <f t="shared" si="132"/>
        <v>0</v>
      </c>
      <c r="U551" s="58">
        <f t="shared" si="133"/>
        <v>7977.2193077745051</v>
      </c>
      <c r="V551" s="58">
        <f t="shared" si="134"/>
        <v>0</v>
      </c>
      <c r="W551" s="58">
        <f t="shared" si="135"/>
        <v>17649.616296326592</v>
      </c>
      <c r="X551" s="58">
        <f t="shared" si="136"/>
        <v>0</v>
      </c>
      <c r="Y551" s="52">
        <f t="shared" si="137"/>
        <v>-9672.3969885520874</v>
      </c>
    </row>
    <row r="552" spans="1:25" x14ac:dyDescent="0.25">
      <c r="A552" s="1218" t="s">
        <v>118</v>
      </c>
      <c r="B552" s="98">
        <v>45413</v>
      </c>
      <c r="C552" s="117" t="str">
        <f t="shared" si="124"/>
        <v>4L</v>
      </c>
      <c r="D552" s="96"/>
      <c r="E552" s="98"/>
      <c r="F552" s="98"/>
      <c r="I552" s="99">
        <f t="shared" si="125"/>
        <v>0</v>
      </c>
      <c r="J552" s="41">
        <v>1077</v>
      </c>
      <c r="K552" s="41">
        <v>1.7370497559370961</v>
      </c>
      <c r="L552" s="99">
        <f t="shared" si="126"/>
        <v>1.8708025871442526</v>
      </c>
      <c r="M552" s="44" t="str">
        <f t="shared" si="128"/>
        <v/>
      </c>
      <c r="N552" s="100">
        <f t="shared" si="129"/>
        <v>1077</v>
      </c>
      <c r="O552" s="101">
        <f t="shared" si="130"/>
        <v>1.8708025871442526</v>
      </c>
      <c r="P552" s="52">
        <f t="shared" si="131"/>
        <v>7943.4267461812415</v>
      </c>
      <c r="Q552" s="49">
        <v>116.88487613461319</v>
      </c>
      <c r="R552">
        <v>2225</v>
      </c>
      <c r="S552" s="50">
        <f t="shared" si="127"/>
        <v>71535.307499999995</v>
      </c>
      <c r="T552" s="50">
        <f t="shared" si="132"/>
        <v>0</v>
      </c>
      <c r="U552" s="58">
        <f t="shared" si="133"/>
        <v>133828.43834315965</v>
      </c>
      <c r="V552" s="58">
        <f t="shared" si="134"/>
        <v>0</v>
      </c>
      <c r="W552" s="58">
        <f t="shared" si="135"/>
        <v>125885.01159697841</v>
      </c>
      <c r="X552" s="58">
        <f t="shared" si="136"/>
        <v>0</v>
      </c>
      <c r="Y552" s="52">
        <f t="shared" si="137"/>
        <v>7943.4267461812415</v>
      </c>
    </row>
    <row r="553" spans="1:25" x14ac:dyDescent="0.25">
      <c r="A553" s="1218" t="s">
        <v>119</v>
      </c>
      <c r="B553" s="98">
        <v>45413</v>
      </c>
      <c r="C553" s="117" t="str">
        <f t="shared" si="124"/>
        <v>4L</v>
      </c>
      <c r="D553" s="96"/>
      <c r="E553" s="98"/>
      <c r="F553" s="98"/>
      <c r="I553" s="99">
        <f t="shared" si="125"/>
        <v>0</v>
      </c>
      <c r="L553" s="99">
        <f t="shared" si="126"/>
        <v>0</v>
      </c>
      <c r="M553" s="44" t="str">
        <f t="shared" si="128"/>
        <v/>
      </c>
      <c r="N553" s="100">
        <f t="shared" si="129"/>
        <v>0</v>
      </c>
      <c r="O553" s="101">
        <f t="shared" si="130"/>
        <v>0</v>
      </c>
      <c r="P553" s="52">
        <f t="shared" si="131"/>
        <v>0</v>
      </c>
      <c r="Q553" s="49">
        <v>116.88487613461319</v>
      </c>
      <c r="R553">
        <v>2225</v>
      </c>
      <c r="S553" s="50">
        <f t="shared" si="127"/>
        <v>71535.307499999995</v>
      </c>
      <c r="T553" s="50">
        <f t="shared" si="132"/>
        <v>0</v>
      </c>
      <c r="U553" s="58">
        <f t="shared" si="133"/>
        <v>0</v>
      </c>
      <c r="V553" s="58">
        <f t="shared" si="134"/>
        <v>0</v>
      </c>
      <c r="W553" s="58">
        <f t="shared" si="135"/>
        <v>0</v>
      </c>
      <c r="X553" s="58">
        <f t="shared" si="136"/>
        <v>0</v>
      </c>
      <c r="Y553" s="52">
        <f t="shared" si="137"/>
        <v>0</v>
      </c>
    </row>
    <row r="554" spans="1:25" x14ac:dyDescent="0.25">
      <c r="A554" s="1218" t="s">
        <v>120</v>
      </c>
      <c r="B554" s="98">
        <v>45413</v>
      </c>
      <c r="C554" s="117" t="str">
        <f t="shared" si="124"/>
        <v>4L</v>
      </c>
      <c r="D554" s="96"/>
      <c r="E554" s="98"/>
      <c r="F554" s="98"/>
      <c r="I554" s="99">
        <f t="shared" si="125"/>
        <v>0</v>
      </c>
      <c r="L554" s="99">
        <f t="shared" si="126"/>
        <v>0</v>
      </c>
      <c r="M554" s="44" t="str">
        <f t="shared" si="128"/>
        <v/>
      </c>
      <c r="N554" s="100">
        <f t="shared" si="129"/>
        <v>0</v>
      </c>
      <c r="O554" s="101">
        <f t="shared" si="130"/>
        <v>0</v>
      </c>
      <c r="P554" s="52">
        <f t="shared" si="131"/>
        <v>0</v>
      </c>
      <c r="Q554" s="49">
        <v>116.88487613461319</v>
      </c>
      <c r="R554">
        <v>2225</v>
      </c>
      <c r="S554" s="50">
        <f t="shared" si="127"/>
        <v>71535.307499999995</v>
      </c>
      <c r="T554" s="50">
        <f t="shared" si="132"/>
        <v>0</v>
      </c>
      <c r="U554" s="58">
        <f t="shared" si="133"/>
        <v>0</v>
      </c>
      <c r="V554" s="58">
        <f t="shared" si="134"/>
        <v>0</v>
      </c>
      <c r="W554" s="58">
        <f t="shared" si="135"/>
        <v>0</v>
      </c>
      <c r="X554" s="58">
        <f t="shared" si="136"/>
        <v>0</v>
      </c>
      <c r="Y554" s="52">
        <f t="shared" si="137"/>
        <v>0</v>
      </c>
    </row>
    <row r="555" spans="1:25" x14ac:dyDescent="0.25">
      <c r="A555" s="1218" t="s">
        <v>121</v>
      </c>
      <c r="B555" s="98">
        <v>45413</v>
      </c>
      <c r="C555" s="117" t="str">
        <f t="shared" si="124"/>
        <v>4L</v>
      </c>
      <c r="D555" s="96"/>
      <c r="E555" s="98"/>
      <c r="F555" s="98"/>
      <c r="I555" s="99">
        <f t="shared" si="125"/>
        <v>0</v>
      </c>
      <c r="L555" s="99">
        <f t="shared" si="126"/>
        <v>0</v>
      </c>
      <c r="M555" s="44" t="str">
        <f t="shared" si="128"/>
        <v/>
      </c>
      <c r="N555" s="100">
        <f t="shared" si="129"/>
        <v>0</v>
      </c>
      <c r="O555" s="101">
        <f t="shared" si="130"/>
        <v>0</v>
      </c>
      <c r="P555" s="52">
        <f t="shared" si="131"/>
        <v>0</v>
      </c>
      <c r="Q555" s="49">
        <v>116.88487613461319</v>
      </c>
      <c r="R555">
        <v>2225</v>
      </c>
      <c r="S555" s="50">
        <f t="shared" si="127"/>
        <v>71535.307499999995</v>
      </c>
      <c r="T555" s="50">
        <f t="shared" si="132"/>
        <v>0</v>
      </c>
      <c r="U555" s="58">
        <f t="shared" si="133"/>
        <v>0</v>
      </c>
      <c r="V555" s="58">
        <f t="shared" si="134"/>
        <v>0</v>
      </c>
      <c r="W555" s="58">
        <f t="shared" si="135"/>
        <v>0</v>
      </c>
      <c r="X555" s="58">
        <f t="shared" si="136"/>
        <v>0</v>
      </c>
      <c r="Y555" s="52">
        <f t="shared" si="137"/>
        <v>0</v>
      </c>
    </row>
    <row r="556" spans="1:25" x14ac:dyDescent="0.25">
      <c r="A556" s="1218" t="s">
        <v>122</v>
      </c>
      <c r="B556" s="98">
        <v>45413</v>
      </c>
      <c r="C556" s="117" t="str">
        <f t="shared" si="124"/>
        <v>4L</v>
      </c>
      <c r="D556" s="96"/>
      <c r="E556" s="98"/>
      <c r="F556" s="98"/>
      <c r="I556" s="99">
        <f t="shared" si="125"/>
        <v>0</v>
      </c>
      <c r="L556" s="99">
        <f t="shared" si="126"/>
        <v>0</v>
      </c>
      <c r="M556" s="44" t="str">
        <f t="shared" si="128"/>
        <v/>
      </c>
      <c r="N556" s="100">
        <f t="shared" si="129"/>
        <v>0</v>
      </c>
      <c r="O556" s="101">
        <f t="shared" si="130"/>
        <v>0</v>
      </c>
      <c r="P556" s="52">
        <f t="shared" si="131"/>
        <v>0</v>
      </c>
      <c r="Q556" s="49">
        <v>116.88487613461319</v>
      </c>
      <c r="R556">
        <v>2225</v>
      </c>
      <c r="S556" s="50">
        <f t="shared" si="127"/>
        <v>71535.307499999995</v>
      </c>
      <c r="T556" s="50">
        <f t="shared" si="132"/>
        <v>0</v>
      </c>
      <c r="U556" s="58">
        <f t="shared" si="133"/>
        <v>0</v>
      </c>
      <c r="V556" s="58">
        <f t="shared" si="134"/>
        <v>0</v>
      </c>
      <c r="W556" s="58">
        <f t="shared" si="135"/>
        <v>0</v>
      </c>
      <c r="X556" s="58">
        <f t="shared" si="136"/>
        <v>0</v>
      </c>
      <c r="Y556" s="52">
        <f t="shared" si="137"/>
        <v>0</v>
      </c>
    </row>
    <row r="557" spans="1:25" x14ac:dyDescent="0.25">
      <c r="A557" s="1218" t="s">
        <v>123</v>
      </c>
      <c r="B557" s="98">
        <v>45413</v>
      </c>
      <c r="C557" s="117" t="str">
        <f t="shared" si="124"/>
        <v>4L</v>
      </c>
      <c r="D557" s="96"/>
      <c r="E557" s="98"/>
      <c r="F557" s="98"/>
      <c r="I557" s="99">
        <f t="shared" si="125"/>
        <v>0</v>
      </c>
      <c r="L557" s="99">
        <f t="shared" si="126"/>
        <v>0</v>
      </c>
      <c r="M557" s="44" t="str">
        <f t="shared" si="128"/>
        <v/>
      </c>
      <c r="N557" s="100">
        <f t="shared" si="129"/>
        <v>0</v>
      </c>
      <c r="O557" s="101">
        <f t="shared" si="130"/>
        <v>0</v>
      </c>
      <c r="P557" s="52">
        <f t="shared" si="131"/>
        <v>0</v>
      </c>
      <c r="Q557" s="49">
        <v>116.88487613461319</v>
      </c>
      <c r="R557">
        <v>2225</v>
      </c>
      <c r="S557" s="50">
        <f t="shared" si="127"/>
        <v>71535.307499999995</v>
      </c>
      <c r="T557" s="50">
        <f t="shared" si="132"/>
        <v>0</v>
      </c>
      <c r="U557" s="58">
        <f t="shared" si="133"/>
        <v>0</v>
      </c>
      <c r="V557" s="58">
        <f t="shared" si="134"/>
        <v>0</v>
      </c>
      <c r="W557" s="58">
        <f t="shared" si="135"/>
        <v>0</v>
      </c>
      <c r="X557" s="58">
        <f t="shared" si="136"/>
        <v>0</v>
      </c>
      <c r="Y557" s="52">
        <f t="shared" si="137"/>
        <v>0</v>
      </c>
    </row>
    <row r="558" spans="1:25" x14ac:dyDescent="0.25">
      <c r="A558" s="1218" t="s">
        <v>124</v>
      </c>
      <c r="B558" s="98">
        <v>45413</v>
      </c>
      <c r="C558" s="117" t="str">
        <f t="shared" si="124"/>
        <v>4L</v>
      </c>
      <c r="D558" s="96"/>
      <c r="E558" s="98"/>
      <c r="F558" s="98"/>
      <c r="I558" s="99">
        <f t="shared" si="125"/>
        <v>0</v>
      </c>
      <c r="L558" s="99">
        <f t="shared" si="126"/>
        <v>0</v>
      </c>
      <c r="M558" s="44" t="str">
        <f t="shared" si="128"/>
        <v/>
      </c>
      <c r="N558" s="100">
        <f t="shared" si="129"/>
        <v>0</v>
      </c>
      <c r="O558" s="101">
        <f t="shared" si="130"/>
        <v>0</v>
      </c>
      <c r="P558" s="52">
        <f t="shared" si="131"/>
        <v>0</v>
      </c>
      <c r="Q558" s="49">
        <v>116.88487613461319</v>
      </c>
      <c r="R558">
        <v>2225</v>
      </c>
      <c r="S558" s="50">
        <f t="shared" si="127"/>
        <v>71535.307499999995</v>
      </c>
      <c r="T558" s="50">
        <f t="shared" si="132"/>
        <v>0</v>
      </c>
      <c r="U558" s="58">
        <f t="shared" si="133"/>
        <v>0</v>
      </c>
      <c r="V558" s="58">
        <f t="shared" si="134"/>
        <v>0</v>
      </c>
      <c r="W558" s="58">
        <f t="shared" si="135"/>
        <v>0</v>
      </c>
      <c r="X558" s="58">
        <f t="shared" si="136"/>
        <v>0</v>
      </c>
      <c r="Y558" s="52">
        <f t="shared" si="137"/>
        <v>0</v>
      </c>
    </row>
    <row r="559" spans="1:25" x14ac:dyDescent="0.25">
      <c r="A559" s="1218" t="s">
        <v>125</v>
      </c>
      <c r="B559" s="98">
        <v>45413</v>
      </c>
      <c r="C559" s="117" t="str">
        <f t="shared" ref="C559:C563" si="138">LEFT(A559,2)</f>
        <v>4L</v>
      </c>
      <c r="D559" s="96"/>
      <c r="E559" s="98"/>
      <c r="F559" s="98"/>
      <c r="I559" s="99">
        <f t="shared" si="125"/>
        <v>0</v>
      </c>
      <c r="L559" s="99">
        <f t="shared" si="126"/>
        <v>0</v>
      </c>
      <c r="M559" s="44" t="str">
        <f t="shared" si="128"/>
        <v/>
      </c>
      <c r="N559" s="100">
        <f t="shared" si="129"/>
        <v>0</v>
      </c>
      <c r="O559" s="101">
        <f t="shared" si="130"/>
        <v>0</v>
      </c>
      <c r="P559" s="52">
        <f t="shared" si="131"/>
        <v>0</v>
      </c>
      <c r="Q559" s="49">
        <v>116.88487613461319</v>
      </c>
      <c r="R559">
        <v>2225</v>
      </c>
      <c r="S559" s="50">
        <f t="shared" si="127"/>
        <v>71535.307499999995</v>
      </c>
      <c r="T559" s="50">
        <f t="shared" si="132"/>
        <v>0</v>
      </c>
      <c r="U559" s="58">
        <f t="shared" si="133"/>
        <v>0</v>
      </c>
      <c r="V559" s="58">
        <f t="shared" si="134"/>
        <v>0</v>
      </c>
      <c r="W559" s="58">
        <f t="shared" si="135"/>
        <v>0</v>
      </c>
      <c r="X559" s="58">
        <f t="shared" si="136"/>
        <v>0</v>
      </c>
      <c r="Y559" s="52">
        <f t="shared" si="137"/>
        <v>0</v>
      </c>
    </row>
    <row r="560" spans="1:25" x14ac:dyDescent="0.25">
      <c r="A560" s="1218" t="s">
        <v>126</v>
      </c>
      <c r="B560" s="98">
        <v>45413</v>
      </c>
      <c r="C560" s="117" t="str">
        <f t="shared" si="138"/>
        <v>4L</v>
      </c>
      <c r="D560" s="96"/>
      <c r="E560" s="98"/>
      <c r="F560" s="98"/>
      <c r="I560" s="99"/>
      <c r="L560" s="99"/>
      <c r="M560" s="44"/>
      <c r="N560" s="100"/>
      <c r="O560" s="101"/>
      <c r="P560" s="52"/>
      <c r="Q560" s="49"/>
      <c r="S560" s="50"/>
      <c r="T560" s="50"/>
      <c r="U560" s="58"/>
      <c r="V560" s="58"/>
      <c r="W560" s="58"/>
      <c r="X560" s="58"/>
      <c r="Y560" s="52"/>
    </row>
    <row r="561" spans="1:25" x14ac:dyDescent="0.25">
      <c r="A561" s="1218" t="s">
        <v>127</v>
      </c>
      <c r="B561" s="98">
        <v>45413</v>
      </c>
      <c r="C561" s="117" t="str">
        <f t="shared" si="138"/>
        <v>4L</v>
      </c>
      <c r="D561" s="96"/>
      <c r="E561" s="98"/>
      <c r="F561" s="98"/>
      <c r="I561" s="99"/>
      <c r="L561" s="99"/>
      <c r="M561" s="44"/>
      <c r="N561" s="100"/>
      <c r="O561" s="101"/>
      <c r="P561" s="52"/>
      <c r="Q561" s="49"/>
      <c r="S561" s="50"/>
      <c r="T561" s="50"/>
      <c r="U561" s="58"/>
      <c r="V561" s="58"/>
      <c r="W561" s="58"/>
      <c r="X561" s="58"/>
      <c r="Y561" s="52"/>
    </row>
    <row r="562" spans="1:25" x14ac:dyDescent="0.25">
      <c r="A562" s="1218" t="s">
        <v>128</v>
      </c>
      <c r="B562" s="98">
        <v>45413</v>
      </c>
      <c r="C562" s="117" t="str">
        <f t="shared" si="138"/>
        <v>4L</v>
      </c>
      <c r="D562" s="96"/>
      <c r="E562" s="98"/>
      <c r="F562" s="98"/>
      <c r="I562" s="99"/>
      <c r="L562" s="99"/>
      <c r="M562" s="44"/>
      <c r="N562" s="100"/>
      <c r="O562" s="101"/>
      <c r="P562" s="52"/>
      <c r="Q562" s="49"/>
      <c r="S562" s="50"/>
      <c r="T562" s="50"/>
      <c r="U562" s="58"/>
      <c r="V562" s="58"/>
      <c r="W562" s="58"/>
      <c r="X562" s="58"/>
      <c r="Y562" s="52"/>
    </row>
    <row r="563" spans="1:25" x14ac:dyDescent="0.25">
      <c r="A563" s="1218" t="s">
        <v>129</v>
      </c>
      <c r="B563" s="98">
        <v>45413</v>
      </c>
      <c r="C563" s="117" t="str">
        <f t="shared" si="138"/>
        <v>4L</v>
      </c>
      <c r="D563" s="96"/>
      <c r="E563" s="98"/>
      <c r="F563" s="98"/>
      <c r="I563" s="99">
        <f t="shared" si="125"/>
        <v>0</v>
      </c>
      <c r="L563" s="99">
        <f t="shared" si="126"/>
        <v>0</v>
      </c>
      <c r="M563" s="44" t="str">
        <f t="shared" si="128"/>
        <v/>
      </c>
      <c r="N563" s="100">
        <f t="shared" si="129"/>
        <v>0</v>
      </c>
      <c r="O563" s="101">
        <f t="shared" si="130"/>
        <v>0</v>
      </c>
      <c r="P563" s="52">
        <f t="shared" si="131"/>
        <v>0</v>
      </c>
      <c r="Q563" s="49">
        <v>116.88487613461319</v>
      </c>
      <c r="R563">
        <v>2225</v>
      </c>
      <c r="S563" s="50">
        <f t="shared" si="127"/>
        <v>71535.307499999995</v>
      </c>
      <c r="T563" s="50">
        <f t="shared" si="132"/>
        <v>0</v>
      </c>
      <c r="U563" s="58">
        <f t="shared" si="133"/>
        <v>0</v>
      </c>
      <c r="V563" s="58">
        <f t="shared" si="134"/>
        <v>0</v>
      </c>
      <c r="W563" s="58">
        <f t="shared" si="135"/>
        <v>0</v>
      </c>
      <c r="X563" s="58">
        <f t="shared" si="136"/>
        <v>0</v>
      </c>
      <c r="Y563" s="52">
        <f t="shared" si="137"/>
        <v>0</v>
      </c>
    </row>
    <row r="564" spans="1:25" x14ac:dyDescent="0.25">
      <c r="A564" s="1218" t="s">
        <v>130</v>
      </c>
      <c r="B564" s="98">
        <v>45413</v>
      </c>
      <c r="C564" s="117" t="str">
        <f t="shared" si="124"/>
        <v>5L</v>
      </c>
      <c r="D564" s="96"/>
      <c r="E564" s="98"/>
      <c r="F564" s="98"/>
      <c r="I564" s="99">
        <f t="shared" si="125"/>
        <v>0</v>
      </c>
      <c r="L564" s="99">
        <f t="shared" si="126"/>
        <v>0</v>
      </c>
      <c r="M564" s="44" t="str">
        <f t="shared" si="128"/>
        <v/>
      </c>
      <c r="N564" s="100">
        <f t="shared" si="129"/>
        <v>0</v>
      </c>
      <c r="O564" s="101">
        <f t="shared" si="130"/>
        <v>0</v>
      </c>
      <c r="P564" s="52">
        <f t="shared" si="131"/>
        <v>0</v>
      </c>
      <c r="Q564" s="49">
        <v>116.88487613461319</v>
      </c>
      <c r="R564">
        <v>2225</v>
      </c>
      <c r="S564" s="50">
        <f t="shared" si="127"/>
        <v>71535.307499999995</v>
      </c>
      <c r="T564" s="50">
        <f t="shared" si="132"/>
        <v>0</v>
      </c>
      <c r="U564" s="58">
        <f t="shared" si="133"/>
        <v>0</v>
      </c>
      <c r="V564" s="58">
        <f t="shared" si="134"/>
        <v>0</v>
      </c>
      <c r="W564" s="58">
        <f t="shared" si="135"/>
        <v>0</v>
      </c>
      <c r="X564" s="58">
        <f t="shared" si="136"/>
        <v>0</v>
      </c>
      <c r="Y564" s="52">
        <f t="shared" si="137"/>
        <v>0</v>
      </c>
    </row>
    <row r="565" spans="1:25" x14ac:dyDescent="0.25">
      <c r="A565" s="1218" t="s">
        <v>131</v>
      </c>
      <c r="B565" s="98">
        <v>45413</v>
      </c>
      <c r="C565" s="117" t="str">
        <f t="shared" si="124"/>
        <v>5L</v>
      </c>
      <c r="D565" s="96"/>
      <c r="E565" s="98"/>
      <c r="F565" s="98"/>
      <c r="I565" s="99">
        <f t="shared" si="125"/>
        <v>0</v>
      </c>
      <c r="L565" s="99">
        <f t="shared" si="126"/>
        <v>0</v>
      </c>
      <c r="M565" s="44" t="str">
        <f t="shared" si="128"/>
        <v/>
      </c>
      <c r="N565" s="100">
        <f t="shared" si="129"/>
        <v>0</v>
      </c>
      <c r="O565" s="101">
        <f t="shared" si="130"/>
        <v>0</v>
      </c>
      <c r="P565" s="52">
        <f t="shared" si="131"/>
        <v>0</v>
      </c>
      <c r="Q565" s="49">
        <v>116.88487613461319</v>
      </c>
      <c r="R565">
        <v>2225</v>
      </c>
      <c r="S565" s="50">
        <f t="shared" si="127"/>
        <v>71535.307499999995</v>
      </c>
      <c r="T565" s="50">
        <f t="shared" si="132"/>
        <v>0</v>
      </c>
      <c r="U565" s="58">
        <f t="shared" si="133"/>
        <v>0</v>
      </c>
      <c r="V565" s="58">
        <f t="shared" si="134"/>
        <v>0</v>
      </c>
      <c r="W565" s="58">
        <f t="shared" si="135"/>
        <v>0</v>
      </c>
      <c r="X565" s="58">
        <f t="shared" si="136"/>
        <v>0</v>
      </c>
      <c r="Y565" s="52">
        <f t="shared" si="137"/>
        <v>0</v>
      </c>
    </row>
    <row r="566" spans="1:25" x14ac:dyDescent="0.25">
      <c r="A566" s="1218" t="s">
        <v>132</v>
      </c>
      <c r="B566" s="98">
        <v>45413</v>
      </c>
      <c r="C566" s="117" t="str">
        <f t="shared" si="124"/>
        <v>5L</v>
      </c>
      <c r="D566" s="96"/>
      <c r="E566" s="98"/>
      <c r="F566" s="98"/>
      <c r="I566" s="99">
        <f t="shared" si="125"/>
        <v>0</v>
      </c>
      <c r="L566" s="99">
        <f t="shared" si="126"/>
        <v>0</v>
      </c>
      <c r="M566" s="44" t="str">
        <f t="shared" si="128"/>
        <v/>
      </c>
      <c r="N566" s="100">
        <f t="shared" si="129"/>
        <v>0</v>
      </c>
      <c r="O566" s="101">
        <f t="shared" si="130"/>
        <v>0</v>
      </c>
      <c r="P566" s="52">
        <f t="shared" si="131"/>
        <v>0</v>
      </c>
      <c r="Q566" s="49">
        <v>116.88487613461319</v>
      </c>
      <c r="R566">
        <v>2225</v>
      </c>
      <c r="S566" s="50">
        <f t="shared" si="127"/>
        <v>71535.307499999995</v>
      </c>
      <c r="T566" s="50">
        <f t="shared" si="132"/>
        <v>0</v>
      </c>
      <c r="U566" s="58">
        <f t="shared" si="133"/>
        <v>0</v>
      </c>
      <c r="V566" s="58">
        <f t="shared" si="134"/>
        <v>0</v>
      </c>
      <c r="W566" s="58">
        <f t="shared" si="135"/>
        <v>0</v>
      </c>
      <c r="X566" s="58">
        <f t="shared" si="136"/>
        <v>0</v>
      </c>
      <c r="Y566" s="52">
        <f t="shared" si="137"/>
        <v>0</v>
      </c>
    </row>
    <row r="567" spans="1:25" x14ac:dyDescent="0.25">
      <c r="A567" s="1218" t="s">
        <v>133</v>
      </c>
      <c r="B567" s="98">
        <v>45413</v>
      </c>
      <c r="C567" s="117" t="str">
        <f t="shared" si="124"/>
        <v>5L</v>
      </c>
      <c r="D567" s="96"/>
      <c r="E567" s="98"/>
      <c r="F567" s="98"/>
      <c r="I567" s="99">
        <f t="shared" si="125"/>
        <v>0</v>
      </c>
      <c r="L567" s="99">
        <f t="shared" si="126"/>
        <v>0</v>
      </c>
      <c r="M567" s="44" t="str">
        <f t="shared" si="128"/>
        <v/>
      </c>
      <c r="N567" s="100">
        <f t="shared" si="129"/>
        <v>0</v>
      </c>
      <c r="O567" s="101">
        <f t="shared" si="130"/>
        <v>0</v>
      </c>
      <c r="P567" s="52">
        <f t="shared" si="131"/>
        <v>0</v>
      </c>
      <c r="Q567" s="49">
        <v>116.88487613461319</v>
      </c>
      <c r="R567">
        <v>2225</v>
      </c>
      <c r="S567" s="50">
        <f t="shared" si="127"/>
        <v>71535.307499999995</v>
      </c>
      <c r="T567" s="50">
        <f t="shared" si="132"/>
        <v>0</v>
      </c>
      <c r="U567" s="58">
        <f t="shared" si="133"/>
        <v>0</v>
      </c>
      <c r="V567" s="58">
        <f t="shared" si="134"/>
        <v>0</v>
      </c>
      <c r="W567" s="58">
        <f t="shared" si="135"/>
        <v>0</v>
      </c>
      <c r="X567" s="58">
        <f t="shared" si="136"/>
        <v>0</v>
      </c>
      <c r="Y567" s="52">
        <f t="shared" si="137"/>
        <v>0</v>
      </c>
    </row>
    <row r="568" spans="1:25" x14ac:dyDescent="0.25">
      <c r="A568" s="1218" t="s">
        <v>134</v>
      </c>
      <c r="B568" s="98">
        <v>45413</v>
      </c>
      <c r="C568" s="117" t="str">
        <f t="shared" si="124"/>
        <v>5L</v>
      </c>
      <c r="D568" s="96"/>
      <c r="E568" s="98"/>
      <c r="F568" s="98"/>
      <c r="I568" s="99">
        <f t="shared" si="125"/>
        <v>0</v>
      </c>
      <c r="L568" s="99">
        <f t="shared" si="126"/>
        <v>0</v>
      </c>
      <c r="M568" s="44" t="str">
        <f t="shared" si="128"/>
        <v/>
      </c>
      <c r="N568" s="100">
        <f t="shared" si="129"/>
        <v>0</v>
      </c>
      <c r="O568" s="101">
        <f t="shared" si="130"/>
        <v>0</v>
      </c>
      <c r="P568" s="52">
        <f t="shared" si="131"/>
        <v>0</v>
      </c>
      <c r="Q568" s="49">
        <v>116.88487613461319</v>
      </c>
      <c r="R568">
        <v>2225</v>
      </c>
      <c r="S568" s="50">
        <f t="shared" si="127"/>
        <v>71535.307499999995</v>
      </c>
      <c r="T568" s="50">
        <f t="shared" si="132"/>
        <v>0</v>
      </c>
      <c r="U568" s="58">
        <f t="shared" si="133"/>
        <v>0</v>
      </c>
      <c r="V568" s="58">
        <f t="shared" si="134"/>
        <v>0</v>
      </c>
      <c r="W568" s="58">
        <f t="shared" si="135"/>
        <v>0</v>
      </c>
      <c r="X568" s="58">
        <f t="shared" si="136"/>
        <v>0</v>
      </c>
      <c r="Y568" s="52">
        <f t="shared" si="137"/>
        <v>0</v>
      </c>
    </row>
    <row r="569" spans="1:25" x14ac:dyDescent="0.25">
      <c r="A569" s="1218" t="s">
        <v>135</v>
      </c>
      <c r="B569" s="98">
        <v>45413</v>
      </c>
      <c r="C569" s="117" t="str">
        <f t="shared" si="124"/>
        <v>5L</v>
      </c>
      <c r="D569" s="96"/>
      <c r="E569" s="98"/>
      <c r="F569" s="98"/>
      <c r="I569" s="99">
        <f t="shared" si="125"/>
        <v>0</v>
      </c>
      <c r="L569" s="99">
        <f t="shared" si="126"/>
        <v>0</v>
      </c>
      <c r="M569" s="44" t="str">
        <f t="shared" si="128"/>
        <v/>
      </c>
      <c r="N569" s="100">
        <f t="shared" si="129"/>
        <v>0</v>
      </c>
      <c r="O569" s="101">
        <f t="shared" si="130"/>
        <v>0</v>
      </c>
      <c r="P569" s="52">
        <f t="shared" si="131"/>
        <v>0</v>
      </c>
      <c r="Q569" s="49">
        <v>116.88487613461319</v>
      </c>
      <c r="R569">
        <v>2225</v>
      </c>
      <c r="S569" s="50">
        <f t="shared" si="127"/>
        <v>71535.307499999995</v>
      </c>
      <c r="T569" s="50">
        <f t="shared" si="132"/>
        <v>0</v>
      </c>
      <c r="U569" s="58">
        <f t="shared" si="133"/>
        <v>0</v>
      </c>
      <c r="V569" s="58">
        <f t="shared" si="134"/>
        <v>0</v>
      </c>
      <c r="W569" s="58">
        <f t="shared" si="135"/>
        <v>0</v>
      </c>
      <c r="X569" s="58">
        <f t="shared" si="136"/>
        <v>0</v>
      </c>
      <c r="Y569" s="52">
        <f t="shared" si="137"/>
        <v>0</v>
      </c>
    </row>
    <row r="570" spans="1:25" x14ac:dyDescent="0.25">
      <c r="A570" s="1218" t="s">
        <v>136</v>
      </c>
      <c r="B570" s="98">
        <v>45413</v>
      </c>
      <c r="C570" s="117" t="str">
        <f t="shared" si="124"/>
        <v>5L</v>
      </c>
      <c r="D570" s="96"/>
      <c r="E570" s="98"/>
      <c r="F570" s="98"/>
      <c r="I570" s="99">
        <f t="shared" si="125"/>
        <v>0</v>
      </c>
      <c r="L570" s="99">
        <f t="shared" si="126"/>
        <v>0</v>
      </c>
      <c r="M570" s="44" t="str">
        <f t="shared" si="128"/>
        <v/>
      </c>
      <c r="N570" s="100">
        <f t="shared" si="129"/>
        <v>0</v>
      </c>
      <c r="O570" s="101">
        <f t="shared" si="130"/>
        <v>0</v>
      </c>
      <c r="P570" s="52">
        <f t="shared" si="131"/>
        <v>0</v>
      </c>
      <c r="Q570" s="49">
        <v>116.88487613461319</v>
      </c>
      <c r="R570">
        <v>2225</v>
      </c>
      <c r="S570" s="50">
        <f t="shared" si="127"/>
        <v>71535.307499999995</v>
      </c>
      <c r="T570" s="50">
        <f t="shared" si="132"/>
        <v>0</v>
      </c>
      <c r="U570" s="58">
        <f t="shared" si="133"/>
        <v>0</v>
      </c>
      <c r="V570" s="58">
        <f t="shared" si="134"/>
        <v>0</v>
      </c>
      <c r="W570" s="58">
        <f t="shared" si="135"/>
        <v>0</v>
      </c>
      <c r="X570" s="58">
        <f t="shared" si="136"/>
        <v>0</v>
      </c>
      <c r="Y570" s="52">
        <f t="shared" si="137"/>
        <v>0</v>
      </c>
    </row>
    <row r="571" spans="1:25" x14ac:dyDescent="0.25">
      <c r="A571" s="1218" t="s">
        <v>137</v>
      </c>
      <c r="B571" s="98">
        <v>45413</v>
      </c>
      <c r="C571" s="117" t="str">
        <f t="shared" si="124"/>
        <v>5L</v>
      </c>
      <c r="D571" s="96"/>
      <c r="E571" s="98"/>
      <c r="F571" s="98"/>
      <c r="I571" s="99">
        <f t="shared" si="125"/>
        <v>0</v>
      </c>
      <c r="L571" s="99">
        <f t="shared" si="126"/>
        <v>0</v>
      </c>
      <c r="M571" s="44" t="str">
        <f t="shared" si="128"/>
        <v/>
      </c>
      <c r="N571" s="100">
        <f t="shared" si="129"/>
        <v>0</v>
      </c>
      <c r="O571" s="101">
        <f t="shared" si="130"/>
        <v>0</v>
      </c>
      <c r="P571" s="52">
        <f t="shared" si="131"/>
        <v>0</v>
      </c>
      <c r="Q571" s="49">
        <v>116.88487613461319</v>
      </c>
      <c r="R571">
        <v>2225</v>
      </c>
      <c r="S571" s="50">
        <f t="shared" si="127"/>
        <v>71535.307499999995</v>
      </c>
      <c r="T571" s="50">
        <f t="shared" si="132"/>
        <v>0</v>
      </c>
      <c r="U571" s="58">
        <f t="shared" si="133"/>
        <v>0</v>
      </c>
      <c r="V571" s="58">
        <f t="shared" si="134"/>
        <v>0</v>
      </c>
      <c r="W571" s="58">
        <f t="shared" si="135"/>
        <v>0</v>
      </c>
      <c r="X571" s="58">
        <f t="shared" si="136"/>
        <v>0</v>
      </c>
      <c r="Y571" s="52">
        <f t="shared" si="137"/>
        <v>0</v>
      </c>
    </row>
    <row r="572" spans="1:25" x14ac:dyDescent="0.25">
      <c r="A572" s="1218" t="s">
        <v>138</v>
      </c>
      <c r="B572" s="98">
        <v>45413</v>
      </c>
      <c r="C572" s="117" t="str">
        <f t="shared" si="124"/>
        <v>5L</v>
      </c>
      <c r="D572" s="96"/>
      <c r="E572" s="98"/>
      <c r="F572" s="98"/>
      <c r="I572" s="99">
        <f t="shared" si="125"/>
        <v>0</v>
      </c>
      <c r="L572" s="99">
        <f t="shared" si="126"/>
        <v>0</v>
      </c>
      <c r="M572" s="44" t="str">
        <f t="shared" si="128"/>
        <v/>
      </c>
      <c r="N572" s="100">
        <f t="shared" si="129"/>
        <v>0</v>
      </c>
      <c r="O572" s="101">
        <f t="shared" si="130"/>
        <v>0</v>
      </c>
      <c r="P572" s="52">
        <f t="shared" si="131"/>
        <v>0</v>
      </c>
      <c r="Q572" s="49">
        <v>116.88487613461319</v>
      </c>
      <c r="R572">
        <v>2225</v>
      </c>
      <c r="S572" s="50">
        <f t="shared" si="127"/>
        <v>71535.307499999995</v>
      </c>
      <c r="T572" s="50">
        <f t="shared" si="132"/>
        <v>0</v>
      </c>
      <c r="U572" s="58">
        <f t="shared" si="133"/>
        <v>0</v>
      </c>
      <c r="V572" s="58">
        <f t="shared" si="134"/>
        <v>0</v>
      </c>
      <c r="W572" s="58">
        <f t="shared" si="135"/>
        <v>0</v>
      </c>
      <c r="X572" s="58">
        <f t="shared" si="136"/>
        <v>0</v>
      </c>
      <c r="Y572" s="52">
        <f t="shared" si="137"/>
        <v>0</v>
      </c>
    </row>
    <row r="573" spans="1:25" x14ac:dyDescent="0.25">
      <c r="A573" s="1218" t="s">
        <v>139</v>
      </c>
      <c r="B573" s="98">
        <v>45413</v>
      </c>
      <c r="C573" s="117" t="str">
        <f t="shared" si="124"/>
        <v>5L</v>
      </c>
      <c r="D573" s="96"/>
      <c r="E573" s="98"/>
      <c r="F573" s="98"/>
      <c r="I573" s="99">
        <f t="shared" si="125"/>
        <v>0</v>
      </c>
      <c r="L573" s="99">
        <f t="shared" si="126"/>
        <v>0</v>
      </c>
      <c r="M573" s="44" t="str">
        <f t="shared" si="128"/>
        <v/>
      </c>
      <c r="N573" s="100">
        <f t="shared" si="129"/>
        <v>0</v>
      </c>
      <c r="O573" s="101">
        <f t="shared" si="130"/>
        <v>0</v>
      </c>
      <c r="P573" s="52">
        <f t="shared" si="131"/>
        <v>0</v>
      </c>
      <c r="Q573" s="49">
        <v>116.88487613461319</v>
      </c>
      <c r="R573">
        <v>2225</v>
      </c>
      <c r="S573" s="50">
        <f t="shared" si="127"/>
        <v>71535.307499999995</v>
      </c>
      <c r="T573" s="50">
        <f t="shared" si="132"/>
        <v>0</v>
      </c>
      <c r="U573" s="58">
        <f t="shared" si="133"/>
        <v>0</v>
      </c>
      <c r="V573" s="58">
        <f t="shared" si="134"/>
        <v>0</v>
      </c>
      <c r="W573" s="58">
        <f t="shared" si="135"/>
        <v>0</v>
      </c>
      <c r="X573" s="58">
        <f t="shared" si="136"/>
        <v>0</v>
      </c>
      <c r="Y573" s="52">
        <f t="shared" si="137"/>
        <v>0</v>
      </c>
    </row>
    <row r="574" spans="1:25" x14ac:dyDescent="0.25">
      <c r="A574" s="1218" t="s">
        <v>140</v>
      </c>
      <c r="B574" s="98">
        <v>45413</v>
      </c>
      <c r="C574" s="117" t="str">
        <f t="shared" si="124"/>
        <v>5L</v>
      </c>
      <c r="D574" s="96"/>
      <c r="E574" s="98"/>
      <c r="F574" s="98"/>
      <c r="G574" s="55"/>
      <c r="H574" s="55"/>
      <c r="I574" s="99">
        <f t="shared" si="125"/>
        <v>0</v>
      </c>
      <c r="J574" s="55"/>
      <c r="K574" s="55"/>
      <c r="L574" s="99">
        <f t="shared" si="126"/>
        <v>0</v>
      </c>
      <c r="M574" s="44" t="str">
        <f t="shared" si="128"/>
        <v/>
      </c>
      <c r="N574" s="100">
        <f t="shared" si="129"/>
        <v>0</v>
      </c>
      <c r="O574" s="101">
        <f t="shared" si="130"/>
        <v>0</v>
      </c>
      <c r="P574" s="52">
        <f t="shared" si="131"/>
        <v>0</v>
      </c>
      <c r="Q574" s="49">
        <v>116.88487613461319</v>
      </c>
      <c r="R574">
        <v>2225</v>
      </c>
      <c r="S574" s="50">
        <f t="shared" si="127"/>
        <v>71535.307499999995</v>
      </c>
      <c r="T574" s="50">
        <f t="shared" si="132"/>
        <v>0</v>
      </c>
      <c r="U574" s="58">
        <f t="shared" si="133"/>
        <v>0</v>
      </c>
      <c r="V574" s="58">
        <f t="shared" si="134"/>
        <v>0</v>
      </c>
      <c r="W574" s="58">
        <f t="shared" si="135"/>
        <v>0</v>
      </c>
      <c r="X574" s="58">
        <f t="shared" si="136"/>
        <v>0</v>
      </c>
      <c r="Y574" s="52">
        <f t="shared" si="137"/>
        <v>0</v>
      </c>
    </row>
    <row r="575" spans="1:25" x14ac:dyDescent="0.25">
      <c r="A575" s="1218" t="s">
        <v>141</v>
      </c>
      <c r="B575" s="98">
        <v>45413</v>
      </c>
      <c r="C575" s="117" t="str">
        <f t="shared" si="124"/>
        <v>5L</v>
      </c>
      <c r="D575" s="96"/>
      <c r="E575" s="98"/>
      <c r="F575" s="98"/>
      <c r="G575" s="55"/>
      <c r="H575" s="55"/>
      <c r="I575" s="99">
        <f t="shared" si="125"/>
        <v>0</v>
      </c>
      <c r="J575" s="55"/>
      <c r="K575" s="55"/>
      <c r="L575" s="99">
        <f t="shared" si="126"/>
        <v>0</v>
      </c>
      <c r="M575" s="44" t="str">
        <f t="shared" si="128"/>
        <v/>
      </c>
      <c r="N575" s="100">
        <f t="shared" si="129"/>
        <v>0</v>
      </c>
      <c r="O575" s="101">
        <f t="shared" si="130"/>
        <v>0</v>
      </c>
      <c r="P575" s="52">
        <f t="shared" si="131"/>
        <v>0</v>
      </c>
      <c r="Q575" s="49">
        <v>116.88487613461319</v>
      </c>
      <c r="R575">
        <v>2225</v>
      </c>
      <c r="S575" s="50">
        <f t="shared" si="127"/>
        <v>71535.307499999995</v>
      </c>
      <c r="T575" s="50">
        <f t="shared" si="132"/>
        <v>0</v>
      </c>
      <c r="U575" s="58">
        <f t="shared" si="133"/>
        <v>0</v>
      </c>
      <c r="V575" s="58">
        <f t="shared" si="134"/>
        <v>0</v>
      </c>
      <c r="W575" s="58">
        <f t="shared" si="135"/>
        <v>0</v>
      </c>
      <c r="X575" s="58">
        <f t="shared" si="136"/>
        <v>0</v>
      </c>
      <c r="Y575" s="52">
        <f t="shared" si="137"/>
        <v>0</v>
      </c>
    </row>
    <row r="576" spans="1:25" x14ac:dyDescent="0.25">
      <c r="A576" s="1218" t="s">
        <v>142</v>
      </c>
      <c r="B576" s="98">
        <v>45413</v>
      </c>
      <c r="C576" s="117" t="str">
        <f t="shared" si="124"/>
        <v>5L</v>
      </c>
      <c r="D576" s="96"/>
      <c r="E576" s="98"/>
      <c r="F576" s="98"/>
      <c r="G576" s="55"/>
      <c r="H576" s="55"/>
      <c r="I576" s="99">
        <f t="shared" si="125"/>
        <v>0</v>
      </c>
      <c r="J576" s="55"/>
      <c r="K576" s="55"/>
      <c r="L576" s="99">
        <f t="shared" si="126"/>
        <v>0</v>
      </c>
      <c r="M576" s="44" t="str">
        <f t="shared" si="128"/>
        <v/>
      </c>
      <c r="N576" s="100">
        <f t="shared" si="129"/>
        <v>0</v>
      </c>
      <c r="O576" s="101">
        <f t="shared" si="130"/>
        <v>0</v>
      </c>
      <c r="P576" s="52">
        <f t="shared" si="131"/>
        <v>0</v>
      </c>
      <c r="Q576" s="49">
        <v>116.88487613461319</v>
      </c>
      <c r="R576">
        <v>2225</v>
      </c>
      <c r="S576" s="50">
        <f t="shared" si="127"/>
        <v>71535.307499999995</v>
      </c>
      <c r="T576" s="50">
        <f t="shared" si="132"/>
        <v>0</v>
      </c>
      <c r="U576" s="58">
        <f t="shared" si="133"/>
        <v>0</v>
      </c>
      <c r="V576" s="58">
        <f t="shared" si="134"/>
        <v>0</v>
      </c>
      <c r="W576" s="58">
        <f t="shared" si="135"/>
        <v>0</v>
      </c>
      <c r="X576" s="58">
        <f t="shared" si="136"/>
        <v>0</v>
      </c>
      <c r="Y576" s="52">
        <f t="shared" si="137"/>
        <v>0</v>
      </c>
    </row>
    <row r="577" spans="1:25" x14ac:dyDescent="0.25">
      <c r="A577" s="1218" t="s">
        <v>143</v>
      </c>
      <c r="B577" s="98">
        <v>45413</v>
      </c>
      <c r="C577" s="117" t="str">
        <f t="shared" si="124"/>
        <v>5L</v>
      </c>
      <c r="D577" s="96"/>
      <c r="E577" s="98"/>
      <c r="F577" s="98"/>
      <c r="G577" s="55"/>
      <c r="H577" s="55"/>
      <c r="I577" s="99">
        <f t="shared" si="125"/>
        <v>0</v>
      </c>
      <c r="J577" s="55"/>
      <c r="K577" s="55"/>
      <c r="L577" s="99">
        <f t="shared" si="126"/>
        <v>0</v>
      </c>
      <c r="M577" s="44" t="str">
        <f t="shared" si="128"/>
        <v/>
      </c>
      <c r="N577" s="100">
        <f t="shared" si="129"/>
        <v>0</v>
      </c>
      <c r="O577" s="101">
        <f t="shared" si="130"/>
        <v>0</v>
      </c>
      <c r="P577" s="52">
        <f t="shared" si="131"/>
        <v>0</v>
      </c>
      <c r="Q577" s="49">
        <v>116.88487613461319</v>
      </c>
      <c r="R577">
        <v>2225</v>
      </c>
      <c r="S577" s="50">
        <f t="shared" si="127"/>
        <v>71535.307499999995</v>
      </c>
      <c r="T577" s="50">
        <f t="shared" si="132"/>
        <v>0</v>
      </c>
      <c r="U577" s="58">
        <f t="shared" si="133"/>
        <v>0</v>
      </c>
      <c r="V577" s="58">
        <f t="shared" si="134"/>
        <v>0</v>
      </c>
      <c r="W577" s="58">
        <f t="shared" si="135"/>
        <v>0</v>
      </c>
      <c r="X577" s="58">
        <f t="shared" si="136"/>
        <v>0</v>
      </c>
      <c r="Y577" s="52">
        <f t="shared" si="137"/>
        <v>0</v>
      </c>
    </row>
    <row r="578" spans="1:25" x14ac:dyDescent="0.25">
      <c r="A578" s="1218" t="s">
        <v>144</v>
      </c>
      <c r="B578" s="98">
        <v>45413</v>
      </c>
      <c r="C578" s="117" t="str">
        <f t="shared" si="124"/>
        <v>5L</v>
      </c>
      <c r="D578" s="96"/>
      <c r="E578" s="98"/>
      <c r="F578" s="98"/>
      <c r="G578" s="55"/>
      <c r="H578" s="55"/>
      <c r="I578" s="99">
        <f t="shared" si="125"/>
        <v>0</v>
      </c>
      <c r="J578" s="55"/>
      <c r="K578" s="55"/>
      <c r="L578" s="99">
        <f t="shared" si="126"/>
        <v>0</v>
      </c>
      <c r="M578" s="44" t="str">
        <f t="shared" si="128"/>
        <v/>
      </c>
      <c r="N578" s="100">
        <f t="shared" si="129"/>
        <v>0</v>
      </c>
      <c r="O578" s="101">
        <f t="shared" si="130"/>
        <v>0</v>
      </c>
      <c r="P578" s="52">
        <f t="shared" si="131"/>
        <v>0</v>
      </c>
      <c r="Q578" s="49">
        <v>116.88487613461319</v>
      </c>
      <c r="R578">
        <v>2225</v>
      </c>
      <c r="S578" s="50">
        <f t="shared" si="127"/>
        <v>71535.307499999995</v>
      </c>
      <c r="T578" s="50">
        <f t="shared" si="132"/>
        <v>0</v>
      </c>
      <c r="U578" s="58">
        <f t="shared" si="133"/>
        <v>0</v>
      </c>
      <c r="V578" s="58">
        <f t="shared" si="134"/>
        <v>0</v>
      </c>
      <c r="W578" s="58">
        <f t="shared" si="135"/>
        <v>0</v>
      </c>
      <c r="X578" s="58">
        <f t="shared" si="136"/>
        <v>0</v>
      </c>
      <c r="Y578" s="52">
        <f t="shared" si="137"/>
        <v>0</v>
      </c>
    </row>
    <row r="579" spans="1:25" x14ac:dyDescent="0.25">
      <c r="A579" s="1218" t="s">
        <v>145</v>
      </c>
      <c r="B579" s="98">
        <v>45413</v>
      </c>
      <c r="C579" s="117" t="str">
        <f t="shared" si="124"/>
        <v>5L</v>
      </c>
      <c r="D579" s="96"/>
      <c r="E579" s="98"/>
      <c r="F579" s="98"/>
      <c r="G579" s="55"/>
      <c r="H579" s="55"/>
      <c r="I579" s="99">
        <f t="shared" si="125"/>
        <v>0</v>
      </c>
      <c r="J579" s="55"/>
      <c r="K579" s="55"/>
      <c r="L579" s="99">
        <f t="shared" si="126"/>
        <v>0</v>
      </c>
      <c r="M579" s="44" t="str">
        <f t="shared" si="128"/>
        <v/>
      </c>
      <c r="N579" s="100">
        <f t="shared" si="129"/>
        <v>0</v>
      </c>
      <c r="O579" s="101">
        <f t="shared" si="130"/>
        <v>0</v>
      </c>
      <c r="P579" s="52">
        <f t="shared" si="131"/>
        <v>0</v>
      </c>
      <c r="Q579" s="49">
        <v>116.88487613461319</v>
      </c>
      <c r="R579">
        <v>2225</v>
      </c>
      <c r="S579" s="50">
        <f t="shared" si="127"/>
        <v>71535.307499999995</v>
      </c>
      <c r="T579" s="50">
        <f t="shared" si="132"/>
        <v>0</v>
      </c>
      <c r="U579" s="58">
        <f t="shared" si="133"/>
        <v>0</v>
      </c>
      <c r="V579" s="58">
        <f t="shared" si="134"/>
        <v>0</v>
      </c>
      <c r="W579" s="58">
        <f t="shared" si="135"/>
        <v>0</v>
      </c>
      <c r="X579" s="58">
        <f t="shared" si="136"/>
        <v>0</v>
      </c>
      <c r="Y579" s="52">
        <f t="shared" si="137"/>
        <v>0</v>
      </c>
    </row>
    <row r="580" spans="1:25" x14ac:dyDescent="0.25">
      <c r="A580" s="1218" t="s">
        <v>146</v>
      </c>
      <c r="B580" s="98">
        <v>45413</v>
      </c>
      <c r="C580" s="117" t="str">
        <f t="shared" si="124"/>
        <v>5L</v>
      </c>
      <c r="D580" s="96"/>
      <c r="E580" s="98"/>
      <c r="F580" s="98"/>
      <c r="G580" s="55"/>
      <c r="H580" s="55"/>
      <c r="I580" s="99">
        <f t="shared" si="125"/>
        <v>0</v>
      </c>
      <c r="J580" s="55"/>
      <c r="K580" s="55"/>
      <c r="L580" s="99">
        <f t="shared" si="126"/>
        <v>0</v>
      </c>
      <c r="M580" s="44" t="str">
        <f t="shared" si="128"/>
        <v/>
      </c>
      <c r="N580" s="100">
        <f t="shared" si="129"/>
        <v>0</v>
      </c>
      <c r="O580" s="101">
        <f t="shared" si="130"/>
        <v>0</v>
      </c>
      <c r="P580" s="52">
        <f t="shared" si="131"/>
        <v>0</v>
      </c>
      <c r="Q580" s="49">
        <v>116.88487613461319</v>
      </c>
      <c r="R580">
        <v>2225</v>
      </c>
      <c r="S580" s="50">
        <f t="shared" si="127"/>
        <v>71535.307499999995</v>
      </c>
      <c r="T580" s="50">
        <f t="shared" si="132"/>
        <v>0</v>
      </c>
      <c r="U580" s="58">
        <f t="shared" si="133"/>
        <v>0</v>
      </c>
      <c r="V580" s="58">
        <f t="shared" si="134"/>
        <v>0</v>
      </c>
      <c r="W580" s="58">
        <f t="shared" si="135"/>
        <v>0</v>
      </c>
      <c r="X580" s="58">
        <f t="shared" si="136"/>
        <v>0</v>
      </c>
      <c r="Y580" s="52">
        <f t="shared" si="137"/>
        <v>0</v>
      </c>
    </row>
    <row r="581" spans="1:25" x14ac:dyDescent="0.25">
      <c r="A581" s="1218" t="s">
        <v>147</v>
      </c>
      <c r="B581" s="98">
        <v>45413</v>
      </c>
      <c r="C581" s="117" t="str">
        <f t="shared" si="124"/>
        <v>5L</v>
      </c>
      <c r="D581" s="96"/>
      <c r="E581" s="98"/>
      <c r="F581" s="98"/>
      <c r="G581" s="55"/>
      <c r="H581" s="55"/>
      <c r="I581" s="99">
        <f t="shared" si="125"/>
        <v>0</v>
      </c>
      <c r="J581" s="55"/>
      <c r="K581" s="55"/>
      <c r="L581" s="99">
        <f t="shared" si="126"/>
        <v>0</v>
      </c>
      <c r="M581" s="44" t="str">
        <f t="shared" si="128"/>
        <v/>
      </c>
      <c r="N581" s="100">
        <f t="shared" si="129"/>
        <v>0</v>
      </c>
      <c r="O581" s="101">
        <f t="shared" si="130"/>
        <v>0</v>
      </c>
      <c r="P581" s="52">
        <f t="shared" si="131"/>
        <v>0</v>
      </c>
      <c r="Q581" s="49">
        <v>116.88487613461319</v>
      </c>
      <c r="R581">
        <v>2225</v>
      </c>
      <c r="S581" s="50">
        <f t="shared" si="127"/>
        <v>71535.307499999995</v>
      </c>
      <c r="T581" s="50">
        <f t="shared" si="132"/>
        <v>0</v>
      </c>
      <c r="U581" s="58">
        <f t="shared" si="133"/>
        <v>0</v>
      </c>
      <c r="V581" s="58">
        <f t="shared" si="134"/>
        <v>0</v>
      </c>
      <c r="W581" s="58">
        <f t="shared" si="135"/>
        <v>0</v>
      </c>
      <c r="X581" s="58">
        <f t="shared" si="136"/>
        <v>0</v>
      </c>
      <c r="Y581" s="52">
        <f t="shared" si="137"/>
        <v>0</v>
      </c>
    </row>
    <row r="582" spans="1:25" x14ac:dyDescent="0.25">
      <c r="A582" s="1218" t="s">
        <v>148</v>
      </c>
      <c r="B582" s="98">
        <v>45413</v>
      </c>
      <c r="C582" s="117" t="str">
        <f t="shared" si="124"/>
        <v>5L</v>
      </c>
      <c r="D582" s="96"/>
      <c r="E582" s="98"/>
      <c r="F582" s="98"/>
      <c r="G582" s="55"/>
      <c r="H582" s="55"/>
      <c r="I582" s="99">
        <f t="shared" si="125"/>
        <v>0</v>
      </c>
      <c r="J582" s="55"/>
      <c r="K582" s="55"/>
      <c r="L582" s="99">
        <f t="shared" si="126"/>
        <v>0</v>
      </c>
      <c r="M582" s="44" t="str">
        <f t="shared" si="128"/>
        <v/>
      </c>
      <c r="N582" s="100">
        <f t="shared" si="129"/>
        <v>0</v>
      </c>
      <c r="O582" s="101">
        <f t="shared" si="130"/>
        <v>0</v>
      </c>
      <c r="P582" s="52">
        <f t="shared" si="131"/>
        <v>0</v>
      </c>
      <c r="Q582" s="49">
        <v>116.88487613461319</v>
      </c>
      <c r="R582">
        <v>2225</v>
      </c>
      <c r="S582" s="50">
        <f t="shared" si="127"/>
        <v>71535.307499999995</v>
      </c>
      <c r="T582" s="50">
        <f t="shared" si="132"/>
        <v>0</v>
      </c>
      <c r="U582" s="58">
        <f t="shared" si="133"/>
        <v>0</v>
      </c>
      <c r="V582" s="58">
        <f t="shared" si="134"/>
        <v>0</v>
      </c>
      <c r="W582" s="58">
        <f t="shared" si="135"/>
        <v>0</v>
      </c>
      <c r="X582" s="58">
        <f t="shared" si="136"/>
        <v>0</v>
      </c>
      <c r="Y582" s="52">
        <f t="shared" si="137"/>
        <v>0</v>
      </c>
    </row>
    <row r="583" spans="1:25" x14ac:dyDescent="0.25">
      <c r="A583" s="1218" t="s">
        <v>149</v>
      </c>
      <c r="B583" s="98">
        <v>45413</v>
      </c>
      <c r="C583" s="117" t="str">
        <f t="shared" si="124"/>
        <v>5L</v>
      </c>
      <c r="D583" s="96"/>
      <c r="E583" s="98"/>
      <c r="F583" s="98"/>
      <c r="G583" s="55"/>
      <c r="H583" s="55"/>
      <c r="I583" s="99">
        <f t="shared" si="125"/>
        <v>0</v>
      </c>
      <c r="J583" s="55"/>
      <c r="K583" s="55"/>
      <c r="L583" s="99">
        <f t="shared" si="126"/>
        <v>0</v>
      </c>
      <c r="M583" s="44" t="str">
        <f t="shared" si="128"/>
        <v/>
      </c>
      <c r="N583" s="100">
        <f t="shared" si="129"/>
        <v>0</v>
      </c>
      <c r="O583" s="101">
        <f t="shared" si="130"/>
        <v>0</v>
      </c>
      <c r="P583" s="52">
        <f t="shared" si="131"/>
        <v>0</v>
      </c>
      <c r="Q583" s="49">
        <v>116.88487613461319</v>
      </c>
      <c r="R583">
        <v>2225</v>
      </c>
      <c r="S583" s="50">
        <f t="shared" si="127"/>
        <v>71535.307499999995</v>
      </c>
      <c r="T583" s="50">
        <f t="shared" si="132"/>
        <v>0</v>
      </c>
      <c r="U583" s="58">
        <f t="shared" si="133"/>
        <v>0</v>
      </c>
      <c r="V583" s="58">
        <f t="shared" si="134"/>
        <v>0</v>
      </c>
      <c r="W583" s="58">
        <f t="shared" si="135"/>
        <v>0</v>
      </c>
      <c r="X583" s="58">
        <f t="shared" si="136"/>
        <v>0</v>
      </c>
      <c r="Y583" s="52">
        <f t="shared" si="137"/>
        <v>0</v>
      </c>
    </row>
    <row r="584" spans="1:25" x14ac:dyDescent="0.25">
      <c r="A584" s="1218" t="s">
        <v>150</v>
      </c>
      <c r="B584" s="98">
        <v>45413</v>
      </c>
      <c r="C584" s="117" t="str">
        <f t="shared" ref="C584:C647" si="139">LEFT(A584,2)</f>
        <v>6L</v>
      </c>
      <c r="D584" s="96"/>
      <c r="E584" s="98"/>
      <c r="F584" s="98"/>
      <c r="I584" s="99">
        <f t="shared" si="125"/>
        <v>0</v>
      </c>
      <c r="L584" s="99">
        <f t="shared" si="126"/>
        <v>0</v>
      </c>
      <c r="M584" s="44" t="str">
        <f t="shared" si="128"/>
        <v/>
      </c>
      <c r="N584" s="100">
        <f t="shared" si="129"/>
        <v>0</v>
      </c>
      <c r="O584" s="101">
        <f t="shared" si="130"/>
        <v>0</v>
      </c>
      <c r="P584" s="52">
        <f t="shared" si="131"/>
        <v>0</v>
      </c>
      <c r="Q584" s="49">
        <v>116.88487613461319</v>
      </c>
      <c r="R584">
        <v>2225</v>
      </c>
      <c r="S584" s="50">
        <f t="shared" si="127"/>
        <v>71535.307499999995</v>
      </c>
      <c r="T584" s="50">
        <f t="shared" si="132"/>
        <v>0</v>
      </c>
      <c r="U584" s="58">
        <f t="shared" si="133"/>
        <v>0</v>
      </c>
      <c r="V584" s="58">
        <f t="shared" si="134"/>
        <v>0</v>
      </c>
      <c r="W584" s="58">
        <f t="shared" si="135"/>
        <v>0</v>
      </c>
      <c r="X584" s="58">
        <f t="shared" si="136"/>
        <v>0</v>
      </c>
      <c r="Y584" s="52">
        <f t="shared" si="137"/>
        <v>0</v>
      </c>
    </row>
    <row r="585" spans="1:25" x14ac:dyDescent="0.25">
      <c r="A585" s="1218" t="s">
        <v>151</v>
      </c>
      <c r="B585" s="98">
        <v>45413</v>
      </c>
      <c r="C585" s="117" t="str">
        <f t="shared" si="139"/>
        <v>6L</v>
      </c>
      <c r="D585" s="96"/>
      <c r="E585" s="98"/>
      <c r="F585" s="98"/>
      <c r="I585" s="99">
        <f t="shared" si="125"/>
        <v>0</v>
      </c>
      <c r="L585" s="99">
        <f t="shared" si="126"/>
        <v>0</v>
      </c>
      <c r="M585" s="44" t="str">
        <f t="shared" si="128"/>
        <v/>
      </c>
      <c r="N585" s="100">
        <f t="shared" si="129"/>
        <v>0</v>
      </c>
      <c r="O585" s="101">
        <f t="shared" si="130"/>
        <v>0</v>
      </c>
      <c r="P585" s="52">
        <f t="shared" si="131"/>
        <v>0</v>
      </c>
      <c r="Q585" s="49">
        <v>116.88487613461319</v>
      </c>
      <c r="R585">
        <v>2225</v>
      </c>
      <c r="S585" s="50">
        <f t="shared" si="127"/>
        <v>71535.307499999995</v>
      </c>
      <c r="T585" s="50">
        <f t="shared" si="132"/>
        <v>0</v>
      </c>
      <c r="U585" s="58">
        <f t="shared" si="133"/>
        <v>0</v>
      </c>
      <c r="V585" s="58">
        <f t="shared" si="134"/>
        <v>0</v>
      </c>
      <c r="W585" s="58">
        <f t="shared" si="135"/>
        <v>0</v>
      </c>
      <c r="X585" s="58">
        <f t="shared" si="136"/>
        <v>0</v>
      </c>
      <c r="Y585" s="52">
        <f t="shared" si="137"/>
        <v>0</v>
      </c>
    </row>
    <row r="586" spans="1:25" x14ac:dyDescent="0.25">
      <c r="A586" s="1218" t="s">
        <v>152</v>
      </c>
      <c r="B586" s="98">
        <v>45413</v>
      </c>
      <c r="C586" s="117" t="str">
        <f t="shared" si="139"/>
        <v>6L</v>
      </c>
      <c r="D586" s="96"/>
      <c r="E586" s="98"/>
      <c r="F586" s="98"/>
      <c r="I586" s="99">
        <f t="shared" si="125"/>
        <v>0</v>
      </c>
      <c r="L586" s="99"/>
      <c r="M586" s="44"/>
      <c r="N586" s="100"/>
      <c r="O586" s="101"/>
      <c r="P586" s="52"/>
      <c r="Q586" s="49"/>
      <c r="S586" s="50"/>
      <c r="T586" s="50"/>
      <c r="U586" s="58"/>
      <c r="V586" s="58"/>
      <c r="W586" s="58"/>
      <c r="X586" s="58"/>
      <c r="Y586" s="52"/>
    </row>
    <row r="587" spans="1:25" x14ac:dyDescent="0.25">
      <c r="A587" s="1218" t="s">
        <v>153</v>
      </c>
      <c r="B587" s="98">
        <v>45413</v>
      </c>
      <c r="C587" s="117" t="str">
        <f t="shared" si="139"/>
        <v>6L</v>
      </c>
      <c r="D587" s="96"/>
      <c r="E587" s="98"/>
      <c r="F587" s="98"/>
      <c r="I587" s="99">
        <f t="shared" si="125"/>
        <v>0</v>
      </c>
      <c r="L587" s="99"/>
      <c r="M587" s="44"/>
      <c r="N587" s="100"/>
      <c r="O587" s="101"/>
      <c r="P587" s="52"/>
      <c r="Q587" s="49"/>
      <c r="S587" s="50"/>
      <c r="T587" s="50"/>
      <c r="U587" s="58"/>
      <c r="V587" s="58"/>
      <c r="W587" s="58"/>
      <c r="X587" s="58"/>
      <c r="Y587" s="52"/>
    </row>
    <row r="588" spans="1:25" x14ac:dyDescent="0.25">
      <c r="A588" s="1218" t="s">
        <v>154</v>
      </c>
      <c r="B588" s="98">
        <v>45413</v>
      </c>
      <c r="C588" s="117" t="str">
        <f t="shared" si="139"/>
        <v>6L</v>
      </c>
      <c r="D588" s="96"/>
      <c r="E588" s="98"/>
      <c r="F588" s="98"/>
      <c r="I588" s="99">
        <f t="shared" si="125"/>
        <v>0</v>
      </c>
      <c r="L588" s="99"/>
      <c r="M588" s="44"/>
      <c r="N588" s="100"/>
      <c r="O588" s="101"/>
      <c r="P588" s="52"/>
      <c r="Q588" s="49"/>
      <c r="S588" s="50"/>
      <c r="T588" s="50"/>
      <c r="U588" s="58"/>
      <c r="V588" s="58"/>
      <c r="W588" s="58"/>
      <c r="X588" s="58"/>
      <c r="Y588" s="52"/>
    </row>
    <row r="589" spans="1:25" x14ac:dyDescent="0.25">
      <c r="A589" s="1218" t="s">
        <v>155</v>
      </c>
      <c r="B589" s="98">
        <v>45413</v>
      </c>
      <c r="C589" s="117" t="str">
        <f t="shared" si="139"/>
        <v>6L</v>
      </c>
      <c r="D589" s="96"/>
      <c r="E589" s="98"/>
      <c r="F589" s="98"/>
      <c r="I589" s="99">
        <f t="shared" si="125"/>
        <v>0</v>
      </c>
      <c r="L589" s="99">
        <f t="shared" si="126"/>
        <v>0</v>
      </c>
      <c r="M589" s="44" t="str">
        <f t="shared" si="128"/>
        <v/>
      </c>
      <c r="N589" s="100">
        <f t="shared" si="129"/>
        <v>0</v>
      </c>
      <c r="O589" s="101">
        <f t="shared" si="130"/>
        <v>0</v>
      </c>
      <c r="P589" s="52">
        <f t="shared" si="131"/>
        <v>0</v>
      </c>
      <c r="Q589" s="49">
        <v>116.88487613461319</v>
      </c>
      <c r="R589">
        <v>2225</v>
      </c>
      <c r="S589" s="50">
        <f t="shared" si="127"/>
        <v>71535.307499999995</v>
      </c>
      <c r="T589" s="50">
        <f t="shared" si="132"/>
        <v>0</v>
      </c>
      <c r="U589" s="58">
        <f t="shared" si="133"/>
        <v>0</v>
      </c>
      <c r="V589" s="58">
        <f t="shared" si="134"/>
        <v>0</v>
      </c>
      <c r="W589" s="58">
        <f t="shared" si="135"/>
        <v>0</v>
      </c>
      <c r="X589" s="58">
        <f t="shared" si="136"/>
        <v>0</v>
      </c>
      <c r="Y589" s="52">
        <f t="shared" si="137"/>
        <v>0</v>
      </c>
    </row>
    <row r="590" spans="1:25" x14ac:dyDescent="0.25">
      <c r="A590" s="1218" t="s">
        <v>156</v>
      </c>
      <c r="B590" s="98">
        <v>45413</v>
      </c>
      <c r="C590" s="117" t="str">
        <f t="shared" si="139"/>
        <v>6L</v>
      </c>
      <c r="D590" s="96"/>
      <c r="E590" s="98"/>
      <c r="F590" s="98"/>
      <c r="I590" s="99">
        <f t="shared" si="125"/>
        <v>0</v>
      </c>
      <c r="L590" s="99"/>
      <c r="M590" s="44"/>
      <c r="N590" s="100"/>
      <c r="O590" s="101"/>
      <c r="P590" s="52"/>
      <c r="Q590" s="49"/>
      <c r="S590" s="50"/>
      <c r="T590" s="50"/>
      <c r="U590" s="58"/>
      <c r="V590" s="58"/>
      <c r="W590" s="58"/>
      <c r="X590" s="58"/>
      <c r="Y590" s="52"/>
    </row>
    <row r="591" spans="1:25" x14ac:dyDescent="0.25">
      <c r="A591" s="1218" t="s">
        <v>157</v>
      </c>
      <c r="B591" s="98">
        <v>45413</v>
      </c>
      <c r="C591" s="117" t="str">
        <f t="shared" si="139"/>
        <v>6L</v>
      </c>
      <c r="D591" s="96"/>
      <c r="E591" s="98"/>
      <c r="F591" s="98"/>
      <c r="I591" s="99">
        <f t="shared" si="125"/>
        <v>0</v>
      </c>
      <c r="L591" s="99">
        <f t="shared" si="126"/>
        <v>0</v>
      </c>
      <c r="M591" s="44" t="str">
        <f t="shared" si="128"/>
        <v/>
      </c>
      <c r="N591" s="100">
        <f t="shared" si="129"/>
        <v>0</v>
      </c>
      <c r="O591" s="101">
        <f t="shared" si="130"/>
        <v>0</v>
      </c>
      <c r="P591" s="52">
        <f t="shared" si="131"/>
        <v>0</v>
      </c>
      <c r="Q591" s="49">
        <v>116.88487613461319</v>
      </c>
      <c r="R591">
        <v>2225</v>
      </c>
      <c r="S591" s="50">
        <f t="shared" si="127"/>
        <v>71535.307499999995</v>
      </c>
      <c r="T591" s="50">
        <f t="shared" si="132"/>
        <v>0</v>
      </c>
      <c r="U591" s="58">
        <f t="shared" si="133"/>
        <v>0</v>
      </c>
      <c r="V591" s="58">
        <f t="shared" si="134"/>
        <v>0</v>
      </c>
      <c r="W591" s="58">
        <f t="shared" si="135"/>
        <v>0</v>
      </c>
      <c r="X591" s="58">
        <f t="shared" si="136"/>
        <v>0</v>
      </c>
      <c r="Y591" s="52">
        <f t="shared" si="137"/>
        <v>0</v>
      </c>
    </row>
    <row r="592" spans="1:25" x14ac:dyDescent="0.25">
      <c r="A592" s="1218" t="s">
        <v>158</v>
      </c>
      <c r="B592" s="98">
        <v>45413</v>
      </c>
      <c r="C592" s="117" t="str">
        <f t="shared" si="139"/>
        <v>6L</v>
      </c>
      <c r="D592" s="96"/>
      <c r="E592" s="98"/>
      <c r="F592" s="98"/>
      <c r="I592" s="99">
        <f t="shared" si="125"/>
        <v>0</v>
      </c>
      <c r="L592" s="99">
        <f t="shared" si="126"/>
        <v>0</v>
      </c>
      <c r="M592" s="44" t="str">
        <f t="shared" si="128"/>
        <v/>
      </c>
      <c r="N592" s="100">
        <f t="shared" si="129"/>
        <v>0</v>
      </c>
      <c r="O592" s="101">
        <f t="shared" si="130"/>
        <v>0</v>
      </c>
      <c r="P592" s="52">
        <f t="shared" si="131"/>
        <v>0</v>
      </c>
      <c r="Q592" s="49">
        <v>116.88487613461319</v>
      </c>
      <c r="R592">
        <v>2225</v>
      </c>
      <c r="S592" s="50">
        <f t="shared" si="127"/>
        <v>71535.307499999995</v>
      </c>
      <c r="T592" s="50">
        <f t="shared" si="132"/>
        <v>0</v>
      </c>
      <c r="U592" s="58">
        <f t="shared" si="133"/>
        <v>0</v>
      </c>
      <c r="V592" s="58">
        <f t="shared" si="134"/>
        <v>0</v>
      </c>
      <c r="W592" s="58">
        <f t="shared" si="135"/>
        <v>0</v>
      </c>
      <c r="X592" s="58">
        <f t="shared" si="136"/>
        <v>0</v>
      </c>
      <c r="Y592" s="52">
        <f t="shared" si="137"/>
        <v>0</v>
      </c>
    </row>
    <row r="593" spans="1:25" x14ac:dyDescent="0.25">
      <c r="A593" s="1218" t="s">
        <v>159</v>
      </c>
      <c r="B593" s="98">
        <v>45413</v>
      </c>
      <c r="C593" s="117" t="str">
        <f t="shared" si="139"/>
        <v>6L</v>
      </c>
      <c r="D593" s="96"/>
      <c r="E593" s="98"/>
      <c r="F593" s="98"/>
      <c r="I593" s="99">
        <f t="shared" si="125"/>
        <v>0</v>
      </c>
      <c r="L593" s="99">
        <f t="shared" si="126"/>
        <v>0</v>
      </c>
      <c r="M593" s="44" t="str">
        <f t="shared" si="128"/>
        <v/>
      </c>
      <c r="N593" s="100">
        <f t="shared" si="129"/>
        <v>0</v>
      </c>
      <c r="O593" s="101">
        <f t="shared" si="130"/>
        <v>0</v>
      </c>
      <c r="P593" s="52">
        <f t="shared" si="131"/>
        <v>0</v>
      </c>
      <c r="Q593" s="49">
        <v>116.88487613461319</v>
      </c>
      <c r="R593">
        <v>2225</v>
      </c>
      <c r="S593" s="50">
        <f t="shared" si="127"/>
        <v>71535.307499999995</v>
      </c>
      <c r="T593" s="50">
        <f t="shared" si="132"/>
        <v>0</v>
      </c>
      <c r="U593" s="58">
        <f t="shared" si="133"/>
        <v>0</v>
      </c>
      <c r="V593" s="58">
        <f t="shared" si="134"/>
        <v>0</v>
      </c>
      <c r="W593" s="58">
        <f t="shared" si="135"/>
        <v>0</v>
      </c>
      <c r="X593" s="58">
        <f t="shared" si="136"/>
        <v>0</v>
      </c>
      <c r="Y593" s="52">
        <f t="shared" si="137"/>
        <v>0</v>
      </c>
    </row>
    <row r="594" spans="1:25" x14ac:dyDescent="0.25">
      <c r="A594" s="1218" t="s">
        <v>160</v>
      </c>
      <c r="B594" s="98">
        <v>45413</v>
      </c>
      <c r="C594" s="117" t="str">
        <f t="shared" si="139"/>
        <v>6L</v>
      </c>
      <c r="D594" s="96"/>
      <c r="E594" s="98"/>
      <c r="F594" s="98"/>
      <c r="I594" s="99">
        <f t="shared" si="125"/>
        <v>0</v>
      </c>
      <c r="L594" s="99">
        <f t="shared" si="126"/>
        <v>0</v>
      </c>
      <c r="M594" s="44" t="str">
        <f t="shared" si="128"/>
        <v/>
      </c>
      <c r="N594" s="100">
        <f t="shared" si="129"/>
        <v>0</v>
      </c>
      <c r="O594" s="101">
        <f t="shared" si="130"/>
        <v>0</v>
      </c>
      <c r="P594" s="52">
        <f t="shared" si="131"/>
        <v>0</v>
      </c>
      <c r="Q594" s="49">
        <v>116.88487613461319</v>
      </c>
      <c r="R594">
        <v>2225</v>
      </c>
      <c r="S594" s="50">
        <f t="shared" si="127"/>
        <v>71535.307499999995</v>
      </c>
      <c r="T594" s="50">
        <f t="shared" si="132"/>
        <v>0</v>
      </c>
      <c r="U594" s="58">
        <f t="shared" si="133"/>
        <v>0</v>
      </c>
      <c r="V594" s="58">
        <f t="shared" si="134"/>
        <v>0</v>
      </c>
      <c r="W594" s="58">
        <f t="shared" si="135"/>
        <v>0</v>
      </c>
      <c r="X594" s="58">
        <f t="shared" si="136"/>
        <v>0</v>
      </c>
      <c r="Y594" s="52">
        <f t="shared" si="137"/>
        <v>0</v>
      </c>
    </row>
    <row r="595" spans="1:25" x14ac:dyDescent="0.25">
      <c r="A595" s="1218" t="s">
        <v>161</v>
      </c>
      <c r="B595" s="98">
        <v>45413</v>
      </c>
      <c r="C595" s="117" t="str">
        <f t="shared" si="139"/>
        <v>6L</v>
      </c>
      <c r="D595" s="96"/>
      <c r="E595" s="98"/>
      <c r="F595" s="98"/>
      <c r="I595" s="99">
        <f t="shared" si="125"/>
        <v>0</v>
      </c>
      <c r="L595" s="99">
        <f t="shared" si="126"/>
        <v>0</v>
      </c>
      <c r="M595" s="44" t="str">
        <f t="shared" si="128"/>
        <v/>
      </c>
      <c r="N595" s="100">
        <f t="shared" si="129"/>
        <v>0</v>
      </c>
      <c r="O595" s="101">
        <f t="shared" si="130"/>
        <v>0</v>
      </c>
      <c r="P595" s="52">
        <f t="shared" si="131"/>
        <v>0</v>
      </c>
      <c r="Q595" s="49">
        <v>116.88487613461319</v>
      </c>
      <c r="R595">
        <v>2225</v>
      </c>
      <c r="S595" s="50">
        <f t="shared" si="127"/>
        <v>71535.307499999995</v>
      </c>
      <c r="T595" s="50">
        <f t="shared" si="132"/>
        <v>0</v>
      </c>
      <c r="U595" s="58">
        <f t="shared" si="133"/>
        <v>0</v>
      </c>
      <c r="V595" s="58">
        <f t="shared" si="134"/>
        <v>0</v>
      </c>
      <c r="W595" s="58">
        <f t="shared" si="135"/>
        <v>0</v>
      </c>
      <c r="X595" s="58">
        <f t="shared" si="136"/>
        <v>0</v>
      </c>
      <c r="Y595" s="52">
        <f t="shared" si="137"/>
        <v>0</v>
      </c>
    </row>
    <row r="596" spans="1:25" x14ac:dyDescent="0.25">
      <c r="A596" s="1218" t="s">
        <v>162</v>
      </c>
      <c r="B596" s="98">
        <v>45413</v>
      </c>
      <c r="C596" s="117" t="str">
        <f t="shared" si="139"/>
        <v>6L</v>
      </c>
      <c r="D596" s="96"/>
      <c r="E596" s="98"/>
      <c r="F596" s="98"/>
      <c r="I596" s="99">
        <f t="shared" si="125"/>
        <v>0</v>
      </c>
      <c r="L596" s="99">
        <f t="shared" si="126"/>
        <v>0</v>
      </c>
      <c r="M596" s="44" t="str">
        <f t="shared" si="128"/>
        <v/>
      </c>
      <c r="N596" s="100">
        <f t="shared" si="129"/>
        <v>0</v>
      </c>
      <c r="O596" s="101">
        <f t="shared" si="130"/>
        <v>0</v>
      </c>
      <c r="P596" s="52">
        <f t="shared" si="131"/>
        <v>0</v>
      </c>
      <c r="Q596" s="49">
        <v>116.88487613461319</v>
      </c>
      <c r="R596">
        <v>2225</v>
      </c>
      <c r="S596" s="50">
        <f t="shared" si="127"/>
        <v>71535.307499999995</v>
      </c>
      <c r="T596" s="50">
        <f t="shared" si="132"/>
        <v>0</v>
      </c>
      <c r="U596" s="58">
        <f t="shared" si="133"/>
        <v>0</v>
      </c>
      <c r="V596" s="58">
        <f t="shared" si="134"/>
        <v>0</v>
      </c>
      <c r="W596" s="58">
        <f t="shared" si="135"/>
        <v>0</v>
      </c>
      <c r="X596" s="58">
        <f t="shared" si="136"/>
        <v>0</v>
      </c>
      <c r="Y596" s="52">
        <f t="shared" si="137"/>
        <v>0</v>
      </c>
    </row>
    <row r="597" spans="1:25" x14ac:dyDescent="0.25">
      <c r="A597" s="1218" t="s">
        <v>163</v>
      </c>
      <c r="B597" s="98">
        <v>45413</v>
      </c>
      <c r="C597" s="117" t="str">
        <f t="shared" si="139"/>
        <v>6L</v>
      </c>
      <c r="D597" s="96"/>
      <c r="E597" s="98"/>
      <c r="F597" s="98"/>
      <c r="I597" s="99">
        <f t="shared" si="125"/>
        <v>0</v>
      </c>
      <c r="L597" s="99">
        <f t="shared" si="126"/>
        <v>0</v>
      </c>
      <c r="M597" s="44" t="str">
        <f t="shared" si="128"/>
        <v/>
      </c>
      <c r="N597" s="100">
        <f t="shared" si="129"/>
        <v>0</v>
      </c>
      <c r="O597" s="101">
        <f t="shared" si="130"/>
        <v>0</v>
      </c>
      <c r="P597" s="52">
        <f t="shared" si="131"/>
        <v>0</v>
      </c>
      <c r="Q597" s="49">
        <v>116.88487613461319</v>
      </c>
      <c r="R597">
        <v>2225</v>
      </c>
      <c r="S597" s="50">
        <f t="shared" si="127"/>
        <v>71535.307499999995</v>
      </c>
      <c r="T597" s="50">
        <f t="shared" si="132"/>
        <v>0</v>
      </c>
      <c r="U597" s="58">
        <f t="shared" si="133"/>
        <v>0</v>
      </c>
      <c r="V597" s="58">
        <f t="shared" si="134"/>
        <v>0</v>
      </c>
      <c r="W597" s="58">
        <f t="shared" si="135"/>
        <v>0</v>
      </c>
      <c r="X597" s="58">
        <f t="shared" si="136"/>
        <v>0</v>
      </c>
      <c r="Y597" s="52">
        <f t="shared" si="137"/>
        <v>0</v>
      </c>
    </row>
    <row r="598" spans="1:25" x14ac:dyDescent="0.25">
      <c r="A598" s="1218" t="s">
        <v>164</v>
      </c>
      <c r="B598" s="98">
        <v>45413</v>
      </c>
      <c r="C598" s="117" t="str">
        <f t="shared" si="139"/>
        <v>6L</v>
      </c>
      <c r="D598" s="96"/>
      <c r="E598" s="98"/>
      <c r="F598" s="98"/>
      <c r="I598" s="99">
        <f t="shared" si="125"/>
        <v>0</v>
      </c>
      <c r="L598" s="99">
        <f t="shared" si="126"/>
        <v>0</v>
      </c>
      <c r="M598" s="44" t="str">
        <f t="shared" si="128"/>
        <v/>
      </c>
      <c r="N598" s="100">
        <f t="shared" si="129"/>
        <v>0</v>
      </c>
      <c r="O598" s="101">
        <f t="shared" si="130"/>
        <v>0</v>
      </c>
      <c r="P598" s="52">
        <f t="shared" si="131"/>
        <v>0</v>
      </c>
      <c r="Q598" s="49">
        <v>116.88487613461319</v>
      </c>
      <c r="R598">
        <v>2225</v>
      </c>
      <c r="S598" s="50">
        <f t="shared" si="127"/>
        <v>71535.307499999995</v>
      </c>
      <c r="T598" s="50">
        <f t="shared" si="132"/>
        <v>0</v>
      </c>
      <c r="U598" s="58">
        <f t="shared" si="133"/>
        <v>0</v>
      </c>
      <c r="V598" s="58">
        <f t="shared" si="134"/>
        <v>0</v>
      </c>
      <c r="W598" s="58">
        <f t="shared" si="135"/>
        <v>0</v>
      </c>
      <c r="X598" s="58">
        <f t="shared" si="136"/>
        <v>0</v>
      </c>
      <c r="Y598" s="52">
        <f t="shared" si="137"/>
        <v>0</v>
      </c>
    </row>
    <row r="599" spans="1:25" x14ac:dyDescent="0.25">
      <c r="A599" s="1218" t="s">
        <v>165</v>
      </c>
      <c r="B599" s="98">
        <v>45413</v>
      </c>
      <c r="C599" s="117" t="str">
        <f t="shared" si="139"/>
        <v>6L</v>
      </c>
      <c r="D599" s="96"/>
      <c r="E599" s="98"/>
      <c r="F599" s="98"/>
      <c r="I599" s="99">
        <f t="shared" si="125"/>
        <v>0</v>
      </c>
      <c r="L599" s="99">
        <f t="shared" si="126"/>
        <v>0</v>
      </c>
      <c r="M599" s="44" t="str">
        <f t="shared" si="128"/>
        <v/>
      </c>
      <c r="N599" s="100">
        <f t="shared" si="129"/>
        <v>0</v>
      </c>
      <c r="O599" s="101">
        <f t="shared" si="130"/>
        <v>0</v>
      </c>
      <c r="P599" s="52">
        <f t="shared" si="131"/>
        <v>0</v>
      </c>
      <c r="Q599" s="49">
        <v>116.88487613461319</v>
      </c>
      <c r="R599">
        <v>2225</v>
      </c>
      <c r="S599" s="50">
        <f t="shared" si="127"/>
        <v>71535.307499999995</v>
      </c>
      <c r="T599" s="50">
        <f t="shared" si="132"/>
        <v>0</v>
      </c>
      <c r="U599" s="58">
        <f t="shared" si="133"/>
        <v>0</v>
      </c>
      <c r="V599" s="58">
        <f t="shared" si="134"/>
        <v>0</v>
      </c>
      <c r="W599" s="58">
        <f t="shared" si="135"/>
        <v>0</v>
      </c>
      <c r="X599" s="58">
        <f t="shared" si="136"/>
        <v>0</v>
      </c>
      <c r="Y599" s="52">
        <f t="shared" si="137"/>
        <v>0</v>
      </c>
    </row>
    <row r="600" spans="1:25" x14ac:dyDescent="0.25">
      <c r="A600" s="1218" t="s">
        <v>166</v>
      </c>
      <c r="B600" s="98">
        <v>45413</v>
      </c>
      <c r="C600" s="117" t="str">
        <f t="shared" si="139"/>
        <v>6L</v>
      </c>
      <c r="D600" s="96"/>
      <c r="E600" s="98"/>
      <c r="F600" s="98"/>
      <c r="I600" s="99">
        <f t="shared" si="125"/>
        <v>0</v>
      </c>
      <c r="L600" s="99">
        <f t="shared" si="126"/>
        <v>0</v>
      </c>
      <c r="M600" s="44" t="str">
        <f t="shared" si="128"/>
        <v/>
      </c>
      <c r="N600" s="100">
        <f t="shared" si="129"/>
        <v>0</v>
      </c>
      <c r="O600" s="101">
        <f t="shared" si="130"/>
        <v>0</v>
      </c>
      <c r="P600" s="52">
        <f t="shared" si="131"/>
        <v>0</v>
      </c>
      <c r="Q600" s="49">
        <v>116.88487613461319</v>
      </c>
      <c r="R600">
        <v>2225</v>
      </c>
      <c r="S600" s="50">
        <f t="shared" si="127"/>
        <v>71535.307499999995</v>
      </c>
      <c r="T600" s="50">
        <f t="shared" si="132"/>
        <v>0</v>
      </c>
      <c r="U600" s="58">
        <f t="shared" si="133"/>
        <v>0</v>
      </c>
      <c r="V600" s="58">
        <f t="shared" si="134"/>
        <v>0</v>
      </c>
      <c r="W600" s="58">
        <f t="shared" si="135"/>
        <v>0</v>
      </c>
      <c r="X600" s="58">
        <f t="shared" si="136"/>
        <v>0</v>
      </c>
      <c r="Y600" s="52">
        <f t="shared" si="137"/>
        <v>0</v>
      </c>
    </row>
    <row r="601" spans="1:25" x14ac:dyDescent="0.25">
      <c r="A601" s="1218" t="s">
        <v>167</v>
      </c>
      <c r="B601" s="98">
        <v>45413</v>
      </c>
      <c r="C601" s="117" t="str">
        <f t="shared" si="139"/>
        <v>6L</v>
      </c>
      <c r="D601" s="96"/>
      <c r="E601" s="98"/>
      <c r="F601" s="98"/>
      <c r="I601" s="99">
        <f t="shared" si="125"/>
        <v>0</v>
      </c>
      <c r="L601" s="99">
        <f t="shared" si="126"/>
        <v>0</v>
      </c>
      <c r="M601" s="44" t="str">
        <f t="shared" si="128"/>
        <v/>
      </c>
      <c r="N601" s="100">
        <f t="shared" si="129"/>
        <v>0</v>
      </c>
      <c r="O601" s="101">
        <f t="shared" si="130"/>
        <v>0</v>
      </c>
      <c r="P601" s="52">
        <f t="shared" si="131"/>
        <v>0</v>
      </c>
      <c r="Q601" s="49">
        <v>116.88487613461319</v>
      </c>
      <c r="R601">
        <v>2225</v>
      </c>
      <c r="S601" s="50">
        <f t="shared" si="127"/>
        <v>71535.307499999995</v>
      </c>
      <c r="T601" s="50">
        <f t="shared" si="132"/>
        <v>0</v>
      </c>
      <c r="U601" s="58">
        <f t="shared" si="133"/>
        <v>0</v>
      </c>
      <c r="V601" s="58">
        <f t="shared" si="134"/>
        <v>0</v>
      </c>
      <c r="W601" s="58">
        <f t="shared" si="135"/>
        <v>0</v>
      </c>
      <c r="X601" s="58">
        <f t="shared" si="136"/>
        <v>0</v>
      </c>
      <c r="Y601" s="52">
        <f t="shared" si="137"/>
        <v>0</v>
      </c>
    </row>
    <row r="602" spans="1:25" x14ac:dyDescent="0.25">
      <c r="A602" s="1218" t="s">
        <v>168</v>
      </c>
      <c r="B602" s="98">
        <v>45413</v>
      </c>
      <c r="C602" s="117" t="str">
        <f t="shared" si="139"/>
        <v>6L</v>
      </c>
      <c r="D602" s="96"/>
      <c r="E602" s="98"/>
      <c r="F602" s="98"/>
      <c r="I602" s="99">
        <f t="shared" si="125"/>
        <v>0</v>
      </c>
      <c r="L602" s="99">
        <f t="shared" si="126"/>
        <v>0</v>
      </c>
      <c r="M602" s="44" t="str">
        <f t="shared" si="128"/>
        <v/>
      </c>
      <c r="N602" s="100">
        <f t="shared" si="129"/>
        <v>0</v>
      </c>
      <c r="O602" s="101">
        <f t="shared" si="130"/>
        <v>0</v>
      </c>
      <c r="P602" s="52">
        <f t="shared" si="131"/>
        <v>0</v>
      </c>
      <c r="Q602" s="49">
        <v>116.88487613461319</v>
      </c>
      <c r="R602">
        <v>2225</v>
      </c>
      <c r="S602" s="50">
        <f t="shared" si="127"/>
        <v>71535.307499999995</v>
      </c>
      <c r="T602" s="50">
        <f t="shared" si="132"/>
        <v>0</v>
      </c>
      <c r="U602" s="58">
        <f t="shared" si="133"/>
        <v>0</v>
      </c>
      <c r="V602" s="58">
        <f t="shared" si="134"/>
        <v>0</v>
      </c>
      <c r="W602" s="58">
        <f t="shared" si="135"/>
        <v>0</v>
      </c>
      <c r="X602" s="58">
        <f t="shared" si="136"/>
        <v>0</v>
      </c>
      <c r="Y602" s="52">
        <f t="shared" si="137"/>
        <v>0</v>
      </c>
    </row>
    <row r="603" spans="1:25" x14ac:dyDescent="0.25">
      <c r="A603" s="1218" t="s">
        <v>169</v>
      </c>
      <c r="B603" s="98">
        <v>45413</v>
      </c>
      <c r="C603" s="117" t="str">
        <f t="shared" si="139"/>
        <v>6L</v>
      </c>
      <c r="D603" s="96"/>
      <c r="E603" s="98"/>
      <c r="F603" s="98"/>
      <c r="I603" s="99">
        <f t="shared" si="125"/>
        <v>0</v>
      </c>
      <c r="L603" s="99">
        <f t="shared" si="126"/>
        <v>0</v>
      </c>
      <c r="M603" s="44" t="str">
        <f t="shared" si="128"/>
        <v/>
      </c>
      <c r="N603" s="100">
        <f t="shared" si="129"/>
        <v>0</v>
      </c>
      <c r="O603" s="101">
        <f t="shared" si="130"/>
        <v>0</v>
      </c>
      <c r="P603" s="52">
        <f t="shared" si="131"/>
        <v>0</v>
      </c>
      <c r="Q603" s="49">
        <v>116.88487613461319</v>
      </c>
      <c r="R603">
        <v>2225</v>
      </c>
      <c r="S603" s="50">
        <f t="shared" si="127"/>
        <v>71535.307499999995</v>
      </c>
      <c r="T603" s="50">
        <f t="shared" si="132"/>
        <v>0</v>
      </c>
      <c r="U603" s="58">
        <f t="shared" si="133"/>
        <v>0</v>
      </c>
      <c r="V603" s="58">
        <f t="shared" si="134"/>
        <v>0</v>
      </c>
      <c r="W603" s="58">
        <f t="shared" si="135"/>
        <v>0</v>
      </c>
      <c r="X603" s="58">
        <f t="shared" si="136"/>
        <v>0</v>
      </c>
      <c r="Y603" s="52">
        <f t="shared" si="137"/>
        <v>0</v>
      </c>
    </row>
    <row r="604" spans="1:25" x14ac:dyDescent="0.25">
      <c r="A604" s="1218" t="s">
        <v>170</v>
      </c>
      <c r="B604" s="98">
        <v>45413</v>
      </c>
      <c r="C604" s="117" t="str">
        <f t="shared" si="139"/>
        <v>6L</v>
      </c>
      <c r="D604" s="96"/>
      <c r="E604" s="98"/>
      <c r="F604" s="98"/>
      <c r="I604" s="99">
        <f t="shared" ref="I604:I666" si="140">IFERROR(G604*H604/1000,"")</f>
        <v>0</v>
      </c>
      <c r="L604" s="99">
        <f t="shared" ref="L604:L666" si="141">IFERROR(J604*K604/1000,"")</f>
        <v>0</v>
      </c>
      <c r="M604" s="44" t="str">
        <f t="shared" si="128"/>
        <v/>
      </c>
      <c r="N604" s="100">
        <f t="shared" si="129"/>
        <v>0</v>
      </c>
      <c r="O604" s="101">
        <f t="shared" si="130"/>
        <v>0</v>
      </c>
      <c r="P604" s="52">
        <f t="shared" si="131"/>
        <v>0</v>
      </c>
      <c r="Q604" s="49">
        <v>116.88487613461319</v>
      </c>
      <c r="R604">
        <v>2225</v>
      </c>
      <c r="S604" s="50">
        <f t="shared" ref="S604:S666" si="142">R604*32.1507</f>
        <v>71535.307499999995</v>
      </c>
      <c r="T604" s="50">
        <f t="shared" si="132"/>
        <v>0</v>
      </c>
      <c r="U604" s="58">
        <f t="shared" si="133"/>
        <v>0</v>
      </c>
      <c r="V604" s="58">
        <f t="shared" si="134"/>
        <v>0</v>
      </c>
      <c r="W604" s="58">
        <f t="shared" si="135"/>
        <v>0</v>
      </c>
      <c r="X604" s="58">
        <f t="shared" si="136"/>
        <v>0</v>
      </c>
      <c r="Y604" s="52">
        <f t="shared" si="137"/>
        <v>0</v>
      </c>
    </row>
    <row r="605" spans="1:25" x14ac:dyDescent="0.25">
      <c r="A605" s="1218" t="s">
        <v>171</v>
      </c>
      <c r="B605" s="98">
        <v>45413</v>
      </c>
      <c r="C605" s="117" t="str">
        <f t="shared" si="139"/>
        <v>6L</v>
      </c>
      <c r="D605" s="96"/>
      <c r="E605" s="98"/>
      <c r="F605" s="98"/>
      <c r="I605" s="99">
        <f t="shared" si="140"/>
        <v>0</v>
      </c>
      <c r="L605" s="99">
        <f t="shared" si="141"/>
        <v>0</v>
      </c>
      <c r="M605" s="44" t="str">
        <f t="shared" ref="M605:M668" si="143">IFERROR((L605-I605)/I605,"")</f>
        <v/>
      </c>
      <c r="N605" s="100">
        <f t="shared" ref="N605:N668" si="144">J605-G605</f>
        <v>0</v>
      </c>
      <c r="O605" s="101">
        <f t="shared" ref="O605:O668" si="145">L605-I605</f>
        <v>0</v>
      </c>
      <c r="P605" s="52">
        <f t="shared" ref="P605:P668" si="146">U605-W605</f>
        <v>0</v>
      </c>
      <c r="Q605" s="49">
        <v>116.88487613461319</v>
      </c>
      <c r="R605">
        <v>2225</v>
      </c>
      <c r="S605" s="50">
        <f t="shared" si="142"/>
        <v>71535.307499999995</v>
      </c>
      <c r="T605" s="50">
        <f t="shared" ref="T605:T668" si="147">IFERROR(S605*I605,"")</f>
        <v>0</v>
      </c>
      <c r="U605" s="58">
        <f t="shared" ref="U605:U668" si="148">IFERROR(S605*L605,"")</f>
        <v>0</v>
      </c>
      <c r="V605" s="58">
        <f t="shared" ref="V605:V668" si="149">IFERROR(Q605*G605,"")</f>
        <v>0</v>
      </c>
      <c r="W605" s="58">
        <f t="shared" ref="W605:W668" si="150">IFERROR(Q605*J605,"")</f>
        <v>0</v>
      </c>
      <c r="X605" s="58">
        <f t="shared" ref="X605:X668" si="151">T605-V605</f>
        <v>0</v>
      </c>
      <c r="Y605" s="52">
        <f t="shared" ref="Y605:Y668" si="152">U605-W605</f>
        <v>0</v>
      </c>
    </row>
    <row r="606" spans="1:25" x14ac:dyDescent="0.25">
      <c r="A606" s="1218" t="s">
        <v>172</v>
      </c>
      <c r="B606" s="98">
        <v>45413</v>
      </c>
      <c r="C606" s="117" t="str">
        <f t="shared" si="139"/>
        <v>6L</v>
      </c>
      <c r="D606" s="96"/>
      <c r="E606" s="98"/>
      <c r="F606" s="98"/>
      <c r="I606" s="99">
        <f t="shared" si="140"/>
        <v>0</v>
      </c>
      <c r="L606" s="99">
        <f t="shared" si="141"/>
        <v>0</v>
      </c>
      <c r="M606" s="44" t="str">
        <f t="shared" si="143"/>
        <v/>
      </c>
      <c r="N606" s="100">
        <f t="shared" si="144"/>
        <v>0</v>
      </c>
      <c r="O606" s="101">
        <f t="shared" si="145"/>
        <v>0</v>
      </c>
      <c r="P606" s="52">
        <f t="shared" si="146"/>
        <v>0</v>
      </c>
      <c r="Q606" s="49">
        <v>116.88487613461319</v>
      </c>
      <c r="R606">
        <v>2225</v>
      </c>
      <c r="S606" s="50">
        <f t="shared" si="142"/>
        <v>71535.307499999995</v>
      </c>
      <c r="T606" s="50">
        <f t="shared" si="147"/>
        <v>0</v>
      </c>
      <c r="U606" s="58">
        <f t="shared" si="148"/>
        <v>0</v>
      </c>
      <c r="V606" s="58">
        <f t="shared" si="149"/>
        <v>0</v>
      </c>
      <c r="W606" s="58">
        <f t="shared" si="150"/>
        <v>0</v>
      </c>
      <c r="X606" s="58">
        <f t="shared" si="151"/>
        <v>0</v>
      </c>
      <c r="Y606" s="52">
        <f t="shared" si="152"/>
        <v>0</v>
      </c>
    </row>
    <row r="607" spans="1:25" x14ac:dyDescent="0.25">
      <c r="A607" s="1218" t="s">
        <v>173</v>
      </c>
      <c r="B607" s="98">
        <v>45413</v>
      </c>
      <c r="C607" s="117" t="str">
        <f t="shared" si="139"/>
        <v>6L</v>
      </c>
      <c r="D607" s="96"/>
      <c r="E607" s="98"/>
      <c r="F607" s="98"/>
      <c r="I607" s="99">
        <f t="shared" si="140"/>
        <v>0</v>
      </c>
      <c r="L607" s="99">
        <f t="shared" si="141"/>
        <v>0</v>
      </c>
      <c r="M607" s="44" t="str">
        <f t="shared" si="143"/>
        <v/>
      </c>
      <c r="N607" s="100">
        <f t="shared" si="144"/>
        <v>0</v>
      </c>
      <c r="O607" s="101">
        <f t="shared" si="145"/>
        <v>0</v>
      </c>
      <c r="P607" s="52">
        <f t="shared" si="146"/>
        <v>0</v>
      </c>
      <c r="Q607" s="49">
        <v>116.88487613461319</v>
      </c>
      <c r="R607">
        <v>2225</v>
      </c>
      <c r="S607" s="50">
        <f t="shared" si="142"/>
        <v>71535.307499999995</v>
      </c>
      <c r="T607" s="50">
        <f t="shared" si="147"/>
        <v>0</v>
      </c>
      <c r="U607" s="58">
        <f t="shared" si="148"/>
        <v>0</v>
      </c>
      <c r="V607" s="58">
        <f t="shared" si="149"/>
        <v>0</v>
      </c>
      <c r="W607" s="58">
        <f t="shared" si="150"/>
        <v>0</v>
      </c>
      <c r="X607" s="58">
        <f t="shared" si="151"/>
        <v>0</v>
      </c>
      <c r="Y607" s="52">
        <f t="shared" si="152"/>
        <v>0</v>
      </c>
    </row>
    <row r="608" spans="1:25" x14ac:dyDescent="0.25">
      <c r="A608" s="1218" t="s">
        <v>174</v>
      </c>
      <c r="B608" s="98">
        <v>45413</v>
      </c>
      <c r="C608" s="117" t="str">
        <f t="shared" si="139"/>
        <v>6L</v>
      </c>
      <c r="D608" s="96"/>
      <c r="E608" s="98"/>
      <c r="F608" s="98"/>
      <c r="I608" s="99">
        <f t="shared" si="140"/>
        <v>0</v>
      </c>
      <c r="L608" s="99">
        <f t="shared" si="141"/>
        <v>0</v>
      </c>
      <c r="M608" s="44" t="str">
        <f t="shared" si="143"/>
        <v/>
      </c>
      <c r="N608" s="100">
        <f t="shared" si="144"/>
        <v>0</v>
      </c>
      <c r="O608" s="101">
        <f t="shared" si="145"/>
        <v>0</v>
      </c>
      <c r="P608" s="52">
        <f t="shared" si="146"/>
        <v>0</v>
      </c>
      <c r="Q608" s="49">
        <v>116.88487613461319</v>
      </c>
      <c r="R608">
        <v>2225</v>
      </c>
      <c r="S608" s="50">
        <f t="shared" si="142"/>
        <v>71535.307499999995</v>
      </c>
      <c r="T608" s="50">
        <f t="shared" si="147"/>
        <v>0</v>
      </c>
      <c r="U608" s="58">
        <f t="shared" si="148"/>
        <v>0</v>
      </c>
      <c r="V608" s="58">
        <f t="shared" si="149"/>
        <v>0</v>
      </c>
      <c r="W608" s="58">
        <f t="shared" si="150"/>
        <v>0</v>
      </c>
      <c r="X608" s="58">
        <f t="shared" si="151"/>
        <v>0</v>
      </c>
      <c r="Y608" s="52">
        <f t="shared" si="152"/>
        <v>0</v>
      </c>
    </row>
    <row r="609" spans="1:25" x14ac:dyDescent="0.25">
      <c r="A609" s="1218" t="s">
        <v>175</v>
      </c>
      <c r="B609" s="98">
        <v>45413</v>
      </c>
      <c r="C609" s="117" t="str">
        <f t="shared" si="139"/>
        <v>6L</v>
      </c>
      <c r="D609" s="96"/>
      <c r="E609" s="98"/>
      <c r="F609" s="98"/>
      <c r="I609" s="99">
        <f t="shared" si="140"/>
        <v>0</v>
      </c>
      <c r="L609" s="99">
        <f t="shared" si="141"/>
        <v>0</v>
      </c>
      <c r="M609" s="44" t="str">
        <f t="shared" si="143"/>
        <v/>
      </c>
      <c r="N609" s="100">
        <f t="shared" si="144"/>
        <v>0</v>
      </c>
      <c r="O609" s="101">
        <f t="shared" si="145"/>
        <v>0</v>
      </c>
      <c r="P609" s="52">
        <f t="shared" si="146"/>
        <v>0</v>
      </c>
      <c r="Q609" s="49">
        <v>116.88487613461319</v>
      </c>
      <c r="R609">
        <v>2225</v>
      </c>
      <c r="S609" s="50">
        <f t="shared" si="142"/>
        <v>71535.307499999995</v>
      </c>
      <c r="T609" s="50">
        <f t="shared" si="147"/>
        <v>0</v>
      </c>
      <c r="U609" s="58">
        <f t="shared" si="148"/>
        <v>0</v>
      </c>
      <c r="V609" s="58">
        <f t="shared" si="149"/>
        <v>0</v>
      </c>
      <c r="W609" s="58">
        <f t="shared" si="150"/>
        <v>0</v>
      </c>
      <c r="X609" s="58">
        <f t="shared" si="151"/>
        <v>0</v>
      </c>
      <c r="Y609" s="52">
        <f t="shared" si="152"/>
        <v>0</v>
      </c>
    </row>
    <row r="610" spans="1:25" x14ac:dyDescent="0.25">
      <c r="A610" s="1218" t="s">
        <v>176</v>
      </c>
      <c r="B610" s="98">
        <v>45413</v>
      </c>
      <c r="C610" s="117" t="str">
        <f t="shared" si="139"/>
        <v>6L</v>
      </c>
      <c r="D610" s="96"/>
      <c r="E610" s="98"/>
      <c r="F610" s="98"/>
      <c r="I610" s="99">
        <f t="shared" si="140"/>
        <v>0</v>
      </c>
      <c r="L610" s="99">
        <f t="shared" si="141"/>
        <v>0</v>
      </c>
      <c r="M610" s="44" t="str">
        <f t="shared" si="143"/>
        <v/>
      </c>
      <c r="N610" s="100">
        <f t="shared" si="144"/>
        <v>0</v>
      </c>
      <c r="O610" s="101">
        <f t="shared" si="145"/>
        <v>0</v>
      </c>
      <c r="P610" s="52">
        <f t="shared" si="146"/>
        <v>0</v>
      </c>
      <c r="Q610" s="49">
        <v>116.88487613461319</v>
      </c>
      <c r="R610">
        <v>2225</v>
      </c>
      <c r="S610" s="50">
        <f t="shared" si="142"/>
        <v>71535.307499999995</v>
      </c>
      <c r="T610" s="50">
        <f t="shared" si="147"/>
        <v>0</v>
      </c>
      <c r="U610" s="58">
        <f t="shared" si="148"/>
        <v>0</v>
      </c>
      <c r="V610" s="58">
        <f t="shared" si="149"/>
        <v>0</v>
      </c>
      <c r="W610" s="58">
        <f t="shared" si="150"/>
        <v>0</v>
      </c>
      <c r="X610" s="58">
        <f t="shared" si="151"/>
        <v>0</v>
      </c>
      <c r="Y610" s="52">
        <f t="shared" si="152"/>
        <v>0</v>
      </c>
    </row>
    <row r="611" spans="1:25" x14ac:dyDescent="0.25">
      <c r="A611" s="1218" t="s">
        <v>177</v>
      </c>
      <c r="B611" s="98">
        <v>45413</v>
      </c>
      <c r="C611" s="117" t="str">
        <f t="shared" si="139"/>
        <v>6L</v>
      </c>
      <c r="D611" s="96"/>
      <c r="E611" s="98"/>
      <c r="F611" s="98"/>
      <c r="I611" s="99">
        <f t="shared" si="140"/>
        <v>0</v>
      </c>
      <c r="L611" s="99">
        <f t="shared" si="141"/>
        <v>0</v>
      </c>
      <c r="M611" s="44" t="str">
        <f t="shared" si="143"/>
        <v/>
      </c>
      <c r="N611" s="100">
        <f t="shared" si="144"/>
        <v>0</v>
      </c>
      <c r="O611" s="101">
        <f t="shared" si="145"/>
        <v>0</v>
      </c>
      <c r="P611" s="52">
        <f t="shared" si="146"/>
        <v>0</v>
      </c>
      <c r="Q611" s="49">
        <v>116.88487613461319</v>
      </c>
      <c r="R611">
        <v>2225</v>
      </c>
      <c r="S611" s="50">
        <f t="shared" si="142"/>
        <v>71535.307499999995</v>
      </c>
      <c r="T611" s="50">
        <f t="shared" si="147"/>
        <v>0</v>
      </c>
      <c r="U611" s="58">
        <f t="shared" si="148"/>
        <v>0</v>
      </c>
      <c r="V611" s="58">
        <f t="shared" si="149"/>
        <v>0</v>
      </c>
      <c r="W611" s="58">
        <f t="shared" si="150"/>
        <v>0</v>
      </c>
      <c r="X611" s="58">
        <f t="shared" si="151"/>
        <v>0</v>
      </c>
      <c r="Y611" s="52">
        <f t="shared" si="152"/>
        <v>0</v>
      </c>
    </row>
    <row r="612" spans="1:25" x14ac:dyDescent="0.25">
      <c r="A612" s="1218" t="s">
        <v>178</v>
      </c>
      <c r="B612" s="98">
        <v>45413</v>
      </c>
      <c r="C612" s="117" t="str">
        <f t="shared" si="139"/>
        <v>7L</v>
      </c>
      <c r="D612" s="96"/>
      <c r="I612" s="99">
        <f t="shared" si="140"/>
        <v>0</v>
      </c>
      <c r="L612" s="99">
        <f t="shared" si="141"/>
        <v>0</v>
      </c>
      <c r="M612" s="44" t="str">
        <f t="shared" si="143"/>
        <v/>
      </c>
      <c r="N612" s="100">
        <f t="shared" si="144"/>
        <v>0</v>
      </c>
      <c r="O612" s="101">
        <f t="shared" si="145"/>
        <v>0</v>
      </c>
      <c r="P612" s="52">
        <f t="shared" si="146"/>
        <v>0</v>
      </c>
      <c r="Q612" s="49">
        <v>116.88487613461319</v>
      </c>
      <c r="R612">
        <v>2225</v>
      </c>
      <c r="S612" s="50">
        <f t="shared" si="142"/>
        <v>71535.307499999995</v>
      </c>
      <c r="T612" s="50">
        <f t="shared" si="147"/>
        <v>0</v>
      </c>
      <c r="U612" s="58">
        <f t="shared" si="148"/>
        <v>0</v>
      </c>
      <c r="V612" s="58">
        <f t="shared" si="149"/>
        <v>0</v>
      </c>
      <c r="W612" s="58">
        <f t="shared" si="150"/>
        <v>0</v>
      </c>
      <c r="X612" s="58">
        <f t="shared" si="151"/>
        <v>0</v>
      </c>
      <c r="Y612" s="52">
        <f t="shared" si="152"/>
        <v>0</v>
      </c>
    </row>
    <row r="613" spans="1:25" x14ac:dyDescent="0.25">
      <c r="A613" s="1218" t="s">
        <v>179</v>
      </c>
      <c r="B613" s="98">
        <v>45413</v>
      </c>
      <c r="C613" s="117" t="str">
        <f t="shared" si="139"/>
        <v>7L</v>
      </c>
      <c r="D613" s="96"/>
      <c r="I613" s="99">
        <f t="shared" si="140"/>
        <v>0</v>
      </c>
      <c r="L613" s="99">
        <f t="shared" si="141"/>
        <v>0</v>
      </c>
      <c r="M613" s="44" t="str">
        <f t="shared" si="143"/>
        <v/>
      </c>
      <c r="N613" s="100">
        <f t="shared" si="144"/>
        <v>0</v>
      </c>
      <c r="O613" s="101">
        <f t="shared" si="145"/>
        <v>0</v>
      </c>
      <c r="P613" s="52">
        <f t="shared" si="146"/>
        <v>0</v>
      </c>
      <c r="Q613" s="49">
        <v>116.88487613461319</v>
      </c>
      <c r="R613">
        <v>2225</v>
      </c>
      <c r="S613" s="50">
        <f t="shared" si="142"/>
        <v>71535.307499999995</v>
      </c>
      <c r="T613" s="50">
        <f t="shared" si="147"/>
        <v>0</v>
      </c>
      <c r="U613" s="58">
        <f t="shared" si="148"/>
        <v>0</v>
      </c>
      <c r="V613" s="58">
        <f t="shared" si="149"/>
        <v>0</v>
      </c>
      <c r="W613" s="58">
        <f t="shared" si="150"/>
        <v>0</v>
      </c>
      <c r="X613" s="58">
        <f t="shared" si="151"/>
        <v>0</v>
      </c>
      <c r="Y613" s="52">
        <f t="shared" si="152"/>
        <v>0</v>
      </c>
    </row>
    <row r="614" spans="1:25" x14ac:dyDescent="0.25">
      <c r="A614" s="1218" t="s">
        <v>180</v>
      </c>
      <c r="B614" s="98">
        <v>45413</v>
      </c>
      <c r="C614" s="117" t="str">
        <f t="shared" si="139"/>
        <v>7L</v>
      </c>
      <c r="D614" s="96"/>
      <c r="I614" s="99">
        <f t="shared" si="140"/>
        <v>0</v>
      </c>
      <c r="L614" s="99">
        <f t="shared" si="141"/>
        <v>0</v>
      </c>
      <c r="M614" s="44" t="str">
        <f t="shared" si="143"/>
        <v/>
      </c>
      <c r="N614" s="100">
        <f t="shared" si="144"/>
        <v>0</v>
      </c>
      <c r="O614" s="101">
        <f t="shared" si="145"/>
        <v>0</v>
      </c>
      <c r="P614" s="52">
        <f t="shared" si="146"/>
        <v>0</v>
      </c>
      <c r="Q614" s="49">
        <v>116.88487613461319</v>
      </c>
      <c r="R614">
        <v>2225</v>
      </c>
      <c r="S614" s="50">
        <f t="shared" si="142"/>
        <v>71535.307499999995</v>
      </c>
      <c r="T614" s="50">
        <f t="shared" si="147"/>
        <v>0</v>
      </c>
      <c r="U614" s="58">
        <f t="shared" si="148"/>
        <v>0</v>
      </c>
      <c r="V614" s="58">
        <f t="shared" si="149"/>
        <v>0</v>
      </c>
      <c r="W614" s="58">
        <f t="shared" si="150"/>
        <v>0</v>
      </c>
      <c r="X614" s="58">
        <f t="shared" si="151"/>
        <v>0</v>
      </c>
      <c r="Y614" s="52">
        <f t="shared" si="152"/>
        <v>0</v>
      </c>
    </row>
    <row r="615" spans="1:25" x14ac:dyDescent="0.25">
      <c r="A615" s="1218" t="s">
        <v>181</v>
      </c>
      <c r="B615" s="98">
        <v>45413</v>
      </c>
      <c r="C615" s="117" t="str">
        <f t="shared" si="139"/>
        <v>7L</v>
      </c>
      <c r="D615" s="96"/>
      <c r="I615" s="99">
        <f t="shared" si="140"/>
        <v>0</v>
      </c>
      <c r="L615" s="99">
        <f t="shared" si="141"/>
        <v>0</v>
      </c>
      <c r="M615" s="44" t="str">
        <f t="shared" si="143"/>
        <v/>
      </c>
      <c r="N615" s="100">
        <f t="shared" si="144"/>
        <v>0</v>
      </c>
      <c r="O615" s="101">
        <f t="shared" si="145"/>
        <v>0</v>
      </c>
      <c r="P615" s="52">
        <f t="shared" si="146"/>
        <v>0</v>
      </c>
      <c r="Q615" s="49">
        <v>116.88487613461319</v>
      </c>
      <c r="R615">
        <v>2225</v>
      </c>
      <c r="S615" s="50">
        <f t="shared" si="142"/>
        <v>71535.307499999995</v>
      </c>
      <c r="T615" s="50">
        <f t="shared" si="147"/>
        <v>0</v>
      </c>
      <c r="U615" s="58">
        <f t="shared" si="148"/>
        <v>0</v>
      </c>
      <c r="V615" s="58">
        <f t="shared" si="149"/>
        <v>0</v>
      </c>
      <c r="W615" s="58">
        <f t="shared" si="150"/>
        <v>0</v>
      </c>
      <c r="X615" s="58">
        <f t="shared" si="151"/>
        <v>0</v>
      </c>
      <c r="Y615" s="52">
        <f t="shared" si="152"/>
        <v>0</v>
      </c>
    </row>
    <row r="616" spans="1:25" x14ac:dyDescent="0.25">
      <c r="A616" s="1218" t="s">
        <v>182</v>
      </c>
      <c r="B616" s="98">
        <v>45413</v>
      </c>
      <c r="C616" s="117" t="str">
        <f t="shared" si="139"/>
        <v>7L</v>
      </c>
      <c r="D616" s="96"/>
      <c r="I616" s="99">
        <f t="shared" si="140"/>
        <v>0</v>
      </c>
      <c r="L616" s="99">
        <f t="shared" si="141"/>
        <v>0</v>
      </c>
      <c r="M616" s="44" t="str">
        <f t="shared" si="143"/>
        <v/>
      </c>
      <c r="N616" s="100">
        <f t="shared" si="144"/>
        <v>0</v>
      </c>
      <c r="O616" s="101">
        <f t="shared" si="145"/>
        <v>0</v>
      </c>
      <c r="P616" s="52">
        <f t="shared" si="146"/>
        <v>0</v>
      </c>
      <c r="Q616" s="49">
        <v>116.88487613461319</v>
      </c>
      <c r="R616">
        <v>2225</v>
      </c>
      <c r="S616" s="50">
        <f t="shared" si="142"/>
        <v>71535.307499999995</v>
      </c>
      <c r="T616" s="50">
        <f t="shared" si="147"/>
        <v>0</v>
      </c>
      <c r="U616" s="58">
        <f t="shared" si="148"/>
        <v>0</v>
      </c>
      <c r="V616" s="58">
        <f t="shared" si="149"/>
        <v>0</v>
      </c>
      <c r="W616" s="58">
        <f t="shared" si="150"/>
        <v>0</v>
      </c>
      <c r="X616" s="58">
        <f t="shared" si="151"/>
        <v>0</v>
      </c>
      <c r="Y616" s="52">
        <f t="shared" si="152"/>
        <v>0</v>
      </c>
    </row>
    <row r="617" spans="1:25" x14ac:dyDescent="0.25">
      <c r="A617" s="1218" t="s">
        <v>183</v>
      </c>
      <c r="B617" s="98">
        <v>45413</v>
      </c>
      <c r="C617" s="117" t="str">
        <f t="shared" si="139"/>
        <v>7L</v>
      </c>
      <c r="D617" s="96"/>
      <c r="I617" s="99">
        <f t="shared" si="140"/>
        <v>0</v>
      </c>
      <c r="L617" s="99">
        <f t="shared" si="141"/>
        <v>0</v>
      </c>
      <c r="M617" s="44" t="str">
        <f t="shared" si="143"/>
        <v/>
      </c>
      <c r="N617" s="100">
        <f t="shared" si="144"/>
        <v>0</v>
      </c>
      <c r="O617" s="101">
        <f t="shared" si="145"/>
        <v>0</v>
      </c>
      <c r="P617" s="52">
        <f t="shared" si="146"/>
        <v>0</v>
      </c>
      <c r="Q617" s="49">
        <v>116.88487613461319</v>
      </c>
      <c r="R617">
        <v>2225</v>
      </c>
      <c r="S617" s="50">
        <f t="shared" si="142"/>
        <v>71535.307499999995</v>
      </c>
      <c r="T617" s="50">
        <f t="shared" si="147"/>
        <v>0</v>
      </c>
      <c r="U617" s="58">
        <f t="shared" si="148"/>
        <v>0</v>
      </c>
      <c r="V617" s="58">
        <f t="shared" si="149"/>
        <v>0</v>
      </c>
      <c r="W617" s="58">
        <f t="shared" si="150"/>
        <v>0</v>
      </c>
      <c r="X617" s="58">
        <f t="shared" si="151"/>
        <v>0</v>
      </c>
      <c r="Y617" s="52">
        <f t="shared" si="152"/>
        <v>0</v>
      </c>
    </row>
    <row r="618" spans="1:25" x14ac:dyDescent="0.25">
      <c r="A618" s="1218" t="s">
        <v>184</v>
      </c>
      <c r="B618" s="98">
        <v>45413</v>
      </c>
      <c r="C618" s="117" t="str">
        <f t="shared" si="139"/>
        <v>7L</v>
      </c>
      <c r="D618" s="96"/>
      <c r="I618" s="99">
        <f t="shared" si="140"/>
        <v>0</v>
      </c>
      <c r="L618" s="99">
        <f t="shared" si="141"/>
        <v>0</v>
      </c>
      <c r="M618" s="44" t="str">
        <f t="shared" si="143"/>
        <v/>
      </c>
      <c r="N618" s="100">
        <f t="shared" si="144"/>
        <v>0</v>
      </c>
      <c r="O618" s="101">
        <f t="shared" si="145"/>
        <v>0</v>
      </c>
      <c r="P618" s="52">
        <f t="shared" si="146"/>
        <v>0</v>
      </c>
      <c r="Q618" s="49">
        <v>116.88487613461319</v>
      </c>
      <c r="R618">
        <v>2225</v>
      </c>
      <c r="S618" s="50">
        <f t="shared" si="142"/>
        <v>71535.307499999995</v>
      </c>
      <c r="T618" s="50">
        <f t="shared" si="147"/>
        <v>0</v>
      </c>
      <c r="U618" s="58">
        <f t="shared" si="148"/>
        <v>0</v>
      </c>
      <c r="V618" s="58">
        <f t="shared" si="149"/>
        <v>0</v>
      </c>
      <c r="W618" s="58">
        <f t="shared" si="150"/>
        <v>0</v>
      </c>
      <c r="X618" s="58">
        <f t="shared" si="151"/>
        <v>0</v>
      </c>
      <c r="Y618" s="52">
        <f t="shared" si="152"/>
        <v>0</v>
      </c>
    </row>
    <row r="619" spans="1:25" x14ac:dyDescent="0.25">
      <c r="A619" s="1218" t="s">
        <v>185</v>
      </c>
      <c r="B619" s="98">
        <v>45413</v>
      </c>
      <c r="C619" s="117" t="str">
        <f t="shared" si="139"/>
        <v>7L</v>
      </c>
      <c r="D619" s="96"/>
      <c r="I619" s="99">
        <f t="shared" si="140"/>
        <v>0</v>
      </c>
      <c r="L619" s="99">
        <f t="shared" si="141"/>
        <v>0</v>
      </c>
      <c r="M619" s="44" t="str">
        <f t="shared" si="143"/>
        <v/>
      </c>
      <c r="N619" s="100">
        <f t="shared" si="144"/>
        <v>0</v>
      </c>
      <c r="O619" s="101">
        <f t="shared" si="145"/>
        <v>0</v>
      </c>
      <c r="P619" s="52">
        <f t="shared" si="146"/>
        <v>0</v>
      </c>
      <c r="Q619" s="49">
        <v>116.88487613461319</v>
      </c>
      <c r="R619">
        <v>2225</v>
      </c>
      <c r="S619" s="50">
        <f t="shared" si="142"/>
        <v>71535.307499999995</v>
      </c>
      <c r="T619" s="50">
        <f t="shared" si="147"/>
        <v>0</v>
      </c>
      <c r="U619" s="58">
        <f t="shared" si="148"/>
        <v>0</v>
      </c>
      <c r="V619" s="58">
        <f t="shared" si="149"/>
        <v>0</v>
      </c>
      <c r="W619" s="58">
        <f t="shared" si="150"/>
        <v>0</v>
      </c>
      <c r="X619" s="58">
        <f t="shared" si="151"/>
        <v>0</v>
      </c>
      <c r="Y619" s="52">
        <f t="shared" si="152"/>
        <v>0</v>
      </c>
    </row>
    <row r="620" spans="1:25" x14ac:dyDescent="0.25">
      <c r="A620" s="1218" t="s">
        <v>186</v>
      </c>
      <c r="B620" s="98">
        <v>45413</v>
      </c>
      <c r="C620" s="117" t="str">
        <f t="shared" si="139"/>
        <v>7L</v>
      </c>
      <c r="D620" s="96"/>
      <c r="I620" s="99">
        <f t="shared" si="140"/>
        <v>0</v>
      </c>
      <c r="L620" s="99">
        <f t="shared" si="141"/>
        <v>0</v>
      </c>
      <c r="M620" s="44" t="str">
        <f t="shared" si="143"/>
        <v/>
      </c>
      <c r="N620" s="100">
        <f t="shared" si="144"/>
        <v>0</v>
      </c>
      <c r="O620" s="101">
        <f t="shared" si="145"/>
        <v>0</v>
      </c>
      <c r="P620" s="52">
        <f t="shared" si="146"/>
        <v>0</v>
      </c>
      <c r="Q620" s="49">
        <v>116.88487613461319</v>
      </c>
      <c r="R620">
        <v>2225</v>
      </c>
      <c r="S620" s="50">
        <f t="shared" si="142"/>
        <v>71535.307499999995</v>
      </c>
      <c r="T620" s="50">
        <f t="shared" si="147"/>
        <v>0</v>
      </c>
      <c r="U620" s="58">
        <f t="shared" si="148"/>
        <v>0</v>
      </c>
      <c r="V620" s="58">
        <f t="shared" si="149"/>
        <v>0</v>
      </c>
      <c r="W620" s="58">
        <f t="shared" si="150"/>
        <v>0</v>
      </c>
      <c r="X620" s="58">
        <f t="shared" si="151"/>
        <v>0</v>
      </c>
      <c r="Y620" s="52">
        <f t="shared" si="152"/>
        <v>0</v>
      </c>
    </row>
    <row r="621" spans="1:25" x14ac:dyDescent="0.25">
      <c r="A621" s="1218" t="s">
        <v>187</v>
      </c>
      <c r="B621" s="98">
        <v>45413</v>
      </c>
      <c r="C621" s="117" t="str">
        <f t="shared" si="139"/>
        <v>7L</v>
      </c>
      <c r="D621" s="96"/>
      <c r="I621" s="99">
        <f t="shared" si="140"/>
        <v>0</v>
      </c>
      <c r="L621" s="99">
        <f t="shared" si="141"/>
        <v>0</v>
      </c>
      <c r="M621" s="44" t="str">
        <f t="shared" si="143"/>
        <v/>
      </c>
      <c r="N621" s="100">
        <f t="shared" si="144"/>
        <v>0</v>
      </c>
      <c r="O621" s="101">
        <f t="shared" si="145"/>
        <v>0</v>
      </c>
      <c r="P621" s="52">
        <f t="shared" si="146"/>
        <v>0</v>
      </c>
      <c r="Q621" s="49">
        <v>116.88487613461319</v>
      </c>
      <c r="R621">
        <v>2225</v>
      </c>
      <c r="S621" s="50">
        <f t="shared" si="142"/>
        <v>71535.307499999995</v>
      </c>
      <c r="T621" s="50">
        <f t="shared" si="147"/>
        <v>0</v>
      </c>
      <c r="U621" s="58">
        <f t="shared" si="148"/>
        <v>0</v>
      </c>
      <c r="V621" s="58">
        <f t="shared" si="149"/>
        <v>0</v>
      </c>
      <c r="W621" s="58">
        <f t="shared" si="150"/>
        <v>0</v>
      </c>
      <c r="X621" s="58">
        <f t="shared" si="151"/>
        <v>0</v>
      </c>
      <c r="Y621" s="52">
        <f t="shared" si="152"/>
        <v>0</v>
      </c>
    </row>
    <row r="622" spans="1:25" x14ac:dyDescent="0.25">
      <c r="A622" s="1218" t="s">
        <v>188</v>
      </c>
      <c r="B622" s="98">
        <v>45413</v>
      </c>
      <c r="C622" s="117" t="str">
        <f t="shared" si="139"/>
        <v>7L</v>
      </c>
      <c r="D622" s="96"/>
      <c r="I622" s="99">
        <f t="shared" si="140"/>
        <v>0</v>
      </c>
      <c r="L622" s="99">
        <f t="shared" si="141"/>
        <v>0</v>
      </c>
      <c r="M622" s="44" t="str">
        <f t="shared" si="143"/>
        <v/>
      </c>
      <c r="N622" s="100">
        <f t="shared" si="144"/>
        <v>0</v>
      </c>
      <c r="O622" s="101">
        <f t="shared" si="145"/>
        <v>0</v>
      </c>
      <c r="P622" s="52">
        <f t="shared" si="146"/>
        <v>0</v>
      </c>
      <c r="Q622" s="49">
        <v>116.88487613461319</v>
      </c>
      <c r="R622">
        <v>2225</v>
      </c>
      <c r="S622" s="50">
        <f t="shared" si="142"/>
        <v>71535.307499999995</v>
      </c>
      <c r="T622" s="50">
        <f t="shared" si="147"/>
        <v>0</v>
      </c>
      <c r="U622" s="58">
        <f t="shared" si="148"/>
        <v>0</v>
      </c>
      <c r="V622" s="58">
        <f t="shared" si="149"/>
        <v>0</v>
      </c>
      <c r="W622" s="58">
        <f t="shared" si="150"/>
        <v>0</v>
      </c>
      <c r="X622" s="58">
        <f t="shared" si="151"/>
        <v>0</v>
      </c>
      <c r="Y622" s="52">
        <f t="shared" si="152"/>
        <v>0</v>
      </c>
    </row>
    <row r="623" spans="1:25" x14ac:dyDescent="0.25">
      <c r="A623" s="1218" t="s">
        <v>189</v>
      </c>
      <c r="B623" s="98">
        <v>45413</v>
      </c>
      <c r="C623" s="117" t="str">
        <f t="shared" si="139"/>
        <v>7L</v>
      </c>
      <c r="D623" s="96"/>
      <c r="I623" s="99">
        <f t="shared" si="140"/>
        <v>0</v>
      </c>
      <c r="L623" s="99">
        <f t="shared" si="141"/>
        <v>0</v>
      </c>
      <c r="M623" s="44" t="str">
        <f t="shared" si="143"/>
        <v/>
      </c>
      <c r="N623" s="100">
        <f t="shared" si="144"/>
        <v>0</v>
      </c>
      <c r="O623" s="101">
        <f t="shared" si="145"/>
        <v>0</v>
      </c>
      <c r="P623" s="52">
        <f t="shared" si="146"/>
        <v>0</v>
      </c>
      <c r="Q623" s="49">
        <v>116.88487613461319</v>
      </c>
      <c r="R623">
        <v>2225</v>
      </c>
      <c r="S623" s="50">
        <f t="shared" si="142"/>
        <v>71535.307499999995</v>
      </c>
      <c r="T623" s="50">
        <f t="shared" si="147"/>
        <v>0</v>
      </c>
      <c r="U623" s="58">
        <f t="shared" si="148"/>
        <v>0</v>
      </c>
      <c r="V623" s="58">
        <f t="shared" si="149"/>
        <v>0</v>
      </c>
      <c r="W623" s="58">
        <f t="shared" si="150"/>
        <v>0</v>
      </c>
      <c r="X623" s="58">
        <f t="shared" si="151"/>
        <v>0</v>
      </c>
      <c r="Y623" s="52">
        <f t="shared" si="152"/>
        <v>0</v>
      </c>
    </row>
    <row r="624" spans="1:25" x14ac:dyDescent="0.25">
      <c r="A624" s="1218" t="s">
        <v>190</v>
      </c>
      <c r="B624" s="98">
        <v>45413</v>
      </c>
      <c r="C624" s="117" t="str">
        <f t="shared" si="139"/>
        <v>8L</v>
      </c>
      <c r="D624" s="96"/>
      <c r="I624" s="99">
        <f t="shared" si="140"/>
        <v>0</v>
      </c>
      <c r="L624" s="99">
        <f t="shared" si="141"/>
        <v>0</v>
      </c>
      <c r="M624" s="44" t="str">
        <f t="shared" si="143"/>
        <v/>
      </c>
      <c r="N624" s="100">
        <f t="shared" si="144"/>
        <v>0</v>
      </c>
      <c r="O624" s="101">
        <f t="shared" si="145"/>
        <v>0</v>
      </c>
      <c r="P624" s="52">
        <f t="shared" si="146"/>
        <v>0</v>
      </c>
      <c r="Q624" s="49">
        <v>116.88487613461319</v>
      </c>
      <c r="R624">
        <v>2225</v>
      </c>
      <c r="S624" s="50">
        <f t="shared" si="142"/>
        <v>71535.307499999995</v>
      </c>
      <c r="T624" s="50">
        <f t="shared" si="147"/>
        <v>0</v>
      </c>
      <c r="U624" s="58">
        <f t="shared" si="148"/>
        <v>0</v>
      </c>
      <c r="V624" s="58">
        <f t="shared" si="149"/>
        <v>0</v>
      </c>
      <c r="W624" s="58">
        <f t="shared" si="150"/>
        <v>0</v>
      </c>
      <c r="X624" s="58">
        <f t="shared" si="151"/>
        <v>0</v>
      </c>
      <c r="Y624" s="52">
        <f t="shared" si="152"/>
        <v>0</v>
      </c>
    </row>
    <row r="625" spans="1:25" x14ac:dyDescent="0.25">
      <c r="A625" s="1218" t="s">
        <v>191</v>
      </c>
      <c r="B625" s="98">
        <v>45413</v>
      </c>
      <c r="C625" s="117" t="str">
        <f t="shared" si="139"/>
        <v>8L</v>
      </c>
      <c r="D625" s="96"/>
      <c r="I625" s="99">
        <f t="shared" si="140"/>
        <v>0</v>
      </c>
      <c r="L625" s="99">
        <f t="shared" si="141"/>
        <v>0</v>
      </c>
      <c r="M625" s="44" t="str">
        <f t="shared" si="143"/>
        <v/>
      </c>
      <c r="N625" s="100">
        <f t="shared" si="144"/>
        <v>0</v>
      </c>
      <c r="O625" s="101">
        <f t="shared" si="145"/>
        <v>0</v>
      </c>
      <c r="P625" s="52">
        <f t="shared" si="146"/>
        <v>0</v>
      </c>
      <c r="Q625" s="49">
        <v>116.88487613461319</v>
      </c>
      <c r="R625">
        <v>2225</v>
      </c>
      <c r="S625" s="50">
        <f t="shared" si="142"/>
        <v>71535.307499999995</v>
      </c>
      <c r="T625" s="50">
        <f t="shared" si="147"/>
        <v>0</v>
      </c>
      <c r="U625" s="58">
        <f t="shared" si="148"/>
        <v>0</v>
      </c>
      <c r="V625" s="58">
        <f t="shared" si="149"/>
        <v>0</v>
      </c>
      <c r="W625" s="58">
        <f t="shared" si="150"/>
        <v>0</v>
      </c>
      <c r="X625" s="58">
        <f t="shared" si="151"/>
        <v>0</v>
      </c>
      <c r="Y625" s="52">
        <f t="shared" si="152"/>
        <v>0</v>
      </c>
    </row>
    <row r="626" spans="1:25" x14ac:dyDescent="0.25">
      <c r="A626" s="1218" t="s">
        <v>192</v>
      </c>
      <c r="B626" s="98">
        <v>45413</v>
      </c>
      <c r="C626" s="117" t="str">
        <f t="shared" si="139"/>
        <v>8L</v>
      </c>
      <c r="D626" s="96"/>
      <c r="I626" s="99">
        <f t="shared" si="140"/>
        <v>0</v>
      </c>
      <c r="L626" s="99">
        <f t="shared" si="141"/>
        <v>0</v>
      </c>
      <c r="M626" s="44" t="str">
        <f t="shared" si="143"/>
        <v/>
      </c>
      <c r="N626" s="100">
        <f t="shared" si="144"/>
        <v>0</v>
      </c>
      <c r="O626" s="101">
        <f t="shared" si="145"/>
        <v>0</v>
      </c>
      <c r="P626" s="52">
        <f t="shared" si="146"/>
        <v>0</v>
      </c>
      <c r="Q626" s="49">
        <v>116.88487613461319</v>
      </c>
      <c r="R626">
        <v>2225</v>
      </c>
      <c r="S626" s="50">
        <f t="shared" si="142"/>
        <v>71535.307499999995</v>
      </c>
      <c r="T626" s="50">
        <f t="shared" si="147"/>
        <v>0</v>
      </c>
      <c r="U626" s="58">
        <f t="shared" si="148"/>
        <v>0</v>
      </c>
      <c r="V626" s="58">
        <f t="shared" si="149"/>
        <v>0</v>
      </c>
      <c r="W626" s="58">
        <f t="shared" si="150"/>
        <v>0</v>
      </c>
      <c r="X626" s="58">
        <f t="shared" si="151"/>
        <v>0</v>
      </c>
      <c r="Y626" s="52">
        <f t="shared" si="152"/>
        <v>0</v>
      </c>
    </row>
    <row r="627" spans="1:25" x14ac:dyDescent="0.25">
      <c r="A627" s="1218" t="s">
        <v>193</v>
      </c>
      <c r="B627" s="98">
        <v>45413</v>
      </c>
      <c r="C627" s="117" t="str">
        <f t="shared" si="139"/>
        <v>8L</v>
      </c>
      <c r="D627" s="96"/>
      <c r="I627" s="99">
        <f t="shared" si="140"/>
        <v>0</v>
      </c>
      <c r="L627" s="99">
        <f t="shared" si="141"/>
        <v>0</v>
      </c>
      <c r="M627" s="44" t="str">
        <f t="shared" si="143"/>
        <v/>
      </c>
      <c r="N627" s="100">
        <f t="shared" si="144"/>
        <v>0</v>
      </c>
      <c r="O627" s="101">
        <f t="shared" si="145"/>
        <v>0</v>
      </c>
      <c r="P627" s="52">
        <f t="shared" si="146"/>
        <v>0</v>
      </c>
      <c r="Q627" s="49">
        <v>116.88487613461319</v>
      </c>
      <c r="R627">
        <v>2225</v>
      </c>
      <c r="S627" s="50">
        <f t="shared" si="142"/>
        <v>71535.307499999995</v>
      </c>
      <c r="T627" s="50">
        <f t="shared" si="147"/>
        <v>0</v>
      </c>
      <c r="U627" s="58">
        <f t="shared" si="148"/>
        <v>0</v>
      </c>
      <c r="V627" s="58">
        <f t="shared" si="149"/>
        <v>0</v>
      </c>
      <c r="W627" s="58">
        <f t="shared" si="150"/>
        <v>0</v>
      </c>
      <c r="X627" s="58">
        <f t="shared" si="151"/>
        <v>0</v>
      </c>
      <c r="Y627" s="52">
        <f t="shared" si="152"/>
        <v>0</v>
      </c>
    </row>
    <row r="628" spans="1:25" x14ac:dyDescent="0.25">
      <c r="A628" s="1218" t="s">
        <v>194</v>
      </c>
      <c r="B628" s="98">
        <v>45413</v>
      </c>
      <c r="C628" s="117" t="str">
        <f t="shared" si="139"/>
        <v>8L</v>
      </c>
      <c r="D628" s="96"/>
      <c r="I628" s="99">
        <f t="shared" si="140"/>
        <v>0</v>
      </c>
      <c r="L628" s="99">
        <f t="shared" si="141"/>
        <v>0</v>
      </c>
      <c r="M628" s="44" t="str">
        <f t="shared" si="143"/>
        <v/>
      </c>
      <c r="N628" s="100">
        <f t="shared" si="144"/>
        <v>0</v>
      </c>
      <c r="O628" s="101">
        <f t="shared" si="145"/>
        <v>0</v>
      </c>
      <c r="P628" s="52">
        <f t="shared" si="146"/>
        <v>0</v>
      </c>
      <c r="Q628" s="49">
        <v>116.88487613461319</v>
      </c>
      <c r="R628">
        <v>2225</v>
      </c>
      <c r="S628" s="50">
        <f t="shared" si="142"/>
        <v>71535.307499999995</v>
      </c>
      <c r="T628" s="50">
        <f t="shared" si="147"/>
        <v>0</v>
      </c>
      <c r="U628" s="58">
        <f t="shared" si="148"/>
        <v>0</v>
      </c>
      <c r="V628" s="58">
        <f t="shared" si="149"/>
        <v>0</v>
      </c>
      <c r="W628" s="58">
        <f t="shared" si="150"/>
        <v>0</v>
      </c>
      <c r="X628" s="58">
        <f t="shared" si="151"/>
        <v>0</v>
      </c>
      <c r="Y628" s="52">
        <f t="shared" si="152"/>
        <v>0</v>
      </c>
    </row>
    <row r="629" spans="1:25" x14ac:dyDescent="0.25">
      <c r="A629" s="1218" t="s">
        <v>195</v>
      </c>
      <c r="B629" s="98">
        <v>45413</v>
      </c>
      <c r="C629" s="117" t="str">
        <f t="shared" si="139"/>
        <v>8L</v>
      </c>
      <c r="D629" s="96"/>
      <c r="I629" s="99">
        <f t="shared" si="140"/>
        <v>0</v>
      </c>
      <c r="L629" s="99">
        <f t="shared" si="141"/>
        <v>0</v>
      </c>
      <c r="M629" s="44" t="str">
        <f t="shared" si="143"/>
        <v/>
      </c>
      <c r="N629" s="100">
        <f t="shared" si="144"/>
        <v>0</v>
      </c>
      <c r="O629" s="101">
        <f t="shared" si="145"/>
        <v>0</v>
      </c>
      <c r="P629" s="52">
        <f t="shared" si="146"/>
        <v>0</v>
      </c>
      <c r="Q629" s="49">
        <v>116.88487613461319</v>
      </c>
      <c r="R629">
        <v>2225</v>
      </c>
      <c r="S629" s="50">
        <f t="shared" si="142"/>
        <v>71535.307499999995</v>
      </c>
      <c r="T629" s="50">
        <f t="shared" si="147"/>
        <v>0</v>
      </c>
      <c r="U629" s="58">
        <f t="shared" si="148"/>
        <v>0</v>
      </c>
      <c r="V629" s="58">
        <f t="shared" si="149"/>
        <v>0</v>
      </c>
      <c r="W629" s="58">
        <f t="shared" si="150"/>
        <v>0</v>
      </c>
      <c r="X629" s="58">
        <f t="shared" si="151"/>
        <v>0</v>
      </c>
      <c r="Y629" s="52">
        <f t="shared" si="152"/>
        <v>0</v>
      </c>
    </row>
    <row r="630" spans="1:25" x14ac:dyDescent="0.25">
      <c r="A630" s="1218" t="s">
        <v>196</v>
      </c>
      <c r="B630" s="98">
        <v>45413</v>
      </c>
      <c r="C630" s="117" t="str">
        <f t="shared" si="139"/>
        <v>8L</v>
      </c>
      <c r="D630" s="96"/>
      <c r="I630" s="99">
        <f t="shared" si="140"/>
        <v>0</v>
      </c>
      <c r="L630" s="99">
        <f t="shared" si="141"/>
        <v>0</v>
      </c>
      <c r="M630" s="44" t="str">
        <f t="shared" si="143"/>
        <v/>
      </c>
      <c r="N630" s="100">
        <f t="shared" si="144"/>
        <v>0</v>
      </c>
      <c r="O630" s="101">
        <f t="shared" si="145"/>
        <v>0</v>
      </c>
      <c r="P630" s="52">
        <f t="shared" si="146"/>
        <v>0</v>
      </c>
      <c r="Q630" s="49">
        <v>116.88487613461319</v>
      </c>
      <c r="R630">
        <v>2225</v>
      </c>
      <c r="S630" s="50">
        <f t="shared" si="142"/>
        <v>71535.307499999995</v>
      </c>
      <c r="T630" s="50">
        <f t="shared" si="147"/>
        <v>0</v>
      </c>
      <c r="U630" s="58">
        <f t="shared" si="148"/>
        <v>0</v>
      </c>
      <c r="V630" s="58">
        <f t="shared" si="149"/>
        <v>0</v>
      </c>
      <c r="W630" s="58">
        <f t="shared" si="150"/>
        <v>0</v>
      </c>
      <c r="X630" s="58">
        <f t="shared" si="151"/>
        <v>0</v>
      </c>
      <c r="Y630" s="52">
        <f t="shared" si="152"/>
        <v>0</v>
      </c>
    </row>
    <row r="631" spans="1:25" x14ac:dyDescent="0.25">
      <c r="A631" s="1218" t="s">
        <v>197</v>
      </c>
      <c r="B631" s="98">
        <v>45413</v>
      </c>
      <c r="C631" s="117" t="str">
        <f t="shared" si="139"/>
        <v>8L</v>
      </c>
      <c r="D631" s="96"/>
      <c r="I631" s="99">
        <f t="shared" si="140"/>
        <v>0</v>
      </c>
      <c r="L631" s="99">
        <f t="shared" si="141"/>
        <v>0</v>
      </c>
      <c r="M631" s="44" t="str">
        <f t="shared" si="143"/>
        <v/>
      </c>
      <c r="N631" s="100">
        <f t="shared" si="144"/>
        <v>0</v>
      </c>
      <c r="O631" s="101">
        <f t="shared" si="145"/>
        <v>0</v>
      </c>
      <c r="P631" s="52">
        <f t="shared" si="146"/>
        <v>0</v>
      </c>
      <c r="Q631" s="49">
        <v>116.88487613461319</v>
      </c>
      <c r="R631">
        <v>2225</v>
      </c>
      <c r="S631" s="50">
        <f t="shared" si="142"/>
        <v>71535.307499999995</v>
      </c>
      <c r="T631" s="50">
        <f t="shared" si="147"/>
        <v>0</v>
      </c>
      <c r="U631" s="58">
        <f t="shared" si="148"/>
        <v>0</v>
      </c>
      <c r="V631" s="58">
        <f t="shared" si="149"/>
        <v>0</v>
      </c>
      <c r="W631" s="58">
        <f t="shared" si="150"/>
        <v>0</v>
      </c>
      <c r="X631" s="58">
        <f t="shared" si="151"/>
        <v>0</v>
      </c>
      <c r="Y631" s="52">
        <f t="shared" si="152"/>
        <v>0</v>
      </c>
    </row>
    <row r="632" spans="1:25" x14ac:dyDescent="0.25">
      <c r="A632" s="1218" t="s">
        <v>198</v>
      </c>
      <c r="B632" s="98">
        <v>45413</v>
      </c>
      <c r="C632" s="117" t="str">
        <f t="shared" si="139"/>
        <v>8L</v>
      </c>
      <c r="D632" s="96"/>
      <c r="I632" s="99">
        <f t="shared" si="140"/>
        <v>0</v>
      </c>
      <c r="L632" s="99">
        <f t="shared" si="141"/>
        <v>0</v>
      </c>
      <c r="M632" s="44" t="str">
        <f t="shared" si="143"/>
        <v/>
      </c>
      <c r="N632" s="100">
        <f t="shared" si="144"/>
        <v>0</v>
      </c>
      <c r="O632" s="101">
        <f t="shared" si="145"/>
        <v>0</v>
      </c>
      <c r="P632" s="52">
        <f t="shared" si="146"/>
        <v>0</v>
      </c>
      <c r="Q632" s="49">
        <v>116.88487613461319</v>
      </c>
      <c r="R632">
        <v>2225</v>
      </c>
      <c r="S632" s="50">
        <f t="shared" si="142"/>
        <v>71535.307499999995</v>
      </c>
      <c r="T632" s="50">
        <f t="shared" si="147"/>
        <v>0</v>
      </c>
      <c r="U632" s="58">
        <f t="shared" si="148"/>
        <v>0</v>
      </c>
      <c r="V632" s="58">
        <f t="shared" si="149"/>
        <v>0</v>
      </c>
      <c r="W632" s="58">
        <f t="shared" si="150"/>
        <v>0</v>
      </c>
      <c r="X632" s="58">
        <f t="shared" si="151"/>
        <v>0</v>
      </c>
      <c r="Y632" s="52">
        <f t="shared" si="152"/>
        <v>0</v>
      </c>
    </row>
    <row r="633" spans="1:25" x14ac:dyDescent="0.25">
      <c r="A633" s="1218" t="s">
        <v>199</v>
      </c>
      <c r="B633" s="98">
        <v>45413</v>
      </c>
      <c r="C633" s="117" t="str">
        <f t="shared" si="139"/>
        <v>8L</v>
      </c>
      <c r="D633" s="96"/>
      <c r="I633" s="99">
        <f t="shared" si="140"/>
        <v>0</v>
      </c>
      <c r="L633" s="99">
        <f t="shared" si="141"/>
        <v>0</v>
      </c>
      <c r="M633" s="44" t="str">
        <f t="shared" si="143"/>
        <v/>
      </c>
      <c r="N633" s="100">
        <f t="shared" si="144"/>
        <v>0</v>
      </c>
      <c r="O633" s="101">
        <f t="shared" si="145"/>
        <v>0</v>
      </c>
      <c r="P633" s="52">
        <f t="shared" si="146"/>
        <v>0</v>
      </c>
      <c r="Q633" s="49">
        <v>116.88487613461319</v>
      </c>
      <c r="R633">
        <v>2225</v>
      </c>
      <c r="S633" s="50">
        <f t="shared" si="142"/>
        <v>71535.307499999995</v>
      </c>
      <c r="T633" s="50">
        <f t="shared" si="147"/>
        <v>0</v>
      </c>
      <c r="U633" s="58">
        <f t="shared" si="148"/>
        <v>0</v>
      </c>
      <c r="V633" s="58">
        <f t="shared" si="149"/>
        <v>0</v>
      </c>
      <c r="W633" s="58">
        <f t="shared" si="150"/>
        <v>0</v>
      </c>
      <c r="X633" s="58">
        <f t="shared" si="151"/>
        <v>0</v>
      </c>
      <c r="Y633" s="52">
        <f t="shared" si="152"/>
        <v>0</v>
      </c>
    </row>
    <row r="634" spans="1:25" x14ac:dyDescent="0.25">
      <c r="A634" s="1218" t="s">
        <v>200</v>
      </c>
      <c r="B634" s="98">
        <v>45413</v>
      </c>
      <c r="C634" s="117" t="str">
        <f t="shared" si="139"/>
        <v>8L</v>
      </c>
      <c r="D634" s="96"/>
      <c r="I634" s="99">
        <f t="shared" si="140"/>
        <v>0</v>
      </c>
      <c r="L634" s="99">
        <f t="shared" si="141"/>
        <v>0</v>
      </c>
      <c r="M634" s="44" t="str">
        <f t="shared" si="143"/>
        <v/>
      </c>
      <c r="N634" s="100">
        <f t="shared" si="144"/>
        <v>0</v>
      </c>
      <c r="O634" s="101">
        <f t="shared" si="145"/>
        <v>0</v>
      </c>
      <c r="P634" s="52">
        <f t="shared" si="146"/>
        <v>0</v>
      </c>
      <c r="Q634" s="49">
        <v>116.88487613461319</v>
      </c>
      <c r="R634">
        <v>2225</v>
      </c>
      <c r="S634" s="50">
        <f t="shared" si="142"/>
        <v>71535.307499999995</v>
      </c>
      <c r="T634" s="50">
        <f t="shared" si="147"/>
        <v>0</v>
      </c>
      <c r="U634" s="58">
        <f t="shared" si="148"/>
        <v>0</v>
      </c>
      <c r="V634" s="58">
        <f t="shared" si="149"/>
        <v>0</v>
      </c>
      <c r="W634" s="58">
        <f t="shared" si="150"/>
        <v>0</v>
      </c>
      <c r="X634" s="58">
        <f t="shared" si="151"/>
        <v>0</v>
      </c>
      <c r="Y634" s="52">
        <f t="shared" si="152"/>
        <v>0</v>
      </c>
    </row>
    <row r="635" spans="1:25" x14ac:dyDescent="0.25">
      <c r="A635" s="1218" t="s">
        <v>201</v>
      </c>
      <c r="B635" s="98">
        <v>45413</v>
      </c>
      <c r="C635" s="117" t="str">
        <f t="shared" si="139"/>
        <v>8L</v>
      </c>
      <c r="D635" s="96"/>
      <c r="I635" s="99">
        <f t="shared" si="140"/>
        <v>0</v>
      </c>
      <c r="L635" s="99">
        <f t="shared" si="141"/>
        <v>0</v>
      </c>
      <c r="M635" s="44" t="str">
        <f t="shared" si="143"/>
        <v/>
      </c>
      <c r="N635" s="100">
        <f t="shared" si="144"/>
        <v>0</v>
      </c>
      <c r="O635" s="101">
        <f t="shared" si="145"/>
        <v>0</v>
      </c>
      <c r="P635" s="52">
        <f t="shared" si="146"/>
        <v>0</v>
      </c>
      <c r="Q635" s="49">
        <v>116.88487613461319</v>
      </c>
      <c r="R635">
        <v>2225</v>
      </c>
      <c r="S635" s="50">
        <f t="shared" si="142"/>
        <v>71535.307499999995</v>
      </c>
      <c r="T635" s="50">
        <f t="shared" si="147"/>
        <v>0</v>
      </c>
      <c r="U635" s="58">
        <f t="shared" si="148"/>
        <v>0</v>
      </c>
      <c r="V635" s="58">
        <f t="shared" si="149"/>
        <v>0</v>
      </c>
      <c r="W635" s="58">
        <f t="shared" si="150"/>
        <v>0</v>
      </c>
      <c r="X635" s="58">
        <f t="shared" si="151"/>
        <v>0</v>
      </c>
      <c r="Y635" s="52">
        <f t="shared" si="152"/>
        <v>0</v>
      </c>
    </row>
    <row r="636" spans="1:25" x14ac:dyDescent="0.25">
      <c r="A636" s="1218" t="s">
        <v>202</v>
      </c>
      <c r="B636" s="98">
        <v>45413</v>
      </c>
      <c r="C636" s="117" t="str">
        <f t="shared" si="139"/>
        <v>8L</v>
      </c>
      <c r="D636" s="96"/>
      <c r="I636" s="99">
        <f t="shared" si="140"/>
        <v>0</v>
      </c>
      <c r="L636" s="99">
        <f t="shared" si="141"/>
        <v>0</v>
      </c>
      <c r="M636" s="44" t="str">
        <f t="shared" si="143"/>
        <v/>
      </c>
      <c r="N636" s="100">
        <f t="shared" si="144"/>
        <v>0</v>
      </c>
      <c r="O636" s="101">
        <f t="shared" si="145"/>
        <v>0</v>
      </c>
      <c r="P636" s="52">
        <f t="shared" si="146"/>
        <v>0</v>
      </c>
      <c r="Q636" s="49">
        <v>116.88487613461319</v>
      </c>
      <c r="R636">
        <v>2225</v>
      </c>
      <c r="S636" s="50">
        <f t="shared" si="142"/>
        <v>71535.307499999995</v>
      </c>
      <c r="T636" s="50">
        <f t="shared" si="147"/>
        <v>0</v>
      </c>
      <c r="U636" s="58">
        <f t="shared" si="148"/>
        <v>0</v>
      </c>
      <c r="V636" s="58">
        <f t="shared" si="149"/>
        <v>0</v>
      </c>
      <c r="W636" s="58">
        <f t="shared" si="150"/>
        <v>0</v>
      </c>
      <c r="X636" s="58">
        <f t="shared" si="151"/>
        <v>0</v>
      </c>
      <c r="Y636" s="52">
        <f t="shared" si="152"/>
        <v>0</v>
      </c>
    </row>
    <row r="637" spans="1:25" x14ac:dyDescent="0.25">
      <c r="A637" s="1218" t="s">
        <v>203</v>
      </c>
      <c r="B637" s="98">
        <v>45413</v>
      </c>
      <c r="C637" s="117" t="str">
        <f t="shared" si="139"/>
        <v>8L</v>
      </c>
      <c r="D637" s="96"/>
      <c r="I637" s="99">
        <f t="shared" si="140"/>
        <v>0</v>
      </c>
      <c r="L637" s="99">
        <f t="shared" si="141"/>
        <v>0</v>
      </c>
      <c r="M637" s="44" t="str">
        <f t="shared" si="143"/>
        <v/>
      </c>
      <c r="N637" s="100">
        <f t="shared" si="144"/>
        <v>0</v>
      </c>
      <c r="O637" s="101">
        <f t="shared" si="145"/>
        <v>0</v>
      </c>
      <c r="P637" s="52">
        <f t="shared" si="146"/>
        <v>0</v>
      </c>
      <c r="Q637" s="49">
        <v>116.88487613461319</v>
      </c>
      <c r="R637">
        <v>2225</v>
      </c>
      <c r="S637" s="50">
        <f t="shared" si="142"/>
        <v>71535.307499999995</v>
      </c>
      <c r="T637" s="50">
        <f t="shared" si="147"/>
        <v>0</v>
      </c>
      <c r="U637" s="58">
        <f t="shared" si="148"/>
        <v>0</v>
      </c>
      <c r="V637" s="58">
        <f t="shared" si="149"/>
        <v>0</v>
      </c>
      <c r="W637" s="58">
        <f t="shared" si="150"/>
        <v>0</v>
      </c>
      <c r="X637" s="58">
        <f t="shared" si="151"/>
        <v>0</v>
      </c>
      <c r="Y637" s="52">
        <f t="shared" si="152"/>
        <v>0</v>
      </c>
    </row>
    <row r="638" spans="1:25" x14ac:dyDescent="0.25">
      <c r="A638" s="1218" t="s">
        <v>204</v>
      </c>
      <c r="B638" s="98">
        <v>45413</v>
      </c>
      <c r="C638" s="117" t="str">
        <f t="shared" si="139"/>
        <v>8L</v>
      </c>
      <c r="D638" s="96"/>
      <c r="I638" s="99">
        <f t="shared" si="140"/>
        <v>0</v>
      </c>
      <c r="L638" s="99">
        <f t="shared" si="141"/>
        <v>0</v>
      </c>
      <c r="M638" s="44" t="str">
        <f t="shared" si="143"/>
        <v/>
      </c>
      <c r="N638" s="100">
        <f t="shared" si="144"/>
        <v>0</v>
      </c>
      <c r="O638" s="101">
        <f t="shared" si="145"/>
        <v>0</v>
      </c>
      <c r="P638" s="52">
        <f t="shared" si="146"/>
        <v>0</v>
      </c>
      <c r="Q638" s="49">
        <v>116.88487613461319</v>
      </c>
      <c r="R638">
        <v>2225</v>
      </c>
      <c r="S638" s="50">
        <f t="shared" si="142"/>
        <v>71535.307499999995</v>
      </c>
      <c r="T638" s="50">
        <f t="shared" si="147"/>
        <v>0</v>
      </c>
      <c r="U638" s="58">
        <f t="shared" si="148"/>
        <v>0</v>
      </c>
      <c r="V638" s="58">
        <f t="shared" si="149"/>
        <v>0</v>
      </c>
      <c r="W638" s="58">
        <f t="shared" si="150"/>
        <v>0</v>
      </c>
      <c r="X638" s="58">
        <f t="shared" si="151"/>
        <v>0</v>
      </c>
      <c r="Y638" s="52">
        <f t="shared" si="152"/>
        <v>0</v>
      </c>
    </row>
    <row r="639" spans="1:25" x14ac:dyDescent="0.25">
      <c r="A639" s="1218" t="s">
        <v>205</v>
      </c>
      <c r="B639" s="98">
        <v>45413</v>
      </c>
      <c r="C639" s="117" t="str">
        <f t="shared" si="139"/>
        <v>8L</v>
      </c>
      <c r="D639" s="96"/>
      <c r="I639" s="99">
        <f t="shared" si="140"/>
        <v>0</v>
      </c>
      <c r="L639" s="99">
        <f t="shared" si="141"/>
        <v>0</v>
      </c>
      <c r="M639" s="44" t="str">
        <f t="shared" si="143"/>
        <v/>
      </c>
      <c r="N639" s="100">
        <f t="shared" si="144"/>
        <v>0</v>
      </c>
      <c r="O639" s="101">
        <f t="shared" si="145"/>
        <v>0</v>
      </c>
      <c r="P639" s="52">
        <f t="shared" si="146"/>
        <v>0</v>
      </c>
      <c r="Q639" s="49">
        <v>116.88487613461319</v>
      </c>
      <c r="R639">
        <v>2225</v>
      </c>
      <c r="S639" s="50">
        <f t="shared" si="142"/>
        <v>71535.307499999995</v>
      </c>
      <c r="T639" s="50">
        <f t="shared" si="147"/>
        <v>0</v>
      </c>
      <c r="U639" s="58">
        <f t="shared" si="148"/>
        <v>0</v>
      </c>
      <c r="V639" s="58">
        <f t="shared" si="149"/>
        <v>0</v>
      </c>
      <c r="W639" s="58">
        <f t="shared" si="150"/>
        <v>0</v>
      </c>
      <c r="X639" s="58">
        <f t="shared" si="151"/>
        <v>0</v>
      </c>
      <c r="Y639" s="52">
        <f t="shared" si="152"/>
        <v>0</v>
      </c>
    </row>
    <row r="640" spans="1:25" x14ac:dyDescent="0.25">
      <c r="A640" s="1218" t="s">
        <v>206</v>
      </c>
      <c r="B640" s="98">
        <v>45413</v>
      </c>
      <c r="C640" s="117" t="str">
        <f t="shared" si="139"/>
        <v>8L</v>
      </c>
      <c r="D640" s="96"/>
      <c r="I640" s="99">
        <f t="shared" si="140"/>
        <v>0</v>
      </c>
      <c r="L640" s="99">
        <f t="shared" si="141"/>
        <v>0</v>
      </c>
      <c r="M640" s="44" t="str">
        <f t="shared" si="143"/>
        <v/>
      </c>
      <c r="N640" s="100">
        <f t="shared" si="144"/>
        <v>0</v>
      </c>
      <c r="O640" s="101">
        <f t="shared" si="145"/>
        <v>0</v>
      </c>
      <c r="P640" s="52">
        <f t="shared" si="146"/>
        <v>0</v>
      </c>
      <c r="Q640" s="49">
        <v>116.88487613461319</v>
      </c>
      <c r="R640">
        <v>2225</v>
      </c>
      <c r="S640" s="50">
        <f t="shared" si="142"/>
        <v>71535.307499999995</v>
      </c>
      <c r="T640" s="50">
        <f t="shared" si="147"/>
        <v>0</v>
      </c>
      <c r="U640" s="58">
        <f t="shared" si="148"/>
        <v>0</v>
      </c>
      <c r="V640" s="58">
        <f t="shared" si="149"/>
        <v>0</v>
      </c>
      <c r="W640" s="58">
        <f t="shared" si="150"/>
        <v>0</v>
      </c>
      <c r="X640" s="58">
        <f t="shared" si="151"/>
        <v>0</v>
      </c>
      <c r="Y640" s="52">
        <f t="shared" si="152"/>
        <v>0</v>
      </c>
    </row>
    <row r="641" spans="1:25" ht="15.75" thickBot="1" x14ac:dyDescent="0.3">
      <c r="A641" s="1219" t="s">
        <v>207</v>
      </c>
      <c r="B641" s="98">
        <v>45413</v>
      </c>
      <c r="C641" s="117" t="str">
        <f t="shared" si="139"/>
        <v>8L</v>
      </c>
      <c r="D641" s="96"/>
      <c r="I641" s="99">
        <f t="shared" si="140"/>
        <v>0</v>
      </c>
      <c r="L641" s="99">
        <f t="shared" si="141"/>
        <v>0</v>
      </c>
      <c r="M641" s="44" t="str">
        <f t="shared" si="143"/>
        <v/>
      </c>
      <c r="N641" s="100">
        <f t="shared" si="144"/>
        <v>0</v>
      </c>
      <c r="O641" s="101">
        <f t="shared" si="145"/>
        <v>0</v>
      </c>
      <c r="P641" s="52">
        <f t="shared" si="146"/>
        <v>0</v>
      </c>
      <c r="Q641" s="49">
        <v>116.88487613461319</v>
      </c>
      <c r="R641">
        <v>2225</v>
      </c>
      <c r="S641" s="50">
        <f t="shared" si="142"/>
        <v>71535.307499999995</v>
      </c>
      <c r="T641" s="50">
        <f t="shared" si="147"/>
        <v>0</v>
      </c>
      <c r="U641" s="58">
        <f t="shared" si="148"/>
        <v>0</v>
      </c>
      <c r="V641" s="58">
        <f t="shared" si="149"/>
        <v>0</v>
      </c>
      <c r="W641" s="58">
        <f t="shared" si="150"/>
        <v>0</v>
      </c>
      <c r="X641" s="58">
        <f t="shared" si="151"/>
        <v>0</v>
      </c>
      <c r="Y641" s="52">
        <f t="shared" si="152"/>
        <v>0</v>
      </c>
    </row>
    <row r="642" spans="1:25" x14ac:dyDescent="0.25">
      <c r="A642" s="97" t="s">
        <v>80</v>
      </c>
      <c r="B642" s="98">
        <v>45444</v>
      </c>
      <c r="C642" s="117" t="str">
        <f t="shared" si="139"/>
        <v>1L</v>
      </c>
      <c r="D642" s="96"/>
      <c r="E642" s="96"/>
      <c r="F642" s="96"/>
      <c r="G642" s="96"/>
      <c r="H642" s="96"/>
      <c r="I642" s="99">
        <f t="shared" si="140"/>
        <v>0</v>
      </c>
      <c r="J642" s="96"/>
      <c r="K642" s="96"/>
      <c r="L642" s="99">
        <f t="shared" si="141"/>
        <v>0</v>
      </c>
      <c r="M642" s="44" t="str">
        <f t="shared" si="143"/>
        <v/>
      </c>
      <c r="N642" s="100">
        <f t="shared" si="144"/>
        <v>0</v>
      </c>
      <c r="O642" s="101">
        <f t="shared" si="145"/>
        <v>0</v>
      </c>
      <c r="P642" s="52">
        <f t="shared" si="146"/>
        <v>0</v>
      </c>
      <c r="Q642" s="49">
        <v>116.88487613461319</v>
      </c>
      <c r="R642">
        <v>2225</v>
      </c>
      <c r="S642" s="50">
        <f t="shared" si="142"/>
        <v>71535.307499999995</v>
      </c>
      <c r="T642" s="50">
        <f t="shared" si="147"/>
        <v>0</v>
      </c>
      <c r="U642" s="58">
        <f t="shared" si="148"/>
        <v>0</v>
      </c>
      <c r="V642" s="58">
        <f t="shared" si="149"/>
        <v>0</v>
      </c>
      <c r="W642" s="58">
        <f t="shared" si="150"/>
        <v>0</v>
      </c>
      <c r="X642" s="58">
        <f t="shared" si="151"/>
        <v>0</v>
      </c>
      <c r="Y642" s="52">
        <f t="shared" si="152"/>
        <v>0</v>
      </c>
    </row>
    <row r="643" spans="1:25" x14ac:dyDescent="0.25">
      <c r="A643" s="1218" t="s">
        <v>81</v>
      </c>
      <c r="B643" s="98">
        <v>45444</v>
      </c>
      <c r="C643" s="117" t="str">
        <f t="shared" si="139"/>
        <v>1L</v>
      </c>
      <c r="D643" s="96"/>
      <c r="E643" s="96"/>
      <c r="F643" s="96"/>
      <c r="G643" s="96"/>
      <c r="H643" s="96"/>
      <c r="I643" s="99">
        <f t="shared" si="140"/>
        <v>0</v>
      </c>
      <c r="J643" s="96"/>
      <c r="K643" s="96"/>
      <c r="L643" s="99">
        <f t="shared" si="141"/>
        <v>0</v>
      </c>
      <c r="M643" s="44" t="str">
        <f t="shared" si="143"/>
        <v/>
      </c>
      <c r="N643" s="100">
        <f t="shared" si="144"/>
        <v>0</v>
      </c>
      <c r="O643" s="101">
        <f t="shared" si="145"/>
        <v>0</v>
      </c>
      <c r="P643" s="52">
        <f t="shared" si="146"/>
        <v>0</v>
      </c>
      <c r="Q643" s="49">
        <v>116.88487613461319</v>
      </c>
      <c r="R643">
        <v>2225</v>
      </c>
      <c r="S643" s="50">
        <f t="shared" si="142"/>
        <v>71535.307499999995</v>
      </c>
      <c r="T643" s="50">
        <f t="shared" si="147"/>
        <v>0</v>
      </c>
      <c r="U643" s="58">
        <f t="shared" si="148"/>
        <v>0</v>
      </c>
      <c r="V643" s="58">
        <f t="shared" si="149"/>
        <v>0</v>
      </c>
      <c r="W643" s="58">
        <f t="shared" si="150"/>
        <v>0</v>
      </c>
      <c r="X643" s="58">
        <f t="shared" si="151"/>
        <v>0</v>
      </c>
      <c r="Y643" s="52">
        <f t="shared" si="152"/>
        <v>0</v>
      </c>
    </row>
    <row r="644" spans="1:25" x14ac:dyDescent="0.25">
      <c r="A644" s="1218" t="s">
        <v>82</v>
      </c>
      <c r="B644" s="98">
        <v>45444</v>
      </c>
      <c r="C644" s="117" t="str">
        <f t="shared" si="139"/>
        <v>1L</v>
      </c>
      <c r="D644" s="96"/>
      <c r="E644" s="96"/>
      <c r="F644" s="96"/>
      <c r="G644" s="96"/>
      <c r="H644" s="96"/>
      <c r="I644" s="99">
        <f t="shared" si="140"/>
        <v>0</v>
      </c>
      <c r="J644" s="96"/>
      <c r="K644" s="96"/>
      <c r="L644" s="99">
        <f t="shared" si="141"/>
        <v>0</v>
      </c>
      <c r="M644" s="44" t="str">
        <f t="shared" si="143"/>
        <v/>
      </c>
      <c r="N644" s="100">
        <f t="shared" si="144"/>
        <v>0</v>
      </c>
      <c r="O644" s="101">
        <f t="shared" si="145"/>
        <v>0</v>
      </c>
      <c r="P644" s="52">
        <f t="shared" si="146"/>
        <v>0</v>
      </c>
      <c r="Q644" s="49">
        <v>116.88487613461319</v>
      </c>
      <c r="R644">
        <v>2225</v>
      </c>
      <c r="S644" s="50">
        <f t="shared" si="142"/>
        <v>71535.307499999995</v>
      </c>
      <c r="T644" s="50">
        <f t="shared" si="147"/>
        <v>0</v>
      </c>
      <c r="U644" s="58">
        <f t="shared" si="148"/>
        <v>0</v>
      </c>
      <c r="V644" s="58">
        <f t="shared" si="149"/>
        <v>0</v>
      </c>
      <c r="W644" s="58">
        <f t="shared" si="150"/>
        <v>0</v>
      </c>
      <c r="X644" s="58">
        <f t="shared" si="151"/>
        <v>0</v>
      </c>
      <c r="Y644" s="52">
        <f t="shared" si="152"/>
        <v>0</v>
      </c>
    </row>
    <row r="645" spans="1:25" x14ac:dyDescent="0.25">
      <c r="A645" s="1218" t="s">
        <v>83</v>
      </c>
      <c r="B645" s="98">
        <v>45444</v>
      </c>
      <c r="C645" s="117" t="str">
        <f t="shared" si="139"/>
        <v>1L</v>
      </c>
      <c r="D645" s="96"/>
      <c r="E645" s="96"/>
      <c r="F645" s="96"/>
      <c r="G645" s="96"/>
      <c r="H645" s="96"/>
      <c r="I645" s="99">
        <f t="shared" si="140"/>
        <v>0</v>
      </c>
      <c r="J645" s="96"/>
      <c r="K645" s="96"/>
      <c r="L645" s="99">
        <f t="shared" si="141"/>
        <v>0</v>
      </c>
      <c r="M645" s="44" t="str">
        <f t="shared" si="143"/>
        <v/>
      </c>
      <c r="N645" s="100">
        <f t="shared" si="144"/>
        <v>0</v>
      </c>
      <c r="O645" s="101">
        <f t="shared" si="145"/>
        <v>0</v>
      </c>
      <c r="P645" s="52">
        <f t="shared" si="146"/>
        <v>0</v>
      </c>
      <c r="Q645" s="49">
        <v>116.88487613461319</v>
      </c>
      <c r="R645">
        <v>2225</v>
      </c>
      <c r="S645" s="50">
        <f t="shared" si="142"/>
        <v>71535.307499999995</v>
      </c>
      <c r="T645" s="50">
        <f t="shared" si="147"/>
        <v>0</v>
      </c>
      <c r="U645" s="58">
        <f t="shared" si="148"/>
        <v>0</v>
      </c>
      <c r="V645" s="58">
        <f t="shared" si="149"/>
        <v>0</v>
      </c>
      <c r="W645" s="58">
        <f t="shared" si="150"/>
        <v>0</v>
      </c>
      <c r="X645" s="58">
        <f t="shared" si="151"/>
        <v>0</v>
      </c>
      <c r="Y645" s="52">
        <f t="shared" si="152"/>
        <v>0</v>
      </c>
    </row>
    <row r="646" spans="1:25" x14ac:dyDescent="0.25">
      <c r="A646" s="1218" t="s">
        <v>84</v>
      </c>
      <c r="B646" s="98">
        <v>45444</v>
      </c>
      <c r="C646" s="117" t="str">
        <f t="shared" si="139"/>
        <v>2L</v>
      </c>
      <c r="D646" s="96"/>
      <c r="E646" s="98"/>
      <c r="F646" s="98"/>
      <c r="G646" s="40">
        <v>4200</v>
      </c>
      <c r="H646" s="46">
        <v>2.9</v>
      </c>
      <c r="I646" s="99">
        <f t="shared" si="140"/>
        <v>12.18</v>
      </c>
      <c r="J646" s="41">
        <v>1643</v>
      </c>
      <c r="K646" s="47">
        <v>1.2369255589036321</v>
      </c>
      <c r="L646" s="99">
        <f t="shared" si="141"/>
        <v>2.0322686932786675</v>
      </c>
      <c r="M646" s="44">
        <f t="shared" si="143"/>
        <v>-0.83314706951735085</v>
      </c>
      <c r="N646" s="100">
        <f t="shared" si="144"/>
        <v>-2557</v>
      </c>
      <c r="O646" s="101">
        <f t="shared" si="145"/>
        <v>-10.147731306721333</v>
      </c>
      <c r="P646" s="52">
        <f t="shared" si="146"/>
        <v>-46662.885592856794</v>
      </c>
      <c r="Q646" s="49">
        <v>116.88487613461319</v>
      </c>
      <c r="R646">
        <v>2225</v>
      </c>
      <c r="S646" s="50">
        <f t="shared" si="142"/>
        <v>71535.307499999995</v>
      </c>
      <c r="T646" s="50">
        <f t="shared" si="147"/>
        <v>871300.04534999991</v>
      </c>
      <c r="U646" s="58">
        <f t="shared" si="148"/>
        <v>145378.96589631267</v>
      </c>
      <c r="V646" s="58">
        <f t="shared" si="149"/>
        <v>490916.47976537544</v>
      </c>
      <c r="W646" s="58">
        <f t="shared" si="150"/>
        <v>192041.85148916946</v>
      </c>
      <c r="X646" s="58">
        <f t="shared" si="151"/>
        <v>380383.56558462448</v>
      </c>
      <c r="Y646" s="52">
        <f t="shared" si="152"/>
        <v>-46662.885592856794</v>
      </c>
    </row>
    <row r="647" spans="1:25" x14ac:dyDescent="0.25">
      <c r="A647" s="1218" t="s">
        <v>85</v>
      </c>
      <c r="B647" s="98">
        <v>45444</v>
      </c>
      <c r="C647" s="117" t="str">
        <f t="shared" si="139"/>
        <v>2L</v>
      </c>
      <c r="D647" s="96"/>
      <c r="E647" s="98"/>
      <c r="F647" s="98"/>
      <c r="I647" s="99">
        <f t="shared" si="140"/>
        <v>0</v>
      </c>
      <c r="L647" s="99">
        <f t="shared" si="141"/>
        <v>0</v>
      </c>
      <c r="M647" s="44" t="str">
        <f t="shared" si="143"/>
        <v/>
      </c>
      <c r="N647" s="100">
        <f t="shared" si="144"/>
        <v>0</v>
      </c>
      <c r="O647" s="101">
        <f t="shared" si="145"/>
        <v>0</v>
      </c>
      <c r="P647" s="52">
        <f t="shared" si="146"/>
        <v>0</v>
      </c>
      <c r="Q647" s="49">
        <v>116.88487613461319</v>
      </c>
      <c r="R647">
        <v>2225</v>
      </c>
      <c r="S647" s="50">
        <f t="shared" si="142"/>
        <v>71535.307499999995</v>
      </c>
      <c r="T647" s="50">
        <f t="shared" si="147"/>
        <v>0</v>
      </c>
      <c r="U647" s="58">
        <f t="shared" si="148"/>
        <v>0</v>
      </c>
      <c r="V647" s="58">
        <f t="shared" si="149"/>
        <v>0</v>
      </c>
      <c r="W647" s="58">
        <f t="shared" si="150"/>
        <v>0</v>
      </c>
      <c r="X647" s="58">
        <f t="shared" si="151"/>
        <v>0</v>
      </c>
      <c r="Y647" s="52">
        <f t="shared" si="152"/>
        <v>0</v>
      </c>
    </row>
    <row r="648" spans="1:25" x14ac:dyDescent="0.25">
      <c r="A648" s="1218" t="s">
        <v>86</v>
      </c>
      <c r="B648" s="98">
        <v>45444</v>
      </c>
      <c r="C648" s="117" t="str">
        <f t="shared" ref="C648:C712" si="153">LEFT(A648,2)</f>
        <v>2L</v>
      </c>
      <c r="D648" s="96"/>
      <c r="E648" s="98"/>
      <c r="F648" s="98"/>
      <c r="I648" s="99">
        <f t="shared" si="140"/>
        <v>0</v>
      </c>
      <c r="J648" s="41">
        <v>1635.6000000000001</v>
      </c>
      <c r="K648" s="47">
        <v>1.4707461371394124</v>
      </c>
      <c r="L648" s="99">
        <f t="shared" si="141"/>
        <v>2.4055523819052231</v>
      </c>
      <c r="M648" s="44" t="str">
        <f t="shared" si="143"/>
        <v/>
      </c>
      <c r="N648" s="100">
        <f t="shared" si="144"/>
        <v>1635.6000000000001</v>
      </c>
      <c r="O648" s="101">
        <f t="shared" si="145"/>
        <v>2.4055523819052231</v>
      </c>
      <c r="P648" s="52">
        <f t="shared" si="146"/>
        <v>-19094.974058825814</v>
      </c>
      <c r="Q648" s="49">
        <v>116.88487613461319</v>
      </c>
      <c r="R648">
        <v>2225</v>
      </c>
      <c r="S648" s="50">
        <f t="shared" si="142"/>
        <v>71535.307499999995</v>
      </c>
      <c r="T648" s="50">
        <f t="shared" si="147"/>
        <v>0</v>
      </c>
      <c r="U648" s="58">
        <f t="shared" si="148"/>
        <v>172081.92934694755</v>
      </c>
      <c r="V648" s="58">
        <f t="shared" si="149"/>
        <v>0</v>
      </c>
      <c r="W648" s="58">
        <f t="shared" si="150"/>
        <v>191176.90340577337</v>
      </c>
      <c r="X648" s="58">
        <f t="shared" si="151"/>
        <v>0</v>
      </c>
      <c r="Y648" s="52">
        <f t="shared" si="152"/>
        <v>-19094.974058825814</v>
      </c>
    </row>
    <row r="649" spans="1:25" x14ac:dyDescent="0.25">
      <c r="A649" s="1218" t="s">
        <v>87</v>
      </c>
      <c r="B649" s="98">
        <v>45444</v>
      </c>
      <c r="C649" s="117" t="str">
        <f t="shared" si="153"/>
        <v>3L</v>
      </c>
      <c r="D649" s="96"/>
      <c r="E649" s="98"/>
      <c r="F649" s="98"/>
      <c r="I649" s="99">
        <f t="shared" si="140"/>
        <v>0</v>
      </c>
      <c r="L649" s="99">
        <f t="shared" si="141"/>
        <v>0</v>
      </c>
      <c r="M649" s="44" t="str">
        <f t="shared" si="143"/>
        <v/>
      </c>
      <c r="N649" s="100">
        <f t="shared" si="144"/>
        <v>0</v>
      </c>
      <c r="O649" s="101">
        <f t="shared" si="145"/>
        <v>0</v>
      </c>
      <c r="P649" s="52">
        <f t="shared" si="146"/>
        <v>0</v>
      </c>
      <c r="Q649" s="49">
        <v>116.88487613461319</v>
      </c>
      <c r="R649">
        <v>2225</v>
      </c>
      <c r="S649" s="50">
        <f t="shared" si="142"/>
        <v>71535.307499999995</v>
      </c>
      <c r="T649" s="50">
        <f t="shared" si="147"/>
        <v>0</v>
      </c>
      <c r="U649" s="58">
        <f t="shared" si="148"/>
        <v>0</v>
      </c>
      <c r="V649" s="58">
        <f t="shared" si="149"/>
        <v>0</v>
      </c>
      <c r="W649" s="58">
        <f t="shared" si="150"/>
        <v>0</v>
      </c>
      <c r="X649" s="58">
        <f t="shared" si="151"/>
        <v>0</v>
      </c>
      <c r="Y649" s="52">
        <f t="shared" si="152"/>
        <v>0</v>
      </c>
    </row>
    <row r="650" spans="1:25" x14ac:dyDescent="0.25">
      <c r="A650" s="1218" t="s">
        <v>88</v>
      </c>
      <c r="B650" s="98">
        <v>45444</v>
      </c>
      <c r="C650" s="117" t="str">
        <f t="shared" si="153"/>
        <v>3L</v>
      </c>
      <c r="D650" s="96"/>
      <c r="E650" s="98"/>
      <c r="F650" s="98"/>
      <c r="I650" s="99">
        <f t="shared" si="140"/>
        <v>0</v>
      </c>
      <c r="L650" s="99">
        <f t="shared" si="141"/>
        <v>0</v>
      </c>
      <c r="M650" s="44" t="str">
        <f t="shared" si="143"/>
        <v/>
      </c>
      <c r="N650" s="100">
        <f t="shared" si="144"/>
        <v>0</v>
      </c>
      <c r="O650" s="101">
        <f t="shared" si="145"/>
        <v>0</v>
      </c>
      <c r="P650" s="52">
        <f t="shared" si="146"/>
        <v>0</v>
      </c>
      <c r="Q650" s="49">
        <v>116.88487613461319</v>
      </c>
      <c r="R650">
        <v>2225</v>
      </c>
      <c r="S650" s="50">
        <f t="shared" si="142"/>
        <v>71535.307499999995</v>
      </c>
      <c r="T650" s="50">
        <f t="shared" si="147"/>
        <v>0</v>
      </c>
      <c r="U650" s="58">
        <f t="shared" si="148"/>
        <v>0</v>
      </c>
      <c r="V650" s="58">
        <f t="shared" si="149"/>
        <v>0</v>
      </c>
      <c r="W650" s="58">
        <f t="shared" si="150"/>
        <v>0</v>
      </c>
      <c r="X650" s="58">
        <f t="shared" si="151"/>
        <v>0</v>
      </c>
      <c r="Y650" s="52">
        <f t="shared" si="152"/>
        <v>0</v>
      </c>
    </row>
    <row r="651" spans="1:25" x14ac:dyDescent="0.25">
      <c r="A651" s="1218" t="s">
        <v>89</v>
      </c>
      <c r="B651" s="98">
        <v>45444</v>
      </c>
      <c r="C651" s="117" t="str">
        <f t="shared" si="153"/>
        <v>3L</v>
      </c>
      <c r="D651" s="96"/>
      <c r="E651" s="98"/>
      <c r="F651" s="98"/>
      <c r="I651" s="99">
        <f t="shared" si="140"/>
        <v>0</v>
      </c>
      <c r="L651" s="99">
        <f t="shared" si="141"/>
        <v>0</v>
      </c>
      <c r="M651" s="44" t="str">
        <f t="shared" si="143"/>
        <v/>
      </c>
      <c r="N651" s="100">
        <f t="shared" si="144"/>
        <v>0</v>
      </c>
      <c r="O651" s="101">
        <f t="shared" si="145"/>
        <v>0</v>
      </c>
      <c r="P651" s="52">
        <f t="shared" si="146"/>
        <v>0</v>
      </c>
      <c r="Q651" s="49">
        <v>116.88487613461319</v>
      </c>
      <c r="R651">
        <v>2225</v>
      </c>
      <c r="S651" s="50">
        <f t="shared" si="142"/>
        <v>71535.307499999995</v>
      </c>
      <c r="T651" s="50">
        <f t="shared" si="147"/>
        <v>0</v>
      </c>
      <c r="U651" s="58">
        <f t="shared" si="148"/>
        <v>0</v>
      </c>
      <c r="V651" s="58">
        <f t="shared" si="149"/>
        <v>0</v>
      </c>
      <c r="W651" s="58">
        <f t="shared" si="150"/>
        <v>0</v>
      </c>
      <c r="X651" s="58">
        <f t="shared" si="151"/>
        <v>0</v>
      </c>
      <c r="Y651" s="52">
        <f t="shared" si="152"/>
        <v>0</v>
      </c>
    </row>
    <row r="652" spans="1:25" x14ac:dyDescent="0.25">
      <c r="A652" s="1218" t="s">
        <v>90</v>
      </c>
      <c r="B652" s="98">
        <v>45444</v>
      </c>
      <c r="C652" s="117" t="str">
        <f t="shared" si="153"/>
        <v>3L</v>
      </c>
      <c r="D652" s="96"/>
      <c r="E652" s="98"/>
      <c r="F652" s="98"/>
      <c r="I652" s="99">
        <f t="shared" si="140"/>
        <v>0</v>
      </c>
      <c r="L652" s="99">
        <f t="shared" si="141"/>
        <v>0</v>
      </c>
      <c r="M652" s="44" t="str">
        <f t="shared" si="143"/>
        <v/>
      </c>
      <c r="N652" s="100">
        <f t="shared" si="144"/>
        <v>0</v>
      </c>
      <c r="O652" s="101">
        <f t="shared" si="145"/>
        <v>0</v>
      </c>
      <c r="P652" s="52">
        <f t="shared" si="146"/>
        <v>0</v>
      </c>
      <c r="Q652" s="49">
        <v>116.88487613461319</v>
      </c>
      <c r="R652">
        <v>2225</v>
      </c>
      <c r="S652" s="50">
        <f t="shared" si="142"/>
        <v>71535.307499999995</v>
      </c>
      <c r="T652" s="50">
        <f t="shared" si="147"/>
        <v>0</v>
      </c>
      <c r="U652" s="58">
        <f t="shared" si="148"/>
        <v>0</v>
      </c>
      <c r="V652" s="58">
        <f t="shared" si="149"/>
        <v>0</v>
      </c>
      <c r="W652" s="58">
        <f t="shared" si="150"/>
        <v>0</v>
      </c>
      <c r="X652" s="58">
        <f t="shared" si="151"/>
        <v>0</v>
      </c>
      <c r="Y652" s="52">
        <f t="shared" si="152"/>
        <v>0</v>
      </c>
    </row>
    <row r="653" spans="1:25" x14ac:dyDescent="0.25">
      <c r="A653" s="1218" t="s">
        <v>91</v>
      </c>
      <c r="B653" s="98">
        <v>45444</v>
      </c>
      <c r="C653" s="117" t="str">
        <f t="shared" si="153"/>
        <v>3L</v>
      </c>
      <c r="D653" s="96"/>
      <c r="E653" s="98"/>
      <c r="F653" s="98"/>
      <c r="I653" s="99">
        <f t="shared" si="140"/>
        <v>0</v>
      </c>
      <c r="L653" s="99">
        <f t="shared" si="141"/>
        <v>0</v>
      </c>
      <c r="M653" s="44" t="str">
        <f t="shared" si="143"/>
        <v/>
      </c>
      <c r="N653" s="100">
        <f t="shared" si="144"/>
        <v>0</v>
      </c>
      <c r="O653" s="101">
        <f t="shared" si="145"/>
        <v>0</v>
      </c>
      <c r="P653" s="52">
        <f t="shared" si="146"/>
        <v>0</v>
      </c>
      <c r="Q653" s="49">
        <v>116.88487613461319</v>
      </c>
      <c r="R653">
        <v>2225</v>
      </c>
      <c r="S653" s="50">
        <f t="shared" si="142"/>
        <v>71535.307499999995</v>
      </c>
      <c r="T653" s="50">
        <f t="shared" si="147"/>
        <v>0</v>
      </c>
      <c r="U653" s="58">
        <f t="shared" si="148"/>
        <v>0</v>
      </c>
      <c r="V653" s="58">
        <f t="shared" si="149"/>
        <v>0</v>
      </c>
      <c r="W653" s="58">
        <f t="shared" si="150"/>
        <v>0</v>
      </c>
      <c r="X653" s="58">
        <f t="shared" si="151"/>
        <v>0</v>
      </c>
      <c r="Y653" s="52">
        <f t="shared" si="152"/>
        <v>0</v>
      </c>
    </row>
    <row r="654" spans="1:25" x14ac:dyDescent="0.25">
      <c r="A654" s="1218" t="s">
        <v>92</v>
      </c>
      <c r="B654" s="98">
        <v>45444</v>
      </c>
      <c r="C654" s="117" t="str">
        <f t="shared" si="153"/>
        <v>3L</v>
      </c>
      <c r="D654" s="96"/>
      <c r="E654" s="98"/>
      <c r="F654" s="98"/>
      <c r="G654" s="41"/>
      <c r="H654" s="47"/>
      <c r="I654" s="99">
        <f t="shared" si="140"/>
        <v>0</v>
      </c>
      <c r="J654" s="41"/>
      <c r="K654" s="47"/>
      <c r="L654" s="99">
        <f t="shared" si="141"/>
        <v>0</v>
      </c>
      <c r="M654" s="44" t="str">
        <f t="shared" si="143"/>
        <v/>
      </c>
      <c r="N654" s="100">
        <f t="shared" si="144"/>
        <v>0</v>
      </c>
      <c r="O654" s="101">
        <f t="shared" si="145"/>
        <v>0</v>
      </c>
      <c r="P654" s="52">
        <f t="shared" si="146"/>
        <v>0</v>
      </c>
      <c r="Q654" s="49">
        <v>116.88487613461319</v>
      </c>
      <c r="R654">
        <v>2225</v>
      </c>
      <c r="S654" s="50">
        <f t="shared" si="142"/>
        <v>71535.307499999995</v>
      </c>
      <c r="T654" s="50">
        <f t="shared" si="147"/>
        <v>0</v>
      </c>
      <c r="U654" s="58">
        <f t="shared" si="148"/>
        <v>0</v>
      </c>
      <c r="V654" s="58">
        <f t="shared" si="149"/>
        <v>0</v>
      </c>
      <c r="W654" s="58">
        <f t="shared" si="150"/>
        <v>0</v>
      </c>
      <c r="X654" s="58">
        <f t="shared" si="151"/>
        <v>0</v>
      </c>
      <c r="Y654" s="52">
        <f t="shared" si="152"/>
        <v>0</v>
      </c>
    </row>
    <row r="655" spans="1:25" x14ac:dyDescent="0.25">
      <c r="A655" s="1218" t="s">
        <v>93</v>
      </c>
      <c r="B655" s="98">
        <v>45444</v>
      </c>
      <c r="C655" s="117" t="str">
        <f t="shared" si="153"/>
        <v>3L</v>
      </c>
      <c r="D655" s="96"/>
      <c r="E655" s="98"/>
      <c r="F655" s="98"/>
      <c r="G655" s="41"/>
      <c r="H655" s="47"/>
      <c r="I655" s="99">
        <f t="shared" si="140"/>
        <v>0</v>
      </c>
      <c r="J655" s="41"/>
      <c r="K655" s="47"/>
      <c r="L655" s="99">
        <f t="shared" si="141"/>
        <v>0</v>
      </c>
      <c r="M655" s="44" t="str">
        <f t="shared" si="143"/>
        <v/>
      </c>
      <c r="N655" s="100">
        <f t="shared" si="144"/>
        <v>0</v>
      </c>
      <c r="O655" s="101">
        <f t="shared" si="145"/>
        <v>0</v>
      </c>
      <c r="P655" s="52">
        <f t="shared" si="146"/>
        <v>0</v>
      </c>
      <c r="Q655" s="49">
        <v>116.88487613461319</v>
      </c>
      <c r="R655">
        <v>2225</v>
      </c>
      <c r="S655" s="50">
        <f t="shared" si="142"/>
        <v>71535.307499999995</v>
      </c>
      <c r="T655" s="50">
        <f t="shared" si="147"/>
        <v>0</v>
      </c>
      <c r="U655" s="58">
        <f t="shared" si="148"/>
        <v>0</v>
      </c>
      <c r="V655" s="58">
        <f t="shared" si="149"/>
        <v>0</v>
      </c>
      <c r="W655" s="58">
        <f t="shared" si="150"/>
        <v>0</v>
      </c>
      <c r="X655" s="58">
        <f t="shared" si="151"/>
        <v>0</v>
      </c>
      <c r="Y655" s="52">
        <f t="shared" si="152"/>
        <v>0</v>
      </c>
    </row>
    <row r="656" spans="1:25" x14ac:dyDescent="0.25">
      <c r="A656" s="1218" t="s">
        <v>94</v>
      </c>
      <c r="B656" s="98">
        <v>45444</v>
      </c>
      <c r="C656" s="117" t="str">
        <f t="shared" si="153"/>
        <v>3L</v>
      </c>
      <c r="D656" s="96"/>
      <c r="E656" s="98"/>
      <c r="F656" s="98"/>
      <c r="G656" s="41"/>
      <c r="H656" s="47"/>
      <c r="I656" s="99">
        <f t="shared" si="140"/>
        <v>0</v>
      </c>
      <c r="J656" s="41"/>
      <c r="K656" s="47"/>
      <c r="L656" s="99">
        <f t="shared" si="141"/>
        <v>0</v>
      </c>
      <c r="M656" s="44" t="str">
        <f t="shared" si="143"/>
        <v/>
      </c>
      <c r="N656" s="100">
        <f t="shared" si="144"/>
        <v>0</v>
      </c>
      <c r="O656" s="101">
        <f t="shared" si="145"/>
        <v>0</v>
      </c>
      <c r="P656" s="52">
        <f t="shared" si="146"/>
        <v>0</v>
      </c>
      <c r="Q656" s="49">
        <v>116.88487613461319</v>
      </c>
      <c r="R656">
        <v>2225</v>
      </c>
      <c r="S656" s="50">
        <f t="shared" si="142"/>
        <v>71535.307499999995</v>
      </c>
      <c r="T656" s="50">
        <f t="shared" si="147"/>
        <v>0</v>
      </c>
      <c r="U656" s="58">
        <f t="shared" si="148"/>
        <v>0</v>
      </c>
      <c r="V656" s="58">
        <f t="shared" si="149"/>
        <v>0</v>
      </c>
      <c r="W656" s="58">
        <f t="shared" si="150"/>
        <v>0</v>
      </c>
      <c r="X656" s="58">
        <f t="shared" si="151"/>
        <v>0</v>
      </c>
      <c r="Y656" s="52">
        <f t="shared" si="152"/>
        <v>0</v>
      </c>
    </row>
    <row r="657" spans="1:25" x14ac:dyDescent="0.25">
      <c r="A657" s="1218" t="s">
        <v>95</v>
      </c>
      <c r="B657" s="98">
        <v>45444</v>
      </c>
      <c r="C657" s="117" t="str">
        <f t="shared" si="153"/>
        <v>3L</v>
      </c>
      <c r="D657" s="96"/>
      <c r="E657" s="98"/>
      <c r="F657" s="98"/>
      <c r="G657" s="41"/>
      <c r="H657" s="47"/>
      <c r="I657" s="99">
        <f t="shared" si="140"/>
        <v>0</v>
      </c>
      <c r="J657" s="41"/>
      <c r="K657" s="47"/>
      <c r="L657" s="99">
        <f t="shared" si="141"/>
        <v>0</v>
      </c>
      <c r="M657" s="44" t="str">
        <f t="shared" si="143"/>
        <v/>
      </c>
      <c r="N657" s="100">
        <f t="shared" si="144"/>
        <v>0</v>
      </c>
      <c r="O657" s="101">
        <f t="shared" si="145"/>
        <v>0</v>
      </c>
      <c r="P657" s="52">
        <f t="shared" si="146"/>
        <v>0</v>
      </c>
      <c r="Q657" s="49">
        <v>116.88487613461319</v>
      </c>
      <c r="R657">
        <v>2225</v>
      </c>
      <c r="S657" s="50">
        <f t="shared" si="142"/>
        <v>71535.307499999995</v>
      </c>
      <c r="T657" s="50">
        <f t="shared" si="147"/>
        <v>0</v>
      </c>
      <c r="U657" s="58">
        <f t="shared" si="148"/>
        <v>0</v>
      </c>
      <c r="V657" s="58">
        <f t="shared" si="149"/>
        <v>0</v>
      </c>
      <c r="W657" s="58">
        <f t="shared" si="150"/>
        <v>0</v>
      </c>
      <c r="X657" s="58">
        <f t="shared" si="151"/>
        <v>0</v>
      </c>
      <c r="Y657" s="52">
        <f t="shared" si="152"/>
        <v>0</v>
      </c>
    </row>
    <row r="658" spans="1:25" x14ac:dyDescent="0.25">
      <c r="A658" s="1218" t="s">
        <v>96</v>
      </c>
      <c r="B658" s="98">
        <v>45444</v>
      </c>
      <c r="C658" s="117" t="str">
        <f t="shared" si="153"/>
        <v>3L</v>
      </c>
      <c r="D658" s="96"/>
      <c r="E658" s="98"/>
      <c r="F658" s="98"/>
      <c r="G658" s="41"/>
      <c r="H658" s="47"/>
      <c r="I658" s="99">
        <f t="shared" si="140"/>
        <v>0</v>
      </c>
      <c r="J658" s="41"/>
      <c r="K658" s="47"/>
      <c r="L658" s="99">
        <f t="shared" si="141"/>
        <v>0</v>
      </c>
      <c r="M658" s="44" t="str">
        <f t="shared" si="143"/>
        <v/>
      </c>
      <c r="N658" s="100">
        <f t="shared" si="144"/>
        <v>0</v>
      </c>
      <c r="O658" s="101">
        <f t="shared" si="145"/>
        <v>0</v>
      </c>
      <c r="P658" s="52">
        <f t="shared" si="146"/>
        <v>0</v>
      </c>
      <c r="Q658" s="49">
        <v>116.88487613461319</v>
      </c>
      <c r="R658">
        <v>2225</v>
      </c>
      <c r="S658" s="50">
        <f t="shared" si="142"/>
        <v>71535.307499999995</v>
      </c>
      <c r="T658" s="50">
        <f t="shared" si="147"/>
        <v>0</v>
      </c>
      <c r="U658" s="58">
        <f t="shared" si="148"/>
        <v>0</v>
      </c>
      <c r="V658" s="58">
        <f t="shared" si="149"/>
        <v>0</v>
      </c>
      <c r="W658" s="58">
        <f t="shared" si="150"/>
        <v>0</v>
      </c>
      <c r="X658" s="58">
        <f t="shared" si="151"/>
        <v>0</v>
      </c>
      <c r="Y658" s="52">
        <f t="shared" si="152"/>
        <v>0</v>
      </c>
    </row>
    <row r="659" spans="1:25" x14ac:dyDescent="0.25">
      <c r="A659" s="1218" t="s">
        <v>97</v>
      </c>
      <c r="B659" s="98">
        <v>45444</v>
      </c>
      <c r="C659" s="117" t="str">
        <f t="shared" si="153"/>
        <v>4L</v>
      </c>
      <c r="D659" s="96"/>
      <c r="E659" s="98"/>
      <c r="F659" s="98"/>
      <c r="I659" s="99">
        <f t="shared" si="140"/>
        <v>0</v>
      </c>
      <c r="L659" s="99">
        <f t="shared" si="141"/>
        <v>0</v>
      </c>
      <c r="M659" s="44" t="str">
        <f t="shared" si="143"/>
        <v/>
      </c>
      <c r="N659" s="100">
        <f t="shared" si="144"/>
        <v>0</v>
      </c>
      <c r="O659" s="101">
        <f t="shared" si="145"/>
        <v>0</v>
      </c>
      <c r="P659" s="52">
        <f t="shared" si="146"/>
        <v>0</v>
      </c>
      <c r="Q659" s="49">
        <v>116.88487613461319</v>
      </c>
      <c r="R659">
        <v>2225</v>
      </c>
      <c r="S659" s="50">
        <f t="shared" si="142"/>
        <v>71535.307499999995</v>
      </c>
      <c r="T659" s="50">
        <f t="shared" si="147"/>
        <v>0</v>
      </c>
      <c r="U659" s="58">
        <f t="shared" si="148"/>
        <v>0</v>
      </c>
      <c r="V659" s="58">
        <f t="shared" si="149"/>
        <v>0</v>
      </c>
      <c r="W659" s="58">
        <f t="shared" si="150"/>
        <v>0</v>
      </c>
      <c r="X659" s="58">
        <f t="shared" si="151"/>
        <v>0</v>
      </c>
      <c r="Y659" s="52">
        <f t="shared" si="152"/>
        <v>0</v>
      </c>
    </row>
    <row r="660" spans="1:25" x14ac:dyDescent="0.25">
      <c r="A660" s="1218" t="s">
        <v>98</v>
      </c>
      <c r="B660" s="98">
        <v>45444</v>
      </c>
      <c r="C660" s="117" t="str">
        <f t="shared" si="153"/>
        <v>4L</v>
      </c>
      <c r="D660" s="96"/>
      <c r="E660" s="98"/>
      <c r="F660" s="98"/>
      <c r="I660" s="99">
        <f t="shared" si="140"/>
        <v>0</v>
      </c>
      <c r="L660" s="99">
        <f t="shared" si="141"/>
        <v>0</v>
      </c>
      <c r="M660" s="44" t="str">
        <f t="shared" si="143"/>
        <v/>
      </c>
      <c r="N660" s="100">
        <f t="shared" si="144"/>
        <v>0</v>
      </c>
      <c r="O660" s="101">
        <f t="shared" si="145"/>
        <v>0</v>
      </c>
      <c r="P660" s="52">
        <f t="shared" si="146"/>
        <v>0</v>
      </c>
      <c r="Q660" s="49">
        <v>116.88487613461319</v>
      </c>
      <c r="R660">
        <v>2225</v>
      </c>
      <c r="S660" s="50">
        <f t="shared" si="142"/>
        <v>71535.307499999995</v>
      </c>
      <c r="T660" s="50">
        <f t="shared" si="147"/>
        <v>0</v>
      </c>
      <c r="U660" s="58">
        <f t="shared" si="148"/>
        <v>0</v>
      </c>
      <c r="V660" s="58">
        <f t="shared" si="149"/>
        <v>0</v>
      </c>
      <c r="W660" s="58">
        <f t="shared" si="150"/>
        <v>0</v>
      </c>
      <c r="X660" s="58">
        <f t="shared" si="151"/>
        <v>0</v>
      </c>
      <c r="Y660" s="52">
        <f t="shared" si="152"/>
        <v>0</v>
      </c>
    </row>
    <row r="661" spans="1:25" x14ac:dyDescent="0.25">
      <c r="A661" s="1218" t="s">
        <v>99</v>
      </c>
      <c r="B661" s="98">
        <v>45444</v>
      </c>
      <c r="C661" s="117" t="str">
        <f t="shared" si="153"/>
        <v>4L</v>
      </c>
      <c r="D661" s="96"/>
      <c r="E661" s="98"/>
      <c r="F661" s="98"/>
      <c r="I661" s="99">
        <f t="shared" si="140"/>
        <v>0</v>
      </c>
      <c r="L661" s="99">
        <f t="shared" si="141"/>
        <v>0</v>
      </c>
      <c r="M661" s="44" t="str">
        <f t="shared" si="143"/>
        <v/>
      </c>
      <c r="N661" s="100">
        <f t="shared" si="144"/>
        <v>0</v>
      </c>
      <c r="O661" s="101">
        <f t="shared" si="145"/>
        <v>0</v>
      </c>
      <c r="P661" s="52">
        <f t="shared" si="146"/>
        <v>0</v>
      </c>
      <c r="Q661" s="49">
        <v>116.88487613461319</v>
      </c>
      <c r="R661">
        <v>2225</v>
      </c>
      <c r="S661" s="50">
        <f t="shared" si="142"/>
        <v>71535.307499999995</v>
      </c>
      <c r="T661" s="50">
        <f t="shared" si="147"/>
        <v>0</v>
      </c>
      <c r="U661" s="58">
        <f t="shared" si="148"/>
        <v>0</v>
      </c>
      <c r="V661" s="58">
        <f t="shared" si="149"/>
        <v>0</v>
      </c>
      <c r="W661" s="58">
        <f t="shared" si="150"/>
        <v>0</v>
      </c>
      <c r="X661" s="58">
        <f t="shared" si="151"/>
        <v>0</v>
      </c>
      <c r="Y661" s="52">
        <f t="shared" si="152"/>
        <v>0</v>
      </c>
    </row>
    <row r="662" spans="1:25" x14ac:dyDescent="0.25">
      <c r="A662" s="1218" t="s">
        <v>100</v>
      </c>
      <c r="B662" s="98">
        <v>45444</v>
      </c>
      <c r="C662" s="117" t="str">
        <f t="shared" si="153"/>
        <v>4L</v>
      </c>
      <c r="D662" s="96"/>
      <c r="E662" s="98"/>
      <c r="F662" s="98"/>
      <c r="I662" s="99">
        <f t="shared" si="140"/>
        <v>0</v>
      </c>
      <c r="L662" s="99">
        <f t="shared" si="141"/>
        <v>0</v>
      </c>
      <c r="M662" s="44" t="str">
        <f t="shared" si="143"/>
        <v/>
      </c>
      <c r="N662" s="100">
        <f t="shared" si="144"/>
        <v>0</v>
      </c>
      <c r="O662" s="101">
        <f t="shared" si="145"/>
        <v>0</v>
      </c>
      <c r="P662" s="52">
        <f t="shared" si="146"/>
        <v>0</v>
      </c>
      <c r="Q662" s="49">
        <v>116.88487613461319</v>
      </c>
      <c r="R662">
        <v>2225</v>
      </c>
      <c r="S662" s="50">
        <f t="shared" si="142"/>
        <v>71535.307499999995</v>
      </c>
      <c r="T662" s="50">
        <f t="shared" si="147"/>
        <v>0</v>
      </c>
      <c r="U662" s="58">
        <f t="shared" si="148"/>
        <v>0</v>
      </c>
      <c r="V662" s="58">
        <f t="shared" si="149"/>
        <v>0</v>
      </c>
      <c r="W662" s="58">
        <f t="shared" si="150"/>
        <v>0</v>
      </c>
      <c r="X662" s="58">
        <f t="shared" si="151"/>
        <v>0</v>
      </c>
      <c r="Y662" s="52">
        <f t="shared" si="152"/>
        <v>0</v>
      </c>
    </row>
    <row r="663" spans="1:25" x14ac:dyDescent="0.25">
      <c r="A663" s="1218" t="s">
        <v>101</v>
      </c>
      <c r="B663" s="98">
        <v>45444</v>
      </c>
      <c r="C663" s="117" t="str">
        <f t="shared" si="153"/>
        <v>4L</v>
      </c>
      <c r="D663" s="96"/>
      <c r="E663" s="98"/>
      <c r="F663" s="98"/>
      <c r="G663" s="53">
        <v>1050</v>
      </c>
      <c r="H663" s="46">
        <v>1.5200000000000009</v>
      </c>
      <c r="I663" s="99">
        <f t="shared" si="140"/>
        <v>1.596000000000001</v>
      </c>
      <c r="L663" s="99">
        <f t="shared" si="141"/>
        <v>0</v>
      </c>
      <c r="M663" s="44">
        <f t="shared" si="143"/>
        <v>-1</v>
      </c>
      <c r="N663" s="100">
        <f t="shared" si="144"/>
        <v>-1050</v>
      </c>
      <c r="O663" s="101">
        <f t="shared" si="145"/>
        <v>-1.596000000000001</v>
      </c>
      <c r="P663" s="52">
        <f t="shared" si="146"/>
        <v>0</v>
      </c>
      <c r="Q663" s="49">
        <v>116.88487613461319</v>
      </c>
      <c r="R663">
        <v>2225</v>
      </c>
      <c r="S663" s="50">
        <f t="shared" si="142"/>
        <v>71535.307499999995</v>
      </c>
      <c r="T663" s="50">
        <f t="shared" si="147"/>
        <v>114170.35077000006</v>
      </c>
      <c r="U663" s="58">
        <f t="shared" si="148"/>
        <v>0</v>
      </c>
      <c r="V663" s="58">
        <f t="shared" si="149"/>
        <v>122729.11994134386</v>
      </c>
      <c r="W663" s="58">
        <f t="shared" si="150"/>
        <v>0</v>
      </c>
      <c r="X663" s="58">
        <f t="shared" si="151"/>
        <v>-8558.7691713437962</v>
      </c>
      <c r="Y663" s="52">
        <f t="shared" si="152"/>
        <v>0</v>
      </c>
    </row>
    <row r="664" spans="1:25" x14ac:dyDescent="0.25">
      <c r="A664" s="1218" t="s">
        <v>102</v>
      </c>
      <c r="B664" s="98">
        <v>45444</v>
      </c>
      <c r="C664" s="117" t="str">
        <f t="shared" si="153"/>
        <v>4L</v>
      </c>
      <c r="D664" s="96"/>
      <c r="E664" s="98"/>
      <c r="F664" s="98"/>
      <c r="G664" s="53"/>
      <c r="H664" s="40"/>
      <c r="I664" s="99">
        <f t="shared" si="140"/>
        <v>0</v>
      </c>
      <c r="L664" s="99">
        <f t="shared" si="141"/>
        <v>0</v>
      </c>
      <c r="M664" s="44" t="str">
        <f t="shared" si="143"/>
        <v/>
      </c>
      <c r="N664" s="100">
        <f t="shared" si="144"/>
        <v>0</v>
      </c>
      <c r="O664" s="101">
        <f t="shared" si="145"/>
        <v>0</v>
      </c>
      <c r="P664" s="52">
        <f t="shared" si="146"/>
        <v>0</v>
      </c>
      <c r="Q664" s="49">
        <v>116.88487613461319</v>
      </c>
      <c r="R664">
        <v>2225</v>
      </c>
      <c r="S664" s="50">
        <f t="shared" si="142"/>
        <v>71535.307499999995</v>
      </c>
      <c r="T664" s="50">
        <f t="shared" si="147"/>
        <v>0</v>
      </c>
      <c r="U664" s="58">
        <f t="shared" si="148"/>
        <v>0</v>
      </c>
      <c r="V664" s="58">
        <f t="shared" si="149"/>
        <v>0</v>
      </c>
      <c r="W664" s="58">
        <f t="shared" si="150"/>
        <v>0</v>
      </c>
      <c r="X664" s="58">
        <f t="shared" si="151"/>
        <v>0</v>
      </c>
      <c r="Y664" s="52">
        <f t="shared" si="152"/>
        <v>0</v>
      </c>
    </row>
    <row r="665" spans="1:25" x14ac:dyDescent="0.25">
      <c r="A665" s="1218" t="s">
        <v>103</v>
      </c>
      <c r="B665" s="98">
        <v>45444</v>
      </c>
      <c r="C665" s="117" t="str">
        <f t="shared" si="153"/>
        <v>4L</v>
      </c>
      <c r="D665" s="96"/>
      <c r="E665" s="98"/>
      <c r="F665" s="98"/>
      <c r="G665" s="40">
        <v>2100</v>
      </c>
      <c r="H665" s="40">
        <v>2.23</v>
      </c>
      <c r="I665" s="99">
        <f t="shared" si="140"/>
        <v>4.6829999999999998</v>
      </c>
      <c r="L665" s="99">
        <f t="shared" si="141"/>
        <v>0</v>
      </c>
      <c r="M665" s="44">
        <f t="shared" si="143"/>
        <v>-1</v>
      </c>
      <c r="N665" s="100">
        <f t="shared" si="144"/>
        <v>-2100</v>
      </c>
      <c r="O665" s="101">
        <f t="shared" si="145"/>
        <v>-4.6829999999999998</v>
      </c>
      <c r="P665" s="52">
        <f t="shared" si="146"/>
        <v>0</v>
      </c>
      <c r="Q665" s="49">
        <v>116.88487613461319</v>
      </c>
      <c r="R665">
        <v>2225</v>
      </c>
      <c r="S665" s="50">
        <f t="shared" si="142"/>
        <v>71535.307499999995</v>
      </c>
      <c r="T665" s="50">
        <f t="shared" si="147"/>
        <v>334999.84502249997</v>
      </c>
      <c r="U665" s="58">
        <f t="shared" si="148"/>
        <v>0</v>
      </c>
      <c r="V665" s="58">
        <f t="shared" si="149"/>
        <v>245458.23988268772</v>
      </c>
      <c r="W665" s="58">
        <f t="shared" si="150"/>
        <v>0</v>
      </c>
      <c r="X665" s="58">
        <f t="shared" si="151"/>
        <v>89541.605139812251</v>
      </c>
      <c r="Y665" s="52">
        <f t="shared" si="152"/>
        <v>0</v>
      </c>
    </row>
    <row r="666" spans="1:25" x14ac:dyDescent="0.25">
      <c r="A666" s="1218" t="s">
        <v>104</v>
      </c>
      <c r="B666" s="98">
        <v>45444</v>
      </c>
      <c r="C666" s="117" t="str">
        <f t="shared" si="153"/>
        <v>4L</v>
      </c>
      <c r="D666" s="96"/>
      <c r="E666" s="98"/>
      <c r="F666" s="98"/>
      <c r="I666" s="99">
        <f t="shared" si="140"/>
        <v>0</v>
      </c>
      <c r="J666" s="41">
        <v>66</v>
      </c>
      <c r="K666" s="41">
        <v>2.061818181818182</v>
      </c>
      <c r="L666" s="99">
        <f t="shared" si="141"/>
        <v>0.13608000000000001</v>
      </c>
      <c r="M666" s="44" t="str">
        <f t="shared" si="143"/>
        <v/>
      </c>
      <c r="N666" s="100">
        <f t="shared" si="144"/>
        <v>66</v>
      </c>
      <c r="O666" s="101">
        <f t="shared" si="145"/>
        <v>0.13608000000000001</v>
      </c>
      <c r="P666" s="52">
        <f t="shared" si="146"/>
        <v>2020.1228197155297</v>
      </c>
      <c r="Q666" s="49">
        <v>116.88487613461319</v>
      </c>
      <c r="R666">
        <v>2225</v>
      </c>
      <c r="S666" s="50">
        <f t="shared" si="142"/>
        <v>71535.307499999995</v>
      </c>
      <c r="T666" s="50">
        <f t="shared" si="147"/>
        <v>0</v>
      </c>
      <c r="U666" s="58">
        <f t="shared" si="148"/>
        <v>9734.5246446000001</v>
      </c>
      <c r="V666" s="58">
        <f t="shared" si="149"/>
        <v>0</v>
      </c>
      <c r="W666" s="58">
        <f t="shared" si="150"/>
        <v>7714.4018248844704</v>
      </c>
      <c r="X666" s="58">
        <f t="shared" si="151"/>
        <v>0</v>
      </c>
      <c r="Y666" s="52">
        <f t="shared" si="152"/>
        <v>2020.1228197155297</v>
      </c>
    </row>
    <row r="667" spans="1:25" x14ac:dyDescent="0.25">
      <c r="A667" s="1218" t="s">
        <v>105</v>
      </c>
      <c r="B667" s="98">
        <v>45444</v>
      </c>
      <c r="C667" s="117" t="str">
        <f t="shared" si="153"/>
        <v>4L</v>
      </c>
      <c r="D667" s="96"/>
      <c r="E667" s="98"/>
      <c r="F667" s="98"/>
      <c r="I667" s="99">
        <f t="shared" ref="I667:I735" si="154">IFERROR(G667*H667/1000,"")</f>
        <v>0</v>
      </c>
      <c r="L667" s="99">
        <f t="shared" ref="L667:L735" si="155">IFERROR(J667*K667/1000,"")</f>
        <v>0</v>
      </c>
      <c r="M667" s="44" t="str">
        <f t="shared" si="143"/>
        <v/>
      </c>
      <c r="N667" s="100">
        <f t="shared" si="144"/>
        <v>0</v>
      </c>
      <c r="O667" s="101">
        <f t="shared" si="145"/>
        <v>0</v>
      </c>
      <c r="P667" s="52">
        <f t="shared" si="146"/>
        <v>0</v>
      </c>
      <c r="Q667" s="49">
        <v>116.88487613461319</v>
      </c>
      <c r="R667">
        <v>2225</v>
      </c>
      <c r="S667" s="50">
        <f t="shared" ref="S667:S735" si="156">R667*32.1507</f>
        <v>71535.307499999995</v>
      </c>
      <c r="T667" s="50">
        <f t="shared" si="147"/>
        <v>0</v>
      </c>
      <c r="U667" s="58">
        <f t="shared" si="148"/>
        <v>0</v>
      </c>
      <c r="V667" s="58">
        <f t="shared" si="149"/>
        <v>0</v>
      </c>
      <c r="W667" s="58">
        <f t="shared" si="150"/>
        <v>0</v>
      </c>
      <c r="X667" s="58">
        <f t="shared" si="151"/>
        <v>0</v>
      </c>
      <c r="Y667" s="52">
        <f t="shared" si="152"/>
        <v>0</v>
      </c>
    </row>
    <row r="668" spans="1:25" x14ac:dyDescent="0.25">
      <c r="A668" s="1218" t="s">
        <v>106</v>
      </c>
      <c r="B668" s="98">
        <v>45444</v>
      </c>
      <c r="C668" s="117" t="str">
        <f t="shared" si="153"/>
        <v>4L</v>
      </c>
      <c r="D668" s="96"/>
      <c r="E668" s="98"/>
      <c r="F668" s="98"/>
      <c r="I668" s="99">
        <f t="shared" si="154"/>
        <v>0</v>
      </c>
      <c r="J668" s="41">
        <v>108</v>
      </c>
      <c r="K668" s="41">
        <v>1.0472409231488971</v>
      </c>
      <c r="L668" s="99">
        <f t="shared" si="155"/>
        <v>0.11310201970008089</v>
      </c>
      <c r="M668" s="44" t="str">
        <f t="shared" si="143"/>
        <v/>
      </c>
      <c r="N668" s="100">
        <f t="shared" si="144"/>
        <v>108</v>
      </c>
      <c r="O668" s="101">
        <f t="shared" si="145"/>
        <v>0.11310201970008089</v>
      </c>
      <c r="P668" s="52">
        <f t="shared" si="146"/>
        <v>-4532.7788644218808</v>
      </c>
      <c r="Q668" s="49">
        <v>116.88487613461319</v>
      </c>
      <c r="R668">
        <v>2225</v>
      </c>
      <c r="S668" s="50">
        <f t="shared" si="156"/>
        <v>71535.307499999995</v>
      </c>
      <c r="T668" s="50">
        <f t="shared" si="147"/>
        <v>0</v>
      </c>
      <c r="U668" s="58">
        <f t="shared" si="148"/>
        <v>8090.7877581163439</v>
      </c>
      <c r="V668" s="58">
        <f t="shared" si="149"/>
        <v>0</v>
      </c>
      <c r="W668" s="58">
        <f t="shared" si="150"/>
        <v>12623.566622538225</v>
      </c>
      <c r="X668" s="58">
        <f t="shared" si="151"/>
        <v>0</v>
      </c>
      <c r="Y668" s="52">
        <f t="shared" si="152"/>
        <v>-4532.7788644218808</v>
      </c>
    </row>
    <row r="669" spans="1:25" x14ac:dyDescent="0.25">
      <c r="A669" s="1218" t="s">
        <v>107</v>
      </c>
      <c r="B669" s="98">
        <v>45444</v>
      </c>
      <c r="C669" s="117" t="str">
        <f t="shared" si="153"/>
        <v>4L</v>
      </c>
      <c r="D669" s="96"/>
      <c r="E669" s="98"/>
      <c r="F669" s="98"/>
      <c r="I669" s="99">
        <f t="shared" si="154"/>
        <v>0</v>
      </c>
      <c r="L669" s="99">
        <f t="shared" si="155"/>
        <v>0</v>
      </c>
      <c r="M669" s="44" t="str">
        <f t="shared" ref="M669:M737" si="157">IFERROR((L669-I669)/I669,"")</f>
        <v/>
      </c>
      <c r="N669" s="100">
        <f t="shared" ref="N669:N737" si="158">J669-G669</f>
        <v>0</v>
      </c>
      <c r="O669" s="101">
        <f t="shared" ref="O669:O737" si="159">L669-I669</f>
        <v>0</v>
      </c>
      <c r="P669" s="52">
        <f t="shared" ref="P669:P737" si="160">U669-W669</f>
        <v>0</v>
      </c>
      <c r="Q669" s="49">
        <v>116.88487613461319</v>
      </c>
      <c r="R669">
        <v>2225</v>
      </c>
      <c r="S669" s="50">
        <f t="shared" si="156"/>
        <v>71535.307499999995</v>
      </c>
      <c r="T669" s="50">
        <f t="shared" ref="T669:T737" si="161">IFERROR(S669*I669,"")</f>
        <v>0</v>
      </c>
      <c r="U669" s="58">
        <f t="shared" ref="U669:U737" si="162">IFERROR(S669*L669,"")</f>
        <v>0</v>
      </c>
      <c r="V669" s="58">
        <f t="shared" ref="V669:V737" si="163">IFERROR(Q669*G669,"")</f>
        <v>0</v>
      </c>
      <c r="W669" s="58">
        <f t="shared" ref="W669:W737" si="164">IFERROR(Q669*J669,"")</f>
        <v>0</v>
      </c>
      <c r="X669" s="58">
        <f t="shared" ref="X669:X737" si="165">T669-V669</f>
        <v>0</v>
      </c>
      <c r="Y669" s="52">
        <f t="shared" ref="Y669:Y737" si="166">U669-W669</f>
        <v>0</v>
      </c>
    </row>
    <row r="670" spans="1:25" x14ac:dyDescent="0.25">
      <c r="A670" s="1218" t="s">
        <v>108</v>
      </c>
      <c r="B670" s="98">
        <v>45444</v>
      </c>
      <c r="C670" s="117" t="str">
        <f t="shared" si="153"/>
        <v>4L</v>
      </c>
      <c r="D670" s="96"/>
      <c r="E670" s="98"/>
      <c r="F670" s="98"/>
      <c r="G670" s="53">
        <v>1050</v>
      </c>
      <c r="H670" s="46">
        <v>1.9700000000000009</v>
      </c>
      <c r="I670" s="99">
        <f t="shared" si="154"/>
        <v>2.0685000000000011</v>
      </c>
      <c r="J670" s="54">
        <v>846</v>
      </c>
      <c r="K670" s="47">
        <v>1.5525913395417199</v>
      </c>
      <c r="L670" s="99">
        <f t="shared" si="155"/>
        <v>1.3134922732522951</v>
      </c>
      <c r="M670" s="44">
        <f t="shared" si="157"/>
        <v>-0.36500252682992779</v>
      </c>
      <c r="N670" s="100">
        <f t="shared" si="158"/>
        <v>-204</v>
      </c>
      <c r="O670" s="101">
        <f t="shared" si="159"/>
        <v>-0.755007726747706</v>
      </c>
      <c r="P670" s="52">
        <f t="shared" si="160"/>
        <v>-4923.5315439058177</v>
      </c>
      <c r="Q670" s="49">
        <v>116.88487613461319</v>
      </c>
      <c r="R670">
        <v>2225</v>
      </c>
      <c r="S670" s="50">
        <f t="shared" si="156"/>
        <v>71535.307499999995</v>
      </c>
      <c r="T670" s="50">
        <f t="shared" si="161"/>
        <v>147970.78356375007</v>
      </c>
      <c r="U670" s="58">
        <f t="shared" si="162"/>
        <v>93961.073665976946</v>
      </c>
      <c r="V670" s="58">
        <f t="shared" si="163"/>
        <v>122729.11994134386</v>
      </c>
      <c r="W670" s="58">
        <f t="shared" si="164"/>
        <v>98884.605209882764</v>
      </c>
      <c r="X670" s="58">
        <f t="shared" si="165"/>
        <v>25241.663622406209</v>
      </c>
      <c r="Y670" s="52">
        <f t="shared" si="166"/>
        <v>-4923.5315439058177</v>
      </c>
    </row>
    <row r="671" spans="1:25" x14ac:dyDescent="0.25">
      <c r="A671" s="1218" t="s">
        <v>109</v>
      </c>
      <c r="B671" s="98">
        <v>45444</v>
      </c>
      <c r="C671" s="117" t="str">
        <f t="shared" si="153"/>
        <v>4L</v>
      </c>
      <c r="D671" s="96"/>
      <c r="E671" s="98"/>
      <c r="F671" s="98"/>
      <c r="G671" s="40">
        <v>2100</v>
      </c>
      <c r="H671" s="40">
        <v>2.1800000000000002</v>
      </c>
      <c r="I671" s="99">
        <f t="shared" si="154"/>
        <v>4.5780000000000003</v>
      </c>
      <c r="J671" s="41">
        <v>746.8</v>
      </c>
      <c r="K671" s="41">
        <v>1.4487568701195914</v>
      </c>
      <c r="L671" s="99">
        <f t="shared" si="155"/>
        <v>1.0819316306053108</v>
      </c>
      <c r="M671" s="44">
        <f t="shared" si="157"/>
        <v>-0.76366718422776081</v>
      </c>
      <c r="N671" s="100">
        <f t="shared" si="158"/>
        <v>-1353.2</v>
      </c>
      <c r="O671" s="101">
        <f t="shared" si="159"/>
        <v>-3.4960683693946892</v>
      </c>
      <c r="P671" s="52">
        <f t="shared" si="160"/>
        <v>-9893.3136080018012</v>
      </c>
      <c r="Q671" s="49">
        <v>116.88487613461319</v>
      </c>
      <c r="R671">
        <v>2225</v>
      </c>
      <c r="S671" s="50">
        <f t="shared" si="156"/>
        <v>71535.307499999995</v>
      </c>
      <c r="T671" s="50">
        <f t="shared" si="161"/>
        <v>327488.637735</v>
      </c>
      <c r="U671" s="58">
        <f t="shared" si="162"/>
        <v>77396.31188932732</v>
      </c>
      <c r="V671" s="58">
        <f t="shared" si="163"/>
        <v>245458.23988268772</v>
      </c>
      <c r="W671" s="58">
        <f t="shared" si="164"/>
        <v>87289.625497329122</v>
      </c>
      <c r="X671" s="58">
        <f t="shared" si="165"/>
        <v>82030.397852312279</v>
      </c>
      <c r="Y671" s="52">
        <f t="shared" si="166"/>
        <v>-9893.3136080018012</v>
      </c>
    </row>
    <row r="672" spans="1:25" x14ac:dyDescent="0.25">
      <c r="A672" s="1218" t="s">
        <v>110</v>
      </c>
      <c r="B672" s="98">
        <v>45444</v>
      </c>
      <c r="C672" s="117" t="str">
        <f t="shared" si="153"/>
        <v>4L</v>
      </c>
      <c r="D672" s="96"/>
      <c r="E672" s="98"/>
      <c r="F672" s="98"/>
      <c r="I672" s="99">
        <f t="shared" si="154"/>
        <v>0</v>
      </c>
      <c r="L672" s="99">
        <f t="shared" si="155"/>
        <v>0</v>
      </c>
      <c r="M672" s="44" t="str">
        <f t="shared" si="157"/>
        <v/>
      </c>
      <c r="N672" s="100">
        <f t="shared" si="158"/>
        <v>0</v>
      </c>
      <c r="O672" s="101">
        <f t="shared" si="159"/>
        <v>0</v>
      </c>
      <c r="P672" s="52">
        <f t="shared" si="160"/>
        <v>0</v>
      </c>
      <c r="Q672" s="49">
        <v>116.88487613461319</v>
      </c>
      <c r="R672">
        <v>2225</v>
      </c>
      <c r="S672" s="50">
        <f t="shared" si="156"/>
        <v>71535.307499999995</v>
      </c>
      <c r="T672" s="50">
        <f t="shared" si="161"/>
        <v>0</v>
      </c>
      <c r="U672" s="58">
        <f t="shared" si="162"/>
        <v>0</v>
      </c>
      <c r="V672" s="58">
        <f t="shared" si="163"/>
        <v>0</v>
      </c>
      <c r="W672" s="58">
        <f t="shared" si="164"/>
        <v>0</v>
      </c>
      <c r="X672" s="58">
        <f t="shared" si="165"/>
        <v>0</v>
      </c>
      <c r="Y672" s="52">
        <f t="shared" si="166"/>
        <v>0</v>
      </c>
    </row>
    <row r="673" spans="1:25" x14ac:dyDescent="0.25">
      <c r="A673" s="1218" t="s">
        <v>111</v>
      </c>
      <c r="B673" s="98">
        <v>45444</v>
      </c>
      <c r="C673" s="117" t="str">
        <f t="shared" si="153"/>
        <v>4L</v>
      </c>
      <c r="D673" s="96"/>
      <c r="E673" s="98"/>
      <c r="F673" s="98"/>
      <c r="I673" s="99">
        <f t="shared" si="154"/>
        <v>0</v>
      </c>
      <c r="J673" s="41">
        <v>2100.3999999999996</v>
      </c>
      <c r="K673" s="41">
        <v>2.0633848980057983</v>
      </c>
      <c r="L673" s="99">
        <f t="shared" si="155"/>
        <v>4.3339336397713781</v>
      </c>
      <c r="M673" s="44" t="str">
        <f t="shared" si="157"/>
        <v/>
      </c>
      <c r="N673" s="100">
        <f t="shared" si="158"/>
        <v>2100.3999999999996</v>
      </c>
      <c r="O673" s="101">
        <f t="shared" si="159"/>
        <v>4.3339336397713781</v>
      </c>
      <c r="P673" s="52">
        <f t="shared" si="160"/>
        <v>64524.281772498216</v>
      </c>
      <c r="Q673" s="49">
        <v>116.88487613461319</v>
      </c>
      <c r="R673">
        <v>2225</v>
      </c>
      <c r="S673" s="50">
        <f t="shared" si="156"/>
        <v>71535.307499999995</v>
      </c>
      <c r="T673" s="50">
        <f t="shared" si="161"/>
        <v>0</v>
      </c>
      <c r="U673" s="58">
        <f t="shared" si="162"/>
        <v>310029.27560563973</v>
      </c>
      <c r="V673" s="58">
        <f t="shared" si="163"/>
        <v>0</v>
      </c>
      <c r="W673" s="58">
        <f t="shared" si="164"/>
        <v>245504.99383314152</v>
      </c>
      <c r="X673" s="58">
        <f t="shared" si="165"/>
        <v>0</v>
      </c>
      <c r="Y673" s="52">
        <f t="shared" si="166"/>
        <v>64524.281772498216</v>
      </c>
    </row>
    <row r="674" spans="1:25" x14ac:dyDescent="0.25">
      <c r="A674" s="1218" t="s">
        <v>112</v>
      </c>
      <c r="B674" s="98">
        <v>45444</v>
      </c>
      <c r="C674" s="117" t="str">
        <f t="shared" si="153"/>
        <v>4L</v>
      </c>
      <c r="D674" s="96"/>
      <c r="E674" s="98"/>
      <c r="F674" s="98"/>
      <c r="G674" s="40">
        <v>2100</v>
      </c>
      <c r="H674" s="40">
        <v>1.8</v>
      </c>
      <c r="I674" s="99">
        <f t="shared" si="154"/>
        <v>3.78</v>
      </c>
      <c r="J674" s="41">
        <v>351.6</v>
      </c>
      <c r="K674" s="41">
        <v>1.6873037542662117</v>
      </c>
      <c r="L674" s="99">
        <f t="shared" si="155"/>
        <v>0.59325600000000012</v>
      </c>
      <c r="M674" s="44">
        <f t="shared" si="157"/>
        <v>-0.84305396825396817</v>
      </c>
      <c r="N674" s="100">
        <f t="shared" si="158"/>
        <v>-1748.4</v>
      </c>
      <c r="O674" s="101">
        <f t="shared" si="159"/>
        <v>-3.1867439999999996</v>
      </c>
      <c r="P674" s="52">
        <f t="shared" si="160"/>
        <v>1342.027937290004</v>
      </c>
      <c r="Q674" s="49">
        <v>116.88487613461319</v>
      </c>
      <c r="R674">
        <v>2225</v>
      </c>
      <c r="S674" s="50">
        <f t="shared" si="156"/>
        <v>71535.307499999995</v>
      </c>
      <c r="T674" s="50">
        <f t="shared" si="161"/>
        <v>270403.46234999999</v>
      </c>
      <c r="U674" s="58">
        <f t="shared" si="162"/>
        <v>42438.750386220003</v>
      </c>
      <c r="V674" s="58">
        <f t="shared" si="163"/>
        <v>245458.23988268772</v>
      </c>
      <c r="W674" s="58">
        <f t="shared" si="164"/>
        <v>41096.722448929999</v>
      </c>
      <c r="X674" s="58">
        <f t="shared" si="165"/>
        <v>24945.222467312269</v>
      </c>
      <c r="Y674" s="52">
        <f t="shared" si="166"/>
        <v>1342.027937290004</v>
      </c>
    </row>
    <row r="675" spans="1:25" x14ac:dyDescent="0.25">
      <c r="A675" s="1218" t="s">
        <v>113</v>
      </c>
      <c r="B675" s="98">
        <v>45444</v>
      </c>
      <c r="C675" s="117" t="str">
        <f t="shared" si="153"/>
        <v>4L</v>
      </c>
      <c r="D675" s="96"/>
      <c r="E675" s="98"/>
      <c r="F675" s="98"/>
      <c r="G675" s="53">
        <v>2100</v>
      </c>
      <c r="H675" s="46">
        <v>1.8799999999999992</v>
      </c>
      <c r="I675" s="99">
        <f t="shared" si="154"/>
        <v>3.9479999999999982</v>
      </c>
      <c r="L675" s="99">
        <f t="shared" si="155"/>
        <v>0</v>
      </c>
      <c r="M675" s="44">
        <f t="shared" si="157"/>
        <v>-1</v>
      </c>
      <c r="N675" s="100">
        <f t="shared" si="158"/>
        <v>-2100</v>
      </c>
      <c r="O675" s="101">
        <f t="shared" si="159"/>
        <v>-3.9479999999999982</v>
      </c>
      <c r="P675" s="52">
        <f t="shared" si="160"/>
        <v>0</v>
      </c>
      <c r="Q675" s="49">
        <v>116.88487613461319</v>
      </c>
      <c r="R675">
        <v>2225</v>
      </c>
      <c r="S675" s="50">
        <f t="shared" si="156"/>
        <v>71535.307499999995</v>
      </c>
      <c r="T675" s="50">
        <f t="shared" si="161"/>
        <v>282421.39400999987</v>
      </c>
      <c r="U675" s="58">
        <f t="shared" si="162"/>
        <v>0</v>
      </c>
      <c r="V675" s="58">
        <f t="shared" si="163"/>
        <v>245458.23988268772</v>
      </c>
      <c r="W675" s="58">
        <f t="shared" si="164"/>
        <v>0</v>
      </c>
      <c r="X675" s="58">
        <f t="shared" si="165"/>
        <v>36963.154127312155</v>
      </c>
      <c r="Y675" s="52">
        <f t="shared" si="166"/>
        <v>0</v>
      </c>
    </row>
    <row r="676" spans="1:25" x14ac:dyDescent="0.25">
      <c r="A676" s="1218" t="s">
        <v>114</v>
      </c>
      <c r="B676" s="98">
        <v>45444</v>
      </c>
      <c r="C676" s="117" t="str">
        <f t="shared" si="153"/>
        <v>4L</v>
      </c>
      <c r="D676" s="96"/>
      <c r="E676" s="98"/>
      <c r="F676" s="98"/>
      <c r="G676" s="40">
        <v>4200</v>
      </c>
      <c r="H676" s="40">
        <v>2.3400000000000012</v>
      </c>
      <c r="I676" s="99">
        <f t="shared" si="154"/>
        <v>9.8280000000000047</v>
      </c>
      <c r="J676" s="41">
        <v>2715.6</v>
      </c>
      <c r="K676" s="41">
        <v>1.6474812196199735</v>
      </c>
      <c r="L676" s="99">
        <f t="shared" si="155"/>
        <v>4.4738999999999995</v>
      </c>
      <c r="M676" s="44">
        <f t="shared" si="157"/>
        <v>-0.54478021978022007</v>
      </c>
      <c r="N676" s="100">
        <f t="shared" si="158"/>
        <v>-1484.4</v>
      </c>
      <c r="O676" s="101">
        <f t="shared" si="159"/>
        <v>-5.3541000000000052</v>
      </c>
      <c r="P676" s="52">
        <f t="shared" si="160"/>
        <v>2629.2425930943573</v>
      </c>
      <c r="Q676" s="49">
        <v>116.88487613461319</v>
      </c>
      <c r="R676">
        <v>2225</v>
      </c>
      <c r="S676" s="50">
        <f t="shared" si="156"/>
        <v>71535.307499999995</v>
      </c>
      <c r="T676" s="50">
        <f t="shared" si="161"/>
        <v>703049.00211000035</v>
      </c>
      <c r="U676" s="58">
        <f t="shared" si="162"/>
        <v>320041.81222424994</v>
      </c>
      <c r="V676" s="58">
        <f t="shared" si="163"/>
        <v>490916.47976537544</v>
      </c>
      <c r="W676" s="58">
        <f t="shared" si="164"/>
        <v>317412.56963115558</v>
      </c>
      <c r="X676" s="58">
        <f t="shared" si="165"/>
        <v>212132.52234462491</v>
      </c>
      <c r="Y676" s="52">
        <f t="shared" si="166"/>
        <v>2629.2425930943573</v>
      </c>
    </row>
    <row r="677" spans="1:25" x14ac:dyDescent="0.25">
      <c r="A677" s="1218" t="s">
        <v>115</v>
      </c>
      <c r="B677" s="98">
        <v>45444</v>
      </c>
      <c r="C677" s="117" t="str">
        <f t="shared" si="153"/>
        <v>4L</v>
      </c>
      <c r="D677" s="96"/>
      <c r="E677" s="98"/>
      <c r="F677" s="98"/>
      <c r="G677" s="53">
        <v>4200</v>
      </c>
      <c r="H677" s="46">
        <v>2.8800000000000008</v>
      </c>
      <c r="I677" s="99">
        <f t="shared" si="154"/>
        <v>12.096000000000004</v>
      </c>
      <c r="J677" s="54">
        <v>2508.8000000000002</v>
      </c>
      <c r="K677" s="47">
        <v>2.0065481505102039</v>
      </c>
      <c r="L677" s="99">
        <f t="shared" si="155"/>
        <v>5.0340280000000002</v>
      </c>
      <c r="M677" s="44">
        <f t="shared" si="157"/>
        <v>-0.5838270502645504</v>
      </c>
      <c r="N677" s="100">
        <f t="shared" si="158"/>
        <v>-1691.1999999999998</v>
      </c>
      <c r="O677" s="101">
        <f t="shared" si="159"/>
        <v>-7.0619720000000035</v>
      </c>
      <c r="P677" s="52">
        <f t="shared" si="160"/>
        <v>66869.963697092375</v>
      </c>
      <c r="Q677" s="49">
        <v>116.88487613461319</v>
      </c>
      <c r="R677">
        <v>2225</v>
      </c>
      <c r="S677" s="50">
        <f t="shared" si="156"/>
        <v>71535.307499999995</v>
      </c>
      <c r="T677" s="50">
        <f t="shared" si="161"/>
        <v>865291.07952000026</v>
      </c>
      <c r="U677" s="58">
        <f t="shared" si="162"/>
        <v>360110.74094360997</v>
      </c>
      <c r="V677" s="58">
        <f t="shared" si="163"/>
        <v>490916.47976537544</v>
      </c>
      <c r="W677" s="58">
        <f t="shared" si="164"/>
        <v>293240.77724651759</v>
      </c>
      <c r="X677" s="58">
        <f t="shared" si="165"/>
        <v>374374.59975462483</v>
      </c>
      <c r="Y677" s="52">
        <f t="shared" si="166"/>
        <v>66869.963697092375</v>
      </c>
    </row>
    <row r="678" spans="1:25" x14ac:dyDescent="0.25">
      <c r="A678" s="1218" t="s">
        <v>116</v>
      </c>
      <c r="B678" s="98">
        <v>45444</v>
      </c>
      <c r="C678" s="117" t="str">
        <f t="shared" si="153"/>
        <v>4L</v>
      </c>
      <c r="D678" s="96"/>
      <c r="E678" s="98"/>
      <c r="F678" s="98"/>
      <c r="I678" s="99">
        <f t="shared" si="154"/>
        <v>0</v>
      </c>
      <c r="L678" s="99">
        <f t="shared" si="155"/>
        <v>0</v>
      </c>
      <c r="M678" s="44" t="str">
        <f t="shared" si="157"/>
        <v/>
      </c>
      <c r="N678" s="100">
        <f t="shared" si="158"/>
        <v>0</v>
      </c>
      <c r="O678" s="101">
        <f t="shared" si="159"/>
        <v>0</v>
      </c>
      <c r="P678" s="52">
        <f t="shared" si="160"/>
        <v>0</v>
      </c>
      <c r="Q678" s="49">
        <v>116.88487613461319</v>
      </c>
      <c r="R678">
        <v>2225</v>
      </c>
      <c r="S678" s="50">
        <f t="shared" si="156"/>
        <v>71535.307499999995</v>
      </c>
      <c r="T678" s="50">
        <f t="shared" si="161"/>
        <v>0</v>
      </c>
      <c r="U678" s="58">
        <f t="shared" si="162"/>
        <v>0</v>
      </c>
      <c r="V678" s="58">
        <f t="shared" si="163"/>
        <v>0</v>
      </c>
      <c r="W678" s="58">
        <f t="shared" si="164"/>
        <v>0</v>
      </c>
      <c r="X678" s="58">
        <f t="shared" si="165"/>
        <v>0</v>
      </c>
      <c r="Y678" s="52">
        <f t="shared" si="166"/>
        <v>0</v>
      </c>
    </row>
    <row r="679" spans="1:25" x14ac:dyDescent="0.25">
      <c r="A679" s="1218" t="s">
        <v>117</v>
      </c>
      <c r="B679" s="98">
        <v>45444</v>
      </c>
      <c r="C679" s="117" t="str">
        <f t="shared" si="153"/>
        <v>4L</v>
      </c>
      <c r="D679" s="96"/>
      <c r="E679" s="98"/>
      <c r="F679" s="98"/>
      <c r="I679" s="99">
        <f t="shared" si="154"/>
        <v>0</v>
      </c>
      <c r="J679" s="41">
        <v>702.4</v>
      </c>
      <c r="K679" s="41">
        <v>1.5485706150341685</v>
      </c>
      <c r="L679" s="99">
        <f t="shared" si="155"/>
        <v>1.0877159999999999</v>
      </c>
      <c r="M679" s="44" t="str">
        <f t="shared" si="157"/>
        <v/>
      </c>
      <c r="N679" s="100">
        <f t="shared" si="158"/>
        <v>702.4</v>
      </c>
      <c r="O679" s="101">
        <f t="shared" si="159"/>
        <v>1.0877159999999999</v>
      </c>
      <c r="P679" s="52">
        <f t="shared" si="160"/>
        <v>-4289.8384642823221</v>
      </c>
      <c r="Q679" s="49">
        <v>116.88487613461319</v>
      </c>
      <c r="R679">
        <v>2225</v>
      </c>
      <c r="S679" s="50">
        <f t="shared" si="156"/>
        <v>71535.307499999995</v>
      </c>
      <c r="T679" s="50">
        <f t="shared" si="161"/>
        <v>0</v>
      </c>
      <c r="U679" s="58">
        <f t="shared" si="162"/>
        <v>77810.098532669988</v>
      </c>
      <c r="V679" s="58">
        <f t="shared" si="163"/>
        <v>0</v>
      </c>
      <c r="W679" s="58">
        <f t="shared" si="164"/>
        <v>82099.93699695231</v>
      </c>
      <c r="X679" s="58">
        <f t="shared" si="165"/>
        <v>0</v>
      </c>
      <c r="Y679" s="52">
        <f t="shared" si="166"/>
        <v>-4289.8384642823221</v>
      </c>
    </row>
    <row r="680" spans="1:25" x14ac:dyDescent="0.25">
      <c r="A680" s="1218" t="s">
        <v>118</v>
      </c>
      <c r="B680" s="98">
        <v>45444</v>
      </c>
      <c r="C680" s="117" t="str">
        <f t="shared" si="153"/>
        <v>4L</v>
      </c>
      <c r="D680" s="96"/>
      <c r="E680" s="98"/>
      <c r="F680" s="98"/>
      <c r="I680" s="99">
        <f t="shared" si="154"/>
        <v>0</v>
      </c>
      <c r="J680" s="41">
        <v>610.79999999999995</v>
      </c>
      <c r="K680" s="41">
        <v>2.5716502946954813</v>
      </c>
      <c r="L680" s="99">
        <f t="shared" si="155"/>
        <v>1.5707639999999998</v>
      </c>
      <c r="M680" s="44" t="str">
        <f t="shared" si="157"/>
        <v/>
      </c>
      <c r="N680" s="100">
        <f t="shared" si="158"/>
        <v>610.79999999999995</v>
      </c>
      <c r="O680" s="101">
        <f t="shared" si="159"/>
        <v>1.5707639999999998</v>
      </c>
      <c r="P680" s="52">
        <f t="shared" si="160"/>
        <v>40971.803406908235</v>
      </c>
      <c r="Q680" s="49">
        <v>116.88487613461319</v>
      </c>
      <c r="R680">
        <v>2225</v>
      </c>
      <c r="S680" s="50">
        <f t="shared" si="156"/>
        <v>71535.307499999995</v>
      </c>
      <c r="T680" s="50">
        <f t="shared" si="161"/>
        <v>0</v>
      </c>
      <c r="U680" s="58">
        <f t="shared" si="162"/>
        <v>112365.08574992997</v>
      </c>
      <c r="V680" s="58">
        <f t="shared" si="163"/>
        <v>0</v>
      </c>
      <c r="W680" s="58">
        <f t="shared" si="164"/>
        <v>71393.28234302174</v>
      </c>
      <c r="X680" s="58">
        <f t="shared" si="165"/>
        <v>0</v>
      </c>
      <c r="Y680" s="52">
        <f t="shared" si="166"/>
        <v>40971.803406908235</v>
      </c>
    </row>
    <row r="681" spans="1:25" x14ac:dyDescent="0.25">
      <c r="A681" s="1218" t="s">
        <v>119</v>
      </c>
      <c r="B681" s="98">
        <v>45444</v>
      </c>
      <c r="C681" s="117" t="str">
        <f t="shared" si="153"/>
        <v>4L</v>
      </c>
      <c r="D681" s="96"/>
      <c r="E681" s="98"/>
      <c r="F681" s="98"/>
      <c r="I681" s="99">
        <f t="shared" si="154"/>
        <v>0</v>
      </c>
      <c r="L681" s="99">
        <f t="shared" si="155"/>
        <v>0</v>
      </c>
      <c r="M681" s="44" t="str">
        <f t="shared" si="157"/>
        <v/>
      </c>
      <c r="N681" s="100">
        <f t="shared" si="158"/>
        <v>0</v>
      </c>
      <c r="O681" s="101">
        <f t="shared" si="159"/>
        <v>0</v>
      </c>
      <c r="P681" s="52">
        <f t="shared" si="160"/>
        <v>0</v>
      </c>
      <c r="Q681" s="49">
        <v>116.88487613461319</v>
      </c>
      <c r="R681">
        <v>2225</v>
      </c>
      <c r="S681" s="50">
        <f t="shared" si="156"/>
        <v>71535.307499999995</v>
      </c>
      <c r="T681" s="50">
        <f t="shared" si="161"/>
        <v>0</v>
      </c>
      <c r="U681" s="58">
        <f t="shared" si="162"/>
        <v>0</v>
      </c>
      <c r="V681" s="58">
        <f t="shared" si="163"/>
        <v>0</v>
      </c>
      <c r="W681" s="58">
        <f t="shared" si="164"/>
        <v>0</v>
      </c>
      <c r="X681" s="58">
        <f t="shared" si="165"/>
        <v>0</v>
      </c>
      <c r="Y681" s="52">
        <f t="shared" si="166"/>
        <v>0</v>
      </c>
    </row>
    <row r="682" spans="1:25" x14ac:dyDescent="0.25">
      <c r="A682" s="1218" t="s">
        <v>120</v>
      </c>
      <c r="B682" s="98">
        <v>45444</v>
      </c>
      <c r="C682" s="117" t="str">
        <f t="shared" si="153"/>
        <v>4L</v>
      </c>
      <c r="D682" s="96"/>
      <c r="E682" s="98"/>
      <c r="F682" s="98"/>
      <c r="I682" s="99">
        <f t="shared" si="154"/>
        <v>0</v>
      </c>
      <c r="L682" s="99">
        <f t="shared" si="155"/>
        <v>0</v>
      </c>
      <c r="M682" s="44" t="str">
        <f t="shared" si="157"/>
        <v/>
      </c>
      <c r="N682" s="100">
        <f t="shared" si="158"/>
        <v>0</v>
      </c>
      <c r="O682" s="101">
        <f t="shared" si="159"/>
        <v>0</v>
      </c>
      <c r="P682" s="52">
        <f t="shared" si="160"/>
        <v>0</v>
      </c>
      <c r="Q682" s="49">
        <v>116.88487613461319</v>
      </c>
      <c r="R682">
        <v>2225</v>
      </c>
      <c r="S682" s="50">
        <f t="shared" si="156"/>
        <v>71535.307499999995</v>
      </c>
      <c r="T682" s="50">
        <f t="shared" si="161"/>
        <v>0</v>
      </c>
      <c r="U682" s="58">
        <f t="shared" si="162"/>
        <v>0</v>
      </c>
      <c r="V682" s="58">
        <f t="shared" si="163"/>
        <v>0</v>
      </c>
      <c r="W682" s="58">
        <f t="shared" si="164"/>
        <v>0</v>
      </c>
      <c r="X682" s="58">
        <f t="shared" si="165"/>
        <v>0</v>
      </c>
      <c r="Y682" s="52">
        <f t="shared" si="166"/>
        <v>0</v>
      </c>
    </row>
    <row r="683" spans="1:25" x14ac:dyDescent="0.25">
      <c r="A683" s="1218" t="s">
        <v>121</v>
      </c>
      <c r="B683" s="98">
        <v>45444</v>
      </c>
      <c r="C683" s="117" t="str">
        <f t="shared" si="153"/>
        <v>4L</v>
      </c>
      <c r="D683" s="96"/>
      <c r="E683" s="98"/>
      <c r="F683" s="98"/>
      <c r="I683" s="99">
        <f t="shared" si="154"/>
        <v>0</v>
      </c>
      <c r="L683" s="99">
        <f t="shared" si="155"/>
        <v>0</v>
      </c>
      <c r="M683" s="44" t="str">
        <f t="shared" si="157"/>
        <v/>
      </c>
      <c r="N683" s="100">
        <f t="shared" si="158"/>
        <v>0</v>
      </c>
      <c r="O683" s="101">
        <f t="shared" si="159"/>
        <v>0</v>
      </c>
      <c r="P683" s="52">
        <f t="shared" si="160"/>
        <v>0</v>
      </c>
      <c r="Q683" s="49">
        <v>116.88487613461319</v>
      </c>
      <c r="R683">
        <v>2225</v>
      </c>
      <c r="S683" s="50">
        <f t="shared" si="156"/>
        <v>71535.307499999995</v>
      </c>
      <c r="T683" s="50">
        <f t="shared" si="161"/>
        <v>0</v>
      </c>
      <c r="U683" s="58">
        <f t="shared" si="162"/>
        <v>0</v>
      </c>
      <c r="V683" s="58">
        <f t="shared" si="163"/>
        <v>0</v>
      </c>
      <c r="W683" s="58">
        <f t="shared" si="164"/>
        <v>0</v>
      </c>
      <c r="X683" s="58">
        <f t="shared" si="165"/>
        <v>0</v>
      </c>
      <c r="Y683" s="52">
        <f t="shared" si="166"/>
        <v>0</v>
      </c>
    </row>
    <row r="684" spans="1:25" x14ac:dyDescent="0.25">
      <c r="A684" s="1218" t="s">
        <v>122</v>
      </c>
      <c r="B684" s="98">
        <v>45444</v>
      </c>
      <c r="C684" s="117" t="str">
        <f t="shared" si="153"/>
        <v>4L</v>
      </c>
      <c r="D684" s="96"/>
      <c r="E684" s="98"/>
      <c r="F684" s="98"/>
      <c r="I684" s="99">
        <f t="shared" si="154"/>
        <v>0</v>
      </c>
      <c r="L684" s="99">
        <f t="shared" si="155"/>
        <v>0</v>
      </c>
      <c r="M684" s="44" t="str">
        <f t="shared" si="157"/>
        <v/>
      </c>
      <c r="N684" s="100">
        <f t="shared" si="158"/>
        <v>0</v>
      </c>
      <c r="O684" s="101">
        <f t="shared" si="159"/>
        <v>0</v>
      </c>
      <c r="P684" s="52">
        <f t="shared" si="160"/>
        <v>0</v>
      </c>
      <c r="Q684" s="49">
        <v>116.88487613461319</v>
      </c>
      <c r="R684">
        <v>2225</v>
      </c>
      <c r="S684" s="50">
        <f t="shared" si="156"/>
        <v>71535.307499999995</v>
      </c>
      <c r="T684" s="50">
        <f t="shared" si="161"/>
        <v>0</v>
      </c>
      <c r="U684" s="58">
        <f t="shared" si="162"/>
        <v>0</v>
      </c>
      <c r="V684" s="58">
        <f t="shared" si="163"/>
        <v>0</v>
      </c>
      <c r="W684" s="58">
        <f t="shared" si="164"/>
        <v>0</v>
      </c>
      <c r="X684" s="58">
        <f t="shared" si="165"/>
        <v>0</v>
      </c>
      <c r="Y684" s="52">
        <f t="shared" si="166"/>
        <v>0</v>
      </c>
    </row>
    <row r="685" spans="1:25" x14ac:dyDescent="0.25">
      <c r="A685" s="1218" t="s">
        <v>123</v>
      </c>
      <c r="B685" s="98">
        <v>45444</v>
      </c>
      <c r="C685" s="117" t="str">
        <f t="shared" si="153"/>
        <v>4L</v>
      </c>
      <c r="D685" s="96"/>
      <c r="E685" s="98"/>
      <c r="F685" s="98"/>
      <c r="I685" s="99">
        <f t="shared" si="154"/>
        <v>0</v>
      </c>
      <c r="L685" s="99">
        <f t="shared" si="155"/>
        <v>0</v>
      </c>
      <c r="M685" s="44" t="str">
        <f t="shared" si="157"/>
        <v/>
      </c>
      <c r="N685" s="100">
        <f t="shared" si="158"/>
        <v>0</v>
      </c>
      <c r="O685" s="101">
        <f t="shared" si="159"/>
        <v>0</v>
      </c>
      <c r="P685" s="52">
        <f t="shared" si="160"/>
        <v>0</v>
      </c>
      <c r="Q685" s="49">
        <v>116.88487613461319</v>
      </c>
      <c r="R685">
        <v>2225</v>
      </c>
      <c r="S685" s="50">
        <f t="shared" si="156"/>
        <v>71535.307499999995</v>
      </c>
      <c r="T685" s="50">
        <f t="shared" si="161"/>
        <v>0</v>
      </c>
      <c r="U685" s="58">
        <f t="shared" si="162"/>
        <v>0</v>
      </c>
      <c r="V685" s="58">
        <f t="shared" si="163"/>
        <v>0</v>
      </c>
      <c r="W685" s="58">
        <f t="shared" si="164"/>
        <v>0</v>
      </c>
      <c r="X685" s="58">
        <f t="shared" si="165"/>
        <v>0</v>
      </c>
      <c r="Y685" s="52">
        <f t="shared" si="166"/>
        <v>0</v>
      </c>
    </row>
    <row r="686" spans="1:25" x14ac:dyDescent="0.25">
      <c r="A686" s="1218" t="s">
        <v>124</v>
      </c>
      <c r="B686" s="98">
        <v>45444</v>
      </c>
      <c r="C686" s="117" t="str">
        <f t="shared" si="153"/>
        <v>4L</v>
      </c>
      <c r="D686" s="96"/>
      <c r="E686" s="98"/>
      <c r="F686" s="98"/>
      <c r="I686" s="99">
        <f t="shared" si="154"/>
        <v>0</v>
      </c>
      <c r="L686" s="99">
        <f t="shared" si="155"/>
        <v>0</v>
      </c>
      <c r="M686" s="44" t="str">
        <f t="shared" si="157"/>
        <v/>
      </c>
      <c r="N686" s="100">
        <f t="shared" si="158"/>
        <v>0</v>
      </c>
      <c r="O686" s="101">
        <f t="shared" si="159"/>
        <v>0</v>
      </c>
      <c r="P686" s="52">
        <f t="shared" si="160"/>
        <v>0</v>
      </c>
      <c r="Q686" s="49">
        <v>116.88487613461319</v>
      </c>
      <c r="R686">
        <v>2225</v>
      </c>
      <c r="S686" s="50">
        <f t="shared" si="156"/>
        <v>71535.307499999995</v>
      </c>
      <c r="T686" s="50">
        <f t="shared" si="161"/>
        <v>0</v>
      </c>
      <c r="U686" s="58">
        <f t="shared" si="162"/>
        <v>0</v>
      </c>
      <c r="V686" s="58">
        <f t="shared" si="163"/>
        <v>0</v>
      </c>
      <c r="W686" s="58">
        <f t="shared" si="164"/>
        <v>0</v>
      </c>
      <c r="X686" s="58">
        <f t="shared" si="165"/>
        <v>0</v>
      </c>
      <c r="Y686" s="52">
        <f t="shared" si="166"/>
        <v>0</v>
      </c>
    </row>
    <row r="687" spans="1:25" x14ac:dyDescent="0.25">
      <c r="A687" s="1218" t="s">
        <v>125</v>
      </c>
      <c r="B687" s="98">
        <v>45444</v>
      </c>
      <c r="C687" s="117" t="str">
        <f t="shared" ref="C687:C689" si="167">LEFT(A687,2)</f>
        <v>4L</v>
      </c>
      <c r="D687" s="96"/>
      <c r="E687" s="98"/>
      <c r="F687" s="98"/>
      <c r="I687" s="99">
        <f t="shared" si="154"/>
        <v>0</v>
      </c>
      <c r="L687" s="99">
        <f t="shared" si="155"/>
        <v>0</v>
      </c>
      <c r="M687" s="44" t="str">
        <f t="shared" si="157"/>
        <v/>
      </c>
      <c r="N687" s="100">
        <f t="shared" si="158"/>
        <v>0</v>
      </c>
      <c r="O687" s="101">
        <f t="shared" si="159"/>
        <v>0</v>
      </c>
      <c r="P687" s="52">
        <f t="shared" si="160"/>
        <v>0</v>
      </c>
      <c r="Q687" s="49">
        <v>116.88487613461319</v>
      </c>
      <c r="R687">
        <v>2225</v>
      </c>
      <c r="S687" s="50">
        <f t="shared" si="156"/>
        <v>71535.307499999995</v>
      </c>
      <c r="T687" s="50">
        <f t="shared" si="161"/>
        <v>0</v>
      </c>
      <c r="U687" s="58">
        <f t="shared" si="162"/>
        <v>0</v>
      </c>
      <c r="V687" s="58">
        <f t="shared" si="163"/>
        <v>0</v>
      </c>
      <c r="W687" s="58">
        <f t="shared" si="164"/>
        <v>0</v>
      </c>
      <c r="X687" s="58">
        <f t="shared" si="165"/>
        <v>0</v>
      </c>
      <c r="Y687" s="52">
        <f t="shared" si="166"/>
        <v>0</v>
      </c>
    </row>
    <row r="688" spans="1:25" x14ac:dyDescent="0.25">
      <c r="A688" s="1218" t="s">
        <v>126</v>
      </c>
      <c r="B688" s="98">
        <v>45444</v>
      </c>
      <c r="C688" s="117" t="str">
        <f t="shared" si="167"/>
        <v>4L</v>
      </c>
      <c r="D688" s="96"/>
      <c r="E688" s="98"/>
      <c r="F688" s="98"/>
      <c r="I688" s="99"/>
      <c r="L688" s="99"/>
      <c r="M688" s="44"/>
      <c r="N688" s="100"/>
      <c r="O688" s="101"/>
      <c r="P688" s="52"/>
      <c r="Q688" s="49"/>
      <c r="S688" s="50"/>
      <c r="T688" s="50"/>
      <c r="U688" s="58"/>
      <c r="V688" s="58"/>
      <c r="W688" s="58"/>
      <c r="X688" s="58"/>
      <c r="Y688" s="52"/>
    </row>
    <row r="689" spans="1:25" x14ac:dyDescent="0.25">
      <c r="A689" s="1218" t="s">
        <v>127</v>
      </c>
      <c r="B689" s="98">
        <v>45444</v>
      </c>
      <c r="C689" s="117" t="str">
        <f t="shared" si="167"/>
        <v>4L</v>
      </c>
      <c r="D689" s="96"/>
      <c r="E689" s="98"/>
      <c r="F689" s="98"/>
      <c r="I689" s="99"/>
      <c r="L689" s="99"/>
      <c r="M689" s="44"/>
      <c r="N689" s="100"/>
      <c r="O689" s="101"/>
      <c r="P689" s="52"/>
      <c r="Q689" s="49"/>
      <c r="S689" s="50"/>
      <c r="T689" s="50"/>
      <c r="U689" s="58"/>
      <c r="V689" s="58"/>
      <c r="W689" s="58"/>
      <c r="X689" s="58"/>
      <c r="Y689" s="52"/>
    </row>
    <row r="690" spans="1:25" x14ac:dyDescent="0.25">
      <c r="A690" s="1218" t="s">
        <v>128</v>
      </c>
      <c r="B690" s="98">
        <v>45444</v>
      </c>
      <c r="C690" s="117" t="str">
        <f t="shared" si="153"/>
        <v>4L</v>
      </c>
      <c r="D690" s="96"/>
      <c r="E690" s="98"/>
      <c r="F690" s="98"/>
      <c r="I690" s="99"/>
      <c r="L690" s="99"/>
      <c r="M690" s="44"/>
      <c r="N690" s="100"/>
      <c r="O690" s="101"/>
      <c r="P690" s="52"/>
      <c r="Q690" s="49"/>
      <c r="S690" s="50"/>
      <c r="T690" s="50"/>
      <c r="U690" s="58"/>
      <c r="V690" s="58"/>
      <c r="W690" s="58"/>
      <c r="X690" s="58"/>
      <c r="Y690" s="52"/>
    </row>
    <row r="691" spans="1:25" x14ac:dyDescent="0.25">
      <c r="A691" s="1218" t="s">
        <v>129</v>
      </c>
      <c r="B691" s="98">
        <v>45444</v>
      </c>
      <c r="C691" s="117" t="str">
        <f t="shared" si="153"/>
        <v>4L</v>
      </c>
      <c r="D691" s="96"/>
      <c r="E691" s="98"/>
      <c r="F691" s="98"/>
      <c r="I691" s="99">
        <f t="shared" si="154"/>
        <v>0</v>
      </c>
      <c r="L691" s="99">
        <f t="shared" si="155"/>
        <v>0</v>
      </c>
      <c r="M691" s="44" t="str">
        <f t="shared" si="157"/>
        <v/>
      </c>
      <c r="N691" s="100">
        <f t="shared" si="158"/>
        <v>0</v>
      </c>
      <c r="O691" s="101">
        <f t="shared" si="159"/>
        <v>0</v>
      </c>
      <c r="P691" s="52">
        <f t="shared" si="160"/>
        <v>0</v>
      </c>
      <c r="Q691" s="49">
        <v>116.88487613461319</v>
      </c>
      <c r="R691">
        <v>2225</v>
      </c>
      <c r="S691" s="50">
        <f t="shared" si="156"/>
        <v>71535.307499999995</v>
      </c>
      <c r="T691" s="50">
        <f t="shared" si="161"/>
        <v>0</v>
      </c>
      <c r="U691" s="58">
        <f t="shared" si="162"/>
        <v>0</v>
      </c>
      <c r="V691" s="58">
        <f t="shared" si="163"/>
        <v>0</v>
      </c>
      <c r="W691" s="58">
        <f t="shared" si="164"/>
        <v>0</v>
      </c>
      <c r="X691" s="58">
        <f t="shared" si="165"/>
        <v>0</v>
      </c>
      <c r="Y691" s="52">
        <f t="shared" si="166"/>
        <v>0</v>
      </c>
    </row>
    <row r="692" spans="1:25" x14ac:dyDescent="0.25">
      <c r="A692" s="1218" t="s">
        <v>130</v>
      </c>
      <c r="B692" s="98">
        <v>45444</v>
      </c>
      <c r="C692" s="117" t="str">
        <f t="shared" si="153"/>
        <v>5L</v>
      </c>
      <c r="D692" s="96"/>
      <c r="E692" s="98"/>
      <c r="F692" s="98"/>
      <c r="I692" s="99">
        <f t="shared" si="154"/>
        <v>0</v>
      </c>
      <c r="J692" s="41">
        <v>369.78</v>
      </c>
      <c r="K692" s="41">
        <v>1.2369255589036321</v>
      </c>
      <c r="L692" s="99">
        <f t="shared" si="155"/>
        <v>0.45739033317138506</v>
      </c>
      <c r="M692" s="44" t="str">
        <f t="shared" si="157"/>
        <v/>
      </c>
      <c r="N692" s="100">
        <f t="shared" si="158"/>
        <v>369.78</v>
      </c>
      <c r="O692" s="101">
        <f t="shared" si="159"/>
        <v>0.45739033317138506</v>
      </c>
      <c r="P692" s="52">
        <f t="shared" si="160"/>
        <v>-10502.131366114783</v>
      </c>
      <c r="Q692" s="49">
        <v>116.88487613461319</v>
      </c>
      <c r="R692">
        <v>2225</v>
      </c>
      <c r="S692" s="50">
        <f t="shared" si="156"/>
        <v>71535.307499999995</v>
      </c>
      <c r="T692" s="50">
        <f t="shared" si="161"/>
        <v>0</v>
      </c>
      <c r="U692" s="58">
        <f t="shared" si="162"/>
        <v>32719.558130942478</v>
      </c>
      <c r="V692" s="58">
        <f t="shared" si="163"/>
        <v>0</v>
      </c>
      <c r="W692" s="58">
        <f t="shared" si="164"/>
        <v>43221.689497057261</v>
      </c>
      <c r="X692" s="58">
        <f t="shared" si="165"/>
        <v>0</v>
      </c>
      <c r="Y692" s="52">
        <f t="shared" si="166"/>
        <v>-10502.131366114783</v>
      </c>
    </row>
    <row r="693" spans="1:25" x14ac:dyDescent="0.25">
      <c r="A693" s="1218" t="s">
        <v>131</v>
      </c>
      <c r="B693" s="98">
        <v>45444</v>
      </c>
      <c r="C693" s="117" t="str">
        <f t="shared" si="153"/>
        <v>5L</v>
      </c>
      <c r="D693" s="96"/>
      <c r="E693" s="98"/>
      <c r="F693" s="98"/>
      <c r="I693" s="99">
        <f t="shared" si="154"/>
        <v>0</v>
      </c>
      <c r="L693" s="99">
        <f t="shared" si="155"/>
        <v>0</v>
      </c>
      <c r="M693" s="44" t="str">
        <f t="shared" si="157"/>
        <v/>
      </c>
      <c r="N693" s="100">
        <f t="shared" si="158"/>
        <v>0</v>
      </c>
      <c r="O693" s="101">
        <f t="shared" si="159"/>
        <v>0</v>
      </c>
      <c r="P693" s="52">
        <f t="shared" si="160"/>
        <v>0</v>
      </c>
      <c r="Q693" s="49">
        <v>116.88487613461319</v>
      </c>
      <c r="R693">
        <v>2225</v>
      </c>
      <c r="S693" s="50">
        <f t="shared" si="156"/>
        <v>71535.307499999995</v>
      </c>
      <c r="T693" s="50">
        <f t="shared" si="161"/>
        <v>0</v>
      </c>
      <c r="U693" s="58">
        <f t="shared" si="162"/>
        <v>0</v>
      </c>
      <c r="V693" s="58">
        <f t="shared" si="163"/>
        <v>0</v>
      </c>
      <c r="W693" s="58">
        <f t="shared" si="164"/>
        <v>0</v>
      </c>
      <c r="X693" s="58">
        <f t="shared" si="165"/>
        <v>0</v>
      </c>
      <c r="Y693" s="52">
        <f t="shared" si="166"/>
        <v>0</v>
      </c>
    </row>
    <row r="694" spans="1:25" x14ac:dyDescent="0.25">
      <c r="A694" s="1218" t="s">
        <v>132</v>
      </c>
      <c r="B694" s="98">
        <v>45444</v>
      </c>
      <c r="C694" s="117" t="str">
        <f t="shared" si="153"/>
        <v>5L</v>
      </c>
      <c r="D694" s="96"/>
      <c r="E694" s="98"/>
      <c r="F694" s="98"/>
      <c r="I694" s="99">
        <f t="shared" si="154"/>
        <v>0</v>
      </c>
      <c r="L694" s="99">
        <f t="shared" si="155"/>
        <v>0</v>
      </c>
      <c r="M694" s="44" t="str">
        <f t="shared" si="157"/>
        <v/>
      </c>
      <c r="N694" s="100">
        <f t="shared" si="158"/>
        <v>0</v>
      </c>
      <c r="O694" s="101">
        <f t="shared" si="159"/>
        <v>0</v>
      </c>
      <c r="P694" s="52">
        <f t="shared" si="160"/>
        <v>0</v>
      </c>
      <c r="Q694" s="49">
        <v>116.88487613461319</v>
      </c>
      <c r="R694">
        <v>2225</v>
      </c>
      <c r="S694" s="50">
        <f t="shared" si="156"/>
        <v>71535.307499999995</v>
      </c>
      <c r="T694" s="50">
        <f t="shared" si="161"/>
        <v>0</v>
      </c>
      <c r="U694" s="58">
        <f t="shared" si="162"/>
        <v>0</v>
      </c>
      <c r="V694" s="58">
        <f t="shared" si="163"/>
        <v>0</v>
      </c>
      <c r="W694" s="58">
        <f t="shared" si="164"/>
        <v>0</v>
      </c>
      <c r="X694" s="58">
        <f t="shared" si="165"/>
        <v>0</v>
      </c>
      <c r="Y694" s="52">
        <f t="shared" si="166"/>
        <v>0</v>
      </c>
    </row>
    <row r="695" spans="1:25" x14ac:dyDescent="0.25">
      <c r="A695" s="1218" t="s">
        <v>133</v>
      </c>
      <c r="B695" s="98">
        <v>45444</v>
      </c>
      <c r="C695" s="117" t="str">
        <f t="shared" si="153"/>
        <v>5L</v>
      </c>
      <c r="D695" s="96"/>
      <c r="E695" s="98"/>
      <c r="F695" s="98"/>
      <c r="I695" s="99">
        <f t="shared" si="154"/>
        <v>0</v>
      </c>
      <c r="L695" s="99">
        <f t="shared" si="155"/>
        <v>0</v>
      </c>
      <c r="M695" s="44" t="str">
        <f t="shared" si="157"/>
        <v/>
      </c>
      <c r="N695" s="100">
        <f t="shared" si="158"/>
        <v>0</v>
      </c>
      <c r="O695" s="101">
        <f t="shared" si="159"/>
        <v>0</v>
      </c>
      <c r="P695" s="52">
        <f t="shared" si="160"/>
        <v>0</v>
      </c>
      <c r="Q695" s="49">
        <v>116.88487613461319</v>
      </c>
      <c r="R695">
        <v>2225</v>
      </c>
      <c r="S695" s="50">
        <f t="shared" si="156"/>
        <v>71535.307499999995</v>
      </c>
      <c r="T695" s="50">
        <f t="shared" si="161"/>
        <v>0</v>
      </c>
      <c r="U695" s="58">
        <f t="shared" si="162"/>
        <v>0</v>
      </c>
      <c r="V695" s="58">
        <f t="shared" si="163"/>
        <v>0</v>
      </c>
      <c r="W695" s="58">
        <f t="shared" si="164"/>
        <v>0</v>
      </c>
      <c r="X695" s="58">
        <f t="shared" si="165"/>
        <v>0</v>
      </c>
      <c r="Y695" s="52">
        <f t="shared" si="166"/>
        <v>0</v>
      </c>
    </row>
    <row r="696" spans="1:25" x14ac:dyDescent="0.25">
      <c r="A696" s="1218" t="s">
        <v>134</v>
      </c>
      <c r="B696" s="98">
        <v>45444</v>
      </c>
      <c r="C696" s="117" t="str">
        <f t="shared" si="153"/>
        <v>5L</v>
      </c>
      <c r="D696" s="96"/>
      <c r="E696" s="98"/>
      <c r="F696" s="98"/>
      <c r="I696" s="99">
        <f t="shared" si="154"/>
        <v>0</v>
      </c>
      <c r="L696" s="99">
        <f t="shared" si="155"/>
        <v>0</v>
      </c>
      <c r="M696" s="44" t="str">
        <f t="shared" si="157"/>
        <v/>
      </c>
      <c r="N696" s="100">
        <f t="shared" si="158"/>
        <v>0</v>
      </c>
      <c r="O696" s="101">
        <f t="shared" si="159"/>
        <v>0</v>
      </c>
      <c r="P696" s="52">
        <f t="shared" si="160"/>
        <v>0</v>
      </c>
      <c r="Q696" s="49">
        <v>116.88487613461319</v>
      </c>
      <c r="R696">
        <v>2225</v>
      </c>
      <c r="S696" s="50">
        <f t="shared" si="156"/>
        <v>71535.307499999995</v>
      </c>
      <c r="T696" s="50">
        <f t="shared" si="161"/>
        <v>0</v>
      </c>
      <c r="U696" s="58">
        <f t="shared" si="162"/>
        <v>0</v>
      </c>
      <c r="V696" s="58">
        <f t="shared" si="163"/>
        <v>0</v>
      </c>
      <c r="W696" s="58">
        <f t="shared" si="164"/>
        <v>0</v>
      </c>
      <c r="X696" s="58">
        <f t="shared" si="165"/>
        <v>0</v>
      </c>
      <c r="Y696" s="52">
        <f t="shared" si="166"/>
        <v>0</v>
      </c>
    </row>
    <row r="697" spans="1:25" x14ac:dyDescent="0.25">
      <c r="A697" s="1218" t="s">
        <v>135</v>
      </c>
      <c r="B697" s="98">
        <v>45444</v>
      </c>
      <c r="C697" s="117" t="str">
        <f t="shared" si="153"/>
        <v>5L</v>
      </c>
      <c r="D697" s="96"/>
      <c r="E697" s="98"/>
      <c r="F697" s="98"/>
      <c r="I697" s="99">
        <f t="shared" si="154"/>
        <v>0</v>
      </c>
      <c r="L697" s="99">
        <f t="shared" si="155"/>
        <v>0</v>
      </c>
      <c r="M697" s="44" t="str">
        <f t="shared" si="157"/>
        <v/>
      </c>
      <c r="N697" s="100">
        <f t="shared" si="158"/>
        <v>0</v>
      </c>
      <c r="O697" s="101">
        <f t="shared" si="159"/>
        <v>0</v>
      </c>
      <c r="P697" s="52">
        <f t="shared" si="160"/>
        <v>0</v>
      </c>
      <c r="Q697" s="49">
        <v>116.88487613461319</v>
      </c>
      <c r="R697">
        <v>2225</v>
      </c>
      <c r="S697" s="50">
        <f t="shared" si="156"/>
        <v>71535.307499999995</v>
      </c>
      <c r="T697" s="50">
        <f t="shared" si="161"/>
        <v>0</v>
      </c>
      <c r="U697" s="58">
        <f t="shared" si="162"/>
        <v>0</v>
      </c>
      <c r="V697" s="58">
        <f t="shared" si="163"/>
        <v>0</v>
      </c>
      <c r="W697" s="58">
        <f t="shared" si="164"/>
        <v>0</v>
      </c>
      <c r="X697" s="58">
        <f t="shared" si="165"/>
        <v>0</v>
      </c>
      <c r="Y697" s="52">
        <f t="shared" si="166"/>
        <v>0</v>
      </c>
    </row>
    <row r="698" spans="1:25" x14ac:dyDescent="0.25">
      <c r="A698" s="1218" t="s">
        <v>136</v>
      </c>
      <c r="B698" s="98">
        <v>45444</v>
      </c>
      <c r="C698" s="117" t="str">
        <f t="shared" si="153"/>
        <v>5L</v>
      </c>
      <c r="D698" s="96"/>
      <c r="E698" s="98"/>
      <c r="F698" s="98"/>
      <c r="I698" s="99">
        <f t="shared" si="154"/>
        <v>0</v>
      </c>
      <c r="L698" s="99">
        <f t="shared" si="155"/>
        <v>0</v>
      </c>
      <c r="M698" s="44" t="str">
        <f t="shared" si="157"/>
        <v/>
      </c>
      <c r="N698" s="100">
        <f t="shared" si="158"/>
        <v>0</v>
      </c>
      <c r="O698" s="101">
        <f t="shared" si="159"/>
        <v>0</v>
      </c>
      <c r="P698" s="52">
        <f t="shared" si="160"/>
        <v>0</v>
      </c>
      <c r="Q698" s="49">
        <v>116.88487613461319</v>
      </c>
      <c r="R698">
        <v>2225</v>
      </c>
      <c r="S698" s="50">
        <f t="shared" si="156"/>
        <v>71535.307499999995</v>
      </c>
      <c r="T698" s="50">
        <f t="shared" si="161"/>
        <v>0</v>
      </c>
      <c r="U698" s="58">
        <f t="shared" si="162"/>
        <v>0</v>
      </c>
      <c r="V698" s="58">
        <f t="shared" si="163"/>
        <v>0</v>
      </c>
      <c r="W698" s="58">
        <f t="shared" si="164"/>
        <v>0</v>
      </c>
      <c r="X698" s="58">
        <f t="shared" si="165"/>
        <v>0</v>
      </c>
      <c r="Y698" s="52">
        <f t="shared" si="166"/>
        <v>0</v>
      </c>
    </row>
    <row r="699" spans="1:25" x14ac:dyDescent="0.25">
      <c r="A699" s="1218" t="s">
        <v>137</v>
      </c>
      <c r="B699" s="98">
        <v>45444</v>
      </c>
      <c r="C699" s="117" t="str">
        <f t="shared" si="153"/>
        <v>5L</v>
      </c>
      <c r="D699" s="96"/>
      <c r="E699" s="98"/>
      <c r="F699" s="98"/>
      <c r="I699" s="99">
        <f t="shared" si="154"/>
        <v>0</v>
      </c>
      <c r="L699" s="99">
        <f t="shared" si="155"/>
        <v>0</v>
      </c>
      <c r="M699" s="44" t="str">
        <f t="shared" si="157"/>
        <v/>
      </c>
      <c r="N699" s="100">
        <f t="shared" si="158"/>
        <v>0</v>
      </c>
      <c r="O699" s="101">
        <f t="shared" si="159"/>
        <v>0</v>
      </c>
      <c r="P699" s="52">
        <f t="shared" si="160"/>
        <v>0</v>
      </c>
      <c r="Q699" s="49">
        <v>116.88487613461319</v>
      </c>
      <c r="R699">
        <v>2225</v>
      </c>
      <c r="S699" s="50">
        <f t="shared" si="156"/>
        <v>71535.307499999995</v>
      </c>
      <c r="T699" s="50">
        <f t="shared" si="161"/>
        <v>0</v>
      </c>
      <c r="U699" s="58">
        <f t="shared" si="162"/>
        <v>0</v>
      </c>
      <c r="V699" s="58">
        <f t="shared" si="163"/>
        <v>0</v>
      </c>
      <c r="W699" s="58">
        <f t="shared" si="164"/>
        <v>0</v>
      </c>
      <c r="X699" s="58">
        <f t="shared" si="165"/>
        <v>0</v>
      </c>
      <c r="Y699" s="52">
        <f t="shared" si="166"/>
        <v>0</v>
      </c>
    </row>
    <row r="700" spans="1:25" x14ac:dyDescent="0.25">
      <c r="A700" s="1218" t="s">
        <v>138</v>
      </c>
      <c r="B700" s="98">
        <v>45444</v>
      </c>
      <c r="C700" s="117" t="str">
        <f t="shared" si="153"/>
        <v>5L</v>
      </c>
      <c r="D700" s="96"/>
      <c r="E700" s="98"/>
      <c r="F700" s="98"/>
      <c r="I700" s="99">
        <f t="shared" si="154"/>
        <v>0</v>
      </c>
      <c r="L700" s="99">
        <f t="shared" si="155"/>
        <v>0</v>
      </c>
      <c r="M700" s="44" t="str">
        <f t="shared" si="157"/>
        <v/>
      </c>
      <c r="N700" s="100">
        <f t="shared" si="158"/>
        <v>0</v>
      </c>
      <c r="O700" s="101">
        <f t="shared" si="159"/>
        <v>0</v>
      </c>
      <c r="P700" s="52">
        <f t="shared" si="160"/>
        <v>0</v>
      </c>
      <c r="Q700" s="49">
        <v>116.88487613461319</v>
      </c>
      <c r="R700">
        <v>2225</v>
      </c>
      <c r="S700" s="50">
        <f t="shared" si="156"/>
        <v>71535.307499999995</v>
      </c>
      <c r="T700" s="50">
        <f t="shared" si="161"/>
        <v>0</v>
      </c>
      <c r="U700" s="58">
        <f t="shared" si="162"/>
        <v>0</v>
      </c>
      <c r="V700" s="58">
        <f t="shared" si="163"/>
        <v>0</v>
      </c>
      <c r="W700" s="58">
        <f t="shared" si="164"/>
        <v>0</v>
      </c>
      <c r="X700" s="58">
        <f t="shared" si="165"/>
        <v>0</v>
      </c>
      <c r="Y700" s="52">
        <f t="shared" si="166"/>
        <v>0</v>
      </c>
    </row>
    <row r="701" spans="1:25" x14ac:dyDescent="0.25">
      <c r="A701" s="1218" t="s">
        <v>139</v>
      </c>
      <c r="B701" s="98">
        <v>45444</v>
      </c>
      <c r="C701" s="117" t="str">
        <f t="shared" si="153"/>
        <v>5L</v>
      </c>
      <c r="D701" s="96"/>
      <c r="E701" s="98"/>
      <c r="F701" s="98"/>
      <c r="I701" s="99">
        <f t="shared" si="154"/>
        <v>0</v>
      </c>
      <c r="L701" s="99">
        <f t="shared" si="155"/>
        <v>0</v>
      </c>
      <c r="M701" s="44" t="str">
        <f t="shared" si="157"/>
        <v/>
      </c>
      <c r="N701" s="100">
        <f t="shared" si="158"/>
        <v>0</v>
      </c>
      <c r="O701" s="101">
        <f t="shared" si="159"/>
        <v>0</v>
      </c>
      <c r="P701" s="52">
        <f t="shared" si="160"/>
        <v>0</v>
      </c>
      <c r="Q701" s="49">
        <v>116.88487613461319</v>
      </c>
      <c r="R701">
        <v>2225</v>
      </c>
      <c r="S701" s="50">
        <f t="shared" si="156"/>
        <v>71535.307499999995</v>
      </c>
      <c r="T701" s="50">
        <f t="shared" si="161"/>
        <v>0</v>
      </c>
      <c r="U701" s="58">
        <f t="shared" si="162"/>
        <v>0</v>
      </c>
      <c r="V701" s="58">
        <f t="shared" si="163"/>
        <v>0</v>
      </c>
      <c r="W701" s="58">
        <f t="shared" si="164"/>
        <v>0</v>
      </c>
      <c r="X701" s="58">
        <f t="shared" si="165"/>
        <v>0</v>
      </c>
      <c r="Y701" s="52">
        <f t="shared" si="166"/>
        <v>0</v>
      </c>
    </row>
    <row r="702" spans="1:25" x14ac:dyDescent="0.25">
      <c r="A702" s="1218" t="s">
        <v>140</v>
      </c>
      <c r="B702" s="98">
        <v>45444</v>
      </c>
      <c r="C702" s="117" t="str">
        <f t="shared" si="153"/>
        <v>5L</v>
      </c>
      <c r="D702" s="96"/>
      <c r="E702" s="98"/>
      <c r="F702" s="98"/>
      <c r="G702" s="55"/>
      <c r="H702" s="55"/>
      <c r="I702" s="99">
        <f t="shared" si="154"/>
        <v>0</v>
      </c>
      <c r="J702" s="55"/>
      <c r="K702" s="55"/>
      <c r="L702" s="99">
        <f t="shared" si="155"/>
        <v>0</v>
      </c>
      <c r="M702" s="44" t="str">
        <f t="shared" si="157"/>
        <v/>
      </c>
      <c r="N702" s="100">
        <f t="shared" si="158"/>
        <v>0</v>
      </c>
      <c r="O702" s="101">
        <f t="shared" si="159"/>
        <v>0</v>
      </c>
      <c r="P702" s="52">
        <f t="shared" si="160"/>
        <v>0</v>
      </c>
      <c r="Q702" s="49">
        <v>116.88487613461319</v>
      </c>
      <c r="R702">
        <v>2225</v>
      </c>
      <c r="S702" s="50">
        <f t="shared" si="156"/>
        <v>71535.307499999995</v>
      </c>
      <c r="T702" s="50">
        <f t="shared" si="161"/>
        <v>0</v>
      </c>
      <c r="U702" s="58">
        <f t="shared" si="162"/>
        <v>0</v>
      </c>
      <c r="V702" s="58">
        <f t="shared" si="163"/>
        <v>0</v>
      </c>
      <c r="W702" s="58">
        <f t="shared" si="164"/>
        <v>0</v>
      </c>
      <c r="X702" s="58">
        <f t="shared" si="165"/>
        <v>0</v>
      </c>
      <c r="Y702" s="52">
        <f t="shared" si="166"/>
        <v>0</v>
      </c>
    </row>
    <row r="703" spans="1:25" x14ac:dyDescent="0.25">
      <c r="A703" s="1218" t="s">
        <v>141</v>
      </c>
      <c r="B703" s="98">
        <v>45444</v>
      </c>
      <c r="C703" s="117" t="str">
        <f t="shared" si="153"/>
        <v>5L</v>
      </c>
      <c r="D703" s="96"/>
      <c r="E703" s="98"/>
      <c r="F703" s="98"/>
      <c r="G703" s="55"/>
      <c r="H703" s="55"/>
      <c r="I703" s="99">
        <f t="shared" si="154"/>
        <v>0</v>
      </c>
      <c r="J703" s="55"/>
      <c r="K703" s="55"/>
      <c r="L703" s="99">
        <f t="shared" si="155"/>
        <v>0</v>
      </c>
      <c r="M703" s="44" t="str">
        <f t="shared" si="157"/>
        <v/>
      </c>
      <c r="N703" s="100">
        <f t="shared" si="158"/>
        <v>0</v>
      </c>
      <c r="O703" s="101">
        <f t="shared" si="159"/>
        <v>0</v>
      </c>
      <c r="P703" s="52">
        <f t="shared" si="160"/>
        <v>0</v>
      </c>
      <c r="Q703" s="49">
        <v>116.88487613461319</v>
      </c>
      <c r="R703">
        <v>2225</v>
      </c>
      <c r="S703" s="50">
        <f t="shared" si="156"/>
        <v>71535.307499999995</v>
      </c>
      <c r="T703" s="50">
        <f t="shared" si="161"/>
        <v>0</v>
      </c>
      <c r="U703" s="58">
        <f t="shared" si="162"/>
        <v>0</v>
      </c>
      <c r="V703" s="58">
        <f t="shared" si="163"/>
        <v>0</v>
      </c>
      <c r="W703" s="58">
        <f t="shared" si="164"/>
        <v>0</v>
      </c>
      <c r="X703" s="58">
        <f t="shared" si="165"/>
        <v>0</v>
      </c>
      <c r="Y703" s="52">
        <f t="shared" si="166"/>
        <v>0</v>
      </c>
    </row>
    <row r="704" spans="1:25" x14ac:dyDescent="0.25">
      <c r="A704" s="1218" t="s">
        <v>142</v>
      </c>
      <c r="B704" s="98">
        <v>45444</v>
      </c>
      <c r="C704" s="117" t="str">
        <f t="shared" si="153"/>
        <v>5L</v>
      </c>
      <c r="D704" s="96"/>
      <c r="E704" s="98"/>
      <c r="F704" s="98"/>
      <c r="G704" s="55"/>
      <c r="H704" s="55"/>
      <c r="I704" s="99">
        <f t="shared" si="154"/>
        <v>0</v>
      </c>
      <c r="J704" s="55"/>
      <c r="K704" s="55"/>
      <c r="L704" s="99">
        <f t="shared" si="155"/>
        <v>0</v>
      </c>
      <c r="M704" s="44" t="str">
        <f t="shared" si="157"/>
        <v/>
      </c>
      <c r="N704" s="100">
        <f t="shared" si="158"/>
        <v>0</v>
      </c>
      <c r="O704" s="101">
        <f t="shared" si="159"/>
        <v>0</v>
      </c>
      <c r="P704" s="52">
        <f t="shared" si="160"/>
        <v>0</v>
      </c>
      <c r="Q704" s="49">
        <v>116.88487613461319</v>
      </c>
      <c r="R704">
        <v>2225</v>
      </c>
      <c r="S704" s="50">
        <f t="shared" si="156"/>
        <v>71535.307499999995</v>
      </c>
      <c r="T704" s="50">
        <f t="shared" si="161"/>
        <v>0</v>
      </c>
      <c r="U704" s="58">
        <f t="shared" si="162"/>
        <v>0</v>
      </c>
      <c r="V704" s="58">
        <f t="shared" si="163"/>
        <v>0</v>
      </c>
      <c r="W704" s="58">
        <f t="shared" si="164"/>
        <v>0</v>
      </c>
      <c r="X704" s="58">
        <f t="shared" si="165"/>
        <v>0</v>
      </c>
      <c r="Y704" s="52">
        <f t="shared" si="166"/>
        <v>0</v>
      </c>
    </row>
    <row r="705" spans="1:25" x14ac:dyDescent="0.25">
      <c r="A705" s="1218" t="s">
        <v>143</v>
      </c>
      <c r="B705" s="98">
        <v>45444</v>
      </c>
      <c r="C705" s="117" t="str">
        <f t="shared" si="153"/>
        <v>5L</v>
      </c>
      <c r="D705" s="96"/>
      <c r="E705" s="98"/>
      <c r="F705" s="98"/>
      <c r="G705" s="55"/>
      <c r="H705" s="55"/>
      <c r="I705" s="99">
        <f t="shared" si="154"/>
        <v>0</v>
      </c>
      <c r="J705" s="55"/>
      <c r="K705" s="55"/>
      <c r="L705" s="99">
        <f t="shared" si="155"/>
        <v>0</v>
      </c>
      <c r="M705" s="44" t="str">
        <f t="shared" si="157"/>
        <v/>
      </c>
      <c r="N705" s="100">
        <f t="shared" si="158"/>
        <v>0</v>
      </c>
      <c r="O705" s="101">
        <f t="shared" si="159"/>
        <v>0</v>
      </c>
      <c r="P705" s="52">
        <f t="shared" si="160"/>
        <v>0</v>
      </c>
      <c r="Q705" s="49">
        <v>116.88487613461319</v>
      </c>
      <c r="R705">
        <v>2225</v>
      </c>
      <c r="S705" s="50">
        <f t="shared" si="156"/>
        <v>71535.307499999995</v>
      </c>
      <c r="T705" s="50">
        <f t="shared" si="161"/>
        <v>0</v>
      </c>
      <c r="U705" s="58">
        <f t="shared" si="162"/>
        <v>0</v>
      </c>
      <c r="V705" s="58">
        <f t="shared" si="163"/>
        <v>0</v>
      </c>
      <c r="W705" s="58">
        <f t="shared" si="164"/>
        <v>0</v>
      </c>
      <c r="X705" s="58">
        <f t="shared" si="165"/>
        <v>0</v>
      </c>
      <c r="Y705" s="52">
        <f t="shared" si="166"/>
        <v>0</v>
      </c>
    </row>
    <row r="706" spans="1:25" x14ac:dyDescent="0.25">
      <c r="A706" s="1218" t="s">
        <v>144</v>
      </c>
      <c r="B706" s="98">
        <v>45444</v>
      </c>
      <c r="C706" s="117" t="str">
        <f t="shared" si="153"/>
        <v>5L</v>
      </c>
      <c r="D706" s="96"/>
      <c r="E706" s="98"/>
      <c r="F706" s="98"/>
      <c r="G706" s="55"/>
      <c r="H706" s="55"/>
      <c r="I706" s="99">
        <f t="shared" si="154"/>
        <v>0</v>
      </c>
      <c r="J706" s="55"/>
      <c r="K706" s="55"/>
      <c r="L706" s="99">
        <f t="shared" si="155"/>
        <v>0</v>
      </c>
      <c r="M706" s="44" t="str">
        <f t="shared" si="157"/>
        <v/>
      </c>
      <c r="N706" s="100">
        <f t="shared" si="158"/>
        <v>0</v>
      </c>
      <c r="O706" s="101">
        <f t="shared" si="159"/>
        <v>0</v>
      </c>
      <c r="P706" s="52">
        <f t="shared" si="160"/>
        <v>0</v>
      </c>
      <c r="Q706" s="49">
        <v>116.88487613461319</v>
      </c>
      <c r="R706">
        <v>2225</v>
      </c>
      <c r="S706" s="50">
        <f t="shared" si="156"/>
        <v>71535.307499999995</v>
      </c>
      <c r="T706" s="50">
        <f t="shared" si="161"/>
        <v>0</v>
      </c>
      <c r="U706" s="58">
        <f t="shared" si="162"/>
        <v>0</v>
      </c>
      <c r="V706" s="58">
        <f t="shared" si="163"/>
        <v>0</v>
      </c>
      <c r="W706" s="58">
        <f t="shared" si="164"/>
        <v>0</v>
      </c>
      <c r="X706" s="58">
        <f t="shared" si="165"/>
        <v>0</v>
      </c>
      <c r="Y706" s="52">
        <f t="shared" si="166"/>
        <v>0</v>
      </c>
    </row>
    <row r="707" spans="1:25" x14ac:dyDescent="0.25">
      <c r="A707" s="1218" t="s">
        <v>145</v>
      </c>
      <c r="B707" s="98">
        <v>45444</v>
      </c>
      <c r="C707" s="117" t="str">
        <f t="shared" si="153"/>
        <v>5L</v>
      </c>
      <c r="D707" s="96"/>
      <c r="E707" s="98"/>
      <c r="F707" s="98"/>
      <c r="G707" s="55"/>
      <c r="H707" s="55"/>
      <c r="I707" s="99">
        <f t="shared" si="154"/>
        <v>0</v>
      </c>
      <c r="J707" s="55"/>
      <c r="K707" s="55"/>
      <c r="L707" s="99">
        <f t="shared" si="155"/>
        <v>0</v>
      </c>
      <c r="M707" s="44" t="str">
        <f t="shared" si="157"/>
        <v/>
      </c>
      <c r="N707" s="100">
        <f t="shared" si="158"/>
        <v>0</v>
      </c>
      <c r="O707" s="101">
        <f t="shared" si="159"/>
        <v>0</v>
      </c>
      <c r="P707" s="52">
        <f t="shared" si="160"/>
        <v>0</v>
      </c>
      <c r="Q707" s="49">
        <v>116.88487613461319</v>
      </c>
      <c r="R707">
        <v>2225</v>
      </c>
      <c r="S707" s="50">
        <f t="shared" si="156"/>
        <v>71535.307499999995</v>
      </c>
      <c r="T707" s="50">
        <f t="shared" si="161"/>
        <v>0</v>
      </c>
      <c r="U707" s="58">
        <f t="shared" si="162"/>
        <v>0</v>
      </c>
      <c r="V707" s="58">
        <f t="shared" si="163"/>
        <v>0</v>
      </c>
      <c r="W707" s="58">
        <f t="shared" si="164"/>
        <v>0</v>
      </c>
      <c r="X707" s="58">
        <f t="shared" si="165"/>
        <v>0</v>
      </c>
      <c r="Y707" s="52">
        <f t="shared" si="166"/>
        <v>0</v>
      </c>
    </row>
    <row r="708" spans="1:25" x14ac:dyDescent="0.25">
      <c r="A708" s="1218" t="s">
        <v>146</v>
      </c>
      <c r="B708" s="98">
        <v>45444</v>
      </c>
      <c r="C708" s="117" t="str">
        <f t="shared" si="153"/>
        <v>5L</v>
      </c>
      <c r="D708" s="96"/>
      <c r="E708" s="98"/>
      <c r="F708" s="98"/>
      <c r="G708" s="55"/>
      <c r="H708" s="55"/>
      <c r="I708" s="99">
        <f t="shared" si="154"/>
        <v>0</v>
      </c>
      <c r="J708" s="55"/>
      <c r="K708" s="55"/>
      <c r="L708" s="99">
        <f t="shared" si="155"/>
        <v>0</v>
      </c>
      <c r="M708" s="44" t="str">
        <f t="shared" si="157"/>
        <v/>
      </c>
      <c r="N708" s="100">
        <f t="shared" si="158"/>
        <v>0</v>
      </c>
      <c r="O708" s="101">
        <f t="shared" si="159"/>
        <v>0</v>
      </c>
      <c r="P708" s="52">
        <f t="shared" si="160"/>
        <v>0</v>
      </c>
      <c r="Q708" s="49">
        <v>116.88487613461319</v>
      </c>
      <c r="R708">
        <v>2225</v>
      </c>
      <c r="S708" s="50">
        <f t="shared" si="156"/>
        <v>71535.307499999995</v>
      </c>
      <c r="T708" s="50">
        <f t="shared" si="161"/>
        <v>0</v>
      </c>
      <c r="U708" s="58">
        <f t="shared" si="162"/>
        <v>0</v>
      </c>
      <c r="V708" s="58">
        <f t="shared" si="163"/>
        <v>0</v>
      </c>
      <c r="W708" s="58">
        <f t="shared" si="164"/>
        <v>0</v>
      </c>
      <c r="X708" s="58">
        <f t="shared" si="165"/>
        <v>0</v>
      </c>
      <c r="Y708" s="52">
        <f t="shared" si="166"/>
        <v>0</v>
      </c>
    </row>
    <row r="709" spans="1:25" x14ac:dyDescent="0.25">
      <c r="A709" s="1218" t="s">
        <v>147</v>
      </c>
      <c r="B709" s="98">
        <v>45444</v>
      </c>
      <c r="C709" s="117" t="str">
        <f t="shared" si="153"/>
        <v>5L</v>
      </c>
      <c r="D709" s="96"/>
      <c r="E709" s="98"/>
      <c r="F709" s="98"/>
      <c r="G709" s="55"/>
      <c r="H709" s="55"/>
      <c r="I709" s="99">
        <f t="shared" si="154"/>
        <v>0</v>
      </c>
      <c r="J709" s="55"/>
      <c r="K709" s="55"/>
      <c r="L709" s="99">
        <f t="shared" si="155"/>
        <v>0</v>
      </c>
      <c r="M709" s="44" t="str">
        <f t="shared" si="157"/>
        <v/>
      </c>
      <c r="N709" s="100">
        <f t="shared" si="158"/>
        <v>0</v>
      </c>
      <c r="O709" s="101">
        <f t="shared" si="159"/>
        <v>0</v>
      </c>
      <c r="P709" s="52">
        <f t="shared" si="160"/>
        <v>0</v>
      </c>
      <c r="Q709" s="49">
        <v>116.88487613461319</v>
      </c>
      <c r="R709">
        <v>2225</v>
      </c>
      <c r="S709" s="50">
        <f t="shared" si="156"/>
        <v>71535.307499999995</v>
      </c>
      <c r="T709" s="50">
        <f t="shared" si="161"/>
        <v>0</v>
      </c>
      <c r="U709" s="58">
        <f t="shared" si="162"/>
        <v>0</v>
      </c>
      <c r="V709" s="58">
        <f t="shared" si="163"/>
        <v>0</v>
      </c>
      <c r="W709" s="58">
        <f t="shared" si="164"/>
        <v>0</v>
      </c>
      <c r="X709" s="58">
        <f t="shared" si="165"/>
        <v>0</v>
      </c>
      <c r="Y709" s="52">
        <f t="shared" si="166"/>
        <v>0</v>
      </c>
    </row>
    <row r="710" spans="1:25" x14ac:dyDescent="0.25">
      <c r="A710" s="1218" t="s">
        <v>148</v>
      </c>
      <c r="B710" s="98">
        <v>45444</v>
      </c>
      <c r="C710" s="117" t="str">
        <f t="shared" si="153"/>
        <v>5L</v>
      </c>
      <c r="D710" s="96"/>
      <c r="E710" s="98"/>
      <c r="F710" s="98"/>
      <c r="G710" s="55"/>
      <c r="H710" s="55"/>
      <c r="I710" s="99">
        <f t="shared" si="154"/>
        <v>0</v>
      </c>
      <c r="J710" s="55"/>
      <c r="K710" s="55"/>
      <c r="L710" s="99">
        <f t="shared" si="155"/>
        <v>0</v>
      </c>
      <c r="M710" s="44" t="str">
        <f t="shared" si="157"/>
        <v/>
      </c>
      <c r="N710" s="100">
        <f t="shared" si="158"/>
        <v>0</v>
      </c>
      <c r="O710" s="101">
        <f t="shared" si="159"/>
        <v>0</v>
      </c>
      <c r="P710" s="52">
        <f t="shared" si="160"/>
        <v>0</v>
      </c>
      <c r="Q710" s="49">
        <v>116.88487613461319</v>
      </c>
      <c r="R710">
        <v>2225</v>
      </c>
      <c r="S710" s="50">
        <f t="shared" si="156"/>
        <v>71535.307499999995</v>
      </c>
      <c r="T710" s="50">
        <f t="shared" si="161"/>
        <v>0</v>
      </c>
      <c r="U710" s="58">
        <f t="shared" si="162"/>
        <v>0</v>
      </c>
      <c r="V710" s="58">
        <f t="shared" si="163"/>
        <v>0</v>
      </c>
      <c r="W710" s="58">
        <f t="shared" si="164"/>
        <v>0</v>
      </c>
      <c r="X710" s="58">
        <f t="shared" si="165"/>
        <v>0</v>
      </c>
      <c r="Y710" s="52">
        <f t="shared" si="166"/>
        <v>0</v>
      </c>
    </row>
    <row r="711" spans="1:25" x14ac:dyDescent="0.25">
      <c r="A711" s="1218" t="s">
        <v>149</v>
      </c>
      <c r="B711" s="98">
        <v>45444</v>
      </c>
      <c r="C711" s="117" t="str">
        <f t="shared" si="153"/>
        <v>5L</v>
      </c>
      <c r="D711" s="96"/>
      <c r="E711" s="98"/>
      <c r="F711" s="98"/>
      <c r="G711" s="55"/>
      <c r="H711" s="55"/>
      <c r="I711" s="99">
        <f t="shared" si="154"/>
        <v>0</v>
      </c>
      <c r="J711" s="55"/>
      <c r="K711" s="55"/>
      <c r="L711" s="99">
        <f t="shared" si="155"/>
        <v>0</v>
      </c>
      <c r="M711" s="44" t="str">
        <f t="shared" si="157"/>
        <v/>
      </c>
      <c r="N711" s="100">
        <f t="shared" si="158"/>
        <v>0</v>
      </c>
      <c r="O711" s="101">
        <f t="shared" si="159"/>
        <v>0</v>
      </c>
      <c r="P711" s="52">
        <f t="shared" si="160"/>
        <v>0</v>
      </c>
      <c r="Q711" s="49">
        <v>116.88487613461319</v>
      </c>
      <c r="R711">
        <v>2225</v>
      </c>
      <c r="S711" s="50">
        <f t="shared" si="156"/>
        <v>71535.307499999995</v>
      </c>
      <c r="T711" s="50">
        <f t="shared" si="161"/>
        <v>0</v>
      </c>
      <c r="U711" s="58">
        <f t="shared" si="162"/>
        <v>0</v>
      </c>
      <c r="V711" s="58">
        <f t="shared" si="163"/>
        <v>0</v>
      </c>
      <c r="W711" s="58">
        <f t="shared" si="164"/>
        <v>0</v>
      </c>
      <c r="X711" s="58">
        <f t="shared" si="165"/>
        <v>0</v>
      </c>
      <c r="Y711" s="52">
        <f t="shared" si="166"/>
        <v>0</v>
      </c>
    </row>
    <row r="712" spans="1:25" x14ac:dyDescent="0.25">
      <c r="A712" s="1218" t="s">
        <v>150</v>
      </c>
      <c r="B712" s="98">
        <v>45444</v>
      </c>
      <c r="C712" s="117" t="str">
        <f t="shared" si="153"/>
        <v>6L</v>
      </c>
      <c r="D712" s="96"/>
      <c r="E712" s="98"/>
      <c r="F712" s="98"/>
      <c r="I712" s="99">
        <f t="shared" si="154"/>
        <v>0</v>
      </c>
      <c r="L712" s="99">
        <f t="shared" si="155"/>
        <v>0</v>
      </c>
      <c r="M712" s="44" t="str">
        <f t="shared" si="157"/>
        <v/>
      </c>
      <c r="N712" s="100">
        <f t="shared" si="158"/>
        <v>0</v>
      </c>
      <c r="O712" s="101">
        <f t="shared" si="159"/>
        <v>0</v>
      </c>
      <c r="P712" s="52">
        <f t="shared" si="160"/>
        <v>0</v>
      </c>
      <c r="Q712" s="49">
        <v>116.88487613461319</v>
      </c>
      <c r="R712">
        <v>2225</v>
      </c>
      <c r="S712" s="50">
        <f t="shared" si="156"/>
        <v>71535.307499999995</v>
      </c>
      <c r="T712" s="50">
        <f t="shared" si="161"/>
        <v>0</v>
      </c>
      <c r="U712" s="58">
        <f t="shared" si="162"/>
        <v>0</v>
      </c>
      <c r="V712" s="58">
        <f t="shared" si="163"/>
        <v>0</v>
      </c>
      <c r="W712" s="58">
        <f t="shared" si="164"/>
        <v>0</v>
      </c>
      <c r="X712" s="58">
        <f t="shared" si="165"/>
        <v>0</v>
      </c>
      <c r="Y712" s="52">
        <f t="shared" si="166"/>
        <v>0</v>
      </c>
    </row>
    <row r="713" spans="1:25" x14ac:dyDescent="0.25">
      <c r="A713" s="1218" t="s">
        <v>151</v>
      </c>
      <c r="B713" s="98">
        <v>45444</v>
      </c>
      <c r="C713" s="117" t="str">
        <f t="shared" ref="C713:C776" si="168">LEFT(A713,2)</f>
        <v>6L</v>
      </c>
      <c r="D713" s="96"/>
      <c r="E713" s="98"/>
      <c r="F713" s="98"/>
      <c r="I713" s="99">
        <f t="shared" si="154"/>
        <v>0</v>
      </c>
      <c r="L713" s="99">
        <f t="shared" si="155"/>
        <v>0</v>
      </c>
      <c r="M713" s="44" t="str">
        <f t="shared" si="157"/>
        <v/>
      </c>
      <c r="N713" s="100">
        <f t="shared" si="158"/>
        <v>0</v>
      </c>
      <c r="O713" s="101">
        <f t="shared" si="159"/>
        <v>0</v>
      </c>
      <c r="P713" s="52">
        <f t="shared" si="160"/>
        <v>0</v>
      </c>
      <c r="Q713" s="49">
        <v>116.88487613461319</v>
      </c>
      <c r="R713">
        <v>2225</v>
      </c>
      <c r="S713" s="50">
        <f t="shared" si="156"/>
        <v>71535.307499999995</v>
      </c>
      <c r="T713" s="50">
        <f t="shared" si="161"/>
        <v>0</v>
      </c>
      <c r="U713" s="58">
        <f t="shared" si="162"/>
        <v>0</v>
      </c>
      <c r="V713" s="58">
        <f t="shared" si="163"/>
        <v>0</v>
      </c>
      <c r="W713" s="58">
        <f t="shared" si="164"/>
        <v>0</v>
      </c>
      <c r="X713" s="58">
        <f t="shared" si="165"/>
        <v>0</v>
      </c>
      <c r="Y713" s="52">
        <f t="shared" si="166"/>
        <v>0</v>
      </c>
    </row>
    <row r="714" spans="1:25" x14ac:dyDescent="0.25">
      <c r="A714" s="1218" t="s">
        <v>152</v>
      </c>
      <c r="B714" s="98">
        <v>45444</v>
      </c>
      <c r="C714" s="117" t="str">
        <f t="shared" si="168"/>
        <v>6L</v>
      </c>
      <c r="D714" s="96"/>
      <c r="E714" s="98"/>
      <c r="F714" s="98"/>
      <c r="I714" s="99"/>
      <c r="L714" s="99"/>
      <c r="M714" s="44"/>
      <c r="N714" s="100"/>
      <c r="O714" s="101"/>
      <c r="P714" s="52"/>
      <c r="Q714" s="49"/>
      <c r="S714" s="50"/>
      <c r="T714" s="50"/>
      <c r="U714" s="58"/>
      <c r="V714" s="58"/>
      <c r="W714" s="58"/>
      <c r="X714" s="58"/>
      <c r="Y714" s="52"/>
    </row>
    <row r="715" spans="1:25" x14ac:dyDescent="0.25">
      <c r="A715" s="1218" t="s">
        <v>153</v>
      </c>
      <c r="B715" s="98">
        <v>45444</v>
      </c>
      <c r="C715" s="117" t="str">
        <f t="shared" si="168"/>
        <v>6L</v>
      </c>
      <c r="D715" s="96"/>
      <c r="E715" s="98"/>
      <c r="F715" s="98"/>
      <c r="I715" s="99"/>
      <c r="L715" s="99"/>
      <c r="M715" s="44"/>
      <c r="N715" s="100"/>
      <c r="O715" s="101"/>
      <c r="P715" s="52"/>
      <c r="Q715" s="49"/>
      <c r="S715" s="50"/>
      <c r="T715" s="50"/>
      <c r="U715" s="58"/>
      <c r="V715" s="58"/>
      <c r="W715" s="58"/>
      <c r="X715" s="58"/>
      <c r="Y715" s="52"/>
    </row>
    <row r="716" spans="1:25" x14ac:dyDescent="0.25">
      <c r="A716" s="1218" t="s">
        <v>154</v>
      </c>
      <c r="B716" s="98">
        <v>45444</v>
      </c>
      <c r="C716" s="117" t="str">
        <f t="shared" si="168"/>
        <v>6L</v>
      </c>
      <c r="D716" s="96"/>
      <c r="E716" s="98"/>
      <c r="F716" s="98"/>
      <c r="I716" s="99"/>
      <c r="L716" s="99"/>
      <c r="M716" s="44"/>
      <c r="N716" s="100"/>
      <c r="O716" s="101"/>
      <c r="P716" s="52"/>
      <c r="Q716" s="49"/>
      <c r="S716" s="50"/>
      <c r="T716" s="50"/>
      <c r="U716" s="58"/>
      <c r="V716" s="58"/>
      <c r="W716" s="58"/>
      <c r="X716" s="58"/>
      <c r="Y716" s="52"/>
    </row>
    <row r="717" spans="1:25" x14ac:dyDescent="0.25">
      <c r="A717" s="1218" t="s">
        <v>155</v>
      </c>
      <c r="B717" s="98">
        <v>45444</v>
      </c>
      <c r="C717" s="117" t="str">
        <f t="shared" si="168"/>
        <v>6L</v>
      </c>
      <c r="D717" s="96"/>
      <c r="E717" s="98"/>
      <c r="F717" s="98"/>
      <c r="I717" s="99">
        <f t="shared" si="154"/>
        <v>0</v>
      </c>
      <c r="L717" s="99">
        <f t="shared" si="155"/>
        <v>0</v>
      </c>
      <c r="M717" s="44" t="str">
        <f t="shared" si="157"/>
        <v/>
      </c>
      <c r="N717" s="100">
        <f t="shared" si="158"/>
        <v>0</v>
      </c>
      <c r="O717" s="101">
        <f t="shared" si="159"/>
        <v>0</v>
      </c>
      <c r="P717" s="52">
        <f t="shared" si="160"/>
        <v>0</v>
      </c>
      <c r="Q717" s="49">
        <v>116.88487613461319</v>
      </c>
      <c r="R717">
        <v>2225</v>
      </c>
      <c r="S717" s="50">
        <f t="shared" si="156"/>
        <v>71535.307499999995</v>
      </c>
      <c r="T717" s="50">
        <f t="shared" si="161"/>
        <v>0</v>
      </c>
      <c r="U717" s="58">
        <f t="shared" si="162"/>
        <v>0</v>
      </c>
      <c r="V717" s="58">
        <f t="shared" si="163"/>
        <v>0</v>
      </c>
      <c r="W717" s="58">
        <f t="shared" si="164"/>
        <v>0</v>
      </c>
      <c r="X717" s="58">
        <f t="shared" si="165"/>
        <v>0</v>
      </c>
      <c r="Y717" s="52">
        <f t="shared" si="166"/>
        <v>0</v>
      </c>
    </row>
    <row r="718" spans="1:25" x14ac:dyDescent="0.25">
      <c r="A718" s="1218" t="s">
        <v>156</v>
      </c>
      <c r="B718" s="98">
        <v>45444</v>
      </c>
      <c r="C718" s="117" t="str">
        <f t="shared" si="168"/>
        <v>6L</v>
      </c>
      <c r="D718" s="96"/>
      <c r="E718" s="98"/>
      <c r="F718" s="98"/>
      <c r="I718" s="99"/>
      <c r="L718" s="99"/>
      <c r="M718" s="44"/>
      <c r="N718" s="100"/>
      <c r="O718" s="101"/>
      <c r="P718" s="52"/>
      <c r="Q718" s="49"/>
      <c r="S718" s="50"/>
      <c r="T718" s="50"/>
      <c r="U718" s="58"/>
      <c r="V718" s="58"/>
      <c r="W718" s="58"/>
      <c r="X718" s="58"/>
      <c r="Y718" s="52"/>
    </row>
    <row r="719" spans="1:25" x14ac:dyDescent="0.25">
      <c r="A719" s="1218" t="s">
        <v>157</v>
      </c>
      <c r="B719" s="98">
        <v>45444</v>
      </c>
      <c r="C719" s="117" t="str">
        <f t="shared" si="168"/>
        <v>6L</v>
      </c>
      <c r="D719" s="96"/>
      <c r="E719" s="98"/>
      <c r="F719" s="98"/>
      <c r="I719" s="99">
        <f t="shared" si="154"/>
        <v>0</v>
      </c>
      <c r="L719" s="99">
        <f t="shared" si="155"/>
        <v>0</v>
      </c>
      <c r="M719" s="44" t="str">
        <f t="shared" si="157"/>
        <v/>
      </c>
      <c r="N719" s="100">
        <f t="shared" si="158"/>
        <v>0</v>
      </c>
      <c r="O719" s="101">
        <f t="shared" si="159"/>
        <v>0</v>
      </c>
      <c r="P719" s="52">
        <f t="shared" si="160"/>
        <v>0</v>
      </c>
      <c r="Q719" s="49">
        <v>116.88487613461319</v>
      </c>
      <c r="R719">
        <v>2225</v>
      </c>
      <c r="S719" s="50">
        <f t="shared" si="156"/>
        <v>71535.307499999995</v>
      </c>
      <c r="T719" s="50">
        <f t="shared" si="161"/>
        <v>0</v>
      </c>
      <c r="U719" s="58">
        <f t="shared" si="162"/>
        <v>0</v>
      </c>
      <c r="V719" s="58">
        <f t="shared" si="163"/>
        <v>0</v>
      </c>
      <c r="W719" s="58">
        <f t="shared" si="164"/>
        <v>0</v>
      </c>
      <c r="X719" s="58">
        <f t="shared" si="165"/>
        <v>0</v>
      </c>
      <c r="Y719" s="52">
        <f t="shared" si="166"/>
        <v>0</v>
      </c>
    </row>
    <row r="720" spans="1:25" x14ac:dyDescent="0.25">
      <c r="A720" s="1218" t="s">
        <v>158</v>
      </c>
      <c r="B720" s="98">
        <v>45444</v>
      </c>
      <c r="C720" s="117" t="str">
        <f t="shared" si="168"/>
        <v>6L</v>
      </c>
      <c r="D720" s="96"/>
      <c r="E720" s="98"/>
      <c r="F720" s="98"/>
      <c r="I720" s="99">
        <f t="shared" si="154"/>
        <v>0</v>
      </c>
      <c r="L720" s="99">
        <f t="shared" si="155"/>
        <v>0</v>
      </c>
      <c r="M720" s="44" t="str">
        <f t="shared" si="157"/>
        <v/>
      </c>
      <c r="N720" s="100">
        <f t="shared" si="158"/>
        <v>0</v>
      </c>
      <c r="O720" s="101">
        <f t="shared" si="159"/>
        <v>0</v>
      </c>
      <c r="P720" s="52">
        <f t="shared" si="160"/>
        <v>0</v>
      </c>
      <c r="Q720" s="49">
        <v>116.88487613461319</v>
      </c>
      <c r="R720">
        <v>2225</v>
      </c>
      <c r="S720" s="50">
        <f t="shared" si="156"/>
        <v>71535.307499999995</v>
      </c>
      <c r="T720" s="50">
        <f t="shared" si="161"/>
        <v>0</v>
      </c>
      <c r="U720" s="58">
        <f t="shared" si="162"/>
        <v>0</v>
      </c>
      <c r="V720" s="58">
        <f t="shared" si="163"/>
        <v>0</v>
      </c>
      <c r="W720" s="58">
        <f t="shared" si="164"/>
        <v>0</v>
      </c>
      <c r="X720" s="58">
        <f t="shared" si="165"/>
        <v>0</v>
      </c>
      <c r="Y720" s="52">
        <f t="shared" si="166"/>
        <v>0</v>
      </c>
    </row>
    <row r="721" spans="1:25" x14ac:dyDescent="0.25">
      <c r="A721" s="1218" t="s">
        <v>159</v>
      </c>
      <c r="B721" s="98">
        <v>45444</v>
      </c>
      <c r="C721" s="117" t="str">
        <f t="shared" si="168"/>
        <v>6L</v>
      </c>
      <c r="D721" s="96"/>
      <c r="E721" s="98"/>
      <c r="F721" s="98"/>
      <c r="I721" s="99">
        <f t="shared" si="154"/>
        <v>0</v>
      </c>
      <c r="L721" s="99">
        <f t="shared" si="155"/>
        <v>0</v>
      </c>
      <c r="M721" s="44" t="str">
        <f t="shared" si="157"/>
        <v/>
      </c>
      <c r="N721" s="100">
        <f t="shared" si="158"/>
        <v>0</v>
      </c>
      <c r="O721" s="101">
        <f t="shared" si="159"/>
        <v>0</v>
      </c>
      <c r="P721" s="52">
        <f t="shared" si="160"/>
        <v>0</v>
      </c>
      <c r="Q721" s="49">
        <v>116.88487613461319</v>
      </c>
      <c r="R721">
        <v>2225</v>
      </c>
      <c r="S721" s="50">
        <f t="shared" si="156"/>
        <v>71535.307499999995</v>
      </c>
      <c r="T721" s="50">
        <f t="shared" si="161"/>
        <v>0</v>
      </c>
      <c r="U721" s="58">
        <f t="shared" si="162"/>
        <v>0</v>
      </c>
      <c r="V721" s="58">
        <f t="shared" si="163"/>
        <v>0</v>
      </c>
      <c r="W721" s="58">
        <f t="shared" si="164"/>
        <v>0</v>
      </c>
      <c r="X721" s="58">
        <f t="shared" si="165"/>
        <v>0</v>
      </c>
      <c r="Y721" s="52">
        <f t="shared" si="166"/>
        <v>0</v>
      </c>
    </row>
    <row r="722" spans="1:25" x14ac:dyDescent="0.25">
      <c r="A722" s="1218" t="s">
        <v>160</v>
      </c>
      <c r="B722" s="98">
        <v>45444</v>
      </c>
      <c r="C722" s="117" t="str">
        <f t="shared" si="168"/>
        <v>6L</v>
      </c>
      <c r="D722" s="96"/>
      <c r="E722" s="98"/>
      <c r="F722" s="98"/>
      <c r="I722" s="99">
        <f t="shared" si="154"/>
        <v>0</v>
      </c>
      <c r="L722" s="99">
        <f t="shared" si="155"/>
        <v>0</v>
      </c>
      <c r="M722" s="44" t="str">
        <f t="shared" si="157"/>
        <v/>
      </c>
      <c r="N722" s="100">
        <f t="shared" si="158"/>
        <v>0</v>
      </c>
      <c r="O722" s="101">
        <f t="shared" si="159"/>
        <v>0</v>
      </c>
      <c r="P722" s="52">
        <f t="shared" si="160"/>
        <v>0</v>
      </c>
      <c r="Q722" s="49">
        <v>116.88487613461319</v>
      </c>
      <c r="R722">
        <v>2225</v>
      </c>
      <c r="S722" s="50">
        <f t="shared" si="156"/>
        <v>71535.307499999995</v>
      </c>
      <c r="T722" s="50">
        <f t="shared" si="161"/>
        <v>0</v>
      </c>
      <c r="U722" s="58">
        <f t="shared" si="162"/>
        <v>0</v>
      </c>
      <c r="V722" s="58">
        <f t="shared" si="163"/>
        <v>0</v>
      </c>
      <c r="W722" s="58">
        <f t="shared" si="164"/>
        <v>0</v>
      </c>
      <c r="X722" s="58">
        <f t="shared" si="165"/>
        <v>0</v>
      </c>
      <c r="Y722" s="52">
        <f t="shared" si="166"/>
        <v>0</v>
      </c>
    </row>
    <row r="723" spans="1:25" x14ac:dyDescent="0.25">
      <c r="A723" s="1218" t="s">
        <v>161</v>
      </c>
      <c r="B723" s="98">
        <v>45444</v>
      </c>
      <c r="C723" s="117" t="str">
        <f t="shared" si="168"/>
        <v>6L</v>
      </c>
      <c r="D723" s="96"/>
      <c r="E723" s="98"/>
      <c r="F723" s="98"/>
      <c r="I723" s="99">
        <f t="shared" si="154"/>
        <v>0</v>
      </c>
      <c r="L723" s="99">
        <f t="shared" si="155"/>
        <v>0</v>
      </c>
      <c r="M723" s="44" t="str">
        <f t="shared" si="157"/>
        <v/>
      </c>
      <c r="N723" s="100">
        <f t="shared" si="158"/>
        <v>0</v>
      </c>
      <c r="O723" s="101">
        <f t="shared" si="159"/>
        <v>0</v>
      </c>
      <c r="P723" s="52">
        <f t="shared" si="160"/>
        <v>0</v>
      </c>
      <c r="Q723" s="49">
        <v>116.88487613461319</v>
      </c>
      <c r="R723">
        <v>2225</v>
      </c>
      <c r="S723" s="50">
        <f t="shared" si="156"/>
        <v>71535.307499999995</v>
      </c>
      <c r="T723" s="50">
        <f t="shared" si="161"/>
        <v>0</v>
      </c>
      <c r="U723" s="58">
        <f t="shared" si="162"/>
        <v>0</v>
      </c>
      <c r="V723" s="58">
        <f t="shared" si="163"/>
        <v>0</v>
      </c>
      <c r="W723" s="58">
        <f t="shared" si="164"/>
        <v>0</v>
      </c>
      <c r="X723" s="58">
        <f t="shared" si="165"/>
        <v>0</v>
      </c>
      <c r="Y723" s="52">
        <f t="shared" si="166"/>
        <v>0</v>
      </c>
    </row>
    <row r="724" spans="1:25" x14ac:dyDescent="0.25">
      <c r="A724" s="1218" t="s">
        <v>162</v>
      </c>
      <c r="B724" s="98">
        <v>45444</v>
      </c>
      <c r="C724" s="117" t="str">
        <f t="shared" si="168"/>
        <v>6L</v>
      </c>
      <c r="D724" s="96"/>
      <c r="E724" s="98"/>
      <c r="F724" s="98"/>
      <c r="I724" s="99">
        <f t="shared" si="154"/>
        <v>0</v>
      </c>
      <c r="L724" s="99">
        <f t="shared" si="155"/>
        <v>0</v>
      </c>
      <c r="M724" s="44" t="str">
        <f t="shared" si="157"/>
        <v/>
      </c>
      <c r="N724" s="100">
        <f t="shared" si="158"/>
        <v>0</v>
      </c>
      <c r="O724" s="101">
        <f t="shared" si="159"/>
        <v>0</v>
      </c>
      <c r="P724" s="52">
        <f t="shared" si="160"/>
        <v>0</v>
      </c>
      <c r="Q724" s="49">
        <v>116.88487613461319</v>
      </c>
      <c r="R724">
        <v>2225</v>
      </c>
      <c r="S724" s="50">
        <f t="shared" si="156"/>
        <v>71535.307499999995</v>
      </c>
      <c r="T724" s="50">
        <f t="shared" si="161"/>
        <v>0</v>
      </c>
      <c r="U724" s="58">
        <f t="shared" si="162"/>
        <v>0</v>
      </c>
      <c r="V724" s="58">
        <f t="shared" si="163"/>
        <v>0</v>
      </c>
      <c r="W724" s="58">
        <f t="shared" si="164"/>
        <v>0</v>
      </c>
      <c r="X724" s="58">
        <f t="shared" si="165"/>
        <v>0</v>
      </c>
      <c r="Y724" s="52">
        <f t="shared" si="166"/>
        <v>0</v>
      </c>
    </row>
    <row r="725" spans="1:25" x14ac:dyDescent="0.25">
      <c r="A725" s="1218" t="s">
        <v>163</v>
      </c>
      <c r="B725" s="98">
        <v>45444</v>
      </c>
      <c r="C725" s="117" t="str">
        <f t="shared" si="168"/>
        <v>6L</v>
      </c>
      <c r="D725" s="96"/>
      <c r="E725" s="98"/>
      <c r="F725" s="98"/>
      <c r="I725" s="99">
        <f t="shared" si="154"/>
        <v>0</v>
      </c>
      <c r="L725" s="99">
        <f t="shared" si="155"/>
        <v>0</v>
      </c>
      <c r="M725" s="44" t="str">
        <f t="shared" si="157"/>
        <v/>
      </c>
      <c r="N725" s="100">
        <f t="shared" si="158"/>
        <v>0</v>
      </c>
      <c r="O725" s="101">
        <f t="shared" si="159"/>
        <v>0</v>
      </c>
      <c r="P725" s="52">
        <f t="shared" si="160"/>
        <v>0</v>
      </c>
      <c r="Q725" s="49">
        <v>116.88487613461319</v>
      </c>
      <c r="R725">
        <v>2225</v>
      </c>
      <c r="S725" s="50">
        <f t="shared" si="156"/>
        <v>71535.307499999995</v>
      </c>
      <c r="T725" s="50">
        <f t="shared" si="161"/>
        <v>0</v>
      </c>
      <c r="U725" s="58">
        <f t="shared" si="162"/>
        <v>0</v>
      </c>
      <c r="V725" s="58">
        <f t="shared" si="163"/>
        <v>0</v>
      </c>
      <c r="W725" s="58">
        <f t="shared" si="164"/>
        <v>0</v>
      </c>
      <c r="X725" s="58">
        <f t="shared" si="165"/>
        <v>0</v>
      </c>
      <c r="Y725" s="52">
        <f t="shared" si="166"/>
        <v>0</v>
      </c>
    </row>
    <row r="726" spans="1:25" x14ac:dyDescent="0.25">
      <c r="A726" s="1218" t="s">
        <v>164</v>
      </c>
      <c r="B726" s="98">
        <v>45444</v>
      </c>
      <c r="C726" s="117" t="str">
        <f t="shared" si="168"/>
        <v>6L</v>
      </c>
      <c r="D726" s="96"/>
      <c r="E726" s="98"/>
      <c r="F726" s="98"/>
      <c r="I726" s="99">
        <f t="shared" si="154"/>
        <v>0</v>
      </c>
      <c r="L726" s="99">
        <f t="shared" si="155"/>
        <v>0</v>
      </c>
      <c r="M726" s="44" t="str">
        <f t="shared" si="157"/>
        <v/>
      </c>
      <c r="N726" s="100">
        <f t="shared" si="158"/>
        <v>0</v>
      </c>
      <c r="O726" s="101">
        <f t="shared" si="159"/>
        <v>0</v>
      </c>
      <c r="P726" s="52">
        <f t="shared" si="160"/>
        <v>0</v>
      </c>
      <c r="Q726" s="49">
        <v>116.88487613461319</v>
      </c>
      <c r="R726">
        <v>2225</v>
      </c>
      <c r="S726" s="50">
        <f t="shared" si="156"/>
        <v>71535.307499999995</v>
      </c>
      <c r="T726" s="50">
        <f t="shared" si="161"/>
        <v>0</v>
      </c>
      <c r="U726" s="58">
        <f t="shared" si="162"/>
        <v>0</v>
      </c>
      <c r="V726" s="58">
        <f t="shared" si="163"/>
        <v>0</v>
      </c>
      <c r="W726" s="58">
        <f t="shared" si="164"/>
        <v>0</v>
      </c>
      <c r="X726" s="58">
        <f t="shared" si="165"/>
        <v>0</v>
      </c>
      <c r="Y726" s="52">
        <f t="shared" si="166"/>
        <v>0</v>
      </c>
    </row>
    <row r="727" spans="1:25" x14ac:dyDescent="0.25">
      <c r="A727" s="1218" t="s">
        <v>165</v>
      </c>
      <c r="B727" s="98">
        <v>45444</v>
      </c>
      <c r="C727" s="117" t="str">
        <f t="shared" si="168"/>
        <v>6L</v>
      </c>
      <c r="D727" s="96"/>
      <c r="E727" s="98"/>
      <c r="F727" s="98"/>
      <c r="I727" s="99">
        <f t="shared" si="154"/>
        <v>0</v>
      </c>
      <c r="L727" s="99">
        <f t="shared" si="155"/>
        <v>0</v>
      </c>
      <c r="M727" s="44" t="str">
        <f t="shared" si="157"/>
        <v/>
      </c>
      <c r="N727" s="100">
        <f t="shared" si="158"/>
        <v>0</v>
      </c>
      <c r="O727" s="101">
        <f t="shared" si="159"/>
        <v>0</v>
      </c>
      <c r="P727" s="52">
        <f t="shared" si="160"/>
        <v>0</v>
      </c>
      <c r="Q727" s="49">
        <v>116.88487613461319</v>
      </c>
      <c r="R727">
        <v>2225</v>
      </c>
      <c r="S727" s="50">
        <f t="shared" si="156"/>
        <v>71535.307499999995</v>
      </c>
      <c r="T727" s="50">
        <f t="shared" si="161"/>
        <v>0</v>
      </c>
      <c r="U727" s="58">
        <f t="shared" si="162"/>
        <v>0</v>
      </c>
      <c r="V727" s="58">
        <f t="shared" si="163"/>
        <v>0</v>
      </c>
      <c r="W727" s="58">
        <f t="shared" si="164"/>
        <v>0</v>
      </c>
      <c r="X727" s="58">
        <f t="shared" si="165"/>
        <v>0</v>
      </c>
      <c r="Y727" s="52">
        <f t="shared" si="166"/>
        <v>0</v>
      </c>
    </row>
    <row r="728" spans="1:25" x14ac:dyDescent="0.25">
      <c r="A728" s="1218" t="s">
        <v>166</v>
      </c>
      <c r="B728" s="98">
        <v>45444</v>
      </c>
      <c r="C728" s="117" t="str">
        <f t="shared" si="168"/>
        <v>6L</v>
      </c>
      <c r="D728" s="96"/>
      <c r="E728" s="98"/>
      <c r="F728" s="98"/>
      <c r="I728" s="99">
        <f t="shared" si="154"/>
        <v>0</v>
      </c>
      <c r="L728" s="99">
        <f t="shared" si="155"/>
        <v>0</v>
      </c>
      <c r="M728" s="44" t="str">
        <f t="shared" si="157"/>
        <v/>
      </c>
      <c r="N728" s="100">
        <f t="shared" si="158"/>
        <v>0</v>
      </c>
      <c r="O728" s="101">
        <f t="shared" si="159"/>
        <v>0</v>
      </c>
      <c r="P728" s="52">
        <f t="shared" si="160"/>
        <v>0</v>
      </c>
      <c r="Q728" s="49">
        <v>116.88487613461319</v>
      </c>
      <c r="R728">
        <v>2225</v>
      </c>
      <c r="S728" s="50">
        <f t="shared" si="156"/>
        <v>71535.307499999995</v>
      </c>
      <c r="T728" s="50">
        <f t="shared" si="161"/>
        <v>0</v>
      </c>
      <c r="U728" s="58">
        <f t="shared" si="162"/>
        <v>0</v>
      </c>
      <c r="V728" s="58">
        <f t="shared" si="163"/>
        <v>0</v>
      </c>
      <c r="W728" s="58">
        <f t="shared" si="164"/>
        <v>0</v>
      </c>
      <c r="X728" s="58">
        <f t="shared" si="165"/>
        <v>0</v>
      </c>
      <c r="Y728" s="52">
        <f t="shared" si="166"/>
        <v>0</v>
      </c>
    </row>
    <row r="729" spans="1:25" x14ac:dyDescent="0.25">
      <c r="A729" s="1218" t="s">
        <v>167</v>
      </c>
      <c r="B729" s="98">
        <v>45444</v>
      </c>
      <c r="C729" s="117" t="str">
        <f t="shared" si="168"/>
        <v>6L</v>
      </c>
      <c r="D729" s="96"/>
      <c r="E729" s="98"/>
      <c r="F729" s="98"/>
      <c r="I729" s="99">
        <f t="shared" si="154"/>
        <v>0</v>
      </c>
      <c r="L729" s="99">
        <f t="shared" si="155"/>
        <v>0</v>
      </c>
      <c r="M729" s="44" t="str">
        <f t="shared" si="157"/>
        <v/>
      </c>
      <c r="N729" s="100">
        <f t="shared" si="158"/>
        <v>0</v>
      </c>
      <c r="O729" s="101">
        <f t="shared" si="159"/>
        <v>0</v>
      </c>
      <c r="P729" s="52">
        <f t="shared" si="160"/>
        <v>0</v>
      </c>
      <c r="Q729" s="49">
        <v>116.88487613461319</v>
      </c>
      <c r="R729">
        <v>2225</v>
      </c>
      <c r="S729" s="50">
        <f t="shared" si="156"/>
        <v>71535.307499999995</v>
      </c>
      <c r="T729" s="50">
        <f t="shared" si="161"/>
        <v>0</v>
      </c>
      <c r="U729" s="58">
        <f t="shared" si="162"/>
        <v>0</v>
      </c>
      <c r="V729" s="58">
        <f t="shared" si="163"/>
        <v>0</v>
      </c>
      <c r="W729" s="58">
        <f t="shared" si="164"/>
        <v>0</v>
      </c>
      <c r="X729" s="58">
        <f t="shared" si="165"/>
        <v>0</v>
      </c>
      <c r="Y729" s="52">
        <f t="shared" si="166"/>
        <v>0</v>
      </c>
    </row>
    <row r="730" spans="1:25" x14ac:dyDescent="0.25">
      <c r="A730" s="1218" t="s">
        <v>168</v>
      </c>
      <c r="B730" s="98">
        <v>45444</v>
      </c>
      <c r="C730" s="117" t="str">
        <f t="shared" si="168"/>
        <v>6L</v>
      </c>
      <c r="D730" s="96"/>
      <c r="E730" s="98"/>
      <c r="F730" s="98"/>
      <c r="I730" s="99">
        <f t="shared" si="154"/>
        <v>0</v>
      </c>
      <c r="L730" s="99">
        <f t="shared" si="155"/>
        <v>0</v>
      </c>
      <c r="M730" s="44" t="str">
        <f t="shared" si="157"/>
        <v/>
      </c>
      <c r="N730" s="100">
        <f t="shared" si="158"/>
        <v>0</v>
      </c>
      <c r="O730" s="101">
        <f t="shared" si="159"/>
        <v>0</v>
      </c>
      <c r="P730" s="52">
        <f t="shared" si="160"/>
        <v>0</v>
      </c>
      <c r="Q730" s="49">
        <v>116.88487613461319</v>
      </c>
      <c r="R730">
        <v>2225</v>
      </c>
      <c r="S730" s="50">
        <f t="shared" si="156"/>
        <v>71535.307499999995</v>
      </c>
      <c r="T730" s="50">
        <f t="shared" si="161"/>
        <v>0</v>
      </c>
      <c r="U730" s="58">
        <f t="shared" si="162"/>
        <v>0</v>
      </c>
      <c r="V730" s="58">
        <f t="shared" si="163"/>
        <v>0</v>
      </c>
      <c r="W730" s="58">
        <f t="shared" si="164"/>
        <v>0</v>
      </c>
      <c r="X730" s="58">
        <f t="shared" si="165"/>
        <v>0</v>
      </c>
      <c r="Y730" s="52">
        <f t="shared" si="166"/>
        <v>0</v>
      </c>
    </row>
    <row r="731" spans="1:25" x14ac:dyDescent="0.25">
      <c r="A731" s="1218" t="s">
        <v>169</v>
      </c>
      <c r="B731" s="98">
        <v>45444</v>
      </c>
      <c r="C731" s="117" t="str">
        <f t="shared" si="168"/>
        <v>6L</v>
      </c>
      <c r="D731" s="96"/>
      <c r="E731" s="98"/>
      <c r="F731" s="98"/>
      <c r="I731" s="99">
        <f t="shared" si="154"/>
        <v>0</v>
      </c>
      <c r="L731" s="99">
        <f t="shared" si="155"/>
        <v>0</v>
      </c>
      <c r="M731" s="44" t="str">
        <f t="shared" si="157"/>
        <v/>
      </c>
      <c r="N731" s="100">
        <f t="shared" si="158"/>
        <v>0</v>
      </c>
      <c r="O731" s="101">
        <f t="shared" si="159"/>
        <v>0</v>
      </c>
      <c r="P731" s="52">
        <f t="shared" si="160"/>
        <v>0</v>
      </c>
      <c r="Q731" s="49">
        <v>116.88487613461319</v>
      </c>
      <c r="R731">
        <v>2225</v>
      </c>
      <c r="S731" s="50">
        <f t="shared" si="156"/>
        <v>71535.307499999995</v>
      </c>
      <c r="T731" s="50">
        <f t="shared" si="161"/>
        <v>0</v>
      </c>
      <c r="U731" s="58">
        <f t="shared" si="162"/>
        <v>0</v>
      </c>
      <c r="V731" s="58">
        <f t="shared" si="163"/>
        <v>0</v>
      </c>
      <c r="W731" s="58">
        <f t="shared" si="164"/>
        <v>0</v>
      </c>
      <c r="X731" s="58">
        <f t="shared" si="165"/>
        <v>0</v>
      </c>
      <c r="Y731" s="52">
        <f t="shared" si="166"/>
        <v>0</v>
      </c>
    </row>
    <row r="732" spans="1:25" x14ac:dyDescent="0.25">
      <c r="A732" s="1218" t="s">
        <v>170</v>
      </c>
      <c r="B732" s="98">
        <v>45444</v>
      </c>
      <c r="C732" s="117" t="str">
        <f t="shared" si="168"/>
        <v>6L</v>
      </c>
      <c r="D732" s="96"/>
      <c r="E732" s="98"/>
      <c r="F732" s="98"/>
      <c r="I732" s="99">
        <f t="shared" si="154"/>
        <v>0</v>
      </c>
      <c r="L732" s="99">
        <f t="shared" si="155"/>
        <v>0</v>
      </c>
      <c r="M732" s="44" t="str">
        <f t="shared" si="157"/>
        <v/>
      </c>
      <c r="N732" s="100">
        <f t="shared" si="158"/>
        <v>0</v>
      </c>
      <c r="O732" s="101">
        <f t="shared" si="159"/>
        <v>0</v>
      </c>
      <c r="P732" s="52">
        <f t="shared" si="160"/>
        <v>0</v>
      </c>
      <c r="Q732" s="49">
        <v>116.88487613461319</v>
      </c>
      <c r="R732">
        <v>2225</v>
      </c>
      <c r="S732" s="50">
        <f t="shared" si="156"/>
        <v>71535.307499999995</v>
      </c>
      <c r="T732" s="50">
        <f t="shared" si="161"/>
        <v>0</v>
      </c>
      <c r="U732" s="58">
        <f t="shared" si="162"/>
        <v>0</v>
      </c>
      <c r="V732" s="58">
        <f t="shared" si="163"/>
        <v>0</v>
      </c>
      <c r="W732" s="58">
        <f t="shared" si="164"/>
        <v>0</v>
      </c>
      <c r="X732" s="58">
        <f t="shared" si="165"/>
        <v>0</v>
      </c>
      <c r="Y732" s="52">
        <f t="shared" si="166"/>
        <v>0</v>
      </c>
    </row>
    <row r="733" spans="1:25" x14ac:dyDescent="0.25">
      <c r="A733" s="1218" t="s">
        <v>171</v>
      </c>
      <c r="B733" s="98">
        <v>45444</v>
      </c>
      <c r="C733" s="117" t="str">
        <f t="shared" si="168"/>
        <v>6L</v>
      </c>
      <c r="D733" s="96"/>
      <c r="E733" s="98"/>
      <c r="F733" s="98"/>
      <c r="I733" s="99">
        <f t="shared" si="154"/>
        <v>0</v>
      </c>
      <c r="L733" s="99">
        <f t="shared" si="155"/>
        <v>0</v>
      </c>
      <c r="M733" s="44" t="str">
        <f t="shared" si="157"/>
        <v/>
      </c>
      <c r="N733" s="100">
        <f t="shared" si="158"/>
        <v>0</v>
      </c>
      <c r="O733" s="101">
        <f t="shared" si="159"/>
        <v>0</v>
      </c>
      <c r="P733" s="52">
        <f t="shared" si="160"/>
        <v>0</v>
      </c>
      <c r="Q733" s="49">
        <v>116.88487613461319</v>
      </c>
      <c r="R733">
        <v>2225</v>
      </c>
      <c r="S733" s="50">
        <f t="shared" si="156"/>
        <v>71535.307499999995</v>
      </c>
      <c r="T733" s="50">
        <f t="shared" si="161"/>
        <v>0</v>
      </c>
      <c r="U733" s="58">
        <f t="shared" si="162"/>
        <v>0</v>
      </c>
      <c r="V733" s="58">
        <f t="shared" si="163"/>
        <v>0</v>
      </c>
      <c r="W733" s="58">
        <f t="shared" si="164"/>
        <v>0</v>
      </c>
      <c r="X733" s="58">
        <f t="shared" si="165"/>
        <v>0</v>
      </c>
      <c r="Y733" s="52">
        <f t="shared" si="166"/>
        <v>0</v>
      </c>
    </row>
    <row r="734" spans="1:25" x14ac:dyDescent="0.25">
      <c r="A734" s="1218" t="s">
        <v>172</v>
      </c>
      <c r="B734" s="98">
        <v>45444</v>
      </c>
      <c r="C734" s="117" t="str">
        <f t="shared" si="168"/>
        <v>6L</v>
      </c>
      <c r="D734" s="96"/>
      <c r="E734" s="98"/>
      <c r="F734" s="98"/>
      <c r="I734" s="99">
        <f t="shared" si="154"/>
        <v>0</v>
      </c>
      <c r="L734" s="99">
        <f t="shared" si="155"/>
        <v>0</v>
      </c>
      <c r="M734" s="44" t="str">
        <f t="shared" si="157"/>
        <v/>
      </c>
      <c r="N734" s="100">
        <f t="shared" si="158"/>
        <v>0</v>
      </c>
      <c r="O734" s="101">
        <f t="shared" si="159"/>
        <v>0</v>
      </c>
      <c r="P734" s="52">
        <f t="shared" si="160"/>
        <v>0</v>
      </c>
      <c r="Q734" s="49">
        <v>116.88487613461319</v>
      </c>
      <c r="R734">
        <v>2225</v>
      </c>
      <c r="S734" s="50">
        <f t="shared" si="156"/>
        <v>71535.307499999995</v>
      </c>
      <c r="T734" s="50">
        <f t="shared" si="161"/>
        <v>0</v>
      </c>
      <c r="U734" s="58">
        <f t="shared" si="162"/>
        <v>0</v>
      </c>
      <c r="V734" s="58">
        <f t="shared" si="163"/>
        <v>0</v>
      </c>
      <c r="W734" s="58">
        <f t="shared" si="164"/>
        <v>0</v>
      </c>
      <c r="X734" s="58">
        <f t="shared" si="165"/>
        <v>0</v>
      </c>
      <c r="Y734" s="52">
        <f t="shared" si="166"/>
        <v>0</v>
      </c>
    </row>
    <row r="735" spans="1:25" x14ac:dyDescent="0.25">
      <c r="A735" s="1218" t="s">
        <v>173</v>
      </c>
      <c r="B735" s="98">
        <v>45444</v>
      </c>
      <c r="C735" s="117" t="str">
        <f t="shared" si="168"/>
        <v>6L</v>
      </c>
      <c r="D735" s="96"/>
      <c r="E735" s="98"/>
      <c r="F735" s="98"/>
      <c r="I735" s="99">
        <f t="shared" si="154"/>
        <v>0</v>
      </c>
      <c r="L735" s="99">
        <f t="shared" si="155"/>
        <v>0</v>
      </c>
      <c r="M735" s="44" t="str">
        <f t="shared" si="157"/>
        <v/>
      </c>
      <c r="N735" s="100">
        <f t="shared" si="158"/>
        <v>0</v>
      </c>
      <c r="O735" s="101">
        <f t="shared" si="159"/>
        <v>0</v>
      </c>
      <c r="P735" s="52">
        <f t="shared" si="160"/>
        <v>0</v>
      </c>
      <c r="Q735" s="49">
        <v>116.88487613461319</v>
      </c>
      <c r="R735">
        <v>2225</v>
      </c>
      <c r="S735" s="50">
        <f t="shared" si="156"/>
        <v>71535.307499999995</v>
      </c>
      <c r="T735" s="50">
        <f t="shared" si="161"/>
        <v>0</v>
      </c>
      <c r="U735" s="58">
        <f t="shared" si="162"/>
        <v>0</v>
      </c>
      <c r="V735" s="58">
        <f t="shared" si="163"/>
        <v>0</v>
      </c>
      <c r="W735" s="58">
        <f t="shared" si="164"/>
        <v>0</v>
      </c>
      <c r="X735" s="58">
        <f t="shared" si="165"/>
        <v>0</v>
      </c>
      <c r="Y735" s="52">
        <f t="shared" si="166"/>
        <v>0</v>
      </c>
    </row>
    <row r="736" spans="1:25" x14ac:dyDescent="0.25">
      <c r="A736" s="1218" t="s">
        <v>174</v>
      </c>
      <c r="B736" s="98">
        <v>45444</v>
      </c>
      <c r="C736" s="117" t="str">
        <f t="shared" si="168"/>
        <v>6L</v>
      </c>
      <c r="D736" s="96"/>
      <c r="E736" s="98"/>
      <c r="F736" s="98"/>
      <c r="I736" s="99">
        <f t="shared" ref="I736:I799" si="169">IFERROR(G736*H736/1000,"")</f>
        <v>0</v>
      </c>
      <c r="L736" s="99">
        <f t="shared" ref="L736:L799" si="170">IFERROR(J736*K736/1000,"")</f>
        <v>0</v>
      </c>
      <c r="M736" s="44" t="str">
        <f t="shared" si="157"/>
        <v/>
      </c>
      <c r="N736" s="100">
        <f t="shared" si="158"/>
        <v>0</v>
      </c>
      <c r="O736" s="101">
        <f t="shared" si="159"/>
        <v>0</v>
      </c>
      <c r="P736" s="52">
        <f t="shared" si="160"/>
        <v>0</v>
      </c>
      <c r="Q736" s="49">
        <v>116.88487613461319</v>
      </c>
      <c r="R736">
        <v>2225</v>
      </c>
      <c r="S736" s="50">
        <f t="shared" ref="S736:S799" si="171">R736*32.1507</f>
        <v>71535.307499999995</v>
      </c>
      <c r="T736" s="50">
        <f t="shared" si="161"/>
        <v>0</v>
      </c>
      <c r="U736" s="58">
        <f t="shared" si="162"/>
        <v>0</v>
      </c>
      <c r="V736" s="58">
        <f t="shared" si="163"/>
        <v>0</v>
      </c>
      <c r="W736" s="58">
        <f t="shared" si="164"/>
        <v>0</v>
      </c>
      <c r="X736" s="58">
        <f t="shared" si="165"/>
        <v>0</v>
      </c>
      <c r="Y736" s="52">
        <f t="shared" si="166"/>
        <v>0</v>
      </c>
    </row>
    <row r="737" spans="1:25" x14ac:dyDescent="0.25">
      <c r="A737" s="1218" t="s">
        <v>175</v>
      </c>
      <c r="B737" s="98">
        <v>45444</v>
      </c>
      <c r="C737" s="117" t="str">
        <f t="shared" si="168"/>
        <v>6L</v>
      </c>
      <c r="D737" s="96"/>
      <c r="E737" s="98"/>
      <c r="F737" s="98"/>
      <c r="I737" s="99">
        <f t="shared" si="169"/>
        <v>0</v>
      </c>
      <c r="L737" s="99">
        <f t="shared" si="170"/>
        <v>0</v>
      </c>
      <c r="M737" s="44" t="str">
        <f t="shared" si="157"/>
        <v/>
      </c>
      <c r="N737" s="100">
        <f t="shared" si="158"/>
        <v>0</v>
      </c>
      <c r="O737" s="101">
        <f t="shared" si="159"/>
        <v>0</v>
      </c>
      <c r="P737" s="52">
        <f t="shared" si="160"/>
        <v>0</v>
      </c>
      <c r="Q737" s="49">
        <v>116.88487613461319</v>
      </c>
      <c r="R737">
        <v>2225</v>
      </c>
      <c r="S737" s="50">
        <f t="shared" si="171"/>
        <v>71535.307499999995</v>
      </c>
      <c r="T737" s="50">
        <f t="shared" si="161"/>
        <v>0</v>
      </c>
      <c r="U737" s="58">
        <f t="shared" si="162"/>
        <v>0</v>
      </c>
      <c r="V737" s="58">
        <f t="shared" si="163"/>
        <v>0</v>
      </c>
      <c r="W737" s="58">
        <f t="shared" si="164"/>
        <v>0</v>
      </c>
      <c r="X737" s="58">
        <f t="shared" si="165"/>
        <v>0</v>
      </c>
      <c r="Y737" s="52">
        <f t="shared" si="166"/>
        <v>0</v>
      </c>
    </row>
    <row r="738" spans="1:25" x14ac:dyDescent="0.25">
      <c r="A738" s="1218" t="s">
        <v>176</v>
      </c>
      <c r="B738" s="98">
        <v>45444</v>
      </c>
      <c r="C738" s="117" t="str">
        <f t="shared" si="168"/>
        <v>6L</v>
      </c>
      <c r="D738" s="96"/>
      <c r="E738" s="98"/>
      <c r="F738" s="98"/>
      <c r="I738" s="99">
        <f t="shared" si="169"/>
        <v>0</v>
      </c>
      <c r="L738" s="99">
        <f t="shared" si="170"/>
        <v>0</v>
      </c>
      <c r="M738" s="44" t="str">
        <f t="shared" ref="M738:M801" si="172">IFERROR((L738-I738)/I738,"")</f>
        <v/>
      </c>
      <c r="N738" s="100">
        <f t="shared" ref="N738:N801" si="173">J738-G738</f>
        <v>0</v>
      </c>
      <c r="O738" s="101">
        <f t="shared" ref="O738:O801" si="174">L738-I738</f>
        <v>0</v>
      </c>
      <c r="P738" s="52">
        <f t="shared" ref="P738:P801" si="175">U738-W738</f>
        <v>0</v>
      </c>
      <c r="Q738" s="49">
        <v>116.88487613461319</v>
      </c>
      <c r="R738">
        <v>2225</v>
      </c>
      <c r="S738" s="50">
        <f t="shared" si="171"/>
        <v>71535.307499999995</v>
      </c>
      <c r="T738" s="50">
        <f t="shared" ref="T738:T801" si="176">IFERROR(S738*I738,"")</f>
        <v>0</v>
      </c>
      <c r="U738" s="58">
        <f t="shared" ref="U738:U801" si="177">IFERROR(S738*L738,"")</f>
        <v>0</v>
      </c>
      <c r="V738" s="58">
        <f t="shared" ref="V738:V801" si="178">IFERROR(Q738*G738,"")</f>
        <v>0</v>
      </c>
      <c r="W738" s="58">
        <f t="shared" ref="W738:W801" si="179">IFERROR(Q738*J738,"")</f>
        <v>0</v>
      </c>
      <c r="X738" s="58">
        <f t="shared" ref="X738:X801" si="180">T738-V738</f>
        <v>0</v>
      </c>
      <c r="Y738" s="52">
        <f t="shared" ref="Y738:Y801" si="181">U738-W738</f>
        <v>0</v>
      </c>
    </row>
    <row r="739" spans="1:25" x14ac:dyDescent="0.25">
      <c r="A739" s="1218" t="s">
        <v>177</v>
      </c>
      <c r="B739" s="98">
        <v>45444</v>
      </c>
      <c r="C739" s="117" t="str">
        <f t="shared" si="168"/>
        <v>6L</v>
      </c>
      <c r="D739" s="96"/>
      <c r="E739" s="98"/>
      <c r="F739" s="98"/>
      <c r="I739" s="99">
        <f t="shared" si="169"/>
        <v>0</v>
      </c>
      <c r="L739" s="99">
        <f t="shared" si="170"/>
        <v>0</v>
      </c>
      <c r="M739" s="44" t="str">
        <f t="shared" si="172"/>
        <v/>
      </c>
      <c r="N739" s="100">
        <f t="shared" si="173"/>
        <v>0</v>
      </c>
      <c r="O739" s="101">
        <f t="shared" si="174"/>
        <v>0</v>
      </c>
      <c r="P739" s="52">
        <f t="shared" si="175"/>
        <v>0</v>
      </c>
      <c r="Q739" s="49">
        <v>116.88487613461319</v>
      </c>
      <c r="R739">
        <v>2225</v>
      </c>
      <c r="S739" s="50">
        <f t="shared" si="171"/>
        <v>71535.307499999995</v>
      </c>
      <c r="T739" s="50">
        <f t="shared" si="176"/>
        <v>0</v>
      </c>
      <c r="U739" s="58">
        <f t="shared" si="177"/>
        <v>0</v>
      </c>
      <c r="V739" s="58">
        <f t="shared" si="178"/>
        <v>0</v>
      </c>
      <c r="W739" s="58">
        <f t="shared" si="179"/>
        <v>0</v>
      </c>
      <c r="X739" s="58">
        <f t="shared" si="180"/>
        <v>0</v>
      </c>
      <c r="Y739" s="52">
        <f t="shared" si="181"/>
        <v>0</v>
      </c>
    </row>
    <row r="740" spans="1:25" x14ac:dyDescent="0.25">
      <c r="A740" s="1218" t="s">
        <v>178</v>
      </c>
      <c r="B740" s="98">
        <v>45444</v>
      </c>
      <c r="C740" s="117" t="str">
        <f t="shared" si="168"/>
        <v>7L</v>
      </c>
      <c r="D740" s="96"/>
      <c r="I740" s="99">
        <f t="shared" si="169"/>
        <v>0</v>
      </c>
      <c r="L740" s="99">
        <f t="shared" si="170"/>
        <v>0</v>
      </c>
      <c r="M740" s="44" t="str">
        <f t="shared" si="172"/>
        <v/>
      </c>
      <c r="N740" s="100">
        <f t="shared" si="173"/>
        <v>0</v>
      </c>
      <c r="O740" s="101">
        <f t="shared" si="174"/>
        <v>0</v>
      </c>
      <c r="P740" s="52">
        <f t="shared" si="175"/>
        <v>0</v>
      </c>
      <c r="Q740" s="49">
        <v>116.88487613461319</v>
      </c>
      <c r="R740">
        <v>2225</v>
      </c>
      <c r="S740" s="50">
        <f t="shared" si="171"/>
        <v>71535.307499999995</v>
      </c>
      <c r="T740" s="50">
        <f t="shared" si="176"/>
        <v>0</v>
      </c>
      <c r="U740" s="58">
        <f t="shared" si="177"/>
        <v>0</v>
      </c>
      <c r="V740" s="58">
        <f t="shared" si="178"/>
        <v>0</v>
      </c>
      <c r="W740" s="58">
        <f t="shared" si="179"/>
        <v>0</v>
      </c>
      <c r="X740" s="58">
        <f t="shared" si="180"/>
        <v>0</v>
      </c>
      <c r="Y740" s="52">
        <f t="shared" si="181"/>
        <v>0</v>
      </c>
    </row>
    <row r="741" spans="1:25" x14ac:dyDescent="0.25">
      <c r="A741" s="1218" t="s">
        <v>179</v>
      </c>
      <c r="B741" s="98">
        <v>45444</v>
      </c>
      <c r="C741" s="117" t="str">
        <f t="shared" si="168"/>
        <v>7L</v>
      </c>
      <c r="D741" s="96"/>
      <c r="I741" s="99">
        <f t="shared" si="169"/>
        <v>0</v>
      </c>
      <c r="L741" s="99">
        <f t="shared" si="170"/>
        <v>0</v>
      </c>
      <c r="M741" s="44" t="str">
        <f t="shared" si="172"/>
        <v/>
      </c>
      <c r="N741" s="100">
        <f t="shared" si="173"/>
        <v>0</v>
      </c>
      <c r="O741" s="101">
        <f t="shared" si="174"/>
        <v>0</v>
      </c>
      <c r="P741" s="52">
        <f t="shared" si="175"/>
        <v>0</v>
      </c>
      <c r="Q741" s="49">
        <v>116.88487613461319</v>
      </c>
      <c r="R741">
        <v>2225</v>
      </c>
      <c r="S741" s="50">
        <f t="shared" si="171"/>
        <v>71535.307499999995</v>
      </c>
      <c r="T741" s="50">
        <f t="shared" si="176"/>
        <v>0</v>
      </c>
      <c r="U741" s="58">
        <f t="shared" si="177"/>
        <v>0</v>
      </c>
      <c r="V741" s="58">
        <f t="shared" si="178"/>
        <v>0</v>
      </c>
      <c r="W741" s="58">
        <f t="shared" si="179"/>
        <v>0</v>
      </c>
      <c r="X741" s="58">
        <f t="shared" si="180"/>
        <v>0</v>
      </c>
      <c r="Y741" s="52">
        <f t="shared" si="181"/>
        <v>0</v>
      </c>
    </row>
    <row r="742" spans="1:25" x14ac:dyDescent="0.25">
      <c r="A742" s="1218" t="s">
        <v>180</v>
      </c>
      <c r="B742" s="98">
        <v>45444</v>
      </c>
      <c r="C742" s="117" t="str">
        <f t="shared" si="168"/>
        <v>7L</v>
      </c>
      <c r="D742" s="96"/>
      <c r="I742" s="99">
        <f t="shared" si="169"/>
        <v>0</v>
      </c>
      <c r="L742" s="99">
        <f t="shared" si="170"/>
        <v>0</v>
      </c>
      <c r="M742" s="44" t="str">
        <f t="shared" si="172"/>
        <v/>
      </c>
      <c r="N742" s="100">
        <f t="shared" si="173"/>
        <v>0</v>
      </c>
      <c r="O742" s="101">
        <f t="shared" si="174"/>
        <v>0</v>
      </c>
      <c r="P742" s="52">
        <f t="shared" si="175"/>
        <v>0</v>
      </c>
      <c r="Q742" s="49">
        <v>116.88487613461319</v>
      </c>
      <c r="R742">
        <v>2225</v>
      </c>
      <c r="S742" s="50">
        <f t="shared" si="171"/>
        <v>71535.307499999995</v>
      </c>
      <c r="T742" s="50">
        <f t="shared" si="176"/>
        <v>0</v>
      </c>
      <c r="U742" s="58">
        <f t="shared" si="177"/>
        <v>0</v>
      </c>
      <c r="V742" s="58">
        <f t="shared" si="178"/>
        <v>0</v>
      </c>
      <c r="W742" s="58">
        <f t="shared" si="179"/>
        <v>0</v>
      </c>
      <c r="X742" s="58">
        <f t="shared" si="180"/>
        <v>0</v>
      </c>
      <c r="Y742" s="52">
        <f t="shared" si="181"/>
        <v>0</v>
      </c>
    </row>
    <row r="743" spans="1:25" x14ac:dyDescent="0.25">
      <c r="A743" s="1218" t="s">
        <v>181</v>
      </c>
      <c r="B743" s="98">
        <v>45444</v>
      </c>
      <c r="C743" s="117" t="str">
        <f t="shared" si="168"/>
        <v>7L</v>
      </c>
      <c r="D743" s="96"/>
      <c r="I743" s="99">
        <f t="shared" si="169"/>
        <v>0</v>
      </c>
      <c r="L743" s="99">
        <f t="shared" si="170"/>
        <v>0</v>
      </c>
      <c r="M743" s="44" t="str">
        <f t="shared" si="172"/>
        <v/>
      </c>
      <c r="N743" s="100">
        <f t="shared" si="173"/>
        <v>0</v>
      </c>
      <c r="O743" s="101">
        <f t="shared" si="174"/>
        <v>0</v>
      </c>
      <c r="P743" s="52">
        <f t="shared" si="175"/>
        <v>0</v>
      </c>
      <c r="Q743" s="49">
        <v>116.88487613461319</v>
      </c>
      <c r="R743">
        <v>2225</v>
      </c>
      <c r="S743" s="50">
        <f t="shared" si="171"/>
        <v>71535.307499999995</v>
      </c>
      <c r="T743" s="50">
        <f t="shared" si="176"/>
        <v>0</v>
      </c>
      <c r="U743" s="58">
        <f t="shared" si="177"/>
        <v>0</v>
      </c>
      <c r="V743" s="58">
        <f t="shared" si="178"/>
        <v>0</v>
      </c>
      <c r="W743" s="58">
        <f t="shared" si="179"/>
        <v>0</v>
      </c>
      <c r="X743" s="58">
        <f t="shared" si="180"/>
        <v>0</v>
      </c>
      <c r="Y743" s="52">
        <f t="shared" si="181"/>
        <v>0</v>
      </c>
    </row>
    <row r="744" spans="1:25" x14ac:dyDescent="0.25">
      <c r="A744" s="1218" t="s">
        <v>182</v>
      </c>
      <c r="B744" s="98">
        <v>45444</v>
      </c>
      <c r="C744" s="117" t="str">
        <f t="shared" si="168"/>
        <v>7L</v>
      </c>
      <c r="D744" s="96"/>
      <c r="I744" s="99">
        <f t="shared" si="169"/>
        <v>0</v>
      </c>
      <c r="L744" s="99">
        <f t="shared" si="170"/>
        <v>0</v>
      </c>
      <c r="M744" s="44" t="str">
        <f t="shared" si="172"/>
        <v/>
      </c>
      <c r="N744" s="100">
        <f t="shared" si="173"/>
        <v>0</v>
      </c>
      <c r="O744" s="101">
        <f t="shared" si="174"/>
        <v>0</v>
      </c>
      <c r="P744" s="52">
        <f t="shared" si="175"/>
        <v>0</v>
      </c>
      <c r="Q744" s="49">
        <v>116.88487613461319</v>
      </c>
      <c r="R744">
        <v>2225</v>
      </c>
      <c r="S744" s="50">
        <f t="shared" si="171"/>
        <v>71535.307499999995</v>
      </c>
      <c r="T744" s="50">
        <f t="shared" si="176"/>
        <v>0</v>
      </c>
      <c r="U744" s="58">
        <f t="shared" si="177"/>
        <v>0</v>
      </c>
      <c r="V744" s="58">
        <f t="shared" si="178"/>
        <v>0</v>
      </c>
      <c r="W744" s="58">
        <f t="shared" si="179"/>
        <v>0</v>
      </c>
      <c r="X744" s="58">
        <f t="shared" si="180"/>
        <v>0</v>
      </c>
      <c r="Y744" s="52">
        <f t="shared" si="181"/>
        <v>0</v>
      </c>
    </row>
    <row r="745" spans="1:25" x14ac:dyDescent="0.25">
      <c r="A745" s="1218" t="s">
        <v>183</v>
      </c>
      <c r="B745" s="98">
        <v>45444</v>
      </c>
      <c r="C745" s="117" t="str">
        <f t="shared" si="168"/>
        <v>7L</v>
      </c>
      <c r="D745" s="96"/>
      <c r="I745" s="99">
        <f t="shared" si="169"/>
        <v>0</v>
      </c>
      <c r="L745" s="99">
        <f t="shared" si="170"/>
        <v>0</v>
      </c>
      <c r="M745" s="44" t="str">
        <f t="shared" si="172"/>
        <v/>
      </c>
      <c r="N745" s="100">
        <f t="shared" si="173"/>
        <v>0</v>
      </c>
      <c r="O745" s="101">
        <f t="shared" si="174"/>
        <v>0</v>
      </c>
      <c r="P745" s="52">
        <f t="shared" si="175"/>
        <v>0</v>
      </c>
      <c r="Q745" s="49">
        <v>116.88487613461319</v>
      </c>
      <c r="R745">
        <v>2225</v>
      </c>
      <c r="S745" s="50">
        <f t="shared" si="171"/>
        <v>71535.307499999995</v>
      </c>
      <c r="T745" s="50">
        <f t="shared" si="176"/>
        <v>0</v>
      </c>
      <c r="U745" s="58">
        <f t="shared" si="177"/>
        <v>0</v>
      </c>
      <c r="V745" s="58">
        <f t="shared" si="178"/>
        <v>0</v>
      </c>
      <c r="W745" s="58">
        <f t="shared" si="179"/>
        <v>0</v>
      </c>
      <c r="X745" s="58">
        <f t="shared" si="180"/>
        <v>0</v>
      </c>
      <c r="Y745" s="52">
        <f t="shared" si="181"/>
        <v>0</v>
      </c>
    </row>
    <row r="746" spans="1:25" x14ac:dyDescent="0.25">
      <c r="A746" s="1218" t="s">
        <v>184</v>
      </c>
      <c r="B746" s="98">
        <v>45444</v>
      </c>
      <c r="C746" s="117" t="str">
        <f t="shared" si="168"/>
        <v>7L</v>
      </c>
      <c r="D746" s="96"/>
      <c r="I746" s="99">
        <f t="shared" si="169"/>
        <v>0</v>
      </c>
      <c r="L746" s="99">
        <f t="shared" si="170"/>
        <v>0</v>
      </c>
      <c r="M746" s="44" t="str">
        <f t="shared" si="172"/>
        <v/>
      </c>
      <c r="N746" s="100">
        <f t="shared" si="173"/>
        <v>0</v>
      </c>
      <c r="O746" s="101">
        <f t="shared" si="174"/>
        <v>0</v>
      </c>
      <c r="P746" s="52">
        <f t="shared" si="175"/>
        <v>0</v>
      </c>
      <c r="Q746" s="49">
        <v>116.88487613461319</v>
      </c>
      <c r="R746">
        <v>2225</v>
      </c>
      <c r="S746" s="50">
        <f t="shared" si="171"/>
        <v>71535.307499999995</v>
      </c>
      <c r="T746" s="50">
        <f t="shared" si="176"/>
        <v>0</v>
      </c>
      <c r="U746" s="58">
        <f t="shared" si="177"/>
        <v>0</v>
      </c>
      <c r="V746" s="58">
        <f t="shared" si="178"/>
        <v>0</v>
      </c>
      <c r="W746" s="58">
        <f t="shared" si="179"/>
        <v>0</v>
      </c>
      <c r="X746" s="58">
        <f t="shared" si="180"/>
        <v>0</v>
      </c>
      <c r="Y746" s="52">
        <f t="shared" si="181"/>
        <v>0</v>
      </c>
    </row>
    <row r="747" spans="1:25" x14ac:dyDescent="0.25">
      <c r="A747" s="1218" t="s">
        <v>185</v>
      </c>
      <c r="B747" s="98">
        <v>45444</v>
      </c>
      <c r="C747" s="117" t="str">
        <f t="shared" si="168"/>
        <v>7L</v>
      </c>
      <c r="D747" s="96"/>
      <c r="I747" s="99">
        <f t="shared" si="169"/>
        <v>0</v>
      </c>
      <c r="L747" s="99">
        <f t="shared" si="170"/>
        <v>0</v>
      </c>
      <c r="M747" s="44" t="str">
        <f t="shared" si="172"/>
        <v/>
      </c>
      <c r="N747" s="100">
        <f t="shared" si="173"/>
        <v>0</v>
      </c>
      <c r="O747" s="101">
        <f t="shared" si="174"/>
        <v>0</v>
      </c>
      <c r="P747" s="52">
        <f t="shared" si="175"/>
        <v>0</v>
      </c>
      <c r="Q747" s="49">
        <v>116.88487613461319</v>
      </c>
      <c r="R747">
        <v>2225</v>
      </c>
      <c r="S747" s="50">
        <f t="shared" si="171"/>
        <v>71535.307499999995</v>
      </c>
      <c r="T747" s="50">
        <f t="shared" si="176"/>
        <v>0</v>
      </c>
      <c r="U747" s="58">
        <f t="shared" si="177"/>
        <v>0</v>
      </c>
      <c r="V747" s="58">
        <f t="shared" si="178"/>
        <v>0</v>
      </c>
      <c r="W747" s="58">
        <f t="shared" si="179"/>
        <v>0</v>
      </c>
      <c r="X747" s="58">
        <f t="shared" si="180"/>
        <v>0</v>
      </c>
      <c r="Y747" s="52">
        <f t="shared" si="181"/>
        <v>0</v>
      </c>
    </row>
    <row r="748" spans="1:25" x14ac:dyDescent="0.25">
      <c r="A748" s="1218" t="s">
        <v>186</v>
      </c>
      <c r="B748" s="98">
        <v>45444</v>
      </c>
      <c r="C748" s="117" t="str">
        <f t="shared" si="168"/>
        <v>7L</v>
      </c>
      <c r="D748" s="96"/>
      <c r="I748" s="99">
        <f t="shared" si="169"/>
        <v>0</v>
      </c>
      <c r="L748" s="99">
        <f t="shared" si="170"/>
        <v>0</v>
      </c>
      <c r="M748" s="44" t="str">
        <f t="shared" si="172"/>
        <v/>
      </c>
      <c r="N748" s="100">
        <f t="shared" si="173"/>
        <v>0</v>
      </c>
      <c r="O748" s="101">
        <f t="shared" si="174"/>
        <v>0</v>
      </c>
      <c r="P748" s="52">
        <f t="shared" si="175"/>
        <v>0</v>
      </c>
      <c r="Q748" s="49">
        <v>116.88487613461319</v>
      </c>
      <c r="R748">
        <v>2225</v>
      </c>
      <c r="S748" s="50">
        <f t="shared" si="171"/>
        <v>71535.307499999995</v>
      </c>
      <c r="T748" s="50">
        <f t="shared" si="176"/>
        <v>0</v>
      </c>
      <c r="U748" s="58">
        <f t="shared" si="177"/>
        <v>0</v>
      </c>
      <c r="V748" s="58">
        <f t="shared" si="178"/>
        <v>0</v>
      </c>
      <c r="W748" s="58">
        <f t="shared" si="179"/>
        <v>0</v>
      </c>
      <c r="X748" s="58">
        <f t="shared" si="180"/>
        <v>0</v>
      </c>
      <c r="Y748" s="52">
        <f t="shared" si="181"/>
        <v>0</v>
      </c>
    </row>
    <row r="749" spans="1:25" x14ac:dyDescent="0.25">
      <c r="A749" s="1218" t="s">
        <v>187</v>
      </c>
      <c r="B749" s="98">
        <v>45444</v>
      </c>
      <c r="C749" s="117" t="str">
        <f t="shared" si="168"/>
        <v>7L</v>
      </c>
      <c r="D749" s="96"/>
      <c r="I749" s="99">
        <f t="shared" si="169"/>
        <v>0</v>
      </c>
      <c r="L749" s="99">
        <f t="shared" si="170"/>
        <v>0</v>
      </c>
      <c r="M749" s="44" t="str">
        <f t="shared" si="172"/>
        <v/>
      </c>
      <c r="N749" s="100">
        <f t="shared" si="173"/>
        <v>0</v>
      </c>
      <c r="O749" s="101">
        <f t="shared" si="174"/>
        <v>0</v>
      </c>
      <c r="P749" s="52">
        <f t="shared" si="175"/>
        <v>0</v>
      </c>
      <c r="Q749" s="49">
        <v>116.88487613461319</v>
      </c>
      <c r="R749">
        <v>2225</v>
      </c>
      <c r="S749" s="50">
        <f t="shared" si="171"/>
        <v>71535.307499999995</v>
      </c>
      <c r="T749" s="50">
        <f t="shared" si="176"/>
        <v>0</v>
      </c>
      <c r="U749" s="58">
        <f t="shared" si="177"/>
        <v>0</v>
      </c>
      <c r="V749" s="58">
        <f t="shared" si="178"/>
        <v>0</v>
      </c>
      <c r="W749" s="58">
        <f t="shared" si="179"/>
        <v>0</v>
      </c>
      <c r="X749" s="58">
        <f t="shared" si="180"/>
        <v>0</v>
      </c>
      <c r="Y749" s="52">
        <f t="shared" si="181"/>
        <v>0</v>
      </c>
    </row>
    <row r="750" spans="1:25" x14ac:dyDescent="0.25">
      <c r="A750" s="1218" t="s">
        <v>188</v>
      </c>
      <c r="B750" s="98">
        <v>45444</v>
      </c>
      <c r="C750" s="117" t="str">
        <f t="shared" si="168"/>
        <v>7L</v>
      </c>
      <c r="D750" s="96"/>
      <c r="I750" s="99">
        <f t="shared" si="169"/>
        <v>0</v>
      </c>
      <c r="L750" s="99">
        <f t="shared" si="170"/>
        <v>0</v>
      </c>
      <c r="M750" s="44" t="str">
        <f t="shared" si="172"/>
        <v/>
      </c>
      <c r="N750" s="100">
        <f t="shared" si="173"/>
        <v>0</v>
      </c>
      <c r="O750" s="101">
        <f t="shared" si="174"/>
        <v>0</v>
      </c>
      <c r="P750" s="52">
        <f t="shared" si="175"/>
        <v>0</v>
      </c>
      <c r="Q750" s="49">
        <v>116.88487613461319</v>
      </c>
      <c r="R750">
        <v>2225</v>
      </c>
      <c r="S750" s="50">
        <f t="shared" si="171"/>
        <v>71535.307499999995</v>
      </c>
      <c r="T750" s="50">
        <f t="shared" si="176"/>
        <v>0</v>
      </c>
      <c r="U750" s="58">
        <f t="shared" si="177"/>
        <v>0</v>
      </c>
      <c r="V750" s="58">
        <f t="shared" si="178"/>
        <v>0</v>
      </c>
      <c r="W750" s="58">
        <f t="shared" si="179"/>
        <v>0</v>
      </c>
      <c r="X750" s="58">
        <f t="shared" si="180"/>
        <v>0</v>
      </c>
      <c r="Y750" s="52">
        <f t="shared" si="181"/>
        <v>0</v>
      </c>
    </row>
    <row r="751" spans="1:25" x14ac:dyDescent="0.25">
      <c r="A751" s="1218" t="s">
        <v>189</v>
      </c>
      <c r="B751" s="98">
        <v>45444</v>
      </c>
      <c r="C751" s="117" t="str">
        <f t="shared" si="168"/>
        <v>7L</v>
      </c>
      <c r="D751" s="96"/>
      <c r="I751" s="99">
        <f t="shared" si="169"/>
        <v>0</v>
      </c>
      <c r="L751" s="99">
        <f t="shared" si="170"/>
        <v>0</v>
      </c>
      <c r="M751" s="44" t="str">
        <f t="shared" si="172"/>
        <v/>
      </c>
      <c r="N751" s="100">
        <f t="shared" si="173"/>
        <v>0</v>
      </c>
      <c r="O751" s="101">
        <f t="shared" si="174"/>
        <v>0</v>
      </c>
      <c r="P751" s="52">
        <f t="shared" si="175"/>
        <v>0</v>
      </c>
      <c r="Q751" s="49">
        <v>116.88487613461319</v>
      </c>
      <c r="R751">
        <v>2225</v>
      </c>
      <c r="S751" s="50">
        <f t="shared" si="171"/>
        <v>71535.307499999995</v>
      </c>
      <c r="T751" s="50">
        <f t="shared" si="176"/>
        <v>0</v>
      </c>
      <c r="U751" s="58">
        <f t="shared" si="177"/>
        <v>0</v>
      </c>
      <c r="V751" s="58">
        <f t="shared" si="178"/>
        <v>0</v>
      </c>
      <c r="W751" s="58">
        <f t="shared" si="179"/>
        <v>0</v>
      </c>
      <c r="X751" s="58">
        <f t="shared" si="180"/>
        <v>0</v>
      </c>
      <c r="Y751" s="52">
        <f t="shared" si="181"/>
        <v>0</v>
      </c>
    </row>
    <row r="752" spans="1:25" x14ac:dyDescent="0.25">
      <c r="A752" s="1218" t="s">
        <v>190</v>
      </c>
      <c r="B752" s="98">
        <v>45444</v>
      </c>
      <c r="C752" s="117" t="str">
        <f t="shared" si="168"/>
        <v>8L</v>
      </c>
      <c r="D752" s="96"/>
      <c r="I752" s="99">
        <f t="shared" si="169"/>
        <v>0</v>
      </c>
      <c r="L752" s="99">
        <f t="shared" si="170"/>
        <v>0</v>
      </c>
      <c r="M752" s="44" t="str">
        <f t="shared" si="172"/>
        <v/>
      </c>
      <c r="N752" s="100">
        <f t="shared" si="173"/>
        <v>0</v>
      </c>
      <c r="O752" s="101">
        <f t="shared" si="174"/>
        <v>0</v>
      </c>
      <c r="P752" s="52">
        <f t="shared" si="175"/>
        <v>0</v>
      </c>
      <c r="Q752" s="49">
        <v>116.88487613461319</v>
      </c>
      <c r="R752">
        <v>2225</v>
      </c>
      <c r="S752" s="50">
        <f t="shared" si="171"/>
        <v>71535.307499999995</v>
      </c>
      <c r="T752" s="50">
        <f t="shared" si="176"/>
        <v>0</v>
      </c>
      <c r="U752" s="58">
        <f t="shared" si="177"/>
        <v>0</v>
      </c>
      <c r="V752" s="58">
        <f t="shared" si="178"/>
        <v>0</v>
      </c>
      <c r="W752" s="58">
        <f t="shared" si="179"/>
        <v>0</v>
      </c>
      <c r="X752" s="58">
        <f t="shared" si="180"/>
        <v>0</v>
      </c>
      <c r="Y752" s="52">
        <f t="shared" si="181"/>
        <v>0</v>
      </c>
    </row>
    <row r="753" spans="1:25" x14ac:dyDescent="0.25">
      <c r="A753" s="1218" t="s">
        <v>191</v>
      </c>
      <c r="B753" s="98">
        <v>45444</v>
      </c>
      <c r="C753" s="117" t="str">
        <f t="shared" si="168"/>
        <v>8L</v>
      </c>
      <c r="D753" s="96"/>
      <c r="I753" s="99">
        <f t="shared" si="169"/>
        <v>0</v>
      </c>
      <c r="L753" s="99">
        <f t="shared" si="170"/>
        <v>0</v>
      </c>
      <c r="M753" s="44" t="str">
        <f t="shared" si="172"/>
        <v/>
      </c>
      <c r="N753" s="100">
        <f t="shared" si="173"/>
        <v>0</v>
      </c>
      <c r="O753" s="101">
        <f t="shared" si="174"/>
        <v>0</v>
      </c>
      <c r="P753" s="52">
        <f t="shared" si="175"/>
        <v>0</v>
      </c>
      <c r="Q753" s="49">
        <v>116.88487613461319</v>
      </c>
      <c r="R753">
        <v>2225</v>
      </c>
      <c r="S753" s="50">
        <f t="shared" si="171"/>
        <v>71535.307499999995</v>
      </c>
      <c r="T753" s="50">
        <f t="shared" si="176"/>
        <v>0</v>
      </c>
      <c r="U753" s="58">
        <f t="shared" si="177"/>
        <v>0</v>
      </c>
      <c r="V753" s="58">
        <f t="shared" si="178"/>
        <v>0</v>
      </c>
      <c r="W753" s="58">
        <f t="shared" si="179"/>
        <v>0</v>
      </c>
      <c r="X753" s="58">
        <f t="shared" si="180"/>
        <v>0</v>
      </c>
      <c r="Y753" s="52">
        <f t="shared" si="181"/>
        <v>0</v>
      </c>
    </row>
    <row r="754" spans="1:25" x14ac:dyDescent="0.25">
      <c r="A754" s="1218" t="s">
        <v>192</v>
      </c>
      <c r="B754" s="98">
        <v>45444</v>
      </c>
      <c r="C754" s="117" t="str">
        <f t="shared" si="168"/>
        <v>8L</v>
      </c>
      <c r="D754" s="96"/>
      <c r="I754" s="99">
        <f t="shared" si="169"/>
        <v>0</v>
      </c>
      <c r="L754" s="99">
        <f t="shared" si="170"/>
        <v>0</v>
      </c>
      <c r="M754" s="44" t="str">
        <f t="shared" si="172"/>
        <v/>
      </c>
      <c r="N754" s="100">
        <f t="shared" si="173"/>
        <v>0</v>
      </c>
      <c r="O754" s="101">
        <f t="shared" si="174"/>
        <v>0</v>
      </c>
      <c r="P754" s="52">
        <f t="shared" si="175"/>
        <v>0</v>
      </c>
      <c r="Q754" s="49">
        <v>116.88487613461319</v>
      </c>
      <c r="R754">
        <v>2225</v>
      </c>
      <c r="S754" s="50">
        <f t="shared" si="171"/>
        <v>71535.307499999995</v>
      </c>
      <c r="T754" s="50">
        <f t="shared" si="176"/>
        <v>0</v>
      </c>
      <c r="U754" s="58">
        <f t="shared" si="177"/>
        <v>0</v>
      </c>
      <c r="V754" s="58">
        <f t="shared" si="178"/>
        <v>0</v>
      </c>
      <c r="W754" s="58">
        <f t="shared" si="179"/>
        <v>0</v>
      </c>
      <c r="X754" s="58">
        <f t="shared" si="180"/>
        <v>0</v>
      </c>
      <c r="Y754" s="52">
        <f t="shared" si="181"/>
        <v>0</v>
      </c>
    </row>
    <row r="755" spans="1:25" x14ac:dyDescent="0.25">
      <c r="A755" s="1218" t="s">
        <v>193</v>
      </c>
      <c r="B755" s="98">
        <v>45444</v>
      </c>
      <c r="C755" s="117" t="str">
        <f t="shared" si="168"/>
        <v>8L</v>
      </c>
      <c r="D755" s="96"/>
      <c r="I755" s="99">
        <f t="shared" si="169"/>
        <v>0</v>
      </c>
      <c r="L755" s="99">
        <f t="shared" si="170"/>
        <v>0</v>
      </c>
      <c r="M755" s="44" t="str">
        <f t="shared" si="172"/>
        <v/>
      </c>
      <c r="N755" s="100">
        <f t="shared" si="173"/>
        <v>0</v>
      </c>
      <c r="O755" s="101">
        <f t="shared" si="174"/>
        <v>0</v>
      </c>
      <c r="P755" s="52">
        <f t="shared" si="175"/>
        <v>0</v>
      </c>
      <c r="Q755" s="49">
        <v>116.88487613461319</v>
      </c>
      <c r="R755">
        <v>2225</v>
      </c>
      <c r="S755" s="50">
        <f t="shared" si="171"/>
        <v>71535.307499999995</v>
      </c>
      <c r="T755" s="50">
        <f t="shared" si="176"/>
        <v>0</v>
      </c>
      <c r="U755" s="58">
        <f t="shared" si="177"/>
        <v>0</v>
      </c>
      <c r="V755" s="58">
        <f t="shared" si="178"/>
        <v>0</v>
      </c>
      <c r="W755" s="58">
        <f t="shared" si="179"/>
        <v>0</v>
      </c>
      <c r="X755" s="58">
        <f t="shared" si="180"/>
        <v>0</v>
      </c>
      <c r="Y755" s="52">
        <f t="shared" si="181"/>
        <v>0</v>
      </c>
    </row>
    <row r="756" spans="1:25" x14ac:dyDescent="0.25">
      <c r="A756" s="1218" t="s">
        <v>194</v>
      </c>
      <c r="B756" s="98">
        <v>45444</v>
      </c>
      <c r="C756" s="117" t="str">
        <f t="shared" si="168"/>
        <v>8L</v>
      </c>
      <c r="D756" s="96"/>
      <c r="I756" s="99">
        <f t="shared" si="169"/>
        <v>0</v>
      </c>
      <c r="L756" s="99">
        <f t="shared" si="170"/>
        <v>0</v>
      </c>
      <c r="M756" s="44" t="str">
        <f t="shared" si="172"/>
        <v/>
      </c>
      <c r="N756" s="100">
        <f t="shared" si="173"/>
        <v>0</v>
      </c>
      <c r="O756" s="101">
        <f t="shared" si="174"/>
        <v>0</v>
      </c>
      <c r="P756" s="52">
        <f t="shared" si="175"/>
        <v>0</v>
      </c>
      <c r="Q756" s="49">
        <v>116.88487613461319</v>
      </c>
      <c r="R756">
        <v>2225</v>
      </c>
      <c r="S756" s="50">
        <f t="shared" si="171"/>
        <v>71535.307499999995</v>
      </c>
      <c r="T756" s="50">
        <f t="shared" si="176"/>
        <v>0</v>
      </c>
      <c r="U756" s="58">
        <f t="shared" si="177"/>
        <v>0</v>
      </c>
      <c r="V756" s="58">
        <f t="shared" si="178"/>
        <v>0</v>
      </c>
      <c r="W756" s="58">
        <f t="shared" si="179"/>
        <v>0</v>
      </c>
      <c r="X756" s="58">
        <f t="shared" si="180"/>
        <v>0</v>
      </c>
      <c r="Y756" s="52">
        <f t="shared" si="181"/>
        <v>0</v>
      </c>
    </row>
    <row r="757" spans="1:25" x14ac:dyDescent="0.25">
      <c r="A757" s="1218" t="s">
        <v>195</v>
      </c>
      <c r="B757" s="98">
        <v>45444</v>
      </c>
      <c r="C757" s="117" t="str">
        <f t="shared" si="168"/>
        <v>8L</v>
      </c>
      <c r="D757" s="96"/>
      <c r="I757" s="99">
        <f t="shared" si="169"/>
        <v>0</v>
      </c>
      <c r="L757" s="99">
        <f t="shared" si="170"/>
        <v>0</v>
      </c>
      <c r="M757" s="44" t="str">
        <f t="shared" si="172"/>
        <v/>
      </c>
      <c r="N757" s="100">
        <f t="shared" si="173"/>
        <v>0</v>
      </c>
      <c r="O757" s="101">
        <f t="shared" si="174"/>
        <v>0</v>
      </c>
      <c r="P757" s="52">
        <f t="shared" si="175"/>
        <v>0</v>
      </c>
      <c r="Q757" s="49">
        <v>116.88487613461319</v>
      </c>
      <c r="R757">
        <v>2225</v>
      </c>
      <c r="S757" s="50">
        <f t="shared" si="171"/>
        <v>71535.307499999995</v>
      </c>
      <c r="T757" s="50">
        <f t="shared" si="176"/>
        <v>0</v>
      </c>
      <c r="U757" s="58">
        <f t="shared" si="177"/>
        <v>0</v>
      </c>
      <c r="V757" s="58">
        <f t="shared" si="178"/>
        <v>0</v>
      </c>
      <c r="W757" s="58">
        <f t="shared" si="179"/>
        <v>0</v>
      </c>
      <c r="X757" s="58">
        <f t="shared" si="180"/>
        <v>0</v>
      </c>
      <c r="Y757" s="52">
        <f t="shared" si="181"/>
        <v>0</v>
      </c>
    </row>
    <row r="758" spans="1:25" x14ac:dyDescent="0.25">
      <c r="A758" s="1218" t="s">
        <v>196</v>
      </c>
      <c r="B758" s="98">
        <v>45444</v>
      </c>
      <c r="C758" s="117" t="str">
        <f t="shared" si="168"/>
        <v>8L</v>
      </c>
      <c r="D758" s="96"/>
      <c r="I758" s="99">
        <f t="shared" si="169"/>
        <v>0</v>
      </c>
      <c r="L758" s="99">
        <f t="shared" si="170"/>
        <v>0</v>
      </c>
      <c r="M758" s="44" t="str">
        <f t="shared" si="172"/>
        <v/>
      </c>
      <c r="N758" s="100">
        <f t="shared" si="173"/>
        <v>0</v>
      </c>
      <c r="O758" s="101">
        <f t="shared" si="174"/>
        <v>0</v>
      </c>
      <c r="P758" s="52">
        <f t="shared" si="175"/>
        <v>0</v>
      </c>
      <c r="Q758" s="49">
        <v>116.88487613461319</v>
      </c>
      <c r="R758">
        <v>2225</v>
      </c>
      <c r="S758" s="50">
        <f t="shared" si="171"/>
        <v>71535.307499999995</v>
      </c>
      <c r="T758" s="50">
        <f t="shared" si="176"/>
        <v>0</v>
      </c>
      <c r="U758" s="58">
        <f t="shared" si="177"/>
        <v>0</v>
      </c>
      <c r="V758" s="58">
        <f t="shared" si="178"/>
        <v>0</v>
      </c>
      <c r="W758" s="58">
        <f t="shared" si="179"/>
        <v>0</v>
      </c>
      <c r="X758" s="58">
        <f t="shared" si="180"/>
        <v>0</v>
      </c>
      <c r="Y758" s="52">
        <f t="shared" si="181"/>
        <v>0</v>
      </c>
    </row>
    <row r="759" spans="1:25" x14ac:dyDescent="0.25">
      <c r="A759" s="1218" t="s">
        <v>197</v>
      </c>
      <c r="B759" s="98">
        <v>45444</v>
      </c>
      <c r="C759" s="117" t="str">
        <f t="shared" si="168"/>
        <v>8L</v>
      </c>
      <c r="D759" s="96"/>
      <c r="I759" s="99">
        <f t="shared" si="169"/>
        <v>0</v>
      </c>
      <c r="L759" s="99">
        <f t="shared" si="170"/>
        <v>0</v>
      </c>
      <c r="M759" s="44" t="str">
        <f t="shared" si="172"/>
        <v/>
      </c>
      <c r="N759" s="100">
        <f t="shared" si="173"/>
        <v>0</v>
      </c>
      <c r="O759" s="101">
        <f t="shared" si="174"/>
        <v>0</v>
      </c>
      <c r="P759" s="52">
        <f t="shared" si="175"/>
        <v>0</v>
      </c>
      <c r="Q759" s="49">
        <v>116.88487613461319</v>
      </c>
      <c r="R759">
        <v>2225</v>
      </c>
      <c r="S759" s="50">
        <f t="shared" si="171"/>
        <v>71535.307499999995</v>
      </c>
      <c r="T759" s="50">
        <f t="shared" si="176"/>
        <v>0</v>
      </c>
      <c r="U759" s="58">
        <f t="shared" si="177"/>
        <v>0</v>
      </c>
      <c r="V759" s="58">
        <f t="shared" si="178"/>
        <v>0</v>
      </c>
      <c r="W759" s="58">
        <f t="shared" si="179"/>
        <v>0</v>
      </c>
      <c r="X759" s="58">
        <f t="shared" si="180"/>
        <v>0</v>
      </c>
      <c r="Y759" s="52">
        <f t="shared" si="181"/>
        <v>0</v>
      </c>
    </row>
    <row r="760" spans="1:25" x14ac:dyDescent="0.25">
      <c r="A760" s="1218" t="s">
        <v>198</v>
      </c>
      <c r="B760" s="98">
        <v>45444</v>
      </c>
      <c r="C760" s="117" t="str">
        <f t="shared" si="168"/>
        <v>8L</v>
      </c>
      <c r="D760" s="96"/>
      <c r="I760" s="99">
        <f t="shared" si="169"/>
        <v>0</v>
      </c>
      <c r="L760" s="99">
        <f t="shared" si="170"/>
        <v>0</v>
      </c>
      <c r="M760" s="44" t="str">
        <f t="shared" si="172"/>
        <v/>
      </c>
      <c r="N760" s="100">
        <f t="shared" si="173"/>
        <v>0</v>
      </c>
      <c r="O760" s="101">
        <f t="shared" si="174"/>
        <v>0</v>
      </c>
      <c r="P760" s="52">
        <f t="shared" si="175"/>
        <v>0</v>
      </c>
      <c r="Q760" s="49">
        <v>116.88487613461319</v>
      </c>
      <c r="R760">
        <v>2225</v>
      </c>
      <c r="S760" s="50">
        <f t="shared" si="171"/>
        <v>71535.307499999995</v>
      </c>
      <c r="T760" s="50">
        <f t="shared" si="176"/>
        <v>0</v>
      </c>
      <c r="U760" s="58">
        <f t="shared" si="177"/>
        <v>0</v>
      </c>
      <c r="V760" s="58">
        <f t="shared" si="178"/>
        <v>0</v>
      </c>
      <c r="W760" s="58">
        <f t="shared" si="179"/>
        <v>0</v>
      </c>
      <c r="X760" s="58">
        <f t="shared" si="180"/>
        <v>0</v>
      </c>
      <c r="Y760" s="52">
        <f t="shared" si="181"/>
        <v>0</v>
      </c>
    </row>
    <row r="761" spans="1:25" x14ac:dyDescent="0.25">
      <c r="A761" s="1218" t="s">
        <v>199</v>
      </c>
      <c r="B761" s="98">
        <v>45444</v>
      </c>
      <c r="C761" s="117" t="str">
        <f t="shared" si="168"/>
        <v>8L</v>
      </c>
      <c r="D761" s="96"/>
      <c r="I761" s="99">
        <f t="shared" si="169"/>
        <v>0</v>
      </c>
      <c r="L761" s="99">
        <f t="shared" si="170"/>
        <v>0</v>
      </c>
      <c r="M761" s="44" t="str">
        <f t="shared" si="172"/>
        <v/>
      </c>
      <c r="N761" s="100">
        <f t="shared" si="173"/>
        <v>0</v>
      </c>
      <c r="O761" s="101">
        <f t="shared" si="174"/>
        <v>0</v>
      </c>
      <c r="P761" s="52">
        <f t="shared" si="175"/>
        <v>0</v>
      </c>
      <c r="Q761" s="49">
        <v>116.88487613461319</v>
      </c>
      <c r="R761">
        <v>2225</v>
      </c>
      <c r="S761" s="50">
        <f t="shared" si="171"/>
        <v>71535.307499999995</v>
      </c>
      <c r="T761" s="50">
        <f t="shared" si="176"/>
        <v>0</v>
      </c>
      <c r="U761" s="58">
        <f t="shared" si="177"/>
        <v>0</v>
      </c>
      <c r="V761" s="58">
        <f t="shared" si="178"/>
        <v>0</v>
      </c>
      <c r="W761" s="58">
        <f t="shared" si="179"/>
        <v>0</v>
      </c>
      <c r="X761" s="58">
        <f t="shared" si="180"/>
        <v>0</v>
      </c>
      <c r="Y761" s="52">
        <f t="shared" si="181"/>
        <v>0</v>
      </c>
    </row>
    <row r="762" spans="1:25" x14ac:dyDescent="0.25">
      <c r="A762" s="1218" t="s">
        <v>200</v>
      </c>
      <c r="B762" s="98">
        <v>45444</v>
      </c>
      <c r="C762" s="117" t="str">
        <f t="shared" si="168"/>
        <v>8L</v>
      </c>
      <c r="D762" s="96"/>
      <c r="I762" s="99">
        <f t="shared" si="169"/>
        <v>0</v>
      </c>
      <c r="L762" s="99">
        <f t="shared" si="170"/>
        <v>0</v>
      </c>
      <c r="M762" s="44" t="str">
        <f t="shared" si="172"/>
        <v/>
      </c>
      <c r="N762" s="100">
        <f t="shared" si="173"/>
        <v>0</v>
      </c>
      <c r="O762" s="101">
        <f t="shared" si="174"/>
        <v>0</v>
      </c>
      <c r="P762" s="52">
        <f t="shared" si="175"/>
        <v>0</v>
      </c>
      <c r="Q762" s="49">
        <v>116.88487613461319</v>
      </c>
      <c r="R762">
        <v>2225</v>
      </c>
      <c r="S762" s="50">
        <f t="shared" si="171"/>
        <v>71535.307499999995</v>
      </c>
      <c r="T762" s="50">
        <f t="shared" si="176"/>
        <v>0</v>
      </c>
      <c r="U762" s="58">
        <f t="shared" si="177"/>
        <v>0</v>
      </c>
      <c r="V762" s="58">
        <f t="shared" si="178"/>
        <v>0</v>
      </c>
      <c r="W762" s="58">
        <f t="shared" si="179"/>
        <v>0</v>
      </c>
      <c r="X762" s="58">
        <f t="shared" si="180"/>
        <v>0</v>
      </c>
      <c r="Y762" s="52">
        <f t="shared" si="181"/>
        <v>0</v>
      </c>
    </row>
    <row r="763" spans="1:25" x14ac:dyDescent="0.25">
      <c r="A763" s="1218" t="s">
        <v>201</v>
      </c>
      <c r="B763" s="98">
        <v>45444</v>
      </c>
      <c r="C763" s="117" t="str">
        <f t="shared" si="168"/>
        <v>8L</v>
      </c>
      <c r="D763" s="96"/>
      <c r="I763" s="99">
        <f t="shared" si="169"/>
        <v>0</v>
      </c>
      <c r="L763" s="99">
        <f t="shared" si="170"/>
        <v>0</v>
      </c>
      <c r="M763" s="44" t="str">
        <f t="shared" si="172"/>
        <v/>
      </c>
      <c r="N763" s="100">
        <f t="shared" si="173"/>
        <v>0</v>
      </c>
      <c r="O763" s="101">
        <f t="shared" si="174"/>
        <v>0</v>
      </c>
      <c r="P763" s="52">
        <f t="shared" si="175"/>
        <v>0</v>
      </c>
      <c r="Q763" s="49">
        <v>116.88487613461319</v>
      </c>
      <c r="R763">
        <v>2225</v>
      </c>
      <c r="S763" s="50">
        <f t="shared" si="171"/>
        <v>71535.307499999995</v>
      </c>
      <c r="T763" s="50">
        <f t="shared" si="176"/>
        <v>0</v>
      </c>
      <c r="U763" s="58">
        <f t="shared" si="177"/>
        <v>0</v>
      </c>
      <c r="V763" s="58">
        <f t="shared" si="178"/>
        <v>0</v>
      </c>
      <c r="W763" s="58">
        <f t="shared" si="179"/>
        <v>0</v>
      </c>
      <c r="X763" s="58">
        <f t="shared" si="180"/>
        <v>0</v>
      </c>
      <c r="Y763" s="52">
        <f t="shared" si="181"/>
        <v>0</v>
      </c>
    </row>
    <row r="764" spans="1:25" x14ac:dyDescent="0.25">
      <c r="A764" s="1218" t="s">
        <v>202</v>
      </c>
      <c r="B764" s="98">
        <v>45444</v>
      </c>
      <c r="C764" s="117" t="str">
        <f t="shared" si="168"/>
        <v>8L</v>
      </c>
      <c r="D764" s="96"/>
      <c r="I764" s="99">
        <f t="shared" si="169"/>
        <v>0</v>
      </c>
      <c r="L764" s="99">
        <f t="shared" si="170"/>
        <v>0</v>
      </c>
      <c r="M764" s="44" t="str">
        <f t="shared" si="172"/>
        <v/>
      </c>
      <c r="N764" s="100">
        <f t="shared" si="173"/>
        <v>0</v>
      </c>
      <c r="O764" s="101">
        <f t="shared" si="174"/>
        <v>0</v>
      </c>
      <c r="P764" s="52">
        <f t="shared" si="175"/>
        <v>0</v>
      </c>
      <c r="Q764" s="49">
        <v>116.88487613461319</v>
      </c>
      <c r="R764">
        <v>2225</v>
      </c>
      <c r="S764" s="50">
        <f t="shared" si="171"/>
        <v>71535.307499999995</v>
      </c>
      <c r="T764" s="50">
        <f t="shared" si="176"/>
        <v>0</v>
      </c>
      <c r="U764" s="58">
        <f t="shared" si="177"/>
        <v>0</v>
      </c>
      <c r="V764" s="58">
        <f t="shared" si="178"/>
        <v>0</v>
      </c>
      <c r="W764" s="58">
        <f t="shared" si="179"/>
        <v>0</v>
      </c>
      <c r="X764" s="58">
        <f t="shared" si="180"/>
        <v>0</v>
      </c>
      <c r="Y764" s="52">
        <f t="shared" si="181"/>
        <v>0</v>
      </c>
    </row>
    <row r="765" spans="1:25" x14ac:dyDescent="0.25">
      <c r="A765" s="1218" t="s">
        <v>203</v>
      </c>
      <c r="B765" s="98">
        <v>45444</v>
      </c>
      <c r="C765" s="117" t="str">
        <f t="shared" si="168"/>
        <v>8L</v>
      </c>
      <c r="D765" s="96"/>
      <c r="I765" s="99">
        <f t="shared" si="169"/>
        <v>0</v>
      </c>
      <c r="L765" s="99">
        <f t="shared" si="170"/>
        <v>0</v>
      </c>
      <c r="M765" s="44" t="str">
        <f t="shared" si="172"/>
        <v/>
      </c>
      <c r="N765" s="100">
        <f t="shared" si="173"/>
        <v>0</v>
      </c>
      <c r="O765" s="101">
        <f t="shared" si="174"/>
        <v>0</v>
      </c>
      <c r="P765" s="52">
        <f t="shared" si="175"/>
        <v>0</v>
      </c>
      <c r="Q765" s="49">
        <v>116.88487613461319</v>
      </c>
      <c r="R765">
        <v>2225</v>
      </c>
      <c r="S765" s="50">
        <f t="shared" si="171"/>
        <v>71535.307499999995</v>
      </c>
      <c r="T765" s="50">
        <f t="shared" si="176"/>
        <v>0</v>
      </c>
      <c r="U765" s="58">
        <f t="shared" si="177"/>
        <v>0</v>
      </c>
      <c r="V765" s="58">
        <f t="shared" si="178"/>
        <v>0</v>
      </c>
      <c r="W765" s="58">
        <f t="shared" si="179"/>
        <v>0</v>
      </c>
      <c r="X765" s="58">
        <f t="shared" si="180"/>
        <v>0</v>
      </c>
      <c r="Y765" s="52">
        <f t="shared" si="181"/>
        <v>0</v>
      </c>
    </row>
    <row r="766" spans="1:25" x14ac:dyDescent="0.25">
      <c r="A766" s="1218" t="s">
        <v>204</v>
      </c>
      <c r="B766" s="98">
        <v>45444</v>
      </c>
      <c r="C766" s="117" t="str">
        <f t="shared" si="168"/>
        <v>8L</v>
      </c>
      <c r="D766" s="96"/>
      <c r="I766" s="99">
        <f t="shared" si="169"/>
        <v>0</v>
      </c>
      <c r="L766" s="99">
        <f t="shared" si="170"/>
        <v>0</v>
      </c>
      <c r="M766" s="44" t="str">
        <f t="shared" si="172"/>
        <v/>
      </c>
      <c r="N766" s="100">
        <f t="shared" si="173"/>
        <v>0</v>
      </c>
      <c r="O766" s="101">
        <f t="shared" si="174"/>
        <v>0</v>
      </c>
      <c r="P766" s="52">
        <f t="shared" si="175"/>
        <v>0</v>
      </c>
      <c r="Q766" s="49">
        <v>116.88487613461319</v>
      </c>
      <c r="R766">
        <v>2225</v>
      </c>
      <c r="S766" s="50">
        <f t="shared" si="171"/>
        <v>71535.307499999995</v>
      </c>
      <c r="T766" s="50">
        <f t="shared" si="176"/>
        <v>0</v>
      </c>
      <c r="U766" s="58">
        <f t="shared" si="177"/>
        <v>0</v>
      </c>
      <c r="V766" s="58">
        <f t="shared" si="178"/>
        <v>0</v>
      </c>
      <c r="W766" s="58">
        <f t="shared" si="179"/>
        <v>0</v>
      </c>
      <c r="X766" s="58">
        <f t="shared" si="180"/>
        <v>0</v>
      </c>
      <c r="Y766" s="52">
        <f t="shared" si="181"/>
        <v>0</v>
      </c>
    </row>
    <row r="767" spans="1:25" x14ac:dyDescent="0.25">
      <c r="A767" s="1218" t="s">
        <v>205</v>
      </c>
      <c r="B767" s="98">
        <v>45444</v>
      </c>
      <c r="C767" s="117" t="str">
        <f t="shared" si="168"/>
        <v>8L</v>
      </c>
      <c r="D767" s="96"/>
      <c r="I767" s="99">
        <f t="shared" si="169"/>
        <v>0</v>
      </c>
      <c r="L767" s="99">
        <f t="shared" si="170"/>
        <v>0</v>
      </c>
      <c r="M767" s="44" t="str">
        <f t="shared" si="172"/>
        <v/>
      </c>
      <c r="N767" s="100">
        <f t="shared" si="173"/>
        <v>0</v>
      </c>
      <c r="O767" s="101">
        <f t="shared" si="174"/>
        <v>0</v>
      </c>
      <c r="P767" s="52">
        <f t="shared" si="175"/>
        <v>0</v>
      </c>
      <c r="Q767" s="49">
        <v>116.88487613461319</v>
      </c>
      <c r="R767">
        <v>2225</v>
      </c>
      <c r="S767" s="50">
        <f t="shared" si="171"/>
        <v>71535.307499999995</v>
      </c>
      <c r="T767" s="50">
        <f t="shared" si="176"/>
        <v>0</v>
      </c>
      <c r="U767" s="58">
        <f t="shared" si="177"/>
        <v>0</v>
      </c>
      <c r="V767" s="58">
        <f t="shared" si="178"/>
        <v>0</v>
      </c>
      <c r="W767" s="58">
        <f t="shared" si="179"/>
        <v>0</v>
      </c>
      <c r="X767" s="58">
        <f t="shared" si="180"/>
        <v>0</v>
      </c>
      <c r="Y767" s="52">
        <f t="shared" si="181"/>
        <v>0</v>
      </c>
    </row>
    <row r="768" spans="1:25" x14ac:dyDescent="0.25">
      <c r="A768" s="1218" t="s">
        <v>206</v>
      </c>
      <c r="B768" s="98">
        <v>45444</v>
      </c>
      <c r="C768" s="117" t="str">
        <f t="shared" si="168"/>
        <v>8L</v>
      </c>
      <c r="D768" s="96"/>
      <c r="I768" s="99">
        <f t="shared" si="169"/>
        <v>0</v>
      </c>
      <c r="L768" s="99">
        <f t="shared" si="170"/>
        <v>0</v>
      </c>
      <c r="M768" s="44" t="str">
        <f t="shared" si="172"/>
        <v/>
      </c>
      <c r="N768" s="100">
        <f t="shared" si="173"/>
        <v>0</v>
      </c>
      <c r="O768" s="101">
        <f t="shared" si="174"/>
        <v>0</v>
      </c>
      <c r="P768" s="52">
        <f t="shared" si="175"/>
        <v>0</v>
      </c>
      <c r="Q768" s="49">
        <v>116.88487613461319</v>
      </c>
      <c r="R768">
        <v>2225</v>
      </c>
      <c r="S768" s="50">
        <f t="shared" si="171"/>
        <v>71535.307499999995</v>
      </c>
      <c r="T768" s="50">
        <f t="shared" si="176"/>
        <v>0</v>
      </c>
      <c r="U768" s="58">
        <f t="shared" si="177"/>
        <v>0</v>
      </c>
      <c r="V768" s="58">
        <f t="shared" si="178"/>
        <v>0</v>
      </c>
      <c r="W768" s="58">
        <f t="shared" si="179"/>
        <v>0</v>
      </c>
      <c r="X768" s="58">
        <f t="shared" si="180"/>
        <v>0</v>
      </c>
      <c r="Y768" s="52">
        <f t="shared" si="181"/>
        <v>0</v>
      </c>
    </row>
    <row r="769" spans="1:25" ht="15.75" thickBot="1" x14ac:dyDescent="0.3">
      <c r="A769" s="1219" t="s">
        <v>207</v>
      </c>
      <c r="B769" s="98">
        <v>45444</v>
      </c>
      <c r="C769" s="117" t="str">
        <f t="shared" si="168"/>
        <v>8L</v>
      </c>
      <c r="D769" s="96"/>
      <c r="I769" s="99">
        <f t="shared" si="169"/>
        <v>0</v>
      </c>
      <c r="L769" s="99">
        <f t="shared" si="170"/>
        <v>0</v>
      </c>
      <c r="M769" s="44" t="str">
        <f t="shared" si="172"/>
        <v/>
      </c>
      <c r="N769" s="100">
        <f t="shared" si="173"/>
        <v>0</v>
      </c>
      <c r="O769" s="101">
        <f t="shared" si="174"/>
        <v>0</v>
      </c>
      <c r="P769" s="52">
        <f t="shared" si="175"/>
        <v>0</v>
      </c>
      <c r="Q769" s="49">
        <v>116.88487613461319</v>
      </c>
      <c r="R769">
        <v>2225</v>
      </c>
      <c r="S769" s="50">
        <f t="shared" si="171"/>
        <v>71535.307499999995</v>
      </c>
      <c r="T769" s="50">
        <f t="shared" si="176"/>
        <v>0</v>
      </c>
      <c r="U769" s="58">
        <f t="shared" si="177"/>
        <v>0</v>
      </c>
      <c r="V769" s="58">
        <f t="shared" si="178"/>
        <v>0</v>
      </c>
      <c r="W769" s="58">
        <f t="shared" si="179"/>
        <v>0</v>
      </c>
      <c r="X769" s="58">
        <f t="shared" si="180"/>
        <v>0</v>
      </c>
      <c r="Y769" s="52">
        <f t="shared" si="181"/>
        <v>0</v>
      </c>
    </row>
    <row r="770" spans="1:25" x14ac:dyDescent="0.25">
      <c r="A770" s="97" t="s">
        <v>80</v>
      </c>
      <c r="B770" s="98">
        <v>45474</v>
      </c>
      <c r="C770" s="117" t="str">
        <f t="shared" si="168"/>
        <v>1L</v>
      </c>
      <c r="D770" s="96"/>
      <c r="E770" s="96"/>
      <c r="F770" s="96"/>
      <c r="G770" s="96"/>
      <c r="H770" s="96"/>
      <c r="I770" s="99">
        <f t="shared" si="169"/>
        <v>0</v>
      </c>
      <c r="J770" s="96"/>
      <c r="K770" s="96"/>
      <c r="L770" s="99">
        <f t="shared" si="170"/>
        <v>0</v>
      </c>
      <c r="M770" s="44" t="str">
        <f t="shared" si="172"/>
        <v/>
      </c>
      <c r="N770" s="100">
        <f t="shared" si="173"/>
        <v>0</v>
      </c>
      <c r="O770" s="101">
        <f t="shared" si="174"/>
        <v>0</v>
      </c>
      <c r="P770" s="52">
        <f t="shared" si="175"/>
        <v>0</v>
      </c>
      <c r="Q770" s="49">
        <v>116.88487613461319</v>
      </c>
      <c r="R770">
        <v>2225</v>
      </c>
      <c r="S770" s="50">
        <f t="shared" si="171"/>
        <v>71535.307499999995</v>
      </c>
      <c r="T770" s="50">
        <f t="shared" si="176"/>
        <v>0</v>
      </c>
      <c r="U770" s="58">
        <f t="shared" si="177"/>
        <v>0</v>
      </c>
      <c r="V770" s="58">
        <f t="shared" si="178"/>
        <v>0</v>
      </c>
      <c r="W770" s="58">
        <f t="shared" si="179"/>
        <v>0</v>
      </c>
      <c r="X770" s="58">
        <f t="shared" si="180"/>
        <v>0</v>
      </c>
      <c r="Y770" s="52">
        <f t="shared" si="181"/>
        <v>0</v>
      </c>
    </row>
    <row r="771" spans="1:25" x14ac:dyDescent="0.25">
      <c r="A771" s="1218" t="s">
        <v>81</v>
      </c>
      <c r="B771" s="98">
        <v>45474</v>
      </c>
      <c r="C771" s="117" t="str">
        <f t="shared" si="168"/>
        <v>1L</v>
      </c>
      <c r="D771" s="96"/>
      <c r="E771" s="96"/>
      <c r="F771" s="96"/>
      <c r="G771" s="96"/>
      <c r="H771" s="96"/>
      <c r="I771" s="99">
        <f t="shared" si="169"/>
        <v>0</v>
      </c>
      <c r="J771" s="96"/>
      <c r="K771" s="96"/>
      <c r="L771" s="99">
        <f t="shared" si="170"/>
        <v>0</v>
      </c>
      <c r="M771" s="44" t="str">
        <f t="shared" si="172"/>
        <v/>
      </c>
      <c r="N771" s="100">
        <f t="shared" si="173"/>
        <v>0</v>
      </c>
      <c r="O771" s="101">
        <f t="shared" si="174"/>
        <v>0</v>
      </c>
      <c r="P771" s="52">
        <f t="shared" si="175"/>
        <v>0</v>
      </c>
      <c r="Q771" s="49">
        <v>116.88487613461319</v>
      </c>
      <c r="R771">
        <v>2225</v>
      </c>
      <c r="S771" s="50">
        <f t="shared" si="171"/>
        <v>71535.307499999995</v>
      </c>
      <c r="T771" s="50">
        <f t="shared" si="176"/>
        <v>0</v>
      </c>
      <c r="U771" s="58">
        <f t="shared" si="177"/>
        <v>0</v>
      </c>
      <c r="V771" s="58">
        <f t="shared" si="178"/>
        <v>0</v>
      </c>
      <c r="W771" s="58">
        <f t="shared" si="179"/>
        <v>0</v>
      </c>
      <c r="X771" s="58">
        <f t="shared" si="180"/>
        <v>0</v>
      </c>
      <c r="Y771" s="52">
        <f t="shared" si="181"/>
        <v>0</v>
      </c>
    </row>
    <row r="772" spans="1:25" x14ac:dyDescent="0.25">
      <c r="A772" s="1218" t="s">
        <v>82</v>
      </c>
      <c r="B772" s="98">
        <v>45474</v>
      </c>
      <c r="C772" s="117" t="str">
        <f t="shared" si="168"/>
        <v>1L</v>
      </c>
      <c r="D772" s="96"/>
      <c r="E772" s="96"/>
      <c r="F772" s="96"/>
      <c r="G772" s="96"/>
      <c r="H772" s="96"/>
      <c r="I772" s="99">
        <f t="shared" si="169"/>
        <v>0</v>
      </c>
      <c r="J772" s="96"/>
      <c r="K772" s="96"/>
      <c r="L772" s="99">
        <f t="shared" si="170"/>
        <v>0</v>
      </c>
      <c r="M772" s="44" t="str">
        <f t="shared" si="172"/>
        <v/>
      </c>
      <c r="N772" s="100">
        <f t="shared" si="173"/>
        <v>0</v>
      </c>
      <c r="O772" s="101">
        <f t="shared" si="174"/>
        <v>0</v>
      </c>
      <c r="P772" s="52">
        <f t="shared" si="175"/>
        <v>0</v>
      </c>
      <c r="Q772" s="49">
        <v>116.88487613461319</v>
      </c>
      <c r="R772">
        <v>2225</v>
      </c>
      <c r="S772" s="50">
        <f t="shared" si="171"/>
        <v>71535.307499999995</v>
      </c>
      <c r="T772" s="50">
        <f t="shared" si="176"/>
        <v>0</v>
      </c>
      <c r="U772" s="58">
        <f t="shared" si="177"/>
        <v>0</v>
      </c>
      <c r="V772" s="58">
        <f t="shared" si="178"/>
        <v>0</v>
      </c>
      <c r="W772" s="58">
        <f t="shared" si="179"/>
        <v>0</v>
      </c>
      <c r="X772" s="58">
        <f t="shared" si="180"/>
        <v>0</v>
      </c>
      <c r="Y772" s="52">
        <f t="shared" si="181"/>
        <v>0</v>
      </c>
    </row>
    <row r="773" spans="1:25" x14ac:dyDescent="0.25">
      <c r="A773" s="1218" t="s">
        <v>83</v>
      </c>
      <c r="B773" s="98">
        <v>45474</v>
      </c>
      <c r="C773" s="117" t="str">
        <f t="shared" si="168"/>
        <v>1L</v>
      </c>
      <c r="D773" s="96"/>
      <c r="E773" s="96"/>
      <c r="F773" s="96"/>
      <c r="G773" s="96"/>
      <c r="H773" s="96"/>
      <c r="I773" s="99">
        <f t="shared" si="169"/>
        <v>0</v>
      </c>
      <c r="J773" s="96"/>
      <c r="K773" s="96"/>
      <c r="L773" s="99">
        <f t="shared" si="170"/>
        <v>0</v>
      </c>
      <c r="M773" s="44" t="str">
        <f t="shared" si="172"/>
        <v/>
      </c>
      <c r="N773" s="100">
        <f t="shared" si="173"/>
        <v>0</v>
      </c>
      <c r="O773" s="101">
        <f t="shared" si="174"/>
        <v>0</v>
      </c>
      <c r="P773" s="52">
        <f t="shared" si="175"/>
        <v>0</v>
      </c>
      <c r="Q773" s="49">
        <v>116.88487613461319</v>
      </c>
      <c r="R773">
        <v>2225</v>
      </c>
      <c r="S773" s="50">
        <f t="shared" si="171"/>
        <v>71535.307499999995</v>
      </c>
      <c r="T773" s="50">
        <f t="shared" si="176"/>
        <v>0</v>
      </c>
      <c r="U773" s="58">
        <f t="shared" si="177"/>
        <v>0</v>
      </c>
      <c r="V773" s="58">
        <f t="shared" si="178"/>
        <v>0</v>
      </c>
      <c r="W773" s="58">
        <f t="shared" si="179"/>
        <v>0</v>
      </c>
      <c r="X773" s="58">
        <f t="shared" si="180"/>
        <v>0</v>
      </c>
      <c r="Y773" s="52">
        <f t="shared" si="181"/>
        <v>0</v>
      </c>
    </row>
    <row r="774" spans="1:25" x14ac:dyDescent="0.25">
      <c r="A774" s="1218" t="s">
        <v>84</v>
      </c>
      <c r="B774" s="98">
        <v>45474</v>
      </c>
      <c r="C774" s="117" t="str">
        <f t="shared" si="168"/>
        <v>2L</v>
      </c>
      <c r="D774" s="96"/>
      <c r="E774" s="98"/>
      <c r="F774" s="98"/>
      <c r="I774" s="99">
        <f t="shared" si="169"/>
        <v>0</v>
      </c>
      <c r="L774" s="99">
        <f t="shared" si="170"/>
        <v>0</v>
      </c>
      <c r="M774" s="44" t="str">
        <f t="shared" si="172"/>
        <v/>
      </c>
      <c r="N774" s="100">
        <f t="shared" si="173"/>
        <v>0</v>
      </c>
      <c r="O774" s="101">
        <f t="shared" si="174"/>
        <v>0</v>
      </c>
      <c r="P774" s="52">
        <f t="shared" si="175"/>
        <v>0</v>
      </c>
      <c r="Q774" s="49">
        <v>116.88487613461319</v>
      </c>
      <c r="R774">
        <v>2225</v>
      </c>
      <c r="S774" s="50">
        <f t="shared" si="171"/>
        <v>71535.307499999995</v>
      </c>
      <c r="T774" s="50">
        <f t="shared" si="176"/>
        <v>0</v>
      </c>
      <c r="U774" s="58">
        <f t="shared" si="177"/>
        <v>0</v>
      </c>
      <c r="V774" s="58">
        <f t="shared" si="178"/>
        <v>0</v>
      </c>
      <c r="W774" s="58">
        <f t="shared" si="179"/>
        <v>0</v>
      </c>
      <c r="X774" s="58">
        <f t="shared" si="180"/>
        <v>0</v>
      </c>
      <c r="Y774" s="52">
        <f t="shared" si="181"/>
        <v>0</v>
      </c>
    </row>
    <row r="775" spans="1:25" x14ac:dyDescent="0.25">
      <c r="A775" s="1218" t="s">
        <v>85</v>
      </c>
      <c r="B775" s="98">
        <v>45474</v>
      </c>
      <c r="C775" s="117" t="str">
        <f t="shared" si="168"/>
        <v>2L</v>
      </c>
      <c r="D775" s="96"/>
      <c r="E775" s="98"/>
      <c r="F775" s="98"/>
      <c r="I775" s="99">
        <f t="shared" si="169"/>
        <v>0</v>
      </c>
      <c r="L775" s="99">
        <f t="shared" si="170"/>
        <v>0</v>
      </c>
      <c r="M775" s="44" t="str">
        <f t="shared" si="172"/>
        <v/>
      </c>
      <c r="N775" s="100">
        <f t="shared" si="173"/>
        <v>0</v>
      </c>
      <c r="O775" s="101">
        <f t="shared" si="174"/>
        <v>0</v>
      </c>
      <c r="P775" s="52">
        <f t="shared" si="175"/>
        <v>0</v>
      </c>
      <c r="Q775" s="49">
        <v>116.88487613461319</v>
      </c>
      <c r="R775">
        <v>2225</v>
      </c>
      <c r="S775" s="50">
        <f t="shared" si="171"/>
        <v>71535.307499999995</v>
      </c>
      <c r="T775" s="50">
        <f t="shared" si="176"/>
        <v>0</v>
      </c>
      <c r="U775" s="58">
        <f t="shared" si="177"/>
        <v>0</v>
      </c>
      <c r="V775" s="58">
        <f t="shared" si="178"/>
        <v>0</v>
      </c>
      <c r="W775" s="58">
        <f t="shared" si="179"/>
        <v>0</v>
      </c>
      <c r="X775" s="58">
        <f t="shared" si="180"/>
        <v>0</v>
      </c>
      <c r="Y775" s="52">
        <f t="shared" si="181"/>
        <v>0</v>
      </c>
    </row>
    <row r="776" spans="1:25" x14ac:dyDescent="0.25">
      <c r="A776" s="1218" t="s">
        <v>86</v>
      </c>
      <c r="B776" s="98">
        <v>45474</v>
      </c>
      <c r="C776" s="117" t="str">
        <f t="shared" si="168"/>
        <v>2L</v>
      </c>
      <c r="D776" s="96"/>
      <c r="E776" s="98"/>
      <c r="F776" s="98"/>
      <c r="I776" s="99">
        <f t="shared" si="169"/>
        <v>0</v>
      </c>
      <c r="L776" s="99">
        <f t="shared" si="170"/>
        <v>0</v>
      </c>
      <c r="M776" s="44" t="str">
        <f t="shared" si="172"/>
        <v/>
      </c>
      <c r="N776" s="100">
        <f t="shared" si="173"/>
        <v>0</v>
      </c>
      <c r="O776" s="101">
        <f t="shared" si="174"/>
        <v>0</v>
      </c>
      <c r="P776" s="52">
        <f t="shared" si="175"/>
        <v>0</v>
      </c>
      <c r="Q776" s="49">
        <v>116.88487613461319</v>
      </c>
      <c r="R776">
        <v>2225</v>
      </c>
      <c r="S776" s="50">
        <f t="shared" si="171"/>
        <v>71535.307499999995</v>
      </c>
      <c r="T776" s="50">
        <f t="shared" si="176"/>
        <v>0</v>
      </c>
      <c r="U776" s="58">
        <f t="shared" si="177"/>
        <v>0</v>
      </c>
      <c r="V776" s="58">
        <f t="shared" si="178"/>
        <v>0</v>
      </c>
      <c r="W776" s="58">
        <f t="shared" si="179"/>
        <v>0</v>
      </c>
      <c r="X776" s="58">
        <f t="shared" si="180"/>
        <v>0</v>
      </c>
      <c r="Y776" s="52">
        <f t="shared" si="181"/>
        <v>0</v>
      </c>
    </row>
    <row r="777" spans="1:25" x14ac:dyDescent="0.25">
      <c r="A777" s="1218" t="s">
        <v>87</v>
      </c>
      <c r="B777" s="98">
        <v>45474</v>
      </c>
      <c r="C777" s="117" t="str">
        <f t="shared" ref="C777:C841" si="182">LEFT(A777,2)</f>
        <v>3L</v>
      </c>
      <c r="D777" s="96"/>
      <c r="E777" s="98"/>
      <c r="F777" s="98"/>
      <c r="G777" s="43">
        <v>2170</v>
      </c>
      <c r="H777" s="26">
        <v>1.49</v>
      </c>
      <c r="I777" s="99">
        <f t="shared" si="169"/>
        <v>3.2333000000000003</v>
      </c>
      <c r="L777" s="99">
        <f t="shared" si="170"/>
        <v>0</v>
      </c>
      <c r="M777" s="44">
        <f t="shared" si="172"/>
        <v>-1</v>
      </c>
      <c r="N777" s="100">
        <f t="shared" si="173"/>
        <v>-2170</v>
      </c>
      <c r="O777" s="101">
        <f t="shared" si="174"/>
        <v>-3.2333000000000003</v>
      </c>
      <c r="P777" s="52">
        <f t="shared" si="175"/>
        <v>0</v>
      </c>
      <c r="Q777" s="49">
        <v>116.88487613461319</v>
      </c>
      <c r="R777">
        <v>2225</v>
      </c>
      <c r="S777" s="50">
        <f t="shared" si="171"/>
        <v>71535.307499999995</v>
      </c>
      <c r="T777" s="50">
        <f t="shared" si="176"/>
        <v>231295.10973975001</v>
      </c>
      <c r="U777" s="58">
        <f t="shared" si="177"/>
        <v>0</v>
      </c>
      <c r="V777" s="58">
        <f t="shared" si="178"/>
        <v>253640.18121211062</v>
      </c>
      <c r="W777" s="58">
        <f t="shared" si="179"/>
        <v>0</v>
      </c>
      <c r="X777" s="58">
        <f t="shared" si="180"/>
        <v>-22345.071472360607</v>
      </c>
      <c r="Y777" s="52">
        <f t="shared" si="181"/>
        <v>0</v>
      </c>
    </row>
    <row r="778" spans="1:25" x14ac:dyDescent="0.25">
      <c r="A778" s="1218" t="s">
        <v>88</v>
      </c>
      <c r="B778" s="98">
        <v>45474</v>
      </c>
      <c r="C778" s="117" t="str">
        <f t="shared" si="182"/>
        <v>3L</v>
      </c>
      <c r="D778" s="96"/>
      <c r="E778" s="98"/>
      <c r="F778" s="98"/>
      <c r="G778" s="43">
        <v>3255</v>
      </c>
      <c r="H778" s="26">
        <v>1.49</v>
      </c>
      <c r="I778" s="99">
        <f t="shared" si="169"/>
        <v>4.8499499999999998</v>
      </c>
      <c r="J778" s="50">
        <v>3289.2</v>
      </c>
      <c r="K778" s="49">
        <v>1.2739732816225988</v>
      </c>
      <c r="L778" s="99">
        <f t="shared" si="170"/>
        <v>4.1903529179130521</v>
      </c>
      <c r="M778" s="44">
        <f t="shared" si="172"/>
        <v>-0.13600080043855045</v>
      </c>
      <c r="N778" s="100">
        <f t="shared" si="173"/>
        <v>34.199999999999818</v>
      </c>
      <c r="O778" s="101">
        <f t="shared" si="174"/>
        <v>-0.65959708208694767</v>
      </c>
      <c r="P778" s="52">
        <f t="shared" si="175"/>
        <v>-84699.550065537274</v>
      </c>
      <c r="Q778" s="49">
        <v>116.88487613461319</v>
      </c>
      <c r="R778">
        <v>2225</v>
      </c>
      <c r="S778" s="50">
        <f t="shared" si="171"/>
        <v>71535.307499999995</v>
      </c>
      <c r="T778" s="50">
        <f t="shared" si="176"/>
        <v>346942.66460962495</v>
      </c>
      <c r="U778" s="58">
        <f t="shared" si="177"/>
        <v>299758.1845164324</v>
      </c>
      <c r="V778" s="58">
        <f t="shared" si="178"/>
        <v>380460.27181816596</v>
      </c>
      <c r="W778" s="58">
        <f t="shared" si="179"/>
        <v>384457.73458196968</v>
      </c>
      <c r="X778" s="58">
        <f t="shared" si="180"/>
        <v>-33517.607208541012</v>
      </c>
      <c r="Y778" s="52">
        <f t="shared" si="181"/>
        <v>-84699.550065537274</v>
      </c>
    </row>
    <row r="779" spans="1:25" x14ac:dyDescent="0.25">
      <c r="A779" s="1218" t="s">
        <v>89</v>
      </c>
      <c r="B779" s="98">
        <v>45474</v>
      </c>
      <c r="C779" s="117" t="str">
        <f t="shared" si="182"/>
        <v>3L</v>
      </c>
      <c r="D779" s="96"/>
      <c r="E779" s="98"/>
      <c r="F779" s="98"/>
      <c r="I779" s="99">
        <f t="shared" si="169"/>
        <v>0</v>
      </c>
      <c r="L779" s="99">
        <f t="shared" si="170"/>
        <v>0</v>
      </c>
      <c r="M779" s="44" t="str">
        <f t="shared" si="172"/>
        <v/>
      </c>
      <c r="N779" s="100">
        <f t="shared" si="173"/>
        <v>0</v>
      </c>
      <c r="O779" s="101">
        <f t="shared" si="174"/>
        <v>0</v>
      </c>
      <c r="P779" s="52">
        <f t="shared" si="175"/>
        <v>0</v>
      </c>
      <c r="Q779" s="49">
        <v>116.88487613461319</v>
      </c>
      <c r="R779">
        <v>2225</v>
      </c>
      <c r="S779" s="50">
        <f t="shared" si="171"/>
        <v>71535.307499999995</v>
      </c>
      <c r="T779" s="50">
        <f t="shared" si="176"/>
        <v>0</v>
      </c>
      <c r="U779" s="58">
        <f t="shared" si="177"/>
        <v>0</v>
      </c>
      <c r="V779" s="58">
        <f t="shared" si="178"/>
        <v>0</v>
      </c>
      <c r="W779" s="58">
        <f t="shared" si="179"/>
        <v>0</v>
      </c>
      <c r="X779" s="58">
        <f t="shared" si="180"/>
        <v>0</v>
      </c>
      <c r="Y779" s="52">
        <f t="shared" si="181"/>
        <v>0</v>
      </c>
    </row>
    <row r="780" spans="1:25" x14ac:dyDescent="0.25">
      <c r="A780" s="1218" t="s">
        <v>90</v>
      </c>
      <c r="B780" s="98">
        <v>45474</v>
      </c>
      <c r="C780" s="117" t="str">
        <f t="shared" si="182"/>
        <v>3L</v>
      </c>
      <c r="D780" s="96"/>
      <c r="E780" s="98"/>
      <c r="F780" s="98"/>
      <c r="I780" s="99">
        <f t="shared" si="169"/>
        <v>0</v>
      </c>
      <c r="L780" s="99">
        <f t="shared" si="170"/>
        <v>0</v>
      </c>
      <c r="M780" s="44" t="str">
        <f t="shared" si="172"/>
        <v/>
      </c>
      <c r="N780" s="100">
        <f t="shared" si="173"/>
        <v>0</v>
      </c>
      <c r="O780" s="101">
        <f t="shared" si="174"/>
        <v>0</v>
      </c>
      <c r="P780" s="52">
        <f t="shared" si="175"/>
        <v>0</v>
      </c>
      <c r="Q780" s="49">
        <v>116.88487613461319</v>
      </c>
      <c r="R780">
        <v>2225</v>
      </c>
      <c r="S780" s="50">
        <f t="shared" si="171"/>
        <v>71535.307499999995</v>
      </c>
      <c r="T780" s="50">
        <f t="shared" si="176"/>
        <v>0</v>
      </c>
      <c r="U780" s="58">
        <f t="shared" si="177"/>
        <v>0</v>
      </c>
      <c r="V780" s="58">
        <f t="shared" si="178"/>
        <v>0</v>
      </c>
      <c r="W780" s="58">
        <f t="shared" si="179"/>
        <v>0</v>
      </c>
      <c r="X780" s="58">
        <f t="shared" si="180"/>
        <v>0</v>
      </c>
      <c r="Y780" s="52">
        <f t="shared" si="181"/>
        <v>0</v>
      </c>
    </row>
    <row r="781" spans="1:25" x14ac:dyDescent="0.25">
      <c r="A781" s="1218" t="s">
        <v>91</v>
      </c>
      <c r="B781" s="98">
        <v>45474</v>
      </c>
      <c r="C781" s="117" t="str">
        <f t="shared" si="182"/>
        <v>3L</v>
      </c>
      <c r="D781" s="96"/>
      <c r="E781" s="98"/>
      <c r="F781" s="98"/>
      <c r="I781" s="99">
        <f t="shared" si="169"/>
        <v>0</v>
      </c>
      <c r="L781" s="99">
        <f t="shared" si="170"/>
        <v>0</v>
      </c>
      <c r="M781" s="44" t="str">
        <f t="shared" si="172"/>
        <v/>
      </c>
      <c r="N781" s="100">
        <f t="shared" si="173"/>
        <v>0</v>
      </c>
      <c r="O781" s="101">
        <f t="shared" si="174"/>
        <v>0</v>
      </c>
      <c r="P781" s="52">
        <f t="shared" si="175"/>
        <v>0</v>
      </c>
      <c r="Q781" s="49">
        <v>116.88487613461319</v>
      </c>
      <c r="R781">
        <v>2225</v>
      </c>
      <c r="S781" s="50">
        <f t="shared" si="171"/>
        <v>71535.307499999995</v>
      </c>
      <c r="T781" s="50">
        <f t="shared" si="176"/>
        <v>0</v>
      </c>
      <c r="U781" s="58">
        <f t="shared" si="177"/>
        <v>0</v>
      </c>
      <c r="V781" s="58">
        <f t="shared" si="178"/>
        <v>0</v>
      </c>
      <c r="W781" s="58">
        <f t="shared" si="179"/>
        <v>0</v>
      </c>
      <c r="X781" s="58">
        <f t="shared" si="180"/>
        <v>0</v>
      </c>
      <c r="Y781" s="52">
        <f t="shared" si="181"/>
        <v>0</v>
      </c>
    </row>
    <row r="782" spans="1:25" x14ac:dyDescent="0.25">
      <c r="A782" s="1218" t="s">
        <v>92</v>
      </c>
      <c r="B782" s="98">
        <v>45474</v>
      </c>
      <c r="C782" s="117" t="str">
        <f t="shared" si="182"/>
        <v>3L</v>
      </c>
      <c r="D782" s="96"/>
      <c r="E782" s="98"/>
      <c r="F782" s="98"/>
      <c r="G782" s="41"/>
      <c r="H782" s="47"/>
      <c r="I782" s="99">
        <f t="shared" si="169"/>
        <v>0</v>
      </c>
      <c r="J782" s="41"/>
      <c r="K782" s="47"/>
      <c r="L782" s="99">
        <f t="shared" si="170"/>
        <v>0</v>
      </c>
      <c r="M782" s="44" t="str">
        <f t="shared" si="172"/>
        <v/>
      </c>
      <c r="N782" s="100">
        <f t="shared" si="173"/>
        <v>0</v>
      </c>
      <c r="O782" s="101">
        <f t="shared" si="174"/>
        <v>0</v>
      </c>
      <c r="P782" s="52">
        <f t="shared" si="175"/>
        <v>0</v>
      </c>
      <c r="Q782" s="49">
        <v>116.88487613461319</v>
      </c>
      <c r="R782">
        <v>2225</v>
      </c>
      <c r="S782" s="50">
        <f t="shared" si="171"/>
        <v>71535.307499999995</v>
      </c>
      <c r="T782" s="50">
        <f t="shared" si="176"/>
        <v>0</v>
      </c>
      <c r="U782" s="58">
        <f t="shared" si="177"/>
        <v>0</v>
      </c>
      <c r="V782" s="58">
        <f t="shared" si="178"/>
        <v>0</v>
      </c>
      <c r="W782" s="58">
        <f t="shared" si="179"/>
        <v>0</v>
      </c>
      <c r="X782" s="58">
        <f t="shared" si="180"/>
        <v>0</v>
      </c>
      <c r="Y782" s="52">
        <f t="shared" si="181"/>
        <v>0</v>
      </c>
    </row>
    <row r="783" spans="1:25" x14ac:dyDescent="0.25">
      <c r="A783" s="1218" t="s">
        <v>93</v>
      </c>
      <c r="B783" s="98">
        <v>45474</v>
      </c>
      <c r="C783" s="117" t="str">
        <f t="shared" si="182"/>
        <v>3L</v>
      </c>
      <c r="D783" s="96"/>
      <c r="E783" s="98"/>
      <c r="F783" s="98"/>
      <c r="G783" s="41"/>
      <c r="H783" s="47"/>
      <c r="I783" s="99">
        <f t="shared" si="169"/>
        <v>0</v>
      </c>
      <c r="J783" s="41"/>
      <c r="K783" s="47"/>
      <c r="L783" s="99">
        <f t="shared" si="170"/>
        <v>0</v>
      </c>
      <c r="M783" s="44" t="str">
        <f t="shared" si="172"/>
        <v/>
      </c>
      <c r="N783" s="100">
        <f t="shared" si="173"/>
        <v>0</v>
      </c>
      <c r="O783" s="101">
        <f t="shared" si="174"/>
        <v>0</v>
      </c>
      <c r="P783" s="52">
        <f t="shared" si="175"/>
        <v>0</v>
      </c>
      <c r="Q783" s="49">
        <v>116.88487613461319</v>
      </c>
      <c r="R783">
        <v>2225</v>
      </c>
      <c r="S783" s="50">
        <f t="shared" si="171"/>
        <v>71535.307499999995</v>
      </c>
      <c r="T783" s="50">
        <f t="shared" si="176"/>
        <v>0</v>
      </c>
      <c r="U783" s="58">
        <f t="shared" si="177"/>
        <v>0</v>
      </c>
      <c r="V783" s="58">
        <f t="shared" si="178"/>
        <v>0</v>
      </c>
      <c r="W783" s="58">
        <f t="shared" si="179"/>
        <v>0</v>
      </c>
      <c r="X783" s="58">
        <f t="shared" si="180"/>
        <v>0</v>
      </c>
      <c r="Y783" s="52">
        <f t="shared" si="181"/>
        <v>0</v>
      </c>
    </row>
    <row r="784" spans="1:25" x14ac:dyDescent="0.25">
      <c r="A784" s="1218" t="s">
        <v>94</v>
      </c>
      <c r="B784" s="98">
        <v>45474</v>
      </c>
      <c r="C784" s="117" t="str">
        <f t="shared" si="182"/>
        <v>3L</v>
      </c>
      <c r="D784" s="96"/>
      <c r="E784" s="98"/>
      <c r="F784" s="98"/>
      <c r="G784" s="41"/>
      <c r="H784" s="47"/>
      <c r="I784" s="99">
        <f t="shared" si="169"/>
        <v>0</v>
      </c>
      <c r="J784" s="41"/>
      <c r="K784" s="47"/>
      <c r="L784" s="99">
        <f t="shared" si="170"/>
        <v>0</v>
      </c>
      <c r="M784" s="44" t="str">
        <f t="shared" si="172"/>
        <v/>
      </c>
      <c r="N784" s="100">
        <f t="shared" si="173"/>
        <v>0</v>
      </c>
      <c r="O784" s="101">
        <f t="shared" si="174"/>
        <v>0</v>
      </c>
      <c r="P784" s="52">
        <f t="shared" si="175"/>
        <v>0</v>
      </c>
      <c r="Q784" s="49">
        <v>116.88487613461319</v>
      </c>
      <c r="R784">
        <v>2225</v>
      </c>
      <c r="S784" s="50">
        <f t="shared" si="171"/>
        <v>71535.307499999995</v>
      </c>
      <c r="T784" s="50">
        <f t="shared" si="176"/>
        <v>0</v>
      </c>
      <c r="U784" s="58">
        <f t="shared" si="177"/>
        <v>0</v>
      </c>
      <c r="V784" s="58">
        <f t="shared" si="178"/>
        <v>0</v>
      </c>
      <c r="W784" s="58">
        <f t="shared" si="179"/>
        <v>0</v>
      </c>
      <c r="X784" s="58">
        <f t="shared" si="180"/>
        <v>0</v>
      </c>
      <c r="Y784" s="52">
        <f t="shared" si="181"/>
        <v>0</v>
      </c>
    </row>
    <row r="785" spans="1:25" x14ac:dyDescent="0.25">
      <c r="A785" s="1218" t="s">
        <v>95</v>
      </c>
      <c r="B785" s="98">
        <v>45474</v>
      </c>
      <c r="C785" s="117" t="str">
        <f t="shared" si="182"/>
        <v>3L</v>
      </c>
      <c r="D785" s="96"/>
      <c r="E785" s="98"/>
      <c r="F785" s="98"/>
      <c r="G785" s="41"/>
      <c r="H785" s="47"/>
      <c r="I785" s="99">
        <f t="shared" si="169"/>
        <v>0</v>
      </c>
      <c r="J785" s="41"/>
      <c r="K785" s="47"/>
      <c r="L785" s="99">
        <f t="shared" si="170"/>
        <v>0</v>
      </c>
      <c r="M785" s="44" t="str">
        <f t="shared" si="172"/>
        <v/>
      </c>
      <c r="N785" s="100">
        <f t="shared" si="173"/>
        <v>0</v>
      </c>
      <c r="O785" s="101">
        <f t="shared" si="174"/>
        <v>0</v>
      </c>
      <c r="P785" s="52">
        <f t="shared" si="175"/>
        <v>0</v>
      </c>
      <c r="Q785" s="49">
        <v>116.88487613461319</v>
      </c>
      <c r="R785">
        <v>2225</v>
      </c>
      <c r="S785" s="50">
        <f t="shared" si="171"/>
        <v>71535.307499999995</v>
      </c>
      <c r="T785" s="50">
        <f t="shared" si="176"/>
        <v>0</v>
      </c>
      <c r="U785" s="58">
        <f t="shared" si="177"/>
        <v>0</v>
      </c>
      <c r="V785" s="58">
        <f t="shared" si="178"/>
        <v>0</v>
      </c>
      <c r="W785" s="58">
        <f t="shared" si="179"/>
        <v>0</v>
      </c>
      <c r="X785" s="58">
        <f t="shared" si="180"/>
        <v>0</v>
      </c>
      <c r="Y785" s="52">
        <f t="shared" si="181"/>
        <v>0</v>
      </c>
    </row>
    <row r="786" spans="1:25" x14ac:dyDescent="0.25">
      <c r="A786" s="1218" t="s">
        <v>96</v>
      </c>
      <c r="B786" s="98">
        <v>45474</v>
      </c>
      <c r="C786" s="117" t="str">
        <f t="shared" si="182"/>
        <v>3L</v>
      </c>
      <c r="D786" s="96"/>
      <c r="E786" s="98"/>
      <c r="F786" s="98"/>
      <c r="G786" s="41"/>
      <c r="H786" s="47"/>
      <c r="I786" s="99">
        <f t="shared" si="169"/>
        <v>0</v>
      </c>
      <c r="J786" s="41"/>
      <c r="K786" s="47"/>
      <c r="L786" s="99">
        <f t="shared" si="170"/>
        <v>0</v>
      </c>
      <c r="M786" s="44" t="str">
        <f t="shared" si="172"/>
        <v/>
      </c>
      <c r="N786" s="100">
        <f t="shared" si="173"/>
        <v>0</v>
      </c>
      <c r="O786" s="101">
        <f t="shared" si="174"/>
        <v>0</v>
      </c>
      <c r="P786" s="52">
        <f t="shared" si="175"/>
        <v>0</v>
      </c>
      <c r="Q786" s="49">
        <v>116.88487613461319</v>
      </c>
      <c r="R786">
        <v>2225</v>
      </c>
      <c r="S786" s="50">
        <f t="shared" si="171"/>
        <v>71535.307499999995</v>
      </c>
      <c r="T786" s="50">
        <f t="shared" si="176"/>
        <v>0</v>
      </c>
      <c r="U786" s="58">
        <f t="shared" si="177"/>
        <v>0</v>
      </c>
      <c r="V786" s="58">
        <f t="shared" si="178"/>
        <v>0</v>
      </c>
      <c r="W786" s="58">
        <f t="shared" si="179"/>
        <v>0</v>
      </c>
      <c r="X786" s="58">
        <f t="shared" si="180"/>
        <v>0</v>
      </c>
      <c r="Y786" s="52">
        <f t="shared" si="181"/>
        <v>0</v>
      </c>
    </row>
    <row r="787" spans="1:25" x14ac:dyDescent="0.25">
      <c r="A787" s="1218" t="s">
        <v>97</v>
      </c>
      <c r="B787" s="98">
        <v>45474</v>
      </c>
      <c r="C787" s="117" t="str">
        <f t="shared" si="182"/>
        <v>4L</v>
      </c>
      <c r="D787" s="96"/>
      <c r="E787" s="98"/>
      <c r="F787" s="98"/>
      <c r="I787" s="99">
        <f t="shared" si="169"/>
        <v>0</v>
      </c>
      <c r="J787">
        <v>549.39999999999986</v>
      </c>
      <c r="K787" s="49">
        <v>1.1537871229789576</v>
      </c>
      <c r="L787" s="99">
        <f t="shared" si="170"/>
        <v>0.63389064536463913</v>
      </c>
      <c r="M787" s="44" t="str">
        <f t="shared" si="172"/>
        <v/>
      </c>
      <c r="N787" s="100">
        <f t="shared" si="173"/>
        <v>549.39999999999986</v>
      </c>
      <c r="O787" s="101">
        <f t="shared" si="174"/>
        <v>0.63389064536463913</v>
      </c>
      <c r="P787" s="52">
        <f t="shared" si="175"/>
        <v>-18870.988710823571</v>
      </c>
      <c r="Q787" s="49">
        <v>116.88487613461319</v>
      </c>
      <c r="R787">
        <v>2225</v>
      </c>
      <c r="S787" s="50">
        <f t="shared" si="171"/>
        <v>71535.307499999995</v>
      </c>
      <c r="T787" s="50">
        <f t="shared" si="176"/>
        <v>0</v>
      </c>
      <c r="U787" s="58">
        <f t="shared" si="177"/>
        <v>45345.562237532904</v>
      </c>
      <c r="V787" s="58">
        <f t="shared" si="178"/>
        <v>0</v>
      </c>
      <c r="W787" s="58">
        <f t="shared" si="179"/>
        <v>64216.550948356475</v>
      </c>
      <c r="X787" s="58">
        <f t="shared" si="180"/>
        <v>0</v>
      </c>
      <c r="Y787" s="52">
        <f t="shared" si="181"/>
        <v>-18870.988710823571</v>
      </c>
    </row>
    <row r="788" spans="1:25" x14ac:dyDescent="0.25">
      <c r="A788" s="1218" t="s">
        <v>98</v>
      </c>
      <c r="B788" s="98">
        <v>45474</v>
      </c>
      <c r="C788" s="117" t="str">
        <f t="shared" si="182"/>
        <v>4L</v>
      </c>
      <c r="D788" s="96"/>
      <c r="E788" s="98"/>
      <c r="F788" s="98"/>
      <c r="I788" s="99">
        <f t="shared" si="169"/>
        <v>0</v>
      </c>
      <c r="L788" s="99">
        <f t="shared" si="170"/>
        <v>0</v>
      </c>
      <c r="M788" s="44" t="str">
        <f t="shared" si="172"/>
        <v/>
      </c>
      <c r="N788" s="100">
        <f t="shared" si="173"/>
        <v>0</v>
      </c>
      <c r="O788" s="101">
        <f t="shared" si="174"/>
        <v>0</v>
      </c>
      <c r="P788" s="52">
        <f t="shared" si="175"/>
        <v>0</v>
      </c>
      <c r="Q788" s="49">
        <v>116.88487613461319</v>
      </c>
      <c r="R788">
        <v>2225</v>
      </c>
      <c r="S788" s="50">
        <f t="shared" si="171"/>
        <v>71535.307499999995</v>
      </c>
      <c r="T788" s="50">
        <f t="shared" si="176"/>
        <v>0</v>
      </c>
      <c r="U788" s="58">
        <f t="shared" si="177"/>
        <v>0</v>
      </c>
      <c r="V788" s="58">
        <f t="shared" si="178"/>
        <v>0</v>
      </c>
      <c r="W788" s="58">
        <f t="shared" si="179"/>
        <v>0</v>
      </c>
      <c r="X788" s="58">
        <f t="shared" si="180"/>
        <v>0</v>
      </c>
      <c r="Y788" s="52">
        <f t="shared" si="181"/>
        <v>0</v>
      </c>
    </row>
    <row r="789" spans="1:25" x14ac:dyDescent="0.25">
      <c r="A789" s="1218" t="s">
        <v>99</v>
      </c>
      <c r="B789" s="98">
        <v>45474</v>
      </c>
      <c r="C789" s="117" t="str">
        <f t="shared" si="182"/>
        <v>4L</v>
      </c>
      <c r="D789" s="96"/>
      <c r="E789" s="98"/>
      <c r="F789" s="98"/>
      <c r="I789" s="99">
        <f t="shared" si="169"/>
        <v>0</v>
      </c>
      <c r="L789" s="99">
        <f t="shared" si="170"/>
        <v>0</v>
      </c>
      <c r="M789" s="44" t="str">
        <f t="shared" si="172"/>
        <v/>
      </c>
      <c r="N789" s="100">
        <f t="shared" si="173"/>
        <v>0</v>
      </c>
      <c r="O789" s="101">
        <f t="shared" si="174"/>
        <v>0</v>
      </c>
      <c r="P789" s="52">
        <f t="shared" si="175"/>
        <v>0</v>
      </c>
      <c r="Q789" s="49">
        <v>116.88487613461319</v>
      </c>
      <c r="R789">
        <v>2225</v>
      </c>
      <c r="S789" s="50">
        <f t="shared" si="171"/>
        <v>71535.307499999995</v>
      </c>
      <c r="T789" s="50">
        <f t="shared" si="176"/>
        <v>0</v>
      </c>
      <c r="U789" s="58">
        <f t="shared" si="177"/>
        <v>0</v>
      </c>
      <c r="V789" s="58">
        <f t="shared" si="178"/>
        <v>0</v>
      </c>
      <c r="W789" s="58">
        <f t="shared" si="179"/>
        <v>0</v>
      </c>
      <c r="X789" s="58">
        <f t="shared" si="180"/>
        <v>0</v>
      </c>
      <c r="Y789" s="52">
        <f t="shared" si="181"/>
        <v>0</v>
      </c>
    </row>
    <row r="790" spans="1:25" x14ac:dyDescent="0.25">
      <c r="A790" s="1218" t="s">
        <v>100</v>
      </c>
      <c r="B790" s="98">
        <v>45474</v>
      </c>
      <c r="C790" s="117" t="str">
        <f t="shared" si="182"/>
        <v>4L</v>
      </c>
      <c r="D790" s="96"/>
      <c r="E790" s="98"/>
      <c r="F790" s="98"/>
      <c r="I790" s="99">
        <f t="shared" si="169"/>
        <v>0</v>
      </c>
      <c r="L790" s="99">
        <f t="shared" si="170"/>
        <v>0</v>
      </c>
      <c r="M790" s="44" t="str">
        <f t="shared" si="172"/>
        <v/>
      </c>
      <c r="N790" s="100">
        <f t="shared" si="173"/>
        <v>0</v>
      </c>
      <c r="O790" s="101">
        <f t="shared" si="174"/>
        <v>0</v>
      </c>
      <c r="P790" s="52">
        <f t="shared" si="175"/>
        <v>0</v>
      </c>
      <c r="Q790" s="49">
        <v>116.88487613461319</v>
      </c>
      <c r="R790">
        <v>2225</v>
      </c>
      <c r="S790" s="50">
        <f t="shared" si="171"/>
        <v>71535.307499999995</v>
      </c>
      <c r="T790" s="50">
        <f t="shared" si="176"/>
        <v>0</v>
      </c>
      <c r="U790" s="58">
        <f t="shared" si="177"/>
        <v>0</v>
      </c>
      <c r="V790" s="58">
        <f t="shared" si="178"/>
        <v>0</v>
      </c>
      <c r="W790" s="58">
        <f t="shared" si="179"/>
        <v>0</v>
      </c>
      <c r="X790" s="58">
        <f t="shared" si="180"/>
        <v>0</v>
      </c>
      <c r="Y790" s="52">
        <f t="shared" si="181"/>
        <v>0</v>
      </c>
    </row>
    <row r="791" spans="1:25" x14ac:dyDescent="0.25">
      <c r="A791" s="1218" t="s">
        <v>101</v>
      </c>
      <c r="B791" s="98">
        <v>45474</v>
      </c>
      <c r="C791" s="117" t="str">
        <f t="shared" si="182"/>
        <v>4L</v>
      </c>
      <c r="D791" s="96"/>
      <c r="E791" s="98"/>
      <c r="F791" s="98"/>
      <c r="G791" s="43">
        <v>2170</v>
      </c>
      <c r="H791" s="26">
        <v>1.33</v>
      </c>
      <c r="I791" s="99">
        <f t="shared" si="169"/>
        <v>2.8861000000000003</v>
      </c>
      <c r="J791">
        <v>2480</v>
      </c>
      <c r="K791" s="49">
        <v>1.2980105133513273</v>
      </c>
      <c r="L791" s="99">
        <f t="shared" si="170"/>
        <v>3.2190660731112914</v>
      </c>
      <c r="M791" s="44">
        <f t="shared" si="172"/>
        <v>0.11536886217085031</v>
      </c>
      <c r="N791" s="100">
        <f t="shared" si="173"/>
        <v>310</v>
      </c>
      <c r="O791" s="101">
        <f t="shared" si="174"/>
        <v>0.33296607311129112</v>
      </c>
      <c r="P791" s="52">
        <f t="shared" si="175"/>
        <v>-59597.611411007034</v>
      </c>
      <c r="Q791" s="49">
        <v>116.88487613461319</v>
      </c>
      <c r="R791">
        <v>2225</v>
      </c>
      <c r="S791" s="50">
        <f t="shared" si="171"/>
        <v>71535.307499999995</v>
      </c>
      <c r="T791" s="50">
        <f t="shared" si="176"/>
        <v>206458.05097575</v>
      </c>
      <c r="U791" s="58">
        <f t="shared" si="177"/>
        <v>230276.88140283371</v>
      </c>
      <c r="V791" s="58">
        <f t="shared" si="178"/>
        <v>253640.18121211062</v>
      </c>
      <c r="W791" s="58">
        <f t="shared" si="179"/>
        <v>289874.49281384074</v>
      </c>
      <c r="X791" s="58">
        <f t="shared" si="180"/>
        <v>-47182.130236360623</v>
      </c>
      <c r="Y791" s="52">
        <f t="shared" si="181"/>
        <v>-59597.611411007034</v>
      </c>
    </row>
    <row r="792" spans="1:25" x14ac:dyDescent="0.25">
      <c r="A792" s="1218" t="s">
        <v>102</v>
      </c>
      <c r="B792" s="98">
        <v>45474</v>
      </c>
      <c r="C792" s="117" t="str">
        <f t="shared" si="182"/>
        <v>4L</v>
      </c>
      <c r="D792" s="96"/>
      <c r="E792" s="98"/>
      <c r="F792" s="98"/>
      <c r="G792" s="43"/>
      <c r="H792" s="26"/>
      <c r="I792" s="99">
        <f t="shared" si="169"/>
        <v>0</v>
      </c>
      <c r="K792" s="49"/>
      <c r="L792" s="99">
        <f t="shared" si="170"/>
        <v>0</v>
      </c>
      <c r="M792" s="44" t="str">
        <f t="shared" si="172"/>
        <v/>
      </c>
      <c r="N792" s="100">
        <f t="shared" si="173"/>
        <v>0</v>
      </c>
      <c r="O792" s="101">
        <f t="shared" si="174"/>
        <v>0</v>
      </c>
      <c r="P792" s="52">
        <f t="shared" si="175"/>
        <v>0</v>
      </c>
      <c r="Q792" s="49">
        <v>116.88487613461319</v>
      </c>
      <c r="R792">
        <v>2225</v>
      </c>
      <c r="S792" s="50">
        <f t="shared" si="171"/>
        <v>71535.307499999995</v>
      </c>
      <c r="T792" s="50">
        <f t="shared" si="176"/>
        <v>0</v>
      </c>
      <c r="U792" s="58">
        <f t="shared" si="177"/>
        <v>0</v>
      </c>
      <c r="V792" s="58">
        <f t="shared" si="178"/>
        <v>0</v>
      </c>
      <c r="W792" s="58">
        <f t="shared" si="179"/>
        <v>0</v>
      </c>
      <c r="X792" s="58">
        <f t="shared" si="180"/>
        <v>0</v>
      </c>
      <c r="Y792" s="52">
        <f t="shared" si="181"/>
        <v>0</v>
      </c>
    </row>
    <row r="793" spans="1:25" x14ac:dyDescent="0.25">
      <c r="A793" s="1218" t="s">
        <v>103</v>
      </c>
      <c r="B793" s="98">
        <v>45474</v>
      </c>
      <c r="C793" s="117" t="str">
        <f t="shared" si="182"/>
        <v>4L</v>
      </c>
      <c r="D793" s="96"/>
      <c r="E793" s="98"/>
      <c r="F793" s="98"/>
      <c r="I793" s="99">
        <f t="shared" si="169"/>
        <v>0</v>
      </c>
      <c r="L793" s="99">
        <f t="shared" si="170"/>
        <v>0</v>
      </c>
      <c r="M793" s="44" t="str">
        <f t="shared" si="172"/>
        <v/>
      </c>
      <c r="N793" s="100">
        <f t="shared" si="173"/>
        <v>0</v>
      </c>
      <c r="O793" s="101">
        <f t="shared" si="174"/>
        <v>0</v>
      </c>
      <c r="P793" s="52">
        <f t="shared" si="175"/>
        <v>0</v>
      </c>
      <c r="Q793" s="49">
        <v>116.88487613461319</v>
      </c>
      <c r="R793">
        <v>2225</v>
      </c>
      <c r="S793" s="50">
        <f t="shared" si="171"/>
        <v>71535.307499999995</v>
      </c>
      <c r="T793" s="50">
        <f t="shared" si="176"/>
        <v>0</v>
      </c>
      <c r="U793" s="58">
        <f t="shared" si="177"/>
        <v>0</v>
      </c>
      <c r="V793" s="58">
        <f t="shared" si="178"/>
        <v>0</v>
      </c>
      <c r="W793" s="58">
        <f t="shared" si="179"/>
        <v>0</v>
      </c>
      <c r="X793" s="58">
        <f t="shared" si="180"/>
        <v>0</v>
      </c>
      <c r="Y793" s="52">
        <f t="shared" si="181"/>
        <v>0</v>
      </c>
    </row>
    <row r="794" spans="1:25" x14ac:dyDescent="0.25">
      <c r="A794" s="1218" t="s">
        <v>104</v>
      </c>
      <c r="B794" s="98">
        <v>45474</v>
      </c>
      <c r="C794" s="117" t="str">
        <f t="shared" si="182"/>
        <v>4L</v>
      </c>
      <c r="D794" s="96"/>
      <c r="E794" s="98"/>
      <c r="F794" s="98"/>
      <c r="I794" s="99">
        <f t="shared" si="169"/>
        <v>0</v>
      </c>
      <c r="L794" s="99">
        <f t="shared" si="170"/>
        <v>0</v>
      </c>
      <c r="M794" s="44" t="str">
        <f t="shared" si="172"/>
        <v/>
      </c>
      <c r="N794" s="100">
        <f t="shared" si="173"/>
        <v>0</v>
      </c>
      <c r="O794" s="101">
        <f t="shared" si="174"/>
        <v>0</v>
      </c>
      <c r="P794" s="52">
        <f t="shared" si="175"/>
        <v>0</v>
      </c>
      <c r="Q794" s="49">
        <v>116.88487613461319</v>
      </c>
      <c r="R794">
        <v>2225</v>
      </c>
      <c r="S794" s="50">
        <f t="shared" si="171"/>
        <v>71535.307499999995</v>
      </c>
      <c r="T794" s="50">
        <f t="shared" si="176"/>
        <v>0</v>
      </c>
      <c r="U794" s="58">
        <f t="shared" si="177"/>
        <v>0</v>
      </c>
      <c r="V794" s="58">
        <f t="shared" si="178"/>
        <v>0</v>
      </c>
      <c r="W794" s="58">
        <f t="shared" si="179"/>
        <v>0</v>
      </c>
      <c r="X794" s="58">
        <f t="shared" si="180"/>
        <v>0</v>
      </c>
      <c r="Y794" s="52">
        <f t="shared" si="181"/>
        <v>0</v>
      </c>
    </row>
    <row r="795" spans="1:25" x14ac:dyDescent="0.25">
      <c r="A795" s="1218" t="s">
        <v>105</v>
      </c>
      <c r="B795" s="98">
        <v>45474</v>
      </c>
      <c r="C795" s="117" t="str">
        <f t="shared" si="182"/>
        <v>4L</v>
      </c>
      <c r="D795" s="96"/>
      <c r="E795" s="98"/>
      <c r="F795" s="98"/>
      <c r="I795" s="99">
        <f t="shared" si="169"/>
        <v>0</v>
      </c>
      <c r="L795" s="99">
        <f t="shared" si="170"/>
        <v>0</v>
      </c>
      <c r="M795" s="44" t="str">
        <f t="shared" si="172"/>
        <v/>
      </c>
      <c r="N795" s="100">
        <f t="shared" si="173"/>
        <v>0</v>
      </c>
      <c r="O795" s="101">
        <f t="shared" si="174"/>
        <v>0</v>
      </c>
      <c r="P795" s="52">
        <f t="shared" si="175"/>
        <v>0</v>
      </c>
      <c r="Q795" s="49">
        <v>116.88487613461319</v>
      </c>
      <c r="R795">
        <v>2225</v>
      </c>
      <c r="S795" s="50">
        <f t="shared" si="171"/>
        <v>71535.307499999995</v>
      </c>
      <c r="T795" s="50">
        <f t="shared" si="176"/>
        <v>0</v>
      </c>
      <c r="U795" s="58">
        <f t="shared" si="177"/>
        <v>0</v>
      </c>
      <c r="V795" s="58">
        <f t="shared" si="178"/>
        <v>0</v>
      </c>
      <c r="W795" s="58">
        <f t="shared" si="179"/>
        <v>0</v>
      </c>
      <c r="X795" s="58">
        <f t="shared" si="180"/>
        <v>0</v>
      </c>
      <c r="Y795" s="52">
        <f t="shared" si="181"/>
        <v>0</v>
      </c>
    </row>
    <row r="796" spans="1:25" x14ac:dyDescent="0.25">
      <c r="A796" s="1218" t="s">
        <v>106</v>
      </c>
      <c r="B796" s="98">
        <v>45474</v>
      </c>
      <c r="C796" s="117" t="str">
        <f t="shared" si="182"/>
        <v>4L</v>
      </c>
      <c r="D796" s="96"/>
      <c r="E796" s="98"/>
      <c r="F796" s="98"/>
      <c r="I796" s="99">
        <f t="shared" si="169"/>
        <v>0</v>
      </c>
      <c r="L796" s="99">
        <f t="shared" si="170"/>
        <v>0</v>
      </c>
      <c r="M796" s="44" t="str">
        <f t="shared" si="172"/>
        <v/>
      </c>
      <c r="N796" s="100">
        <f t="shared" si="173"/>
        <v>0</v>
      </c>
      <c r="O796" s="101">
        <f t="shared" si="174"/>
        <v>0</v>
      </c>
      <c r="P796" s="52">
        <f t="shared" si="175"/>
        <v>0</v>
      </c>
      <c r="Q796" s="49">
        <v>116.88487613461319</v>
      </c>
      <c r="R796">
        <v>2225</v>
      </c>
      <c r="S796" s="50">
        <f t="shared" si="171"/>
        <v>71535.307499999995</v>
      </c>
      <c r="T796" s="50">
        <f t="shared" si="176"/>
        <v>0</v>
      </c>
      <c r="U796" s="58">
        <f t="shared" si="177"/>
        <v>0</v>
      </c>
      <c r="V796" s="58">
        <f t="shared" si="178"/>
        <v>0</v>
      </c>
      <c r="W796" s="58">
        <f t="shared" si="179"/>
        <v>0</v>
      </c>
      <c r="X796" s="58">
        <f t="shared" si="180"/>
        <v>0</v>
      </c>
      <c r="Y796" s="52">
        <f t="shared" si="181"/>
        <v>0</v>
      </c>
    </row>
    <row r="797" spans="1:25" x14ac:dyDescent="0.25">
      <c r="A797" s="1218" t="s">
        <v>107</v>
      </c>
      <c r="B797" s="98">
        <v>45474</v>
      </c>
      <c r="C797" s="117" t="str">
        <f t="shared" si="182"/>
        <v>4L</v>
      </c>
      <c r="D797" s="96"/>
      <c r="E797" s="98"/>
      <c r="F797" s="98"/>
      <c r="G797" s="43">
        <v>2170</v>
      </c>
      <c r="H797" s="26">
        <v>1.54</v>
      </c>
      <c r="I797" s="99">
        <f t="shared" si="169"/>
        <v>3.3418000000000001</v>
      </c>
      <c r="J797">
        <v>1878</v>
      </c>
      <c r="K797" s="49">
        <v>1.2579484604701134</v>
      </c>
      <c r="L797" s="99">
        <f t="shared" si="170"/>
        <v>2.362427208762873</v>
      </c>
      <c r="M797" s="44">
        <f t="shared" si="172"/>
        <v>-0.29306744605815038</v>
      </c>
      <c r="N797" s="100">
        <f t="shared" si="173"/>
        <v>-292</v>
      </c>
      <c r="O797" s="101">
        <f t="shared" si="174"/>
        <v>-0.97937279123712706</v>
      </c>
      <c r="P797" s="52">
        <f t="shared" si="175"/>
        <v>-50512.840555584786</v>
      </c>
      <c r="Q797" s="49">
        <v>116.88487613461319</v>
      </c>
      <c r="R797">
        <v>2225</v>
      </c>
      <c r="S797" s="50">
        <f t="shared" si="171"/>
        <v>71535.307499999995</v>
      </c>
      <c r="T797" s="50">
        <f t="shared" si="176"/>
        <v>239056.6906035</v>
      </c>
      <c r="U797" s="58">
        <f t="shared" si="177"/>
        <v>168996.9568252188</v>
      </c>
      <c r="V797" s="58">
        <f t="shared" si="178"/>
        <v>253640.18121211062</v>
      </c>
      <c r="W797" s="58">
        <f t="shared" si="179"/>
        <v>219509.79738080359</v>
      </c>
      <c r="X797" s="58">
        <f t="shared" si="180"/>
        <v>-14583.49060861062</v>
      </c>
      <c r="Y797" s="52">
        <f t="shared" si="181"/>
        <v>-50512.840555584786</v>
      </c>
    </row>
    <row r="798" spans="1:25" x14ac:dyDescent="0.25">
      <c r="A798" s="1218" t="s">
        <v>108</v>
      </c>
      <c r="B798" s="98">
        <v>45474</v>
      </c>
      <c r="C798" s="117" t="str">
        <f t="shared" si="182"/>
        <v>4L</v>
      </c>
      <c r="D798" s="96"/>
      <c r="E798" s="98"/>
      <c r="F798" s="98"/>
      <c r="I798" s="99">
        <f t="shared" si="169"/>
        <v>0</v>
      </c>
      <c r="L798" s="99">
        <f t="shared" si="170"/>
        <v>0</v>
      </c>
      <c r="M798" s="44" t="str">
        <f t="shared" si="172"/>
        <v/>
      </c>
      <c r="N798" s="100">
        <f t="shared" si="173"/>
        <v>0</v>
      </c>
      <c r="O798" s="101">
        <f t="shared" si="174"/>
        <v>0</v>
      </c>
      <c r="P798" s="52">
        <f t="shared" si="175"/>
        <v>0</v>
      </c>
      <c r="Q798" s="49">
        <v>116.88487613461319</v>
      </c>
      <c r="R798">
        <v>2225</v>
      </c>
      <c r="S798" s="50">
        <f t="shared" si="171"/>
        <v>71535.307499999995</v>
      </c>
      <c r="T798" s="50">
        <f t="shared" si="176"/>
        <v>0</v>
      </c>
      <c r="U798" s="58">
        <f t="shared" si="177"/>
        <v>0</v>
      </c>
      <c r="V798" s="58">
        <f t="shared" si="178"/>
        <v>0</v>
      </c>
      <c r="W798" s="58">
        <f t="shared" si="179"/>
        <v>0</v>
      </c>
      <c r="X798" s="58">
        <f t="shared" si="180"/>
        <v>0</v>
      </c>
      <c r="Y798" s="52">
        <f t="shared" si="181"/>
        <v>0</v>
      </c>
    </row>
    <row r="799" spans="1:25" x14ac:dyDescent="0.25">
      <c r="A799" s="1218" t="s">
        <v>109</v>
      </c>
      <c r="B799" s="98">
        <v>45474</v>
      </c>
      <c r="C799" s="117" t="str">
        <f t="shared" si="182"/>
        <v>4L</v>
      </c>
      <c r="D799" s="96"/>
      <c r="E799" s="98"/>
      <c r="F799" s="98"/>
      <c r="G799" s="43">
        <v>3255</v>
      </c>
      <c r="H799" s="26">
        <v>2.15</v>
      </c>
      <c r="I799" s="99">
        <f t="shared" si="169"/>
        <v>6.9982499999999996</v>
      </c>
      <c r="J799">
        <v>3222.6</v>
      </c>
      <c r="K799" s="49">
        <v>1.5063331883336391</v>
      </c>
      <c r="L799" s="99">
        <f t="shared" si="170"/>
        <v>4.854309332723985</v>
      </c>
      <c r="M799" s="44">
        <f t="shared" si="172"/>
        <v>-0.30635382663894756</v>
      </c>
      <c r="N799" s="100">
        <f t="shared" si="173"/>
        <v>-32.400000000000091</v>
      </c>
      <c r="O799" s="101">
        <f t="shared" si="174"/>
        <v>-2.1439406672760146</v>
      </c>
      <c r="P799" s="52">
        <f t="shared" si="175"/>
        <v>-29418.691014874435</v>
      </c>
      <c r="Q799" s="49">
        <v>116.88487613461319</v>
      </c>
      <c r="R799">
        <v>2225</v>
      </c>
      <c r="S799" s="50">
        <f t="shared" si="171"/>
        <v>71535.307499999995</v>
      </c>
      <c r="T799" s="50">
        <f t="shared" si="176"/>
        <v>500621.96571187495</v>
      </c>
      <c r="U799" s="58">
        <f t="shared" si="177"/>
        <v>347254.51081653003</v>
      </c>
      <c r="V799" s="58">
        <f t="shared" si="178"/>
        <v>380460.27181816596</v>
      </c>
      <c r="W799" s="58">
        <f t="shared" si="179"/>
        <v>376673.20183140447</v>
      </c>
      <c r="X799" s="58">
        <f t="shared" si="180"/>
        <v>120161.69389370899</v>
      </c>
      <c r="Y799" s="52">
        <f t="shared" si="181"/>
        <v>-29418.691014874435</v>
      </c>
    </row>
    <row r="800" spans="1:25" x14ac:dyDescent="0.25">
      <c r="A800" s="1218" t="s">
        <v>110</v>
      </c>
      <c r="B800" s="98">
        <v>45474</v>
      </c>
      <c r="C800" s="117" t="str">
        <f t="shared" si="182"/>
        <v>4L</v>
      </c>
      <c r="D800" s="96"/>
      <c r="E800" s="98"/>
      <c r="F800" s="98"/>
      <c r="I800" s="99">
        <f t="shared" ref="I800:I868" si="183">IFERROR(G800*H800/1000,"")</f>
        <v>0</v>
      </c>
      <c r="J800">
        <v>144</v>
      </c>
      <c r="K800" s="49">
        <v>0</v>
      </c>
      <c r="L800" s="99">
        <f t="shared" ref="L800:L868" si="184">IFERROR(J800*K800/1000,"")</f>
        <v>0</v>
      </c>
      <c r="M800" s="44" t="str">
        <f t="shared" si="172"/>
        <v/>
      </c>
      <c r="N800" s="100">
        <f t="shared" si="173"/>
        <v>144</v>
      </c>
      <c r="O800" s="101">
        <f t="shared" si="174"/>
        <v>0</v>
      </c>
      <c r="P800" s="52">
        <f t="shared" si="175"/>
        <v>-16831.422163384301</v>
      </c>
      <c r="Q800" s="49">
        <v>116.88487613461319</v>
      </c>
      <c r="R800">
        <v>2225</v>
      </c>
      <c r="S800" s="50">
        <f t="shared" ref="S800:S868" si="185">R800*32.1507</f>
        <v>71535.307499999995</v>
      </c>
      <c r="T800" s="50">
        <f t="shared" si="176"/>
        <v>0</v>
      </c>
      <c r="U800" s="58">
        <f t="shared" si="177"/>
        <v>0</v>
      </c>
      <c r="V800" s="58">
        <f t="shared" si="178"/>
        <v>0</v>
      </c>
      <c r="W800" s="58">
        <f t="shared" si="179"/>
        <v>16831.422163384301</v>
      </c>
      <c r="X800" s="58">
        <f t="shared" si="180"/>
        <v>0</v>
      </c>
      <c r="Y800" s="52">
        <f t="shared" si="181"/>
        <v>-16831.422163384301</v>
      </c>
    </row>
    <row r="801" spans="1:25" x14ac:dyDescent="0.25">
      <c r="A801" s="1218" t="s">
        <v>111</v>
      </c>
      <c r="B801" s="98">
        <v>45474</v>
      </c>
      <c r="C801" s="117" t="str">
        <f t="shared" si="182"/>
        <v>4L</v>
      </c>
      <c r="D801" s="96"/>
      <c r="E801" s="98"/>
      <c r="F801" s="98"/>
      <c r="I801" s="99">
        <f t="shared" si="183"/>
        <v>0</v>
      </c>
      <c r="L801" s="99">
        <f t="shared" si="184"/>
        <v>0</v>
      </c>
      <c r="M801" s="44" t="str">
        <f t="shared" si="172"/>
        <v/>
      </c>
      <c r="N801" s="100">
        <f t="shared" si="173"/>
        <v>0</v>
      </c>
      <c r="O801" s="101">
        <f t="shared" si="174"/>
        <v>0</v>
      </c>
      <c r="P801" s="52">
        <f t="shared" si="175"/>
        <v>0</v>
      </c>
      <c r="Q801" s="49">
        <v>116.88487613461319</v>
      </c>
      <c r="R801">
        <v>2225</v>
      </c>
      <c r="S801" s="50">
        <f t="shared" si="185"/>
        <v>71535.307499999995</v>
      </c>
      <c r="T801" s="50">
        <f t="shared" si="176"/>
        <v>0</v>
      </c>
      <c r="U801" s="58">
        <f t="shared" si="177"/>
        <v>0</v>
      </c>
      <c r="V801" s="58">
        <f t="shared" si="178"/>
        <v>0</v>
      </c>
      <c r="W801" s="58">
        <f t="shared" si="179"/>
        <v>0</v>
      </c>
      <c r="X801" s="58">
        <f t="shared" si="180"/>
        <v>0</v>
      </c>
      <c r="Y801" s="52">
        <f t="shared" si="181"/>
        <v>0</v>
      </c>
    </row>
    <row r="802" spans="1:25" x14ac:dyDescent="0.25">
      <c r="A802" s="1218" t="s">
        <v>112</v>
      </c>
      <c r="B802" s="98">
        <v>45474</v>
      </c>
      <c r="C802" s="117" t="str">
        <f t="shared" si="182"/>
        <v>4L</v>
      </c>
      <c r="D802" s="96"/>
      <c r="E802" s="98"/>
      <c r="F802" s="98"/>
      <c r="I802" s="99">
        <f t="shared" si="183"/>
        <v>0</v>
      </c>
      <c r="L802" s="99">
        <f t="shared" si="184"/>
        <v>0</v>
      </c>
      <c r="M802" s="44" t="str">
        <f t="shared" ref="M802:M870" si="186">IFERROR((L802-I802)/I802,"")</f>
        <v/>
      </c>
      <c r="N802" s="100">
        <f t="shared" ref="N802:N870" si="187">J802-G802</f>
        <v>0</v>
      </c>
      <c r="O802" s="101">
        <f t="shared" ref="O802:O870" si="188">L802-I802</f>
        <v>0</v>
      </c>
      <c r="P802" s="52">
        <f t="shared" ref="P802:P870" si="189">U802-W802</f>
        <v>0</v>
      </c>
      <c r="Q802" s="49">
        <v>116.88487613461319</v>
      </c>
      <c r="R802">
        <v>2225</v>
      </c>
      <c r="S802" s="50">
        <f t="shared" si="185"/>
        <v>71535.307499999995</v>
      </c>
      <c r="T802" s="50">
        <f t="shared" ref="T802:T870" si="190">IFERROR(S802*I802,"")</f>
        <v>0</v>
      </c>
      <c r="U802" s="58">
        <f t="shared" ref="U802:U870" si="191">IFERROR(S802*L802,"")</f>
        <v>0</v>
      </c>
      <c r="V802" s="58">
        <f t="shared" ref="V802:V870" si="192">IFERROR(Q802*G802,"")</f>
        <v>0</v>
      </c>
      <c r="W802" s="58">
        <f t="shared" ref="W802:W870" si="193">IFERROR(Q802*J802,"")</f>
        <v>0</v>
      </c>
      <c r="X802" s="58">
        <f t="shared" ref="X802:X870" si="194">T802-V802</f>
        <v>0</v>
      </c>
      <c r="Y802" s="52">
        <f t="shared" ref="Y802:Y870" si="195">U802-W802</f>
        <v>0</v>
      </c>
    </row>
    <row r="803" spans="1:25" x14ac:dyDescent="0.25">
      <c r="A803" s="1218" t="s">
        <v>113</v>
      </c>
      <c r="B803" s="98">
        <v>45474</v>
      </c>
      <c r="C803" s="117" t="str">
        <f t="shared" si="182"/>
        <v>4L</v>
      </c>
      <c r="D803" s="96"/>
      <c r="E803" s="98"/>
      <c r="F803" s="98"/>
      <c r="I803" s="99">
        <f t="shared" si="183"/>
        <v>0</v>
      </c>
      <c r="L803" s="99">
        <f t="shared" si="184"/>
        <v>0</v>
      </c>
      <c r="M803" s="44" t="str">
        <f t="shared" si="186"/>
        <v/>
      </c>
      <c r="N803" s="100">
        <f t="shared" si="187"/>
        <v>0</v>
      </c>
      <c r="O803" s="101">
        <f t="shared" si="188"/>
        <v>0</v>
      </c>
      <c r="P803" s="52">
        <f t="shared" si="189"/>
        <v>0</v>
      </c>
      <c r="Q803" s="49">
        <v>116.88487613461319</v>
      </c>
      <c r="R803">
        <v>2225</v>
      </c>
      <c r="S803" s="50">
        <f t="shared" si="185"/>
        <v>71535.307499999995</v>
      </c>
      <c r="T803" s="50">
        <f t="shared" si="190"/>
        <v>0</v>
      </c>
      <c r="U803" s="58">
        <f t="shared" si="191"/>
        <v>0</v>
      </c>
      <c r="V803" s="58">
        <f t="shared" si="192"/>
        <v>0</v>
      </c>
      <c r="W803" s="58">
        <f t="shared" si="193"/>
        <v>0</v>
      </c>
      <c r="X803" s="58">
        <f t="shared" si="194"/>
        <v>0</v>
      </c>
      <c r="Y803" s="52">
        <f t="shared" si="195"/>
        <v>0</v>
      </c>
    </row>
    <row r="804" spans="1:25" x14ac:dyDescent="0.25">
      <c r="A804" s="1218" t="s">
        <v>114</v>
      </c>
      <c r="B804" s="98">
        <v>45474</v>
      </c>
      <c r="C804" s="117" t="str">
        <f t="shared" si="182"/>
        <v>4L</v>
      </c>
      <c r="D804" s="96"/>
      <c r="E804" s="98"/>
      <c r="F804" s="98"/>
      <c r="I804" s="99">
        <f t="shared" si="183"/>
        <v>0</v>
      </c>
      <c r="L804" s="99">
        <f t="shared" si="184"/>
        <v>0</v>
      </c>
      <c r="M804" s="44" t="str">
        <f t="shared" si="186"/>
        <v/>
      </c>
      <c r="N804" s="100">
        <f t="shared" si="187"/>
        <v>0</v>
      </c>
      <c r="O804" s="101">
        <f t="shared" si="188"/>
        <v>0</v>
      </c>
      <c r="P804" s="52">
        <f t="shared" si="189"/>
        <v>0</v>
      </c>
      <c r="Q804" s="49">
        <v>116.88487613461319</v>
      </c>
      <c r="R804">
        <v>2225</v>
      </c>
      <c r="S804" s="50">
        <f t="shared" si="185"/>
        <v>71535.307499999995</v>
      </c>
      <c r="T804" s="50">
        <f t="shared" si="190"/>
        <v>0</v>
      </c>
      <c r="U804" s="58">
        <f t="shared" si="191"/>
        <v>0</v>
      </c>
      <c r="V804" s="58">
        <f t="shared" si="192"/>
        <v>0</v>
      </c>
      <c r="W804" s="58">
        <f t="shared" si="193"/>
        <v>0</v>
      </c>
      <c r="X804" s="58">
        <f t="shared" si="194"/>
        <v>0</v>
      </c>
      <c r="Y804" s="52">
        <f t="shared" si="195"/>
        <v>0</v>
      </c>
    </row>
    <row r="805" spans="1:25" x14ac:dyDescent="0.25">
      <c r="A805" s="1218" t="s">
        <v>115</v>
      </c>
      <c r="B805" s="98">
        <v>45474</v>
      </c>
      <c r="C805" s="117" t="str">
        <f t="shared" si="182"/>
        <v>4L</v>
      </c>
      <c r="D805" s="96"/>
      <c r="E805" s="98"/>
      <c r="F805" s="98"/>
      <c r="G805" s="43">
        <v>4340</v>
      </c>
      <c r="H805" s="26">
        <v>1.87</v>
      </c>
      <c r="I805" s="99">
        <f t="shared" si="183"/>
        <v>8.1158000000000001</v>
      </c>
      <c r="J805">
        <v>3566</v>
      </c>
      <c r="K805" s="49">
        <v>1.4983207777573964</v>
      </c>
      <c r="L805" s="99">
        <f t="shared" si="184"/>
        <v>5.343011893482875</v>
      </c>
      <c r="M805" s="44">
        <f t="shared" si="186"/>
        <v>-0.34165308491056029</v>
      </c>
      <c r="N805" s="100">
        <f t="shared" si="187"/>
        <v>-774</v>
      </c>
      <c r="O805" s="101">
        <f t="shared" si="188"/>
        <v>-2.7727881065171252</v>
      </c>
      <c r="P805" s="52">
        <f t="shared" si="189"/>
        <v>-34597.469519575941</v>
      </c>
      <c r="Q805" s="49">
        <v>116.88487613461319</v>
      </c>
      <c r="R805">
        <v>2225</v>
      </c>
      <c r="S805" s="50">
        <f t="shared" si="185"/>
        <v>71535.307499999995</v>
      </c>
      <c r="T805" s="50">
        <f t="shared" si="190"/>
        <v>580566.2486085</v>
      </c>
      <c r="U805" s="58">
        <f t="shared" si="191"/>
        <v>382213.99877645471</v>
      </c>
      <c r="V805" s="58">
        <f t="shared" si="192"/>
        <v>507280.36242422124</v>
      </c>
      <c r="W805" s="58">
        <f t="shared" si="193"/>
        <v>416811.46829603065</v>
      </c>
      <c r="X805" s="58">
        <f t="shared" si="194"/>
        <v>73285.886184278759</v>
      </c>
      <c r="Y805" s="52">
        <f t="shared" si="195"/>
        <v>-34597.469519575941</v>
      </c>
    </row>
    <row r="806" spans="1:25" x14ac:dyDescent="0.25">
      <c r="A806" s="1218" t="s">
        <v>116</v>
      </c>
      <c r="B806" s="98">
        <v>45474</v>
      </c>
      <c r="C806" s="117" t="str">
        <f t="shared" si="182"/>
        <v>4L</v>
      </c>
      <c r="D806" s="96"/>
      <c r="E806" s="98"/>
      <c r="F806" s="98"/>
      <c r="I806" s="99">
        <f t="shared" si="183"/>
        <v>0</v>
      </c>
      <c r="L806" s="99">
        <f t="shared" si="184"/>
        <v>0</v>
      </c>
      <c r="M806" s="44" t="str">
        <f t="shared" si="186"/>
        <v/>
      </c>
      <c r="N806" s="100">
        <f t="shared" si="187"/>
        <v>0</v>
      </c>
      <c r="O806" s="101">
        <f t="shared" si="188"/>
        <v>0</v>
      </c>
      <c r="P806" s="52">
        <f t="shared" si="189"/>
        <v>0</v>
      </c>
      <c r="Q806" s="49">
        <v>116.88487613461319</v>
      </c>
      <c r="R806">
        <v>2225</v>
      </c>
      <c r="S806" s="50">
        <f t="shared" si="185"/>
        <v>71535.307499999995</v>
      </c>
      <c r="T806" s="50">
        <f t="shared" si="190"/>
        <v>0</v>
      </c>
      <c r="U806" s="58">
        <f t="shared" si="191"/>
        <v>0</v>
      </c>
      <c r="V806" s="58">
        <f t="shared" si="192"/>
        <v>0</v>
      </c>
      <c r="W806" s="58">
        <f t="shared" si="193"/>
        <v>0</v>
      </c>
      <c r="X806" s="58">
        <f t="shared" si="194"/>
        <v>0</v>
      </c>
      <c r="Y806" s="52">
        <f t="shared" si="195"/>
        <v>0</v>
      </c>
    </row>
    <row r="807" spans="1:25" x14ac:dyDescent="0.25">
      <c r="A807" s="1218" t="s">
        <v>117</v>
      </c>
      <c r="B807" s="98">
        <v>45474</v>
      </c>
      <c r="C807" s="117" t="str">
        <f t="shared" si="182"/>
        <v>4L</v>
      </c>
      <c r="D807" s="96"/>
      <c r="E807" s="98"/>
      <c r="F807" s="98"/>
      <c r="G807" s="43">
        <v>3255</v>
      </c>
      <c r="H807" s="26">
        <v>1.82</v>
      </c>
      <c r="I807" s="99">
        <f t="shared" si="183"/>
        <v>5.9241000000000001</v>
      </c>
      <c r="J807">
        <v>3110.2</v>
      </c>
      <c r="K807" s="49">
        <v>1.4582587248761827</v>
      </c>
      <c r="L807" s="99">
        <f t="shared" si="184"/>
        <v>4.5354762861099038</v>
      </c>
      <c r="M807" s="44">
        <f t="shared" si="186"/>
        <v>-0.23440247698217387</v>
      </c>
      <c r="N807" s="100">
        <f t="shared" si="187"/>
        <v>-144.80000000000018</v>
      </c>
      <c r="O807" s="101">
        <f t="shared" si="188"/>
        <v>-1.3886237138900963</v>
      </c>
      <c r="P807" s="52">
        <f t="shared" si="189"/>
        <v>-39088.650968044007</v>
      </c>
      <c r="Q807" s="49">
        <v>116.88487613461319</v>
      </c>
      <c r="R807">
        <v>2225</v>
      </c>
      <c r="S807" s="50">
        <f t="shared" si="185"/>
        <v>71535.307499999995</v>
      </c>
      <c r="T807" s="50">
        <f t="shared" si="190"/>
        <v>423782.31516075</v>
      </c>
      <c r="U807" s="58">
        <f t="shared" si="191"/>
        <v>324446.69078582991</v>
      </c>
      <c r="V807" s="58">
        <f t="shared" si="192"/>
        <v>380460.27181816596</v>
      </c>
      <c r="W807" s="58">
        <f t="shared" si="193"/>
        <v>363535.34175387392</v>
      </c>
      <c r="X807" s="58">
        <f t="shared" si="194"/>
        <v>43322.043342584046</v>
      </c>
      <c r="Y807" s="52">
        <f t="shared" si="195"/>
        <v>-39088.650968044007</v>
      </c>
    </row>
    <row r="808" spans="1:25" x14ac:dyDescent="0.25">
      <c r="A808" s="1218" t="s">
        <v>118</v>
      </c>
      <c r="B808" s="98">
        <v>45474</v>
      </c>
      <c r="C808" s="117" t="str">
        <f t="shared" si="182"/>
        <v>4L</v>
      </c>
      <c r="D808" s="96"/>
      <c r="E808" s="98"/>
      <c r="F808" s="98"/>
      <c r="G808" s="43">
        <v>1085</v>
      </c>
      <c r="H808" s="26">
        <v>0.91</v>
      </c>
      <c r="I808" s="99">
        <f t="shared" si="183"/>
        <v>0.98735000000000006</v>
      </c>
      <c r="L808" s="99">
        <f t="shared" si="184"/>
        <v>0</v>
      </c>
      <c r="M808" s="44">
        <f t="shared" si="186"/>
        <v>-1</v>
      </c>
      <c r="N808" s="100">
        <f t="shared" si="187"/>
        <v>-1085</v>
      </c>
      <c r="O808" s="101">
        <f t="shared" si="188"/>
        <v>-0.98735000000000006</v>
      </c>
      <c r="P808" s="52">
        <f t="shared" si="189"/>
        <v>0</v>
      </c>
      <c r="Q808" s="49">
        <v>116.88487613461319</v>
      </c>
      <c r="R808">
        <v>2225</v>
      </c>
      <c r="S808" s="50">
        <f t="shared" si="185"/>
        <v>71535.307499999995</v>
      </c>
      <c r="T808" s="50">
        <f t="shared" si="190"/>
        <v>70630.385860124996</v>
      </c>
      <c r="U808" s="58">
        <f t="shared" si="191"/>
        <v>0</v>
      </c>
      <c r="V808" s="58">
        <f t="shared" si="192"/>
        <v>126820.09060605531</v>
      </c>
      <c r="W808" s="58">
        <f t="shared" si="193"/>
        <v>0</v>
      </c>
      <c r="X808" s="58">
        <f t="shared" si="194"/>
        <v>-56189.704745930314</v>
      </c>
      <c r="Y808" s="52">
        <f t="shared" si="195"/>
        <v>0</v>
      </c>
    </row>
    <row r="809" spans="1:25" x14ac:dyDescent="0.25">
      <c r="A809" s="1218" t="s">
        <v>119</v>
      </c>
      <c r="B809" s="98">
        <v>45474</v>
      </c>
      <c r="C809" s="117" t="str">
        <f t="shared" si="182"/>
        <v>4L</v>
      </c>
      <c r="D809" s="96"/>
      <c r="E809" s="98"/>
      <c r="F809" s="98"/>
      <c r="G809" s="43">
        <v>2170</v>
      </c>
      <c r="H809" s="26">
        <v>1.72</v>
      </c>
      <c r="I809" s="99">
        <f t="shared" si="183"/>
        <v>3.7324000000000002</v>
      </c>
      <c r="J809">
        <v>1336.8000000000002</v>
      </c>
      <c r="K809" s="49">
        <v>1.3781346191137549</v>
      </c>
      <c r="L809" s="99">
        <f t="shared" si="184"/>
        <v>1.8422903588312678</v>
      </c>
      <c r="M809" s="44">
        <f t="shared" si="186"/>
        <v>-0.50640596966261175</v>
      </c>
      <c r="N809" s="100">
        <f t="shared" si="187"/>
        <v>-833.19999999999982</v>
      </c>
      <c r="O809" s="101">
        <f t="shared" si="188"/>
        <v>-1.8901096411687324</v>
      </c>
      <c r="P809" s="52">
        <f t="shared" si="189"/>
        <v>-24462.89509347087</v>
      </c>
      <c r="Q809" s="49">
        <v>116.88487613461319</v>
      </c>
      <c r="R809">
        <v>2225</v>
      </c>
      <c r="S809" s="50">
        <f t="shared" si="185"/>
        <v>71535.307499999995</v>
      </c>
      <c r="T809" s="50">
        <f t="shared" si="190"/>
        <v>266998.38171300001</v>
      </c>
      <c r="U809" s="58">
        <f t="shared" si="191"/>
        <v>131788.80732328008</v>
      </c>
      <c r="V809" s="58">
        <f t="shared" si="192"/>
        <v>253640.18121211062</v>
      </c>
      <c r="W809" s="58">
        <f t="shared" si="193"/>
        <v>156251.70241675095</v>
      </c>
      <c r="X809" s="58">
        <f t="shared" si="194"/>
        <v>13358.20050088939</v>
      </c>
      <c r="Y809" s="52">
        <f t="shared" si="195"/>
        <v>-24462.89509347087</v>
      </c>
    </row>
    <row r="810" spans="1:25" x14ac:dyDescent="0.25">
      <c r="A810" s="1218" t="s">
        <v>120</v>
      </c>
      <c r="B810" s="98">
        <v>45474</v>
      </c>
      <c r="C810" s="117" t="str">
        <f t="shared" si="182"/>
        <v>4L</v>
      </c>
      <c r="D810" s="96"/>
      <c r="E810" s="98"/>
      <c r="F810" s="98"/>
      <c r="I810" s="99">
        <f t="shared" si="183"/>
        <v>0</v>
      </c>
      <c r="L810" s="99">
        <f t="shared" si="184"/>
        <v>0</v>
      </c>
      <c r="M810" s="44" t="str">
        <f t="shared" si="186"/>
        <v/>
      </c>
      <c r="N810" s="100">
        <f t="shared" si="187"/>
        <v>0</v>
      </c>
      <c r="O810" s="101">
        <f t="shared" si="188"/>
        <v>0</v>
      </c>
      <c r="P810" s="52">
        <f t="shared" si="189"/>
        <v>0</v>
      </c>
      <c r="Q810" s="49">
        <v>116.88487613461319</v>
      </c>
      <c r="R810">
        <v>2225</v>
      </c>
      <c r="S810" s="50">
        <f t="shared" si="185"/>
        <v>71535.307499999995</v>
      </c>
      <c r="T810" s="50">
        <f t="shared" si="190"/>
        <v>0</v>
      </c>
      <c r="U810" s="58">
        <f t="shared" si="191"/>
        <v>0</v>
      </c>
      <c r="V810" s="58">
        <f t="shared" si="192"/>
        <v>0</v>
      </c>
      <c r="W810" s="58">
        <f t="shared" si="193"/>
        <v>0</v>
      </c>
      <c r="X810" s="58">
        <f t="shared" si="194"/>
        <v>0</v>
      </c>
      <c r="Y810" s="52">
        <f t="shared" si="195"/>
        <v>0</v>
      </c>
    </row>
    <row r="811" spans="1:25" x14ac:dyDescent="0.25">
      <c r="A811" s="1218" t="s">
        <v>121</v>
      </c>
      <c r="B811" s="98">
        <v>45474</v>
      </c>
      <c r="C811" s="117" t="str">
        <f t="shared" si="182"/>
        <v>4L</v>
      </c>
      <c r="D811" s="96"/>
      <c r="E811" s="98"/>
      <c r="F811" s="98"/>
      <c r="I811" s="99">
        <f t="shared" si="183"/>
        <v>0</v>
      </c>
      <c r="L811" s="99">
        <f t="shared" si="184"/>
        <v>0</v>
      </c>
      <c r="M811" s="44" t="str">
        <f t="shared" si="186"/>
        <v/>
      </c>
      <c r="N811" s="100">
        <f t="shared" si="187"/>
        <v>0</v>
      </c>
      <c r="O811" s="101">
        <f t="shared" si="188"/>
        <v>0</v>
      </c>
      <c r="P811" s="52">
        <f t="shared" si="189"/>
        <v>0</v>
      </c>
      <c r="Q811" s="49">
        <v>116.88487613461319</v>
      </c>
      <c r="R811">
        <v>2225</v>
      </c>
      <c r="S811" s="50">
        <f t="shared" si="185"/>
        <v>71535.307499999995</v>
      </c>
      <c r="T811" s="50">
        <f t="shared" si="190"/>
        <v>0</v>
      </c>
      <c r="U811" s="58">
        <f t="shared" si="191"/>
        <v>0</v>
      </c>
      <c r="V811" s="58">
        <f t="shared" si="192"/>
        <v>0</v>
      </c>
      <c r="W811" s="58">
        <f t="shared" si="193"/>
        <v>0</v>
      </c>
      <c r="X811" s="58">
        <f t="shared" si="194"/>
        <v>0</v>
      </c>
      <c r="Y811" s="52">
        <f t="shared" si="195"/>
        <v>0</v>
      </c>
    </row>
    <row r="812" spans="1:25" x14ac:dyDescent="0.25">
      <c r="A812" s="1218" t="s">
        <v>122</v>
      </c>
      <c r="B812" s="98">
        <v>45474</v>
      </c>
      <c r="C812" s="117" t="str">
        <f t="shared" si="182"/>
        <v>4L</v>
      </c>
      <c r="D812" s="96"/>
      <c r="E812" s="98"/>
      <c r="F812" s="98"/>
      <c r="I812" s="99">
        <f t="shared" si="183"/>
        <v>0</v>
      </c>
      <c r="L812" s="99">
        <f t="shared" si="184"/>
        <v>0</v>
      </c>
      <c r="M812" s="44" t="str">
        <f t="shared" si="186"/>
        <v/>
      </c>
      <c r="N812" s="100">
        <f t="shared" si="187"/>
        <v>0</v>
      </c>
      <c r="O812" s="101">
        <f t="shared" si="188"/>
        <v>0</v>
      </c>
      <c r="P812" s="52">
        <f t="shared" si="189"/>
        <v>0</v>
      </c>
      <c r="Q812" s="49">
        <v>116.88487613461319</v>
      </c>
      <c r="R812">
        <v>2225</v>
      </c>
      <c r="S812" s="50">
        <f t="shared" si="185"/>
        <v>71535.307499999995</v>
      </c>
      <c r="T812" s="50">
        <f t="shared" si="190"/>
        <v>0</v>
      </c>
      <c r="U812" s="58">
        <f t="shared" si="191"/>
        <v>0</v>
      </c>
      <c r="V812" s="58">
        <f t="shared" si="192"/>
        <v>0</v>
      </c>
      <c r="W812" s="58">
        <f t="shared" si="193"/>
        <v>0</v>
      </c>
      <c r="X812" s="58">
        <f t="shared" si="194"/>
        <v>0</v>
      </c>
      <c r="Y812" s="52">
        <f t="shared" si="195"/>
        <v>0</v>
      </c>
    </row>
    <row r="813" spans="1:25" x14ac:dyDescent="0.25">
      <c r="A813" s="1218" t="s">
        <v>123</v>
      </c>
      <c r="B813" s="98">
        <v>45474</v>
      </c>
      <c r="C813" s="117" t="str">
        <f t="shared" si="182"/>
        <v>4L</v>
      </c>
      <c r="D813" s="96"/>
      <c r="E813" s="98"/>
      <c r="F813" s="98"/>
      <c r="I813" s="99">
        <f t="shared" si="183"/>
        <v>0</v>
      </c>
      <c r="L813" s="99">
        <f t="shared" si="184"/>
        <v>0</v>
      </c>
      <c r="M813" s="44" t="str">
        <f t="shared" si="186"/>
        <v/>
      </c>
      <c r="N813" s="100">
        <f t="shared" si="187"/>
        <v>0</v>
      </c>
      <c r="O813" s="101">
        <f t="shared" si="188"/>
        <v>0</v>
      </c>
      <c r="P813" s="52">
        <f t="shared" si="189"/>
        <v>0</v>
      </c>
      <c r="Q813" s="49">
        <v>116.88487613461319</v>
      </c>
      <c r="R813">
        <v>2225</v>
      </c>
      <c r="S813" s="50">
        <f t="shared" si="185"/>
        <v>71535.307499999995</v>
      </c>
      <c r="T813" s="50">
        <f t="shared" si="190"/>
        <v>0</v>
      </c>
      <c r="U813" s="58">
        <f t="shared" si="191"/>
        <v>0</v>
      </c>
      <c r="V813" s="58">
        <f t="shared" si="192"/>
        <v>0</v>
      </c>
      <c r="W813" s="58">
        <f t="shared" si="193"/>
        <v>0</v>
      </c>
      <c r="X813" s="58">
        <f t="shared" si="194"/>
        <v>0</v>
      </c>
      <c r="Y813" s="52">
        <f t="shared" si="195"/>
        <v>0</v>
      </c>
    </row>
    <row r="814" spans="1:25" x14ac:dyDescent="0.25">
      <c r="A814" s="1218" t="s">
        <v>124</v>
      </c>
      <c r="B814" s="98">
        <v>45474</v>
      </c>
      <c r="C814" s="117" t="str">
        <f t="shared" si="182"/>
        <v>4L</v>
      </c>
      <c r="D814" s="96"/>
      <c r="E814" s="98"/>
      <c r="F814" s="98"/>
      <c r="I814" s="99">
        <f t="shared" si="183"/>
        <v>0</v>
      </c>
      <c r="L814" s="99">
        <f t="shared" si="184"/>
        <v>0</v>
      </c>
      <c r="M814" s="44" t="str">
        <f t="shared" si="186"/>
        <v/>
      </c>
      <c r="N814" s="100">
        <f t="shared" si="187"/>
        <v>0</v>
      </c>
      <c r="O814" s="101">
        <f t="shared" si="188"/>
        <v>0</v>
      </c>
      <c r="P814" s="52">
        <f t="shared" si="189"/>
        <v>0</v>
      </c>
      <c r="Q814" s="49">
        <v>116.88487613461319</v>
      </c>
      <c r="R814">
        <v>2225</v>
      </c>
      <c r="S814" s="50">
        <f t="shared" si="185"/>
        <v>71535.307499999995</v>
      </c>
      <c r="T814" s="50">
        <f t="shared" si="190"/>
        <v>0</v>
      </c>
      <c r="U814" s="58">
        <f t="shared" si="191"/>
        <v>0</v>
      </c>
      <c r="V814" s="58">
        <f t="shared" si="192"/>
        <v>0</v>
      </c>
      <c r="W814" s="58">
        <f t="shared" si="193"/>
        <v>0</v>
      </c>
      <c r="X814" s="58">
        <f t="shared" si="194"/>
        <v>0</v>
      </c>
      <c r="Y814" s="52">
        <f t="shared" si="195"/>
        <v>0</v>
      </c>
    </row>
    <row r="815" spans="1:25" x14ac:dyDescent="0.25">
      <c r="A815" s="1218" t="s">
        <v>125</v>
      </c>
      <c r="B815" s="98">
        <v>45474</v>
      </c>
      <c r="C815" s="117" t="str">
        <f t="shared" si="182"/>
        <v>4L</v>
      </c>
      <c r="D815" s="96"/>
      <c r="E815" s="98"/>
      <c r="F815" s="98"/>
      <c r="I815" s="99">
        <f t="shared" si="183"/>
        <v>0</v>
      </c>
      <c r="L815" s="99">
        <f t="shared" si="184"/>
        <v>0</v>
      </c>
      <c r="M815" s="44" t="str">
        <f t="shared" si="186"/>
        <v/>
      </c>
      <c r="N815" s="100">
        <f t="shared" si="187"/>
        <v>0</v>
      </c>
      <c r="O815" s="101">
        <f t="shared" si="188"/>
        <v>0</v>
      </c>
      <c r="P815" s="52">
        <f t="shared" si="189"/>
        <v>0</v>
      </c>
      <c r="Q815" s="49">
        <v>116.88487613461319</v>
      </c>
      <c r="R815">
        <v>2225</v>
      </c>
      <c r="S815" s="50">
        <f t="shared" si="185"/>
        <v>71535.307499999995</v>
      </c>
      <c r="T815" s="50">
        <f t="shared" si="190"/>
        <v>0</v>
      </c>
      <c r="U815" s="58">
        <f t="shared" si="191"/>
        <v>0</v>
      </c>
      <c r="V815" s="58">
        <f t="shared" si="192"/>
        <v>0</v>
      </c>
      <c r="W815" s="58">
        <f t="shared" si="193"/>
        <v>0</v>
      </c>
      <c r="X815" s="58">
        <f t="shared" si="194"/>
        <v>0</v>
      </c>
      <c r="Y815" s="52">
        <f t="shared" si="195"/>
        <v>0</v>
      </c>
    </row>
    <row r="816" spans="1:25" x14ac:dyDescent="0.25">
      <c r="A816" s="1218" t="s">
        <v>126</v>
      </c>
      <c r="B816" s="98">
        <v>45474</v>
      </c>
      <c r="C816" s="117" t="str">
        <f t="shared" ref="C816:C817" si="196">LEFT(A816,2)</f>
        <v>4L</v>
      </c>
      <c r="D816" s="96"/>
      <c r="E816" s="98"/>
      <c r="F816" s="98"/>
      <c r="I816" s="99"/>
      <c r="L816" s="99"/>
      <c r="M816" s="44"/>
      <c r="N816" s="100"/>
      <c r="O816" s="101"/>
      <c r="P816" s="52"/>
      <c r="Q816" s="49"/>
      <c r="S816" s="50"/>
      <c r="T816" s="50"/>
      <c r="U816" s="58"/>
      <c r="V816" s="58"/>
      <c r="W816" s="58"/>
      <c r="X816" s="58"/>
      <c r="Y816" s="52"/>
    </row>
    <row r="817" spans="1:25" x14ac:dyDescent="0.25">
      <c r="A817" s="1218" t="s">
        <v>127</v>
      </c>
      <c r="B817" s="98">
        <v>45474</v>
      </c>
      <c r="C817" s="117" t="str">
        <f t="shared" si="196"/>
        <v>4L</v>
      </c>
      <c r="D817" s="96"/>
      <c r="E817" s="98"/>
      <c r="F817" s="98"/>
      <c r="I817" s="99"/>
      <c r="L817" s="99"/>
      <c r="M817" s="44"/>
      <c r="N817" s="100"/>
      <c r="O817" s="101"/>
      <c r="P817" s="52"/>
      <c r="Q817" s="49"/>
      <c r="S817" s="50"/>
      <c r="T817" s="50"/>
      <c r="U817" s="58"/>
      <c r="V817" s="58"/>
      <c r="W817" s="58"/>
      <c r="X817" s="58"/>
      <c r="Y817" s="52"/>
    </row>
    <row r="818" spans="1:25" x14ac:dyDescent="0.25">
      <c r="A818" s="1218" t="s">
        <v>128</v>
      </c>
      <c r="B818" s="98">
        <v>45474</v>
      </c>
      <c r="C818" s="117" t="str">
        <f t="shared" si="182"/>
        <v>4L</v>
      </c>
      <c r="D818" s="96"/>
      <c r="E818" s="98"/>
      <c r="F818" s="98"/>
      <c r="I818" s="99"/>
      <c r="L818" s="99"/>
      <c r="M818" s="44"/>
      <c r="N818" s="100"/>
      <c r="O818" s="101"/>
      <c r="P818" s="52"/>
      <c r="Q818" s="49"/>
      <c r="S818" s="50"/>
      <c r="T818" s="50"/>
      <c r="U818" s="58"/>
      <c r="V818" s="58"/>
      <c r="W818" s="58"/>
      <c r="X818" s="58"/>
      <c r="Y818" s="52"/>
    </row>
    <row r="819" spans="1:25" x14ac:dyDescent="0.25">
      <c r="A819" s="1218" t="s">
        <v>129</v>
      </c>
      <c r="B819" s="98">
        <v>45474</v>
      </c>
      <c r="C819" s="117" t="str">
        <f t="shared" si="182"/>
        <v>4L</v>
      </c>
      <c r="D819" s="96"/>
      <c r="E819" s="98"/>
      <c r="F819" s="98"/>
      <c r="I819" s="99">
        <f t="shared" si="183"/>
        <v>0</v>
      </c>
      <c r="L819" s="99">
        <f t="shared" si="184"/>
        <v>0</v>
      </c>
      <c r="M819" s="44" t="str">
        <f t="shared" si="186"/>
        <v/>
      </c>
      <c r="N819" s="100">
        <f t="shared" si="187"/>
        <v>0</v>
      </c>
      <c r="O819" s="101">
        <f t="shared" si="188"/>
        <v>0</v>
      </c>
      <c r="P819" s="52">
        <f t="shared" si="189"/>
        <v>0</v>
      </c>
      <c r="Q819" s="49">
        <v>116.88487613461319</v>
      </c>
      <c r="R819">
        <v>2225</v>
      </c>
      <c r="S819" s="50">
        <f t="shared" si="185"/>
        <v>71535.307499999995</v>
      </c>
      <c r="T819" s="50">
        <f t="shared" si="190"/>
        <v>0</v>
      </c>
      <c r="U819" s="58">
        <f t="shared" si="191"/>
        <v>0</v>
      </c>
      <c r="V819" s="58">
        <f t="shared" si="192"/>
        <v>0</v>
      </c>
      <c r="W819" s="58">
        <f t="shared" si="193"/>
        <v>0</v>
      </c>
      <c r="X819" s="58">
        <f t="shared" si="194"/>
        <v>0</v>
      </c>
      <c r="Y819" s="52">
        <f t="shared" si="195"/>
        <v>0</v>
      </c>
    </row>
    <row r="820" spans="1:25" x14ac:dyDescent="0.25">
      <c r="A820" s="1218" t="s">
        <v>130</v>
      </c>
      <c r="B820" s="98">
        <v>45474</v>
      </c>
      <c r="C820" s="117" t="str">
        <f t="shared" si="182"/>
        <v>5L</v>
      </c>
      <c r="D820" s="96"/>
      <c r="E820" s="98"/>
      <c r="F820" s="98"/>
      <c r="I820" s="99">
        <f t="shared" si="183"/>
        <v>0</v>
      </c>
      <c r="L820" s="99">
        <f t="shared" si="184"/>
        <v>0</v>
      </c>
      <c r="M820" s="44" t="str">
        <f t="shared" si="186"/>
        <v/>
      </c>
      <c r="N820" s="100">
        <f t="shared" si="187"/>
        <v>0</v>
      </c>
      <c r="O820" s="101">
        <f t="shared" si="188"/>
        <v>0</v>
      </c>
      <c r="P820" s="52">
        <f t="shared" si="189"/>
        <v>0</v>
      </c>
      <c r="Q820" s="49">
        <v>116.88487613461319</v>
      </c>
      <c r="R820">
        <v>2225</v>
      </c>
      <c r="S820" s="50">
        <f t="shared" si="185"/>
        <v>71535.307499999995</v>
      </c>
      <c r="T820" s="50">
        <f t="shared" si="190"/>
        <v>0</v>
      </c>
      <c r="U820" s="58">
        <f t="shared" si="191"/>
        <v>0</v>
      </c>
      <c r="V820" s="58">
        <f t="shared" si="192"/>
        <v>0</v>
      </c>
      <c r="W820" s="58">
        <f t="shared" si="193"/>
        <v>0</v>
      </c>
      <c r="X820" s="58">
        <f t="shared" si="194"/>
        <v>0</v>
      </c>
      <c r="Y820" s="52">
        <f t="shared" si="195"/>
        <v>0</v>
      </c>
    </row>
    <row r="821" spans="1:25" x14ac:dyDescent="0.25">
      <c r="A821" s="1218" t="s">
        <v>131</v>
      </c>
      <c r="B821" s="98">
        <v>45474</v>
      </c>
      <c r="C821" s="117" t="str">
        <f t="shared" si="182"/>
        <v>5L</v>
      </c>
      <c r="D821" s="96"/>
      <c r="E821" s="98"/>
      <c r="F821" s="98"/>
      <c r="I821" s="99">
        <f t="shared" si="183"/>
        <v>0</v>
      </c>
      <c r="L821" s="99">
        <f t="shared" si="184"/>
        <v>0</v>
      </c>
      <c r="M821" s="44" t="str">
        <f t="shared" si="186"/>
        <v/>
      </c>
      <c r="N821" s="100">
        <f t="shared" si="187"/>
        <v>0</v>
      </c>
      <c r="O821" s="101">
        <f t="shared" si="188"/>
        <v>0</v>
      </c>
      <c r="P821" s="52">
        <f t="shared" si="189"/>
        <v>0</v>
      </c>
      <c r="Q821" s="49">
        <v>116.88487613461319</v>
      </c>
      <c r="R821">
        <v>2225</v>
      </c>
      <c r="S821" s="50">
        <f t="shared" si="185"/>
        <v>71535.307499999995</v>
      </c>
      <c r="T821" s="50">
        <f t="shared" si="190"/>
        <v>0</v>
      </c>
      <c r="U821" s="58">
        <f t="shared" si="191"/>
        <v>0</v>
      </c>
      <c r="V821" s="58">
        <f t="shared" si="192"/>
        <v>0</v>
      </c>
      <c r="W821" s="58">
        <f t="shared" si="193"/>
        <v>0</v>
      </c>
      <c r="X821" s="58">
        <f t="shared" si="194"/>
        <v>0</v>
      </c>
      <c r="Y821" s="52">
        <f t="shared" si="195"/>
        <v>0</v>
      </c>
    </row>
    <row r="822" spans="1:25" x14ac:dyDescent="0.25">
      <c r="A822" s="1218" t="s">
        <v>132</v>
      </c>
      <c r="B822" s="98">
        <v>45474</v>
      </c>
      <c r="C822" s="117" t="str">
        <f t="shared" si="182"/>
        <v>5L</v>
      </c>
      <c r="D822" s="96"/>
      <c r="E822" s="98"/>
      <c r="F822" s="98"/>
      <c r="I822" s="99">
        <f t="shared" si="183"/>
        <v>0</v>
      </c>
      <c r="L822" s="99">
        <f t="shared" si="184"/>
        <v>0</v>
      </c>
      <c r="M822" s="44" t="str">
        <f t="shared" si="186"/>
        <v/>
      </c>
      <c r="N822" s="100">
        <f t="shared" si="187"/>
        <v>0</v>
      </c>
      <c r="O822" s="101">
        <f t="shared" si="188"/>
        <v>0</v>
      </c>
      <c r="P822" s="52">
        <f t="shared" si="189"/>
        <v>0</v>
      </c>
      <c r="Q822" s="49">
        <v>116.88487613461319</v>
      </c>
      <c r="R822">
        <v>2225</v>
      </c>
      <c r="S822" s="50">
        <f t="shared" si="185"/>
        <v>71535.307499999995</v>
      </c>
      <c r="T822" s="50">
        <f t="shared" si="190"/>
        <v>0</v>
      </c>
      <c r="U822" s="58">
        <f t="shared" si="191"/>
        <v>0</v>
      </c>
      <c r="V822" s="58">
        <f t="shared" si="192"/>
        <v>0</v>
      </c>
      <c r="W822" s="58">
        <f t="shared" si="193"/>
        <v>0</v>
      </c>
      <c r="X822" s="58">
        <f t="shared" si="194"/>
        <v>0</v>
      </c>
      <c r="Y822" s="52">
        <f t="shared" si="195"/>
        <v>0</v>
      </c>
    </row>
    <row r="823" spans="1:25" x14ac:dyDescent="0.25">
      <c r="A823" s="1218" t="s">
        <v>133</v>
      </c>
      <c r="B823" s="98">
        <v>45474</v>
      </c>
      <c r="C823" s="117" t="str">
        <f t="shared" si="182"/>
        <v>5L</v>
      </c>
      <c r="D823" s="96"/>
      <c r="E823" s="98"/>
      <c r="F823" s="98"/>
      <c r="I823" s="99">
        <f t="shared" si="183"/>
        <v>0</v>
      </c>
      <c r="L823" s="99">
        <f t="shared" si="184"/>
        <v>0</v>
      </c>
      <c r="M823" s="44" t="str">
        <f t="shared" si="186"/>
        <v/>
      </c>
      <c r="N823" s="100">
        <f t="shared" si="187"/>
        <v>0</v>
      </c>
      <c r="O823" s="101">
        <f t="shared" si="188"/>
        <v>0</v>
      </c>
      <c r="P823" s="52">
        <f t="shared" si="189"/>
        <v>0</v>
      </c>
      <c r="Q823" s="49">
        <v>116.88487613461319</v>
      </c>
      <c r="R823">
        <v>2225</v>
      </c>
      <c r="S823" s="50">
        <f t="shared" si="185"/>
        <v>71535.307499999995</v>
      </c>
      <c r="T823" s="50">
        <f t="shared" si="190"/>
        <v>0</v>
      </c>
      <c r="U823" s="58">
        <f t="shared" si="191"/>
        <v>0</v>
      </c>
      <c r="V823" s="58">
        <f t="shared" si="192"/>
        <v>0</v>
      </c>
      <c r="W823" s="58">
        <f t="shared" si="193"/>
        <v>0</v>
      </c>
      <c r="X823" s="58">
        <f t="shared" si="194"/>
        <v>0</v>
      </c>
      <c r="Y823" s="52">
        <f t="shared" si="195"/>
        <v>0</v>
      </c>
    </row>
    <row r="824" spans="1:25" x14ac:dyDescent="0.25">
      <c r="A824" s="1218" t="s">
        <v>134</v>
      </c>
      <c r="B824" s="98">
        <v>45474</v>
      </c>
      <c r="C824" s="117" t="str">
        <f t="shared" si="182"/>
        <v>5L</v>
      </c>
      <c r="D824" s="96"/>
      <c r="E824" s="98"/>
      <c r="F824" s="98"/>
      <c r="I824" s="99">
        <f t="shared" si="183"/>
        <v>0</v>
      </c>
      <c r="L824" s="99">
        <f t="shared" si="184"/>
        <v>0</v>
      </c>
      <c r="M824" s="44" t="str">
        <f t="shared" si="186"/>
        <v/>
      </c>
      <c r="N824" s="100">
        <f t="shared" si="187"/>
        <v>0</v>
      </c>
      <c r="O824" s="101">
        <f t="shared" si="188"/>
        <v>0</v>
      </c>
      <c r="P824" s="52">
        <f t="shared" si="189"/>
        <v>0</v>
      </c>
      <c r="Q824" s="49">
        <v>116.88487613461319</v>
      </c>
      <c r="R824">
        <v>2225</v>
      </c>
      <c r="S824" s="50">
        <f t="shared" si="185"/>
        <v>71535.307499999995</v>
      </c>
      <c r="T824" s="50">
        <f t="shared" si="190"/>
        <v>0</v>
      </c>
      <c r="U824" s="58">
        <f t="shared" si="191"/>
        <v>0</v>
      </c>
      <c r="V824" s="58">
        <f t="shared" si="192"/>
        <v>0</v>
      </c>
      <c r="W824" s="58">
        <f t="shared" si="193"/>
        <v>0</v>
      </c>
      <c r="X824" s="58">
        <f t="shared" si="194"/>
        <v>0</v>
      </c>
      <c r="Y824" s="52">
        <f t="shared" si="195"/>
        <v>0</v>
      </c>
    </row>
    <row r="825" spans="1:25" x14ac:dyDescent="0.25">
      <c r="A825" s="1218" t="s">
        <v>135</v>
      </c>
      <c r="B825" s="98">
        <v>45474</v>
      </c>
      <c r="C825" s="117" t="str">
        <f t="shared" si="182"/>
        <v>5L</v>
      </c>
      <c r="D825" s="96"/>
      <c r="E825" s="98"/>
      <c r="F825" s="98"/>
      <c r="I825" s="99">
        <f t="shared" si="183"/>
        <v>0</v>
      </c>
      <c r="L825" s="99">
        <f t="shared" si="184"/>
        <v>0</v>
      </c>
      <c r="M825" s="44" t="str">
        <f t="shared" si="186"/>
        <v/>
      </c>
      <c r="N825" s="100">
        <f t="shared" si="187"/>
        <v>0</v>
      </c>
      <c r="O825" s="101">
        <f t="shared" si="188"/>
        <v>0</v>
      </c>
      <c r="P825" s="52">
        <f t="shared" si="189"/>
        <v>0</v>
      </c>
      <c r="Q825" s="49">
        <v>116.88487613461319</v>
      </c>
      <c r="R825">
        <v>2225</v>
      </c>
      <c r="S825" s="50">
        <f t="shared" si="185"/>
        <v>71535.307499999995</v>
      </c>
      <c r="T825" s="50">
        <f t="shared" si="190"/>
        <v>0</v>
      </c>
      <c r="U825" s="58">
        <f t="shared" si="191"/>
        <v>0</v>
      </c>
      <c r="V825" s="58">
        <f t="shared" si="192"/>
        <v>0</v>
      </c>
      <c r="W825" s="58">
        <f t="shared" si="193"/>
        <v>0</v>
      </c>
      <c r="X825" s="58">
        <f t="shared" si="194"/>
        <v>0</v>
      </c>
      <c r="Y825" s="52">
        <f t="shared" si="195"/>
        <v>0</v>
      </c>
    </row>
    <row r="826" spans="1:25" x14ac:dyDescent="0.25">
      <c r="A826" s="1218" t="s">
        <v>136</v>
      </c>
      <c r="B826" s="98">
        <v>45474</v>
      </c>
      <c r="C826" s="117" t="str">
        <f t="shared" si="182"/>
        <v>5L</v>
      </c>
      <c r="D826" s="96"/>
      <c r="E826" s="98"/>
      <c r="F826" s="98"/>
      <c r="I826" s="99">
        <f t="shared" si="183"/>
        <v>0</v>
      </c>
      <c r="L826" s="99">
        <f t="shared" si="184"/>
        <v>0</v>
      </c>
      <c r="M826" s="44" t="str">
        <f t="shared" si="186"/>
        <v/>
      </c>
      <c r="N826" s="100">
        <f t="shared" si="187"/>
        <v>0</v>
      </c>
      <c r="O826" s="101">
        <f t="shared" si="188"/>
        <v>0</v>
      </c>
      <c r="P826" s="52">
        <f t="shared" si="189"/>
        <v>0</v>
      </c>
      <c r="Q826" s="49">
        <v>116.88487613461319</v>
      </c>
      <c r="R826">
        <v>2225</v>
      </c>
      <c r="S826" s="50">
        <f t="shared" si="185"/>
        <v>71535.307499999995</v>
      </c>
      <c r="T826" s="50">
        <f t="shared" si="190"/>
        <v>0</v>
      </c>
      <c r="U826" s="58">
        <f t="shared" si="191"/>
        <v>0</v>
      </c>
      <c r="V826" s="58">
        <f t="shared" si="192"/>
        <v>0</v>
      </c>
      <c r="W826" s="58">
        <f t="shared" si="193"/>
        <v>0</v>
      </c>
      <c r="X826" s="58">
        <f t="shared" si="194"/>
        <v>0</v>
      </c>
      <c r="Y826" s="52">
        <f t="shared" si="195"/>
        <v>0</v>
      </c>
    </row>
    <row r="827" spans="1:25" x14ac:dyDescent="0.25">
      <c r="A827" s="1218" t="s">
        <v>137</v>
      </c>
      <c r="B827" s="98">
        <v>45474</v>
      </c>
      <c r="C827" s="117" t="str">
        <f t="shared" si="182"/>
        <v>5L</v>
      </c>
      <c r="D827" s="96"/>
      <c r="E827" s="98"/>
      <c r="F827" s="98"/>
      <c r="I827" s="99">
        <f t="shared" si="183"/>
        <v>0</v>
      </c>
      <c r="L827" s="99">
        <f t="shared" si="184"/>
        <v>0</v>
      </c>
      <c r="M827" s="44" t="str">
        <f t="shared" si="186"/>
        <v/>
      </c>
      <c r="N827" s="100">
        <f t="shared" si="187"/>
        <v>0</v>
      </c>
      <c r="O827" s="101">
        <f t="shared" si="188"/>
        <v>0</v>
      </c>
      <c r="P827" s="52">
        <f t="shared" si="189"/>
        <v>0</v>
      </c>
      <c r="Q827" s="49">
        <v>116.88487613461319</v>
      </c>
      <c r="R827">
        <v>2225</v>
      </c>
      <c r="S827" s="50">
        <f t="shared" si="185"/>
        <v>71535.307499999995</v>
      </c>
      <c r="T827" s="50">
        <f t="shared" si="190"/>
        <v>0</v>
      </c>
      <c r="U827" s="58">
        <f t="shared" si="191"/>
        <v>0</v>
      </c>
      <c r="V827" s="58">
        <f t="shared" si="192"/>
        <v>0</v>
      </c>
      <c r="W827" s="58">
        <f t="shared" si="193"/>
        <v>0</v>
      </c>
      <c r="X827" s="58">
        <f t="shared" si="194"/>
        <v>0</v>
      </c>
      <c r="Y827" s="52">
        <f t="shared" si="195"/>
        <v>0</v>
      </c>
    </row>
    <row r="828" spans="1:25" x14ac:dyDescent="0.25">
      <c r="A828" s="1218" t="s">
        <v>138</v>
      </c>
      <c r="B828" s="98">
        <v>45474</v>
      </c>
      <c r="C828" s="117" t="str">
        <f t="shared" si="182"/>
        <v>5L</v>
      </c>
      <c r="D828" s="96"/>
      <c r="E828" s="98"/>
      <c r="F828" s="98"/>
      <c r="I828" s="99">
        <f t="shared" si="183"/>
        <v>0</v>
      </c>
      <c r="L828" s="99">
        <f t="shared" si="184"/>
        <v>0</v>
      </c>
      <c r="M828" s="44" t="str">
        <f t="shared" si="186"/>
        <v/>
      </c>
      <c r="N828" s="100">
        <f t="shared" si="187"/>
        <v>0</v>
      </c>
      <c r="O828" s="101">
        <f t="shared" si="188"/>
        <v>0</v>
      </c>
      <c r="P828" s="52">
        <f t="shared" si="189"/>
        <v>0</v>
      </c>
      <c r="Q828" s="49">
        <v>116.88487613461319</v>
      </c>
      <c r="R828">
        <v>2225</v>
      </c>
      <c r="S828" s="50">
        <f t="shared" si="185"/>
        <v>71535.307499999995</v>
      </c>
      <c r="T828" s="50">
        <f t="shared" si="190"/>
        <v>0</v>
      </c>
      <c r="U828" s="58">
        <f t="shared" si="191"/>
        <v>0</v>
      </c>
      <c r="V828" s="58">
        <f t="shared" si="192"/>
        <v>0</v>
      </c>
      <c r="W828" s="58">
        <f t="shared" si="193"/>
        <v>0</v>
      </c>
      <c r="X828" s="58">
        <f t="shared" si="194"/>
        <v>0</v>
      </c>
      <c r="Y828" s="52">
        <f t="shared" si="195"/>
        <v>0</v>
      </c>
    </row>
    <row r="829" spans="1:25" x14ac:dyDescent="0.25">
      <c r="A829" s="1218" t="s">
        <v>139</v>
      </c>
      <c r="B829" s="98">
        <v>45474</v>
      </c>
      <c r="C829" s="117" t="str">
        <f t="shared" si="182"/>
        <v>5L</v>
      </c>
      <c r="D829" s="96"/>
      <c r="E829" s="98"/>
      <c r="F829" s="98"/>
      <c r="I829" s="99">
        <f t="shared" si="183"/>
        <v>0</v>
      </c>
      <c r="L829" s="99">
        <f t="shared" si="184"/>
        <v>0</v>
      </c>
      <c r="M829" s="44" t="str">
        <f t="shared" si="186"/>
        <v/>
      </c>
      <c r="N829" s="100">
        <f t="shared" si="187"/>
        <v>0</v>
      </c>
      <c r="O829" s="101">
        <f t="shared" si="188"/>
        <v>0</v>
      </c>
      <c r="P829" s="52">
        <f t="shared" si="189"/>
        <v>0</v>
      </c>
      <c r="Q829" s="49">
        <v>116.88487613461319</v>
      </c>
      <c r="R829">
        <v>2225</v>
      </c>
      <c r="S829" s="50">
        <f t="shared" si="185"/>
        <v>71535.307499999995</v>
      </c>
      <c r="T829" s="50">
        <f t="shared" si="190"/>
        <v>0</v>
      </c>
      <c r="U829" s="58">
        <f t="shared" si="191"/>
        <v>0</v>
      </c>
      <c r="V829" s="58">
        <f t="shared" si="192"/>
        <v>0</v>
      </c>
      <c r="W829" s="58">
        <f t="shared" si="193"/>
        <v>0</v>
      </c>
      <c r="X829" s="58">
        <f t="shared" si="194"/>
        <v>0</v>
      </c>
      <c r="Y829" s="52">
        <f t="shared" si="195"/>
        <v>0</v>
      </c>
    </row>
    <row r="830" spans="1:25" x14ac:dyDescent="0.25">
      <c r="A830" s="1218" t="s">
        <v>140</v>
      </c>
      <c r="B830" s="98">
        <v>45474</v>
      </c>
      <c r="C830" s="117" t="str">
        <f t="shared" si="182"/>
        <v>5L</v>
      </c>
      <c r="D830" s="96"/>
      <c r="E830" s="98"/>
      <c r="F830" s="98"/>
      <c r="G830" s="55"/>
      <c r="H830" s="55"/>
      <c r="I830" s="99">
        <f t="shared" si="183"/>
        <v>0</v>
      </c>
      <c r="J830" s="55"/>
      <c r="K830" s="55"/>
      <c r="L830" s="99">
        <f t="shared" si="184"/>
        <v>0</v>
      </c>
      <c r="M830" s="44" t="str">
        <f t="shared" si="186"/>
        <v/>
      </c>
      <c r="N830" s="100">
        <f t="shared" si="187"/>
        <v>0</v>
      </c>
      <c r="O830" s="101">
        <f t="shared" si="188"/>
        <v>0</v>
      </c>
      <c r="P830" s="52">
        <f t="shared" si="189"/>
        <v>0</v>
      </c>
      <c r="Q830" s="49">
        <v>116.88487613461319</v>
      </c>
      <c r="R830">
        <v>2225</v>
      </c>
      <c r="S830" s="50">
        <f t="shared" si="185"/>
        <v>71535.307499999995</v>
      </c>
      <c r="T830" s="50">
        <f t="shared" si="190"/>
        <v>0</v>
      </c>
      <c r="U830" s="58">
        <f t="shared" si="191"/>
        <v>0</v>
      </c>
      <c r="V830" s="58">
        <f t="shared" si="192"/>
        <v>0</v>
      </c>
      <c r="W830" s="58">
        <f t="shared" si="193"/>
        <v>0</v>
      </c>
      <c r="X830" s="58">
        <f t="shared" si="194"/>
        <v>0</v>
      </c>
      <c r="Y830" s="52">
        <f t="shared" si="195"/>
        <v>0</v>
      </c>
    </row>
    <row r="831" spans="1:25" x14ac:dyDescent="0.25">
      <c r="A831" s="1218" t="s">
        <v>141</v>
      </c>
      <c r="B831" s="98">
        <v>45474</v>
      </c>
      <c r="C831" s="117" t="str">
        <f t="shared" si="182"/>
        <v>5L</v>
      </c>
      <c r="D831" s="96"/>
      <c r="E831" s="98"/>
      <c r="F831" s="98"/>
      <c r="G831" s="55"/>
      <c r="H831" s="55"/>
      <c r="I831" s="99">
        <f t="shared" si="183"/>
        <v>0</v>
      </c>
      <c r="J831" s="55"/>
      <c r="K831" s="55"/>
      <c r="L831" s="99">
        <f t="shared" si="184"/>
        <v>0</v>
      </c>
      <c r="M831" s="44" t="str">
        <f t="shared" si="186"/>
        <v/>
      </c>
      <c r="N831" s="100">
        <f t="shared" si="187"/>
        <v>0</v>
      </c>
      <c r="O831" s="101">
        <f t="shared" si="188"/>
        <v>0</v>
      </c>
      <c r="P831" s="52">
        <f t="shared" si="189"/>
        <v>0</v>
      </c>
      <c r="Q831" s="49">
        <v>116.88487613461319</v>
      </c>
      <c r="R831">
        <v>2225</v>
      </c>
      <c r="S831" s="50">
        <f t="shared" si="185"/>
        <v>71535.307499999995</v>
      </c>
      <c r="T831" s="50">
        <f t="shared" si="190"/>
        <v>0</v>
      </c>
      <c r="U831" s="58">
        <f t="shared" si="191"/>
        <v>0</v>
      </c>
      <c r="V831" s="58">
        <f t="shared" si="192"/>
        <v>0</v>
      </c>
      <c r="W831" s="58">
        <f t="shared" si="193"/>
        <v>0</v>
      </c>
      <c r="X831" s="58">
        <f t="shared" si="194"/>
        <v>0</v>
      </c>
      <c r="Y831" s="52">
        <f t="shared" si="195"/>
        <v>0</v>
      </c>
    </row>
    <row r="832" spans="1:25" x14ac:dyDescent="0.25">
      <c r="A832" s="1218" t="s">
        <v>142</v>
      </c>
      <c r="B832" s="98">
        <v>45474</v>
      </c>
      <c r="C832" s="117" t="str">
        <f t="shared" si="182"/>
        <v>5L</v>
      </c>
      <c r="D832" s="96"/>
      <c r="E832" s="98"/>
      <c r="F832" s="98"/>
      <c r="G832" s="55"/>
      <c r="H832" s="55"/>
      <c r="I832" s="99">
        <f t="shared" si="183"/>
        <v>0</v>
      </c>
      <c r="J832" s="55"/>
      <c r="K832" s="55"/>
      <c r="L832" s="99">
        <f t="shared" si="184"/>
        <v>0</v>
      </c>
      <c r="M832" s="44" t="str">
        <f t="shared" si="186"/>
        <v/>
      </c>
      <c r="N832" s="100">
        <f t="shared" si="187"/>
        <v>0</v>
      </c>
      <c r="O832" s="101">
        <f t="shared" si="188"/>
        <v>0</v>
      </c>
      <c r="P832" s="52">
        <f t="shared" si="189"/>
        <v>0</v>
      </c>
      <c r="Q832" s="49">
        <v>116.88487613461319</v>
      </c>
      <c r="R832">
        <v>2225</v>
      </c>
      <c r="S832" s="50">
        <f t="shared" si="185"/>
        <v>71535.307499999995</v>
      </c>
      <c r="T832" s="50">
        <f t="shared" si="190"/>
        <v>0</v>
      </c>
      <c r="U832" s="58">
        <f t="shared" si="191"/>
        <v>0</v>
      </c>
      <c r="V832" s="58">
        <f t="shared" si="192"/>
        <v>0</v>
      </c>
      <c r="W832" s="58">
        <f t="shared" si="193"/>
        <v>0</v>
      </c>
      <c r="X832" s="58">
        <f t="shared" si="194"/>
        <v>0</v>
      </c>
      <c r="Y832" s="52">
        <f t="shared" si="195"/>
        <v>0</v>
      </c>
    </row>
    <row r="833" spans="1:25" x14ac:dyDescent="0.25">
      <c r="A833" s="1218" t="s">
        <v>143</v>
      </c>
      <c r="B833" s="98">
        <v>45474</v>
      </c>
      <c r="C833" s="117" t="str">
        <f t="shared" si="182"/>
        <v>5L</v>
      </c>
      <c r="D833" s="96"/>
      <c r="E833" s="98"/>
      <c r="F833" s="98"/>
      <c r="G833" s="55"/>
      <c r="H833" s="55"/>
      <c r="I833" s="99">
        <f t="shared" si="183"/>
        <v>0</v>
      </c>
      <c r="J833" s="55"/>
      <c r="K833" s="55"/>
      <c r="L833" s="99">
        <f t="shared" si="184"/>
        <v>0</v>
      </c>
      <c r="M833" s="44" t="str">
        <f t="shared" si="186"/>
        <v/>
      </c>
      <c r="N833" s="100">
        <f t="shared" si="187"/>
        <v>0</v>
      </c>
      <c r="O833" s="101">
        <f t="shared" si="188"/>
        <v>0</v>
      </c>
      <c r="P833" s="52">
        <f t="shared" si="189"/>
        <v>0</v>
      </c>
      <c r="Q833" s="49">
        <v>116.88487613461319</v>
      </c>
      <c r="R833">
        <v>2225</v>
      </c>
      <c r="S833" s="50">
        <f t="shared" si="185"/>
        <v>71535.307499999995</v>
      </c>
      <c r="T833" s="50">
        <f t="shared" si="190"/>
        <v>0</v>
      </c>
      <c r="U833" s="58">
        <f t="shared" si="191"/>
        <v>0</v>
      </c>
      <c r="V833" s="58">
        <f t="shared" si="192"/>
        <v>0</v>
      </c>
      <c r="W833" s="58">
        <f t="shared" si="193"/>
        <v>0</v>
      </c>
      <c r="X833" s="58">
        <f t="shared" si="194"/>
        <v>0</v>
      </c>
      <c r="Y833" s="52">
        <f t="shared" si="195"/>
        <v>0</v>
      </c>
    </row>
    <row r="834" spans="1:25" x14ac:dyDescent="0.25">
      <c r="A834" s="1218" t="s">
        <v>144</v>
      </c>
      <c r="B834" s="98">
        <v>45474</v>
      </c>
      <c r="C834" s="117" t="str">
        <f t="shared" si="182"/>
        <v>5L</v>
      </c>
      <c r="D834" s="96"/>
      <c r="E834" s="98"/>
      <c r="F834" s="98"/>
      <c r="G834" s="55"/>
      <c r="H834" s="55"/>
      <c r="I834" s="99">
        <f t="shared" si="183"/>
        <v>0</v>
      </c>
      <c r="J834" s="55"/>
      <c r="K834" s="55"/>
      <c r="L834" s="99">
        <f t="shared" si="184"/>
        <v>0</v>
      </c>
      <c r="M834" s="44" t="str">
        <f t="shared" si="186"/>
        <v/>
      </c>
      <c r="N834" s="100">
        <f t="shared" si="187"/>
        <v>0</v>
      </c>
      <c r="O834" s="101">
        <f t="shared" si="188"/>
        <v>0</v>
      </c>
      <c r="P834" s="52">
        <f t="shared" si="189"/>
        <v>0</v>
      </c>
      <c r="Q834" s="49">
        <v>116.88487613461319</v>
      </c>
      <c r="R834">
        <v>2225</v>
      </c>
      <c r="S834" s="50">
        <f t="shared" si="185"/>
        <v>71535.307499999995</v>
      </c>
      <c r="T834" s="50">
        <f t="shared" si="190"/>
        <v>0</v>
      </c>
      <c r="U834" s="58">
        <f t="shared" si="191"/>
        <v>0</v>
      </c>
      <c r="V834" s="58">
        <f t="shared" si="192"/>
        <v>0</v>
      </c>
      <c r="W834" s="58">
        <f t="shared" si="193"/>
        <v>0</v>
      </c>
      <c r="X834" s="58">
        <f t="shared" si="194"/>
        <v>0</v>
      </c>
      <c r="Y834" s="52">
        <f t="shared" si="195"/>
        <v>0</v>
      </c>
    </row>
    <row r="835" spans="1:25" x14ac:dyDescent="0.25">
      <c r="A835" s="1218" t="s">
        <v>145</v>
      </c>
      <c r="B835" s="98">
        <v>45474</v>
      </c>
      <c r="C835" s="117" t="str">
        <f t="shared" si="182"/>
        <v>5L</v>
      </c>
      <c r="D835" s="96"/>
      <c r="E835" s="98"/>
      <c r="F835" s="98"/>
      <c r="G835" s="55"/>
      <c r="H835" s="55"/>
      <c r="I835" s="99">
        <f t="shared" si="183"/>
        <v>0</v>
      </c>
      <c r="J835" s="55"/>
      <c r="K835" s="55"/>
      <c r="L835" s="99">
        <f t="shared" si="184"/>
        <v>0</v>
      </c>
      <c r="M835" s="44" t="str">
        <f t="shared" si="186"/>
        <v/>
      </c>
      <c r="N835" s="100">
        <f t="shared" si="187"/>
        <v>0</v>
      </c>
      <c r="O835" s="101">
        <f t="shared" si="188"/>
        <v>0</v>
      </c>
      <c r="P835" s="52">
        <f t="shared" si="189"/>
        <v>0</v>
      </c>
      <c r="Q835" s="49">
        <v>116.88487613461319</v>
      </c>
      <c r="R835">
        <v>2225</v>
      </c>
      <c r="S835" s="50">
        <f t="shared" si="185"/>
        <v>71535.307499999995</v>
      </c>
      <c r="T835" s="50">
        <f t="shared" si="190"/>
        <v>0</v>
      </c>
      <c r="U835" s="58">
        <f t="shared" si="191"/>
        <v>0</v>
      </c>
      <c r="V835" s="58">
        <f t="shared" si="192"/>
        <v>0</v>
      </c>
      <c r="W835" s="58">
        <f t="shared" si="193"/>
        <v>0</v>
      </c>
      <c r="X835" s="58">
        <f t="shared" si="194"/>
        <v>0</v>
      </c>
      <c r="Y835" s="52">
        <f t="shared" si="195"/>
        <v>0</v>
      </c>
    </row>
    <row r="836" spans="1:25" x14ac:dyDescent="0.25">
      <c r="A836" s="1218" t="s">
        <v>146</v>
      </c>
      <c r="B836" s="98">
        <v>45474</v>
      </c>
      <c r="C836" s="117" t="str">
        <f t="shared" si="182"/>
        <v>5L</v>
      </c>
      <c r="D836" s="96"/>
      <c r="E836" s="98"/>
      <c r="F836" s="98"/>
      <c r="G836" s="55"/>
      <c r="H836" s="55"/>
      <c r="I836" s="99">
        <f t="shared" si="183"/>
        <v>0</v>
      </c>
      <c r="J836" s="55"/>
      <c r="K836" s="55"/>
      <c r="L836" s="99">
        <f t="shared" si="184"/>
        <v>0</v>
      </c>
      <c r="M836" s="44" t="str">
        <f t="shared" si="186"/>
        <v/>
      </c>
      <c r="N836" s="100">
        <f t="shared" si="187"/>
        <v>0</v>
      </c>
      <c r="O836" s="101">
        <f t="shared" si="188"/>
        <v>0</v>
      </c>
      <c r="P836" s="52">
        <f t="shared" si="189"/>
        <v>0</v>
      </c>
      <c r="Q836" s="49">
        <v>116.88487613461319</v>
      </c>
      <c r="R836">
        <v>2225</v>
      </c>
      <c r="S836" s="50">
        <f t="shared" si="185"/>
        <v>71535.307499999995</v>
      </c>
      <c r="T836" s="50">
        <f t="shared" si="190"/>
        <v>0</v>
      </c>
      <c r="U836" s="58">
        <f t="shared" si="191"/>
        <v>0</v>
      </c>
      <c r="V836" s="58">
        <f t="shared" si="192"/>
        <v>0</v>
      </c>
      <c r="W836" s="58">
        <f t="shared" si="193"/>
        <v>0</v>
      </c>
      <c r="X836" s="58">
        <f t="shared" si="194"/>
        <v>0</v>
      </c>
      <c r="Y836" s="52">
        <f t="shared" si="195"/>
        <v>0</v>
      </c>
    </row>
    <row r="837" spans="1:25" x14ac:dyDescent="0.25">
      <c r="A837" s="1218" t="s">
        <v>147</v>
      </c>
      <c r="B837" s="98">
        <v>45474</v>
      </c>
      <c r="C837" s="117" t="str">
        <f t="shared" si="182"/>
        <v>5L</v>
      </c>
      <c r="D837" s="96"/>
      <c r="E837" s="98"/>
      <c r="F837" s="98"/>
      <c r="G837" s="55"/>
      <c r="H837" s="55"/>
      <c r="I837" s="99">
        <f t="shared" si="183"/>
        <v>0</v>
      </c>
      <c r="J837" s="55"/>
      <c r="K837" s="55"/>
      <c r="L837" s="99">
        <f t="shared" si="184"/>
        <v>0</v>
      </c>
      <c r="M837" s="44" t="str">
        <f t="shared" si="186"/>
        <v/>
      </c>
      <c r="N837" s="100">
        <f t="shared" si="187"/>
        <v>0</v>
      </c>
      <c r="O837" s="101">
        <f t="shared" si="188"/>
        <v>0</v>
      </c>
      <c r="P837" s="52">
        <f t="shared" si="189"/>
        <v>0</v>
      </c>
      <c r="Q837" s="49">
        <v>116.88487613461319</v>
      </c>
      <c r="R837">
        <v>2225</v>
      </c>
      <c r="S837" s="50">
        <f t="shared" si="185"/>
        <v>71535.307499999995</v>
      </c>
      <c r="T837" s="50">
        <f t="shared" si="190"/>
        <v>0</v>
      </c>
      <c r="U837" s="58">
        <f t="shared" si="191"/>
        <v>0</v>
      </c>
      <c r="V837" s="58">
        <f t="shared" si="192"/>
        <v>0</v>
      </c>
      <c r="W837" s="58">
        <f t="shared" si="193"/>
        <v>0</v>
      </c>
      <c r="X837" s="58">
        <f t="shared" si="194"/>
        <v>0</v>
      </c>
      <c r="Y837" s="52">
        <f t="shared" si="195"/>
        <v>0</v>
      </c>
    </row>
    <row r="838" spans="1:25" x14ac:dyDescent="0.25">
      <c r="A838" s="1218" t="s">
        <v>148</v>
      </c>
      <c r="B838" s="98">
        <v>45474</v>
      </c>
      <c r="C838" s="117" t="str">
        <f t="shared" si="182"/>
        <v>5L</v>
      </c>
      <c r="D838" s="96"/>
      <c r="E838" s="98"/>
      <c r="F838" s="98"/>
      <c r="G838" s="55"/>
      <c r="H838" s="55"/>
      <c r="I838" s="99">
        <f t="shared" si="183"/>
        <v>0</v>
      </c>
      <c r="J838" s="55"/>
      <c r="K838" s="55"/>
      <c r="L838" s="99">
        <f t="shared" si="184"/>
        <v>0</v>
      </c>
      <c r="M838" s="44" t="str">
        <f t="shared" si="186"/>
        <v/>
      </c>
      <c r="N838" s="100">
        <f t="shared" si="187"/>
        <v>0</v>
      </c>
      <c r="O838" s="101">
        <f t="shared" si="188"/>
        <v>0</v>
      </c>
      <c r="P838" s="52">
        <f t="shared" si="189"/>
        <v>0</v>
      </c>
      <c r="Q838" s="49">
        <v>116.88487613461319</v>
      </c>
      <c r="R838">
        <v>2225</v>
      </c>
      <c r="S838" s="50">
        <f t="shared" si="185"/>
        <v>71535.307499999995</v>
      </c>
      <c r="T838" s="50">
        <f t="shared" si="190"/>
        <v>0</v>
      </c>
      <c r="U838" s="58">
        <f t="shared" si="191"/>
        <v>0</v>
      </c>
      <c r="V838" s="58">
        <f t="shared" si="192"/>
        <v>0</v>
      </c>
      <c r="W838" s="58">
        <f t="shared" si="193"/>
        <v>0</v>
      </c>
      <c r="X838" s="58">
        <f t="shared" si="194"/>
        <v>0</v>
      </c>
      <c r="Y838" s="52">
        <f t="shared" si="195"/>
        <v>0</v>
      </c>
    </row>
    <row r="839" spans="1:25" x14ac:dyDescent="0.25">
      <c r="A839" s="1218" t="s">
        <v>149</v>
      </c>
      <c r="B839" s="98">
        <v>45474</v>
      </c>
      <c r="C839" s="117" t="str">
        <f t="shared" si="182"/>
        <v>5L</v>
      </c>
      <c r="D839" s="96"/>
      <c r="E839" s="98"/>
      <c r="F839" s="98"/>
      <c r="G839" s="55"/>
      <c r="H839" s="55"/>
      <c r="I839" s="99">
        <f t="shared" si="183"/>
        <v>0</v>
      </c>
      <c r="J839" s="55"/>
      <c r="K839" s="55"/>
      <c r="L839" s="99">
        <f t="shared" si="184"/>
        <v>0</v>
      </c>
      <c r="M839" s="44" t="str">
        <f t="shared" si="186"/>
        <v/>
      </c>
      <c r="N839" s="100">
        <f t="shared" si="187"/>
        <v>0</v>
      </c>
      <c r="O839" s="101">
        <f t="shared" si="188"/>
        <v>0</v>
      </c>
      <c r="P839" s="52">
        <f t="shared" si="189"/>
        <v>0</v>
      </c>
      <c r="Q839" s="49">
        <v>116.88487613461319</v>
      </c>
      <c r="R839">
        <v>2225</v>
      </c>
      <c r="S839" s="50">
        <f t="shared" si="185"/>
        <v>71535.307499999995</v>
      </c>
      <c r="T839" s="50">
        <f t="shared" si="190"/>
        <v>0</v>
      </c>
      <c r="U839" s="58">
        <f t="shared" si="191"/>
        <v>0</v>
      </c>
      <c r="V839" s="58">
        <f t="shared" si="192"/>
        <v>0</v>
      </c>
      <c r="W839" s="58">
        <f t="shared" si="193"/>
        <v>0</v>
      </c>
      <c r="X839" s="58">
        <f t="shared" si="194"/>
        <v>0</v>
      </c>
      <c r="Y839" s="52">
        <f t="shared" si="195"/>
        <v>0</v>
      </c>
    </row>
    <row r="840" spans="1:25" x14ac:dyDescent="0.25">
      <c r="A840" s="1218" t="s">
        <v>150</v>
      </c>
      <c r="B840" s="98">
        <v>45474</v>
      </c>
      <c r="C840" s="117" t="str">
        <f t="shared" si="182"/>
        <v>6L</v>
      </c>
      <c r="D840" s="96"/>
      <c r="E840" s="98"/>
      <c r="F840" s="98"/>
      <c r="I840" s="99">
        <f t="shared" si="183"/>
        <v>0</v>
      </c>
      <c r="L840" s="99">
        <f t="shared" si="184"/>
        <v>0</v>
      </c>
      <c r="M840" s="44" t="str">
        <f t="shared" si="186"/>
        <v/>
      </c>
      <c r="N840" s="100">
        <f t="shared" si="187"/>
        <v>0</v>
      </c>
      <c r="O840" s="101">
        <f t="shared" si="188"/>
        <v>0</v>
      </c>
      <c r="P840" s="52">
        <f t="shared" si="189"/>
        <v>0</v>
      </c>
      <c r="Q840" s="49">
        <v>116.88487613461319</v>
      </c>
      <c r="R840">
        <v>2225</v>
      </c>
      <c r="S840" s="50">
        <f t="shared" si="185"/>
        <v>71535.307499999995</v>
      </c>
      <c r="T840" s="50">
        <f t="shared" si="190"/>
        <v>0</v>
      </c>
      <c r="U840" s="58">
        <f t="shared" si="191"/>
        <v>0</v>
      </c>
      <c r="V840" s="58">
        <f t="shared" si="192"/>
        <v>0</v>
      </c>
      <c r="W840" s="58">
        <f t="shared" si="193"/>
        <v>0</v>
      </c>
      <c r="X840" s="58">
        <f t="shared" si="194"/>
        <v>0</v>
      </c>
      <c r="Y840" s="52">
        <f t="shared" si="195"/>
        <v>0</v>
      </c>
    </row>
    <row r="841" spans="1:25" x14ac:dyDescent="0.25">
      <c r="A841" s="1218" t="s">
        <v>151</v>
      </c>
      <c r="B841" s="98">
        <v>45474</v>
      </c>
      <c r="C841" s="117" t="str">
        <f t="shared" si="182"/>
        <v>6L</v>
      </c>
      <c r="D841" s="96"/>
      <c r="E841" s="98"/>
      <c r="F841" s="98"/>
      <c r="I841" s="99">
        <f t="shared" si="183"/>
        <v>0</v>
      </c>
      <c r="L841" s="99">
        <f t="shared" si="184"/>
        <v>0</v>
      </c>
      <c r="M841" s="44" t="str">
        <f t="shared" si="186"/>
        <v/>
      </c>
      <c r="N841" s="100">
        <f t="shared" si="187"/>
        <v>0</v>
      </c>
      <c r="O841" s="101">
        <f t="shared" si="188"/>
        <v>0</v>
      </c>
      <c r="P841" s="52">
        <f t="shared" si="189"/>
        <v>0</v>
      </c>
      <c r="Q841" s="49">
        <v>116.88487613461319</v>
      </c>
      <c r="R841">
        <v>2225</v>
      </c>
      <c r="S841" s="50">
        <f t="shared" si="185"/>
        <v>71535.307499999995</v>
      </c>
      <c r="T841" s="50">
        <f t="shared" si="190"/>
        <v>0</v>
      </c>
      <c r="U841" s="58">
        <f t="shared" si="191"/>
        <v>0</v>
      </c>
      <c r="V841" s="58">
        <f t="shared" si="192"/>
        <v>0</v>
      </c>
      <c r="W841" s="58">
        <f t="shared" si="193"/>
        <v>0</v>
      </c>
      <c r="X841" s="58">
        <f t="shared" si="194"/>
        <v>0</v>
      </c>
      <c r="Y841" s="52">
        <f t="shared" si="195"/>
        <v>0</v>
      </c>
    </row>
    <row r="842" spans="1:25" x14ac:dyDescent="0.25">
      <c r="A842" s="1218" t="s">
        <v>152</v>
      </c>
      <c r="B842" s="98">
        <v>45474</v>
      </c>
      <c r="C842" s="117" t="str">
        <f t="shared" ref="C842:C905" si="197">LEFT(A842,2)</f>
        <v>6L</v>
      </c>
      <c r="D842" s="96"/>
      <c r="E842" s="98"/>
      <c r="F842" s="98"/>
      <c r="I842" s="99"/>
      <c r="L842" s="99"/>
      <c r="M842" s="44"/>
      <c r="N842" s="100"/>
      <c r="O842" s="101"/>
      <c r="P842" s="52"/>
      <c r="Q842" s="49"/>
      <c r="S842" s="50"/>
      <c r="T842" s="50"/>
      <c r="U842" s="58"/>
      <c r="V842" s="58"/>
      <c r="W842" s="58"/>
      <c r="X842" s="58"/>
      <c r="Y842" s="52"/>
    </row>
    <row r="843" spans="1:25" x14ac:dyDescent="0.25">
      <c r="A843" s="1218" t="s">
        <v>153</v>
      </c>
      <c r="B843" s="98">
        <v>45474</v>
      </c>
      <c r="C843" s="117" t="str">
        <f t="shared" si="197"/>
        <v>6L</v>
      </c>
      <c r="D843" s="96"/>
      <c r="E843" s="98"/>
      <c r="F843" s="98"/>
      <c r="I843" s="99"/>
      <c r="L843" s="99"/>
      <c r="M843" s="44"/>
      <c r="N843" s="100"/>
      <c r="O843" s="101"/>
      <c r="P843" s="52"/>
      <c r="Q843" s="49"/>
      <c r="S843" s="50"/>
      <c r="T843" s="50"/>
      <c r="U843" s="58"/>
      <c r="V843" s="58"/>
      <c r="W843" s="58"/>
      <c r="X843" s="58"/>
      <c r="Y843" s="52"/>
    </row>
    <row r="844" spans="1:25" x14ac:dyDescent="0.25">
      <c r="A844" s="1218" t="s">
        <v>154</v>
      </c>
      <c r="B844" s="98">
        <v>45474</v>
      </c>
      <c r="C844" s="117" t="str">
        <f t="shared" si="197"/>
        <v>6L</v>
      </c>
      <c r="D844" s="96"/>
      <c r="E844" s="98"/>
      <c r="F844" s="98"/>
      <c r="I844" s="99"/>
      <c r="L844" s="99"/>
      <c r="M844" s="44"/>
      <c r="N844" s="100"/>
      <c r="O844" s="101"/>
      <c r="P844" s="52"/>
      <c r="Q844" s="49"/>
      <c r="S844" s="50"/>
      <c r="T844" s="50"/>
      <c r="U844" s="58"/>
      <c r="V844" s="58"/>
      <c r="W844" s="58"/>
      <c r="X844" s="58"/>
      <c r="Y844" s="52"/>
    </row>
    <row r="845" spans="1:25" x14ac:dyDescent="0.25">
      <c r="A845" s="1218" t="s">
        <v>155</v>
      </c>
      <c r="B845" s="98">
        <v>45474</v>
      </c>
      <c r="C845" s="117" t="str">
        <f t="shared" si="197"/>
        <v>6L</v>
      </c>
      <c r="D845" s="96"/>
      <c r="E845" s="98"/>
      <c r="F845" s="98"/>
      <c r="I845" s="99">
        <f t="shared" si="183"/>
        <v>0</v>
      </c>
      <c r="L845" s="99">
        <f t="shared" si="184"/>
        <v>0</v>
      </c>
      <c r="M845" s="44" t="str">
        <f t="shared" si="186"/>
        <v/>
      </c>
      <c r="N845" s="100">
        <f t="shared" si="187"/>
        <v>0</v>
      </c>
      <c r="O845" s="101">
        <f t="shared" si="188"/>
        <v>0</v>
      </c>
      <c r="P845" s="52">
        <f t="shared" si="189"/>
        <v>0</v>
      </c>
      <c r="Q845" s="49">
        <v>116.88487613461319</v>
      </c>
      <c r="R845">
        <v>2225</v>
      </c>
      <c r="S845" s="50">
        <f t="shared" si="185"/>
        <v>71535.307499999995</v>
      </c>
      <c r="T845" s="50">
        <f t="shared" si="190"/>
        <v>0</v>
      </c>
      <c r="U845" s="58">
        <f t="shared" si="191"/>
        <v>0</v>
      </c>
      <c r="V845" s="58">
        <f t="shared" si="192"/>
        <v>0</v>
      </c>
      <c r="W845" s="58">
        <f t="shared" si="193"/>
        <v>0</v>
      </c>
      <c r="X845" s="58">
        <f t="shared" si="194"/>
        <v>0</v>
      </c>
      <c r="Y845" s="52">
        <f t="shared" si="195"/>
        <v>0</v>
      </c>
    </row>
    <row r="846" spans="1:25" x14ac:dyDescent="0.25">
      <c r="A846" s="1218" t="s">
        <v>156</v>
      </c>
      <c r="B846" s="98">
        <v>45474</v>
      </c>
      <c r="C846" s="117" t="str">
        <f t="shared" si="197"/>
        <v>6L</v>
      </c>
      <c r="D846" s="96"/>
      <c r="E846" s="98"/>
      <c r="F846" s="98"/>
      <c r="I846" s="99"/>
      <c r="L846" s="99"/>
      <c r="M846" s="44"/>
      <c r="N846" s="100"/>
      <c r="O846" s="101"/>
      <c r="P846" s="52"/>
      <c r="Q846" s="49"/>
      <c r="S846" s="50"/>
      <c r="T846" s="50"/>
      <c r="U846" s="58"/>
      <c r="V846" s="58"/>
      <c r="W846" s="58"/>
      <c r="X846" s="58"/>
      <c r="Y846" s="52"/>
    </row>
    <row r="847" spans="1:25" x14ac:dyDescent="0.25">
      <c r="A847" s="1218" t="s">
        <v>157</v>
      </c>
      <c r="B847" s="98">
        <v>45474</v>
      </c>
      <c r="C847" s="117" t="str">
        <f t="shared" si="197"/>
        <v>6L</v>
      </c>
      <c r="D847" s="96"/>
      <c r="E847" s="98"/>
      <c r="F847" s="98"/>
      <c r="I847" s="99">
        <f t="shared" si="183"/>
        <v>0</v>
      </c>
      <c r="L847" s="99">
        <f t="shared" si="184"/>
        <v>0</v>
      </c>
      <c r="M847" s="44" t="str">
        <f t="shared" si="186"/>
        <v/>
      </c>
      <c r="N847" s="100">
        <f t="shared" si="187"/>
        <v>0</v>
      </c>
      <c r="O847" s="101">
        <f t="shared" si="188"/>
        <v>0</v>
      </c>
      <c r="P847" s="52">
        <f t="shared" si="189"/>
        <v>0</v>
      </c>
      <c r="Q847" s="49">
        <v>116.88487613461319</v>
      </c>
      <c r="R847">
        <v>2225</v>
      </c>
      <c r="S847" s="50">
        <f t="shared" si="185"/>
        <v>71535.307499999995</v>
      </c>
      <c r="T847" s="50">
        <f t="shared" si="190"/>
        <v>0</v>
      </c>
      <c r="U847" s="58">
        <f t="shared" si="191"/>
        <v>0</v>
      </c>
      <c r="V847" s="58">
        <f t="shared" si="192"/>
        <v>0</v>
      </c>
      <c r="W847" s="58">
        <f t="shared" si="193"/>
        <v>0</v>
      </c>
      <c r="X847" s="58">
        <f t="shared" si="194"/>
        <v>0</v>
      </c>
      <c r="Y847" s="52">
        <f t="shared" si="195"/>
        <v>0</v>
      </c>
    </row>
    <row r="848" spans="1:25" x14ac:dyDescent="0.25">
      <c r="A848" s="1218" t="s">
        <v>158</v>
      </c>
      <c r="B848" s="98">
        <v>45474</v>
      </c>
      <c r="C848" s="117" t="str">
        <f t="shared" si="197"/>
        <v>6L</v>
      </c>
      <c r="D848" s="96"/>
      <c r="E848" s="98"/>
      <c r="F848" s="98"/>
      <c r="I848" s="99">
        <f t="shared" si="183"/>
        <v>0</v>
      </c>
      <c r="L848" s="99">
        <f t="shared" si="184"/>
        <v>0</v>
      </c>
      <c r="M848" s="44" t="str">
        <f t="shared" si="186"/>
        <v/>
      </c>
      <c r="N848" s="100">
        <f t="shared" si="187"/>
        <v>0</v>
      </c>
      <c r="O848" s="101">
        <f t="shared" si="188"/>
        <v>0</v>
      </c>
      <c r="P848" s="52">
        <f t="shared" si="189"/>
        <v>0</v>
      </c>
      <c r="Q848" s="49">
        <v>116.88487613461319</v>
      </c>
      <c r="R848">
        <v>2225</v>
      </c>
      <c r="S848" s="50">
        <f t="shared" si="185"/>
        <v>71535.307499999995</v>
      </c>
      <c r="T848" s="50">
        <f t="shared" si="190"/>
        <v>0</v>
      </c>
      <c r="U848" s="58">
        <f t="shared" si="191"/>
        <v>0</v>
      </c>
      <c r="V848" s="58">
        <f t="shared" si="192"/>
        <v>0</v>
      </c>
      <c r="W848" s="58">
        <f t="shared" si="193"/>
        <v>0</v>
      </c>
      <c r="X848" s="58">
        <f t="shared" si="194"/>
        <v>0</v>
      </c>
      <c r="Y848" s="52">
        <f t="shared" si="195"/>
        <v>0</v>
      </c>
    </row>
    <row r="849" spans="1:25" x14ac:dyDescent="0.25">
      <c r="A849" s="1218" t="s">
        <v>159</v>
      </c>
      <c r="B849" s="98">
        <v>45474</v>
      </c>
      <c r="C849" s="117" t="str">
        <f t="shared" si="197"/>
        <v>6L</v>
      </c>
      <c r="D849" s="96"/>
      <c r="E849" s="98"/>
      <c r="F849" s="98"/>
      <c r="I849" s="99">
        <f t="shared" si="183"/>
        <v>0</v>
      </c>
      <c r="L849" s="99">
        <f t="shared" si="184"/>
        <v>0</v>
      </c>
      <c r="M849" s="44" t="str">
        <f t="shared" si="186"/>
        <v/>
      </c>
      <c r="N849" s="100">
        <f t="shared" si="187"/>
        <v>0</v>
      </c>
      <c r="O849" s="101">
        <f t="shared" si="188"/>
        <v>0</v>
      </c>
      <c r="P849" s="52">
        <f t="shared" si="189"/>
        <v>0</v>
      </c>
      <c r="Q849" s="49">
        <v>116.88487613461319</v>
      </c>
      <c r="R849">
        <v>2225</v>
      </c>
      <c r="S849" s="50">
        <f t="shared" si="185"/>
        <v>71535.307499999995</v>
      </c>
      <c r="T849" s="50">
        <f t="shared" si="190"/>
        <v>0</v>
      </c>
      <c r="U849" s="58">
        <f t="shared" si="191"/>
        <v>0</v>
      </c>
      <c r="V849" s="58">
        <f t="shared" si="192"/>
        <v>0</v>
      </c>
      <c r="W849" s="58">
        <f t="shared" si="193"/>
        <v>0</v>
      </c>
      <c r="X849" s="58">
        <f t="shared" si="194"/>
        <v>0</v>
      </c>
      <c r="Y849" s="52">
        <f t="shared" si="195"/>
        <v>0</v>
      </c>
    </row>
    <row r="850" spans="1:25" x14ac:dyDescent="0.25">
      <c r="A850" s="1218" t="s">
        <v>160</v>
      </c>
      <c r="B850" s="98">
        <v>45474</v>
      </c>
      <c r="C850" s="117" t="str">
        <f t="shared" si="197"/>
        <v>6L</v>
      </c>
      <c r="D850" s="96"/>
      <c r="E850" s="98"/>
      <c r="F850" s="98"/>
      <c r="I850" s="99">
        <f t="shared" si="183"/>
        <v>0</v>
      </c>
      <c r="L850" s="99">
        <f t="shared" si="184"/>
        <v>0</v>
      </c>
      <c r="M850" s="44" t="str">
        <f t="shared" si="186"/>
        <v/>
      </c>
      <c r="N850" s="100">
        <f t="shared" si="187"/>
        <v>0</v>
      </c>
      <c r="O850" s="101">
        <f t="shared" si="188"/>
        <v>0</v>
      </c>
      <c r="P850" s="52">
        <f t="shared" si="189"/>
        <v>0</v>
      </c>
      <c r="Q850" s="49">
        <v>116.88487613461319</v>
      </c>
      <c r="R850">
        <v>2225</v>
      </c>
      <c r="S850" s="50">
        <f t="shared" si="185"/>
        <v>71535.307499999995</v>
      </c>
      <c r="T850" s="50">
        <f t="shared" si="190"/>
        <v>0</v>
      </c>
      <c r="U850" s="58">
        <f t="shared" si="191"/>
        <v>0</v>
      </c>
      <c r="V850" s="58">
        <f t="shared" si="192"/>
        <v>0</v>
      </c>
      <c r="W850" s="58">
        <f t="shared" si="193"/>
        <v>0</v>
      </c>
      <c r="X850" s="58">
        <f t="shared" si="194"/>
        <v>0</v>
      </c>
      <c r="Y850" s="52">
        <f t="shared" si="195"/>
        <v>0</v>
      </c>
    </row>
    <row r="851" spans="1:25" x14ac:dyDescent="0.25">
      <c r="A851" s="1218" t="s">
        <v>161</v>
      </c>
      <c r="B851" s="98">
        <v>45474</v>
      </c>
      <c r="C851" s="117" t="str">
        <f t="shared" si="197"/>
        <v>6L</v>
      </c>
      <c r="D851" s="96"/>
      <c r="E851" s="98"/>
      <c r="F851" s="98"/>
      <c r="I851" s="99">
        <f t="shared" si="183"/>
        <v>0</v>
      </c>
      <c r="L851" s="99">
        <f t="shared" si="184"/>
        <v>0</v>
      </c>
      <c r="M851" s="44" t="str">
        <f t="shared" si="186"/>
        <v/>
      </c>
      <c r="N851" s="100">
        <f t="shared" si="187"/>
        <v>0</v>
      </c>
      <c r="O851" s="101">
        <f t="shared" si="188"/>
        <v>0</v>
      </c>
      <c r="P851" s="52">
        <f t="shared" si="189"/>
        <v>0</v>
      </c>
      <c r="Q851" s="49">
        <v>116.88487613461319</v>
      </c>
      <c r="R851">
        <v>2225</v>
      </c>
      <c r="S851" s="50">
        <f t="shared" si="185"/>
        <v>71535.307499999995</v>
      </c>
      <c r="T851" s="50">
        <f t="shared" si="190"/>
        <v>0</v>
      </c>
      <c r="U851" s="58">
        <f t="shared" si="191"/>
        <v>0</v>
      </c>
      <c r="V851" s="58">
        <f t="shared" si="192"/>
        <v>0</v>
      </c>
      <c r="W851" s="58">
        <f t="shared" si="193"/>
        <v>0</v>
      </c>
      <c r="X851" s="58">
        <f t="shared" si="194"/>
        <v>0</v>
      </c>
      <c r="Y851" s="52">
        <f t="shared" si="195"/>
        <v>0</v>
      </c>
    </row>
    <row r="852" spans="1:25" x14ac:dyDescent="0.25">
      <c r="A852" s="1218" t="s">
        <v>162</v>
      </c>
      <c r="B852" s="98">
        <v>45474</v>
      </c>
      <c r="C852" s="117" t="str">
        <f t="shared" si="197"/>
        <v>6L</v>
      </c>
      <c r="D852" s="96"/>
      <c r="E852" s="98"/>
      <c r="F852" s="98"/>
      <c r="I852" s="99">
        <f t="shared" si="183"/>
        <v>0</v>
      </c>
      <c r="L852" s="99">
        <f t="shared" si="184"/>
        <v>0</v>
      </c>
      <c r="M852" s="44" t="str">
        <f t="shared" si="186"/>
        <v/>
      </c>
      <c r="N852" s="100">
        <f t="shared" si="187"/>
        <v>0</v>
      </c>
      <c r="O852" s="101">
        <f t="shared" si="188"/>
        <v>0</v>
      </c>
      <c r="P852" s="52">
        <f t="shared" si="189"/>
        <v>0</v>
      </c>
      <c r="Q852" s="49">
        <v>116.88487613461319</v>
      </c>
      <c r="R852">
        <v>2225</v>
      </c>
      <c r="S852" s="50">
        <f t="shared" si="185"/>
        <v>71535.307499999995</v>
      </c>
      <c r="T852" s="50">
        <f t="shared" si="190"/>
        <v>0</v>
      </c>
      <c r="U852" s="58">
        <f t="shared" si="191"/>
        <v>0</v>
      </c>
      <c r="V852" s="58">
        <f t="shared" si="192"/>
        <v>0</v>
      </c>
      <c r="W852" s="58">
        <f t="shared" si="193"/>
        <v>0</v>
      </c>
      <c r="X852" s="58">
        <f t="shared" si="194"/>
        <v>0</v>
      </c>
      <c r="Y852" s="52">
        <f t="shared" si="195"/>
        <v>0</v>
      </c>
    </row>
    <row r="853" spans="1:25" x14ac:dyDescent="0.25">
      <c r="A853" s="1218" t="s">
        <v>163</v>
      </c>
      <c r="B853" s="98">
        <v>45474</v>
      </c>
      <c r="C853" s="117" t="str">
        <f t="shared" si="197"/>
        <v>6L</v>
      </c>
      <c r="D853" s="96"/>
      <c r="E853" s="98"/>
      <c r="F853" s="98"/>
      <c r="I853" s="99">
        <f t="shared" si="183"/>
        <v>0</v>
      </c>
      <c r="L853" s="99">
        <f t="shared" si="184"/>
        <v>0</v>
      </c>
      <c r="M853" s="44" t="str">
        <f t="shared" si="186"/>
        <v/>
      </c>
      <c r="N853" s="100">
        <f t="shared" si="187"/>
        <v>0</v>
      </c>
      <c r="O853" s="101">
        <f t="shared" si="188"/>
        <v>0</v>
      </c>
      <c r="P853" s="52">
        <f t="shared" si="189"/>
        <v>0</v>
      </c>
      <c r="Q853" s="49">
        <v>116.88487613461319</v>
      </c>
      <c r="R853">
        <v>2225</v>
      </c>
      <c r="S853" s="50">
        <f t="shared" si="185"/>
        <v>71535.307499999995</v>
      </c>
      <c r="T853" s="50">
        <f t="shared" si="190"/>
        <v>0</v>
      </c>
      <c r="U853" s="58">
        <f t="shared" si="191"/>
        <v>0</v>
      </c>
      <c r="V853" s="58">
        <f t="shared" si="192"/>
        <v>0</v>
      </c>
      <c r="W853" s="58">
        <f t="shared" si="193"/>
        <v>0</v>
      </c>
      <c r="X853" s="58">
        <f t="shared" si="194"/>
        <v>0</v>
      </c>
      <c r="Y853" s="52">
        <f t="shared" si="195"/>
        <v>0</v>
      </c>
    </row>
    <row r="854" spans="1:25" x14ac:dyDescent="0.25">
      <c r="A854" s="1218" t="s">
        <v>164</v>
      </c>
      <c r="B854" s="98">
        <v>45474</v>
      </c>
      <c r="C854" s="117" t="str">
        <f t="shared" si="197"/>
        <v>6L</v>
      </c>
      <c r="D854" s="96"/>
      <c r="E854" s="98"/>
      <c r="F854" s="98"/>
      <c r="I854" s="99">
        <f t="shared" si="183"/>
        <v>0</v>
      </c>
      <c r="L854" s="99">
        <f t="shared" si="184"/>
        <v>0</v>
      </c>
      <c r="M854" s="44" t="str">
        <f t="shared" si="186"/>
        <v/>
      </c>
      <c r="N854" s="100">
        <f t="shared" si="187"/>
        <v>0</v>
      </c>
      <c r="O854" s="101">
        <f t="shared" si="188"/>
        <v>0</v>
      </c>
      <c r="P854" s="52">
        <f t="shared" si="189"/>
        <v>0</v>
      </c>
      <c r="Q854" s="49">
        <v>116.88487613461319</v>
      </c>
      <c r="R854">
        <v>2225</v>
      </c>
      <c r="S854" s="50">
        <f t="shared" si="185"/>
        <v>71535.307499999995</v>
      </c>
      <c r="T854" s="50">
        <f t="shared" si="190"/>
        <v>0</v>
      </c>
      <c r="U854" s="58">
        <f t="shared" si="191"/>
        <v>0</v>
      </c>
      <c r="V854" s="58">
        <f t="shared" si="192"/>
        <v>0</v>
      </c>
      <c r="W854" s="58">
        <f t="shared" si="193"/>
        <v>0</v>
      </c>
      <c r="X854" s="58">
        <f t="shared" si="194"/>
        <v>0</v>
      </c>
      <c r="Y854" s="52">
        <f t="shared" si="195"/>
        <v>0</v>
      </c>
    </row>
    <row r="855" spans="1:25" x14ac:dyDescent="0.25">
      <c r="A855" s="1218" t="s">
        <v>165</v>
      </c>
      <c r="B855" s="98">
        <v>45474</v>
      </c>
      <c r="C855" s="117" t="str">
        <f t="shared" si="197"/>
        <v>6L</v>
      </c>
      <c r="D855" s="96"/>
      <c r="E855" s="98"/>
      <c r="F855" s="98"/>
      <c r="I855" s="99">
        <f t="shared" si="183"/>
        <v>0</v>
      </c>
      <c r="L855" s="99">
        <f t="shared" si="184"/>
        <v>0</v>
      </c>
      <c r="M855" s="44" t="str">
        <f t="shared" si="186"/>
        <v/>
      </c>
      <c r="N855" s="100">
        <f t="shared" si="187"/>
        <v>0</v>
      </c>
      <c r="O855" s="101">
        <f t="shared" si="188"/>
        <v>0</v>
      </c>
      <c r="P855" s="52">
        <f t="shared" si="189"/>
        <v>0</v>
      </c>
      <c r="Q855" s="49">
        <v>116.88487613461319</v>
      </c>
      <c r="R855">
        <v>2225</v>
      </c>
      <c r="S855" s="50">
        <f t="shared" si="185"/>
        <v>71535.307499999995</v>
      </c>
      <c r="T855" s="50">
        <f t="shared" si="190"/>
        <v>0</v>
      </c>
      <c r="U855" s="58">
        <f t="shared" si="191"/>
        <v>0</v>
      </c>
      <c r="V855" s="58">
        <f t="shared" si="192"/>
        <v>0</v>
      </c>
      <c r="W855" s="58">
        <f t="shared" si="193"/>
        <v>0</v>
      </c>
      <c r="X855" s="58">
        <f t="shared" si="194"/>
        <v>0</v>
      </c>
      <c r="Y855" s="52">
        <f t="shared" si="195"/>
        <v>0</v>
      </c>
    </row>
    <row r="856" spans="1:25" x14ac:dyDescent="0.25">
      <c r="A856" s="1218" t="s">
        <v>166</v>
      </c>
      <c r="B856" s="98">
        <v>45474</v>
      </c>
      <c r="C856" s="117" t="str">
        <f t="shared" si="197"/>
        <v>6L</v>
      </c>
      <c r="D856" s="96"/>
      <c r="E856" s="98"/>
      <c r="F856" s="98"/>
      <c r="I856" s="99">
        <f t="shared" si="183"/>
        <v>0</v>
      </c>
      <c r="L856" s="99">
        <f t="shared" si="184"/>
        <v>0</v>
      </c>
      <c r="M856" s="44" t="str">
        <f t="shared" si="186"/>
        <v/>
      </c>
      <c r="N856" s="100">
        <f t="shared" si="187"/>
        <v>0</v>
      </c>
      <c r="O856" s="101">
        <f t="shared" si="188"/>
        <v>0</v>
      </c>
      <c r="P856" s="52">
        <f t="shared" si="189"/>
        <v>0</v>
      </c>
      <c r="Q856" s="49">
        <v>116.88487613461319</v>
      </c>
      <c r="R856">
        <v>2225</v>
      </c>
      <c r="S856" s="50">
        <f t="shared" si="185"/>
        <v>71535.307499999995</v>
      </c>
      <c r="T856" s="50">
        <f t="shared" si="190"/>
        <v>0</v>
      </c>
      <c r="U856" s="58">
        <f t="shared" si="191"/>
        <v>0</v>
      </c>
      <c r="V856" s="58">
        <f t="shared" si="192"/>
        <v>0</v>
      </c>
      <c r="W856" s="58">
        <f t="shared" si="193"/>
        <v>0</v>
      </c>
      <c r="X856" s="58">
        <f t="shared" si="194"/>
        <v>0</v>
      </c>
      <c r="Y856" s="52">
        <f t="shared" si="195"/>
        <v>0</v>
      </c>
    </row>
    <row r="857" spans="1:25" x14ac:dyDescent="0.25">
      <c r="A857" s="1218" t="s">
        <v>167</v>
      </c>
      <c r="B857" s="98">
        <v>45474</v>
      </c>
      <c r="C857" s="117" t="str">
        <f t="shared" si="197"/>
        <v>6L</v>
      </c>
      <c r="D857" s="96"/>
      <c r="E857" s="98"/>
      <c r="F857" s="98"/>
      <c r="I857" s="99">
        <f t="shared" si="183"/>
        <v>0</v>
      </c>
      <c r="L857" s="99">
        <f t="shared" si="184"/>
        <v>0</v>
      </c>
      <c r="M857" s="44" t="str">
        <f t="shared" si="186"/>
        <v/>
      </c>
      <c r="N857" s="100">
        <f t="shared" si="187"/>
        <v>0</v>
      </c>
      <c r="O857" s="101">
        <f t="shared" si="188"/>
        <v>0</v>
      </c>
      <c r="P857" s="52">
        <f t="shared" si="189"/>
        <v>0</v>
      </c>
      <c r="Q857" s="49">
        <v>116.88487613461319</v>
      </c>
      <c r="R857">
        <v>2225</v>
      </c>
      <c r="S857" s="50">
        <f t="shared" si="185"/>
        <v>71535.307499999995</v>
      </c>
      <c r="T857" s="50">
        <f t="shared" si="190"/>
        <v>0</v>
      </c>
      <c r="U857" s="58">
        <f t="shared" si="191"/>
        <v>0</v>
      </c>
      <c r="V857" s="58">
        <f t="shared" si="192"/>
        <v>0</v>
      </c>
      <c r="W857" s="58">
        <f t="shared" si="193"/>
        <v>0</v>
      </c>
      <c r="X857" s="58">
        <f t="shared" si="194"/>
        <v>0</v>
      </c>
      <c r="Y857" s="52">
        <f t="shared" si="195"/>
        <v>0</v>
      </c>
    </row>
    <row r="858" spans="1:25" x14ac:dyDescent="0.25">
      <c r="A858" s="1218" t="s">
        <v>168</v>
      </c>
      <c r="B858" s="98">
        <v>45474</v>
      </c>
      <c r="C858" s="117" t="str">
        <f t="shared" si="197"/>
        <v>6L</v>
      </c>
      <c r="D858" s="96"/>
      <c r="E858" s="98"/>
      <c r="F858" s="98"/>
      <c r="I858" s="99">
        <f t="shared" si="183"/>
        <v>0</v>
      </c>
      <c r="L858" s="99">
        <f t="shared" si="184"/>
        <v>0</v>
      </c>
      <c r="M858" s="44" t="str">
        <f t="shared" si="186"/>
        <v/>
      </c>
      <c r="N858" s="100">
        <f t="shared" si="187"/>
        <v>0</v>
      </c>
      <c r="O858" s="101">
        <f t="shared" si="188"/>
        <v>0</v>
      </c>
      <c r="P858" s="52">
        <f t="shared" si="189"/>
        <v>0</v>
      </c>
      <c r="Q858" s="49">
        <v>116.88487613461319</v>
      </c>
      <c r="R858">
        <v>2225</v>
      </c>
      <c r="S858" s="50">
        <f t="shared" si="185"/>
        <v>71535.307499999995</v>
      </c>
      <c r="T858" s="50">
        <f t="shared" si="190"/>
        <v>0</v>
      </c>
      <c r="U858" s="58">
        <f t="shared" si="191"/>
        <v>0</v>
      </c>
      <c r="V858" s="58">
        <f t="shared" si="192"/>
        <v>0</v>
      </c>
      <c r="W858" s="58">
        <f t="shared" si="193"/>
        <v>0</v>
      </c>
      <c r="X858" s="58">
        <f t="shared" si="194"/>
        <v>0</v>
      </c>
      <c r="Y858" s="52">
        <f t="shared" si="195"/>
        <v>0</v>
      </c>
    </row>
    <row r="859" spans="1:25" x14ac:dyDescent="0.25">
      <c r="A859" s="1218" t="s">
        <v>169</v>
      </c>
      <c r="B859" s="98">
        <v>45474</v>
      </c>
      <c r="C859" s="117" t="str">
        <f t="shared" si="197"/>
        <v>6L</v>
      </c>
      <c r="D859" s="96"/>
      <c r="E859" s="98"/>
      <c r="F859" s="98"/>
      <c r="I859" s="99">
        <f t="shared" si="183"/>
        <v>0</v>
      </c>
      <c r="L859" s="99">
        <f t="shared" si="184"/>
        <v>0</v>
      </c>
      <c r="M859" s="44" t="str">
        <f t="shared" si="186"/>
        <v/>
      </c>
      <c r="N859" s="100">
        <f t="shared" si="187"/>
        <v>0</v>
      </c>
      <c r="O859" s="101">
        <f t="shared" si="188"/>
        <v>0</v>
      </c>
      <c r="P859" s="52">
        <f t="shared" si="189"/>
        <v>0</v>
      </c>
      <c r="Q859" s="49">
        <v>116.88487613461319</v>
      </c>
      <c r="R859">
        <v>2225</v>
      </c>
      <c r="S859" s="50">
        <f t="shared" si="185"/>
        <v>71535.307499999995</v>
      </c>
      <c r="T859" s="50">
        <f t="shared" si="190"/>
        <v>0</v>
      </c>
      <c r="U859" s="58">
        <f t="shared" si="191"/>
        <v>0</v>
      </c>
      <c r="V859" s="58">
        <f t="shared" si="192"/>
        <v>0</v>
      </c>
      <c r="W859" s="58">
        <f t="shared" si="193"/>
        <v>0</v>
      </c>
      <c r="X859" s="58">
        <f t="shared" si="194"/>
        <v>0</v>
      </c>
      <c r="Y859" s="52">
        <f t="shared" si="195"/>
        <v>0</v>
      </c>
    </row>
    <row r="860" spans="1:25" x14ac:dyDescent="0.25">
      <c r="A860" s="1218" t="s">
        <v>170</v>
      </c>
      <c r="B860" s="98">
        <v>45474</v>
      </c>
      <c r="C860" s="117" t="str">
        <f t="shared" si="197"/>
        <v>6L</v>
      </c>
      <c r="D860" s="96"/>
      <c r="E860" s="98"/>
      <c r="F860" s="98"/>
      <c r="I860" s="99">
        <f t="shared" si="183"/>
        <v>0</v>
      </c>
      <c r="L860" s="99">
        <f t="shared" si="184"/>
        <v>0</v>
      </c>
      <c r="M860" s="44" t="str">
        <f t="shared" si="186"/>
        <v/>
      </c>
      <c r="N860" s="100">
        <f t="shared" si="187"/>
        <v>0</v>
      </c>
      <c r="O860" s="101">
        <f t="shared" si="188"/>
        <v>0</v>
      </c>
      <c r="P860" s="52">
        <f t="shared" si="189"/>
        <v>0</v>
      </c>
      <c r="Q860" s="49">
        <v>116.88487613461319</v>
      </c>
      <c r="R860">
        <v>2225</v>
      </c>
      <c r="S860" s="50">
        <f t="shared" si="185"/>
        <v>71535.307499999995</v>
      </c>
      <c r="T860" s="50">
        <f t="shared" si="190"/>
        <v>0</v>
      </c>
      <c r="U860" s="58">
        <f t="shared" si="191"/>
        <v>0</v>
      </c>
      <c r="V860" s="58">
        <f t="shared" si="192"/>
        <v>0</v>
      </c>
      <c r="W860" s="58">
        <f t="shared" si="193"/>
        <v>0</v>
      </c>
      <c r="X860" s="58">
        <f t="shared" si="194"/>
        <v>0</v>
      </c>
      <c r="Y860" s="52">
        <f t="shared" si="195"/>
        <v>0</v>
      </c>
    </row>
    <row r="861" spans="1:25" x14ac:dyDescent="0.25">
      <c r="A861" s="1218" t="s">
        <v>171</v>
      </c>
      <c r="B861" s="98">
        <v>45474</v>
      </c>
      <c r="C861" s="117" t="str">
        <f t="shared" si="197"/>
        <v>6L</v>
      </c>
      <c r="D861" s="96"/>
      <c r="E861" s="98"/>
      <c r="F861" s="98"/>
      <c r="I861" s="99">
        <f t="shared" si="183"/>
        <v>0</v>
      </c>
      <c r="L861" s="99">
        <f t="shared" si="184"/>
        <v>0</v>
      </c>
      <c r="M861" s="44" t="str">
        <f t="shared" si="186"/>
        <v/>
      </c>
      <c r="N861" s="100">
        <f t="shared" si="187"/>
        <v>0</v>
      </c>
      <c r="O861" s="101">
        <f t="shared" si="188"/>
        <v>0</v>
      </c>
      <c r="P861" s="52">
        <f t="shared" si="189"/>
        <v>0</v>
      </c>
      <c r="Q861" s="49">
        <v>116.88487613461319</v>
      </c>
      <c r="R861">
        <v>2225</v>
      </c>
      <c r="S861" s="50">
        <f t="shared" si="185"/>
        <v>71535.307499999995</v>
      </c>
      <c r="T861" s="50">
        <f t="shared" si="190"/>
        <v>0</v>
      </c>
      <c r="U861" s="58">
        <f t="shared" si="191"/>
        <v>0</v>
      </c>
      <c r="V861" s="58">
        <f t="shared" si="192"/>
        <v>0</v>
      </c>
      <c r="W861" s="58">
        <f t="shared" si="193"/>
        <v>0</v>
      </c>
      <c r="X861" s="58">
        <f t="shared" si="194"/>
        <v>0</v>
      </c>
      <c r="Y861" s="52">
        <f t="shared" si="195"/>
        <v>0</v>
      </c>
    </row>
    <row r="862" spans="1:25" x14ac:dyDescent="0.25">
      <c r="A862" s="1218" t="s">
        <v>172</v>
      </c>
      <c r="B862" s="98">
        <v>45474</v>
      </c>
      <c r="C862" s="117" t="str">
        <f t="shared" si="197"/>
        <v>6L</v>
      </c>
      <c r="D862" s="96"/>
      <c r="E862" s="98"/>
      <c r="F862" s="98"/>
      <c r="I862" s="99">
        <f t="shared" si="183"/>
        <v>0</v>
      </c>
      <c r="L862" s="99">
        <f t="shared" si="184"/>
        <v>0</v>
      </c>
      <c r="M862" s="44" t="str">
        <f t="shared" si="186"/>
        <v/>
      </c>
      <c r="N862" s="100">
        <f t="shared" si="187"/>
        <v>0</v>
      </c>
      <c r="O862" s="101">
        <f t="shared" si="188"/>
        <v>0</v>
      </c>
      <c r="P862" s="52">
        <f t="shared" si="189"/>
        <v>0</v>
      </c>
      <c r="Q862" s="49">
        <v>116.88487613461319</v>
      </c>
      <c r="R862">
        <v>2225</v>
      </c>
      <c r="S862" s="50">
        <f t="shared" si="185"/>
        <v>71535.307499999995</v>
      </c>
      <c r="T862" s="50">
        <f t="shared" si="190"/>
        <v>0</v>
      </c>
      <c r="U862" s="58">
        <f t="shared" si="191"/>
        <v>0</v>
      </c>
      <c r="V862" s="58">
        <f t="shared" si="192"/>
        <v>0</v>
      </c>
      <c r="W862" s="58">
        <f t="shared" si="193"/>
        <v>0</v>
      </c>
      <c r="X862" s="58">
        <f t="shared" si="194"/>
        <v>0</v>
      </c>
      <c r="Y862" s="52">
        <f t="shared" si="195"/>
        <v>0</v>
      </c>
    </row>
    <row r="863" spans="1:25" x14ac:dyDescent="0.25">
      <c r="A863" s="1218" t="s">
        <v>173</v>
      </c>
      <c r="B863" s="98">
        <v>45474</v>
      </c>
      <c r="C863" s="117" t="str">
        <f t="shared" si="197"/>
        <v>6L</v>
      </c>
      <c r="D863" s="96"/>
      <c r="E863" s="98"/>
      <c r="F863" s="98"/>
      <c r="I863" s="99">
        <f t="shared" si="183"/>
        <v>0</v>
      </c>
      <c r="L863" s="99">
        <f t="shared" si="184"/>
        <v>0</v>
      </c>
      <c r="M863" s="44" t="str">
        <f t="shared" si="186"/>
        <v/>
      </c>
      <c r="N863" s="100">
        <f t="shared" si="187"/>
        <v>0</v>
      </c>
      <c r="O863" s="101">
        <f t="shared" si="188"/>
        <v>0</v>
      </c>
      <c r="P863" s="52">
        <f t="shared" si="189"/>
        <v>0</v>
      </c>
      <c r="Q863" s="49">
        <v>116.88487613461319</v>
      </c>
      <c r="R863">
        <v>2225</v>
      </c>
      <c r="S863" s="50">
        <f t="shared" si="185"/>
        <v>71535.307499999995</v>
      </c>
      <c r="T863" s="50">
        <f t="shared" si="190"/>
        <v>0</v>
      </c>
      <c r="U863" s="58">
        <f t="shared" si="191"/>
        <v>0</v>
      </c>
      <c r="V863" s="58">
        <f t="shared" si="192"/>
        <v>0</v>
      </c>
      <c r="W863" s="58">
        <f t="shared" si="193"/>
        <v>0</v>
      </c>
      <c r="X863" s="58">
        <f t="shared" si="194"/>
        <v>0</v>
      </c>
      <c r="Y863" s="52">
        <f t="shared" si="195"/>
        <v>0</v>
      </c>
    </row>
    <row r="864" spans="1:25" x14ac:dyDescent="0.25">
      <c r="A864" s="1218" t="s">
        <v>174</v>
      </c>
      <c r="B864" s="98">
        <v>45474</v>
      </c>
      <c r="C864" s="117" t="str">
        <f t="shared" si="197"/>
        <v>6L</v>
      </c>
      <c r="D864" s="96"/>
      <c r="E864" s="98"/>
      <c r="F864" s="98"/>
      <c r="I864" s="99">
        <f t="shared" si="183"/>
        <v>0</v>
      </c>
      <c r="L864" s="99">
        <f t="shared" si="184"/>
        <v>0</v>
      </c>
      <c r="M864" s="44" t="str">
        <f t="shared" si="186"/>
        <v/>
      </c>
      <c r="N864" s="100">
        <f t="shared" si="187"/>
        <v>0</v>
      </c>
      <c r="O864" s="101">
        <f t="shared" si="188"/>
        <v>0</v>
      </c>
      <c r="P864" s="52">
        <f t="shared" si="189"/>
        <v>0</v>
      </c>
      <c r="Q864" s="49">
        <v>116.88487613461319</v>
      </c>
      <c r="R864">
        <v>2225</v>
      </c>
      <c r="S864" s="50">
        <f t="shared" si="185"/>
        <v>71535.307499999995</v>
      </c>
      <c r="T864" s="50">
        <f t="shared" si="190"/>
        <v>0</v>
      </c>
      <c r="U864" s="58">
        <f t="shared" si="191"/>
        <v>0</v>
      </c>
      <c r="V864" s="58">
        <f t="shared" si="192"/>
        <v>0</v>
      </c>
      <c r="W864" s="58">
        <f t="shared" si="193"/>
        <v>0</v>
      </c>
      <c r="X864" s="58">
        <f t="shared" si="194"/>
        <v>0</v>
      </c>
      <c r="Y864" s="52">
        <f t="shared" si="195"/>
        <v>0</v>
      </c>
    </row>
    <row r="865" spans="1:25" x14ac:dyDescent="0.25">
      <c r="A865" s="1218" t="s">
        <v>175</v>
      </c>
      <c r="B865" s="98">
        <v>45474</v>
      </c>
      <c r="C865" s="117" t="str">
        <f t="shared" si="197"/>
        <v>6L</v>
      </c>
      <c r="D865" s="96"/>
      <c r="E865" s="98"/>
      <c r="F865" s="98"/>
      <c r="I865" s="99">
        <f t="shared" si="183"/>
        <v>0</v>
      </c>
      <c r="L865" s="99">
        <f t="shared" si="184"/>
        <v>0</v>
      </c>
      <c r="M865" s="44" t="str">
        <f t="shared" si="186"/>
        <v/>
      </c>
      <c r="N865" s="100">
        <f t="shared" si="187"/>
        <v>0</v>
      </c>
      <c r="O865" s="101">
        <f t="shared" si="188"/>
        <v>0</v>
      </c>
      <c r="P865" s="52">
        <f t="shared" si="189"/>
        <v>0</v>
      </c>
      <c r="Q865" s="49">
        <v>116.88487613461319</v>
      </c>
      <c r="R865">
        <v>2225</v>
      </c>
      <c r="S865" s="50">
        <f t="shared" si="185"/>
        <v>71535.307499999995</v>
      </c>
      <c r="T865" s="50">
        <f t="shared" si="190"/>
        <v>0</v>
      </c>
      <c r="U865" s="58">
        <f t="shared" si="191"/>
        <v>0</v>
      </c>
      <c r="V865" s="58">
        <f t="shared" si="192"/>
        <v>0</v>
      </c>
      <c r="W865" s="58">
        <f t="shared" si="193"/>
        <v>0</v>
      </c>
      <c r="X865" s="58">
        <f t="shared" si="194"/>
        <v>0</v>
      </c>
      <c r="Y865" s="52">
        <f t="shared" si="195"/>
        <v>0</v>
      </c>
    </row>
    <row r="866" spans="1:25" x14ac:dyDescent="0.25">
      <c r="A866" s="1218" t="s">
        <v>176</v>
      </c>
      <c r="B866" s="98">
        <v>45474</v>
      </c>
      <c r="C866" s="117" t="str">
        <f t="shared" si="197"/>
        <v>6L</v>
      </c>
      <c r="D866" s="96"/>
      <c r="E866" s="98"/>
      <c r="F866" s="98"/>
      <c r="I866" s="99">
        <f t="shared" si="183"/>
        <v>0</v>
      </c>
      <c r="L866" s="99">
        <f t="shared" si="184"/>
        <v>0</v>
      </c>
      <c r="M866" s="44" t="str">
        <f t="shared" si="186"/>
        <v/>
      </c>
      <c r="N866" s="100">
        <f t="shared" si="187"/>
        <v>0</v>
      </c>
      <c r="O866" s="101">
        <f t="shared" si="188"/>
        <v>0</v>
      </c>
      <c r="P866" s="52">
        <f t="shared" si="189"/>
        <v>0</v>
      </c>
      <c r="Q866" s="49">
        <v>116.88487613461319</v>
      </c>
      <c r="R866">
        <v>2225</v>
      </c>
      <c r="S866" s="50">
        <f t="shared" si="185"/>
        <v>71535.307499999995</v>
      </c>
      <c r="T866" s="50">
        <f t="shared" si="190"/>
        <v>0</v>
      </c>
      <c r="U866" s="58">
        <f t="shared" si="191"/>
        <v>0</v>
      </c>
      <c r="V866" s="58">
        <f t="shared" si="192"/>
        <v>0</v>
      </c>
      <c r="W866" s="58">
        <f t="shared" si="193"/>
        <v>0</v>
      </c>
      <c r="X866" s="58">
        <f t="shared" si="194"/>
        <v>0</v>
      </c>
      <c r="Y866" s="52">
        <f t="shared" si="195"/>
        <v>0</v>
      </c>
    </row>
    <row r="867" spans="1:25" x14ac:dyDescent="0.25">
      <c r="A867" s="1218" t="s">
        <v>177</v>
      </c>
      <c r="B867" s="98">
        <v>45474</v>
      </c>
      <c r="C867" s="117" t="str">
        <f t="shared" si="197"/>
        <v>6L</v>
      </c>
      <c r="D867" s="96"/>
      <c r="E867" s="98"/>
      <c r="F867" s="98"/>
      <c r="I867" s="99">
        <f t="shared" si="183"/>
        <v>0</v>
      </c>
      <c r="L867" s="99">
        <f t="shared" si="184"/>
        <v>0</v>
      </c>
      <c r="M867" s="44" t="str">
        <f t="shared" si="186"/>
        <v/>
      </c>
      <c r="N867" s="100">
        <f t="shared" si="187"/>
        <v>0</v>
      </c>
      <c r="O867" s="101">
        <f t="shared" si="188"/>
        <v>0</v>
      </c>
      <c r="P867" s="52">
        <f t="shared" si="189"/>
        <v>0</v>
      </c>
      <c r="Q867" s="49">
        <v>116.88487613461319</v>
      </c>
      <c r="R867">
        <v>2225</v>
      </c>
      <c r="S867" s="50">
        <f t="shared" si="185"/>
        <v>71535.307499999995</v>
      </c>
      <c r="T867" s="50">
        <f t="shared" si="190"/>
        <v>0</v>
      </c>
      <c r="U867" s="58">
        <f t="shared" si="191"/>
        <v>0</v>
      </c>
      <c r="V867" s="58">
        <f t="shared" si="192"/>
        <v>0</v>
      </c>
      <c r="W867" s="58">
        <f t="shared" si="193"/>
        <v>0</v>
      </c>
      <c r="X867" s="58">
        <f t="shared" si="194"/>
        <v>0</v>
      </c>
      <c r="Y867" s="52">
        <f t="shared" si="195"/>
        <v>0</v>
      </c>
    </row>
    <row r="868" spans="1:25" x14ac:dyDescent="0.25">
      <c r="A868" s="1218" t="s">
        <v>178</v>
      </c>
      <c r="B868" s="98">
        <v>45474</v>
      </c>
      <c r="C868" s="117" t="str">
        <f t="shared" si="197"/>
        <v>7L</v>
      </c>
      <c r="D868" s="96"/>
      <c r="I868" s="99">
        <f t="shared" si="183"/>
        <v>0</v>
      </c>
      <c r="L868" s="99">
        <f t="shared" si="184"/>
        <v>0</v>
      </c>
      <c r="M868" s="44" t="str">
        <f t="shared" si="186"/>
        <v/>
      </c>
      <c r="N868" s="100">
        <f t="shared" si="187"/>
        <v>0</v>
      </c>
      <c r="O868" s="101">
        <f t="shared" si="188"/>
        <v>0</v>
      </c>
      <c r="P868" s="52">
        <f t="shared" si="189"/>
        <v>0</v>
      </c>
      <c r="Q868" s="49">
        <v>116.88487613461319</v>
      </c>
      <c r="R868">
        <v>2225</v>
      </c>
      <c r="S868" s="50">
        <f t="shared" si="185"/>
        <v>71535.307499999995</v>
      </c>
      <c r="T868" s="50">
        <f t="shared" si="190"/>
        <v>0</v>
      </c>
      <c r="U868" s="58">
        <f t="shared" si="191"/>
        <v>0</v>
      </c>
      <c r="V868" s="58">
        <f t="shared" si="192"/>
        <v>0</v>
      </c>
      <c r="W868" s="58">
        <f t="shared" si="193"/>
        <v>0</v>
      </c>
      <c r="X868" s="58">
        <f t="shared" si="194"/>
        <v>0</v>
      </c>
      <c r="Y868" s="52">
        <f t="shared" si="195"/>
        <v>0</v>
      </c>
    </row>
    <row r="869" spans="1:25" x14ac:dyDescent="0.25">
      <c r="A869" s="1218" t="s">
        <v>179</v>
      </c>
      <c r="B869" s="98">
        <v>45474</v>
      </c>
      <c r="C869" s="117" t="str">
        <f t="shared" si="197"/>
        <v>7L</v>
      </c>
      <c r="D869" s="96"/>
      <c r="I869" s="99">
        <f t="shared" ref="I869:I932" si="198">IFERROR(G869*H869/1000,"")</f>
        <v>0</v>
      </c>
      <c r="L869" s="99">
        <f t="shared" ref="L869:L932" si="199">IFERROR(J869*K869/1000,"")</f>
        <v>0</v>
      </c>
      <c r="M869" s="44" t="str">
        <f t="shared" si="186"/>
        <v/>
      </c>
      <c r="N869" s="100">
        <f t="shared" si="187"/>
        <v>0</v>
      </c>
      <c r="O869" s="101">
        <f t="shared" si="188"/>
        <v>0</v>
      </c>
      <c r="P869" s="52">
        <f t="shared" si="189"/>
        <v>0</v>
      </c>
      <c r="Q869" s="49">
        <v>116.88487613461319</v>
      </c>
      <c r="R869">
        <v>2225</v>
      </c>
      <c r="S869" s="50">
        <f t="shared" ref="S869:S932" si="200">R869*32.1507</f>
        <v>71535.307499999995</v>
      </c>
      <c r="T869" s="50">
        <f t="shared" si="190"/>
        <v>0</v>
      </c>
      <c r="U869" s="58">
        <f t="shared" si="191"/>
        <v>0</v>
      </c>
      <c r="V869" s="58">
        <f t="shared" si="192"/>
        <v>0</v>
      </c>
      <c r="W869" s="58">
        <f t="shared" si="193"/>
        <v>0</v>
      </c>
      <c r="X869" s="58">
        <f t="shared" si="194"/>
        <v>0</v>
      </c>
      <c r="Y869" s="52">
        <f t="shared" si="195"/>
        <v>0</v>
      </c>
    </row>
    <row r="870" spans="1:25" x14ac:dyDescent="0.25">
      <c r="A870" s="1218" t="s">
        <v>180</v>
      </c>
      <c r="B870" s="98">
        <v>45474</v>
      </c>
      <c r="C870" s="117" t="str">
        <f t="shared" si="197"/>
        <v>7L</v>
      </c>
      <c r="D870" s="96"/>
      <c r="I870" s="99">
        <f t="shared" si="198"/>
        <v>0</v>
      </c>
      <c r="L870" s="99">
        <f t="shared" si="199"/>
        <v>0</v>
      </c>
      <c r="M870" s="44" t="str">
        <f t="shared" si="186"/>
        <v/>
      </c>
      <c r="N870" s="100">
        <f t="shared" si="187"/>
        <v>0</v>
      </c>
      <c r="O870" s="101">
        <f t="shared" si="188"/>
        <v>0</v>
      </c>
      <c r="P870" s="52">
        <f t="shared" si="189"/>
        <v>0</v>
      </c>
      <c r="Q870" s="49">
        <v>116.88487613461319</v>
      </c>
      <c r="R870">
        <v>2225</v>
      </c>
      <c r="S870" s="50">
        <f t="shared" si="200"/>
        <v>71535.307499999995</v>
      </c>
      <c r="T870" s="50">
        <f t="shared" si="190"/>
        <v>0</v>
      </c>
      <c r="U870" s="58">
        <f t="shared" si="191"/>
        <v>0</v>
      </c>
      <c r="V870" s="58">
        <f t="shared" si="192"/>
        <v>0</v>
      </c>
      <c r="W870" s="58">
        <f t="shared" si="193"/>
        <v>0</v>
      </c>
      <c r="X870" s="58">
        <f t="shared" si="194"/>
        <v>0</v>
      </c>
      <c r="Y870" s="52">
        <f t="shared" si="195"/>
        <v>0</v>
      </c>
    </row>
    <row r="871" spans="1:25" x14ac:dyDescent="0.25">
      <c r="A871" s="1218" t="s">
        <v>181</v>
      </c>
      <c r="B871" s="98">
        <v>45474</v>
      </c>
      <c r="C871" s="117" t="str">
        <f t="shared" si="197"/>
        <v>7L</v>
      </c>
      <c r="D871" s="96"/>
      <c r="I871" s="99">
        <f t="shared" si="198"/>
        <v>0</v>
      </c>
      <c r="L871" s="99">
        <f t="shared" si="199"/>
        <v>0</v>
      </c>
      <c r="M871" s="44" t="str">
        <f t="shared" ref="M871:M934" si="201">IFERROR((L871-I871)/I871,"")</f>
        <v/>
      </c>
      <c r="N871" s="100">
        <f t="shared" ref="N871:N934" si="202">J871-G871</f>
        <v>0</v>
      </c>
      <c r="O871" s="101">
        <f t="shared" ref="O871:O934" si="203">L871-I871</f>
        <v>0</v>
      </c>
      <c r="P871" s="52">
        <f t="shared" ref="P871:P934" si="204">U871-W871</f>
        <v>0</v>
      </c>
      <c r="Q871" s="49">
        <v>116.88487613461319</v>
      </c>
      <c r="R871">
        <v>2225</v>
      </c>
      <c r="S871" s="50">
        <f t="shared" si="200"/>
        <v>71535.307499999995</v>
      </c>
      <c r="T871" s="50">
        <f t="shared" ref="T871:T934" si="205">IFERROR(S871*I871,"")</f>
        <v>0</v>
      </c>
      <c r="U871" s="58">
        <f t="shared" ref="U871:U934" si="206">IFERROR(S871*L871,"")</f>
        <v>0</v>
      </c>
      <c r="V871" s="58">
        <f t="shared" ref="V871:V934" si="207">IFERROR(Q871*G871,"")</f>
        <v>0</v>
      </c>
      <c r="W871" s="58">
        <f t="shared" ref="W871:W934" si="208">IFERROR(Q871*J871,"")</f>
        <v>0</v>
      </c>
      <c r="X871" s="58">
        <f t="shared" ref="X871:X934" si="209">T871-V871</f>
        <v>0</v>
      </c>
      <c r="Y871" s="52">
        <f t="shared" ref="Y871:Y934" si="210">U871-W871</f>
        <v>0</v>
      </c>
    </row>
    <row r="872" spans="1:25" x14ac:dyDescent="0.25">
      <c r="A872" s="1218" t="s">
        <v>182</v>
      </c>
      <c r="B872" s="98">
        <v>45474</v>
      </c>
      <c r="C872" s="117" t="str">
        <f t="shared" si="197"/>
        <v>7L</v>
      </c>
      <c r="D872" s="96"/>
      <c r="I872" s="99">
        <f t="shared" si="198"/>
        <v>0</v>
      </c>
      <c r="L872" s="99">
        <f t="shared" si="199"/>
        <v>0</v>
      </c>
      <c r="M872" s="44" t="str">
        <f t="shared" si="201"/>
        <v/>
      </c>
      <c r="N872" s="100">
        <f t="shared" si="202"/>
        <v>0</v>
      </c>
      <c r="O872" s="101">
        <f t="shared" si="203"/>
        <v>0</v>
      </c>
      <c r="P872" s="52">
        <f t="shared" si="204"/>
        <v>0</v>
      </c>
      <c r="Q872" s="49">
        <v>116.88487613461319</v>
      </c>
      <c r="R872">
        <v>2225</v>
      </c>
      <c r="S872" s="50">
        <f t="shared" si="200"/>
        <v>71535.307499999995</v>
      </c>
      <c r="T872" s="50">
        <f t="shared" si="205"/>
        <v>0</v>
      </c>
      <c r="U872" s="58">
        <f t="shared" si="206"/>
        <v>0</v>
      </c>
      <c r="V872" s="58">
        <f t="shared" si="207"/>
        <v>0</v>
      </c>
      <c r="W872" s="58">
        <f t="shared" si="208"/>
        <v>0</v>
      </c>
      <c r="X872" s="58">
        <f t="shared" si="209"/>
        <v>0</v>
      </c>
      <c r="Y872" s="52">
        <f t="shared" si="210"/>
        <v>0</v>
      </c>
    </row>
    <row r="873" spans="1:25" x14ac:dyDescent="0.25">
      <c r="A873" s="1218" t="s">
        <v>183</v>
      </c>
      <c r="B873" s="98">
        <v>45474</v>
      </c>
      <c r="C873" s="117" t="str">
        <f t="shared" si="197"/>
        <v>7L</v>
      </c>
      <c r="D873" s="96"/>
      <c r="I873" s="99">
        <f t="shared" si="198"/>
        <v>0</v>
      </c>
      <c r="L873" s="99">
        <f t="shared" si="199"/>
        <v>0</v>
      </c>
      <c r="M873" s="44" t="str">
        <f t="shared" si="201"/>
        <v/>
      </c>
      <c r="N873" s="100">
        <f t="shared" si="202"/>
        <v>0</v>
      </c>
      <c r="O873" s="101">
        <f t="shared" si="203"/>
        <v>0</v>
      </c>
      <c r="P873" s="52">
        <f t="shared" si="204"/>
        <v>0</v>
      </c>
      <c r="Q873" s="49">
        <v>116.88487613461319</v>
      </c>
      <c r="R873">
        <v>2225</v>
      </c>
      <c r="S873" s="50">
        <f t="shared" si="200"/>
        <v>71535.307499999995</v>
      </c>
      <c r="T873" s="50">
        <f t="shared" si="205"/>
        <v>0</v>
      </c>
      <c r="U873" s="58">
        <f t="shared" si="206"/>
        <v>0</v>
      </c>
      <c r="V873" s="58">
        <f t="shared" si="207"/>
        <v>0</v>
      </c>
      <c r="W873" s="58">
        <f t="shared" si="208"/>
        <v>0</v>
      </c>
      <c r="X873" s="58">
        <f t="shared" si="209"/>
        <v>0</v>
      </c>
      <c r="Y873" s="52">
        <f t="shared" si="210"/>
        <v>0</v>
      </c>
    </row>
    <row r="874" spans="1:25" x14ac:dyDescent="0.25">
      <c r="A874" s="1218" t="s">
        <v>184</v>
      </c>
      <c r="B874" s="98">
        <v>45474</v>
      </c>
      <c r="C874" s="117" t="str">
        <f t="shared" si="197"/>
        <v>7L</v>
      </c>
      <c r="D874" s="96"/>
      <c r="I874" s="99">
        <f t="shared" si="198"/>
        <v>0</v>
      </c>
      <c r="L874" s="99">
        <f t="shared" si="199"/>
        <v>0</v>
      </c>
      <c r="M874" s="44" t="str">
        <f t="shared" si="201"/>
        <v/>
      </c>
      <c r="N874" s="100">
        <f t="shared" si="202"/>
        <v>0</v>
      </c>
      <c r="O874" s="101">
        <f t="shared" si="203"/>
        <v>0</v>
      </c>
      <c r="P874" s="52">
        <f t="shared" si="204"/>
        <v>0</v>
      </c>
      <c r="Q874" s="49">
        <v>116.88487613461319</v>
      </c>
      <c r="R874">
        <v>2225</v>
      </c>
      <c r="S874" s="50">
        <f t="shared" si="200"/>
        <v>71535.307499999995</v>
      </c>
      <c r="T874" s="50">
        <f t="shared" si="205"/>
        <v>0</v>
      </c>
      <c r="U874" s="58">
        <f t="shared" si="206"/>
        <v>0</v>
      </c>
      <c r="V874" s="58">
        <f t="shared" si="207"/>
        <v>0</v>
      </c>
      <c r="W874" s="58">
        <f t="shared" si="208"/>
        <v>0</v>
      </c>
      <c r="X874" s="58">
        <f t="shared" si="209"/>
        <v>0</v>
      </c>
      <c r="Y874" s="52">
        <f t="shared" si="210"/>
        <v>0</v>
      </c>
    </row>
    <row r="875" spans="1:25" x14ac:dyDescent="0.25">
      <c r="A875" s="1218" t="s">
        <v>185</v>
      </c>
      <c r="B875" s="98">
        <v>45474</v>
      </c>
      <c r="C875" s="117" t="str">
        <f t="shared" si="197"/>
        <v>7L</v>
      </c>
      <c r="D875" s="96"/>
      <c r="I875" s="99">
        <f t="shared" si="198"/>
        <v>0</v>
      </c>
      <c r="L875" s="99">
        <f t="shared" si="199"/>
        <v>0</v>
      </c>
      <c r="M875" s="44" t="str">
        <f t="shared" si="201"/>
        <v/>
      </c>
      <c r="N875" s="100">
        <f t="shared" si="202"/>
        <v>0</v>
      </c>
      <c r="O875" s="101">
        <f t="shared" si="203"/>
        <v>0</v>
      </c>
      <c r="P875" s="52">
        <f t="shared" si="204"/>
        <v>0</v>
      </c>
      <c r="Q875" s="49">
        <v>116.88487613461319</v>
      </c>
      <c r="R875">
        <v>2225</v>
      </c>
      <c r="S875" s="50">
        <f t="shared" si="200"/>
        <v>71535.307499999995</v>
      </c>
      <c r="T875" s="50">
        <f t="shared" si="205"/>
        <v>0</v>
      </c>
      <c r="U875" s="58">
        <f t="shared" si="206"/>
        <v>0</v>
      </c>
      <c r="V875" s="58">
        <f t="shared" si="207"/>
        <v>0</v>
      </c>
      <c r="W875" s="58">
        <f t="shared" si="208"/>
        <v>0</v>
      </c>
      <c r="X875" s="58">
        <f t="shared" si="209"/>
        <v>0</v>
      </c>
      <c r="Y875" s="52">
        <f t="shared" si="210"/>
        <v>0</v>
      </c>
    </row>
    <row r="876" spans="1:25" x14ac:dyDescent="0.25">
      <c r="A876" s="1218" t="s">
        <v>186</v>
      </c>
      <c r="B876" s="98">
        <v>45474</v>
      </c>
      <c r="C876" s="117" t="str">
        <f t="shared" si="197"/>
        <v>7L</v>
      </c>
      <c r="D876" s="96"/>
      <c r="I876" s="99">
        <f t="shared" si="198"/>
        <v>0</v>
      </c>
      <c r="L876" s="99">
        <f t="shared" si="199"/>
        <v>0</v>
      </c>
      <c r="M876" s="44" t="str">
        <f t="shared" si="201"/>
        <v/>
      </c>
      <c r="N876" s="100">
        <f t="shared" si="202"/>
        <v>0</v>
      </c>
      <c r="O876" s="101">
        <f t="shared" si="203"/>
        <v>0</v>
      </c>
      <c r="P876" s="52">
        <f t="shared" si="204"/>
        <v>0</v>
      </c>
      <c r="Q876" s="49">
        <v>116.88487613461319</v>
      </c>
      <c r="R876">
        <v>2225</v>
      </c>
      <c r="S876" s="50">
        <f t="shared" si="200"/>
        <v>71535.307499999995</v>
      </c>
      <c r="T876" s="50">
        <f t="shared" si="205"/>
        <v>0</v>
      </c>
      <c r="U876" s="58">
        <f t="shared" si="206"/>
        <v>0</v>
      </c>
      <c r="V876" s="58">
        <f t="shared" si="207"/>
        <v>0</v>
      </c>
      <c r="W876" s="58">
        <f t="shared" si="208"/>
        <v>0</v>
      </c>
      <c r="X876" s="58">
        <f t="shared" si="209"/>
        <v>0</v>
      </c>
      <c r="Y876" s="52">
        <f t="shared" si="210"/>
        <v>0</v>
      </c>
    </row>
    <row r="877" spans="1:25" x14ac:dyDescent="0.25">
      <c r="A877" s="1218" t="s">
        <v>187</v>
      </c>
      <c r="B877" s="98">
        <v>45474</v>
      </c>
      <c r="C877" s="117" t="str">
        <f t="shared" si="197"/>
        <v>7L</v>
      </c>
      <c r="D877" s="96"/>
      <c r="I877" s="99">
        <f t="shared" si="198"/>
        <v>0</v>
      </c>
      <c r="L877" s="99">
        <f t="shared" si="199"/>
        <v>0</v>
      </c>
      <c r="M877" s="44" t="str">
        <f t="shared" si="201"/>
        <v/>
      </c>
      <c r="N877" s="100">
        <f t="shared" si="202"/>
        <v>0</v>
      </c>
      <c r="O877" s="101">
        <f t="shared" si="203"/>
        <v>0</v>
      </c>
      <c r="P877" s="52">
        <f t="shared" si="204"/>
        <v>0</v>
      </c>
      <c r="Q877" s="49">
        <v>116.88487613461319</v>
      </c>
      <c r="R877">
        <v>2225</v>
      </c>
      <c r="S877" s="50">
        <f t="shared" si="200"/>
        <v>71535.307499999995</v>
      </c>
      <c r="T877" s="50">
        <f t="shared" si="205"/>
        <v>0</v>
      </c>
      <c r="U877" s="58">
        <f t="shared" si="206"/>
        <v>0</v>
      </c>
      <c r="V877" s="58">
        <f t="shared" si="207"/>
        <v>0</v>
      </c>
      <c r="W877" s="58">
        <f t="shared" si="208"/>
        <v>0</v>
      </c>
      <c r="X877" s="58">
        <f t="shared" si="209"/>
        <v>0</v>
      </c>
      <c r="Y877" s="52">
        <f t="shared" si="210"/>
        <v>0</v>
      </c>
    </row>
    <row r="878" spans="1:25" x14ac:dyDescent="0.25">
      <c r="A878" s="1218" t="s">
        <v>188</v>
      </c>
      <c r="B878" s="98">
        <v>45474</v>
      </c>
      <c r="C878" s="117" t="str">
        <f t="shared" si="197"/>
        <v>7L</v>
      </c>
      <c r="D878" s="96"/>
      <c r="I878" s="99">
        <f t="shared" si="198"/>
        <v>0</v>
      </c>
      <c r="L878" s="99">
        <f t="shared" si="199"/>
        <v>0</v>
      </c>
      <c r="M878" s="44" t="str">
        <f t="shared" si="201"/>
        <v/>
      </c>
      <c r="N878" s="100">
        <f t="shared" si="202"/>
        <v>0</v>
      </c>
      <c r="O878" s="101">
        <f t="shared" si="203"/>
        <v>0</v>
      </c>
      <c r="P878" s="52">
        <f t="shared" si="204"/>
        <v>0</v>
      </c>
      <c r="Q878" s="49">
        <v>116.88487613461319</v>
      </c>
      <c r="R878">
        <v>2225</v>
      </c>
      <c r="S878" s="50">
        <f t="shared" si="200"/>
        <v>71535.307499999995</v>
      </c>
      <c r="T878" s="50">
        <f t="shared" si="205"/>
        <v>0</v>
      </c>
      <c r="U878" s="58">
        <f t="shared" si="206"/>
        <v>0</v>
      </c>
      <c r="V878" s="58">
        <f t="shared" si="207"/>
        <v>0</v>
      </c>
      <c r="W878" s="58">
        <f t="shared" si="208"/>
        <v>0</v>
      </c>
      <c r="X878" s="58">
        <f t="shared" si="209"/>
        <v>0</v>
      </c>
      <c r="Y878" s="52">
        <f t="shared" si="210"/>
        <v>0</v>
      </c>
    </row>
    <row r="879" spans="1:25" x14ac:dyDescent="0.25">
      <c r="A879" s="1218" t="s">
        <v>189</v>
      </c>
      <c r="B879" s="98">
        <v>45474</v>
      </c>
      <c r="C879" s="117" t="str">
        <f t="shared" si="197"/>
        <v>7L</v>
      </c>
      <c r="D879" s="96"/>
      <c r="I879" s="99">
        <f t="shared" si="198"/>
        <v>0</v>
      </c>
      <c r="L879" s="99">
        <f t="shared" si="199"/>
        <v>0</v>
      </c>
      <c r="M879" s="44" t="str">
        <f t="shared" si="201"/>
        <v/>
      </c>
      <c r="N879" s="100">
        <f t="shared" si="202"/>
        <v>0</v>
      </c>
      <c r="O879" s="101">
        <f t="shared" si="203"/>
        <v>0</v>
      </c>
      <c r="P879" s="52">
        <f t="shared" si="204"/>
        <v>0</v>
      </c>
      <c r="Q879" s="49">
        <v>116.88487613461319</v>
      </c>
      <c r="R879">
        <v>2225</v>
      </c>
      <c r="S879" s="50">
        <f t="shared" si="200"/>
        <v>71535.307499999995</v>
      </c>
      <c r="T879" s="50">
        <f t="shared" si="205"/>
        <v>0</v>
      </c>
      <c r="U879" s="58">
        <f t="shared" si="206"/>
        <v>0</v>
      </c>
      <c r="V879" s="58">
        <f t="shared" si="207"/>
        <v>0</v>
      </c>
      <c r="W879" s="58">
        <f t="shared" si="208"/>
        <v>0</v>
      </c>
      <c r="X879" s="58">
        <f t="shared" si="209"/>
        <v>0</v>
      </c>
      <c r="Y879" s="52">
        <f t="shared" si="210"/>
        <v>0</v>
      </c>
    </row>
    <row r="880" spans="1:25" x14ac:dyDescent="0.25">
      <c r="A880" s="1218" t="s">
        <v>190</v>
      </c>
      <c r="B880" s="98">
        <v>45474</v>
      </c>
      <c r="C880" s="117" t="str">
        <f t="shared" si="197"/>
        <v>8L</v>
      </c>
      <c r="D880" s="96"/>
      <c r="I880" s="99">
        <f t="shared" si="198"/>
        <v>0</v>
      </c>
      <c r="L880" s="99">
        <f t="shared" si="199"/>
        <v>0</v>
      </c>
      <c r="M880" s="44" t="str">
        <f t="shared" si="201"/>
        <v/>
      </c>
      <c r="N880" s="100">
        <f t="shared" si="202"/>
        <v>0</v>
      </c>
      <c r="O880" s="101">
        <f t="shared" si="203"/>
        <v>0</v>
      </c>
      <c r="P880" s="52">
        <f t="shared" si="204"/>
        <v>0</v>
      </c>
      <c r="Q880" s="49">
        <v>116.88487613461319</v>
      </c>
      <c r="R880">
        <v>2225</v>
      </c>
      <c r="S880" s="50">
        <f t="shared" si="200"/>
        <v>71535.307499999995</v>
      </c>
      <c r="T880" s="50">
        <f t="shared" si="205"/>
        <v>0</v>
      </c>
      <c r="U880" s="58">
        <f t="shared" si="206"/>
        <v>0</v>
      </c>
      <c r="V880" s="58">
        <f t="shared" si="207"/>
        <v>0</v>
      </c>
      <c r="W880" s="58">
        <f t="shared" si="208"/>
        <v>0</v>
      </c>
      <c r="X880" s="58">
        <f t="shared" si="209"/>
        <v>0</v>
      </c>
      <c r="Y880" s="52">
        <f t="shared" si="210"/>
        <v>0</v>
      </c>
    </row>
    <row r="881" spans="1:25" x14ac:dyDescent="0.25">
      <c r="A881" s="1218" t="s">
        <v>191</v>
      </c>
      <c r="B881" s="98">
        <v>45474</v>
      </c>
      <c r="C881" s="117" t="str">
        <f t="shared" si="197"/>
        <v>8L</v>
      </c>
      <c r="D881" s="96"/>
      <c r="I881" s="99">
        <f t="shared" si="198"/>
        <v>0</v>
      </c>
      <c r="L881" s="99">
        <f t="shared" si="199"/>
        <v>0</v>
      </c>
      <c r="M881" s="44" t="str">
        <f t="shared" si="201"/>
        <v/>
      </c>
      <c r="N881" s="100">
        <f t="shared" si="202"/>
        <v>0</v>
      </c>
      <c r="O881" s="101">
        <f t="shared" si="203"/>
        <v>0</v>
      </c>
      <c r="P881" s="52">
        <f t="shared" si="204"/>
        <v>0</v>
      </c>
      <c r="Q881" s="49">
        <v>116.88487613461319</v>
      </c>
      <c r="R881">
        <v>2225</v>
      </c>
      <c r="S881" s="50">
        <f t="shared" si="200"/>
        <v>71535.307499999995</v>
      </c>
      <c r="T881" s="50">
        <f t="shared" si="205"/>
        <v>0</v>
      </c>
      <c r="U881" s="58">
        <f t="shared" si="206"/>
        <v>0</v>
      </c>
      <c r="V881" s="58">
        <f t="shared" si="207"/>
        <v>0</v>
      </c>
      <c r="W881" s="58">
        <f t="shared" si="208"/>
        <v>0</v>
      </c>
      <c r="X881" s="58">
        <f t="shared" si="209"/>
        <v>0</v>
      </c>
      <c r="Y881" s="52">
        <f t="shared" si="210"/>
        <v>0</v>
      </c>
    </row>
    <row r="882" spans="1:25" x14ac:dyDescent="0.25">
      <c r="A882" s="1218" t="s">
        <v>192</v>
      </c>
      <c r="B882" s="98">
        <v>45474</v>
      </c>
      <c r="C882" s="117" t="str">
        <f t="shared" si="197"/>
        <v>8L</v>
      </c>
      <c r="D882" s="96"/>
      <c r="I882" s="99">
        <f t="shared" si="198"/>
        <v>0</v>
      </c>
      <c r="L882" s="99">
        <f t="shared" si="199"/>
        <v>0</v>
      </c>
      <c r="M882" s="44" t="str">
        <f t="shared" si="201"/>
        <v/>
      </c>
      <c r="N882" s="100">
        <f t="shared" si="202"/>
        <v>0</v>
      </c>
      <c r="O882" s="101">
        <f t="shared" si="203"/>
        <v>0</v>
      </c>
      <c r="P882" s="52">
        <f t="shared" si="204"/>
        <v>0</v>
      </c>
      <c r="Q882" s="49">
        <v>116.88487613461319</v>
      </c>
      <c r="R882">
        <v>2225</v>
      </c>
      <c r="S882" s="50">
        <f t="shared" si="200"/>
        <v>71535.307499999995</v>
      </c>
      <c r="T882" s="50">
        <f t="shared" si="205"/>
        <v>0</v>
      </c>
      <c r="U882" s="58">
        <f t="shared" si="206"/>
        <v>0</v>
      </c>
      <c r="V882" s="58">
        <f t="shared" si="207"/>
        <v>0</v>
      </c>
      <c r="W882" s="58">
        <f t="shared" si="208"/>
        <v>0</v>
      </c>
      <c r="X882" s="58">
        <f t="shared" si="209"/>
        <v>0</v>
      </c>
      <c r="Y882" s="52">
        <f t="shared" si="210"/>
        <v>0</v>
      </c>
    </row>
    <row r="883" spans="1:25" x14ac:dyDescent="0.25">
      <c r="A883" s="1218" t="s">
        <v>193</v>
      </c>
      <c r="B883" s="98">
        <v>45474</v>
      </c>
      <c r="C883" s="117" t="str">
        <f t="shared" si="197"/>
        <v>8L</v>
      </c>
      <c r="D883" s="96"/>
      <c r="I883" s="99">
        <f t="shared" si="198"/>
        <v>0</v>
      </c>
      <c r="L883" s="99">
        <f t="shared" si="199"/>
        <v>0</v>
      </c>
      <c r="M883" s="44" t="str">
        <f t="shared" si="201"/>
        <v/>
      </c>
      <c r="N883" s="100">
        <f t="shared" si="202"/>
        <v>0</v>
      </c>
      <c r="O883" s="101">
        <f t="shared" si="203"/>
        <v>0</v>
      </c>
      <c r="P883" s="52">
        <f t="shared" si="204"/>
        <v>0</v>
      </c>
      <c r="Q883" s="49">
        <v>116.88487613461319</v>
      </c>
      <c r="R883">
        <v>2225</v>
      </c>
      <c r="S883" s="50">
        <f t="shared" si="200"/>
        <v>71535.307499999995</v>
      </c>
      <c r="T883" s="50">
        <f t="shared" si="205"/>
        <v>0</v>
      </c>
      <c r="U883" s="58">
        <f t="shared" si="206"/>
        <v>0</v>
      </c>
      <c r="V883" s="58">
        <f t="shared" si="207"/>
        <v>0</v>
      </c>
      <c r="W883" s="58">
        <f t="shared" si="208"/>
        <v>0</v>
      </c>
      <c r="X883" s="58">
        <f t="shared" si="209"/>
        <v>0</v>
      </c>
      <c r="Y883" s="52">
        <f t="shared" si="210"/>
        <v>0</v>
      </c>
    </row>
    <row r="884" spans="1:25" x14ac:dyDescent="0.25">
      <c r="A884" s="1218" t="s">
        <v>194</v>
      </c>
      <c r="B884" s="98">
        <v>45474</v>
      </c>
      <c r="C884" s="117" t="str">
        <f t="shared" si="197"/>
        <v>8L</v>
      </c>
      <c r="D884" s="96"/>
      <c r="I884" s="99">
        <f t="shared" si="198"/>
        <v>0</v>
      </c>
      <c r="L884" s="99">
        <f t="shared" si="199"/>
        <v>0</v>
      </c>
      <c r="M884" s="44" t="str">
        <f t="shared" si="201"/>
        <v/>
      </c>
      <c r="N884" s="100">
        <f t="shared" si="202"/>
        <v>0</v>
      </c>
      <c r="O884" s="101">
        <f t="shared" si="203"/>
        <v>0</v>
      </c>
      <c r="P884" s="52">
        <f t="shared" si="204"/>
        <v>0</v>
      </c>
      <c r="Q884" s="49">
        <v>116.88487613461319</v>
      </c>
      <c r="R884">
        <v>2225</v>
      </c>
      <c r="S884" s="50">
        <f t="shared" si="200"/>
        <v>71535.307499999995</v>
      </c>
      <c r="T884" s="50">
        <f t="shared" si="205"/>
        <v>0</v>
      </c>
      <c r="U884" s="58">
        <f t="shared" si="206"/>
        <v>0</v>
      </c>
      <c r="V884" s="58">
        <f t="shared" si="207"/>
        <v>0</v>
      </c>
      <c r="W884" s="58">
        <f t="shared" si="208"/>
        <v>0</v>
      </c>
      <c r="X884" s="58">
        <f t="shared" si="209"/>
        <v>0</v>
      </c>
      <c r="Y884" s="52">
        <f t="shared" si="210"/>
        <v>0</v>
      </c>
    </row>
    <row r="885" spans="1:25" x14ac:dyDescent="0.25">
      <c r="A885" s="1218" t="s">
        <v>195</v>
      </c>
      <c r="B885" s="98">
        <v>45474</v>
      </c>
      <c r="C885" s="117" t="str">
        <f t="shared" si="197"/>
        <v>8L</v>
      </c>
      <c r="D885" s="96"/>
      <c r="I885" s="99">
        <f t="shared" si="198"/>
        <v>0</v>
      </c>
      <c r="L885" s="99">
        <f t="shared" si="199"/>
        <v>0</v>
      </c>
      <c r="M885" s="44" t="str">
        <f t="shared" si="201"/>
        <v/>
      </c>
      <c r="N885" s="100">
        <f t="shared" si="202"/>
        <v>0</v>
      </c>
      <c r="O885" s="101">
        <f t="shared" si="203"/>
        <v>0</v>
      </c>
      <c r="P885" s="52">
        <f t="shared" si="204"/>
        <v>0</v>
      </c>
      <c r="Q885" s="49">
        <v>116.88487613461319</v>
      </c>
      <c r="R885">
        <v>2225</v>
      </c>
      <c r="S885" s="50">
        <f t="shared" si="200"/>
        <v>71535.307499999995</v>
      </c>
      <c r="T885" s="50">
        <f t="shared" si="205"/>
        <v>0</v>
      </c>
      <c r="U885" s="58">
        <f t="shared" si="206"/>
        <v>0</v>
      </c>
      <c r="V885" s="58">
        <f t="shared" si="207"/>
        <v>0</v>
      </c>
      <c r="W885" s="58">
        <f t="shared" si="208"/>
        <v>0</v>
      </c>
      <c r="X885" s="58">
        <f t="shared" si="209"/>
        <v>0</v>
      </c>
      <c r="Y885" s="52">
        <f t="shared" si="210"/>
        <v>0</v>
      </c>
    </row>
    <row r="886" spans="1:25" x14ac:dyDescent="0.25">
      <c r="A886" s="1218" t="s">
        <v>196</v>
      </c>
      <c r="B886" s="98">
        <v>45474</v>
      </c>
      <c r="C886" s="117" t="str">
        <f t="shared" si="197"/>
        <v>8L</v>
      </c>
      <c r="D886" s="96"/>
      <c r="I886" s="99">
        <f t="shared" si="198"/>
        <v>0</v>
      </c>
      <c r="L886" s="99">
        <f t="shared" si="199"/>
        <v>0</v>
      </c>
      <c r="M886" s="44" t="str">
        <f t="shared" si="201"/>
        <v/>
      </c>
      <c r="N886" s="100">
        <f t="shared" si="202"/>
        <v>0</v>
      </c>
      <c r="O886" s="101">
        <f t="shared" si="203"/>
        <v>0</v>
      </c>
      <c r="P886" s="52">
        <f t="shared" si="204"/>
        <v>0</v>
      </c>
      <c r="Q886" s="49">
        <v>116.88487613461319</v>
      </c>
      <c r="R886">
        <v>2225</v>
      </c>
      <c r="S886" s="50">
        <f t="shared" si="200"/>
        <v>71535.307499999995</v>
      </c>
      <c r="T886" s="50">
        <f t="shared" si="205"/>
        <v>0</v>
      </c>
      <c r="U886" s="58">
        <f t="shared" si="206"/>
        <v>0</v>
      </c>
      <c r="V886" s="58">
        <f t="shared" si="207"/>
        <v>0</v>
      </c>
      <c r="W886" s="58">
        <f t="shared" si="208"/>
        <v>0</v>
      </c>
      <c r="X886" s="58">
        <f t="shared" si="209"/>
        <v>0</v>
      </c>
      <c r="Y886" s="52">
        <f t="shared" si="210"/>
        <v>0</v>
      </c>
    </row>
    <row r="887" spans="1:25" x14ac:dyDescent="0.25">
      <c r="A887" s="1218" t="s">
        <v>197</v>
      </c>
      <c r="B887" s="98">
        <v>45474</v>
      </c>
      <c r="C887" s="117" t="str">
        <f t="shared" si="197"/>
        <v>8L</v>
      </c>
      <c r="D887" s="96"/>
      <c r="I887" s="99">
        <f t="shared" si="198"/>
        <v>0</v>
      </c>
      <c r="L887" s="99">
        <f t="shared" si="199"/>
        <v>0</v>
      </c>
      <c r="M887" s="44" t="str">
        <f t="shared" si="201"/>
        <v/>
      </c>
      <c r="N887" s="100">
        <f t="shared" si="202"/>
        <v>0</v>
      </c>
      <c r="O887" s="101">
        <f t="shared" si="203"/>
        <v>0</v>
      </c>
      <c r="P887" s="52">
        <f t="shared" si="204"/>
        <v>0</v>
      </c>
      <c r="Q887" s="49">
        <v>116.88487613461319</v>
      </c>
      <c r="R887">
        <v>2225</v>
      </c>
      <c r="S887" s="50">
        <f t="shared" si="200"/>
        <v>71535.307499999995</v>
      </c>
      <c r="T887" s="50">
        <f t="shared" si="205"/>
        <v>0</v>
      </c>
      <c r="U887" s="58">
        <f t="shared" si="206"/>
        <v>0</v>
      </c>
      <c r="V887" s="58">
        <f t="shared" si="207"/>
        <v>0</v>
      </c>
      <c r="W887" s="58">
        <f t="shared" si="208"/>
        <v>0</v>
      </c>
      <c r="X887" s="58">
        <f t="shared" si="209"/>
        <v>0</v>
      </c>
      <c r="Y887" s="52">
        <f t="shared" si="210"/>
        <v>0</v>
      </c>
    </row>
    <row r="888" spans="1:25" x14ac:dyDescent="0.25">
      <c r="A888" s="1218" t="s">
        <v>198</v>
      </c>
      <c r="B888" s="98">
        <v>45474</v>
      </c>
      <c r="C888" s="117" t="str">
        <f t="shared" si="197"/>
        <v>8L</v>
      </c>
      <c r="D888" s="96"/>
      <c r="I888" s="99">
        <f t="shared" si="198"/>
        <v>0</v>
      </c>
      <c r="L888" s="99">
        <f t="shared" si="199"/>
        <v>0</v>
      </c>
      <c r="M888" s="44" t="str">
        <f t="shared" si="201"/>
        <v/>
      </c>
      <c r="N888" s="100">
        <f t="shared" si="202"/>
        <v>0</v>
      </c>
      <c r="O888" s="101">
        <f t="shared" si="203"/>
        <v>0</v>
      </c>
      <c r="P888" s="52">
        <f t="shared" si="204"/>
        <v>0</v>
      </c>
      <c r="Q888" s="49">
        <v>116.88487613461319</v>
      </c>
      <c r="R888">
        <v>2225</v>
      </c>
      <c r="S888" s="50">
        <f t="shared" si="200"/>
        <v>71535.307499999995</v>
      </c>
      <c r="T888" s="50">
        <f t="shared" si="205"/>
        <v>0</v>
      </c>
      <c r="U888" s="58">
        <f t="shared" si="206"/>
        <v>0</v>
      </c>
      <c r="V888" s="58">
        <f t="shared" si="207"/>
        <v>0</v>
      </c>
      <c r="W888" s="58">
        <f t="shared" si="208"/>
        <v>0</v>
      </c>
      <c r="X888" s="58">
        <f t="shared" si="209"/>
        <v>0</v>
      </c>
      <c r="Y888" s="52">
        <f t="shared" si="210"/>
        <v>0</v>
      </c>
    </row>
    <row r="889" spans="1:25" x14ac:dyDescent="0.25">
      <c r="A889" s="1218" t="s">
        <v>199</v>
      </c>
      <c r="B889" s="98">
        <v>45474</v>
      </c>
      <c r="C889" s="117" t="str">
        <f t="shared" si="197"/>
        <v>8L</v>
      </c>
      <c r="D889" s="96"/>
      <c r="I889" s="99">
        <f t="shared" si="198"/>
        <v>0</v>
      </c>
      <c r="L889" s="99">
        <f t="shared" si="199"/>
        <v>0</v>
      </c>
      <c r="M889" s="44" t="str">
        <f t="shared" si="201"/>
        <v/>
      </c>
      <c r="N889" s="100">
        <f t="shared" si="202"/>
        <v>0</v>
      </c>
      <c r="O889" s="101">
        <f t="shared" si="203"/>
        <v>0</v>
      </c>
      <c r="P889" s="52">
        <f t="shared" si="204"/>
        <v>0</v>
      </c>
      <c r="Q889" s="49">
        <v>116.88487613461319</v>
      </c>
      <c r="R889">
        <v>2225</v>
      </c>
      <c r="S889" s="50">
        <f t="shared" si="200"/>
        <v>71535.307499999995</v>
      </c>
      <c r="T889" s="50">
        <f t="shared" si="205"/>
        <v>0</v>
      </c>
      <c r="U889" s="58">
        <f t="shared" si="206"/>
        <v>0</v>
      </c>
      <c r="V889" s="58">
        <f t="shared" si="207"/>
        <v>0</v>
      </c>
      <c r="W889" s="58">
        <f t="shared" si="208"/>
        <v>0</v>
      </c>
      <c r="X889" s="58">
        <f t="shared" si="209"/>
        <v>0</v>
      </c>
      <c r="Y889" s="52">
        <f t="shared" si="210"/>
        <v>0</v>
      </c>
    </row>
    <row r="890" spans="1:25" x14ac:dyDescent="0.25">
      <c r="A890" s="1218" t="s">
        <v>200</v>
      </c>
      <c r="B890" s="98">
        <v>45474</v>
      </c>
      <c r="C890" s="117" t="str">
        <f t="shared" si="197"/>
        <v>8L</v>
      </c>
      <c r="D890" s="96"/>
      <c r="I890" s="99">
        <f t="shared" si="198"/>
        <v>0</v>
      </c>
      <c r="L890" s="99">
        <f t="shared" si="199"/>
        <v>0</v>
      </c>
      <c r="M890" s="44" t="str">
        <f t="shared" si="201"/>
        <v/>
      </c>
      <c r="N890" s="100">
        <f t="shared" si="202"/>
        <v>0</v>
      </c>
      <c r="O890" s="101">
        <f t="shared" si="203"/>
        <v>0</v>
      </c>
      <c r="P890" s="52">
        <f t="shared" si="204"/>
        <v>0</v>
      </c>
      <c r="Q890" s="49">
        <v>116.88487613461319</v>
      </c>
      <c r="R890">
        <v>2225</v>
      </c>
      <c r="S890" s="50">
        <f t="shared" si="200"/>
        <v>71535.307499999995</v>
      </c>
      <c r="T890" s="50">
        <f t="shared" si="205"/>
        <v>0</v>
      </c>
      <c r="U890" s="58">
        <f t="shared" si="206"/>
        <v>0</v>
      </c>
      <c r="V890" s="58">
        <f t="shared" si="207"/>
        <v>0</v>
      </c>
      <c r="W890" s="58">
        <f t="shared" si="208"/>
        <v>0</v>
      </c>
      <c r="X890" s="58">
        <f t="shared" si="209"/>
        <v>0</v>
      </c>
      <c r="Y890" s="52">
        <f t="shared" si="210"/>
        <v>0</v>
      </c>
    </row>
    <row r="891" spans="1:25" x14ac:dyDescent="0.25">
      <c r="A891" s="1218" t="s">
        <v>201</v>
      </c>
      <c r="B891" s="98">
        <v>45474</v>
      </c>
      <c r="C891" s="117" t="str">
        <f t="shared" si="197"/>
        <v>8L</v>
      </c>
      <c r="D891" s="96"/>
      <c r="I891" s="99">
        <f t="shared" si="198"/>
        <v>0</v>
      </c>
      <c r="L891" s="99">
        <f t="shared" si="199"/>
        <v>0</v>
      </c>
      <c r="M891" s="44" t="str">
        <f t="shared" si="201"/>
        <v/>
      </c>
      <c r="N891" s="100">
        <f t="shared" si="202"/>
        <v>0</v>
      </c>
      <c r="O891" s="101">
        <f t="shared" si="203"/>
        <v>0</v>
      </c>
      <c r="P891" s="52">
        <f t="shared" si="204"/>
        <v>0</v>
      </c>
      <c r="Q891" s="49">
        <v>116.88487613461319</v>
      </c>
      <c r="R891">
        <v>2225</v>
      </c>
      <c r="S891" s="50">
        <f t="shared" si="200"/>
        <v>71535.307499999995</v>
      </c>
      <c r="T891" s="50">
        <f t="shared" si="205"/>
        <v>0</v>
      </c>
      <c r="U891" s="58">
        <f t="shared" si="206"/>
        <v>0</v>
      </c>
      <c r="V891" s="58">
        <f t="shared" si="207"/>
        <v>0</v>
      </c>
      <c r="W891" s="58">
        <f t="shared" si="208"/>
        <v>0</v>
      </c>
      <c r="X891" s="58">
        <f t="shared" si="209"/>
        <v>0</v>
      </c>
      <c r="Y891" s="52">
        <f t="shared" si="210"/>
        <v>0</v>
      </c>
    </row>
    <row r="892" spans="1:25" x14ac:dyDescent="0.25">
      <c r="A892" s="1218" t="s">
        <v>202</v>
      </c>
      <c r="B892" s="98">
        <v>45474</v>
      </c>
      <c r="C892" s="117" t="str">
        <f t="shared" si="197"/>
        <v>8L</v>
      </c>
      <c r="D892" s="96"/>
      <c r="I892" s="99">
        <f t="shared" si="198"/>
        <v>0</v>
      </c>
      <c r="L892" s="99">
        <f t="shared" si="199"/>
        <v>0</v>
      </c>
      <c r="M892" s="44" t="str">
        <f t="shared" si="201"/>
        <v/>
      </c>
      <c r="N892" s="100">
        <f t="shared" si="202"/>
        <v>0</v>
      </c>
      <c r="O892" s="101">
        <f t="shared" si="203"/>
        <v>0</v>
      </c>
      <c r="P892" s="52">
        <f t="shared" si="204"/>
        <v>0</v>
      </c>
      <c r="Q892" s="49">
        <v>116.88487613461319</v>
      </c>
      <c r="R892">
        <v>2225</v>
      </c>
      <c r="S892" s="50">
        <f t="shared" si="200"/>
        <v>71535.307499999995</v>
      </c>
      <c r="T892" s="50">
        <f t="shared" si="205"/>
        <v>0</v>
      </c>
      <c r="U892" s="58">
        <f t="shared" si="206"/>
        <v>0</v>
      </c>
      <c r="V892" s="58">
        <f t="shared" si="207"/>
        <v>0</v>
      </c>
      <c r="W892" s="58">
        <f t="shared" si="208"/>
        <v>0</v>
      </c>
      <c r="X892" s="58">
        <f t="shared" si="209"/>
        <v>0</v>
      </c>
      <c r="Y892" s="52">
        <f t="shared" si="210"/>
        <v>0</v>
      </c>
    </row>
    <row r="893" spans="1:25" x14ac:dyDescent="0.25">
      <c r="A893" s="1218" t="s">
        <v>203</v>
      </c>
      <c r="B893" s="98">
        <v>45474</v>
      </c>
      <c r="C893" s="117" t="str">
        <f t="shared" si="197"/>
        <v>8L</v>
      </c>
      <c r="D893" s="96"/>
      <c r="I893" s="99">
        <f t="shared" si="198"/>
        <v>0</v>
      </c>
      <c r="L893" s="99">
        <f t="shared" si="199"/>
        <v>0</v>
      </c>
      <c r="M893" s="44" t="str">
        <f t="shared" si="201"/>
        <v/>
      </c>
      <c r="N893" s="100">
        <f t="shared" si="202"/>
        <v>0</v>
      </c>
      <c r="O893" s="101">
        <f t="shared" si="203"/>
        <v>0</v>
      </c>
      <c r="P893" s="52">
        <f t="shared" si="204"/>
        <v>0</v>
      </c>
      <c r="Q893" s="49">
        <v>116.88487613461319</v>
      </c>
      <c r="R893">
        <v>2225</v>
      </c>
      <c r="S893" s="50">
        <f t="shared" si="200"/>
        <v>71535.307499999995</v>
      </c>
      <c r="T893" s="50">
        <f t="shared" si="205"/>
        <v>0</v>
      </c>
      <c r="U893" s="58">
        <f t="shared" si="206"/>
        <v>0</v>
      </c>
      <c r="V893" s="58">
        <f t="shared" si="207"/>
        <v>0</v>
      </c>
      <c r="W893" s="58">
        <f t="shared" si="208"/>
        <v>0</v>
      </c>
      <c r="X893" s="58">
        <f t="shared" si="209"/>
        <v>0</v>
      </c>
      <c r="Y893" s="52">
        <f t="shared" si="210"/>
        <v>0</v>
      </c>
    </row>
    <row r="894" spans="1:25" x14ac:dyDescent="0.25">
      <c r="A894" s="1218" t="s">
        <v>204</v>
      </c>
      <c r="B894" s="98">
        <v>45474</v>
      </c>
      <c r="C894" s="117" t="str">
        <f t="shared" si="197"/>
        <v>8L</v>
      </c>
      <c r="D894" s="96"/>
      <c r="I894" s="99">
        <f t="shared" si="198"/>
        <v>0</v>
      </c>
      <c r="L894" s="99">
        <f t="shared" si="199"/>
        <v>0</v>
      </c>
      <c r="M894" s="44" t="str">
        <f t="shared" si="201"/>
        <v/>
      </c>
      <c r="N894" s="100">
        <f t="shared" si="202"/>
        <v>0</v>
      </c>
      <c r="O894" s="101">
        <f t="shared" si="203"/>
        <v>0</v>
      </c>
      <c r="P894" s="52">
        <f t="shared" si="204"/>
        <v>0</v>
      </c>
      <c r="Q894" s="49">
        <v>116.88487613461319</v>
      </c>
      <c r="R894">
        <v>2225</v>
      </c>
      <c r="S894" s="50">
        <f t="shared" si="200"/>
        <v>71535.307499999995</v>
      </c>
      <c r="T894" s="50">
        <f t="shared" si="205"/>
        <v>0</v>
      </c>
      <c r="U894" s="58">
        <f t="shared" si="206"/>
        <v>0</v>
      </c>
      <c r="V894" s="58">
        <f t="shared" si="207"/>
        <v>0</v>
      </c>
      <c r="W894" s="58">
        <f t="shared" si="208"/>
        <v>0</v>
      </c>
      <c r="X894" s="58">
        <f t="shared" si="209"/>
        <v>0</v>
      </c>
      <c r="Y894" s="52">
        <f t="shared" si="210"/>
        <v>0</v>
      </c>
    </row>
    <row r="895" spans="1:25" x14ac:dyDescent="0.25">
      <c r="A895" s="1218" t="s">
        <v>205</v>
      </c>
      <c r="B895" s="98">
        <v>45474</v>
      </c>
      <c r="C895" s="117" t="str">
        <f t="shared" si="197"/>
        <v>8L</v>
      </c>
      <c r="D895" s="96"/>
      <c r="I895" s="99">
        <f t="shared" si="198"/>
        <v>0</v>
      </c>
      <c r="L895" s="99">
        <f t="shared" si="199"/>
        <v>0</v>
      </c>
      <c r="M895" s="44" t="str">
        <f t="shared" si="201"/>
        <v/>
      </c>
      <c r="N895" s="100">
        <f t="shared" si="202"/>
        <v>0</v>
      </c>
      <c r="O895" s="101">
        <f t="shared" si="203"/>
        <v>0</v>
      </c>
      <c r="P895" s="52">
        <f t="shared" si="204"/>
        <v>0</v>
      </c>
      <c r="Q895" s="49">
        <v>116.88487613461319</v>
      </c>
      <c r="R895">
        <v>2225</v>
      </c>
      <c r="S895" s="50">
        <f t="shared" si="200"/>
        <v>71535.307499999995</v>
      </c>
      <c r="T895" s="50">
        <f t="shared" si="205"/>
        <v>0</v>
      </c>
      <c r="U895" s="58">
        <f t="shared" si="206"/>
        <v>0</v>
      </c>
      <c r="V895" s="58">
        <f t="shared" si="207"/>
        <v>0</v>
      </c>
      <c r="W895" s="58">
        <f t="shared" si="208"/>
        <v>0</v>
      </c>
      <c r="X895" s="58">
        <f t="shared" si="209"/>
        <v>0</v>
      </c>
      <c r="Y895" s="52">
        <f t="shared" si="210"/>
        <v>0</v>
      </c>
    </row>
    <row r="896" spans="1:25" x14ac:dyDescent="0.25">
      <c r="A896" s="1218" t="s">
        <v>206</v>
      </c>
      <c r="B896" s="98">
        <v>45474</v>
      </c>
      <c r="C896" s="117" t="str">
        <f t="shared" si="197"/>
        <v>8L</v>
      </c>
      <c r="D896" s="96"/>
      <c r="I896" s="99">
        <f t="shared" si="198"/>
        <v>0</v>
      </c>
      <c r="L896" s="99">
        <f t="shared" si="199"/>
        <v>0</v>
      </c>
      <c r="M896" s="44" t="str">
        <f t="shared" si="201"/>
        <v/>
      </c>
      <c r="N896" s="100">
        <f t="shared" si="202"/>
        <v>0</v>
      </c>
      <c r="O896" s="101">
        <f t="shared" si="203"/>
        <v>0</v>
      </c>
      <c r="P896" s="52">
        <f t="shared" si="204"/>
        <v>0</v>
      </c>
      <c r="Q896" s="49">
        <v>116.88487613461319</v>
      </c>
      <c r="R896">
        <v>2225</v>
      </c>
      <c r="S896" s="50">
        <f t="shared" si="200"/>
        <v>71535.307499999995</v>
      </c>
      <c r="T896" s="50">
        <f t="shared" si="205"/>
        <v>0</v>
      </c>
      <c r="U896" s="58">
        <f t="shared" si="206"/>
        <v>0</v>
      </c>
      <c r="V896" s="58">
        <f t="shared" si="207"/>
        <v>0</v>
      </c>
      <c r="W896" s="58">
        <f t="shared" si="208"/>
        <v>0</v>
      </c>
      <c r="X896" s="58">
        <f t="shared" si="209"/>
        <v>0</v>
      </c>
      <c r="Y896" s="52">
        <f t="shared" si="210"/>
        <v>0</v>
      </c>
    </row>
    <row r="897" spans="1:25" ht="15.75" thickBot="1" x14ac:dyDescent="0.3">
      <c r="A897" s="1219" t="s">
        <v>207</v>
      </c>
      <c r="B897" s="98">
        <v>45474</v>
      </c>
      <c r="C897" s="117" t="str">
        <f t="shared" si="197"/>
        <v>8L</v>
      </c>
      <c r="D897" s="96"/>
      <c r="I897" s="99">
        <f t="shared" si="198"/>
        <v>0</v>
      </c>
      <c r="L897" s="99">
        <f t="shared" si="199"/>
        <v>0</v>
      </c>
      <c r="M897" s="44" t="str">
        <f t="shared" si="201"/>
        <v/>
      </c>
      <c r="N897" s="100">
        <f t="shared" si="202"/>
        <v>0</v>
      </c>
      <c r="O897" s="101">
        <f t="shared" si="203"/>
        <v>0</v>
      </c>
      <c r="P897" s="52">
        <f t="shared" si="204"/>
        <v>0</v>
      </c>
      <c r="Q897" s="49">
        <v>116.88487613461319</v>
      </c>
      <c r="R897">
        <v>2225</v>
      </c>
      <c r="S897" s="50">
        <f t="shared" si="200"/>
        <v>71535.307499999995</v>
      </c>
      <c r="T897" s="50">
        <f t="shared" si="205"/>
        <v>0</v>
      </c>
      <c r="U897" s="58">
        <f t="shared" si="206"/>
        <v>0</v>
      </c>
      <c r="V897" s="58">
        <f t="shared" si="207"/>
        <v>0</v>
      </c>
      <c r="W897" s="58">
        <f t="shared" si="208"/>
        <v>0</v>
      </c>
      <c r="X897" s="58">
        <f t="shared" si="209"/>
        <v>0</v>
      </c>
      <c r="Y897" s="52">
        <f t="shared" si="210"/>
        <v>0</v>
      </c>
    </row>
    <row r="898" spans="1:25" x14ac:dyDescent="0.25">
      <c r="A898" s="97" t="s">
        <v>80</v>
      </c>
      <c r="B898" s="98">
        <v>45505</v>
      </c>
      <c r="C898" s="117" t="str">
        <f t="shared" si="197"/>
        <v>1L</v>
      </c>
      <c r="D898" s="96"/>
      <c r="E898" s="96"/>
      <c r="F898" s="96"/>
      <c r="G898" s="96"/>
      <c r="H898" s="96"/>
      <c r="I898" s="99">
        <f t="shared" si="198"/>
        <v>0</v>
      </c>
      <c r="J898" s="96"/>
      <c r="K898" s="96"/>
      <c r="L898" s="99">
        <f t="shared" si="199"/>
        <v>0</v>
      </c>
      <c r="M898" s="44" t="str">
        <f t="shared" si="201"/>
        <v/>
      </c>
      <c r="N898" s="100">
        <f t="shared" si="202"/>
        <v>0</v>
      </c>
      <c r="O898" s="101">
        <f t="shared" si="203"/>
        <v>0</v>
      </c>
      <c r="P898" s="52">
        <f t="shared" si="204"/>
        <v>0</v>
      </c>
      <c r="Q898" s="49">
        <v>116.88487613461319</v>
      </c>
      <c r="R898">
        <v>2225</v>
      </c>
      <c r="S898" s="50">
        <f t="shared" si="200"/>
        <v>71535.307499999995</v>
      </c>
      <c r="T898" s="50">
        <f t="shared" si="205"/>
        <v>0</v>
      </c>
      <c r="U898" s="58">
        <f t="shared" si="206"/>
        <v>0</v>
      </c>
      <c r="V898" s="58">
        <f t="shared" si="207"/>
        <v>0</v>
      </c>
      <c r="W898" s="58">
        <f t="shared" si="208"/>
        <v>0</v>
      </c>
      <c r="X898" s="58">
        <f t="shared" si="209"/>
        <v>0</v>
      </c>
      <c r="Y898" s="52">
        <f t="shared" si="210"/>
        <v>0</v>
      </c>
    </row>
    <row r="899" spans="1:25" x14ac:dyDescent="0.25">
      <c r="A899" s="1218" t="s">
        <v>81</v>
      </c>
      <c r="B899" s="98">
        <v>45505</v>
      </c>
      <c r="C899" s="117" t="str">
        <f t="shared" si="197"/>
        <v>1L</v>
      </c>
      <c r="D899" s="96"/>
      <c r="E899" s="96"/>
      <c r="F899" s="96"/>
      <c r="G899" s="96"/>
      <c r="H899" s="96"/>
      <c r="I899" s="99">
        <f t="shared" si="198"/>
        <v>0</v>
      </c>
      <c r="J899" s="96"/>
      <c r="K899" s="96"/>
      <c r="L899" s="99">
        <f t="shared" si="199"/>
        <v>0</v>
      </c>
      <c r="M899" s="44" t="str">
        <f t="shared" si="201"/>
        <v/>
      </c>
      <c r="N899" s="100">
        <f t="shared" si="202"/>
        <v>0</v>
      </c>
      <c r="O899" s="101">
        <f t="shared" si="203"/>
        <v>0</v>
      </c>
      <c r="P899" s="52">
        <f t="shared" si="204"/>
        <v>0</v>
      </c>
      <c r="Q899" s="49">
        <v>116.88487613461319</v>
      </c>
      <c r="R899">
        <v>2225</v>
      </c>
      <c r="S899" s="50">
        <f t="shared" si="200"/>
        <v>71535.307499999995</v>
      </c>
      <c r="T899" s="50">
        <f t="shared" si="205"/>
        <v>0</v>
      </c>
      <c r="U899" s="58">
        <f t="shared" si="206"/>
        <v>0</v>
      </c>
      <c r="V899" s="58">
        <f t="shared" si="207"/>
        <v>0</v>
      </c>
      <c r="W899" s="58">
        <f t="shared" si="208"/>
        <v>0</v>
      </c>
      <c r="X899" s="58">
        <f t="shared" si="209"/>
        <v>0</v>
      </c>
      <c r="Y899" s="52">
        <f t="shared" si="210"/>
        <v>0</v>
      </c>
    </row>
    <row r="900" spans="1:25" x14ac:dyDescent="0.25">
      <c r="A900" s="1218" t="s">
        <v>82</v>
      </c>
      <c r="B900" s="98">
        <v>45505</v>
      </c>
      <c r="C900" s="117" t="str">
        <f t="shared" si="197"/>
        <v>1L</v>
      </c>
      <c r="D900" s="96"/>
      <c r="E900" s="96"/>
      <c r="F900" s="96"/>
      <c r="G900" s="96"/>
      <c r="H900" s="96"/>
      <c r="I900" s="99">
        <f t="shared" si="198"/>
        <v>0</v>
      </c>
      <c r="J900" s="96"/>
      <c r="K900" s="96"/>
      <c r="L900" s="99">
        <f t="shared" si="199"/>
        <v>0</v>
      </c>
      <c r="M900" s="44" t="str">
        <f t="shared" si="201"/>
        <v/>
      </c>
      <c r="N900" s="100">
        <f t="shared" si="202"/>
        <v>0</v>
      </c>
      <c r="O900" s="101">
        <f t="shared" si="203"/>
        <v>0</v>
      </c>
      <c r="P900" s="52">
        <f t="shared" si="204"/>
        <v>0</v>
      </c>
      <c r="Q900" s="49">
        <v>116.88487613461319</v>
      </c>
      <c r="R900">
        <v>2225</v>
      </c>
      <c r="S900" s="50">
        <f t="shared" si="200"/>
        <v>71535.307499999995</v>
      </c>
      <c r="T900" s="50">
        <f t="shared" si="205"/>
        <v>0</v>
      </c>
      <c r="U900" s="58">
        <f t="shared" si="206"/>
        <v>0</v>
      </c>
      <c r="V900" s="58">
        <f t="shared" si="207"/>
        <v>0</v>
      </c>
      <c r="W900" s="58">
        <f t="shared" si="208"/>
        <v>0</v>
      </c>
      <c r="X900" s="58">
        <f t="shared" si="209"/>
        <v>0</v>
      </c>
      <c r="Y900" s="52">
        <f t="shared" si="210"/>
        <v>0</v>
      </c>
    </row>
    <row r="901" spans="1:25" x14ac:dyDescent="0.25">
      <c r="A901" s="1218" t="s">
        <v>83</v>
      </c>
      <c r="B901" s="98">
        <v>45505</v>
      </c>
      <c r="C901" s="117" t="str">
        <f t="shared" si="197"/>
        <v>1L</v>
      </c>
      <c r="D901" s="96"/>
      <c r="E901" s="96"/>
      <c r="F901" s="96"/>
      <c r="G901" s="96"/>
      <c r="H901" s="96"/>
      <c r="I901" s="99">
        <f t="shared" si="198"/>
        <v>0</v>
      </c>
      <c r="J901" s="96"/>
      <c r="K901" s="96"/>
      <c r="L901" s="99">
        <f t="shared" si="199"/>
        <v>0</v>
      </c>
      <c r="M901" s="44" t="str">
        <f t="shared" si="201"/>
        <v/>
      </c>
      <c r="N901" s="100">
        <f t="shared" si="202"/>
        <v>0</v>
      </c>
      <c r="O901" s="101">
        <f t="shared" si="203"/>
        <v>0</v>
      </c>
      <c r="P901" s="52">
        <f t="shared" si="204"/>
        <v>0</v>
      </c>
      <c r="Q901" s="49">
        <v>116.88487613461319</v>
      </c>
      <c r="R901">
        <v>2225</v>
      </c>
      <c r="S901" s="50">
        <f t="shared" si="200"/>
        <v>71535.307499999995</v>
      </c>
      <c r="T901" s="50">
        <f t="shared" si="205"/>
        <v>0</v>
      </c>
      <c r="U901" s="58">
        <f t="shared" si="206"/>
        <v>0</v>
      </c>
      <c r="V901" s="58">
        <f t="shared" si="207"/>
        <v>0</v>
      </c>
      <c r="W901" s="58">
        <f t="shared" si="208"/>
        <v>0</v>
      </c>
      <c r="X901" s="58">
        <f t="shared" si="209"/>
        <v>0</v>
      </c>
      <c r="Y901" s="52">
        <f t="shared" si="210"/>
        <v>0</v>
      </c>
    </row>
    <row r="902" spans="1:25" x14ac:dyDescent="0.25">
      <c r="A902" s="1218" t="s">
        <v>84</v>
      </c>
      <c r="B902" s="98">
        <v>45505</v>
      </c>
      <c r="C902" s="117" t="str">
        <f t="shared" si="197"/>
        <v>2L</v>
      </c>
      <c r="D902" s="96"/>
      <c r="E902" s="98"/>
      <c r="F902" s="98"/>
      <c r="I902" s="99">
        <f t="shared" si="198"/>
        <v>0</v>
      </c>
      <c r="L902" s="99">
        <f t="shared" si="199"/>
        <v>0</v>
      </c>
      <c r="M902" s="44" t="str">
        <f t="shared" si="201"/>
        <v/>
      </c>
      <c r="N902" s="100">
        <f t="shared" si="202"/>
        <v>0</v>
      </c>
      <c r="O902" s="101">
        <f t="shared" si="203"/>
        <v>0</v>
      </c>
      <c r="P902" s="52">
        <f t="shared" si="204"/>
        <v>0</v>
      </c>
      <c r="Q902" s="49">
        <v>116.88487613461319</v>
      </c>
      <c r="R902">
        <v>2225</v>
      </c>
      <c r="S902" s="50">
        <f t="shared" si="200"/>
        <v>71535.307499999995</v>
      </c>
      <c r="T902" s="50">
        <f t="shared" si="205"/>
        <v>0</v>
      </c>
      <c r="U902" s="58">
        <f t="shared" si="206"/>
        <v>0</v>
      </c>
      <c r="V902" s="58">
        <f t="shared" si="207"/>
        <v>0</v>
      </c>
      <c r="W902" s="58">
        <f t="shared" si="208"/>
        <v>0</v>
      </c>
      <c r="X902" s="58">
        <f t="shared" si="209"/>
        <v>0</v>
      </c>
      <c r="Y902" s="52">
        <f t="shared" si="210"/>
        <v>0</v>
      </c>
    </row>
    <row r="903" spans="1:25" x14ac:dyDescent="0.25">
      <c r="A903" s="1218" t="s">
        <v>85</v>
      </c>
      <c r="B903" s="98">
        <v>45505</v>
      </c>
      <c r="C903" s="117" t="str">
        <f t="shared" si="197"/>
        <v>2L</v>
      </c>
      <c r="D903" s="96"/>
      <c r="E903" s="98"/>
      <c r="F903" s="98"/>
      <c r="I903" s="99">
        <f t="shared" si="198"/>
        <v>0</v>
      </c>
      <c r="L903" s="99">
        <f t="shared" si="199"/>
        <v>0</v>
      </c>
      <c r="M903" s="44" t="str">
        <f t="shared" si="201"/>
        <v/>
      </c>
      <c r="N903" s="100">
        <f t="shared" si="202"/>
        <v>0</v>
      </c>
      <c r="O903" s="101">
        <f t="shared" si="203"/>
        <v>0</v>
      </c>
      <c r="P903" s="52">
        <f t="shared" si="204"/>
        <v>0</v>
      </c>
      <c r="Q903" s="49">
        <v>116.88487613461319</v>
      </c>
      <c r="R903">
        <v>2225</v>
      </c>
      <c r="S903" s="50">
        <f t="shared" si="200"/>
        <v>71535.307499999995</v>
      </c>
      <c r="T903" s="50">
        <f t="shared" si="205"/>
        <v>0</v>
      </c>
      <c r="U903" s="58">
        <f t="shared" si="206"/>
        <v>0</v>
      </c>
      <c r="V903" s="58">
        <f t="shared" si="207"/>
        <v>0</v>
      </c>
      <c r="W903" s="58">
        <f t="shared" si="208"/>
        <v>0</v>
      </c>
      <c r="X903" s="58">
        <f t="shared" si="209"/>
        <v>0</v>
      </c>
      <c r="Y903" s="52">
        <f t="shared" si="210"/>
        <v>0</v>
      </c>
    </row>
    <row r="904" spans="1:25" x14ac:dyDescent="0.25">
      <c r="A904" s="1218" t="s">
        <v>86</v>
      </c>
      <c r="B904" s="98">
        <v>45505</v>
      </c>
      <c r="C904" s="117" t="str">
        <f t="shared" si="197"/>
        <v>2L</v>
      </c>
      <c r="D904" s="96"/>
      <c r="E904" s="98"/>
      <c r="F904" s="98"/>
      <c r="I904" s="99">
        <f t="shared" si="198"/>
        <v>0</v>
      </c>
      <c r="L904" s="99">
        <f t="shared" si="199"/>
        <v>0</v>
      </c>
      <c r="M904" s="44" t="str">
        <f t="shared" si="201"/>
        <v/>
      </c>
      <c r="N904" s="100">
        <f t="shared" si="202"/>
        <v>0</v>
      </c>
      <c r="O904" s="101">
        <f t="shared" si="203"/>
        <v>0</v>
      </c>
      <c r="P904" s="52">
        <f t="shared" si="204"/>
        <v>0</v>
      </c>
      <c r="Q904" s="49">
        <v>116.88487613461319</v>
      </c>
      <c r="R904">
        <v>2225</v>
      </c>
      <c r="S904" s="50">
        <f t="shared" si="200"/>
        <v>71535.307499999995</v>
      </c>
      <c r="T904" s="50">
        <f t="shared" si="205"/>
        <v>0</v>
      </c>
      <c r="U904" s="58">
        <f t="shared" si="206"/>
        <v>0</v>
      </c>
      <c r="V904" s="58">
        <f t="shared" si="207"/>
        <v>0</v>
      </c>
      <c r="W904" s="58">
        <f t="shared" si="208"/>
        <v>0</v>
      </c>
      <c r="X904" s="58">
        <f t="shared" si="209"/>
        <v>0</v>
      </c>
      <c r="Y904" s="52">
        <f t="shared" si="210"/>
        <v>0</v>
      </c>
    </row>
    <row r="905" spans="1:25" x14ac:dyDescent="0.25">
      <c r="A905" s="1218" t="s">
        <v>87</v>
      </c>
      <c r="B905" s="98">
        <v>45505</v>
      </c>
      <c r="C905" s="117" t="str">
        <f t="shared" si="197"/>
        <v>3L</v>
      </c>
      <c r="D905" s="96"/>
      <c r="E905" s="98"/>
      <c r="F905" s="98"/>
      <c r="G905" s="43">
        <v>2030</v>
      </c>
      <c r="H905" s="26">
        <v>1.59</v>
      </c>
      <c r="I905" s="99">
        <f t="shared" si="198"/>
        <v>3.2277000000000005</v>
      </c>
      <c r="L905" s="99">
        <f t="shared" si="199"/>
        <v>0</v>
      </c>
      <c r="M905" s="44">
        <f t="shared" si="201"/>
        <v>-1</v>
      </c>
      <c r="N905" s="100">
        <f t="shared" si="202"/>
        <v>-2030</v>
      </c>
      <c r="O905" s="101">
        <f t="shared" si="203"/>
        <v>-3.2277000000000005</v>
      </c>
      <c r="P905" s="52">
        <f t="shared" si="204"/>
        <v>0</v>
      </c>
      <c r="Q905" s="49">
        <v>116.88487613461319</v>
      </c>
      <c r="R905">
        <v>2225</v>
      </c>
      <c r="S905" s="50">
        <f t="shared" si="200"/>
        <v>71535.307499999995</v>
      </c>
      <c r="T905" s="50">
        <f t="shared" si="205"/>
        <v>230894.51201775001</v>
      </c>
      <c r="U905" s="58">
        <f t="shared" si="206"/>
        <v>0</v>
      </c>
      <c r="V905" s="58">
        <f t="shared" si="207"/>
        <v>237276.29855326479</v>
      </c>
      <c r="W905" s="58">
        <f t="shared" si="208"/>
        <v>0</v>
      </c>
      <c r="X905" s="58">
        <f t="shared" si="209"/>
        <v>-6381.7865355147806</v>
      </c>
      <c r="Y905" s="52">
        <f t="shared" si="210"/>
        <v>0</v>
      </c>
    </row>
    <row r="906" spans="1:25" x14ac:dyDescent="0.25">
      <c r="A906" s="1218" t="s">
        <v>88</v>
      </c>
      <c r="B906" s="98">
        <v>45505</v>
      </c>
      <c r="C906" s="117" t="str">
        <f t="shared" ref="C906:C970" si="211">LEFT(A906,2)</f>
        <v>3L</v>
      </c>
      <c r="D906" s="96"/>
      <c r="E906" s="98"/>
      <c r="F906" s="98"/>
      <c r="G906" s="43">
        <v>3045</v>
      </c>
      <c r="H906" s="26">
        <v>2.0099999999999998</v>
      </c>
      <c r="I906" s="99">
        <f t="shared" si="198"/>
        <v>6.1204499999999991</v>
      </c>
      <c r="J906">
        <v>3149.7999999999997</v>
      </c>
      <c r="K906" s="49">
        <v>1.2903291541489252</v>
      </c>
      <c r="L906" s="99">
        <f t="shared" si="199"/>
        <v>4.0642787697382845</v>
      </c>
      <c r="M906" s="44">
        <f t="shared" si="201"/>
        <v>-0.33595098894063585</v>
      </c>
      <c r="N906" s="100">
        <f t="shared" si="202"/>
        <v>104.79999999999973</v>
      </c>
      <c r="O906" s="101">
        <f t="shared" si="203"/>
        <v>-2.0561712302617146</v>
      </c>
      <c r="P906" s="52">
        <f t="shared" si="204"/>
        <v>-77424.551289854746</v>
      </c>
      <c r="Q906" s="49">
        <v>116.88487613461319</v>
      </c>
      <c r="R906">
        <v>2225</v>
      </c>
      <c r="S906" s="50">
        <f t="shared" si="200"/>
        <v>71535.307499999995</v>
      </c>
      <c r="T906" s="50">
        <f t="shared" si="205"/>
        <v>437828.27278837492</v>
      </c>
      <c r="U906" s="58">
        <f t="shared" si="206"/>
        <v>290739.43155894987</v>
      </c>
      <c r="V906" s="58">
        <f t="shared" si="207"/>
        <v>355914.44782989717</v>
      </c>
      <c r="W906" s="58">
        <f t="shared" si="208"/>
        <v>368163.98284880462</v>
      </c>
      <c r="X906" s="58">
        <f t="shared" si="209"/>
        <v>81913.824958477751</v>
      </c>
      <c r="Y906" s="52">
        <f t="shared" si="210"/>
        <v>-77424.551289854746</v>
      </c>
    </row>
    <row r="907" spans="1:25" x14ac:dyDescent="0.25">
      <c r="A907" s="1218" t="s">
        <v>89</v>
      </c>
      <c r="B907" s="98">
        <v>45505</v>
      </c>
      <c r="C907" s="117" t="str">
        <f t="shared" si="211"/>
        <v>3L</v>
      </c>
      <c r="D907" s="96"/>
      <c r="E907" s="98"/>
      <c r="F907" s="98"/>
      <c r="I907" s="99">
        <f t="shared" si="198"/>
        <v>0</v>
      </c>
      <c r="L907" s="99">
        <f t="shared" si="199"/>
        <v>0</v>
      </c>
      <c r="M907" s="44" t="str">
        <f t="shared" si="201"/>
        <v/>
      </c>
      <c r="N907" s="100">
        <f t="shared" si="202"/>
        <v>0</v>
      </c>
      <c r="O907" s="101">
        <f t="shared" si="203"/>
        <v>0</v>
      </c>
      <c r="P907" s="52">
        <f t="shared" si="204"/>
        <v>0</v>
      </c>
      <c r="Q907" s="49">
        <v>116.88487613461319</v>
      </c>
      <c r="R907">
        <v>2225</v>
      </c>
      <c r="S907" s="50">
        <f t="shared" si="200"/>
        <v>71535.307499999995</v>
      </c>
      <c r="T907" s="50">
        <f t="shared" si="205"/>
        <v>0</v>
      </c>
      <c r="U907" s="58">
        <f t="shared" si="206"/>
        <v>0</v>
      </c>
      <c r="V907" s="58">
        <f t="shared" si="207"/>
        <v>0</v>
      </c>
      <c r="W907" s="58">
        <f t="shared" si="208"/>
        <v>0</v>
      </c>
      <c r="X907" s="58">
        <f t="shared" si="209"/>
        <v>0</v>
      </c>
      <c r="Y907" s="52">
        <f t="shared" si="210"/>
        <v>0</v>
      </c>
    </row>
    <row r="908" spans="1:25" x14ac:dyDescent="0.25">
      <c r="A908" s="1218" t="s">
        <v>90</v>
      </c>
      <c r="B908" s="98">
        <v>45505</v>
      </c>
      <c r="C908" s="117" t="str">
        <f t="shared" si="211"/>
        <v>3L</v>
      </c>
      <c r="D908" s="96"/>
      <c r="E908" s="98"/>
      <c r="F908" s="98"/>
      <c r="I908" s="99">
        <f t="shared" si="198"/>
        <v>0</v>
      </c>
      <c r="L908" s="99">
        <f t="shared" si="199"/>
        <v>0</v>
      </c>
      <c r="M908" s="44" t="str">
        <f t="shared" si="201"/>
        <v/>
      </c>
      <c r="N908" s="100">
        <f t="shared" si="202"/>
        <v>0</v>
      </c>
      <c r="O908" s="101">
        <f t="shared" si="203"/>
        <v>0</v>
      </c>
      <c r="P908" s="52">
        <f t="shared" si="204"/>
        <v>0</v>
      </c>
      <c r="Q908" s="49">
        <v>116.88487613461319</v>
      </c>
      <c r="R908">
        <v>2225</v>
      </c>
      <c r="S908" s="50">
        <f t="shared" si="200"/>
        <v>71535.307499999995</v>
      </c>
      <c r="T908" s="50">
        <f t="shared" si="205"/>
        <v>0</v>
      </c>
      <c r="U908" s="58">
        <f t="shared" si="206"/>
        <v>0</v>
      </c>
      <c r="V908" s="58">
        <f t="shared" si="207"/>
        <v>0</v>
      </c>
      <c r="W908" s="58">
        <f t="shared" si="208"/>
        <v>0</v>
      </c>
      <c r="X908" s="58">
        <f t="shared" si="209"/>
        <v>0</v>
      </c>
      <c r="Y908" s="52">
        <f t="shared" si="210"/>
        <v>0</v>
      </c>
    </row>
    <row r="909" spans="1:25" x14ac:dyDescent="0.25">
      <c r="A909" s="1218" t="s">
        <v>91</v>
      </c>
      <c r="B909" s="98">
        <v>45505</v>
      </c>
      <c r="C909" s="117" t="str">
        <f t="shared" si="211"/>
        <v>3L</v>
      </c>
      <c r="D909" s="96"/>
      <c r="E909" s="98"/>
      <c r="F909" s="98"/>
      <c r="I909" s="99">
        <f t="shared" si="198"/>
        <v>0</v>
      </c>
      <c r="L909" s="99">
        <f t="shared" si="199"/>
        <v>0</v>
      </c>
      <c r="M909" s="44" t="str">
        <f t="shared" si="201"/>
        <v/>
      </c>
      <c r="N909" s="100">
        <f t="shared" si="202"/>
        <v>0</v>
      </c>
      <c r="O909" s="101">
        <f t="shared" si="203"/>
        <v>0</v>
      </c>
      <c r="P909" s="52">
        <f t="shared" si="204"/>
        <v>0</v>
      </c>
      <c r="Q909" s="49">
        <v>116.88487613461319</v>
      </c>
      <c r="R909">
        <v>2225</v>
      </c>
      <c r="S909" s="50">
        <f t="shared" si="200"/>
        <v>71535.307499999995</v>
      </c>
      <c r="T909" s="50">
        <f t="shared" si="205"/>
        <v>0</v>
      </c>
      <c r="U909" s="58">
        <f t="shared" si="206"/>
        <v>0</v>
      </c>
      <c r="V909" s="58">
        <f t="shared" si="207"/>
        <v>0</v>
      </c>
      <c r="W909" s="58">
        <f t="shared" si="208"/>
        <v>0</v>
      </c>
      <c r="X909" s="58">
        <f t="shared" si="209"/>
        <v>0</v>
      </c>
      <c r="Y909" s="52">
        <f t="shared" si="210"/>
        <v>0</v>
      </c>
    </row>
    <row r="910" spans="1:25" x14ac:dyDescent="0.25">
      <c r="A910" s="1218" t="s">
        <v>92</v>
      </c>
      <c r="B910" s="98">
        <v>45505</v>
      </c>
      <c r="C910" s="117" t="str">
        <f t="shared" si="211"/>
        <v>3L</v>
      </c>
      <c r="D910" s="96"/>
      <c r="E910" s="98"/>
      <c r="F910" s="98"/>
      <c r="G910" s="41"/>
      <c r="H910" s="47"/>
      <c r="I910" s="99">
        <f t="shared" si="198"/>
        <v>0</v>
      </c>
      <c r="J910" s="41"/>
      <c r="K910" s="47"/>
      <c r="L910" s="99">
        <f t="shared" si="199"/>
        <v>0</v>
      </c>
      <c r="M910" s="44" t="str">
        <f t="shared" si="201"/>
        <v/>
      </c>
      <c r="N910" s="100">
        <f t="shared" si="202"/>
        <v>0</v>
      </c>
      <c r="O910" s="101">
        <f t="shared" si="203"/>
        <v>0</v>
      </c>
      <c r="P910" s="52">
        <f t="shared" si="204"/>
        <v>0</v>
      </c>
      <c r="Q910" s="49">
        <v>116.88487613461319</v>
      </c>
      <c r="R910">
        <v>2225</v>
      </c>
      <c r="S910" s="50">
        <f t="shared" si="200"/>
        <v>71535.307499999995</v>
      </c>
      <c r="T910" s="50">
        <f t="shared" si="205"/>
        <v>0</v>
      </c>
      <c r="U910" s="58">
        <f t="shared" si="206"/>
        <v>0</v>
      </c>
      <c r="V910" s="58">
        <f t="shared" si="207"/>
        <v>0</v>
      </c>
      <c r="W910" s="58">
        <f t="shared" si="208"/>
        <v>0</v>
      </c>
      <c r="X910" s="58">
        <f t="shared" si="209"/>
        <v>0</v>
      </c>
      <c r="Y910" s="52">
        <f t="shared" si="210"/>
        <v>0</v>
      </c>
    </row>
    <row r="911" spans="1:25" x14ac:dyDescent="0.25">
      <c r="A911" s="1218" t="s">
        <v>93</v>
      </c>
      <c r="B911" s="98">
        <v>45505</v>
      </c>
      <c r="C911" s="117" t="str">
        <f t="shared" si="211"/>
        <v>3L</v>
      </c>
      <c r="D911" s="96"/>
      <c r="E911" s="98"/>
      <c r="F911" s="98"/>
      <c r="G911" s="41"/>
      <c r="H911" s="47"/>
      <c r="I911" s="99">
        <f t="shared" si="198"/>
        <v>0</v>
      </c>
      <c r="J911" s="41"/>
      <c r="K911" s="47"/>
      <c r="L911" s="99">
        <f t="shared" si="199"/>
        <v>0</v>
      </c>
      <c r="M911" s="44" t="str">
        <f t="shared" si="201"/>
        <v/>
      </c>
      <c r="N911" s="100">
        <f t="shared" si="202"/>
        <v>0</v>
      </c>
      <c r="O911" s="101">
        <f t="shared" si="203"/>
        <v>0</v>
      </c>
      <c r="P911" s="52">
        <f t="shared" si="204"/>
        <v>0</v>
      </c>
      <c r="Q911" s="49">
        <v>116.88487613461319</v>
      </c>
      <c r="R911">
        <v>2225</v>
      </c>
      <c r="S911" s="50">
        <f t="shared" si="200"/>
        <v>71535.307499999995</v>
      </c>
      <c r="T911" s="50">
        <f t="shared" si="205"/>
        <v>0</v>
      </c>
      <c r="U911" s="58">
        <f t="shared" si="206"/>
        <v>0</v>
      </c>
      <c r="V911" s="58">
        <f t="shared" si="207"/>
        <v>0</v>
      </c>
      <c r="W911" s="58">
        <f t="shared" si="208"/>
        <v>0</v>
      </c>
      <c r="X911" s="58">
        <f t="shared" si="209"/>
        <v>0</v>
      </c>
      <c r="Y911" s="52">
        <f t="shared" si="210"/>
        <v>0</v>
      </c>
    </row>
    <row r="912" spans="1:25" x14ac:dyDescent="0.25">
      <c r="A912" s="1218" t="s">
        <v>94</v>
      </c>
      <c r="B912" s="98">
        <v>45505</v>
      </c>
      <c r="C912" s="117" t="str">
        <f t="shared" si="211"/>
        <v>3L</v>
      </c>
      <c r="D912" s="96"/>
      <c r="E912" s="98"/>
      <c r="F912" s="98"/>
      <c r="G912" s="41"/>
      <c r="H912" s="47"/>
      <c r="I912" s="99">
        <f t="shared" si="198"/>
        <v>0</v>
      </c>
      <c r="J912" s="41"/>
      <c r="K912" s="47"/>
      <c r="L912" s="99">
        <f t="shared" si="199"/>
        <v>0</v>
      </c>
      <c r="M912" s="44" t="str">
        <f t="shared" si="201"/>
        <v/>
      </c>
      <c r="N912" s="100">
        <f t="shared" si="202"/>
        <v>0</v>
      </c>
      <c r="O912" s="101">
        <f t="shared" si="203"/>
        <v>0</v>
      </c>
      <c r="P912" s="52">
        <f t="shared" si="204"/>
        <v>0</v>
      </c>
      <c r="Q912" s="49">
        <v>116.88487613461319</v>
      </c>
      <c r="R912">
        <v>2225</v>
      </c>
      <c r="S912" s="50">
        <f t="shared" si="200"/>
        <v>71535.307499999995</v>
      </c>
      <c r="T912" s="50">
        <f t="shared" si="205"/>
        <v>0</v>
      </c>
      <c r="U912" s="58">
        <f t="shared" si="206"/>
        <v>0</v>
      </c>
      <c r="V912" s="58">
        <f t="shared" si="207"/>
        <v>0</v>
      </c>
      <c r="W912" s="58">
        <f t="shared" si="208"/>
        <v>0</v>
      </c>
      <c r="X912" s="58">
        <f t="shared" si="209"/>
        <v>0</v>
      </c>
      <c r="Y912" s="52">
        <f t="shared" si="210"/>
        <v>0</v>
      </c>
    </row>
    <row r="913" spans="1:25" x14ac:dyDescent="0.25">
      <c r="A913" s="1218" t="s">
        <v>95</v>
      </c>
      <c r="B913" s="98">
        <v>45505</v>
      </c>
      <c r="C913" s="117" t="str">
        <f t="shared" si="211"/>
        <v>3L</v>
      </c>
      <c r="D913" s="96"/>
      <c r="E913" s="98"/>
      <c r="F913" s="98"/>
      <c r="G913" s="41"/>
      <c r="H913" s="47"/>
      <c r="I913" s="99">
        <f t="shared" si="198"/>
        <v>0</v>
      </c>
      <c r="J913" s="41"/>
      <c r="K913" s="47"/>
      <c r="L913" s="99">
        <f t="shared" si="199"/>
        <v>0</v>
      </c>
      <c r="M913" s="44" t="str">
        <f t="shared" si="201"/>
        <v/>
      </c>
      <c r="N913" s="100">
        <f t="shared" si="202"/>
        <v>0</v>
      </c>
      <c r="O913" s="101">
        <f t="shared" si="203"/>
        <v>0</v>
      </c>
      <c r="P913" s="52">
        <f t="shared" si="204"/>
        <v>0</v>
      </c>
      <c r="Q913" s="49">
        <v>116.88487613461319</v>
      </c>
      <c r="R913">
        <v>2225</v>
      </c>
      <c r="S913" s="50">
        <f t="shared" si="200"/>
        <v>71535.307499999995</v>
      </c>
      <c r="T913" s="50">
        <f t="shared" si="205"/>
        <v>0</v>
      </c>
      <c r="U913" s="58">
        <f t="shared" si="206"/>
        <v>0</v>
      </c>
      <c r="V913" s="58">
        <f t="shared" si="207"/>
        <v>0</v>
      </c>
      <c r="W913" s="58">
        <f t="shared" si="208"/>
        <v>0</v>
      </c>
      <c r="X913" s="58">
        <f t="shared" si="209"/>
        <v>0</v>
      </c>
      <c r="Y913" s="52">
        <f t="shared" si="210"/>
        <v>0</v>
      </c>
    </row>
    <row r="914" spans="1:25" x14ac:dyDescent="0.25">
      <c r="A914" s="1218" t="s">
        <v>96</v>
      </c>
      <c r="B914" s="98">
        <v>45505</v>
      </c>
      <c r="C914" s="117" t="str">
        <f t="shared" si="211"/>
        <v>3L</v>
      </c>
      <c r="D914" s="96"/>
      <c r="E914" s="98"/>
      <c r="F914" s="98"/>
      <c r="G914" s="41"/>
      <c r="H914" s="47"/>
      <c r="I914" s="99">
        <f t="shared" si="198"/>
        <v>0</v>
      </c>
      <c r="J914" s="41"/>
      <c r="K914" s="47"/>
      <c r="L914" s="99">
        <f t="shared" si="199"/>
        <v>0</v>
      </c>
      <c r="M914" s="44" t="str">
        <f t="shared" si="201"/>
        <v/>
      </c>
      <c r="N914" s="100">
        <f t="shared" si="202"/>
        <v>0</v>
      </c>
      <c r="O914" s="101">
        <f t="shared" si="203"/>
        <v>0</v>
      </c>
      <c r="P914" s="52">
        <f t="shared" si="204"/>
        <v>0</v>
      </c>
      <c r="Q914" s="49">
        <v>116.88487613461319</v>
      </c>
      <c r="R914">
        <v>2225</v>
      </c>
      <c r="S914" s="50">
        <f t="shared" si="200"/>
        <v>71535.307499999995</v>
      </c>
      <c r="T914" s="50">
        <f t="shared" si="205"/>
        <v>0</v>
      </c>
      <c r="U914" s="58">
        <f t="shared" si="206"/>
        <v>0</v>
      </c>
      <c r="V914" s="58">
        <f t="shared" si="207"/>
        <v>0</v>
      </c>
      <c r="W914" s="58">
        <f t="shared" si="208"/>
        <v>0</v>
      </c>
      <c r="X914" s="58">
        <f t="shared" si="209"/>
        <v>0</v>
      </c>
      <c r="Y914" s="52">
        <f t="shared" si="210"/>
        <v>0</v>
      </c>
    </row>
    <row r="915" spans="1:25" x14ac:dyDescent="0.25">
      <c r="A915" s="1218" t="s">
        <v>97</v>
      </c>
      <c r="B915" s="98">
        <v>45505</v>
      </c>
      <c r="C915" s="117" t="str">
        <f t="shared" si="211"/>
        <v>4L</v>
      </c>
      <c r="D915" s="96"/>
      <c r="E915" s="98"/>
      <c r="F915" s="98"/>
      <c r="I915" s="99">
        <f t="shared" si="198"/>
        <v>0</v>
      </c>
      <c r="J915">
        <v>35</v>
      </c>
      <c r="K915" s="49">
        <v>0.8361332918885036</v>
      </c>
      <c r="L915" s="99">
        <f t="shared" si="199"/>
        <v>2.9264665216097625E-2</v>
      </c>
      <c r="M915" s="44" t="str">
        <f t="shared" si="201"/>
        <v/>
      </c>
      <c r="N915" s="100">
        <f t="shared" si="202"/>
        <v>35</v>
      </c>
      <c r="O915" s="101">
        <f t="shared" si="203"/>
        <v>2.9264665216097625E-2</v>
      </c>
      <c r="P915" s="52">
        <f t="shared" si="204"/>
        <v>-1997.5138395933645</v>
      </c>
      <c r="Q915" s="49">
        <v>116.88487613461319</v>
      </c>
      <c r="R915">
        <v>2225</v>
      </c>
      <c r="S915" s="50">
        <f t="shared" si="200"/>
        <v>71535.307499999995</v>
      </c>
      <c r="T915" s="50">
        <f t="shared" si="205"/>
        <v>0</v>
      </c>
      <c r="U915" s="58">
        <f t="shared" si="206"/>
        <v>2093.4568251180972</v>
      </c>
      <c r="V915" s="58">
        <f t="shared" si="207"/>
        <v>0</v>
      </c>
      <c r="W915" s="58">
        <f t="shared" si="208"/>
        <v>4090.9706647114617</v>
      </c>
      <c r="X915" s="58">
        <f t="shared" si="209"/>
        <v>0</v>
      </c>
      <c r="Y915" s="52">
        <f t="shared" si="210"/>
        <v>-1997.5138395933645</v>
      </c>
    </row>
    <row r="916" spans="1:25" x14ac:dyDescent="0.25">
      <c r="A916" s="1218" t="s">
        <v>98</v>
      </c>
      <c r="B916" s="98">
        <v>45505</v>
      </c>
      <c r="C916" s="117" t="str">
        <f t="shared" si="211"/>
        <v>4L</v>
      </c>
      <c r="D916" s="96"/>
      <c r="E916" s="98"/>
      <c r="F916" s="98"/>
      <c r="I916" s="99">
        <f t="shared" si="198"/>
        <v>0</v>
      </c>
      <c r="L916" s="99">
        <f t="shared" si="199"/>
        <v>0</v>
      </c>
      <c r="M916" s="44" t="str">
        <f t="shared" si="201"/>
        <v/>
      </c>
      <c r="N916" s="100">
        <f t="shared" si="202"/>
        <v>0</v>
      </c>
      <c r="O916" s="101">
        <f t="shared" si="203"/>
        <v>0</v>
      </c>
      <c r="P916" s="52">
        <f t="shared" si="204"/>
        <v>0</v>
      </c>
      <c r="Q916" s="49">
        <v>116.88487613461319</v>
      </c>
      <c r="R916">
        <v>2225</v>
      </c>
      <c r="S916" s="50">
        <f t="shared" si="200"/>
        <v>71535.307499999995</v>
      </c>
      <c r="T916" s="50">
        <f t="shared" si="205"/>
        <v>0</v>
      </c>
      <c r="U916" s="58">
        <f t="shared" si="206"/>
        <v>0</v>
      </c>
      <c r="V916" s="58">
        <f t="shared" si="207"/>
        <v>0</v>
      </c>
      <c r="W916" s="58">
        <f t="shared" si="208"/>
        <v>0</v>
      </c>
      <c r="X916" s="58">
        <f t="shared" si="209"/>
        <v>0</v>
      </c>
      <c r="Y916" s="52">
        <f t="shared" si="210"/>
        <v>0</v>
      </c>
    </row>
    <row r="917" spans="1:25" x14ac:dyDescent="0.25">
      <c r="A917" s="1218" t="s">
        <v>99</v>
      </c>
      <c r="B917" s="98">
        <v>45505</v>
      </c>
      <c r="C917" s="117" t="str">
        <f t="shared" si="211"/>
        <v>4L</v>
      </c>
      <c r="D917" s="96"/>
      <c r="E917" s="98"/>
      <c r="F917" s="98"/>
      <c r="I917" s="99">
        <f t="shared" si="198"/>
        <v>0</v>
      </c>
      <c r="L917" s="99">
        <f t="shared" si="199"/>
        <v>0</v>
      </c>
      <c r="M917" s="44" t="str">
        <f t="shared" si="201"/>
        <v/>
      </c>
      <c r="N917" s="100">
        <f t="shared" si="202"/>
        <v>0</v>
      </c>
      <c r="O917" s="101">
        <f t="shared" si="203"/>
        <v>0</v>
      </c>
      <c r="P917" s="52">
        <f t="shared" si="204"/>
        <v>0</v>
      </c>
      <c r="Q917" s="49">
        <v>116.88487613461319</v>
      </c>
      <c r="R917">
        <v>2225</v>
      </c>
      <c r="S917" s="50">
        <f t="shared" si="200"/>
        <v>71535.307499999995</v>
      </c>
      <c r="T917" s="50">
        <f t="shared" si="205"/>
        <v>0</v>
      </c>
      <c r="U917" s="58">
        <f t="shared" si="206"/>
        <v>0</v>
      </c>
      <c r="V917" s="58">
        <f t="shared" si="207"/>
        <v>0</v>
      </c>
      <c r="W917" s="58">
        <f t="shared" si="208"/>
        <v>0</v>
      </c>
      <c r="X917" s="58">
        <f t="shared" si="209"/>
        <v>0</v>
      </c>
      <c r="Y917" s="52">
        <f t="shared" si="210"/>
        <v>0</v>
      </c>
    </row>
    <row r="918" spans="1:25" x14ac:dyDescent="0.25">
      <c r="A918" s="1218" t="s">
        <v>100</v>
      </c>
      <c r="B918" s="98">
        <v>45505</v>
      </c>
      <c r="C918" s="117" t="str">
        <f t="shared" si="211"/>
        <v>4L</v>
      </c>
      <c r="D918" s="96"/>
      <c r="E918" s="98"/>
      <c r="F918" s="98"/>
      <c r="I918" s="99">
        <f t="shared" si="198"/>
        <v>0</v>
      </c>
      <c r="L918" s="99">
        <f t="shared" si="199"/>
        <v>0</v>
      </c>
      <c r="M918" s="44" t="str">
        <f t="shared" si="201"/>
        <v/>
      </c>
      <c r="N918" s="100">
        <f t="shared" si="202"/>
        <v>0</v>
      </c>
      <c r="O918" s="101">
        <f t="shared" si="203"/>
        <v>0</v>
      </c>
      <c r="P918" s="52">
        <f t="shared" si="204"/>
        <v>0</v>
      </c>
      <c r="Q918" s="49">
        <v>116.88487613461319</v>
      </c>
      <c r="R918">
        <v>2225</v>
      </c>
      <c r="S918" s="50">
        <f t="shared" si="200"/>
        <v>71535.307499999995</v>
      </c>
      <c r="T918" s="50">
        <f t="shared" si="205"/>
        <v>0</v>
      </c>
      <c r="U918" s="58">
        <f t="shared" si="206"/>
        <v>0</v>
      </c>
      <c r="V918" s="58">
        <f t="shared" si="207"/>
        <v>0</v>
      </c>
      <c r="W918" s="58">
        <f t="shared" si="208"/>
        <v>0</v>
      </c>
      <c r="X918" s="58">
        <f t="shared" si="209"/>
        <v>0</v>
      </c>
      <c r="Y918" s="52">
        <f t="shared" si="210"/>
        <v>0</v>
      </c>
    </row>
    <row r="919" spans="1:25" x14ac:dyDescent="0.25">
      <c r="A919" s="1218" t="s">
        <v>101</v>
      </c>
      <c r="B919" s="98">
        <v>45505</v>
      </c>
      <c r="C919" s="117" t="str">
        <f t="shared" si="211"/>
        <v>4L</v>
      </c>
      <c r="D919" s="96"/>
      <c r="E919" s="98"/>
      <c r="F919" s="98"/>
      <c r="G919" s="43">
        <v>2030</v>
      </c>
      <c r="H919" s="26">
        <v>1.3</v>
      </c>
      <c r="I919" s="99">
        <f t="shared" si="198"/>
        <v>2.6389999999999998</v>
      </c>
      <c r="J919">
        <v>2264</v>
      </c>
      <c r="K919" s="49">
        <v>1.4864591855795619</v>
      </c>
      <c r="L919" s="99">
        <f t="shared" si="199"/>
        <v>3.3653435961521283</v>
      </c>
      <c r="M919" s="44">
        <f t="shared" si="201"/>
        <v>0.27523440551425865</v>
      </c>
      <c r="N919" s="100">
        <f t="shared" si="202"/>
        <v>234</v>
      </c>
      <c r="O919" s="101">
        <f t="shared" si="203"/>
        <v>0.72634359615212851</v>
      </c>
      <c r="P919" s="52">
        <f t="shared" si="204"/>
        <v>-23886.470574865991</v>
      </c>
      <c r="Q919" s="49">
        <v>116.88487613461319</v>
      </c>
      <c r="R919">
        <v>2225</v>
      </c>
      <c r="S919" s="50">
        <f t="shared" si="200"/>
        <v>71535.307499999995</v>
      </c>
      <c r="T919" s="50">
        <f t="shared" si="205"/>
        <v>188781.67649249997</v>
      </c>
      <c r="U919" s="58">
        <f t="shared" si="206"/>
        <v>240740.88899389829</v>
      </c>
      <c r="V919" s="58">
        <f t="shared" si="207"/>
        <v>237276.29855326479</v>
      </c>
      <c r="W919" s="58">
        <f t="shared" si="208"/>
        <v>264627.35956876428</v>
      </c>
      <c r="X919" s="58">
        <f t="shared" si="209"/>
        <v>-48494.622060764814</v>
      </c>
      <c r="Y919" s="52">
        <f t="shared" si="210"/>
        <v>-23886.470574865991</v>
      </c>
    </row>
    <row r="920" spans="1:25" x14ac:dyDescent="0.25">
      <c r="A920" s="1218" t="s">
        <v>102</v>
      </c>
      <c r="B920" s="98">
        <v>45505</v>
      </c>
      <c r="C920" s="117" t="str">
        <f t="shared" si="211"/>
        <v>4L</v>
      </c>
      <c r="D920" s="96"/>
      <c r="E920" s="98"/>
      <c r="F920" s="98"/>
      <c r="G920" s="43"/>
      <c r="H920" s="26"/>
      <c r="I920" s="99">
        <f t="shared" si="198"/>
        <v>0</v>
      </c>
      <c r="K920" s="49"/>
      <c r="L920" s="99">
        <f t="shared" si="199"/>
        <v>0</v>
      </c>
      <c r="M920" s="44" t="str">
        <f t="shared" si="201"/>
        <v/>
      </c>
      <c r="N920" s="100">
        <f t="shared" si="202"/>
        <v>0</v>
      </c>
      <c r="O920" s="101">
        <f t="shared" si="203"/>
        <v>0</v>
      </c>
      <c r="P920" s="52">
        <f t="shared" si="204"/>
        <v>0</v>
      </c>
      <c r="Q920" s="49">
        <v>116.88487613461319</v>
      </c>
      <c r="R920">
        <v>2225</v>
      </c>
      <c r="S920" s="50">
        <f t="shared" si="200"/>
        <v>71535.307499999995</v>
      </c>
      <c r="T920" s="50">
        <f t="shared" si="205"/>
        <v>0</v>
      </c>
      <c r="U920" s="58">
        <f t="shared" si="206"/>
        <v>0</v>
      </c>
      <c r="V920" s="58">
        <f t="shared" si="207"/>
        <v>0</v>
      </c>
      <c r="W920" s="58">
        <f t="shared" si="208"/>
        <v>0</v>
      </c>
      <c r="X920" s="58">
        <f t="shared" si="209"/>
        <v>0</v>
      </c>
      <c r="Y920" s="52">
        <f t="shared" si="210"/>
        <v>0</v>
      </c>
    </row>
    <row r="921" spans="1:25" x14ac:dyDescent="0.25">
      <c r="A921" s="1218" t="s">
        <v>103</v>
      </c>
      <c r="B921" s="98">
        <v>45505</v>
      </c>
      <c r="C921" s="117" t="str">
        <f t="shared" si="211"/>
        <v>4L</v>
      </c>
      <c r="D921" s="96"/>
      <c r="E921" s="98"/>
      <c r="F921" s="98"/>
      <c r="I921" s="99">
        <f t="shared" si="198"/>
        <v>0</v>
      </c>
      <c r="L921" s="99">
        <f t="shared" si="199"/>
        <v>0</v>
      </c>
      <c r="M921" s="44" t="str">
        <f t="shared" si="201"/>
        <v/>
      </c>
      <c r="N921" s="100">
        <f t="shared" si="202"/>
        <v>0</v>
      </c>
      <c r="O921" s="101">
        <f t="shared" si="203"/>
        <v>0</v>
      </c>
      <c r="P921" s="52">
        <f t="shared" si="204"/>
        <v>0</v>
      </c>
      <c r="Q921" s="49">
        <v>116.88487613461319</v>
      </c>
      <c r="R921">
        <v>2225</v>
      </c>
      <c r="S921" s="50">
        <f t="shared" si="200"/>
        <v>71535.307499999995</v>
      </c>
      <c r="T921" s="50">
        <f t="shared" si="205"/>
        <v>0</v>
      </c>
      <c r="U921" s="58">
        <f t="shared" si="206"/>
        <v>0</v>
      </c>
      <c r="V921" s="58">
        <f t="shared" si="207"/>
        <v>0</v>
      </c>
      <c r="W921" s="58">
        <f t="shared" si="208"/>
        <v>0</v>
      </c>
      <c r="X921" s="58">
        <f t="shared" si="209"/>
        <v>0</v>
      </c>
      <c r="Y921" s="52">
        <f t="shared" si="210"/>
        <v>0</v>
      </c>
    </row>
    <row r="922" spans="1:25" x14ac:dyDescent="0.25">
      <c r="A922" s="1218" t="s">
        <v>104</v>
      </c>
      <c r="B922" s="98">
        <v>45505</v>
      </c>
      <c r="C922" s="117" t="str">
        <f t="shared" si="211"/>
        <v>4L</v>
      </c>
      <c r="D922" s="96"/>
      <c r="E922" s="98"/>
      <c r="F922" s="98"/>
      <c r="I922" s="99">
        <f t="shared" si="198"/>
        <v>0</v>
      </c>
      <c r="L922" s="99">
        <f t="shared" si="199"/>
        <v>0</v>
      </c>
      <c r="M922" s="44" t="str">
        <f t="shared" si="201"/>
        <v/>
      </c>
      <c r="N922" s="100">
        <f t="shared" si="202"/>
        <v>0</v>
      </c>
      <c r="O922" s="101">
        <f t="shared" si="203"/>
        <v>0</v>
      </c>
      <c r="P922" s="52">
        <f t="shared" si="204"/>
        <v>0</v>
      </c>
      <c r="Q922" s="49">
        <v>116.88487613461319</v>
      </c>
      <c r="R922">
        <v>2225</v>
      </c>
      <c r="S922" s="50">
        <f t="shared" si="200"/>
        <v>71535.307499999995</v>
      </c>
      <c r="T922" s="50">
        <f t="shared" si="205"/>
        <v>0</v>
      </c>
      <c r="U922" s="58">
        <f t="shared" si="206"/>
        <v>0</v>
      </c>
      <c r="V922" s="58">
        <f t="shared" si="207"/>
        <v>0</v>
      </c>
      <c r="W922" s="58">
        <f t="shared" si="208"/>
        <v>0</v>
      </c>
      <c r="X922" s="58">
        <f t="shared" si="209"/>
        <v>0</v>
      </c>
      <c r="Y922" s="52">
        <f t="shared" si="210"/>
        <v>0</v>
      </c>
    </row>
    <row r="923" spans="1:25" x14ac:dyDescent="0.25">
      <c r="A923" s="1218" t="s">
        <v>105</v>
      </c>
      <c r="B923" s="98">
        <v>45505</v>
      </c>
      <c r="C923" s="117" t="str">
        <f t="shared" si="211"/>
        <v>4L</v>
      </c>
      <c r="D923" s="96"/>
      <c r="E923" s="98"/>
      <c r="F923" s="98"/>
      <c r="I923" s="99">
        <f t="shared" si="198"/>
        <v>0</v>
      </c>
      <c r="L923" s="99">
        <f t="shared" si="199"/>
        <v>0</v>
      </c>
      <c r="M923" s="44" t="str">
        <f t="shared" si="201"/>
        <v/>
      </c>
      <c r="N923" s="100">
        <f t="shared" si="202"/>
        <v>0</v>
      </c>
      <c r="O923" s="101">
        <f t="shared" si="203"/>
        <v>0</v>
      </c>
      <c r="P923" s="52">
        <f t="shared" si="204"/>
        <v>0</v>
      </c>
      <c r="Q923" s="49">
        <v>116.88487613461319</v>
      </c>
      <c r="R923">
        <v>2225</v>
      </c>
      <c r="S923" s="50">
        <f t="shared" si="200"/>
        <v>71535.307499999995</v>
      </c>
      <c r="T923" s="50">
        <f t="shared" si="205"/>
        <v>0</v>
      </c>
      <c r="U923" s="58">
        <f t="shared" si="206"/>
        <v>0</v>
      </c>
      <c r="V923" s="58">
        <f t="shared" si="207"/>
        <v>0</v>
      </c>
      <c r="W923" s="58">
        <f t="shared" si="208"/>
        <v>0</v>
      </c>
      <c r="X923" s="58">
        <f t="shared" si="209"/>
        <v>0</v>
      </c>
      <c r="Y923" s="52">
        <f t="shared" si="210"/>
        <v>0</v>
      </c>
    </row>
    <row r="924" spans="1:25" x14ac:dyDescent="0.25">
      <c r="A924" s="1218" t="s">
        <v>106</v>
      </c>
      <c r="B924" s="98">
        <v>45505</v>
      </c>
      <c r="C924" s="117" t="str">
        <f t="shared" si="211"/>
        <v>4L</v>
      </c>
      <c r="D924" s="96"/>
      <c r="E924" s="98"/>
      <c r="F924" s="98"/>
      <c r="I924" s="99">
        <f t="shared" si="198"/>
        <v>0</v>
      </c>
      <c r="L924" s="99">
        <f t="shared" si="199"/>
        <v>0</v>
      </c>
      <c r="M924" s="44" t="str">
        <f t="shared" si="201"/>
        <v/>
      </c>
      <c r="N924" s="100">
        <f t="shared" si="202"/>
        <v>0</v>
      </c>
      <c r="O924" s="101">
        <f t="shared" si="203"/>
        <v>0</v>
      </c>
      <c r="P924" s="52">
        <f t="shared" si="204"/>
        <v>0</v>
      </c>
      <c r="Q924" s="49">
        <v>116.88487613461319</v>
      </c>
      <c r="R924">
        <v>2225</v>
      </c>
      <c r="S924" s="50">
        <f t="shared" si="200"/>
        <v>71535.307499999995</v>
      </c>
      <c r="T924" s="50">
        <f t="shared" si="205"/>
        <v>0</v>
      </c>
      <c r="U924" s="58">
        <f t="shared" si="206"/>
        <v>0</v>
      </c>
      <c r="V924" s="58">
        <f t="shared" si="207"/>
        <v>0</v>
      </c>
      <c r="W924" s="58">
        <f t="shared" si="208"/>
        <v>0</v>
      </c>
      <c r="X924" s="58">
        <f t="shared" si="209"/>
        <v>0</v>
      </c>
      <c r="Y924" s="52">
        <f t="shared" si="210"/>
        <v>0</v>
      </c>
    </row>
    <row r="925" spans="1:25" x14ac:dyDescent="0.25">
      <c r="A925" s="1218" t="s">
        <v>107</v>
      </c>
      <c r="B925" s="98">
        <v>45505</v>
      </c>
      <c r="C925" s="117" t="str">
        <f t="shared" si="211"/>
        <v>4L</v>
      </c>
      <c r="D925" s="96"/>
      <c r="E925" s="98"/>
      <c r="F925" s="98"/>
      <c r="I925" s="99">
        <f t="shared" si="198"/>
        <v>0</v>
      </c>
      <c r="J925">
        <v>850</v>
      </c>
      <c r="K925" s="49">
        <v>1.4245233861804134</v>
      </c>
      <c r="L925" s="99">
        <f t="shared" si="199"/>
        <v>1.2108448782533514</v>
      </c>
      <c r="M925" s="44" t="str">
        <f t="shared" si="201"/>
        <v/>
      </c>
      <c r="N925" s="100">
        <f t="shared" si="202"/>
        <v>850</v>
      </c>
      <c r="O925" s="101">
        <f t="shared" si="203"/>
        <v>1.2108448782533514</v>
      </c>
      <c r="P925" s="52">
        <f t="shared" si="204"/>
        <v>-12733.984013767666</v>
      </c>
      <c r="Q925" s="49">
        <v>116.88487613461319</v>
      </c>
      <c r="R925">
        <v>2225</v>
      </c>
      <c r="S925" s="50">
        <f t="shared" si="200"/>
        <v>71535.307499999995</v>
      </c>
      <c r="T925" s="50">
        <f t="shared" si="205"/>
        <v>0</v>
      </c>
      <c r="U925" s="58">
        <f t="shared" si="206"/>
        <v>86618.160700653549</v>
      </c>
      <c r="V925" s="58">
        <f t="shared" si="207"/>
        <v>0</v>
      </c>
      <c r="W925" s="58">
        <f t="shared" si="208"/>
        <v>99352.144714421214</v>
      </c>
      <c r="X925" s="58">
        <f t="shared" si="209"/>
        <v>0</v>
      </c>
      <c r="Y925" s="52">
        <f t="shared" si="210"/>
        <v>-12733.984013767666</v>
      </c>
    </row>
    <row r="926" spans="1:25" x14ac:dyDescent="0.25">
      <c r="A926" s="1218" t="s">
        <v>108</v>
      </c>
      <c r="B926" s="98">
        <v>45505</v>
      </c>
      <c r="C926" s="117" t="str">
        <f t="shared" si="211"/>
        <v>4L</v>
      </c>
      <c r="D926" s="96"/>
      <c r="E926" s="98"/>
      <c r="F926" s="98"/>
      <c r="I926" s="99">
        <f t="shared" si="198"/>
        <v>0</v>
      </c>
      <c r="L926" s="99">
        <f t="shared" si="199"/>
        <v>0</v>
      </c>
      <c r="M926" s="44" t="str">
        <f t="shared" si="201"/>
        <v/>
      </c>
      <c r="N926" s="100">
        <f t="shared" si="202"/>
        <v>0</v>
      </c>
      <c r="O926" s="101">
        <f t="shared" si="203"/>
        <v>0</v>
      </c>
      <c r="P926" s="52">
        <f t="shared" si="204"/>
        <v>0</v>
      </c>
      <c r="Q926" s="49">
        <v>116.88487613461319</v>
      </c>
      <c r="R926">
        <v>2225</v>
      </c>
      <c r="S926" s="50">
        <f t="shared" si="200"/>
        <v>71535.307499999995</v>
      </c>
      <c r="T926" s="50">
        <f t="shared" si="205"/>
        <v>0</v>
      </c>
      <c r="U926" s="58">
        <f t="shared" si="206"/>
        <v>0</v>
      </c>
      <c r="V926" s="58">
        <f t="shared" si="207"/>
        <v>0</v>
      </c>
      <c r="W926" s="58">
        <f t="shared" si="208"/>
        <v>0</v>
      </c>
      <c r="X926" s="58">
        <f t="shared" si="209"/>
        <v>0</v>
      </c>
      <c r="Y926" s="52">
        <f t="shared" si="210"/>
        <v>0</v>
      </c>
    </row>
    <row r="927" spans="1:25" x14ac:dyDescent="0.25">
      <c r="A927" s="1218" t="s">
        <v>109</v>
      </c>
      <c r="B927" s="98">
        <v>45505</v>
      </c>
      <c r="C927" s="117" t="str">
        <f t="shared" si="211"/>
        <v>4L</v>
      </c>
      <c r="D927" s="96"/>
      <c r="E927" s="98"/>
      <c r="F927" s="98"/>
      <c r="G927" s="43">
        <v>2030</v>
      </c>
      <c r="H927" s="26">
        <v>1.99</v>
      </c>
      <c r="I927" s="99">
        <f t="shared" si="198"/>
        <v>4.0396999999999998</v>
      </c>
      <c r="J927">
        <v>1464.6</v>
      </c>
      <c r="K927" s="49">
        <v>2.384528276867214</v>
      </c>
      <c r="L927" s="99">
        <f t="shared" si="199"/>
        <v>3.4923801142997215</v>
      </c>
      <c r="M927" s="44">
        <f t="shared" si="201"/>
        <v>-0.13548528002086252</v>
      </c>
      <c r="N927" s="100">
        <f t="shared" si="202"/>
        <v>-565.40000000000009</v>
      </c>
      <c r="O927" s="101">
        <f t="shared" si="203"/>
        <v>-0.54731988570027834</v>
      </c>
      <c r="P927" s="52">
        <f t="shared" si="204"/>
        <v>78638.895796561235</v>
      </c>
      <c r="Q927" s="49">
        <v>116.88487613461319</v>
      </c>
      <c r="R927">
        <v>2225</v>
      </c>
      <c r="S927" s="50">
        <f t="shared" si="200"/>
        <v>71535.307499999995</v>
      </c>
      <c r="T927" s="50">
        <f t="shared" si="205"/>
        <v>288981.18170774996</v>
      </c>
      <c r="U927" s="58">
        <f t="shared" si="206"/>
        <v>249828.48538331571</v>
      </c>
      <c r="V927" s="58">
        <f t="shared" si="207"/>
        <v>237276.29855326479</v>
      </c>
      <c r="W927" s="58">
        <f t="shared" si="208"/>
        <v>171189.58958675448</v>
      </c>
      <c r="X927" s="58">
        <f t="shared" si="209"/>
        <v>51704.883154485171</v>
      </c>
      <c r="Y927" s="52">
        <f t="shared" si="210"/>
        <v>78638.895796561235</v>
      </c>
    </row>
    <row r="928" spans="1:25" x14ac:dyDescent="0.25">
      <c r="A928" s="1218" t="s">
        <v>110</v>
      </c>
      <c r="B928" s="98">
        <v>45505</v>
      </c>
      <c r="C928" s="117" t="str">
        <f t="shared" si="211"/>
        <v>4L</v>
      </c>
      <c r="D928" s="96"/>
      <c r="E928" s="98"/>
      <c r="F928" s="98"/>
      <c r="G928" s="43">
        <v>3045</v>
      </c>
      <c r="H928" s="26">
        <v>2.87</v>
      </c>
      <c r="I928" s="99">
        <f t="shared" si="198"/>
        <v>8.7391500000000004</v>
      </c>
      <c r="J928">
        <v>2252</v>
      </c>
      <c r="K928" s="49">
        <v>1.7032344834765811</v>
      </c>
      <c r="L928" s="99">
        <f t="shared" si="199"/>
        <v>3.8356840567892609</v>
      </c>
      <c r="M928" s="44">
        <f t="shared" si="201"/>
        <v>-0.56109186170402603</v>
      </c>
      <c r="N928" s="100">
        <f t="shared" si="202"/>
        <v>-793</v>
      </c>
      <c r="O928" s="101">
        <f t="shared" si="203"/>
        <v>-4.9034659432107395</v>
      </c>
      <c r="P928" s="52">
        <f t="shared" si="204"/>
        <v>11162.097420118342</v>
      </c>
      <c r="Q928" s="49">
        <v>116.88487613461319</v>
      </c>
      <c r="R928">
        <v>2225</v>
      </c>
      <c r="S928" s="50">
        <f t="shared" si="200"/>
        <v>71535.307499999995</v>
      </c>
      <c r="T928" s="50">
        <f t="shared" si="205"/>
        <v>625157.78253862495</v>
      </c>
      <c r="U928" s="58">
        <f t="shared" si="206"/>
        <v>274386.83847526723</v>
      </c>
      <c r="V928" s="58">
        <f t="shared" si="207"/>
        <v>355914.44782989717</v>
      </c>
      <c r="W928" s="58">
        <f t="shared" si="208"/>
        <v>263224.74105514889</v>
      </c>
      <c r="X928" s="58">
        <f t="shared" si="209"/>
        <v>269243.33470872778</v>
      </c>
      <c r="Y928" s="52">
        <f t="shared" si="210"/>
        <v>11162.097420118342</v>
      </c>
    </row>
    <row r="929" spans="1:25" x14ac:dyDescent="0.25">
      <c r="A929" s="1218" t="s">
        <v>111</v>
      </c>
      <c r="B929" s="98">
        <v>45505</v>
      </c>
      <c r="C929" s="117" t="str">
        <f t="shared" si="211"/>
        <v>4L</v>
      </c>
      <c r="D929" s="96"/>
      <c r="E929" s="98"/>
      <c r="F929" s="98"/>
      <c r="I929" s="99">
        <f t="shared" si="198"/>
        <v>0</v>
      </c>
      <c r="L929" s="99">
        <f t="shared" si="199"/>
        <v>0</v>
      </c>
      <c r="M929" s="44" t="str">
        <f t="shared" si="201"/>
        <v/>
      </c>
      <c r="N929" s="100">
        <f t="shared" si="202"/>
        <v>0</v>
      </c>
      <c r="O929" s="101">
        <f t="shared" si="203"/>
        <v>0</v>
      </c>
      <c r="P929" s="52">
        <f t="shared" si="204"/>
        <v>0</v>
      </c>
      <c r="Q929" s="49">
        <v>116.88487613461319</v>
      </c>
      <c r="R929">
        <v>2225</v>
      </c>
      <c r="S929" s="50">
        <f t="shared" si="200"/>
        <v>71535.307499999995</v>
      </c>
      <c r="T929" s="50">
        <f t="shared" si="205"/>
        <v>0</v>
      </c>
      <c r="U929" s="58">
        <f t="shared" si="206"/>
        <v>0</v>
      </c>
      <c r="V929" s="58">
        <f t="shared" si="207"/>
        <v>0</v>
      </c>
      <c r="W929" s="58">
        <f t="shared" si="208"/>
        <v>0</v>
      </c>
      <c r="X929" s="58">
        <f t="shared" si="209"/>
        <v>0</v>
      </c>
      <c r="Y929" s="52">
        <f t="shared" si="210"/>
        <v>0</v>
      </c>
    </row>
    <row r="930" spans="1:25" x14ac:dyDescent="0.25">
      <c r="A930" s="1218" t="s">
        <v>112</v>
      </c>
      <c r="B930" s="98">
        <v>45505</v>
      </c>
      <c r="C930" s="117" t="str">
        <f t="shared" si="211"/>
        <v>4L</v>
      </c>
      <c r="D930" s="96"/>
      <c r="E930" s="98"/>
      <c r="F930" s="98"/>
      <c r="I930" s="99">
        <f t="shared" si="198"/>
        <v>0</v>
      </c>
      <c r="L930" s="99">
        <f t="shared" si="199"/>
        <v>0</v>
      </c>
      <c r="M930" s="44" t="str">
        <f t="shared" si="201"/>
        <v/>
      </c>
      <c r="N930" s="100">
        <f t="shared" si="202"/>
        <v>0</v>
      </c>
      <c r="O930" s="101">
        <f t="shared" si="203"/>
        <v>0</v>
      </c>
      <c r="P930" s="52">
        <f t="shared" si="204"/>
        <v>0</v>
      </c>
      <c r="Q930" s="49">
        <v>116.88487613461319</v>
      </c>
      <c r="R930">
        <v>2225</v>
      </c>
      <c r="S930" s="50">
        <f t="shared" si="200"/>
        <v>71535.307499999995</v>
      </c>
      <c r="T930" s="50">
        <f t="shared" si="205"/>
        <v>0</v>
      </c>
      <c r="U930" s="58">
        <f t="shared" si="206"/>
        <v>0</v>
      </c>
      <c r="V930" s="58">
        <f t="shared" si="207"/>
        <v>0</v>
      </c>
      <c r="W930" s="58">
        <f t="shared" si="208"/>
        <v>0</v>
      </c>
      <c r="X930" s="58">
        <f t="shared" si="209"/>
        <v>0</v>
      </c>
      <c r="Y930" s="52">
        <f t="shared" si="210"/>
        <v>0</v>
      </c>
    </row>
    <row r="931" spans="1:25" x14ac:dyDescent="0.25">
      <c r="A931" s="1218" t="s">
        <v>113</v>
      </c>
      <c r="B931" s="98">
        <v>45505</v>
      </c>
      <c r="C931" s="117" t="str">
        <f t="shared" si="211"/>
        <v>4L</v>
      </c>
      <c r="D931" s="96"/>
      <c r="E931" s="98"/>
      <c r="F931" s="98"/>
      <c r="I931" s="99">
        <f t="shared" si="198"/>
        <v>0</v>
      </c>
      <c r="L931" s="99">
        <f t="shared" si="199"/>
        <v>0</v>
      </c>
      <c r="M931" s="44" t="str">
        <f t="shared" si="201"/>
        <v/>
      </c>
      <c r="N931" s="100">
        <f t="shared" si="202"/>
        <v>0</v>
      </c>
      <c r="O931" s="101">
        <f t="shared" si="203"/>
        <v>0</v>
      </c>
      <c r="P931" s="52">
        <f t="shared" si="204"/>
        <v>0</v>
      </c>
      <c r="Q931" s="49">
        <v>116.88487613461319</v>
      </c>
      <c r="R931">
        <v>2225</v>
      </c>
      <c r="S931" s="50">
        <f t="shared" si="200"/>
        <v>71535.307499999995</v>
      </c>
      <c r="T931" s="50">
        <f t="shared" si="205"/>
        <v>0</v>
      </c>
      <c r="U931" s="58">
        <f t="shared" si="206"/>
        <v>0</v>
      </c>
      <c r="V931" s="58">
        <f t="shared" si="207"/>
        <v>0</v>
      </c>
      <c r="W931" s="58">
        <f t="shared" si="208"/>
        <v>0</v>
      </c>
      <c r="X931" s="58">
        <f t="shared" si="209"/>
        <v>0</v>
      </c>
      <c r="Y931" s="52">
        <f t="shared" si="210"/>
        <v>0</v>
      </c>
    </row>
    <row r="932" spans="1:25" x14ac:dyDescent="0.25">
      <c r="A932" s="1218" t="s">
        <v>114</v>
      </c>
      <c r="B932" s="98">
        <v>45505</v>
      </c>
      <c r="C932" s="117" t="str">
        <f t="shared" si="211"/>
        <v>4L</v>
      </c>
      <c r="D932" s="96"/>
      <c r="E932" s="98"/>
      <c r="F932" s="98"/>
      <c r="I932" s="99">
        <f t="shared" si="198"/>
        <v>0</v>
      </c>
      <c r="L932" s="99">
        <f t="shared" si="199"/>
        <v>0</v>
      </c>
      <c r="M932" s="44" t="str">
        <f t="shared" si="201"/>
        <v/>
      </c>
      <c r="N932" s="100">
        <f t="shared" si="202"/>
        <v>0</v>
      </c>
      <c r="O932" s="101">
        <f t="shared" si="203"/>
        <v>0</v>
      </c>
      <c r="P932" s="52">
        <f t="shared" si="204"/>
        <v>0</v>
      </c>
      <c r="Q932" s="49">
        <v>116.88487613461319</v>
      </c>
      <c r="R932">
        <v>2225</v>
      </c>
      <c r="S932" s="50">
        <f t="shared" si="200"/>
        <v>71535.307499999995</v>
      </c>
      <c r="T932" s="50">
        <f t="shared" si="205"/>
        <v>0</v>
      </c>
      <c r="U932" s="58">
        <f t="shared" si="206"/>
        <v>0</v>
      </c>
      <c r="V932" s="58">
        <f t="shared" si="207"/>
        <v>0</v>
      </c>
      <c r="W932" s="58">
        <f t="shared" si="208"/>
        <v>0</v>
      </c>
      <c r="X932" s="58">
        <f t="shared" si="209"/>
        <v>0</v>
      </c>
      <c r="Y932" s="52">
        <f t="shared" si="210"/>
        <v>0</v>
      </c>
    </row>
    <row r="933" spans="1:25" x14ac:dyDescent="0.25">
      <c r="A933" s="1218" t="s">
        <v>115</v>
      </c>
      <c r="B933" s="98">
        <v>45505</v>
      </c>
      <c r="C933" s="117" t="str">
        <f t="shared" si="211"/>
        <v>4L</v>
      </c>
      <c r="D933" s="96"/>
      <c r="E933" s="98"/>
      <c r="F933" s="98"/>
      <c r="G933" s="43">
        <v>3063</v>
      </c>
      <c r="H933" s="26">
        <v>2.36</v>
      </c>
      <c r="I933" s="99">
        <f t="shared" ref="I933:I1001" si="212">IFERROR(G933*H933/1000,"")</f>
        <v>7.2286799999999998</v>
      </c>
      <c r="J933">
        <v>1636</v>
      </c>
      <c r="K933" s="49">
        <v>1.9509776810731752</v>
      </c>
      <c r="L933" s="99">
        <f t="shared" ref="L933:L1001" si="213">IFERROR(J933*K933/1000,"")</f>
        <v>3.1917994862357144</v>
      </c>
      <c r="M933" s="44">
        <f t="shared" si="201"/>
        <v>-0.55845334331638496</v>
      </c>
      <c r="N933" s="100">
        <f t="shared" si="202"/>
        <v>-1427</v>
      </c>
      <c r="O933" s="101">
        <f t="shared" si="203"/>
        <v>-4.0368805137642854</v>
      </c>
      <c r="P933" s="52">
        <f t="shared" si="204"/>
        <v>37102.700369986647</v>
      </c>
      <c r="Q933" s="49">
        <v>116.88487613461319</v>
      </c>
      <c r="R933">
        <v>2225</v>
      </c>
      <c r="S933" s="50">
        <f t="shared" ref="S933:S1001" si="214">R933*32.1507</f>
        <v>71535.307499999995</v>
      </c>
      <c r="T933" s="50">
        <f t="shared" si="205"/>
        <v>517105.84661909996</v>
      </c>
      <c r="U933" s="58">
        <f t="shared" si="206"/>
        <v>228326.35772621384</v>
      </c>
      <c r="V933" s="58">
        <f t="shared" si="207"/>
        <v>358018.37560032023</v>
      </c>
      <c r="W933" s="58">
        <f t="shared" si="208"/>
        <v>191223.6573562272</v>
      </c>
      <c r="X933" s="58">
        <f t="shared" si="209"/>
        <v>159087.47101877973</v>
      </c>
      <c r="Y933" s="52">
        <f t="shared" si="210"/>
        <v>37102.700369986647</v>
      </c>
    </row>
    <row r="934" spans="1:25" x14ac:dyDescent="0.25">
      <c r="A934" s="1218" t="s">
        <v>116</v>
      </c>
      <c r="B934" s="98">
        <v>45505</v>
      </c>
      <c r="C934" s="117" t="str">
        <f t="shared" si="211"/>
        <v>4L</v>
      </c>
      <c r="D934" s="96"/>
      <c r="E934" s="98"/>
      <c r="F934" s="98"/>
      <c r="G934" s="51">
        <v>3045</v>
      </c>
      <c r="H934" s="26">
        <v>1.9299999999999995</v>
      </c>
      <c r="I934" s="99">
        <f t="shared" si="212"/>
        <v>5.8768499999999984</v>
      </c>
      <c r="J934" s="52">
        <v>3288.6000000000004</v>
      </c>
      <c r="K934" s="49">
        <v>4.2838927917744325</v>
      </c>
      <c r="L934" s="99">
        <f t="shared" si="213"/>
        <v>14.088009835029402</v>
      </c>
      <c r="M934" s="44">
        <f t="shared" si="201"/>
        <v>1.3972042565369891</v>
      </c>
      <c r="N934" s="100">
        <f t="shared" si="202"/>
        <v>243.60000000000036</v>
      </c>
      <c r="O934" s="101">
        <f t="shared" si="203"/>
        <v>8.2111598350294024</v>
      </c>
      <c r="P934" s="52">
        <f t="shared" si="204"/>
        <v>623402.51195556344</v>
      </c>
      <c r="Q934" s="49">
        <v>116.88487613461319</v>
      </c>
      <c r="R934">
        <v>2225</v>
      </c>
      <c r="S934" s="50">
        <f t="shared" si="214"/>
        <v>71535.307499999995</v>
      </c>
      <c r="T934" s="50">
        <f t="shared" si="205"/>
        <v>420402.27188137488</v>
      </c>
      <c r="U934" s="58">
        <f t="shared" si="206"/>
        <v>1007790.1156118525</v>
      </c>
      <c r="V934" s="58">
        <f t="shared" si="207"/>
        <v>355914.44782989717</v>
      </c>
      <c r="W934" s="58">
        <f t="shared" si="208"/>
        <v>384387.60365628899</v>
      </c>
      <c r="X934" s="58">
        <f t="shared" si="209"/>
        <v>64487.824051477714</v>
      </c>
      <c r="Y934" s="52">
        <f t="shared" si="210"/>
        <v>623402.51195556344</v>
      </c>
    </row>
    <row r="935" spans="1:25" x14ac:dyDescent="0.25">
      <c r="A935" s="1218" t="s">
        <v>117</v>
      </c>
      <c r="B935" s="98">
        <v>45505</v>
      </c>
      <c r="C935" s="117" t="str">
        <f t="shared" si="211"/>
        <v>4L</v>
      </c>
      <c r="D935" s="96"/>
      <c r="E935" s="98"/>
      <c r="F935" s="98"/>
      <c r="I935" s="99">
        <f t="shared" si="212"/>
        <v>0</v>
      </c>
      <c r="L935" s="99">
        <f t="shared" si="213"/>
        <v>0</v>
      </c>
      <c r="M935" s="44" t="str">
        <f t="shared" ref="M935:M1003" si="215">IFERROR((L935-I935)/I935,"")</f>
        <v/>
      </c>
      <c r="N935" s="100">
        <f t="shared" ref="N935:N1003" si="216">J935-G935</f>
        <v>0</v>
      </c>
      <c r="O935" s="101">
        <f t="shared" ref="O935:O1003" si="217">L935-I935</f>
        <v>0</v>
      </c>
      <c r="P935" s="52">
        <f t="shared" ref="P935:P1003" si="218">U935-W935</f>
        <v>0</v>
      </c>
      <c r="Q935" s="49">
        <v>116.88487613461319</v>
      </c>
      <c r="R935">
        <v>2225</v>
      </c>
      <c r="S935" s="50">
        <f t="shared" si="214"/>
        <v>71535.307499999995</v>
      </c>
      <c r="T935" s="50">
        <f t="shared" ref="T935:T1003" si="219">IFERROR(S935*I935,"")</f>
        <v>0</v>
      </c>
      <c r="U935" s="58">
        <f t="shared" ref="U935:U1003" si="220">IFERROR(S935*L935,"")</f>
        <v>0</v>
      </c>
      <c r="V935" s="58">
        <f t="shared" ref="V935:V1003" si="221">IFERROR(Q935*G935,"")</f>
        <v>0</v>
      </c>
      <c r="W935" s="58">
        <f t="shared" ref="W935:W1003" si="222">IFERROR(Q935*J935,"")</f>
        <v>0</v>
      </c>
      <c r="X935" s="58">
        <f t="shared" ref="X935:X1003" si="223">T935-V935</f>
        <v>0</v>
      </c>
      <c r="Y935" s="52">
        <f t="shared" ref="Y935:Y1003" si="224">U935-W935</f>
        <v>0</v>
      </c>
    </row>
    <row r="936" spans="1:25" x14ac:dyDescent="0.25">
      <c r="A936" s="1218" t="s">
        <v>118</v>
      </c>
      <c r="B936" s="98">
        <v>45505</v>
      </c>
      <c r="C936" s="117" t="str">
        <f t="shared" si="211"/>
        <v>4L</v>
      </c>
      <c r="D936" s="96"/>
      <c r="E936" s="98"/>
      <c r="F936" s="98"/>
      <c r="I936" s="99">
        <f t="shared" si="212"/>
        <v>0</v>
      </c>
      <c r="L936" s="99">
        <f t="shared" si="213"/>
        <v>0</v>
      </c>
      <c r="M936" s="44" t="str">
        <f t="shared" si="215"/>
        <v/>
      </c>
      <c r="N936" s="100">
        <f t="shared" si="216"/>
        <v>0</v>
      </c>
      <c r="O936" s="101">
        <f t="shared" si="217"/>
        <v>0</v>
      </c>
      <c r="P936" s="52">
        <f t="shared" si="218"/>
        <v>0</v>
      </c>
      <c r="Q936" s="49">
        <v>116.88487613461319</v>
      </c>
      <c r="R936">
        <v>2225</v>
      </c>
      <c r="S936" s="50">
        <f t="shared" si="214"/>
        <v>71535.307499999995</v>
      </c>
      <c r="T936" s="50">
        <f t="shared" si="219"/>
        <v>0</v>
      </c>
      <c r="U936" s="58">
        <f t="shared" si="220"/>
        <v>0</v>
      </c>
      <c r="V936" s="58">
        <f t="shared" si="221"/>
        <v>0</v>
      </c>
      <c r="W936" s="58">
        <f t="shared" si="222"/>
        <v>0</v>
      </c>
      <c r="X936" s="58">
        <f t="shared" si="223"/>
        <v>0</v>
      </c>
      <c r="Y936" s="52">
        <f t="shared" si="224"/>
        <v>0</v>
      </c>
    </row>
    <row r="937" spans="1:25" x14ac:dyDescent="0.25">
      <c r="A937" s="1218" t="s">
        <v>119</v>
      </c>
      <c r="B937" s="98">
        <v>45505</v>
      </c>
      <c r="C937" s="117" t="str">
        <f t="shared" si="211"/>
        <v>4L</v>
      </c>
      <c r="D937" s="96"/>
      <c r="E937" s="98"/>
      <c r="F937" s="98"/>
      <c r="G937" s="43">
        <v>2030</v>
      </c>
      <c r="H937" s="26">
        <v>1.36</v>
      </c>
      <c r="I937" s="99">
        <f t="shared" si="212"/>
        <v>2.7608000000000001</v>
      </c>
      <c r="J937">
        <v>300</v>
      </c>
      <c r="K937" s="49">
        <v>1.6619439505438158</v>
      </c>
      <c r="L937" s="99">
        <f t="shared" si="213"/>
        <v>0.49858318516314476</v>
      </c>
      <c r="M937" s="44">
        <f t="shared" si="215"/>
        <v>-0.81940626442946074</v>
      </c>
      <c r="N937" s="100">
        <f t="shared" si="216"/>
        <v>-1730</v>
      </c>
      <c r="O937" s="101">
        <f t="shared" si="217"/>
        <v>-2.2622168148368553</v>
      </c>
      <c r="P937" s="52">
        <f t="shared" si="218"/>
        <v>600.83862459103693</v>
      </c>
      <c r="Q937" s="49">
        <v>116.88487613461319</v>
      </c>
      <c r="R937">
        <v>2225</v>
      </c>
      <c r="S937" s="50">
        <f t="shared" si="214"/>
        <v>71535.307499999995</v>
      </c>
      <c r="T937" s="50">
        <f t="shared" si="219"/>
        <v>197494.67694599999</v>
      </c>
      <c r="U937" s="58">
        <f t="shared" si="220"/>
        <v>35666.301464974997</v>
      </c>
      <c r="V937" s="58">
        <f t="shared" si="221"/>
        <v>237276.29855326479</v>
      </c>
      <c r="W937" s="58">
        <f t="shared" si="222"/>
        <v>35065.46284038396</v>
      </c>
      <c r="X937" s="58">
        <f t="shared" si="223"/>
        <v>-39781.621607264795</v>
      </c>
      <c r="Y937" s="52">
        <f t="shared" si="224"/>
        <v>600.83862459103693</v>
      </c>
    </row>
    <row r="938" spans="1:25" x14ac:dyDescent="0.25">
      <c r="A938" s="1218" t="s">
        <v>120</v>
      </c>
      <c r="B938" s="98">
        <v>45505</v>
      </c>
      <c r="C938" s="117" t="str">
        <f t="shared" si="211"/>
        <v>4L</v>
      </c>
      <c r="D938" s="96"/>
      <c r="E938" s="98"/>
      <c r="F938" s="98"/>
      <c r="I938" s="99">
        <f t="shared" si="212"/>
        <v>0</v>
      </c>
      <c r="L938" s="99">
        <f t="shared" si="213"/>
        <v>0</v>
      </c>
      <c r="M938" s="44" t="str">
        <f t="shared" si="215"/>
        <v/>
      </c>
      <c r="N938" s="100">
        <f t="shared" si="216"/>
        <v>0</v>
      </c>
      <c r="O938" s="101">
        <f t="shared" si="217"/>
        <v>0</v>
      </c>
      <c r="P938" s="52">
        <f t="shared" si="218"/>
        <v>0</v>
      </c>
      <c r="Q938" s="49">
        <v>116.88487613461319</v>
      </c>
      <c r="R938">
        <v>2225</v>
      </c>
      <c r="S938" s="50">
        <f t="shared" si="214"/>
        <v>71535.307499999995</v>
      </c>
      <c r="T938" s="50">
        <f t="shared" si="219"/>
        <v>0</v>
      </c>
      <c r="U938" s="58">
        <f t="shared" si="220"/>
        <v>0</v>
      </c>
      <c r="V938" s="58">
        <f t="shared" si="221"/>
        <v>0</v>
      </c>
      <c r="W938" s="58">
        <f t="shared" si="222"/>
        <v>0</v>
      </c>
      <c r="X938" s="58">
        <f t="shared" si="223"/>
        <v>0</v>
      </c>
      <c r="Y938" s="52">
        <f t="shared" si="224"/>
        <v>0</v>
      </c>
    </row>
    <row r="939" spans="1:25" x14ac:dyDescent="0.25">
      <c r="A939" s="1218" t="s">
        <v>121</v>
      </c>
      <c r="B939" s="98">
        <v>45505</v>
      </c>
      <c r="C939" s="117" t="str">
        <f t="shared" si="211"/>
        <v>4L</v>
      </c>
      <c r="D939" s="96"/>
      <c r="E939" s="98"/>
      <c r="F939" s="98"/>
      <c r="I939" s="99">
        <f t="shared" si="212"/>
        <v>0</v>
      </c>
      <c r="L939" s="99">
        <f t="shared" si="213"/>
        <v>0</v>
      </c>
      <c r="M939" s="44" t="str">
        <f t="shared" si="215"/>
        <v/>
      </c>
      <c r="N939" s="100">
        <f t="shared" si="216"/>
        <v>0</v>
      </c>
      <c r="O939" s="101">
        <f t="shared" si="217"/>
        <v>0</v>
      </c>
      <c r="P939" s="52">
        <f t="shared" si="218"/>
        <v>0</v>
      </c>
      <c r="Q939" s="49">
        <v>116.88487613461319</v>
      </c>
      <c r="R939">
        <v>2225</v>
      </c>
      <c r="S939" s="50">
        <f t="shared" si="214"/>
        <v>71535.307499999995</v>
      </c>
      <c r="T939" s="50">
        <f t="shared" si="219"/>
        <v>0</v>
      </c>
      <c r="U939" s="58">
        <f t="shared" si="220"/>
        <v>0</v>
      </c>
      <c r="V939" s="58">
        <f t="shared" si="221"/>
        <v>0</v>
      </c>
      <c r="W939" s="58">
        <f t="shared" si="222"/>
        <v>0</v>
      </c>
      <c r="X939" s="58">
        <f t="shared" si="223"/>
        <v>0</v>
      </c>
      <c r="Y939" s="52">
        <f t="shared" si="224"/>
        <v>0</v>
      </c>
    </row>
    <row r="940" spans="1:25" x14ac:dyDescent="0.25">
      <c r="A940" s="1218" t="s">
        <v>122</v>
      </c>
      <c r="B940" s="98">
        <v>45505</v>
      </c>
      <c r="C940" s="117" t="str">
        <f t="shared" si="211"/>
        <v>4L</v>
      </c>
      <c r="D940" s="96"/>
      <c r="E940" s="98"/>
      <c r="F940" s="98"/>
      <c r="I940" s="99">
        <f t="shared" si="212"/>
        <v>0</v>
      </c>
      <c r="L940" s="99">
        <f t="shared" si="213"/>
        <v>0</v>
      </c>
      <c r="M940" s="44" t="str">
        <f t="shared" si="215"/>
        <v/>
      </c>
      <c r="N940" s="100">
        <f t="shared" si="216"/>
        <v>0</v>
      </c>
      <c r="O940" s="101">
        <f t="shared" si="217"/>
        <v>0</v>
      </c>
      <c r="P940" s="52">
        <f t="shared" si="218"/>
        <v>0</v>
      </c>
      <c r="Q940" s="49">
        <v>116.88487613461319</v>
      </c>
      <c r="R940">
        <v>2225</v>
      </c>
      <c r="S940" s="50">
        <f t="shared" si="214"/>
        <v>71535.307499999995</v>
      </c>
      <c r="T940" s="50">
        <f t="shared" si="219"/>
        <v>0</v>
      </c>
      <c r="U940" s="58">
        <f t="shared" si="220"/>
        <v>0</v>
      </c>
      <c r="V940" s="58">
        <f t="shared" si="221"/>
        <v>0</v>
      </c>
      <c r="W940" s="58">
        <f t="shared" si="222"/>
        <v>0</v>
      </c>
      <c r="X940" s="58">
        <f t="shared" si="223"/>
        <v>0</v>
      </c>
      <c r="Y940" s="52">
        <f t="shared" si="224"/>
        <v>0</v>
      </c>
    </row>
    <row r="941" spans="1:25" x14ac:dyDescent="0.25">
      <c r="A941" s="1218" t="s">
        <v>123</v>
      </c>
      <c r="B941" s="98">
        <v>45505</v>
      </c>
      <c r="C941" s="117" t="str">
        <f t="shared" si="211"/>
        <v>4L</v>
      </c>
      <c r="D941" s="96"/>
      <c r="E941" s="98"/>
      <c r="F941" s="98"/>
      <c r="G941" s="51">
        <v>2030</v>
      </c>
      <c r="H941" s="26">
        <v>0</v>
      </c>
      <c r="I941" s="99">
        <f t="shared" si="212"/>
        <v>0</v>
      </c>
      <c r="L941" s="99">
        <f t="shared" si="213"/>
        <v>0</v>
      </c>
      <c r="M941" s="44" t="str">
        <f t="shared" si="215"/>
        <v/>
      </c>
      <c r="N941" s="100">
        <f t="shared" si="216"/>
        <v>-2030</v>
      </c>
      <c r="O941" s="101">
        <f t="shared" si="217"/>
        <v>0</v>
      </c>
      <c r="P941" s="52">
        <f t="shared" si="218"/>
        <v>0</v>
      </c>
      <c r="Q941" s="49">
        <v>116.88487613461319</v>
      </c>
      <c r="R941">
        <v>2225</v>
      </c>
      <c r="S941" s="50">
        <f t="shared" si="214"/>
        <v>71535.307499999995</v>
      </c>
      <c r="T941" s="50">
        <f t="shared" si="219"/>
        <v>0</v>
      </c>
      <c r="U941" s="58">
        <f t="shared" si="220"/>
        <v>0</v>
      </c>
      <c r="V941" s="58">
        <f t="shared" si="221"/>
        <v>237276.29855326479</v>
      </c>
      <c r="W941" s="58">
        <f t="shared" si="222"/>
        <v>0</v>
      </c>
      <c r="X941" s="58">
        <f t="shared" si="223"/>
        <v>-237276.29855326479</v>
      </c>
      <c r="Y941" s="52">
        <f t="shared" si="224"/>
        <v>0</v>
      </c>
    </row>
    <row r="942" spans="1:25" x14ac:dyDescent="0.25">
      <c r="A942" s="1218" t="s">
        <v>124</v>
      </c>
      <c r="B942" s="98">
        <v>45505</v>
      </c>
      <c r="C942" s="117" t="str">
        <f t="shared" si="211"/>
        <v>4L</v>
      </c>
      <c r="D942" s="96"/>
      <c r="E942" s="98"/>
      <c r="F942" s="98"/>
      <c r="I942" s="99">
        <f t="shared" si="212"/>
        <v>0</v>
      </c>
      <c r="J942" s="52">
        <v>647.59999999999991</v>
      </c>
      <c r="K942" s="49">
        <v>1.8064608158084954</v>
      </c>
      <c r="L942" s="99">
        <f t="shared" si="213"/>
        <v>1.1698640243175815</v>
      </c>
      <c r="M942" s="44" t="str">
        <f t="shared" si="215"/>
        <v/>
      </c>
      <c r="N942" s="100">
        <f t="shared" si="216"/>
        <v>647.59999999999991</v>
      </c>
      <c r="O942" s="101">
        <f t="shared" si="217"/>
        <v>1.1698640243175815</v>
      </c>
      <c r="P942" s="52">
        <f t="shared" si="218"/>
        <v>7991.9369279701787</v>
      </c>
      <c r="Q942" s="49">
        <v>116.88487613461319</v>
      </c>
      <c r="R942">
        <v>2225</v>
      </c>
      <c r="S942" s="50">
        <f t="shared" si="214"/>
        <v>71535.307499999995</v>
      </c>
      <c r="T942" s="50">
        <f t="shared" si="219"/>
        <v>0</v>
      </c>
      <c r="U942" s="58">
        <f t="shared" si="220"/>
        <v>83686.582712745672</v>
      </c>
      <c r="V942" s="58">
        <f t="shared" si="221"/>
        <v>0</v>
      </c>
      <c r="W942" s="58">
        <f t="shared" si="222"/>
        <v>75694.645784775494</v>
      </c>
      <c r="X942" s="58">
        <f t="shared" si="223"/>
        <v>0</v>
      </c>
      <c r="Y942" s="52">
        <f t="shared" si="224"/>
        <v>7991.9369279701787</v>
      </c>
    </row>
    <row r="943" spans="1:25" x14ac:dyDescent="0.25">
      <c r="A943" s="1218" t="s">
        <v>125</v>
      </c>
      <c r="B943" s="98">
        <v>45505</v>
      </c>
      <c r="C943" s="117" t="str">
        <f t="shared" si="211"/>
        <v>4L</v>
      </c>
      <c r="D943" s="96"/>
      <c r="E943" s="98"/>
      <c r="F943" s="98"/>
      <c r="I943" s="99">
        <f t="shared" si="212"/>
        <v>0</v>
      </c>
      <c r="L943" s="99">
        <f t="shared" si="213"/>
        <v>0</v>
      </c>
      <c r="M943" s="44" t="str">
        <f t="shared" si="215"/>
        <v/>
      </c>
      <c r="N943" s="100">
        <f t="shared" si="216"/>
        <v>0</v>
      </c>
      <c r="O943" s="101">
        <f t="shared" si="217"/>
        <v>0</v>
      </c>
      <c r="P943" s="52">
        <f t="shared" si="218"/>
        <v>0</v>
      </c>
      <c r="Q943" s="49">
        <v>116.88487613461319</v>
      </c>
      <c r="R943">
        <v>2225</v>
      </c>
      <c r="S943" s="50">
        <f t="shared" si="214"/>
        <v>71535.307499999995</v>
      </c>
      <c r="T943" s="50">
        <f t="shared" si="219"/>
        <v>0</v>
      </c>
      <c r="U943" s="58">
        <f t="shared" si="220"/>
        <v>0</v>
      </c>
      <c r="V943" s="58">
        <f t="shared" si="221"/>
        <v>0</v>
      </c>
      <c r="W943" s="58">
        <f t="shared" si="222"/>
        <v>0</v>
      </c>
      <c r="X943" s="58">
        <f t="shared" si="223"/>
        <v>0</v>
      </c>
      <c r="Y943" s="52">
        <f t="shared" si="224"/>
        <v>0</v>
      </c>
    </row>
    <row r="944" spans="1:25" x14ac:dyDescent="0.25">
      <c r="A944" s="1218" t="s">
        <v>126</v>
      </c>
      <c r="B944" s="98">
        <v>45505</v>
      </c>
      <c r="C944" s="117" t="str">
        <f t="shared" ref="C944:C945" si="225">LEFT(A944,2)</f>
        <v>4L</v>
      </c>
      <c r="D944" s="96"/>
      <c r="E944" s="98"/>
      <c r="F944" s="98"/>
      <c r="I944" s="99"/>
      <c r="L944" s="99"/>
      <c r="M944" s="44"/>
      <c r="N944" s="100"/>
      <c r="O944" s="101"/>
      <c r="P944" s="52"/>
      <c r="Q944" s="49"/>
      <c r="S944" s="50"/>
      <c r="T944" s="50"/>
      <c r="U944" s="58"/>
      <c r="V944" s="58"/>
      <c r="W944" s="58"/>
      <c r="X944" s="58"/>
      <c r="Y944" s="52"/>
    </row>
    <row r="945" spans="1:25" x14ac:dyDescent="0.25">
      <c r="A945" s="1218" t="s">
        <v>127</v>
      </c>
      <c r="B945" s="98">
        <v>45505</v>
      </c>
      <c r="C945" s="117" t="str">
        <f t="shared" si="225"/>
        <v>4L</v>
      </c>
      <c r="D945" s="96"/>
      <c r="E945" s="98"/>
      <c r="F945" s="98"/>
      <c r="I945" s="99"/>
      <c r="L945" s="99"/>
      <c r="M945" s="44"/>
      <c r="N945" s="100"/>
      <c r="O945" s="101"/>
      <c r="P945" s="52"/>
      <c r="Q945" s="49"/>
      <c r="S945" s="50"/>
      <c r="T945" s="50"/>
      <c r="U945" s="58"/>
      <c r="V945" s="58"/>
      <c r="W945" s="58"/>
      <c r="X945" s="58"/>
      <c r="Y945" s="52"/>
    </row>
    <row r="946" spans="1:25" x14ac:dyDescent="0.25">
      <c r="A946" s="1218" t="s">
        <v>128</v>
      </c>
      <c r="B946" s="98">
        <v>45505</v>
      </c>
      <c r="C946" s="117" t="str">
        <f t="shared" si="211"/>
        <v>4L</v>
      </c>
      <c r="D946" s="96"/>
      <c r="E946" s="98"/>
      <c r="F946" s="98"/>
      <c r="I946" s="99"/>
      <c r="L946" s="99"/>
      <c r="M946" s="44"/>
      <c r="N946" s="100"/>
      <c r="O946" s="101"/>
      <c r="P946" s="52"/>
      <c r="Q946" s="49"/>
      <c r="S946" s="50"/>
      <c r="T946" s="50"/>
      <c r="U946" s="58"/>
      <c r="V946" s="58"/>
      <c r="W946" s="58"/>
      <c r="X946" s="58"/>
      <c r="Y946" s="52"/>
    </row>
    <row r="947" spans="1:25" x14ac:dyDescent="0.25">
      <c r="A947" s="1218" t="s">
        <v>129</v>
      </c>
      <c r="B947" s="98">
        <v>45505</v>
      </c>
      <c r="C947" s="117" t="str">
        <f t="shared" si="211"/>
        <v>4L</v>
      </c>
      <c r="D947" s="96"/>
      <c r="E947" s="98"/>
      <c r="F947" s="98"/>
      <c r="I947" s="99">
        <f t="shared" si="212"/>
        <v>0</v>
      </c>
      <c r="L947" s="99">
        <f t="shared" si="213"/>
        <v>0</v>
      </c>
      <c r="M947" s="44" t="str">
        <f t="shared" si="215"/>
        <v/>
      </c>
      <c r="N947" s="100">
        <f t="shared" si="216"/>
        <v>0</v>
      </c>
      <c r="O947" s="101">
        <f t="shared" si="217"/>
        <v>0</v>
      </c>
      <c r="P947" s="52">
        <f t="shared" si="218"/>
        <v>0</v>
      </c>
      <c r="Q947" s="49">
        <v>116.88487613461319</v>
      </c>
      <c r="R947">
        <v>2225</v>
      </c>
      <c r="S947" s="50">
        <f t="shared" si="214"/>
        <v>71535.307499999995</v>
      </c>
      <c r="T947" s="50">
        <f t="shared" si="219"/>
        <v>0</v>
      </c>
      <c r="U947" s="58">
        <f t="shared" si="220"/>
        <v>0</v>
      </c>
      <c r="V947" s="58">
        <f t="shared" si="221"/>
        <v>0</v>
      </c>
      <c r="W947" s="58">
        <f t="shared" si="222"/>
        <v>0</v>
      </c>
      <c r="X947" s="58">
        <f t="shared" si="223"/>
        <v>0</v>
      </c>
      <c r="Y947" s="52">
        <f t="shared" si="224"/>
        <v>0</v>
      </c>
    </row>
    <row r="948" spans="1:25" x14ac:dyDescent="0.25">
      <c r="A948" s="1218" t="s">
        <v>130</v>
      </c>
      <c r="B948" s="98">
        <v>45505</v>
      </c>
      <c r="C948" s="117" t="str">
        <f t="shared" si="211"/>
        <v>5L</v>
      </c>
      <c r="D948" s="96"/>
      <c r="E948" s="98"/>
      <c r="F948" s="98"/>
      <c r="I948" s="99">
        <f t="shared" si="212"/>
        <v>0</v>
      </c>
      <c r="L948" s="99">
        <f t="shared" si="213"/>
        <v>0</v>
      </c>
      <c r="M948" s="44" t="str">
        <f t="shared" si="215"/>
        <v/>
      </c>
      <c r="N948" s="100">
        <f t="shared" si="216"/>
        <v>0</v>
      </c>
      <c r="O948" s="101">
        <f t="shared" si="217"/>
        <v>0</v>
      </c>
      <c r="P948" s="52">
        <f t="shared" si="218"/>
        <v>0</v>
      </c>
      <c r="Q948" s="49">
        <v>116.88487613461319</v>
      </c>
      <c r="R948">
        <v>2225</v>
      </c>
      <c r="S948" s="50">
        <f t="shared" si="214"/>
        <v>71535.307499999995</v>
      </c>
      <c r="T948" s="50">
        <f t="shared" si="219"/>
        <v>0</v>
      </c>
      <c r="U948" s="58">
        <f t="shared" si="220"/>
        <v>0</v>
      </c>
      <c r="V948" s="58">
        <f t="shared" si="221"/>
        <v>0</v>
      </c>
      <c r="W948" s="58">
        <f t="shared" si="222"/>
        <v>0</v>
      </c>
      <c r="X948" s="58">
        <f t="shared" si="223"/>
        <v>0</v>
      </c>
      <c r="Y948" s="52">
        <f t="shared" si="224"/>
        <v>0</v>
      </c>
    </row>
    <row r="949" spans="1:25" x14ac:dyDescent="0.25">
      <c r="A949" s="1218" t="s">
        <v>131</v>
      </c>
      <c r="B949" s="98">
        <v>45505</v>
      </c>
      <c r="C949" s="117" t="str">
        <f t="shared" si="211"/>
        <v>5L</v>
      </c>
      <c r="D949" s="96"/>
      <c r="E949" s="98"/>
      <c r="F949" s="98"/>
      <c r="I949" s="99">
        <f t="shared" si="212"/>
        <v>0</v>
      </c>
      <c r="L949" s="99">
        <f t="shared" si="213"/>
        <v>0</v>
      </c>
      <c r="M949" s="44" t="str">
        <f t="shared" si="215"/>
        <v/>
      </c>
      <c r="N949" s="100">
        <f t="shared" si="216"/>
        <v>0</v>
      </c>
      <c r="O949" s="101">
        <f t="shared" si="217"/>
        <v>0</v>
      </c>
      <c r="P949" s="52">
        <f t="shared" si="218"/>
        <v>0</v>
      </c>
      <c r="Q949" s="49">
        <v>116.88487613461319</v>
      </c>
      <c r="R949">
        <v>2225</v>
      </c>
      <c r="S949" s="50">
        <f t="shared" si="214"/>
        <v>71535.307499999995</v>
      </c>
      <c r="T949" s="50">
        <f t="shared" si="219"/>
        <v>0</v>
      </c>
      <c r="U949" s="58">
        <f t="shared" si="220"/>
        <v>0</v>
      </c>
      <c r="V949" s="58">
        <f t="shared" si="221"/>
        <v>0</v>
      </c>
      <c r="W949" s="58">
        <f t="shared" si="222"/>
        <v>0</v>
      </c>
      <c r="X949" s="58">
        <f t="shared" si="223"/>
        <v>0</v>
      </c>
      <c r="Y949" s="52">
        <f t="shared" si="224"/>
        <v>0</v>
      </c>
    </row>
    <row r="950" spans="1:25" x14ac:dyDescent="0.25">
      <c r="A950" s="1218" t="s">
        <v>132</v>
      </c>
      <c r="B950" s="98">
        <v>45505</v>
      </c>
      <c r="C950" s="117" t="str">
        <f t="shared" si="211"/>
        <v>5L</v>
      </c>
      <c r="D950" s="96"/>
      <c r="E950" s="98"/>
      <c r="F950" s="98"/>
      <c r="I950" s="99">
        <f t="shared" si="212"/>
        <v>0</v>
      </c>
      <c r="L950" s="99">
        <f t="shared" si="213"/>
        <v>0</v>
      </c>
      <c r="M950" s="44" t="str">
        <f t="shared" si="215"/>
        <v/>
      </c>
      <c r="N950" s="100">
        <f t="shared" si="216"/>
        <v>0</v>
      </c>
      <c r="O950" s="101">
        <f t="shared" si="217"/>
        <v>0</v>
      </c>
      <c r="P950" s="52">
        <f t="shared" si="218"/>
        <v>0</v>
      </c>
      <c r="Q950" s="49">
        <v>116.88487613461319</v>
      </c>
      <c r="R950">
        <v>2225</v>
      </c>
      <c r="S950" s="50">
        <f t="shared" si="214"/>
        <v>71535.307499999995</v>
      </c>
      <c r="T950" s="50">
        <f t="shared" si="219"/>
        <v>0</v>
      </c>
      <c r="U950" s="58">
        <f t="shared" si="220"/>
        <v>0</v>
      </c>
      <c r="V950" s="58">
        <f t="shared" si="221"/>
        <v>0</v>
      </c>
      <c r="W950" s="58">
        <f t="shared" si="222"/>
        <v>0</v>
      </c>
      <c r="X950" s="58">
        <f t="shared" si="223"/>
        <v>0</v>
      </c>
      <c r="Y950" s="52">
        <f t="shared" si="224"/>
        <v>0</v>
      </c>
    </row>
    <row r="951" spans="1:25" x14ac:dyDescent="0.25">
      <c r="A951" s="1218" t="s">
        <v>133</v>
      </c>
      <c r="B951" s="98">
        <v>45505</v>
      </c>
      <c r="C951" s="117" t="str">
        <f t="shared" si="211"/>
        <v>5L</v>
      </c>
      <c r="D951" s="96"/>
      <c r="E951" s="98"/>
      <c r="F951" s="98"/>
      <c r="I951" s="99">
        <f t="shared" si="212"/>
        <v>0</v>
      </c>
      <c r="L951" s="99">
        <f t="shared" si="213"/>
        <v>0</v>
      </c>
      <c r="M951" s="44" t="str">
        <f t="shared" si="215"/>
        <v/>
      </c>
      <c r="N951" s="100">
        <f t="shared" si="216"/>
        <v>0</v>
      </c>
      <c r="O951" s="101">
        <f t="shared" si="217"/>
        <v>0</v>
      </c>
      <c r="P951" s="52">
        <f t="shared" si="218"/>
        <v>0</v>
      </c>
      <c r="Q951" s="49">
        <v>116.88487613461319</v>
      </c>
      <c r="R951">
        <v>2225</v>
      </c>
      <c r="S951" s="50">
        <f t="shared" si="214"/>
        <v>71535.307499999995</v>
      </c>
      <c r="T951" s="50">
        <f t="shared" si="219"/>
        <v>0</v>
      </c>
      <c r="U951" s="58">
        <f t="shared" si="220"/>
        <v>0</v>
      </c>
      <c r="V951" s="58">
        <f t="shared" si="221"/>
        <v>0</v>
      </c>
      <c r="W951" s="58">
        <f t="shared" si="222"/>
        <v>0</v>
      </c>
      <c r="X951" s="58">
        <f t="shared" si="223"/>
        <v>0</v>
      </c>
      <c r="Y951" s="52">
        <f t="shared" si="224"/>
        <v>0</v>
      </c>
    </row>
    <row r="952" spans="1:25" x14ac:dyDescent="0.25">
      <c r="A952" s="1218" t="s">
        <v>134</v>
      </c>
      <c r="B952" s="98">
        <v>45505</v>
      </c>
      <c r="C952" s="117" t="str">
        <f t="shared" si="211"/>
        <v>5L</v>
      </c>
      <c r="D952" s="96"/>
      <c r="E952" s="98"/>
      <c r="F952" s="98"/>
      <c r="I952" s="99">
        <f t="shared" si="212"/>
        <v>0</v>
      </c>
      <c r="L952" s="99">
        <f t="shared" si="213"/>
        <v>0</v>
      </c>
      <c r="M952" s="44" t="str">
        <f t="shared" si="215"/>
        <v/>
      </c>
      <c r="N952" s="100">
        <f t="shared" si="216"/>
        <v>0</v>
      </c>
      <c r="O952" s="101">
        <f t="shared" si="217"/>
        <v>0</v>
      </c>
      <c r="P952" s="52">
        <f t="shared" si="218"/>
        <v>0</v>
      </c>
      <c r="Q952" s="49">
        <v>116.88487613461319</v>
      </c>
      <c r="R952">
        <v>2225</v>
      </c>
      <c r="S952" s="50">
        <f t="shared" si="214"/>
        <v>71535.307499999995</v>
      </c>
      <c r="T952" s="50">
        <f t="shared" si="219"/>
        <v>0</v>
      </c>
      <c r="U952" s="58">
        <f t="shared" si="220"/>
        <v>0</v>
      </c>
      <c r="V952" s="58">
        <f t="shared" si="221"/>
        <v>0</v>
      </c>
      <c r="W952" s="58">
        <f t="shared" si="222"/>
        <v>0</v>
      </c>
      <c r="X952" s="58">
        <f t="shared" si="223"/>
        <v>0</v>
      </c>
      <c r="Y952" s="52">
        <f t="shared" si="224"/>
        <v>0</v>
      </c>
    </row>
    <row r="953" spans="1:25" x14ac:dyDescent="0.25">
      <c r="A953" s="1218" t="s">
        <v>135</v>
      </c>
      <c r="B953" s="98">
        <v>45505</v>
      </c>
      <c r="C953" s="117" t="str">
        <f t="shared" si="211"/>
        <v>5L</v>
      </c>
      <c r="D953" s="96"/>
      <c r="E953" s="98"/>
      <c r="F953" s="98"/>
      <c r="I953" s="99">
        <f t="shared" si="212"/>
        <v>0</v>
      </c>
      <c r="L953" s="99">
        <f t="shared" si="213"/>
        <v>0</v>
      </c>
      <c r="M953" s="44" t="str">
        <f t="shared" si="215"/>
        <v/>
      </c>
      <c r="N953" s="100">
        <f t="shared" si="216"/>
        <v>0</v>
      </c>
      <c r="O953" s="101">
        <f t="shared" si="217"/>
        <v>0</v>
      </c>
      <c r="P953" s="52">
        <f t="shared" si="218"/>
        <v>0</v>
      </c>
      <c r="Q953" s="49">
        <v>116.88487613461319</v>
      </c>
      <c r="R953">
        <v>2225</v>
      </c>
      <c r="S953" s="50">
        <f t="shared" si="214"/>
        <v>71535.307499999995</v>
      </c>
      <c r="T953" s="50">
        <f t="shared" si="219"/>
        <v>0</v>
      </c>
      <c r="U953" s="58">
        <f t="shared" si="220"/>
        <v>0</v>
      </c>
      <c r="V953" s="58">
        <f t="shared" si="221"/>
        <v>0</v>
      </c>
      <c r="W953" s="58">
        <f t="shared" si="222"/>
        <v>0</v>
      </c>
      <c r="X953" s="58">
        <f t="shared" si="223"/>
        <v>0</v>
      </c>
      <c r="Y953" s="52">
        <f t="shared" si="224"/>
        <v>0</v>
      </c>
    </row>
    <row r="954" spans="1:25" x14ac:dyDescent="0.25">
      <c r="A954" s="1218" t="s">
        <v>136</v>
      </c>
      <c r="B954" s="98">
        <v>45505</v>
      </c>
      <c r="C954" s="117" t="str">
        <f t="shared" si="211"/>
        <v>5L</v>
      </c>
      <c r="D954" s="96"/>
      <c r="E954" s="98"/>
      <c r="F954" s="98"/>
      <c r="I954" s="99">
        <f t="shared" si="212"/>
        <v>0</v>
      </c>
      <c r="L954" s="99">
        <f t="shared" si="213"/>
        <v>0</v>
      </c>
      <c r="M954" s="44" t="str">
        <f t="shared" si="215"/>
        <v/>
      </c>
      <c r="N954" s="100">
        <f t="shared" si="216"/>
        <v>0</v>
      </c>
      <c r="O954" s="101">
        <f t="shared" si="217"/>
        <v>0</v>
      </c>
      <c r="P954" s="52">
        <f t="shared" si="218"/>
        <v>0</v>
      </c>
      <c r="Q954" s="49">
        <v>116.88487613461319</v>
      </c>
      <c r="R954">
        <v>2225</v>
      </c>
      <c r="S954" s="50">
        <f t="shared" si="214"/>
        <v>71535.307499999995</v>
      </c>
      <c r="T954" s="50">
        <f t="shared" si="219"/>
        <v>0</v>
      </c>
      <c r="U954" s="58">
        <f t="shared" si="220"/>
        <v>0</v>
      </c>
      <c r="V954" s="58">
        <f t="shared" si="221"/>
        <v>0</v>
      </c>
      <c r="W954" s="58">
        <f t="shared" si="222"/>
        <v>0</v>
      </c>
      <c r="X954" s="58">
        <f t="shared" si="223"/>
        <v>0</v>
      </c>
      <c r="Y954" s="52">
        <f t="shared" si="224"/>
        <v>0</v>
      </c>
    </row>
    <row r="955" spans="1:25" x14ac:dyDescent="0.25">
      <c r="A955" s="1218" t="s">
        <v>137</v>
      </c>
      <c r="B955" s="98">
        <v>45505</v>
      </c>
      <c r="C955" s="117" t="str">
        <f t="shared" si="211"/>
        <v>5L</v>
      </c>
      <c r="D955" s="96"/>
      <c r="E955" s="98"/>
      <c r="F955" s="98"/>
      <c r="I955" s="99">
        <f t="shared" si="212"/>
        <v>0</v>
      </c>
      <c r="L955" s="99">
        <f t="shared" si="213"/>
        <v>0</v>
      </c>
      <c r="M955" s="44" t="str">
        <f t="shared" si="215"/>
        <v/>
      </c>
      <c r="N955" s="100">
        <f t="shared" si="216"/>
        <v>0</v>
      </c>
      <c r="O955" s="101">
        <f t="shared" si="217"/>
        <v>0</v>
      </c>
      <c r="P955" s="52">
        <f t="shared" si="218"/>
        <v>0</v>
      </c>
      <c r="Q955" s="49">
        <v>116.88487613461319</v>
      </c>
      <c r="R955">
        <v>2225</v>
      </c>
      <c r="S955" s="50">
        <f t="shared" si="214"/>
        <v>71535.307499999995</v>
      </c>
      <c r="T955" s="50">
        <f t="shared" si="219"/>
        <v>0</v>
      </c>
      <c r="U955" s="58">
        <f t="shared" si="220"/>
        <v>0</v>
      </c>
      <c r="V955" s="58">
        <f t="shared" si="221"/>
        <v>0</v>
      </c>
      <c r="W955" s="58">
        <f t="shared" si="222"/>
        <v>0</v>
      </c>
      <c r="X955" s="58">
        <f t="shared" si="223"/>
        <v>0</v>
      </c>
      <c r="Y955" s="52">
        <f t="shared" si="224"/>
        <v>0</v>
      </c>
    </row>
    <row r="956" spans="1:25" x14ac:dyDescent="0.25">
      <c r="A956" s="1218" t="s">
        <v>138</v>
      </c>
      <c r="B956" s="98">
        <v>45505</v>
      </c>
      <c r="C956" s="117" t="str">
        <f t="shared" si="211"/>
        <v>5L</v>
      </c>
      <c r="D956" s="96"/>
      <c r="E956" s="98"/>
      <c r="F956" s="98"/>
      <c r="I956" s="99">
        <f t="shared" si="212"/>
        <v>0</v>
      </c>
      <c r="L956" s="99">
        <f t="shared" si="213"/>
        <v>0</v>
      </c>
      <c r="M956" s="44" t="str">
        <f t="shared" si="215"/>
        <v/>
      </c>
      <c r="N956" s="100">
        <f t="shared" si="216"/>
        <v>0</v>
      </c>
      <c r="O956" s="101">
        <f t="shared" si="217"/>
        <v>0</v>
      </c>
      <c r="P956" s="52">
        <f t="shared" si="218"/>
        <v>0</v>
      </c>
      <c r="Q956" s="49">
        <v>116.88487613461319</v>
      </c>
      <c r="R956">
        <v>2225</v>
      </c>
      <c r="S956" s="50">
        <f t="shared" si="214"/>
        <v>71535.307499999995</v>
      </c>
      <c r="T956" s="50">
        <f t="shared" si="219"/>
        <v>0</v>
      </c>
      <c r="U956" s="58">
        <f t="shared" si="220"/>
        <v>0</v>
      </c>
      <c r="V956" s="58">
        <f t="shared" si="221"/>
        <v>0</v>
      </c>
      <c r="W956" s="58">
        <f t="shared" si="222"/>
        <v>0</v>
      </c>
      <c r="X956" s="58">
        <f t="shared" si="223"/>
        <v>0</v>
      </c>
      <c r="Y956" s="52">
        <f t="shared" si="224"/>
        <v>0</v>
      </c>
    </row>
    <row r="957" spans="1:25" x14ac:dyDescent="0.25">
      <c r="A957" s="1218" t="s">
        <v>139</v>
      </c>
      <c r="B957" s="98">
        <v>45505</v>
      </c>
      <c r="C957" s="117" t="str">
        <f t="shared" si="211"/>
        <v>5L</v>
      </c>
      <c r="D957" s="96"/>
      <c r="E957" s="98"/>
      <c r="F957" s="98"/>
      <c r="I957" s="99">
        <f t="shared" si="212"/>
        <v>0</v>
      </c>
      <c r="L957" s="99">
        <f t="shared" si="213"/>
        <v>0</v>
      </c>
      <c r="M957" s="44" t="str">
        <f t="shared" si="215"/>
        <v/>
      </c>
      <c r="N957" s="100">
        <f t="shared" si="216"/>
        <v>0</v>
      </c>
      <c r="O957" s="101">
        <f t="shared" si="217"/>
        <v>0</v>
      </c>
      <c r="P957" s="52">
        <f t="shared" si="218"/>
        <v>0</v>
      </c>
      <c r="Q957" s="49">
        <v>116.88487613461319</v>
      </c>
      <c r="R957">
        <v>2225</v>
      </c>
      <c r="S957" s="50">
        <f t="shared" si="214"/>
        <v>71535.307499999995</v>
      </c>
      <c r="T957" s="50">
        <f t="shared" si="219"/>
        <v>0</v>
      </c>
      <c r="U957" s="58">
        <f t="shared" si="220"/>
        <v>0</v>
      </c>
      <c r="V957" s="58">
        <f t="shared" si="221"/>
        <v>0</v>
      </c>
      <c r="W957" s="58">
        <f t="shared" si="222"/>
        <v>0</v>
      </c>
      <c r="X957" s="58">
        <f t="shared" si="223"/>
        <v>0</v>
      </c>
      <c r="Y957" s="52">
        <f t="shared" si="224"/>
        <v>0</v>
      </c>
    </row>
    <row r="958" spans="1:25" x14ac:dyDescent="0.25">
      <c r="A958" s="1218" t="s">
        <v>140</v>
      </c>
      <c r="B958" s="98">
        <v>45505</v>
      </c>
      <c r="C958" s="117" t="str">
        <f t="shared" si="211"/>
        <v>5L</v>
      </c>
      <c r="D958" s="96"/>
      <c r="E958" s="98"/>
      <c r="F958" s="98"/>
      <c r="G958" s="55"/>
      <c r="H958" s="55"/>
      <c r="I958" s="99">
        <f t="shared" si="212"/>
        <v>0</v>
      </c>
      <c r="J958" s="55"/>
      <c r="K958" s="55"/>
      <c r="L958" s="99">
        <f t="shared" si="213"/>
        <v>0</v>
      </c>
      <c r="M958" s="44" t="str">
        <f t="shared" si="215"/>
        <v/>
      </c>
      <c r="N958" s="100">
        <f t="shared" si="216"/>
        <v>0</v>
      </c>
      <c r="O958" s="101">
        <f t="shared" si="217"/>
        <v>0</v>
      </c>
      <c r="P958" s="52">
        <f t="shared" si="218"/>
        <v>0</v>
      </c>
      <c r="Q958" s="49">
        <v>116.88487613461319</v>
      </c>
      <c r="R958">
        <v>2225</v>
      </c>
      <c r="S958" s="50">
        <f t="shared" si="214"/>
        <v>71535.307499999995</v>
      </c>
      <c r="T958" s="50">
        <f t="shared" si="219"/>
        <v>0</v>
      </c>
      <c r="U958" s="58">
        <f t="shared" si="220"/>
        <v>0</v>
      </c>
      <c r="V958" s="58">
        <f t="shared" si="221"/>
        <v>0</v>
      </c>
      <c r="W958" s="58">
        <f t="shared" si="222"/>
        <v>0</v>
      </c>
      <c r="X958" s="58">
        <f t="shared" si="223"/>
        <v>0</v>
      </c>
      <c r="Y958" s="52">
        <f t="shared" si="224"/>
        <v>0</v>
      </c>
    </row>
    <row r="959" spans="1:25" x14ac:dyDescent="0.25">
      <c r="A959" s="1218" t="s">
        <v>141</v>
      </c>
      <c r="B959" s="98">
        <v>45505</v>
      </c>
      <c r="C959" s="117" t="str">
        <f t="shared" si="211"/>
        <v>5L</v>
      </c>
      <c r="D959" s="96"/>
      <c r="E959" s="98"/>
      <c r="F959" s="98"/>
      <c r="G959" s="55"/>
      <c r="H959" s="55"/>
      <c r="I959" s="99">
        <f t="shared" si="212"/>
        <v>0</v>
      </c>
      <c r="J959" s="55"/>
      <c r="K959" s="55"/>
      <c r="L959" s="99">
        <f t="shared" si="213"/>
        <v>0</v>
      </c>
      <c r="M959" s="44" t="str">
        <f t="shared" si="215"/>
        <v/>
      </c>
      <c r="N959" s="100">
        <f t="shared" si="216"/>
        <v>0</v>
      </c>
      <c r="O959" s="101">
        <f t="shared" si="217"/>
        <v>0</v>
      </c>
      <c r="P959" s="52">
        <f t="shared" si="218"/>
        <v>0</v>
      </c>
      <c r="Q959" s="49">
        <v>116.88487613461319</v>
      </c>
      <c r="R959">
        <v>2225</v>
      </c>
      <c r="S959" s="50">
        <f t="shared" si="214"/>
        <v>71535.307499999995</v>
      </c>
      <c r="T959" s="50">
        <f t="shared" si="219"/>
        <v>0</v>
      </c>
      <c r="U959" s="58">
        <f t="shared" si="220"/>
        <v>0</v>
      </c>
      <c r="V959" s="58">
        <f t="shared" si="221"/>
        <v>0</v>
      </c>
      <c r="W959" s="58">
        <f t="shared" si="222"/>
        <v>0</v>
      </c>
      <c r="X959" s="58">
        <f t="shared" si="223"/>
        <v>0</v>
      </c>
      <c r="Y959" s="52">
        <f t="shared" si="224"/>
        <v>0</v>
      </c>
    </row>
    <row r="960" spans="1:25" x14ac:dyDescent="0.25">
      <c r="A960" s="1218" t="s">
        <v>142</v>
      </c>
      <c r="B960" s="98">
        <v>45505</v>
      </c>
      <c r="C960" s="117" t="str">
        <f t="shared" si="211"/>
        <v>5L</v>
      </c>
      <c r="D960" s="96"/>
      <c r="E960" s="98"/>
      <c r="F960" s="98"/>
      <c r="G960" s="55"/>
      <c r="H960" s="55"/>
      <c r="I960" s="99">
        <f t="shared" si="212"/>
        <v>0</v>
      </c>
      <c r="J960" s="55"/>
      <c r="K960" s="55"/>
      <c r="L960" s="99">
        <f t="shared" si="213"/>
        <v>0</v>
      </c>
      <c r="M960" s="44" t="str">
        <f t="shared" si="215"/>
        <v/>
      </c>
      <c r="N960" s="100">
        <f t="shared" si="216"/>
        <v>0</v>
      </c>
      <c r="O960" s="101">
        <f t="shared" si="217"/>
        <v>0</v>
      </c>
      <c r="P960" s="52">
        <f t="shared" si="218"/>
        <v>0</v>
      </c>
      <c r="Q960" s="49">
        <v>116.88487613461319</v>
      </c>
      <c r="R960">
        <v>2225</v>
      </c>
      <c r="S960" s="50">
        <f t="shared" si="214"/>
        <v>71535.307499999995</v>
      </c>
      <c r="T960" s="50">
        <f t="shared" si="219"/>
        <v>0</v>
      </c>
      <c r="U960" s="58">
        <f t="shared" si="220"/>
        <v>0</v>
      </c>
      <c r="V960" s="58">
        <f t="shared" si="221"/>
        <v>0</v>
      </c>
      <c r="W960" s="58">
        <f t="shared" si="222"/>
        <v>0</v>
      </c>
      <c r="X960" s="58">
        <f t="shared" si="223"/>
        <v>0</v>
      </c>
      <c r="Y960" s="52">
        <f t="shared" si="224"/>
        <v>0</v>
      </c>
    </row>
    <row r="961" spans="1:25" x14ac:dyDescent="0.25">
      <c r="A961" s="1218" t="s">
        <v>143</v>
      </c>
      <c r="B961" s="98">
        <v>45505</v>
      </c>
      <c r="C961" s="117" t="str">
        <f t="shared" si="211"/>
        <v>5L</v>
      </c>
      <c r="D961" s="96"/>
      <c r="E961" s="98"/>
      <c r="F961" s="98"/>
      <c r="G961" s="55"/>
      <c r="H961" s="55"/>
      <c r="I961" s="99">
        <f t="shared" si="212"/>
        <v>0</v>
      </c>
      <c r="J961" s="55"/>
      <c r="K961" s="55"/>
      <c r="L961" s="99">
        <f t="shared" si="213"/>
        <v>0</v>
      </c>
      <c r="M961" s="44" t="str">
        <f t="shared" si="215"/>
        <v/>
      </c>
      <c r="N961" s="100">
        <f t="shared" si="216"/>
        <v>0</v>
      </c>
      <c r="O961" s="101">
        <f t="shared" si="217"/>
        <v>0</v>
      </c>
      <c r="P961" s="52">
        <f t="shared" si="218"/>
        <v>0</v>
      </c>
      <c r="Q961" s="49">
        <v>116.88487613461319</v>
      </c>
      <c r="R961">
        <v>2225</v>
      </c>
      <c r="S961" s="50">
        <f t="shared" si="214"/>
        <v>71535.307499999995</v>
      </c>
      <c r="T961" s="50">
        <f t="shared" si="219"/>
        <v>0</v>
      </c>
      <c r="U961" s="58">
        <f t="shared" si="220"/>
        <v>0</v>
      </c>
      <c r="V961" s="58">
        <f t="shared" si="221"/>
        <v>0</v>
      </c>
      <c r="W961" s="58">
        <f t="shared" si="222"/>
        <v>0</v>
      </c>
      <c r="X961" s="58">
        <f t="shared" si="223"/>
        <v>0</v>
      </c>
      <c r="Y961" s="52">
        <f t="shared" si="224"/>
        <v>0</v>
      </c>
    </row>
    <row r="962" spans="1:25" x14ac:dyDescent="0.25">
      <c r="A962" s="1218" t="s">
        <v>144</v>
      </c>
      <c r="B962" s="98">
        <v>45505</v>
      </c>
      <c r="C962" s="117" t="str">
        <f t="shared" si="211"/>
        <v>5L</v>
      </c>
      <c r="D962" s="96"/>
      <c r="E962" s="98"/>
      <c r="F962" s="98"/>
      <c r="G962" s="55"/>
      <c r="H962" s="55"/>
      <c r="I962" s="99">
        <f t="shared" si="212"/>
        <v>0</v>
      </c>
      <c r="J962" s="55"/>
      <c r="K962" s="55"/>
      <c r="L962" s="99">
        <f t="shared" si="213"/>
        <v>0</v>
      </c>
      <c r="M962" s="44" t="str">
        <f t="shared" si="215"/>
        <v/>
      </c>
      <c r="N962" s="100">
        <f t="shared" si="216"/>
        <v>0</v>
      </c>
      <c r="O962" s="101">
        <f t="shared" si="217"/>
        <v>0</v>
      </c>
      <c r="P962" s="52">
        <f t="shared" si="218"/>
        <v>0</v>
      </c>
      <c r="Q962" s="49">
        <v>116.88487613461319</v>
      </c>
      <c r="R962">
        <v>2225</v>
      </c>
      <c r="S962" s="50">
        <f t="shared" si="214"/>
        <v>71535.307499999995</v>
      </c>
      <c r="T962" s="50">
        <f t="shared" si="219"/>
        <v>0</v>
      </c>
      <c r="U962" s="58">
        <f t="shared" si="220"/>
        <v>0</v>
      </c>
      <c r="V962" s="58">
        <f t="shared" si="221"/>
        <v>0</v>
      </c>
      <c r="W962" s="58">
        <f t="shared" si="222"/>
        <v>0</v>
      </c>
      <c r="X962" s="58">
        <f t="shared" si="223"/>
        <v>0</v>
      </c>
      <c r="Y962" s="52">
        <f t="shared" si="224"/>
        <v>0</v>
      </c>
    </row>
    <row r="963" spans="1:25" x14ac:dyDescent="0.25">
      <c r="A963" s="1218" t="s">
        <v>145</v>
      </c>
      <c r="B963" s="98">
        <v>45505</v>
      </c>
      <c r="C963" s="117" t="str">
        <f t="shared" si="211"/>
        <v>5L</v>
      </c>
      <c r="D963" s="96"/>
      <c r="E963" s="98"/>
      <c r="F963" s="98"/>
      <c r="G963" s="55"/>
      <c r="H963" s="55"/>
      <c r="I963" s="99">
        <f t="shared" si="212"/>
        <v>0</v>
      </c>
      <c r="J963" s="55"/>
      <c r="K963" s="55"/>
      <c r="L963" s="99">
        <f t="shared" si="213"/>
        <v>0</v>
      </c>
      <c r="M963" s="44" t="str">
        <f t="shared" si="215"/>
        <v/>
      </c>
      <c r="N963" s="100">
        <f t="shared" si="216"/>
        <v>0</v>
      </c>
      <c r="O963" s="101">
        <f t="shared" si="217"/>
        <v>0</v>
      </c>
      <c r="P963" s="52">
        <f t="shared" si="218"/>
        <v>0</v>
      </c>
      <c r="Q963" s="49">
        <v>116.88487613461319</v>
      </c>
      <c r="R963">
        <v>2225</v>
      </c>
      <c r="S963" s="50">
        <f t="shared" si="214"/>
        <v>71535.307499999995</v>
      </c>
      <c r="T963" s="50">
        <f t="shared" si="219"/>
        <v>0</v>
      </c>
      <c r="U963" s="58">
        <f t="shared" si="220"/>
        <v>0</v>
      </c>
      <c r="V963" s="58">
        <f t="shared" si="221"/>
        <v>0</v>
      </c>
      <c r="W963" s="58">
        <f t="shared" si="222"/>
        <v>0</v>
      </c>
      <c r="X963" s="58">
        <f t="shared" si="223"/>
        <v>0</v>
      </c>
      <c r="Y963" s="52">
        <f t="shared" si="224"/>
        <v>0</v>
      </c>
    </row>
    <row r="964" spans="1:25" x14ac:dyDescent="0.25">
      <c r="A964" s="1218" t="s">
        <v>146</v>
      </c>
      <c r="B964" s="98">
        <v>45505</v>
      </c>
      <c r="C964" s="117" t="str">
        <f t="shared" si="211"/>
        <v>5L</v>
      </c>
      <c r="D964" s="96"/>
      <c r="E964" s="98"/>
      <c r="F964" s="98"/>
      <c r="G964" s="55"/>
      <c r="H964" s="55"/>
      <c r="I964" s="99">
        <f t="shared" si="212"/>
        <v>0</v>
      </c>
      <c r="J964" s="55"/>
      <c r="K964" s="55"/>
      <c r="L964" s="99">
        <f t="shared" si="213"/>
        <v>0</v>
      </c>
      <c r="M964" s="44" t="str">
        <f t="shared" si="215"/>
        <v/>
      </c>
      <c r="N964" s="100">
        <f t="shared" si="216"/>
        <v>0</v>
      </c>
      <c r="O964" s="101">
        <f t="shared" si="217"/>
        <v>0</v>
      </c>
      <c r="P964" s="52">
        <f t="shared" si="218"/>
        <v>0</v>
      </c>
      <c r="Q964" s="49">
        <v>116.88487613461319</v>
      </c>
      <c r="R964">
        <v>2225</v>
      </c>
      <c r="S964" s="50">
        <f t="shared" si="214"/>
        <v>71535.307499999995</v>
      </c>
      <c r="T964" s="50">
        <f t="shared" si="219"/>
        <v>0</v>
      </c>
      <c r="U964" s="58">
        <f t="shared" si="220"/>
        <v>0</v>
      </c>
      <c r="V964" s="58">
        <f t="shared" si="221"/>
        <v>0</v>
      </c>
      <c r="W964" s="58">
        <f t="shared" si="222"/>
        <v>0</v>
      </c>
      <c r="X964" s="58">
        <f t="shared" si="223"/>
        <v>0</v>
      </c>
      <c r="Y964" s="52">
        <f t="shared" si="224"/>
        <v>0</v>
      </c>
    </row>
    <row r="965" spans="1:25" x14ac:dyDescent="0.25">
      <c r="A965" s="1218" t="s">
        <v>147</v>
      </c>
      <c r="B965" s="98">
        <v>45505</v>
      </c>
      <c r="C965" s="117" t="str">
        <f t="shared" si="211"/>
        <v>5L</v>
      </c>
      <c r="D965" s="96"/>
      <c r="E965" s="98"/>
      <c r="F965" s="98"/>
      <c r="G965" s="55"/>
      <c r="H965" s="55"/>
      <c r="I965" s="99">
        <f t="shared" si="212"/>
        <v>0</v>
      </c>
      <c r="J965" s="55"/>
      <c r="K965" s="55"/>
      <c r="L965" s="99">
        <f t="shared" si="213"/>
        <v>0</v>
      </c>
      <c r="M965" s="44" t="str">
        <f t="shared" si="215"/>
        <v/>
      </c>
      <c r="N965" s="100">
        <f t="shared" si="216"/>
        <v>0</v>
      </c>
      <c r="O965" s="101">
        <f t="shared" si="217"/>
        <v>0</v>
      </c>
      <c r="P965" s="52">
        <f t="shared" si="218"/>
        <v>0</v>
      </c>
      <c r="Q965" s="49">
        <v>116.88487613461319</v>
      </c>
      <c r="R965">
        <v>2225</v>
      </c>
      <c r="S965" s="50">
        <f t="shared" si="214"/>
        <v>71535.307499999995</v>
      </c>
      <c r="T965" s="50">
        <f t="shared" si="219"/>
        <v>0</v>
      </c>
      <c r="U965" s="58">
        <f t="shared" si="220"/>
        <v>0</v>
      </c>
      <c r="V965" s="58">
        <f t="shared" si="221"/>
        <v>0</v>
      </c>
      <c r="W965" s="58">
        <f t="shared" si="222"/>
        <v>0</v>
      </c>
      <c r="X965" s="58">
        <f t="shared" si="223"/>
        <v>0</v>
      </c>
      <c r="Y965" s="52">
        <f t="shared" si="224"/>
        <v>0</v>
      </c>
    </row>
    <row r="966" spans="1:25" x14ac:dyDescent="0.25">
      <c r="A966" s="1218" t="s">
        <v>148</v>
      </c>
      <c r="B966" s="98">
        <v>45505</v>
      </c>
      <c r="C966" s="117" t="str">
        <f t="shared" si="211"/>
        <v>5L</v>
      </c>
      <c r="D966" s="96"/>
      <c r="E966" s="98"/>
      <c r="F966" s="98"/>
      <c r="G966" s="55"/>
      <c r="H966" s="55"/>
      <c r="I966" s="99">
        <f t="shared" si="212"/>
        <v>0</v>
      </c>
      <c r="J966" s="55"/>
      <c r="K966" s="55"/>
      <c r="L966" s="99">
        <f t="shared" si="213"/>
        <v>0</v>
      </c>
      <c r="M966" s="44" t="str">
        <f t="shared" si="215"/>
        <v/>
      </c>
      <c r="N966" s="100">
        <f t="shared" si="216"/>
        <v>0</v>
      </c>
      <c r="O966" s="101">
        <f t="shared" si="217"/>
        <v>0</v>
      </c>
      <c r="P966" s="52">
        <f t="shared" si="218"/>
        <v>0</v>
      </c>
      <c r="Q966" s="49">
        <v>116.88487613461319</v>
      </c>
      <c r="R966">
        <v>2225</v>
      </c>
      <c r="S966" s="50">
        <f t="shared" si="214"/>
        <v>71535.307499999995</v>
      </c>
      <c r="T966" s="50">
        <f t="shared" si="219"/>
        <v>0</v>
      </c>
      <c r="U966" s="58">
        <f t="shared" si="220"/>
        <v>0</v>
      </c>
      <c r="V966" s="58">
        <f t="shared" si="221"/>
        <v>0</v>
      </c>
      <c r="W966" s="58">
        <f t="shared" si="222"/>
        <v>0</v>
      </c>
      <c r="X966" s="58">
        <f t="shared" si="223"/>
        <v>0</v>
      </c>
      <c r="Y966" s="52">
        <f t="shared" si="224"/>
        <v>0</v>
      </c>
    </row>
    <row r="967" spans="1:25" x14ac:dyDescent="0.25">
      <c r="A967" s="1218" t="s">
        <v>149</v>
      </c>
      <c r="B967" s="98">
        <v>45505</v>
      </c>
      <c r="C967" s="117" t="str">
        <f t="shared" si="211"/>
        <v>5L</v>
      </c>
      <c r="D967" s="96"/>
      <c r="E967" s="98"/>
      <c r="F967" s="98"/>
      <c r="G967" s="55"/>
      <c r="H967" s="55"/>
      <c r="I967" s="99">
        <f t="shared" si="212"/>
        <v>0</v>
      </c>
      <c r="J967" s="55"/>
      <c r="K967" s="55"/>
      <c r="L967" s="99">
        <f t="shared" si="213"/>
        <v>0</v>
      </c>
      <c r="M967" s="44" t="str">
        <f t="shared" si="215"/>
        <v/>
      </c>
      <c r="N967" s="100">
        <f t="shared" si="216"/>
        <v>0</v>
      </c>
      <c r="O967" s="101">
        <f t="shared" si="217"/>
        <v>0</v>
      </c>
      <c r="P967" s="52">
        <f t="shared" si="218"/>
        <v>0</v>
      </c>
      <c r="Q967" s="49">
        <v>116.88487613461319</v>
      </c>
      <c r="R967">
        <v>2225</v>
      </c>
      <c r="S967" s="50">
        <f t="shared" si="214"/>
        <v>71535.307499999995</v>
      </c>
      <c r="T967" s="50">
        <f t="shared" si="219"/>
        <v>0</v>
      </c>
      <c r="U967" s="58">
        <f t="shared" si="220"/>
        <v>0</v>
      </c>
      <c r="V967" s="58">
        <f t="shared" si="221"/>
        <v>0</v>
      </c>
      <c r="W967" s="58">
        <f t="shared" si="222"/>
        <v>0</v>
      </c>
      <c r="X967" s="58">
        <f t="shared" si="223"/>
        <v>0</v>
      </c>
      <c r="Y967" s="52">
        <f t="shared" si="224"/>
        <v>0</v>
      </c>
    </row>
    <row r="968" spans="1:25" x14ac:dyDescent="0.25">
      <c r="A968" s="1218" t="s">
        <v>150</v>
      </c>
      <c r="B968" s="98">
        <v>45505</v>
      </c>
      <c r="C968" s="117" t="str">
        <f t="shared" si="211"/>
        <v>6L</v>
      </c>
      <c r="D968" s="96"/>
      <c r="E968" s="98"/>
      <c r="F968" s="98"/>
      <c r="I968" s="99">
        <f t="shared" si="212"/>
        <v>0</v>
      </c>
      <c r="L968" s="99">
        <f t="shared" si="213"/>
        <v>0</v>
      </c>
      <c r="M968" s="44" t="str">
        <f t="shared" si="215"/>
        <v/>
      </c>
      <c r="N968" s="100">
        <f t="shared" si="216"/>
        <v>0</v>
      </c>
      <c r="O968" s="101">
        <f t="shared" si="217"/>
        <v>0</v>
      </c>
      <c r="P968" s="52">
        <f t="shared" si="218"/>
        <v>0</v>
      </c>
      <c r="Q968" s="49">
        <v>116.88487613461319</v>
      </c>
      <c r="R968">
        <v>2225</v>
      </c>
      <c r="S968" s="50">
        <f t="shared" si="214"/>
        <v>71535.307499999995</v>
      </c>
      <c r="T968" s="50">
        <f t="shared" si="219"/>
        <v>0</v>
      </c>
      <c r="U968" s="58">
        <f t="shared" si="220"/>
        <v>0</v>
      </c>
      <c r="V968" s="58">
        <f t="shared" si="221"/>
        <v>0</v>
      </c>
      <c r="W968" s="58">
        <f t="shared" si="222"/>
        <v>0</v>
      </c>
      <c r="X968" s="58">
        <f t="shared" si="223"/>
        <v>0</v>
      </c>
      <c r="Y968" s="52">
        <f t="shared" si="224"/>
        <v>0</v>
      </c>
    </row>
    <row r="969" spans="1:25" x14ac:dyDescent="0.25">
      <c r="A969" s="1218" t="s">
        <v>151</v>
      </c>
      <c r="B969" s="98">
        <v>45505</v>
      </c>
      <c r="C969" s="117" t="str">
        <f t="shared" si="211"/>
        <v>6L</v>
      </c>
      <c r="D969" s="96"/>
      <c r="E969" s="98"/>
      <c r="F969" s="98"/>
      <c r="I969" s="99">
        <f t="shared" si="212"/>
        <v>0</v>
      </c>
      <c r="L969" s="99">
        <f t="shared" si="213"/>
        <v>0</v>
      </c>
      <c r="M969" s="44" t="str">
        <f t="shared" si="215"/>
        <v/>
      </c>
      <c r="N969" s="100">
        <f t="shared" si="216"/>
        <v>0</v>
      </c>
      <c r="O969" s="101">
        <f t="shared" si="217"/>
        <v>0</v>
      </c>
      <c r="P969" s="52">
        <f t="shared" si="218"/>
        <v>0</v>
      </c>
      <c r="Q969" s="49">
        <v>116.88487613461319</v>
      </c>
      <c r="R969">
        <v>2225</v>
      </c>
      <c r="S969" s="50">
        <f t="shared" si="214"/>
        <v>71535.307499999995</v>
      </c>
      <c r="T969" s="50">
        <f t="shared" si="219"/>
        <v>0</v>
      </c>
      <c r="U969" s="58">
        <f t="shared" si="220"/>
        <v>0</v>
      </c>
      <c r="V969" s="58">
        <f t="shared" si="221"/>
        <v>0</v>
      </c>
      <c r="W969" s="58">
        <f t="shared" si="222"/>
        <v>0</v>
      </c>
      <c r="X969" s="58">
        <f t="shared" si="223"/>
        <v>0</v>
      </c>
      <c r="Y969" s="52">
        <f t="shared" si="224"/>
        <v>0</v>
      </c>
    </row>
    <row r="970" spans="1:25" x14ac:dyDescent="0.25">
      <c r="A970" s="1218" t="s">
        <v>152</v>
      </c>
      <c r="B970" s="98">
        <v>45505</v>
      </c>
      <c r="C970" s="117" t="str">
        <f t="shared" si="211"/>
        <v>6L</v>
      </c>
      <c r="D970" s="96"/>
      <c r="E970" s="98"/>
      <c r="F970" s="98"/>
      <c r="I970" s="99"/>
      <c r="L970" s="99"/>
      <c r="M970" s="44"/>
      <c r="N970" s="100"/>
      <c r="O970" s="101"/>
      <c r="P970" s="52"/>
      <c r="Q970" s="49"/>
      <c r="S970" s="50"/>
      <c r="T970" s="50"/>
      <c r="U970" s="58"/>
      <c r="V970" s="58"/>
      <c r="W970" s="58"/>
      <c r="X970" s="58"/>
      <c r="Y970" s="52"/>
    </row>
    <row r="971" spans="1:25" x14ac:dyDescent="0.25">
      <c r="A971" s="1218" t="s">
        <v>153</v>
      </c>
      <c r="B971" s="98">
        <v>45505</v>
      </c>
      <c r="C971" s="117" t="str">
        <f t="shared" ref="C971:C1034" si="226">LEFT(A971,2)</f>
        <v>6L</v>
      </c>
      <c r="D971" s="96"/>
      <c r="E971" s="98"/>
      <c r="F971" s="98"/>
      <c r="I971" s="99">
        <f t="shared" si="212"/>
        <v>0</v>
      </c>
      <c r="L971" s="99">
        <f t="shared" si="213"/>
        <v>0</v>
      </c>
      <c r="M971" s="44" t="str">
        <f t="shared" si="215"/>
        <v/>
      </c>
      <c r="N971" s="100">
        <f t="shared" si="216"/>
        <v>0</v>
      </c>
      <c r="O971" s="101">
        <f t="shared" si="217"/>
        <v>0</v>
      </c>
      <c r="P971" s="52">
        <f t="shared" si="218"/>
        <v>0</v>
      </c>
      <c r="Q971" s="49">
        <v>116.88487613461319</v>
      </c>
      <c r="R971">
        <v>2225</v>
      </c>
      <c r="S971" s="50">
        <f t="shared" si="214"/>
        <v>71535.307499999995</v>
      </c>
      <c r="T971" s="50">
        <f t="shared" si="219"/>
        <v>0</v>
      </c>
      <c r="U971" s="58">
        <f t="shared" si="220"/>
        <v>0</v>
      </c>
      <c r="V971" s="58">
        <f t="shared" si="221"/>
        <v>0</v>
      </c>
      <c r="W971" s="58">
        <f t="shared" si="222"/>
        <v>0</v>
      </c>
      <c r="X971" s="58">
        <f t="shared" si="223"/>
        <v>0</v>
      </c>
      <c r="Y971" s="52">
        <f t="shared" si="224"/>
        <v>0</v>
      </c>
    </row>
    <row r="972" spans="1:25" x14ac:dyDescent="0.25">
      <c r="A972" s="1218" t="s">
        <v>154</v>
      </c>
      <c r="B972" s="98">
        <v>45505</v>
      </c>
      <c r="C972" s="117" t="str">
        <f t="shared" si="226"/>
        <v>6L</v>
      </c>
      <c r="D972" s="96"/>
      <c r="E972" s="98"/>
      <c r="F972" s="98"/>
      <c r="I972" s="99"/>
      <c r="L972" s="99"/>
      <c r="M972" s="44"/>
      <c r="N972" s="100"/>
      <c r="O972" s="101"/>
      <c r="P972" s="52"/>
      <c r="Q972" s="49"/>
      <c r="S972" s="50"/>
      <c r="T972" s="50"/>
      <c r="U972" s="58"/>
      <c r="V972" s="58"/>
      <c r="W972" s="58"/>
      <c r="X972" s="58"/>
      <c r="Y972" s="52"/>
    </row>
    <row r="973" spans="1:25" x14ac:dyDescent="0.25">
      <c r="A973" s="1218" t="s">
        <v>155</v>
      </c>
      <c r="B973" s="98">
        <v>45505</v>
      </c>
      <c r="C973" s="117" t="str">
        <f t="shared" si="226"/>
        <v>6L</v>
      </c>
      <c r="D973" s="96"/>
      <c r="E973" s="98"/>
      <c r="F973" s="98"/>
      <c r="I973" s="99">
        <f t="shared" si="212"/>
        <v>0</v>
      </c>
      <c r="L973" s="99">
        <f t="shared" si="213"/>
        <v>0</v>
      </c>
      <c r="M973" s="44" t="str">
        <f t="shared" si="215"/>
        <v/>
      </c>
      <c r="N973" s="100">
        <f t="shared" si="216"/>
        <v>0</v>
      </c>
      <c r="O973" s="101">
        <f t="shared" si="217"/>
        <v>0</v>
      </c>
      <c r="P973" s="52">
        <f t="shared" si="218"/>
        <v>0</v>
      </c>
      <c r="Q973" s="49">
        <v>116.88487613461319</v>
      </c>
      <c r="R973">
        <v>2225</v>
      </c>
      <c r="S973" s="50">
        <f t="shared" si="214"/>
        <v>71535.307499999995</v>
      </c>
      <c r="T973" s="50">
        <f t="shared" si="219"/>
        <v>0</v>
      </c>
      <c r="U973" s="58">
        <f t="shared" si="220"/>
        <v>0</v>
      </c>
      <c r="V973" s="58">
        <f t="shared" si="221"/>
        <v>0</v>
      </c>
      <c r="W973" s="58">
        <f t="shared" si="222"/>
        <v>0</v>
      </c>
      <c r="X973" s="58">
        <f t="shared" si="223"/>
        <v>0</v>
      </c>
      <c r="Y973" s="52">
        <f t="shared" si="224"/>
        <v>0</v>
      </c>
    </row>
    <row r="974" spans="1:25" x14ac:dyDescent="0.25">
      <c r="A974" s="1218" t="s">
        <v>156</v>
      </c>
      <c r="B974" s="98">
        <v>45505</v>
      </c>
      <c r="C974" s="117" t="str">
        <f t="shared" si="226"/>
        <v>6L</v>
      </c>
      <c r="D974" s="96"/>
      <c r="E974" s="98"/>
      <c r="F974" s="98"/>
      <c r="I974" s="99">
        <f t="shared" si="212"/>
        <v>0</v>
      </c>
      <c r="L974" s="99">
        <f t="shared" si="213"/>
        <v>0</v>
      </c>
      <c r="M974" s="44" t="str">
        <f t="shared" si="215"/>
        <v/>
      </c>
      <c r="N974" s="100">
        <f t="shared" si="216"/>
        <v>0</v>
      </c>
      <c r="O974" s="101">
        <f t="shared" si="217"/>
        <v>0</v>
      </c>
      <c r="P974" s="52">
        <f t="shared" si="218"/>
        <v>0</v>
      </c>
      <c r="Q974" s="49">
        <v>116.88487613461319</v>
      </c>
      <c r="R974">
        <v>2225</v>
      </c>
      <c r="S974" s="50">
        <f t="shared" si="214"/>
        <v>71535.307499999995</v>
      </c>
      <c r="T974" s="50">
        <f t="shared" si="219"/>
        <v>0</v>
      </c>
      <c r="U974" s="58">
        <f t="shared" si="220"/>
        <v>0</v>
      </c>
      <c r="V974" s="58">
        <f t="shared" si="221"/>
        <v>0</v>
      </c>
      <c r="W974" s="58">
        <f t="shared" si="222"/>
        <v>0</v>
      </c>
      <c r="X974" s="58">
        <f t="shared" si="223"/>
        <v>0</v>
      </c>
      <c r="Y974" s="52">
        <f t="shared" si="224"/>
        <v>0</v>
      </c>
    </row>
    <row r="975" spans="1:25" x14ac:dyDescent="0.25">
      <c r="A975" s="1218" t="s">
        <v>157</v>
      </c>
      <c r="B975" s="98">
        <v>45505</v>
      </c>
      <c r="C975" s="117" t="str">
        <f t="shared" si="226"/>
        <v>6L</v>
      </c>
      <c r="D975" s="96"/>
      <c r="E975" s="98"/>
      <c r="F975" s="98"/>
      <c r="I975" s="99">
        <f t="shared" si="212"/>
        <v>0</v>
      </c>
      <c r="L975" s="99">
        <f t="shared" si="213"/>
        <v>0</v>
      </c>
      <c r="M975" s="44" t="str">
        <f t="shared" si="215"/>
        <v/>
      </c>
      <c r="N975" s="100">
        <f t="shared" si="216"/>
        <v>0</v>
      </c>
      <c r="O975" s="101">
        <f t="shared" si="217"/>
        <v>0</v>
      </c>
      <c r="P975" s="52">
        <f t="shared" si="218"/>
        <v>0</v>
      </c>
      <c r="Q975" s="49">
        <v>116.88487613461319</v>
      </c>
      <c r="R975">
        <v>2225</v>
      </c>
      <c r="S975" s="50">
        <f t="shared" si="214"/>
        <v>71535.307499999995</v>
      </c>
      <c r="T975" s="50">
        <f t="shared" si="219"/>
        <v>0</v>
      </c>
      <c r="U975" s="58">
        <f t="shared" si="220"/>
        <v>0</v>
      </c>
      <c r="V975" s="58">
        <f t="shared" si="221"/>
        <v>0</v>
      </c>
      <c r="W975" s="58">
        <f t="shared" si="222"/>
        <v>0</v>
      </c>
      <c r="X975" s="58">
        <f t="shared" si="223"/>
        <v>0</v>
      </c>
      <c r="Y975" s="52">
        <f t="shared" si="224"/>
        <v>0</v>
      </c>
    </row>
    <row r="976" spans="1:25" x14ac:dyDescent="0.25">
      <c r="A976" s="1218" t="s">
        <v>158</v>
      </c>
      <c r="B976" s="98">
        <v>45505</v>
      </c>
      <c r="C976" s="117" t="str">
        <f t="shared" si="226"/>
        <v>6L</v>
      </c>
      <c r="D976" s="96"/>
      <c r="E976" s="98"/>
      <c r="F976" s="98"/>
      <c r="I976" s="99">
        <f t="shared" si="212"/>
        <v>0</v>
      </c>
      <c r="L976" s="99">
        <f t="shared" si="213"/>
        <v>0</v>
      </c>
      <c r="M976" s="44" t="str">
        <f t="shared" si="215"/>
        <v/>
      </c>
      <c r="N976" s="100">
        <f t="shared" si="216"/>
        <v>0</v>
      </c>
      <c r="O976" s="101">
        <f t="shared" si="217"/>
        <v>0</v>
      </c>
      <c r="P976" s="52">
        <f t="shared" si="218"/>
        <v>0</v>
      </c>
      <c r="Q976" s="49">
        <v>116.88487613461319</v>
      </c>
      <c r="R976">
        <v>2225</v>
      </c>
      <c r="S976" s="50">
        <f t="shared" si="214"/>
        <v>71535.307499999995</v>
      </c>
      <c r="T976" s="50">
        <f t="shared" si="219"/>
        <v>0</v>
      </c>
      <c r="U976" s="58">
        <f t="shared" si="220"/>
        <v>0</v>
      </c>
      <c r="V976" s="58">
        <f t="shared" si="221"/>
        <v>0</v>
      </c>
      <c r="W976" s="58">
        <f t="shared" si="222"/>
        <v>0</v>
      </c>
      <c r="X976" s="58">
        <f t="shared" si="223"/>
        <v>0</v>
      </c>
      <c r="Y976" s="52">
        <f t="shared" si="224"/>
        <v>0</v>
      </c>
    </row>
    <row r="977" spans="1:25" x14ac:dyDescent="0.25">
      <c r="A977" s="1218" t="s">
        <v>159</v>
      </c>
      <c r="B977" s="98">
        <v>45505</v>
      </c>
      <c r="C977" s="117" t="str">
        <f t="shared" si="226"/>
        <v>6L</v>
      </c>
      <c r="D977" s="96"/>
      <c r="E977" s="98"/>
      <c r="F977" s="98"/>
      <c r="I977" s="99">
        <f t="shared" si="212"/>
        <v>0</v>
      </c>
      <c r="L977" s="99">
        <f t="shared" si="213"/>
        <v>0</v>
      </c>
      <c r="M977" s="44" t="str">
        <f t="shared" si="215"/>
        <v/>
      </c>
      <c r="N977" s="100">
        <f t="shared" si="216"/>
        <v>0</v>
      </c>
      <c r="O977" s="101">
        <f t="shared" si="217"/>
        <v>0</v>
      </c>
      <c r="P977" s="52">
        <f t="shared" si="218"/>
        <v>0</v>
      </c>
      <c r="Q977" s="49">
        <v>116.88487613461319</v>
      </c>
      <c r="R977">
        <v>2225</v>
      </c>
      <c r="S977" s="50">
        <f t="shared" si="214"/>
        <v>71535.307499999995</v>
      </c>
      <c r="T977" s="50">
        <f t="shared" si="219"/>
        <v>0</v>
      </c>
      <c r="U977" s="58">
        <f t="shared" si="220"/>
        <v>0</v>
      </c>
      <c r="V977" s="58">
        <f t="shared" si="221"/>
        <v>0</v>
      </c>
      <c r="W977" s="58">
        <f t="shared" si="222"/>
        <v>0</v>
      </c>
      <c r="X977" s="58">
        <f t="shared" si="223"/>
        <v>0</v>
      </c>
      <c r="Y977" s="52">
        <f t="shared" si="224"/>
        <v>0</v>
      </c>
    </row>
    <row r="978" spans="1:25" x14ac:dyDescent="0.25">
      <c r="A978" s="1218" t="s">
        <v>160</v>
      </c>
      <c r="B978" s="98">
        <v>45505</v>
      </c>
      <c r="C978" s="117" t="str">
        <f t="shared" si="226"/>
        <v>6L</v>
      </c>
      <c r="D978" s="96"/>
      <c r="E978" s="98"/>
      <c r="F978" s="98"/>
      <c r="I978" s="99">
        <f t="shared" si="212"/>
        <v>0</v>
      </c>
      <c r="L978" s="99">
        <f t="shared" si="213"/>
        <v>0</v>
      </c>
      <c r="M978" s="44" t="str">
        <f t="shared" si="215"/>
        <v/>
      </c>
      <c r="N978" s="100">
        <f t="shared" si="216"/>
        <v>0</v>
      </c>
      <c r="O978" s="101">
        <f t="shared" si="217"/>
        <v>0</v>
      </c>
      <c r="P978" s="52">
        <f t="shared" si="218"/>
        <v>0</v>
      </c>
      <c r="Q978" s="49">
        <v>116.88487613461319</v>
      </c>
      <c r="R978">
        <v>2225</v>
      </c>
      <c r="S978" s="50">
        <f t="shared" si="214"/>
        <v>71535.307499999995</v>
      </c>
      <c r="T978" s="50">
        <f t="shared" si="219"/>
        <v>0</v>
      </c>
      <c r="U978" s="58">
        <f t="shared" si="220"/>
        <v>0</v>
      </c>
      <c r="V978" s="58">
        <f t="shared" si="221"/>
        <v>0</v>
      </c>
      <c r="W978" s="58">
        <f t="shared" si="222"/>
        <v>0</v>
      </c>
      <c r="X978" s="58">
        <f t="shared" si="223"/>
        <v>0</v>
      </c>
      <c r="Y978" s="52">
        <f t="shared" si="224"/>
        <v>0</v>
      </c>
    </row>
    <row r="979" spans="1:25" x14ac:dyDescent="0.25">
      <c r="A979" s="1218" t="s">
        <v>161</v>
      </c>
      <c r="B979" s="98">
        <v>45505</v>
      </c>
      <c r="C979" s="117" t="str">
        <f t="shared" si="226"/>
        <v>6L</v>
      </c>
      <c r="D979" s="96"/>
      <c r="E979" s="98"/>
      <c r="F979" s="98"/>
      <c r="I979" s="99">
        <f t="shared" si="212"/>
        <v>0</v>
      </c>
      <c r="L979" s="99">
        <f t="shared" si="213"/>
        <v>0</v>
      </c>
      <c r="M979" s="44" t="str">
        <f t="shared" si="215"/>
        <v/>
      </c>
      <c r="N979" s="100">
        <f t="shared" si="216"/>
        <v>0</v>
      </c>
      <c r="O979" s="101">
        <f t="shared" si="217"/>
        <v>0</v>
      </c>
      <c r="P979" s="52">
        <f t="shared" si="218"/>
        <v>0</v>
      </c>
      <c r="Q979" s="49">
        <v>116.88487613461319</v>
      </c>
      <c r="R979">
        <v>2225</v>
      </c>
      <c r="S979" s="50">
        <f t="shared" si="214"/>
        <v>71535.307499999995</v>
      </c>
      <c r="T979" s="50">
        <f t="shared" si="219"/>
        <v>0</v>
      </c>
      <c r="U979" s="58">
        <f t="shared" si="220"/>
        <v>0</v>
      </c>
      <c r="V979" s="58">
        <f t="shared" si="221"/>
        <v>0</v>
      </c>
      <c r="W979" s="58">
        <f t="shared" si="222"/>
        <v>0</v>
      </c>
      <c r="X979" s="58">
        <f t="shared" si="223"/>
        <v>0</v>
      </c>
      <c r="Y979" s="52">
        <f t="shared" si="224"/>
        <v>0</v>
      </c>
    </row>
    <row r="980" spans="1:25" x14ac:dyDescent="0.25">
      <c r="A980" s="1218" t="s">
        <v>162</v>
      </c>
      <c r="B980" s="98">
        <v>45505</v>
      </c>
      <c r="C980" s="117" t="str">
        <f t="shared" si="226"/>
        <v>6L</v>
      </c>
      <c r="D980" s="96"/>
      <c r="E980" s="98"/>
      <c r="F980" s="98"/>
      <c r="I980" s="99">
        <f t="shared" si="212"/>
        <v>0</v>
      </c>
      <c r="L980" s="99">
        <f t="shared" si="213"/>
        <v>0</v>
      </c>
      <c r="M980" s="44" t="str">
        <f t="shared" si="215"/>
        <v/>
      </c>
      <c r="N980" s="100">
        <f t="shared" si="216"/>
        <v>0</v>
      </c>
      <c r="O980" s="101">
        <f t="shared" si="217"/>
        <v>0</v>
      </c>
      <c r="P980" s="52">
        <f t="shared" si="218"/>
        <v>0</v>
      </c>
      <c r="Q980" s="49">
        <v>116.88487613461319</v>
      </c>
      <c r="R980">
        <v>2225</v>
      </c>
      <c r="S980" s="50">
        <f t="shared" si="214"/>
        <v>71535.307499999995</v>
      </c>
      <c r="T980" s="50">
        <f t="shared" si="219"/>
        <v>0</v>
      </c>
      <c r="U980" s="58">
        <f t="shared" si="220"/>
        <v>0</v>
      </c>
      <c r="V980" s="58">
        <f t="shared" si="221"/>
        <v>0</v>
      </c>
      <c r="W980" s="58">
        <f t="shared" si="222"/>
        <v>0</v>
      </c>
      <c r="X980" s="58">
        <f t="shared" si="223"/>
        <v>0</v>
      </c>
      <c r="Y980" s="52">
        <f t="shared" si="224"/>
        <v>0</v>
      </c>
    </row>
    <row r="981" spans="1:25" x14ac:dyDescent="0.25">
      <c r="A981" s="1218" t="s">
        <v>163</v>
      </c>
      <c r="B981" s="98">
        <v>45505</v>
      </c>
      <c r="C981" s="117" t="str">
        <f t="shared" si="226"/>
        <v>6L</v>
      </c>
      <c r="D981" s="96"/>
      <c r="E981" s="98"/>
      <c r="F981" s="98"/>
      <c r="I981" s="99">
        <f t="shared" si="212"/>
        <v>0</v>
      </c>
      <c r="L981" s="99">
        <f t="shared" si="213"/>
        <v>0</v>
      </c>
      <c r="M981" s="44" t="str">
        <f t="shared" si="215"/>
        <v/>
      </c>
      <c r="N981" s="100">
        <f t="shared" si="216"/>
        <v>0</v>
      </c>
      <c r="O981" s="101">
        <f t="shared" si="217"/>
        <v>0</v>
      </c>
      <c r="P981" s="52">
        <f t="shared" si="218"/>
        <v>0</v>
      </c>
      <c r="Q981" s="49">
        <v>116.88487613461319</v>
      </c>
      <c r="R981">
        <v>2225</v>
      </c>
      <c r="S981" s="50">
        <f t="shared" si="214"/>
        <v>71535.307499999995</v>
      </c>
      <c r="T981" s="50">
        <f t="shared" si="219"/>
        <v>0</v>
      </c>
      <c r="U981" s="58">
        <f t="shared" si="220"/>
        <v>0</v>
      </c>
      <c r="V981" s="58">
        <f t="shared" si="221"/>
        <v>0</v>
      </c>
      <c r="W981" s="58">
        <f t="shared" si="222"/>
        <v>0</v>
      </c>
      <c r="X981" s="58">
        <f t="shared" si="223"/>
        <v>0</v>
      </c>
      <c r="Y981" s="52">
        <f t="shared" si="224"/>
        <v>0</v>
      </c>
    </row>
    <row r="982" spans="1:25" x14ac:dyDescent="0.25">
      <c r="A982" s="1218" t="s">
        <v>164</v>
      </c>
      <c r="B982" s="98">
        <v>45505</v>
      </c>
      <c r="C982" s="117" t="str">
        <f t="shared" si="226"/>
        <v>6L</v>
      </c>
      <c r="D982" s="96"/>
      <c r="E982" s="98"/>
      <c r="F982" s="98"/>
      <c r="I982" s="99">
        <f t="shared" si="212"/>
        <v>0</v>
      </c>
      <c r="L982" s="99">
        <f t="shared" si="213"/>
        <v>0</v>
      </c>
      <c r="M982" s="44" t="str">
        <f t="shared" si="215"/>
        <v/>
      </c>
      <c r="N982" s="100">
        <f t="shared" si="216"/>
        <v>0</v>
      </c>
      <c r="O982" s="101">
        <f t="shared" si="217"/>
        <v>0</v>
      </c>
      <c r="P982" s="52">
        <f t="shared" si="218"/>
        <v>0</v>
      </c>
      <c r="Q982" s="49">
        <v>116.88487613461319</v>
      </c>
      <c r="R982">
        <v>2225</v>
      </c>
      <c r="S982" s="50">
        <f t="shared" si="214"/>
        <v>71535.307499999995</v>
      </c>
      <c r="T982" s="50">
        <f t="shared" si="219"/>
        <v>0</v>
      </c>
      <c r="U982" s="58">
        <f t="shared" si="220"/>
        <v>0</v>
      </c>
      <c r="V982" s="58">
        <f t="shared" si="221"/>
        <v>0</v>
      </c>
      <c r="W982" s="58">
        <f t="shared" si="222"/>
        <v>0</v>
      </c>
      <c r="X982" s="58">
        <f t="shared" si="223"/>
        <v>0</v>
      </c>
      <c r="Y982" s="52">
        <f t="shared" si="224"/>
        <v>0</v>
      </c>
    </row>
    <row r="983" spans="1:25" x14ac:dyDescent="0.25">
      <c r="A983" s="1218" t="s">
        <v>165</v>
      </c>
      <c r="B983" s="98">
        <v>45505</v>
      </c>
      <c r="C983" s="117" t="str">
        <f t="shared" si="226"/>
        <v>6L</v>
      </c>
      <c r="D983" s="96"/>
      <c r="E983" s="98"/>
      <c r="F983" s="98"/>
      <c r="I983" s="99">
        <f t="shared" si="212"/>
        <v>0</v>
      </c>
      <c r="L983" s="99">
        <f t="shared" si="213"/>
        <v>0</v>
      </c>
      <c r="M983" s="44" t="str">
        <f t="shared" si="215"/>
        <v/>
      </c>
      <c r="N983" s="100">
        <f t="shared" si="216"/>
        <v>0</v>
      </c>
      <c r="O983" s="101">
        <f t="shared" si="217"/>
        <v>0</v>
      </c>
      <c r="P983" s="52">
        <f t="shared" si="218"/>
        <v>0</v>
      </c>
      <c r="Q983" s="49">
        <v>116.88487613461319</v>
      </c>
      <c r="R983">
        <v>2225</v>
      </c>
      <c r="S983" s="50">
        <f t="shared" si="214"/>
        <v>71535.307499999995</v>
      </c>
      <c r="T983" s="50">
        <f t="shared" si="219"/>
        <v>0</v>
      </c>
      <c r="U983" s="58">
        <f t="shared" si="220"/>
        <v>0</v>
      </c>
      <c r="V983" s="58">
        <f t="shared" si="221"/>
        <v>0</v>
      </c>
      <c r="W983" s="58">
        <f t="shared" si="222"/>
        <v>0</v>
      </c>
      <c r="X983" s="58">
        <f t="shared" si="223"/>
        <v>0</v>
      </c>
      <c r="Y983" s="52">
        <f t="shared" si="224"/>
        <v>0</v>
      </c>
    </row>
    <row r="984" spans="1:25" x14ac:dyDescent="0.25">
      <c r="A984" s="1218" t="s">
        <v>166</v>
      </c>
      <c r="B984" s="98">
        <v>45505</v>
      </c>
      <c r="C984" s="117" t="str">
        <f t="shared" si="226"/>
        <v>6L</v>
      </c>
      <c r="D984" s="96"/>
      <c r="E984" s="98"/>
      <c r="F984" s="98"/>
      <c r="I984" s="99">
        <f t="shared" si="212"/>
        <v>0</v>
      </c>
      <c r="L984" s="99">
        <f t="shared" si="213"/>
        <v>0</v>
      </c>
      <c r="M984" s="44" t="str">
        <f t="shared" si="215"/>
        <v/>
      </c>
      <c r="N984" s="100">
        <f t="shared" si="216"/>
        <v>0</v>
      </c>
      <c r="O984" s="101">
        <f t="shared" si="217"/>
        <v>0</v>
      </c>
      <c r="P984" s="52">
        <f t="shared" si="218"/>
        <v>0</v>
      </c>
      <c r="Q984" s="49">
        <v>116.88487613461319</v>
      </c>
      <c r="R984">
        <v>2225</v>
      </c>
      <c r="S984" s="50">
        <f t="shared" si="214"/>
        <v>71535.307499999995</v>
      </c>
      <c r="T984" s="50">
        <f t="shared" si="219"/>
        <v>0</v>
      </c>
      <c r="U984" s="58">
        <f t="shared" si="220"/>
        <v>0</v>
      </c>
      <c r="V984" s="58">
        <f t="shared" si="221"/>
        <v>0</v>
      </c>
      <c r="W984" s="58">
        <f t="shared" si="222"/>
        <v>0</v>
      </c>
      <c r="X984" s="58">
        <f t="shared" si="223"/>
        <v>0</v>
      </c>
      <c r="Y984" s="52">
        <f t="shared" si="224"/>
        <v>0</v>
      </c>
    </row>
    <row r="985" spans="1:25" x14ac:dyDescent="0.25">
      <c r="A985" s="1218" t="s">
        <v>167</v>
      </c>
      <c r="B985" s="98">
        <v>45505</v>
      </c>
      <c r="C985" s="117" t="str">
        <f t="shared" si="226"/>
        <v>6L</v>
      </c>
      <c r="D985" s="96"/>
      <c r="E985" s="98"/>
      <c r="F985" s="98"/>
      <c r="I985" s="99">
        <f t="shared" si="212"/>
        <v>0</v>
      </c>
      <c r="L985" s="99">
        <f t="shared" si="213"/>
        <v>0</v>
      </c>
      <c r="M985" s="44" t="str">
        <f t="shared" si="215"/>
        <v/>
      </c>
      <c r="N985" s="100">
        <f t="shared" si="216"/>
        <v>0</v>
      </c>
      <c r="O985" s="101">
        <f t="shared" si="217"/>
        <v>0</v>
      </c>
      <c r="P985" s="52">
        <f t="shared" si="218"/>
        <v>0</v>
      </c>
      <c r="Q985" s="49">
        <v>116.88487613461319</v>
      </c>
      <c r="R985">
        <v>2225</v>
      </c>
      <c r="S985" s="50">
        <f t="shared" si="214"/>
        <v>71535.307499999995</v>
      </c>
      <c r="T985" s="50">
        <f t="shared" si="219"/>
        <v>0</v>
      </c>
      <c r="U985" s="58">
        <f t="shared" si="220"/>
        <v>0</v>
      </c>
      <c r="V985" s="58">
        <f t="shared" si="221"/>
        <v>0</v>
      </c>
      <c r="W985" s="58">
        <f t="shared" si="222"/>
        <v>0</v>
      </c>
      <c r="X985" s="58">
        <f t="shared" si="223"/>
        <v>0</v>
      </c>
      <c r="Y985" s="52">
        <f t="shared" si="224"/>
        <v>0</v>
      </c>
    </row>
    <row r="986" spans="1:25" x14ac:dyDescent="0.25">
      <c r="A986" s="1218" t="s">
        <v>168</v>
      </c>
      <c r="B986" s="98">
        <v>45505</v>
      </c>
      <c r="C986" s="117" t="str">
        <f t="shared" si="226"/>
        <v>6L</v>
      </c>
      <c r="D986" s="96"/>
      <c r="E986" s="98"/>
      <c r="F986" s="98"/>
      <c r="I986" s="99">
        <f t="shared" si="212"/>
        <v>0</v>
      </c>
      <c r="L986" s="99">
        <f t="shared" si="213"/>
        <v>0</v>
      </c>
      <c r="M986" s="44" t="str">
        <f t="shared" si="215"/>
        <v/>
      </c>
      <c r="N986" s="100">
        <f t="shared" si="216"/>
        <v>0</v>
      </c>
      <c r="O986" s="101">
        <f t="shared" si="217"/>
        <v>0</v>
      </c>
      <c r="P986" s="52">
        <f t="shared" si="218"/>
        <v>0</v>
      </c>
      <c r="Q986" s="49">
        <v>116.88487613461319</v>
      </c>
      <c r="R986">
        <v>2225</v>
      </c>
      <c r="S986" s="50">
        <f t="shared" si="214"/>
        <v>71535.307499999995</v>
      </c>
      <c r="T986" s="50">
        <f t="shared" si="219"/>
        <v>0</v>
      </c>
      <c r="U986" s="58">
        <f t="shared" si="220"/>
        <v>0</v>
      </c>
      <c r="V986" s="58">
        <f t="shared" si="221"/>
        <v>0</v>
      </c>
      <c r="W986" s="58">
        <f t="shared" si="222"/>
        <v>0</v>
      </c>
      <c r="X986" s="58">
        <f t="shared" si="223"/>
        <v>0</v>
      </c>
      <c r="Y986" s="52">
        <f t="shared" si="224"/>
        <v>0</v>
      </c>
    </row>
    <row r="987" spans="1:25" x14ac:dyDescent="0.25">
      <c r="A987" s="1218" t="s">
        <v>169</v>
      </c>
      <c r="B987" s="98">
        <v>45505</v>
      </c>
      <c r="C987" s="117" t="str">
        <f t="shared" si="226"/>
        <v>6L</v>
      </c>
      <c r="D987" s="96"/>
      <c r="E987" s="98"/>
      <c r="F987" s="98"/>
      <c r="I987" s="99">
        <f t="shared" si="212"/>
        <v>0</v>
      </c>
      <c r="L987" s="99">
        <f t="shared" si="213"/>
        <v>0</v>
      </c>
      <c r="M987" s="44" t="str">
        <f t="shared" si="215"/>
        <v/>
      </c>
      <c r="N987" s="100">
        <f t="shared" si="216"/>
        <v>0</v>
      </c>
      <c r="O987" s="101">
        <f t="shared" si="217"/>
        <v>0</v>
      </c>
      <c r="P987" s="52">
        <f t="shared" si="218"/>
        <v>0</v>
      </c>
      <c r="Q987" s="49">
        <v>116.88487613461319</v>
      </c>
      <c r="R987">
        <v>2225</v>
      </c>
      <c r="S987" s="50">
        <f t="shared" si="214"/>
        <v>71535.307499999995</v>
      </c>
      <c r="T987" s="50">
        <f t="shared" si="219"/>
        <v>0</v>
      </c>
      <c r="U987" s="58">
        <f t="shared" si="220"/>
        <v>0</v>
      </c>
      <c r="V987" s="58">
        <f t="shared" si="221"/>
        <v>0</v>
      </c>
      <c r="W987" s="58">
        <f t="shared" si="222"/>
        <v>0</v>
      </c>
      <c r="X987" s="58">
        <f t="shared" si="223"/>
        <v>0</v>
      </c>
      <c r="Y987" s="52">
        <f t="shared" si="224"/>
        <v>0</v>
      </c>
    </row>
    <row r="988" spans="1:25" x14ac:dyDescent="0.25">
      <c r="A988" s="1218" t="s">
        <v>170</v>
      </c>
      <c r="B988" s="98">
        <v>45505</v>
      </c>
      <c r="C988" s="117" t="str">
        <f t="shared" si="226"/>
        <v>6L</v>
      </c>
      <c r="D988" s="96"/>
      <c r="E988" s="98"/>
      <c r="F988" s="98"/>
      <c r="I988" s="99">
        <f t="shared" si="212"/>
        <v>0</v>
      </c>
      <c r="L988" s="99">
        <f t="shared" si="213"/>
        <v>0</v>
      </c>
      <c r="M988" s="44" t="str">
        <f t="shared" si="215"/>
        <v/>
      </c>
      <c r="N988" s="100">
        <f t="shared" si="216"/>
        <v>0</v>
      </c>
      <c r="O988" s="101">
        <f t="shared" si="217"/>
        <v>0</v>
      </c>
      <c r="P988" s="52">
        <f t="shared" si="218"/>
        <v>0</v>
      </c>
      <c r="Q988" s="49">
        <v>116.88487613461319</v>
      </c>
      <c r="R988">
        <v>2225</v>
      </c>
      <c r="S988" s="50">
        <f t="shared" si="214"/>
        <v>71535.307499999995</v>
      </c>
      <c r="T988" s="50">
        <f t="shared" si="219"/>
        <v>0</v>
      </c>
      <c r="U988" s="58">
        <f t="shared" si="220"/>
        <v>0</v>
      </c>
      <c r="V988" s="58">
        <f t="shared" si="221"/>
        <v>0</v>
      </c>
      <c r="W988" s="58">
        <f t="shared" si="222"/>
        <v>0</v>
      </c>
      <c r="X988" s="58">
        <f t="shared" si="223"/>
        <v>0</v>
      </c>
      <c r="Y988" s="52">
        <f t="shared" si="224"/>
        <v>0</v>
      </c>
    </row>
    <row r="989" spans="1:25" x14ac:dyDescent="0.25">
      <c r="A989" s="1218" t="s">
        <v>171</v>
      </c>
      <c r="B989" s="98">
        <v>45505</v>
      </c>
      <c r="C989" s="117" t="str">
        <f t="shared" si="226"/>
        <v>6L</v>
      </c>
      <c r="D989" s="96"/>
      <c r="E989" s="98"/>
      <c r="F989" s="98"/>
      <c r="I989" s="99">
        <f t="shared" si="212"/>
        <v>0</v>
      </c>
      <c r="L989" s="99">
        <f t="shared" si="213"/>
        <v>0</v>
      </c>
      <c r="M989" s="44" t="str">
        <f t="shared" si="215"/>
        <v/>
      </c>
      <c r="N989" s="100">
        <f t="shared" si="216"/>
        <v>0</v>
      </c>
      <c r="O989" s="101">
        <f t="shared" si="217"/>
        <v>0</v>
      </c>
      <c r="P989" s="52">
        <f t="shared" si="218"/>
        <v>0</v>
      </c>
      <c r="Q989" s="49">
        <v>116.88487613461319</v>
      </c>
      <c r="R989">
        <v>2225</v>
      </c>
      <c r="S989" s="50">
        <f t="shared" si="214"/>
        <v>71535.307499999995</v>
      </c>
      <c r="T989" s="50">
        <f t="shared" si="219"/>
        <v>0</v>
      </c>
      <c r="U989" s="58">
        <f t="shared" si="220"/>
        <v>0</v>
      </c>
      <c r="V989" s="58">
        <f t="shared" si="221"/>
        <v>0</v>
      </c>
      <c r="W989" s="58">
        <f t="shared" si="222"/>
        <v>0</v>
      </c>
      <c r="X989" s="58">
        <f t="shared" si="223"/>
        <v>0</v>
      </c>
      <c r="Y989" s="52">
        <f t="shared" si="224"/>
        <v>0</v>
      </c>
    </row>
    <row r="990" spans="1:25" x14ac:dyDescent="0.25">
      <c r="A990" s="1218" t="s">
        <v>172</v>
      </c>
      <c r="B990" s="98">
        <v>45505</v>
      </c>
      <c r="C990" s="117" t="str">
        <f t="shared" si="226"/>
        <v>6L</v>
      </c>
      <c r="D990" s="96"/>
      <c r="E990" s="98"/>
      <c r="F990" s="98"/>
      <c r="I990" s="99">
        <f t="shared" si="212"/>
        <v>0</v>
      </c>
      <c r="L990" s="99">
        <f t="shared" si="213"/>
        <v>0</v>
      </c>
      <c r="M990" s="44" t="str">
        <f t="shared" si="215"/>
        <v/>
      </c>
      <c r="N990" s="100">
        <f t="shared" si="216"/>
        <v>0</v>
      </c>
      <c r="O990" s="101">
        <f t="shared" si="217"/>
        <v>0</v>
      </c>
      <c r="P990" s="52">
        <f t="shared" si="218"/>
        <v>0</v>
      </c>
      <c r="Q990" s="49">
        <v>116.88487613461319</v>
      </c>
      <c r="R990">
        <v>2225</v>
      </c>
      <c r="S990" s="50">
        <f t="shared" si="214"/>
        <v>71535.307499999995</v>
      </c>
      <c r="T990" s="50">
        <f t="shared" si="219"/>
        <v>0</v>
      </c>
      <c r="U990" s="58">
        <f t="shared" si="220"/>
        <v>0</v>
      </c>
      <c r="V990" s="58">
        <f t="shared" si="221"/>
        <v>0</v>
      </c>
      <c r="W990" s="58">
        <f t="shared" si="222"/>
        <v>0</v>
      </c>
      <c r="X990" s="58">
        <f t="shared" si="223"/>
        <v>0</v>
      </c>
      <c r="Y990" s="52">
        <f t="shared" si="224"/>
        <v>0</v>
      </c>
    </row>
    <row r="991" spans="1:25" x14ac:dyDescent="0.25">
      <c r="A991" s="1218" t="s">
        <v>173</v>
      </c>
      <c r="B991" s="98">
        <v>45505</v>
      </c>
      <c r="C991" s="117" t="str">
        <f t="shared" si="226"/>
        <v>6L</v>
      </c>
      <c r="D991" s="96"/>
      <c r="E991" s="98"/>
      <c r="F991" s="98"/>
      <c r="I991" s="99">
        <f t="shared" si="212"/>
        <v>0</v>
      </c>
      <c r="L991" s="99">
        <f t="shared" si="213"/>
        <v>0</v>
      </c>
      <c r="M991" s="44" t="str">
        <f t="shared" si="215"/>
        <v/>
      </c>
      <c r="N991" s="100">
        <f t="shared" si="216"/>
        <v>0</v>
      </c>
      <c r="O991" s="101">
        <f t="shared" si="217"/>
        <v>0</v>
      </c>
      <c r="P991" s="52">
        <f t="shared" si="218"/>
        <v>0</v>
      </c>
      <c r="Q991" s="49">
        <v>116.88487613461319</v>
      </c>
      <c r="R991">
        <v>2225</v>
      </c>
      <c r="S991" s="50">
        <f t="shared" si="214"/>
        <v>71535.307499999995</v>
      </c>
      <c r="T991" s="50">
        <f t="shared" si="219"/>
        <v>0</v>
      </c>
      <c r="U991" s="58">
        <f t="shared" si="220"/>
        <v>0</v>
      </c>
      <c r="V991" s="58">
        <f t="shared" si="221"/>
        <v>0</v>
      </c>
      <c r="W991" s="58">
        <f t="shared" si="222"/>
        <v>0</v>
      </c>
      <c r="X991" s="58">
        <f t="shared" si="223"/>
        <v>0</v>
      </c>
      <c r="Y991" s="52">
        <f t="shared" si="224"/>
        <v>0</v>
      </c>
    </row>
    <row r="992" spans="1:25" x14ac:dyDescent="0.25">
      <c r="A992" s="1218" t="s">
        <v>174</v>
      </c>
      <c r="B992" s="98">
        <v>45505</v>
      </c>
      <c r="C992" s="117" t="str">
        <f t="shared" si="226"/>
        <v>6L</v>
      </c>
      <c r="D992" s="96"/>
      <c r="E992" s="98"/>
      <c r="F992" s="98"/>
      <c r="I992" s="99">
        <f t="shared" si="212"/>
        <v>0</v>
      </c>
      <c r="L992" s="99">
        <f t="shared" si="213"/>
        <v>0</v>
      </c>
      <c r="M992" s="44" t="str">
        <f t="shared" si="215"/>
        <v/>
      </c>
      <c r="N992" s="100">
        <f t="shared" si="216"/>
        <v>0</v>
      </c>
      <c r="O992" s="101">
        <f t="shared" si="217"/>
        <v>0</v>
      </c>
      <c r="P992" s="52">
        <f t="shared" si="218"/>
        <v>0</v>
      </c>
      <c r="Q992" s="49">
        <v>116.88487613461319</v>
      </c>
      <c r="R992">
        <v>2225</v>
      </c>
      <c r="S992" s="50">
        <f t="shared" si="214"/>
        <v>71535.307499999995</v>
      </c>
      <c r="T992" s="50">
        <f t="shared" si="219"/>
        <v>0</v>
      </c>
      <c r="U992" s="58">
        <f t="shared" si="220"/>
        <v>0</v>
      </c>
      <c r="V992" s="58">
        <f t="shared" si="221"/>
        <v>0</v>
      </c>
      <c r="W992" s="58">
        <f t="shared" si="222"/>
        <v>0</v>
      </c>
      <c r="X992" s="58">
        <f t="shared" si="223"/>
        <v>0</v>
      </c>
      <c r="Y992" s="52">
        <f t="shared" si="224"/>
        <v>0</v>
      </c>
    </row>
    <row r="993" spans="1:25" x14ac:dyDescent="0.25">
      <c r="A993" s="1218" t="s">
        <v>175</v>
      </c>
      <c r="B993" s="98">
        <v>45505</v>
      </c>
      <c r="C993" s="117" t="str">
        <f t="shared" si="226"/>
        <v>6L</v>
      </c>
      <c r="D993" s="96"/>
      <c r="E993" s="98"/>
      <c r="F993" s="98"/>
      <c r="I993" s="99">
        <f t="shared" si="212"/>
        <v>0</v>
      </c>
      <c r="L993" s="99">
        <f t="shared" si="213"/>
        <v>0</v>
      </c>
      <c r="M993" s="44" t="str">
        <f t="shared" si="215"/>
        <v/>
      </c>
      <c r="N993" s="100">
        <f t="shared" si="216"/>
        <v>0</v>
      </c>
      <c r="O993" s="101">
        <f t="shared" si="217"/>
        <v>0</v>
      </c>
      <c r="P993" s="52">
        <f t="shared" si="218"/>
        <v>0</v>
      </c>
      <c r="Q993" s="49">
        <v>116.88487613461319</v>
      </c>
      <c r="R993">
        <v>2225</v>
      </c>
      <c r="S993" s="50">
        <f t="shared" si="214"/>
        <v>71535.307499999995</v>
      </c>
      <c r="T993" s="50">
        <f t="shared" si="219"/>
        <v>0</v>
      </c>
      <c r="U993" s="58">
        <f t="shared" si="220"/>
        <v>0</v>
      </c>
      <c r="V993" s="58">
        <f t="shared" si="221"/>
        <v>0</v>
      </c>
      <c r="W993" s="58">
        <f t="shared" si="222"/>
        <v>0</v>
      </c>
      <c r="X993" s="58">
        <f t="shared" si="223"/>
        <v>0</v>
      </c>
      <c r="Y993" s="52">
        <f t="shared" si="224"/>
        <v>0</v>
      </c>
    </row>
    <row r="994" spans="1:25" x14ac:dyDescent="0.25">
      <c r="A994" s="1218" t="s">
        <v>176</v>
      </c>
      <c r="B994" s="98">
        <v>45505</v>
      </c>
      <c r="C994" s="117" t="str">
        <f t="shared" si="226"/>
        <v>6L</v>
      </c>
      <c r="D994" s="96"/>
      <c r="E994" s="98"/>
      <c r="F994" s="98"/>
      <c r="I994" s="99">
        <f t="shared" si="212"/>
        <v>0</v>
      </c>
      <c r="L994" s="99">
        <f t="shared" si="213"/>
        <v>0</v>
      </c>
      <c r="M994" s="44" t="str">
        <f t="shared" si="215"/>
        <v/>
      </c>
      <c r="N994" s="100">
        <f t="shared" si="216"/>
        <v>0</v>
      </c>
      <c r="O994" s="101">
        <f t="shared" si="217"/>
        <v>0</v>
      </c>
      <c r="P994" s="52">
        <f t="shared" si="218"/>
        <v>0</v>
      </c>
      <c r="Q994" s="49">
        <v>116.88487613461319</v>
      </c>
      <c r="R994">
        <v>2225</v>
      </c>
      <c r="S994" s="50">
        <f t="shared" si="214"/>
        <v>71535.307499999995</v>
      </c>
      <c r="T994" s="50">
        <f t="shared" si="219"/>
        <v>0</v>
      </c>
      <c r="U994" s="58">
        <f t="shared" si="220"/>
        <v>0</v>
      </c>
      <c r="V994" s="58">
        <f t="shared" si="221"/>
        <v>0</v>
      </c>
      <c r="W994" s="58">
        <f t="shared" si="222"/>
        <v>0</v>
      </c>
      <c r="X994" s="58">
        <f t="shared" si="223"/>
        <v>0</v>
      </c>
      <c r="Y994" s="52">
        <f t="shared" si="224"/>
        <v>0</v>
      </c>
    </row>
    <row r="995" spans="1:25" x14ac:dyDescent="0.25">
      <c r="A995" s="1218" t="s">
        <v>177</v>
      </c>
      <c r="B995" s="98">
        <v>45505</v>
      </c>
      <c r="C995" s="117" t="str">
        <f t="shared" si="226"/>
        <v>6L</v>
      </c>
      <c r="D995" s="96"/>
      <c r="E995" s="98"/>
      <c r="F995" s="98"/>
      <c r="I995" s="99">
        <f t="shared" si="212"/>
        <v>0</v>
      </c>
      <c r="L995" s="99">
        <f t="shared" si="213"/>
        <v>0</v>
      </c>
      <c r="M995" s="44" t="str">
        <f t="shared" si="215"/>
        <v/>
      </c>
      <c r="N995" s="100">
        <f t="shared" si="216"/>
        <v>0</v>
      </c>
      <c r="O995" s="101">
        <f t="shared" si="217"/>
        <v>0</v>
      </c>
      <c r="P995" s="52">
        <f t="shared" si="218"/>
        <v>0</v>
      </c>
      <c r="Q995" s="49">
        <v>116.88487613461319</v>
      </c>
      <c r="R995">
        <v>2225</v>
      </c>
      <c r="S995" s="50">
        <f t="shared" si="214"/>
        <v>71535.307499999995</v>
      </c>
      <c r="T995" s="50">
        <f t="shared" si="219"/>
        <v>0</v>
      </c>
      <c r="U995" s="58">
        <f t="shared" si="220"/>
        <v>0</v>
      </c>
      <c r="V995" s="58">
        <f t="shared" si="221"/>
        <v>0</v>
      </c>
      <c r="W995" s="58">
        <f t="shared" si="222"/>
        <v>0</v>
      </c>
      <c r="X995" s="58">
        <f t="shared" si="223"/>
        <v>0</v>
      </c>
      <c r="Y995" s="52">
        <f t="shared" si="224"/>
        <v>0</v>
      </c>
    </row>
    <row r="996" spans="1:25" x14ac:dyDescent="0.25">
      <c r="A996" s="1218" t="s">
        <v>178</v>
      </c>
      <c r="B996" s="98">
        <v>45505</v>
      </c>
      <c r="C996" s="117" t="str">
        <f t="shared" si="226"/>
        <v>7L</v>
      </c>
      <c r="D996" s="96"/>
      <c r="I996" s="99">
        <f t="shared" si="212"/>
        <v>0</v>
      </c>
      <c r="L996" s="99">
        <f t="shared" si="213"/>
        <v>0</v>
      </c>
      <c r="M996" s="44" t="str">
        <f t="shared" si="215"/>
        <v/>
      </c>
      <c r="N996" s="100">
        <f t="shared" si="216"/>
        <v>0</v>
      </c>
      <c r="O996" s="101">
        <f t="shared" si="217"/>
        <v>0</v>
      </c>
      <c r="P996" s="52">
        <f t="shared" si="218"/>
        <v>0</v>
      </c>
      <c r="Q996" s="49">
        <v>116.88487613461319</v>
      </c>
      <c r="R996">
        <v>2225</v>
      </c>
      <c r="S996" s="50">
        <f t="shared" si="214"/>
        <v>71535.307499999995</v>
      </c>
      <c r="T996" s="50">
        <f t="shared" si="219"/>
        <v>0</v>
      </c>
      <c r="U996" s="58">
        <f t="shared" si="220"/>
        <v>0</v>
      </c>
      <c r="V996" s="58">
        <f t="shared" si="221"/>
        <v>0</v>
      </c>
      <c r="W996" s="58">
        <f t="shared" si="222"/>
        <v>0</v>
      </c>
      <c r="X996" s="58">
        <f t="shared" si="223"/>
        <v>0</v>
      </c>
      <c r="Y996" s="52">
        <f t="shared" si="224"/>
        <v>0</v>
      </c>
    </row>
    <row r="997" spans="1:25" x14ac:dyDescent="0.25">
      <c r="A997" s="1218" t="s">
        <v>179</v>
      </c>
      <c r="B997" s="98">
        <v>45505</v>
      </c>
      <c r="C997" s="117" t="str">
        <f t="shared" si="226"/>
        <v>7L</v>
      </c>
      <c r="D997" s="96"/>
      <c r="I997" s="99">
        <f t="shared" si="212"/>
        <v>0</v>
      </c>
      <c r="L997" s="99">
        <f t="shared" si="213"/>
        <v>0</v>
      </c>
      <c r="M997" s="44" t="str">
        <f t="shared" si="215"/>
        <v/>
      </c>
      <c r="N997" s="100">
        <f t="shared" si="216"/>
        <v>0</v>
      </c>
      <c r="O997" s="101">
        <f t="shared" si="217"/>
        <v>0</v>
      </c>
      <c r="P997" s="52">
        <f t="shared" si="218"/>
        <v>0</v>
      </c>
      <c r="Q997" s="49">
        <v>116.88487613461319</v>
      </c>
      <c r="R997">
        <v>2225</v>
      </c>
      <c r="S997" s="50">
        <f t="shared" si="214"/>
        <v>71535.307499999995</v>
      </c>
      <c r="T997" s="50">
        <f t="shared" si="219"/>
        <v>0</v>
      </c>
      <c r="U997" s="58">
        <f t="shared" si="220"/>
        <v>0</v>
      </c>
      <c r="V997" s="58">
        <f t="shared" si="221"/>
        <v>0</v>
      </c>
      <c r="W997" s="58">
        <f t="shared" si="222"/>
        <v>0</v>
      </c>
      <c r="X997" s="58">
        <f t="shared" si="223"/>
        <v>0</v>
      </c>
      <c r="Y997" s="52">
        <f t="shared" si="224"/>
        <v>0</v>
      </c>
    </row>
    <row r="998" spans="1:25" x14ac:dyDescent="0.25">
      <c r="A998" s="1218" t="s">
        <v>180</v>
      </c>
      <c r="B998" s="98">
        <v>45505</v>
      </c>
      <c r="C998" s="117" t="str">
        <f t="shared" si="226"/>
        <v>7L</v>
      </c>
      <c r="D998" s="96"/>
      <c r="I998" s="99">
        <f t="shared" si="212"/>
        <v>0</v>
      </c>
      <c r="L998" s="99">
        <f t="shared" si="213"/>
        <v>0</v>
      </c>
      <c r="M998" s="44" t="str">
        <f t="shared" si="215"/>
        <v/>
      </c>
      <c r="N998" s="100">
        <f t="shared" si="216"/>
        <v>0</v>
      </c>
      <c r="O998" s="101">
        <f t="shared" si="217"/>
        <v>0</v>
      </c>
      <c r="P998" s="52">
        <f t="shared" si="218"/>
        <v>0</v>
      </c>
      <c r="Q998" s="49">
        <v>116.88487613461319</v>
      </c>
      <c r="R998">
        <v>2225</v>
      </c>
      <c r="S998" s="50">
        <f t="shared" si="214"/>
        <v>71535.307499999995</v>
      </c>
      <c r="T998" s="50">
        <f t="shared" si="219"/>
        <v>0</v>
      </c>
      <c r="U998" s="58">
        <f t="shared" si="220"/>
        <v>0</v>
      </c>
      <c r="V998" s="58">
        <f t="shared" si="221"/>
        <v>0</v>
      </c>
      <c r="W998" s="58">
        <f t="shared" si="222"/>
        <v>0</v>
      </c>
      <c r="X998" s="58">
        <f t="shared" si="223"/>
        <v>0</v>
      </c>
      <c r="Y998" s="52">
        <f t="shared" si="224"/>
        <v>0</v>
      </c>
    </row>
    <row r="999" spans="1:25" x14ac:dyDescent="0.25">
      <c r="A999" s="1218" t="s">
        <v>181</v>
      </c>
      <c r="B999" s="98">
        <v>45505</v>
      </c>
      <c r="C999" s="117" t="str">
        <f t="shared" si="226"/>
        <v>7L</v>
      </c>
      <c r="D999" s="96"/>
      <c r="I999" s="99">
        <f t="shared" si="212"/>
        <v>0</v>
      </c>
      <c r="L999" s="99">
        <f t="shared" si="213"/>
        <v>0</v>
      </c>
      <c r="M999" s="44" t="str">
        <f t="shared" si="215"/>
        <v/>
      </c>
      <c r="N999" s="100">
        <f t="shared" si="216"/>
        <v>0</v>
      </c>
      <c r="O999" s="101">
        <f t="shared" si="217"/>
        <v>0</v>
      </c>
      <c r="P999" s="52">
        <f t="shared" si="218"/>
        <v>0</v>
      </c>
      <c r="Q999" s="49">
        <v>116.88487613461319</v>
      </c>
      <c r="R999">
        <v>2225</v>
      </c>
      <c r="S999" s="50">
        <f t="shared" si="214"/>
        <v>71535.307499999995</v>
      </c>
      <c r="T999" s="50">
        <f t="shared" si="219"/>
        <v>0</v>
      </c>
      <c r="U999" s="58">
        <f t="shared" si="220"/>
        <v>0</v>
      </c>
      <c r="V999" s="58">
        <f t="shared" si="221"/>
        <v>0</v>
      </c>
      <c r="W999" s="58">
        <f t="shared" si="222"/>
        <v>0</v>
      </c>
      <c r="X999" s="58">
        <f t="shared" si="223"/>
        <v>0</v>
      </c>
      <c r="Y999" s="52">
        <f t="shared" si="224"/>
        <v>0</v>
      </c>
    </row>
    <row r="1000" spans="1:25" x14ac:dyDescent="0.25">
      <c r="A1000" s="1218" t="s">
        <v>182</v>
      </c>
      <c r="B1000" s="98">
        <v>45505</v>
      </c>
      <c r="C1000" s="117" t="str">
        <f t="shared" si="226"/>
        <v>7L</v>
      </c>
      <c r="D1000" s="96"/>
      <c r="I1000" s="99">
        <f t="shared" si="212"/>
        <v>0</v>
      </c>
      <c r="L1000" s="99">
        <f t="shared" si="213"/>
        <v>0</v>
      </c>
      <c r="M1000" s="44" t="str">
        <f t="shared" si="215"/>
        <v/>
      </c>
      <c r="N1000" s="100">
        <f t="shared" si="216"/>
        <v>0</v>
      </c>
      <c r="O1000" s="101">
        <f t="shared" si="217"/>
        <v>0</v>
      </c>
      <c r="P1000" s="52">
        <f t="shared" si="218"/>
        <v>0</v>
      </c>
      <c r="Q1000" s="49">
        <v>116.88487613461319</v>
      </c>
      <c r="R1000">
        <v>2225</v>
      </c>
      <c r="S1000" s="50">
        <f t="shared" si="214"/>
        <v>71535.307499999995</v>
      </c>
      <c r="T1000" s="50">
        <f t="shared" si="219"/>
        <v>0</v>
      </c>
      <c r="U1000" s="58">
        <f t="shared" si="220"/>
        <v>0</v>
      </c>
      <c r="V1000" s="58">
        <f t="shared" si="221"/>
        <v>0</v>
      </c>
      <c r="W1000" s="58">
        <f t="shared" si="222"/>
        <v>0</v>
      </c>
      <c r="X1000" s="58">
        <f t="shared" si="223"/>
        <v>0</v>
      </c>
      <c r="Y1000" s="52">
        <f t="shared" si="224"/>
        <v>0</v>
      </c>
    </row>
    <row r="1001" spans="1:25" x14ac:dyDescent="0.25">
      <c r="A1001" s="1218" t="s">
        <v>183</v>
      </c>
      <c r="B1001" s="98">
        <v>45505</v>
      </c>
      <c r="C1001" s="117" t="str">
        <f t="shared" si="226"/>
        <v>7L</v>
      </c>
      <c r="D1001" s="96"/>
      <c r="I1001" s="99">
        <f t="shared" si="212"/>
        <v>0</v>
      </c>
      <c r="L1001" s="99">
        <f t="shared" si="213"/>
        <v>0</v>
      </c>
      <c r="M1001" s="44" t="str">
        <f t="shared" si="215"/>
        <v/>
      </c>
      <c r="N1001" s="100">
        <f t="shared" si="216"/>
        <v>0</v>
      </c>
      <c r="O1001" s="101">
        <f t="shared" si="217"/>
        <v>0</v>
      </c>
      <c r="P1001" s="52">
        <f t="shared" si="218"/>
        <v>0</v>
      </c>
      <c r="Q1001" s="49">
        <v>116.88487613461319</v>
      </c>
      <c r="R1001">
        <v>2225</v>
      </c>
      <c r="S1001" s="50">
        <f t="shared" si="214"/>
        <v>71535.307499999995</v>
      </c>
      <c r="T1001" s="50">
        <f t="shared" si="219"/>
        <v>0</v>
      </c>
      <c r="U1001" s="58">
        <f t="shared" si="220"/>
        <v>0</v>
      </c>
      <c r="V1001" s="58">
        <f t="shared" si="221"/>
        <v>0</v>
      </c>
      <c r="W1001" s="58">
        <f t="shared" si="222"/>
        <v>0</v>
      </c>
      <c r="X1001" s="58">
        <f t="shared" si="223"/>
        <v>0</v>
      </c>
      <c r="Y1001" s="52">
        <f t="shared" si="224"/>
        <v>0</v>
      </c>
    </row>
    <row r="1002" spans="1:25" x14ac:dyDescent="0.25">
      <c r="A1002" s="1218" t="s">
        <v>184</v>
      </c>
      <c r="B1002" s="98">
        <v>45505</v>
      </c>
      <c r="C1002" s="117" t="str">
        <f t="shared" si="226"/>
        <v>7L</v>
      </c>
      <c r="D1002" s="96"/>
      <c r="I1002" s="99">
        <f t="shared" ref="I1002:I1065" si="227">IFERROR(G1002*H1002/1000,"")</f>
        <v>0</v>
      </c>
      <c r="L1002" s="99">
        <f t="shared" ref="L1002:L1065" si="228">IFERROR(J1002*K1002/1000,"")</f>
        <v>0</v>
      </c>
      <c r="M1002" s="44" t="str">
        <f t="shared" si="215"/>
        <v/>
      </c>
      <c r="N1002" s="100">
        <f t="shared" si="216"/>
        <v>0</v>
      </c>
      <c r="O1002" s="101">
        <f t="shared" si="217"/>
        <v>0</v>
      </c>
      <c r="P1002" s="52">
        <f t="shared" si="218"/>
        <v>0</v>
      </c>
      <c r="Q1002" s="49">
        <v>116.88487613461319</v>
      </c>
      <c r="R1002">
        <v>2225</v>
      </c>
      <c r="S1002" s="50">
        <f t="shared" ref="S1002:S1065" si="229">R1002*32.1507</f>
        <v>71535.307499999995</v>
      </c>
      <c r="T1002" s="50">
        <f t="shared" si="219"/>
        <v>0</v>
      </c>
      <c r="U1002" s="58">
        <f t="shared" si="220"/>
        <v>0</v>
      </c>
      <c r="V1002" s="58">
        <f t="shared" si="221"/>
        <v>0</v>
      </c>
      <c r="W1002" s="58">
        <f t="shared" si="222"/>
        <v>0</v>
      </c>
      <c r="X1002" s="58">
        <f t="shared" si="223"/>
        <v>0</v>
      </c>
      <c r="Y1002" s="52">
        <f t="shared" si="224"/>
        <v>0</v>
      </c>
    </row>
    <row r="1003" spans="1:25" x14ac:dyDescent="0.25">
      <c r="A1003" s="1218" t="s">
        <v>185</v>
      </c>
      <c r="B1003" s="98">
        <v>45505</v>
      </c>
      <c r="C1003" s="117" t="str">
        <f t="shared" si="226"/>
        <v>7L</v>
      </c>
      <c r="D1003" s="96"/>
      <c r="I1003" s="99">
        <f t="shared" si="227"/>
        <v>0</v>
      </c>
      <c r="L1003" s="99">
        <f t="shared" si="228"/>
        <v>0</v>
      </c>
      <c r="M1003" s="44" t="str">
        <f t="shared" si="215"/>
        <v/>
      </c>
      <c r="N1003" s="100">
        <f t="shared" si="216"/>
        <v>0</v>
      </c>
      <c r="O1003" s="101">
        <f t="shared" si="217"/>
        <v>0</v>
      </c>
      <c r="P1003" s="52">
        <f t="shared" si="218"/>
        <v>0</v>
      </c>
      <c r="Q1003" s="49">
        <v>116.88487613461319</v>
      </c>
      <c r="R1003">
        <v>2225</v>
      </c>
      <c r="S1003" s="50">
        <f t="shared" si="229"/>
        <v>71535.307499999995</v>
      </c>
      <c r="T1003" s="50">
        <f t="shared" si="219"/>
        <v>0</v>
      </c>
      <c r="U1003" s="58">
        <f t="shared" si="220"/>
        <v>0</v>
      </c>
      <c r="V1003" s="58">
        <f t="shared" si="221"/>
        <v>0</v>
      </c>
      <c r="W1003" s="58">
        <f t="shared" si="222"/>
        <v>0</v>
      </c>
      <c r="X1003" s="58">
        <f t="shared" si="223"/>
        <v>0</v>
      </c>
      <c r="Y1003" s="52">
        <f t="shared" si="224"/>
        <v>0</v>
      </c>
    </row>
    <row r="1004" spans="1:25" x14ac:dyDescent="0.25">
      <c r="A1004" s="1218" t="s">
        <v>186</v>
      </c>
      <c r="B1004" s="98">
        <v>45505</v>
      </c>
      <c r="C1004" s="117" t="str">
        <f t="shared" si="226"/>
        <v>7L</v>
      </c>
      <c r="D1004" s="96"/>
      <c r="I1004" s="99">
        <f t="shared" si="227"/>
        <v>0</v>
      </c>
      <c r="L1004" s="99">
        <f t="shared" si="228"/>
        <v>0</v>
      </c>
      <c r="M1004" s="44" t="str">
        <f t="shared" ref="M1004:M1067" si="230">IFERROR((L1004-I1004)/I1004,"")</f>
        <v/>
      </c>
      <c r="N1004" s="100">
        <f t="shared" ref="N1004:N1067" si="231">J1004-G1004</f>
        <v>0</v>
      </c>
      <c r="O1004" s="101">
        <f t="shared" ref="O1004:O1067" si="232">L1004-I1004</f>
        <v>0</v>
      </c>
      <c r="P1004" s="52">
        <f t="shared" ref="P1004:P1067" si="233">U1004-W1004</f>
        <v>0</v>
      </c>
      <c r="Q1004" s="49">
        <v>116.88487613461319</v>
      </c>
      <c r="R1004">
        <v>2225</v>
      </c>
      <c r="S1004" s="50">
        <f t="shared" si="229"/>
        <v>71535.307499999995</v>
      </c>
      <c r="T1004" s="50">
        <f t="shared" ref="T1004:T1067" si="234">IFERROR(S1004*I1004,"")</f>
        <v>0</v>
      </c>
      <c r="U1004" s="58">
        <f t="shared" ref="U1004:U1067" si="235">IFERROR(S1004*L1004,"")</f>
        <v>0</v>
      </c>
      <c r="V1004" s="58">
        <f t="shared" ref="V1004:V1067" si="236">IFERROR(Q1004*G1004,"")</f>
        <v>0</v>
      </c>
      <c r="W1004" s="58">
        <f t="shared" ref="W1004:W1067" si="237">IFERROR(Q1004*J1004,"")</f>
        <v>0</v>
      </c>
      <c r="X1004" s="58">
        <f t="shared" ref="X1004:X1067" si="238">T1004-V1004</f>
        <v>0</v>
      </c>
      <c r="Y1004" s="52">
        <f t="shared" ref="Y1004:Y1067" si="239">U1004-W1004</f>
        <v>0</v>
      </c>
    </row>
    <row r="1005" spans="1:25" x14ac:dyDescent="0.25">
      <c r="A1005" s="1218" t="s">
        <v>187</v>
      </c>
      <c r="B1005" s="98">
        <v>45505</v>
      </c>
      <c r="C1005" s="117" t="str">
        <f t="shared" si="226"/>
        <v>7L</v>
      </c>
      <c r="D1005" s="96"/>
      <c r="I1005" s="99">
        <f t="shared" si="227"/>
        <v>0</v>
      </c>
      <c r="L1005" s="99">
        <f t="shared" si="228"/>
        <v>0</v>
      </c>
      <c r="M1005" s="44" t="str">
        <f t="shared" si="230"/>
        <v/>
      </c>
      <c r="N1005" s="100">
        <f t="shared" si="231"/>
        <v>0</v>
      </c>
      <c r="O1005" s="101">
        <f t="shared" si="232"/>
        <v>0</v>
      </c>
      <c r="P1005" s="52">
        <f t="shared" si="233"/>
        <v>0</v>
      </c>
      <c r="Q1005" s="49">
        <v>116.88487613461319</v>
      </c>
      <c r="R1005">
        <v>2225</v>
      </c>
      <c r="S1005" s="50">
        <f t="shared" si="229"/>
        <v>71535.307499999995</v>
      </c>
      <c r="T1005" s="50">
        <f t="shared" si="234"/>
        <v>0</v>
      </c>
      <c r="U1005" s="58">
        <f t="shared" si="235"/>
        <v>0</v>
      </c>
      <c r="V1005" s="58">
        <f t="shared" si="236"/>
        <v>0</v>
      </c>
      <c r="W1005" s="58">
        <f t="shared" si="237"/>
        <v>0</v>
      </c>
      <c r="X1005" s="58">
        <f t="shared" si="238"/>
        <v>0</v>
      </c>
      <c r="Y1005" s="52">
        <f t="shared" si="239"/>
        <v>0</v>
      </c>
    </row>
    <row r="1006" spans="1:25" x14ac:dyDescent="0.25">
      <c r="A1006" s="1218" t="s">
        <v>188</v>
      </c>
      <c r="B1006" s="98">
        <v>45505</v>
      </c>
      <c r="C1006" s="117" t="str">
        <f t="shared" si="226"/>
        <v>7L</v>
      </c>
      <c r="D1006" s="96"/>
      <c r="I1006" s="99">
        <f t="shared" si="227"/>
        <v>0</v>
      </c>
      <c r="L1006" s="99">
        <f t="shared" si="228"/>
        <v>0</v>
      </c>
      <c r="M1006" s="44" t="str">
        <f t="shared" si="230"/>
        <v/>
      </c>
      <c r="N1006" s="100">
        <f t="shared" si="231"/>
        <v>0</v>
      </c>
      <c r="O1006" s="101">
        <f t="shared" si="232"/>
        <v>0</v>
      </c>
      <c r="P1006" s="52">
        <f t="shared" si="233"/>
        <v>0</v>
      </c>
      <c r="Q1006" s="49">
        <v>116.88487613461319</v>
      </c>
      <c r="R1006">
        <v>2225</v>
      </c>
      <c r="S1006" s="50">
        <f t="shared" si="229"/>
        <v>71535.307499999995</v>
      </c>
      <c r="T1006" s="50">
        <f t="shared" si="234"/>
        <v>0</v>
      </c>
      <c r="U1006" s="58">
        <f t="shared" si="235"/>
        <v>0</v>
      </c>
      <c r="V1006" s="58">
        <f t="shared" si="236"/>
        <v>0</v>
      </c>
      <c r="W1006" s="58">
        <f t="shared" si="237"/>
        <v>0</v>
      </c>
      <c r="X1006" s="58">
        <f t="shared" si="238"/>
        <v>0</v>
      </c>
      <c r="Y1006" s="52">
        <f t="shared" si="239"/>
        <v>0</v>
      </c>
    </row>
    <row r="1007" spans="1:25" x14ac:dyDescent="0.25">
      <c r="A1007" s="1218" t="s">
        <v>189</v>
      </c>
      <c r="B1007" s="98">
        <v>45505</v>
      </c>
      <c r="C1007" s="117" t="str">
        <f t="shared" si="226"/>
        <v>7L</v>
      </c>
      <c r="D1007" s="96"/>
      <c r="I1007" s="99">
        <f t="shared" si="227"/>
        <v>0</v>
      </c>
      <c r="L1007" s="99">
        <f t="shared" si="228"/>
        <v>0</v>
      </c>
      <c r="M1007" s="44" t="str">
        <f t="shared" si="230"/>
        <v/>
      </c>
      <c r="N1007" s="100">
        <f t="shared" si="231"/>
        <v>0</v>
      </c>
      <c r="O1007" s="101">
        <f t="shared" si="232"/>
        <v>0</v>
      </c>
      <c r="P1007" s="52">
        <f t="shared" si="233"/>
        <v>0</v>
      </c>
      <c r="Q1007" s="49">
        <v>116.88487613461319</v>
      </c>
      <c r="R1007">
        <v>2225</v>
      </c>
      <c r="S1007" s="50">
        <f t="shared" si="229"/>
        <v>71535.307499999995</v>
      </c>
      <c r="T1007" s="50">
        <f t="shared" si="234"/>
        <v>0</v>
      </c>
      <c r="U1007" s="58">
        <f t="shared" si="235"/>
        <v>0</v>
      </c>
      <c r="V1007" s="58">
        <f t="shared" si="236"/>
        <v>0</v>
      </c>
      <c r="W1007" s="58">
        <f t="shared" si="237"/>
        <v>0</v>
      </c>
      <c r="X1007" s="58">
        <f t="shared" si="238"/>
        <v>0</v>
      </c>
      <c r="Y1007" s="52">
        <f t="shared" si="239"/>
        <v>0</v>
      </c>
    </row>
    <row r="1008" spans="1:25" x14ac:dyDescent="0.25">
      <c r="A1008" s="1218" t="s">
        <v>190</v>
      </c>
      <c r="B1008" s="98">
        <v>45505</v>
      </c>
      <c r="C1008" s="117" t="str">
        <f t="shared" si="226"/>
        <v>8L</v>
      </c>
      <c r="D1008" s="96"/>
      <c r="I1008" s="99">
        <f t="shared" si="227"/>
        <v>0</v>
      </c>
      <c r="L1008" s="99">
        <f t="shared" si="228"/>
        <v>0</v>
      </c>
      <c r="M1008" s="44" t="str">
        <f t="shared" si="230"/>
        <v/>
      </c>
      <c r="N1008" s="100">
        <f t="shared" si="231"/>
        <v>0</v>
      </c>
      <c r="O1008" s="101">
        <f t="shared" si="232"/>
        <v>0</v>
      </c>
      <c r="P1008" s="52">
        <f t="shared" si="233"/>
        <v>0</v>
      </c>
      <c r="Q1008" s="49">
        <v>116.88487613461319</v>
      </c>
      <c r="R1008">
        <v>2225</v>
      </c>
      <c r="S1008" s="50">
        <f t="shared" si="229"/>
        <v>71535.307499999995</v>
      </c>
      <c r="T1008" s="50">
        <f t="shared" si="234"/>
        <v>0</v>
      </c>
      <c r="U1008" s="58">
        <f t="shared" si="235"/>
        <v>0</v>
      </c>
      <c r="V1008" s="58">
        <f t="shared" si="236"/>
        <v>0</v>
      </c>
      <c r="W1008" s="58">
        <f t="shared" si="237"/>
        <v>0</v>
      </c>
      <c r="X1008" s="58">
        <f t="shared" si="238"/>
        <v>0</v>
      </c>
      <c r="Y1008" s="52">
        <f t="shared" si="239"/>
        <v>0</v>
      </c>
    </row>
    <row r="1009" spans="1:25" x14ac:dyDescent="0.25">
      <c r="A1009" s="1218" t="s">
        <v>191</v>
      </c>
      <c r="B1009" s="98">
        <v>45505</v>
      </c>
      <c r="C1009" s="117" t="str">
        <f t="shared" si="226"/>
        <v>8L</v>
      </c>
      <c r="D1009" s="96"/>
      <c r="I1009" s="99">
        <f t="shared" si="227"/>
        <v>0</v>
      </c>
      <c r="L1009" s="99">
        <f t="shared" si="228"/>
        <v>0</v>
      </c>
      <c r="M1009" s="44" t="str">
        <f t="shared" si="230"/>
        <v/>
      </c>
      <c r="N1009" s="100">
        <f t="shared" si="231"/>
        <v>0</v>
      </c>
      <c r="O1009" s="101">
        <f t="shared" si="232"/>
        <v>0</v>
      </c>
      <c r="P1009" s="52">
        <f t="shared" si="233"/>
        <v>0</v>
      </c>
      <c r="Q1009" s="49">
        <v>116.88487613461319</v>
      </c>
      <c r="R1009">
        <v>2225</v>
      </c>
      <c r="S1009" s="50">
        <f t="shared" si="229"/>
        <v>71535.307499999995</v>
      </c>
      <c r="T1009" s="50">
        <f t="shared" si="234"/>
        <v>0</v>
      </c>
      <c r="U1009" s="58">
        <f t="shared" si="235"/>
        <v>0</v>
      </c>
      <c r="V1009" s="58">
        <f t="shared" si="236"/>
        <v>0</v>
      </c>
      <c r="W1009" s="58">
        <f t="shared" si="237"/>
        <v>0</v>
      </c>
      <c r="X1009" s="58">
        <f t="shared" si="238"/>
        <v>0</v>
      </c>
      <c r="Y1009" s="52">
        <f t="shared" si="239"/>
        <v>0</v>
      </c>
    </row>
    <row r="1010" spans="1:25" x14ac:dyDescent="0.25">
      <c r="A1010" s="1218" t="s">
        <v>192</v>
      </c>
      <c r="B1010" s="98">
        <v>45505</v>
      </c>
      <c r="C1010" s="117" t="str">
        <f t="shared" si="226"/>
        <v>8L</v>
      </c>
      <c r="D1010" s="96"/>
      <c r="I1010" s="99">
        <f t="shared" si="227"/>
        <v>0</v>
      </c>
      <c r="L1010" s="99">
        <f t="shared" si="228"/>
        <v>0</v>
      </c>
      <c r="M1010" s="44" t="str">
        <f t="shared" si="230"/>
        <v/>
      </c>
      <c r="N1010" s="100">
        <f t="shared" si="231"/>
        <v>0</v>
      </c>
      <c r="O1010" s="101">
        <f t="shared" si="232"/>
        <v>0</v>
      </c>
      <c r="P1010" s="52">
        <f t="shared" si="233"/>
        <v>0</v>
      </c>
      <c r="Q1010" s="49">
        <v>116.88487613461319</v>
      </c>
      <c r="R1010">
        <v>2225</v>
      </c>
      <c r="S1010" s="50">
        <f t="shared" si="229"/>
        <v>71535.307499999995</v>
      </c>
      <c r="T1010" s="50">
        <f t="shared" si="234"/>
        <v>0</v>
      </c>
      <c r="U1010" s="58">
        <f t="shared" si="235"/>
        <v>0</v>
      </c>
      <c r="V1010" s="58">
        <f t="shared" si="236"/>
        <v>0</v>
      </c>
      <c r="W1010" s="58">
        <f t="shared" si="237"/>
        <v>0</v>
      </c>
      <c r="X1010" s="58">
        <f t="shared" si="238"/>
        <v>0</v>
      </c>
      <c r="Y1010" s="52">
        <f t="shared" si="239"/>
        <v>0</v>
      </c>
    </row>
    <row r="1011" spans="1:25" x14ac:dyDescent="0.25">
      <c r="A1011" s="1218" t="s">
        <v>193</v>
      </c>
      <c r="B1011" s="98">
        <v>45505</v>
      </c>
      <c r="C1011" s="117" t="str">
        <f t="shared" si="226"/>
        <v>8L</v>
      </c>
      <c r="D1011" s="96"/>
      <c r="I1011" s="99">
        <f t="shared" si="227"/>
        <v>0</v>
      </c>
      <c r="L1011" s="99">
        <f t="shared" si="228"/>
        <v>0</v>
      </c>
      <c r="M1011" s="44" t="str">
        <f t="shared" si="230"/>
        <v/>
      </c>
      <c r="N1011" s="100">
        <f t="shared" si="231"/>
        <v>0</v>
      </c>
      <c r="O1011" s="101">
        <f t="shared" si="232"/>
        <v>0</v>
      </c>
      <c r="P1011" s="52">
        <f t="shared" si="233"/>
        <v>0</v>
      </c>
      <c r="Q1011" s="49">
        <v>116.88487613461319</v>
      </c>
      <c r="R1011">
        <v>2225</v>
      </c>
      <c r="S1011" s="50">
        <f t="shared" si="229"/>
        <v>71535.307499999995</v>
      </c>
      <c r="T1011" s="50">
        <f t="shared" si="234"/>
        <v>0</v>
      </c>
      <c r="U1011" s="58">
        <f t="shared" si="235"/>
        <v>0</v>
      </c>
      <c r="V1011" s="58">
        <f t="shared" si="236"/>
        <v>0</v>
      </c>
      <c r="W1011" s="58">
        <f t="shared" si="237"/>
        <v>0</v>
      </c>
      <c r="X1011" s="58">
        <f t="shared" si="238"/>
        <v>0</v>
      </c>
      <c r="Y1011" s="52">
        <f t="shared" si="239"/>
        <v>0</v>
      </c>
    </row>
    <row r="1012" spans="1:25" x14ac:dyDescent="0.25">
      <c r="A1012" s="1218" t="s">
        <v>194</v>
      </c>
      <c r="B1012" s="98">
        <v>45505</v>
      </c>
      <c r="C1012" s="117" t="str">
        <f t="shared" si="226"/>
        <v>8L</v>
      </c>
      <c r="D1012" s="96"/>
      <c r="I1012" s="99">
        <f t="shared" si="227"/>
        <v>0</v>
      </c>
      <c r="L1012" s="99">
        <f t="shared" si="228"/>
        <v>0</v>
      </c>
      <c r="M1012" s="44" t="str">
        <f t="shared" si="230"/>
        <v/>
      </c>
      <c r="N1012" s="100">
        <f t="shared" si="231"/>
        <v>0</v>
      </c>
      <c r="O1012" s="101">
        <f t="shared" si="232"/>
        <v>0</v>
      </c>
      <c r="P1012" s="52">
        <f t="shared" si="233"/>
        <v>0</v>
      </c>
      <c r="Q1012" s="49">
        <v>116.88487613461319</v>
      </c>
      <c r="R1012">
        <v>2225</v>
      </c>
      <c r="S1012" s="50">
        <f t="shared" si="229"/>
        <v>71535.307499999995</v>
      </c>
      <c r="T1012" s="50">
        <f t="shared" si="234"/>
        <v>0</v>
      </c>
      <c r="U1012" s="58">
        <f t="shared" si="235"/>
        <v>0</v>
      </c>
      <c r="V1012" s="58">
        <f t="shared" si="236"/>
        <v>0</v>
      </c>
      <c r="W1012" s="58">
        <f t="shared" si="237"/>
        <v>0</v>
      </c>
      <c r="X1012" s="58">
        <f t="shared" si="238"/>
        <v>0</v>
      </c>
      <c r="Y1012" s="52">
        <f t="shared" si="239"/>
        <v>0</v>
      </c>
    </row>
    <row r="1013" spans="1:25" x14ac:dyDescent="0.25">
      <c r="A1013" s="1218" t="s">
        <v>195</v>
      </c>
      <c r="B1013" s="98">
        <v>45505</v>
      </c>
      <c r="C1013" s="117" t="str">
        <f t="shared" si="226"/>
        <v>8L</v>
      </c>
      <c r="D1013" s="96"/>
      <c r="I1013" s="99">
        <f t="shared" si="227"/>
        <v>0</v>
      </c>
      <c r="L1013" s="99">
        <f t="shared" si="228"/>
        <v>0</v>
      </c>
      <c r="M1013" s="44" t="str">
        <f t="shared" si="230"/>
        <v/>
      </c>
      <c r="N1013" s="100">
        <f t="shared" si="231"/>
        <v>0</v>
      </c>
      <c r="O1013" s="101">
        <f t="shared" si="232"/>
        <v>0</v>
      </c>
      <c r="P1013" s="52">
        <f t="shared" si="233"/>
        <v>0</v>
      </c>
      <c r="Q1013" s="49">
        <v>116.88487613461319</v>
      </c>
      <c r="R1013">
        <v>2225</v>
      </c>
      <c r="S1013" s="50">
        <f t="shared" si="229"/>
        <v>71535.307499999995</v>
      </c>
      <c r="T1013" s="50">
        <f t="shared" si="234"/>
        <v>0</v>
      </c>
      <c r="U1013" s="58">
        <f t="shared" si="235"/>
        <v>0</v>
      </c>
      <c r="V1013" s="58">
        <f t="shared" si="236"/>
        <v>0</v>
      </c>
      <c r="W1013" s="58">
        <f t="shared" si="237"/>
        <v>0</v>
      </c>
      <c r="X1013" s="58">
        <f t="shared" si="238"/>
        <v>0</v>
      </c>
      <c r="Y1013" s="52">
        <f t="shared" si="239"/>
        <v>0</v>
      </c>
    </row>
    <row r="1014" spans="1:25" x14ac:dyDescent="0.25">
      <c r="A1014" s="1218" t="s">
        <v>196</v>
      </c>
      <c r="B1014" s="98">
        <v>45505</v>
      </c>
      <c r="C1014" s="117" t="str">
        <f t="shared" si="226"/>
        <v>8L</v>
      </c>
      <c r="D1014" s="96"/>
      <c r="I1014" s="99">
        <f t="shared" si="227"/>
        <v>0</v>
      </c>
      <c r="L1014" s="99">
        <f t="shared" si="228"/>
        <v>0</v>
      </c>
      <c r="M1014" s="44" t="str">
        <f t="shared" si="230"/>
        <v/>
      </c>
      <c r="N1014" s="100">
        <f t="shared" si="231"/>
        <v>0</v>
      </c>
      <c r="O1014" s="101">
        <f t="shared" si="232"/>
        <v>0</v>
      </c>
      <c r="P1014" s="52">
        <f t="shared" si="233"/>
        <v>0</v>
      </c>
      <c r="Q1014" s="49">
        <v>116.88487613461319</v>
      </c>
      <c r="R1014">
        <v>2225</v>
      </c>
      <c r="S1014" s="50">
        <f t="shared" si="229"/>
        <v>71535.307499999995</v>
      </c>
      <c r="T1014" s="50">
        <f t="shared" si="234"/>
        <v>0</v>
      </c>
      <c r="U1014" s="58">
        <f t="shared" si="235"/>
        <v>0</v>
      </c>
      <c r="V1014" s="58">
        <f t="shared" si="236"/>
        <v>0</v>
      </c>
      <c r="W1014" s="58">
        <f t="shared" si="237"/>
        <v>0</v>
      </c>
      <c r="X1014" s="58">
        <f t="shared" si="238"/>
        <v>0</v>
      </c>
      <c r="Y1014" s="52">
        <f t="shared" si="239"/>
        <v>0</v>
      </c>
    </row>
    <row r="1015" spans="1:25" x14ac:dyDescent="0.25">
      <c r="A1015" s="1218" t="s">
        <v>197</v>
      </c>
      <c r="B1015" s="98">
        <v>45505</v>
      </c>
      <c r="C1015" s="117" t="str">
        <f t="shared" si="226"/>
        <v>8L</v>
      </c>
      <c r="D1015" s="96"/>
      <c r="I1015" s="99">
        <f t="shared" si="227"/>
        <v>0</v>
      </c>
      <c r="L1015" s="99">
        <f t="shared" si="228"/>
        <v>0</v>
      </c>
      <c r="M1015" s="44" t="str">
        <f t="shared" si="230"/>
        <v/>
      </c>
      <c r="N1015" s="100">
        <f t="shared" si="231"/>
        <v>0</v>
      </c>
      <c r="O1015" s="101">
        <f t="shared" si="232"/>
        <v>0</v>
      </c>
      <c r="P1015" s="52">
        <f t="shared" si="233"/>
        <v>0</v>
      </c>
      <c r="Q1015" s="49">
        <v>116.88487613461319</v>
      </c>
      <c r="R1015">
        <v>2225</v>
      </c>
      <c r="S1015" s="50">
        <f t="shared" si="229"/>
        <v>71535.307499999995</v>
      </c>
      <c r="T1015" s="50">
        <f t="shared" si="234"/>
        <v>0</v>
      </c>
      <c r="U1015" s="58">
        <f t="shared" si="235"/>
        <v>0</v>
      </c>
      <c r="V1015" s="58">
        <f t="shared" si="236"/>
        <v>0</v>
      </c>
      <c r="W1015" s="58">
        <f t="shared" si="237"/>
        <v>0</v>
      </c>
      <c r="X1015" s="58">
        <f t="shared" si="238"/>
        <v>0</v>
      </c>
      <c r="Y1015" s="52">
        <f t="shared" si="239"/>
        <v>0</v>
      </c>
    </row>
    <row r="1016" spans="1:25" x14ac:dyDescent="0.25">
      <c r="A1016" s="1218" t="s">
        <v>198</v>
      </c>
      <c r="B1016" s="98">
        <v>45505</v>
      </c>
      <c r="C1016" s="117" t="str">
        <f t="shared" si="226"/>
        <v>8L</v>
      </c>
      <c r="D1016" s="96"/>
      <c r="I1016" s="99">
        <f t="shared" si="227"/>
        <v>0</v>
      </c>
      <c r="L1016" s="99">
        <f t="shared" si="228"/>
        <v>0</v>
      </c>
      <c r="M1016" s="44" t="str">
        <f t="shared" si="230"/>
        <v/>
      </c>
      <c r="N1016" s="100">
        <f t="shared" si="231"/>
        <v>0</v>
      </c>
      <c r="O1016" s="101">
        <f t="shared" si="232"/>
        <v>0</v>
      </c>
      <c r="P1016" s="52">
        <f t="shared" si="233"/>
        <v>0</v>
      </c>
      <c r="Q1016" s="49">
        <v>116.88487613461319</v>
      </c>
      <c r="R1016">
        <v>2225</v>
      </c>
      <c r="S1016" s="50">
        <f t="shared" si="229"/>
        <v>71535.307499999995</v>
      </c>
      <c r="T1016" s="50">
        <f t="shared" si="234"/>
        <v>0</v>
      </c>
      <c r="U1016" s="58">
        <f t="shared" si="235"/>
        <v>0</v>
      </c>
      <c r="V1016" s="58">
        <f t="shared" si="236"/>
        <v>0</v>
      </c>
      <c r="W1016" s="58">
        <f t="shared" si="237"/>
        <v>0</v>
      </c>
      <c r="X1016" s="58">
        <f t="shared" si="238"/>
        <v>0</v>
      </c>
      <c r="Y1016" s="52">
        <f t="shared" si="239"/>
        <v>0</v>
      </c>
    </row>
    <row r="1017" spans="1:25" x14ac:dyDescent="0.25">
      <c r="A1017" s="1218" t="s">
        <v>199</v>
      </c>
      <c r="B1017" s="98">
        <v>45505</v>
      </c>
      <c r="C1017" s="117" t="str">
        <f t="shared" si="226"/>
        <v>8L</v>
      </c>
      <c r="D1017" s="96"/>
      <c r="I1017" s="99">
        <f t="shared" si="227"/>
        <v>0</v>
      </c>
      <c r="L1017" s="99">
        <f t="shared" si="228"/>
        <v>0</v>
      </c>
      <c r="M1017" s="44" t="str">
        <f t="shared" si="230"/>
        <v/>
      </c>
      <c r="N1017" s="100">
        <f t="shared" si="231"/>
        <v>0</v>
      </c>
      <c r="O1017" s="101">
        <f t="shared" si="232"/>
        <v>0</v>
      </c>
      <c r="P1017" s="52">
        <f t="shared" si="233"/>
        <v>0</v>
      </c>
      <c r="Q1017" s="49">
        <v>116.88487613461319</v>
      </c>
      <c r="R1017">
        <v>2225</v>
      </c>
      <c r="S1017" s="50">
        <f t="shared" si="229"/>
        <v>71535.307499999995</v>
      </c>
      <c r="T1017" s="50">
        <f t="shared" si="234"/>
        <v>0</v>
      </c>
      <c r="U1017" s="58">
        <f t="shared" si="235"/>
        <v>0</v>
      </c>
      <c r="V1017" s="58">
        <f t="shared" si="236"/>
        <v>0</v>
      </c>
      <c r="W1017" s="58">
        <f t="shared" si="237"/>
        <v>0</v>
      </c>
      <c r="X1017" s="58">
        <f t="shared" si="238"/>
        <v>0</v>
      </c>
      <c r="Y1017" s="52">
        <f t="shared" si="239"/>
        <v>0</v>
      </c>
    </row>
    <row r="1018" spans="1:25" x14ac:dyDescent="0.25">
      <c r="A1018" s="1218" t="s">
        <v>200</v>
      </c>
      <c r="B1018" s="98">
        <v>45505</v>
      </c>
      <c r="C1018" s="117" t="str">
        <f t="shared" si="226"/>
        <v>8L</v>
      </c>
      <c r="D1018" s="96"/>
      <c r="I1018" s="99">
        <f t="shared" si="227"/>
        <v>0</v>
      </c>
      <c r="L1018" s="99">
        <f t="shared" si="228"/>
        <v>0</v>
      </c>
      <c r="M1018" s="44" t="str">
        <f t="shared" si="230"/>
        <v/>
      </c>
      <c r="N1018" s="100">
        <f t="shared" si="231"/>
        <v>0</v>
      </c>
      <c r="O1018" s="101">
        <f t="shared" si="232"/>
        <v>0</v>
      </c>
      <c r="P1018" s="52">
        <f t="shared" si="233"/>
        <v>0</v>
      </c>
      <c r="Q1018" s="49">
        <v>116.88487613461319</v>
      </c>
      <c r="R1018">
        <v>2225</v>
      </c>
      <c r="S1018" s="50">
        <f t="shared" si="229"/>
        <v>71535.307499999995</v>
      </c>
      <c r="T1018" s="50">
        <f t="shared" si="234"/>
        <v>0</v>
      </c>
      <c r="U1018" s="58">
        <f t="shared" si="235"/>
        <v>0</v>
      </c>
      <c r="V1018" s="58">
        <f t="shared" si="236"/>
        <v>0</v>
      </c>
      <c r="W1018" s="58">
        <f t="shared" si="237"/>
        <v>0</v>
      </c>
      <c r="X1018" s="58">
        <f t="shared" si="238"/>
        <v>0</v>
      </c>
      <c r="Y1018" s="52">
        <f t="shared" si="239"/>
        <v>0</v>
      </c>
    </row>
    <row r="1019" spans="1:25" x14ac:dyDescent="0.25">
      <c r="A1019" s="1218" t="s">
        <v>201</v>
      </c>
      <c r="B1019" s="98">
        <v>45505</v>
      </c>
      <c r="C1019" s="117" t="str">
        <f t="shared" si="226"/>
        <v>8L</v>
      </c>
      <c r="D1019" s="96"/>
      <c r="I1019" s="99">
        <f t="shared" si="227"/>
        <v>0</v>
      </c>
      <c r="L1019" s="99">
        <f t="shared" si="228"/>
        <v>0</v>
      </c>
      <c r="M1019" s="44" t="str">
        <f t="shared" si="230"/>
        <v/>
      </c>
      <c r="N1019" s="100">
        <f t="shared" si="231"/>
        <v>0</v>
      </c>
      <c r="O1019" s="101">
        <f t="shared" si="232"/>
        <v>0</v>
      </c>
      <c r="P1019" s="52">
        <f t="shared" si="233"/>
        <v>0</v>
      </c>
      <c r="Q1019" s="49">
        <v>116.88487613461319</v>
      </c>
      <c r="R1019">
        <v>2225</v>
      </c>
      <c r="S1019" s="50">
        <f t="shared" si="229"/>
        <v>71535.307499999995</v>
      </c>
      <c r="T1019" s="50">
        <f t="shared" si="234"/>
        <v>0</v>
      </c>
      <c r="U1019" s="58">
        <f t="shared" si="235"/>
        <v>0</v>
      </c>
      <c r="V1019" s="58">
        <f t="shared" si="236"/>
        <v>0</v>
      </c>
      <c r="W1019" s="58">
        <f t="shared" si="237"/>
        <v>0</v>
      </c>
      <c r="X1019" s="58">
        <f t="shared" si="238"/>
        <v>0</v>
      </c>
      <c r="Y1019" s="52">
        <f t="shared" si="239"/>
        <v>0</v>
      </c>
    </row>
    <row r="1020" spans="1:25" x14ac:dyDescent="0.25">
      <c r="A1020" s="1218" t="s">
        <v>202</v>
      </c>
      <c r="B1020" s="98">
        <v>45505</v>
      </c>
      <c r="C1020" s="117" t="str">
        <f t="shared" si="226"/>
        <v>8L</v>
      </c>
      <c r="D1020" s="96"/>
      <c r="I1020" s="99">
        <f t="shared" si="227"/>
        <v>0</v>
      </c>
      <c r="L1020" s="99">
        <f t="shared" si="228"/>
        <v>0</v>
      </c>
      <c r="M1020" s="44" t="str">
        <f t="shared" si="230"/>
        <v/>
      </c>
      <c r="N1020" s="100">
        <f t="shared" si="231"/>
        <v>0</v>
      </c>
      <c r="O1020" s="101">
        <f t="shared" si="232"/>
        <v>0</v>
      </c>
      <c r="P1020" s="52">
        <f t="shared" si="233"/>
        <v>0</v>
      </c>
      <c r="Q1020" s="49">
        <v>116.88487613461319</v>
      </c>
      <c r="R1020">
        <v>2225</v>
      </c>
      <c r="S1020" s="50">
        <f t="shared" si="229"/>
        <v>71535.307499999995</v>
      </c>
      <c r="T1020" s="50">
        <f t="shared" si="234"/>
        <v>0</v>
      </c>
      <c r="U1020" s="58">
        <f t="shared" si="235"/>
        <v>0</v>
      </c>
      <c r="V1020" s="58">
        <f t="shared" si="236"/>
        <v>0</v>
      </c>
      <c r="W1020" s="58">
        <f t="shared" si="237"/>
        <v>0</v>
      </c>
      <c r="X1020" s="58">
        <f t="shared" si="238"/>
        <v>0</v>
      </c>
      <c r="Y1020" s="52">
        <f t="shared" si="239"/>
        <v>0</v>
      </c>
    </row>
    <row r="1021" spans="1:25" x14ac:dyDescent="0.25">
      <c r="A1021" s="1218" t="s">
        <v>203</v>
      </c>
      <c r="B1021" s="98">
        <v>45505</v>
      </c>
      <c r="C1021" s="117" t="str">
        <f t="shared" si="226"/>
        <v>8L</v>
      </c>
      <c r="D1021" s="96"/>
      <c r="I1021" s="99">
        <f t="shared" si="227"/>
        <v>0</v>
      </c>
      <c r="L1021" s="99">
        <f t="shared" si="228"/>
        <v>0</v>
      </c>
      <c r="M1021" s="44" t="str">
        <f t="shared" si="230"/>
        <v/>
      </c>
      <c r="N1021" s="100">
        <f t="shared" si="231"/>
        <v>0</v>
      </c>
      <c r="O1021" s="101">
        <f t="shared" si="232"/>
        <v>0</v>
      </c>
      <c r="P1021" s="52">
        <f t="shared" si="233"/>
        <v>0</v>
      </c>
      <c r="Q1021" s="49">
        <v>116.88487613461319</v>
      </c>
      <c r="R1021">
        <v>2225</v>
      </c>
      <c r="S1021" s="50">
        <f t="shared" si="229"/>
        <v>71535.307499999995</v>
      </c>
      <c r="T1021" s="50">
        <f t="shared" si="234"/>
        <v>0</v>
      </c>
      <c r="U1021" s="58">
        <f t="shared" si="235"/>
        <v>0</v>
      </c>
      <c r="V1021" s="58">
        <f t="shared" si="236"/>
        <v>0</v>
      </c>
      <c r="W1021" s="58">
        <f t="shared" si="237"/>
        <v>0</v>
      </c>
      <c r="X1021" s="58">
        <f t="shared" si="238"/>
        <v>0</v>
      </c>
      <c r="Y1021" s="52">
        <f t="shared" si="239"/>
        <v>0</v>
      </c>
    </row>
    <row r="1022" spans="1:25" x14ac:dyDescent="0.25">
      <c r="A1022" s="1218" t="s">
        <v>204</v>
      </c>
      <c r="B1022" s="98">
        <v>45505</v>
      </c>
      <c r="C1022" s="117" t="str">
        <f t="shared" si="226"/>
        <v>8L</v>
      </c>
      <c r="D1022" s="96"/>
      <c r="I1022" s="99">
        <f t="shared" si="227"/>
        <v>0</v>
      </c>
      <c r="L1022" s="99">
        <f t="shared" si="228"/>
        <v>0</v>
      </c>
      <c r="M1022" s="44" t="str">
        <f t="shared" si="230"/>
        <v/>
      </c>
      <c r="N1022" s="100">
        <f t="shared" si="231"/>
        <v>0</v>
      </c>
      <c r="O1022" s="101">
        <f t="shared" si="232"/>
        <v>0</v>
      </c>
      <c r="P1022" s="52">
        <f t="shared" si="233"/>
        <v>0</v>
      </c>
      <c r="Q1022" s="49">
        <v>116.88487613461319</v>
      </c>
      <c r="R1022">
        <v>2225</v>
      </c>
      <c r="S1022" s="50">
        <f t="shared" si="229"/>
        <v>71535.307499999995</v>
      </c>
      <c r="T1022" s="50">
        <f t="shared" si="234"/>
        <v>0</v>
      </c>
      <c r="U1022" s="58">
        <f t="shared" si="235"/>
        <v>0</v>
      </c>
      <c r="V1022" s="58">
        <f t="shared" si="236"/>
        <v>0</v>
      </c>
      <c r="W1022" s="58">
        <f t="shared" si="237"/>
        <v>0</v>
      </c>
      <c r="X1022" s="58">
        <f t="shared" si="238"/>
        <v>0</v>
      </c>
      <c r="Y1022" s="52">
        <f t="shared" si="239"/>
        <v>0</v>
      </c>
    </row>
    <row r="1023" spans="1:25" x14ac:dyDescent="0.25">
      <c r="A1023" s="1218" t="s">
        <v>205</v>
      </c>
      <c r="B1023" s="98">
        <v>45505</v>
      </c>
      <c r="C1023" s="117" t="str">
        <f t="shared" si="226"/>
        <v>8L</v>
      </c>
      <c r="D1023" s="96"/>
      <c r="I1023" s="99">
        <f t="shared" si="227"/>
        <v>0</v>
      </c>
      <c r="L1023" s="99">
        <f t="shared" si="228"/>
        <v>0</v>
      </c>
      <c r="M1023" s="44" t="str">
        <f t="shared" si="230"/>
        <v/>
      </c>
      <c r="N1023" s="100">
        <f t="shared" si="231"/>
        <v>0</v>
      </c>
      <c r="O1023" s="101">
        <f t="shared" si="232"/>
        <v>0</v>
      </c>
      <c r="P1023" s="52">
        <f t="shared" si="233"/>
        <v>0</v>
      </c>
      <c r="Q1023" s="49">
        <v>116.88487613461319</v>
      </c>
      <c r="R1023">
        <v>2225</v>
      </c>
      <c r="S1023" s="50">
        <f t="shared" si="229"/>
        <v>71535.307499999995</v>
      </c>
      <c r="T1023" s="50">
        <f t="shared" si="234"/>
        <v>0</v>
      </c>
      <c r="U1023" s="58">
        <f t="shared" si="235"/>
        <v>0</v>
      </c>
      <c r="V1023" s="58">
        <f t="shared" si="236"/>
        <v>0</v>
      </c>
      <c r="W1023" s="58">
        <f t="shared" si="237"/>
        <v>0</v>
      </c>
      <c r="X1023" s="58">
        <f t="shared" si="238"/>
        <v>0</v>
      </c>
      <c r="Y1023" s="52">
        <f t="shared" si="239"/>
        <v>0</v>
      </c>
    </row>
    <row r="1024" spans="1:25" x14ac:dyDescent="0.25">
      <c r="A1024" s="1218" t="s">
        <v>206</v>
      </c>
      <c r="B1024" s="98">
        <v>45505</v>
      </c>
      <c r="C1024" s="117" t="str">
        <f t="shared" si="226"/>
        <v>8L</v>
      </c>
      <c r="D1024" s="96"/>
      <c r="I1024" s="99">
        <f t="shared" si="227"/>
        <v>0</v>
      </c>
      <c r="L1024" s="99">
        <f t="shared" si="228"/>
        <v>0</v>
      </c>
      <c r="M1024" s="44" t="str">
        <f t="shared" si="230"/>
        <v/>
      </c>
      <c r="N1024" s="100">
        <f t="shared" si="231"/>
        <v>0</v>
      </c>
      <c r="O1024" s="101">
        <f t="shared" si="232"/>
        <v>0</v>
      </c>
      <c r="P1024" s="52">
        <f t="shared" si="233"/>
        <v>0</v>
      </c>
      <c r="Q1024" s="49">
        <v>116.88487613461319</v>
      </c>
      <c r="R1024">
        <v>2225</v>
      </c>
      <c r="S1024" s="50">
        <f t="shared" si="229"/>
        <v>71535.307499999995</v>
      </c>
      <c r="T1024" s="50">
        <f t="shared" si="234"/>
        <v>0</v>
      </c>
      <c r="U1024" s="58">
        <f t="shared" si="235"/>
        <v>0</v>
      </c>
      <c r="V1024" s="58">
        <f t="shared" si="236"/>
        <v>0</v>
      </c>
      <c r="W1024" s="58">
        <f t="shared" si="237"/>
        <v>0</v>
      </c>
      <c r="X1024" s="58">
        <f t="shared" si="238"/>
        <v>0</v>
      </c>
      <c r="Y1024" s="52">
        <f t="shared" si="239"/>
        <v>0</v>
      </c>
    </row>
    <row r="1025" spans="1:25" ht="15.75" thickBot="1" x14ac:dyDescent="0.3">
      <c r="A1025" s="1219" t="s">
        <v>207</v>
      </c>
      <c r="B1025" s="98">
        <v>45505</v>
      </c>
      <c r="C1025" s="117" t="str">
        <f t="shared" si="226"/>
        <v>8L</v>
      </c>
      <c r="D1025" s="96"/>
      <c r="I1025" s="99">
        <f t="shared" si="227"/>
        <v>0</v>
      </c>
      <c r="L1025" s="99">
        <f t="shared" si="228"/>
        <v>0</v>
      </c>
      <c r="M1025" s="44" t="str">
        <f t="shared" si="230"/>
        <v/>
      </c>
      <c r="N1025" s="100">
        <f t="shared" si="231"/>
        <v>0</v>
      </c>
      <c r="O1025" s="101">
        <f t="shared" si="232"/>
        <v>0</v>
      </c>
      <c r="P1025" s="52">
        <f t="shared" si="233"/>
        <v>0</v>
      </c>
      <c r="Q1025" s="49">
        <v>116.88487613461319</v>
      </c>
      <c r="R1025">
        <v>2225</v>
      </c>
      <c r="S1025" s="50">
        <f t="shared" si="229"/>
        <v>71535.307499999995</v>
      </c>
      <c r="T1025" s="50">
        <f t="shared" si="234"/>
        <v>0</v>
      </c>
      <c r="U1025" s="58">
        <f t="shared" si="235"/>
        <v>0</v>
      </c>
      <c r="V1025" s="58">
        <f t="shared" si="236"/>
        <v>0</v>
      </c>
      <c r="W1025" s="58">
        <f t="shared" si="237"/>
        <v>0</v>
      </c>
      <c r="X1025" s="58">
        <f t="shared" si="238"/>
        <v>0</v>
      </c>
      <c r="Y1025" s="52">
        <f t="shared" si="239"/>
        <v>0</v>
      </c>
    </row>
    <row r="1026" spans="1:25" x14ac:dyDescent="0.25">
      <c r="A1026" s="97" t="s">
        <v>80</v>
      </c>
      <c r="B1026" s="98">
        <v>45536</v>
      </c>
      <c r="C1026" s="117" t="str">
        <f t="shared" si="226"/>
        <v>1L</v>
      </c>
      <c r="D1026" s="96"/>
      <c r="E1026" s="96"/>
      <c r="F1026" s="96"/>
      <c r="G1026" s="96"/>
      <c r="H1026" s="96"/>
      <c r="I1026" s="99">
        <f t="shared" si="227"/>
        <v>0</v>
      </c>
      <c r="J1026" s="96"/>
      <c r="K1026" s="96"/>
      <c r="L1026" s="99">
        <f t="shared" si="228"/>
        <v>0</v>
      </c>
      <c r="M1026" s="44" t="str">
        <f t="shared" si="230"/>
        <v/>
      </c>
      <c r="N1026" s="100">
        <f t="shared" si="231"/>
        <v>0</v>
      </c>
      <c r="O1026" s="101">
        <f t="shared" si="232"/>
        <v>0</v>
      </c>
      <c r="P1026" s="52">
        <f t="shared" si="233"/>
        <v>0</v>
      </c>
      <c r="Q1026" s="49">
        <v>116.88487613461319</v>
      </c>
      <c r="R1026">
        <v>2225</v>
      </c>
      <c r="S1026" s="50">
        <f t="shared" si="229"/>
        <v>71535.307499999995</v>
      </c>
      <c r="T1026" s="50">
        <f t="shared" si="234"/>
        <v>0</v>
      </c>
      <c r="U1026" s="58">
        <f t="shared" si="235"/>
        <v>0</v>
      </c>
      <c r="V1026" s="58">
        <f t="shared" si="236"/>
        <v>0</v>
      </c>
      <c r="W1026" s="58">
        <f t="shared" si="237"/>
        <v>0</v>
      </c>
      <c r="X1026" s="58">
        <f t="shared" si="238"/>
        <v>0</v>
      </c>
      <c r="Y1026" s="52">
        <f t="shared" si="239"/>
        <v>0</v>
      </c>
    </row>
    <row r="1027" spans="1:25" x14ac:dyDescent="0.25">
      <c r="A1027" s="1218" t="s">
        <v>81</v>
      </c>
      <c r="B1027" s="98">
        <v>45536</v>
      </c>
      <c r="C1027" s="117" t="str">
        <f t="shared" si="226"/>
        <v>1L</v>
      </c>
      <c r="D1027" s="96"/>
      <c r="E1027" s="96"/>
      <c r="F1027" s="96"/>
      <c r="G1027" s="96"/>
      <c r="H1027" s="96"/>
      <c r="I1027" s="99">
        <f t="shared" si="227"/>
        <v>0</v>
      </c>
      <c r="J1027" s="96"/>
      <c r="K1027" s="96"/>
      <c r="L1027" s="99">
        <f t="shared" si="228"/>
        <v>0</v>
      </c>
      <c r="M1027" s="44" t="str">
        <f t="shared" si="230"/>
        <v/>
      </c>
      <c r="N1027" s="100">
        <f t="shared" si="231"/>
        <v>0</v>
      </c>
      <c r="O1027" s="101">
        <f t="shared" si="232"/>
        <v>0</v>
      </c>
      <c r="P1027" s="52">
        <f t="shared" si="233"/>
        <v>0</v>
      </c>
      <c r="Q1027" s="49">
        <v>116.88487613461319</v>
      </c>
      <c r="R1027">
        <v>2225</v>
      </c>
      <c r="S1027" s="50">
        <f t="shared" si="229"/>
        <v>71535.307499999995</v>
      </c>
      <c r="T1027" s="50">
        <f t="shared" si="234"/>
        <v>0</v>
      </c>
      <c r="U1027" s="58">
        <f t="shared" si="235"/>
        <v>0</v>
      </c>
      <c r="V1027" s="58">
        <f t="shared" si="236"/>
        <v>0</v>
      </c>
      <c r="W1027" s="58">
        <f t="shared" si="237"/>
        <v>0</v>
      </c>
      <c r="X1027" s="58">
        <f t="shared" si="238"/>
        <v>0</v>
      </c>
      <c r="Y1027" s="52">
        <f t="shared" si="239"/>
        <v>0</v>
      </c>
    </row>
    <row r="1028" spans="1:25" x14ac:dyDescent="0.25">
      <c r="A1028" s="1218" t="s">
        <v>82</v>
      </c>
      <c r="B1028" s="98">
        <v>45536</v>
      </c>
      <c r="C1028" s="117" t="str">
        <f t="shared" si="226"/>
        <v>1L</v>
      </c>
      <c r="D1028" s="96"/>
      <c r="E1028" s="96"/>
      <c r="F1028" s="96"/>
      <c r="G1028" s="96"/>
      <c r="H1028" s="96"/>
      <c r="I1028" s="99">
        <f t="shared" si="227"/>
        <v>0</v>
      </c>
      <c r="J1028" s="96"/>
      <c r="K1028" s="96"/>
      <c r="L1028" s="99">
        <f t="shared" si="228"/>
        <v>0</v>
      </c>
      <c r="M1028" s="44" t="str">
        <f t="shared" si="230"/>
        <v/>
      </c>
      <c r="N1028" s="100">
        <f t="shared" si="231"/>
        <v>0</v>
      </c>
      <c r="O1028" s="101">
        <f t="shared" si="232"/>
        <v>0</v>
      </c>
      <c r="P1028" s="52">
        <f t="shared" si="233"/>
        <v>0</v>
      </c>
      <c r="Q1028" s="49">
        <v>116.88487613461319</v>
      </c>
      <c r="R1028">
        <v>2225</v>
      </c>
      <c r="S1028" s="50">
        <f t="shared" si="229"/>
        <v>71535.307499999995</v>
      </c>
      <c r="T1028" s="50">
        <f t="shared" si="234"/>
        <v>0</v>
      </c>
      <c r="U1028" s="58">
        <f t="shared" si="235"/>
        <v>0</v>
      </c>
      <c r="V1028" s="58">
        <f t="shared" si="236"/>
        <v>0</v>
      </c>
      <c r="W1028" s="58">
        <f t="shared" si="237"/>
        <v>0</v>
      </c>
      <c r="X1028" s="58">
        <f t="shared" si="238"/>
        <v>0</v>
      </c>
      <c r="Y1028" s="52">
        <f t="shared" si="239"/>
        <v>0</v>
      </c>
    </row>
    <row r="1029" spans="1:25" x14ac:dyDescent="0.25">
      <c r="A1029" s="1218" t="s">
        <v>83</v>
      </c>
      <c r="B1029" s="98">
        <v>45536</v>
      </c>
      <c r="C1029" s="117" t="str">
        <f t="shared" si="226"/>
        <v>1L</v>
      </c>
      <c r="D1029" s="96"/>
      <c r="E1029" s="96"/>
      <c r="F1029" s="96"/>
      <c r="G1029" s="96"/>
      <c r="H1029" s="96"/>
      <c r="I1029" s="99">
        <f t="shared" si="227"/>
        <v>0</v>
      </c>
      <c r="J1029" s="96"/>
      <c r="K1029" s="96"/>
      <c r="L1029" s="99">
        <f t="shared" si="228"/>
        <v>0</v>
      </c>
      <c r="M1029" s="44" t="str">
        <f t="shared" si="230"/>
        <v/>
      </c>
      <c r="N1029" s="100">
        <f t="shared" si="231"/>
        <v>0</v>
      </c>
      <c r="O1029" s="101">
        <f t="shared" si="232"/>
        <v>0</v>
      </c>
      <c r="P1029" s="52">
        <f t="shared" si="233"/>
        <v>0</v>
      </c>
      <c r="Q1029" s="49">
        <v>116.88487613461319</v>
      </c>
      <c r="R1029">
        <v>2225</v>
      </c>
      <c r="S1029" s="50">
        <f t="shared" si="229"/>
        <v>71535.307499999995</v>
      </c>
      <c r="T1029" s="50">
        <f t="shared" si="234"/>
        <v>0</v>
      </c>
      <c r="U1029" s="58">
        <f t="shared" si="235"/>
        <v>0</v>
      </c>
      <c r="V1029" s="58">
        <f t="shared" si="236"/>
        <v>0</v>
      </c>
      <c r="W1029" s="58">
        <f t="shared" si="237"/>
        <v>0</v>
      </c>
      <c r="X1029" s="58">
        <f t="shared" si="238"/>
        <v>0</v>
      </c>
      <c r="Y1029" s="52">
        <f t="shared" si="239"/>
        <v>0</v>
      </c>
    </row>
    <row r="1030" spans="1:25" x14ac:dyDescent="0.25">
      <c r="A1030" s="1218" t="s">
        <v>84</v>
      </c>
      <c r="B1030" s="98">
        <v>45536</v>
      </c>
      <c r="C1030" s="117" t="str">
        <f t="shared" si="226"/>
        <v>2L</v>
      </c>
      <c r="D1030" s="96"/>
      <c r="E1030" s="98"/>
      <c r="F1030" s="98"/>
      <c r="I1030" s="99">
        <f t="shared" si="227"/>
        <v>0</v>
      </c>
      <c r="L1030" s="99">
        <f t="shared" si="228"/>
        <v>0</v>
      </c>
      <c r="M1030" s="44" t="str">
        <f t="shared" si="230"/>
        <v/>
      </c>
      <c r="N1030" s="100">
        <f t="shared" si="231"/>
        <v>0</v>
      </c>
      <c r="O1030" s="101">
        <f t="shared" si="232"/>
        <v>0</v>
      </c>
      <c r="P1030" s="52">
        <f t="shared" si="233"/>
        <v>0</v>
      </c>
      <c r="Q1030" s="49">
        <v>116.88487613461319</v>
      </c>
      <c r="R1030">
        <v>2225</v>
      </c>
      <c r="S1030" s="50">
        <f t="shared" si="229"/>
        <v>71535.307499999995</v>
      </c>
      <c r="T1030" s="50">
        <f t="shared" si="234"/>
        <v>0</v>
      </c>
      <c r="U1030" s="58">
        <f t="shared" si="235"/>
        <v>0</v>
      </c>
      <c r="V1030" s="58">
        <f t="shared" si="236"/>
        <v>0</v>
      </c>
      <c r="W1030" s="58">
        <f t="shared" si="237"/>
        <v>0</v>
      </c>
      <c r="X1030" s="58">
        <f t="shared" si="238"/>
        <v>0</v>
      </c>
      <c r="Y1030" s="52">
        <f t="shared" si="239"/>
        <v>0</v>
      </c>
    </row>
    <row r="1031" spans="1:25" x14ac:dyDescent="0.25">
      <c r="A1031" s="1218" t="s">
        <v>85</v>
      </c>
      <c r="B1031" s="98">
        <v>45536</v>
      </c>
      <c r="C1031" s="117" t="str">
        <f t="shared" si="226"/>
        <v>2L</v>
      </c>
      <c r="D1031" s="96"/>
      <c r="E1031" s="98"/>
      <c r="F1031" s="98"/>
      <c r="I1031" s="99">
        <f t="shared" si="227"/>
        <v>0</v>
      </c>
      <c r="L1031" s="99">
        <f t="shared" si="228"/>
        <v>0</v>
      </c>
      <c r="M1031" s="44" t="str">
        <f t="shared" si="230"/>
        <v/>
      </c>
      <c r="N1031" s="100">
        <f t="shared" si="231"/>
        <v>0</v>
      </c>
      <c r="O1031" s="101">
        <f t="shared" si="232"/>
        <v>0</v>
      </c>
      <c r="P1031" s="52">
        <f t="shared" si="233"/>
        <v>0</v>
      </c>
      <c r="Q1031" s="49">
        <v>116.88487613461319</v>
      </c>
      <c r="R1031">
        <v>2225</v>
      </c>
      <c r="S1031" s="50">
        <f t="shared" si="229"/>
        <v>71535.307499999995</v>
      </c>
      <c r="T1031" s="50">
        <f t="shared" si="234"/>
        <v>0</v>
      </c>
      <c r="U1031" s="58">
        <f t="shared" si="235"/>
        <v>0</v>
      </c>
      <c r="V1031" s="58">
        <f t="shared" si="236"/>
        <v>0</v>
      </c>
      <c r="W1031" s="58">
        <f t="shared" si="237"/>
        <v>0</v>
      </c>
      <c r="X1031" s="58">
        <f t="shared" si="238"/>
        <v>0</v>
      </c>
      <c r="Y1031" s="52">
        <f t="shared" si="239"/>
        <v>0</v>
      </c>
    </row>
    <row r="1032" spans="1:25" x14ac:dyDescent="0.25">
      <c r="A1032" s="1218" t="s">
        <v>86</v>
      </c>
      <c r="B1032" s="98">
        <v>45536</v>
      </c>
      <c r="C1032" s="117" t="str">
        <f t="shared" si="226"/>
        <v>2L</v>
      </c>
      <c r="D1032" s="96"/>
      <c r="E1032" s="98"/>
      <c r="F1032" s="98"/>
      <c r="I1032" s="99">
        <f t="shared" si="227"/>
        <v>0</v>
      </c>
      <c r="L1032" s="99">
        <f t="shared" si="228"/>
        <v>0</v>
      </c>
      <c r="M1032" s="44" t="str">
        <f t="shared" si="230"/>
        <v/>
      </c>
      <c r="N1032" s="100">
        <f t="shared" si="231"/>
        <v>0</v>
      </c>
      <c r="O1032" s="101">
        <f t="shared" si="232"/>
        <v>0</v>
      </c>
      <c r="P1032" s="52">
        <f t="shared" si="233"/>
        <v>0</v>
      </c>
      <c r="Q1032" s="49">
        <v>116.88487613461319</v>
      </c>
      <c r="R1032">
        <v>2225</v>
      </c>
      <c r="S1032" s="50">
        <f t="shared" si="229"/>
        <v>71535.307499999995</v>
      </c>
      <c r="T1032" s="50">
        <f t="shared" si="234"/>
        <v>0</v>
      </c>
      <c r="U1032" s="58">
        <f t="shared" si="235"/>
        <v>0</v>
      </c>
      <c r="V1032" s="58">
        <f t="shared" si="236"/>
        <v>0</v>
      </c>
      <c r="W1032" s="58">
        <f t="shared" si="237"/>
        <v>0</v>
      </c>
      <c r="X1032" s="58">
        <f t="shared" si="238"/>
        <v>0</v>
      </c>
      <c r="Y1032" s="52">
        <f t="shared" si="239"/>
        <v>0</v>
      </c>
    </row>
    <row r="1033" spans="1:25" x14ac:dyDescent="0.25">
      <c r="A1033" s="1218" t="s">
        <v>87</v>
      </c>
      <c r="B1033" s="98">
        <v>45536</v>
      </c>
      <c r="C1033" s="117" t="str">
        <f t="shared" si="226"/>
        <v>3L</v>
      </c>
      <c r="D1033" s="96"/>
      <c r="E1033" s="98"/>
      <c r="F1033" s="98"/>
      <c r="I1033" s="99">
        <f t="shared" si="227"/>
        <v>0</v>
      </c>
      <c r="L1033" s="99">
        <f t="shared" si="228"/>
        <v>0</v>
      </c>
      <c r="M1033" s="44" t="str">
        <f t="shared" si="230"/>
        <v/>
      </c>
      <c r="N1033" s="100">
        <f t="shared" si="231"/>
        <v>0</v>
      </c>
      <c r="O1033" s="101">
        <f t="shared" si="232"/>
        <v>0</v>
      </c>
      <c r="P1033" s="52">
        <f t="shared" si="233"/>
        <v>0</v>
      </c>
      <c r="Q1033" s="49">
        <v>116.88487613461319</v>
      </c>
      <c r="R1033">
        <v>2225</v>
      </c>
      <c r="S1033" s="50">
        <f t="shared" si="229"/>
        <v>71535.307499999995</v>
      </c>
      <c r="T1033" s="50">
        <f t="shared" si="234"/>
        <v>0</v>
      </c>
      <c r="U1033" s="58">
        <f t="shared" si="235"/>
        <v>0</v>
      </c>
      <c r="V1033" s="58">
        <f t="shared" si="236"/>
        <v>0</v>
      </c>
      <c r="W1033" s="58">
        <f t="shared" si="237"/>
        <v>0</v>
      </c>
      <c r="X1033" s="58">
        <f t="shared" si="238"/>
        <v>0</v>
      </c>
      <c r="Y1033" s="52">
        <f t="shared" si="239"/>
        <v>0</v>
      </c>
    </row>
    <row r="1034" spans="1:25" x14ac:dyDescent="0.25">
      <c r="A1034" s="1218" t="s">
        <v>88</v>
      </c>
      <c r="B1034" s="98">
        <v>45536</v>
      </c>
      <c r="C1034" s="117" t="str">
        <f t="shared" si="226"/>
        <v>3L</v>
      </c>
      <c r="D1034" s="96"/>
      <c r="E1034" s="98"/>
      <c r="F1034" s="98"/>
      <c r="I1034" s="99">
        <f t="shared" si="227"/>
        <v>0</v>
      </c>
      <c r="L1034" s="99">
        <f t="shared" si="228"/>
        <v>0</v>
      </c>
      <c r="M1034" s="44" t="str">
        <f t="shared" si="230"/>
        <v/>
      </c>
      <c r="N1034" s="100">
        <f t="shared" si="231"/>
        <v>0</v>
      </c>
      <c r="O1034" s="101">
        <f t="shared" si="232"/>
        <v>0</v>
      </c>
      <c r="P1034" s="52">
        <f t="shared" si="233"/>
        <v>0</v>
      </c>
      <c r="Q1034" s="49">
        <v>116.88487613461319</v>
      </c>
      <c r="R1034">
        <v>2225</v>
      </c>
      <c r="S1034" s="50">
        <f t="shared" si="229"/>
        <v>71535.307499999995</v>
      </c>
      <c r="T1034" s="50">
        <f t="shared" si="234"/>
        <v>0</v>
      </c>
      <c r="U1034" s="58">
        <f t="shared" si="235"/>
        <v>0</v>
      </c>
      <c r="V1034" s="58">
        <f t="shared" si="236"/>
        <v>0</v>
      </c>
      <c r="W1034" s="58">
        <f t="shared" si="237"/>
        <v>0</v>
      </c>
      <c r="X1034" s="58">
        <f t="shared" si="238"/>
        <v>0</v>
      </c>
      <c r="Y1034" s="52">
        <f t="shared" si="239"/>
        <v>0</v>
      </c>
    </row>
    <row r="1035" spans="1:25" x14ac:dyDescent="0.25">
      <c r="A1035" s="1218" t="s">
        <v>89</v>
      </c>
      <c r="B1035" s="98">
        <v>45536</v>
      </c>
      <c r="C1035" s="117" t="str">
        <f t="shared" ref="C1035:C1099" si="240">LEFT(A1035,2)</f>
        <v>3L</v>
      </c>
      <c r="D1035" s="96"/>
      <c r="E1035" s="98"/>
      <c r="F1035" s="98"/>
      <c r="I1035" s="99">
        <f t="shared" si="227"/>
        <v>0</v>
      </c>
      <c r="L1035" s="99">
        <f t="shared" si="228"/>
        <v>0</v>
      </c>
      <c r="M1035" s="44" t="str">
        <f t="shared" si="230"/>
        <v/>
      </c>
      <c r="N1035" s="100">
        <f t="shared" si="231"/>
        <v>0</v>
      </c>
      <c r="O1035" s="101">
        <f t="shared" si="232"/>
        <v>0</v>
      </c>
      <c r="P1035" s="52">
        <f t="shared" si="233"/>
        <v>0</v>
      </c>
      <c r="Q1035" s="49">
        <v>116.88487613461319</v>
      </c>
      <c r="R1035">
        <v>2225</v>
      </c>
      <c r="S1035" s="50">
        <f t="shared" si="229"/>
        <v>71535.307499999995</v>
      </c>
      <c r="T1035" s="50">
        <f t="shared" si="234"/>
        <v>0</v>
      </c>
      <c r="U1035" s="58">
        <f t="shared" si="235"/>
        <v>0</v>
      </c>
      <c r="V1035" s="58">
        <f t="shared" si="236"/>
        <v>0</v>
      </c>
      <c r="W1035" s="58">
        <f t="shared" si="237"/>
        <v>0</v>
      </c>
      <c r="X1035" s="58">
        <f t="shared" si="238"/>
        <v>0</v>
      </c>
      <c r="Y1035" s="52">
        <f t="shared" si="239"/>
        <v>0</v>
      </c>
    </row>
    <row r="1036" spans="1:25" x14ac:dyDescent="0.25">
      <c r="A1036" s="1218" t="s">
        <v>90</v>
      </c>
      <c r="B1036" s="98">
        <v>45536</v>
      </c>
      <c r="C1036" s="117" t="str">
        <f t="shared" si="240"/>
        <v>3L</v>
      </c>
      <c r="D1036" s="96"/>
      <c r="E1036" s="98"/>
      <c r="F1036" s="98"/>
      <c r="I1036" s="99">
        <f t="shared" si="227"/>
        <v>0</v>
      </c>
      <c r="L1036" s="99">
        <f t="shared" si="228"/>
        <v>0</v>
      </c>
      <c r="M1036" s="44" t="str">
        <f t="shared" si="230"/>
        <v/>
      </c>
      <c r="N1036" s="100">
        <f t="shared" si="231"/>
        <v>0</v>
      </c>
      <c r="O1036" s="101">
        <f t="shared" si="232"/>
        <v>0</v>
      </c>
      <c r="P1036" s="52">
        <f t="shared" si="233"/>
        <v>0</v>
      </c>
      <c r="Q1036" s="49">
        <v>116.88487613461319</v>
      </c>
      <c r="R1036">
        <v>2225</v>
      </c>
      <c r="S1036" s="50">
        <f t="shared" si="229"/>
        <v>71535.307499999995</v>
      </c>
      <c r="T1036" s="50">
        <f t="shared" si="234"/>
        <v>0</v>
      </c>
      <c r="U1036" s="58">
        <f t="shared" si="235"/>
        <v>0</v>
      </c>
      <c r="V1036" s="58">
        <f t="shared" si="236"/>
        <v>0</v>
      </c>
      <c r="W1036" s="58">
        <f t="shared" si="237"/>
        <v>0</v>
      </c>
      <c r="X1036" s="58">
        <f t="shared" si="238"/>
        <v>0</v>
      </c>
      <c r="Y1036" s="52">
        <f t="shared" si="239"/>
        <v>0</v>
      </c>
    </row>
    <row r="1037" spans="1:25" x14ac:dyDescent="0.25">
      <c r="A1037" s="1218" t="s">
        <v>91</v>
      </c>
      <c r="B1037" s="98">
        <v>45536</v>
      </c>
      <c r="C1037" s="117" t="str">
        <f t="shared" si="240"/>
        <v>3L</v>
      </c>
      <c r="D1037" s="96"/>
      <c r="E1037" s="98"/>
      <c r="F1037" s="98"/>
      <c r="I1037" s="99">
        <f t="shared" si="227"/>
        <v>0</v>
      </c>
      <c r="L1037" s="99">
        <f t="shared" si="228"/>
        <v>0</v>
      </c>
      <c r="M1037" s="44" t="str">
        <f t="shared" si="230"/>
        <v/>
      </c>
      <c r="N1037" s="100">
        <f t="shared" si="231"/>
        <v>0</v>
      </c>
      <c r="O1037" s="101">
        <f t="shared" si="232"/>
        <v>0</v>
      </c>
      <c r="P1037" s="52">
        <f t="shared" si="233"/>
        <v>0</v>
      </c>
      <c r="Q1037" s="49">
        <v>116.88487613461319</v>
      </c>
      <c r="R1037">
        <v>2225</v>
      </c>
      <c r="S1037" s="50">
        <f t="shared" si="229"/>
        <v>71535.307499999995</v>
      </c>
      <c r="T1037" s="50">
        <f t="shared" si="234"/>
        <v>0</v>
      </c>
      <c r="U1037" s="58">
        <f t="shared" si="235"/>
        <v>0</v>
      </c>
      <c r="V1037" s="58">
        <f t="shared" si="236"/>
        <v>0</v>
      </c>
      <c r="W1037" s="58">
        <f t="shared" si="237"/>
        <v>0</v>
      </c>
      <c r="X1037" s="58">
        <f t="shared" si="238"/>
        <v>0</v>
      </c>
      <c r="Y1037" s="52">
        <f t="shared" si="239"/>
        <v>0</v>
      </c>
    </row>
    <row r="1038" spans="1:25" x14ac:dyDescent="0.25">
      <c r="A1038" s="1218" t="s">
        <v>92</v>
      </c>
      <c r="B1038" s="98">
        <v>45536</v>
      </c>
      <c r="C1038" s="117" t="str">
        <f t="shared" si="240"/>
        <v>3L</v>
      </c>
      <c r="D1038" s="96"/>
      <c r="E1038" s="98"/>
      <c r="F1038" s="98"/>
      <c r="G1038" s="41"/>
      <c r="H1038" s="47"/>
      <c r="I1038" s="99">
        <f t="shared" si="227"/>
        <v>0</v>
      </c>
      <c r="J1038" s="41"/>
      <c r="K1038" s="47"/>
      <c r="L1038" s="99">
        <f t="shared" si="228"/>
        <v>0</v>
      </c>
      <c r="M1038" s="44" t="str">
        <f t="shared" si="230"/>
        <v/>
      </c>
      <c r="N1038" s="100">
        <f t="shared" si="231"/>
        <v>0</v>
      </c>
      <c r="O1038" s="101">
        <f t="shared" si="232"/>
        <v>0</v>
      </c>
      <c r="P1038" s="52">
        <f t="shared" si="233"/>
        <v>0</v>
      </c>
      <c r="Q1038" s="49">
        <v>116.88487613461319</v>
      </c>
      <c r="R1038">
        <v>2225</v>
      </c>
      <c r="S1038" s="50">
        <f t="shared" si="229"/>
        <v>71535.307499999995</v>
      </c>
      <c r="T1038" s="50">
        <f t="shared" si="234"/>
        <v>0</v>
      </c>
      <c r="U1038" s="58">
        <f t="shared" si="235"/>
        <v>0</v>
      </c>
      <c r="V1038" s="58">
        <f t="shared" si="236"/>
        <v>0</v>
      </c>
      <c r="W1038" s="58">
        <f t="shared" si="237"/>
        <v>0</v>
      </c>
      <c r="X1038" s="58">
        <f t="shared" si="238"/>
        <v>0</v>
      </c>
      <c r="Y1038" s="52">
        <f t="shared" si="239"/>
        <v>0</v>
      </c>
    </row>
    <row r="1039" spans="1:25" x14ac:dyDescent="0.25">
      <c r="A1039" s="1218" t="s">
        <v>93</v>
      </c>
      <c r="B1039" s="98">
        <v>45536</v>
      </c>
      <c r="C1039" s="117" t="str">
        <f t="shared" si="240"/>
        <v>3L</v>
      </c>
      <c r="D1039" s="96"/>
      <c r="E1039" s="98"/>
      <c r="F1039" s="98"/>
      <c r="G1039" s="41"/>
      <c r="H1039" s="47"/>
      <c r="I1039" s="99">
        <f t="shared" si="227"/>
        <v>0</v>
      </c>
      <c r="J1039" s="41"/>
      <c r="K1039" s="47"/>
      <c r="L1039" s="99">
        <f t="shared" si="228"/>
        <v>0</v>
      </c>
      <c r="M1039" s="44" t="str">
        <f t="shared" si="230"/>
        <v/>
      </c>
      <c r="N1039" s="100">
        <f t="shared" si="231"/>
        <v>0</v>
      </c>
      <c r="O1039" s="101">
        <f t="shared" si="232"/>
        <v>0</v>
      </c>
      <c r="P1039" s="52">
        <f t="shared" si="233"/>
        <v>0</v>
      </c>
      <c r="Q1039" s="49">
        <v>116.88487613461319</v>
      </c>
      <c r="R1039">
        <v>2225</v>
      </c>
      <c r="S1039" s="50">
        <f t="shared" si="229"/>
        <v>71535.307499999995</v>
      </c>
      <c r="T1039" s="50">
        <f t="shared" si="234"/>
        <v>0</v>
      </c>
      <c r="U1039" s="58">
        <f t="shared" si="235"/>
        <v>0</v>
      </c>
      <c r="V1039" s="58">
        <f t="shared" si="236"/>
        <v>0</v>
      </c>
      <c r="W1039" s="58">
        <f t="shared" si="237"/>
        <v>0</v>
      </c>
      <c r="X1039" s="58">
        <f t="shared" si="238"/>
        <v>0</v>
      </c>
      <c r="Y1039" s="52">
        <f t="shared" si="239"/>
        <v>0</v>
      </c>
    </row>
    <row r="1040" spans="1:25" x14ac:dyDescent="0.25">
      <c r="A1040" s="1218" t="s">
        <v>94</v>
      </c>
      <c r="B1040" s="98">
        <v>45536</v>
      </c>
      <c r="C1040" s="117" t="str">
        <f t="shared" si="240"/>
        <v>3L</v>
      </c>
      <c r="D1040" s="96"/>
      <c r="E1040" s="98"/>
      <c r="F1040" s="98"/>
      <c r="G1040" s="41"/>
      <c r="H1040" s="47"/>
      <c r="I1040" s="99">
        <f t="shared" si="227"/>
        <v>0</v>
      </c>
      <c r="J1040" s="41"/>
      <c r="K1040" s="47"/>
      <c r="L1040" s="99">
        <f t="shared" si="228"/>
        <v>0</v>
      </c>
      <c r="M1040" s="44" t="str">
        <f t="shared" si="230"/>
        <v/>
      </c>
      <c r="N1040" s="100">
        <f t="shared" si="231"/>
        <v>0</v>
      </c>
      <c r="O1040" s="101">
        <f t="shared" si="232"/>
        <v>0</v>
      </c>
      <c r="P1040" s="52">
        <f t="shared" si="233"/>
        <v>0</v>
      </c>
      <c r="Q1040" s="49">
        <v>116.88487613461319</v>
      </c>
      <c r="R1040">
        <v>2225</v>
      </c>
      <c r="S1040" s="50">
        <f t="shared" si="229"/>
        <v>71535.307499999995</v>
      </c>
      <c r="T1040" s="50">
        <f t="shared" si="234"/>
        <v>0</v>
      </c>
      <c r="U1040" s="58">
        <f t="shared" si="235"/>
        <v>0</v>
      </c>
      <c r="V1040" s="58">
        <f t="shared" si="236"/>
        <v>0</v>
      </c>
      <c r="W1040" s="58">
        <f t="shared" si="237"/>
        <v>0</v>
      </c>
      <c r="X1040" s="58">
        <f t="shared" si="238"/>
        <v>0</v>
      </c>
      <c r="Y1040" s="52">
        <f t="shared" si="239"/>
        <v>0</v>
      </c>
    </row>
    <row r="1041" spans="1:25" x14ac:dyDescent="0.25">
      <c r="A1041" s="1218" t="s">
        <v>95</v>
      </c>
      <c r="B1041" s="98">
        <v>45536</v>
      </c>
      <c r="C1041" s="117" t="str">
        <f t="shared" si="240"/>
        <v>3L</v>
      </c>
      <c r="D1041" s="96"/>
      <c r="E1041" s="98"/>
      <c r="F1041" s="98"/>
      <c r="G1041" s="41"/>
      <c r="H1041" s="47"/>
      <c r="I1041" s="99">
        <f t="shared" si="227"/>
        <v>0</v>
      </c>
      <c r="J1041" s="41"/>
      <c r="K1041" s="47"/>
      <c r="L1041" s="99">
        <f t="shared" si="228"/>
        <v>0</v>
      </c>
      <c r="M1041" s="44" t="str">
        <f t="shared" si="230"/>
        <v/>
      </c>
      <c r="N1041" s="100">
        <f t="shared" si="231"/>
        <v>0</v>
      </c>
      <c r="O1041" s="101">
        <f t="shared" si="232"/>
        <v>0</v>
      </c>
      <c r="P1041" s="52">
        <f t="shared" si="233"/>
        <v>0</v>
      </c>
      <c r="Q1041" s="49">
        <v>116.88487613461319</v>
      </c>
      <c r="R1041">
        <v>2225</v>
      </c>
      <c r="S1041" s="50">
        <f t="shared" si="229"/>
        <v>71535.307499999995</v>
      </c>
      <c r="T1041" s="50">
        <f t="shared" si="234"/>
        <v>0</v>
      </c>
      <c r="U1041" s="58">
        <f t="shared" si="235"/>
        <v>0</v>
      </c>
      <c r="V1041" s="58">
        <f t="shared" si="236"/>
        <v>0</v>
      </c>
      <c r="W1041" s="58">
        <f t="shared" si="237"/>
        <v>0</v>
      </c>
      <c r="X1041" s="58">
        <f t="shared" si="238"/>
        <v>0</v>
      </c>
      <c r="Y1041" s="52">
        <f t="shared" si="239"/>
        <v>0</v>
      </c>
    </row>
    <row r="1042" spans="1:25" x14ac:dyDescent="0.25">
      <c r="A1042" s="1218" t="s">
        <v>96</v>
      </c>
      <c r="B1042" s="98">
        <v>45536</v>
      </c>
      <c r="C1042" s="117" t="str">
        <f t="shared" si="240"/>
        <v>3L</v>
      </c>
      <c r="D1042" s="96"/>
      <c r="E1042" s="98"/>
      <c r="F1042" s="98"/>
      <c r="G1042" s="41"/>
      <c r="H1042" s="47"/>
      <c r="I1042" s="99">
        <f t="shared" si="227"/>
        <v>0</v>
      </c>
      <c r="J1042" s="41"/>
      <c r="K1042" s="47"/>
      <c r="L1042" s="99">
        <f t="shared" si="228"/>
        <v>0</v>
      </c>
      <c r="M1042" s="44" t="str">
        <f t="shared" si="230"/>
        <v/>
      </c>
      <c r="N1042" s="100">
        <f t="shared" si="231"/>
        <v>0</v>
      </c>
      <c r="O1042" s="101">
        <f t="shared" si="232"/>
        <v>0</v>
      </c>
      <c r="P1042" s="52">
        <f t="shared" si="233"/>
        <v>0</v>
      </c>
      <c r="Q1042" s="49">
        <v>116.88487613461319</v>
      </c>
      <c r="R1042">
        <v>2225</v>
      </c>
      <c r="S1042" s="50">
        <f t="shared" si="229"/>
        <v>71535.307499999995</v>
      </c>
      <c r="T1042" s="50">
        <f t="shared" si="234"/>
        <v>0</v>
      </c>
      <c r="U1042" s="58">
        <f t="shared" si="235"/>
        <v>0</v>
      </c>
      <c r="V1042" s="58">
        <f t="shared" si="236"/>
        <v>0</v>
      </c>
      <c r="W1042" s="58">
        <f t="shared" si="237"/>
        <v>0</v>
      </c>
      <c r="X1042" s="58">
        <f t="shared" si="238"/>
        <v>0</v>
      </c>
      <c r="Y1042" s="52">
        <f t="shared" si="239"/>
        <v>0</v>
      </c>
    </row>
    <row r="1043" spans="1:25" x14ac:dyDescent="0.25">
      <c r="A1043" s="1218" t="s">
        <v>97</v>
      </c>
      <c r="B1043" s="98">
        <v>45536</v>
      </c>
      <c r="C1043" s="117" t="str">
        <f t="shared" si="240"/>
        <v>4L</v>
      </c>
      <c r="D1043" s="96"/>
      <c r="E1043" s="98"/>
      <c r="F1043" s="98"/>
      <c r="I1043" s="99">
        <f t="shared" si="227"/>
        <v>0</v>
      </c>
      <c r="L1043" s="99">
        <f t="shared" si="228"/>
        <v>0</v>
      </c>
      <c r="M1043" s="44" t="str">
        <f t="shared" si="230"/>
        <v/>
      </c>
      <c r="N1043" s="100">
        <f t="shared" si="231"/>
        <v>0</v>
      </c>
      <c r="O1043" s="101">
        <f t="shared" si="232"/>
        <v>0</v>
      </c>
      <c r="P1043" s="52">
        <f t="shared" si="233"/>
        <v>0</v>
      </c>
      <c r="Q1043" s="49">
        <v>116.88487613461319</v>
      </c>
      <c r="R1043">
        <v>2225</v>
      </c>
      <c r="S1043" s="50">
        <f t="shared" si="229"/>
        <v>71535.307499999995</v>
      </c>
      <c r="T1043" s="50">
        <f t="shared" si="234"/>
        <v>0</v>
      </c>
      <c r="U1043" s="58">
        <f t="shared" si="235"/>
        <v>0</v>
      </c>
      <c r="V1043" s="58">
        <f t="shared" si="236"/>
        <v>0</v>
      </c>
      <c r="W1043" s="58">
        <f t="shared" si="237"/>
        <v>0</v>
      </c>
      <c r="X1043" s="58">
        <f t="shared" si="238"/>
        <v>0</v>
      </c>
      <c r="Y1043" s="52">
        <f t="shared" si="239"/>
        <v>0</v>
      </c>
    </row>
    <row r="1044" spans="1:25" x14ac:dyDescent="0.25">
      <c r="A1044" s="1218" t="s">
        <v>98</v>
      </c>
      <c r="B1044" s="98">
        <v>45536</v>
      </c>
      <c r="C1044" s="117" t="str">
        <f t="shared" si="240"/>
        <v>4L</v>
      </c>
      <c r="D1044" s="96"/>
      <c r="E1044" s="98"/>
      <c r="F1044" s="98"/>
      <c r="I1044" s="99">
        <f t="shared" si="227"/>
        <v>0</v>
      </c>
      <c r="L1044" s="99">
        <f t="shared" si="228"/>
        <v>0</v>
      </c>
      <c r="M1044" s="44" t="str">
        <f t="shared" si="230"/>
        <v/>
      </c>
      <c r="N1044" s="100">
        <f t="shared" si="231"/>
        <v>0</v>
      </c>
      <c r="O1044" s="101">
        <f t="shared" si="232"/>
        <v>0</v>
      </c>
      <c r="P1044" s="52">
        <f t="shared" si="233"/>
        <v>0</v>
      </c>
      <c r="Q1044" s="49">
        <v>116.88487613461319</v>
      </c>
      <c r="R1044">
        <v>2225</v>
      </c>
      <c r="S1044" s="50">
        <f t="shared" si="229"/>
        <v>71535.307499999995</v>
      </c>
      <c r="T1044" s="50">
        <f t="shared" si="234"/>
        <v>0</v>
      </c>
      <c r="U1044" s="58">
        <f t="shared" si="235"/>
        <v>0</v>
      </c>
      <c r="V1044" s="58">
        <f t="shared" si="236"/>
        <v>0</v>
      </c>
      <c r="W1044" s="58">
        <f t="shared" si="237"/>
        <v>0</v>
      </c>
      <c r="X1044" s="58">
        <f t="shared" si="238"/>
        <v>0</v>
      </c>
      <c r="Y1044" s="52">
        <f t="shared" si="239"/>
        <v>0</v>
      </c>
    </row>
    <row r="1045" spans="1:25" x14ac:dyDescent="0.25">
      <c r="A1045" s="1218" t="s">
        <v>99</v>
      </c>
      <c r="B1045" s="98">
        <v>45536</v>
      </c>
      <c r="C1045" s="117" t="str">
        <f t="shared" si="240"/>
        <v>4L</v>
      </c>
      <c r="D1045" s="96"/>
      <c r="E1045" s="98"/>
      <c r="F1045" s="98"/>
      <c r="I1045" s="99">
        <f t="shared" si="227"/>
        <v>0</v>
      </c>
      <c r="L1045" s="99">
        <f t="shared" si="228"/>
        <v>0</v>
      </c>
      <c r="M1045" s="44" t="str">
        <f t="shared" si="230"/>
        <v/>
      </c>
      <c r="N1045" s="100">
        <f t="shared" si="231"/>
        <v>0</v>
      </c>
      <c r="O1045" s="101">
        <f t="shared" si="232"/>
        <v>0</v>
      </c>
      <c r="P1045" s="52">
        <f t="shared" si="233"/>
        <v>0</v>
      </c>
      <c r="Q1045" s="49">
        <v>116.88487613461319</v>
      </c>
      <c r="R1045">
        <v>2225</v>
      </c>
      <c r="S1045" s="50">
        <f t="shared" si="229"/>
        <v>71535.307499999995</v>
      </c>
      <c r="T1045" s="50">
        <f t="shared" si="234"/>
        <v>0</v>
      </c>
      <c r="U1045" s="58">
        <f t="shared" si="235"/>
        <v>0</v>
      </c>
      <c r="V1045" s="58">
        <f t="shared" si="236"/>
        <v>0</v>
      </c>
      <c r="W1045" s="58">
        <f t="shared" si="237"/>
        <v>0</v>
      </c>
      <c r="X1045" s="58">
        <f t="shared" si="238"/>
        <v>0</v>
      </c>
      <c r="Y1045" s="52">
        <f t="shared" si="239"/>
        <v>0</v>
      </c>
    </row>
    <row r="1046" spans="1:25" x14ac:dyDescent="0.25">
      <c r="A1046" s="1218" t="s">
        <v>100</v>
      </c>
      <c r="B1046" s="98">
        <v>45536</v>
      </c>
      <c r="C1046" s="117" t="str">
        <f t="shared" si="240"/>
        <v>4L</v>
      </c>
      <c r="D1046" s="96"/>
      <c r="E1046" s="98"/>
      <c r="F1046" s="98"/>
      <c r="I1046" s="99">
        <f t="shared" si="227"/>
        <v>0</v>
      </c>
      <c r="L1046" s="99">
        <f t="shared" si="228"/>
        <v>0</v>
      </c>
      <c r="M1046" s="44" t="str">
        <f t="shared" si="230"/>
        <v/>
      </c>
      <c r="N1046" s="100">
        <f t="shared" si="231"/>
        <v>0</v>
      </c>
      <c r="O1046" s="101">
        <f t="shared" si="232"/>
        <v>0</v>
      </c>
      <c r="P1046" s="52">
        <f t="shared" si="233"/>
        <v>0</v>
      </c>
      <c r="Q1046" s="49">
        <v>116.88487613461319</v>
      </c>
      <c r="R1046">
        <v>2225</v>
      </c>
      <c r="S1046" s="50">
        <f t="shared" si="229"/>
        <v>71535.307499999995</v>
      </c>
      <c r="T1046" s="50">
        <f t="shared" si="234"/>
        <v>0</v>
      </c>
      <c r="U1046" s="58">
        <f t="shared" si="235"/>
        <v>0</v>
      </c>
      <c r="V1046" s="58">
        <f t="shared" si="236"/>
        <v>0</v>
      </c>
      <c r="W1046" s="58">
        <f t="shared" si="237"/>
        <v>0</v>
      </c>
      <c r="X1046" s="58">
        <f t="shared" si="238"/>
        <v>0</v>
      </c>
      <c r="Y1046" s="52">
        <f t="shared" si="239"/>
        <v>0</v>
      </c>
    </row>
    <row r="1047" spans="1:25" x14ac:dyDescent="0.25">
      <c r="A1047" s="1218" t="s">
        <v>101</v>
      </c>
      <c r="B1047" s="98">
        <v>45536</v>
      </c>
      <c r="C1047" s="117" t="str">
        <f t="shared" si="240"/>
        <v>4L</v>
      </c>
      <c r="D1047" s="96"/>
      <c r="E1047" s="98"/>
      <c r="F1047" s="98"/>
      <c r="I1047" s="99">
        <f t="shared" si="227"/>
        <v>0</v>
      </c>
      <c r="L1047" s="99">
        <f t="shared" si="228"/>
        <v>0</v>
      </c>
      <c r="M1047" s="44" t="str">
        <f t="shared" si="230"/>
        <v/>
      </c>
      <c r="N1047" s="100">
        <f t="shared" si="231"/>
        <v>0</v>
      </c>
      <c r="O1047" s="101">
        <f t="shared" si="232"/>
        <v>0</v>
      </c>
      <c r="P1047" s="52">
        <f t="shared" si="233"/>
        <v>0</v>
      </c>
      <c r="Q1047" s="49">
        <v>116.88487613461319</v>
      </c>
      <c r="R1047">
        <v>2225</v>
      </c>
      <c r="S1047" s="50">
        <f t="shared" si="229"/>
        <v>71535.307499999995</v>
      </c>
      <c r="T1047" s="50">
        <f t="shared" si="234"/>
        <v>0</v>
      </c>
      <c r="U1047" s="58">
        <f t="shared" si="235"/>
        <v>0</v>
      </c>
      <c r="V1047" s="58">
        <f t="shared" si="236"/>
        <v>0</v>
      </c>
      <c r="W1047" s="58">
        <f t="shared" si="237"/>
        <v>0</v>
      </c>
      <c r="X1047" s="58">
        <f t="shared" si="238"/>
        <v>0</v>
      </c>
      <c r="Y1047" s="52">
        <f t="shared" si="239"/>
        <v>0</v>
      </c>
    </row>
    <row r="1048" spans="1:25" x14ac:dyDescent="0.25">
      <c r="A1048" s="1218" t="s">
        <v>102</v>
      </c>
      <c r="B1048" s="98">
        <v>45536</v>
      </c>
      <c r="C1048" s="117" t="str">
        <f t="shared" si="240"/>
        <v>4L</v>
      </c>
      <c r="D1048" s="96"/>
      <c r="E1048" s="98"/>
      <c r="F1048" s="98"/>
      <c r="I1048" s="99">
        <f t="shared" si="227"/>
        <v>0</v>
      </c>
      <c r="L1048" s="99">
        <f t="shared" si="228"/>
        <v>0</v>
      </c>
      <c r="M1048" s="44" t="str">
        <f t="shared" si="230"/>
        <v/>
      </c>
      <c r="N1048" s="100">
        <f t="shared" si="231"/>
        <v>0</v>
      </c>
      <c r="O1048" s="101">
        <f t="shared" si="232"/>
        <v>0</v>
      </c>
      <c r="P1048" s="52">
        <f t="shared" si="233"/>
        <v>0</v>
      </c>
      <c r="Q1048" s="49">
        <v>116.88487613461319</v>
      </c>
      <c r="R1048">
        <v>2225</v>
      </c>
      <c r="S1048" s="50">
        <f t="shared" si="229"/>
        <v>71535.307499999995</v>
      </c>
      <c r="T1048" s="50">
        <f t="shared" si="234"/>
        <v>0</v>
      </c>
      <c r="U1048" s="58">
        <f t="shared" si="235"/>
        <v>0</v>
      </c>
      <c r="V1048" s="58">
        <f t="shared" si="236"/>
        <v>0</v>
      </c>
      <c r="W1048" s="58">
        <f t="shared" si="237"/>
        <v>0</v>
      </c>
      <c r="X1048" s="58">
        <f t="shared" si="238"/>
        <v>0</v>
      </c>
      <c r="Y1048" s="52">
        <f t="shared" si="239"/>
        <v>0</v>
      </c>
    </row>
    <row r="1049" spans="1:25" x14ac:dyDescent="0.25">
      <c r="A1049" s="1218" t="s">
        <v>103</v>
      </c>
      <c r="B1049" s="98">
        <v>45536</v>
      </c>
      <c r="C1049" s="117" t="str">
        <f t="shared" si="240"/>
        <v>4L</v>
      </c>
      <c r="D1049" s="96"/>
      <c r="E1049" s="98"/>
      <c r="F1049" s="98"/>
      <c r="I1049" s="99">
        <f t="shared" si="227"/>
        <v>0</v>
      </c>
      <c r="L1049" s="99">
        <f t="shared" si="228"/>
        <v>0</v>
      </c>
      <c r="M1049" s="44" t="str">
        <f t="shared" si="230"/>
        <v/>
      </c>
      <c r="N1049" s="100">
        <f t="shared" si="231"/>
        <v>0</v>
      </c>
      <c r="O1049" s="101">
        <f t="shared" si="232"/>
        <v>0</v>
      </c>
      <c r="P1049" s="52">
        <f t="shared" si="233"/>
        <v>0</v>
      </c>
      <c r="Q1049" s="49">
        <v>116.88487613461319</v>
      </c>
      <c r="R1049">
        <v>2225</v>
      </c>
      <c r="S1049" s="50">
        <f t="shared" si="229"/>
        <v>71535.307499999995</v>
      </c>
      <c r="T1049" s="50">
        <f t="shared" si="234"/>
        <v>0</v>
      </c>
      <c r="U1049" s="58">
        <f t="shared" si="235"/>
        <v>0</v>
      </c>
      <c r="V1049" s="58">
        <f t="shared" si="236"/>
        <v>0</v>
      </c>
      <c r="W1049" s="58">
        <f t="shared" si="237"/>
        <v>0</v>
      </c>
      <c r="X1049" s="58">
        <f t="shared" si="238"/>
        <v>0</v>
      </c>
      <c r="Y1049" s="52">
        <f t="shared" si="239"/>
        <v>0</v>
      </c>
    </row>
    <row r="1050" spans="1:25" x14ac:dyDescent="0.25">
      <c r="A1050" s="1218" t="s">
        <v>104</v>
      </c>
      <c r="B1050" s="98">
        <v>45536</v>
      </c>
      <c r="C1050" s="117" t="str">
        <f t="shared" si="240"/>
        <v>4L</v>
      </c>
      <c r="D1050" s="96"/>
      <c r="E1050" s="98"/>
      <c r="F1050" s="98"/>
      <c r="I1050" s="99">
        <f t="shared" si="227"/>
        <v>0</v>
      </c>
      <c r="L1050" s="99">
        <f t="shared" si="228"/>
        <v>0</v>
      </c>
      <c r="M1050" s="44" t="str">
        <f t="shared" si="230"/>
        <v/>
      </c>
      <c r="N1050" s="100">
        <f t="shared" si="231"/>
        <v>0</v>
      </c>
      <c r="O1050" s="101">
        <f t="shared" si="232"/>
        <v>0</v>
      </c>
      <c r="P1050" s="52">
        <f t="shared" si="233"/>
        <v>0</v>
      </c>
      <c r="Q1050" s="49">
        <v>116.88487613461319</v>
      </c>
      <c r="R1050">
        <v>2225</v>
      </c>
      <c r="S1050" s="50">
        <f t="shared" si="229"/>
        <v>71535.307499999995</v>
      </c>
      <c r="T1050" s="50">
        <f t="shared" si="234"/>
        <v>0</v>
      </c>
      <c r="U1050" s="58">
        <f t="shared" si="235"/>
        <v>0</v>
      </c>
      <c r="V1050" s="58">
        <f t="shared" si="236"/>
        <v>0</v>
      </c>
      <c r="W1050" s="58">
        <f t="shared" si="237"/>
        <v>0</v>
      </c>
      <c r="X1050" s="58">
        <f t="shared" si="238"/>
        <v>0</v>
      </c>
      <c r="Y1050" s="52">
        <f t="shared" si="239"/>
        <v>0</v>
      </c>
    </row>
    <row r="1051" spans="1:25" x14ac:dyDescent="0.25">
      <c r="A1051" s="1218" t="s">
        <v>105</v>
      </c>
      <c r="B1051" s="98">
        <v>45536</v>
      </c>
      <c r="C1051" s="117" t="str">
        <f t="shared" si="240"/>
        <v>4L</v>
      </c>
      <c r="D1051" s="96"/>
      <c r="E1051" s="98"/>
      <c r="F1051" s="98"/>
      <c r="I1051" s="99">
        <f t="shared" si="227"/>
        <v>0</v>
      </c>
      <c r="L1051" s="99">
        <f t="shared" si="228"/>
        <v>0</v>
      </c>
      <c r="M1051" s="44" t="str">
        <f t="shared" si="230"/>
        <v/>
      </c>
      <c r="N1051" s="100">
        <f t="shared" si="231"/>
        <v>0</v>
      </c>
      <c r="O1051" s="101">
        <f t="shared" si="232"/>
        <v>0</v>
      </c>
      <c r="P1051" s="52">
        <f t="shared" si="233"/>
        <v>0</v>
      </c>
      <c r="Q1051" s="49">
        <v>116.88487613461319</v>
      </c>
      <c r="R1051">
        <v>2225</v>
      </c>
      <c r="S1051" s="50">
        <f t="shared" si="229"/>
        <v>71535.307499999995</v>
      </c>
      <c r="T1051" s="50">
        <f t="shared" si="234"/>
        <v>0</v>
      </c>
      <c r="U1051" s="58">
        <f t="shared" si="235"/>
        <v>0</v>
      </c>
      <c r="V1051" s="58">
        <f t="shared" si="236"/>
        <v>0</v>
      </c>
      <c r="W1051" s="58">
        <f t="shared" si="237"/>
        <v>0</v>
      </c>
      <c r="X1051" s="58">
        <f t="shared" si="238"/>
        <v>0</v>
      </c>
      <c r="Y1051" s="52">
        <f t="shared" si="239"/>
        <v>0</v>
      </c>
    </row>
    <row r="1052" spans="1:25" x14ac:dyDescent="0.25">
      <c r="A1052" s="1218" t="s">
        <v>106</v>
      </c>
      <c r="B1052" s="98">
        <v>45536</v>
      </c>
      <c r="C1052" s="117" t="str">
        <f t="shared" si="240"/>
        <v>4L</v>
      </c>
      <c r="D1052" s="96"/>
      <c r="E1052" s="98"/>
      <c r="F1052" s="98"/>
      <c r="I1052" s="99">
        <f t="shared" si="227"/>
        <v>0</v>
      </c>
      <c r="L1052" s="99">
        <f t="shared" si="228"/>
        <v>0</v>
      </c>
      <c r="M1052" s="44" t="str">
        <f t="shared" si="230"/>
        <v/>
      </c>
      <c r="N1052" s="100">
        <f t="shared" si="231"/>
        <v>0</v>
      </c>
      <c r="O1052" s="101">
        <f t="shared" si="232"/>
        <v>0</v>
      </c>
      <c r="P1052" s="52">
        <f t="shared" si="233"/>
        <v>0</v>
      </c>
      <c r="Q1052" s="49">
        <v>116.88487613461319</v>
      </c>
      <c r="R1052">
        <v>2225</v>
      </c>
      <c r="S1052" s="50">
        <f t="shared" si="229"/>
        <v>71535.307499999995</v>
      </c>
      <c r="T1052" s="50">
        <f t="shared" si="234"/>
        <v>0</v>
      </c>
      <c r="U1052" s="58">
        <f t="shared" si="235"/>
        <v>0</v>
      </c>
      <c r="V1052" s="58">
        <f t="shared" si="236"/>
        <v>0</v>
      </c>
      <c r="W1052" s="58">
        <f t="shared" si="237"/>
        <v>0</v>
      </c>
      <c r="X1052" s="58">
        <f t="shared" si="238"/>
        <v>0</v>
      </c>
      <c r="Y1052" s="52">
        <f t="shared" si="239"/>
        <v>0</v>
      </c>
    </row>
    <row r="1053" spans="1:25" x14ac:dyDescent="0.25">
      <c r="A1053" s="1218" t="s">
        <v>107</v>
      </c>
      <c r="B1053" s="98">
        <v>45536</v>
      </c>
      <c r="C1053" s="117" t="str">
        <f t="shared" si="240"/>
        <v>4L</v>
      </c>
      <c r="D1053" s="96"/>
      <c r="E1053" s="98"/>
      <c r="F1053" s="98"/>
      <c r="I1053" s="99">
        <f t="shared" si="227"/>
        <v>0</v>
      </c>
      <c r="L1053" s="99">
        <f t="shared" si="228"/>
        <v>0</v>
      </c>
      <c r="M1053" s="44" t="str">
        <f t="shared" si="230"/>
        <v/>
      </c>
      <c r="N1053" s="100">
        <f t="shared" si="231"/>
        <v>0</v>
      </c>
      <c r="O1053" s="101">
        <f t="shared" si="232"/>
        <v>0</v>
      </c>
      <c r="P1053" s="52">
        <f t="shared" si="233"/>
        <v>0</v>
      </c>
      <c r="Q1053" s="49">
        <v>116.88487613461319</v>
      </c>
      <c r="R1053">
        <v>2225</v>
      </c>
      <c r="S1053" s="50">
        <f t="shared" si="229"/>
        <v>71535.307499999995</v>
      </c>
      <c r="T1053" s="50">
        <f t="shared" si="234"/>
        <v>0</v>
      </c>
      <c r="U1053" s="58">
        <f t="shared" si="235"/>
        <v>0</v>
      </c>
      <c r="V1053" s="58">
        <f t="shared" si="236"/>
        <v>0</v>
      </c>
      <c r="W1053" s="58">
        <f t="shared" si="237"/>
        <v>0</v>
      </c>
      <c r="X1053" s="58">
        <f t="shared" si="238"/>
        <v>0</v>
      </c>
      <c r="Y1053" s="52">
        <f t="shared" si="239"/>
        <v>0</v>
      </c>
    </row>
    <row r="1054" spans="1:25" x14ac:dyDescent="0.25">
      <c r="A1054" s="1218" t="s">
        <v>108</v>
      </c>
      <c r="B1054" s="98">
        <v>45536</v>
      </c>
      <c r="C1054" s="117" t="str">
        <f t="shared" si="240"/>
        <v>4L</v>
      </c>
      <c r="D1054" s="96"/>
      <c r="E1054" s="98"/>
      <c r="F1054" s="98"/>
      <c r="I1054" s="99">
        <f t="shared" si="227"/>
        <v>0</v>
      </c>
      <c r="L1054" s="99">
        <f t="shared" si="228"/>
        <v>0</v>
      </c>
      <c r="M1054" s="44" t="str">
        <f t="shared" si="230"/>
        <v/>
      </c>
      <c r="N1054" s="100">
        <f t="shared" si="231"/>
        <v>0</v>
      </c>
      <c r="O1054" s="101">
        <f t="shared" si="232"/>
        <v>0</v>
      </c>
      <c r="P1054" s="52">
        <f t="shared" si="233"/>
        <v>0</v>
      </c>
      <c r="Q1054" s="49">
        <v>116.88487613461319</v>
      </c>
      <c r="R1054">
        <v>2225</v>
      </c>
      <c r="S1054" s="50">
        <f t="shared" si="229"/>
        <v>71535.307499999995</v>
      </c>
      <c r="T1054" s="50">
        <f t="shared" si="234"/>
        <v>0</v>
      </c>
      <c r="U1054" s="58">
        <f t="shared" si="235"/>
        <v>0</v>
      </c>
      <c r="V1054" s="58">
        <f t="shared" si="236"/>
        <v>0</v>
      </c>
      <c r="W1054" s="58">
        <f t="shared" si="237"/>
        <v>0</v>
      </c>
      <c r="X1054" s="58">
        <f t="shared" si="238"/>
        <v>0</v>
      </c>
      <c r="Y1054" s="52">
        <f t="shared" si="239"/>
        <v>0</v>
      </c>
    </row>
    <row r="1055" spans="1:25" x14ac:dyDescent="0.25">
      <c r="A1055" s="1218" t="s">
        <v>109</v>
      </c>
      <c r="B1055" s="98">
        <v>45536</v>
      </c>
      <c r="C1055" s="117" t="str">
        <f t="shared" si="240"/>
        <v>4L</v>
      </c>
      <c r="D1055" s="96"/>
      <c r="E1055" s="98"/>
      <c r="F1055" s="98"/>
      <c r="I1055" s="99">
        <f t="shared" si="227"/>
        <v>0</v>
      </c>
      <c r="L1055" s="99">
        <f t="shared" si="228"/>
        <v>0</v>
      </c>
      <c r="M1055" s="44" t="str">
        <f t="shared" si="230"/>
        <v/>
      </c>
      <c r="N1055" s="100">
        <f t="shared" si="231"/>
        <v>0</v>
      </c>
      <c r="O1055" s="101">
        <f t="shared" si="232"/>
        <v>0</v>
      </c>
      <c r="P1055" s="52">
        <f t="shared" si="233"/>
        <v>0</v>
      </c>
      <c r="Q1055" s="49">
        <v>116.88487613461319</v>
      </c>
      <c r="R1055">
        <v>2225</v>
      </c>
      <c r="S1055" s="50">
        <f t="shared" si="229"/>
        <v>71535.307499999995</v>
      </c>
      <c r="T1055" s="50">
        <f t="shared" si="234"/>
        <v>0</v>
      </c>
      <c r="U1055" s="58">
        <f t="shared" si="235"/>
        <v>0</v>
      </c>
      <c r="V1055" s="58">
        <f t="shared" si="236"/>
        <v>0</v>
      </c>
      <c r="W1055" s="58">
        <f t="shared" si="237"/>
        <v>0</v>
      </c>
      <c r="X1055" s="58">
        <f t="shared" si="238"/>
        <v>0</v>
      </c>
      <c r="Y1055" s="52">
        <f t="shared" si="239"/>
        <v>0</v>
      </c>
    </row>
    <row r="1056" spans="1:25" x14ac:dyDescent="0.25">
      <c r="A1056" s="1218" t="s">
        <v>110</v>
      </c>
      <c r="B1056" s="98">
        <v>45536</v>
      </c>
      <c r="C1056" s="117" t="str">
        <f t="shared" si="240"/>
        <v>4L</v>
      </c>
      <c r="D1056" s="96"/>
      <c r="E1056" s="98"/>
      <c r="F1056" s="98"/>
      <c r="I1056" s="99">
        <f t="shared" si="227"/>
        <v>0</v>
      </c>
      <c r="L1056" s="99">
        <f t="shared" si="228"/>
        <v>0</v>
      </c>
      <c r="M1056" s="44" t="str">
        <f t="shared" si="230"/>
        <v/>
      </c>
      <c r="N1056" s="100">
        <f t="shared" si="231"/>
        <v>0</v>
      </c>
      <c r="O1056" s="101">
        <f t="shared" si="232"/>
        <v>0</v>
      </c>
      <c r="P1056" s="52">
        <f t="shared" si="233"/>
        <v>0</v>
      </c>
      <c r="Q1056" s="49">
        <v>116.88487613461319</v>
      </c>
      <c r="R1056">
        <v>2225</v>
      </c>
      <c r="S1056" s="50">
        <f t="shared" si="229"/>
        <v>71535.307499999995</v>
      </c>
      <c r="T1056" s="50">
        <f t="shared" si="234"/>
        <v>0</v>
      </c>
      <c r="U1056" s="58">
        <f t="shared" si="235"/>
        <v>0</v>
      </c>
      <c r="V1056" s="58">
        <f t="shared" si="236"/>
        <v>0</v>
      </c>
      <c r="W1056" s="58">
        <f t="shared" si="237"/>
        <v>0</v>
      </c>
      <c r="X1056" s="58">
        <f t="shared" si="238"/>
        <v>0</v>
      </c>
      <c r="Y1056" s="52">
        <f t="shared" si="239"/>
        <v>0</v>
      </c>
    </row>
    <row r="1057" spans="1:25" x14ac:dyDescent="0.25">
      <c r="A1057" s="1218" t="s">
        <v>111</v>
      </c>
      <c r="B1057" s="98">
        <v>45536</v>
      </c>
      <c r="C1057" s="117" t="str">
        <f t="shared" si="240"/>
        <v>4L</v>
      </c>
      <c r="D1057" s="96"/>
      <c r="E1057" s="98"/>
      <c r="F1057" s="98"/>
      <c r="I1057" s="99">
        <f t="shared" si="227"/>
        <v>0</v>
      </c>
      <c r="L1057" s="99">
        <f t="shared" si="228"/>
        <v>0</v>
      </c>
      <c r="M1057" s="44" t="str">
        <f t="shared" si="230"/>
        <v/>
      </c>
      <c r="N1057" s="100">
        <f t="shared" si="231"/>
        <v>0</v>
      </c>
      <c r="O1057" s="101">
        <f t="shared" si="232"/>
        <v>0</v>
      </c>
      <c r="P1057" s="52">
        <f t="shared" si="233"/>
        <v>0</v>
      </c>
      <c r="Q1057" s="49">
        <v>116.88487613461319</v>
      </c>
      <c r="R1057">
        <v>2225</v>
      </c>
      <c r="S1057" s="50">
        <f t="shared" si="229"/>
        <v>71535.307499999995</v>
      </c>
      <c r="T1057" s="50">
        <f t="shared" si="234"/>
        <v>0</v>
      </c>
      <c r="U1057" s="58">
        <f t="shared" si="235"/>
        <v>0</v>
      </c>
      <c r="V1057" s="58">
        <f t="shared" si="236"/>
        <v>0</v>
      </c>
      <c r="W1057" s="58">
        <f t="shared" si="237"/>
        <v>0</v>
      </c>
      <c r="X1057" s="58">
        <f t="shared" si="238"/>
        <v>0</v>
      </c>
      <c r="Y1057" s="52">
        <f t="shared" si="239"/>
        <v>0</v>
      </c>
    </row>
    <row r="1058" spans="1:25" x14ac:dyDescent="0.25">
      <c r="A1058" s="1218" t="s">
        <v>112</v>
      </c>
      <c r="B1058" s="98">
        <v>45536</v>
      </c>
      <c r="C1058" s="117" t="str">
        <f t="shared" si="240"/>
        <v>4L</v>
      </c>
      <c r="D1058" s="96"/>
      <c r="E1058" s="98"/>
      <c r="F1058" s="98"/>
      <c r="I1058" s="99">
        <f t="shared" si="227"/>
        <v>0</v>
      </c>
      <c r="L1058" s="99">
        <f t="shared" si="228"/>
        <v>0</v>
      </c>
      <c r="M1058" s="44" t="str">
        <f t="shared" si="230"/>
        <v/>
      </c>
      <c r="N1058" s="100">
        <f t="shared" si="231"/>
        <v>0</v>
      </c>
      <c r="O1058" s="101">
        <f t="shared" si="232"/>
        <v>0</v>
      </c>
      <c r="P1058" s="52">
        <f t="shared" si="233"/>
        <v>0</v>
      </c>
      <c r="Q1058" s="49">
        <v>116.88487613461319</v>
      </c>
      <c r="R1058">
        <v>2225</v>
      </c>
      <c r="S1058" s="50">
        <f t="shared" si="229"/>
        <v>71535.307499999995</v>
      </c>
      <c r="T1058" s="50">
        <f t="shared" si="234"/>
        <v>0</v>
      </c>
      <c r="U1058" s="58">
        <f t="shared" si="235"/>
        <v>0</v>
      </c>
      <c r="V1058" s="58">
        <f t="shared" si="236"/>
        <v>0</v>
      </c>
      <c r="W1058" s="58">
        <f t="shared" si="237"/>
        <v>0</v>
      </c>
      <c r="X1058" s="58">
        <f t="shared" si="238"/>
        <v>0</v>
      </c>
      <c r="Y1058" s="52">
        <f t="shared" si="239"/>
        <v>0</v>
      </c>
    </row>
    <row r="1059" spans="1:25" x14ac:dyDescent="0.25">
      <c r="A1059" s="1218" t="s">
        <v>113</v>
      </c>
      <c r="B1059" s="98">
        <v>45536</v>
      </c>
      <c r="C1059" s="117" t="str">
        <f t="shared" si="240"/>
        <v>4L</v>
      </c>
      <c r="D1059" s="96"/>
      <c r="E1059" s="98"/>
      <c r="F1059" s="98"/>
      <c r="I1059" s="99">
        <f t="shared" si="227"/>
        <v>0</v>
      </c>
      <c r="L1059" s="99">
        <f t="shared" si="228"/>
        <v>0</v>
      </c>
      <c r="M1059" s="44" t="str">
        <f t="shared" si="230"/>
        <v/>
      </c>
      <c r="N1059" s="100">
        <f t="shared" si="231"/>
        <v>0</v>
      </c>
      <c r="O1059" s="101">
        <f t="shared" si="232"/>
        <v>0</v>
      </c>
      <c r="P1059" s="52">
        <f t="shared" si="233"/>
        <v>0</v>
      </c>
      <c r="Q1059" s="49">
        <v>116.88487613461319</v>
      </c>
      <c r="R1059">
        <v>2225</v>
      </c>
      <c r="S1059" s="50">
        <f t="shared" si="229"/>
        <v>71535.307499999995</v>
      </c>
      <c r="T1059" s="50">
        <f t="shared" si="234"/>
        <v>0</v>
      </c>
      <c r="U1059" s="58">
        <f t="shared" si="235"/>
        <v>0</v>
      </c>
      <c r="V1059" s="58">
        <f t="shared" si="236"/>
        <v>0</v>
      </c>
      <c r="W1059" s="58">
        <f t="shared" si="237"/>
        <v>0</v>
      </c>
      <c r="X1059" s="58">
        <f t="shared" si="238"/>
        <v>0</v>
      </c>
      <c r="Y1059" s="52">
        <f t="shared" si="239"/>
        <v>0</v>
      </c>
    </row>
    <row r="1060" spans="1:25" x14ac:dyDescent="0.25">
      <c r="A1060" s="1218" t="s">
        <v>114</v>
      </c>
      <c r="B1060" s="98">
        <v>45536</v>
      </c>
      <c r="C1060" s="117" t="str">
        <f t="shared" si="240"/>
        <v>4L</v>
      </c>
      <c r="D1060" s="96"/>
      <c r="E1060" s="98"/>
      <c r="F1060" s="98"/>
      <c r="I1060" s="99">
        <f t="shared" si="227"/>
        <v>0</v>
      </c>
      <c r="L1060" s="99">
        <f t="shared" si="228"/>
        <v>0</v>
      </c>
      <c r="M1060" s="44" t="str">
        <f t="shared" si="230"/>
        <v/>
      </c>
      <c r="N1060" s="100">
        <f t="shared" si="231"/>
        <v>0</v>
      </c>
      <c r="O1060" s="101">
        <f t="shared" si="232"/>
        <v>0</v>
      </c>
      <c r="P1060" s="52">
        <f t="shared" si="233"/>
        <v>0</v>
      </c>
      <c r="Q1060" s="49">
        <v>116.88487613461319</v>
      </c>
      <c r="R1060">
        <v>2225</v>
      </c>
      <c r="S1060" s="50">
        <f t="shared" si="229"/>
        <v>71535.307499999995</v>
      </c>
      <c r="T1060" s="50">
        <f t="shared" si="234"/>
        <v>0</v>
      </c>
      <c r="U1060" s="58">
        <f t="shared" si="235"/>
        <v>0</v>
      </c>
      <c r="V1060" s="58">
        <f t="shared" si="236"/>
        <v>0</v>
      </c>
      <c r="W1060" s="58">
        <f t="shared" si="237"/>
        <v>0</v>
      </c>
      <c r="X1060" s="58">
        <f t="shared" si="238"/>
        <v>0</v>
      </c>
      <c r="Y1060" s="52">
        <f t="shared" si="239"/>
        <v>0</v>
      </c>
    </row>
    <row r="1061" spans="1:25" x14ac:dyDescent="0.25">
      <c r="A1061" s="1218" t="s">
        <v>115</v>
      </c>
      <c r="B1061" s="98">
        <v>45536</v>
      </c>
      <c r="C1061" s="117" t="str">
        <f t="shared" si="240"/>
        <v>4L</v>
      </c>
      <c r="D1061" s="96"/>
      <c r="E1061" s="98"/>
      <c r="F1061" s="98"/>
      <c r="I1061" s="99">
        <f t="shared" si="227"/>
        <v>0</v>
      </c>
      <c r="L1061" s="99">
        <f t="shared" si="228"/>
        <v>0</v>
      </c>
      <c r="M1061" s="44" t="str">
        <f t="shared" si="230"/>
        <v/>
      </c>
      <c r="N1061" s="100">
        <f t="shared" si="231"/>
        <v>0</v>
      </c>
      <c r="O1061" s="101">
        <f t="shared" si="232"/>
        <v>0</v>
      </c>
      <c r="P1061" s="52">
        <f t="shared" si="233"/>
        <v>0</v>
      </c>
      <c r="Q1061" s="49">
        <v>116.88487613461319</v>
      </c>
      <c r="R1061">
        <v>2225</v>
      </c>
      <c r="S1061" s="50">
        <f t="shared" si="229"/>
        <v>71535.307499999995</v>
      </c>
      <c r="T1061" s="50">
        <f t="shared" si="234"/>
        <v>0</v>
      </c>
      <c r="U1061" s="58">
        <f t="shared" si="235"/>
        <v>0</v>
      </c>
      <c r="V1061" s="58">
        <f t="shared" si="236"/>
        <v>0</v>
      </c>
      <c r="W1061" s="58">
        <f t="shared" si="237"/>
        <v>0</v>
      </c>
      <c r="X1061" s="58">
        <f t="shared" si="238"/>
        <v>0</v>
      </c>
      <c r="Y1061" s="52">
        <f t="shared" si="239"/>
        <v>0</v>
      </c>
    </row>
    <row r="1062" spans="1:25" x14ac:dyDescent="0.25">
      <c r="A1062" s="1218" t="s">
        <v>116</v>
      </c>
      <c r="B1062" s="98">
        <v>45536</v>
      </c>
      <c r="C1062" s="117" t="str">
        <f t="shared" si="240"/>
        <v>4L</v>
      </c>
      <c r="D1062" s="96"/>
      <c r="E1062" s="98"/>
      <c r="F1062" s="98"/>
      <c r="I1062" s="99">
        <f t="shared" si="227"/>
        <v>0</v>
      </c>
      <c r="L1062" s="99">
        <f t="shared" si="228"/>
        <v>0</v>
      </c>
      <c r="M1062" s="44" t="str">
        <f t="shared" si="230"/>
        <v/>
      </c>
      <c r="N1062" s="100">
        <f t="shared" si="231"/>
        <v>0</v>
      </c>
      <c r="O1062" s="101">
        <f t="shared" si="232"/>
        <v>0</v>
      </c>
      <c r="P1062" s="52">
        <f t="shared" si="233"/>
        <v>0</v>
      </c>
      <c r="Q1062" s="49">
        <v>116.88487613461319</v>
      </c>
      <c r="R1062">
        <v>2225</v>
      </c>
      <c r="S1062" s="50">
        <f t="shared" si="229"/>
        <v>71535.307499999995</v>
      </c>
      <c r="T1062" s="50">
        <f t="shared" si="234"/>
        <v>0</v>
      </c>
      <c r="U1062" s="58">
        <f t="shared" si="235"/>
        <v>0</v>
      </c>
      <c r="V1062" s="58">
        <f t="shared" si="236"/>
        <v>0</v>
      </c>
      <c r="W1062" s="58">
        <f t="shared" si="237"/>
        <v>0</v>
      </c>
      <c r="X1062" s="58">
        <f t="shared" si="238"/>
        <v>0</v>
      </c>
      <c r="Y1062" s="52">
        <f t="shared" si="239"/>
        <v>0</v>
      </c>
    </row>
    <row r="1063" spans="1:25" x14ac:dyDescent="0.25">
      <c r="A1063" s="1218" t="s">
        <v>117</v>
      </c>
      <c r="B1063" s="98">
        <v>45536</v>
      </c>
      <c r="C1063" s="117" t="str">
        <f t="shared" si="240"/>
        <v>4L</v>
      </c>
      <c r="D1063" s="96"/>
      <c r="E1063" s="98"/>
      <c r="F1063" s="98"/>
      <c r="I1063" s="99">
        <f t="shared" si="227"/>
        <v>0</v>
      </c>
      <c r="L1063" s="99">
        <f t="shared" si="228"/>
        <v>0</v>
      </c>
      <c r="M1063" s="44" t="str">
        <f t="shared" si="230"/>
        <v/>
      </c>
      <c r="N1063" s="100">
        <f t="shared" si="231"/>
        <v>0</v>
      </c>
      <c r="O1063" s="101">
        <f t="shared" si="232"/>
        <v>0</v>
      </c>
      <c r="P1063" s="52">
        <f t="shared" si="233"/>
        <v>0</v>
      </c>
      <c r="Q1063" s="49">
        <v>116.88487613461319</v>
      </c>
      <c r="R1063">
        <v>2225</v>
      </c>
      <c r="S1063" s="50">
        <f t="shared" si="229"/>
        <v>71535.307499999995</v>
      </c>
      <c r="T1063" s="50">
        <f t="shared" si="234"/>
        <v>0</v>
      </c>
      <c r="U1063" s="58">
        <f t="shared" si="235"/>
        <v>0</v>
      </c>
      <c r="V1063" s="58">
        <f t="shared" si="236"/>
        <v>0</v>
      </c>
      <c r="W1063" s="58">
        <f t="shared" si="237"/>
        <v>0</v>
      </c>
      <c r="X1063" s="58">
        <f t="shared" si="238"/>
        <v>0</v>
      </c>
      <c r="Y1063" s="52">
        <f t="shared" si="239"/>
        <v>0</v>
      </c>
    </row>
    <row r="1064" spans="1:25" x14ac:dyDescent="0.25">
      <c r="A1064" s="1218" t="s">
        <v>118</v>
      </c>
      <c r="B1064" s="98">
        <v>45536</v>
      </c>
      <c r="C1064" s="117" t="str">
        <f t="shared" si="240"/>
        <v>4L</v>
      </c>
      <c r="D1064" s="96"/>
      <c r="E1064" s="98"/>
      <c r="F1064" s="98"/>
      <c r="I1064" s="99">
        <f t="shared" si="227"/>
        <v>0</v>
      </c>
      <c r="L1064" s="99">
        <f t="shared" si="228"/>
        <v>0</v>
      </c>
      <c r="M1064" s="44" t="str">
        <f t="shared" si="230"/>
        <v/>
      </c>
      <c r="N1064" s="100">
        <f t="shared" si="231"/>
        <v>0</v>
      </c>
      <c r="O1064" s="101">
        <f t="shared" si="232"/>
        <v>0</v>
      </c>
      <c r="P1064" s="52">
        <f t="shared" si="233"/>
        <v>0</v>
      </c>
      <c r="Q1064" s="49">
        <v>116.88487613461319</v>
      </c>
      <c r="R1064">
        <v>2225</v>
      </c>
      <c r="S1064" s="50">
        <f t="shared" si="229"/>
        <v>71535.307499999995</v>
      </c>
      <c r="T1064" s="50">
        <f t="shared" si="234"/>
        <v>0</v>
      </c>
      <c r="U1064" s="58">
        <f t="shared" si="235"/>
        <v>0</v>
      </c>
      <c r="V1064" s="58">
        <f t="shared" si="236"/>
        <v>0</v>
      </c>
      <c r="W1064" s="58">
        <f t="shared" si="237"/>
        <v>0</v>
      </c>
      <c r="X1064" s="58">
        <f t="shared" si="238"/>
        <v>0</v>
      </c>
      <c r="Y1064" s="52">
        <f t="shared" si="239"/>
        <v>0</v>
      </c>
    </row>
    <row r="1065" spans="1:25" x14ac:dyDescent="0.25">
      <c r="A1065" s="1218" t="s">
        <v>119</v>
      </c>
      <c r="B1065" s="98">
        <v>45536</v>
      </c>
      <c r="C1065" s="117" t="str">
        <f t="shared" si="240"/>
        <v>4L</v>
      </c>
      <c r="D1065" s="96"/>
      <c r="E1065" s="98"/>
      <c r="F1065" s="98"/>
      <c r="I1065" s="99">
        <f t="shared" si="227"/>
        <v>0</v>
      </c>
      <c r="L1065" s="99">
        <f t="shared" si="228"/>
        <v>0</v>
      </c>
      <c r="M1065" s="44" t="str">
        <f t="shared" si="230"/>
        <v/>
      </c>
      <c r="N1065" s="100">
        <f t="shared" si="231"/>
        <v>0</v>
      </c>
      <c r="O1065" s="101">
        <f t="shared" si="232"/>
        <v>0</v>
      </c>
      <c r="P1065" s="52">
        <f t="shared" si="233"/>
        <v>0</v>
      </c>
      <c r="Q1065" s="49">
        <v>116.88487613461319</v>
      </c>
      <c r="R1065">
        <v>2225</v>
      </c>
      <c r="S1065" s="50">
        <f t="shared" si="229"/>
        <v>71535.307499999995</v>
      </c>
      <c r="T1065" s="50">
        <f t="shared" si="234"/>
        <v>0</v>
      </c>
      <c r="U1065" s="58">
        <f t="shared" si="235"/>
        <v>0</v>
      </c>
      <c r="V1065" s="58">
        <f t="shared" si="236"/>
        <v>0</v>
      </c>
      <c r="W1065" s="58">
        <f t="shared" si="237"/>
        <v>0</v>
      </c>
      <c r="X1065" s="58">
        <f t="shared" si="238"/>
        <v>0</v>
      </c>
      <c r="Y1065" s="52">
        <f t="shared" si="239"/>
        <v>0</v>
      </c>
    </row>
    <row r="1066" spans="1:25" x14ac:dyDescent="0.25">
      <c r="A1066" s="1218" t="s">
        <v>120</v>
      </c>
      <c r="B1066" s="98">
        <v>45536</v>
      </c>
      <c r="C1066" s="117" t="str">
        <f t="shared" si="240"/>
        <v>4L</v>
      </c>
      <c r="D1066" s="96"/>
      <c r="E1066" s="98"/>
      <c r="F1066" s="98"/>
      <c r="I1066" s="99">
        <f t="shared" ref="I1066:I1134" si="241">IFERROR(G1066*H1066/1000,"")</f>
        <v>0</v>
      </c>
      <c r="L1066" s="99">
        <f t="shared" ref="L1066:L1134" si="242">IFERROR(J1066*K1066/1000,"")</f>
        <v>0</v>
      </c>
      <c r="M1066" s="44" t="str">
        <f t="shared" si="230"/>
        <v/>
      </c>
      <c r="N1066" s="100">
        <f t="shared" si="231"/>
        <v>0</v>
      </c>
      <c r="O1066" s="101">
        <f t="shared" si="232"/>
        <v>0</v>
      </c>
      <c r="P1066" s="52">
        <f t="shared" si="233"/>
        <v>0</v>
      </c>
      <c r="Q1066" s="49">
        <v>116.88487613461319</v>
      </c>
      <c r="R1066">
        <v>2225</v>
      </c>
      <c r="S1066" s="50">
        <f t="shared" ref="S1066:S1134" si="243">R1066*32.1507</f>
        <v>71535.307499999995</v>
      </c>
      <c r="T1066" s="50">
        <f t="shared" si="234"/>
        <v>0</v>
      </c>
      <c r="U1066" s="58">
        <f t="shared" si="235"/>
        <v>0</v>
      </c>
      <c r="V1066" s="58">
        <f t="shared" si="236"/>
        <v>0</v>
      </c>
      <c r="W1066" s="58">
        <f t="shared" si="237"/>
        <v>0</v>
      </c>
      <c r="X1066" s="58">
        <f t="shared" si="238"/>
        <v>0</v>
      </c>
      <c r="Y1066" s="52">
        <f t="shared" si="239"/>
        <v>0</v>
      </c>
    </row>
    <row r="1067" spans="1:25" x14ac:dyDescent="0.25">
      <c r="A1067" s="1218" t="s">
        <v>121</v>
      </c>
      <c r="B1067" s="98">
        <v>45536</v>
      </c>
      <c r="C1067" s="117" t="str">
        <f t="shared" si="240"/>
        <v>4L</v>
      </c>
      <c r="D1067" s="96"/>
      <c r="E1067" s="98"/>
      <c r="F1067" s="98"/>
      <c r="I1067" s="99">
        <f t="shared" si="241"/>
        <v>0</v>
      </c>
      <c r="L1067" s="99">
        <f t="shared" si="242"/>
        <v>0</v>
      </c>
      <c r="M1067" s="44" t="str">
        <f t="shared" si="230"/>
        <v/>
      </c>
      <c r="N1067" s="100">
        <f t="shared" si="231"/>
        <v>0</v>
      </c>
      <c r="O1067" s="101">
        <f t="shared" si="232"/>
        <v>0</v>
      </c>
      <c r="P1067" s="52">
        <f t="shared" si="233"/>
        <v>0</v>
      </c>
      <c r="Q1067" s="49">
        <v>116.88487613461319</v>
      </c>
      <c r="R1067">
        <v>2225</v>
      </c>
      <c r="S1067" s="50">
        <f t="shared" si="243"/>
        <v>71535.307499999995</v>
      </c>
      <c r="T1067" s="50">
        <f t="shared" si="234"/>
        <v>0</v>
      </c>
      <c r="U1067" s="58">
        <f t="shared" si="235"/>
        <v>0</v>
      </c>
      <c r="V1067" s="58">
        <f t="shared" si="236"/>
        <v>0</v>
      </c>
      <c r="W1067" s="58">
        <f t="shared" si="237"/>
        <v>0</v>
      </c>
      <c r="X1067" s="58">
        <f t="shared" si="238"/>
        <v>0</v>
      </c>
      <c r="Y1067" s="52">
        <f t="shared" si="239"/>
        <v>0</v>
      </c>
    </row>
    <row r="1068" spans="1:25" x14ac:dyDescent="0.25">
      <c r="A1068" s="1218" t="s">
        <v>122</v>
      </c>
      <c r="B1068" s="98">
        <v>45536</v>
      </c>
      <c r="C1068" s="117" t="str">
        <f t="shared" si="240"/>
        <v>4L</v>
      </c>
      <c r="D1068" s="96"/>
      <c r="E1068" s="98"/>
      <c r="F1068" s="98"/>
      <c r="I1068" s="99">
        <f t="shared" si="241"/>
        <v>0</v>
      </c>
      <c r="L1068" s="99">
        <f t="shared" si="242"/>
        <v>0</v>
      </c>
      <c r="M1068" s="44" t="str">
        <f t="shared" ref="M1068:M1136" si="244">IFERROR((L1068-I1068)/I1068,"")</f>
        <v/>
      </c>
      <c r="N1068" s="100">
        <f t="shared" ref="N1068:N1136" si="245">J1068-G1068</f>
        <v>0</v>
      </c>
      <c r="O1068" s="101">
        <f t="shared" ref="O1068:O1136" si="246">L1068-I1068</f>
        <v>0</v>
      </c>
      <c r="P1068" s="52">
        <f t="shared" ref="P1068:P1136" si="247">U1068-W1068</f>
        <v>0</v>
      </c>
      <c r="Q1068" s="49">
        <v>116.88487613461319</v>
      </c>
      <c r="R1068">
        <v>2225</v>
      </c>
      <c r="S1068" s="50">
        <f t="shared" si="243"/>
        <v>71535.307499999995</v>
      </c>
      <c r="T1068" s="50">
        <f t="shared" ref="T1068:T1136" si="248">IFERROR(S1068*I1068,"")</f>
        <v>0</v>
      </c>
      <c r="U1068" s="58">
        <f t="shared" ref="U1068:U1136" si="249">IFERROR(S1068*L1068,"")</f>
        <v>0</v>
      </c>
      <c r="V1068" s="58">
        <f t="shared" ref="V1068:V1136" si="250">IFERROR(Q1068*G1068,"")</f>
        <v>0</v>
      </c>
      <c r="W1068" s="58">
        <f t="shared" ref="W1068:W1136" si="251">IFERROR(Q1068*J1068,"")</f>
        <v>0</v>
      </c>
      <c r="X1068" s="58">
        <f t="shared" ref="X1068:X1136" si="252">T1068-V1068</f>
        <v>0</v>
      </c>
      <c r="Y1068" s="52">
        <f t="shared" ref="Y1068:Y1136" si="253">U1068-W1068</f>
        <v>0</v>
      </c>
    </row>
    <row r="1069" spans="1:25" x14ac:dyDescent="0.25">
      <c r="A1069" s="1218" t="s">
        <v>123</v>
      </c>
      <c r="B1069" s="98">
        <v>45536</v>
      </c>
      <c r="C1069" s="117" t="str">
        <f t="shared" si="240"/>
        <v>4L</v>
      </c>
      <c r="D1069" s="96"/>
      <c r="E1069" s="98"/>
      <c r="F1069" s="98"/>
      <c r="I1069" s="99">
        <f t="shared" si="241"/>
        <v>0</v>
      </c>
      <c r="L1069" s="99">
        <f t="shared" si="242"/>
        <v>0</v>
      </c>
      <c r="M1069" s="44" t="str">
        <f t="shared" si="244"/>
        <v/>
      </c>
      <c r="N1069" s="100">
        <f t="shared" si="245"/>
        <v>0</v>
      </c>
      <c r="O1069" s="101">
        <f t="shared" si="246"/>
        <v>0</v>
      </c>
      <c r="P1069" s="52">
        <f t="shared" si="247"/>
        <v>0</v>
      </c>
      <c r="Q1069" s="49">
        <v>116.88487613461319</v>
      </c>
      <c r="R1069">
        <v>2225</v>
      </c>
      <c r="S1069" s="50">
        <f t="shared" si="243"/>
        <v>71535.307499999995</v>
      </c>
      <c r="T1069" s="50">
        <f t="shared" si="248"/>
        <v>0</v>
      </c>
      <c r="U1069" s="58">
        <f t="shared" si="249"/>
        <v>0</v>
      </c>
      <c r="V1069" s="58">
        <f t="shared" si="250"/>
        <v>0</v>
      </c>
      <c r="W1069" s="58">
        <f t="shared" si="251"/>
        <v>0</v>
      </c>
      <c r="X1069" s="58">
        <f t="shared" si="252"/>
        <v>0</v>
      </c>
      <c r="Y1069" s="52">
        <f t="shared" si="253"/>
        <v>0</v>
      </c>
    </row>
    <row r="1070" spans="1:25" x14ac:dyDescent="0.25">
      <c r="A1070" s="1218" t="s">
        <v>124</v>
      </c>
      <c r="B1070" s="98">
        <v>45536</v>
      </c>
      <c r="C1070" s="117" t="str">
        <f t="shared" si="240"/>
        <v>4L</v>
      </c>
      <c r="D1070" s="96"/>
      <c r="E1070" s="98"/>
      <c r="F1070" s="98"/>
      <c r="I1070" s="99">
        <f t="shared" si="241"/>
        <v>0</v>
      </c>
      <c r="L1070" s="99">
        <f t="shared" si="242"/>
        <v>0</v>
      </c>
      <c r="M1070" s="44" t="str">
        <f t="shared" si="244"/>
        <v/>
      </c>
      <c r="N1070" s="100">
        <f t="shared" si="245"/>
        <v>0</v>
      </c>
      <c r="O1070" s="101">
        <f t="shared" si="246"/>
        <v>0</v>
      </c>
      <c r="P1070" s="52">
        <f t="shared" si="247"/>
        <v>0</v>
      </c>
      <c r="Q1070" s="49">
        <v>116.88487613461319</v>
      </c>
      <c r="R1070">
        <v>2225</v>
      </c>
      <c r="S1070" s="50">
        <f t="shared" si="243"/>
        <v>71535.307499999995</v>
      </c>
      <c r="T1070" s="50">
        <f t="shared" si="248"/>
        <v>0</v>
      </c>
      <c r="U1070" s="58">
        <f t="shared" si="249"/>
        <v>0</v>
      </c>
      <c r="V1070" s="58">
        <f t="shared" si="250"/>
        <v>0</v>
      </c>
      <c r="W1070" s="58">
        <f t="shared" si="251"/>
        <v>0</v>
      </c>
      <c r="X1070" s="58">
        <f t="shared" si="252"/>
        <v>0</v>
      </c>
      <c r="Y1070" s="52">
        <f t="shared" si="253"/>
        <v>0</v>
      </c>
    </row>
    <row r="1071" spans="1:25" x14ac:dyDescent="0.25">
      <c r="A1071" s="1218" t="s">
        <v>125</v>
      </c>
      <c r="B1071" s="98">
        <v>45536</v>
      </c>
      <c r="C1071" s="117" t="str">
        <f t="shared" ref="C1071:C1074" si="254">LEFT(A1071,2)</f>
        <v>4L</v>
      </c>
      <c r="D1071" s="96"/>
      <c r="E1071" s="98"/>
      <c r="F1071" s="98"/>
      <c r="I1071" s="99">
        <f t="shared" si="241"/>
        <v>0</v>
      </c>
      <c r="L1071" s="99">
        <f t="shared" si="242"/>
        <v>0</v>
      </c>
      <c r="M1071" s="44" t="str">
        <f t="shared" si="244"/>
        <v/>
      </c>
      <c r="N1071" s="100">
        <f t="shared" si="245"/>
        <v>0</v>
      </c>
      <c r="O1071" s="101">
        <f t="shared" si="246"/>
        <v>0</v>
      </c>
      <c r="P1071" s="52">
        <f t="shared" si="247"/>
        <v>0</v>
      </c>
      <c r="Q1071" s="49">
        <v>116.88487613461319</v>
      </c>
      <c r="R1071">
        <v>2225</v>
      </c>
      <c r="S1071" s="50">
        <f t="shared" si="243"/>
        <v>71535.307499999995</v>
      </c>
      <c r="T1071" s="50">
        <f t="shared" si="248"/>
        <v>0</v>
      </c>
      <c r="U1071" s="58">
        <f t="shared" si="249"/>
        <v>0</v>
      </c>
      <c r="V1071" s="58">
        <f t="shared" si="250"/>
        <v>0</v>
      </c>
      <c r="W1071" s="58">
        <f t="shared" si="251"/>
        <v>0</v>
      </c>
      <c r="X1071" s="58">
        <f t="shared" si="252"/>
        <v>0</v>
      </c>
      <c r="Y1071" s="52">
        <f t="shared" si="253"/>
        <v>0</v>
      </c>
    </row>
    <row r="1072" spans="1:25" x14ac:dyDescent="0.25">
      <c r="A1072" s="1218" t="s">
        <v>126</v>
      </c>
      <c r="B1072" s="98">
        <v>45536</v>
      </c>
      <c r="C1072" s="117" t="str">
        <f t="shared" si="254"/>
        <v>4L</v>
      </c>
      <c r="D1072" s="96"/>
      <c r="E1072" s="98"/>
      <c r="F1072" s="98"/>
      <c r="I1072" s="99"/>
      <c r="L1072" s="99"/>
      <c r="M1072" s="44"/>
      <c r="N1072" s="100"/>
      <c r="O1072" s="101"/>
      <c r="P1072" s="52"/>
      <c r="Q1072" s="49"/>
      <c r="S1072" s="50"/>
      <c r="T1072" s="50"/>
      <c r="U1072" s="58"/>
      <c r="V1072" s="58"/>
      <c r="W1072" s="58"/>
      <c r="X1072" s="58"/>
      <c r="Y1072" s="52"/>
    </row>
    <row r="1073" spans="1:25" x14ac:dyDescent="0.25">
      <c r="A1073" s="1218" t="s">
        <v>127</v>
      </c>
      <c r="B1073" s="98">
        <v>45536</v>
      </c>
      <c r="C1073" s="117" t="str">
        <f t="shared" si="254"/>
        <v>4L</v>
      </c>
      <c r="D1073" s="96"/>
      <c r="E1073" s="98"/>
      <c r="F1073" s="98"/>
      <c r="I1073" s="99"/>
      <c r="L1073" s="99"/>
      <c r="M1073" s="44"/>
      <c r="N1073" s="100"/>
      <c r="O1073" s="101"/>
      <c r="P1073" s="52"/>
      <c r="Q1073" s="49"/>
      <c r="S1073" s="50"/>
      <c r="T1073" s="50"/>
      <c r="U1073" s="58"/>
      <c r="V1073" s="58"/>
      <c r="W1073" s="58"/>
      <c r="X1073" s="58"/>
      <c r="Y1073" s="52"/>
    </row>
    <row r="1074" spans="1:25" x14ac:dyDescent="0.25">
      <c r="A1074" s="1218" t="s">
        <v>128</v>
      </c>
      <c r="B1074" s="98">
        <v>45536</v>
      </c>
      <c r="C1074" s="117" t="str">
        <f t="shared" si="254"/>
        <v>4L</v>
      </c>
      <c r="D1074" s="96"/>
      <c r="E1074" s="98"/>
      <c r="F1074" s="98"/>
      <c r="I1074" s="99"/>
      <c r="L1074" s="99"/>
      <c r="M1074" s="44"/>
      <c r="N1074" s="100"/>
      <c r="O1074" s="101"/>
      <c r="P1074" s="52"/>
      <c r="Q1074" s="49"/>
      <c r="S1074" s="50"/>
      <c r="T1074" s="50"/>
      <c r="U1074" s="58"/>
      <c r="V1074" s="58"/>
      <c r="W1074" s="58"/>
      <c r="X1074" s="58"/>
      <c r="Y1074" s="52"/>
    </row>
    <row r="1075" spans="1:25" x14ac:dyDescent="0.25">
      <c r="A1075" s="1218" t="s">
        <v>129</v>
      </c>
      <c r="B1075" s="98">
        <v>45536</v>
      </c>
      <c r="C1075" s="117" t="str">
        <f t="shared" si="240"/>
        <v>4L</v>
      </c>
      <c r="D1075" s="96"/>
      <c r="E1075" s="98"/>
      <c r="F1075" s="98"/>
      <c r="I1075" s="99">
        <f t="shared" si="241"/>
        <v>0</v>
      </c>
      <c r="L1075" s="99">
        <f t="shared" si="242"/>
        <v>0</v>
      </c>
      <c r="M1075" s="44" t="str">
        <f t="shared" si="244"/>
        <v/>
      </c>
      <c r="N1075" s="100">
        <f t="shared" si="245"/>
        <v>0</v>
      </c>
      <c r="O1075" s="101">
        <f t="shared" si="246"/>
        <v>0</v>
      </c>
      <c r="P1075" s="52">
        <f t="shared" si="247"/>
        <v>0</v>
      </c>
      <c r="Q1075" s="49">
        <v>116.88487613461319</v>
      </c>
      <c r="R1075">
        <v>2225</v>
      </c>
      <c r="S1075" s="50">
        <f t="shared" si="243"/>
        <v>71535.307499999995</v>
      </c>
      <c r="T1075" s="50">
        <f t="shared" si="248"/>
        <v>0</v>
      </c>
      <c r="U1075" s="58">
        <f t="shared" si="249"/>
        <v>0</v>
      </c>
      <c r="V1075" s="58">
        <f t="shared" si="250"/>
        <v>0</v>
      </c>
      <c r="W1075" s="58">
        <f t="shared" si="251"/>
        <v>0</v>
      </c>
      <c r="X1075" s="58">
        <f t="shared" si="252"/>
        <v>0</v>
      </c>
      <c r="Y1075" s="52">
        <f t="shared" si="253"/>
        <v>0</v>
      </c>
    </row>
    <row r="1076" spans="1:25" x14ac:dyDescent="0.25">
      <c r="A1076" s="1218" t="s">
        <v>130</v>
      </c>
      <c r="B1076" s="98">
        <v>45536</v>
      </c>
      <c r="C1076" s="117" t="str">
        <f t="shared" si="240"/>
        <v>5L</v>
      </c>
      <c r="D1076" s="96"/>
      <c r="E1076" s="98"/>
      <c r="F1076" s="98"/>
      <c r="I1076" s="99">
        <f t="shared" si="241"/>
        <v>0</v>
      </c>
      <c r="L1076" s="99">
        <f t="shared" si="242"/>
        <v>0</v>
      </c>
      <c r="M1076" s="44" t="str">
        <f t="shared" si="244"/>
        <v/>
      </c>
      <c r="N1076" s="100">
        <f t="shared" si="245"/>
        <v>0</v>
      </c>
      <c r="O1076" s="101">
        <f t="shared" si="246"/>
        <v>0</v>
      </c>
      <c r="P1076" s="52">
        <f t="shared" si="247"/>
        <v>0</v>
      </c>
      <c r="Q1076" s="49">
        <v>116.88487613461319</v>
      </c>
      <c r="R1076">
        <v>2225</v>
      </c>
      <c r="S1076" s="50">
        <f t="shared" si="243"/>
        <v>71535.307499999995</v>
      </c>
      <c r="T1076" s="50">
        <f t="shared" si="248"/>
        <v>0</v>
      </c>
      <c r="U1076" s="58">
        <f t="shared" si="249"/>
        <v>0</v>
      </c>
      <c r="V1076" s="58">
        <f t="shared" si="250"/>
        <v>0</v>
      </c>
      <c r="W1076" s="58">
        <f t="shared" si="251"/>
        <v>0</v>
      </c>
      <c r="X1076" s="58">
        <f t="shared" si="252"/>
        <v>0</v>
      </c>
      <c r="Y1076" s="52">
        <f t="shared" si="253"/>
        <v>0</v>
      </c>
    </row>
    <row r="1077" spans="1:25" x14ac:dyDescent="0.25">
      <c r="A1077" s="1218" t="s">
        <v>131</v>
      </c>
      <c r="B1077" s="98">
        <v>45536</v>
      </c>
      <c r="C1077" s="117" t="str">
        <f t="shared" si="240"/>
        <v>5L</v>
      </c>
      <c r="D1077" s="96"/>
      <c r="E1077" s="98"/>
      <c r="F1077" s="98"/>
      <c r="I1077" s="99">
        <f t="shared" si="241"/>
        <v>0</v>
      </c>
      <c r="L1077" s="99">
        <f t="shared" si="242"/>
        <v>0</v>
      </c>
      <c r="M1077" s="44" t="str">
        <f t="shared" si="244"/>
        <v/>
      </c>
      <c r="N1077" s="100">
        <f t="shared" si="245"/>
        <v>0</v>
      </c>
      <c r="O1077" s="101">
        <f t="shared" si="246"/>
        <v>0</v>
      </c>
      <c r="P1077" s="52">
        <f t="shared" si="247"/>
        <v>0</v>
      </c>
      <c r="Q1077" s="49">
        <v>116.88487613461319</v>
      </c>
      <c r="R1077">
        <v>2225</v>
      </c>
      <c r="S1077" s="50">
        <f t="shared" si="243"/>
        <v>71535.307499999995</v>
      </c>
      <c r="T1077" s="50">
        <f t="shared" si="248"/>
        <v>0</v>
      </c>
      <c r="U1077" s="58">
        <f t="shared" si="249"/>
        <v>0</v>
      </c>
      <c r="V1077" s="58">
        <f t="shared" si="250"/>
        <v>0</v>
      </c>
      <c r="W1077" s="58">
        <f t="shared" si="251"/>
        <v>0</v>
      </c>
      <c r="X1077" s="58">
        <f t="shared" si="252"/>
        <v>0</v>
      </c>
      <c r="Y1077" s="52">
        <f t="shared" si="253"/>
        <v>0</v>
      </c>
    </row>
    <row r="1078" spans="1:25" x14ac:dyDescent="0.25">
      <c r="A1078" s="1218" t="s">
        <v>132</v>
      </c>
      <c r="B1078" s="98">
        <v>45536</v>
      </c>
      <c r="C1078" s="117" t="str">
        <f t="shared" si="240"/>
        <v>5L</v>
      </c>
      <c r="D1078" s="96"/>
      <c r="E1078" s="98"/>
      <c r="F1078" s="98"/>
      <c r="I1078" s="99">
        <f t="shared" si="241"/>
        <v>0</v>
      </c>
      <c r="L1078" s="99">
        <f t="shared" si="242"/>
        <v>0</v>
      </c>
      <c r="M1078" s="44" t="str">
        <f t="shared" si="244"/>
        <v/>
      </c>
      <c r="N1078" s="100">
        <f t="shared" si="245"/>
        <v>0</v>
      </c>
      <c r="O1078" s="101">
        <f t="shared" si="246"/>
        <v>0</v>
      </c>
      <c r="P1078" s="52">
        <f t="shared" si="247"/>
        <v>0</v>
      </c>
      <c r="Q1078" s="49">
        <v>116.88487613461319</v>
      </c>
      <c r="R1078">
        <v>2225</v>
      </c>
      <c r="S1078" s="50">
        <f t="shared" si="243"/>
        <v>71535.307499999995</v>
      </c>
      <c r="T1078" s="50">
        <f t="shared" si="248"/>
        <v>0</v>
      </c>
      <c r="U1078" s="58">
        <f t="shared" si="249"/>
        <v>0</v>
      </c>
      <c r="V1078" s="58">
        <f t="shared" si="250"/>
        <v>0</v>
      </c>
      <c r="W1078" s="58">
        <f t="shared" si="251"/>
        <v>0</v>
      </c>
      <c r="X1078" s="58">
        <f t="shared" si="252"/>
        <v>0</v>
      </c>
      <c r="Y1078" s="52">
        <f t="shared" si="253"/>
        <v>0</v>
      </c>
    </row>
    <row r="1079" spans="1:25" x14ac:dyDescent="0.25">
      <c r="A1079" s="1218" t="s">
        <v>133</v>
      </c>
      <c r="B1079" s="98">
        <v>45536</v>
      </c>
      <c r="C1079" s="117" t="str">
        <f t="shared" si="240"/>
        <v>5L</v>
      </c>
      <c r="D1079" s="96"/>
      <c r="E1079" s="98"/>
      <c r="F1079" s="98"/>
      <c r="I1079" s="99">
        <f t="shared" si="241"/>
        <v>0</v>
      </c>
      <c r="L1079" s="99">
        <f t="shared" si="242"/>
        <v>0</v>
      </c>
      <c r="M1079" s="44" t="str">
        <f t="shared" si="244"/>
        <v/>
      </c>
      <c r="N1079" s="100">
        <f t="shared" si="245"/>
        <v>0</v>
      </c>
      <c r="O1079" s="101">
        <f t="shared" si="246"/>
        <v>0</v>
      </c>
      <c r="P1079" s="52">
        <f t="shared" si="247"/>
        <v>0</v>
      </c>
      <c r="Q1079" s="49">
        <v>116.88487613461319</v>
      </c>
      <c r="R1079">
        <v>2225</v>
      </c>
      <c r="S1079" s="50">
        <f t="shared" si="243"/>
        <v>71535.307499999995</v>
      </c>
      <c r="T1079" s="50">
        <f t="shared" si="248"/>
        <v>0</v>
      </c>
      <c r="U1079" s="58">
        <f t="shared" si="249"/>
        <v>0</v>
      </c>
      <c r="V1079" s="58">
        <f t="shared" si="250"/>
        <v>0</v>
      </c>
      <c r="W1079" s="58">
        <f t="shared" si="251"/>
        <v>0</v>
      </c>
      <c r="X1079" s="58">
        <f t="shared" si="252"/>
        <v>0</v>
      </c>
      <c r="Y1079" s="52">
        <f t="shared" si="253"/>
        <v>0</v>
      </c>
    </row>
    <row r="1080" spans="1:25" x14ac:dyDescent="0.25">
      <c r="A1080" s="1218" t="s">
        <v>134</v>
      </c>
      <c r="B1080" s="98">
        <v>45536</v>
      </c>
      <c r="C1080" s="117" t="str">
        <f t="shared" si="240"/>
        <v>5L</v>
      </c>
      <c r="D1080" s="96"/>
      <c r="E1080" s="98"/>
      <c r="F1080" s="98"/>
      <c r="I1080" s="99">
        <f t="shared" si="241"/>
        <v>0</v>
      </c>
      <c r="L1080" s="99">
        <f t="shared" si="242"/>
        <v>0</v>
      </c>
      <c r="M1080" s="44" t="str">
        <f t="shared" si="244"/>
        <v/>
      </c>
      <c r="N1080" s="100">
        <f t="shared" si="245"/>
        <v>0</v>
      </c>
      <c r="O1080" s="101">
        <f t="shared" si="246"/>
        <v>0</v>
      </c>
      <c r="P1080" s="52">
        <f t="shared" si="247"/>
        <v>0</v>
      </c>
      <c r="Q1080" s="49">
        <v>116.88487613461319</v>
      </c>
      <c r="R1080">
        <v>2225</v>
      </c>
      <c r="S1080" s="50">
        <f t="shared" si="243"/>
        <v>71535.307499999995</v>
      </c>
      <c r="T1080" s="50">
        <f t="shared" si="248"/>
        <v>0</v>
      </c>
      <c r="U1080" s="58">
        <f t="shared" si="249"/>
        <v>0</v>
      </c>
      <c r="V1080" s="58">
        <f t="shared" si="250"/>
        <v>0</v>
      </c>
      <c r="W1080" s="58">
        <f t="shared" si="251"/>
        <v>0</v>
      </c>
      <c r="X1080" s="58">
        <f t="shared" si="252"/>
        <v>0</v>
      </c>
      <c r="Y1080" s="52">
        <f t="shared" si="253"/>
        <v>0</v>
      </c>
    </row>
    <row r="1081" spans="1:25" x14ac:dyDescent="0.25">
      <c r="A1081" s="1218" t="s">
        <v>135</v>
      </c>
      <c r="B1081" s="98">
        <v>45536</v>
      </c>
      <c r="C1081" s="117" t="str">
        <f t="shared" si="240"/>
        <v>5L</v>
      </c>
      <c r="D1081" s="96"/>
      <c r="E1081" s="98"/>
      <c r="F1081" s="98"/>
      <c r="I1081" s="99">
        <f t="shared" si="241"/>
        <v>0</v>
      </c>
      <c r="L1081" s="99">
        <f t="shared" si="242"/>
        <v>0</v>
      </c>
      <c r="M1081" s="44" t="str">
        <f t="shared" si="244"/>
        <v/>
      </c>
      <c r="N1081" s="100">
        <f t="shared" si="245"/>
        <v>0</v>
      </c>
      <c r="O1081" s="101">
        <f t="shared" si="246"/>
        <v>0</v>
      </c>
      <c r="P1081" s="52">
        <f t="shared" si="247"/>
        <v>0</v>
      </c>
      <c r="Q1081" s="49">
        <v>116.88487613461319</v>
      </c>
      <c r="R1081">
        <v>2225</v>
      </c>
      <c r="S1081" s="50">
        <f t="shared" si="243"/>
        <v>71535.307499999995</v>
      </c>
      <c r="T1081" s="50">
        <f t="shared" si="248"/>
        <v>0</v>
      </c>
      <c r="U1081" s="58">
        <f t="shared" si="249"/>
        <v>0</v>
      </c>
      <c r="V1081" s="58">
        <f t="shared" si="250"/>
        <v>0</v>
      </c>
      <c r="W1081" s="58">
        <f t="shared" si="251"/>
        <v>0</v>
      </c>
      <c r="X1081" s="58">
        <f t="shared" si="252"/>
        <v>0</v>
      </c>
      <c r="Y1081" s="52">
        <f t="shared" si="253"/>
        <v>0</v>
      </c>
    </row>
    <row r="1082" spans="1:25" x14ac:dyDescent="0.25">
      <c r="A1082" s="1218" t="s">
        <v>136</v>
      </c>
      <c r="B1082" s="98">
        <v>45536</v>
      </c>
      <c r="C1082" s="117" t="str">
        <f t="shared" si="240"/>
        <v>5L</v>
      </c>
      <c r="D1082" s="96"/>
      <c r="E1082" s="98"/>
      <c r="F1082" s="98"/>
      <c r="I1082" s="99">
        <f t="shared" si="241"/>
        <v>0</v>
      </c>
      <c r="L1082" s="99">
        <f t="shared" si="242"/>
        <v>0</v>
      </c>
      <c r="M1082" s="44" t="str">
        <f t="shared" si="244"/>
        <v/>
      </c>
      <c r="N1082" s="100">
        <f t="shared" si="245"/>
        <v>0</v>
      </c>
      <c r="O1082" s="101">
        <f t="shared" si="246"/>
        <v>0</v>
      </c>
      <c r="P1082" s="52">
        <f t="shared" si="247"/>
        <v>0</v>
      </c>
      <c r="Q1082" s="49">
        <v>116.88487613461319</v>
      </c>
      <c r="R1082">
        <v>2225</v>
      </c>
      <c r="S1082" s="50">
        <f t="shared" si="243"/>
        <v>71535.307499999995</v>
      </c>
      <c r="T1082" s="50">
        <f t="shared" si="248"/>
        <v>0</v>
      </c>
      <c r="U1082" s="58">
        <f t="shared" si="249"/>
        <v>0</v>
      </c>
      <c r="V1082" s="58">
        <f t="shared" si="250"/>
        <v>0</v>
      </c>
      <c r="W1082" s="58">
        <f t="shared" si="251"/>
        <v>0</v>
      </c>
      <c r="X1082" s="58">
        <f t="shared" si="252"/>
        <v>0</v>
      </c>
      <c r="Y1082" s="52">
        <f t="shared" si="253"/>
        <v>0</v>
      </c>
    </row>
    <row r="1083" spans="1:25" x14ac:dyDescent="0.25">
      <c r="A1083" s="1218" t="s">
        <v>137</v>
      </c>
      <c r="B1083" s="98">
        <v>45536</v>
      </c>
      <c r="C1083" s="117" t="str">
        <f t="shared" si="240"/>
        <v>5L</v>
      </c>
      <c r="D1083" s="96"/>
      <c r="E1083" s="98"/>
      <c r="F1083" s="98"/>
      <c r="I1083" s="99">
        <f t="shared" si="241"/>
        <v>0</v>
      </c>
      <c r="L1083" s="99">
        <f t="shared" si="242"/>
        <v>0</v>
      </c>
      <c r="M1083" s="44" t="str">
        <f t="shared" si="244"/>
        <v/>
      </c>
      <c r="N1083" s="100">
        <f t="shared" si="245"/>
        <v>0</v>
      </c>
      <c r="O1083" s="101">
        <f t="shared" si="246"/>
        <v>0</v>
      </c>
      <c r="P1083" s="52">
        <f t="shared" si="247"/>
        <v>0</v>
      </c>
      <c r="Q1083" s="49">
        <v>116.88487613461319</v>
      </c>
      <c r="R1083">
        <v>2225</v>
      </c>
      <c r="S1083" s="50">
        <f t="shared" si="243"/>
        <v>71535.307499999995</v>
      </c>
      <c r="T1083" s="50">
        <f t="shared" si="248"/>
        <v>0</v>
      </c>
      <c r="U1083" s="58">
        <f t="shared" si="249"/>
        <v>0</v>
      </c>
      <c r="V1083" s="58">
        <f t="shared" si="250"/>
        <v>0</v>
      </c>
      <c r="W1083" s="58">
        <f t="shared" si="251"/>
        <v>0</v>
      </c>
      <c r="X1083" s="58">
        <f t="shared" si="252"/>
        <v>0</v>
      </c>
      <c r="Y1083" s="52">
        <f t="shared" si="253"/>
        <v>0</v>
      </c>
    </row>
    <row r="1084" spans="1:25" x14ac:dyDescent="0.25">
      <c r="A1084" s="1218" t="s">
        <v>138</v>
      </c>
      <c r="B1084" s="98">
        <v>45536</v>
      </c>
      <c r="C1084" s="117" t="str">
        <f t="shared" si="240"/>
        <v>5L</v>
      </c>
      <c r="D1084" s="96"/>
      <c r="E1084" s="98"/>
      <c r="F1084" s="98"/>
      <c r="I1084" s="99">
        <f t="shared" si="241"/>
        <v>0</v>
      </c>
      <c r="L1084" s="99">
        <f t="shared" si="242"/>
        <v>0</v>
      </c>
      <c r="M1084" s="44" t="str">
        <f t="shared" si="244"/>
        <v/>
      </c>
      <c r="N1084" s="100">
        <f t="shared" si="245"/>
        <v>0</v>
      </c>
      <c r="O1084" s="101">
        <f t="shared" si="246"/>
        <v>0</v>
      </c>
      <c r="P1084" s="52">
        <f t="shared" si="247"/>
        <v>0</v>
      </c>
      <c r="Q1084" s="49">
        <v>116.88487613461319</v>
      </c>
      <c r="R1084">
        <v>2225</v>
      </c>
      <c r="S1084" s="50">
        <f t="shared" si="243"/>
        <v>71535.307499999995</v>
      </c>
      <c r="T1084" s="50">
        <f t="shared" si="248"/>
        <v>0</v>
      </c>
      <c r="U1084" s="58">
        <f t="shared" si="249"/>
        <v>0</v>
      </c>
      <c r="V1084" s="58">
        <f t="shared" si="250"/>
        <v>0</v>
      </c>
      <c r="W1084" s="58">
        <f t="shared" si="251"/>
        <v>0</v>
      </c>
      <c r="X1084" s="58">
        <f t="shared" si="252"/>
        <v>0</v>
      </c>
      <c r="Y1084" s="52">
        <f t="shared" si="253"/>
        <v>0</v>
      </c>
    </row>
    <row r="1085" spans="1:25" x14ac:dyDescent="0.25">
      <c r="A1085" s="1218" t="s">
        <v>139</v>
      </c>
      <c r="B1085" s="98">
        <v>45536</v>
      </c>
      <c r="C1085" s="117" t="str">
        <f t="shared" si="240"/>
        <v>5L</v>
      </c>
      <c r="D1085" s="96"/>
      <c r="E1085" s="98"/>
      <c r="F1085" s="98"/>
      <c r="I1085" s="99">
        <f t="shared" si="241"/>
        <v>0</v>
      </c>
      <c r="L1085" s="99">
        <f t="shared" si="242"/>
        <v>0</v>
      </c>
      <c r="M1085" s="44" t="str">
        <f t="shared" si="244"/>
        <v/>
      </c>
      <c r="N1085" s="100">
        <f t="shared" si="245"/>
        <v>0</v>
      </c>
      <c r="O1085" s="101">
        <f t="shared" si="246"/>
        <v>0</v>
      </c>
      <c r="P1085" s="52">
        <f t="shared" si="247"/>
        <v>0</v>
      </c>
      <c r="Q1085" s="49">
        <v>116.88487613461319</v>
      </c>
      <c r="R1085">
        <v>2225</v>
      </c>
      <c r="S1085" s="50">
        <f t="shared" si="243"/>
        <v>71535.307499999995</v>
      </c>
      <c r="T1085" s="50">
        <f t="shared" si="248"/>
        <v>0</v>
      </c>
      <c r="U1085" s="58">
        <f t="shared" si="249"/>
        <v>0</v>
      </c>
      <c r="V1085" s="58">
        <f t="shared" si="250"/>
        <v>0</v>
      </c>
      <c r="W1085" s="58">
        <f t="shared" si="251"/>
        <v>0</v>
      </c>
      <c r="X1085" s="58">
        <f t="shared" si="252"/>
        <v>0</v>
      </c>
      <c r="Y1085" s="52">
        <f t="shared" si="253"/>
        <v>0</v>
      </c>
    </row>
    <row r="1086" spans="1:25" x14ac:dyDescent="0.25">
      <c r="A1086" s="1218" t="s">
        <v>140</v>
      </c>
      <c r="B1086" s="98">
        <v>45536</v>
      </c>
      <c r="C1086" s="117" t="str">
        <f t="shared" si="240"/>
        <v>5L</v>
      </c>
      <c r="D1086" s="96"/>
      <c r="E1086" s="98"/>
      <c r="F1086" s="98"/>
      <c r="G1086" s="55"/>
      <c r="H1086" s="55"/>
      <c r="I1086" s="99">
        <f t="shared" si="241"/>
        <v>0</v>
      </c>
      <c r="J1086" s="55"/>
      <c r="K1086" s="55"/>
      <c r="L1086" s="99">
        <f t="shared" si="242"/>
        <v>0</v>
      </c>
      <c r="M1086" s="44" t="str">
        <f t="shared" si="244"/>
        <v/>
      </c>
      <c r="N1086" s="100">
        <f t="shared" si="245"/>
        <v>0</v>
      </c>
      <c r="O1086" s="101">
        <f t="shared" si="246"/>
        <v>0</v>
      </c>
      <c r="P1086" s="52">
        <f t="shared" si="247"/>
        <v>0</v>
      </c>
      <c r="Q1086" s="49">
        <v>116.88487613461319</v>
      </c>
      <c r="R1086">
        <v>2225</v>
      </c>
      <c r="S1086" s="50">
        <f t="shared" si="243"/>
        <v>71535.307499999995</v>
      </c>
      <c r="T1086" s="50">
        <f t="shared" si="248"/>
        <v>0</v>
      </c>
      <c r="U1086" s="58">
        <f t="shared" si="249"/>
        <v>0</v>
      </c>
      <c r="V1086" s="58">
        <f t="shared" si="250"/>
        <v>0</v>
      </c>
      <c r="W1086" s="58">
        <f t="shared" si="251"/>
        <v>0</v>
      </c>
      <c r="X1086" s="58">
        <f t="shared" si="252"/>
        <v>0</v>
      </c>
      <c r="Y1086" s="52">
        <f t="shared" si="253"/>
        <v>0</v>
      </c>
    </row>
    <row r="1087" spans="1:25" x14ac:dyDescent="0.25">
      <c r="A1087" s="1218" t="s">
        <v>141</v>
      </c>
      <c r="B1087" s="98">
        <v>45536</v>
      </c>
      <c r="C1087" s="117" t="str">
        <f t="shared" si="240"/>
        <v>5L</v>
      </c>
      <c r="D1087" s="96"/>
      <c r="E1087" s="98"/>
      <c r="F1087" s="98"/>
      <c r="G1087" s="55"/>
      <c r="H1087" s="55"/>
      <c r="I1087" s="99">
        <f t="shared" si="241"/>
        <v>0</v>
      </c>
      <c r="J1087" s="55"/>
      <c r="K1087" s="55"/>
      <c r="L1087" s="99">
        <f t="shared" si="242"/>
        <v>0</v>
      </c>
      <c r="M1087" s="44" t="str">
        <f t="shared" si="244"/>
        <v/>
      </c>
      <c r="N1087" s="100">
        <f t="shared" si="245"/>
        <v>0</v>
      </c>
      <c r="O1087" s="101">
        <f t="shared" si="246"/>
        <v>0</v>
      </c>
      <c r="P1087" s="52">
        <f t="shared" si="247"/>
        <v>0</v>
      </c>
      <c r="Q1087" s="49">
        <v>116.88487613461319</v>
      </c>
      <c r="R1087">
        <v>2225</v>
      </c>
      <c r="S1087" s="50">
        <f t="shared" si="243"/>
        <v>71535.307499999995</v>
      </c>
      <c r="T1087" s="50">
        <f t="shared" si="248"/>
        <v>0</v>
      </c>
      <c r="U1087" s="58">
        <f t="shared" si="249"/>
        <v>0</v>
      </c>
      <c r="V1087" s="58">
        <f t="shared" si="250"/>
        <v>0</v>
      </c>
      <c r="W1087" s="58">
        <f t="shared" si="251"/>
        <v>0</v>
      </c>
      <c r="X1087" s="58">
        <f t="shared" si="252"/>
        <v>0</v>
      </c>
      <c r="Y1087" s="52">
        <f t="shared" si="253"/>
        <v>0</v>
      </c>
    </row>
    <row r="1088" spans="1:25" x14ac:dyDescent="0.25">
      <c r="A1088" s="1218" t="s">
        <v>142</v>
      </c>
      <c r="B1088" s="98">
        <v>45536</v>
      </c>
      <c r="C1088" s="117" t="str">
        <f t="shared" si="240"/>
        <v>5L</v>
      </c>
      <c r="D1088" s="96"/>
      <c r="E1088" s="98"/>
      <c r="F1088" s="98"/>
      <c r="G1088" s="55"/>
      <c r="H1088" s="55"/>
      <c r="I1088" s="99">
        <f t="shared" si="241"/>
        <v>0</v>
      </c>
      <c r="J1088" s="55"/>
      <c r="K1088" s="55"/>
      <c r="L1088" s="99">
        <f t="shared" si="242"/>
        <v>0</v>
      </c>
      <c r="M1088" s="44" t="str">
        <f t="shared" si="244"/>
        <v/>
      </c>
      <c r="N1088" s="100">
        <f t="shared" si="245"/>
        <v>0</v>
      </c>
      <c r="O1088" s="101">
        <f t="shared" si="246"/>
        <v>0</v>
      </c>
      <c r="P1088" s="52">
        <f t="shared" si="247"/>
        <v>0</v>
      </c>
      <c r="Q1088" s="49">
        <v>116.88487613461319</v>
      </c>
      <c r="R1088">
        <v>2225</v>
      </c>
      <c r="S1088" s="50">
        <f t="shared" si="243"/>
        <v>71535.307499999995</v>
      </c>
      <c r="T1088" s="50">
        <f t="shared" si="248"/>
        <v>0</v>
      </c>
      <c r="U1088" s="58">
        <f t="shared" si="249"/>
        <v>0</v>
      </c>
      <c r="V1088" s="58">
        <f t="shared" si="250"/>
        <v>0</v>
      </c>
      <c r="W1088" s="58">
        <f t="shared" si="251"/>
        <v>0</v>
      </c>
      <c r="X1088" s="58">
        <f t="shared" si="252"/>
        <v>0</v>
      </c>
      <c r="Y1088" s="52">
        <f t="shared" si="253"/>
        <v>0</v>
      </c>
    </row>
    <row r="1089" spans="1:25" x14ac:dyDescent="0.25">
      <c r="A1089" s="1218" t="s">
        <v>143</v>
      </c>
      <c r="B1089" s="98">
        <v>45536</v>
      </c>
      <c r="C1089" s="117" t="str">
        <f t="shared" si="240"/>
        <v>5L</v>
      </c>
      <c r="D1089" s="96"/>
      <c r="E1089" s="98"/>
      <c r="F1089" s="98"/>
      <c r="G1089" s="55"/>
      <c r="H1089" s="55"/>
      <c r="I1089" s="99">
        <f t="shared" si="241"/>
        <v>0</v>
      </c>
      <c r="J1089" s="55"/>
      <c r="K1089" s="55"/>
      <c r="L1089" s="99">
        <f t="shared" si="242"/>
        <v>0</v>
      </c>
      <c r="M1089" s="44" t="str">
        <f t="shared" si="244"/>
        <v/>
      </c>
      <c r="N1089" s="100">
        <f t="shared" si="245"/>
        <v>0</v>
      </c>
      <c r="O1089" s="101">
        <f t="shared" si="246"/>
        <v>0</v>
      </c>
      <c r="P1089" s="52">
        <f t="shared" si="247"/>
        <v>0</v>
      </c>
      <c r="Q1089" s="49">
        <v>116.88487613461319</v>
      </c>
      <c r="R1089">
        <v>2225</v>
      </c>
      <c r="S1089" s="50">
        <f t="shared" si="243"/>
        <v>71535.307499999995</v>
      </c>
      <c r="T1089" s="50">
        <f t="shared" si="248"/>
        <v>0</v>
      </c>
      <c r="U1089" s="58">
        <f t="shared" si="249"/>
        <v>0</v>
      </c>
      <c r="V1089" s="58">
        <f t="shared" si="250"/>
        <v>0</v>
      </c>
      <c r="W1089" s="58">
        <f t="shared" si="251"/>
        <v>0</v>
      </c>
      <c r="X1089" s="58">
        <f t="shared" si="252"/>
        <v>0</v>
      </c>
      <c r="Y1089" s="52">
        <f t="shared" si="253"/>
        <v>0</v>
      </c>
    </row>
    <row r="1090" spans="1:25" x14ac:dyDescent="0.25">
      <c r="A1090" s="1218" t="s">
        <v>144</v>
      </c>
      <c r="B1090" s="98">
        <v>45536</v>
      </c>
      <c r="C1090" s="117" t="str">
        <f t="shared" si="240"/>
        <v>5L</v>
      </c>
      <c r="D1090" s="96"/>
      <c r="E1090" s="98"/>
      <c r="F1090" s="98"/>
      <c r="G1090" s="55"/>
      <c r="H1090" s="55"/>
      <c r="I1090" s="99">
        <f t="shared" si="241"/>
        <v>0</v>
      </c>
      <c r="J1090" s="55"/>
      <c r="K1090" s="55"/>
      <c r="L1090" s="99">
        <f t="shared" si="242"/>
        <v>0</v>
      </c>
      <c r="M1090" s="44" t="str">
        <f t="shared" si="244"/>
        <v/>
      </c>
      <c r="N1090" s="100">
        <f t="shared" si="245"/>
        <v>0</v>
      </c>
      <c r="O1090" s="101">
        <f t="shared" si="246"/>
        <v>0</v>
      </c>
      <c r="P1090" s="52">
        <f t="shared" si="247"/>
        <v>0</v>
      </c>
      <c r="Q1090" s="49">
        <v>116.88487613461319</v>
      </c>
      <c r="R1090">
        <v>2225</v>
      </c>
      <c r="S1090" s="50">
        <f t="shared" si="243"/>
        <v>71535.307499999995</v>
      </c>
      <c r="T1090" s="50">
        <f t="shared" si="248"/>
        <v>0</v>
      </c>
      <c r="U1090" s="58">
        <f t="shared" si="249"/>
        <v>0</v>
      </c>
      <c r="V1090" s="58">
        <f t="shared" si="250"/>
        <v>0</v>
      </c>
      <c r="W1090" s="58">
        <f t="shared" si="251"/>
        <v>0</v>
      </c>
      <c r="X1090" s="58">
        <f t="shared" si="252"/>
        <v>0</v>
      </c>
      <c r="Y1090" s="52">
        <f t="shared" si="253"/>
        <v>0</v>
      </c>
    </row>
    <row r="1091" spans="1:25" x14ac:dyDescent="0.25">
      <c r="A1091" s="1218" t="s">
        <v>145</v>
      </c>
      <c r="B1091" s="98">
        <v>45536</v>
      </c>
      <c r="C1091" s="117" t="str">
        <f t="shared" si="240"/>
        <v>5L</v>
      </c>
      <c r="D1091" s="96"/>
      <c r="E1091" s="98"/>
      <c r="F1091" s="98"/>
      <c r="G1091" s="55"/>
      <c r="H1091" s="55"/>
      <c r="I1091" s="99">
        <f t="shared" si="241"/>
        <v>0</v>
      </c>
      <c r="J1091" s="55"/>
      <c r="K1091" s="55"/>
      <c r="L1091" s="99">
        <f t="shared" si="242"/>
        <v>0</v>
      </c>
      <c r="M1091" s="44" t="str">
        <f t="shared" si="244"/>
        <v/>
      </c>
      <c r="N1091" s="100">
        <f t="shared" si="245"/>
        <v>0</v>
      </c>
      <c r="O1091" s="101">
        <f t="shared" si="246"/>
        <v>0</v>
      </c>
      <c r="P1091" s="52">
        <f t="shared" si="247"/>
        <v>0</v>
      </c>
      <c r="Q1091" s="49">
        <v>116.88487613461319</v>
      </c>
      <c r="R1091">
        <v>2225</v>
      </c>
      <c r="S1091" s="50">
        <f t="shared" si="243"/>
        <v>71535.307499999995</v>
      </c>
      <c r="T1091" s="50">
        <f t="shared" si="248"/>
        <v>0</v>
      </c>
      <c r="U1091" s="58">
        <f t="shared" si="249"/>
        <v>0</v>
      </c>
      <c r="V1091" s="58">
        <f t="shared" si="250"/>
        <v>0</v>
      </c>
      <c r="W1091" s="58">
        <f t="shared" si="251"/>
        <v>0</v>
      </c>
      <c r="X1091" s="58">
        <f t="shared" si="252"/>
        <v>0</v>
      </c>
      <c r="Y1091" s="52">
        <f t="shared" si="253"/>
        <v>0</v>
      </c>
    </row>
    <row r="1092" spans="1:25" x14ac:dyDescent="0.25">
      <c r="A1092" s="1218" t="s">
        <v>146</v>
      </c>
      <c r="B1092" s="98">
        <v>45536</v>
      </c>
      <c r="C1092" s="117" t="str">
        <f t="shared" si="240"/>
        <v>5L</v>
      </c>
      <c r="D1092" s="96"/>
      <c r="E1092" s="98"/>
      <c r="F1092" s="98"/>
      <c r="G1092" s="55"/>
      <c r="H1092" s="55"/>
      <c r="I1092" s="99">
        <f t="shared" si="241"/>
        <v>0</v>
      </c>
      <c r="J1092" s="55"/>
      <c r="K1092" s="55"/>
      <c r="L1092" s="99">
        <f t="shared" si="242"/>
        <v>0</v>
      </c>
      <c r="M1092" s="44" t="str">
        <f t="shared" si="244"/>
        <v/>
      </c>
      <c r="N1092" s="100">
        <f t="shared" si="245"/>
        <v>0</v>
      </c>
      <c r="O1092" s="101">
        <f t="shared" si="246"/>
        <v>0</v>
      </c>
      <c r="P1092" s="52">
        <f t="shared" si="247"/>
        <v>0</v>
      </c>
      <c r="Q1092" s="49">
        <v>116.88487613461319</v>
      </c>
      <c r="R1092">
        <v>2225</v>
      </c>
      <c r="S1092" s="50">
        <f t="shared" si="243"/>
        <v>71535.307499999995</v>
      </c>
      <c r="T1092" s="50">
        <f t="shared" si="248"/>
        <v>0</v>
      </c>
      <c r="U1092" s="58">
        <f t="shared" si="249"/>
        <v>0</v>
      </c>
      <c r="V1092" s="58">
        <f t="shared" si="250"/>
        <v>0</v>
      </c>
      <c r="W1092" s="58">
        <f t="shared" si="251"/>
        <v>0</v>
      </c>
      <c r="X1092" s="58">
        <f t="shared" si="252"/>
        <v>0</v>
      </c>
      <c r="Y1092" s="52">
        <f t="shared" si="253"/>
        <v>0</v>
      </c>
    </row>
    <row r="1093" spans="1:25" x14ac:dyDescent="0.25">
      <c r="A1093" s="1218" t="s">
        <v>147</v>
      </c>
      <c r="B1093" s="98">
        <v>45536</v>
      </c>
      <c r="C1093" s="117" t="str">
        <f t="shared" si="240"/>
        <v>5L</v>
      </c>
      <c r="D1093" s="96"/>
      <c r="E1093" s="98"/>
      <c r="F1093" s="98"/>
      <c r="G1093" s="55"/>
      <c r="H1093" s="55"/>
      <c r="I1093" s="99">
        <f t="shared" si="241"/>
        <v>0</v>
      </c>
      <c r="J1093" s="55"/>
      <c r="K1093" s="55"/>
      <c r="L1093" s="99">
        <f t="shared" si="242"/>
        <v>0</v>
      </c>
      <c r="M1093" s="44" t="str">
        <f t="shared" si="244"/>
        <v/>
      </c>
      <c r="N1093" s="100">
        <f t="shared" si="245"/>
        <v>0</v>
      </c>
      <c r="O1093" s="101">
        <f t="shared" si="246"/>
        <v>0</v>
      </c>
      <c r="P1093" s="52">
        <f t="shared" si="247"/>
        <v>0</v>
      </c>
      <c r="Q1093" s="49">
        <v>116.88487613461319</v>
      </c>
      <c r="R1093">
        <v>2225</v>
      </c>
      <c r="S1093" s="50">
        <f t="shared" si="243"/>
        <v>71535.307499999995</v>
      </c>
      <c r="T1093" s="50">
        <f t="shared" si="248"/>
        <v>0</v>
      </c>
      <c r="U1093" s="58">
        <f t="shared" si="249"/>
        <v>0</v>
      </c>
      <c r="V1093" s="58">
        <f t="shared" si="250"/>
        <v>0</v>
      </c>
      <c r="W1093" s="58">
        <f t="shared" si="251"/>
        <v>0</v>
      </c>
      <c r="X1093" s="58">
        <f t="shared" si="252"/>
        <v>0</v>
      </c>
      <c r="Y1093" s="52">
        <f t="shared" si="253"/>
        <v>0</v>
      </c>
    </row>
    <row r="1094" spans="1:25" x14ac:dyDescent="0.25">
      <c r="A1094" s="1218" t="s">
        <v>148</v>
      </c>
      <c r="B1094" s="98">
        <v>45536</v>
      </c>
      <c r="C1094" s="117" t="str">
        <f t="shared" si="240"/>
        <v>5L</v>
      </c>
      <c r="D1094" s="96"/>
      <c r="E1094" s="98"/>
      <c r="F1094" s="98"/>
      <c r="G1094" s="55"/>
      <c r="H1094" s="55"/>
      <c r="I1094" s="99">
        <f t="shared" si="241"/>
        <v>0</v>
      </c>
      <c r="J1094" s="55"/>
      <c r="K1094" s="55"/>
      <c r="L1094" s="99">
        <f t="shared" si="242"/>
        <v>0</v>
      </c>
      <c r="M1094" s="44" t="str">
        <f t="shared" si="244"/>
        <v/>
      </c>
      <c r="N1094" s="100">
        <f t="shared" si="245"/>
        <v>0</v>
      </c>
      <c r="O1094" s="101">
        <f t="shared" si="246"/>
        <v>0</v>
      </c>
      <c r="P1094" s="52">
        <f t="shared" si="247"/>
        <v>0</v>
      </c>
      <c r="Q1094" s="49">
        <v>116.88487613461319</v>
      </c>
      <c r="R1094">
        <v>2225</v>
      </c>
      <c r="S1094" s="50">
        <f t="shared" si="243"/>
        <v>71535.307499999995</v>
      </c>
      <c r="T1094" s="50">
        <f t="shared" si="248"/>
        <v>0</v>
      </c>
      <c r="U1094" s="58">
        <f t="shared" si="249"/>
        <v>0</v>
      </c>
      <c r="V1094" s="58">
        <f t="shared" si="250"/>
        <v>0</v>
      </c>
      <c r="W1094" s="58">
        <f t="shared" si="251"/>
        <v>0</v>
      </c>
      <c r="X1094" s="58">
        <f t="shared" si="252"/>
        <v>0</v>
      </c>
      <c r="Y1094" s="52">
        <f t="shared" si="253"/>
        <v>0</v>
      </c>
    </row>
    <row r="1095" spans="1:25" x14ac:dyDescent="0.25">
      <c r="A1095" s="1218" t="s">
        <v>149</v>
      </c>
      <c r="B1095" s="98">
        <v>45536</v>
      </c>
      <c r="C1095" s="117" t="str">
        <f t="shared" si="240"/>
        <v>5L</v>
      </c>
      <c r="D1095" s="96"/>
      <c r="E1095" s="98"/>
      <c r="F1095" s="98"/>
      <c r="G1095" s="55"/>
      <c r="H1095" s="55"/>
      <c r="I1095" s="99">
        <f t="shared" si="241"/>
        <v>0</v>
      </c>
      <c r="J1095" s="55"/>
      <c r="K1095" s="55"/>
      <c r="L1095" s="99">
        <f t="shared" si="242"/>
        <v>0</v>
      </c>
      <c r="M1095" s="44" t="str">
        <f t="shared" si="244"/>
        <v/>
      </c>
      <c r="N1095" s="100">
        <f t="shared" si="245"/>
        <v>0</v>
      </c>
      <c r="O1095" s="101">
        <f t="shared" si="246"/>
        <v>0</v>
      </c>
      <c r="P1095" s="52">
        <f t="shared" si="247"/>
        <v>0</v>
      </c>
      <c r="Q1095" s="49">
        <v>116.88487613461319</v>
      </c>
      <c r="R1095">
        <v>2225</v>
      </c>
      <c r="S1095" s="50">
        <f t="shared" si="243"/>
        <v>71535.307499999995</v>
      </c>
      <c r="T1095" s="50">
        <f t="shared" si="248"/>
        <v>0</v>
      </c>
      <c r="U1095" s="58">
        <f t="shared" si="249"/>
        <v>0</v>
      </c>
      <c r="V1095" s="58">
        <f t="shared" si="250"/>
        <v>0</v>
      </c>
      <c r="W1095" s="58">
        <f t="shared" si="251"/>
        <v>0</v>
      </c>
      <c r="X1095" s="58">
        <f t="shared" si="252"/>
        <v>0</v>
      </c>
      <c r="Y1095" s="52">
        <f t="shared" si="253"/>
        <v>0</v>
      </c>
    </row>
    <row r="1096" spans="1:25" x14ac:dyDescent="0.25">
      <c r="A1096" s="1218" t="s">
        <v>150</v>
      </c>
      <c r="B1096" s="98">
        <v>45536</v>
      </c>
      <c r="C1096" s="117" t="str">
        <f t="shared" si="240"/>
        <v>6L</v>
      </c>
      <c r="D1096" s="96"/>
      <c r="E1096" s="98"/>
      <c r="F1096" s="98"/>
      <c r="I1096" s="99">
        <f t="shared" si="241"/>
        <v>0</v>
      </c>
      <c r="L1096" s="99">
        <f t="shared" si="242"/>
        <v>0</v>
      </c>
      <c r="M1096" s="44" t="str">
        <f t="shared" si="244"/>
        <v/>
      </c>
      <c r="N1096" s="100">
        <f t="shared" si="245"/>
        <v>0</v>
      </c>
      <c r="O1096" s="101">
        <f t="shared" si="246"/>
        <v>0</v>
      </c>
      <c r="P1096" s="52">
        <f t="shared" si="247"/>
        <v>0</v>
      </c>
      <c r="Q1096" s="49">
        <v>116.88487613461319</v>
      </c>
      <c r="R1096">
        <v>2225</v>
      </c>
      <c r="S1096" s="50">
        <f t="shared" si="243"/>
        <v>71535.307499999995</v>
      </c>
      <c r="T1096" s="50">
        <f t="shared" si="248"/>
        <v>0</v>
      </c>
      <c r="U1096" s="58">
        <f t="shared" si="249"/>
        <v>0</v>
      </c>
      <c r="V1096" s="58">
        <f t="shared" si="250"/>
        <v>0</v>
      </c>
      <c r="W1096" s="58">
        <f t="shared" si="251"/>
        <v>0</v>
      </c>
      <c r="X1096" s="58">
        <f t="shared" si="252"/>
        <v>0</v>
      </c>
      <c r="Y1096" s="52">
        <f t="shared" si="253"/>
        <v>0</v>
      </c>
    </row>
    <row r="1097" spans="1:25" x14ac:dyDescent="0.25">
      <c r="A1097" s="1218" t="s">
        <v>151</v>
      </c>
      <c r="B1097" s="98">
        <v>45536</v>
      </c>
      <c r="C1097" s="117" t="str">
        <f t="shared" si="240"/>
        <v>6L</v>
      </c>
      <c r="D1097" s="96"/>
      <c r="E1097" s="98"/>
      <c r="F1097" s="98"/>
      <c r="I1097" s="99">
        <f t="shared" si="241"/>
        <v>0</v>
      </c>
      <c r="L1097" s="99">
        <f t="shared" si="242"/>
        <v>0</v>
      </c>
      <c r="M1097" s="44" t="str">
        <f t="shared" si="244"/>
        <v/>
      </c>
      <c r="N1097" s="100">
        <f t="shared" si="245"/>
        <v>0</v>
      </c>
      <c r="O1097" s="101">
        <f t="shared" si="246"/>
        <v>0</v>
      </c>
      <c r="P1097" s="52">
        <f t="shared" si="247"/>
        <v>0</v>
      </c>
      <c r="Q1097" s="49">
        <v>116.88487613461319</v>
      </c>
      <c r="R1097">
        <v>2225</v>
      </c>
      <c r="S1097" s="50">
        <f t="shared" si="243"/>
        <v>71535.307499999995</v>
      </c>
      <c r="T1097" s="50">
        <f t="shared" si="248"/>
        <v>0</v>
      </c>
      <c r="U1097" s="58">
        <f t="shared" si="249"/>
        <v>0</v>
      </c>
      <c r="V1097" s="58">
        <f t="shared" si="250"/>
        <v>0</v>
      </c>
      <c r="W1097" s="58">
        <f t="shared" si="251"/>
        <v>0</v>
      </c>
      <c r="X1097" s="58">
        <f t="shared" si="252"/>
        <v>0</v>
      </c>
      <c r="Y1097" s="52">
        <f t="shared" si="253"/>
        <v>0</v>
      </c>
    </row>
    <row r="1098" spans="1:25" x14ac:dyDescent="0.25">
      <c r="A1098" s="1218" t="s">
        <v>152</v>
      </c>
      <c r="B1098" s="98">
        <v>45536</v>
      </c>
      <c r="C1098" s="117" t="str">
        <f t="shared" si="240"/>
        <v>6L</v>
      </c>
      <c r="D1098" s="96"/>
      <c r="E1098" s="98"/>
      <c r="F1098" s="98"/>
      <c r="I1098" s="99"/>
      <c r="L1098" s="99"/>
      <c r="M1098" s="44"/>
      <c r="N1098" s="100"/>
      <c r="O1098" s="101"/>
      <c r="P1098" s="52"/>
      <c r="Q1098" s="49"/>
      <c r="S1098" s="50"/>
      <c r="T1098" s="50"/>
      <c r="U1098" s="58"/>
      <c r="V1098" s="58"/>
      <c r="W1098" s="58"/>
      <c r="X1098" s="58"/>
      <c r="Y1098" s="52"/>
    </row>
    <row r="1099" spans="1:25" x14ac:dyDescent="0.25">
      <c r="A1099" s="1218" t="s">
        <v>153</v>
      </c>
      <c r="B1099" s="98">
        <v>45536</v>
      </c>
      <c r="C1099" s="117" t="str">
        <f t="shared" si="240"/>
        <v>6L</v>
      </c>
      <c r="D1099" s="96"/>
      <c r="E1099" s="98"/>
      <c r="F1099" s="98"/>
      <c r="I1099" s="99"/>
      <c r="L1099" s="99"/>
      <c r="M1099" s="44"/>
      <c r="N1099" s="100"/>
      <c r="O1099" s="101"/>
      <c r="P1099" s="52"/>
      <c r="Q1099" s="49"/>
      <c r="S1099" s="50"/>
      <c r="T1099" s="50"/>
      <c r="U1099" s="58"/>
      <c r="V1099" s="58"/>
      <c r="W1099" s="58"/>
      <c r="X1099" s="58"/>
      <c r="Y1099" s="52"/>
    </row>
    <row r="1100" spans="1:25" x14ac:dyDescent="0.25">
      <c r="A1100" s="1218" t="s">
        <v>154</v>
      </c>
      <c r="B1100" s="98">
        <v>45536</v>
      </c>
      <c r="C1100" s="117" t="str">
        <f t="shared" ref="C1100:C1163" si="255">LEFT(A1100,2)</f>
        <v>6L</v>
      </c>
      <c r="D1100" s="96"/>
      <c r="E1100" s="98"/>
      <c r="F1100" s="98"/>
      <c r="I1100" s="99"/>
      <c r="L1100" s="99"/>
      <c r="M1100" s="44"/>
      <c r="N1100" s="100"/>
      <c r="O1100" s="101"/>
      <c r="P1100" s="52"/>
      <c r="Q1100" s="49"/>
      <c r="S1100" s="50"/>
      <c r="T1100" s="50"/>
      <c r="U1100" s="58"/>
      <c r="V1100" s="58"/>
      <c r="W1100" s="58"/>
      <c r="X1100" s="58"/>
      <c r="Y1100" s="52"/>
    </row>
    <row r="1101" spans="1:25" x14ac:dyDescent="0.25">
      <c r="A1101" s="1218" t="s">
        <v>155</v>
      </c>
      <c r="B1101" s="98">
        <v>45536</v>
      </c>
      <c r="C1101" s="117" t="str">
        <f t="shared" si="255"/>
        <v>6L</v>
      </c>
      <c r="D1101" s="96"/>
      <c r="E1101" s="98"/>
      <c r="F1101" s="98"/>
      <c r="I1101" s="99">
        <f t="shared" si="241"/>
        <v>0</v>
      </c>
      <c r="L1101" s="99">
        <f t="shared" si="242"/>
        <v>0</v>
      </c>
      <c r="M1101" s="44" t="str">
        <f t="shared" si="244"/>
        <v/>
      </c>
      <c r="N1101" s="100">
        <f t="shared" si="245"/>
        <v>0</v>
      </c>
      <c r="O1101" s="101">
        <f t="shared" si="246"/>
        <v>0</v>
      </c>
      <c r="P1101" s="52">
        <f t="shared" si="247"/>
        <v>0</v>
      </c>
      <c r="Q1101" s="49">
        <v>116.88487613461319</v>
      </c>
      <c r="R1101">
        <v>2225</v>
      </c>
      <c r="S1101" s="50">
        <f t="shared" si="243"/>
        <v>71535.307499999995</v>
      </c>
      <c r="T1101" s="50">
        <f t="shared" si="248"/>
        <v>0</v>
      </c>
      <c r="U1101" s="58">
        <f t="shared" si="249"/>
        <v>0</v>
      </c>
      <c r="V1101" s="58">
        <f t="shared" si="250"/>
        <v>0</v>
      </c>
      <c r="W1101" s="58">
        <f t="shared" si="251"/>
        <v>0</v>
      </c>
      <c r="X1101" s="58">
        <f t="shared" si="252"/>
        <v>0</v>
      </c>
      <c r="Y1101" s="52">
        <f t="shared" si="253"/>
        <v>0</v>
      </c>
    </row>
    <row r="1102" spans="1:25" x14ac:dyDescent="0.25">
      <c r="A1102" s="1218" t="s">
        <v>156</v>
      </c>
      <c r="B1102" s="98">
        <v>45536</v>
      </c>
      <c r="C1102" s="117" t="str">
        <f t="shared" si="255"/>
        <v>6L</v>
      </c>
      <c r="D1102" s="96"/>
      <c r="E1102" s="98"/>
      <c r="F1102" s="98"/>
      <c r="I1102" s="99"/>
      <c r="L1102" s="99"/>
      <c r="M1102" s="44"/>
      <c r="N1102" s="100"/>
      <c r="O1102" s="101"/>
      <c r="P1102" s="52"/>
      <c r="Q1102" s="49"/>
      <c r="S1102" s="50"/>
      <c r="T1102" s="50"/>
      <c r="U1102" s="58"/>
      <c r="V1102" s="58"/>
      <c r="W1102" s="58"/>
      <c r="X1102" s="58"/>
      <c r="Y1102" s="52"/>
    </row>
    <row r="1103" spans="1:25" x14ac:dyDescent="0.25">
      <c r="A1103" s="1218" t="s">
        <v>157</v>
      </c>
      <c r="B1103" s="98">
        <v>45536</v>
      </c>
      <c r="C1103" s="117" t="str">
        <f t="shared" si="255"/>
        <v>6L</v>
      </c>
      <c r="D1103" s="96"/>
      <c r="E1103" s="98"/>
      <c r="F1103" s="98"/>
      <c r="I1103" s="99">
        <f t="shared" si="241"/>
        <v>0</v>
      </c>
      <c r="L1103" s="99">
        <f t="shared" si="242"/>
        <v>0</v>
      </c>
      <c r="M1103" s="44" t="str">
        <f t="shared" si="244"/>
        <v/>
      </c>
      <c r="N1103" s="100">
        <f t="shared" si="245"/>
        <v>0</v>
      </c>
      <c r="O1103" s="101">
        <f t="shared" si="246"/>
        <v>0</v>
      </c>
      <c r="P1103" s="52">
        <f t="shared" si="247"/>
        <v>0</v>
      </c>
      <c r="Q1103" s="49">
        <v>116.88487613461319</v>
      </c>
      <c r="R1103">
        <v>2225</v>
      </c>
      <c r="S1103" s="50">
        <f t="shared" si="243"/>
        <v>71535.307499999995</v>
      </c>
      <c r="T1103" s="50">
        <f t="shared" si="248"/>
        <v>0</v>
      </c>
      <c r="U1103" s="58">
        <f t="shared" si="249"/>
        <v>0</v>
      </c>
      <c r="V1103" s="58">
        <f t="shared" si="250"/>
        <v>0</v>
      </c>
      <c r="W1103" s="58">
        <f t="shared" si="251"/>
        <v>0</v>
      </c>
      <c r="X1103" s="58">
        <f t="shared" si="252"/>
        <v>0</v>
      </c>
      <c r="Y1103" s="52">
        <f t="shared" si="253"/>
        <v>0</v>
      </c>
    </row>
    <row r="1104" spans="1:25" x14ac:dyDescent="0.25">
      <c r="A1104" s="1218" t="s">
        <v>158</v>
      </c>
      <c r="B1104" s="98">
        <v>45536</v>
      </c>
      <c r="C1104" s="117" t="str">
        <f t="shared" si="255"/>
        <v>6L</v>
      </c>
      <c r="D1104" s="96"/>
      <c r="E1104" s="98"/>
      <c r="F1104" s="98"/>
      <c r="I1104" s="99">
        <f t="shared" si="241"/>
        <v>0</v>
      </c>
      <c r="L1104" s="99">
        <f t="shared" si="242"/>
        <v>0</v>
      </c>
      <c r="M1104" s="44" t="str">
        <f t="shared" si="244"/>
        <v/>
      </c>
      <c r="N1104" s="100">
        <f t="shared" si="245"/>
        <v>0</v>
      </c>
      <c r="O1104" s="101">
        <f t="shared" si="246"/>
        <v>0</v>
      </c>
      <c r="P1104" s="52">
        <f t="shared" si="247"/>
        <v>0</v>
      </c>
      <c r="Q1104" s="49">
        <v>116.88487613461319</v>
      </c>
      <c r="R1104">
        <v>2225</v>
      </c>
      <c r="S1104" s="50">
        <f t="shared" si="243"/>
        <v>71535.307499999995</v>
      </c>
      <c r="T1104" s="50">
        <f t="shared" si="248"/>
        <v>0</v>
      </c>
      <c r="U1104" s="58">
        <f t="shared" si="249"/>
        <v>0</v>
      </c>
      <c r="V1104" s="58">
        <f t="shared" si="250"/>
        <v>0</v>
      </c>
      <c r="W1104" s="58">
        <f t="shared" si="251"/>
        <v>0</v>
      </c>
      <c r="X1104" s="58">
        <f t="shared" si="252"/>
        <v>0</v>
      </c>
      <c r="Y1104" s="52">
        <f t="shared" si="253"/>
        <v>0</v>
      </c>
    </row>
    <row r="1105" spans="1:25" x14ac:dyDescent="0.25">
      <c r="A1105" s="1218" t="s">
        <v>159</v>
      </c>
      <c r="B1105" s="98">
        <v>45536</v>
      </c>
      <c r="C1105" s="117" t="str">
        <f t="shared" si="255"/>
        <v>6L</v>
      </c>
      <c r="D1105" s="96"/>
      <c r="E1105" s="98"/>
      <c r="F1105" s="98"/>
      <c r="I1105" s="99">
        <f t="shared" si="241"/>
        <v>0</v>
      </c>
      <c r="L1105" s="99">
        <f t="shared" si="242"/>
        <v>0</v>
      </c>
      <c r="M1105" s="44" t="str">
        <f t="shared" si="244"/>
        <v/>
      </c>
      <c r="N1105" s="100">
        <f t="shared" si="245"/>
        <v>0</v>
      </c>
      <c r="O1105" s="101">
        <f t="shared" si="246"/>
        <v>0</v>
      </c>
      <c r="P1105" s="52">
        <f t="shared" si="247"/>
        <v>0</v>
      </c>
      <c r="Q1105" s="49">
        <v>116.88487613461319</v>
      </c>
      <c r="R1105">
        <v>2225</v>
      </c>
      <c r="S1105" s="50">
        <f t="shared" si="243"/>
        <v>71535.307499999995</v>
      </c>
      <c r="T1105" s="50">
        <f t="shared" si="248"/>
        <v>0</v>
      </c>
      <c r="U1105" s="58">
        <f t="shared" si="249"/>
        <v>0</v>
      </c>
      <c r="V1105" s="58">
        <f t="shared" si="250"/>
        <v>0</v>
      </c>
      <c r="W1105" s="58">
        <f t="shared" si="251"/>
        <v>0</v>
      </c>
      <c r="X1105" s="58">
        <f t="shared" si="252"/>
        <v>0</v>
      </c>
      <c r="Y1105" s="52">
        <f t="shared" si="253"/>
        <v>0</v>
      </c>
    </row>
    <row r="1106" spans="1:25" x14ac:dyDescent="0.25">
      <c r="A1106" s="1218" t="s">
        <v>160</v>
      </c>
      <c r="B1106" s="98">
        <v>45536</v>
      </c>
      <c r="C1106" s="117" t="str">
        <f t="shared" si="255"/>
        <v>6L</v>
      </c>
      <c r="D1106" s="96"/>
      <c r="E1106" s="98"/>
      <c r="F1106" s="98"/>
      <c r="I1106" s="99">
        <f t="shared" si="241"/>
        <v>0</v>
      </c>
      <c r="L1106" s="99">
        <f t="shared" si="242"/>
        <v>0</v>
      </c>
      <c r="M1106" s="44" t="str">
        <f t="shared" si="244"/>
        <v/>
      </c>
      <c r="N1106" s="100">
        <f t="shared" si="245"/>
        <v>0</v>
      </c>
      <c r="O1106" s="101">
        <f t="shared" si="246"/>
        <v>0</v>
      </c>
      <c r="P1106" s="52">
        <f t="shared" si="247"/>
        <v>0</v>
      </c>
      <c r="Q1106" s="49">
        <v>116.88487613461319</v>
      </c>
      <c r="R1106">
        <v>2225</v>
      </c>
      <c r="S1106" s="50">
        <f t="shared" si="243"/>
        <v>71535.307499999995</v>
      </c>
      <c r="T1106" s="50">
        <f t="shared" si="248"/>
        <v>0</v>
      </c>
      <c r="U1106" s="58">
        <f t="shared" si="249"/>
        <v>0</v>
      </c>
      <c r="V1106" s="58">
        <f t="shared" si="250"/>
        <v>0</v>
      </c>
      <c r="W1106" s="58">
        <f t="shared" si="251"/>
        <v>0</v>
      </c>
      <c r="X1106" s="58">
        <f t="shared" si="252"/>
        <v>0</v>
      </c>
      <c r="Y1106" s="52">
        <f t="shared" si="253"/>
        <v>0</v>
      </c>
    </row>
    <row r="1107" spans="1:25" x14ac:dyDescent="0.25">
      <c r="A1107" s="1218" t="s">
        <v>161</v>
      </c>
      <c r="B1107" s="98">
        <v>45536</v>
      </c>
      <c r="C1107" s="117" t="str">
        <f t="shared" si="255"/>
        <v>6L</v>
      </c>
      <c r="D1107" s="96"/>
      <c r="E1107" s="98"/>
      <c r="F1107" s="98"/>
      <c r="I1107" s="99">
        <f t="shared" si="241"/>
        <v>0</v>
      </c>
      <c r="L1107" s="99">
        <f t="shared" si="242"/>
        <v>0</v>
      </c>
      <c r="M1107" s="44" t="str">
        <f t="shared" si="244"/>
        <v/>
      </c>
      <c r="N1107" s="100">
        <f t="shared" si="245"/>
        <v>0</v>
      </c>
      <c r="O1107" s="101">
        <f t="shared" si="246"/>
        <v>0</v>
      </c>
      <c r="P1107" s="52">
        <f t="shared" si="247"/>
        <v>0</v>
      </c>
      <c r="Q1107" s="49">
        <v>116.88487613461319</v>
      </c>
      <c r="R1107">
        <v>2225</v>
      </c>
      <c r="S1107" s="50">
        <f t="shared" si="243"/>
        <v>71535.307499999995</v>
      </c>
      <c r="T1107" s="50">
        <f t="shared" si="248"/>
        <v>0</v>
      </c>
      <c r="U1107" s="58">
        <f t="shared" si="249"/>
        <v>0</v>
      </c>
      <c r="V1107" s="58">
        <f t="shared" si="250"/>
        <v>0</v>
      </c>
      <c r="W1107" s="58">
        <f t="shared" si="251"/>
        <v>0</v>
      </c>
      <c r="X1107" s="58">
        <f t="shared" si="252"/>
        <v>0</v>
      </c>
      <c r="Y1107" s="52">
        <f t="shared" si="253"/>
        <v>0</v>
      </c>
    </row>
    <row r="1108" spans="1:25" x14ac:dyDescent="0.25">
      <c r="A1108" s="1218" t="s">
        <v>162</v>
      </c>
      <c r="B1108" s="98">
        <v>45536</v>
      </c>
      <c r="C1108" s="117" t="str">
        <f t="shared" si="255"/>
        <v>6L</v>
      </c>
      <c r="D1108" s="96"/>
      <c r="E1108" s="98"/>
      <c r="F1108" s="98"/>
      <c r="I1108" s="99">
        <f t="shared" si="241"/>
        <v>0</v>
      </c>
      <c r="L1108" s="99">
        <f t="shared" si="242"/>
        <v>0</v>
      </c>
      <c r="M1108" s="44" t="str">
        <f t="shared" si="244"/>
        <v/>
      </c>
      <c r="N1108" s="100">
        <f t="shared" si="245"/>
        <v>0</v>
      </c>
      <c r="O1108" s="101">
        <f t="shared" si="246"/>
        <v>0</v>
      </c>
      <c r="P1108" s="52">
        <f t="shared" si="247"/>
        <v>0</v>
      </c>
      <c r="Q1108" s="49">
        <v>116.88487613461319</v>
      </c>
      <c r="R1108">
        <v>2225</v>
      </c>
      <c r="S1108" s="50">
        <f t="shared" si="243"/>
        <v>71535.307499999995</v>
      </c>
      <c r="T1108" s="50">
        <f t="shared" si="248"/>
        <v>0</v>
      </c>
      <c r="U1108" s="58">
        <f t="shared" si="249"/>
        <v>0</v>
      </c>
      <c r="V1108" s="58">
        <f t="shared" si="250"/>
        <v>0</v>
      </c>
      <c r="W1108" s="58">
        <f t="shared" si="251"/>
        <v>0</v>
      </c>
      <c r="X1108" s="58">
        <f t="shared" si="252"/>
        <v>0</v>
      </c>
      <c r="Y1108" s="52">
        <f t="shared" si="253"/>
        <v>0</v>
      </c>
    </row>
    <row r="1109" spans="1:25" x14ac:dyDescent="0.25">
      <c r="A1109" s="1218" t="s">
        <v>163</v>
      </c>
      <c r="B1109" s="98">
        <v>45536</v>
      </c>
      <c r="C1109" s="117" t="str">
        <f t="shared" si="255"/>
        <v>6L</v>
      </c>
      <c r="D1109" s="96"/>
      <c r="E1109" s="98"/>
      <c r="F1109" s="98"/>
      <c r="I1109" s="99">
        <f t="shared" si="241"/>
        <v>0</v>
      </c>
      <c r="L1109" s="99">
        <f t="shared" si="242"/>
        <v>0</v>
      </c>
      <c r="M1109" s="44" t="str">
        <f t="shared" si="244"/>
        <v/>
      </c>
      <c r="N1109" s="100">
        <f t="shared" si="245"/>
        <v>0</v>
      </c>
      <c r="O1109" s="101">
        <f t="shared" si="246"/>
        <v>0</v>
      </c>
      <c r="P1109" s="52">
        <f t="shared" si="247"/>
        <v>0</v>
      </c>
      <c r="Q1109" s="49">
        <v>116.88487613461319</v>
      </c>
      <c r="R1109">
        <v>2225</v>
      </c>
      <c r="S1109" s="50">
        <f t="shared" si="243"/>
        <v>71535.307499999995</v>
      </c>
      <c r="T1109" s="50">
        <f t="shared" si="248"/>
        <v>0</v>
      </c>
      <c r="U1109" s="58">
        <f t="shared" si="249"/>
        <v>0</v>
      </c>
      <c r="V1109" s="58">
        <f t="shared" si="250"/>
        <v>0</v>
      </c>
      <c r="W1109" s="58">
        <f t="shared" si="251"/>
        <v>0</v>
      </c>
      <c r="X1109" s="58">
        <f t="shared" si="252"/>
        <v>0</v>
      </c>
      <c r="Y1109" s="52">
        <f t="shared" si="253"/>
        <v>0</v>
      </c>
    </row>
    <row r="1110" spans="1:25" x14ac:dyDescent="0.25">
      <c r="A1110" s="1218" t="s">
        <v>164</v>
      </c>
      <c r="B1110" s="98">
        <v>45536</v>
      </c>
      <c r="C1110" s="117" t="str">
        <f t="shared" si="255"/>
        <v>6L</v>
      </c>
      <c r="D1110" s="96"/>
      <c r="E1110" s="98"/>
      <c r="F1110" s="98"/>
      <c r="I1110" s="99">
        <f t="shared" si="241"/>
        <v>0</v>
      </c>
      <c r="L1110" s="99">
        <f t="shared" si="242"/>
        <v>0</v>
      </c>
      <c r="M1110" s="44" t="str">
        <f t="shared" si="244"/>
        <v/>
      </c>
      <c r="N1110" s="100">
        <f t="shared" si="245"/>
        <v>0</v>
      </c>
      <c r="O1110" s="101">
        <f t="shared" si="246"/>
        <v>0</v>
      </c>
      <c r="P1110" s="52">
        <f t="shared" si="247"/>
        <v>0</v>
      </c>
      <c r="Q1110" s="49">
        <v>116.88487613461319</v>
      </c>
      <c r="R1110">
        <v>2225</v>
      </c>
      <c r="S1110" s="50">
        <f t="shared" si="243"/>
        <v>71535.307499999995</v>
      </c>
      <c r="T1110" s="50">
        <f t="shared" si="248"/>
        <v>0</v>
      </c>
      <c r="U1110" s="58">
        <f t="shared" si="249"/>
        <v>0</v>
      </c>
      <c r="V1110" s="58">
        <f t="shared" si="250"/>
        <v>0</v>
      </c>
      <c r="W1110" s="58">
        <f t="shared" si="251"/>
        <v>0</v>
      </c>
      <c r="X1110" s="58">
        <f t="shared" si="252"/>
        <v>0</v>
      </c>
      <c r="Y1110" s="52">
        <f t="shared" si="253"/>
        <v>0</v>
      </c>
    </row>
    <row r="1111" spans="1:25" x14ac:dyDescent="0.25">
      <c r="A1111" s="1218" t="s">
        <v>165</v>
      </c>
      <c r="B1111" s="98">
        <v>45536</v>
      </c>
      <c r="C1111" s="117" t="str">
        <f t="shared" si="255"/>
        <v>6L</v>
      </c>
      <c r="D1111" s="96"/>
      <c r="E1111" s="98"/>
      <c r="F1111" s="98"/>
      <c r="I1111" s="99">
        <f t="shared" si="241"/>
        <v>0</v>
      </c>
      <c r="L1111" s="99">
        <f t="shared" si="242"/>
        <v>0</v>
      </c>
      <c r="M1111" s="44" t="str">
        <f t="shared" si="244"/>
        <v/>
      </c>
      <c r="N1111" s="100">
        <f t="shared" si="245"/>
        <v>0</v>
      </c>
      <c r="O1111" s="101">
        <f t="shared" si="246"/>
        <v>0</v>
      </c>
      <c r="P1111" s="52">
        <f t="shared" si="247"/>
        <v>0</v>
      </c>
      <c r="Q1111" s="49">
        <v>116.88487613461319</v>
      </c>
      <c r="R1111">
        <v>2225</v>
      </c>
      <c r="S1111" s="50">
        <f t="shared" si="243"/>
        <v>71535.307499999995</v>
      </c>
      <c r="T1111" s="50">
        <f t="shared" si="248"/>
        <v>0</v>
      </c>
      <c r="U1111" s="58">
        <f t="shared" si="249"/>
        <v>0</v>
      </c>
      <c r="V1111" s="58">
        <f t="shared" si="250"/>
        <v>0</v>
      </c>
      <c r="W1111" s="58">
        <f t="shared" si="251"/>
        <v>0</v>
      </c>
      <c r="X1111" s="58">
        <f t="shared" si="252"/>
        <v>0</v>
      </c>
      <c r="Y1111" s="52">
        <f t="shared" si="253"/>
        <v>0</v>
      </c>
    </row>
    <row r="1112" spans="1:25" x14ac:dyDescent="0.25">
      <c r="A1112" s="1218" t="s">
        <v>166</v>
      </c>
      <c r="B1112" s="98">
        <v>45536</v>
      </c>
      <c r="C1112" s="117" t="str">
        <f t="shared" si="255"/>
        <v>6L</v>
      </c>
      <c r="D1112" s="96"/>
      <c r="E1112" s="98"/>
      <c r="F1112" s="98"/>
      <c r="I1112" s="99">
        <f t="shared" si="241"/>
        <v>0</v>
      </c>
      <c r="L1112" s="99">
        <f t="shared" si="242"/>
        <v>0</v>
      </c>
      <c r="M1112" s="44" t="str">
        <f t="shared" si="244"/>
        <v/>
      </c>
      <c r="N1112" s="100">
        <f t="shared" si="245"/>
        <v>0</v>
      </c>
      <c r="O1112" s="101">
        <f t="shared" si="246"/>
        <v>0</v>
      </c>
      <c r="P1112" s="52">
        <f t="shared" si="247"/>
        <v>0</v>
      </c>
      <c r="Q1112" s="49">
        <v>116.88487613461319</v>
      </c>
      <c r="R1112">
        <v>2225</v>
      </c>
      <c r="S1112" s="50">
        <f t="shared" si="243"/>
        <v>71535.307499999995</v>
      </c>
      <c r="T1112" s="50">
        <f t="shared" si="248"/>
        <v>0</v>
      </c>
      <c r="U1112" s="58">
        <f t="shared" si="249"/>
        <v>0</v>
      </c>
      <c r="V1112" s="58">
        <f t="shared" si="250"/>
        <v>0</v>
      </c>
      <c r="W1112" s="58">
        <f t="shared" si="251"/>
        <v>0</v>
      </c>
      <c r="X1112" s="58">
        <f t="shared" si="252"/>
        <v>0</v>
      </c>
      <c r="Y1112" s="52">
        <f t="shared" si="253"/>
        <v>0</v>
      </c>
    </row>
    <row r="1113" spans="1:25" x14ac:dyDescent="0.25">
      <c r="A1113" s="1218" t="s">
        <v>167</v>
      </c>
      <c r="B1113" s="98">
        <v>45536</v>
      </c>
      <c r="C1113" s="117" t="str">
        <f t="shared" si="255"/>
        <v>6L</v>
      </c>
      <c r="D1113" s="96"/>
      <c r="E1113" s="98"/>
      <c r="F1113" s="98"/>
      <c r="I1113" s="99">
        <f t="shared" si="241"/>
        <v>0</v>
      </c>
      <c r="L1113" s="99">
        <f t="shared" si="242"/>
        <v>0</v>
      </c>
      <c r="M1113" s="44" t="str">
        <f t="shared" si="244"/>
        <v/>
      </c>
      <c r="N1113" s="100">
        <f t="shared" si="245"/>
        <v>0</v>
      </c>
      <c r="O1113" s="101">
        <f t="shared" si="246"/>
        <v>0</v>
      </c>
      <c r="P1113" s="52">
        <f t="shared" si="247"/>
        <v>0</v>
      </c>
      <c r="Q1113" s="49">
        <v>116.88487613461319</v>
      </c>
      <c r="R1113">
        <v>2225</v>
      </c>
      <c r="S1113" s="50">
        <f t="shared" si="243"/>
        <v>71535.307499999995</v>
      </c>
      <c r="T1113" s="50">
        <f t="shared" si="248"/>
        <v>0</v>
      </c>
      <c r="U1113" s="58">
        <f t="shared" si="249"/>
        <v>0</v>
      </c>
      <c r="V1113" s="58">
        <f t="shared" si="250"/>
        <v>0</v>
      </c>
      <c r="W1113" s="58">
        <f t="shared" si="251"/>
        <v>0</v>
      </c>
      <c r="X1113" s="58">
        <f t="shared" si="252"/>
        <v>0</v>
      </c>
      <c r="Y1113" s="52">
        <f t="shared" si="253"/>
        <v>0</v>
      </c>
    </row>
    <row r="1114" spans="1:25" x14ac:dyDescent="0.25">
      <c r="A1114" s="1218" t="s">
        <v>168</v>
      </c>
      <c r="B1114" s="98">
        <v>45536</v>
      </c>
      <c r="C1114" s="117" t="str">
        <f t="shared" si="255"/>
        <v>6L</v>
      </c>
      <c r="D1114" s="96"/>
      <c r="E1114" s="98"/>
      <c r="F1114" s="98"/>
      <c r="I1114" s="99">
        <f t="shared" si="241"/>
        <v>0</v>
      </c>
      <c r="L1114" s="99">
        <f t="shared" si="242"/>
        <v>0</v>
      </c>
      <c r="M1114" s="44" t="str">
        <f t="shared" si="244"/>
        <v/>
      </c>
      <c r="N1114" s="100">
        <f t="shared" si="245"/>
        <v>0</v>
      </c>
      <c r="O1114" s="101">
        <f t="shared" si="246"/>
        <v>0</v>
      </c>
      <c r="P1114" s="52">
        <f t="shared" si="247"/>
        <v>0</v>
      </c>
      <c r="Q1114" s="49">
        <v>116.88487613461319</v>
      </c>
      <c r="R1114">
        <v>2225</v>
      </c>
      <c r="S1114" s="50">
        <f t="shared" si="243"/>
        <v>71535.307499999995</v>
      </c>
      <c r="T1114" s="50">
        <f t="shared" si="248"/>
        <v>0</v>
      </c>
      <c r="U1114" s="58">
        <f t="shared" si="249"/>
        <v>0</v>
      </c>
      <c r="V1114" s="58">
        <f t="shared" si="250"/>
        <v>0</v>
      </c>
      <c r="W1114" s="58">
        <f t="shared" si="251"/>
        <v>0</v>
      </c>
      <c r="X1114" s="58">
        <f t="shared" si="252"/>
        <v>0</v>
      </c>
      <c r="Y1114" s="52">
        <f t="shared" si="253"/>
        <v>0</v>
      </c>
    </row>
    <row r="1115" spans="1:25" x14ac:dyDescent="0.25">
      <c r="A1115" s="1218" t="s">
        <v>169</v>
      </c>
      <c r="B1115" s="98">
        <v>45536</v>
      </c>
      <c r="C1115" s="117" t="str">
        <f t="shared" si="255"/>
        <v>6L</v>
      </c>
      <c r="D1115" s="96"/>
      <c r="E1115" s="98"/>
      <c r="F1115" s="98"/>
      <c r="I1115" s="99">
        <f t="shared" si="241"/>
        <v>0</v>
      </c>
      <c r="L1115" s="99">
        <f t="shared" si="242"/>
        <v>0</v>
      </c>
      <c r="M1115" s="44" t="str">
        <f t="shared" si="244"/>
        <v/>
      </c>
      <c r="N1115" s="100">
        <f t="shared" si="245"/>
        <v>0</v>
      </c>
      <c r="O1115" s="101">
        <f t="shared" si="246"/>
        <v>0</v>
      </c>
      <c r="P1115" s="52">
        <f t="shared" si="247"/>
        <v>0</v>
      </c>
      <c r="Q1115" s="49">
        <v>116.88487613461319</v>
      </c>
      <c r="R1115">
        <v>2225</v>
      </c>
      <c r="S1115" s="50">
        <f t="shared" si="243"/>
        <v>71535.307499999995</v>
      </c>
      <c r="T1115" s="50">
        <f t="shared" si="248"/>
        <v>0</v>
      </c>
      <c r="U1115" s="58">
        <f t="shared" si="249"/>
        <v>0</v>
      </c>
      <c r="V1115" s="58">
        <f t="shared" si="250"/>
        <v>0</v>
      </c>
      <c r="W1115" s="58">
        <f t="shared" si="251"/>
        <v>0</v>
      </c>
      <c r="X1115" s="58">
        <f t="shared" si="252"/>
        <v>0</v>
      </c>
      <c r="Y1115" s="52">
        <f t="shared" si="253"/>
        <v>0</v>
      </c>
    </row>
    <row r="1116" spans="1:25" x14ac:dyDescent="0.25">
      <c r="A1116" s="1218" t="s">
        <v>170</v>
      </c>
      <c r="B1116" s="98">
        <v>45536</v>
      </c>
      <c r="C1116" s="117" t="str">
        <f t="shared" si="255"/>
        <v>6L</v>
      </c>
      <c r="D1116" s="96"/>
      <c r="E1116" s="98"/>
      <c r="F1116" s="98"/>
      <c r="I1116" s="99">
        <f t="shared" si="241"/>
        <v>0</v>
      </c>
      <c r="L1116" s="99">
        <f t="shared" si="242"/>
        <v>0</v>
      </c>
      <c r="M1116" s="44" t="str">
        <f t="shared" si="244"/>
        <v/>
      </c>
      <c r="N1116" s="100">
        <f t="shared" si="245"/>
        <v>0</v>
      </c>
      <c r="O1116" s="101">
        <f t="shared" si="246"/>
        <v>0</v>
      </c>
      <c r="P1116" s="52">
        <f t="shared" si="247"/>
        <v>0</v>
      </c>
      <c r="Q1116" s="49">
        <v>116.88487613461319</v>
      </c>
      <c r="R1116">
        <v>2225</v>
      </c>
      <c r="S1116" s="50">
        <f t="shared" si="243"/>
        <v>71535.307499999995</v>
      </c>
      <c r="T1116" s="50">
        <f t="shared" si="248"/>
        <v>0</v>
      </c>
      <c r="U1116" s="58">
        <f t="shared" si="249"/>
        <v>0</v>
      </c>
      <c r="V1116" s="58">
        <f t="shared" si="250"/>
        <v>0</v>
      </c>
      <c r="W1116" s="58">
        <f t="shared" si="251"/>
        <v>0</v>
      </c>
      <c r="X1116" s="58">
        <f t="shared" si="252"/>
        <v>0</v>
      </c>
      <c r="Y1116" s="52">
        <f t="shared" si="253"/>
        <v>0</v>
      </c>
    </row>
    <row r="1117" spans="1:25" x14ac:dyDescent="0.25">
      <c r="A1117" s="1218" t="s">
        <v>171</v>
      </c>
      <c r="B1117" s="98">
        <v>45536</v>
      </c>
      <c r="C1117" s="117" t="str">
        <f t="shared" si="255"/>
        <v>6L</v>
      </c>
      <c r="D1117" s="96"/>
      <c r="E1117" s="98"/>
      <c r="F1117" s="98"/>
      <c r="I1117" s="99">
        <f t="shared" si="241"/>
        <v>0</v>
      </c>
      <c r="L1117" s="99">
        <f t="shared" si="242"/>
        <v>0</v>
      </c>
      <c r="M1117" s="44" t="str">
        <f t="shared" si="244"/>
        <v/>
      </c>
      <c r="N1117" s="100">
        <f t="shared" si="245"/>
        <v>0</v>
      </c>
      <c r="O1117" s="101">
        <f t="shared" si="246"/>
        <v>0</v>
      </c>
      <c r="P1117" s="52">
        <f t="shared" si="247"/>
        <v>0</v>
      </c>
      <c r="Q1117" s="49">
        <v>116.88487613461319</v>
      </c>
      <c r="R1117">
        <v>2225</v>
      </c>
      <c r="S1117" s="50">
        <f t="shared" si="243"/>
        <v>71535.307499999995</v>
      </c>
      <c r="T1117" s="50">
        <f t="shared" si="248"/>
        <v>0</v>
      </c>
      <c r="U1117" s="58">
        <f t="shared" si="249"/>
        <v>0</v>
      </c>
      <c r="V1117" s="58">
        <f t="shared" si="250"/>
        <v>0</v>
      </c>
      <c r="W1117" s="58">
        <f t="shared" si="251"/>
        <v>0</v>
      </c>
      <c r="X1117" s="58">
        <f t="shared" si="252"/>
        <v>0</v>
      </c>
      <c r="Y1117" s="52">
        <f t="shared" si="253"/>
        <v>0</v>
      </c>
    </row>
    <row r="1118" spans="1:25" x14ac:dyDescent="0.25">
      <c r="A1118" s="1218" t="s">
        <v>172</v>
      </c>
      <c r="B1118" s="98">
        <v>45536</v>
      </c>
      <c r="C1118" s="117" t="str">
        <f t="shared" si="255"/>
        <v>6L</v>
      </c>
      <c r="D1118" s="96"/>
      <c r="E1118" s="98"/>
      <c r="F1118" s="98"/>
      <c r="I1118" s="99">
        <f t="shared" si="241"/>
        <v>0</v>
      </c>
      <c r="L1118" s="99">
        <f t="shared" si="242"/>
        <v>0</v>
      </c>
      <c r="M1118" s="44" t="str">
        <f t="shared" si="244"/>
        <v/>
      </c>
      <c r="N1118" s="100">
        <f t="shared" si="245"/>
        <v>0</v>
      </c>
      <c r="O1118" s="101">
        <f t="shared" si="246"/>
        <v>0</v>
      </c>
      <c r="P1118" s="52">
        <f t="shared" si="247"/>
        <v>0</v>
      </c>
      <c r="Q1118" s="49">
        <v>116.88487613461319</v>
      </c>
      <c r="R1118">
        <v>2225</v>
      </c>
      <c r="S1118" s="50">
        <f t="shared" si="243"/>
        <v>71535.307499999995</v>
      </c>
      <c r="T1118" s="50">
        <f t="shared" si="248"/>
        <v>0</v>
      </c>
      <c r="U1118" s="58">
        <f t="shared" si="249"/>
        <v>0</v>
      </c>
      <c r="V1118" s="58">
        <f t="shared" si="250"/>
        <v>0</v>
      </c>
      <c r="W1118" s="58">
        <f t="shared" si="251"/>
        <v>0</v>
      </c>
      <c r="X1118" s="58">
        <f t="shared" si="252"/>
        <v>0</v>
      </c>
      <c r="Y1118" s="52">
        <f t="shared" si="253"/>
        <v>0</v>
      </c>
    </row>
    <row r="1119" spans="1:25" x14ac:dyDescent="0.25">
      <c r="A1119" s="1218" t="s">
        <v>173</v>
      </c>
      <c r="B1119" s="98">
        <v>45536</v>
      </c>
      <c r="C1119" s="117" t="str">
        <f t="shared" si="255"/>
        <v>6L</v>
      </c>
      <c r="D1119" s="96"/>
      <c r="E1119" s="98"/>
      <c r="F1119" s="98"/>
      <c r="I1119" s="99">
        <f t="shared" si="241"/>
        <v>0</v>
      </c>
      <c r="L1119" s="99">
        <f t="shared" si="242"/>
        <v>0</v>
      </c>
      <c r="M1119" s="44" t="str">
        <f t="shared" si="244"/>
        <v/>
      </c>
      <c r="N1119" s="100">
        <f t="shared" si="245"/>
        <v>0</v>
      </c>
      <c r="O1119" s="101">
        <f t="shared" si="246"/>
        <v>0</v>
      </c>
      <c r="P1119" s="52">
        <f t="shared" si="247"/>
        <v>0</v>
      </c>
      <c r="Q1119" s="49">
        <v>116.88487613461319</v>
      </c>
      <c r="R1119">
        <v>2225</v>
      </c>
      <c r="S1119" s="50">
        <f t="shared" si="243"/>
        <v>71535.307499999995</v>
      </c>
      <c r="T1119" s="50">
        <f t="shared" si="248"/>
        <v>0</v>
      </c>
      <c r="U1119" s="58">
        <f t="shared" si="249"/>
        <v>0</v>
      </c>
      <c r="V1119" s="58">
        <f t="shared" si="250"/>
        <v>0</v>
      </c>
      <c r="W1119" s="58">
        <f t="shared" si="251"/>
        <v>0</v>
      </c>
      <c r="X1119" s="58">
        <f t="shared" si="252"/>
        <v>0</v>
      </c>
      <c r="Y1119" s="52">
        <f t="shared" si="253"/>
        <v>0</v>
      </c>
    </row>
    <row r="1120" spans="1:25" x14ac:dyDescent="0.25">
      <c r="A1120" s="1218" t="s">
        <v>174</v>
      </c>
      <c r="B1120" s="98">
        <v>45536</v>
      </c>
      <c r="C1120" s="117" t="str">
        <f t="shared" si="255"/>
        <v>6L</v>
      </c>
      <c r="D1120" s="96"/>
      <c r="E1120" s="98"/>
      <c r="F1120" s="98"/>
      <c r="I1120" s="99">
        <f t="shared" si="241"/>
        <v>0</v>
      </c>
      <c r="L1120" s="99">
        <f t="shared" si="242"/>
        <v>0</v>
      </c>
      <c r="M1120" s="44" t="str">
        <f t="shared" si="244"/>
        <v/>
      </c>
      <c r="N1120" s="100">
        <f t="shared" si="245"/>
        <v>0</v>
      </c>
      <c r="O1120" s="101">
        <f t="shared" si="246"/>
        <v>0</v>
      </c>
      <c r="P1120" s="52">
        <f t="shared" si="247"/>
        <v>0</v>
      </c>
      <c r="Q1120" s="49">
        <v>116.88487613461319</v>
      </c>
      <c r="R1120">
        <v>2225</v>
      </c>
      <c r="S1120" s="50">
        <f t="shared" si="243"/>
        <v>71535.307499999995</v>
      </c>
      <c r="T1120" s="50">
        <f t="shared" si="248"/>
        <v>0</v>
      </c>
      <c r="U1120" s="58">
        <f t="shared" si="249"/>
        <v>0</v>
      </c>
      <c r="V1120" s="58">
        <f t="shared" si="250"/>
        <v>0</v>
      </c>
      <c r="W1120" s="58">
        <f t="shared" si="251"/>
        <v>0</v>
      </c>
      <c r="X1120" s="58">
        <f t="shared" si="252"/>
        <v>0</v>
      </c>
      <c r="Y1120" s="52">
        <f t="shared" si="253"/>
        <v>0</v>
      </c>
    </row>
    <row r="1121" spans="1:25" x14ac:dyDescent="0.25">
      <c r="A1121" s="1218" t="s">
        <v>175</v>
      </c>
      <c r="B1121" s="98">
        <v>45536</v>
      </c>
      <c r="C1121" s="117" t="str">
        <f t="shared" si="255"/>
        <v>6L</v>
      </c>
      <c r="D1121" s="96"/>
      <c r="E1121" s="98"/>
      <c r="F1121" s="98"/>
      <c r="I1121" s="99">
        <f t="shared" si="241"/>
        <v>0</v>
      </c>
      <c r="L1121" s="99">
        <f t="shared" si="242"/>
        <v>0</v>
      </c>
      <c r="M1121" s="44" t="str">
        <f t="shared" si="244"/>
        <v/>
      </c>
      <c r="N1121" s="100">
        <f t="shared" si="245"/>
        <v>0</v>
      </c>
      <c r="O1121" s="101">
        <f t="shared" si="246"/>
        <v>0</v>
      </c>
      <c r="P1121" s="52">
        <f t="shared" si="247"/>
        <v>0</v>
      </c>
      <c r="Q1121" s="49">
        <v>116.88487613461319</v>
      </c>
      <c r="R1121">
        <v>2225</v>
      </c>
      <c r="S1121" s="50">
        <f t="shared" si="243"/>
        <v>71535.307499999995</v>
      </c>
      <c r="T1121" s="50">
        <f t="shared" si="248"/>
        <v>0</v>
      </c>
      <c r="U1121" s="58">
        <f t="shared" si="249"/>
        <v>0</v>
      </c>
      <c r="V1121" s="58">
        <f t="shared" si="250"/>
        <v>0</v>
      </c>
      <c r="W1121" s="58">
        <f t="shared" si="251"/>
        <v>0</v>
      </c>
      <c r="X1121" s="58">
        <f t="shared" si="252"/>
        <v>0</v>
      </c>
      <c r="Y1121" s="52">
        <f t="shared" si="253"/>
        <v>0</v>
      </c>
    </row>
    <row r="1122" spans="1:25" x14ac:dyDescent="0.25">
      <c r="A1122" s="1218" t="s">
        <v>176</v>
      </c>
      <c r="B1122" s="98">
        <v>45536</v>
      </c>
      <c r="C1122" s="117" t="str">
        <f t="shared" si="255"/>
        <v>6L</v>
      </c>
      <c r="D1122" s="96"/>
      <c r="E1122" s="98"/>
      <c r="F1122" s="98"/>
      <c r="I1122" s="99">
        <f t="shared" si="241"/>
        <v>0</v>
      </c>
      <c r="L1122" s="99">
        <f t="shared" si="242"/>
        <v>0</v>
      </c>
      <c r="M1122" s="44" t="str">
        <f t="shared" si="244"/>
        <v/>
      </c>
      <c r="N1122" s="100">
        <f t="shared" si="245"/>
        <v>0</v>
      </c>
      <c r="O1122" s="101">
        <f t="shared" si="246"/>
        <v>0</v>
      </c>
      <c r="P1122" s="52">
        <f t="shared" si="247"/>
        <v>0</v>
      </c>
      <c r="Q1122" s="49">
        <v>116.88487613461319</v>
      </c>
      <c r="R1122">
        <v>2225</v>
      </c>
      <c r="S1122" s="50">
        <f t="shared" si="243"/>
        <v>71535.307499999995</v>
      </c>
      <c r="T1122" s="50">
        <f t="shared" si="248"/>
        <v>0</v>
      </c>
      <c r="U1122" s="58">
        <f t="shared" si="249"/>
        <v>0</v>
      </c>
      <c r="V1122" s="58">
        <f t="shared" si="250"/>
        <v>0</v>
      </c>
      <c r="W1122" s="58">
        <f t="shared" si="251"/>
        <v>0</v>
      </c>
      <c r="X1122" s="58">
        <f t="shared" si="252"/>
        <v>0</v>
      </c>
      <c r="Y1122" s="52">
        <f t="shared" si="253"/>
        <v>0</v>
      </c>
    </row>
    <row r="1123" spans="1:25" x14ac:dyDescent="0.25">
      <c r="A1123" s="1218" t="s">
        <v>177</v>
      </c>
      <c r="B1123" s="98">
        <v>45536</v>
      </c>
      <c r="C1123" s="117" t="str">
        <f t="shared" si="255"/>
        <v>6L</v>
      </c>
      <c r="D1123" s="96"/>
      <c r="E1123" s="98"/>
      <c r="F1123" s="98"/>
      <c r="I1123" s="99">
        <f t="shared" si="241"/>
        <v>0</v>
      </c>
      <c r="L1123" s="99">
        <f t="shared" si="242"/>
        <v>0</v>
      </c>
      <c r="M1123" s="44" t="str">
        <f t="shared" si="244"/>
        <v/>
      </c>
      <c r="N1123" s="100">
        <f t="shared" si="245"/>
        <v>0</v>
      </c>
      <c r="O1123" s="101">
        <f t="shared" si="246"/>
        <v>0</v>
      </c>
      <c r="P1123" s="52">
        <f t="shared" si="247"/>
        <v>0</v>
      </c>
      <c r="Q1123" s="49">
        <v>116.88487613461319</v>
      </c>
      <c r="R1123">
        <v>2225</v>
      </c>
      <c r="S1123" s="50">
        <f t="shared" si="243"/>
        <v>71535.307499999995</v>
      </c>
      <c r="T1123" s="50">
        <f t="shared" si="248"/>
        <v>0</v>
      </c>
      <c r="U1123" s="58">
        <f t="shared" si="249"/>
        <v>0</v>
      </c>
      <c r="V1123" s="58">
        <f t="shared" si="250"/>
        <v>0</v>
      </c>
      <c r="W1123" s="58">
        <f t="shared" si="251"/>
        <v>0</v>
      </c>
      <c r="X1123" s="58">
        <f t="shared" si="252"/>
        <v>0</v>
      </c>
      <c r="Y1123" s="52">
        <f t="shared" si="253"/>
        <v>0</v>
      </c>
    </row>
    <row r="1124" spans="1:25" x14ac:dyDescent="0.25">
      <c r="A1124" s="1218" t="s">
        <v>178</v>
      </c>
      <c r="B1124" s="98">
        <v>45536</v>
      </c>
      <c r="C1124" s="117" t="str">
        <f t="shared" si="255"/>
        <v>7L</v>
      </c>
      <c r="D1124" s="96"/>
      <c r="I1124" s="99">
        <f t="shared" si="241"/>
        <v>0</v>
      </c>
      <c r="L1124" s="99">
        <f t="shared" si="242"/>
        <v>0</v>
      </c>
      <c r="M1124" s="44" t="str">
        <f t="shared" si="244"/>
        <v/>
      </c>
      <c r="N1124" s="100">
        <f t="shared" si="245"/>
        <v>0</v>
      </c>
      <c r="O1124" s="101">
        <f t="shared" si="246"/>
        <v>0</v>
      </c>
      <c r="P1124" s="52">
        <f t="shared" si="247"/>
        <v>0</v>
      </c>
      <c r="Q1124" s="49">
        <v>116.88487613461319</v>
      </c>
      <c r="R1124">
        <v>2225</v>
      </c>
      <c r="S1124" s="50">
        <f t="shared" si="243"/>
        <v>71535.307499999995</v>
      </c>
      <c r="T1124" s="50">
        <f t="shared" si="248"/>
        <v>0</v>
      </c>
      <c r="U1124" s="58">
        <f t="shared" si="249"/>
        <v>0</v>
      </c>
      <c r="V1124" s="58">
        <f t="shared" si="250"/>
        <v>0</v>
      </c>
      <c r="W1124" s="58">
        <f t="shared" si="251"/>
        <v>0</v>
      </c>
      <c r="X1124" s="58">
        <f t="shared" si="252"/>
        <v>0</v>
      </c>
      <c r="Y1124" s="52">
        <f t="shared" si="253"/>
        <v>0</v>
      </c>
    </row>
    <row r="1125" spans="1:25" x14ac:dyDescent="0.25">
      <c r="A1125" s="1218" t="s">
        <v>179</v>
      </c>
      <c r="B1125" s="98">
        <v>45536</v>
      </c>
      <c r="C1125" s="117" t="str">
        <f t="shared" si="255"/>
        <v>7L</v>
      </c>
      <c r="D1125" s="96"/>
      <c r="I1125" s="99">
        <f t="shared" si="241"/>
        <v>0</v>
      </c>
      <c r="L1125" s="99">
        <f t="shared" si="242"/>
        <v>0</v>
      </c>
      <c r="M1125" s="44" t="str">
        <f t="shared" si="244"/>
        <v/>
      </c>
      <c r="N1125" s="100">
        <f t="shared" si="245"/>
        <v>0</v>
      </c>
      <c r="O1125" s="101">
        <f t="shared" si="246"/>
        <v>0</v>
      </c>
      <c r="P1125" s="52">
        <f t="shared" si="247"/>
        <v>0</v>
      </c>
      <c r="Q1125" s="49">
        <v>116.88487613461319</v>
      </c>
      <c r="R1125">
        <v>2225</v>
      </c>
      <c r="S1125" s="50">
        <f t="shared" si="243"/>
        <v>71535.307499999995</v>
      </c>
      <c r="T1125" s="50">
        <f t="shared" si="248"/>
        <v>0</v>
      </c>
      <c r="U1125" s="58">
        <f t="shared" si="249"/>
        <v>0</v>
      </c>
      <c r="V1125" s="58">
        <f t="shared" si="250"/>
        <v>0</v>
      </c>
      <c r="W1125" s="58">
        <f t="shared" si="251"/>
        <v>0</v>
      </c>
      <c r="X1125" s="58">
        <f t="shared" si="252"/>
        <v>0</v>
      </c>
      <c r="Y1125" s="52">
        <f t="shared" si="253"/>
        <v>0</v>
      </c>
    </row>
    <row r="1126" spans="1:25" x14ac:dyDescent="0.25">
      <c r="A1126" s="1218" t="s">
        <v>180</v>
      </c>
      <c r="B1126" s="98">
        <v>45536</v>
      </c>
      <c r="C1126" s="117" t="str">
        <f t="shared" si="255"/>
        <v>7L</v>
      </c>
      <c r="D1126" s="96"/>
      <c r="I1126" s="99">
        <f t="shared" si="241"/>
        <v>0</v>
      </c>
      <c r="L1126" s="99">
        <f t="shared" si="242"/>
        <v>0</v>
      </c>
      <c r="M1126" s="44" t="str">
        <f t="shared" si="244"/>
        <v/>
      </c>
      <c r="N1126" s="100">
        <f t="shared" si="245"/>
        <v>0</v>
      </c>
      <c r="O1126" s="101">
        <f t="shared" si="246"/>
        <v>0</v>
      </c>
      <c r="P1126" s="52">
        <f t="shared" si="247"/>
        <v>0</v>
      </c>
      <c r="Q1126" s="49">
        <v>116.88487613461319</v>
      </c>
      <c r="R1126">
        <v>2225</v>
      </c>
      <c r="S1126" s="50">
        <f t="shared" si="243"/>
        <v>71535.307499999995</v>
      </c>
      <c r="T1126" s="50">
        <f t="shared" si="248"/>
        <v>0</v>
      </c>
      <c r="U1126" s="58">
        <f t="shared" si="249"/>
        <v>0</v>
      </c>
      <c r="V1126" s="58">
        <f t="shared" si="250"/>
        <v>0</v>
      </c>
      <c r="W1126" s="58">
        <f t="shared" si="251"/>
        <v>0</v>
      </c>
      <c r="X1126" s="58">
        <f t="shared" si="252"/>
        <v>0</v>
      </c>
      <c r="Y1126" s="52">
        <f t="shared" si="253"/>
        <v>0</v>
      </c>
    </row>
    <row r="1127" spans="1:25" x14ac:dyDescent="0.25">
      <c r="A1127" s="1218" t="s">
        <v>181</v>
      </c>
      <c r="B1127" s="98">
        <v>45536</v>
      </c>
      <c r="C1127" s="117" t="str">
        <f t="shared" si="255"/>
        <v>7L</v>
      </c>
      <c r="D1127" s="96"/>
      <c r="I1127" s="99">
        <f t="shared" si="241"/>
        <v>0</v>
      </c>
      <c r="L1127" s="99">
        <f t="shared" si="242"/>
        <v>0</v>
      </c>
      <c r="M1127" s="44" t="str">
        <f t="shared" si="244"/>
        <v/>
      </c>
      <c r="N1127" s="100">
        <f t="shared" si="245"/>
        <v>0</v>
      </c>
      <c r="O1127" s="101">
        <f t="shared" si="246"/>
        <v>0</v>
      </c>
      <c r="P1127" s="52">
        <f t="shared" si="247"/>
        <v>0</v>
      </c>
      <c r="Q1127" s="49">
        <v>116.88487613461319</v>
      </c>
      <c r="R1127">
        <v>2225</v>
      </c>
      <c r="S1127" s="50">
        <f t="shared" si="243"/>
        <v>71535.307499999995</v>
      </c>
      <c r="T1127" s="50">
        <f t="shared" si="248"/>
        <v>0</v>
      </c>
      <c r="U1127" s="58">
        <f t="shared" si="249"/>
        <v>0</v>
      </c>
      <c r="V1127" s="58">
        <f t="shared" si="250"/>
        <v>0</v>
      </c>
      <c r="W1127" s="58">
        <f t="shared" si="251"/>
        <v>0</v>
      </c>
      <c r="X1127" s="58">
        <f t="shared" si="252"/>
        <v>0</v>
      </c>
      <c r="Y1127" s="52">
        <f t="shared" si="253"/>
        <v>0</v>
      </c>
    </row>
    <row r="1128" spans="1:25" x14ac:dyDescent="0.25">
      <c r="A1128" s="1218" t="s">
        <v>182</v>
      </c>
      <c r="B1128" s="98">
        <v>45536</v>
      </c>
      <c r="C1128" s="117" t="str">
        <f t="shared" si="255"/>
        <v>7L</v>
      </c>
      <c r="D1128" s="96"/>
      <c r="I1128" s="99">
        <f t="shared" si="241"/>
        <v>0</v>
      </c>
      <c r="L1128" s="99">
        <f t="shared" si="242"/>
        <v>0</v>
      </c>
      <c r="M1128" s="44" t="str">
        <f t="shared" si="244"/>
        <v/>
      </c>
      <c r="N1128" s="100">
        <f t="shared" si="245"/>
        <v>0</v>
      </c>
      <c r="O1128" s="101">
        <f t="shared" si="246"/>
        <v>0</v>
      </c>
      <c r="P1128" s="52">
        <f t="shared" si="247"/>
        <v>0</v>
      </c>
      <c r="Q1128" s="49">
        <v>116.88487613461319</v>
      </c>
      <c r="R1128">
        <v>2225</v>
      </c>
      <c r="S1128" s="50">
        <f t="shared" si="243"/>
        <v>71535.307499999995</v>
      </c>
      <c r="T1128" s="50">
        <f t="shared" si="248"/>
        <v>0</v>
      </c>
      <c r="U1128" s="58">
        <f t="shared" si="249"/>
        <v>0</v>
      </c>
      <c r="V1128" s="58">
        <f t="shared" si="250"/>
        <v>0</v>
      </c>
      <c r="W1128" s="58">
        <f t="shared" si="251"/>
        <v>0</v>
      </c>
      <c r="X1128" s="58">
        <f t="shared" si="252"/>
        <v>0</v>
      </c>
      <c r="Y1128" s="52">
        <f t="shared" si="253"/>
        <v>0</v>
      </c>
    </row>
    <row r="1129" spans="1:25" x14ac:dyDescent="0.25">
      <c r="A1129" s="1218" t="s">
        <v>183</v>
      </c>
      <c r="B1129" s="98">
        <v>45536</v>
      </c>
      <c r="C1129" s="117" t="str">
        <f t="shared" si="255"/>
        <v>7L</v>
      </c>
      <c r="D1129" s="96"/>
      <c r="I1129" s="99">
        <f t="shared" si="241"/>
        <v>0</v>
      </c>
      <c r="L1129" s="99">
        <f t="shared" si="242"/>
        <v>0</v>
      </c>
      <c r="M1129" s="44" t="str">
        <f t="shared" si="244"/>
        <v/>
      </c>
      <c r="N1129" s="100">
        <f t="shared" si="245"/>
        <v>0</v>
      </c>
      <c r="O1129" s="101">
        <f t="shared" si="246"/>
        <v>0</v>
      </c>
      <c r="P1129" s="52">
        <f t="shared" si="247"/>
        <v>0</v>
      </c>
      <c r="Q1129" s="49">
        <v>116.88487613461319</v>
      </c>
      <c r="R1129">
        <v>2225</v>
      </c>
      <c r="S1129" s="50">
        <f t="shared" si="243"/>
        <v>71535.307499999995</v>
      </c>
      <c r="T1129" s="50">
        <f t="shared" si="248"/>
        <v>0</v>
      </c>
      <c r="U1129" s="58">
        <f t="shared" si="249"/>
        <v>0</v>
      </c>
      <c r="V1129" s="58">
        <f t="shared" si="250"/>
        <v>0</v>
      </c>
      <c r="W1129" s="58">
        <f t="shared" si="251"/>
        <v>0</v>
      </c>
      <c r="X1129" s="58">
        <f t="shared" si="252"/>
        <v>0</v>
      </c>
      <c r="Y1129" s="52">
        <f t="shared" si="253"/>
        <v>0</v>
      </c>
    </row>
    <row r="1130" spans="1:25" x14ac:dyDescent="0.25">
      <c r="A1130" s="1218" t="s">
        <v>184</v>
      </c>
      <c r="B1130" s="98">
        <v>45536</v>
      </c>
      <c r="C1130" s="117" t="str">
        <f t="shared" si="255"/>
        <v>7L</v>
      </c>
      <c r="D1130" s="96"/>
      <c r="I1130" s="99">
        <f t="shared" si="241"/>
        <v>0</v>
      </c>
      <c r="L1130" s="99">
        <f t="shared" si="242"/>
        <v>0</v>
      </c>
      <c r="M1130" s="44" t="str">
        <f t="shared" si="244"/>
        <v/>
      </c>
      <c r="N1130" s="100">
        <f t="shared" si="245"/>
        <v>0</v>
      </c>
      <c r="O1130" s="101">
        <f t="shared" si="246"/>
        <v>0</v>
      </c>
      <c r="P1130" s="52">
        <f t="shared" si="247"/>
        <v>0</v>
      </c>
      <c r="Q1130" s="49">
        <v>116.88487613461319</v>
      </c>
      <c r="R1130">
        <v>2225</v>
      </c>
      <c r="S1130" s="50">
        <f t="shared" si="243"/>
        <v>71535.307499999995</v>
      </c>
      <c r="T1130" s="50">
        <f t="shared" si="248"/>
        <v>0</v>
      </c>
      <c r="U1130" s="58">
        <f t="shared" si="249"/>
        <v>0</v>
      </c>
      <c r="V1130" s="58">
        <f t="shared" si="250"/>
        <v>0</v>
      </c>
      <c r="W1130" s="58">
        <f t="shared" si="251"/>
        <v>0</v>
      </c>
      <c r="X1130" s="58">
        <f t="shared" si="252"/>
        <v>0</v>
      </c>
      <c r="Y1130" s="52">
        <f t="shared" si="253"/>
        <v>0</v>
      </c>
    </row>
    <row r="1131" spans="1:25" x14ac:dyDescent="0.25">
      <c r="A1131" s="1218" t="s">
        <v>185</v>
      </c>
      <c r="B1131" s="98">
        <v>45536</v>
      </c>
      <c r="C1131" s="117" t="str">
        <f t="shared" si="255"/>
        <v>7L</v>
      </c>
      <c r="D1131" s="96"/>
      <c r="I1131" s="99">
        <f t="shared" si="241"/>
        <v>0</v>
      </c>
      <c r="L1131" s="99">
        <f t="shared" si="242"/>
        <v>0</v>
      </c>
      <c r="M1131" s="44" t="str">
        <f t="shared" si="244"/>
        <v/>
      </c>
      <c r="N1131" s="100">
        <f t="shared" si="245"/>
        <v>0</v>
      </c>
      <c r="O1131" s="101">
        <f t="shared" si="246"/>
        <v>0</v>
      </c>
      <c r="P1131" s="52">
        <f t="shared" si="247"/>
        <v>0</v>
      </c>
      <c r="Q1131" s="49">
        <v>116.88487613461319</v>
      </c>
      <c r="R1131">
        <v>2225</v>
      </c>
      <c r="S1131" s="50">
        <f t="shared" si="243"/>
        <v>71535.307499999995</v>
      </c>
      <c r="T1131" s="50">
        <f t="shared" si="248"/>
        <v>0</v>
      </c>
      <c r="U1131" s="58">
        <f t="shared" si="249"/>
        <v>0</v>
      </c>
      <c r="V1131" s="58">
        <f t="shared" si="250"/>
        <v>0</v>
      </c>
      <c r="W1131" s="58">
        <f t="shared" si="251"/>
        <v>0</v>
      </c>
      <c r="X1131" s="58">
        <f t="shared" si="252"/>
        <v>0</v>
      </c>
      <c r="Y1131" s="52">
        <f t="shared" si="253"/>
        <v>0</v>
      </c>
    </row>
    <row r="1132" spans="1:25" x14ac:dyDescent="0.25">
      <c r="A1132" s="1218" t="s">
        <v>186</v>
      </c>
      <c r="B1132" s="98">
        <v>45536</v>
      </c>
      <c r="C1132" s="117" t="str">
        <f t="shared" si="255"/>
        <v>7L</v>
      </c>
      <c r="D1132" s="96"/>
      <c r="I1132" s="99">
        <f t="shared" si="241"/>
        <v>0</v>
      </c>
      <c r="L1132" s="99">
        <f t="shared" si="242"/>
        <v>0</v>
      </c>
      <c r="M1132" s="44" t="str">
        <f t="shared" si="244"/>
        <v/>
      </c>
      <c r="N1132" s="100">
        <f t="shared" si="245"/>
        <v>0</v>
      </c>
      <c r="O1132" s="101">
        <f t="shared" si="246"/>
        <v>0</v>
      </c>
      <c r="P1132" s="52">
        <f t="shared" si="247"/>
        <v>0</v>
      </c>
      <c r="Q1132" s="49">
        <v>116.88487613461319</v>
      </c>
      <c r="R1132">
        <v>2225</v>
      </c>
      <c r="S1132" s="50">
        <f t="shared" si="243"/>
        <v>71535.307499999995</v>
      </c>
      <c r="T1132" s="50">
        <f t="shared" si="248"/>
        <v>0</v>
      </c>
      <c r="U1132" s="58">
        <f t="shared" si="249"/>
        <v>0</v>
      </c>
      <c r="V1132" s="58">
        <f t="shared" si="250"/>
        <v>0</v>
      </c>
      <c r="W1132" s="58">
        <f t="shared" si="251"/>
        <v>0</v>
      </c>
      <c r="X1132" s="58">
        <f t="shared" si="252"/>
        <v>0</v>
      </c>
      <c r="Y1132" s="52">
        <f t="shared" si="253"/>
        <v>0</v>
      </c>
    </row>
    <row r="1133" spans="1:25" x14ac:dyDescent="0.25">
      <c r="A1133" s="1218" t="s">
        <v>187</v>
      </c>
      <c r="B1133" s="98">
        <v>45536</v>
      </c>
      <c r="C1133" s="117" t="str">
        <f t="shared" si="255"/>
        <v>7L</v>
      </c>
      <c r="D1133" s="96"/>
      <c r="I1133" s="99">
        <f t="shared" si="241"/>
        <v>0</v>
      </c>
      <c r="L1133" s="99">
        <f t="shared" si="242"/>
        <v>0</v>
      </c>
      <c r="M1133" s="44" t="str">
        <f t="shared" si="244"/>
        <v/>
      </c>
      <c r="N1133" s="100">
        <f t="shared" si="245"/>
        <v>0</v>
      </c>
      <c r="O1133" s="101">
        <f t="shared" si="246"/>
        <v>0</v>
      </c>
      <c r="P1133" s="52">
        <f t="shared" si="247"/>
        <v>0</v>
      </c>
      <c r="Q1133" s="49">
        <v>116.88487613461319</v>
      </c>
      <c r="R1133">
        <v>2225</v>
      </c>
      <c r="S1133" s="50">
        <f t="shared" si="243"/>
        <v>71535.307499999995</v>
      </c>
      <c r="T1133" s="50">
        <f t="shared" si="248"/>
        <v>0</v>
      </c>
      <c r="U1133" s="58">
        <f t="shared" si="249"/>
        <v>0</v>
      </c>
      <c r="V1133" s="58">
        <f t="shared" si="250"/>
        <v>0</v>
      </c>
      <c r="W1133" s="58">
        <f t="shared" si="251"/>
        <v>0</v>
      </c>
      <c r="X1133" s="58">
        <f t="shared" si="252"/>
        <v>0</v>
      </c>
      <c r="Y1133" s="52">
        <f t="shared" si="253"/>
        <v>0</v>
      </c>
    </row>
    <row r="1134" spans="1:25" x14ac:dyDescent="0.25">
      <c r="A1134" s="1218" t="s">
        <v>188</v>
      </c>
      <c r="B1134" s="98">
        <v>45536</v>
      </c>
      <c r="C1134" s="117" t="str">
        <f t="shared" si="255"/>
        <v>7L</v>
      </c>
      <c r="D1134" s="96"/>
      <c r="I1134" s="99">
        <f t="shared" si="241"/>
        <v>0</v>
      </c>
      <c r="L1134" s="99">
        <f t="shared" si="242"/>
        <v>0</v>
      </c>
      <c r="M1134" s="44" t="str">
        <f t="shared" si="244"/>
        <v/>
      </c>
      <c r="N1134" s="100">
        <f t="shared" si="245"/>
        <v>0</v>
      </c>
      <c r="O1134" s="101">
        <f t="shared" si="246"/>
        <v>0</v>
      </c>
      <c r="P1134" s="52">
        <f t="shared" si="247"/>
        <v>0</v>
      </c>
      <c r="Q1134" s="49">
        <v>116.88487613461319</v>
      </c>
      <c r="R1134">
        <v>2225</v>
      </c>
      <c r="S1134" s="50">
        <f t="shared" si="243"/>
        <v>71535.307499999995</v>
      </c>
      <c r="T1134" s="50">
        <f t="shared" si="248"/>
        <v>0</v>
      </c>
      <c r="U1134" s="58">
        <f t="shared" si="249"/>
        <v>0</v>
      </c>
      <c r="V1134" s="58">
        <f t="shared" si="250"/>
        <v>0</v>
      </c>
      <c r="W1134" s="58">
        <f t="shared" si="251"/>
        <v>0</v>
      </c>
      <c r="X1134" s="58">
        <f t="shared" si="252"/>
        <v>0</v>
      </c>
      <c r="Y1134" s="52">
        <f t="shared" si="253"/>
        <v>0</v>
      </c>
    </row>
    <row r="1135" spans="1:25" x14ac:dyDescent="0.25">
      <c r="A1135" s="1218" t="s">
        <v>189</v>
      </c>
      <c r="B1135" s="98">
        <v>45536</v>
      </c>
      <c r="C1135" s="117" t="str">
        <f t="shared" si="255"/>
        <v>7L</v>
      </c>
      <c r="D1135" s="96"/>
      <c r="I1135" s="99">
        <f t="shared" ref="I1135:I1198" si="256">IFERROR(G1135*H1135/1000,"")</f>
        <v>0</v>
      </c>
      <c r="L1135" s="99">
        <f t="shared" ref="L1135:L1198" si="257">IFERROR(J1135*K1135/1000,"")</f>
        <v>0</v>
      </c>
      <c r="M1135" s="44" t="str">
        <f t="shared" si="244"/>
        <v/>
      </c>
      <c r="N1135" s="100">
        <f t="shared" si="245"/>
        <v>0</v>
      </c>
      <c r="O1135" s="101">
        <f t="shared" si="246"/>
        <v>0</v>
      </c>
      <c r="P1135" s="52">
        <f t="shared" si="247"/>
        <v>0</v>
      </c>
      <c r="Q1135" s="49">
        <v>116.88487613461319</v>
      </c>
      <c r="R1135">
        <v>2225</v>
      </c>
      <c r="S1135" s="50">
        <f t="shared" ref="S1135:S1198" si="258">R1135*32.1507</f>
        <v>71535.307499999995</v>
      </c>
      <c r="T1135" s="50">
        <f t="shared" si="248"/>
        <v>0</v>
      </c>
      <c r="U1135" s="58">
        <f t="shared" si="249"/>
        <v>0</v>
      </c>
      <c r="V1135" s="58">
        <f t="shared" si="250"/>
        <v>0</v>
      </c>
      <c r="W1135" s="58">
        <f t="shared" si="251"/>
        <v>0</v>
      </c>
      <c r="X1135" s="58">
        <f t="shared" si="252"/>
        <v>0</v>
      </c>
      <c r="Y1135" s="52">
        <f t="shared" si="253"/>
        <v>0</v>
      </c>
    </row>
    <row r="1136" spans="1:25" x14ac:dyDescent="0.25">
      <c r="A1136" s="1218" t="s">
        <v>190</v>
      </c>
      <c r="B1136" s="98">
        <v>45536</v>
      </c>
      <c r="C1136" s="117" t="str">
        <f t="shared" si="255"/>
        <v>8L</v>
      </c>
      <c r="D1136" s="96"/>
      <c r="I1136" s="99">
        <f t="shared" si="256"/>
        <v>0</v>
      </c>
      <c r="L1136" s="99">
        <f t="shared" si="257"/>
        <v>0</v>
      </c>
      <c r="M1136" s="44" t="str">
        <f t="shared" si="244"/>
        <v/>
      </c>
      <c r="N1136" s="100">
        <f t="shared" si="245"/>
        <v>0</v>
      </c>
      <c r="O1136" s="101">
        <f t="shared" si="246"/>
        <v>0</v>
      </c>
      <c r="P1136" s="52">
        <f t="shared" si="247"/>
        <v>0</v>
      </c>
      <c r="Q1136" s="49">
        <v>116.88487613461319</v>
      </c>
      <c r="R1136">
        <v>2225</v>
      </c>
      <c r="S1136" s="50">
        <f t="shared" si="258"/>
        <v>71535.307499999995</v>
      </c>
      <c r="T1136" s="50">
        <f t="shared" si="248"/>
        <v>0</v>
      </c>
      <c r="U1136" s="58">
        <f t="shared" si="249"/>
        <v>0</v>
      </c>
      <c r="V1136" s="58">
        <f t="shared" si="250"/>
        <v>0</v>
      </c>
      <c r="W1136" s="58">
        <f t="shared" si="251"/>
        <v>0</v>
      </c>
      <c r="X1136" s="58">
        <f t="shared" si="252"/>
        <v>0</v>
      </c>
      <c r="Y1136" s="52">
        <f t="shared" si="253"/>
        <v>0</v>
      </c>
    </row>
    <row r="1137" spans="1:25" x14ac:dyDescent="0.25">
      <c r="A1137" s="1218" t="s">
        <v>191</v>
      </c>
      <c r="B1137" s="98">
        <v>45536</v>
      </c>
      <c r="C1137" s="117" t="str">
        <f t="shared" si="255"/>
        <v>8L</v>
      </c>
      <c r="D1137" s="96"/>
      <c r="I1137" s="99">
        <f t="shared" si="256"/>
        <v>0</v>
      </c>
      <c r="L1137" s="99">
        <f t="shared" si="257"/>
        <v>0</v>
      </c>
      <c r="M1137" s="44" t="str">
        <f t="shared" ref="M1137:M1203" si="259">IFERROR((L1137-I1137)/I1137,"")</f>
        <v/>
      </c>
      <c r="N1137" s="100">
        <f t="shared" ref="N1137:N1203" si="260">J1137-G1137</f>
        <v>0</v>
      </c>
      <c r="O1137" s="101">
        <f t="shared" ref="O1137:O1203" si="261">L1137-I1137</f>
        <v>0</v>
      </c>
      <c r="P1137" s="52">
        <f t="shared" ref="P1137:P1203" si="262">U1137-W1137</f>
        <v>0</v>
      </c>
      <c r="Q1137" s="49">
        <v>116.88487613461319</v>
      </c>
      <c r="R1137">
        <v>2225</v>
      </c>
      <c r="S1137" s="50">
        <f t="shared" si="258"/>
        <v>71535.307499999995</v>
      </c>
      <c r="T1137" s="50">
        <f t="shared" ref="T1137:T1203" si="263">IFERROR(S1137*I1137,"")</f>
        <v>0</v>
      </c>
      <c r="U1137" s="58">
        <f t="shared" ref="U1137:U1203" si="264">IFERROR(S1137*L1137,"")</f>
        <v>0</v>
      </c>
      <c r="V1137" s="58">
        <f t="shared" ref="V1137:V1203" si="265">IFERROR(Q1137*G1137,"")</f>
        <v>0</v>
      </c>
      <c r="W1137" s="58">
        <f t="shared" ref="W1137:W1203" si="266">IFERROR(Q1137*J1137,"")</f>
        <v>0</v>
      </c>
      <c r="X1137" s="58">
        <f t="shared" ref="X1137:X1203" si="267">T1137-V1137</f>
        <v>0</v>
      </c>
      <c r="Y1137" s="52">
        <f t="shared" ref="Y1137:Y1203" si="268">U1137-W1137</f>
        <v>0</v>
      </c>
    </row>
    <row r="1138" spans="1:25" x14ac:dyDescent="0.25">
      <c r="A1138" s="1218" t="s">
        <v>192</v>
      </c>
      <c r="B1138" s="98">
        <v>45536</v>
      </c>
      <c r="C1138" s="117" t="str">
        <f t="shared" si="255"/>
        <v>8L</v>
      </c>
      <c r="D1138" s="96"/>
      <c r="I1138" s="99">
        <f t="shared" si="256"/>
        <v>0</v>
      </c>
      <c r="L1138" s="99">
        <f t="shared" si="257"/>
        <v>0</v>
      </c>
      <c r="M1138" s="44" t="str">
        <f t="shared" si="259"/>
        <v/>
      </c>
      <c r="N1138" s="100">
        <f t="shared" si="260"/>
        <v>0</v>
      </c>
      <c r="O1138" s="101">
        <f t="shared" si="261"/>
        <v>0</v>
      </c>
      <c r="P1138" s="52">
        <f t="shared" si="262"/>
        <v>0</v>
      </c>
      <c r="Q1138" s="49">
        <v>116.88487613461319</v>
      </c>
      <c r="R1138">
        <v>2225</v>
      </c>
      <c r="S1138" s="50">
        <f t="shared" si="258"/>
        <v>71535.307499999995</v>
      </c>
      <c r="T1138" s="50">
        <f t="shared" si="263"/>
        <v>0</v>
      </c>
      <c r="U1138" s="58">
        <f t="shared" si="264"/>
        <v>0</v>
      </c>
      <c r="V1138" s="58">
        <f t="shared" si="265"/>
        <v>0</v>
      </c>
      <c r="W1138" s="58">
        <f t="shared" si="266"/>
        <v>0</v>
      </c>
      <c r="X1138" s="58">
        <f t="shared" si="267"/>
        <v>0</v>
      </c>
      <c r="Y1138" s="52">
        <f t="shared" si="268"/>
        <v>0</v>
      </c>
    </row>
    <row r="1139" spans="1:25" x14ac:dyDescent="0.25">
      <c r="A1139" s="1218" t="s">
        <v>193</v>
      </c>
      <c r="B1139" s="98">
        <v>45536</v>
      </c>
      <c r="C1139" s="117" t="str">
        <f t="shared" si="255"/>
        <v>8L</v>
      </c>
      <c r="D1139" s="96"/>
      <c r="I1139" s="99">
        <f t="shared" si="256"/>
        <v>0</v>
      </c>
      <c r="L1139" s="99">
        <f t="shared" si="257"/>
        <v>0</v>
      </c>
      <c r="M1139" s="44" t="str">
        <f t="shared" si="259"/>
        <v/>
      </c>
      <c r="N1139" s="100">
        <f t="shared" si="260"/>
        <v>0</v>
      </c>
      <c r="O1139" s="101">
        <f t="shared" si="261"/>
        <v>0</v>
      </c>
      <c r="P1139" s="52">
        <f t="shared" si="262"/>
        <v>0</v>
      </c>
      <c r="Q1139" s="49">
        <v>116.88487613461319</v>
      </c>
      <c r="R1139">
        <v>2225</v>
      </c>
      <c r="S1139" s="50">
        <f t="shared" si="258"/>
        <v>71535.307499999995</v>
      </c>
      <c r="T1139" s="50">
        <f t="shared" si="263"/>
        <v>0</v>
      </c>
      <c r="U1139" s="58">
        <f t="shared" si="264"/>
        <v>0</v>
      </c>
      <c r="V1139" s="58">
        <f t="shared" si="265"/>
        <v>0</v>
      </c>
      <c r="W1139" s="58">
        <f t="shared" si="266"/>
        <v>0</v>
      </c>
      <c r="X1139" s="58">
        <f t="shared" si="267"/>
        <v>0</v>
      </c>
      <c r="Y1139" s="52">
        <f t="shared" si="268"/>
        <v>0</v>
      </c>
    </row>
    <row r="1140" spans="1:25" x14ac:dyDescent="0.25">
      <c r="A1140" s="1218" t="s">
        <v>194</v>
      </c>
      <c r="B1140" s="98">
        <v>45536</v>
      </c>
      <c r="C1140" s="117" t="str">
        <f t="shared" si="255"/>
        <v>8L</v>
      </c>
      <c r="D1140" s="96"/>
      <c r="I1140" s="99">
        <f t="shared" si="256"/>
        <v>0</v>
      </c>
      <c r="L1140" s="99">
        <f t="shared" si="257"/>
        <v>0</v>
      </c>
      <c r="M1140" s="44" t="str">
        <f t="shared" si="259"/>
        <v/>
      </c>
      <c r="N1140" s="100">
        <f t="shared" si="260"/>
        <v>0</v>
      </c>
      <c r="O1140" s="101">
        <f t="shared" si="261"/>
        <v>0</v>
      </c>
      <c r="P1140" s="52">
        <f t="shared" si="262"/>
        <v>0</v>
      </c>
      <c r="Q1140" s="49">
        <v>116.88487613461319</v>
      </c>
      <c r="R1140">
        <v>2225</v>
      </c>
      <c r="S1140" s="50">
        <f t="shared" si="258"/>
        <v>71535.307499999995</v>
      </c>
      <c r="T1140" s="50">
        <f t="shared" si="263"/>
        <v>0</v>
      </c>
      <c r="U1140" s="58">
        <f t="shared" si="264"/>
        <v>0</v>
      </c>
      <c r="V1140" s="58">
        <f t="shared" si="265"/>
        <v>0</v>
      </c>
      <c r="W1140" s="58">
        <f t="shared" si="266"/>
        <v>0</v>
      </c>
      <c r="X1140" s="58">
        <f t="shared" si="267"/>
        <v>0</v>
      </c>
      <c r="Y1140" s="52">
        <f t="shared" si="268"/>
        <v>0</v>
      </c>
    </row>
    <row r="1141" spans="1:25" x14ac:dyDescent="0.25">
      <c r="A1141" s="1218" t="s">
        <v>195</v>
      </c>
      <c r="B1141" s="98">
        <v>45536</v>
      </c>
      <c r="C1141" s="117" t="str">
        <f t="shared" si="255"/>
        <v>8L</v>
      </c>
      <c r="D1141" s="96"/>
      <c r="I1141" s="99">
        <f t="shared" si="256"/>
        <v>0</v>
      </c>
      <c r="L1141" s="99">
        <f t="shared" si="257"/>
        <v>0</v>
      </c>
      <c r="M1141" s="44" t="str">
        <f t="shared" si="259"/>
        <v/>
      </c>
      <c r="N1141" s="100">
        <f t="shared" si="260"/>
        <v>0</v>
      </c>
      <c r="O1141" s="101">
        <f t="shared" si="261"/>
        <v>0</v>
      </c>
      <c r="P1141" s="52">
        <f t="shared" si="262"/>
        <v>0</v>
      </c>
      <c r="Q1141" s="49">
        <v>116.88487613461319</v>
      </c>
      <c r="R1141">
        <v>2225</v>
      </c>
      <c r="S1141" s="50">
        <f t="shared" si="258"/>
        <v>71535.307499999995</v>
      </c>
      <c r="T1141" s="50">
        <f t="shared" si="263"/>
        <v>0</v>
      </c>
      <c r="U1141" s="58">
        <f t="shared" si="264"/>
        <v>0</v>
      </c>
      <c r="V1141" s="58">
        <f t="shared" si="265"/>
        <v>0</v>
      </c>
      <c r="W1141" s="58">
        <f t="shared" si="266"/>
        <v>0</v>
      </c>
      <c r="X1141" s="58">
        <f t="shared" si="267"/>
        <v>0</v>
      </c>
      <c r="Y1141" s="52">
        <f t="shared" si="268"/>
        <v>0</v>
      </c>
    </row>
    <row r="1142" spans="1:25" x14ac:dyDescent="0.25">
      <c r="A1142" s="1218" t="s">
        <v>196</v>
      </c>
      <c r="B1142" s="98">
        <v>45536</v>
      </c>
      <c r="C1142" s="117" t="str">
        <f t="shared" si="255"/>
        <v>8L</v>
      </c>
      <c r="D1142" s="96"/>
      <c r="I1142" s="99">
        <f t="shared" si="256"/>
        <v>0</v>
      </c>
      <c r="L1142" s="99">
        <f t="shared" si="257"/>
        <v>0</v>
      </c>
      <c r="M1142" s="44" t="str">
        <f t="shared" si="259"/>
        <v/>
      </c>
      <c r="N1142" s="100">
        <f t="shared" si="260"/>
        <v>0</v>
      </c>
      <c r="O1142" s="101">
        <f t="shared" si="261"/>
        <v>0</v>
      </c>
      <c r="P1142" s="52">
        <f t="shared" si="262"/>
        <v>0</v>
      </c>
      <c r="Q1142" s="49">
        <v>116.88487613461319</v>
      </c>
      <c r="R1142">
        <v>2225</v>
      </c>
      <c r="S1142" s="50">
        <f t="shared" si="258"/>
        <v>71535.307499999995</v>
      </c>
      <c r="T1142" s="50">
        <f t="shared" si="263"/>
        <v>0</v>
      </c>
      <c r="U1142" s="58">
        <f t="shared" si="264"/>
        <v>0</v>
      </c>
      <c r="V1142" s="58">
        <f t="shared" si="265"/>
        <v>0</v>
      </c>
      <c r="W1142" s="58">
        <f t="shared" si="266"/>
        <v>0</v>
      </c>
      <c r="X1142" s="58">
        <f t="shared" si="267"/>
        <v>0</v>
      </c>
      <c r="Y1142" s="52">
        <f t="shared" si="268"/>
        <v>0</v>
      </c>
    </row>
    <row r="1143" spans="1:25" x14ac:dyDescent="0.25">
      <c r="A1143" s="1218" t="s">
        <v>197</v>
      </c>
      <c r="B1143" s="98">
        <v>45536</v>
      </c>
      <c r="C1143" s="117" t="str">
        <f t="shared" si="255"/>
        <v>8L</v>
      </c>
      <c r="D1143" s="96"/>
      <c r="I1143" s="99">
        <f t="shared" si="256"/>
        <v>0</v>
      </c>
      <c r="L1143" s="99">
        <f t="shared" si="257"/>
        <v>0</v>
      </c>
      <c r="M1143" s="44" t="str">
        <f t="shared" si="259"/>
        <v/>
      </c>
      <c r="N1143" s="100">
        <f t="shared" si="260"/>
        <v>0</v>
      </c>
      <c r="O1143" s="101">
        <f t="shared" si="261"/>
        <v>0</v>
      </c>
      <c r="P1143" s="52">
        <f t="shared" si="262"/>
        <v>0</v>
      </c>
      <c r="Q1143" s="49">
        <v>116.88487613461319</v>
      </c>
      <c r="R1143">
        <v>2225</v>
      </c>
      <c r="S1143" s="50">
        <f t="shared" si="258"/>
        <v>71535.307499999995</v>
      </c>
      <c r="T1143" s="50">
        <f t="shared" si="263"/>
        <v>0</v>
      </c>
      <c r="U1143" s="58">
        <f t="shared" si="264"/>
        <v>0</v>
      </c>
      <c r="V1143" s="58">
        <f t="shared" si="265"/>
        <v>0</v>
      </c>
      <c r="W1143" s="58">
        <f t="shared" si="266"/>
        <v>0</v>
      </c>
      <c r="X1143" s="58">
        <f t="shared" si="267"/>
        <v>0</v>
      </c>
      <c r="Y1143" s="52">
        <f t="shared" si="268"/>
        <v>0</v>
      </c>
    </row>
    <row r="1144" spans="1:25" x14ac:dyDescent="0.25">
      <c r="A1144" s="1218" t="s">
        <v>198</v>
      </c>
      <c r="B1144" s="98">
        <v>45536</v>
      </c>
      <c r="C1144" s="117" t="str">
        <f t="shared" si="255"/>
        <v>8L</v>
      </c>
      <c r="D1144" s="96"/>
      <c r="I1144" s="99">
        <f t="shared" si="256"/>
        <v>0</v>
      </c>
      <c r="L1144" s="99">
        <f t="shared" si="257"/>
        <v>0</v>
      </c>
      <c r="M1144" s="44" t="str">
        <f t="shared" si="259"/>
        <v/>
      </c>
      <c r="N1144" s="100">
        <f t="shared" si="260"/>
        <v>0</v>
      </c>
      <c r="O1144" s="101">
        <f t="shared" si="261"/>
        <v>0</v>
      </c>
      <c r="P1144" s="52">
        <f t="shared" si="262"/>
        <v>0</v>
      </c>
      <c r="Q1144" s="49">
        <v>116.88487613461319</v>
      </c>
      <c r="R1144">
        <v>2225</v>
      </c>
      <c r="S1144" s="50">
        <f t="shared" si="258"/>
        <v>71535.307499999995</v>
      </c>
      <c r="T1144" s="50">
        <f t="shared" si="263"/>
        <v>0</v>
      </c>
      <c r="U1144" s="58">
        <f t="shared" si="264"/>
        <v>0</v>
      </c>
      <c r="V1144" s="58">
        <f t="shared" si="265"/>
        <v>0</v>
      </c>
      <c r="W1144" s="58">
        <f t="shared" si="266"/>
        <v>0</v>
      </c>
      <c r="X1144" s="58">
        <f t="shared" si="267"/>
        <v>0</v>
      </c>
      <c r="Y1144" s="52">
        <f t="shared" si="268"/>
        <v>0</v>
      </c>
    </row>
    <row r="1145" spans="1:25" x14ac:dyDescent="0.25">
      <c r="A1145" s="1218" t="s">
        <v>199</v>
      </c>
      <c r="B1145" s="98">
        <v>45536</v>
      </c>
      <c r="C1145" s="117" t="str">
        <f t="shared" si="255"/>
        <v>8L</v>
      </c>
      <c r="D1145" s="96"/>
      <c r="I1145" s="99">
        <f t="shared" si="256"/>
        <v>0</v>
      </c>
      <c r="L1145" s="99">
        <f t="shared" si="257"/>
        <v>0</v>
      </c>
      <c r="M1145" s="44" t="str">
        <f t="shared" si="259"/>
        <v/>
      </c>
      <c r="N1145" s="100">
        <f t="shared" si="260"/>
        <v>0</v>
      </c>
      <c r="O1145" s="101">
        <f t="shared" si="261"/>
        <v>0</v>
      </c>
      <c r="P1145" s="52">
        <f t="shared" si="262"/>
        <v>0</v>
      </c>
      <c r="Q1145" s="49">
        <v>116.88487613461319</v>
      </c>
      <c r="R1145">
        <v>2225</v>
      </c>
      <c r="S1145" s="50">
        <f t="shared" si="258"/>
        <v>71535.307499999995</v>
      </c>
      <c r="T1145" s="50">
        <f t="shared" si="263"/>
        <v>0</v>
      </c>
      <c r="U1145" s="58">
        <f t="shared" si="264"/>
        <v>0</v>
      </c>
      <c r="V1145" s="58">
        <f t="shared" si="265"/>
        <v>0</v>
      </c>
      <c r="W1145" s="58">
        <f t="shared" si="266"/>
        <v>0</v>
      </c>
      <c r="X1145" s="58">
        <f t="shared" si="267"/>
        <v>0</v>
      </c>
      <c r="Y1145" s="52">
        <f t="shared" si="268"/>
        <v>0</v>
      </c>
    </row>
    <row r="1146" spans="1:25" x14ac:dyDescent="0.25">
      <c r="A1146" s="1218" t="s">
        <v>200</v>
      </c>
      <c r="B1146" s="98">
        <v>45536</v>
      </c>
      <c r="C1146" s="117" t="str">
        <f t="shared" si="255"/>
        <v>8L</v>
      </c>
      <c r="D1146" s="96"/>
      <c r="I1146" s="99">
        <f t="shared" si="256"/>
        <v>0</v>
      </c>
      <c r="L1146" s="99">
        <f t="shared" si="257"/>
        <v>0</v>
      </c>
      <c r="M1146" s="44" t="str">
        <f t="shared" si="259"/>
        <v/>
      </c>
      <c r="N1146" s="100">
        <f t="shared" si="260"/>
        <v>0</v>
      </c>
      <c r="O1146" s="101">
        <f t="shared" si="261"/>
        <v>0</v>
      </c>
      <c r="P1146" s="52">
        <f t="shared" si="262"/>
        <v>0</v>
      </c>
      <c r="Q1146" s="49">
        <v>116.88487613461319</v>
      </c>
      <c r="R1146">
        <v>2225</v>
      </c>
      <c r="S1146" s="50">
        <f t="shared" si="258"/>
        <v>71535.307499999995</v>
      </c>
      <c r="T1146" s="50">
        <f t="shared" si="263"/>
        <v>0</v>
      </c>
      <c r="U1146" s="58">
        <f t="shared" si="264"/>
        <v>0</v>
      </c>
      <c r="V1146" s="58">
        <f t="shared" si="265"/>
        <v>0</v>
      </c>
      <c r="W1146" s="58">
        <f t="shared" si="266"/>
        <v>0</v>
      </c>
      <c r="X1146" s="58">
        <f t="shared" si="267"/>
        <v>0</v>
      </c>
      <c r="Y1146" s="52">
        <f t="shared" si="268"/>
        <v>0</v>
      </c>
    </row>
    <row r="1147" spans="1:25" x14ac:dyDescent="0.25">
      <c r="A1147" s="1218" t="s">
        <v>201</v>
      </c>
      <c r="B1147" s="98">
        <v>45536</v>
      </c>
      <c r="C1147" s="117" t="str">
        <f t="shared" si="255"/>
        <v>8L</v>
      </c>
      <c r="D1147" s="96"/>
      <c r="I1147" s="99">
        <f t="shared" si="256"/>
        <v>0</v>
      </c>
      <c r="L1147" s="99">
        <f t="shared" si="257"/>
        <v>0</v>
      </c>
      <c r="M1147" s="44" t="str">
        <f t="shared" si="259"/>
        <v/>
      </c>
      <c r="N1147" s="100">
        <f t="shared" si="260"/>
        <v>0</v>
      </c>
      <c r="O1147" s="101">
        <f t="shared" si="261"/>
        <v>0</v>
      </c>
      <c r="P1147" s="52">
        <f t="shared" si="262"/>
        <v>0</v>
      </c>
      <c r="Q1147" s="49">
        <v>116.88487613461319</v>
      </c>
      <c r="R1147">
        <v>2225</v>
      </c>
      <c r="S1147" s="50">
        <f t="shared" si="258"/>
        <v>71535.307499999995</v>
      </c>
      <c r="T1147" s="50">
        <f t="shared" si="263"/>
        <v>0</v>
      </c>
      <c r="U1147" s="58">
        <f t="shared" si="264"/>
        <v>0</v>
      </c>
      <c r="V1147" s="58">
        <f t="shared" si="265"/>
        <v>0</v>
      </c>
      <c r="W1147" s="58">
        <f t="shared" si="266"/>
        <v>0</v>
      </c>
      <c r="X1147" s="58">
        <f t="shared" si="267"/>
        <v>0</v>
      </c>
      <c r="Y1147" s="52">
        <f t="shared" si="268"/>
        <v>0</v>
      </c>
    </row>
    <row r="1148" spans="1:25" x14ac:dyDescent="0.25">
      <c r="A1148" s="1218" t="s">
        <v>202</v>
      </c>
      <c r="B1148" s="98">
        <v>45536</v>
      </c>
      <c r="C1148" s="117" t="str">
        <f t="shared" si="255"/>
        <v>8L</v>
      </c>
      <c r="D1148" s="96"/>
      <c r="I1148" s="99">
        <f t="shared" si="256"/>
        <v>0</v>
      </c>
      <c r="L1148" s="99">
        <f t="shared" si="257"/>
        <v>0</v>
      </c>
      <c r="M1148" s="44" t="str">
        <f t="shared" si="259"/>
        <v/>
      </c>
      <c r="N1148" s="100">
        <f t="shared" si="260"/>
        <v>0</v>
      </c>
      <c r="O1148" s="101">
        <f t="shared" si="261"/>
        <v>0</v>
      </c>
      <c r="P1148" s="52">
        <f t="shared" si="262"/>
        <v>0</v>
      </c>
      <c r="Q1148" s="49">
        <v>116.88487613461319</v>
      </c>
      <c r="R1148">
        <v>2225</v>
      </c>
      <c r="S1148" s="50">
        <f t="shared" si="258"/>
        <v>71535.307499999995</v>
      </c>
      <c r="T1148" s="50">
        <f t="shared" si="263"/>
        <v>0</v>
      </c>
      <c r="U1148" s="58">
        <f t="shared" si="264"/>
        <v>0</v>
      </c>
      <c r="V1148" s="58">
        <f t="shared" si="265"/>
        <v>0</v>
      </c>
      <c r="W1148" s="58">
        <f t="shared" si="266"/>
        <v>0</v>
      </c>
      <c r="X1148" s="58">
        <f t="shared" si="267"/>
        <v>0</v>
      </c>
      <c r="Y1148" s="52">
        <f t="shared" si="268"/>
        <v>0</v>
      </c>
    </row>
    <row r="1149" spans="1:25" x14ac:dyDescent="0.25">
      <c r="A1149" s="1218" t="s">
        <v>203</v>
      </c>
      <c r="B1149" s="98">
        <v>45536</v>
      </c>
      <c r="C1149" s="117" t="str">
        <f t="shared" si="255"/>
        <v>8L</v>
      </c>
      <c r="D1149" s="96"/>
      <c r="I1149" s="99">
        <f t="shared" si="256"/>
        <v>0</v>
      </c>
      <c r="L1149" s="99">
        <f t="shared" si="257"/>
        <v>0</v>
      </c>
      <c r="M1149" s="44" t="str">
        <f t="shared" si="259"/>
        <v/>
      </c>
      <c r="N1149" s="100">
        <f t="shared" si="260"/>
        <v>0</v>
      </c>
      <c r="O1149" s="101">
        <f t="shared" si="261"/>
        <v>0</v>
      </c>
      <c r="P1149" s="52">
        <f t="shared" si="262"/>
        <v>0</v>
      </c>
      <c r="Q1149" s="49">
        <v>116.88487613461319</v>
      </c>
      <c r="R1149">
        <v>2225</v>
      </c>
      <c r="S1149" s="50">
        <f t="shared" si="258"/>
        <v>71535.307499999995</v>
      </c>
      <c r="T1149" s="50">
        <f t="shared" si="263"/>
        <v>0</v>
      </c>
      <c r="U1149" s="58">
        <f t="shared" si="264"/>
        <v>0</v>
      </c>
      <c r="V1149" s="58">
        <f t="shared" si="265"/>
        <v>0</v>
      </c>
      <c r="W1149" s="58">
        <f t="shared" si="266"/>
        <v>0</v>
      </c>
      <c r="X1149" s="58">
        <f t="shared" si="267"/>
        <v>0</v>
      </c>
      <c r="Y1149" s="52">
        <f t="shared" si="268"/>
        <v>0</v>
      </c>
    </row>
    <row r="1150" spans="1:25" x14ac:dyDescent="0.25">
      <c r="A1150" s="1218" t="s">
        <v>204</v>
      </c>
      <c r="B1150" s="98">
        <v>45536</v>
      </c>
      <c r="C1150" s="117" t="str">
        <f t="shared" si="255"/>
        <v>8L</v>
      </c>
      <c r="D1150" s="96"/>
      <c r="I1150" s="99">
        <f t="shared" si="256"/>
        <v>0</v>
      </c>
      <c r="L1150" s="99">
        <f t="shared" si="257"/>
        <v>0</v>
      </c>
      <c r="M1150" s="44" t="str">
        <f t="shared" si="259"/>
        <v/>
      </c>
      <c r="N1150" s="100">
        <f t="shared" si="260"/>
        <v>0</v>
      </c>
      <c r="O1150" s="101">
        <f t="shared" si="261"/>
        <v>0</v>
      </c>
      <c r="P1150" s="52">
        <f t="shared" si="262"/>
        <v>0</v>
      </c>
      <c r="Q1150" s="49">
        <v>116.88487613461319</v>
      </c>
      <c r="R1150">
        <v>2225</v>
      </c>
      <c r="S1150" s="50">
        <f t="shared" si="258"/>
        <v>71535.307499999995</v>
      </c>
      <c r="T1150" s="50">
        <f t="shared" si="263"/>
        <v>0</v>
      </c>
      <c r="U1150" s="58">
        <f t="shared" si="264"/>
        <v>0</v>
      </c>
      <c r="V1150" s="58">
        <f t="shared" si="265"/>
        <v>0</v>
      </c>
      <c r="W1150" s="58">
        <f t="shared" si="266"/>
        <v>0</v>
      </c>
      <c r="X1150" s="58">
        <f t="shared" si="267"/>
        <v>0</v>
      </c>
      <c r="Y1150" s="52">
        <f t="shared" si="268"/>
        <v>0</v>
      </c>
    </row>
    <row r="1151" spans="1:25" x14ac:dyDescent="0.25">
      <c r="A1151" s="1218" t="s">
        <v>205</v>
      </c>
      <c r="B1151" s="98">
        <v>45536</v>
      </c>
      <c r="C1151" s="117" t="str">
        <f t="shared" si="255"/>
        <v>8L</v>
      </c>
      <c r="D1151" s="96"/>
      <c r="I1151" s="99">
        <f t="shared" si="256"/>
        <v>0</v>
      </c>
      <c r="L1151" s="99">
        <f t="shared" si="257"/>
        <v>0</v>
      </c>
      <c r="M1151" s="44" t="str">
        <f t="shared" si="259"/>
        <v/>
      </c>
      <c r="N1151" s="100">
        <f t="shared" si="260"/>
        <v>0</v>
      </c>
      <c r="O1151" s="101">
        <f t="shared" si="261"/>
        <v>0</v>
      </c>
      <c r="P1151" s="52">
        <f t="shared" si="262"/>
        <v>0</v>
      </c>
      <c r="Q1151" s="49">
        <v>116.88487613461319</v>
      </c>
      <c r="R1151">
        <v>2225</v>
      </c>
      <c r="S1151" s="50">
        <f t="shared" si="258"/>
        <v>71535.307499999995</v>
      </c>
      <c r="T1151" s="50">
        <f t="shared" si="263"/>
        <v>0</v>
      </c>
      <c r="U1151" s="58">
        <f t="shared" si="264"/>
        <v>0</v>
      </c>
      <c r="V1151" s="58">
        <f t="shared" si="265"/>
        <v>0</v>
      </c>
      <c r="W1151" s="58">
        <f t="shared" si="266"/>
        <v>0</v>
      </c>
      <c r="X1151" s="58">
        <f t="shared" si="267"/>
        <v>0</v>
      </c>
      <c r="Y1151" s="52">
        <f t="shared" si="268"/>
        <v>0</v>
      </c>
    </row>
    <row r="1152" spans="1:25" x14ac:dyDescent="0.25">
      <c r="A1152" s="1218" t="s">
        <v>206</v>
      </c>
      <c r="B1152" s="98">
        <v>45536</v>
      </c>
      <c r="C1152" s="117" t="str">
        <f t="shared" si="255"/>
        <v>8L</v>
      </c>
      <c r="D1152" s="96"/>
      <c r="I1152" s="99">
        <f t="shared" si="256"/>
        <v>0</v>
      </c>
      <c r="L1152" s="99">
        <f t="shared" si="257"/>
        <v>0</v>
      </c>
      <c r="M1152" s="44" t="str">
        <f t="shared" si="259"/>
        <v/>
      </c>
      <c r="N1152" s="100">
        <f t="shared" si="260"/>
        <v>0</v>
      </c>
      <c r="O1152" s="101">
        <f t="shared" si="261"/>
        <v>0</v>
      </c>
      <c r="P1152" s="52">
        <f t="shared" si="262"/>
        <v>0</v>
      </c>
      <c r="Q1152" s="49">
        <v>116.88487613461319</v>
      </c>
      <c r="R1152">
        <v>2225</v>
      </c>
      <c r="S1152" s="50">
        <f t="shared" si="258"/>
        <v>71535.307499999995</v>
      </c>
      <c r="T1152" s="50">
        <f t="shared" si="263"/>
        <v>0</v>
      </c>
      <c r="U1152" s="58">
        <f t="shared" si="264"/>
        <v>0</v>
      </c>
      <c r="V1152" s="58">
        <f t="shared" si="265"/>
        <v>0</v>
      </c>
      <c r="W1152" s="58">
        <f t="shared" si="266"/>
        <v>0</v>
      </c>
      <c r="X1152" s="58">
        <f t="shared" si="267"/>
        <v>0</v>
      </c>
      <c r="Y1152" s="52">
        <f t="shared" si="268"/>
        <v>0</v>
      </c>
    </row>
    <row r="1153" spans="1:25" ht="15.75" thickBot="1" x14ac:dyDescent="0.3">
      <c r="A1153" s="1219" t="s">
        <v>207</v>
      </c>
      <c r="B1153" s="98">
        <v>45536</v>
      </c>
      <c r="C1153" s="117" t="str">
        <f t="shared" si="255"/>
        <v>8L</v>
      </c>
      <c r="D1153" s="96"/>
      <c r="I1153" s="99">
        <f t="shared" si="256"/>
        <v>0</v>
      </c>
      <c r="L1153" s="99">
        <f t="shared" si="257"/>
        <v>0</v>
      </c>
      <c r="M1153" s="44" t="str">
        <f t="shared" si="259"/>
        <v/>
      </c>
      <c r="N1153" s="100">
        <f t="shared" si="260"/>
        <v>0</v>
      </c>
      <c r="O1153" s="101">
        <f t="shared" si="261"/>
        <v>0</v>
      </c>
      <c r="P1153" s="52">
        <f t="shared" si="262"/>
        <v>0</v>
      </c>
      <c r="Q1153" s="49">
        <v>116.88487613461319</v>
      </c>
      <c r="R1153">
        <v>2225</v>
      </c>
      <c r="S1153" s="50">
        <f t="shared" si="258"/>
        <v>71535.307499999995</v>
      </c>
      <c r="T1153" s="50">
        <f t="shared" si="263"/>
        <v>0</v>
      </c>
      <c r="U1153" s="58">
        <f t="shared" si="264"/>
        <v>0</v>
      </c>
      <c r="V1153" s="58">
        <f t="shared" si="265"/>
        <v>0</v>
      </c>
      <c r="W1153" s="58">
        <f t="shared" si="266"/>
        <v>0</v>
      </c>
      <c r="X1153" s="58">
        <f t="shared" si="267"/>
        <v>0</v>
      </c>
      <c r="Y1153" s="52">
        <f t="shared" si="268"/>
        <v>0</v>
      </c>
    </row>
    <row r="1154" spans="1:25" x14ac:dyDescent="0.25">
      <c r="A1154" s="97" t="s">
        <v>80</v>
      </c>
      <c r="B1154" s="98">
        <v>45566</v>
      </c>
      <c r="C1154" s="117" t="str">
        <f t="shared" si="255"/>
        <v>1L</v>
      </c>
      <c r="D1154" s="96"/>
      <c r="E1154" s="96"/>
      <c r="F1154" s="96"/>
      <c r="G1154" s="96"/>
      <c r="H1154" s="96"/>
      <c r="I1154" s="99">
        <f t="shared" si="256"/>
        <v>0</v>
      </c>
      <c r="J1154" s="96"/>
      <c r="K1154" s="96"/>
      <c r="L1154" s="99">
        <f t="shared" si="257"/>
        <v>0</v>
      </c>
      <c r="M1154" s="44" t="str">
        <f t="shared" si="259"/>
        <v/>
      </c>
      <c r="N1154" s="100">
        <f t="shared" si="260"/>
        <v>0</v>
      </c>
      <c r="O1154" s="101">
        <f t="shared" si="261"/>
        <v>0</v>
      </c>
      <c r="P1154" s="52">
        <f t="shared" si="262"/>
        <v>0</v>
      </c>
      <c r="Q1154" s="49">
        <v>116.88487613461319</v>
      </c>
      <c r="R1154">
        <v>2225</v>
      </c>
      <c r="S1154" s="50">
        <f t="shared" si="258"/>
        <v>71535.307499999995</v>
      </c>
      <c r="T1154" s="50">
        <f t="shared" si="263"/>
        <v>0</v>
      </c>
      <c r="U1154" s="58">
        <f t="shared" si="264"/>
        <v>0</v>
      </c>
      <c r="V1154" s="58">
        <f t="shared" si="265"/>
        <v>0</v>
      </c>
      <c r="W1154" s="58">
        <f t="shared" si="266"/>
        <v>0</v>
      </c>
      <c r="X1154" s="58">
        <f t="shared" si="267"/>
        <v>0</v>
      </c>
      <c r="Y1154" s="52">
        <f t="shared" si="268"/>
        <v>0</v>
      </c>
    </row>
    <row r="1155" spans="1:25" x14ac:dyDescent="0.25">
      <c r="A1155" s="1218" t="s">
        <v>81</v>
      </c>
      <c r="B1155" s="98">
        <v>45566</v>
      </c>
      <c r="C1155" s="117" t="str">
        <f t="shared" si="255"/>
        <v>1L</v>
      </c>
      <c r="D1155" s="96"/>
      <c r="E1155" s="96"/>
      <c r="F1155" s="96"/>
      <c r="G1155" s="96"/>
      <c r="H1155" s="96"/>
      <c r="I1155" s="99">
        <f t="shared" si="256"/>
        <v>0</v>
      </c>
      <c r="J1155" s="96"/>
      <c r="K1155" s="96"/>
      <c r="L1155" s="99">
        <f t="shared" si="257"/>
        <v>0</v>
      </c>
      <c r="M1155" s="44" t="str">
        <f t="shared" si="259"/>
        <v/>
      </c>
      <c r="N1155" s="100">
        <f t="shared" si="260"/>
        <v>0</v>
      </c>
      <c r="O1155" s="101">
        <f t="shared" si="261"/>
        <v>0</v>
      </c>
      <c r="P1155" s="52">
        <f t="shared" si="262"/>
        <v>0</v>
      </c>
      <c r="Q1155" s="49">
        <v>116.88487613461319</v>
      </c>
      <c r="R1155">
        <v>2225</v>
      </c>
      <c r="S1155" s="50">
        <f t="shared" si="258"/>
        <v>71535.307499999995</v>
      </c>
      <c r="T1155" s="50">
        <f t="shared" si="263"/>
        <v>0</v>
      </c>
      <c r="U1155" s="58">
        <f t="shared" si="264"/>
        <v>0</v>
      </c>
      <c r="V1155" s="58">
        <f t="shared" si="265"/>
        <v>0</v>
      </c>
      <c r="W1155" s="58">
        <f t="shared" si="266"/>
        <v>0</v>
      </c>
      <c r="X1155" s="58">
        <f t="shared" si="267"/>
        <v>0</v>
      </c>
      <c r="Y1155" s="52">
        <f t="shared" si="268"/>
        <v>0</v>
      </c>
    </row>
    <row r="1156" spans="1:25" x14ac:dyDescent="0.25">
      <c r="A1156" s="1218" t="s">
        <v>82</v>
      </c>
      <c r="B1156" s="98">
        <v>45566</v>
      </c>
      <c r="C1156" s="117" t="str">
        <f t="shared" si="255"/>
        <v>1L</v>
      </c>
      <c r="D1156" s="96"/>
      <c r="E1156" s="96"/>
      <c r="F1156" s="96"/>
      <c r="G1156" s="96"/>
      <c r="H1156" s="96"/>
      <c r="I1156" s="99">
        <f t="shared" si="256"/>
        <v>0</v>
      </c>
      <c r="J1156" s="96"/>
      <c r="K1156" s="96"/>
      <c r="L1156" s="99">
        <f t="shared" si="257"/>
        <v>0</v>
      </c>
      <c r="M1156" s="44" t="str">
        <f t="shared" si="259"/>
        <v/>
      </c>
      <c r="N1156" s="100">
        <f t="shared" si="260"/>
        <v>0</v>
      </c>
      <c r="O1156" s="101">
        <f t="shared" si="261"/>
        <v>0</v>
      </c>
      <c r="P1156" s="52">
        <f t="shared" si="262"/>
        <v>0</v>
      </c>
      <c r="Q1156" s="49">
        <v>116.88487613461319</v>
      </c>
      <c r="R1156">
        <v>2225</v>
      </c>
      <c r="S1156" s="50">
        <f t="shared" si="258"/>
        <v>71535.307499999995</v>
      </c>
      <c r="T1156" s="50">
        <f t="shared" si="263"/>
        <v>0</v>
      </c>
      <c r="U1156" s="58">
        <f t="shared" si="264"/>
        <v>0</v>
      </c>
      <c r="V1156" s="58">
        <f t="shared" si="265"/>
        <v>0</v>
      </c>
      <c r="W1156" s="58">
        <f t="shared" si="266"/>
        <v>0</v>
      </c>
      <c r="X1156" s="58">
        <f t="shared" si="267"/>
        <v>0</v>
      </c>
      <c r="Y1156" s="52">
        <f t="shared" si="268"/>
        <v>0</v>
      </c>
    </row>
    <row r="1157" spans="1:25" x14ac:dyDescent="0.25">
      <c r="A1157" s="1218" t="s">
        <v>83</v>
      </c>
      <c r="B1157" s="98">
        <v>45566</v>
      </c>
      <c r="C1157" s="117" t="str">
        <f t="shared" si="255"/>
        <v>1L</v>
      </c>
      <c r="D1157" s="96"/>
      <c r="E1157" s="96"/>
      <c r="F1157" s="96"/>
      <c r="G1157" s="96"/>
      <c r="H1157" s="96"/>
      <c r="I1157" s="99">
        <f t="shared" si="256"/>
        <v>0</v>
      </c>
      <c r="J1157" s="96"/>
      <c r="K1157" s="96"/>
      <c r="L1157" s="99">
        <f t="shared" si="257"/>
        <v>0</v>
      </c>
      <c r="M1157" s="44" t="str">
        <f t="shared" si="259"/>
        <v/>
      </c>
      <c r="N1157" s="100">
        <f t="shared" si="260"/>
        <v>0</v>
      </c>
      <c r="O1157" s="101">
        <f t="shared" si="261"/>
        <v>0</v>
      </c>
      <c r="P1157" s="52">
        <f t="shared" si="262"/>
        <v>0</v>
      </c>
      <c r="Q1157" s="49">
        <v>116.88487613461319</v>
      </c>
      <c r="R1157">
        <v>2225</v>
      </c>
      <c r="S1157" s="50">
        <f t="shared" si="258"/>
        <v>71535.307499999995</v>
      </c>
      <c r="T1157" s="50">
        <f t="shared" si="263"/>
        <v>0</v>
      </c>
      <c r="U1157" s="58">
        <f t="shared" si="264"/>
        <v>0</v>
      </c>
      <c r="V1157" s="58">
        <f t="shared" si="265"/>
        <v>0</v>
      </c>
      <c r="W1157" s="58">
        <f t="shared" si="266"/>
        <v>0</v>
      </c>
      <c r="X1157" s="58">
        <f t="shared" si="267"/>
        <v>0</v>
      </c>
      <c r="Y1157" s="52">
        <f t="shared" si="268"/>
        <v>0</v>
      </c>
    </row>
    <row r="1158" spans="1:25" x14ac:dyDescent="0.25">
      <c r="A1158" s="1218" t="s">
        <v>84</v>
      </c>
      <c r="B1158" s="98">
        <v>45566</v>
      </c>
      <c r="C1158" s="117" t="str">
        <f t="shared" si="255"/>
        <v>2L</v>
      </c>
      <c r="D1158" s="96"/>
      <c r="E1158" s="98"/>
      <c r="F1158" s="98"/>
      <c r="I1158" s="99">
        <f t="shared" si="256"/>
        <v>0</v>
      </c>
      <c r="L1158" s="99">
        <f t="shared" si="257"/>
        <v>0</v>
      </c>
      <c r="M1158" s="44" t="str">
        <f t="shared" si="259"/>
        <v/>
      </c>
      <c r="N1158" s="100">
        <f t="shared" si="260"/>
        <v>0</v>
      </c>
      <c r="O1158" s="101">
        <f t="shared" si="261"/>
        <v>0</v>
      </c>
      <c r="P1158" s="52">
        <f t="shared" si="262"/>
        <v>0</v>
      </c>
      <c r="Q1158" s="49">
        <v>116.88487613461319</v>
      </c>
      <c r="R1158">
        <v>2225</v>
      </c>
      <c r="S1158" s="50">
        <f t="shared" si="258"/>
        <v>71535.307499999995</v>
      </c>
      <c r="T1158" s="50">
        <f t="shared" si="263"/>
        <v>0</v>
      </c>
      <c r="U1158" s="58">
        <f t="shared" si="264"/>
        <v>0</v>
      </c>
      <c r="V1158" s="58">
        <f t="shared" si="265"/>
        <v>0</v>
      </c>
      <c r="W1158" s="58">
        <f t="shared" si="266"/>
        <v>0</v>
      </c>
      <c r="X1158" s="58">
        <f t="shared" si="267"/>
        <v>0</v>
      </c>
      <c r="Y1158" s="52">
        <f t="shared" si="268"/>
        <v>0</v>
      </c>
    </row>
    <row r="1159" spans="1:25" x14ac:dyDescent="0.25">
      <c r="A1159" s="1218" t="s">
        <v>85</v>
      </c>
      <c r="B1159" s="98">
        <v>45566</v>
      </c>
      <c r="C1159" s="117" t="str">
        <f t="shared" si="255"/>
        <v>2L</v>
      </c>
      <c r="D1159" s="96"/>
      <c r="E1159" s="98"/>
      <c r="F1159" s="98"/>
      <c r="G1159" s="43">
        <v>2100</v>
      </c>
      <c r="H1159" s="26">
        <v>1.8</v>
      </c>
      <c r="I1159" s="99">
        <f t="shared" si="256"/>
        <v>3.78</v>
      </c>
      <c r="L1159" s="99">
        <f t="shared" si="257"/>
        <v>0</v>
      </c>
      <c r="M1159" s="44">
        <f t="shared" si="259"/>
        <v>-1</v>
      </c>
      <c r="N1159" s="100">
        <f t="shared" si="260"/>
        <v>-2100</v>
      </c>
      <c r="O1159" s="101">
        <f t="shared" si="261"/>
        <v>-3.78</v>
      </c>
      <c r="P1159" s="52">
        <f t="shared" si="262"/>
        <v>0</v>
      </c>
      <c r="Q1159" s="49">
        <v>116.88487613461319</v>
      </c>
      <c r="R1159">
        <v>2225</v>
      </c>
      <c r="S1159" s="50">
        <f t="shared" si="258"/>
        <v>71535.307499999995</v>
      </c>
      <c r="T1159" s="50">
        <f t="shared" si="263"/>
        <v>270403.46234999999</v>
      </c>
      <c r="U1159" s="58">
        <f t="shared" si="264"/>
        <v>0</v>
      </c>
      <c r="V1159" s="58">
        <f t="shared" si="265"/>
        <v>245458.23988268772</v>
      </c>
      <c r="W1159" s="58">
        <f t="shared" si="266"/>
        <v>0</v>
      </c>
      <c r="X1159" s="58">
        <f t="shared" si="267"/>
        <v>24945.222467312269</v>
      </c>
      <c r="Y1159" s="52">
        <f t="shared" si="268"/>
        <v>0</v>
      </c>
    </row>
    <row r="1160" spans="1:25" x14ac:dyDescent="0.25">
      <c r="A1160" s="1218" t="s">
        <v>86</v>
      </c>
      <c r="B1160" s="98">
        <v>45566</v>
      </c>
      <c r="C1160" s="117" t="str">
        <f t="shared" si="255"/>
        <v>2L</v>
      </c>
      <c r="D1160" s="96"/>
      <c r="E1160" s="98"/>
      <c r="F1160" s="98"/>
      <c r="I1160" s="99">
        <f t="shared" si="256"/>
        <v>0</v>
      </c>
      <c r="L1160" s="99">
        <f t="shared" si="257"/>
        <v>0</v>
      </c>
      <c r="M1160" s="44" t="str">
        <f t="shared" si="259"/>
        <v/>
      </c>
      <c r="N1160" s="100">
        <f t="shared" si="260"/>
        <v>0</v>
      </c>
      <c r="O1160" s="101">
        <f t="shared" si="261"/>
        <v>0</v>
      </c>
      <c r="P1160" s="52">
        <f t="shared" si="262"/>
        <v>0</v>
      </c>
      <c r="Q1160" s="49">
        <v>116.88487613461319</v>
      </c>
      <c r="R1160">
        <v>2225</v>
      </c>
      <c r="S1160" s="50">
        <f t="shared" si="258"/>
        <v>71535.307499999995</v>
      </c>
      <c r="T1160" s="50">
        <f t="shared" si="263"/>
        <v>0</v>
      </c>
      <c r="U1160" s="58">
        <f t="shared" si="264"/>
        <v>0</v>
      </c>
      <c r="V1160" s="58">
        <f t="shared" si="265"/>
        <v>0</v>
      </c>
      <c r="W1160" s="58">
        <f t="shared" si="266"/>
        <v>0</v>
      </c>
      <c r="X1160" s="58">
        <f t="shared" si="267"/>
        <v>0</v>
      </c>
      <c r="Y1160" s="52">
        <f t="shared" si="268"/>
        <v>0</v>
      </c>
    </row>
    <row r="1161" spans="1:25" x14ac:dyDescent="0.25">
      <c r="A1161" s="1218" t="s">
        <v>87</v>
      </c>
      <c r="B1161" s="98">
        <v>45566</v>
      </c>
      <c r="C1161" s="117" t="str">
        <f t="shared" si="255"/>
        <v>3L</v>
      </c>
      <c r="D1161" s="96"/>
      <c r="E1161" s="98"/>
      <c r="F1161" s="98"/>
      <c r="G1161" s="43">
        <v>2170</v>
      </c>
      <c r="H1161" s="26">
        <v>1.1299999999999992</v>
      </c>
      <c r="I1161" s="99">
        <f t="shared" si="256"/>
        <v>2.4520999999999984</v>
      </c>
      <c r="L1161" s="99">
        <f t="shared" si="257"/>
        <v>0</v>
      </c>
      <c r="M1161" s="44">
        <f t="shared" si="259"/>
        <v>-1</v>
      </c>
      <c r="N1161" s="100">
        <f t="shared" si="260"/>
        <v>-2170</v>
      </c>
      <c r="O1161" s="101">
        <f t="shared" si="261"/>
        <v>-2.4520999999999984</v>
      </c>
      <c r="P1161" s="52">
        <f t="shared" si="262"/>
        <v>0</v>
      </c>
      <c r="Q1161" s="49">
        <v>116.88487613461319</v>
      </c>
      <c r="R1161">
        <v>2225</v>
      </c>
      <c r="S1161" s="50">
        <f t="shared" si="258"/>
        <v>71535.307499999995</v>
      </c>
      <c r="T1161" s="50">
        <f t="shared" si="263"/>
        <v>175411.72752074988</v>
      </c>
      <c r="U1161" s="58">
        <f t="shared" si="264"/>
        <v>0</v>
      </c>
      <c r="V1161" s="58">
        <f t="shared" si="265"/>
        <v>253640.18121211062</v>
      </c>
      <c r="W1161" s="58">
        <f t="shared" si="266"/>
        <v>0</v>
      </c>
      <c r="X1161" s="58">
        <f t="shared" si="267"/>
        <v>-78228.453691360744</v>
      </c>
      <c r="Y1161" s="52">
        <f t="shared" si="268"/>
        <v>0</v>
      </c>
    </row>
    <row r="1162" spans="1:25" x14ac:dyDescent="0.25">
      <c r="A1162" s="1218" t="s">
        <v>88</v>
      </c>
      <c r="B1162" s="98">
        <v>45566</v>
      </c>
      <c r="C1162" s="117" t="str">
        <f t="shared" si="255"/>
        <v>3L</v>
      </c>
      <c r="D1162" s="96"/>
      <c r="E1162" s="98"/>
      <c r="F1162" s="98"/>
      <c r="G1162" s="43">
        <v>3255</v>
      </c>
      <c r="H1162" s="26">
        <v>1.1600000000000006</v>
      </c>
      <c r="I1162" s="99">
        <f t="shared" si="256"/>
        <v>3.775800000000002</v>
      </c>
      <c r="J1162" s="50">
        <v>4939.3</v>
      </c>
      <c r="K1162" s="49">
        <v>2.729374863475261</v>
      </c>
      <c r="L1162" s="99">
        <f t="shared" si="257"/>
        <v>13.481201263163356</v>
      </c>
      <c r="M1162" s="44">
        <f t="shared" si="259"/>
        <v>2.5704224967327054</v>
      </c>
      <c r="N1162" s="100">
        <f t="shared" si="260"/>
        <v>1684.3000000000002</v>
      </c>
      <c r="O1162" s="101">
        <f t="shared" si="261"/>
        <v>9.7054012631633544</v>
      </c>
      <c r="P1162" s="52">
        <f t="shared" si="262"/>
        <v>387052.40913808404</v>
      </c>
      <c r="Q1162" s="49">
        <v>116.88487613461319</v>
      </c>
      <c r="R1162">
        <v>2225</v>
      </c>
      <c r="S1162" s="50">
        <f t="shared" si="258"/>
        <v>71535.307499999995</v>
      </c>
      <c r="T1162" s="50">
        <f t="shared" si="263"/>
        <v>270103.01405850012</v>
      </c>
      <c r="U1162" s="58">
        <f t="shared" si="264"/>
        <v>964381.87782977906</v>
      </c>
      <c r="V1162" s="58">
        <f t="shared" si="265"/>
        <v>380460.27181816596</v>
      </c>
      <c r="W1162" s="58">
        <f t="shared" si="266"/>
        <v>577329.46869169502</v>
      </c>
      <c r="X1162" s="58">
        <f t="shared" si="267"/>
        <v>-110357.25775966584</v>
      </c>
      <c r="Y1162" s="52">
        <f t="shared" si="268"/>
        <v>387052.40913808404</v>
      </c>
    </row>
    <row r="1163" spans="1:25" x14ac:dyDescent="0.25">
      <c r="A1163" s="1218" t="s">
        <v>89</v>
      </c>
      <c r="B1163" s="98">
        <v>45566</v>
      </c>
      <c r="C1163" s="117" t="str">
        <f t="shared" si="255"/>
        <v>3L</v>
      </c>
      <c r="D1163" s="96"/>
      <c r="E1163" s="98"/>
      <c r="F1163" s="98"/>
      <c r="I1163" s="99">
        <f t="shared" si="256"/>
        <v>0</v>
      </c>
      <c r="L1163" s="99">
        <f t="shared" si="257"/>
        <v>0</v>
      </c>
      <c r="M1163" s="44" t="str">
        <f t="shared" si="259"/>
        <v/>
      </c>
      <c r="N1163" s="100">
        <f t="shared" si="260"/>
        <v>0</v>
      </c>
      <c r="O1163" s="101">
        <f t="shared" si="261"/>
        <v>0</v>
      </c>
      <c r="P1163" s="52">
        <f t="shared" si="262"/>
        <v>0</v>
      </c>
      <c r="Q1163" s="49">
        <v>116.88487613461319</v>
      </c>
      <c r="R1163">
        <v>2225</v>
      </c>
      <c r="S1163" s="50">
        <f t="shared" si="258"/>
        <v>71535.307499999995</v>
      </c>
      <c r="T1163" s="50">
        <f t="shared" si="263"/>
        <v>0</v>
      </c>
      <c r="U1163" s="58">
        <f t="shared" si="264"/>
        <v>0</v>
      </c>
      <c r="V1163" s="58">
        <f t="shared" si="265"/>
        <v>0</v>
      </c>
      <c r="W1163" s="58">
        <f t="shared" si="266"/>
        <v>0</v>
      </c>
      <c r="X1163" s="58">
        <f t="shared" si="267"/>
        <v>0</v>
      </c>
      <c r="Y1163" s="52">
        <f t="shared" si="268"/>
        <v>0</v>
      </c>
    </row>
    <row r="1164" spans="1:25" x14ac:dyDescent="0.25">
      <c r="A1164" s="1218" t="s">
        <v>90</v>
      </c>
      <c r="B1164" s="98">
        <v>45566</v>
      </c>
      <c r="C1164" s="117" t="str">
        <f t="shared" ref="C1164:C1228" si="269">LEFT(A1164,2)</f>
        <v>3L</v>
      </c>
      <c r="D1164" s="96"/>
      <c r="E1164" s="98"/>
      <c r="F1164" s="98"/>
      <c r="I1164" s="99">
        <f t="shared" si="256"/>
        <v>0</v>
      </c>
      <c r="L1164" s="99">
        <f t="shared" si="257"/>
        <v>0</v>
      </c>
      <c r="M1164" s="44" t="str">
        <f t="shared" si="259"/>
        <v/>
      </c>
      <c r="N1164" s="100">
        <f t="shared" si="260"/>
        <v>0</v>
      </c>
      <c r="O1164" s="101">
        <f t="shared" si="261"/>
        <v>0</v>
      </c>
      <c r="P1164" s="52">
        <f t="shared" si="262"/>
        <v>0</v>
      </c>
      <c r="Q1164" s="49">
        <v>116.88487613461319</v>
      </c>
      <c r="R1164">
        <v>2225</v>
      </c>
      <c r="S1164" s="50">
        <f t="shared" si="258"/>
        <v>71535.307499999995</v>
      </c>
      <c r="T1164" s="50">
        <f t="shared" si="263"/>
        <v>0</v>
      </c>
      <c r="U1164" s="58">
        <f t="shared" si="264"/>
        <v>0</v>
      </c>
      <c r="V1164" s="58">
        <f t="shared" si="265"/>
        <v>0</v>
      </c>
      <c r="W1164" s="58">
        <f t="shared" si="266"/>
        <v>0</v>
      </c>
      <c r="X1164" s="58">
        <f t="shared" si="267"/>
        <v>0</v>
      </c>
      <c r="Y1164" s="52">
        <f t="shared" si="268"/>
        <v>0</v>
      </c>
    </row>
    <row r="1165" spans="1:25" x14ac:dyDescent="0.25">
      <c r="A1165" s="1218" t="s">
        <v>91</v>
      </c>
      <c r="B1165" s="98">
        <v>45566</v>
      </c>
      <c r="C1165" s="117" t="str">
        <f t="shared" si="269"/>
        <v>3L</v>
      </c>
      <c r="D1165" s="96"/>
      <c r="E1165" s="98"/>
      <c r="F1165" s="98"/>
      <c r="I1165" s="99">
        <f t="shared" si="256"/>
        <v>0</v>
      </c>
      <c r="L1165" s="99">
        <f t="shared" si="257"/>
        <v>0</v>
      </c>
      <c r="M1165" s="44" t="str">
        <f t="shared" si="259"/>
        <v/>
      </c>
      <c r="N1165" s="100">
        <f t="shared" si="260"/>
        <v>0</v>
      </c>
      <c r="O1165" s="101">
        <f t="shared" si="261"/>
        <v>0</v>
      </c>
      <c r="P1165" s="52">
        <f t="shared" si="262"/>
        <v>0</v>
      </c>
      <c r="Q1165" s="49">
        <v>116.88487613461319</v>
      </c>
      <c r="R1165">
        <v>2225</v>
      </c>
      <c r="S1165" s="50">
        <f t="shared" si="258"/>
        <v>71535.307499999995</v>
      </c>
      <c r="T1165" s="50">
        <f t="shared" si="263"/>
        <v>0</v>
      </c>
      <c r="U1165" s="58">
        <f t="shared" si="264"/>
        <v>0</v>
      </c>
      <c r="V1165" s="58">
        <f t="shared" si="265"/>
        <v>0</v>
      </c>
      <c r="W1165" s="58">
        <f t="shared" si="266"/>
        <v>0</v>
      </c>
      <c r="X1165" s="58">
        <f t="shared" si="267"/>
        <v>0</v>
      </c>
      <c r="Y1165" s="52">
        <f t="shared" si="268"/>
        <v>0</v>
      </c>
    </row>
    <row r="1166" spans="1:25" x14ac:dyDescent="0.25">
      <c r="A1166" s="1218" t="s">
        <v>92</v>
      </c>
      <c r="B1166" s="98">
        <v>45566</v>
      </c>
      <c r="C1166" s="117" t="str">
        <f t="shared" si="269"/>
        <v>3L</v>
      </c>
      <c r="D1166" s="96"/>
      <c r="E1166" s="98"/>
      <c r="F1166" s="98"/>
      <c r="G1166" s="41"/>
      <c r="H1166" s="47"/>
      <c r="I1166" s="99">
        <f t="shared" si="256"/>
        <v>0</v>
      </c>
      <c r="J1166" s="41"/>
      <c r="K1166" s="47"/>
      <c r="L1166" s="99">
        <f t="shared" si="257"/>
        <v>0</v>
      </c>
      <c r="M1166" s="44" t="str">
        <f t="shared" si="259"/>
        <v/>
      </c>
      <c r="N1166" s="100">
        <f t="shared" si="260"/>
        <v>0</v>
      </c>
      <c r="O1166" s="101">
        <f t="shared" si="261"/>
        <v>0</v>
      </c>
      <c r="P1166" s="52">
        <f t="shared" si="262"/>
        <v>0</v>
      </c>
      <c r="Q1166" s="49">
        <v>116.88487613461319</v>
      </c>
      <c r="R1166">
        <v>2225</v>
      </c>
      <c r="S1166" s="50">
        <f t="shared" si="258"/>
        <v>71535.307499999995</v>
      </c>
      <c r="T1166" s="50">
        <f t="shared" si="263"/>
        <v>0</v>
      </c>
      <c r="U1166" s="58">
        <f t="shared" si="264"/>
        <v>0</v>
      </c>
      <c r="V1166" s="58">
        <f t="shared" si="265"/>
        <v>0</v>
      </c>
      <c r="W1166" s="58">
        <f t="shared" si="266"/>
        <v>0</v>
      </c>
      <c r="X1166" s="58">
        <f t="shared" si="267"/>
        <v>0</v>
      </c>
      <c r="Y1166" s="52">
        <f t="shared" si="268"/>
        <v>0</v>
      </c>
    </row>
    <row r="1167" spans="1:25" x14ac:dyDescent="0.25">
      <c r="A1167" s="1218" t="s">
        <v>93</v>
      </c>
      <c r="B1167" s="98">
        <v>45566</v>
      </c>
      <c r="C1167" s="117" t="str">
        <f t="shared" si="269"/>
        <v>3L</v>
      </c>
      <c r="D1167" s="96"/>
      <c r="E1167" s="98"/>
      <c r="F1167" s="98"/>
      <c r="G1167" s="41"/>
      <c r="H1167" s="47"/>
      <c r="I1167" s="99">
        <f t="shared" si="256"/>
        <v>0</v>
      </c>
      <c r="J1167" s="41"/>
      <c r="K1167" s="47"/>
      <c r="L1167" s="99">
        <f t="shared" si="257"/>
        <v>0</v>
      </c>
      <c r="M1167" s="44" t="str">
        <f t="shared" si="259"/>
        <v/>
      </c>
      <c r="N1167" s="100">
        <f t="shared" si="260"/>
        <v>0</v>
      </c>
      <c r="O1167" s="101">
        <f t="shared" si="261"/>
        <v>0</v>
      </c>
      <c r="P1167" s="52">
        <f t="shared" si="262"/>
        <v>0</v>
      </c>
      <c r="Q1167" s="49">
        <v>116.88487613461319</v>
      </c>
      <c r="R1167">
        <v>2225</v>
      </c>
      <c r="S1167" s="50">
        <f t="shared" si="258"/>
        <v>71535.307499999995</v>
      </c>
      <c r="T1167" s="50">
        <f t="shared" si="263"/>
        <v>0</v>
      </c>
      <c r="U1167" s="58">
        <f t="shared" si="264"/>
        <v>0</v>
      </c>
      <c r="V1167" s="58">
        <f t="shared" si="265"/>
        <v>0</v>
      </c>
      <c r="W1167" s="58">
        <f t="shared" si="266"/>
        <v>0</v>
      </c>
      <c r="X1167" s="58">
        <f t="shared" si="267"/>
        <v>0</v>
      </c>
      <c r="Y1167" s="52">
        <f t="shared" si="268"/>
        <v>0</v>
      </c>
    </row>
    <row r="1168" spans="1:25" x14ac:dyDescent="0.25">
      <c r="A1168" s="1218" t="s">
        <v>94</v>
      </c>
      <c r="B1168" s="98">
        <v>45566</v>
      </c>
      <c r="C1168" s="117" t="str">
        <f t="shared" si="269"/>
        <v>3L</v>
      </c>
      <c r="D1168" s="96"/>
      <c r="E1168" s="98"/>
      <c r="F1168" s="98"/>
      <c r="G1168" s="41"/>
      <c r="H1168" s="47"/>
      <c r="I1168" s="99">
        <f t="shared" si="256"/>
        <v>0</v>
      </c>
      <c r="J1168" s="41"/>
      <c r="K1168" s="47"/>
      <c r="L1168" s="99">
        <f t="shared" si="257"/>
        <v>0</v>
      </c>
      <c r="M1168" s="44" t="str">
        <f t="shared" si="259"/>
        <v/>
      </c>
      <c r="N1168" s="100">
        <f t="shared" si="260"/>
        <v>0</v>
      </c>
      <c r="O1168" s="101">
        <f t="shared" si="261"/>
        <v>0</v>
      </c>
      <c r="P1168" s="52">
        <f t="shared" si="262"/>
        <v>0</v>
      </c>
      <c r="Q1168" s="49">
        <v>116.88487613461319</v>
      </c>
      <c r="R1168">
        <v>2225</v>
      </c>
      <c r="S1168" s="50">
        <f t="shared" si="258"/>
        <v>71535.307499999995</v>
      </c>
      <c r="T1168" s="50">
        <f t="shared" si="263"/>
        <v>0</v>
      </c>
      <c r="U1168" s="58">
        <f t="shared" si="264"/>
        <v>0</v>
      </c>
      <c r="V1168" s="58">
        <f t="shared" si="265"/>
        <v>0</v>
      </c>
      <c r="W1168" s="58">
        <f t="shared" si="266"/>
        <v>0</v>
      </c>
      <c r="X1168" s="58">
        <f t="shared" si="267"/>
        <v>0</v>
      </c>
      <c r="Y1168" s="52">
        <f t="shared" si="268"/>
        <v>0</v>
      </c>
    </row>
    <row r="1169" spans="1:25" x14ac:dyDescent="0.25">
      <c r="A1169" s="1218" t="s">
        <v>95</v>
      </c>
      <c r="B1169" s="98">
        <v>45566</v>
      </c>
      <c r="C1169" s="117" t="str">
        <f t="shared" si="269"/>
        <v>3L</v>
      </c>
      <c r="D1169" s="96"/>
      <c r="E1169" s="98"/>
      <c r="F1169" s="98"/>
      <c r="G1169" s="41"/>
      <c r="H1169" s="47"/>
      <c r="I1169" s="99">
        <f t="shared" si="256"/>
        <v>0</v>
      </c>
      <c r="J1169" s="41"/>
      <c r="K1169" s="47"/>
      <c r="L1169" s="99">
        <f t="shared" si="257"/>
        <v>0</v>
      </c>
      <c r="M1169" s="44" t="str">
        <f t="shared" si="259"/>
        <v/>
      </c>
      <c r="N1169" s="100">
        <f t="shared" si="260"/>
        <v>0</v>
      </c>
      <c r="O1169" s="101">
        <f t="shared" si="261"/>
        <v>0</v>
      </c>
      <c r="P1169" s="52">
        <f t="shared" si="262"/>
        <v>0</v>
      </c>
      <c r="Q1169" s="49">
        <v>116.88487613461319</v>
      </c>
      <c r="R1169">
        <v>2225</v>
      </c>
      <c r="S1169" s="50">
        <f t="shared" si="258"/>
        <v>71535.307499999995</v>
      </c>
      <c r="T1169" s="50">
        <f t="shared" si="263"/>
        <v>0</v>
      </c>
      <c r="U1169" s="58">
        <f t="shared" si="264"/>
        <v>0</v>
      </c>
      <c r="V1169" s="58">
        <f t="shared" si="265"/>
        <v>0</v>
      </c>
      <c r="W1169" s="58">
        <f t="shared" si="266"/>
        <v>0</v>
      </c>
      <c r="X1169" s="58">
        <f t="shared" si="267"/>
        <v>0</v>
      </c>
      <c r="Y1169" s="52">
        <f t="shared" si="268"/>
        <v>0</v>
      </c>
    </row>
    <row r="1170" spans="1:25" x14ac:dyDescent="0.25">
      <c r="A1170" s="1218" t="s">
        <v>96</v>
      </c>
      <c r="B1170" s="98">
        <v>45566</v>
      </c>
      <c r="C1170" s="117" t="str">
        <f t="shared" si="269"/>
        <v>3L</v>
      </c>
      <c r="D1170" s="96"/>
      <c r="E1170" s="98"/>
      <c r="F1170" s="98"/>
      <c r="G1170" s="41"/>
      <c r="H1170" s="47"/>
      <c r="I1170" s="99">
        <f t="shared" si="256"/>
        <v>0</v>
      </c>
      <c r="J1170" s="41"/>
      <c r="K1170" s="47"/>
      <c r="L1170" s="99">
        <f t="shared" si="257"/>
        <v>0</v>
      </c>
      <c r="M1170" s="44" t="str">
        <f t="shared" si="259"/>
        <v/>
      </c>
      <c r="N1170" s="100">
        <f t="shared" si="260"/>
        <v>0</v>
      </c>
      <c r="O1170" s="101">
        <f t="shared" si="261"/>
        <v>0</v>
      </c>
      <c r="P1170" s="52">
        <f t="shared" si="262"/>
        <v>0</v>
      </c>
      <c r="Q1170" s="49">
        <v>116.88487613461319</v>
      </c>
      <c r="R1170">
        <v>2225</v>
      </c>
      <c r="S1170" s="50">
        <f t="shared" si="258"/>
        <v>71535.307499999995</v>
      </c>
      <c r="T1170" s="50">
        <f t="shared" si="263"/>
        <v>0</v>
      </c>
      <c r="U1170" s="58">
        <f t="shared" si="264"/>
        <v>0</v>
      </c>
      <c r="V1170" s="58">
        <f t="shared" si="265"/>
        <v>0</v>
      </c>
      <c r="W1170" s="58">
        <f t="shared" si="266"/>
        <v>0</v>
      </c>
      <c r="X1170" s="58">
        <f t="shared" si="267"/>
        <v>0</v>
      </c>
      <c r="Y1170" s="52">
        <f t="shared" si="268"/>
        <v>0</v>
      </c>
    </row>
    <row r="1171" spans="1:25" x14ac:dyDescent="0.25">
      <c r="A1171" s="1218" t="s">
        <v>97</v>
      </c>
      <c r="B1171" s="98">
        <v>45566</v>
      </c>
      <c r="C1171" s="117" t="str">
        <f t="shared" si="269"/>
        <v>4L</v>
      </c>
      <c r="D1171" s="96"/>
      <c r="E1171" s="98"/>
      <c r="F1171" s="98"/>
      <c r="I1171" s="99">
        <f t="shared" si="256"/>
        <v>0</v>
      </c>
      <c r="L1171" s="99">
        <f t="shared" si="257"/>
        <v>0</v>
      </c>
      <c r="M1171" s="44" t="str">
        <f t="shared" si="259"/>
        <v/>
      </c>
      <c r="N1171" s="100">
        <f t="shared" si="260"/>
        <v>0</v>
      </c>
      <c r="O1171" s="101">
        <f t="shared" si="261"/>
        <v>0</v>
      </c>
      <c r="P1171" s="52">
        <f t="shared" si="262"/>
        <v>0</v>
      </c>
      <c r="Q1171" s="49">
        <v>116.88487613461319</v>
      </c>
      <c r="R1171">
        <v>2225</v>
      </c>
      <c r="S1171" s="50">
        <f t="shared" si="258"/>
        <v>71535.307499999995</v>
      </c>
      <c r="T1171" s="50">
        <f t="shared" si="263"/>
        <v>0</v>
      </c>
      <c r="U1171" s="58">
        <f t="shared" si="264"/>
        <v>0</v>
      </c>
      <c r="V1171" s="58">
        <f t="shared" si="265"/>
        <v>0</v>
      </c>
      <c r="W1171" s="58">
        <f t="shared" si="266"/>
        <v>0</v>
      </c>
      <c r="X1171" s="58">
        <f t="shared" si="267"/>
        <v>0</v>
      </c>
      <c r="Y1171" s="52">
        <f t="shared" si="268"/>
        <v>0</v>
      </c>
    </row>
    <row r="1172" spans="1:25" x14ac:dyDescent="0.25">
      <c r="A1172" s="1218" t="s">
        <v>98</v>
      </c>
      <c r="B1172" s="98">
        <v>45566</v>
      </c>
      <c r="C1172" s="117" t="str">
        <f t="shared" si="269"/>
        <v>4L</v>
      </c>
      <c r="D1172" s="96"/>
      <c r="E1172" s="98"/>
      <c r="F1172" s="98"/>
      <c r="I1172" s="99">
        <f t="shared" si="256"/>
        <v>0</v>
      </c>
      <c r="L1172" s="99">
        <f t="shared" si="257"/>
        <v>0</v>
      </c>
      <c r="M1172" s="44" t="str">
        <f t="shared" si="259"/>
        <v/>
      </c>
      <c r="N1172" s="100">
        <f t="shared" si="260"/>
        <v>0</v>
      </c>
      <c r="O1172" s="101">
        <f t="shared" si="261"/>
        <v>0</v>
      </c>
      <c r="P1172" s="52">
        <f t="shared" si="262"/>
        <v>0</v>
      </c>
      <c r="Q1172" s="49">
        <v>116.88487613461319</v>
      </c>
      <c r="R1172">
        <v>2225</v>
      </c>
      <c r="S1172" s="50">
        <f t="shared" si="258"/>
        <v>71535.307499999995</v>
      </c>
      <c r="T1172" s="50">
        <f t="shared" si="263"/>
        <v>0</v>
      </c>
      <c r="U1172" s="58">
        <f t="shared" si="264"/>
        <v>0</v>
      </c>
      <c r="V1172" s="58">
        <f t="shared" si="265"/>
        <v>0</v>
      </c>
      <c r="W1172" s="58">
        <f t="shared" si="266"/>
        <v>0</v>
      </c>
      <c r="X1172" s="58">
        <f t="shared" si="267"/>
        <v>0</v>
      </c>
      <c r="Y1172" s="52">
        <f t="shared" si="268"/>
        <v>0</v>
      </c>
    </row>
    <row r="1173" spans="1:25" x14ac:dyDescent="0.25">
      <c r="A1173" s="1218" t="s">
        <v>99</v>
      </c>
      <c r="B1173" s="98">
        <v>45566</v>
      </c>
      <c r="C1173" s="117" t="str">
        <f t="shared" si="269"/>
        <v>4L</v>
      </c>
      <c r="D1173" s="96"/>
      <c r="E1173" s="98"/>
      <c r="F1173" s="98"/>
      <c r="I1173" s="99">
        <f t="shared" si="256"/>
        <v>0</v>
      </c>
      <c r="L1173" s="99">
        <f t="shared" si="257"/>
        <v>0</v>
      </c>
      <c r="M1173" s="44" t="str">
        <f t="shared" si="259"/>
        <v/>
      </c>
      <c r="N1173" s="100">
        <f t="shared" si="260"/>
        <v>0</v>
      </c>
      <c r="O1173" s="101">
        <f t="shared" si="261"/>
        <v>0</v>
      </c>
      <c r="P1173" s="52">
        <f t="shared" si="262"/>
        <v>0</v>
      </c>
      <c r="Q1173" s="49">
        <v>116.88487613461319</v>
      </c>
      <c r="R1173">
        <v>2225</v>
      </c>
      <c r="S1173" s="50">
        <f t="shared" si="258"/>
        <v>71535.307499999995</v>
      </c>
      <c r="T1173" s="50">
        <f t="shared" si="263"/>
        <v>0</v>
      </c>
      <c r="U1173" s="58">
        <f t="shared" si="264"/>
        <v>0</v>
      </c>
      <c r="V1173" s="58">
        <f t="shared" si="265"/>
        <v>0</v>
      </c>
      <c r="W1173" s="58">
        <f t="shared" si="266"/>
        <v>0</v>
      </c>
      <c r="X1173" s="58">
        <f t="shared" si="267"/>
        <v>0</v>
      </c>
      <c r="Y1173" s="52">
        <f t="shared" si="268"/>
        <v>0</v>
      </c>
    </row>
    <row r="1174" spans="1:25" x14ac:dyDescent="0.25">
      <c r="A1174" s="1218" t="s">
        <v>100</v>
      </c>
      <c r="B1174" s="98">
        <v>45566</v>
      </c>
      <c r="C1174" s="117" t="str">
        <f t="shared" si="269"/>
        <v>4L</v>
      </c>
      <c r="D1174" s="96"/>
      <c r="E1174" s="98"/>
      <c r="F1174" s="98"/>
      <c r="I1174" s="99">
        <f t="shared" si="256"/>
        <v>0</v>
      </c>
      <c r="L1174" s="99">
        <f t="shared" si="257"/>
        <v>0</v>
      </c>
      <c r="M1174" s="44" t="str">
        <f t="shared" si="259"/>
        <v/>
      </c>
      <c r="N1174" s="100">
        <f t="shared" si="260"/>
        <v>0</v>
      </c>
      <c r="O1174" s="101">
        <f t="shared" si="261"/>
        <v>0</v>
      </c>
      <c r="P1174" s="52">
        <f t="shared" si="262"/>
        <v>0</v>
      </c>
      <c r="Q1174" s="49">
        <v>116.88487613461319</v>
      </c>
      <c r="R1174">
        <v>2225</v>
      </c>
      <c r="S1174" s="50">
        <f t="shared" si="258"/>
        <v>71535.307499999995</v>
      </c>
      <c r="T1174" s="50">
        <f t="shared" si="263"/>
        <v>0</v>
      </c>
      <c r="U1174" s="58">
        <f t="shared" si="264"/>
        <v>0</v>
      </c>
      <c r="V1174" s="58">
        <f t="shared" si="265"/>
        <v>0</v>
      </c>
      <c r="W1174" s="58">
        <f t="shared" si="266"/>
        <v>0</v>
      </c>
      <c r="X1174" s="58">
        <f t="shared" si="267"/>
        <v>0</v>
      </c>
      <c r="Y1174" s="52">
        <f t="shared" si="268"/>
        <v>0</v>
      </c>
    </row>
    <row r="1175" spans="1:25" x14ac:dyDescent="0.25">
      <c r="A1175" s="1218" t="s">
        <v>101</v>
      </c>
      <c r="B1175" s="98">
        <v>45566</v>
      </c>
      <c r="C1175" s="117" t="str">
        <f t="shared" si="269"/>
        <v>4L</v>
      </c>
      <c r="D1175" s="96"/>
      <c r="E1175" s="98"/>
      <c r="F1175" s="98"/>
      <c r="I1175" s="99">
        <f t="shared" si="256"/>
        <v>0</v>
      </c>
      <c r="L1175" s="99">
        <f t="shared" si="257"/>
        <v>0</v>
      </c>
      <c r="M1175" s="44" t="str">
        <f t="shared" si="259"/>
        <v/>
      </c>
      <c r="N1175" s="100">
        <f t="shared" si="260"/>
        <v>0</v>
      </c>
      <c r="O1175" s="101">
        <f t="shared" si="261"/>
        <v>0</v>
      </c>
      <c r="P1175" s="52">
        <f t="shared" si="262"/>
        <v>0</v>
      </c>
      <c r="Q1175" s="49">
        <v>116.88487613461319</v>
      </c>
      <c r="R1175">
        <v>2225</v>
      </c>
      <c r="S1175" s="50">
        <f t="shared" si="258"/>
        <v>71535.307499999995</v>
      </c>
      <c r="T1175" s="50">
        <f t="shared" si="263"/>
        <v>0</v>
      </c>
      <c r="U1175" s="58">
        <f t="shared" si="264"/>
        <v>0</v>
      </c>
      <c r="V1175" s="58">
        <f t="shared" si="265"/>
        <v>0</v>
      </c>
      <c r="W1175" s="58">
        <f t="shared" si="266"/>
        <v>0</v>
      </c>
      <c r="X1175" s="58">
        <f t="shared" si="267"/>
        <v>0</v>
      </c>
      <c r="Y1175" s="52">
        <f t="shared" si="268"/>
        <v>0</v>
      </c>
    </row>
    <row r="1176" spans="1:25" x14ac:dyDescent="0.25">
      <c r="A1176" s="1218" t="s">
        <v>102</v>
      </c>
      <c r="B1176" s="98">
        <v>45566</v>
      </c>
      <c r="C1176" s="117" t="str">
        <f t="shared" si="269"/>
        <v>4L</v>
      </c>
      <c r="D1176" s="96"/>
      <c r="E1176" s="98"/>
      <c r="F1176" s="98"/>
      <c r="I1176" s="99">
        <f t="shared" si="256"/>
        <v>0</v>
      </c>
      <c r="L1176" s="99">
        <f t="shared" si="257"/>
        <v>0</v>
      </c>
      <c r="M1176" s="44" t="str">
        <f t="shared" si="259"/>
        <v/>
      </c>
      <c r="N1176" s="100">
        <f t="shared" si="260"/>
        <v>0</v>
      </c>
      <c r="O1176" s="101">
        <f t="shared" si="261"/>
        <v>0</v>
      </c>
      <c r="P1176" s="52">
        <f t="shared" si="262"/>
        <v>0</v>
      </c>
      <c r="Q1176" s="49">
        <v>116.88487613461319</v>
      </c>
      <c r="R1176">
        <v>2225</v>
      </c>
      <c r="S1176" s="50">
        <f t="shared" si="258"/>
        <v>71535.307499999995</v>
      </c>
      <c r="T1176" s="50">
        <f t="shared" si="263"/>
        <v>0</v>
      </c>
      <c r="U1176" s="58">
        <f t="shared" si="264"/>
        <v>0</v>
      </c>
      <c r="V1176" s="58">
        <f t="shared" si="265"/>
        <v>0</v>
      </c>
      <c r="W1176" s="58">
        <f t="shared" si="266"/>
        <v>0</v>
      </c>
      <c r="X1176" s="58">
        <f t="shared" si="267"/>
        <v>0</v>
      </c>
      <c r="Y1176" s="52">
        <f t="shared" si="268"/>
        <v>0</v>
      </c>
    </row>
    <row r="1177" spans="1:25" x14ac:dyDescent="0.25">
      <c r="A1177" s="1218" t="s">
        <v>103</v>
      </c>
      <c r="B1177" s="98">
        <v>45566</v>
      </c>
      <c r="C1177" s="117" t="str">
        <f t="shared" si="269"/>
        <v>4L</v>
      </c>
      <c r="D1177" s="96"/>
      <c r="E1177" s="98"/>
      <c r="F1177" s="98"/>
      <c r="I1177" s="99">
        <f t="shared" si="256"/>
        <v>0</v>
      </c>
      <c r="L1177" s="99">
        <f t="shared" si="257"/>
        <v>0</v>
      </c>
      <c r="M1177" s="44" t="str">
        <f t="shared" si="259"/>
        <v/>
      </c>
      <c r="N1177" s="100">
        <f t="shared" si="260"/>
        <v>0</v>
      </c>
      <c r="O1177" s="101">
        <f t="shared" si="261"/>
        <v>0</v>
      </c>
      <c r="P1177" s="52">
        <f t="shared" si="262"/>
        <v>0</v>
      </c>
      <c r="Q1177" s="49">
        <v>116.88487613461319</v>
      </c>
      <c r="R1177">
        <v>2225</v>
      </c>
      <c r="S1177" s="50">
        <f t="shared" si="258"/>
        <v>71535.307499999995</v>
      </c>
      <c r="T1177" s="50">
        <f t="shared" si="263"/>
        <v>0</v>
      </c>
      <c r="U1177" s="58">
        <f t="shared" si="264"/>
        <v>0</v>
      </c>
      <c r="V1177" s="58">
        <f t="shared" si="265"/>
        <v>0</v>
      </c>
      <c r="W1177" s="58">
        <f t="shared" si="266"/>
        <v>0</v>
      </c>
      <c r="X1177" s="58">
        <f t="shared" si="267"/>
        <v>0</v>
      </c>
      <c r="Y1177" s="52">
        <f t="shared" si="268"/>
        <v>0</v>
      </c>
    </row>
    <row r="1178" spans="1:25" x14ac:dyDescent="0.25">
      <c r="A1178" s="1218" t="s">
        <v>104</v>
      </c>
      <c r="B1178" s="98">
        <v>45566</v>
      </c>
      <c r="C1178" s="117" t="str">
        <f t="shared" si="269"/>
        <v>4L</v>
      </c>
      <c r="D1178" s="96"/>
      <c r="E1178" s="98"/>
      <c r="F1178" s="98"/>
      <c r="G1178" s="43">
        <v>1085</v>
      </c>
      <c r="H1178" s="26">
        <v>1.39</v>
      </c>
      <c r="I1178" s="99">
        <f t="shared" si="256"/>
        <v>1.5081499999999999</v>
      </c>
      <c r="L1178" s="99">
        <f t="shared" si="257"/>
        <v>0</v>
      </c>
      <c r="M1178" s="44">
        <f t="shared" si="259"/>
        <v>-1</v>
      </c>
      <c r="N1178" s="100">
        <f t="shared" si="260"/>
        <v>-1085</v>
      </c>
      <c r="O1178" s="101">
        <f t="shared" si="261"/>
        <v>-1.5081499999999999</v>
      </c>
      <c r="P1178" s="52">
        <f t="shared" si="262"/>
        <v>0</v>
      </c>
      <c r="Q1178" s="49">
        <v>116.88487613461319</v>
      </c>
      <c r="R1178">
        <v>2225</v>
      </c>
      <c r="S1178" s="50">
        <f t="shared" si="258"/>
        <v>71535.307499999995</v>
      </c>
      <c r="T1178" s="50">
        <f t="shared" si="263"/>
        <v>107885.97400612499</v>
      </c>
      <c r="U1178" s="58">
        <f t="shared" si="264"/>
        <v>0</v>
      </c>
      <c r="V1178" s="58">
        <f t="shared" si="265"/>
        <v>126820.09060605531</v>
      </c>
      <c r="W1178" s="58">
        <f t="shared" si="266"/>
        <v>0</v>
      </c>
      <c r="X1178" s="58">
        <f t="shared" si="267"/>
        <v>-18934.116599930319</v>
      </c>
      <c r="Y1178" s="52">
        <f t="shared" si="268"/>
        <v>0</v>
      </c>
    </row>
    <row r="1179" spans="1:25" x14ac:dyDescent="0.25">
      <c r="A1179" s="1218" t="s">
        <v>105</v>
      </c>
      <c r="B1179" s="98">
        <v>45566</v>
      </c>
      <c r="C1179" s="117" t="str">
        <f t="shared" si="269"/>
        <v>4L</v>
      </c>
      <c r="D1179" s="96"/>
      <c r="E1179" s="98"/>
      <c r="F1179" s="98"/>
      <c r="I1179" s="99">
        <f t="shared" si="256"/>
        <v>0</v>
      </c>
      <c r="L1179" s="99">
        <f t="shared" si="257"/>
        <v>0</v>
      </c>
      <c r="M1179" s="44" t="str">
        <f t="shared" si="259"/>
        <v/>
      </c>
      <c r="N1179" s="100">
        <f t="shared" si="260"/>
        <v>0</v>
      </c>
      <c r="O1179" s="101">
        <f t="shared" si="261"/>
        <v>0</v>
      </c>
      <c r="P1179" s="52">
        <f t="shared" si="262"/>
        <v>0</v>
      </c>
      <c r="Q1179" s="49">
        <v>116.88487613461319</v>
      </c>
      <c r="R1179">
        <v>2225</v>
      </c>
      <c r="S1179" s="50">
        <f t="shared" si="258"/>
        <v>71535.307499999995</v>
      </c>
      <c r="T1179" s="50">
        <f t="shared" si="263"/>
        <v>0</v>
      </c>
      <c r="U1179" s="58">
        <f t="shared" si="264"/>
        <v>0</v>
      </c>
      <c r="V1179" s="58">
        <f t="shared" si="265"/>
        <v>0</v>
      </c>
      <c r="W1179" s="58">
        <f t="shared" si="266"/>
        <v>0</v>
      </c>
      <c r="X1179" s="58">
        <f t="shared" si="267"/>
        <v>0</v>
      </c>
      <c r="Y1179" s="52">
        <f t="shared" si="268"/>
        <v>0</v>
      </c>
    </row>
    <row r="1180" spans="1:25" x14ac:dyDescent="0.25">
      <c r="A1180" s="1218" t="s">
        <v>106</v>
      </c>
      <c r="B1180" s="98">
        <v>45566</v>
      </c>
      <c r="C1180" s="117" t="str">
        <f t="shared" si="269"/>
        <v>4L</v>
      </c>
      <c r="D1180" s="96"/>
      <c r="E1180" s="98"/>
      <c r="F1180" s="98"/>
      <c r="I1180" s="99">
        <f t="shared" si="256"/>
        <v>0</v>
      </c>
      <c r="L1180" s="99">
        <f t="shared" si="257"/>
        <v>0</v>
      </c>
      <c r="M1180" s="44" t="str">
        <f t="shared" si="259"/>
        <v/>
      </c>
      <c r="N1180" s="100">
        <f t="shared" si="260"/>
        <v>0</v>
      </c>
      <c r="O1180" s="101">
        <f t="shared" si="261"/>
        <v>0</v>
      </c>
      <c r="P1180" s="52">
        <f t="shared" si="262"/>
        <v>0</v>
      </c>
      <c r="Q1180" s="49">
        <v>116.88487613461319</v>
      </c>
      <c r="R1180">
        <v>2225</v>
      </c>
      <c r="S1180" s="50">
        <f t="shared" si="258"/>
        <v>71535.307499999995</v>
      </c>
      <c r="T1180" s="50">
        <f t="shared" si="263"/>
        <v>0</v>
      </c>
      <c r="U1180" s="58">
        <f t="shared" si="264"/>
        <v>0</v>
      </c>
      <c r="V1180" s="58">
        <f t="shared" si="265"/>
        <v>0</v>
      </c>
      <c r="W1180" s="58">
        <f t="shared" si="266"/>
        <v>0</v>
      </c>
      <c r="X1180" s="58">
        <f t="shared" si="267"/>
        <v>0</v>
      </c>
      <c r="Y1180" s="52">
        <f t="shared" si="268"/>
        <v>0</v>
      </c>
    </row>
    <row r="1181" spans="1:25" x14ac:dyDescent="0.25">
      <c r="A1181" s="1218" t="s">
        <v>107</v>
      </c>
      <c r="B1181" s="98">
        <v>45566</v>
      </c>
      <c r="C1181" s="117" t="str">
        <f t="shared" si="269"/>
        <v>4L</v>
      </c>
      <c r="D1181" s="96"/>
      <c r="E1181" s="98"/>
      <c r="F1181" s="98"/>
      <c r="I1181" s="99">
        <f t="shared" si="256"/>
        <v>0</v>
      </c>
      <c r="J1181">
        <v>1913.8</v>
      </c>
      <c r="K1181" s="49">
        <v>1.155806702390034</v>
      </c>
      <c r="L1181" s="99">
        <f t="shared" si="257"/>
        <v>2.2119828670340471</v>
      </c>
      <c r="M1181" s="44" t="str">
        <f t="shared" si="259"/>
        <v/>
      </c>
      <c r="N1181" s="100">
        <f t="shared" si="260"/>
        <v>1913.8</v>
      </c>
      <c r="O1181" s="101">
        <f t="shared" si="261"/>
        <v>2.2119828670340471</v>
      </c>
      <c r="P1181" s="52">
        <f t="shared" si="262"/>
        <v>-65459.401368410559</v>
      </c>
      <c r="Q1181" s="49">
        <v>116.88487613461319</v>
      </c>
      <c r="R1181">
        <v>2225</v>
      </c>
      <c r="S1181" s="50">
        <f t="shared" si="258"/>
        <v>71535.307499999995</v>
      </c>
      <c r="T1181" s="50">
        <f t="shared" si="263"/>
        <v>0</v>
      </c>
      <c r="U1181" s="58">
        <f t="shared" si="264"/>
        <v>158234.87457801215</v>
      </c>
      <c r="V1181" s="58">
        <f t="shared" si="265"/>
        <v>0</v>
      </c>
      <c r="W1181" s="58">
        <f t="shared" si="266"/>
        <v>223694.27594642271</v>
      </c>
      <c r="X1181" s="58">
        <f t="shared" si="267"/>
        <v>0</v>
      </c>
      <c r="Y1181" s="52">
        <f t="shared" si="268"/>
        <v>-65459.401368410559</v>
      </c>
    </row>
    <row r="1182" spans="1:25" x14ac:dyDescent="0.25">
      <c r="A1182" s="1218" t="s">
        <v>108</v>
      </c>
      <c r="B1182" s="98">
        <v>45566</v>
      </c>
      <c r="C1182" s="117" t="str">
        <f t="shared" si="269"/>
        <v>4L</v>
      </c>
      <c r="D1182" s="96"/>
      <c r="E1182" s="98"/>
      <c r="F1182" s="98"/>
      <c r="I1182" s="99">
        <f t="shared" si="256"/>
        <v>0</v>
      </c>
      <c r="L1182" s="99">
        <f t="shared" si="257"/>
        <v>0</v>
      </c>
      <c r="M1182" s="44" t="str">
        <f t="shared" si="259"/>
        <v/>
      </c>
      <c r="N1182" s="100">
        <f t="shared" si="260"/>
        <v>0</v>
      </c>
      <c r="O1182" s="101">
        <f t="shared" si="261"/>
        <v>0</v>
      </c>
      <c r="P1182" s="52">
        <f t="shared" si="262"/>
        <v>0</v>
      </c>
      <c r="Q1182" s="49">
        <v>116.88487613461319</v>
      </c>
      <c r="R1182">
        <v>2225</v>
      </c>
      <c r="S1182" s="50">
        <f t="shared" si="258"/>
        <v>71535.307499999995</v>
      </c>
      <c r="T1182" s="50">
        <f t="shared" si="263"/>
        <v>0</v>
      </c>
      <c r="U1182" s="58">
        <f t="shared" si="264"/>
        <v>0</v>
      </c>
      <c r="V1182" s="58">
        <f t="shared" si="265"/>
        <v>0</v>
      </c>
      <c r="W1182" s="58">
        <f t="shared" si="266"/>
        <v>0</v>
      </c>
      <c r="X1182" s="58">
        <f t="shared" si="267"/>
        <v>0</v>
      </c>
      <c r="Y1182" s="52">
        <f t="shared" si="268"/>
        <v>0</v>
      </c>
    </row>
    <row r="1183" spans="1:25" x14ac:dyDescent="0.25">
      <c r="A1183" s="1218" t="s">
        <v>109</v>
      </c>
      <c r="B1183" s="98">
        <v>45566</v>
      </c>
      <c r="C1183" s="117" t="str">
        <f t="shared" si="269"/>
        <v>4L</v>
      </c>
      <c r="D1183" s="96"/>
      <c r="E1183" s="98"/>
      <c r="F1183" s="98"/>
      <c r="I1183" s="99">
        <f t="shared" si="256"/>
        <v>0</v>
      </c>
      <c r="L1183" s="99">
        <f t="shared" si="257"/>
        <v>0</v>
      </c>
      <c r="M1183" s="44" t="str">
        <f t="shared" si="259"/>
        <v/>
      </c>
      <c r="N1183" s="100">
        <f t="shared" si="260"/>
        <v>0</v>
      </c>
      <c r="O1183" s="101">
        <f t="shared" si="261"/>
        <v>0</v>
      </c>
      <c r="P1183" s="52">
        <f t="shared" si="262"/>
        <v>0</v>
      </c>
      <c r="Q1183" s="49">
        <v>116.88487613461319</v>
      </c>
      <c r="R1183">
        <v>2225</v>
      </c>
      <c r="S1183" s="50">
        <f t="shared" si="258"/>
        <v>71535.307499999995</v>
      </c>
      <c r="T1183" s="50">
        <f t="shared" si="263"/>
        <v>0</v>
      </c>
      <c r="U1183" s="58">
        <f t="shared" si="264"/>
        <v>0</v>
      </c>
      <c r="V1183" s="58">
        <f t="shared" si="265"/>
        <v>0</v>
      </c>
      <c r="W1183" s="58">
        <f t="shared" si="266"/>
        <v>0</v>
      </c>
      <c r="X1183" s="58">
        <f t="shared" si="267"/>
        <v>0</v>
      </c>
      <c r="Y1183" s="52">
        <f t="shared" si="268"/>
        <v>0</v>
      </c>
    </row>
    <row r="1184" spans="1:25" x14ac:dyDescent="0.25">
      <c r="A1184" s="1218" t="s">
        <v>110</v>
      </c>
      <c r="B1184" s="98">
        <v>45566</v>
      </c>
      <c r="C1184" s="117" t="str">
        <f t="shared" si="269"/>
        <v>4L</v>
      </c>
      <c r="D1184" s="96"/>
      <c r="E1184" s="98"/>
      <c r="F1184" s="98"/>
      <c r="G1184" s="43">
        <v>2480</v>
      </c>
      <c r="H1184" s="26">
        <v>2.84</v>
      </c>
      <c r="I1184" s="99">
        <f t="shared" si="256"/>
        <v>7.0431999999999997</v>
      </c>
      <c r="J1184">
        <v>1406</v>
      </c>
      <c r="K1184" s="49">
        <v>2.019180383693433</v>
      </c>
      <c r="L1184" s="99">
        <f t="shared" si="257"/>
        <v>2.8389676194729669</v>
      </c>
      <c r="M1184" s="44">
        <f t="shared" si="259"/>
        <v>-0.59692077188309767</v>
      </c>
      <c r="N1184" s="100">
        <f t="shared" si="260"/>
        <v>-1074</v>
      </c>
      <c r="O1184" s="101">
        <f t="shared" si="261"/>
        <v>-4.2042323805270332</v>
      </c>
      <c r="P1184" s="52">
        <f t="shared" si="262"/>
        <v>38746.285796275537</v>
      </c>
      <c r="Q1184" s="49">
        <v>116.88487613461319</v>
      </c>
      <c r="R1184">
        <v>2225</v>
      </c>
      <c r="S1184" s="50">
        <f t="shared" si="258"/>
        <v>71535.307499999995</v>
      </c>
      <c r="T1184" s="50">
        <f t="shared" si="263"/>
        <v>503837.47778399993</v>
      </c>
      <c r="U1184" s="58">
        <f t="shared" si="264"/>
        <v>203086.42164154167</v>
      </c>
      <c r="V1184" s="58">
        <f t="shared" si="265"/>
        <v>289874.49281384074</v>
      </c>
      <c r="W1184" s="58">
        <f t="shared" si="266"/>
        <v>164340.13584526614</v>
      </c>
      <c r="X1184" s="58">
        <f t="shared" si="267"/>
        <v>213962.98497015919</v>
      </c>
      <c r="Y1184" s="52">
        <f t="shared" si="268"/>
        <v>38746.285796275537</v>
      </c>
    </row>
    <row r="1185" spans="1:25" x14ac:dyDescent="0.25">
      <c r="A1185" s="1218" t="s">
        <v>111</v>
      </c>
      <c r="B1185" s="98">
        <v>45566</v>
      </c>
      <c r="C1185" s="117" t="str">
        <f t="shared" si="269"/>
        <v>4L</v>
      </c>
      <c r="D1185" s="96"/>
      <c r="E1185" s="98"/>
      <c r="F1185" s="98"/>
      <c r="G1185" s="43">
        <v>2170</v>
      </c>
      <c r="H1185" s="26">
        <v>2.84</v>
      </c>
      <c r="I1185" s="99">
        <f t="shared" si="256"/>
        <v>6.1627999999999989</v>
      </c>
      <c r="L1185" s="99">
        <f t="shared" si="257"/>
        <v>0</v>
      </c>
      <c r="M1185" s="44">
        <f t="shared" si="259"/>
        <v>-1</v>
      </c>
      <c r="N1185" s="100">
        <f t="shared" si="260"/>
        <v>-2170</v>
      </c>
      <c r="O1185" s="101">
        <f t="shared" si="261"/>
        <v>-6.1627999999999989</v>
      </c>
      <c r="P1185" s="52">
        <f t="shared" si="262"/>
        <v>0</v>
      </c>
      <c r="Q1185" s="49">
        <v>116.88487613461319</v>
      </c>
      <c r="R1185">
        <v>2225</v>
      </c>
      <c r="S1185" s="50">
        <f t="shared" si="258"/>
        <v>71535.307499999995</v>
      </c>
      <c r="T1185" s="50">
        <f t="shared" si="263"/>
        <v>440857.79306099989</v>
      </c>
      <c r="U1185" s="58">
        <f t="shared" si="264"/>
        <v>0</v>
      </c>
      <c r="V1185" s="58">
        <f t="shared" si="265"/>
        <v>253640.18121211062</v>
      </c>
      <c r="W1185" s="58">
        <f t="shared" si="266"/>
        <v>0</v>
      </c>
      <c r="X1185" s="58">
        <f t="shared" si="267"/>
        <v>187217.61184888927</v>
      </c>
      <c r="Y1185" s="52">
        <f t="shared" si="268"/>
        <v>0</v>
      </c>
    </row>
    <row r="1186" spans="1:25" x14ac:dyDescent="0.25">
      <c r="A1186" s="1218" t="s">
        <v>112</v>
      </c>
      <c r="B1186" s="98">
        <v>45566</v>
      </c>
      <c r="C1186" s="117" t="str">
        <f t="shared" si="269"/>
        <v>4L</v>
      </c>
      <c r="D1186" s="96"/>
      <c r="E1186" s="98"/>
      <c r="F1186" s="98"/>
      <c r="I1186" s="99">
        <f t="shared" si="256"/>
        <v>0</v>
      </c>
      <c r="L1186" s="99">
        <f t="shared" si="257"/>
        <v>0</v>
      </c>
      <c r="M1186" s="44" t="str">
        <f t="shared" si="259"/>
        <v/>
      </c>
      <c r="N1186" s="100">
        <f t="shared" si="260"/>
        <v>0</v>
      </c>
      <c r="O1186" s="101">
        <f t="shared" si="261"/>
        <v>0</v>
      </c>
      <c r="P1186" s="52">
        <f t="shared" si="262"/>
        <v>0</v>
      </c>
      <c r="Q1186" s="49">
        <v>116.88487613461319</v>
      </c>
      <c r="R1186">
        <v>2225</v>
      </c>
      <c r="S1186" s="50">
        <f t="shared" si="258"/>
        <v>71535.307499999995</v>
      </c>
      <c r="T1186" s="50">
        <f t="shared" si="263"/>
        <v>0</v>
      </c>
      <c r="U1186" s="58">
        <f t="shared" si="264"/>
        <v>0</v>
      </c>
      <c r="V1186" s="58">
        <f t="shared" si="265"/>
        <v>0</v>
      </c>
      <c r="W1186" s="58">
        <f t="shared" si="266"/>
        <v>0</v>
      </c>
      <c r="X1186" s="58">
        <f t="shared" si="267"/>
        <v>0</v>
      </c>
      <c r="Y1186" s="52">
        <f t="shared" si="268"/>
        <v>0</v>
      </c>
    </row>
    <row r="1187" spans="1:25" x14ac:dyDescent="0.25">
      <c r="A1187" s="1218" t="s">
        <v>113</v>
      </c>
      <c r="B1187" s="98">
        <v>45566</v>
      </c>
      <c r="C1187" s="117" t="str">
        <f t="shared" si="269"/>
        <v>4L</v>
      </c>
      <c r="D1187" s="96"/>
      <c r="E1187" s="98"/>
      <c r="F1187" s="98"/>
      <c r="I1187" s="99">
        <f t="shared" si="256"/>
        <v>0</v>
      </c>
      <c r="L1187" s="99">
        <f t="shared" si="257"/>
        <v>0</v>
      </c>
      <c r="M1187" s="44" t="str">
        <f t="shared" si="259"/>
        <v/>
      </c>
      <c r="N1187" s="100">
        <f t="shared" si="260"/>
        <v>0</v>
      </c>
      <c r="O1187" s="101">
        <f t="shared" si="261"/>
        <v>0</v>
      </c>
      <c r="P1187" s="52">
        <f t="shared" si="262"/>
        <v>0</v>
      </c>
      <c r="Q1187" s="49">
        <v>116.88487613461319</v>
      </c>
      <c r="R1187">
        <v>2225</v>
      </c>
      <c r="S1187" s="50">
        <f t="shared" si="258"/>
        <v>71535.307499999995</v>
      </c>
      <c r="T1187" s="50">
        <f t="shared" si="263"/>
        <v>0</v>
      </c>
      <c r="U1187" s="58">
        <f t="shared" si="264"/>
        <v>0</v>
      </c>
      <c r="V1187" s="58">
        <f t="shared" si="265"/>
        <v>0</v>
      </c>
      <c r="W1187" s="58">
        <f t="shared" si="266"/>
        <v>0</v>
      </c>
      <c r="X1187" s="58">
        <f t="shared" si="267"/>
        <v>0</v>
      </c>
      <c r="Y1187" s="52">
        <f t="shared" si="268"/>
        <v>0</v>
      </c>
    </row>
    <row r="1188" spans="1:25" x14ac:dyDescent="0.25">
      <c r="A1188" s="1218" t="s">
        <v>114</v>
      </c>
      <c r="B1188" s="98">
        <v>45566</v>
      </c>
      <c r="C1188" s="117" t="str">
        <f t="shared" si="269"/>
        <v>4L</v>
      </c>
      <c r="D1188" s="96"/>
      <c r="E1188" s="98"/>
      <c r="F1188" s="98"/>
      <c r="I1188" s="99">
        <f t="shared" si="256"/>
        <v>0</v>
      </c>
      <c r="L1188" s="99">
        <f t="shared" si="257"/>
        <v>0</v>
      </c>
      <c r="M1188" s="44" t="str">
        <f t="shared" si="259"/>
        <v/>
      </c>
      <c r="N1188" s="100">
        <f t="shared" si="260"/>
        <v>0</v>
      </c>
      <c r="O1188" s="101">
        <f t="shared" si="261"/>
        <v>0</v>
      </c>
      <c r="P1188" s="52">
        <f t="shared" si="262"/>
        <v>0</v>
      </c>
      <c r="Q1188" s="49">
        <v>116.88487613461319</v>
      </c>
      <c r="R1188">
        <v>2225</v>
      </c>
      <c r="S1188" s="50">
        <f t="shared" si="258"/>
        <v>71535.307499999995</v>
      </c>
      <c r="T1188" s="50">
        <f t="shared" si="263"/>
        <v>0</v>
      </c>
      <c r="U1188" s="58">
        <f t="shared" si="264"/>
        <v>0</v>
      </c>
      <c r="V1188" s="58">
        <f t="shared" si="265"/>
        <v>0</v>
      </c>
      <c r="W1188" s="58">
        <f t="shared" si="266"/>
        <v>0</v>
      </c>
      <c r="X1188" s="58">
        <f t="shared" si="267"/>
        <v>0</v>
      </c>
      <c r="Y1188" s="52">
        <f t="shared" si="268"/>
        <v>0</v>
      </c>
    </row>
    <row r="1189" spans="1:25" x14ac:dyDescent="0.25">
      <c r="A1189" s="1218" t="s">
        <v>115</v>
      </c>
      <c r="B1189" s="98">
        <v>45566</v>
      </c>
      <c r="C1189" s="117" t="str">
        <f t="shared" si="269"/>
        <v>4L</v>
      </c>
      <c r="D1189" s="96"/>
      <c r="E1189" s="98"/>
      <c r="F1189" s="98"/>
      <c r="I1189" s="99">
        <f t="shared" si="256"/>
        <v>0</v>
      </c>
      <c r="L1189" s="99">
        <f t="shared" si="257"/>
        <v>0</v>
      </c>
      <c r="M1189" s="44" t="str">
        <f t="shared" si="259"/>
        <v/>
      </c>
      <c r="N1189" s="100">
        <f t="shared" si="260"/>
        <v>0</v>
      </c>
      <c r="O1189" s="101">
        <f t="shared" si="261"/>
        <v>0</v>
      </c>
      <c r="P1189" s="52">
        <f t="shared" si="262"/>
        <v>0</v>
      </c>
      <c r="Q1189" s="49">
        <v>116.88487613461319</v>
      </c>
      <c r="R1189">
        <v>2225</v>
      </c>
      <c r="S1189" s="50">
        <f t="shared" si="258"/>
        <v>71535.307499999995</v>
      </c>
      <c r="T1189" s="50">
        <f t="shared" si="263"/>
        <v>0</v>
      </c>
      <c r="U1189" s="58">
        <f t="shared" si="264"/>
        <v>0</v>
      </c>
      <c r="V1189" s="58">
        <f t="shared" si="265"/>
        <v>0</v>
      </c>
      <c r="W1189" s="58">
        <f t="shared" si="266"/>
        <v>0</v>
      </c>
      <c r="X1189" s="58">
        <f t="shared" si="267"/>
        <v>0</v>
      </c>
      <c r="Y1189" s="52">
        <f t="shared" si="268"/>
        <v>0</v>
      </c>
    </row>
    <row r="1190" spans="1:25" x14ac:dyDescent="0.25">
      <c r="A1190" s="1218" t="s">
        <v>116</v>
      </c>
      <c r="B1190" s="98">
        <v>45566</v>
      </c>
      <c r="C1190" s="117" t="str">
        <f t="shared" si="269"/>
        <v>4L</v>
      </c>
      <c r="D1190" s="96"/>
      <c r="E1190" s="98"/>
      <c r="F1190" s="98"/>
      <c r="I1190" s="99">
        <f t="shared" si="256"/>
        <v>0</v>
      </c>
      <c r="J1190" s="50">
        <v>2258.6</v>
      </c>
      <c r="K1190" s="49">
        <v>1.7824488904328233</v>
      </c>
      <c r="L1190" s="99">
        <f t="shared" si="257"/>
        <v>4.0258390639315742</v>
      </c>
      <c r="M1190" s="44" t="str">
        <f t="shared" si="259"/>
        <v/>
      </c>
      <c r="N1190" s="100">
        <f t="shared" si="260"/>
        <v>2258.6</v>
      </c>
      <c r="O1190" s="101">
        <f t="shared" si="261"/>
        <v>4.0258390639315742</v>
      </c>
      <c r="P1190" s="52">
        <f t="shared" si="262"/>
        <v>23993.454146219941</v>
      </c>
      <c r="Q1190" s="49">
        <v>116.88487613461319</v>
      </c>
      <c r="R1190">
        <v>2225</v>
      </c>
      <c r="S1190" s="50">
        <f t="shared" si="258"/>
        <v>71535.307499999995</v>
      </c>
      <c r="T1190" s="50">
        <f t="shared" si="263"/>
        <v>0</v>
      </c>
      <c r="U1190" s="58">
        <f t="shared" si="264"/>
        <v>287989.6353838573</v>
      </c>
      <c r="V1190" s="58">
        <f t="shared" si="265"/>
        <v>0</v>
      </c>
      <c r="W1190" s="58">
        <f t="shared" si="266"/>
        <v>263996.18123763736</v>
      </c>
      <c r="X1190" s="58">
        <f t="shared" si="267"/>
        <v>0</v>
      </c>
      <c r="Y1190" s="52">
        <f t="shared" si="268"/>
        <v>23993.454146219941</v>
      </c>
    </row>
    <row r="1191" spans="1:25" x14ac:dyDescent="0.25">
      <c r="A1191" s="1218" t="s">
        <v>117</v>
      </c>
      <c r="B1191" s="98">
        <v>45566</v>
      </c>
      <c r="C1191" s="117" t="str">
        <f t="shared" si="269"/>
        <v>4L</v>
      </c>
      <c r="D1191" s="96"/>
      <c r="E1191" s="98"/>
      <c r="F1191" s="98"/>
      <c r="G1191" s="43">
        <v>1240</v>
      </c>
      <c r="H1191" s="26">
        <v>2.98</v>
      </c>
      <c r="I1191" s="99">
        <f t="shared" si="256"/>
        <v>3.6951999999999998</v>
      </c>
      <c r="J1191" s="50">
        <v>2636.7</v>
      </c>
      <c r="K1191" s="49">
        <v>2.5622702799971844</v>
      </c>
      <c r="L1191" s="99">
        <f t="shared" si="257"/>
        <v>6.7559380472685753</v>
      </c>
      <c r="M1191" s="44">
        <f t="shared" si="259"/>
        <v>0.82830105197785653</v>
      </c>
      <c r="N1191" s="100">
        <f t="shared" si="260"/>
        <v>1396.6999999999998</v>
      </c>
      <c r="O1191" s="101">
        <f t="shared" si="261"/>
        <v>3.0607380472685755</v>
      </c>
      <c r="P1191" s="52">
        <f t="shared" si="262"/>
        <v>175097.75275817246</v>
      </c>
      <c r="Q1191" s="49">
        <v>116.88487613461319</v>
      </c>
      <c r="R1191">
        <v>2225</v>
      </c>
      <c r="S1191" s="50">
        <f t="shared" si="258"/>
        <v>71535.307499999995</v>
      </c>
      <c r="T1191" s="50">
        <f t="shared" si="263"/>
        <v>264337.26827399997</v>
      </c>
      <c r="U1191" s="58">
        <f t="shared" si="264"/>
        <v>483288.10566230706</v>
      </c>
      <c r="V1191" s="58">
        <f t="shared" si="265"/>
        <v>144937.24640692037</v>
      </c>
      <c r="W1191" s="58">
        <f t="shared" si="266"/>
        <v>308190.3529041346</v>
      </c>
      <c r="X1191" s="58">
        <f t="shared" si="267"/>
        <v>119400.0218670796</v>
      </c>
      <c r="Y1191" s="52">
        <f t="shared" si="268"/>
        <v>175097.75275817246</v>
      </c>
    </row>
    <row r="1192" spans="1:25" x14ac:dyDescent="0.25">
      <c r="A1192" s="1218" t="s">
        <v>118</v>
      </c>
      <c r="B1192" s="98">
        <v>45566</v>
      </c>
      <c r="C1192" s="117" t="str">
        <f t="shared" si="269"/>
        <v>4L</v>
      </c>
      <c r="D1192" s="96"/>
      <c r="E1192" s="98"/>
      <c r="F1192" s="98"/>
      <c r="I1192" s="99">
        <f t="shared" si="256"/>
        <v>0</v>
      </c>
      <c r="L1192" s="99">
        <f t="shared" si="257"/>
        <v>0</v>
      </c>
      <c r="M1192" s="44" t="str">
        <f t="shared" si="259"/>
        <v/>
      </c>
      <c r="N1192" s="100">
        <f t="shared" si="260"/>
        <v>0</v>
      </c>
      <c r="O1192" s="101">
        <f t="shared" si="261"/>
        <v>0</v>
      </c>
      <c r="P1192" s="52">
        <f t="shared" si="262"/>
        <v>0</v>
      </c>
      <c r="Q1192" s="49">
        <v>116.88487613461319</v>
      </c>
      <c r="R1192">
        <v>2225</v>
      </c>
      <c r="S1192" s="50">
        <f t="shared" si="258"/>
        <v>71535.307499999995</v>
      </c>
      <c r="T1192" s="50">
        <f t="shared" si="263"/>
        <v>0</v>
      </c>
      <c r="U1192" s="58">
        <f t="shared" si="264"/>
        <v>0</v>
      </c>
      <c r="V1192" s="58">
        <f t="shared" si="265"/>
        <v>0</v>
      </c>
      <c r="W1192" s="58">
        <f t="shared" si="266"/>
        <v>0</v>
      </c>
      <c r="X1192" s="58">
        <f t="shared" si="267"/>
        <v>0</v>
      </c>
      <c r="Y1192" s="52">
        <f t="shared" si="268"/>
        <v>0</v>
      </c>
    </row>
    <row r="1193" spans="1:25" x14ac:dyDescent="0.25">
      <c r="A1193" s="1218" t="s">
        <v>119</v>
      </c>
      <c r="B1193" s="98">
        <v>45566</v>
      </c>
      <c r="C1193" s="117" t="str">
        <f t="shared" si="269"/>
        <v>4L</v>
      </c>
      <c r="D1193" s="96"/>
      <c r="E1193" s="98"/>
      <c r="F1193" s="98"/>
      <c r="I1193" s="99">
        <f t="shared" si="256"/>
        <v>0</v>
      </c>
      <c r="L1193" s="99">
        <f t="shared" si="257"/>
        <v>0</v>
      </c>
      <c r="M1193" s="44" t="str">
        <f t="shared" si="259"/>
        <v/>
      </c>
      <c r="N1193" s="100">
        <f t="shared" si="260"/>
        <v>0</v>
      </c>
      <c r="O1193" s="101">
        <f t="shared" si="261"/>
        <v>0</v>
      </c>
      <c r="P1193" s="52">
        <f t="shared" si="262"/>
        <v>0</v>
      </c>
      <c r="Q1193" s="49">
        <v>116.88487613461319</v>
      </c>
      <c r="R1193">
        <v>2225</v>
      </c>
      <c r="S1193" s="50">
        <f t="shared" si="258"/>
        <v>71535.307499999995</v>
      </c>
      <c r="T1193" s="50">
        <f t="shared" si="263"/>
        <v>0</v>
      </c>
      <c r="U1193" s="58">
        <f t="shared" si="264"/>
        <v>0</v>
      </c>
      <c r="V1193" s="58">
        <f t="shared" si="265"/>
        <v>0</v>
      </c>
      <c r="W1193" s="58">
        <f t="shared" si="266"/>
        <v>0</v>
      </c>
      <c r="X1193" s="58">
        <f t="shared" si="267"/>
        <v>0</v>
      </c>
      <c r="Y1193" s="52">
        <f t="shared" si="268"/>
        <v>0</v>
      </c>
    </row>
    <row r="1194" spans="1:25" x14ac:dyDescent="0.25">
      <c r="A1194" s="1218" t="s">
        <v>120</v>
      </c>
      <c r="B1194" s="98">
        <v>45566</v>
      </c>
      <c r="C1194" s="117" t="str">
        <f t="shared" si="269"/>
        <v>4L</v>
      </c>
      <c r="D1194" s="96"/>
      <c r="E1194" s="98"/>
      <c r="F1194" s="98"/>
      <c r="G1194" s="43">
        <v>1240</v>
      </c>
      <c r="H1194" s="26">
        <v>2.98</v>
      </c>
      <c r="I1194" s="99">
        <f t="shared" si="256"/>
        <v>3.6951999999999998</v>
      </c>
      <c r="J1194">
        <v>1587</v>
      </c>
      <c r="K1194" s="49">
        <v>3.328166287605038</v>
      </c>
      <c r="L1194" s="99">
        <f t="shared" si="257"/>
        <v>5.2817998984291954</v>
      </c>
      <c r="M1194" s="44">
        <f t="shared" si="259"/>
        <v>0.42936780104708694</v>
      </c>
      <c r="N1194" s="100">
        <f t="shared" si="260"/>
        <v>347</v>
      </c>
      <c r="O1194" s="101">
        <f t="shared" si="261"/>
        <v>1.5865998984291956</v>
      </c>
      <c r="P1194" s="52">
        <f t="shared" si="262"/>
        <v>192338.8814619701</v>
      </c>
      <c r="Q1194" s="49">
        <v>116.88487613461319</v>
      </c>
      <c r="R1194">
        <v>2225</v>
      </c>
      <c r="S1194" s="50">
        <f t="shared" si="258"/>
        <v>71535.307499999995</v>
      </c>
      <c r="T1194" s="50">
        <f t="shared" si="263"/>
        <v>264337.26827399997</v>
      </c>
      <c r="U1194" s="58">
        <f t="shared" si="264"/>
        <v>377835.17988760123</v>
      </c>
      <c r="V1194" s="58">
        <f t="shared" si="265"/>
        <v>144937.24640692037</v>
      </c>
      <c r="W1194" s="58">
        <f t="shared" si="266"/>
        <v>185496.29842563113</v>
      </c>
      <c r="X1194" s="58">
        <f t="shared" si="267"/>
        <v>119400.0218670796</v>
      </c>
      <c r="Y1194" s="52">
        <f t="shared" si="268"/>
        <v>192338.8814619701</v>
      </c>
    </row>
    <row r="1195" spans="1:25" x14ac:dyDescent="0.25">
      <c r="A1195" s="1218" t="s">
        <v>121</v>
      </c>
      <c r="B1195" s="98">
        <v>45566</v>
      </c>
      <c r="C1195" s="117" t="str">
        <f t="shared" si="269"/>
        <v>4L</v>
      </c>
      <c r="D1195" s="96"/>
      <c r="E1195" s="98"/>
      <c r="F1195" s="98"/>
      <c r="G1195" s="43"/>
      <c r="H1195" s="26"/>
      <c r="I1195" s="99">
        <f t="shared" si="256"/>
        <v>0</v>
      </c>
      <c r="K1195" s="49"/>
      <c r="L1195" s="99">
        <f t="shared" si="257"/>
        <v>0</v>
      </c>
      <c r="M1195" s="44" t="str">
        <f t="shared" si="259"/>
        <v/>
      </c>
      <c r="N1195" s="100">
        <f t="shared" si="260"/>
        <v>0</v>
      </c>
      <c r="O1195" s="101">
        <f t="shared" si="261"/>
        <v>0</v>
      </c>
      <c r="P1195" s="52">
        <f t="shared" si="262"/>
        <v>0</v>
      </c>
      <c r="Q1195" s="49">
        <v>116.88487613461319</v>
      </c>
      <c r="R1195">
        <v>2225</v>
      </c>
      <c r="S1195" s="50">
        <f t="shared" si="258"/>
        <v>71535.307499999995</v>
      </c>
      <c r="T1195" s="50">
        <f t="shared" si="263"/>
        <v>0</v>
      </c>
      <c r="U1195" s="58">
        <f t="shared" si="264"/>
        <v>0</v>
      </c>
      <c r="V1195" s="58">
        <f t="shared" si="265"/>
        <v>0</v>
      </c>
      <c r="W1195" s="58">
        <f t="shared" si="266"/>
        <v>0</v>
      </c>
      <c r="X1195" s="58">
        <f t="shared" si="267"/>
        <v>0</v>
      </c>
      <c r="Y1195" s="52">
        <f t="shared" si="268"/>
        <v>0</v>
      </c>
    </row>
    <row r="1196" spans="1:25" x14ac:dyDescent="0.25">
      <c r="A1196" s="1218" t="s">
        <v>122</v>
      </c>
      <c r="B1196" s="98">
        <v>45566</v>
      </c>
      <c r="C1196" s="117" t="str">
        <f t="shared" si="269"/>
        <v>4L</v>
      </c>
      <c r="D1196" s="96"/>
      <c r="E1196" s="98"/>
      <c r="F1196" s="98"/>
      <c r="G1196" s="43"/>
      <c r="H1196" s="26"/>
      <c r="I1196" s="99">
        <f t="shared" si="256"/>
        <v>0</v>
      </c>
      <c r="K1196" s="49"/>
      <c r="L1196" s="99">
        <f t="shared" si="257"/>
        <v>0</v>
      </c>
      <c r="M1196" s="44" t="str">
        <f t="shared" si="259"/>
        <v/>
      </c>
      <c r="N1196" s="100">
        <f t="shared" si="260"/>
        <v>0</v>
      </c>
      <c r="O1196" s="101">
        <f t="shared" si="261"/>
        <v>0</v>
      </c>
      <c r="P1196" s="52">
        <f t="shared" si="262"/>
        <v>0</v>
      </c>
      <c r="Q1196" s="49">
        <v>116.88487613461319</v>
      </c>
      <c r="R1196">
        <v>2225</v>
      </c>
      <c r="S1196" s="50">
        <f t="shared" si="258"/>
        <v>71535.307499999995</v>
      </c>
      <c r="T1196" s="50">
        <f t="shared" si="263"/>
        <v>0</v>
      </c>
      <c r="U1196" s="58">
        <f t="shared" si="264"/>
        <v>0</v>
      </c>
      <c r="V1196" s="58">
        <f t="shared" si="265"/>
        <v>0</v>
      </c>
      <c r="W1196" s="58">
        <f t="shared" si="266"/>
        <v>0</v>
      </c>
      <c r="X1196" s="58">
        <f t="shared" si="267"/>
        <v>0</v>
      </c>
      <c r="Y1196" s="52">
        <f t="shared" si="268"/>
        <v>0</v>
      </c>
    </row>
    <row r="1197" spans="1:25" x14ac:dyDescent="0.25">
      <c r="A1197" s="1218" t="s">
        <v>123</v>
      </c>
      <c r="B1197" s="98">
        <v>45566</v>
      </c>
      <c r="C1197" s="117" t="str">
        <f t="shared" si="269"/>
        <v>4L</v>
      </c>
      <c r="D1197" s="96"/>
      <c r="E1197" s="98"/>
      <c r="F1197" s="98"/>
      <c r="G1197" s="43">
        <v>2170</v>
      </c>
      <c r="H1197" s="26">
        <v>1.92</v>
      </c>
      <c r="I1197" s="99">
        <f t="shared" si="256"/>
        <v>4.1663999999999994</v>
      </c>
      <c r="J1197">
        <v>926</v>
      </c>
      <c r="K1197" s="49">
        <v>3.2585393778225051</v>
      </c>
      <c r="L1197" s="99">
        <f t="shared" si="257"/>
        <v>3.0174074638636399</v>
      </c>
      <c r="M1197" s="44">
        <f t="shared" si="259"/>
        <v>-0.27577585832765927</v>
      </c>
      <c r="N1197" s="100">
        <f t="shared" si="260"/>
        <v>-1244</v>
      </c>
      <c r="O1197" s="101">
        <f t="shared" si="261"/>
        <v>-1.1489925361363595</v>
      </c>
      <c r="P1197" s="52">
        <f t="shared" si="262"/>
        <v>107615.77547962879</v>
      </c>
      <c r="Q1197" s="49">
        <v>116.88487613461319</v>
      </c>
      <c r="R1197">
        <v>2225</v>
      </c>
      <c r="S1197" s="50">
        <f t="shared" si="258"/>
        <v>71535.307499999995</v>
      </c>
      <c r="T1197" s="50">
        <f t="shared" si="263"/>
        <v>298044.70516799996</v>
      </c>
      <c r="U1197" s="58">
        <f t="shared" si="264"/>
        <v>215851.1707802806</v>
      </c>
      <c r="V1197" s="58">
        <f t="shared" si="265"/>
        <v>253640.18121211062</v>
      </c>
      <c r="W1197" s="58">
        <f t="shared" si="266"/>
        <v>108235.39530065181</v>
      </c>
      <c r="X1197" s="58">
        <f t="shared" si="267"/>
        <v>44404.523955889337</v>
      </c>
      <c r="Y1197" s="52">
        <f t="shared" si="268"/>
        <v>107615.77547962879</v>
      </c>
    </row>
    <row r="1198" spans="1:25" x14ac:dyDescent="0.25">
      <c r="A1198" s="1218" t="s">
        <v>124</v>
      </c>
      <c r="B1198" s="98">
        <v>45566</v>
      </c>
      <c r="C1198" s="117" t="str">
        <f t="shared" si="269"/>
        <v>4L</v>
      </c>
      <c r="D1198" s="96"/>
      <c r="E1198" s="98"/>
      <c r="F1198" s="98"/>
      <c r="I1198" s="99">
        <f t="shared" si="256"/>
        <v>0</v>
      </c>
      <c r="L1198" s="99">
        <f t="shared" si="257"/>
        <v>0</v>
      </c>
      <c r="M1198" s="44" t="str">
        <f t="shared" si="259"/>
        <v/>
      </c>
      <c r="N1198" s="100">
        <f t="shared" si="260"/>
        <v>0</v>
      </c>
      <c r="O1198" s="101">
        <f t="shared" si="261"/>
        <v>0</v>
      </c>
      <c r="P1198" s="52">
        <f t="shared" si="262"/>
        <v>0</v>
      </c>
      <c r="Q1198" s="49">
        <v>116.88487613461319</v>
      </c>
      <c r="R1198">
        <v>2225</v>
      </c>
      <c r="S1198" s="50">
        <f t="shared" si="258"/>
        <v>71535.307499999995</v>
      </c>
      <c r="T1198" s="50">
        <f t="shared" si="263"/>
        <v>0</v>
      </c>
      <c r="U1198" s="58">
        <f t="shared" si="264"/>
        <v>0</v>
      </c>
      <c r="V1198" s="58">
        <f t="shared" si="265"/>
        <v>0</v>
      </c>
      <c r="W1198" s="58">
        <f t="shared" si="266"/>
        <v>0</v>
      </c>
      <c r="X1198" s="58">
        <f t="shared" si="267"/>
        <v>0</v>
      </c>
      <c r="Y1198" s="52">
        <f t="shared" si="268"/>
        <v>0</v>
      </c>
    </row>
    <row r="1199" spans="1:25" x14ac:dyDescent="0.25">
      <c r="A1199" s="1218" t="s">
        <v>125</v>
      </c>
      <c r="B1199" s="98">
        <v>45566</v>
      </c>
      <c r="C1199" s="117" t="str">
        <f t="shared" ref="C1199:C1201" si="270">LEFT(A1199,2)</f>
        <v>4L</v>
      </c>
      <c r="D1199" s="96"/>
      <c r="E1199" s="98"/>
      <c r="F1199" s="98"/>
      <c r="G1199" s="43">
        <v>2170</v>
      </c>
      <c r="H1199" s="26">
        <v>1.64</v>
      </c>
      <c r="I1199" s="99">
        <f t="shared" ref="I1199:I1267" si="271">IFERROR(G1199*H1199/1000,"")</f>
        <v>3.5587999999999997</v>
      </c>
      <c r="J1199">
        <v>3500.7</v>
      </c>
      <c r="K1199" s="49">
        <v>4.5257491358645909</v>
      </c>
      <c r="L1199" s="99">
        <f t="shared" ref="L1199:L1267" si="272">IFERROR(J1199*K1199/1000,"")</f>
        <v>15.843289999921174</v>
      </c>
      <c r="M1199" s="44">
        <f t="shared" si="259"/>
        <v>3.4518629875017353</v>
      </c>
      <c r="N1199" s="100">
        <f t="shared" si="260"/>
        <v>1330.6999999999998</v>
      </c>
      <c r="O1199" s="101">
        <f t="shared" si="261"/>
        <v>12.284489999921174</v>
      </c>
      <c r="P1199" s="52">
        <f t="shared" si="262"/>
        <v>724175.73607159557</v>
      </c>
      <c r="Q1199" s="49">
        <v>116.88487613461319</v>
      </c>
      <c r="R1199">
        <v>2225</v>
      </c>
      <c r="S1199" s="50">
        <f t="shared" ref="S1199:S1267" si="273">R1199*32.1507</f>
        <v>71535.307499999995</v>
      </c>
      <c r="T1199" s="50">
        <f t="shared" si="263"/>
        <v>254579.85233099997</v>
      </c>
      <c r="U1199" s="58">
        <f t="shared" si="264"/>
        <v>1133354.621956036</v>
      </c>
      <c r="V1199" s="58">
        <f t="shared" si="265"/>
        <v>253640.18121211062</v>
      </c>
      <c r="W1199" s="58">
        <f t="shared" si="266"/>
        <v>409178.88588444039</v>
      </c>
      <c r="X1199" s="58">
        <f t="shared" si="267"/>
        <v>939.67111888935324</v>
      </c>
      <c r="Y1199" s="52">
        <f t="shared" si="268"/>
        <v>724175.73607159557</v>
      </c>
    </row>
    <row r="1200" spans="1:25" x14ac:dyDescent="0.25">
      <c r="A1200" s="1218" t="s">
        <v>126</v>
      </c>
      <c r="B1200" s="98">
        <v>45566</v>
      </c>
      <c r="C1200" s="117" t="str">
        <f t="shared" si="270"/>
        <v>4L</v>
      </c>
      <c r="D1200" s="96"/>
      <c r="E1200" s="98"/>
      <c r="F1200" s="98"/>
      <c r="G1200" s="43"/>
      <c r="H1200" s="26"/>
      <c r="I1200" s="99"/>
      <c r="K1200" s="49"/>
      <c r="L1200" s="99"/>
      <c r="M1200" s="44"/>
      <c r="N1200" s="100"/>
      <c r="O1200" s="101"/>
      <c r="P1200" s="52"/>
      <c r="Q1200" s="49"/>
      <c r="S1200" s="50"/>
      <c r="T1200" s="50"/>
      <c r="U1200" s="58"/>
      <c r="V1200" s="58"/>
      <c r="W1200" s="58"/>
      <c r="X1200" s="58"/>
      <c r="Y1200" s="52"/>
    </row>
    <row r="1201" spans="1:25" x14ac:dyDescent="0.25">
      <c r="A1201" s="1218" t="s">
        <v>127</v>
      </c>
      <c r="B1201" s="98">
        <v>45566</v>
      </c>
      <c r="C1201" s="117" t="str">
        <f t="shared" si="270"/>
        <v>4L</v>
      </c>
      <c r="D1201" s="96"/>
      <c r="E1201" s="98"/>
      <c r="F1201" s="98"/>
      <c r="G1201" s="43"/>
      <c r="H1201" s="26"/>
      <c r="I1201" s="99"/>
      <c r="K1201" s="49"/>
      <c r="L1201" s="99"/>
      <c r="M1201" s="44"/>
      <c r="N1201" s="100"/>
      <c r="O1201" s="101"/>
      <c r="P1201" s="52"/>
      <c r="Q1201" s="49"/>
      <c r="S1201" s="50"/>
      <c r="T1201" s="50"/>
      <c r="U1201" s="58"/>
      <c r="V1201" s="58"/>
      <c r="W1201" s="58"/>
      <c r="X1201" s="58"/>
      <c r="Y1201" s="52"/>
    </row>
    <row r="1202" spans="1:25" x14ac:dyDescent="0.25">
      <c r="A1202" s="1218" t="s">
        <v>128</v>
      </c>
      <c r="B1202" s="98">
        <v>45566</v>
      </c>
      <c r="C1202" s="117" t="str">
        <f t="shared" si="269"/>
        <v>4L</v>
      </c>
      <c r="D1202" s="96"/>
      <c r="E1202" s="98"/>
      <c r="F1202" s="98"/>
      <c r="G1202" s="43"/>
      <c r="H1202" s="26"/>
      <c r="I1202" s="99"/>
      <c r="K1202" s="49"/>
      <c r="L1202" s="99"/>
      <c r="M1202" s="44"/>
      <c r="N1202" s="100"/>
      <c r="O1202" s="101"/>
      <c r="P1202" s="52"/>
      <c r="Q1202" s="49"/>
      <c r="S1202" s="50"/>
      <c r="T1202" s="50"/>
      <c r="U1202" s="58"/>
      <c r="V1202" s="58"/>
      <c r="W1202" s="58"/>
      <c r="X1202" s="58"/>
      <c r="Y1202" s="52"/>
    </row>
    <row r="1203" spans="1:25" x14ac:dyDescent="0.25">
      <c r="A1203" s="1218" t="s">
        <v>129</v>
      </c>
      <c r="B1203" s="98">
        <v>45566</v>
      </c>
      <c r="C1203" s="117" t="str">
        <f t="shared" si="269"/>
        <v>4L</v>
      </c>
      <c r="D1203" s="96"/>
      <c r="E1203" s="98"/>
      <c r="F1203" s="98"/>
      <c r="G1203" s="43"/>
      <c r="H1203" s="26"/>
      <c r="I1203" s="99">
        <f t="shared" si="271"/>
        <v>0</v>
      </c>
      <c r="K1203" s="49"/>
      <c r="L1203" s="99">
        <f t="shared" si="272"/>
        <v>0</v>
      </c>
      <c r="M1203" s="44" t="str">
        <f t="shared" si="259"/>
        <v/>
      </c>
      <c r="N1203" s="100">
        <f t="shared" si="260"/>
        <v>0</v>
      </c>
      <c r="O1203" s="101">
        <f t="shared" si="261"/>
        <v>0</v>
      </c>
      <c r="P1203" s="52">
        <f t="shared" si="262"/>
        <v>0</v>
      </c>
      <c r="Q1203" s="49">
        <v>116.88487613461319</v>
      </c>
      <c r="R1203">
        <v>2225</v>
      </c>
      <c r="S1203" s="50">
        <f t="shared" si="273"/>
        <v>71535.307499999995</v>
      </c>
      <c r="T1203" s="50">
        <f t="shared" si="263"/>
        <v>0</v>
      </c>
      <c r="U1203" s="58">
        <f t="shared" si="264"/>
        <v>0</v>
      </c>
      <c r="V1203" s="58">
        <f t="shared" si="265"/>
        <v>0</v>
      </c>
      <c r="W1203" s="58">
        <f t="shared" si="266"/>
        <v>0</v>
      </c>
      <c r="X1203" s="58">
        <f t="shared" si="267"/>
        <v>0</v>
      </c>
      <c r="Y1203" s="52">
        <f t="shared" si="268"/>
        <v>0</v>
      </c>
    </row>
    <row r="1204" spans="1:25" x14ac:dyDescent="0.25">
      <c r="A1204" s="1218" t="s">
        <v>130</v>
      </c>
      <c r="B1204" s="98">
        <v>45566</v>
      </c>
      <c r="C1204" s="117" t="str">
        <f t="shared" si="269"/>
        <v>5L</v>
      </c>
      <c r="D1204" s="96"/>
      <c r="E1204" s="98"/>
      <c r="F1204" s="98"/>
      <c r="I1204" s="99">
        <f t="shared" si="271"/>
        <v>0</v>
      </c>
      <c r="L1204" s="99">
        <f t="shared" si="272"/>
        <v>0</v>
      </c>
      <c r="M1204" s="44" t="str">
        <f t="shared" ref="M1204:M1269" si="274">IFERROR((L1204-I1204)/I1204,"")</f>
        <v/>
      </c>
      <c r="N1204" s="100">
        <f t="shared" ref="N1204:N1269" si="275">J1204-G1204</f>
        <v>0</v>
      </c>
      <c r="O1204" s="101">
        <f t="shared" ref="O1204:O1269" si="276">L1204-I1204</f>
        <v>0</v>
      </c>
      <c r="P1204" s="52">
        <f t="shared" ref="P1204:P1269" si="277">U1204-W1204</f>
        <v>0</v>
      </c>
      <c r="Q1204" s="49">
        <v>116.88487613461319</v>
      </c>
      <c r="R1204">
        <v>2225</v>
      </c>
      <c r="S1204" s="50">
        <f t="shared" si="273"/>
        <v>71535.307499999995</v>
      </c>
      <c r="T1204" s="50">
        <f t="shared" ref="T1204:T1269" si="278">IFERROR(S1204*I1204,"")</f>
        <v>0</v>
      </c>
      <c r="U1204" s="58">
        <f t="shared" ref="U1204:U1269" si="279">IFERROR(S1204*L1204,"")</f>
        <v>0</v>
      </c>
      <c r="V1204" s="58">
        <f t="shared" ref="V1204:V1269" si="280">IFERROR(Q1204*G1204,"")</f>
        <v>0</v>
      </c>
      <c r="W1204" s="58">
        <f t="shared" ref="W1204:W1269" si="281">IFERROR(Q1204*J1204,"")</f>
        <v>0</v>
      </c>
      <c r="X1204" s="58">
        <f t="shared" ref="X1204:X1269" si="282">T1204-V1204</f>
        <v>0</v>
      </c>
      <c r="Y1204" s="52">
        <f t="shared" ref="Y1204:Y1269" si="283">U1204-W1204</f>
        <v>0</v>
      </c>
    </row>
    <row r="1205" spans="1:25" x14ac:dyDescent="0.25">
      <c r="A1205" s="1218" t="s">
        <v>131</v>
      </c>
      <c r="B1205" s="98">
        <v>45566</v>
      </c>
      <c r="C1205" s="117" t="str">
        <f t="shared" si="269"/>
        <v>5L</v>
      </c>
      <c r="D1205" s="96"/>
      <c r="E1205" s="98"/>
      <c r="F1205" s="98"/>
      <c r="I1205" s="99">
        <f t="shared" si="271"/>
        <v>0</v>
      </c>
      <c r="L1205" s="99">
        <f t="shared" si="272"/>
        <v>0</v>
      </c>
      <c r="M1205" s="44" t="str">
        <f t="shared" si="274"/>
        <v/>
      </c>
      <c r="N1205" s="100">
        <f t="shared" si="275"/>
        <v>0</v>
      </c>
      <c r="O1205" s="101">
        <f t="shared" si="276"/>
        <v>0</v>
      </c>
      <c r="P1205" s="52">
        <f t="shared" si="277"/>
        <v>0</v>
      </c>
      <c r="Q1205" s="49">
        <v>116.88487613461319</v>
      </c>
      <c r="R1205">
        <v>2225</v>
      </c>
      <c r="S1205" s="50">
        <f t="shared" si="273"/>
        <v>71535.307499999995</v>
      </c>
      <c r="T1205" s="50">
        <f t="shared" si="278"/>
        <v>0</v>
      </c>
      <c r="U1205" s="58">
        <f t="shared" si="279"/>
        <v>0</v>
      </c>
      <c r="V1205" s="58">
        <f t="shared" si="280"/>
        <v>0</v>
      </c>
      <c r="W1205" s="58">
        <f t="shared" si="281"/>
        <v>0</v>
      </c>
      <c r="X1205" s="58">
        <f t="shared" si="282"/>
        <v>0</v>
      </c>
      <c r="Y1205" s="52">
        <f t="shared" si="283"/>
        <v>0</v>
      </c>
    </row>
    <row r="1206" spans="1:25" x14ac:dyDescent="0.25">
      <c r="A1206" s="1218" t="s">
        <v>132</v>
      </c>
      <c r="B1206" s="98">
        <v>45566</v>
      </c>
      <c r="C1206" s="117" t="str">
        <f t="shared" si="269"/>
        <v>5L</v>
      </c>
      <c r="D1206" s="96"/>
      <c r="E1206" s="98"/>
      <c r="F1206" s="98"/>
      <c r="G1206" s="43">
        <v>2100</v>
      </c>
      <c r="H1206" s="26">
        <v>1.66</v>
      </c>
      <c r="I1206" s="99">
        <f t="shared" si="271"/>
        <v>3.4860000000000002</v>
      </c>
      <c r="J1206">
        <v>1255</v>
      </c>
      <c r="K1206" s="49">
        <v>3.9548084756478263</v>
      </c>
      <c r="L1206" s="99">
        <f t="shared" si="272"/>
        <v>4.9632846369380221</v>
      </c>
      <c r="M1206" s="44">
        <f t="shared" si="274"/>
        <v>0.42377643056168152</v>
      </c>
      <c r="N1206" s="100">
        <f t="shared" si="275"/>
        <v>-845</v>
      </c>
      <c r="O1206" s="101">
        <f t="shared" si="276"/>
        <v>1.4772846369380219</v>
      </c>
      <c r="P1206" s="52">
        <f t="shared" si="277"/>
        <v>208359.57316444771</v>
      </c>
      <c r="Q1206" s="49">
        <v>116.88487613461319</v>
      </c>
      <c r="R1206">
        <v>2225</v>
      </c>
      <c r="S1206" s="50">
        <f t="shared" si="273"/>
        <v>71535.307499999995</v>
      </c>
      <c r="T1206" s="50">
        <f t="shared" si="278"/>
        <v>249372.08194500001</v>
      </c>
      <c r="U1206" s="58">
        <f t="shared" si="279"/>
        <v>355050.09271338728</v>
      </c>
      <c r="V1206" s="58">
        <f t="shared" si="280"/>
        <v>245458.23988268772</v>
      </c>
      <c r="W1206" s="58">
        <f t="shared" si="281"/>
        <v>146690.51954893957</v>
      </c>
      <c r="X1206" s="58">
        <f t="shared" si="282"/>
        <v>3913.8420623122947</v>
      </c>
      <c r="Y1206" s="52">
        <f t="shared" si="283"/>
        <v>208359.57316444771</v>
      </c>
    </row>
    <row r="1207" spans="1:25" x14ac:dyDescent="0.25">
      <c r="A1207" s="1218" t="s">
        <v>133</v>
      </c>
      <c r="B1207" s="98">
        <v>45566</v>
      </c>
      <c r="C1207" s="117" t="str">
        <f t="shared" si="269"/>
        <v>5L</v>
      </c>
      <c r="D1207" s="96"/>
      <c r="E1207" s="98"/>
      <c r="F1207" s="98"/>
      <c r="G1207" s="43"/>
      <c r="H1207" s="26"/>
      <c r="I1207" s="99">
        <f t="shared" si="271"/>
        <v>0</v>
      </c>
      <c r="K1207" s="49"/>
      <c r="L1207" s="99">
        <f t="shared" si="272"/>
        <v>0</v>
      </c>
      <c r="M1207" s="44" t="str">
        <f t="shared" si="274"/>
        <v/>
      </c>
      <c r="N1207" s="100">
        <f t="shared" si="275"/>
        <v>0</v>
      </c>
      <c r="O1207" s="101">
        <f t="shared" si="276"/>
        <v>0</v>
      </c>
      <c r="P1207" s="52">
        <f t="shared" si="277"/>
        <v>0</v>
      </c>
      <c r="Q1207" s="49">
        <v>116.88487613461319</v>
      </c>
      <c r="R1207">
        <v>2225</v>
      </c>
      <c r="S1207" s="50">
        <f t="shared" si="273"/>
        <v>71535.307499999995</v>
      </c>
      <c r="T1207" s="50">
        <f t="shared" si="278"/>
        <v>0</v>
      </c>
      <c r="U1207" s="58">
        <f t="shared" si="279"/>
        <v>0</v>
      </c>
      <c r="V1207" s="58">
        <f t="shared" si="280"/>
        <v>0</v>
      </c>
      <c r="W1207" s="58">
        <f t="shared" si="281"/>
        <v>0</v>
      </c>
      <c r="X1207" s="58">
        <f t="shared" si="282"/>
        <v>0</v>
      </c>
      <c r="Y1207" s="52">
        <f t="shared" si="283"/>
        <v>0</v>
      </c>
    </row>
    <row r="1208" spans="1:25" x14ac:dyDescent="0.25">
      <c r="A1208" s="1218" t="s">
        <v>134</v>
      </c>
      <c r="B1208" s="98">
        <v>45566</v>
      </c>
      <c r="C1208" s="117" t="str">
        <f t="shared" si="269"/>
        <v>5L</v>
      </c>
      <c r="D1208" s="96"/>
      <c r="E1208" s="98"/>
      <c r="F1208" s="98"/>
      <c r="G1208" s="43"/>
      <c r="H1208" s="26"/>
      <c r="I1208" s="99">
        <f t="shared" si="271"/>
        <v>0</v>
      </c>
      <c r="K1208" s="49"/>
      <c r="L1208" s="99">
        <f t="shared" si="272"/>
        <v>0</v>
      </c>
      <c r="M1208" s="44" t="str">
        <f t="shared" si="274"/>
        <v/>
      </c>
      <c r="N1208" s="100">
        <f t="shared" si="275"/>
        <v>0</v>
      </c>
      <c r="O1208" s="101">
        <f t="shared" si="276"/>
        <v>0</v>
      </c>
      <c r="P1208" s="52">
        <f t="shared" si="277"/>
        <v>0</v>
      </c>
      <c r="Q1208" s="49">
        <v>116.88487613461319</v>
      </c>
      <c r="R1208">
        <v>2225</v>
      </c>
      <c r="S1208" s="50">
        <f t="shared" si="273"/>
        <v>71535.307499999995</v>
      </c>
      <c r="T1208" s="50">
        <f t="shared" si="278"/>
        <v>0</v>
      </c>
      <c r="U1208" s="58">
        <f t="shared" si="279"/>
        <v>0</v>
      </c>
      <c r="V1208" s="58">
        <f t="shared" si="280"/>
        <v>0</v>
      </c>
      <c r="W1208" s="58">
        <f t="shared" si="281"/>
        <v>0</v>
      </c>
      <c r="X1208" s="58">
        <f t="shared" si="282"/>
        <v>0</v>
      </c>
      <c r="Y1208" s="52">
        <f t="shared" si="283"/>
        <v>0</v>
      </c>
    </row>
    <row r="1209" spans="1:25" x14ac:dyDescent="0.25">
      <c r="A1209" s="1218" t="s">
        <v>135</v>
      </c>
      <c r="B1209" s="98">
        <v>45566</v>
      </c>
      <c r="C1209" s="117" t="str">
        <f t="shared" si="269"/>
        <v>5L</v>
      </c>
      <c r="D1209" s="96"/>
      <c r="E1209" s="98"/>
      <c r="F1209" s="98"/>
      <c r="G1209" s="43"/>
      <c r="H1209" s="26"/>
      <c r="I1209" s="99">
        <f t="shared" si="271"/>
        <v>0</v>
      </c>
      <c r="K1209" s="49"/>
      <c r="L1209" s="99">
        <f t="shared" si="272"/>
        <v>0</v>
      </c>
      <c r="M1209" s="44" t="str">
        <f t="shared" si="274"/>
        <v/>
      </c>
      <c r="N1209" s="100">
        <f t="shared" si="275"/>
        <v>0</v>
      </c>
      <c r="O1209" s="101">
        <f t="shared" si="276"/>
        <v>0</v>
      </c>
      <c r="P1209" s="52">
        <f t="shared" si="277"/>
        <v>0</v>
      </c>
      <c r="Q1209" s="49">
        <v>116.88487613461319</v>
      </c>
      <c r="R1209">
        <v>2225</v>
      </c>
      <c r="S1209" s="50">
        <f t="shared" si="273"/>
        <v>71535.307499999995</v>
      </c>
      <c r="T1209" s="50">
        <f t="shared" si="278"/>
        <v>0</v>
      </c>
      <c r="U1209" s="58">
        <f t="shared" si="279"/>
        <v>0</v>
      </c>
      <c r="V1209" s="58">
        <f t="shared" si="280"/>
        <v>0</v>
      </c>
      <c r="W1209" s="58">
        <f t="shared" si="281"/>
        <v>0</v>
      </c>
      <c r="X1209" s="58">
        <f t="shared" si="282"/>
        <v>0</v>
      </c>
      <c r="Y1209" s="52">
        <f t="shared" si="283"/>
        <v>0</v>
      </c>
    </row>
    <row r="1210" spans="1:25" x14ac:dyDescent="0.25">
      <c r="A1210" s="1218" t="s">
        <v>136</v>
      </c>
      <c r="B1210" s="98">
        <v>45566</v>
      </c>
      <c r="C1210" s="117" t="str">
        <f t="shared" si="269"/>
        <v>5L</v>
      </c>
      <c r="D1210" s="96"/>
      <c r="E1210" s="98"/>
      <c r="F1210" s="98"/>
      <c r="G1210" s="43"/>
      <c r="H1210" s="26"/>
      <c r="I1210" s="99">
        <f t="shared" si="271"/>
        <v>0</v>
      </c>
      <c r="K1210" s="49"/>
      <c r="L1210" s="99">
        <f t="shared" si="272"/>
        <v>0</v>
      </c>
      <c r="M1210" s="44" t="str">
        <f t="shared" si="274"/>
        <v/>
      </c>
      <c r="N1210" s="100">
        <f t="shared" si="275"/>
        <v>0</v>
      </c>
      <c r="O1210" s="101">
        <f t="shared" si="276"/>
        <v>0</v>
      </c>
      <c r="P1210" s="52">
        <f t="shared" si="277"/>
        <v>0</v>
      </c>
      <c r="Q1210" s="49">
        <v>116.88487613461319</v>
      </c>
      <c r="R1210">
        <v>2225</v>
      </c>
      <c r="S1210" s="50">
        <f t="shared" si="273"/>
        <v>71535.307499999995</v>
      </c>
      <c r="T1210" s="50">
        <f t="shared" si="278"/>
        <v>0</v>
      </c>
      <c r="U1210" s="58">
        <f t="shared" si="279"/>
        <v>0</v>
      </c>
      <c r="V1210" s="58">
        <f t="shared" si="280"/>
        <v>0</v>
      </c>
      <c r="W1210" s="58">
        <f t="shared" si="281"/>
        <v>0</v>
      </c>
      <c r="X1210" s="58">
        <f t="shared" si="282"/>
        <v>0</v>
      </c>
      <c r="Y1210" s="52">
        <f t="shared" si="283"/>
        <v>0</v>
      </c>
    </row>
    <row r="1211" spans="1:25" x14ac:dyDescent="0.25">
      <c r="A1211" s="1218" t="s">
        <v>137</v>
      </c>
      <c r="B1211" s="98">
        <v>45566</v>
      </c>
      <c r="C1211" s="117" t="str">
        <f t="shared" si="269"/>
        <v>5L</v>
      </c>
      <c r="D1211" s="96"/>
      <c r="E1211" s="98"/>
      <c r="F1211" s="98"/>
      <c r="I1211" s="99">
        <f t="shared" si="271"/>
        <v>0</v>
      </c>
      <c r="L1211" s="99">
        <f t="shared" si="272"/>
        <v>0</v>
      </c>
      <c r="M1211" s="44" t="str">
        <f t="shared" si="274"/>
        <v/>
      </c>
      <c r="N1211" s="100">
        <f t="shared" si="275"/>
        <v>0</v>
      </c>
      <c r="O1211" s="101">
        <f t="shared" si="276"/>
        <v>0</v>
      </c>
      <c r="P1211" s="52">
        <f t="shared" si="277"/>
        <v>0</v>
      </c>
      <c r="Q1211" s="49">
        <v>116.88487613461319</v>
      </c>
      <c r="R1211">
        <v>2225</v>
      </c>
      <c r="S1211" s="50">
        <f t="shared" si="273"/>
        <v>71535.307499999995</v>
      </c>
      <c r="T1211" s="50">
        <f t="shared" si="278"/>
        <v>0</v>
      </c>
      <c r="U1211" s="58">
        <f t="shared" si="279"/>
        <v>0</v>
      </c>
      <c r="V1211" s="58">
        <f t="shared" si="280"/>
        <v>0</v>
      </c>
      <c r="W1211" s="58">
        <f t="shared" si="281"/>
        <v>0</v>
      </c>
      <c r="X1211" s="58">
        <f t="shared" si="282"/>
        <v>0</v>
      </c>
      <c r="Y1211" s="52">
        <f t="shared" si="283"/>
        <v>0</v>
      </c>
    </row>
    <row r="1212" spans="1:25" x14ac:dyDescent="0.25">
      <c r="A1212" s="1218" t="s">
        <v>138</v>
      </c>
      <c r="B1212" s="98">
        <v>45566</v>
      </c>
      <c r="C1212" s="117" t="str">
        <f t="shared" si="269"/>
        <v>5L</v>
      </c>
      <c r="D1212" s="96"/>
      <c r="E1212" s="98"/>
      <c r="F1212" s="98"/>
      <c r="I1212" s="99">
        <f t="shared" si="271"/>
        <v>0</v>
      </c>
      <c r="L1212" s="99">
        <f t="shared" si="272"/>
        <v>0</v>
      </c>
      <c r="M1212" s="44" t="str">
        <f t="shared" si="274"/>
        <v/>
      </c>
      <c r="N1212" s="100">
        <f t="shared" si="275"/>
        <v>0</v>
      </c>
      <c r="O1212" s="101">
        <f t="shared" si="276"/>
        <v>0</v>
      </c>
      <c r="P1212" s="52">
        <f t="shared" si="277"/>
        <v>0</v>
      </c>
      <c r="Q1212" s="49">
        <v>116.88487613461319</v>
      </c>
      <c r="R1212">
        <v>2225</v>
      </c>
      <c r="S1212" s="50">
        <f t="shared" si="273"/>
        <v>71535.307499999995</v>
      </c>
      <c r="T1212" s="50">
        <f t="shared" si="278"/>
        <v>0</v>
      </c>
      <c r="U1212" s="58">
        <f t="shared" si="279"/>
        <v>0</v>
      </c>
      <c r="V1212" s="58">
        <f t="shared" si="280"/>
        <v>0</v>
      </c>
      <c r="W1212" s="58">
        <f t="shared" si="281"/>
        <v>0</v>
      </c>
      <c r="X1212" s="58">
        <f t="shared" si="282"/>
        <v>0</v>
      </c>
      <c r="Y1212" s="52">
        <f t="shared" si="283"/>
        <v>0</v>
      </c>
    </row>
    <row r="1213" spans="1:25" x14ac:dyDescent="0.25">
      <c r="A1213" s="1218" t="s">
        <v>139</v>
      </c>
      <c r="B1213" s="98">
        <v>45566</v>
      </c>
      <c r="C1213" s="117" t="str">
        <f t="shared" si="269"/>
        <v>5L</v>
      </c>
      <c r="D1213" s="96"/>
      <c r="E1213" s="98"/>
      <c r="F1213" s="98"/>
      <c r="I1213" s="99">
        <f t="shared" si="271"/>
        <v>0</v>
      </c>
      <c r="L1213" s="99">
        <f t="shared" si="272"/>
        <v>0</v>
      </c>
      <c r="M1213" s="44" t="str">
        <f t="shared" si="274"/>
        <v/>
      </c>
      <c r="N1213" s="100">
        <f t="shared" si="275"/>
        <v>0</v>
      </c>
      <c r="O1213" s="101">
        <f t="shared" si="276"/>
        <v>0</v>
      </c>
      <c r="P1213" s="52">
        <f t="shared" si="277"/>
        <v>0</v>
      </c>
      <c r="Q1213" s="49">
        <v>116.88487613461319</v>
      </c>
      <c r="R1213">
        <v>2225</v>
      </c>
      <c r="S1213" s="50">
        <f t="shared" si="273"/>
        <v>71535.307499999995</v>
      </c>
      <c r="T1213" s="50">
        <f t="shared" si="278"/>
        <v>0</v>
      </c>
      <c r="U1213" s="58">
        <f t="shared" si="279"/>
        <v>0</v>
      </c>
      <c r="V1213" s="58">
        <f t="shared" si="280"/>
        <v>0</v>
      </c>
      <c r="W1213" s="58">
        <f t="shared" si="281"/>
        <v>0</v>
      </c>
      <c r="X1213" s="58">
        <f t="shared" si="282"/>
        <v>0</v>
      </c>
      <c r="Y1213" s="52">
        <f t="shared" si="283"/>
        <v>0</v>
      </c>
    </row>
    <row r="1214" spans="1:25" x14ac:dyDescent="0.25">
      <c r="A1214" s="1218" t="s">
        <v>140</v>
      </c>
      <c r="B1214" s="98">
        <v>45566</v>
      </c>
      <c r="C1214" s="117" t="str">
        <f t="shared" si="269"/>
        <v>5L</v>
      </c>
      <c r="D1214" s="96"/>
      <c r="E1214" s="98"/>
      <c r="F1214" s="98"/>
      <c r="G1214" s="55"/>
      <c r="H1214" s="55"/>
      <c r="I1214" s="99">
        <f t="shared" si="271"/>
        <v>0</v>
      </c>
      <c r="J1214" s="55"/>
      <c r="K1214" s="55"/>
      <c r="L1214" s="99">
        <f t="shared" si="272"/>
        <v>0</v>
      </c>
      <c r="M1214" s="44" t="str">
        <f t="shared" si="274"/>
        <v/>
      </c>
      <c r="N1214" s="100">
        <f t="shared" si="275"/>
        <v>0</v>
      </c>
      <c r="O1214" s="101">
        <f t="shared" si="276"/>
        <v>0</v>
      </c>
      <c r="P1214" s="52">
        <f t="shared" si="277"/>
        <v>0</v>
      </c>
      <c r="Q1214" s="49">
        <v>116.88487613461319</v>
      </c>
      <c r="R1214">
        <v>2225</v>
      </c>
      <c r="S1214" s="50">
        <f t="shared" si="273"/>
        <v>71535.307499999995</v>
      </c>
      <c r="T1214" s="50">
        <f t="shared" si="278"/>
        <v>0</v>
      </c>
      <c r="U1214" s="58">
        <f t="shared" si="279"/>
        <v>0</v>
      </c>
      <c r="V1214" s="58">
        <f t="shared" si="280"/>
        <v>0</v>
      </c>
      <c r="W1214" s="58">
        <f t="shared" si="281"/>
        <v>0</v>
      </c>
      <c r="X1214" s="58">
        <f t="shared" si="282"/>
        <v>0</v>
      </c>
      <c r="Y1214" s="52">
        <f t="shared" si="283"/>
        <v>0</v>
      </c>
    </row>
    <row r="1215" spans="1:25" x14ac:dyDescent="0.25">
      <c r="A1215" s="1218" t="s">
        <v>141</v>
      </c>
      <c r="B1215" s="98">
        <v>45566</v>
      </c>
      <c r="C1215" s="117" t="str">
        <f t="shared" si="269"/>
        <v>5L</v>
      </c>
      <c r="D1215" s="96"/>
      <c r="E1215" s="98"/>
      <c r="F1215" s="98"/>
      <c r="G1215" s="55"/>
      <c r="H1215" s="55"/>
      <c r="I1215" s="99">
        <f t="shared" si="271"/>
        <v>0</v>
      </c>
      <c r="J1215" s="55"/>
      <c r="K1215" s="55"/>
      <c r="L1215" s="99">
        <f t="shared" si="272"/>
        <v>0</v>
      </c>
      <c r="M1215" s="44" t="str">
        <f t="shared" si="274"/>
        <v/>
      </c>
      <c r="N1215" s="100">
        <f t="shared" si="275"/>
        <v>0</v>
      </c>
      <c r="O1215" s="101">
        <f t="shared" si="276"/>
        <v>0</v>
      </c>
      <c r="P1215" s="52">
        <f t="shared" si="277"/>
        <v>0</v>
      </c>
      <c r="Q1215" s="49">
        <v>116.88487613461319</v>
      </c>
      <c r="R1215">
        <v>2225</v>
      </c>
      <c r="S1215" s="50">
        <f t="shared" si="273"/>
        <v>71535.307499999995</v>
      </c>
      <c r="T1215" s="50">
        <f t="shared" si="278"/>
        <v>0</v>
      </c>
      <c r="U1215" s="58">
        <f t="shared" si="279"/>
        <v>0</v>
      </c>
      <c r="V1215" s="58">
        <f t="shared" si="280"/>
        <v>0</v>
      </c>
      <c r="W1215" s="58">
        <f t="shared" si="281"/>
        <v>0</v>
      </c>
      <c r="X1215" s="58">
        <f t="shared" si="282"/>
        <v>0</v>
      </c>
      <c r="Y1215" s="52">
        <f t="shared" si="283"/>
        <v>0</v>
      </c>
    </row>
    <row r="1216" spans="1:25" x14ac:dyDescent="0.25">
      <c r="A1216" s="1218" t="s">
        <v>142</v>
      </c>
      <c r="B1216" s="98">
        <v>45566</v>
      </c>
      <c r="C1216" s="117" t="str">
        <f t="shared" si="269"/>
        <v>5L</v>
      </c>
      <c r="D1216" s="96"/>
      <c r="E1216" s="98"/>
      <c r="F1216" s="98"/>
      <c r="G1216" s="55"/>
      <c r="H1216" s="55"/>
      <c r="I1216" s="99">
        <f t="shared" si="271"/>
        <v>0</v>
      </c>
      <c r="J1216" s="55"/>
      <c r="K1216" s="55"/>
      <c r="L1216" s="99">
        <f t="shared" si="272"/>
        <v>0</v>
      </c>
      <c r="M1216" s="44" t="str">
        <f t="shared" si="274"/>
        <v/>
      </c>
      <c r="N1216" s="100">
        <f t="shared" si="275"/>
        <v>0</v>
      </c>
      <c r="O1216" s="101">
        <f t="shared" si="276"/>
        <v>0</v>
      </c>
      <c r="P1216" s="52">
        <f t="shared" si="277"/>
        <v>0</v>
      </c>
      <c r="Q1216" s="49">
        <v>116.88487613461319</v>
      </c>
      <c r="R1216">
        <v>2225</v>
      </c>
      <c r="S1216" s="50">
        <f t="shared" si="273"/>
        <v>71535.307499999995</v>
      </c>
      <c r="T1216" s="50">
        <f t="shared" si="278"/>
        <v>0</v>
      </c>
      <c r="U1216" s="58">
        <f t="shared" si="279"/>
        <v>0</v>
      </c>
      <c r="V1216" s="58">
        <f t="shared" si="280"/>
        <v>0</v>
      </c>
      <c r="W1216" s="58">
        <f t="shared" si="281"/>
        <v>0</v>
      </c>
      <c r="X1216" s="58">
        <f t="shared" si="282"/>
        <v>0</v>
      </c>
      <c r="Y1216" s="52">
        <f t="shared" si="283"/>
        <v>0</v>
      </c>
    </row>
    <row r="1217" spans="1:25" x14ac:dyDescent="0.25">
      <c r="A1217" s="1218" t="s">
        <v>143</v>
      </c>
      <c r="B1217" s="98">
        <v>45566</v>
      </c>
      <c r="C1217" s="117" t="str">
        <f t="shared" si="269"/>
        <v>5L</v>
      </c>
      <c r="D1217" s="96"/>
      <c r="E1217" s="98"/>
      <c r="F1217" s="98"/>
      <c r="G1217" s="55"/>
      <c r="H1217" s="55"/>
      <c r="I1217" s="99">
        <f t="shared" si="271"/>
        <v>0</v>
      </c>
      <c r="J1217" s="55"/>
      <c r="K1217" s="55"/>
      <c r="L1217" s="99">
        <f t="shared" si="272"/>
        <v>0</v>
      </c>
      <c r="M1217" s="44" t="str">
        <f t="shared" si="274"/>
        <v/>
      </c>
      <c r="N1217" s="100">
        <f t="shared" si="275"/>
        <v>0</v>
      </c>
      <c r="O1217" s="101">
        <f t="shared" si="276"/>
        <v>0</v>
      </c>
      <c r="P1217" s="52">
        <f t="shared" si="277"/>
        <v>0</v>
      </c>
      <c r="Q1217" s="49">
        <v>116.88487613461319</v>
      </c>
      <c r="R1217">
        <v>2225</v>
      </c>
      <c r="S1217" s="50">
        <f t="shared" si="273"/>
        <v>71535.307499999995</v>
      </c>
      <c r="T1217" s="50">
        <f t="shared" si="278"/>
        <v>0</v>
      </c>
      <c r="U1217" s="58">
        <f t="shared" si="279"/>
        <v>0</v>
      </c>
      <c r="V1217" s="58">
        <f t="shared" si="280"/>
        <v>0</v>
      </c>
      <c r="W1217" s="58">
        <f t="shared" si="281"/>
        <v>0</v>
      </c>
      <c r="X1217" s="58">
        <f t="shared" si="282"/>
        <v>0</v>
      </c>
      <c r="Y1217" s="52">
        <f t="shared" si="283"/>
        <v>0</v>
      </c>
    </row>
    <row r="1218" spans="1:25" x14ac:dyDescent="0.25">
      <c r="A1218" s="1218" t="s">
        <v>144</v>
      </c>
      <c r="B1218" s="98">
        <v>45566</v>
      </c>
      <c r="C1218" s="117" t="str">
        <f t="shared" si="269"/>
        <v>5L</v>
      </c>
      <c r="D1218" s="96"/>
      <c r="E1218" s="98"/>
      <c r="F1218" s="98"/>
      <c r="G1218" s="55"/>
      <c r="H1218" s="55"/>
      <c r="I1218" s="99">
        <f t="shared" si="271"/>
        <v>0</v>
      </c>
      <c r="J1218" s="55"/>
      <c r="K1218" s="55"/>
      <c r="L1218" s="99">
        <f t="shared" si="272"/>
        <v>0</v>
      </c>
      <c r="M1218" s="44" t="str">
        <f t="shared" si="274"/>
        <v/>
      </c>
      <c r="N1218" s="100">
        <f t="shared" si="275"/>
        <v>0</v>
      </c>
      <c r="O1218" s="101">
        <f t="shared" si="276"/>
        <v>0</v>
      </c>
      <c r="P1218" s="52">
        <f t="shared" si="277"/>
        <v>0</v>
      </c>
      <c r="Q1218" s="49">
        <v>116.88487613461319</v>
      </c>
      <c r="R1218">
        <v>2225</v>
      </c>
      <c r="S1218" s="50">
        <f t="shared" si="273"/>
        <v>71535.307499999995</v>
      </c>
      <c r="T1218" s="50">
        <f t="shared" si="278"/>
        <v>0</v>
      </c>
      <c r="U1218" s="58">
        <f t="shared" si="279"/>
        <v>0</v>
      </c>
      <c r="V1218" s="58">
        <f t="shared" si="280"/>
        <v>0</v>
      </c>
      <c r="W1218" s="58">
        <f t="shared" si="281"/>
        <v>0</v>
      </c>
      <c r="X1218" s="58">
        <f t="shared" si="282"/>
        <v>0</v>
      </c>
      <c r="Y1218" s="52">
        <f t="shared" si="283"/>
        <v>0</v>
      </c>
    </row>
    <row r="1219" spans="1:25" x14ac:dyDescent="0.25">
      <c r="A1219" s="1218" t="s">
        <v>145</v>
      </c>
      <c r="B1219" s="98">
        <v>45566</v>
      </c>
      <c r="C1219" s="117" t="str">
        <f t="shared" si="269"/>
        <v>5L</v>
      </c>
      <c r="D1219" s="96"/>
      <c r="E1219" s="98"/>
      <c r="F1219" s="98"/>
      <c r="G1219" s="55"/>
      <c r="H1219" s="55"/>
      <c r="I1219" s="99">
        <f t="shared" si="271"/>
        <v>0</v>
      </c>
      <c r="J1219" s="55"/>
      <c r="K1219" s="55"/>
      <c r="L1219" s="99">
        <f t="shared" si="272"/>
        <v>0</v>
      </c>
      <c r="M1219" s="44" t="str">
        <f t="shared" si="274"/>
        <v/>
      </c>
      <c r="N1219" s="100">
        <f t="shared" si="275"/>
        <v>0</v>
      </c>
      <c r="O1219" s="101">
        <f t="shared" si="276"/>
        <v>0</v>
      </c>
      <c r="P1219" s="52">
        <f t="shared" si="277"/>
        <v>0</v>
      </c>
      <c r="Q1219" s="49">
        <v>116.88487613461319</v>
      </c>
      <c r="R1219">
        <v>2225</v>
      </c>
      <c r="S1219" s="50">
        <f t="shared" si="273"/>
        <v>71535.307499999995</v>
      </c>
      <c r="T1219" s="50">
        <f t="shared" si="278"/>
        <v>0</v>
      </c>
      <c r="U1219" s="58">
        <f t="shared" si="279"/>
        <v>0</v>
      </c>
      <c r="V1219" s="58">
        <f t="shared" si="280"/>
        <v>0</v>
      </c>
      <c r="W1219" s="58">
        <f t="shared" si="281"/>
        <v>0</v>
      </c>
      <c r="X1219" s="58">
        <f t="shared" si="282"/>
        <v>0</v>
      </c>
      <c r="Y1219" s="52">
        <f t="shared" si="283"/>
        <v>0</v>
      </c>
    </row>
    <row r="1220" spans="1:25" x14ac:dyDescent="0.25">
      <c r="A1220" s="1218" t="s">
        <v>146</v>
      </c>
      <c r="B1220" s="98">
        <v>45566</v>
      </c>
      <c r="C1220" s="117" t="str">
        <f t="shared" si="269"/>
        <v>5L</v>
      </c>
      <c r="D1220" s="96"/>
      <c r="E1220" s="98"/>
      <c r="F1220" s="98"/>
      <c r="G1220" s="55"/>
      <c r="H1220" s="55"/>
      <c r="I1220" s="99">
        <f t="shared" si="271"/>
        <v>0</v>
      </c>
      <c r="J1220" s="55"/>
      <c r="K1220" s="55"/>
      <c r="L1220" s="99">
        <f t="shared" si="272"/>
        <v>0</v>
      </c>
      <c r="M1220" s="44" t="str">
        <f t="shared" si="274"/>
        <v/>
      </c>
      <c r="N1220" s="100">
        <f t="shared" si="275"/>
        <v>0</v>
      </c>
      <c r="O1220" s="101">
        <f t="shared" si="276"/>
        <v>0</v>
      </c>
      <c r="P1220" s="52">
        <f t="shared" si="277"/>
        <v>0</v>
      </c>
      <c r="Q1220" s="49">
        <v>116.88487613461319</v>
      </c>
      <c r="R1220">
        <v>2225</v>
      </c>
      <c r="S1220" s="50">
        <f t="shared" si="273"/>
        <v>71535.307499999995</v>
      </c>
      <c r="T1220" s="50">
        <f t="shared" si="278"/>
        <v>0</v>
      </c>
      <c r="U1220" s="58">
        <f t="shared" si="279"/>
        <v>0</v>
      </c>
      <c r="V1220" s="58">
        <f t="shared" si="280"/>
        <v>0</v>
      </c>
      <c r="W1220" s="58">
        <f t="shared" si="281"/>
        <v>0</v>
      </c>
      <c r="X1220" s="58">
        <f t="shared" si="282"/>
        <v>0</v>
      </c>
      <c r="Y1220" s="52">
        <f t="shared" si="283"/>
        <v>0</v>
      </c>
    </row>
    <row r="1221" spans="1:25" x14ac:dyDescent="0.25">
      <c r="A1221" s="1218" t="s">
        <v>147</v>
      </c>
      <c r="B1221" s="98">
        <v>45566</v>
      </c>
      <c r="C1221" s="117" t="str">
        <f t="shared" si="269"/>
        <v>5L</v>
      </c>
      <c r="D1221" s="96"/>
      <c r="E1221" s="98"/>
      <c r="F1221" s="98"/>
      <c r="G1221" s="55"/>
      <c r="H1221" s="55"/>
      <c r="I1221" s="99">
        <f t="shared" si="271"/>
        <v>0</v>
      </c>
      <c r="J1221" s="55"/>
      <c r="K1221" s="55"/>
      <c r="L1221" s="99">
        <f t="shared" si="272"/>
        <v>0</v>
      </c>
      <c r="M1221" s="44" t="str">
        <f t="shared" si="274"/>
        <v/>
      </c>
      <c r="N1221" s="100">
        <f t="shared" si="275"/>
        <v>0</v>
      </c>
      <c r="O1221" s="101">
        <f t="shared" si="276"/>
        <v>0</v>
      </c>
      <c r="P1221" s="52">
        <f t="shared" si="277"/>
        <v>0</v>
      </c>
      <c r="Q1221" s="49">
        <v>116.88487613461319</v>
      </c>
      <c r="R1221">
        <v>2225</v>
      </c>
      <c r="S1221" s="50">
        <f t="shared" si="273"/>
        <v>71535.307499999995</v>
      </c>
      <c r="T1221" s="50">
        <f t="shared" si="278"/>
        <v>0</v>
      </c>
      <c r="U1221" s="58">
        <f t="shared" si="279"/>
        <v>0</v>
      </c>
      <c r="V1221" s="58">
        <f t="shared" si="280"/>
        <v>0</v>
      </c>
      <c r="W1221" s="58">
        <f t="shared" si="281"/>
        <v>0</v>
      </c>
      <c r="X1221" s="58">
        <f t="shared" si="282"/>
        <v>0</v>
      </c>
      <c r="Y1221" s="52">
        <f t="shared" si="283"/>
        <v>0</v>
      </c>
    </row>
    <row r="1222" spans="1:25" x14ac:dyDescent="0.25">
      <c r="A1222" s="1218" t="s">
        <v>148</v>
      </c>
      <c r="B1222" s="98">
        <v>45566</v>
      </c>
      <c r="C1222" s="117" t="str">
        <f t="shared" si="269"/>
        <v>5L</v>
      </c>
      <c r="D1222" s="96"/>
      <c r="E1222" s="98"/>
      <c r="F1222" s="98"/>
      <c r="G1222" s="55"/>
      <c r="H1222" s="55"/>
      <c r="I1222" s="99">
        <f t="shared" si="271"/>
        <v>0</v>
      </c>
      <c r="J1222" s="55"/>
      <c r="K1222" s="55"/>
      <c r="L1222" s="99">
        <f t="shared" si="272"/>
        <v>0</v>
      </c>
      <c r="M1222" s="44" t="str">
        <f t="shared" si="274"/>
        <v/>
      </c>
      <c r="N1222" s="100">
        <f t="shared" si="275"/>
        <v>0</v>
      </c>
      <c r="O1222" s="101">
        <f t="shared" si="276"/>
        <v>0</v>
      </c>
      <c r="P1222" s="52">
        <f t="shared" si="277"/>
        <v>0</v>
      </c>
      <c r="Q1222" s="49">
        <v>116.88487613461319</v>
      </c>
      <c r="R1222">
        <v>2225</v>
      </c>
      <c r="S1222" s="50">
        <f t="shared" si="273"/>
        <v>71535.307499999995</v>
      </c>
      <c r="T1222" s="50">
        <f t="shared" si="278"/>
        <v>0</v>
      </c>
      <c r="U1222" s="58">
        <f t="shared" si="279"/>
        <v>0</v>
      </c>
      <c r="V1222" s="58">
        <f t="shared" si="280"/>
        <v>0</v>
      </c>
      <c r="W1222" s="58">
        <f t="shared" si="281"/>
        <v>0</v>
      </c>
      <c r="X1222" s="58">
        <f t="shared" si="282"/>
        <v>0</v>
      </c>
      <c r="Y1222" s="52">
        <f t="shared" si="283"/>
        <v>0</v>
      </c>
    </row>
    <row r="1223" spans="1:25" x14ac:dyDescent="0.25">
      <c r="A1223" s="1218" t="s">
        <v>149</v>
      </c>
      <c r="B1223" s="98">
        <v>45566</v>
      </c>
      <c r="C1223" s="117" t="str">
        <f t="shared" si="269"/>
        <v>5L</v>
      </c>
      <c r="D1223" s="96"/>
      <c r="E1223" s="98"/>
      <c r="F1223" s="98"/>
      <c r="G1223" s="55"/>
      <c r="H1223" s="55"/>
      <c r="I1223" s="99">
        <f t="shared" si="271"/>
        <v>0</v>
      </c>
      <c r="J1223" s="55"/>
      <c r="K1223" s="55"/>
      <c r="L1223" s="99">
        <f t="shared" si="272"/>
        <v>0</v>
      </c>
      <c r="M1223" s="44" t="str">
        <f t="shared" si="274"/>
        <v/>
      </c>
      <c r="N1223" s="100">
        <f t="shared" si="275"/>
        <v>0</v>
      </c>
      <c r="O1223" s="101">
        <f t="shared" si="276"/>
        <v>0</v>
      </c>
      <c r="P1223" s="52">
        <f t="shared" si="277"/>
        <v>0</v>
      </c>
      <c r="Q1223" s="49">
        <v>116.88487613461319</v>
      </c>
      <c r="R1223">
        <v>2225</v>
      </c>
      <c r="S1223" s="50">
        <f t="shared" si="273"/>
        <v>71535.307499999995</v>
      </c>
      <c r="T1223" s="50">
        <f t="shared" si="278"/>
        <v>0</v>
      </c>
      <c r="U1223" s="58">
        <f t="shared" si="279"/>
        <v>0</v>
      </c>
      <c r="V1223" s="58">
        <f t="shared" si="280"/>
        <v>0</v>
      </c>
      <c r="W1223" s="58">
        <f t="shared" si="281"/>
        <v>0</v>
      </c>
      <c r="X1223" s="58">
        <f t="shared" si="282"/>
        <v>0</v>
      </c>
      <c r="Y1223" s="52">
        <f t="shared" si="283"/>
        <v>0</v>
      </c>
    </row>
    <row r="1224" spans="1:25" x14ac:dyDescent="0.25">
      <c r="A1224" s="1218" t="s">
        <v>150</v>
      </c>
      <c r="B1224" s="98">
        <v>45566</v>
      </c>
      <c r="C1224" s="117" t="str">
        <f t="shared" si="269"/>
        <v>6L</v>
      </c>
      <c r="D1224" s="96"/>
      <c r="E1224" s="98"/>
      <c r="F1224" s="98"/>
      <c r="I1224" s="99">
        <f t="shared" si="271"/>
        <v>0</v>
      </c>
      <c r="L1224" s="99">
        <f t="shared" si="272"/>
        <v>0</v>
      </c>
      <c r="M1224" s="44" t="str">
        <f t="shared" si="274"/>
        <v/>
      </c>
      <c r="N1224" s="100">
        <f t="shared" si="275"/>
        <v>0</v>
      </c>
      <c r="O1224" s="101">
        <f t="shared" si="276"/>
        <v>0</v>
      </c>
      <c r="P1224" s="52">
        <f t="shared" si="277"/>
        <v>0</v>
      </c>
      <c r="Q1224" s="49">
        <v>116.88487613461319</v>
      </c>
      <c r="R1224">
        <v>2225</v>
      </c>
      <c r="S1224" s="50">
        <f t="shared" si="273"/>
        <v>71535.307499999995</v>
      </c>
      <c r="T1224" s="50">
        <f t="shared" si="278"/>
        <v>0</v>
      </c>
      <c r="U1224" s="58">
        <f t="shared" si="279"/>
        <v>0</v>
      </c>
      <c r="V1224" s="58">
        <f t="shared" si="280"/>
        <v>0</v>
      </c>
      <c r="W1224" s="58">
        <f t="shared" si="281"/>
        <v>0</v>
      </c>
      <c r="X1224" s="58">
        <f t="shared" si="282"/>
        <v>0</v>
      </c>
      <c r="Y1224" s="52">
        <f t="shared" si="283"/>
        <v>0</v>
      </c>
    </row>
    <row r="1225" spans="1:25" x14ac:dyDescent="0.25">
      <c r="A1225" s="1218" t="s">
        <v>151</v>
      </c>
      <c r="B1225" s="98">
        <v>45566</v>
      </c>
      <c r="C1225" s="117" t="str">
        <f t="shared" si="269"/>
        <v>6L</v>
      </c>
      <c r="D1225" s="96"/>
      <c r="E1225" s="98"/>
      <c r="F1225" s="98"/>
      <c r="I1225" s="99">
        <f t="shared" si="271"/>
        <v>0</v>
      </c>
      <c r="L1225" s="99">
        <f t="shared" si="272"/>
        <v>0</v>
      </c>
      <c r="M1225" s="44" t="str">
        <f t="shared" si="274"/>
        <v/>
      </c>
      <c r="N1225" s="100">
        <f t="shared" si="275"/>
        <v>0</v>
      </c>
      <c r="O1225" s="101">
        <f t="shared" si="276"/>
        <v>0</v>
      </c>
      <c r="P1225" s="52">
        <f t="shared" si="277"/>
        <v>0</v>
      </c>
      <c r="Q1225" s="49">
        <v>116.88487613461319</v>
      </c>
      <c r="R1225">
        <v>2225</v>
      </c>
      <c r="S1225" s="50">
        <f t="shared" si="273"/>
        <v>71535.307499999995</v>
      </c>
      <c r="T1225" s="50">
        <f t="shared" si="278"/>
        <v>0</v>
      </c>
      <c r="U1225" s="58">
        <f t="shared" si="279"/>
        <v>0</v>
      </c>
      <c r="V1225" s="58">
        <f t="shared" si="280"/>
        <v>0</v>
      </c>
      <c r="W1225" s="58">
        <f t="shared" si="281"/>
        <v>0</v>
      </c>
      <c r="X1225" s="58">
        <f t="shared" si="282"/>
        <v>0</v>
      </c>
      <c r="Y1225" s="52">
        <f t="shared" si="283"/>
        <v>0</v>
      </c>
    </row>
    <row r="1226" spans="1:25" x14ac:dyDescent="0.25">
      <c r="A1226" s="1218" t="s">
        <v>152</v>
      </c>
      <c r="B1226" s="98">
        <v>45566</v>
      </c>
      <c r="C1226" s="117" t="str">
        <f t="shared" si="269"/>
        <v>6L</v>
      </c>
      <c r="D1226" s="96"/>
      <c r="E1226" s="98"/>
      <c r="F1226" s="98"/>
      <c r="I1226" s="99"/>
      <c r="L1226" s="99"/>
      <c r="M1226" s="44"/>
      <c r="N1226" s="100"/>
      <c r="O1226" s="101"/>
      <c r="P1226" s="52"/>
      <c r="Q1226" s="49"/>
      <c r="S1226" s="50"/>
      <c r="T1226" s="50"/>
      <c r="U1226" s="58"/>
      <c r="V1226" s="58"/>
      <c r="W1226" s="58"/>
      <c r="X1226" s="58"/>
      <c r="Y1226" s="52"/>
    </row>
    <row r="1227" spans="1:25" x14ac:dyDescent="0.25">
      <c r="A1227" s="1218" t="s">
        <v>153</v>
      </c>
      <c r="B1227" s="98">
        <v>45566</v>
      </c>
      <c r="C1227" s="117" t="str">
        <f t="shared" si="269"/>
        <v>6L</v>
      </c>
      <c r="D1227" s="96"/>
      <c r="E1227" s="98"/>
      <c r="F1227" s="98"/>
      <c r="I1227" s="99"/>
      <c r="L1227" s="99"/>
      <c r="M1227" s="44"/>
      <c r="N1227" s="100"/>
      <c r="O1227" s="101"/>
      <c r="P1227" s="52"/>
      <c r="Q1227" s="49"/>
      <c r="S1227" s="50"/>
      <c r="T1227" s="50"/>
      <c r="U1227" s="58"/>
      <c r="V1227" s="58"/>
      <c r="W1227" s="58"/>
      <c r="X1227" s="58"/>
      <c r="Y1227" s="52"/>
    </row>
    <row r="1228" spans="1:25" x14ac:dyDescent="0.25">
      <c r="A1228" s="1218" t="s">
        <v>154</v>
      </c>
      <c r="B1228" s="98">
        <v>45566</v>
      </c>
      <c r="C1228" s="117" t="str">
        <f t="shared" si="269"/>
        <v>6L</v>
      </c>
      <c r="D1228" s="96"/>
      <c r="E1228" s="98"/>
      <c r="F1228" s="98"/>
      <c r="I1228" s="99"/>
      <c r="L1228" s="99"/>
      <c r="M1228" s="44"/>
      <c r="N1228" s="100"/>
      <c r="O1228" s="101"/>
      <c r="P1228" s="52"/>
      <c r="Q1228" s="49"/>
      <c r="S1228" s="50"/>
      <c r="T1228" s="50"/>
      <c r="U1228" s="58"/>
      <c r="V1228" s="58"/>
      <c r="W1228" s="58"/>
      <c r="X1228" s="58"/>
      <c r="Y1228" s="52"/>
    </row>
    <row r="1229" spans="1:25" x14ac:dyDescent="0.25">
      <c r="A1229" s="1218" t="s">
        <v>155</v>
      </c>
      <c r="B1229" s="98">
        <v>45566</v>
      </c>
      <c r="C1229" s="117" t="str">
        <f t="shared" ref="C1229:C1292" si="284">LEFT(A1229,2)</f>
        <v>6L</v>
      </c>
      <c r="D1229" s="96"/>
      <c r="E1229" s="98"/>
      <c r="F1229" s="98"/>
      <c r="I1229" s="99">
        <f t="shared" si="271"/>
        <v>0</v>
      </c>
      <c r="L1229" s="99">
        <f t="shared" si="272"/>
        <v>0</v>
      </c>
      <c r="M1229" s="44" t="str">
        <f t="shared" si="274"/>
        <v/>
      </c>
      <c r="N1229" s="100">
        <f t="shared" si="275"/>
        <v>0</v>
      </c>
      <c r="O1229" s="101">
        <f t="shared" si="276"/>
        <v>0</v>
      </c>
      <c r="P1229" s="52">
        <f t="shared" si="277"/>
        <v>0</v>
      </c>
      <c r="Q1229" s="49">
        <v>116.88487613461319</v>
      </c>
      <c r="R1229">
        <v>2225</v>
      </c>
      <c r="S1229" s="50">
        <f t="shared" si="273"/>
        <v>71535.307499999995</v>
      </c>
      <c r="T1229" s="50">
        <f t="shared" si="278"/>
        <v>0</v>
      </c>
      <c r="U1229" s="58">
        <f t="shared" si="279"/>
        <v>0</v>
      </c>
      <c r="V1229" s="58">
        <f t="shared" si="280"/>
        <v>0</v>
      </c>
      <c r="W1229" s="58">
        <f t="shared" si="281"/>
        <v>0</v>
      </c>
      <c r="X1229" s="58">
        <f t="shared" si="282"/>
        <v>0</v>
      </c>
      <c r="Y1229" s="52">
        <f t="shared" si="283"/>
        <v>0</v>
      </c>
    </row>
    <row r="1230" spans="1:25" x14ac:dyDescent="0.25">
      <c r="A1230" s="1218" t="s">
        <v>156</v>
      </c>
      <c r="B1230" s="98">
        <v>45566</v>
      </c>
      <c r="C1230" s="117" t="str">
        <f t="shared" si="284"/>
        <v>6L</v>
      </c>
      <c r="D1230" s="96"/>
      <c r="E1230" s="98"/>
      <c r="F1230" s="98"/>
      <c r="I1230" s="99"/>
      <c r="L1230" s="99"/>
      <c r="M1230" s="44"/>
      <c r="N1230" s="100"/>
      <c r="O1230" s="101"/>
      <c r="P1230" s="52"/>
      <c r="Q1230" s="49"/>
      <c r="S1230" s="50"/>
      <c r="T1230" s="50"/>
      <c r="U1230" s="58"/>
      <c r="V1230" s="58"/>
      <c r="W1230" s="58"/>
      <c r="X1230" s="58"/>
      <c r="Y1230" s="52"/>
    </row>
    <row r="1231" spans="1:25" x14ac:dyDescent="0.25">
      <c r="A1231" s="1218" t="s">
        <v>157</v>
      </c>
      <c r="B1231" s="98">
        <v>45566</v>
      </c>
      <c r="C1231" s="117" t="str">
        <f t="shared" si="284"/>
        <v>6L</v>
      </c>
      <c r="D1231" s="96"/>
      <c r="E1231" s="98"/>
      <c r="F1231" s="98"/>
      <c r="I1231" s="99">
        <f t="shared" si="271"/>
        <v>0</v>
      </c>
      <c r="L1231" s="99">
        <f t="shared" si="272"/>
        <v>0</v>
      </c>
      <c r="M1231" s="44" t="str">
        <f t="shared" si="274"/>
        <v/>
      </c>
      <c r="N1231" s="100">
        <f t="shared" si="275"/>
        <v>0</v>
      </c>
      <c r="O1231" s="101">
        <f t="shared" si="276"/>
        <v>0</v>
      </c>
      <c r="P1231" s="52">
        <f t="shared" si="277"/>
        <v>0</v>
      </c>
      <c r="Q1231" s="49">
        <v>116.88487613461319</v>
      </c>
      <c r="R1231">
        <v>2225</v>
      </c>
      <c r="S1231" s="50">
        <f t="shared" si="273"/>
        <v>71535.307499999995</v>
      </c>
      <c r="T1231" s="50">
        <f t="shared" si="278"/>
        <v>0</v>
      </c>
      <c r="U1231" s="58">
        <f t="shared" si="279"/>
        <v>0</v>
      </c>
      <c r="V1231" s="58">
        <f t="shared" si="280"/>
        <v>0</v>
      </c>
      <c r="W1231" s="58">
        <f t="shared" si="281"/>
        <v>0</v>
      </c>
      <c r="X1231" s="58">
        <f t="shared" si="282"/>
        <v>0</v>
      </c>
      <c r="Y1231" s="52">
        <f t="shared" si="283"/>
        <v>0</v>
      </c>
    </row>
    <row r="1232" spans="1:25" x14ac:dyDescent="0.25">
      <c r="A1232" s="1218" t="s">
        <v>158</v>
      </c>
      <c r="B1232" s="98">
        <v>45566</v>
      </c>
      <c r="C1232" s="117" t="str">
        <f t="shared" si="284"/>
        <v>6L</v>
      </c>
      <c r="D1232" s="96"/>
      <c r="E1232" s="98"/>
      <c r="F1232" s="98"/>
      <c r="I1232" s="99">
        <f t="shared" si="271"/>
        <v>0</v>
      </c>
      <c r="L1232" s="99">
        <f t="shared" si="272"/>
        <v>0</v>
      </c>
      <c r="M1232" s="44" t="str">
        <f t="shared" si="274"/>
        <v/>
      </c>
      <c r="N1232" s="100">
        <f t="shared" si="275"/>
        <v>0</v>
      </c>
      <c r="O1232" s="101">
        <f t="shared" si="276"/>
        <v>0</v>
      </c>
      <c r="P1232" s="52">
        <f t="shared" si="277"/>
        <v>0</v>
      </c>
      <c r="Q1232" s="49">
        <v>116.88487613461319</v>
      </c>
      <c r="R1232">
        <v>2225</v>
      </c>
      <c r="S1232" s="50">
        <f t="shared" si="273"/>
        <v>71535.307499999995</v>
      </c>
      <c r="T1232" s="50">
        <f t="shared" si="278"/>
        <v>0</v>
      </c>
      <c r="U1232" s="58">
        <f t="shared" si="279"/>
        <v>0</v>
      </c>
      <c r="V1232" s="58">
        <f t="shared" si="280"/>
        <v>0</v>
      </c>
      <c r="W1232" s="58">
        <f t="shared" si="281"/>
        <v>0</v>
      </c>
      <c r="X1232" s="58">
        <f t="shared" si="282"/>
        <v>0</v>
      </c>
      <c r="Y1232" s="52">
        <f t="shared" si="283"/>
        <v>0</v>
      </c>
    </row>
    <row r="1233" spans="1:25" x14ac:dyDescent="0.25">
      <c r="A1233" s="1218" t="s">
        <v>159</v>
      </c>
      <c r="B1233" s="98">
        <v>45566</v>
      </c>
      <c r="C1233" s="117" t="str">
        <f t="shared" si="284"/>
        <v>6L</v>
      </c>
      <c r="D1233" s="96"/>
      <c r="E1233" s="98"/>
      <c r="F1233" s="98"/>
      <c r="I1233" s="99">
        <f t="shared" si="271"/>
        <v>0</v>
      </c>
      <c r="L1233" s="99">
        <f t="shared" si="272"/>
        <v>0</v>
      </c>
      <c r="M1233" s="44" t="str">
        <f t="shared" si="274"/>
        <v/>
      </c>
      <c r="N1233" s="100">
        <f t="shared" si="275"/>
        <v>0</v>
      </c>
      <c r="O1233" s="101">
        <f t="shared" si="276"/>
        <v>0</v>
      </c>
      <c r="P1233" s="52">
        <f t="shared" si="277"/>
        <v>0</v>
      </c>
      <c r="Q1233" s="49">
        <v>116.88487613461319</v>
      </c>
      <c r="R1233">
        <v>2225</v>
      </c>
      <c r="S1233" s="50">
        <f t="shared" si="273"/>
        <v>71535.307499999995</v>
      </c>
      <c r="T1233" s="50">
        <f t="shared" si="278"/>
        <v>0</v>
      </c>
      <c r="U1233" s="58">
        <f t="shared" si="279"/>
        <v>0</v>
      </c>
      <c r="V1233" s="58">
        <f t="shared" si="280"/>
        <v>0</v>
      </c>
      <c r="W1233" s="58">
        <f t="shared" si="281"/>
        <v>0</v>
      </c>
      <c r="X1233" s="58">
        <f t="shared" si="282"/>
        <v>0</v>
      </c>
      <c r="Y1233" s="52">
        <f t="shared" si="283"/>
        <v>0</v>
      </c>
    </row>
    <row r="1234" spans="1:25" x14ac:dyDescent="0.25">
      <c r="A1234" s="1218" t="s">
        <v>160</v>
      </c>
      <c r="B1234" s="98">
        <v>45566</v>
      </c>
      <c r="C1234" s="117" t="str">
        <f t="shared" si="284"/>
        <v>6L</v>
      </c>
      <c r="D1234" s="96"/>
      <c r="E1234" s="98"/>
      <c r="F1234" s="98"/>
      <c r="I1234" s="99">
        <f t="shared" si="271"/>
        <v>0</v>
      </c>
      <c r="L1234" s="99">
        <f t="shared" si="272"/>
        <v>0</v>
      </c>
      <c r="M1234" s="44" t="str">
        <f t="shared" si="274"/>
        <v/>
      </c>
      <c r="N1234" s="100">
        <f t="shared" si="275"/>
        <v>0</v>
      </c>
      <c r="O1234" s="101">
        <f t="shared" si="276"/>
        <v>0</v>
      </c>
      <c r="P1234" s="52">
        <f t="shared" si="277"/>
        <v>0</v>
      </c>
      <c r="Q1234" s="49">
        <v>116.88487613461319</v>
      </c>
      <c r="R1234">
        <v>2225</v>
      </c>
      <c r="S1234" s="50">
        <f t="shared" si="273"/>
        <v>71535.307499999995</v>
      </c>
      <c r="T1234" s="50">
        <f t="shared" si="278"/>
        <v>0</v>
      </c>
      <c r="U1234" s="58">
        <f t="shared" si="279"/>
        <v>0</v>
      </c>
      <c r="V1234" s="58">
        <f t="shared" si="280"/>
        <v>0</v>
      </c>
      <c r="W1234" s="58">
        <f t="shared" si="281"/>
        <v>0</v>
      </c>
      <c r="X1234" s="58">
        <f t="shared" si="282"/>
        <v>0</v>
      </c>
      <c r="Y1234" s="52">
        <f t="shared" si="283"/>
        <v>0</v>
      </c>
    </row>
    <row r="1235" spans="1:25" x14ac:dyDescent="0.25">
      <c r="A1235" s="1218" t="s">
        <v>161</v>
      </c>
      <c r="B1235" s="98">
        <v>45566</v>
      </c>
      <c r="C1235" s="117" t="str">
        <f t="shared" si="284"/>
        <v>6L</v>
      </c>
      <c r="D1235" s="96"/>
      <c r="E1235" s="98"/>
      <c r="F1235" s="98"/>
      <c r="I1235" s="99">
        <f t="shared" si="271"/>
        <v>0</v>
      </c>
      <c r="L1235" s="99">
        <f t="shared" si="272"/>
        <v>0</v>
      </c>
      <c r="M1235" s="44" t="str">
        <f t="shared" si="274"/>
        <v/>
      </c>
      <c r="N1235" s="100">
        <f t="shared" si="275"/>
        <v>0</v>
      </c>
      <c r="O1235" s="101">
        <f t="shared" si="276"/>
        <v>0</v>
      </c>
      <c r="P1235" s="52">
        <f t="shared" si="277"/>
        <v>0</v>
      </c>
      <c r="Q1235" s="49">
        <v>116.88487613461319</v>
      </c>
      <c r="R1235">
        <v>2225</v>
      </c>
      <c r="S1235" s="50">
        <f t="shared" si="273"/>
        <v>71535.307499999995</v>
      </c>
      <c r="T1235" s="50">
        <f t="shared" si="278"/>
        <v>0</v>
      </c>
      <c r="U1235" s="58">
        <f t="shared" si="279"/>
        <v>0</v>
      </c>
      <c r="V1235" s="58">
        <f t="shared" si="280"/>
        <v>0</v>
      </c>
      <c r="W1235" s="58">
        <f t="shared" si="281"/>
        <v>0</v>
      </c>
      <c r="X1235" s="58">
        <f t="shared" si="282"/>
        <v>0</v>
      </c>
      <c r="Y1235" s="52">
        <f t="shared" si="283"/>
        <v>0</v>
      </c>
    </row>
    <row r="1236" spans="1:25" x14ac:dyDescent="0.25">
      <c r="A1236" s="1218" t="s">
        <v>162</v>
      </c>
      <c r="B1236" s="98">
        <v>45566</v>
      </c>
      <c r="C1236" s="117" t="str">
        <f t="shared" si="284"/>
        <v>6L</v>
      </c>
      <c r="D1236" s="96"/>
      <c r="E1236" s="98"/>
      <c r="F1236" s="98"/>
      <c r="I1236" s="99">
        <f t="shared" si="271"/>
        <v>0</v>
      </c>
      <c r="L1236" s="99">
        <f t="shared" si="272"/>
        <v>0</v>
      </c>
      <c r="M1236" s="44" t="str">
        <f t="shared" si="274"/>
        <v/>
      </c>
      <c r="N1236" s="100">
        <f t="shared" si="275"/>
        <v>0</v>
      </c>
      <c r="O1236" s="101">
        <f t="shared" si="276"/>
        <v>0</v>
      </c>
      <c r="P1236" s="52">
        <f t="shared" si="277"/>
        <v>0</v>
      </c>
      <c r="Q1236" s="49">
        <v>116.88487613461319</v>
      </c>
      <c r="R1236">
        <v>2225</v>
      </c>
      <c r="S1236" s="50">
        <f t="shared" si="273"/>
        <v>71535.307499999995</v>
      </c>
      <c r="T1236" s="50">
        <f t="shared" si="278"/>
        <v>0</v>
      </c>
      <c r="U1236" s="58">
        <f t="shared" si="279"/>
        <v>0</v>
      </c>
      <c r="V1236" s="58">
        <f t="shared" si="280"/>
        <v>0</v>
      </c>
      <c r="W1236" s="58">
        <f t="shared" si="281"/>
        <v>0</v>
      </c>
      <c r="X1236" s="58">
        <f t="shared" si="282"/>
        <v>0</v>
      </c>
      <c r="Y1236" s="52">
        <f t="shared" si="283"/>
        <v>0</v>
      </c>
    </row>
    <row r="1237" spans="1:25" x14ac:dyDescent="0.25">
      <c r="A1237" s="1218" t="s">
        <v>163</v>
      </c>
      <c r="B1237" s="98">
        <v>45566</v>
      </c>
      <c r="C1237" s="117" t="str">
        <f t="shared" si="284"/>
        <v>6L</v>
      </c>
      <c r="D1237" s="96"/>
      <c r="E1237" s="98"/>
      <c r="F1237" s="98"/>
      <c r="I1237" s="99">
        <f t="shared" si="271"/>
        <v>0</v>
      </c>
      <c r="L1237" s="99">
        <f t="shared" si="272"/>
        <v>0</v>
      </c>
      <c r="M1237" s="44" t="str">
        <f t="shared" si="274"/>
        <v/>
      </c>
      <c r="N1237" s="100">
        <f t="shared" si="275"/>
        <v>0</v>
      </c>
      <c r="O1237" s="101">
        <f t="shared" si="276"/>
        <v>0</v>
      </c>
      <c r="P1237" s="52">
        <f t="shared" si="277"/>
        <v>0</v>
      </c>
      <c r="Q1237" s="49">
        <v>116.88487613461319</v>
      </c>
      <c r="R1237">
        <v>2225</v>
      </c>
      <c r="S1237" s="50">
        <f t="shared" si="273"/>
        <v>71535.307499999995</v>
      </c>
      <c r="T1237" s="50">
        <f t="shared" si="278"/>
        <v>0</v>
      </c>
      <c r="U1237" s="58">
        <f t="shared" si="279"/>
        <v>0</v>
      </c>
      <c r="V1237" s="58">
        <f t="shared" si="280"/>
        <v>0</v>
      </c>
      <c r="W1237" s="58">
        <f t="shared" si="281"/>
        <v>0</v>
      </c>
      <c r="X1237" s="58">
        <f t="shared" si="282"/>
        <v>0</v>
      </c>
      <c r="Y1237" s="52">
        <f t="shared" si="283"/>
        <v>0</v>
      </c>
    </row>
    <row r="1238" spans="1:25" x14ac:dyDescent="0.25">
      <c r="A1238" s="1218" t="s">
        <v>164</v>
      </c>
      <c r="B1238" s="98">
        <v>45566</v>
      </c>
      <c r="C1238" s="117" t="str">
        <f t="shared" si="284"/>
        <v>6L</v>
      </c>
      <c r="D1238" s="96"/>
      <c r="E1238" s="98"/>
      <c r="F1238" s="98"/>
      <c r="I1238" s="99">
        <f t="shared" si="271"/>
        <v>0</v>
      </c>
      <c r="L1238" s="99">
        <f t="shared" si="272"/>
        <v>0</v>
      </c>
      <c r="M1238" s="44" t="str">
        <f t="shared" si="274"/>
        <v/>
      </c>
      <c r="N1238" s="100">
        <f t="shared" si="275"/>
        <v>0</v>
      </c>
      <c r="O1238" s="101">
        <f t="shared" si="276"/>
        <v>0</v>
      </c>
      <c r="P1238" s="52">
        <f t="shared" si="277"/>
        <v>0</v>
      </c>
      <c r="Q1238" s="49">
        <v>116.88487613461319</v>
      </c>
      <c r="R1238">
        <v>2225</v>
      </c>
      <c r="S1238" s="50">
        <f t="shared" si="273"/>
        <v>71535.307499999995</v>
      </c>
      <c r="T1238" s="50">
        <f t="shared" si="278"/>
        <v>0</v>
      </c>
      <c r="U1238" s="58">
        <f t="shared" si="279"/>
        <v>0</v>
      </c>
      <c r="V1238" s="58">
        <f t="shared" si="280"/>
        <v>0</v>
      </c>
      <c r="W1238" s="58">
        <f t="shared" si="281"/>
        <v>0</v>
      </c>
      <c r="X1238" s="58">
        <f t="shared" si="282"/>
        <v>0</v>
      </c>
      <c r="Y1238" s="52">
        <f t="shared" si="283"/>
        <v>0</v>
      </c>
    </row>
    <row r="1239" spans="1:25" x14ac:dyDescent="0.25">
      <c r="A1239" s="1218" t="s">
        <v>165</v>
      </c>
      <c r="B1239" s="98">
        <v>45566</v>
      </c>
      <c r="C1239" s="117" t="str">
        <f t="shared" si="284"/>
        <v>6L</v>
      </c>
      <c r="D1239" s="96"/>
      <c r="E1239" s="98"/>
      <c r="F1239" s="98"/>
      <c r="I1239" s="99">
        <f t="shared" si="271"/>
        <v>0</v>
      </c>
      <c r="L1239" s="99">
        <f t="shared" si="272"/>
        <v>0</v>
      </c>
      <c r="M1239" s="44" t="str">
        <f t="shared" si="274"/>
        <v/>
      </c>
      <c r="N1239" s="100">
        <f t="shared" si="275"/>
        <v>0</v>
      </c>
      <c r="O1239" s="101">
        <f t="shared" si="276"/>
        <v>0</v>
      </c>
      <c r="P1239" s="52">
        <f t="shared" si="277"/>
        <v>0</v>
      </c>
      <c r="Q1239" s="49">
        <v>116.88487613461319</v>
      </c>
      <c r="R1239">
        <v>2225</v>
      </c>
      <c r="S1239" s="50">
        <f t="shared" si="273"/>
        <v>71535.307499999995</v>
      </c>
      <c r="T1239" s="50">
        <f t="shared" si="278"/>
        <v>0</v>
      </c>
      <c r="U1239" s="58">
        <f t="shared" si="279"/>
        <v>0</v>
      </c>
      <c r="V1239" s="58">
        <f t="shared" si="280"/>
        <v>0</v>
      </c>
      <c r="W1239" s="58">
        <f t="shared" si="281"/>
        <v>0</v>
      </c>
      <c r="X1239" s="58">
        <f t="shared" si="282"/>
        <v>0</v>
      </c>
      <c r="Y1239" s="52">
        <f t="shared" si="283"/>
        <v>0</v>
      </c>
    </row>
    <row r="1240" spans="1:25" x14ac:dyDescent="0.25">
      <c r="A1240" s="1218" t="s">
        <v>166</v>
      </c>
      <c r="B1240" s="98">
        <v>45566</v>
      </c>
      <c r="C1240" s="117" t="str">
        <f t="shared" si="284"/>
        <v>6L</v>
      </c>
      <c r="D1240" s="96"/>
      <c r="E1240" s="98"/>
      <c r="F1240" s="98"/>
      <c r="I1240" s="99">
        <f t="shared" si="271"/>
        <v>0</v>
      </c>
      <c r="L1240" s="99">
        <f t="shared" si="272"/>
        <v>0</v>
      </c>
      <c r="M1240" s="44" t="str">
        <f t="shared" si="274"/>
        <v/>
      </c>
      <c r="N1240" s="100">
        <f t="shared" si="275"/>
        <v>0</v>
      </c>
      <c r="O1240" s="101">
        <f t="shared" si="276"/>
        <v>0</v>
      </c>
      <c r="P1240" s="52">
        <f t="shared" si="277"/>
        <v>0</v>
      </c>
      <c r="Q1240" s="49">
        <v>116.88487613461319</v>
      </c>
      <c r="R1240">
        <v>2225</v>
      </c>
      <c r="S1240" s="50">
        <f t="shared" si="273"/>
        <v>71535.307499999995</v>
      </c>
      <c r="T1240" s="50">
        <f t="shared" si="278"/>
        <v>0</v>
      </c>
      <c r="U1240" s="58">
        <f t="shared" si="279"/>
        <v>0</v>
      </c>
      <c r="V1240" s="58">
        <f t="shared" si="280"/>
        <v>0</v>
      </c>
      <c r="W1240" s="58">
        <f t="shared" si="281"/>
        <v>0</v>
      </c>
      <c r="X1240" s="58">
        <f t="shared" si="282"/>
        <v>0</v>
      </c>
      <c r="Y1240" s="52">
        <f t="shared" si="283"/>
        <v>0</v>
      </c>
    </row>
    <row r="1241" spans="1:25" x14ac:dyDescent="0.25">
      <c r="A1241" s="1218" t="s">
        <v>167</v>
      </c>
      <c r="B1241" s="98">
        <v>45566</v>
      </c>
      <c r="C1241" s="117" t="str">
        <f t="shared" si="284"/>
        <v>6L</v>
      </c>
      <c r="D1241" s="96"/>
      <c r="E1241" s="98"/>
      <c r="F1241" s="98"/>
      <c r="I1241" s="99">
        <f t="shared" si="271"/>
        <v>0</v>
      </c>
      <c r="L1241" s="99">
        <f t="shared" si="272"/>
        <v>0</v>
      </c>
      <c r="M1241" s="44" t="str">
        <f t="shared" si="274"/>
        <v/>
      </c>
      <c r="N1241" s="100">
        <f t="shared" si="275"/>
        <v>0</v>
      </c>
      <c r="O1241" s="101">
        <f t="shared" si="276"/>
        <v>0</v>
      </c>
      <c r="P1241" s="52">
        <f t="shared" si="277"/>
        <v>0</v>
      </c>
      <c r="Q1241" s="49">
        <v>116.88487613461319</v>
      </c>
      <c r="R1241">
        <v>2225</v>
      </c>
      <c r="S1241" s="50">
        <f t="shared" si="273"/>
        <v>71535.307499999995</v>
      </c>
      <c r="T1241" s="50">
        <f t="shared" si="278"/>
        <v>0</v>
      </c>
      <c r="U1241" s="58">
        <f t="shared" si="279"/>
        <v>0</v>
      </c>
      <c r="V1241" s="58">
        <f t="shared" si="280"/>
        <v>0</v>
      </c>
      <c r="W1241" s="58">
        <f t="shared" si="281"/>
        <v>0</v>
      </c>
      <c r="X1241" s="58">
        <f t="shared" si="282"/>
        <v>0</v>
      </c>
      <c r="Y1241" s="52">
        <f t="shared" si="283"/>
        <v>0</v>
      </c>
    </row>
    <row r="1242" spans="1:25" x14ac:dyDescent="0.25">
      <c r="A1242" s="1218" t="s">
        <v>168</v>
      </c>
      <c r="B1242" s="98">
        <v>45566</v>
      </c>
      <c r="C1242" s="117" t="str">
        <f t="shared" si="284"/>
        <v>6L</v>
      </c>
      <c r="D1242" s="96"/>
      <c r="E1242" s="98"/>
      <c r="F1242" s="98"/>
      <c r="I1242" s="99">
        <f t="shared" si="271"/>
        <v>0</v>
      </c>
      <c r="L1242" s="99">
        <f t="shared" si="272"/>
        <v>0</v>
      </c>
      <c r="M1242" s="44" t="str">
        <f t="shared" si="274"/>
        <v/>
      </c>
      <c r="N1242" s="100">
        <f t="shared" si="275"/>
        <v>0</v>
      </c>
      <c r="O1242" s="101">
        <f t="shared" si="276"/>
        <v>0</v>
      </c>
      <c r="P1242" s="52">
        <f t="shared" si="277"/>
        <v>0</v>
      </c>
      <c r="Q1242" s="49">
        <v>116.88487613461319</v>
      </c>
      <c r="R1242">
        <v>2225</v>
      </c>
      <c r="S1242" s="50">
        <f t="shared" si="273"/>
        <v>71535.307499999995</v>
      </c>
      <c r="T1242" s="50">
        <f t="shared" si="278"/>
        <v>0</v>
      </c>
      <c r="U1242" s="58">
        <f t="shared" si="279"/>
        <v>0</v>
      </c>
      <c r="V1242" s="58">
        <f t="shared" si="280"/>
        <v>0</v>
      </c>
      <c r="W1242" s="58">
        <f t="shared" si="281"/>
        <v>0</v>
      </c>
      <c r="X1242" s="58">
        <f t="shared" si="282"/>
        <v>0</v>
      </c>
      <c r="Y1242" s="52">
        <f t="shared" si="283"/>
        <v>0</v>
      </c>
    </row>
    <row r="1243" spans="1:25" x14ac:dyDescent="0.25">
      <c r="A1243" s="1218" t="s">
        <v>169</v>
      </c>
      <c r="B1243" s="98">
        <v>45566</v>
      </c>
      <c r="C1243" s="117" t="str">
        <f t="shared" si="284"/>
        <v>6L</v>
      </c>
      <c r="D1243" s="96"/>
      <c r="E1243" s="98"/>
      <c r="F1243" s="98"/>
      <c r="I1243" s="99">
        <f t="shared" si="271"/>
        <v>0</v>
      </c>
      <c r="L1243" s="99">
        <f t="shared" si="272"/>
        <v>0</v>
      </c>
      <c r="M1243" s="44" t="str">
        <f t="shared" si="274"/>
        <v/>
      </c>
      <c r="N1243" s="100">
        <f t="shared" si="275"/>
        <v>0</v>
      </c>
      <c r="O1243" s="101">
        <f t="shared" si="276"/>
        <v>0</v>
      </c>
      <c r="P1243" s="52">
        <f t="shared" si="277"/>
        <v>0</v>
      </c>
      <c r="Q1243" s="49">
        <v>116.88487613461319</v>
      </c>
      <c r="R1243">
        <v>2225</v>
      </c>
      <c r="S1243" s="50">
        <f t="shared" si="273"/>
        <v>71535.307499999995</v>
      </c>
      <c r="T1243" s="50">
        <f t="shared" si="278"/>
        <v>0</v>
      </c>
      <c r="U1243" s="58">
        <f t="shared" si="279"/>
        <v>0</v>
      </c>
      <c r="V1243" s="58">
        <f t="shared" si="280"/>
        <v>0</v>
      </c>
      <c r="W1243" s="58">
        <f t="shared" si="281"/>
        <v>0</v>
      </c>
      <c r="X1243" s="58">
        <f t="shared" si="282"/>
        <v>0</v>
      </c>
      <c r="Y1243" s="52">
        <f t="shared" si="283"/>
        <v>0</v>
      </c>
    </row>
    <row r="1244" spans="1:25" x14ac:dyDescent="0.25">
      <c r="A1244" s="1218" t="s">
        <v>170</v>
      </c>
      <c r="B1244" s="98">
        <v>45566</v>
      </c>
      <c r="C1244" s="117" t="str">
        <f t="shared" si="284"/>
        <v>6L</v>
      </c>
      <c r="D1244" s="96"/>
      <c r="E1244" s="98"/>
      <c r="F1244" s="98"/>
      <c r="I1244" s="99">
        <f t="shared" si="271"/>
        <v>0</v>
      </c>
      <c r="L1244" s="99">
        <f t="shared" si="272"/>
        <v>0</v>
      </c>
      <c r="M1244" s="44" t="str">
        <f t="shared" si="274"/>
        <v/>
      </c>
      <c r="N1244" s="100">
        <f t="shared" si="275"/>
        <v>0</v>
      </c>
      <c r="O1244" s="101">
        <f t="shared" si="276"/>
        <v>0</v>
      </c>
      <c r="P1244" s="52">
        <f t="shared" si="277"/>
        <v>0</v>
      </c>
      <c r="Q1244" s="49">
        <v>116.88487613461319</v>
      </c>
      <c r="R1244">
        <v>2225</v>
      </c>
      <c r="S1244" s="50">
        <f t="shared" si="273"/>
        <v>71535.307499999995</v>
      </c>
      <c r="T1244" s="50">
        <f t="shared" si="278"/>
        <v>0</v>
      </c>
      <c r="U1244" s="58">
        <f t="shared" si="279"/>
        <v>0</v>
      </c>
      <c r="V1244" s="58">
        <f t="shared" si="280"/>
        <v>0</v>
      </c>
      <c r="W1244" s="58">
        <f t="shared" si="281"/>
        <v>0</v>
      </c>
      <c r="X1244" s="58">
        <f t="shared" si="282"/>
        <v>0</v>
      </c>
      <c r="Y1244" s="52">
        <f t="shared" si="283"/>
        <v>0</v>
      </c>
    </row>
    <row r="1245" spans="1:25" x14ac:dyDescent="0.25">
      <c r="A1245" s="1218" t="s">
        <v>171</v>
      </c>
      <c r="B1245" s="98">
        <v>45566</v>
      </c>
      <c r="C1245" s="117" t="str">
        <f t="shared" si="284"/>
        <v>6L</v>
      </c>
      <c r="D1245" s="96"/>
      <c r="E1245" s="98"/>
      <c r="F1245" s="98"/>
      <c r="I1245" s="99">
        <f t="shared" si="271"/>
        <v>0</v>
      </c>
      <c r="L1245" s="99">
        <f t="shared" si="272"/>
        <v>0</v>
      </c>
      <c r="M1245" s="44" t="str">
        <f t="shared" si="274"/>
        <v/>
      </c>
      <c r="N1245" s="100">
        <f t="shared" si="275"/>
        <v>0</v>
      </c>
      <c r="O1245" s="101">
        <f t="shared" si="276"/>
        <v>0</v>
      </c>
      <c r="P1245" s="52">
        <f t="shared" si="277"/>
        <v>0</v>
      </c>
      <c r="Q1245" s="49">
        <v>116.88487613461319</v>
      </c>
      <c r="R1245">
        <v>2225</v>
      </c>
      <c r="S1245" s="50">
        <f t="shared" si="273"/>
        <v>71535.307499999995</v>
      </c>
      <c r="T1245" s="50">
        <f t="shared" si="278"/>
        <v>0</v>
      </c>
      <c r="U1245" s="58">
        <f t="shared" si="279"/>
        <v>0</v>
      </c>
      <c r="V1245" s="58">
        <f t="shared" si="280"/>
        <v>0</v>
      </c>
      <c r="W1245" s="58">
        <f t="shared" si="281"/>
        <v>0</v>
      </c>
      <c r="X1245" s="58">
        <f t="shared" si="282"/>
        <v>0</v>
      </c>
      <c r="Y1245" s="52">
        <f t="shared" si="283"/>
        <v>0</v>
      </c>
    </row>
    <row r="1246" spans="1:25" x14ac:dyDescent="0.25">
      <c r="A1246" s="1218" t="s">
        <v>172</v>
      </c>
      <c r="B1246" s="98">
        <v>45566</v>
      </c>
      <c r="C1246" s="117" t="str">
        <f t="shared" si="284"/>
        <v>6L</v>
      </c>
      <c r="D1246" s="96"/>
      <c r="E1246" s="98"/>
      <c r="F1246" s="98"/>
      <c r="I1246" s="99">
        <f t="shared" si="271"/>
        <v>0</v>
      </c>
      <c r="L1246" s="99">
        <f t="shared" si="272"/>
        <v>0</v>
      </c>
      <c r="M1246" s="44" t="str">
        <f t="shared" si="274"/>
        <v/>
      </c>
      <c r="N1246" s="100">
        <f t="shared" si="275"/>
        <v>0</v>
      </c>
      <c r="O1246" s="101">
        <f t="shared" si="276"/>
        <v>0</v>
      </c>
      <c r="P1246" s="52">
        <f t="shared" si="277"/>
        <v>0</v>
      </c>
      <c r="Q1246" s="49">
        <v>116.88487613461319</v>
      </c>
      <c r="R1246">
        <v>2225</v>
      </c>
      <c r="S1246" s="50">
        <f t="shared" si="273"/>
        <v>71535.307499999995</v>
      </c>
      <c r="T1246" s="50">
        <f t="shared" si="278"/>
        <v>0</v>
      </c>
      <c r="U1246" s="58">
        <f t="shared" si="279"/>
        <v>0</v>
      </c>
      <c r="V1246" s="58">
        <f t="shared" si="280"/>
        <v>0</v>
      </c>
      <c r="W1246" s="58">
        <f t="shared" si="281"/>
        <v>0</v>
      </c>
      <c r="X1246" s="58">
        <f t="shared" si="282"/>
        <v>0</v>
      </c>
      <c r="Y1246" s="52">
        <f t="shared" si="283"/>
        <v>0</v>
      </c>
    </row>
    <row r="1247" spans="1:25" x14ac:dyDescent="0.25">
      <c r="A1247" s="1218" t="s">
        <v>173</v>
      </c>
      <c r="B1247" s="98">
        <v>45566</v>
      </c>
      <c r="C1247" s="117" t="str">
        <f t="shared" si="284"/>
        <v>6L</v>
      </c>
      <c r="D1247" s="96"/>
      <c r="E1247" s="98"/>
      <c r="F1247" s="98"/>
      <c r="I1247" s="99">
        <f t="shared" si="271"/>
        <v>0</v>
      </c>
      <c r="L1247" s="99">
        <f t="shared" si="272"/>
        <v>0</v>
      </c>
      <c r="M1247" s="44" t="str">
        <f t="shared" si="274"/>
        <v/>
      </c>
      <c r="N1247" s="100">
        <f t="shared" si="275"/>
        <v>0</v>
      </c>
      <c r="O1247" s="101">
        <f t="shared" si="276"/>
        <v>0</v>
      </c>
      <c r="P1247" s="52">
        <f t="shared" si="277"/>
        <v>0</v>
      </c>
      <c r="Q1247" s="49">
        <v>116.88487613461319</v>
      </c>
      <c r="R1247">
        <v>2225</v>
      </c>
      <c r="S1247" s="50">
        <f t="shared" si="273"/>
        <v>71535.307499999995</v>
      </c>
      <c r="T1247" s="50">
        <f t="shared" si="278"/>
        <v>0</v>
      </c>
      <c r="U1247" s="58">
        <f t="shared" si="279"/>
        <v>0</v>
      </c>
      <c r="V1247" s="58">
        <f t="shared" si="280"/>
        <v>0</v>
      </c>
      <c r="W1247" s="58">
        <f t="shared" si="281"/>
        <v>0</v>
      </c>
      <c r="X1247" s="58">
        <f t="shared" si="282"/>
        <v>0</v>
      </c>
      <c r="Y1247" s="52">
        <f t="shared" si="283"/>
        <v>0</v>
      </c>
    </row>
    <row r="1248" spans="1:25" x14ac:dyDescent="0.25">
      <c r="A1248" s="1218" t="s">
        <v>174</v>
      </c>
      <c r="B1248" s="98">
        <v>45566</v>
      </c>
      <c r="C1248" s="117" t="str">
        <f t="shared" si="284"/>
        <v>6L</v>
      </c>
      <c r="D1248" s="96"/>
      <c r="E1248" s="98"/>
      <c r="F1248" s="98"/>
      <c r="I1248" s="99">
        <f t="shared" si="271"/>
        <v>0</v>
      </c>
      <c r="L1248" s="99">
        <f t="shared" si="272"/>
        <v>0</v>
      </c>
      <c r="M1248" s="44" t="str">
        <f t="shared" si="274"/>
        <v/>
      </c>
      <c r="N1248" s="100">
        <f t="shared" si="275"/>
        <v>0</v>
      </c>
      <c r="O1248" s="101">
        <f t="shared" si="276"/>
        <v>0</v>
      </c>
      <c r="P1248" s="52">
        <f t="shared" si="277"/>
        <v>0</v>
      </c>
      <c r="Q1248" s="49">
        <v>116.88487613461319</v>
      </c>
      <c r="R1248">
        <v>2225</v>
      </c>
      <c r="S1248" s="50">
        <f t="shared" si="273"/>
        <v>71535.307499999995</v>
      </c>
      <c r="T1248" s="50">
        <f t="shared" si="278"/>
        <v>0</v>
      </c>
      <c r="U1248" s="58">
        <f t="shared" si="279"/>
        <v>0</v>
      </c>
      <c r="V1248" s="58">
        <f t="shared" si="280"/>
        <v>0</v>
      </c>
      <c r="W1248" s="58">
        <f t="shared" si="281"/>
        <v>0</v>
      </c>
      <c r="X1248" s="58">
        <f t="shared" si="282"/>
        <v>0</v>
      </c>
      <c r="Y1248" s="52">
        <f t="shared" si="283"/>
        <v>0</v>
      </c>
    </row>
    <row r="1249" spans="1:25" x14ac:dyDescent="0.25">
      <c r="A1249" s="1218" t="s">
        <v>175</v>
      </c>
      <c r="B1249" s="98">
        <v>45566</v>
      </c>
      <c r="C1249" s="117" t="str">
        <f t="shared" si="284"/>
        <v>6L</v>
      </c>
      <c r="D1249" s="96"/>
      <c r="E1249" s="98"/>
      <c r="F1249" s="98"/>
      <c r="I1249" s="99">
        <f t="shared" si="271"/>
        <v>0</v>
      </c>
      <c r="L1249" s="99">
        <f t="shared" si="272"/>
        <v>0</v>
      </c>
      <c r="M1249" s="44" t="str">
        <f t="shared" si="274"/>
        <v/>
      </c>
      <c r="N1249" s="100">
        <f t="shared" si="275"/>
        <v>0</v>
      </c>
      <c r="O1249" s="101">
        <f t="shared" si="276"/>
        <v>0</v>
      </c>
      <c r="P1249" s="52">
        <f t="shared" si="277"/>
        <v>0</v>
      </c>
      <c r="Q1249" s="49">
        <v>116.88487613461319</v>
      </c>
      <c r="R1249">
        <v>2225</v>
      </c>
      <c r="S1249" s="50">
        <f t="shared" si="273"/>
        <v>71535.307499999995</v>
      </c>
      <c r="T1249" s="50">
        <f t="shared" si="278"/>
        <v>0</v>
      </c>
      <c r="U1249" s="58">
        <f t="shared" si="279"/>
        <v>0</v>
      </c>
      <c r="V1249" s="58">
        <f t="shared" si="280"/>
        <v>0</v>
      </c>
      <c r="W1249" s="58">
        <f t="shared" si="281"/>
        <v>0</v>
      </c>
      <c r="X1249" s="58">
        <f t="shared" si="282"/>
        <v>0</v>
      </c>
      <c r="Y1249" s="52">
        <f t="shared" si="283"/>
        <v>0</v>
      </c>
    </row>
    <row r="1250" spans="1:25" x14ac:dyDescent="0.25">
      <c r="A1250" s="1218" t="s">
        <v>176</v>
      </c>
      <c r="B1250" s="98">
        <v>45566</v>
      </c>
      <c r="C1250" s="117" t="str">
        <f t="shared" si="284"/>
        <v>6L</v>
      </c>
      <c r="D1250" s="96"/>
      <c r="E1250" s="98"/>
      <c r="F1250" s="98"/>
      <c r="I1250" s="99">
        <f t="shared" si="271"/>
        <v>0</v>
      </c>
      <c r="L1250" s="99">
        <f t="shared" si="272"/>
        <v>0</v>
      </c>
      <c r="M1250" s="44" t="str">
        <f t="shared" si="274"/>
        <v/>
      </c>
      <c r="N1250" s="100">
        <f t="shared" si="275"/>
        <v>0</v>
      </c>
      <c r="O1250" s="101">
        <f t="shared" si="276"/>
        <v>0</v>
      </c>
      <c r="P1250" s="52">
        <f t="shared" si="277"/>
        <v>0</v>
      </c>
      <c r="Q1250" s="49">
        <v>116.88487613461319</v>
      </c>
      <c r="R1250">
        <v>2225</v>
      </c>
      <c r="S1250" s="50">
        <f t="shared" si="273"/>
        <v>71535.307499999995</v>
      </c>
      <c r="T1250" s="50">
        <f t="shared" si="278"/>
        <v>0</v>
      </c>
      <c r="U1250" s="58">
        <f t="shared" si="279"/>
        <v>0</v>
      </c>
      <c r="V1250" s="58">
        <f t="shared" si="280"/>
        <v>0</v>
      </c>
      <c r="W1250" s="58">
        <f t="shared" si="281"/>
        <v>0</v>
      </c>
      <c r="X1250" s="58">
        <f t="shared" si="282"/>
        <v>0</v>
      </c>
      <c r="Y1250" s="52">
        <f t="shared" si="283"/>
        <v>0</v>
      </c>
    </row>
    <row r="1251" spans="1:25" x14ac:dyDescent="0.25">
      <c r="A1251" s="1218" t="s">
        <v>177</v>
      </c>
      <c r="B1251" s="98">
        <v>45566</v>
      </c>
      <c r="C1251" s="117" t="str">
        <f t="shared" si="284"/>
        <v>6L</v>
      </c>
      <c r="D1251" s="96"/>
      <c r="E1251" s="98"/>
      <c r="F1251" s="98"/>
      <c r="I1251" s="99">
        <f t="shared" si="271"/>
        <v>0</v>
      </c>
      <c r="L1251" s="99">
        <f t="shared" si="272"/>
        <v>0</v>
      </c>
      <c r="M1251" s="44" t="str">
        <f t="shared" si="274"/>
        <v/>
      </c>
      <c r="N1251" s="100">
        <f t="shared" si="275"/>
        <v>0</v>
      </c>
      <c r="O1251" s="101">
        <f t="shared" si="276"/>
        <v>0</v>
      </c>
      <c r="P1251" s="52">
        <f t="shared" si="277"/>
        <v>0</v>
      </c>
      <c r="Q1251" s="49">
        <v>116.88487613461319</v>
      </c>
      <c r="R1251">
        <v>2225</v>
      </c>
      <c r="S1251" s="50">
        <f t="shared" si="273"/>
        <v>71535.307499999995</v>
      </c>
      <c r="T1251" s="50">
        <f t="shared" si="278"/>
        <v>0</v>
      </c>
      <c r="U1251" s="58">
        <f t="shared" si="279"/>
        <v>0</v>
      </c>
      <c r="V1251" s="58">
        <f t="shared" si="280"/>
        <v>0</v>
      </c>
      <c r="W1251" s="58">
        <f t="shared" si="281"/>
        <v>0</v>
      </c>
      <c r="X1251" s="58">
        <f t="shared" si="282"/>
        <v>0</v>
      </c>
      <c r="Y1251" s="52">
        <f t="shared" si="283"/>
        <v>0</v>
      </c>
    </row>
    <row r="1252" spans="1:25" x14ac:dyDescent="0.25">
      <c r="A1252" s="1218" t="s">
        <v>178</v>
      </c>
      <c r="B1252" s="98">
        <v>45566</v>
      </c>
      <c r="C1252" s="117" t="str">
        <f t="shared" si="284"/>
        <v>7L</v>
      </c>
      <c r="D1252" s="96"/>
      <c r="I1252" s="99">
        <f t="shared" si="271"/>
        <v>0</v>
      </c>
      <c r="L1252" s="99">
        <f t="shared" si="272"/>
        <v>0</v>
      </c>
      <c r="M1252" s="44" t="str">
        <f t="shared" si="274"/>
        <v/>
      </c>
      <c r="N1252" s="100">
        <f t="shared" si="275"/>
        <v>0</v>
      </c>
      <c r="O1252" s="101">
        <f t="shared" si="276"/>
        <v>0</v>
      </c>
      <c r="P1252" s="52">
        <f t="shared" si="277"/>
        <v>0</v>
      </c>
      <c r="Q1252" s="49">
        <v>116.88487613461319</v>
      </c>
      <c r="R1252">
        <v>2225</v>
      </c>
      <c r="S1252" s="50">
        <f t="shared" si="273"/>
        <v>71535.307499999995</v>
      </c>
      <c r="T1252" s="50">
        <f t="shared" si="278"/>
        <v>0</v>
      </c>
      <c r="U1252" s="58">
        <f t="shared" si="279"/>
        <v>0</v>
      </c>
      <c r="V1252" s="58">
        <f t="shared" si="280"/>
        <v>0</v>
      </c>
      <c r="W1252" s="58">
        <f t="shared" si="281"/>
        <v>0</v>
      </c>
      <c r="X1252" s="58">
        <f t="shared" si="282"/>
        <v>0</v>
      </c>
      <c r="Y1252" s="52">
        <f t="shared" si="283"/>
        <v>0</v>
      </c>
    </row>
    <row r="1253" spans="1:25" x14ac:dyDescent="0.25">
      <c r="A1253" s="1218" t="s">
        <v>179</v>
      </c>
      <c r="B1253" s="98">
        <v>45566</v>
      </c>
      <c r="C1253" s="117" t="str">
        <f t="shared" si="284"/>
        <v>7L</v>
      </c>
      <c r="D1253" s="96"/>
      <c r="I1253" s="99">
        <f t="shared" si="271"/>
        <v>0</v>
      </c>
      <c r="L1253" s="99">
        <f t="shared" si="272"/>
        <v>0</v>
      </c>
      <c r="M1253" s="44" t="str">
        <f t="shared" si="274"/>
        <v/>
      </c>
      <c r="N1253" s="100">
        <f t="shared" si="275"/>
        <v>0</v>
      </c>
      <c r="O1253" s="101">
        <f t="shared" si="276"/>
        <v>0</v>
      </c>
      <c r="P1253" s="52">
        <f t="shared" si="277"/>
        <v>0</v>
      </c>
      <c r="Q1253" s="49">
        <v>116.88487613461319</v>
      </c>
      <c r="R1253">
        <v>2225</v>
      </c>
      <c r="S1253" s="50">
        <f t="shared" si="273"/>
        <v>71535.307499999995</v>
      </c>
      <c r="T1253" s="50">
        <f t="shared" si="278"/>
        <v>0</v>
      </c>
      <c r="U1253" s="58">
        <f t="shared" si="279"/>
        <v>0</v>
      </c>
      <c r="V1253" s="58">
        <f t="shared" si="280"/>
        <v>0</v>
      </c>
      <c r="W1253" s="58">
        <f t="shared" si="281"/>
        <v>0</v>
      </c>
      <c r="X1253" s="58">
        <f t="shared" si="282"/>
        <v>0</v>
      </c>
      <c r="Y1253" s="52">
        <f t="shared" si="283"/>
        <v>0</v>
      </c>
    </row>
    <row r="1254" spans="1:25" x14ac:dyDescent="0.25">
      <c r="A1254" s="1218" t="s">
        <v>180</v>
      </c>
      <c r="B1254" s="98">
        <v>45566</v>
      </c>
      <c r="C1254" s="117" t="str">
        <f t="shared" si="284"/>
        <v>7L</v>
      </c>
      <c r="D1254" s="96"/>
      <c r="I1254" s="99">
        <f t="shared" si="271"/>
        <v>0</v>
      </c>
      <c r="L1254" s="99">
        <f t="shared" si="272"/>
        <v>0</v>
      </c>
      <c r="M1254" s="44" t="str">
        <f t="shared" si="274"/>
        <v/>
      </c>
      <c r="N1254" s="100">
        <f t="shared" si="275"/>
        <v>0</v>
      </c>
      <c r="O1254" s="101">
        <f t="shared" si="276"/>
        <v>0</v>
      </c>
      <c r="P1254" s="52">
        <f t="shared" si="277"/>
        <v>0</v>
      </c>
      <c r="Q1254" s="49">
        <v>116.88487613461319</v>
      </c>
      <c r="R1254">
        <v>2225</v>
      </c>
      <c r="S1254" s="50">
        <f t="shared" si="273"/>
        <v>71535.307499999995</v>
      </c>
      <c r="T1254" s="50">
        <f t="shared" si="278"/>
        <v>0</v>
      </c>
      <c r="U1254" s="58">
        <f t="shared" si="279"/>
        <v>0</v>
      </c>
      <c r="V1254" s="58">
        <f t="shared" si="280"/>
        <v>0</v>
      </c>
      <c r="W1254" s="58">
        <f t="shared" si="281"/>
        <v>0</v>
      </c>
      <c r="X1254" s="58">
        <f t="shared" si="282"/>
        <v>0</v>
      </c>
      <c r="Y1254" s="52">
        <f t="shared" si="283"/>
        <v>0</v>
      </c>
    </row>
    <row r="1255" spans="1:25" x14ac:dyDescent="0.25">
      <c r="A1255" s="1218" t="s">
        <v>181</v>
      </c>
      <c r="B1255" s="98">
        <v>45566</v>
      </c>
      <c r="C1255" s="117" t="str">
        <f t="shared" si="284"/>
        <v>7L</v>
      </c>
      <c r="D1255" s="96"/>
      <c r="I1255" s="99">
        <f t="shared" si="271"/>
        <v>0</v>
      </c>
      <c r="L1255" s="99">
        <f t="shared" si="272"/>
        <v>0</v>
      </c>
      <c r="M1255" s="44" t="str">
        <f t="shared" si="274"/>
        <v/>
      </c>
      <c r="N1255" s="100">
        <f t="shared" si="275"/>
        <v>0</v>
      </c>
      <c r="O1255" s="101">
        <f t="shared" si="276"/>
        <v>0</v>
      </c>
      <c r="P1255" s="52">
        <f t="shared" si="277"/>
        <v>0</v>
      </c>
      <c r="Q1255" s="49">
        <v>116.88487613461319</v>
      </c>
      <c r="R1255">
        <v>2225</v>
      </c>
      <c r="S1255" s="50">
        <f t="shared" si="273"/>
        <v>71535.307499999995</v>
      </c>
      <c r="T1255" s="50">
        <f t="shared" si="278"/>
        <v>0</v>
      </c>
      <c r="U1255" s="58">
        <f t="shared" si="279"/>
        <v>0</v>
      </c>
      <c r="V1255" s="58">
        <f t="shared" si="280"/>
        <v>0</v>
      </c>
      <c r="W1255" s="58">
        <f t="shared" si="281"/>
        <v>0</v>
      </c>
      <c r="X1255" s="58">
        <f t="shared" si="282"/>
        <v>0</v>
      </c>
      <c r="Y1255" s="52">
        <f t="shared" si="283"/>
        <v>0</v>
      </c>
    </row>
    <row r="1256" spans="1:25" x14ac:dyDescent="0.25">
      <c r="A1256" s="1218" t="s">
        <v>182</v>
      </c>
      <c r="B1256" s="98">
        <v>45566</v>
      </c>
      <c r="C1256" s="117" t="str">
        <f t="shared" si="284"/>
        <v>7L</v>
      </c>
      <c r="D1256" s="96"/>
      <c r="I1256" s="99">
        <f t="shared" si="271"/>
        <v>0</v>
      </c>
      <c r="L1256" s="99">
        <f t="shared" si="272"/>
        <v>0</v>
      </c>
      <c r="M1256" s="44" t="str">
        <f t="shared" si="274"/>
        <v/>
      </c>
      <c r="N1256" s="100">
        <f t="shared" si="275"/>
        <v>0</v>
      </c>
      <c r="O1256" s="101">
        <f t="shared" si="276"/>
        <v>0</v>
      </c>
      <c r="P1256" s="52">
        <f t="shared" si="277"/>
        <v>0</v>
      </c>
      <c r="Q1256" s="49">
        <v>116.88487613461319</v>
      </c>
      <c r="R1256">
        <v>2225</v>
      </c>
      <c r="S1256" s="50">
        <f t="shared" si="273"/>
        <v>71535.307499999995</v>
      </c>
      <c r="T1256" s="50">
        <f t="shared" si="278"/>
        <v>0</v>
      </c>
      <c r="U1256" s="58">
        <f t="shared" si="279"/>
        <v>0</v>
      </c>
      <c r="V1256" s="58">
        <f t="shared" si="280"/>
        <v>0</v>
      </c>
      <c r="W1256" s="58">
        <f t="shared" si="281"/>
        <v>0</v>
      </c>
      <c r="X1256" s="58">
        <f t="shared" si="282"/>
        <v>0</v>
      </c>
      <c r="Y1256" s="52">
        <f t="shared" si="283"/>
        <v>0</v>
      </c>
    </row>
    <row r="1257" spans="1:25" x14ac:dyDescent="0.25">
      <c r="A1257" s="1218" t="s">
        <v>183</v>
      </c>
      <c r="B1257" s="98">
        <v>45566</v>
      </c>
      <c r="C1257" s="117" t="str">
        <f t="shared" si="284"/>
        <v>7L</v>
      </c>
      <c r="D1257" s="96"/>
      <c r="I1257" s="99">
        <f t="shared" si="271"/>
        <v>0</v>
      </c>
      <c r="L1257" s="99">
        <f t="shared" si="272"/>
        <v>0</v>
      </c>
      <c r="M1257" s="44" t="str">
        <f t="shared" si="274"/>
        <v/>
      </c>
      <c r="N1257" s="100">
        <f t="shared" si="275"/>
        <v>0</v>
      </c>
      <c r="O1257" s="101">
        <f t="shared" si="276"/>
        <v>0</v>
      </c>
      <c r="P1257" s="52">
        <f t="shared" si="277"/>
        <v>0</v>
      </c>
      <c r="Q1257" s="49">
        <v>116.88487613461319</v>
      </c>
      <c r="R1257">
        <v>2225</v>
      </c>
      <c r="S1257" s="50">
        <f t="shared" si="273"/>
        <v>71535.307499999995</v>
      </c>
      <c r="T1257" s="50">
        <f t="shared" si="278"/>
        <v>0</v>
      </c>
      <c r="U1257" s="58">
        <f t="shared" si="279"/>
        <v>0</v>
      </c>
      <c r="V1257" s="58">
        <f t="shared" si="280"/>
        <v>0</v>
      </c>
      <c r="W1257" s="58">
        <f t="shared" si="281"/>
        <v>0</v>
      </c>
      <c r="X1257" s="58">
        <f t="shared" si="282"/>
        <v>0</v>
      </c>
      <c r="Y1257" s="52">
        <f t="shared" si="283"/>
        <v>0</v>
      </c>
    </row>
    <row r="1258" spans="1:25" x14ac:dyDescent="0.25">
      <c r="A1258" s="1218" t="s">
        <v>184</v>
      </c>
      <c r="B1258" s="98">
        <v>45566</v>
      </c>
      <c r="C1258" s="117" t="str">
        <f t="shared" si="284"/>
        <v>7L</v>
      </c>
      <c r="D1258" s="96"/>
      <c r="I1258" s="99">
        <f t="shared" si="271"/>
        <v>0</v>
      </c>
      <c r="L1258" s="99">
        <f t="shared" si="272"/>
        <v>0</v>
      </c>
      <c r="M1258" s="44" t="str">
        <f t="shared" si="274"/>
        <v/>
      </c>
      <c r="N1258" s="100">
        <f t="shared" si="275"/>
        <v>0</v>
      </c>
      <c r="O1258" s="101">
        <f t="shared" si="276"/>
        <v>0</v>
      </c>
      <c r="P1258" s="52">
        <f t="shared" si="277"/>
        <v>0</v>
      </c>
      <c r="Q1258" s="49">
        <v>116.88487613461319</v>
      </c>
      <c r="R1258">
        <v>2225</v>
      </c>
      <c r="S1258" s="50">
        <f t="shared" si="273"/>
        <v>71535.307499999995</v>
      </c>
      <c r="T1258" s="50">
        <f t="shared" si="278"/>
        <v>0</v>
      </c>
      <c r="U1258" s="58">
        <f t="shared" si="279"/>
        <v>0</v>
      </c>
      <c r="V1258" s="58">
        <f t="shared" si="280"/>
        <v>0</v>
      </c>
      <c r="W1258" s="58">
        <f t="shared" si="281"/>
        <v>0</v>
      </c>
      <c r="X1258" s="58">
        <f t="shared" si="282"/>
        <v>0</v>
      </c>
      <c r="Y1258" s="52">
        <f t="shared" si="283"/>
        <v>0</v>
      </c>
    </row>
    <row r="1259" spans="1:25" x14ac:dyDescent="0.25">
      <c r="A1259" s="1218" t="s">
        <v>185</v>
      </c>
      <c r="B1259" s="98">
        <v>45566</v>
      </c>
      <c r="C1259" s="117" t="str">
        <f t="shared" si="284"/>
        <v>7L</v>
      </c>
      <c r="D1259" s="96"/>
      <c r="I1259" s="99">
        <f t="shared" si="271"/>
        <v>0</v>
      </c>
      <c r="L1259" s="99">
        <f t="shared" si="272"/>
        <v>0</v>
      </c>
      <c r="M1259" s="44" t="str">
        <f t="shared" si="274"/>
        <v/>
      </c>
      <c r="N1259" s="100">
        <f t="shared" si="275"/>
        <v>0</v>
      </c>
      <c r="O1259" s="101">
        <f t="shared" si="276"/>
        <v>0</v>
      </c>
      <c r="P1259" s="52">
        <f t="shared" si="277"/>
        <v>0</v>
      </c>
      <c r="Q1259" s="49">
        <v>116.88487613461319</v>
      </c>
      <c r="R1259">
        <v>2225</v>
      </c>
      <c r="S1259" s="50">
        <f t="shared" si="273"/>
        <v>71535.307499999995</v>
      </c>
      <c r="T1259" s="50">
        <f t="shared" si="278"/>
        <v>0</v>
      </c>
      <c r="U1259" s="58">
        <f t="shared" si="279"/>
        <v>0</v>
      </c>
      <c r="V1259" s="58">
        <f t="shared" si="280"/>
        <v>0</v>
      </c>
      <c r="W1259" s="58">
        <f t="shared" si="281"/>
        <v>0</v>
      </c>
      <c r="X1259" s="58">
        <f t="shared" si="282"/>
        <v>0</v>
      </c>
      <c r="Y1259" s="52">
        <f t="shared" si="283"/>
        <v>0</v>
      </c>
    </row>
    <row r="1260" spans="1:25" x14ac:dyDescent="0.25">
      <c r="A1260" s="1218" t="s">
        <v>186</v>
      </c>
      <c r="B1260" s="98">
        <v>45566</v>
      </c>
      <c r="C1260" s="117" t="str">
        <f t="shared" si="284"/>
        <v>7L</v>
      </c>
      <c r="D1260" s="96"/>
      <c r="I1260" s="99">
        <f t="shared" si="271"/>
        <v>0</v>
      </c>
      <c r="L1260" s="99">
        <f t="shared" si="272"/>
        <v>0</v>
      </c>
      <c r="M1260" s="44" t="str">
        <f t="shared" si="274"/>
        <v/>
      </c>
      <c r="N1260" s="100">
        <f t="shared" si="275"/>
        <v>0</v>
      </c>
      <c r="O1260" s="101">
        <f t="shared" si="276"/>
        <v>0</v>
      </c>
      <c r="P1260" s="52">
        <f t="shared" si="277"/>
        <v>0</v>
      </c>
      <c r="Q1260" s="49">
        <v>116.88487613461319</v>
      </c>
      <c r="R1260">
        <v>2225</v>
      </c>
      <c r="S1260" s="50">
        <f t="shared" si="273"/>
        <v>71535.307499999995</v>
      </c>
      <c r="T1260" s="50">
        <f t="shared" si="278"/>
        <v>0</v>
      </c>
      <c r="U1260" s="58">
        <f t="shared" si="279"/>
        <v>0</v>
      </c>
      <c r="V1260" s="58">
        <f t="shared" si="280"/>
        <v>0</v>
      </c>
      <c r="W1260" s="58">
        <f t="shared" si="281"/>
        <v>0</v>
      </c>
      <c r="X1260" s="58">
        <f t="shared" si="282"/>
        <v>0</v>
      </c>
      <c r="Y1260" s="52">
        <f t="shared" si="283"/>
        <v>0</v>
      </c>
    </row>
    <row r="1261" spans="1:25" x14ac:dyDescent="0.25">
      <c r="A1261" s="1218" t="s">
        <v>187</v>
      </c>
      <c r="B1261" s="98">
        <v>45566</v>
      </c>
      <c r="C1261" s="117" t="str">
        <f t="shared" si="284"/>
        <v>7L</v>
      </c>
      <c r="D1261" s="96"/>
      <c r="I1261" s="99">
        <f t="shared" si="271"/>
        <v>0</v>
      </c>
      <c r="L1261" s="99">
        <f t="shared" si="272"/>
        <v>0</v>
      </c>
      <c r="M1261" s="44" t="str">
        <f t="shared" si="274"/>
        <v/>
      </c>
      <c r="N1261" s="100">
        <f t="shared" si="275"/>
        <v>0</v>
      </c>
      <c r="O1261" s="101">
        <f t="shared" si="276"/>
        <v>0</v>
      </c>
      <c r="P1261" s="52">
        <f t="shared" si="277"/>
        <v>0</v>
      </c>
      <c r="Q1261" s="49">
        <v>116.88487613461319</v>
      </c>
      <c r="R1261">
        <v>2225</v>
      </c>
      <c r="S1261" s="50">
        <f t="shared" si="273"/>
        <v>71535.307499999995</v>
      </c>
      <c r="T1261" s="50">
        <f t="shared" si="278"/>
        <v>0</v>
      </c>
      <c r="U1261" s="58">
        <f t="shared" si="279"/>
        <v>0</v>
      </c>
      <c r="V1261" s="58">
        <f t="shared" si="280"/>
        <v>0</v>
      </c>
      <c r="W1261" s="58">
        <f t="shared" si="281"/>
        <v>0</v>
      </c>
      <c r="X1261" s="58">
        <f t="shared" si="282"/>
        <v>0</v>
      </c>
      <c r="Y1261" s="52">
        <f t="shared" si="283"/>
        <v>0</v>
      </c>
    </row>
    <row r="1262" spans="1:25" x14ac:dyDescent="0.25">
      <c r="A1262" s="1218" t="s">
        <v>188</v>
      </c>
      <c r="B1262" s="98">
        <v>45566</v>
      </c>
      <c r="C1262" s="117" t="str">
        <f t="shared" si="284"/>
        <v>7L</v>
      </c>
      <c r="D1262" s="96"/>
      <c r="I1262" s="99">
        <f t="shared" si="271"/>
        <v>0</v>
      </c>
      <c r="L1262" s="99">
        <f t="shared" si="272"/>
        <v>0</v>
      </c>
      <c r="M1262" s="44" t="str">
        <f t="shared" si="274"/>
        <v/>
      </c>
      <c r="N1262" s="100">
        <f t="shared" si="275"/>
        <v>0</v>
      </c>
      <c r="O1262" s="101">
        <f t="shared" si="276"/>
        <v>0</v>
      </c>
      <c r="P1262" s="52">
        <f t="shared" si="277"/>
        <v>0</v>
      </c>
      <c r="Q1262" s="49">
        <v>116.88487613461319</v>
      </c>
      <c r="R1262">
        <v>2225</v>
      </c>
      <c r="S1262" s="50">
        <f t="shared" si="273"/>
        <v>71535.307499999995</v>
      </c>
      <c r="T1262" s="50">
        <f t="shared" si="278"/>
        <v>0</v>
      </c>
      <c r="U1262" s="58">
        <f t="shared" si="279"/>
        <v>0</v>
      </c>
      <c r="V1262" s="58">
        <f t="shared" si="280"/>
        <v>0</v>
      </c>
      <c r="W1262" s="58">
        <f t="shared" si="281"/>
        <v>0</v>
      </c>
      <c r="X1262" s="58">
        <f t="shared" si="282"/>
        <v>0</v>
      </c>
      <c r="Y1262" s="52">
        <f t="shared" si="283"/>
        <v>0</v>
      </c>
    </row>
    <row r="1263" spans="1:25" x14ac:dyDescent="0.25">
      <c r="A1263" s="1218" t="s">
        <v>189</v>
      </c>
      <c r="B1263" s="98">
        <v>45566</v>
      </c>
      <c r="C1263" s="117" t="str">
        <f t="shared" si="284"/>
        <v>7L</v>
      </c>
      <c r="D1263" s="96"/>
      <c r="I1263" s="99">
        <f t="shared" si="271"/>
        <v>0</v>
      </c>
      <c r="L1263" s="99">
        <f t="shared" si="272"/>
        <v>0</v>
      </c>
      <c r="M1263" s="44" t="str">
        <f t="shared" si="274"/>
        <v/>
      </c>
      <c r="N1263" s="100">
        <f t="shared" si="275"/>
        <v>0</v>
      </c>
      <c r="O1263" s="101">
        <f t="shared" si="276"/>
        <v>0</v>
      </c>
      <c r="P1263" s="52">
        <f t="shared" si="277"/>
        <v>0</v>
      </c>
      <c r="Q1263" s="49">
        <v>116.88487613461319</v>
      </c>
      <c r="R1263">
        <v>2225</v>
      </c>
      <c r="S1263" s="50">
        <f t="shared" si="273"/>
        <v>71535.307499999995</v>
      </c>
      <c r="T1263" s="50">
        <f t="shared" si="278"/>
        <v>0</v>
      </c>
      <c r="U1263" s="58">
        <f t="shared" si="279"/>
        <v>0</v>
      </c>
      <c r="V1263" s="58">
        <f t="shared" si="280"/>
        <v>0</v>
      </c>
      <c r="W1263" s="58">
        <f t="shared" si="281"/>
        <v>0</v>
      </c>
      <c r="X1263" s="58">
        <f t="shared" si="282"/>
        <v>0</v>
      </c>
      <c r="Y1263" s="52">
        <f t="shared" si="283"/>
        <v>0</v>
      </c>
    </row>
    <row r="1264" spans="1:25" x14ac:dyDescent="0.25">
      <c r="A1264" s="1218" t="s">
        <v>190</v>
      </c>
      <c r="B1264" s="98">
        <v>45566</v>
      </c>
      <c r="C1264" s="117" t="str">
        <f t="shared" si="284"/>
        <v>8L</v>
      </c>
      <c r="D1264" s="96"/>
      <c r="I1264" s="99">
        <f t="shared" si="271"/>
        <v>0</v>
      </c>
      <c r="L1264" s="99">
        <f t="shared" si="272"/>
        <v>0</v>
      </c>
      <c r="M1264" s="44" t="str">
        <f t="shared" si="274"/>
        <v/>
      </c>
      <c r="N1264" s="100">
        <f t="shared" si="275"/>
        <v>0</v>
      </c>
      <c r="O1264" s="101">
        <f t="shared" si="276"/>
        <v>0</v>
      </c>
      <c r="P1264" s="52">
        <f t="shared" si="277"/>
        <v>0</v>
      </c>
      <c r="Q1264" s="49">
        <v>116.88487613461319</v>
      </c>
      <c r="R1264">
        <v>2225</v>
      </c>
      <c r="S1264" s="50">
        <f t="shared" si="273"/>
        <v>71535.307499999995</v>
      </c>
      <c r="T1264" s="50">
        <f t="shared" si="278"/>
        <v>0</v>
      </c>
      <c r="U1264" s="58">
        <f t="shared" si="279"/>
        <v>0</v>
      </c>
      <c r="V1264" s="58">
        <f t="shared" si="280"/>
        <v>0</v>
      </c>
      <c r="W1264" s="58">
        <f t="shared" si="281"/>
        <v>0</v>
      </c>
      <c r="X1264" s="58">
        <f t="shared" si="282"/>
        <v>0</v>
      </c>
      <c r="Y1264" s="52">
        <f t="shared" si="283"/>
        <v>0</v>
      </c>
    </row>
    <row r="1265" spans="1:25" x14ac:dyDescent="0.25">
      <c r="A1265" s="1218" t="s">
        <v>191</v>
      </c>
      <c r="B1265" s="98">
        <v>45566</v>
      </c>
      <c r="C1265" s="117" t="str">
        <f t="shared" si="284"/>
        <v>8L</v>
      </c>
      <c r="D1265" s="96"/>
      <c r="I1265" s="99">
        <f t="shared" si="271"/>
        <v>0</v>
      </c>
      <c r="L1265" s="99">
        <f t="shared" si="272"/>
        <v>0</v>
      </c>
      <c r="M1265" s="44" t="str">
        <f t="shared" si="274"/>
        <v/>
      </c>
      <c r="N1265" s="100">
        <f t="shared" si="275"/>
        <v>0</v>
      </c>
      <c r="O1265" s="101">
        <f t="shared" si="276"/>
        <v>0</v>
      </c>
      <c r="P1265" s="52">
        <f t="shared" si="277"/>
        <v>0</v>
      </c>
      <c r="Q1265" s="49">
        <v>116.88487613461319</v>
      </c>
      <c r="R1265">
        <v>2225</v>
      </c>
      <c r="S1265" s="50">
        <f t="shared" si="273"/>
        <v>71535.307499999995</v>
      </c>
      <c r="T1265" s="50">
        <f t="shared" si="278"/>
        <v>0</v>
      </c>
      <c r="U1265" s="58">
        <f t="shared" si="279"/>
        <v>0</v>
      </c>
      <c r="V1265" s="58">
        <f t="shared" si="280"/>
        <v>0</v>
      </c>
      <c r="W1265" s="58">
        <f t="shared" si="281"/>
        <v>0</v>
      </c>
      <c r="X1265" s="58">
        <f t="shared" si="282"/>
        <v>0</v>
      </c>
      <c r="Y1265" s="52">
        <f t="shared" si="283"/>
        <v>0</v>
      </c>
    </row>
    <row r="1266" spans="1:25" x14ac:dyDescent="0.25">
      <c r="A1266" s="1218" t="s">
        <v>192</v>
      </c>
      <c r="B1266" s="98">
        <v>45566</v>
      </c>
      <c r="C1266" s="117" t="str">
        <f t="shared" si="284"/>
        <v>8L</v>
      </c>
      <c r="D1266" s="96"/>
      <c r="I1266" s="99">
        <f t="shared" si="271"/>
        <v>0</v>
      </c>
      <c r="L1266" s="99">
        <f t="shared" si="272"/>
        <v>0</v>
      </c>
      <c r="M1266" s="44" t="str">
        <f t="shared" si="274"/>
        <v/>
      </c>
      <c r="N1266" s="100">
        <f t="shared" si="275"/>
        <v>0</v>
      </c>
      <c r="O1266" s="101">
        <f t="shared" si="276"/>
        <v>0</v>
      </c>
      <c r="P1266" s="52">
        <f t="shared" si="277"/>
        <v>0</v>
      </c>
      <c r="Q1266" s="49">
        <v>116.88487613461319</v>
      </c>
      <c r="R1266">
        <v>2225</v>
      </c>
      <c r="S1266" s="50">
        <f t="shared" si="273"/>
        <v>71535.307499999995</v>
      </c>
      <c r="T1266" s="50">
        <f t="shared" si="278"/>
        <v>0</v>
      </c>
      <c r="U1266" s="58">
        <f t="shared" si="279"/>
        <v>0</v>
      </c>
      <c r="V1266" s="58">
        <f t="shared" si="280"/>
        <v>0</v>
      </c>
      <c r="W1266" s="58">
        <f t="shared" si="281"/>
        <v>0</v>
      </c>
      <c r="X1266" s="58">
        <f t="shared" si="282"/>
        <v>0</v>
      </c>
      <c r="Y1266" s="52">
        <f t="shared" si="283"/>
        <v>0</v>
      </c>
    </row>
    <row r="1267" spans="1:25" x14ac:dyDescent="0.25">
      <c r="A1267" s="1218" t="s">
        <v>193</v>
      </c>
      <c r="B1267" s="98">
        <v>45566</v>
      </c>
      <c r="C1267" s="117" t="str">
        <f t="shared" si="284"/>
        <v>8L</v>
      </c>
      <c r="D1267" s="96"/>
      <c r="I1267" s="99">
        <f t="shared" si="271"/>
        <v>0</v>
      </c>
      <c r="L1267" s="99">
        <f t="shared" si="272"/>
        <v>0</v>
      </c>
      <c r="M1267" s="44" t="str">
        <f t="shared" si="274"/>
        <v/>
      </c>
      <c r="N1267" s="100">
        <f t="shared" si="275"/>
        <v>0</v>
      </c>
      <c r="O1267" s="101">
        <f t="shared" si="276"/>
        <v>0</v>
      </c>
      <c r="P1267" s="52">
        <f t="shared" si="277"/>
        <v>0</v>
      </c>
      <c r="Q1267" s="49">
        <v>116.88487613461319</v>
      </c>
      <c r="R1267">
        <v>2225</v>
      </c>
      <c r="S1267" s="50">
        <f t="shared" si="273"/>
        <v>71535.307499999995</v>
      </c>
      <c r="T1267" s="50">
        <f t="shared" si="278"/>
        <v>0</v>
      </c>
      <c r="U1267" s="58">
        <f t="shared" si="279"/>
        <v>0</v>
      </c>
      <c r="V1267" s="58">
        <f t="shared" si="280"/>
        <v>0</v>
      </c>
      <c r="W1267" s="58">
        <f t="shared" si="281"/>
        <v>0</v>
      </c>
      <c r="X1267" s="58">
        <f t="shared" si="282"/>
        <v>0</v>
      </c>
      <c r="Y1267" s="52">
        <f t="shared" si="283"/>
        <v>0</v>
      </c>
    </row>
    <row r="1268" spans="1:25" x14ac:dyDescent="0.25">
      <c r="A1268" s="1218" t="s">
        <v>194</v>
      </c>
      <c r="B1268" s="98">
        <v>45566</v>
      </c>
      <c r="C1268" s="117" t="str">
        <f t="shared" si="284"/>
        <v>8L</v>
      </c>
      <c r="D1268" s="96"/>
      <c r="I1268" s="99">
        <f t="shared" ref="I1268:I1334" si="285">IFERROR(G1268*H1268/1000,"")</f>
        <v>0</v>
      </c>
      <c r="L1268" s="99">
        <f t="shared" ref="L1268:L1334" si="286">IFERROR(J1268*K1268/1000,"")</f>
        <v>0</v>
      </c>
      <c r="M1268" s="44" t="str">
        <f t="shared" si="274"/>
        <v/>
      </c>
      <c r="N1268" s="100">
        <f t="shared" si="275"/>
        <v>0</v>
      </c>
      <c r="O1268" s="101">
        <f t="shared" si="276"/>
        <v>0</v>
      </c>
      <c r="P1268" s="52">
        <f t="shared" si="277"/>
        <v>0</v>
      </c>
      <c r="Q1268" s="49">
        <v>116.88487613461319</v>
      </c>
      <c r="R1268">
        <v>2225</v>
      </c>
      <c r="S1268" s="50">
        <f t="shared" ref="S1268:S1334" si="287">R1268*32.1507</f>
        <v>71535.307499999995</v>
      </c>
      <c r="T1268" s="50">
        <f t="shared" si="278"/>
        <v>0</v>
      </c>
      <c r="U1268" s="58">
        <f t="shared" si="279"/>
        <v>0</v>
      </c>
      <c r="V1268" s="58">
        <f t="shared" si="280"/>
        <v>0</v>
      </c>
      <c r="W1268" s="58">
        <f t="shared" si="281"/>
        <v>0</v>
      </c>
      <c r="X1268" s="58">
        <f t="shared" si="282"/>
        <v>0</v>
      </c>
      <c r="Y1268" s="52">
        <f t="shared" si="283"/>
        <v>0</v>
      </c>
    </row>
    <row r="1269" spans="1:25" x14ac:dyDescent="0.25">
      <c r="A1269" s="1218" t="s">
        <v>195</v>
      </c>
      <c r="B1269" s="98">
        <v>45566</v>
      </c>
      <c r="C1269" s="117" t="str">
        <f t="shared" si="284"/>
        <v>8L</v>
      </c>
      <c r="D1269" s="96"/>
      <c r="I1269" s="99">
        <f t="shared" si="285"/>
        <v>0</v>
      </c>
      <c r="L1269" s="99">
        <f t="shared" si="286"/>
        <v>0</v>
      </c>
      <c r="M1269" s="44" t="str">
        <f t="shared" si="274"/>
        <v/>
      </c>
      <c r="N1269" s="100">
        <f t="shared" si="275"/>
        <v>0</v>
      </c>
      <c r="O1269" s="101">
        <f t="shared" si="276"/>
        <v>0</v>
      </c>
      <c r="P1269" s="52">
        <f t="shared" si="277"/>
        <v>0</v>
      </c>
      <c r="Q1269" s="49">
        <v>116.88487613461319</v>
      </c>
      <c r="R1269">
        <v>2225</v>
      </c>
      <c r="S1269" s="50">
        <f t="shared" si="287"/>
        <v>71535.307499999995</v>
      </c>
      <c r="T1269" s="50">
        <f t="shared" si="278"/>
        <v>0</v>
      </c>
      <c r="U1269" s="58">
        <f t="shared" si="279"/>
        <v>0</v>
      </c>
      <c r="V1269" s="58">
        <f t="shared" si="280"/>
        <v>0</v>
      </c>
      <c r="W1269" s="58">
        <f t="shared" si="281"/>
        <v>0</v>
      </c>
      <c r="X1269" s="58">
        <f t="shared" si="282"/>
        <v>0</v>
      </c>
      <c r="Y1269" s="52">
        <f t="shared" si="283"/>
        <v>0</v>
      </c>
    </row>
    <row r="1270" spans="1:25" x14ac:dyDescent="0.25">
      <c r="A1270" s="1218" t="s">
        <v>196</v>
      </c>
      <c r="B1270" s="98">
        <v>45566</v>
      </c>
      <c r="C1270" s="117" t="str">
        <f t="shared" si="284"/>
        <v>8L</v>
      </c>
      <c r="D1270" s="96"/>
      <c r="I1270" s="99">
        <f t="shared" si="285"/>
        <v>0</v>
      </c>
      <c r="L1270" s="99">
        <f t="shared" si="286"/>
        <v>0</v>
      </c>
      <c r="M1270" s="44" t="str">
        <f t="shared" ref="M1270:M1336" si="288">IFERROR((L1270-I1270)/I1270,"")</f>
        <v/>
      </c>
      <c r="N1270" s="100">
        <f t="shared" ref="N1270:N1336" si="289">J1270-G1270</f>
        <v>0</v>
      </c>
      <c r="O1270" s="101">
        <f t="shared" ref="O1270:O1336" si="290">L1270-I1270</f>
        <v>0</v>
      </c>
      <c r="P1270" s="52">
        <f t="shared" ref="P1270:P1336" si="291">U1270-W1270</f>
        <v>0</v>
      </c>
      <c r="Q1270" s="49">
        <v>116.88487613461319</v>
      </c>
      <c r="R1270">
        <v>2225</v>
      </c>
      <c r="S1270" s="50">
        <f t="shared" si="287"/>
        <v>71535.307499999995</v>
      </c>
      <c r="T1270" s="50">
        <f t="shared" ref="T1270:T1336" si="292">IFERROR(S1270*I1270,"")</f>
        <v>0</v>
      </c>
      <c r="U1270" s="58">
        <f t="shared" ref="U1270:U1336" si="293">IFERROR(S1270*L1270,"")</f>
        <v>0</v>
      </c>
      <c r="V1270" s="58">
        <f t="shared" ref="V1270:V1336" si="294">IFERROR(Q1270*G1270,"")</f>
        <v>0</v>
      </c>
      <c r="W1270" s="58">
        <f t="shared" ref="W1270:W1336" si="295">IFERROR(Q1270*J1270,"")</f>
        <v>0</v>
      </c>
      <c r="X1270" s="58">
        <f t="shared" ref="X1270:X1336" si="296">T1270-V1270</f>
        <v>0</v>
      </c>
      <c r="Y1270" s="52">
        <f t="shared" ref="Y1270:Y1336" si="297">U1270-W1270</f>
        <v>0</v>
      </c>
    </row>
    <row r="1271" spans="1:25" x14ac:dyDescent="0.25">
      <c r="A1271" s="1218" t="s">
        <v>197</v>
      </c>
      <c r="B1271" s="98">
        <v>45566</v>
      </c>
      <c r="C1271" s="117" t="str">
        <f t="shared" si="284"/>
        <v>8L</v>
      </c>
      <c r="D1271" s="96"/>
      <c r="I1271" s="99">
        <f t="shared" si="285"/>
        <v>0</v>
      </c>
      <c r="L1271" s="99">
        <f t="shared" si="286"/>
        <v>0</v>
      </c>
      <c r="M1271" s="44" t="str">
        <f t="shared" si="288"/>
        <v/>
      </c>
      <c r="N1271" s="100">
        <f t="shared" si="289"/>
        <v>0</v>
      </c>
      <c r="O1271" s="101">
        <f t="shared" si="290"/>
        <v>0</v>
      </c>
      <c r="P1271" s="52">
        <f t="shared" si="291"/>
        <v>0</v>
      </c>
      <c r="Q1271" s="49">
        <v>116.88487613461319</v>
      </c>
      <c r="R1271">
        <v>2225</v>
      </c>
      <c r="S1271" s="50">
        <f t="shared" si="287"/>
        <v>71535.307499999995</v>
      </c>
      <c r="T1271" s="50">
        <f t="shared" si="292"/>
        <v>0</v>
      </c>
      <c r="U1271" s="58">
        <f t="shared" si="293"/>
        <v>0</v>
      </c>
      <c r="V1271" s="58">
        <f t="shared" si="294"/>
        <v>0</v>
      </c>
      <c r="W1271" s="58">
        <f t="shared" si="295"/>
        <v>0</v>
      </c>
      <c r="X1271" s="58">
        <f t="shared" si="296"/>
        <v>0</v>
      </c>
      <c r="Y1271" s="52">
        <f t="shared" si="297"/>
        <v>0</v>
      </c>
    </row>
    <row r="1272" spans="1:25" x14ac:dyDescent="0.25">
      <c r="A1272" s="1218" t="s">
        <v>198</v>
      </c>
      <c r="B1272" s="98">
        <v>45566</v>
      </c>
      <c r="C1272" s="117" t="str">
        <f t="shared" si="284"/>
        <v>8L</v>
      </c>
      <c r="D1272" s="96"/>
      <c r="I1272" s="99">
        <f t="shared" si="285"/>
        <v>0</v>
      </c>
      <c r="L1272" s="99">
        <f t="shared" si="286"/>
        <v>0</v>
      </c>
      <c r="M1272" s="44" t="str">
        <f t="shared" si="288"/>
        <v/>
      </c>
      <c r="N1272" s="100">
        <f t="shared" si="289"/>
        <v>0</v>
      </c>
      <c r="O1272" s="101">
        <f t="shared" si="290"/>
        <v>0</v>
      </c>
      <c r="P1272" s="52">
        <f t="shared" si="291"/>
        <v>0</v>
      </c>
      <c r="Q1272" s="49">
        <v>116.88487613461319</v>
      </c>
      <c r="R1272">
        <v>2225</v>
      </c>
      <c r="S1272" s="50">
        <f t="shared" si="287"/>
        <v>71535.307499999995</v>
      </c>
      <c r="T1272" s="50">
        <f t="shared" si="292"/>
        <v>0</v>
      </c>
      <c r="U1272" s="58">
        <f t="shared" si="293"/>
        <v>0</v>
      </c>
      <c r="V1272" s="58">
        <f t="shared" si="294"/>
        <v>0</v>
      </c>
      <c r="W1272" s="58">
        <f t="shared" si="295"/>
        <v>0</v>
      </c>
      <c r="X1272" s="58">
        <f t="shared" si="296"/>
        <v>0</v>
      </c>
      <c r="Y1272" s="52">
        <f t="shared" si="297"/>
        <v>0</v>
      </c>
    </row>
    <row r="1273" spans="1:25" x14ac:dyDescent="0.25">
      <c r="A1273" s="1218" t="s">
        <v>199</v>
      </c>
      <c r="B1273" s="98">
        <v>45566</v>
      </c>
      <c r="C1273" s="117" t="str">
        <f t="shared" si="284"/>
        <v>8L</v>
      </c>
      <c r="D1273" s="96"/>
      <c r="I1273" s="99">
        <f t="shared" si="285"/>
        <v>0</v>
      </c>
      <c r="L1273" s="99">
        <f t="shared" si="286"/>
        <v>0</v>
      </c>
      <c r="M1273" s="44" t="str">
        <f t="shared" si="288"/>
        <v/>
      </c>
      <c r="N1273" s="100">
        <f t="shared" si="289"/>
        <v>0</v>
      </c>
      <c r="O1273" s="101">
        <f t="shared" si="290"/>
        <v>0</v>
      </c>
      <c r="P1273" s="52">
        <f t="shared" si="291"/>
        <v>0</v>
      </c>
      <c r="Q1273" s="49">
        <v>116.88487613461319</v>
      </c>
      <c r="R1273">
        <v>2225</v>
      </c>
      <c r="S1273" s="50">
        <f t="shared" si="287"/>
        <v>71535.307499999995</v>
      </c>
      <c r="T1273" s="50">
        <f t="shared" si="292"/>
        <v>0</v>
      </c>
      <c r="U1273" s="58">
        <f t="shared" si="293"/>
        <v>0</v>
      </c>
      <c r="V1273" s="58">
        <f t="shared" si="294"/>
        <v>0</v>
      </c>
      <c r="W1273" s="58">
        <f t="shared" si="295"/>
        <v>0</v>
      </c>
      <c r="X1273" s="58">
        <f t="shared" si="296"/>
        <v>0</v>
      </c>
      <c r="Y1273" s="52">
        <f t="shared" si="297"/>
        <v>0</v>
      </c>
    </row>
    <row r="1274" spans="1:25" x14ac:dyDescent="0.25">
      <c r="A1274" s="1218" t="s">
        <v>200</v>
      </c>
      <c r="B1274" s="98">
        <v>45566</v>
      </c>
      <c r="C1274" s="117" t="str">
        <f t="shared" si="284"/>
        <v>8L</v>
      </c>
      <c r="D1274" s="96"/>
      <c r="I1274" s="99">
        <f t="shared" si="285"/>
        <v>0</v>
      </c>
      <c r="L1274" s="99">
        <f t="shared" si="286"/>
        <v>0</v>
      </c>
      <c r="M1274" s="44" t="str">
        <f t="shared" si="288"/>
        <v/>
      </c>
      <c r="N1274" s="100">
        <f t="shared" si="289"/>
        <v>0</v>
      </c>
      <c r="O1274" s="101">
        <f t="shared" si="290"/>
        <v>0</v>
      </c>
      <c r="P1274" s="52">
        <f t="shared" si="291"/>
        <v>0</v>
      </c>
      <c r="Q1274" s="49">
        <v>116.88487613461319</v>
      </c>
      <c r="R1274">
        <v>2225</v>
      </c>
      <c r="S1274" s="50">
        <f t="shared" si="287"/>
        <v>71535.307499999995</v>
      </c>
      <c r="T1274" s="50">
        <f t="shared" si="292"/>
        <v>0</v>
      </c>
      <c r="U1274" s="58">
        <f t="shared" si="293"/>
        <v>0</v>
      </c>
      <c r="V1274" s="58">
        <f t="shared" si="294"/>
        <v>0</v>
      </c>
      <c r="W1274" s="58">
        <f t="shared" si="295"/>
        <v>0</v>
      </c>
      <c r="X1274" s="58">
        <f t="shared" si="296"/>
        <v>0</v>
      </c>
      <c r="Y1274" s="52">
        <f t="shared" si="297"/>
        <v>0</v>
      </c>
    </row>
    <row r="1275" spans="1:25" x14ac:dyDescent="0.25">
      <c r="A1275" s="1218" t="s">
        <v>201</v>
      </c>
      <c r="B1275" s="98">
        <v>45566</v>
      </c>
      <c r="C1275" s="117" t="str">
        <f t="shared" si="284"/>
        <v>8L</v>
      </c>
      <c r="D1275" s="96"/>
      <c r="I1275" s="99">
        <f t="shared" si="285"/>
        <v>0</v>
      </c>
      <c r="L1275" s="99">
        <f t="shared" si="286"/>
        <v>0</v>
      </c>
      <c r="M1275" s="44" t="str">
        <f t="shared" si="288"/>
        <v/>
      </c>
      <c r="N1275" s="100">
        <f t="shared" si="289"/>
        <v>0</v>
      </c>
      <c r="O1275" s="101">
        <f t="shared" si="290"/>
        <v>0</v>
      </c>
      <c r="P1275" s="52">
        <f t="shared" si="291"/>
        <v>0</v>
      </c>
      <c r="Q1275" s="49">
        <v>116.88487613461319</v>
      </c>
      <c r="R1275">
        <v>2225</v>
      </c>
      <c r="S1275" s="50">
        <f t="shared" si="287"/>
        <v>71535.307499999995</v>
      </c>
      <c r="T1275" s="50">
        <f t="shared" si="292"/>
        <v>0</v>
      </c>
      <c r="U1275" s="58">
        <f t="shared" si="293"/>
        <v>0</v>
      </c>
      <c r="V1275" s="58">
        <f t="shared" si="294"/>
        <v>0</v>
      </c>
      <c r="W1275" s="58">
        <f t="shared" si="295"/>
        <v>0</v>
      </c>
      <c r="X1275" s="58">
        <f t="shared" si="296"/>
        <v>0</v>
      </c>
      <c r="Y1275" s="52">
        <f t="shared" si="297"/>
        <v>0</v>
      </c>
    </row>
    <row r="1276" spans="1:25" x14ac:dyDescent="0.25">
      <c r="A1276" s="1218" t="s">
        <v>202</v>
      </c>
      <c r="B1276" s="98">
        <v>45566</v>
      </c>
      <c r="C1276" s="117" t="str">
        <f t="shared" si="284"/>
        <v>8L</v>
      </c>
      <c r="D1276" s="96"/>
      <c r="I1276" s="99">
        <f t="shared" si="285"/>
        <v>0</v>
      </c>
      <c r="L1276" s="99">
        <f t="shared" si="286"/>
        <v>0</v>
      </c>
      <c r="M1276" s="44" t="str">
        <f t="shared" si="288"/>
        <v/>
      </c>
      <c r="N1276" s="100">
        <f t="shared" si="289"/>
        <v>0</v>
      </c>
      <c r="O1276" s="101">
        <f t="shared" si="290"/>
        <v>0</v>
      </c>
      <c r="P1276" s="52">
        <f t="shared" si="291"/>
        <v>0</v>
      </c>
      <c r="Q1276" s="49">
        <v>116.88487613461319</v>
      </c>
      <c r="R1276">
        <v>2225</v>
      </c>
      <c r="S1276" s="50">
        <f t="shared" si="287"/>
        <v>71535.307499999995</v>
      </c>
      <c r="T1276" s="50">
        <f t="shared" si="292"/>
        <v>0</v>
      </c>
      <c r="U1276" s="58">
        <f t="shared" si="293"/>
        <v>0</v>
      </c>
      <c r="V1276" s="58">
        <f t="shared" si="294"/>
        <v>0</v>
      </c>
      <c r="W1276" s="58">
        <f t="shared" si="295"/>
        <v>0</v>
      </c>
      <c r="X1276" s="58">
        <f t="shared" si="296"/>
        <v>0</v>
      </c>
      <c r="Y1276" s="52">
        <f t="shared" si="297"/>
        <v>0</v>
      </c>
    </row>
    <row r="1277" spans="1:25" x14ac:dyDescent="0.25">
      <c r="A1277" s="1218" t="s">
        <v>203</v>
      </c>
      <c r="B1277" s="98">
        <v>45566</v>
      </c>
      <c r="C1277" s="117" t="str">
        <f t="shared" si="284"/>
        <v>8L</v>
      </c>
      <c r="D1277" s="96"/>
      <c r="I1277" s="99">
        <f t="shared" si="285"/>
        <v>0</v>
      </c>
      <c r="L1277" s="99">
        <f t="shared" si="286"/>
        <v>0</v>
      </c>
      <c r="M1277" s="44" t="str">
        <f t="shared" si="288"/>
        <v/>
      </c>
      <c r="N1277" s="100">
        <f t="shared" si="289"/>
        <v>0</v>
      </c>
      <c r="O1277" s="101">
        <f t="shared" si="290"/>
        <v>0</v>
      </c>
      <c r="P1277" s="52">
        <f t="shared" si="291"/>
        <v>0</v>
      </c>
      <c r="Q1277" s="49">
        <v>116.88487613461319</v>
      </c>
      <c r="R1277">
        <v>2225</v>
      </c>
      <c r="S1277" s="50">
        <f t="shared" si="287"/>
        <v>71535.307499999995</v>
      </c>
      <c r="T1277" s="50">
        <f t="shared" si="292"/>
        <v>0</v>
      </c>
      <c r="U1277" s="58">
        <f t="shared" si="293"/>
        <v>0</v>
      </c>
      <c r="V1277" s="58">
        <f t="shared" si="294"/>
        <v>0</v>
      </c>
      <c r="W1277" s="58">
        <f t="shared" si="295"/>
        <v>0</v>
      </c>
      <c r="X1277" s="58">
        <f t="shared" si="296"/>
        <v>0</v>
      </c>
      <c r="Y1277" s="52">
        <f t="shared" si="297"/>
        <v>0</v>
      </c>
    </row>
    <row r="1278" spans="1:25" x14ac:dyDescent="0.25">
      <c r="A1278" s="1218" t="s">
        <v>204</v>
      </c>
      <c r="B1278" s="98">
        <v>45566</v>
      </c>
      <c r="C1278" s="117" t="str">
        <f t="shared" si="284"/>
        <v>8L</v>
      </c>
      <c r="D1278" s="96"/>
      <c r="I1278" s="99">
        <f t="shared" si="285"/>
        <v>0</v>
      </c>
      <c r="L1278" s="99">
        <f t="shared" si="286"/>
        <v>0</v>
      </c>
      <c r="M1278" s="44" t="str">
        <f t="shared" si="288"/>
        <v/>
      </c>
      <c r="N1278" s="100">
        <f t="shared" si="289"/>
        <v>0</v>
      </c>
      <c r="O1278" s="101">
        <f t="shared" si="290"/>
        <v>0</v>
      </c>
      <c r="P1278" s="52">
        <f t="shared" si="291"/>
        <v>0</v>
      </c>
      <c r="Q1278" s="49">
        <v>116.88487613461319</v>
      </c>
      <c r="R1278">
        <v>2225</v>
      </c>
      <c r="S1278" s="50">
        <f t="shared" si="287"/>
        <v>71535.307499999995</v>
      </c>
      <c r="T1278" s="50">
        <f t="shared" si="292"/>
        <v>0</v>
      </c>
      <c r="U1278" s="58">
        <f t="shared" si="293"/>
        <v>0</v>
      </c>
      <c r="V1278" s="58">
        <f t="shared" si="294"/>
        <v>0</v>
      </c>
      <c r="W1278" s="58">
        <f t="shared" si="295"/>
        <v>0</v>
      </c>
      <c r="X1278" s="58">
        <f t="shared" si="296"/>
        <v>0</v>
      </c>
      <c r="Y1278" s="52">
        <f t="shared" si="297"/>
        <v>0</v>
      </c>
    </row>
    <row r="1279" spans="1:25" x14ac:dyDescent="0.25">
      <c r="A1279" s="1218" t="s">
        <v>205</v>
      </c>
      <c r="B1279" s="98">
        <v>45566</v>
      </c>
      <c r="C1279" s="117" t="str">
        <f t="shared" si="284"/>
        <v>8L</v>
      </c>
      <c r="D1279" s="96"/>
      <c r="I1279" s="99">
        <f t="shared" si="285"/>
        <v>0</v>
      </c>
      <c r="L1279" s="99">
        <f t="shared" si="286"/>
        <v>0</v>
      </c>
      <c r="M1279" s="44" t="str">
        <f t="shared" si="288"/>
        <v/>
      </c>
      <c r="N1279" s="100">
        <f t="shared" si="289"/>
        <v>0</v>
      </c>
      <c r="O1279" s="101">
        <f t="shared" si="290"/>
        <v>0</v>
      </c>
      <c r="P1279" s="52">
        <f t="shared" si="291"/>
        <v>0</v>
      </c>
      <c r="Q1279" s="49">
        <v>116.88487613461319</v>
      </c>
      <c r="R1279">
        <v>2225</v>
      </c>
      <c r="S1279" s="50">
        <f t="shared" si="287"/>
        <v>71535.307499999995</v>
      </c>
      <c r="T1279" s="50">
        <f t="shared" si="292"/>
        <v>0</v>
      </c>
      <c r="U1279" s="58">
        <f t="shared" si="293"/>
        <v>0</v>
      </c>
      <c r="V1279" s="58">
        <f t="shared" si="294"/>
        <v>0</v>
      </c>
      <c r="W1279" s="58">
        <f t="shared" si="295"/>
        <v>0</v>
      </c>
      <c r="X1279" s="58">
        <f t="shared" si="296"/>
        <v>0</v>
      </c>
      <c r="Y1279" s="52">
        <f t="shared" si="297"/>
        <v>0</v>
      </c>
    </row>
    <row r="1280" spans="1:25" x14ac:dyDescent="0.25">
      <c r="A1280" s="1218" t="s">
        <v>206</v>
      </c>
      <c r="B1280" s="98">
        <v>45566</v>
      </c>
      <c r="C1280" s="117" t="str">
        <f t="shared" si="284"/>
        <v>8L</v>
      </c>
      <c r="D1280" s="96"/>
      <c r="I1280" s="99">
        <f t="shared" si="285"/>
        <v>0</v>
      </c>
      <c r="L1280" s="99">
        <f t="shared" si="286"/>
        <v>0</v>
      </c>
      <c r="M1280" s="44" t="str">
        <f t="shared" si="288"/>
        <v/>
      </c>
      <c r="N1280" s="100">
        <f t="shared" si="289"/>
        <v>0</v>
      </c>
      <c r="O1280" s="101">
        <f t="shared" si="290"/>
        <v>0</v>
      </c>
      <c r="P1280" s="52">
        <f t="shared" si="291"/>
        <v>0</v>
      </c>
      <c r="Q1280" s="49">
        <v>116.88487613461319</v>
      </c>
      <c r="R1280">
        <v>2225</v>
      </c>
      <c r="S1280" s="50">
        <f t="shared" si="287"/>
        <v>71535.307499999995</v>
      </c>
      <c r="T1280" s="50">
        <f t="shared" si="292"/>
        <v>0</v>
      </c>
      <c r="U1280" s="58">
        <f t="shared" si="293"/>
        <v>0</v>
      </c>
      <c r="V1280" s="58">
        <f t="shared" si="294"/>
        <v>0</v>
      </c>
      <c r="W1280" s="58">
        <f t="shared" si="295"/>
        <v>0</v>
      </c>
      <c r="X1280" s="58">
        <f t="shared" si="296"/>
        <v>0</v>
      </c>
      <c r="Y1280" s="52">
        <f t="shared" si="297"/>
        <v>0</v>
      </c>
    </row>
    <row r="1281" spans="1:25" ht="15.75" thickBot="1" x14ac:dyDescent="0.3">
      <c r="A1281" s="1219" t="s">
        <v>207</v>
      </c>
      <c r="B1281" s="98">
        <v>45566</v>
      </c>
      <c r="C1281" s="117" t="str">
        <f t="shared" si="284"/>
        <v>8L</v>
      </c>
      <c r="D1281" s="96"/>
      <c r="I1281" s="99">
        <f t="shared" si="285"/>
        <v>0</v>
      </c>
      <c r="L1281" s="99">
        <f t="shared" si="286"/>
        <v>0</v>
      </c>
      <c r="M1281" s="44" t="str">
        <f t="shared" si="288"/>
        <v/>
      </c>
      <c r="N1281" s="100">
        <f t="shared" si="289"/>
        <v>0</v>
      </c>
      <c r="O1281" s="101">
        <f t="shared" si="290"/>
        <v>0</v>
      </c>
      <c r="P1281" s="52">
        <f t="shared" si="291"/>
        <v>0</v>
      </c>
      <c r="Q1281" s="49">
        <v>116.88487613461319</v>
      </c>
      <c r="R1281">
        <v>2225</v>
      </c>
      <c r="S1281" s="50">
        <f t="shared" si="287"/>
        <v>71535.307499999995</v>
      </c>
      <c r="T1281" s="50">
        <f t="shared" si="292"/>
        <v>0</v>
      </c>
      <c r="U1281" s="58">
        <f t="shared" si="293"/>
        <v>0</v>
      </c>
      <c r="V1281" s="58">
        <f t="shared" si="294"/>
        <v>0</v>
      </c>
      <c r="W1281" s="58">
        <f t="shared" si="295"/>
        <v>0</v>
      </c>
      <c r="X1281" s="58">
        <f t="shared" si="296"/>
        <v>0</v>
      </c>
      <c r="Y1281" s="52">
        <f t="shared" si="297"/>
        <v>0</v>
      </c>
    </row>
    <row r="1282" spans="1:25" x14ac:dyDescent="0.25">
      <c r="A1282" s="97" t="s">
        <v>80</v>
      </c>
      <c r="B1282" s="98">
        <v>45597</v>
      </c>
      <c r="C1282" s="117" t="str">
        <f t="shared" si="284"/>
        <v>1L</v>
      </c>
      <c r="D1282" s="96"/>
      <c r="E1282" s="96"/>
      <c r="F1282" s="96"/>
      <c r="G1282" s="96"/>
      <c r="H1282" s="96"/>
      <c r="I1282" s="99">
        <f t="shared" si="285"/>
        <v>0</v>
      </c>
      <c r="J1282" s="96"/>
      <c r="K1282" s="96"/>
      <c r="L1282" s="99">
        <f t="shared" si="286"/>
        <v>0</v>
      </c>
      <c r="M1282" s="44" t="str">
        <f t="shared" si="288"/>
        <v/>
      </c>
      <c r="N1282" s="100">
        <f t="shared" si="289"/>
        <v>0</v>
      </c>
      <c r="O1282" s="101">
        <f t="shared" si="290"/>
        <v>0</v>
      </c>
      <c r="P1282" s="52">
        <f t="shared" si="291"/>
        <v>0</v>
      </c>
      <c r="Q1282" s="49">
        <v>116.88487613461319</v>
      </c>
      <c r="R1282">
        <v>2225</v>
      </c>
      <c r="S1282" s="50">
        <f t="shared" si="287"/>
        <v>71535.307499999995</v>
      </c>
      <c r="T1282" s="50">
        <f t="shared" si="292"/>
        <v>0</v>
      </c>
      <c r="U1282" s="58">
        <f t="shared" si="293"/>
        <v>0</v>
      </c>
      <c r="V1282" s="58">
        <f t="shared" si="294"/>
        <v>0</v>
      </c>
      <c r="W1282" s="58">
        <f t="shared" si="295"/>
        <v>0</v>
      </c>
      <c r="X1282" s="58">
        <f t="shared" si="296"/>
        <v>0</v>
      </c>
      <c r="Y1282" s="52">
        <f t="shared" si="297"/>
        <v>0</v>
      </c>
    </row>
    <row r="1283" spans="1:25" x14ac:dyDescent="0.25">
      <c r="A1283" s="1218" t="s">
        <v>81</v>
      </c>
      <c r="B1283" s="98">
        <v>45597</v>
      </c>
      <c r="C1283" s="117" t="str">
        <f t="shared" si="284"/>
        <v>1L</v>
      </c>
      <c r="D1283" s="96"/>
      <c r="E1283" s="96"/>
      <c r="F1283" s="96"/>
      <c r="G1283" s="96"/>
      <c r="H1283" s="96"/>
      <c r="I1283" s="99">
        <f t="shared" si="285"/>
        <v>0</v>
      </c>
      <c r="J1283" s="96"/>
      <c r="K1283" s="96"/>
      <c r="L1283" s="99">
        <f t="shared" si="286"/>
        <v>0</v>
      </c>
      <c r="M1283" s="44" t="str">
        <f t="shared" si="288"/>
        <v/>
      </c>
      <c r="N1283" s="100">
        <f t="shared" si="289"/>
        <v>0</v>
      </c>
      <c r="O1283" s="101">
        <f t="shared" si="290"/>
        <v>0</v>
      </c>
      <c r="P1283" s="52">
        <f t="shared" si="291"/>
        <v>0</v>
      </c>
      <c r="Q1283" s="49">
        <v>116.88487613461319</v>
      </c>
      <c r="R1283">
        <v>2225</v>
      </c>
      <c r="S1283" s="50">
        <f t="shared" si="287"/>
        <v>71535.307499999995</v>
      </c>
      <c r="T1283" s="50">
        <f t="shared" si="292"/>
        <v>0</v>
      </c>
      <c r="U1283" s="58">
        <f t="shared" si="293"/>
        <v>0</v>
      </c>
      <c r="V1283" s="58">
        <f t="shared" si="294"/>
        <v>0</v>
      </c>
      <c r="W1283" s="58">
        <f t="shared" si="295"/>
        <v>0</v>
      </c>
      <c r="X1283" s="58">
        <f t="shared" si="296"/>
        <v>0</v>
      </c>
      <c r="Y1283" s="52">
        <f t="shared" si="297"/>
        <v>0</v>
      </c>
    </row>
    <row r="1284" spans="1:25" x14ac:dyDescent="0.25">
      <c r="A1284" s="1218" t="s">
        <v>82</v>
      </c>
      <c r="B1284" s="98">
        <v>45597</v>
      </c>
      <c r="C1284" s="117" t="str">
        <f t="shared" si="284"/>
        <v>1L</v>
      </c>
      <c r="D1284" s="96"/>
      <c r="E1284" s="96"/>
      <c r="F1284" s="96"/>
      <c r="G1284" s="96"/>
      <c r="H1284" s="96"/>
      <c r="I1284" s="99">
        <f t="shared" si="285"/>
        <v>0</v>
      </c>
      <c r="J1284" s="96"/>
      <c r="K1284" s="96"/>
      <c r="L1284" s="99">
        <f t="shared" si="286"/>
        <v>0</v>
      </c>
      <c r="M1284" s="44" t="str">
        <f t="shared" si="288"/>
        <v/>
      </c>
      <c r="N1284" s="100">
        <f t="shared" si="289"/>
        <v>0</v>
      </c>
      <c r="O1284" s="101">
        <f t="shared" si="290"/>
        <v>0</v>
      </c>
      <c r="P1284" s="52">
        <f t="shared" si="291"/>
        <v>0</v>
      </c>
      <c r="Q1284" s="49">
        <v>116.88487613461319</v>
      </c>
      <c r="R1284">
        <v>2225</v>
      </c>
      <c r="S1284" s="50">
        <f t="shared" si="287"/>
        <v>71535.307499999995</v>
      </c>
      <c r="T1284" s="50">
        <f t="shared" si="292"/>
        <v>0</v>
      </c>
      <c r="U1284" s="58">
        <f t="shared" si="293"/>
        <v>0</v>
      </c>
      <c r="V1284" s="58">
        <f t="shared" si="294"/>
        <v>0</v>
      </c>
      <c r="W1284" s="58">
        <f t="shared" si="295"/>
        <v>0</v>
      </c>
      <c r="X1284" s="58">
        <f t="shared" si="296"/>
        <v>0</v>
      </c>
      <c r="Y1284" s="52">
        <f t="shared" si="297"/>
        <v>0</v>
      </c>
    </row>
    <row r="1285" spans="1:25" x14ac:dyDescent="0.25">
      <c r="A1285" s="1218" t="s">
        <v>83</v>
      </c>
      <c r="B1285" s="98">
        <v>45597</v>
      </c>
      <c r="C1285" s="117" t="str">
        <f t="shared" si="284"/>
        <v>1L</v>
      </c>
      <c r="D1285" s="96"/>
      <c r="E1285" s="96"/>
      <c r="F1285" s="96"/>
      <c r="G1285" s="96"/>
      <c r="H1285" s="96"/>
      <c r="I1285" s="99">
        <f t="shared" si="285"/>
        <v>0</v>
      </c>
      <c r="J1285" s="96"/>
      <c r="K1285" s="96"/>
      <c r="L1285" s="99">
        <f t="shared" si="286"/>
        <v>0</v>
      </c>
      <c r="M1285" s="44" t="str">
        <f t="shared" si="288"/>
        <v/>
      </c>
      <c r="N1285" s="100">
        <f t="shared" si="289"/>
        <v>0</v>
      </c>
      <c r="O1285" s="101">
        <f t="shared" si="290"/>
        <v>0</v>
      </c>
      <c r="P1285" s="52">
        <f t="shared" si="291"/>
        <v>0</v>
      </c>
      <c r="Q1285" s="49">
        <v>116.88487613461319</v>
      </c>
      <c r="R1285">
        <v>2225</v>
      </c>
      <c r="S1285" s="50">
        <f t="shared" si="287"/>
        <v>71535.307499999995</v>
      </c>
      <c r="T1285" s="50">
        <f t="shared" si="292"/>
        <v>0</v>
      </c>
      <c r="U1285" s="58">
        <f t="shared" si="293"/>
        <v>0</v>
      </c>
      <c r="V1285" s="58">
        <f t="shared" si="294"/>
        <v>0</v>
      </c>
      <c r="W1285" s="58">
        <f t="shared" si="295"/>
        <v>0</v>
      </c>
      <c r="X1285" s="58">
        <f t="shared" si="296"/>
        <v>0</v>
      </c>
      <c r="Y1285" s="52">
        <f t="shared" si="297"/>
        <v>0</v>
      </c>
    </row>
    <row r="1286" spans="1:25" x14ac:dyDescent="0.25">
      <c r="A1286" s="1218" t="s">
        <v>84</v>
      </c>
      <c r="B1286" s="98">
        <v>45597</v>
      </c>
      <c r="C1286" s="117" t="str">
        <f t="shared" si="284"/>
        <v>2L</v>
      </c>
      <c r="D1286" s="96"/>
      <c r="E1286" s="98"/>
      <c r="F1286" s="98"/>
      <c r="I1286" s="99">
        <f t="shared" si="285"/>
        <v>0</v>
      </c>
      <c r="L1286" s="99">
        <f t="shared" si="286"/>
        <v>0</v>
      </c>
      <c r="M1286" s="44" t="str">
        <f t="shared" si="288"/>
        <v/>
      </c>
      <c r="N1286" s="100">
        <f t="shared" si="289"/>
        <v>0</v>
      </c>
      <c r="O1286" s="101">
        <f t="shared" si="290"/>
        <v>0</v>
      </c>
      <c r="P1286" s="52">
        <f t="shared" si="291"/>
        <v>0</v>
      </c>
      <c r="Q1286" s="49">
        <v>116.88487613461319</v>
      </c>
      <c r="R1286">
        <v>2225</v>
      </c>
      <c r="S1286" s="50">
        <f t="shared" si="287"/>
        <v>71535.307499999995</v>
      </c>
      <c r="T1286" s="50">
        <f t="shared" si="292"/>
        <v>0</v>
      </c>
      <c r="U1286" s="58">
        <f t="shared" si="293"/>
        <v>0</v>
      </c>
      <c r="V1286" s="58">
        <f t="shared" si="294"/>
        <v>0</v>
      </c>
      <c r="W1286" s="58">
        <f t="shared" si="295"/>
        <v>0</v>
      </c>
      <c r="X1286" s="58">
        <f t="shared" si="296"/>
        <v>0</v>
      </c>
      <c r="Y1286" s="52">
        <f t="shared" si="297"/>
        <v>0</v>
      </c>
    </row>
    <row r="1287" spans="1:25" x14ac:dyDescent="0.25">
      <c r="A1287" s="1218" t="s">
        <v>85</v>
      </c>
      <c r="B1287" s="98">
        <v>45597</v>
      </c>
      <c r="C1287" s="117" t="str">
        <f t="shared" si="284"/>
        <v>2L</v>
      </c>
      <c r="D1287" s="96"/>
      <c r="E1287" s="98"/>
      <c r="F1287" s="98"/>
      <c r="G1287" s="43">
        <v>2100</v>
      </c>
      <c r="H1287" s="26">
        <v>1.8</v>
      </c>
      <c r="I1287" s="99">
        <f t="shared" si="285"/>
        <v>3.78</v>
      </c>
      <c r="L1287" s="99">
        <f t="shared" si="286"/>
        <v>0</v>
      </c>
      <c r="M1287" s="44">
        <f t="shared" si="288"/>
        <v>-1</v>
      </c>
      <c r="N1287" s="100">
        <f t="shared" si="289"/>
        <v>-2100</v>
      </c>
      <c r="O1287" s="101">
        <f t="shared" si="290"/>
        <v>-3.78</v>
      </c>
      <c r="P1287" s="52">
        <f t="shared" si="291"/>
        <v>0</v>
      </c>
      <c r="Q1287" s="49">
        <v>116.88487613461319</v>
      </c>
      <c r="R1287">
        <v>2225</v>
      </c>
      <c r="S1287" s="50">
        <f t="shared" si="287"/>
        <v>71535.307499999995</v>
      </c>
      <c r="T1287" s="50">
        <f t="shared" si="292"/>
        <v>270403.46234999999</v>
      </c>
      <c r="U1287" s="58">
        <f t="shared" si="293"/>
        <v>0</v>
      </c>
      <c r="V1287" s="58">
        <f t="shared" si="294"/>
        <v>245458.23988268772</v>
      </c>
      <c r="W1287" s="58">
        <f t="shared" si="295"/>
        <v>0</v>
      </c>
      <c r="X1287" s="58">
        <f t="shared" si="296"/>
        <v>24945.222467312269</v>
      </c>
      <c r="Y1287" s="52">
        <f t="shared" si="297"/>
        <v>0</v>
      </c>
    </row>
    <row r="1288" spans="1:25" x14ac:dyDescent="0.25">
      <c r="A1288" s="1218" t="s">
        <v>86</v>
      </c>
      <c r="B1288" s="98">
        <v>45597</v>
      </c>
      <c r="C1288" s="117" t="str">
        <f t="shared" si="284"/>
        <v>2L</v>
      </c>
      <c r="D1288" s="96"/>
      <c r="E1288" s="98"/>
      <c r="F1288" s="98"/>
      <c r="I1288" s="99">
        <f t="shared" si="285"/>
        <v>0</v>
      </c>
      <c r="L1288" s="99">
        <f t="shared" si="286"/>
        <v>0</v>
      </c>
      <c r="M1288" s="44" t="str">
        <f t="shared" si="288"/>
        <v/>
      </c>
      <c r="N1288" s="100">
        <f t="shared" si="289"/>
        <v>0</v>
      </c>
      <c r="O1288" s="101">
        <f t="shared" si="290"/>
        <v>0</v>
      </c>
      <c r="P1288" s="52">
        <f t="shared" si="291"/>
        <v>0</v>
      </c>
      <c r="Q1288" s="49">
        <v>116.88487613461319</v>
      </c>
      <c r="R1288">
        <v>2225</v>
      </c>
      <c r="S1288" s="50">
        <f t="shared" si="287"/>
        <v>71535.307499999995</v>
      </c>
      <c r="T1288" s="50">
        <f t="shared" si="292"/>
        <v>0</v>
      </c>
      <c r="U1288" s="58">
        <f t="shared" si="293"/>
        <v>0</v>
      </c>
      <c r="V1288" s="58">
        <f t="shared" si="294"/>
        <v>0</v>
      </c>
      <c r="W1288" s="58">
        <f t="shared" si="295"/>
        <v>0</v>
      </c>
      <c r="X1288" s="58">
        <f t="shared" si="296"/>
        <v>0</v>
      </c>
      <c r="Y1288" s="52">
        <f t="shared" si="297"/>
        <v>0</v>
      </c>
    </row>
    <row r="1289" spans="1:25" x14ac:dyDescent="0.25">
      <c r="A1289" s="1218" t="s">
        <v>87</v>
      </c>
      <c r="B1289" s="98">
        <v>45597</v>
      </c>
      <c r="C1289" s="117" t="str">
        <f t="shared" si="284"/>
        <v>3L</v>
      </c>
      <c r="D1289" s="96"/>
      <c r="E1289" s="98"/>
      <c r="F1289" s="98"/>
      <c r="I1289" s="99">
        <f t="shared" si="285"/>
        <v>0</v>
      </c>
      <c r="J1289">
        <v>259</v>
      </c>
      <c r="K1289" s="49">
        <v>1.7470859077380949</v>
      </c>
      <c r="L1289" s="99">
        <f t="shared" si="286"/>
        <v>0.45249525010416658</v>
      </c>
      <c r="M1289" s="44" t="str">
        <f t="shared" si="288"/>
        <v/>
      </c>
      <c r="N1289" s="100">
        <f t="shared" si="289"/>
        <v>259</v>
      </c>
      <c r="O1289" s="101">
        <f t="shared" si="290"/>
        <v>0.45249525010416658</v>
      </c>
      <c r="P1289" s="52">
        <f t="shared" si="291"/>
        <v>2096.2039396261425</v>
      </c>
      <c r="Q1289" s="49">
        <v>116.88487613461319</v>
      </c>
      <c r="R1289">
        <v>2225</v>
      </c>
      <c r="S1289" s="50">
        <f t="shared" si="287"/>
        <v>71535.307499999995</v>
      </c>
      <c r="T1289" s="50">
        <f t="shared" si="292"/>
        <v>0</v>
      </c>
      <c r="U1289" s="58">
        <f t="shared" si="293"/>
        <v>32369.386858490961</v>
      </c>
      <c r="V1289" s="58">
        <f t="shared" si="294"/>
        <v>0</v>
      </c>
      <c r="W1289" s="58">
        <f t="shared" si="295"/>
        <v>30273.182918864819</v>
      </c>
      <c r="X1289" s="58">
        <f t="shared" si="296"/>
        <v>0</v>
      </c>
      <c r="Y1289" s="52">
        <f t="shared" si="297"/>
        <v>2096.2039396261425</v>
      </c>
    </row>
    <row r="1290" spans="1:25" x14ac:dyDescent="0.25">
      <c r="A1290" s="1218" t="s">
        <v>88</v>
      </c>
      <c r="B1290" s="98">
        <v>45597</v>
      </c>
      <c r="C1290" s="117" t="str">
        <f t="shared" si="284"/>
        <v>3L</v>
      </c>
      <c r="D1290" s="96"/>
      <c r="E1290" s="98"/>
      <c r="F1290" s="98"/>
      <c r="G1290" s="43">
        <v>4200</v>
      </c>
      <c r="H1290" s="26">
        <v>1.86</v>
      </c>
      <c r="I1290" s="99">
        <f t="shared" si="285"/>
        <v>7.8120000000000003</v>
      </c>
      <c r="J1290">
        <v>2757</v>
      </c>
      <c r="K1290" s="49">
        <v>2.0504720833333332</v>
      </c>
      <c r="L1290" s="99">
        <f t="shared" si="286"/>
        <v>5.6531515337499991</v>
      </c>
      <c r="M1290" s="44">
        <f t="shared" si="288"/>
        <v>-0.27635029009856643</v>
      </c>
      <c r="N1290" s="100">
        <f t="shared" si="289"/>
        <v>-1443</v>
      </c>
      <c r="O1290" s="101">
        <f t="shared" si="290"/>
        <v>-2.1588484662500012</v>
      </c>
      <c r="P1290" s="52">
        <f t="shared" si="291"/>
        <v>82148.329807774222</v>
      </c>
      <c r="Q1290" s="49">
        <v>116.88487613461319</v>
      </c>
      <c r="R1290">
        <v>2225</v>
      </c>
      <c r="S1290" s="50">
        <f t="shared" si="287"/>
        <v>71535.307499999995</v>
      </c>
      <c r="T1290" s="50">
        <f t="shared" si="292"/>
        <v>558833.82218999998</v>
      </c>
      <c r="U1290" s="58">
        <f t="shared" si="293"/>
        <v>404399.93331090279</v>
      </c>
      <c r="V1290" s="58">
        <f t="shared" si="294"/>
        <v>490916.47976537544</v>
      </c>
      <c r="W1290" s="58">
        <f t="shared" si="295"/>
        <v>322251.60350312857</v>
      </c>
      <c r="X1290" s="58">
        <f t="shared" si="296"/>
        <v>67917.342424624541</v>
      </c>
      <c r="Y1290" s="52">
        <f t="shared" si="297"/>
        <v>82148.329807774222</v>
      </c>
    </row>
    <row r="1291" spans="1:25" x14ac:dyDescent="0.25">
      <c r="A1291" s="1218" t="s">
        <v>89</v>
      </c>
      <c r="B1291" s="98">
        <v>45597</v>
      </c>
      <c r="C1291" s="117" t="str">
        <f t="shared" si="284"/>
        <v>3L</v>
      </c>
      <c r="D1291" s="96"/>
      <c r="E1291" s="98"/>
      <c r="F1291" s="98"/>
      <c r="G1291" s="51">
        <v>2100</v>
      </c>
      <c r="H1291" s="26">
        <v>1.59</v>
      </c>
      <c r="I1291" s="99">
        <f t="shared" si="285"/>
        <v>3.339</v>
      </c>
      <c r="J1291" s="52">
        <v>1546.7</v>
      </c>
      <c r="K1291" s="49">
        <v>1.0024969040515581</v>
      </c>
      <c r="L1291" s="99">
        <f t="shared" si="286"/>
        <v>1.5505619614965449</v>
      </c>
      <c r="M1291" s="44">
        <f t="shared" si="288"/>
        <v>-0.53562085609567389</v>
      </c>
      <c r="N1291" s="100">
        <f t="shared" si="289"/>
        <v>-553.29999999999995</v>
      </c>
      <c r="O1291" s="101">
        <f t="shared" si="290"/>
        <v>-1.7884380385034551</v>
      </c>
      <c r="P1291" s="52">
        <f t="shared" si="291"/>
        <v>-69865.911203947733</v>
      </c>
      <c r="Q1291" s="49">
        <v>116.88487613461319</v>
      </c>
      <c r="R1291">
        <v>2225</v>
      </c>
      <c r="S1291" s="50">
        <f t="shared" si="287"/>
        <v>71535.307499999995</v>
      </c>
      <c r="T1291" s="50">
        <f t="shared" si="292"/>
        <v>238856.39174249998</v>
      </c>
      <c r="U1291" s="58">
        <f t="shared" si="293"/>
        <v>110919.9267134585</v>
      </c>
      <c r="V1291" s="58">
        <f t="shared" si="294"/>
        <v>245458.23988268772</v>
      </c>
      <c r="W1291" s="58">
        <f t="shared" si="295"/>
        <v>180785.83791740623</v>
      </c>
      <c r="X1291" s="58">
        <f t="shared" si="296"/>
        <v>-6601.8481401877361</v>
      </c>
      <c r="Y1291" s="52">
        <f t="shared" si="297"/>
        <v>-69865.911203947733</v>
      </c>
    </row>
    <row r="1292" spans="1:25" x14ac:dyDescent="0.25">
      <c r="A1292" s="1218" t="s">
        <v>90</v>
      </c>
      <c r="B1292" s="98">
        <v>45597</v>
      </c>
      <c r="C1292" s="117" t="str">
        <f t="shared" si="284"/>
        <v>3L</v>
      </c>
      <c r="D1292" s="96"/>
      <c r="E1292" s="98"/>
      <c r="F1292" s="98"/>
      <c r="G1292" s="51"/>
      <c r="H1292" s="26"/>
      <c r="I1292" s="99">
        <f t="shared" si="285"/>
        <v>0</v>
      </c>
      <c r="J1292" s="52"/>
      <c r="K1292" s="49"/>
      <c r="L1292" s="99">
        <f t="shared" si="286"/>
        <v>0</v>
      </c>
      <c r="M1292" s="44" t="str">
        <f t="shared" si="288"/>
        <v/>
      </c>
      <c r="N1292" s="100">
        <f t="shared" si="289"/>
        <v>0</v>
      </c>
      <c r="O1292" s="101">
        <f t="shared" si="290"/>
        <v>0</v>
      </c>
      <c r="P1292" s="52">
        <f t="shared" si="291"/>
        <v>0</v>
      </c>
      <c r="Q1292" s="49">
        <v>116.88487613461319</v>
      </c>
      <c r="R1292">
        <v>2225</v>
      </c>
      <c r="S1292" s="50">
        <f t="shared" si="287"/>
        <v>71535.307499999995</v>
      </c>
      <c r="T1292" s="50">
        <f t="shared" si="292"/>
        <v>0</v>
      </c>
      <c r="U1292" s="58">
        <f t="shared" si="293"/>
        <v>0</v>
      </c>
      <c r="V1292" s="58">
        <f t="shared" si="294"/>
        <v>0</v>
      </c>
      <c r="W1292" s="58">
        <f t="shared" si="295"/>
        <v>0</v>
      </c>
      <c r="X1292" s="58">
        <f t="shared" si="296"/>
        <v>0</v>
      </c>
      <c r="Y1292" s="52">
        <f t="shared" si="297"/>
        <v>0</v>
      </c>
    </row>
    <row r="1293" spans="1:25" x14ac:dyDescent="0.25">
      <c r="A1293" s="1218" t="s">
        <v>91</v>
      </c>
      <c r="B1293" s="98">
        <v>45597</v>
      </c>
      <c r="C1293" s="117" t="str">
        <f t="shared" ref="C1293:C1357" si="298">LEFT(A1293,2)</f>
        <v>3L</v>
      </c>
      <c r="D1293" s="96"/>
      <c r="E1293" s="98"/>
      <c r="F1293" s="98"/>
      <c r="G1293" s="51"/>
      <c r="H1293" s="26"/>
      <c r="I1293" s="99">
        <f t="shared" si="285"/>
        <v>0</v>
      </c>
      <c r="J1293" s="52"/>
      <c r="K1293" s="49"/>
      <c r="L1293" s="99">
        <f t="shared" si="286"/>
        <v>0</v>
      </c>
      <c r="M1293" s="44" t="str">
        <f t="shared" si="288"/>
        <v/>
      </c>
      <c r="N1293" s="100">
        <f t="shared" si="289"/>
        <v>0</v>
      </c>
      <c r="O1293" s="101">
        <f t="shared" si="290"/>
        <v>0</v>
      </c>
      <c r="P1293" s="52">
        <f t="shared" si="291"/>
        <v>0</v>
      </c>
      <c r="Q1293" s="49">
        <v>116.88487613461319</v>
      </c>
      <c r="R1293">
        <v>2225</v>
      </c>
      <c r="S1293" s="50">
        <f t="shared" si="287"/>
        <v>71535.307499999995</v>
      </c>
      <c r="T1293" s="50">
        <f t="shared" si="292"/>
        <v>0</v>
      </c>
      <c r="U1293" s="58">
        <f t="shared" si="293"/>
        <v>0</v>
      </c>
      <c r="V1293" s="58">
        <f t="shared" si="294"/>
        <v>0</v>
      </c>
      <c r="W1293" s="58">
        <f t="shared" si="295"/>
        <v>0</v>
      </c>
      <c r="X1293" s="58">
        <f t="shared" si="296"/>
        <v>0</v>
      </c>
      <c r="Y1293" s="52">
        <f t="shared" si="297"/>
        <v>0</v>
      </c>
    </row>
    <row r="1294" spans="1:25" x14ac:dyDescent="0.25">
      <c r="A1294" s="1218" t="s">
        <v>92</v>
      </c>
      <c r="B1294" s="98">
        <v>45597</v>
      </c>
      <c r="C1294" s="117" t="str">
        <f t="shared" si="298"/>
        <v>3L</v>
      </c>
      <c r="D1294" s="96"/>
      <c r="E1294" s="98"/>
      <c r="F1294" s="98"/>
      <c r="G1294" s="41"/>
      <c r="H1294" s="47"/>
      <c r="I1294" s="99">
        <f t="shared" si="285"/>
        <v>0</v>
      </c>
      <c r="J1294" s="41"/>
      <c r="K1294" s="47"/>
      <c r="L1294" s="99">
        <f t="shared" si="286"/>
        <v>0</v>
      </c>
      <c r="M1294" s="44" t="str">
        <f t="shared" si="288"/>
        <v/>
      </c>
      <c r="N1294" s="100">
        <f t="shared" si="289"/>
        <v>0</v>
      </c>
      <c r="O1294" s="101">
        <f t="shared" si="290"/>
        <v>0</v>
      </c>
      <c r="P1294" s="52">
        <f t="shared" si="291"/>
        <v>0</v>
      </c>
      <c r="Q1294" s="49">
        <v>116.88487613461319</v>
      </c>
      <c r="R1294">
        <v>2225</v>
      </c>
      <c r="S1294" s="50">
        <f t="shared" si="287"/>
        <v>71535.307499999995</v>
      </c>
      <c r="T1294" s="50">
        <f t="shared" si="292"/>
        <v>0</v>
      </c>
      <c r="U1294" s="58">
        <f t="shared" si="293"/>
        <v>0</v>
      </c>
      <c r="V1294" s="58">
        <f t="shared" si="294"/>
        <v>0</v>
      </c>
      <c r="W1294" s="58">
        <f t="shared" si="295"/>
        <v>0</v>
      </c>
      <c r="X1294" s="58">
        <f t="shared" si="296"/>
        <v>0</v>
      </c>
      <c r="Y1294" s="52">
        <f t="shared" si="297"/>
        <v>0</v>
      </c>
    </row>
    <row r="1295" spans="1:25" x14ac:dyDescent="0.25">
      <c r="A1295" s="1218" t="s">
        <v>93</v>
      </c>
      <c r="B1295" s="98">
        <v>45597</v>
      </c>
      <c r="C1295" s="117" t="str">
        <f t="shared" si="298"/>
        <v>3L</v>
      </c>
      <c r="D1295" s="96"/>
      <c r="E1295" s="98"/>
      <c r="F1295" s="98"/>
      <c r="G1295" s="41"/>
      <c r="H1295" s="47"/>
      <c r="I1295" s="99">
        <f t="shared" si="285"/>
        <v>0</v>
      </c>
      <c r="J1295" s="41"/>
      <c r="K1295" s="47"/>
      <c r="L1295" s="99">
        <f t="shared" si="286"/>
        <v>0</v>
      </c>
      <c r="M1295" s="44" t="str">
        <f t="shared" si="288"/>
        <v/>
      </c>
      <c r="N1295" s="100">
        <f t="shared" si="289"/>
        <v>0</v>
      </c>
      <c r="O1295" s="101">
        <f t="shared" si="290"/>
        <v>0</v>
      </c>
      <c r="P1295" s="52">
        <f t="shared" si="291"/>
        <v>0</v>
      </c>
      <c r="Q1295" s="49">
        <v>116.88487613461319</v>
      </c>
      <c r="R1295">
        <v>2225</v>
      </c>
      <c r="S1295" s="50">
        <f t="shared" si="287"/>
        <v>71535.307499999995</v>
      </c>
      <c r="T1295" s="50">
        <f t="shared" si="292"/>
        <v>0</v>
      </c>
      <c r="U1295" s="58">
        <f t="shared" si="293"/>
        <v>0</v>
      </c>
      <c r="V1295" s="58">
        <f t="shared" si="294"/>
        <v>0</v>
      </c>
      <c r="W1295" s="58">
        <f t="shared" si="295"/>
        <v>0</v>
      </c>
      <c r="X1295" s="58">
        <f t="shared" si="296"/>
        <v>0</v>
      </c>
      <c r="Y1295" s="52">
        <f t="shared" si="297"/>
        <v>0</v>
      </c>
    </row>
    <row r="1296" spans="1:25" x14ac:dyDescent="0.25">
      <c r="A1296" s="1218" t="s">
        <v>94</v>
      </c>
      <c r="B1296" s="98">
        <v>45597</v>
      </c>
      <c r="C1296" s="117" t="str">
        <f t="shared" si="298"/>
        <v>3L</v>
      </c>
      <c r="D1296" s="96"/>
      <c r="E1296" s="98"/>
      <c r="F1296" s="98"/>
      <c r="G1296" s="41"/>
      <c r="H1296" s="47"/>
      <c r="I1296" s="99">
        <f t="shared" si="285"/>
        <v>0</v>
      </c>
      <c r="J1296" s="41"/>
      <c r="K1296" s="47"/>
      <c r="L1296" s="99">
        <f t="shared" si="286"/>
        <v>0</v>
      </c>
      <c r="M1296" s="44" t="str">
        <f t="shared" si="288"/>
        <v/>
      </c>
      <c r="N1296" s="100">
        <f t="shared" si="289"/>
        <v>0</v>
      </c>
      <c r="O1296" s="101">
        <f t="shared" si="290"/>
        <v>0</v>
      </c>
      <c r="P1296" s="52">
        <f t="shared" si="291"/>
        <v>0</v>
      </c>
      <c r="Q1296" s="49">
        <v>116.88487613461319</v>
      </c>
      <c r="R1296">
        <v>2225</v>
      </c>
      <c r="S1296" s="50">
        <f t="shared" si="287"/>
        <v>71535.307499999995</v>
      </c>
      <c r="T1296" s="50">
        <f t="shared" si="292"/>
        <v>0</v>
      </c>
      <c r="U1296" s="58">
        <f t="shared" si="293"/>
        <v>0</v>
      </c>
      <c r="V1296" s="58">
        <f t="shared" si="294"/>
        <v>0</v>
      </c>
      <c r="W1296" s="58">
        <f t="shared" si="295"/>
        <v>0</v>
      </c>
      <c r="X1296" s="58">
        <f t="shared" si="296"/>
        <v>0</v>
      </c>
      <c r="Y1296" s="52">
        <f t="shared" si="297"/>
        <v>0</v>
      </c>
    </row>
    <row r="1297" spans="1:25" x14ac:dyDescent="0.25">
      <c r="A1297" s="1218" t="s">
        <v>95</v>
      </c>
      <c r="B1297" s="98">
        <v>45597</v>
      </c>
      <c r="C1297" s="117" t="str">
        <f t="shared" si="298"/>
        <v>3L</v>
      </c>
      <c r="D1297" s="96"/>
      <c r="E1297" s="98"/>
      <c r="F1297" s="98"/>
      <c r="G1297" s="41"/>
      <c r="H1297" s="47"/>
      <c r="I1297" s="99">
        <f t="shared" si="285"/>
        <v>0</v>
      </c>
      <c r="J1297" s="41"/>
      <c r="K1297" s="47"/>
      <c r="L1297" s="99">
        <f t="shared" si="286"/>
        <v>0</v>
      </c>
      <c r="M1297" s="44" t="str">
        <f t="shared" si="288"/>
        <v/>
      </c>
      <c r="N1297" s="100">
        <f t="shared" si="289"/>
        <v>0</v>
      </c>
      <c r="O1297" s="101">
        <f t="shared" si="290"/>
        <v>0</v>
      </c>
      <c r="P1297" s="52">
        <f t="shared" si="291"/>
        <v>0</v>
      </c>
      <c r="Q1297" s="49">
        <v>116.88487613461319</v>
      </c>
      <c r="R1297">
        <v>2225</v>
      </c>
      <c r="S1297" s="50">
        <f t="shared" si="287"/>
        <v>71535.307499999995</v>
      </c>
      <c r="T1297" s="50">
        <f t="shared" si="292"/>
        <v>0</v>
      </c>
      <c r="U1297" s="58">
        <f t="shared" si="293"/>
        <v>0</v>
      </c>
      <c r="V1297" s="58">
        <f t="shared" si="294"/>
        <v>0</v>
      </c>
      <c r="W1297" s="58">
        <f t="shared" si="295"/>
        <v>0</v>
      </c>
      <c r="X1297" s="58">
        <f t="shared" si="296"/>
        <v>0</v>
      </c>
      <c r="Y1297" s="52">
        <f t="shared" si="297"/>
        <v>0</v>
      </c>
    </row>
    <row r="1298" spans="1:25" x14ac:dyDescent="0.25">
      <c r="A1298" s="1218" t="s">
        <v>96</v>
      </c>
      <c r="B1298" s="98">
        <v>45597</v>
      </c>
      <c r="C1298" s="117" t="str">
        <f t="shared" si="298"/>
        <v>3L</v>
      </c>
      <c r="D1298" s="96"/>
      <c r="E1298" s="98"/>
      <c r="F1298" s="98"/>
      <c r="G1298" s="41"/>
      <c r="H1298" s="47"/>
      <c r="I1298" s="99">
        <f t="shared" si="285"/>
        <v>0</v>
      </c>
      <c r="J1298" s="41"/>
      <c r="K1298" s="47"/>
      <c r="L1298" s="99">
        <f t="shared" si="286"/>
        <v>0</v>
      </c>
      <c r="M1298" s="44" t="str">
        <f t="shared" si="288"/>
        <v/>
      </c>
      <c r="N1298" s="100">
        <f t="shared" si="289"/>
        <v>0</v>
      </c>
      <c r="O1298" s="101">
        <f t="shared" si="290"/>
        <v>0</v>
      </c>
      <c r="P1298" s="52">
        <f t="shared" si="291"/>
        <v>0</v>
      </c>
      <c r="Q1298" s="49">
        <v>116.88487613461319</v>
      </c>
      <c r="R1298">
        <v>2225</v>
      </c>
      <c r="S1298" s="50">
        <f t="shared" si="287"/>
        <v>71535.307499999995</v>
      </c>
      <c r="T1298" s="50">
        <f t="shared" si="292"/>
        <v>0</v>
      </c>
      <c r="U1298" s="58">
        <f t="shared" si="293"/>
        <v>0</v>
      </c>
      <c r="V1298" s="58">
        <f t="shared" si="294"/>
        <v>0</v>
      </c>
      <c r="W1298" s="58">
        <f t="shared" si="295"/>
        <v>0</v>
      </c>
      <c r="X1298" s="58">
        <f t="shared" si="296"/>
        <v>0</v>
      </c>
      <c r="Y1298" s="52">
        <f t="shared" si="297"/>
        <v>0</v>
      </c>
    </row>
    <row r="1299" spans="1:25" x14ac:dyDescent="0.25">
      <c r="A1299" s="1218" t="s">
        <v>97</v>
      </c>
      <c r="B1299" s="98">
        <v>45597</v>
      </c>
      <c r="C1299" s="117" t="str">
        <f t="shared" si="298"/>
        <v>4L</v>
      </c>
      <c r="D1299" s="96"/>
      <c r="E1299" s="98"/>
      <c r="F1299" s="98"/>
      <c r="I1299" s="99">
        <f t="shared" si="285"/>
        <v>0</v>
      </c>
      <c r="L1299" s="99">
        <f t="shared" si="286"/>
        <v>0</v>
      </c>
      <c r="M1299" s="44" t="str">
        <f t="shared" si="288"/>
        <v/>
      </c>
      <c r="N1299" s="100">
        <f t="shared" si="289"/>
        <v>0</v>
      </c>
      <c r="O1299" s="101">
        <f t="shared" si="290"/>
        <v>0</v>
      </c>
      <c r="P1299" s="52">
        <f t="shared" si="291"/>
        <v>0</v>
      </c>
      <c r="Q1299" s="49">
        <v>116.88487613461319</v>
      </c>
      <c r="R1299">
        <v>2225</v>
      </c>
      <c r="S1299" s="50">
        <f t="shared" si="287"/>
        <v>71535.307499999995</v>
      </c>
      <c r="T1299" s="50">
        <f t="shared" si="292"/>
        <v>0</v>
      </c>
      <c r="U1299" s="58">
        <f t="shared" si="293"/>
        <v>0</v>
      </c>
      <c r="V1299" s="58">
        <f t="shared" si="294"/>
        <v>0</v>
      </c>
      <c r="W1299" s="58">
        <f t="shared" si="295"/>
        <v>0</v>
      </c>
      <c r="X1299" s="58">
        <f t="shared" si="296"/>
        <v>0</v>
      </c>
      <c r="Y1299" s="52">
        <f t="shared" si="297"/>
        <v>0</v>
      </c>
    </row>
    <row r="1300" spans="1:25" x14ac:dyDescent="0.25">
      <c r="A1300" s="1218" t="s">
        <v>98</v>
      </c>
      <c r="B1300" s="98">
        <v>45597</v>
      </c>
      <c r="C1300" s="117" t="str">
        <f t="shared" si="298"/>
        <v>4L</v>
      </c>
      <c r="D1300" s="96"/>
      <c r="E1300" s="98"/>
      <c r="F1300" s="98"/>
      <c r="I1300" s="99">
        <f t="shared" si="285"/>
        <v>0</v>
      </c>
      <c r="L1300" s="99">
        <f t="shared" si="286"/>
        <v>0</v>
      </c>
      <c r="M1300" s="44" t="str">
        <f t="shared" si="288"/>
        <v/>
      </c>
      <c r="N1300" s="100">
        <f t="shared" si="289"/>
        <v>0</v>
      </c>
      <c r="O1300" s="101">
        <f t="shared" si="290"/>
        <v>0</v>
      </c>
      <c r="P1300" s="52">
        <f t="shared" si="291"/>
        <v>0</v>
      </c>
      <c r="Q1300" s="49">
        <v>116.88487613461319</v>
      </c>
      <c r="R1300">
        <v>2225</v>
      </c>
      <c r="S1300" s="50">
        <f t="shared" si="287"/>
        <v>71535.307499999995</v>
      </c>
      <c r="T1300" s="50">
        <f t="shared" si="292"/>
        <v>0</v>
      </c>
      <c r="U1300" s="58">
        <f t="shared" si="293"/>
        <v>0</v>
      </c>
      <c r="V1300" s="58">
        <f t="shared" si="294"/>
        <v>0</v>
      </c>
      <c r="W1300" s="58">
        <f t="shared" si="295"/>
        <v>0</v>
      </c>
      <c r="X1300" s="58">
        <f t="shared" si="296"/>
        <v>0</v>
      </c>
      <c r="Y1300" s="52">
        <f t="shared" si="297"/>
        <v>0</v>
      </c>
    </row>
    <row r="1301" spans="1:25" x14ac:dyDescent="0.25">
      <c r="A1301" s="1218" t="s">
        <v>99</v>
      </c>
      <c r="B1301" s="98">
        <v>45597</v>
      </c>
      <c r="C1301" s="117" t="str">
        <f t="shared" si="298"/>
        <v>4L</v>
      </c>
      <c r="D1301" s="96"/>
      <c r="E1301" s="98"/>
      <c r="F1301" s="98"/>
      <c r="I1301" s="99">
        <f t="shared" si="285"/>
        <v>0</v>
      </c>
      <c r="L1301" s="99">
        <f t="shared" si="286"/>
        <v>0</v>
      </c>
      <c r="M1301" s="44" t="str">
        <f t="shared" si="288"/>
        <v/>
      </c>
      <c r="N1301" s="100">
        <f t="shared" si="289"/>
        <v>0</v>
      </c>
      <c r="O1301" s="101">
        <f t="shared" si="290"/>
        <v>0</v>
      </c>
      <c r="P1301" s="52">
        <f t="shared" si="291"/>
        <v>0</v>
      </c>
      <c r="Q1301" s="49">
        <v>116.88487613461319</v>
      </c>
      <c r="R1301">
        <v>2225</v>
      </c>
      <c r="S1301" s="50">
        <f t="shared" si="287"/>
        <v>71535.307499999995</v>
      </c>
      <c r="T1301" s="50">
        <f t="shared" si="292"/>
        <v>0</v>
      </c>
      <c r="U1301" s="58">
        <f t="shared" si="293"/>
        <v>0</v>
      </c>
      <c r="V1301" s="58">
        <f t="shared" si="294"/>
        <v>0</v>
      </c>
      <c r="W1301" s="58">
        <f t="shared" si="295"/>
        <v>0</v>
      </c>
      <c r="X1301" s="58">
        <f t="shared" si="296"/>
        <v>0</v>
      </c>
      <c r="Y1301" s="52">
        <f t="shared" si="297"/>
        <v>0</v>
      </c>
    </row>
    <row r="1302" spans="1:25" x14ac:dyDescent="0.25">
      <c r="A1302" s="1218" t="s">
        <v>100</v>
      </c>
      <c r="B1302" s="98">
        <v>45597</v>
      </c>
      <c r="C1302" s="117" t="str">
        <f t="shared" si="298"/>
        <v>4L</v>
      </c>
      <c r="D1302" s="96"/>
      <c r="E1302" s="98"/>
      <c r="F1302" s="98"/>
      <c r="I1302" s="99">
        <f t="shared" si="285"/>
        <v>0</v>
      </c>
      <c r="L1302" s="99">
        <f t="shared" si="286"/>
        <v>0</v>
      </c>
      <c r="M1302" s="44" t="str">
        <f t="shared" si="288"/>
        <v/>
      </c>
      <c r="N1302" s="100">
        <f t="shared" si="289"/>
        <v>0</v>
      </c>
      <c r="O1302" s="101">
        <f t="shared" si="290"/>
        <v>0</v>
      </c>
      <c r="P1302" s="52">
        <f t="shared" si="291"/>
        <v>0</v>
      </c>
      <c r="Q1302" s="49">
        <v>116.88487613461319</v>
      </c>
      <c r="R1302">
        <v>2225</v>
      </c>
      <c r="S1302" s="50">
        <f t="shared" si="287"/>
        <v>71535.307499999995</v>
      </c>
      <c r="T1302" s="50">
        <f t="shared" si="292"/>
        <v>0</v>
      </c>
      <c r="U1302" s="58">
        <f t="shared" si="293"/>
        <v>0</v>
      </c>
      <c r="V1302" s="58">
        <f t="shared" si="294"/>
        <v>0</v>
      </c>
      <c r="W1302" s="58">
        <f t="shared" si="295"/>
        <v>0</v>
      </c>
      <c r="X1302" s="58">
        <f t="shared" si="296"/>
        <v>0</v>
      </c>
      <c r="Y1302" s="52">
        <f t="shared" si="297"/>
        <v>0</v>
      </c>
    </row>
    <row r="1303" spans="1:25" x14ac:dyDescent="0.25">
      <c r="A1303" s="1218" t="s">
        <v>101</v>
      </c>
      <c r="B1303" s="98">
        <v>45597</v>
      </c>
      <c r="C1303" s="117" t="str">
        <f t="shared" si="298"/>
        <v>4L</v>
      </c>
      <c r="D1303" s="96"/>
      <c r="E1303" s="98"/>
      <c r="F1303" s="98"/>
      <c r="I1303" s="99">
        <f t="shared" si="285"/>
        <v>0</v>
      </c>
      <c r="L1303" s="99">
        <f t="shared" si="286"/>
        <v>0</v>
      </c>
      <c r="M1303" s="44" t="str">
        <f t="shared" si="288"/>
        <v/>
      </c>
      <c r="N1303" s="100">
        <f t="shared" si="289"/>
        <v>0</v>
      </c>
      <c r="O1303" s="101">
        <f t="shared" si="290"/>
        <v>0</v>
      </c>
      <c r="P1303" s="52">
        <f t="shared" si="291"/>
        <v>0</v>
      </c>
      <c r="Q1303" s="49">
        <v>116.88487613461319</v>
      </c>
      <c r="R1303">
        <v>2225</v>
      </c>
      <c r="S1303" s="50">
        <f t="shared" si="287"/>
        <v>71535.307499999995</v>
      </c>
      <c r="T1303" s="50">
        <f t="shared" si="292"/>
        <v>0</v>
      </c>
      <c r="U1303" s="58">
        <f t="shared" si="293"/>
        <v>0</v>
      </c>
      <c r="V1303" s="58">
        <f t="shared" si="294"/>
        <v>0</v>
      </c>
      <c r="W1303" s="58">
        <f t="shared" si="295"/>
        <v>0</v>
      </c>
      <c r="X1303" s="58">
        <f t="shared" si="296"/>
        <v>0</v>
      </c>
      <c r="Y1303" s="52">
        <f t="shared" si="297"/>
        <v>0</v>
      </c>
    </row>
    <row r="1304" spans="1:25" x14ac:dyDescent="0.25">
      <c r="A1304" s="1218" t="s">
        <v>102</v>
      </c>
      <c r="B1304" s="98">
        <v>45597</v>
      </c>
      <c r="C1304" s="117" t="str">
        <f t="shared" si="298"/>
        <v>4L</v>
      </c>
      <c r="D1304" s="96"/>
      <c r="E1304" s="98"/>
      <c r="F1304" s="98"/>
      <c r="I1304" s="99">
        <f t="shared" si="285"/>
        <v>0</v>
      </c>
      <c r="L1304" s="99">
        <f t="shared" si="286"/>
        <v>0</v>
      </c>
      <c r="M1304" s="44" t="str">
        <f t="shared" si="288"/>
        <v/>
      </c>
      <c r="N1304" s="100">
        <f t="shared" si="289"/>
        <v>0</v>
      </c>
      <c r="O1304" s="101">
        <f t="shared" si="290"/>
        <v>0</v>
      </c>
      <c r="P1304" s="52">
        <f t="shared" si="291"/>
        <v>0</v>
      </c>
      <c r="Q1304" s="49">
        <v>116.88487613461319</v>
      </c>
      <c r="R1304">
        <v>2225</v>
      </c>
      <c r="S1304" s="50">
        <f t="shared" si="287"/>
        <v>71535.307499999995</v>
      </c>
      <c r="T1304" s="50">
        <f t="shared" si="292"/>
        <v>0</v>
      </c>
      <c r="U1304" s="58">
        <f t="shared" si="293"/>
        <v>0</v>
      </c>
      <c r="V1304" s="58">
        <f t="shared" si="294"/>
        <v>0</v>
      </c>
      <c r="W1304" s="58">
        <f t="shared" si="295"/>
        <v>0</v>
      </c>
      <c r="X1304" s="58">
        <f t="shared" si="296"/>
        <v>0</v>
      </c>
      <c r="Y1304" s="52">
        <f t="shared" si="297"/>
        <v>0</v>
      </c>
    </row>
    <row r="1305" spans="1:25" x14ac:dyDescent="0.25">
      <c r="A1305" s="1218" t="s">
        <v>103</v>
      </c>
      <c r="B1305" s="98">
        <v>45597</v>
      </c>
      <c r="C1305" s="117" t="str">
        <f t="shared" si="298"/>
        <v>4L</v>
      </c>
      <c r="D1305" s="96"/>
      <c r="E1305" s="98"/>
      <c r="F1305" s="98"/>
      <c r="I1305" s="99">
        <f t="shared" si="285"/>
        <v>0</v>
      </c>
      <c r="L1305" s="99">
        <f t="shared" si="286"/>
        <v>0</v>
      </c>
      <c r="M1305" s="44" t="str">
        <f t="shared" si="288"/>
        <v/>
      </c>
      <c r="N1305" s="100">
        <f t="shared" si="289"/>
        <v>0</v>
      </c>
      <c r="O1305" s="101">
        <f t="shared" si="290"/>
        <v>0</v>
      </c>
      <c r="P1305" s="52">
        <f t="shared" si="291"/>
        <v>0</v>
      </c>
      <c r="Q1305" s="49">
        <v>116.88487613461319</v>
      </c>
      <c r="R1305">
        <v>2225</v>
      </c>
      <c r="S1305" s="50">
        <f t="shared" si="287"/>
        <v>71535.307499999995</v>
      </c>
      <c r="T1305" s="50">
        <f t="shared" si="292"/>
        <v>0</v>
      </c>
      <c r="U1305" s="58">
        <f t="shared" si="293"/>
        <v>0</v>
      </c>
      <c r="V1305" s="58">
        <f t="shared" si="294"/>
        <v>0</v>
      </c>
      <c r="W1305" s="58">
        <f t="shared" si="295"/>
        <v>0</v>
      </c>
      <c r="X1305" s="58">
        <f t="shared" si="296"/>
        <v>0</v>
      </c>
      <c r="Y1305" s="52">
        <f t="shared" si="297"/>
        <v>0</v>
      </c>
    </row>
    <row r="1306" spans="1:25" x14ac:dyDescent="0.25">
      <c r="A1306" s="1218" t="s">
        <v>104</v>
      </c>
      <c r="B1306" s="98">
        <v>45597</v>
      </c>
      <c r="C1306" s="117" t="str">
        <f t="shared" si="298"/>
        <v>4L</v>
      </c>
      <c r="D1306" s="96"/>
      <c r="E1306" s="98"/>
      <c r="F1306" s="98"/>
      <c r="I1306" s="99">
        <f t="shared" si="285"/>
        <v>0</v>
      </c>
      <c r="J1306">
        <v>597</v>
      </c>
      <c r="K1306" s="49">
        <v>1.4855461011904763</v>
      </c>
      <c r="L1306" s="99">
        <f t="shared" si="286"/>
        <v>0.88687102241071436</v>
      </c>
      <c r="M1306" s="44" t="str">
        <f t="shared" si="288"/>
        <v/>
      </c>
      <c r="N1306" s="100">
        <f t="shared" si="289"/>
        <v>597</v>
      </c>
      <c r="O1306" s="101">
        <f t="shared" si="290"/>
        <v>0.88687102241071436</v>
      </c>
      <c r="P1306" s="52">
        <f t="shared" si="291"/>
        <v>-6337.6797513742349</v>
      </c>
      <c r="Q1306" s="49">
        <v>116.88487613461319</v>
      </c>
      <c r="R1306">
        <v>2225</v>
      </c>
      <c r="S1306" s="50">
        <f t="shared" si="287"/>
        <v>71535.307499999995</v>
      </c>
      <c r="T1306" s="50">
        <f t="shared" si="292"/>
        <v>0</v>
      </c>
      <c r="U1306" s="58">
        <f t="shared" si="293"/>
        <v>63442.591300989836</v>
      </c>
      <c r="V1306" s="58">
        <f t="shared" si="294"/>
        <v>0</v>
      </c>
      <c r="W1306" s="58">
        <f t="shared" si="295"/>
        <v>69780.271052364071</v>
      </c>
      <c r="X1306" s="58">
        <f t="shared" si="296"/>
        <v>0</v>
      </c>
      <c r="Y1306" s="52">
        <f t="shared" si="297"/>
        <v>-6337.6797513742349</v>
      </c>
    </row>
    <row r="1307" spans="1:25" x14ac:dyDescent="0.25">
      <c r="A1307" s="1218" t="s">
        <v>105</v>
      </c>
      <c r="B1307" s="98">
        <v>45597</v>
      </c>
      <c r="C1307" s="117" t="str">
        <f t="shared" si="298"/>
        <v>4L</v>
      </c>
      <c r="D1307" s="96"/>
      <c r="E1307" s="98"/>
      <c r="F1307" s="98"/>
      <c r="I1307" s="99">
        <f t="shared" si="285"/>
        <v>0</v>
      </c>
      <c r="L1307" s="99">
        <f t="shared" si="286"/>
        <v>0</v>
      </c>
      <c r="M1307" s="44" t="str">
        <f t="shared" si="288"/>
        <v/>
      </c>
      <c r="N1307" s="100">
        <f t="shared" si="289"/>
        <v>0</v>
      </c>
      <c r="O1307" s="101">
        <f t="shared" si="290"/>
        <v>0</v>
      </c>
      <c r="P1307" s="52">
        <f t="shared" si="291"/>
        <v>0</v>
      </c>
      <c r="Q1307" s="49">
        <v>116.88487613461319</v>
      </c>
      <c r="R1307">
        <v>2225</v>
      </c>
      <c r="S1307" s="50">
        <f t="shared" si="287"/>
        <v>71535.307499999995</v>
      </c>
      <c r="T1307" s="50">
        <f t="shared" si="292"/>
        <v>0</v>
      </c>
      <c r="U1307" s="58">
        <f t="shared" si="293"/>
        <v>0</v>
      </c>
      <c r="V1307" s="58">
        <f t="shared" si="294"/>
        <v>0</v>
      </c>
      <c r="W1307" s="58">
        <f t="shared" si="295"/>
        <v>0</v>
      </c>
      <c r="X1307" s="58">
        <f t="shared" si="296"/>
        <v>0</v>
      </c>
      <c r="Y1307" s="52">
        <f t="shared" si="297"/>
        <v>0</v>
      </c>
    </row>
    <row r="1308" spans="1:25" x14ac:dyDescent="0.25">
      <c r="A1308" s="1218" t="s">
        <v>106</v>
      </c>
      <c r="B1308" s="98">
        <v>45597</v>
      </c>
      <c r="C1308" s="117" t="str">
        <f t="shared" si="298"/>
        <v>4L</v>
      </c>
      <c r="D1308" s="96"/>
      <c r="E1308" s="98"/>
      <c r="F1308" s="98"/>
      <c r="I1308" s="99">
        <f t="shared" si="285"/>
        <v>0</v>
      </c>
      <c r="L1308" s="99">
        <f t="shared" si="286"/>
        <v>0</v>
      </c>
      <c r="M1308" s="44" t="str">
        <f t="shared" si="288"/>
        <v/>
      </c>
      <c r="N1308" s="100">
        <f t="shared" si="289"/>
        <v>0</v>
      </c>
      <c r="O1308" s="101">
        <f t="shared" si="290"/>
        <v>0</v>
      </c>
      <c r="P1308" s="52">
        <f t="shared" si="291"/>
        <v>0</v>
      </c>
      <c r="Q1308" s="49">
        <v>116.88487613461319</v>
      </c>
      <c r="R1308">
        <v>2225</v>
      </c>
      <c r="S1308" s="50">
        <f t="shared" si="287"/>
        <v>71535.307499999995</v>
      </c>
      <c r="T1308" s="50">
        <f t="shared" si="292"/>
        <v>0</v>
      </c>
      <c r="U1308" s="58">
        <f t="shared" si="293"/>
        <v>0</v>
      </c>
      <c r="V1308" s="58">
        <f t="shared" si="294"/>
        <v>0</v>
      </c>
      <c r="W1308" s="58">
        <f t="shared" si="295"/>
        <v>0</v>
      </c>
      <c r="X1308" s="58">
        <f t="shared" si="296"/>
        <v>0</v>
      </c>
      <c r="Y1308" s="52">
        <f t="shared" si="297"/>
        <v>0</v>
      </c>
    </row>
    <row r="1309" spans="1:25" x14ac:dyDescent="0.25">
      <c r="A1309" s="1218" t="s">
        <v>107</v>
      </c>
      <c r="B1309" s="98">
        <v>45597</v>
      </c>
      <c r="C1309" s="117" t="str">
        <f t="shared" si="298"/>
        <v>4L</v>
      </c>
      <c r="D1309" s="96"/>
      <c r="E1309" s="98"/>
      <c r="F1309" s="98"/>
      <c r="I1309" s="99">
        <f t="shared" si="285"/>
        <v>0</v>
      </c>
      <c r="L1309" s="99">
        <f t="shared" si="286"/>
        <v>0</v>
      </c>
      <c r="M1309" s="44" t="str">
        <f t="shared" si="288"/>
        <v/>
      </c>
      <c r="N1309" s="100">
        <f t="shared" si="289"/>
        <v>0</v>
      </c>
      <c r="O1309" s="101">
        <f t="shared" si="290"/>
        <v>0</v>
      </c>
      <c r="P1309" s="52">
        <f t="shared" si="291"/>
        <v>0</v>
      </c>
      <c r="Q1309" s="49">
        <v>116.88487613461319</v>
      </c>
      <c r="R1309">
        <v>2225</v>
      </c>
      <c r="S1309" s="50">
        <f t="shared" si="287"/>
        <v>71535.307499999995</v>
      </c>
      <c r="T1309" s="50">
        <f t="shared" si="292"/>
        <v>0</v>
      </c>
      <c r="U1309" s="58">
        <f t="shared" si="293"/>
        <v>0</v>
      </c>
      <c r="V1309" s="58">
        <f t="shared" si="294"/>
        <v>0</v>
      </c>
      <c r="W1309" s="58">
        <f t="shared" si="295"/>
        <v>0</v>
      </c>
      <c r="X1309" s="58">
        <f t="shared" si="296"/>
        <v>0</v>
      </c>
      <c r="Y1309" s="52">
        <f t="shared" si="297"/>
        <v>0</v>
      </c>
    </row>
    <row r="1310" spans="1:25" x14ac:dyDescent="0.25">
      <c r="A1310" s="1218" t="s">
        <v>108</v>
      </c>
      <c r="B1310" s="98">
        <v>45597</v>
      </c>
      <c r="C1310" s="117" t="str">
        <f t="shared" si="298"/>
        <v>4L</v>
      </c>
      <c r="D1310" s="96"/>
      <c r="E1310" s="98"/>
      <c r="F1310" s="98"/>
      <c r="I1310" s="99">
        <f t="shared" si="285"/>
        <v>0</v>
      </c>
      <c r="L1310" s="99">
        <f t="shared" si="286"/>
        <v>0</v>
      </c>
      <c r="M1310" s="44" t="str">
        <f t="shared" si="288"/>
        <v/>
      </c>
      <c r="N1310" s="100">
        <f t="shared" si="289"/>
        <v>0</v>
      </c>
      <c r="O1310" s="101">
        <f t="shared" si="290"/>
        <v>0</v>
      </c>
      <c r="P1310" s="52">
        <f t="shared" si="291"/>
        <v>0</v>
      </c>
      <c r="Q1310" s="49">
        <v>116.88487613461319</v>
      </c>
      <c r="R1310">
        <v>2225</v>
      </c>
      <c r="S1310" s="50">
        <f t="shared" si="287"/>
        <v>71535.307499999995</v>
      </c>
      <c r="T1310" s="50">
        <f t="shared" si="292"/>
        <v>0</v>
      </c>
      <c r="U1310" s="58">
        <f t="shared" si="293"/>
        <v>0</v>
      </c>
      <c r="V1310" s="58">
        <f t="shared" si="294"/>
        <v>0</v>
      </c>
      <c r="W1310" s="58">
        <f t="shared" si="295"/>
        <v>0</v>
      </c>
      <c r="X1310" s="58">
        <f t="shared" si="296"/>
        <v>0</v>
      </c>
      <c r="Y1310" s="52">
        <f t="shared" si="297"/>
        <v>0</v>
      </c>
    </row>
    <row r="1311" spans="1:25" x14ac:dyDescent="0.25">
      <c r="A1311" s="1218" t="s">
        <v>109</v>
      </c>
      <c r="B1311" s="98">
        <v>45597</v>
      </c>
      <c r="C1311" s="117" t="str">
        <f t="shared" si="298"/>
        <v>4L</v>
      </c>
      <c r="D1311" s="96"/>
      <c r="E1311" s="98"/>
      <c r="F1311" s="98"/>
      <c r="I1311" s="99">
        <f t="shared" si="285"/>
        <v>0</v>
      </c>
      <c r="L1311" s="99">
        <f t="shared" si="286"/>
        <v>0</v>
      </c>
      <c r="M1311" s="44" t="str">
        <f t="shared" si="288"/>
        <v/>
      </c>
      <c r="N1311" s="100">
        <f t="shared" si="289"/>
        <v>0</v>
      </c>
      <c r="O1311" s="101">
        <f t="shared" si="290"/>
        <v>0</v>
      </c>
      <c r="P1311" s="52">
        <f t="shared" si="291"/>
        <v>0</v>
      </c>
      <c r="Q1311" s="49">
        <v>116.88487613461319</v>
      </c>
      <c r="R1311">
        <v>2225</v>
      </c>
      <c r="S1311" s="50">
        <f t="shared" si="287"/>
        <v>71535.307499999995</v>
      </c>
      <c r="T1311" s="50">
        <f t="shared" si="292"/>
        <v>0</v>
      </c>
      <c r="U1311" s="58">
        <f t="shared" si="293"/>
        <v>0</v>
      </c>
      <c r="V1311" s="58">
        <f t="shared" si="294"/>
        <v>0</v>
      </c>
      <c r="W1311" s="58">
        <f t="shared" si="295"/>
        <v>0</v>
      </c>
      <c r="X1311" s="58">
        <f t="shared" si="296"/>
        <v>0</v>
      </c>
      <c r="Y1311" s="52">
        <f t="shared" si="297"/>
        <v>0</v>
      </c>
    </row>
    <row r="1312" spans="1:25" x14ac:dyDescent="0.25">
      <c r="A1312" s="1218" t="s">
        <v>110</v>
      </c>
      <c r="B1312" s="98">
        <v>45597</v>
      </c>
      <c r="C1312" s="117" t="str">
        <f t="shared" si="298"/>
        <v>4L</v>
      </c>
      <c r="D1312" s="96"/>
      <c r="E1312" s="98"/>
      <c r="F1312" s="98"/>
      <c r="I1312" s="99">
        <f t="shared" si="285"/>
        <v>0</v>
      </c>
      <c r="L1312" s="99">
        <f t="shared" si="286"/>
        <v>0</v>
      </c>
      <c r="M1312" s="44" t="str">
        <f t="shared" si="288"/>
        <v/>
      </c>
      <c r="N1312" s="100">
        <f t="shared" si="289"/>
        <v>0</v>
      </c>
      <c r="O1312" s="101">
        <f t="shared" si="290"/>
        <v>0</v>
      </c>
      <c r="P1312" s="52">
        <f t="shared" si="291"/>
        <v>0</v>
      </c>
      <c r="Q1312" s="49">
        <v>116.88487613461319</v>
      </c>
      <c r="R1312">
        <v>2225</v>
      </c>
      <c r="S1312" s="50">
        <f t="shared" si="287"/>
        <v>71535.307499999995</v>
      </c>
      <c r="T1312" s="50">
        <f t="shared" si="292"/>
        <v>0</v>
      </c>
      <c r="U1312" s="58">
        <f t="shared" si="293"/>
        <v>0</v>
      </c>
      <c r="V1312" s="58">
        <f t="shared" si="294"/>
        <v>0</v>
      </c>
      <c r="W1312" s="58">
        <f t="shared" si="295"/>
        <v>0</v>
      </c>
      <c r="X1312" s="58">
        <f t="shared" si="296"/>
        <v>0</v>
      </c>
      <c r="Y1312" s="52">
        <f t="shared" si="297"/>
        <v>0</v>
      </c>
    </row>
    <row r="1313" spans="1:25" x14ac:dyDescent="0.25">
      <c r="A1313" s="1218" t="s">
        <v>111</v>
      </c>
      <c r="B1313" s="98">
        <v>45597</v>
      </c>
      <c r="C1313" s="117" t="str">
        <f t="shared" si="298"/>
        <v>4L</v>
      </c>
      <c r="D1313" s="96"/>
      <c r="E1313" s="98"/>
      <c r="F1313" s="98"/>
      <c r="G1313" s="43">
        <v>2100</v>
      </c>
      <c r="H1313" s="26">
        <v>1.4</v>
      </c>
      <c r="I1313" s="99">
        <f t="shared" si="285"/>
        <v>2.94</v>
      </c>
      <c r="J1313">
        <v>1715</v>
      </c>
      <c r="K1313" s="49">
        <v>1.8307786458333333</v>
      </c>
      <c r="L1313" s="99">
        <f t="shared" si="286"/>
        <v>3.1397853776041664</v>
      </c>
      <c r="M1313" s="44">
        <f t="shared" si="288"/>
        <v>6.7954210069444382E-2</v>
      </c>
      <c r="N1313" s="100">
        <f t="shared" si="289"/>
        <v>-385</v>
      </c>
      <c r="O1313" s="101">
        <f t="shared" si="290"/>
        <v>0.19978537760416648</v>
      </c>
      <c r="P1313" s="52">
        <f t="shared" si="291"/>
        <v>24147.949900056003</v>
      </c>
      <c r="Q1313" s="49">
        <v>116.88487613461319</v>
      </c>
      <c r="R1313">
        <v>2225</v>
      </c>
      <c r="S1313" s="50">
        <f t="shared" si="287"/>
        <v>71535.307499999995</v>
      </c>
      <c r="T1313" s="50">
        <f t="shared" si="292"/>
        <v>210313.80404999998</v>
      </c>
      <c r="U1313" s="58">
        <f t="shared" si="293"/>
        <v>224605.51247091763</v>
      </c>
      <c r="V1313" s="58">
        <f t="shared" si="294"/>
        <v>245458.23988268772</v>
      </c>
      <c r="W1313" s="58">
        <f t="shared" si="295"/>
        <v>200457.56257086163</v>
      </c>
      <c r="X1313" s="58">
        <f t="shared" si="296"/>
        <v>-35144.435832687741</v>
      </c>
      <c r="Y1313" s="52">
        <f t="shared" si="297"/>
        <v>24147.949900056003</v>
      </c>
    </row>
    <row r="1314" spans="1:25" x14ac:dyDescent="0.25">
      <c r="A1314" s="1218" t="s">
        <v>112</v>
      </c>
      <c r="B1314" s="98">
        <v>45597</v>
      </c>
      <c r="C1314" s="117" t="str">
        <f t="shared" si="298"/>
        <v>4L</v>
      </c>
      <c r="D1314" s="96"/>
      <c r="E1314" s="98"/>
      <c r="F1314" s="98"/>
      <c r="I1314" s="99">
        <f t="shared" si="285"/>
        <v>0</v>
      </c>
      <c r="L1314" s="99">
        <f t="shared" si="286"/>
        <v>0</v>
      </c>
      <c r="M1314" s="44" t="str">
        <f t="shared" si="288"/>
        <v/>
      </c>
      <c r="N1314" s="100">
        <f t="shared" si="289"/>
        <v>0</v>
      </c>
      <c r="O1314" s="101">
        <f t="shared" si="290"/>
        <v>0</v>
      </c>
      <c r="P1314" s="52">
        <f t="shared" si="291"/>
        <v>0</v>
      </c>
      <c r="Q1314" s="49">
        <v>116.88487613461319</v>
      </c>
      <c r="R1314">
        <v>2225</v>
      </c>
      <c r="S1314" s="50">
        <f t="shared" si="287"/>
        <v>71535.307499999995</v>
      </c>
      <c r="T1314" s="50">
        <f t="shared" si="292"/>
        <v>0</v>
      </c>
      <c r="U1314" s="58">
        <f t="shared" si="293"/>
        <v>0</v>
      </c>
      <c r="V1314" s="58">
        <f t="shared" si="294"/>
        <v>0</v>
      </c>
      <c r="W1314" s="58">
        <f t="shared" si="295"/>
        <v>0</v>
      </c>
      <c r="X1314" s="58">
        <f t="shared" si="296"/>
        <v>0</v>
      </c>
      <c r="Y1314" s="52">
        <f t="shared" si="297"/>
        <v>0</v>
      </c>
    </row>
    <row r="1315" spans="1:25" x14ac:dyDescent="0.25">
      <c r="A1315" s="1218" t="s">
        <v>113</v>
      </c>
      <c r="B1315" s="98">
        <v>45597</v>
      </c>
      <c r="C1315" s="117" t="str">
        <f t="shared" si="298"/>
        <v>4L</v>
      </c>
      <c r="D1315" s="96"/>
      <c r="E1315" s="98"/>
      <c r="F1315" s="98"/>
      <c r="I1315" s="99">
        <f t="shared" si="285"/>
        <v>0</v>
      </c>
      <c r="L1315" s="99">
        <f t="shared" si="286"/>
        <v>0</v>
      </c>
      <c r="M1315" s="44" t="str">
        <f t="shared" si="288"/>
        <v/>
      </c>
      <c r="N1315" s="100">
        <f t="shared" si="289"/>
        <v>0</v>
      </c>
      <c r="O1315" s="101">
        <f t="shared" si="290"/>
        <v>0</v>
      </c>
      <c r="P1315" s="52">
        <f t="shared" si="291"/>
        <v>0</v>
      </c>
      <c r="Q1315" s="49">
        <v>116.88487613461319</v>
      </c>
      <c r="R1315">
        <v>2225</v>
      </c>
      <c r="S1315" s="50">
        <f t="shared" si="287"/>
        <v>71535.307499999995</v>
      </c>
      <c r="T1315" s="50">
        <f t="shared" si="292"/>
        <v>0</v>
      </c>
      <c r="U1315" s="58">
        <f t="shared" si="293"/>
        <v>0</v>
      </c>
      <c r="V1315" s="58">
        <f t="shared" si="294"/>
        <v>0</v>
      </c>
      <c r="W1315" s="58">
        <f t="shared" si="295"/>
        <v>0</v>
      </c>
      <c r="X1315" s="58">
        <f t="shared" si="296"/>
        <v>0</v>
      </c>
      <c r="Y1315" s="52">
        <f t="shared" si="297"/>
        <v>0</v>
      </c>
    </row>
    <row r="1316" spans="1:25" x14ac:dyDescent="0.25">
      <c r="A1316" s="1218" t="s">
        <v>114</v>
      </c>
      <c r="B1316" s="98">
        <v>45597</v>
      </c>
      <c r="C1316" s="117" t="str">
        <f t="shared" si="298"/>
        <v>4L</v>
      </c>
      <c r="D1316" s="96"/>
      <c r="E1316" s="98"/>
      <c r="F1316" s="98"/>
      <c r="I1316" s="99">
        <f t="shared" si="285"/>
        <v>0</v>
      </c>
      <c r="L1316" s="99">
        <f t="shared" si="286"/>
        <v>0</v>
      </c>
      <c r="M1316" s="44" t="str">
        <f t="shared" si="288"/>
        <v/>
      </c>
      <c r="N1316" s="100">
        <f t="shared" si="289"/>
        <v>0</v>
      </c>
      <c r="O1316" s="101">
        <f t="shared" si="290"/>
        <v>0</v>
      </c>
      <c r="P1316" s="52">
        <f t="shared" si="291"/>
        <v>0</v>
      </c>
      <c r="Q1316" s="49">
        <v>116.88487613461319</v>
      </c>
      <c r="R1316">
        <v>2225</v>
      </c>
      <c r="S1316" s="50">
        <f t="shared" si="287"/>
        <v>71535.307499999995</v>
      </c>
      <c r="T1316" s="50">
        <f t="shared" si="292"/>
        <v>0</v>
      </c>
      <c r="U1316" s="58">
        <f t="shared" si="293"/>
        <v>0</v>
      </c>
      <c r="V1316" s="58">
        <f t="shared" si="294"/>
        <v>0</v>
      </c>
      <c r="W1316" s="58">
        <f t="shared" si="295"/>
        <v>0</v>
      </c>
      <c r="X1316" s="58">
        <f t="shared" si="296"/>
        <v>0</v>
      </c>
      <c r="Y1316" s="52">
        <f t="shared" si="297"/>
        <v>0</v>
      </c>
    </row>
    <row r="1317" spans="1:25" x14ac:dyDescent="0.25">
      <c r="A1317" s="1218" t="s">
        <v>115</v>
      </c>
      <c r="B1317" s="98">
        <v>45597</v>
      </c>
      <c r="C1317" s="117" t="str">
        <f t="shared" si="298"/>
        <v>4L</v>
      </c>
      <c r="D1317" s="96"/>
      <c r="E1317" s="98"/>
      <c r="F1317" s="98"/>
      <c r="I1317" s="99">
        <f t="shared" si="285"/>
        <v>0</v>
      </c>
      <c r="L1317" s="99">
        <f t="shared" si="286"/>
        <v>0</v>
      </c>
      <c r="M1317" s="44" t="str">
        <f t="shared" si="288"/>
        <v/>
      </c>
      <c r="N1317" s="100">
        <f t="shared" si="289"/>
        <v>0</v>
      </c>
      <c r="O1317" s="101">
        <f t="shared" si="290"/>
        <v>0</v>
      </c>
      <c r="P1317" s="52">
        <f t="shared" si="291"/>
        <v>0</v>
      </c>
      <c r="Q1317" s="49">
        <v>116.88487613461319</v>
      </c>
      <c r="R1317">
        <v>2225</v>
      </c>
      <c r="S1317" s="50">
        <f t="shared" si="287"/>
        <v>71535.307499999995</v>
      </c>
      <c r="T1317" s="50">
        <f t="shared" si="292"/>
        <v>0</v>
      </c>
      <c r="U1317" s="58">
        <f t="shared" si="293"/>
        <v>0</v>
      </c>
      <c r="V1317" s="58">
        <f t="shared" si="294"/>
        <v>0</v>
      </c>
      <c r="W1317" s="58">
        <f t="shared" si="295"/>
        <v>0</v>
      </c>
      <c r="X1317" s="58">
        <f t="shared" si="296"/>
        <v>0</v>
      </c>
      <c r="Y1317" s="52">
        <f t="shared" si="297"/>
        <v>0</v>
      </c>
    </row>
    <row r="1318" spans="1:25" x14ac:dyDescent="0.25">
      <c r="A1318" s="1218" t="s">
        <v>116</v>
      </c>
      <c r="B1318" s="98">
        <v>45597</v>
      </c>
      <c r="C1318" s="117" t="str">
        <f t="shared" si="298"/>
        <v>4L</v>
      </c>
      <c r="D1318" s="96"/>
      <c r="E1318" s="98"/>
      <c r="F1318" s="98"/>
      <c r="I1318" s="99">
        <f t="shared" si="285"/>
        <v>0</v>
      </c>
      <c r="J1318">
        <v>895</v>
      </c>
      <c r="K1318" s="49">
        <v>2.0400104910714285</v>
      </c>
      <c r="L1318" s="99">
        <f t="shared" si="286"/>
        <v>1.8258093895089285</v>
      </c>
      <c r="M1318" s="44" t="str">
        <f t="shared" si="288"/>
        <v/>
      </c>
      <c r="N1318" s="100">
        <f t="shared" si="289"/>
        <v>895</v>
      </c>
      <c r="O1318" s="101">
        <f t="shared" si="290"/>
        <v>1.8258093895089285</v>
      </c>
      <c r="P1318" s="52">
        <f t="shared" si="291"/>
        <v>25997.871974429654</v>
      </c>
      <c r="Q1318" s="49">
        <v>116.88487613461319</v>
      </c>
      <c r="R1318">
        <v>2225</v>
      </c>
      <c r="S1318" s="50">
        <f t="shared" si="287"/>
        <v>71535.307499999995</v>
      </c>
      <c r="T1318" s="50">
        <f t="shared" si="292"/>
        <v>0</v>
      </c>
      <c r="U1318" s="58">
        <f t="shared" si="293"/>
        <v>130609.83611490847</v>
      </c>
      <c r="V1318" s="58">
        <f t="shared" si="294"/>
        <v>0</v>
      </c>
      <c r="W1318" s="58">
        <f t="shared" si="295"/>
        <v>104611.96414047881</v>
      </c>
      <c r="X1318" s="58">
        <f t="shared" si="296"/>
        <v>0</v>
      </c>
      <c r="Y1318" s="52">
        <f t="shared" si="297"/>
        <v>25997.871974429654</v>
      </c>
    </row>
    <row r="1319" spans="1:25" x14ac:dyDescent="0.25">
      <c r="A1319" s="1218" t="s">
        <v>117</v>
      </c>
      <c r="B1319" s="98">
        <v>45597</v>
      </c>
      <c r="C1319" s="117" t="str">
        <f t="shared" si="298"/>
        <v>4L</v>
      </c>
      <c r="D1319" s="96"/>
      <c r="E1319" s="98"/>
      <c r="F1319" s="98"/>
      <c r="G1319" s="43">
        <v>2100</v>
      </c>
      <c r="H1319" s="26">
        <v>1.4</v>
      </c>
      <c r="I1319" s="99">
        <f t="shared" si="285"/>
        <v>2.94</v>
      </c>
      <c r="J1319">
        <v>4371</v>
      </c>
      <c r="K1319" s="49">
        <v>1.8307786458333333</v>
      </c>
      <c r="L1319" s="99">
        <f t="shared" si="286"/>
        <v>8.0023334609374999</v>
      </c>
      <c r="M1319" s="44">
        <f t="shared" si="288"/>
        <v>1.7218821295705784</v>
      </c>
      <c r="N1319" s="100">
        <f t="shared" si="289"/>
        <v>2271</v>
      </c>
      <c r="O1319" s="101">
        <f t="shared" si="290"/>
        <v>5.0623334609375004</v>
      </c>
      <c r="P1319" s="52">
        <f t="shared" si="291"/>
        <v>61545.591261308989</v>
      </c>
      <c r="Q1319" s="49">
        <v>116.88487613461319</v>
      </c>
      <c r="R1319">
        <v>2225</v>
      </c>
      <c r="S1319" s="50">
        <f t="shared" si="287"/>
        <v>71535.307499999995</v>
      </c>
      <c r="T1319" s="50">
        <f t="shared" si="292"/>
        <v>210313.80404999998</v>
      </c>
      <c r="U1319" s="58">
        <f t="shared" si="293"/>
        <v>572449.38484570326</v>
      </c>
      <c r="V1319" s="58">
        <f t="shared" si="294"/>
        <v>245458.23988268772</v>
      </c>
      <c r="W1319" s="58">
        <f t="shared" si="295"/>
        <v>510903.79358439427</v>
      </c>
      <c r="X1319" s="58">
        <f t="shared" si="296"/>
        <v>-35144.435832687741</v>
      </c>
      <c r="Y1319" s="52">
        <f t="shared" si="297"/>
        <v>61545.591261308989</v>
      </c>
    </row>
    <row r="1320" spans="1:25" x14ac:dyDescent="0.25">
      <c r="A1320" s="1218" t="s">
        <v>118</v>
      </c>
      <c r="B1320" s="98">
        <v>45597</v>
      </c>
      <c r="C1320" s="117" t="str">
        <f t="shared" si="298"/>
        <v>4L</v>
      </c>
      <c r="D1320" s="96"/>
      <c r="E1320" s="98"/>
      <c r="F1320" s="98"/>
      <c r="I1320" s="99">
        <f t="shared" si="285"/>
        <v>0</v>
      </c>
      <c r="L1320" s="99">
        <f t="shared" si="286"/>
        <v>0</v>
      </c>
      <c r="M1320" s="44" t="str">
        <f t="shared" si="288"/>
        <v/>
      </c>
      <c r="N1320" s="100">
        <f t="shared" si="289"/>
        <v>0</v>
      </c>
      <c r="O1320" s="101">
        <f t="shared" si="290"/>
        <v>0</v>
      </c>
      <c r="P1320" s="52">
        <f t="shared" si="291"/>
        <v>0</v>
      </c>
      <c r="Q1320" s="49">
        <v>116.88487613461319</v>
      </c>
      <c r="R1320">
        <v>2225</v>
      </c>
      <c r="S1320" s="50">
        <f t="shared" si="287"/>
        <v>71535.307499999995</v>
      </c>
      <c r="T1320" s="50">
        <f t="shared" si="292"/>
        <v>0</v>
      </c>
      <c r="U1320" s="58">
        <f t="shared" si="293"/>
        <v>0</v>
      </c>
      <c r="V1320" s="58">
        <f t="shared" si="294"/>
        <v>0</v>
      </c>
      <c r="W1320" s="58">
        <f t="shared" si="295"/>
        <v>0</v>
      </c>
      <c r="X1320" s="58">
        <f t="shared" si="296"/>
        <v>0</v>
      </c>
      <c r="Y1320" s="52">
        <f t="shared" si="297"/>
        <v>0</v>
      </c>
    </row>
    <row r="1321" spans="1:25" x14ac:dyDescent="0.25">
      <c r="A1321" s="1218" t="s">
        <v>119</v>
      </c>
      <c r="B1321" s="98">
        <v>45597</v>
      </c>
      <c r="C1321" s="117" t="str">
        <f t="shared" si="298"/>
        <v>4L</v>
      </c>
      <c r="D1321" s="96"/>
      <c r="E1321" s="98"/>
      <c r="F1321" s="98"/>
      <c r="I1321" s="99">
        <f t="shared" si="285"/>
        <v>0</v>
      </c>
      <c r="L1321" s="99">
        <f t="shared" si="286"/>
        <v>0</v>
      </c>
      <c r="M1321" s="44" t="str">
        <f t="shared" si="288"/>
        <v/>
      </c>
      <c r="N1321" s="100">
        <f t="shared" si="289"/>
        <v>0</v>
      </c>
      <c r="O1321" s="101">
        <f t="shared" si="290"/>
        <v>0</v>
      </c>
      <c r="P1321" s="52">
        <f t="shared" si="291"/>
        <v>0</v>
      </c>
      <c r="Q1321" s="49">
        <v>116.88487613461319</v>
      </c>
      <c r="R1321">
        <v>2225</v>
      </c>
      <c r="S1321" s="50">
        <f t="shared" si="287"/>
        <v>71535.307499999995</v>
      </c>
      <c r="T1321" s="50">
        <f t="shared" si="292"/>
        <v>0</v>
      </c>
      <c r="U1321" s="58">
        <f t="shared" si="293"/>
        <v>0</v>
      </c>
      <c r="V1321" s="58">
        <f t="shared" si="294"/>
        <v>0</v>
      </c>
      <c r="W1321" s="58">
        <f t="shared" si="295"/>
        <v>0</v>
      </c>
      <c r="X1321" s="58">
        <f t="shared" si="296"/>
        <v>0</v>
      </c>
      <c r="Y1321" s="52">
        <f t="shared" si="297"/>
        <v>0</v>
      </c>
    </row>
    <row r="1322" spans="1:25" x14ac:dyDescent="0.25">
      <c r="A1322" s="1218" t="s">
        <v>120</v>
      </c>
      <c r="B1322" s="98">
        <v>45597</v>
      </c>
      <c r="C1322" s="117" t="str">
        <f t="shared" si="298"/>
        <v>4L</v>
      </c>
      <c r="D1322" s="96"/>
      <c r="E1322" s="98"/>
      <c r="F1322" s="98"/>
      <c r="G1322" s="43">
        <v>1050</v>
      </c>
      <c r="H1322" s="26">
        <v>2.48</v>
      </c>
      <c r="I1322" s="99">
        <f t="shared" si="285"/>
        <v>2.6040000000000001</v>
      </c>
      <c r="J1322">
        <v>295</v>
      </c>
      <c r="K1322" s="49">
        <v>1.6006236160714287</v>
      </c>
      <c r="L1322" s="99">
        <f t="shared" si="286"/>
        <v>0.47218396674107144</v>
      </c>
      <c r="M1322" s="44">
        <f t="shared" si="288"/>
        <v>-0.81866975163553324</v>
      </c>
      <c r="N1322" s="100">
        <f t="shared" si="289"/>
        <v>-755</v>
      </c>
      <c r="O1322" s="101">
        <f t="shared" si="290"/>
        <v>-2.1318160332589287</v>
      </c>
      <c r="P1322" s="52">
        <f t="shared" si="291"/>
        <v>-703.2132023185768</v>
      </c>
      <c r="Q1322" s="49">
        <v>116.88487613461319</v>
      </c>
      <c r="R1322">
        <v>2225</v>
      </c>
      <c r="S1322" s="50">
        <f t="shared" si="287"/>
        <v>71535.307499999995</v>
      </c>
      <c r="T1322" s="50">
        <f t="shared" si="292"/>
        <v>186277.94073</v>
      </c>
      <c r="U1322" s="58">
        <f t="shared" si="293"/>
        <v>33777.825257392316</v>
      </c>
      <c r="V1322" s="58">
        <f t="shared" si="294"/>
        <v>122729.11994134386</v>
      </c>
      <c r="W1322" s="58">
        <f t="shared" si="295"/>
        <v>34481.038459710893</v>
      </c>
      <c r="X1322" s="58">
        <f t="shared" si="296"/>
        <v>63548.820788656143</v>
      </c>
      <c r="Y1322" s="52">
        <f t="shared" si="297"/>
        <v>-703.2132023185768</v>
      </c>
    </row>
    <row r="1323" spans="1:25" x14ac:dyDescent="0.25">
      <c r="A1323" s="1218" t="s">
        <v>121</v>
      </c>
      <c r="B1323" s="98">
        <v>45597</v>
      </c>
      <c r="C1323" s="117" t="str">
        <f t="shared" si="298"/>
        <v>4L</v>
      </c>
      <c r="D1323" s="96"/>
      <c r="E1323" s="98"/>
      <c r="F1323" s="98"/>
      <c r="G1323" s="43"/>
      <c r="H1323" s="26"/>
      <c r="I1323" s="99">
        <f t="shared" si="285"/>
        <v>0</v>
      </c>
      <c r="K1323" s="49"/>
      <c r="L1323" s="99">
        <f t="shared" si="286"/>
        <v>0</v>
      </c>
      <c r="M1323" s="44" t="str">
        <f t="shared" si="288"/>
        <v/>
      </c>
      <c r="N1323" s="100">
        <f t="shared" si="289"/>
        <v>0</v>
      </c>
      <c r="O1323" s="101">
        <f t="shared" si="290"/>
        <v>0</v>
      </c>
      <c r="P1323" s="52">
        <f t="shared" si="291"/>
        <v>0</v>
      </c>
      <c r="Q1323" s="49">
        <v>116.88487613461319</v>
      </c>
      <c r="R1323">
        <v>2225</v>
      </c>
      <c r="S1323" s="50">
        <f t="shared" si="287"/>
        <v>71535.307499999995</v>
      </c>
      <c r="T1323" s="50">
        <f t="shared" si="292"/>
        <v>0</v>
      </c>
      <c r="U1323" s="58">
        <f t="shared" si="293"/>
        <v>0</v>
      </c>
      <c r="V1323" s="58">
        <f t="shared" si="294"/>
        <v>0</v>
      </c>
      <c r="W1323" s="58">
        <f t="shared" si="295"/>
        <v>0</v>
      </c>
      <c r="X1323" s="58">
        <f t="shared" si="296"/>
        <v>0</v>
      </c>
      <c r="Y1323" s="52">
        <f t="shared" si="297"/>
        <v>0</v>
      </c>
    </row>
    <row r="1324" spans="1:25" x14ac:dyDescent="0.25">
      <c r="A1324" s="1218" t="s">
        <v>122</v>
      </c>
      <c r="B1324" s="98">
        <v>45597</v>
      </c>
      <c r="C1324" s="117" t="str">
        <f t="shared" si="298"/>
        <v>4L</v>
      </c>
      <c r="D1324" s="96"/>
      <c r="E1324" s="98"/>
      <c r="F1324" s="98"/>
      <c r="G1324" s="43"/>
      <c r="H1324" s="26"/>
      <c r="I1324" s="99">
        <f t="shared" si="285"/>
        <v>0</v>
      </c>
      <c r="K1324" s="49"/>
      <c r="L1324" s="99">
        <f t="shared" si="286"/>
        <v>0</v>
      </c>
      <c r="M1324" s="44" t="str">
        <f t="shared" si="288"/>
        <v/>
      </c>
      <c r="N1324" s="100">
        <f t="shared" si="289"/>
        <v>0</v>
      </c>
      <c r="O1324" s="101">
        <f t="shared" si="290"/>
        <v>0</v>
      </c>
      <c r="P1324" s="52">
        <f t="shared" si="291"/>
        <v>0</v>
      </c>
      <c r="Q1324" s="49">
        <v>116.88487613461319</v>
      </c>
      <c r="R1324">
        <v>2225</v>
      </c>
      <c r="S1324" s="50">
        <f t="shared" si="287"/>
        <v>71535.307499999995</v>
      </c>
      <c r="T1324" s="50">
        <f t="shared" si="292"/>
        <v>0</v>
      </c>
      <c r="U1324" s="58">
        <f t="shared" si="293"/>
        <v>0</v>
      </c>
      <c r="V1324" s="58">
        <f t="shared" si="294"/>
        <v>0</v>
      </c>
      <c r="W1324" s="58">
        <f t="shared" si="295"/>
        <v>0</v>
      </c>
      <c r="X1324" s="58">
        <f t="shared" si="296"/>
        <v>0</v>
      </c>
      <c r="Y1324" s="52">
        <f t="shared" si="297"/>
        <v>0</v>
      </c>
    </row>
    <row r="1325" spans="1:25" x14ac:dyDescent="0.25">
      <c r="A1325" s="1218" t="s">
        <v>123</v>
      </c>
      <c r="B1325" s="98">
        <v>45597</v>
      </c>
      <c r="C1325" s="117" t="str">
        <f t="shared" si="298"/>
        <v>4L</v>
      </c>
      <c r="D1325" s="96"/>
      <c r="E1325" s="98"/>
      <c r="F1325" s="98"/>
      <c r="I1325" s="99">
        <f t="shared" si="285"/>
        <v>0</v>
      </c>
      <c r="J1325">
        <v>581</v>
      </c>
      <c r="K1325" s="49">
        <v>1.5587772470238095</v>
      </c>
      <c r="L1325" s="99">
        <f t="shared" si="286"/>
        <v>0.90564958052083333</v>
      </c>
      <c r="M1325" s="44" t="str">
        <f t="shared" si="288"/>
        <v/>
      </c>
      <c r="N1325" s="100">
        <f t="shared" si="289"/>
        <v>581</v>
      </c>
      <c r="O1325" s="101">
        <f t="shared" si="290"/>
        <v>0.90564958052083333</v>
      </c>
      <c r="P1325" s="52">
        <f t="shared" si="291"/>
        <v>-3124.1918044064514</v>
      </c>
      <c r="Q1325" s="49">
        <v>116.88487613461319</v>
      </c>
      <c r="R1325">
        <v>2225</v>
      </c>
      <c r="S1325" s="50">
        <f t="shared" si="287"/>
        <v>71535.307499999995</v>
      </c>
      <c r="T1325" s="50">
        <f t="shared" si="292"/>
        <v>0</v>
      </c>
      <c r="U1325" s="58">
        <f t="shared" si="293"/>
        <v>64785.921229803818</v>
      </c>
      <c r="V1325" s="58">
        <f t="shared" si="294"/>
        <v>0</v>
      </c>
      <c r="W1325" s="58">
        <f t="shared" si="295"/>
        <v>67910.11303421027</v>
      </c>
      <c r="X1325" s="58">
        <f t="shared" si="296"/>
        <v>0</v>
      </c>
      <c r="Y1325" s="52">
        <f t="shared" si="297"/>
        <v>-3124.1918044064514</v>
      </c>
    </row>
    <row r="1326" spans="1:25" x14ac:dyDescent="0.25">
      <c r="A1326" s="1218" t="s">
        <v>124</v>
      </c>
      <c r="B1326" s="98">
        <v>45597</v>
      </c>
      <c r="C1326" s="117" t="str">
        <f t="shared" si="298"/>
        <v>4L</v>
      </c>
      <c r="D1326" s="96"/>
      <c r="E1326" s="98"/>
      <c r="F1326" s="98"/>
      <c r="I1326" s="99">
        <f t="shared" si="285"/>
        <v>0</v>
      </c>
      <c r="L1326" s="99">
        <f t="shared" si="286"/>
        <v>0</v>
      </c>
      <c r="M1326" s="44" t="str">
        <f t="shared" si="288"/>
        <v/>
      </c>
      <c r="N1326" s="100">
        <f t="shared" si="289"/>
        <v>0</v>
      </c>
      <c r="O1326" s="101">
        <f t="shared" si="290"/>
        <v>0</v>
      </c>
      <c r="P1326" s="52">
        <f t="shared" si="291"/>
        <v>0</v>
      </c>
      <c r="Q1326" s="49">
        <v>116.88487613461319</v>
      </c>
      <c r="R1326">
        <v>2225</v>
      </c>
      <c r="S1326" s="50">
        <f t="shared" si="287"/>
        <v>71535.307499999995</v>
      </c>
      <c r="T1326" s="50">
        <f t="shared" si="292"/>
        <v>0</v>
      </c>
      <c r="U1326" s="58">
        <f t="shared" si="293"/>
        <v>0</v>
      </c>
      <c r="V1326" s="58">
        <f t="shared" si="294"/>
        <v>0</v>
      </c>
      <c r="W1326" s="58">
        <f t="shared" si="295"/>
        <v>0</v>
      </c>
      <c r="X1326" s="58">
        <f t="shared" si="296"/>
        <v>0</v>
      </c>
      <c r="Y1326" s="52">
        <f t="shared" si="297"/>
        <v>0</v>
      </c>
    </row>
    <row r="1327" spans="1:25" x14ac:dyDescent="0.25">
      <c r="A1327" s="1218" t="s">
        <v>125</v>
      </c>
      <c r="B1327" s="98">
        <v>45597</v>
      </c>
      <c r="C1327" s="117" t="str">
        <f t="shared" si="298"/>
        <v>4L</v>
      </c>
      <c r="D1327" s="96"/>
      <c r="E1327" s="98"/>
      <c r="F1327" s="98"/>
      <c r="G1327" s="43">
        <v>4200</v>
      </c>
      <c r="H1327" s="26">
        <v>3.17</v>
      </c>
      <c r="I1327" s="99">
        <f t="shared" si="285"/>
        <v>13.314</v>
      </c>
      <c r="J1327">
        <v>4385</v>
      </c>
      <c r="K1327" s="49">
        <v>2.6677060267857144</v>
      </c>
      <c r="L1327" s="99">
        <f t="shared" si="286"/>
        <v>11.697890927455358</v>
      </c>
      <c r="M1327" s="44">
        <f t="shared" si="288"/>
        <v>-0.12138418751274163</v>
      </c>
      <c r="N1327" s="100">
        <f t="shared" si="289"/>
        <v>185</v>
      </c>
      <c r="O1327" s="101">
        <f t="shared" si="290"/>
        <v>-1.6161090725446421</v>
      </c>
      <c r="P1327" s="52">
        <f t="shared" si="291"/>
        <v>324272.04274670035</v>
      </c>
      <c r="Q1327" s="49">
        <v>116.88487613461319</v>
      </c>
      <c r="R1327">
        <v>2225</v>
      </c>
      <c r="S1327" s="50">
        <f t="shared" si="287"/>
        <v>71535.307499999995</v>
      </c>
      <c r="T1327" s="50">
        <f t="shared" si="292"/>
        <v>952421.08405499998</v>
      </c>
      <c r="U1327" s="58">
        <f t="shared" si="293"/>
        <v>836812.22459697921</v>
      </c>
      <c r="V1327" s="58">
        <f t="shared" si="294"/>
        <v>490916.47976537544</v>
      </c>
      <c r="W1327" s="58">
        <f t="shared" si="295"/>
        <v>512540.18185027887</v>
      </c>
      <c r="X1327" s="58">
        <f t="shared" si="296"/>
        <v>461504.60428962455</v>
      </c>
      <c r="Y1327" s="52">
        <f t="shared" si="297"/>
        <v>324272.04274670035</v>
      </c>
    </row>
    <row r="1328" spans="1:25" x14ac:dyDescent="0.25">
      <c r="A1328" s="1218" t="s">
        <v>126</v>
      </c>
      <c r="B1328" s="98">
        <v>45597</v>
      </c>
      <c r="C1328" s="117" t="str">
        <f t="shared" ref="C1328:C1329" si="299">LEFT(A1328,2)</f>
        <v>4L</v>
      </c>
      <c r="D1328" s="96"/>
      <c r="E1328" s="98"/>
      <c r="F1328" s="98"/>
      <c r="G1328" s="43"/>
      <c r="H1328" s="26"/>
      <c r="I1328" s="99"/>
      <c r="K1328" s="49"/>
      <c r="L1328" s="99"/>
      <c r="M1328" s="44"/>
      <c r="N1328" s="100"/>
      <c r="O1328" s="101"/>
      <c r="P1328" s="52"/>
      <c r="Q1328" s="49"/>
      <c r="S1328" s="50"/>
      <c r="T1328" s="50"/>
      <c r="U1328" s="58"/>
      <c r="V1328" s="58"/>
      <c r="W1328" s="58"/>
      <c r="X1328" s="58"/>
      <c r="Y1328" s="52"/>
    </row>
    <row r="1329" spans="1:25" x14ac:dyDescent="0.25">
      <c r="A1329" s="1218" t="s">
        <v>127</v>
      </c>
      <c r="B1329" s="98">
        <v>45597</v>
      </c>
      <c r="C1329" s="117" t="str">
        <f t="shared" si="299"/>
        <v>4L</v>
      </c>
      <c r="D1329" s="96"/>
      <c r="E1329" s="98"/>
      <c r="F1329" s="98"/>
      <c r="G1329" s="43"/>
      <c r="H1329" s="26"/>
      <c r="I1329" s="99"/>
      <c r="K1329" s="49"/>
      <c r="L1329" s="99"/>
      <c r="M1329" s="44"/>
      <c r="N1329" s="100"/>
      <c r="O1329" s="101"/>
      <c r="P1329" s="52"/>
      <c r="Q1329" s="49"/>
      <c r="S1329" s="50"/>
      <c r="T1329" s="50"/>
      <c r="U1329" s="58"/>
      <c r="V1329" s="58"/>
      <c r="W1329" s="58"/>
      <c r="X1329" s="58"/>
      <c r="Y1329" s="52"/>
    </row>
    <row r="1330" spans="1:25" x14ac:dyDescent="0.25">
      <c r="A1330" s="1218" t="s">
        <v>128</v>
      </c>
      <c r="B1330" s="98">
        <v>45597</v>
      </c>
      <c r="C1330" s="117" t="str">
        <f t="shared" si="298"/>
        <v>4L</v>
      </c>
      <c r="D1330" s="96"/>
      <c r="E1330" s="98"/>
      <c r="F1330" s="98"/>
      <c r="G1330" s="43"/>
      <c r="H1330" s="26"/>
      <c r="I1330" s="99"/>
      <c r="K1330" s="49"/>
      <c r="L1330" s="99"/>
      <c r="M1330" s="44"/>
      <c r="N1330" s="100"/>
      <c r="O1330" s="101"/>
      <c r="P1330" s="52"/>
      <c r="Q1330" s="49"/>
      <c r="S1330" s="50"/>
      <c r="T1330" s="50"/>
      <c r="U1330" s="58"/>
      <c r="V1330" s="58"/>
      <c r="W1330" s="58"/>
      <c r="X1330" s="58"/>
      <c r="Y1330" s="52"/>
    </row>
    <row r="1331" spans="1:25" x14ac:dyDescent="0.25">
      <c r="A1331" s="1218" t="s">
        <v>129</v>
      </c>
      <c r="B1331" s="98">
        <v>45597</v>
      </c>
      <c r="C1331" s="117" t="str">
        <f t="shared" si="298"/>
        <v>4L</v>
      </c>
      <c r="D1331" s="96"/>
      <c r="E1331" s="98"/>
      <c r="F1331" s="98"/>
      <c r="G1331" s="43"/>
      <c r="H1331" s="26"/>
      <c r="I1331" s="99">
        <f t="shared" si="285"/>
        <v>0</v>
      </c>
      <c r="K1331" s="49"/>
      <c r="L1331" s="99">
        <f t="shared" si="286"/>
        <v>0</v>
      </c>
      <c r="M1331" s="44" t="str">
        <f t="shared" si="288"/>
        <v/>
      </c>
      <c r="N1331" s="100">
        <f t="shared" si="289"/>
        <v>0</v>
      </c>
      <c r="O1331" s="101">
        <f t="shared" si="290"/>
        <v>0</v>
      </c>
      <c r="P1331" s="52">
        <f t="shared" si="291"/>
        <v>0</v>
      </c>
      <c r="Q1331" s="49">
        <v>116.88487613461319</v>
      </c>
      <c r="R1331">
        <v>2225</v>
      </c>
      <c r="S1331" s="50">
        <f t="shared" si="287"/>
        <v>71535.307499999995</v>
      </c>
      <c r="T1331" s="50">
        <f t="shared" si="292"/>
        <v>0</v>
      </c>
      <c r="U1331" s="58">
        <f t="shared" si="293"/>
        <v>0</v>
      </c>
      <c r="V1331" s="58">
        <f t="shared" si="294"/>
        <v>0</v>
      </c>
      <c r="W1331" s="58">
        <f t="shared" si="295"/>
        <v>0</v>
      </c>
      <c r="X1331" s="58">
        <f t="shared" si="296"/>
        <v>0</v>
      </c>
      <c r="Y1331" s="52">
        <f t="shared" si="297"/>
        <v>0</v>
      </c>
    </row>
    <row r="1332" spans="1:25" x14ac:dyDescent="0.25">
      <c r="A1332" s="1218" t="s">
        <v>130</v>
      </c>
      <c r="B1332" s="98">
        <v>45597</v>
      </c>
      <c r="C1332" s="117" t="str">
        <f t="shared" si="298"/>
        <v>5L</v>
      </c>
      <c r="D1332" s="96"/>
      <c r="E1332" s="98"/>
      <c r="F1332" s="98"/>
      <c r="I1332" s="99">
        <f t="shared" si="285"/>
        <v>0</v>
      </c>
      <c r="L1332" s="99">
        <f t="shared" si="286"/>
        <v>0</v>
      </c>
      <c r="M1332" s="44" t="str">
        <f t="shared" si="288"/>
        <v/>
      </c>
      <c r="N1332" s="100">
        <f t="shared" si="289"/>
        <v>0</v>
      </c>
      <c r="O1332" s="101">
        <f t="shared" si="290"/>
        <v>0</v>
      </c>
      <c r="P1332" s="52">
        <f t="shared" si="291"/>
        <v>0</v>
      </c>
      <c r="Q1332" s="49">
        <v>116.88487613461319</v>
      </c>
      <c r="R1332">
        <v>2225</v>
      </c>
      <c r="S1332" s="50">
        <f t="shared" si="287"/>
        <v>71535.307499999995</v>
      </c>
      <c r="T1332" s="50">
        <f t="shared" si="292"/>
        <v>0</v>
      </c>
      <c r="U1332" s="58">
        <f t="shared" si="293"/>
        <v>0</v>
      </c>
      <c r="V1332" s="58">
        <f t="shared" si="294"/>
        <v>0</v>
      </c>
      <c r="W1332" s="58">
        <f t="shared" si="295"/>
        <v>0</v>
      </c>
      <c r="X1332" s="58">
        <f t="shared" si="296"/>
        <v>0</v>
      </c>
      <c r="Y1332" s="52">
        <f t="shared" si="297"/>
        <v>0</v>
      </c>
    </row>
    <row r="1333" spans="1:25" x14ac:dyDescent="0.25">
      <c r="A1333" s="1218" t="s">
        <v>131</v>
      </c>
      <c r="B1333" s="98">
        <v>45597</v>
      </c>
      <c r="C1333" s="117" t="str">
        <f t="shared" si="298"/>
        <v>5L</v>
      </c>
      <c r="D1333" s="96"/>
      <c r="E1333" s="98"/>
      <c r="F1333" s="98"/>
      <c r="I1333" s="99">
        <f t="shared" si="285"/>
        <v>0</v>
      </c>
      <c r="L1333" s="99">
        <f t="shared" si="286"/>
        <v>0</v>
      </c>
      <c r="M1333" s="44" t="str">
        <f t="shared" si="288"/>
        <v/>
      </c>
      <c r="N1333" s="100">
        <f t="shared" si="289"/>
        <v>0</v>
      </c>
      <c r="O1333" s="101">
        <f t="shared" si="290"/>
        <v>0</v>
      </c>
      <c r="P1333" s="52">
        <f t="shared" si="291"/>
        <v>0</v>
      </c>
      <c r="Q1333" s="49">
        <v>116.88487613461319</v>
      </c>
      <c r="R1333">
        <v>2225</v>
      </c>
      <c r="S1333" s="50">
        <f t="shared" si="287"/>
        <v>71535.307499999995</v>
      </c>
      <c r="T1333" s="50">
        <f t="shared" si="292"/>
        <v>0</v>
      </c>
      <c r="U1333" s="58">
        <f t="shared" si="293"/>
        <v>0</v>
      </c>
      <c r="V1333" s="58">
        <f t="shared" si="294"/>
        <v>0</v>
      </c>
      <c r="W1333" s="58">
        <f t="shared" si="295"/>
        <v>0</v>
      </c>
      <c r="X1333" s="58">
        <f t="shared" si="296"/>
        <v>0</v>
      </c>
      <c r="Y1333" s="52">
        <f t="shared" si="297"/>
        <v>0</v>
      </c>
    </row>
    <row r="1334" spans="1:25" x14ac:dyDescent="0.25">
      <c r="A1334" s="1218" t="s">
        <v>132</v>
      </c>
      <c r="B1334" s="98">
        <v>45597</v>
      </c>
      <c r="C1334" s="117" t="str">
        <f t="shared" si="298"/>
        <v>5L</v>
      </c>
      <c r="D1334" s="96"/>
      <c r="E1334" s="98"/>
      <c r="F1334" s="98"/>
      <c r="G1334" s="43">
        <v>2100</v>
      </c>
      <c r="H1334" s="26">
        <v>2.17</v>
      </c>
      <c r="I1334" s="99">
        <f t="shared" si="285"/>
        <v>4.5570000000000004</v>
      </c>
      <c r="J1334">
        <v>1490</v>
      </c>
      <c r="K1334" s="49">
        <v>1.9667793452380951</v>
      </c>
      <c r="L1334" s="99">
        <f t="shared" si="286"/>
        <v>2.9305012244047615</v>
      </c>
      <c r="M1334" s="44">
        <f t="shared" si="288"/>
        <v>-0.3569231458405176</v>
      </c>
      <c r="N1334" s="100">
        <f t="shared" si="289"/>
        <v>-610</v>
      </c>
      <c r="O1334" s="101">
        <f t="shared" si="290"/>
        <v>-1.6264987755952389</v>
      </c>
      <c r="P1334" s="52">
        <f t="shared" si="291"/>
        <v>35475.840776347439</v>
      </c>
      <c r="Q1334" s="49">
        <v>116.88487613461319</v>
      </c>
      <c r="R1334">
        <v>2225</v>
      </c>
      <c r="S1334" s="50">
        <f t="shared" si="287"/>
        <v>71535.307499999995</v>
      </c>
      <c r="T1334" s="50">
        <f t="shared" si="292"/>
        <v>325986.39627750003</v>
      </c>
      <c r="U1334" s="58">
        <f t="shared" si="293"/>
        <v>209634.3062169211</v>
      </c>
      <c r="V1334" s="58">
        <f t="shared" si="294"/>
        <v>245458.23988268772</v>
      </c>
      <c r="W1334" s="58">
        <f t="shared" si="295"/>
        <v>174158.46544057367</v>
      </c>
      <c r="X1334" s="58">
        <f t="shared" si="296"/>
        <v>80528.156394812308</v>
      </c>
      <c r="Y1334" s="52">
        <f t="shared" si="297"/>
        <v>35475.840776347439</v>
      </c>
    </row>
    <row r="1335" spans="1:25" x14ac:dyDescent="0.25">
      <c r="A1335" s="1218" t="s">
        <v>133</v>
      </c>
      <c r="B1335" s="98">
        <v>45597</v>
      </c>
      <c r="C1335" s="117" t="str">
        <f t="shared" si="298"/>
        <v>5L</v>
      </c>
      <c r="D1335" s="96"/>
      <c r="E1335" s="98"/>
      <c r="F1335" s="98"/>
      <c r="G1335" s="43"/>
      <c r="H1335" s="26"/>
      <c r="I1335" s="99">
        <f t="shared" ref="I1335:I1400" si="300">IFERROR(G1335*H1335/1000,"")</f>
        <v>0</v>
      </c>
      <c r="K1335" s="49"/>
      <c r="L1335" s="99">
        <f t="shared" ref="L1335:L1400" si="301">IFERROR(J1335*K1335/1000,"")</f>
        <v>0</v>
      </c>
      <c r="M1335" s="44" t="str">
        <f t="shared" si="288"/>
        <v/>
      </c>
      <c r="N1335" s="100">
        <f t="shared" si="289"/>
        <v>0</v>
      </c>
      <c r="O1335" s="101">
        <f t="shared" si="290"/>
        <v>0</v>
      </c>
      <c r="P1335" s="52">
        <f t="shared" si="291"/>
        <v>0</v>
      </c>
      <c r="Q1335" s="49">
        <v>116.88487613461319</v>
      </c>
      <c r="R1335">
        <v>2225</v>
      </c>
      <c r="S1335" s="50">
        <f t="shared" ref="S1335:S1400" si="302">R1335*32.1507</f>
        <v>71535.307499999995</v>
      </c>
      <c r="T1335" s="50">
        <f t="shared" si="292"/>
        <v>0</v>
      </c>
      <c r="U1335" s="58">
        <f t="shared" si="293"/>
        <v>0</v>
      </c>
      <c r="V1335" s="58">
        <f t="shared" si="294"/>
        <v>0</v>
      </c>
      <c r="W1335" s="58">
        <f t="shared" si="295"/>
        <v>0</v>
      </c>
      <c r="X1335" s="58">
        <f t="shared" si="296"/>
        <v>0</v>
      </c>
      <c r="Y1335" s="52">
        <f t="shared" si="297"/>
        <v>0</v>
      </c>
    </row>
    <row r="1336" spans="1:25" x14ac:dyDescent="0.25">
      <c r="A1336" s="1218" t="s">
        <v>134</v>
      </c>
      <c r="B1336" s="98">
        <v>45597</v>
      </c>
      <c r="C1336" s="117" t="str">
        <f t="shared" si="298"/>
        <v>5L</v>
      </c>
      <c r="D1336" s="96"/>
      <c r="E1336" s="98"/>
      <c r="F1336" s="98"/>
      <c r="G1336" s="43"/>
      <c r="H1336" s="26"/>
      <c r="I1336" s="99">
        <f t="shared" si="300"/>
        <v>0</v>
      </c>
      <c r="K1336" s="49"/>
      <c r="L1336" s="99">
        <f t="shared" si="301"/>
        <v>0</v>
      </c>
      <c r="M1336" s="44" t="str">
        <f t="shared" si="288"/>
        <v/>
      </c>
      <c r="N1336" s="100">
        <f t="shared" si="289"/>
        <v>0</v>
      </c>
      <c r="O1336" s="101">
        <f t="shared" si="290"/>
        <v>0</v>
      </c>
      <c r="P1336" s="52">
        <f t="shared" si="291"/>
        <v>0</v>
      </c>
      <c r="Q1336" s="49">
        <v>116.88487613461319</v>
      </c>
      <c r="R1336">
        <v>2225</v>
      </c>
      <c r="S1336" s="50">
        <f t="shared" si="302"/>
        <v>71535.307499999995</v>
      </c>
      <c r="T1336" s="50">
        <f t="shared" si="292"/>
        <v>0</v>
      </c>
      <c r="U1336" s="58">
        <f t="shared" si="293"/>
        <v>0</v>
      </c>
      <c r="V1336" s="58">
        <f t="shared" si="294"/>
        <v>0</v>
      </c>
      <c r="W1336" s="58">
        <f t="shared" si="295"/>
        <v>0</v>
      </c>
      <c r="X1336" s="58">
        <f t="shared" si="296"/>
        <v>0</v>
      </c>
      <c r="Y1336" s="52">
        <f t="shared" si="297"/>
        <v>0</v>
      </c>
    </row>
    <row r="1337" spans="1:25" x14ac:dyDescent="0.25">
      <c r="A1337" s="1218" t="s">
        <v>135</v>
      </c>
      <c r="B1337" s="98">
        <v>45597</v>
      </c>
      <c r="C1337" s="117" t="str">
        <f t="shared" si="298"/>
        <v>5L</v>
      </c>
      <c r="D1337" s="96"/>
      <c r="E1337" s="98"/>
      <c r="F1337" s="98"/>
      <c r="G1337" s="43"/>
      <c r="H1337" s="26"/>
      <c r="I1337" s="99">
        <f t="shared" si="300"/>
        <v>0</v>
      </c>
      <c r="K1337" s="49"/>
      <c r="L1337" s="99">
        <f t="shared" si="301"/>
        <v>0</v>
      </c>
      <c r="M1337" s="44" t="str">
        <f t="shared" ref="M1337:M1402" si="303">IFERROR((L1337-I1337)/I1337,"")</f>
        <v/>
      </c>
      <c r="N1337" s="100">
        <f t="shared" ref="N1337:N1402" si="304">J1337-G1337</f>
        <v>0</v>
      </c>
      <c r="O1337" s="101">
        <f t="shared" ref="O1337:O1402" si="305">L1337-I1337</f>
        <v>0</v>
      </c>
      <c r="P1337" s="52">
        <f t="shared" ref="P1337:P1402" si="306">U1337-W1337</f>
        <v>0</v>
      </c>
      <c r="Q1337" s="49">
        <v>116.88487613461319</v>
      </c>
      <c r="R1337">
        <v>2225</v>
      </c>
      <c r="S1337" s="50">
        <f t="shared" si="302"/>
        <v>71535.307499999995</v>
      </c>
      <c r="T1337" s="50">
        <f t="shared" ref="T1337:T1402" si="307">IFERROR(S1337*I1337,"")</f>
        <v>0</v>
      </c>
      <c r="U1337" s="58">
        <f t="shared" ref="U1337:U1402" si="308">IFERROR(S1337*L1337,"")</f>
        <v>0</v>
      </c>
      <c r="V1337" s="58">
        <f t="shared" ref="V1337:V1402" si="309">IFERROR(Q1337*G1337,"")</f>
        <v>0</v>
      </c>
      <c r="W1337" s="58">
        <f t="shared" ref="W1337:W1402" si="310">IFERROR(Q1337*J1337,"")</f>
        <v>0</v>
      </c>
      <c r="X1337" s="58">
        <f t="shared" ref="X1337:X1402" si="311">T1337-V1337</f>
        <v>0</v>
      </c>
      <c r="Y1337" s="52">
        <f t="shared" ref="Y1337:Y1402" si="312">U1337-W1337</f>
        <v>0</v>
      </c>
    </row>
    <row r="1338" spans="1:25" x14ac:dyDescent="0.25">
      <c r="A1338" s="1218" t="s">
        <v>136</v>
      </c>
      <c r="B1338" s="98">
        <v>45597</v>
      </c>
      <c r="C1338" s="117" t="str">
        <f t="shared" si="298"/>
        <v>5L</v>
      </c>
      <c r="D1338" s="96"/>
      <c r="E1338" s="98"/>
      <c r="F1338" s="98"/>
      <c r="G1338" s="43"/>
      <c r="H1338" s="26"/>
      <c r="I1338" s="99">
        <f t="shared" si="300"/>
        <v>0</v>
      </c>
      <c r="K1338" s="49"/>
      <c r="L1338" s="99">
        <f t="shared" si="301"/>
        <v>0</v>
      </c>
      <c r="M1338" s="44" t="str">
        <f t="shared" si="303"/>
        <v/>
      </c>
      <c r="N1338" s="100">
        <f t="shared" si="304"/>
        <v>0</v>
      </c>
      <c r="O1338" s="101">
        <f t="shared" si="305"/>
        <v>0</v>
      </c>
      <c r="P1338" s="52">
        <f t="shared" si="306"/>
        <v>0</v>
      </c>
      <c r="Q1338" s="49">
        <v>116.88487613461319</v>
      </c>
      <c r="R1338">
        <v>2225</v>
      </c>
      <c r="S1338" s="50">
        <f t="shared" si="302"/>
        <v>71535.307499999995</v>
      </c>
      <c r="T1338" s="50">
        <f t="shared" si="307"/>
        <v>0</v>
      </c>
      <c r="U1338" s="58">
        <f t="shared" si="308"/>
        <v>0</v>
      </c>
      <c r="V1338" s="58">
        <f t="shared" si="309"/>
        <v>0</v>
      </c>
      <c r="W1338" s="58">
        <f t="shared" si="310"/>
        <v>0</v>
      </c>
      <c r="X1338" s="58">
        <f t="shared" si="311"/>
        <v>0</v>
      </c>
      <c r="Y1338" s="52">
        <f t="shared" si="312"/>
        <v>0</v>
      </c>
    </row>
    <row r="1339" spans="1:25" x14ac:dyDescent="0.25">
      <c r="A1339" s="1218" t="s">
        <v>137</v>
      </c>
      <c r="B1339" s="98">
        <v>45597</v>
      </c>
      <c r="C1339" s="117" t="str">
        <f t="shared" si="298"/>
        <v>5L</v>
      </c>
      <c r="D1339" s="96"/>
      <c r="E1339" s="98"/>
      <c r="F1339" s="98"/>
      <c r="I1339" s="99">
        <f t="shared" si="300"/>
        <v>0</v>
      </c>
      <c r="L1339" s="99">
        <f t="shared" si="301"/>
        <v>0</v>
      </c>
      <c r="M1339" s="44" t="str">
        <f t="shared" si="303"/>
        <v/>
      </c>
      <c r="N1339" s="100">
        <f t="shared" si="304"/>
        <v>0</v>
      </c>
      <c r="O1339" s="101">
        <f t="shared" si="305"/>
        <v>0</v>
      </c>
      <c r="P1339" s="52">
        <f t="shared" si="306"/>
        <v>0</v>
      </c>
      <c r="Q1339" s="49">
        <v>116.88487613461319</v>
      </c>
      <c r="R1339">
        <v>2225</v>
      </c>
      <c r="S1339" s="50">
        <f t="shared" si="302"/>
        <v>71535.307499999995</v>
      </c>
      <c r="T1339" s="50">
        <f t="shared" si="307"/>
        <v>0</v>
      </c>
      <c r="U1339" s="58">
        <f t="shared" si="308"/>
        <v>0</v>
      </c>
      <c r="V1339" s="58">
        <f t="shared" si="309"/>
        <v>0</v>
      </c>
      <c r="W1339" s="58">
        <f t="shared" si="310"/>
        <v>0</v>
      </c>
      <c r="X1339" s="58">
        <f t="shared" si="311"/>
        <v>0</v>
      </c>
      <c r="Y1339" s="52">
        <f t="shared" si="312"/>
        <v>0</v>
      </c>
    </row>
    <row r="1340" spans="1:25" x14ac:dyDescent="0.25">
      <c r="A1340" s="1218" t="s">
        <v>138</v>
      </c>
      <c r="B1340" s="98">
        <v>45597</v>
      </c>
      <c r="C1340" s="117" t="str">
        <f t="shared" si="298"/>
        <v>5L</v>
      </c>
      <c r="D1340" s="96"/>
      <c r="E1340" s="98"/>
      <c r="F1340" s="98"/>
      <c r="I1340" s="99">
        <f t="shared" si="300"/>
        <v>0</v>
      </c>
      <c r="L1340" s="99">
        <f t="shared" si="301"/>
        <v>0</v>
      </c>
      <c r="M1340" s="44" t="str">
        <f t="shared" si="303"/>
        <v/>
      </c>
      <c r="N1340" s="100">
        <f t="shared" si="304"/>
        <v>0</v>
      </c>
      <c r="O1340" s="101">
        <f t="shared" si="305"/>
        <v>0</v>
      </c>
      <c r="P1340" s="52">
        <f t="shared" si="306"/>
        <v>0</v>
      </c>
      <c r="Q1340" s="49">
        <v>116.88487613461319</v>
      </c>
      <c r="R1340">
        <v>2225</v>
      </c>
      <c r="S1340" s="50">
        <f t="shared" si="302"/>
        <v>71535.307499999995</v>
      </c>
      <c r="T1340" s="50">
        <f t="shared" si="307"/>
        <v>0</v>
      </c>
      <c r="U1340" s="58">
        <f t="shared" si="308"/>
        <v>0</v>
      </c>
      <c r="V1340" s="58">
        <f t="shared" si="309"/>
        <v>0</v>
      </c>
      <c r="W1340" s="58">
        <f t="shared" si="310"/>
        <v>0</v>
      </c>
      <c r="X1340" s="58">
        <f t="shared" si="311"/>
        <v>0</v>
      </c>
      <c r="Y1340" s="52">
        <f t="shared" si="312"/>
        <v>0</v>
      </c>
    </row>
    <row r="1341" spans="1:25" x14ac:dyDescent="0.25">
      <c r="A1341" s="1218" t="s">
        <v>139</v>
      </c>
      <c r="B1341" s="98">
        <v>45597</v>
      </c>
      <c r="C1341" s="117" t="str">
        <f t="shared" si="298"/>
        <v>5L</v>
      </c>
      <c r="D1341" s="96"/>
      <c r="E1341" s="98"/>
      <c r="F1341" s="98"/>
      <c r="I1341" s="99">
        <f t="shared" si="300"/>
        <v>0</v>
      </c>
      <c r="L1341" s="99">
        <f t="shared" si="301"/>
        <v>0</v>
      </c>
      <c r="M1341" s="44" t="str">
        <f t="shared" si="303"/>
        <v/>
      </c>
      <c r="N1341" s="100">
        <f t="shared" si="304"/>
        <v>0</v>
      </c>
      <c r="O1341" s="101">
        <f t="shared" si="305"/>
        <v>0</v>
      </c>
      <c r="P1341" s="52">
        <f t="shared" si="306"/>
        <v>0</v>
      </c>
      <c r="Q1341" s="49">
        <v>116.88487613461319</v>
      </c>
      <c r="R1341">
        <v>2225</v>
      </c>
      <c r="S1341" s="50">
        <f t="shared" si="302"/>
        <v>71535.307499999995</v>
      </c>
      <c r="T1341" s="50">
        <f t="shared" si="307"/>
        <v>0</v>
      </c>
      <c r="U1341" s="58">
        <f t="shared" si="308"/>
        <v>0</v>
      </c>
      <c r="V1341" s="58">
        <f t="shared" si="309"/>
        <v>0</v>
      </c>
      <c r="W1341" s="58">
        <f t="shared" si="310"/>
        <v>0</v>
      </c>
      <c r="X1341" s="58">
        <f t="shared" si="311"/>
        <v>0</v>
      </c>
      <c r="Y1341" s="52">
        <f t="shared" si="312"/>
        <v>0</v>
      </c>
    </row>
    <row r="1342" spans="1:25" x14ac:dyDescent="0.25">
      <c r="A1342" s="1218" t="s">
        <v>140</v>
      </c>
      <c r="B1342" s="98">
        <v>45597</v>
      </c>
      <c r="C1342" s="117" t="str">
        <f t="shared" si="298"/>
        <v>5L</v>
      </c>
      <c r="D1342" s="96"/>
      <c r="E1342" s="98"/>
      <c r="F1342" s="98"/>
      <c r="G1342" s="55"/>
      <c r="H1342" s="55"/>
      <c r="I1342" s="99">
        <f t="shared" si="300"/>
        <v>0</v>
      </c>
      <c r="J1342" s="55"/>
      <c r="K1342" s="55"/>
      <c r="L1342" s="99">
        <f t="shared" si="301"/>
        <v>0</v>
      </c>
      <c r="M1342" s="44" t="str">
        <f t="shared" si="303"/>
        <v/>
      </c>
      <c r="N1342" s="100">
        <f t="shared" si="304"/>
        <v>0</v>
      </c>
      <c r="O1342" s="101">
        <f t="shared" si="305"/>
        <v>0</v>
      </c>
      <c r="P1342" s="52">
        <f t="shared" si="306"/>
        <v>0</v>
      </c>
      <c r="Q1342" s="49">
        <v>116.88487613461319</v>
      </c>
      <c r="R1342">
        <v>2225</v>
      </c>
      <c r="S1342" s="50">
        <f t="shared" si="302"/>
        <v>71535.307499999995</v>
      </c>
      <c r="T1342" s="50">
        <f t="shared" si="307"/>
        <v>0</v>
      </c>
      <c r="U1342" s="58">
        <f t="shared" si="308"/>
        <v>0</v>
      </c>
      <c r="V1342" s="58">
        <f t="shared" si="309"/>
        <v>0</v>
      </c>
      <c r="W1342" s="58">
        <f t="shared" si="310"/>
        <v>0</v>
      </c>
      <c r="X1342" s="58">
        <f t="shared" si="311"/>
        <v>0</v>
      </c>
      <c r="Y1342" s="52">
        <f t="shared" si="312"/>
        <v>0</v>
      </c>
    </row>
    <row r="1343" spans="1:25" x14ac:dyDescent="0.25">
      <c r="A1343" s="1218" t="s">
        <v>141</v>
      </c>
      <c r="B1343" s="98">
        <v>45597</v>
      </c>
      <c r="C1343" s="117" t="str">
        <f t="shared" si="298"/>
        <v>5L</v>
      </c>
      <c r="D1343" s="96"/>
      <c r="E1343" s="98"/>
      <c r="F1343" s="98"/>
      <c r="G1343" s="55"/>
      <c r="H1343" s="55"/>
      <c r="I1343" s="99">
        <f t="shared" si="300"/>
        <v>0</v>
      </c>
      <c r="J1343" s="55"/>
      <c r="K1343" s="55"/>
      <c r="L1343" s="99">
        <f t="shared" si="301"/>
        <v>0</v>
      </c>
      <c r="M1343" s="44" t="str">
        <f t="shared" si="303"/>
        <v/>
      </c>
      <c r="N1343" s="100">
        <f t="shared" si="304"/>
        <v>0</v>
      </c>
      <c r="O1343" s="101">
        <f t="shared" si="305"/>
        <v>0</v>
      </c>
      <c r="P1343" s="52">
        <f t="shared" si="306"/>
        <v>0</v>
      </c>
      <c r="Q1343" s="49">
        <v>116.88487613461319</v>
      </c>
      <c r="R1343">
        <v>2225</v>
      </c>
      <c r="S1343" s="50">
        <f t="shared" si="302"/>
        <v>71535.307499999995</v>
      </c>
      <c r="T1343" s="50">
        <f t="shared" si="307"/>
        <v>0</v>
      </c>
      <c r="U1343" s="58">
        <f t="shared" si="308"/>
        <v>0</v>
      </c>
      <c r="V1343" s="58">
        <f t="shared" si="309"/>
        <v>0</v>
      </c>
      <c r="W1343" s="58">
        <f t="shared" si="310"/>
        <v>0</v>
      </c>
      <c r="X1343" s="58">
        <f t="shared" si="311"/>
        <v>0</v>
      </c>
      <c r="Y1343" s="52">
        <f t="shared" si="312"/>
        <v>0</v>
      </c>
    </row>
    <row r="1344" spans="1:25" x14ac:dyDescent="0.25">
      <c r="A1344" s="1218" t="s">
        <v>142</v>
      </c>
      <c r="B1344" s="98">
        <v>45597</v>
      </c>
      <c r="C1344" s="117" t="str">
        <f t="shared" si="298"/>
        <v>5L</v>
      </c>
      <c r="D1344" s="96"/>
      <c r="E1344" s="98"/>
      <c r="F1344" s="98"/>
      <c r="G1344" s="55"/>
      <c r="H1344" s="55"/>
      <c r="I1344" s="99">
        <f t="shared" si="300"/>
        <v>0</v>
      </c>
      <c r="J1344" s="55"/>
      <c r="K1344" s="55"/>
      <c r="L1344" s="99">
        <f t="shared" si="301"/>
        <v>0</v>
      </c>
      <c r="M1344" s="44" t="str">
        <f t="shared" si="303"/>
        <v/>
      </c>
      <c r="N1344" s="100">
        <f t="shared" si="304"/>
        <v>0</v>
      </c>
      <c r="O1344" s="101">
        <f t="shared" si="305"/>
        <v>0</v>
      </c>
      <c r="P1344" s="52">
        <f t="shared" si="306"/>
        <v>0</v>
      </c>
      <c r="Q1344" s="49">
        <v>116.88487613461319</v>
      </c>
      <c r="R1344">
        <v>2225</v>
      </c>
      <c r="S1344" s="50">
        <f t="shared" si="302"/>
        <v>71535.307499999995</v>
      </c>
      <c r="T1344" s="50">
        <f t="shared" si="307"/>
        <v>0</v>
      </c>
      <c r="U1344" s="58">
        <f t="shared" si="308"/>
        <v>0</v>
      </c>
      <c r="V1344" s="58">
        <f t="shared" si="309"/>
        <v>0</v>
      </c>
      <c r="W1344" s="58">
        <f t="shared" si="310"/>
        <v>0</v>
      </c>
      <c r="X1344" s="58">
        <f t="shared" si="311"/>
        <v>0</v>
      </c>
      <c r="Y1344" s="52">
        <f t="shared" si="312"/>
        <v>0</v>
      </c>
    </row>
    <row r="1345" spans="1:25" x14ac:dyDescent="0.25">
      <c r="A1345" s="1218" t="s">
        <v>143</v>
      </c>
      <c r="B1345" s="98">
        <v>45597</v>
      </c>
      <c r="C1345" s="117" t="str">
        <f t="shared" si="298"/>
        <v>5L</v>
      </c>
      <c r="D1345" s="96"/>
      <c r="E1345" s="98"/>
      <c r="F1345" s="98"/>
      <c r="G1345" s="55"/>
      <c r="H1345" s="55"/>
      <c r="I1345" s="99">
        <f t="shared" si="300"/>
        <v>0</v>
      </c>
      <c r="J1345" s="55"/>
      <c r="K1345" s="55"/>
      <c r="L1345" s="99">
        <f t="shared" si="301"/>
        <v>0</v>
      </c>
      <c r="M1345" s="44" t="str">
        <f t="shared" si="303"/>
        <v/>
      </c>
      <c r="N1345" s="100">
        <f t="shared" si="304"/>
        <v>0</v>
      </c>
      <c r="O1345" s="101">
        <f t="shared" si="305"/>
        <v>0</v>
      </c>
      <c r="P1345" s="52">
        <f t="shared" si="306"/>
        <v>0</v>
      </c>
      <c r="Q1345" s="49">
        <v>116.88487613461319</v>
      </c>
      <c r="R1345">
        <v>2225</v>
      </c>
      <c r="S1345" s="50">
        <f t="shared" si="302"/>
        <v>71535.307499999995</v>
      </c>
      <c r="T1345" s="50">
        <f t="shared" si="307"/>
        <v>0</v>
      </c>
      <c r="U1345" s="58">
        <f t="shared" si="308"/>
        <v>0</v>
      </c>
      <c r="V1345" s="58">
        <f t="shared" si="309"/>
        <v>0</v>
      </c>
      <c r="W1345" s="58">
        <f t="shared" si="310"/>
        <v>0</v>
      </c>
      <c r="X1345" s="58">
        <f t="shared" si="311"/>
        <v>0</v>
      </c>
      <c r="Y1345" s="52">
        <f t="shared" si="312"/>
        <v>0</v>
      </c>
    </row>
    <row r="1346" spans="1:25" x14ac:dyDescent="0.25">
      <c r="A1346" s="1218" t="s">
        <v>144</v>
      </c>
      <c r="B1346" s="98">
        <v>45597</v>
      </c>
      <c r="C1346" s="117" t="str">
        <f t="shared" si="298"/>
        <v>5L</v>
      </c>
      <c r="D1346" s="96"/>
      <c r="E1346" s="98"/>
      <c r="F1346" s="98"/>
      <c r="G1346" s="55"/>
      <c r="H1346" s="55"/>
      <c r="I1346" s="99">
        <f t="shared" si="300"/>
        <v>0</v>
      </c>
      <c r="J1346" s="55"/>
      <c r="K1346" s="55"/>
      <c r="L1346" s="99">
        <f t="shared" si="301"/>
        <v>0</v>
      </c>
      <c r="M1346" s="44" t="str">
        <f t="shared" si="303"/>
        <v/>
      </c>
      <c r="N1346" s="100">
        <f t="shared" si="304"/>
        <v>0</v>
      </c>
      <c r="O1346" s="101">
        <f t="shared" si="305"/>
        <v>0</v>
      </c>
      <c r="P1346" s="52">
        <f t="shared" si="306"/>
        <v>0</v>
      </c>
      <c r="Q1346" s="49">
        <v>116.88487613461319</v>
      </c>
      <c r="R1346">
        <v>2225</v>
      </c>
      <c r="S1346" s="50">
        <f t="shared" si="302"/>
        <v>71535.307499999995</v>
      </c>
      <c r="T1346" s="50">
        <f t="shared" si="307"/>
        <v>0</v>
      </c>
      <c r="U1346" s="58">
        <f t="shared" si="308"/>
        <v>0</v>
      </c>
      <c r="V1346" s="58">
        <f t="shared" si="309"/>
        <v>0</v>
      </c>
      <c r="W1346" s="58">
        <f t="shared" si="310"/>
        <v>0</v>
      </c>
      <c r="X1346" s="58">
        <f t="shared" si="311"/>
        <v>0</v>
      </c>
      <c r="Y1346" s="52">
        <f t="shared" si="312"/>
        <v>0</v>
      </c>
    </row>
    <row r="1347" spans="1:25" x14ac:dyDescent="0.25">
      <c r="A1347" s="1218" t="s">
        <v>145</v>
      </c>
      <c r="B1347" s="98">
        <v>45597</v>
      </c>
      <c r="C1347" s="117" t="str">
        <f t="shared" si="298"/>
        <v>5L</v>
      </c>
      <c r="D1347" s="96"/>
      <c r="E1347" s="98"/>
      <c r="F1347" s="98"/>
      <c r="G1347" s="55"/>
      <c r="H1347" s="55"/>
      <c r="I1347" s="99">
        <f t="shared" si="300"/>
        <v>0</v>
      </c>
      <c r="J1347" s="55"/>
      <c r="K1347" s="55"/>
      <c r="L1347" s="99">
        <f t="shared" si="301"/>
        <v>0</v>
      </c>
      <c r="M1347" s="44" t="str">
        <f t="shared" si="303"/>
        <v/>
      </c>
      <c r="N1347" s="100">
        <f t="shared" si="304"/>
        <v>0</v>
      </c>
      <c r="O1347" s="101">
        <f t="shared" si="305"/>
        <v>0</v>
      </c>
      <c r="P1347" s="52">
        <f t="shared" si="306"/>
        <v>0</v>
      </c>
      <c r="Q1347" s="49">
        <v>116.88487613461319</v>
      </c>
      <c r="R1347">
        <v>2225</v>
      </c>
      <c r="S1347" s="50">
        <f t="shared" si="302"/>
        <v>71535.307499999995</v>
      </c>
      <c r="T1347" s="50">
        <f t="shared" si="307"/>
        <v>0</v>
      </c>
      <c r="U1347" s="58">
        <f t="shared" si="308"/>
        <v>0</v>
      </c>
      <c r="V1347" s="58">
        <f t="shared" si="309"/>
        <v>0</v>
      </c>
      <c r="W1347" s="58">
        <f t="shared" si="310"/>
        <v>0</v>
      </c>
      <c r="X1347" s="58">
        <f t="shared" si="311"/>
        <v>0</v>
      </c>
      <c r="Y1347" s="52">
        <f t="shared" si="312"/>
        <v>0</v>
      </c>
    </row>
    <row r="1348" spans="1:25" x14ac:dyDescent="0.25">
      <c r="A1348" s="1218" t="s">
        <v>146</v>
      </c>
      <c r="B1348" s="98">
        <v>45597</v>
      </c>
      <c r="C1348" s="117" t="str">
        <f t="shared" si="298"/>
        <v>5L</v>
      </c>
      <c r="D1348" s="96"/>
      <c r="E1348" s="98"/>
      <c r="F1348" s="98"/>
      <c r="G1348" s="55"/>
      <c r="H1348" s="55"/>
      <c r="I1348" s="99">
        <f t="shared" si="300"/>
        <v>0</v>
      </c>
      <c r="J1348" s="55"/>
      <c r="K1348" s="55"/>
      <c r="L1348" s="99">
        <f t="shared" si="301"/>
        <v>0</v>
      </c>
      <c r="M1348" s="44" t="str">
        <f t="shared" si="303"/>
        <v/>
      </c>
      <c r="N1348" s="100">
        <f t="shared" si="304"/>
        <v>0</v>
      </c>
      <c r="O1348" s="101">
        <f t="shared" si="305"/>
        <v>0</v>
      </c>
      <c r="P1348" s="52">
        <f t="shared" si="306"/>
        <v>0</v>
      </c>
      <c r="Q1348" s="49">
        <v>116.88487613461319</v>
      </c>
      <c r="R1348">
        <v>2225</v>
      </c>
      <c r="S1348" s="50">
        <f t="shared" si="302"/>
        <v>71535.307499999995</v>
      </c>
      <c r="T1348" s="50">
        <f t="shared" si="307"/>
        <v>0</v>
      </c>
      <c r="U1348" s="58">
        <f t="shared" si="308"/>
        <v>0</v>
      </c>
      <c r="V1348" s="58">
        <f t="shared" si="309"/>
        <v>0</v>
      </c>
      <c r="W1348" s="58">
        <f t="shared" si="310"/>
        <v>0</v>
      </c>
      <c r="X1348" s="58">
        <f t="shared" si="311"/>
        <v>0</v>
      </c>
      <c r="Y1348" s="52">
        <f t="shared" si="312"/>
        <v>0</v>
      </c>
    </row>
    <row r="1349" spans="1:25" x14ac:dyDescent="0.25">
      <c r="A1349" s="1218" t="s">
        <v>147</v>
      </c>
      <c r="B1349" s="98">
        <v>45597</v>
      </c>
      <c r="C1349" s="117" t="str">
        <f t="shared" si="298"/>
        <v>5L</v>
      </c>
      <c r="D1349" s="96"/>
      <c r="E1349" s="98"/>
      <c r="F1349" s="98"/>
      <c r="G1349" s="55"/>
      <c r="H1349" s="55"/>
      <c r="I1349" s="99">
        <f t="shared" si="300"/>
        <v>0</v>
      </c>
      <c r="J1349" s="55"/>
      <c r="K1349" s="55"/>
      <c r="L1349" s="99">
        <f t="shared" si="301"/>
        <v>0</v>
      </c>
      <c r="M1349" s="44" t="str">
        <f t="shared" si="303"/>
        <v/>
      </c>
      <c r="N1349" s="100">
        <f t="shared" si="304"/>
        <v>0</v>
      </c>
      <c r="O1349" s="101">
        <f t="shared" si="305"/>
        <v>0</v>
      </c>
      <c r="P1349" s="52">
        <f t="shared" si="306"/>
        <v>0</v>
      </c>
      <c r="Q1349" s="49">
        <v>116.88487613461319</v>
      </c>
      <c r="R1349">
        <v>2225</v>
      </c>
      <c r="S1349" s="50">
        <f t="shared" si="302"/>
        <v>71535.307499999995</v>
      </c>
      <c r="T1349" s="50">
        <f t="shared" si="307"/>
        <v>0</v>
      </c>
      <c r="U1349" s="58">
        <f t="shared" si="308"/>
        <v>0</v>
      </c>
      <c r="V1349" s="58">
        <f t="shared" si="309"/>
        <v>0</v>
      </c>
      <c r="W1349" s="58">
        <f t="shared" si="310"/>
        <v>0</v>
      </c>
      <c r="X1349" s="58">
        <f t="shared" si="311"/>
        <v>0</v>
      </c>
      <c r="Y1349" s="52">
        <f t="shared" si="312"/>
        <v>0</v>
      </c>
    </row>
    <row r="1350" spans="1:25" x14ac:dyDescent="0.25">
      <c r="A1350" s="1218" t="s">
        <v>148</v>
      </c>
      <c r="B1350" s="98">
        <v>45597</v>
      </c>
      <c r="C1350" s="117" t="str">
        <f t="shared" si="298"/>
        <v>5L</v>
      </c>
      <c r="D1350" s="96"/>
      <c r="E1350" s="98"/>
      <c r="F1350" s="98"/>
      <c r="G1350" s="55"/>
      <c r="H1350" s="55"/>
      <c r="I1350" s="99">
        <f t="shared" si="300"/>
        <v>0</v>
      </c>
      <c r="J1350" s="55"/>
      <c r="K1350" s="55"/>
      <c r="L1350" s="99">
        <f t="shared" si="301"/>
        <v>0</v>
      </c>
      <c r="M1350" s="44" t="str">
        <f t="shared" si="303"/>
        <v/>
      </c>
      <c r="N1350" s="100">
        <f t="shared" si="304"/>
        <v>0</v>
      </c>
      <c r="O1350" s="101">
        <f t="shared" si="305"/>
        <v>0</v>
      </c>
      <c r="P1350" s="52">
        <f t="shared" si="306"/>
        <v>0</v>
      </c>
      <c r="Q1350" s="49">
        <v>116.88487613461319</v>
      </c>
      <c r="R1350">
        <v>2225</v>
      </c>
      <c r="S1350" s="50">
        <f t="shared" si="302"/>
        <v>71535.307499999995</v>
      </c>
      <c r="T1350" s="50">
        <f t="shared" si="307"/>
        <v>0</v>
      </c>
      <c r="U1350" s="58">
        <f t="shared" si="308"/>
        <v>0</v>
      </c>
      <c r="V1350" s="58">
        <f t="shared" si="309"/>
        <v>0</v>
      </c>
      <c r="W1350" s="58">
        <f t="shared" si="310"/>
        <v>0</v>
      </c>
      <c r="X1350" s="58">
        <f t="shared" si="311"/>
        <v>0</v>
      </c>
      <c r="Y1350" s="52">
        <f t="shared" si="312"/>
        <v>0</v>
      </c>
    </row>
    <row r="1351" spans="1:25" x14ac:dyDescent="0.25">
      <c r="A1351" s="1218" t="s">
        <v>149</v>
      </c>
      <c r="B1351" s="98">
        <v>45597</v>
      </c>
      <c r="C1351" s="117" t="str">
        <f t="shared" si="298"/>
        <v>5L</v>
      </c>
      <c r="D1351" s="96"/>
      <c r="E1351" s="98"/>
      <c r="F1351" s="98"/>
      <c r="G1351" s="55"/>
      <c r="H1351" s="55"/>
      <c r="I1351" s="99">
        <f t="shared" si="300"/>
        <v>0</v>
      </c>
      <c r="J1351" s="55"/>
      <c r="K1351" s="55"/>
      <c r="L1351" s="99">
        <f t="shared" si="301"/>
        <v>0</v>
      </c>
      <c r="M1351" s="44" t="str">
        <f t="shared" si="303"/>
        <v/>
      </c>
      <c r="N1351" s="100">
        <f t="shared" si="304"/>
        <v>0</v>
      </c>
      <c r="O1351" s="101">
        <f t="shared" si="305"/>
        <v>0</v>
      </c>
      <c r="P1351" s="52">
        <f t="shared" si="306"/>
        <v>0</v>
      </c>
      <c r="Q1351" s="49">
        <v>116.88487613461319</v>
      </c>
      <c r="R1351">
        <v>2225</v>
      </c>
      <c r="S1351" s="50">
        <f t="shared" si="302"/>
        <v>71535.307499999995</v>
      </c>
      <c r="T1351" s="50">
        <f t="shared" si="307"/>
        <v>0</v>
      </c>
      <c r="U1351" s="58">
        <f t="shared" si="308"/>
        <v>0</v>
      </c>
      <c r="V1351" s="58">
        <f t="shared" si="309"/>
        <v>0</v>
      </c>
      <c r="W1351" s="58">
        <f t="shared" si="310"/>
        <v>0</v>
      </c>
      <c r="X1351" s="58">
        <f t="shared" si="311"/>
        <v>0</v>
      </c>
      <c r="Y1351" s="52">
        <f t="shared" si="312"/>
        <v>0</v>
      </c>
    </row>
    <row r="1352" spans="1:25" x14ac:dyDescent="0.25">
      <c r="A1352" s="1218" t="s">
        <v>150</v>
      </c>
      <c r="B1352" s="98">
        <v>45597</v>
      </c>
      <c r="C1352" s="117" t="str">
        <f t="shared" si="298"/>
        <v>6L</v>
      </c>
      <c r="D1352" s="96"/>
      <c r="E1352" s="98"/>
      <c r="F1352" s="98"/>
      <c r="I1352" s="99">
        <f t="shared" si="300"/>
        <v>0</v>
      </c>
      <c r="L1352" s="99">
        <f t="shared" si="301"/>
        <v>0</v>
      </c>
      <c r="M1352" s="44" t="str">
        <f t="shared" si="303"/>
        <v/>
      </c>
      <c r="N1352" s="100">
        <f t="shared" si="304"/>
        <v>0</v>
      </c>
      <c r="O1352" s="101">
        <f t="shared" si="305"/>
        <v>0</v>
      </c>
      <c r="P1352" s="52">
        <f t="shared" si="306"/>
        <v>0</v>
      </c>
      <c r="Q1352" s="49">
        <v>116.88487613461319</v>
      </c>
      <c r="R1352">
        <v>2225</v>
      </c>
      <c r="S1352" s="50">
        <f t="shared" si="302"/>
        <v>71535.307499999995</v>
      </c>
      <c r="T1352" s="50">
        <f t="shared" si="307"/>
        <v>0</v>
      </c>
      <c r="U1352" s="58">
        <f t="shared" si="308"/>
        <v>0</v>
      </c>
      <c r="V1352" s="58">
        <f t="shared" si="309"/>
        <v>0</v>
      </c>
      <c r="W1352" s="58">
        <f t="shared" si="310"/>
        <v>0</v>
      </c>
      <c r="X1352" s="58">
        <f t="shared" si="311"/>
        <v>0</v>
      </c>
      <c r="Y1352" s="52">
        <f t="shared" si="312"/>
        <v>0</v>
      </c>
    </row>
    <row r="1353" spans="1:25" x14ac:dyDescent="0.25">
      <c r="A1353" s="1218" t="s">
        <v>151</v>
      </c>
      <c r="B1353" s="98">
        <v>45597</v>
      </c>
      <c r="C1353" s="117" t="str">
        <f t="shared" si="298"/>
        <v>6L</v>
      </c>
      <c r="D1353" s="96"/>
      <c r="E1353" s="98"/>
      <c r="F1353" s="98"/>
      <c r="I1353" s="99">
        <f t="shared" si="300"/>
        <v>0</v>
      </c>
      <c r="L1353" s="99">
        <f t="shared" si="301"/>
        <v>0</v>
      </c>
      <c r="M1353" s="44" t="str">
        <f t="shared" si="303"/>
        <v/>
      </c>
      <c r="N1353" s="100">
        <f t="shared" si="304"/>
        <v>0</v>
      </c>
      <c r="O1353" s="101">
        <f t="shared" si="305"/>
        <v>0</v>
      </c>
      <c r="P1353" s="52">
        <f t="shared" si="306"/>
        <v>0</v>
      </c>
      <c r="Q1353" s="49">
        <v>116.88487613461319</v>
      </c>
      <c r="R1353">
        <v>2225</v>
      </c>
      <c r="S1353" s="50">
        <f t="shared" si="302"/>
        <v>71535.307499999995</v>
      </c>
      <c r="T1353" s="50">
        <f t="shared" si="307"/>
        <v>0</v>
      </c>
      <c r="U1353" s="58">
        <f t="shared" si="308"/>
        <v>0</v>
      </c>
      <c r="V1353" s="58">
        <f t="shared" si="309"/>
        <v>0</v>
      </c>
      <c r="W1353" s="58">
        <f t="shared" si="310"/>
        <v>0</v>
      </c>
      <c r="X1353" s="58">
        <f t="shared" si="311"/>
        <v>0</v>
      </c>
      <c r="Y1353" s="52">
        <f t="shared" si="312"/>
        <v>0</v>
      </c>
    </row>
    <row r="1354" spans="1:25" x14ac:dyDescent="0.25">
      <c r="A1354" s="1218" t="s">
        <v>152</v>
      </c>
      <c r="B1354" s="98">
        <v>45597</v>
      </c>
      <c r="C1354" s="117" t="str">
        <f t="shared" si="298"/>
        <v>6L</v>
      </c>
      <c r="D1354" s="96"/>
      <c r="E1354" s="98"/>
      <c r="F1354" s="98"/>
      <c r="I1354" s="99"/>
      <c r="L1354" s="99"/>
      <c r="M1354" s="44"/>
      <c r="N1354" s="100"/>
      <c r="O1354" s="101"/>
      <c r="P1354" s="52"/>
      <c r="Q1354" s="49"/>
      <c r="S1354" s="50"/>
      <c r="T1354" s="50"/>
      <c r="U1354" s="58"/>
      <c r="V1354" s="58"/>
      <c r="W1354" s="58"/>
      <c r="X1354" s="58"/>
      <c r="Y1354" s="52"/>
    </row>
    <row r="1355" spans="1:25" x14ac:dyDescent="0.25">
      <c r="A1355" s="1218" t="s">
        <v>153</v>
      </c>
      <c r="B1355" s="98">
        <v>45597</v>
      </c>
      <c r="C1355" s="117" t="str">
        <f t="shared" si="298"/>
        <v>6L</v>
      </c>
      <c r="D1355" s="96"/>
      <c r="E1355" s="98"/>
      <c r="F1355" s="98"/>
      <c r="I1355" s="99"/>
      <c r="L1355" s="99"/>
      <c r="M1355" s="44"/>
      <c r="N1355" s="100"/>
      <c r="O1355" s="101"/>
      <c r="P1355" s="52"/>
      <c r="Q1355" s="49"/>
      <c r="S1355" s="50"/>
      <c r="T1355" s="50"/>
      <c r="U1355" s="58"/>
      <c r="V1355" s="58"/>
      <c r="W1355" s="58"/>
      <c r="X1355" s="58"/>
      <c r="Y1355" s="52"/>
    </row>
    <row r="1356" spans="1:25" x14ac:dyDescent="0.25">
      <c r="A1356" s="1218" t="s">
        <v>154</v>
      </c>
      <c r="B1356" s="98">
        <v>45597</v>
      </c>
      <c r="C1356" s="117" t="str">
        <f t="shared" si="298"/>
        <v>6L</v>
      </c>
      <c r="D1356" s="96"/>
      <c r="E1356" s="98"/>
      <c r="F1356" s="98"/>
      <c r="I1356" s="99"/>
      <c r="L1356" s="99"/>
      <c r="M1356" s="44"/>
      <c r="N1356" s="100"/>
      <c r="O1356" s="101"/>
      <c r="P1356" s="52"/>
      <c r="Q1356" s="49"/>
      <c r="S1356" s="50"/>
      <c r="T1356" s="50"/>
      <c r="U1356" s="58"/>
      <c r="V1356" s="58"/>
      <c r="W1356" s="58"/>
      <c r="X1356" s="58"/>
      <c r="Y1356" s="52"/>
    </row>
    <row r="1357" spans="1:25" x14ac:dyDescent="0.25">
      <c r="A1357" s="1218" t="s">
        <v>155</v>
      </c>
      <c r="B1357" s="98">
        <v>45597</v>
      </c>
      <c r="C1357" s="117" t="str">
        <f t="shared" si="298"/>
        <v>6L</v>
      </c>
      <c r="D1357" s="96"/>
      <c r="E1357" s="98"/>
      <c r="F1357" s="98"/>
      <c r="I1357" s="99">
        <f t="shared" si="300"/>
        <v>0</v>
      </c>
      <c r="L1357" s="99">
        <f t="shared" si="301"/>
        <v>0</v>
      </c>
      <c r="M1357" s="44" t="str">
        <f t="shared" si="303"/>
        <v/>
      </c>
      <c r="N1357" s="100">
        <f t="shared" si="304"/>
        <v>0</v>
      </c>
      <c r="O1357" s="101">
        <f t="shared" si="305"/>
        <v>0</v>
      </c>
      <c r="P1357" s="52">
        <f t="shared" si="306"/>
        <v>0</v>
      </c>
      <c r="Q1357" s="49">
        <v>116.88487613461319</v>
      </c>
      <c r="R1357">
        <v>2225</v>
      </c>
      <c r="S1357" s="50">
        <f t="shared" si="302"/>
        <v>71535.307499999995</v>
      </c>
      <c r="T1357" s="50">
        <f t="shared" si="307"/>
        <v>0</v>
      </c>
      <c r="U1357" s="58">
        <f t="shared" si="308"/>
        <v>0</v>
      </c>
      <c r="V1357" s="58">
        <f t="shared" si="309"/>
        <v>0</v>
      </c>
      <c r="W1357" s="58">
        <f t="shared" si="310"/>
        <v>0</v>
      </c>
      <c r="X1357" s="58">
        <f t="shared" si="311"/>
        <v>0</v>
      </c>
      <c r="Y1357" s="52">
        <f t="shared" si="312"/>
        <v>0</v>
      </c>
    </row>
    <row r="1358" spans="1:25" x14ac:dyDescent="0.25">
      <c r="A1358" s="1218" t="s">
        <v>156</v>
      </c>
      <c r="B1358" s="98">
        <v>45597</v>
      </c>
      <c r="C1358" s="117" t="str">
        <f t="shared" ref="C1358:C1421" si="313">LEFT(A1358,2)</f>
        <v>6L</v>
      </c>
      <c r="D1358" s="96"/>
      <c r="E1358" s="98"/>
      <c r="F1358" s="98"/>
      <c r="I1358" s="99"/>
      <c r="L1358" s="99"/>
      <c r="M1358" s="44"/>
      <c r="N1358" s="100"/>
      <c r="O1358" s="101"/>
      <c r="P1358" s="52"/>
      <c r="Q1358" s="49"/>
      <c r="S1358" s="50"/>
      <c r="T1358" s="50"/>
      <c r="U1358" s="58"/>
      <c r="V1358" s="58"/>
      <c r="W1358" s="58"/>
      <c r="X1358" s="58"/>
      <c r="Y1358" s="52"/>
    </row>
    <row r="1359" spans="1:25" x14ac:dyDescent="0.25">
      <c r="A1359" s="1218" t="s">
        <v>157</v>
      </c>
      <c r="B1359" s="98">
        <v>45597</v>
      </c>
      <c r="C1359" s="117" t="str">
        <f t="shared" si="313"/>
        <v>6L</v>
      </c>
      <c r="D1359" s="96"/>
      <c r="E1359" s="98"/>
      <c r="F1359" s="98"/>
      <c r="I1359" s="99">
        <f t="shared" si="300"/>
        <v>0</v>
      </c>
      <c r="L1359" s="99">
        <f t="shared" si="301"/>
        <v>0</v>
      </c>
      <c r="M1359" s="44" t="str">
        <f t="shared" si="303"/>
        <v/>
      </c>
      <c r="N1359" s="100">
        <f t="shared" si="304"/>
        <v>0</v>
      </c>
      <c r="O1359" s="101">
        <f t="shared" si="305"/>
        <v>0</v>
      </c>
      <c r="P1359" s="52">
        <f t="shared" si="306"/>
        <v>0</v>
      </c>
      <c r="Q1359" s="49">
        <v>116.88487613461319</v>
      </c>
      <c r="R1359">
        <v>2225</v>
      </c>
      <c r="S1359" s="50">
        <f t="shared" si="302"/>
        <v>71535.307499999995</v>
      </c>
      <c r="T1359" s="50">
        <f t="shared" si="307"/>
        <v>0</v>
      </c>
      <c r="U1359" s="58">
        <f t="shared" si="308"/>
        <v>0</v>
      </c>
      <c r="V1359" s="58">
        <f t="shared" si="309"/>
        <v>0</v>
      </c>
      <c r="W1359" s="58">
        <f t="shared" si="310"/>
        <v>0</v>
      </c>
      <c r="X1359" s="58">
        <f t="shared" si="311"/>
        <v>0</v>
      </c>
      <c r="Y1359" s="52">
        <f t="shared" si="312"/>
        <v>0</v>
      </c>
    </row>
    <row r="1360" spans="1:25" x14ac:dyDescent="0.25">
      <c r="A1360" s="1218" t="s">
        <v>158</v>
      </c>
      <c r="B1360" s="98">
        <v>45597</v>
      </c>
      <c r="C1360" s="117" t="str">
        <f t="shared" si="313"/>
        <v>6L</v>
      </c>
      <c r="D1360" s="96"/>
      <c r="E1360" s="98"/>
      <c r="F1360" s="98"/>
      <c r="I1360" s="99">
        <f t="shared" si="300"/>
        <v>0</v>
      </c>
      <c r="L1360" s="99">
        <f t="shared" si="301"/>
        <v>0</v>
      </c>
      <c r="M1360" s="44" t="str">
        <f t="shared" si="303"/>
        <v/>
      </c>
      <c r="N1360" s="100">
        <f t="shared" si="304"/>
        <v>0</v>
      </c>
      <c r="O1360" s="101">
        <f t="shared" si="305"/>
        <v>0</v>
      </c>
      <c r="P1360" s="52">
        <f t="shared" si="306"/>
        <v>0</v>
      </c>
      <c r="Q1360" s="49">
        <v>116.88487613461319</v>
      </c>
      <c r="R1360">
        <v>2225</v>
      </c>
      <c r="S1360" s="50">
        <f t="shared" si="302"/>
        <v>71535.307499999995</v>
      </c>
      <c r="T1360" s="50">
        <f t="shared" si="307"/>
        <v>0</v>
      </c>
      <c r="U1360" s="58">
        <f t="shared" si="308"/>
        <v>0</v>
      </c>
      <c r="V1360" s="58">
        <f t="shared" si="309"/>
        <v>0</v>
      </c>
      <c r="W1360" s="58">
        <f t="shared" si="310"/>
        <v>0</v>
      </c>
      <c r="X1360" s="58">
        <f t="shared" si="311"/>
        <v>0</v>
      </c>
      <c r="Y1360" s="52">
        <f t="shared" si="312"/>
        <v>0</v>
      </c>
    </row>
    <row r="1361" spans="1:25" x14ac:dyDescent="0.25">
      <c r="A1361" s="1218" t="s">
        <v>159</v>
      </c>
      <c r="B1361" s="98">
        <v>45597</v>
      </c>
      <c r="C1361" s="117" t="str">
        <f t="shared" si="313"/>
        <v>6L</v>
      </c>
      <c r="D1361" s="96"/>
      <c r="E1361" s="98"/>
      <c r="F1361" s="98"/>
      <c r="I1361" s="99">
        <f t="shared" si="300"/>
        <v>0</v>
      </c>
      <c r="L1361" s="99">
        <f t="shared" si="301"/>
        <v>0</v>
      </c>
      <c r="M1361" s="44" t="str">
        <f t="shared" si="303"/>
        <v/>
      </c>
      <c r="N1361" s="100">
        <f t="shared" si="304"/>
        <v>0</v>
      </c>
      <c r="O1361" s="101">
        <f t="shared" si="305"/>
        <v>0</v>
      </c>
      <c r="P1361" s="52">
        <f t="shared" si="306"/>
        <v>0</v>
      </c>
      <c r="Q1361" s="49">
        <v>116.88487613461319</v>
      </c>
      <c r="R1361">
        <v>2225</v>
      </c>
      <c r="S1361" s="50">
        <f t="shared" si="302"/>
        <v>71535.307499999995</v>
      </c>
      <c r="T1361" s="50">
        <f t="shared" si="307"/>
        <v>0</v>
      </c>
      <c r="U1361" s="58">
        <f t="shared" si="308"/>
        <v>0</v>
      </c>
      <c r="V1361" s="58">
        <f t="shared" si="309"/>
        <v>0</v>
      </c>
      <c r="W1361" s="58">
        <f t="shared" si="310"/>
        <v>0</v>
      </c>
      <c r="X1361" s="58">
        <f t="shared" si="311"/>
        <v>0</v>
      </c>
      <c r="Y1361" s="52">
        <f t="shared" si="312"/>
        <v>0</v>
      </c>
    </row>
    <row r="1362" spans="1:25" x14ac:dyDescent="0.25">
      <c r="A1362" s="1218" t="s">
        <v>160</v>
      </c>
      <c r="B1362" s="98">
        <v>45597</v>
      </c>
      <c r="C1362" s="117" t="str">
        <f t="shared" si="313"/>
        <v>6L</v>
      </c>
      <c r="D1362" s="96"/>
      <c r="E1362" s="98"/>
      <c r="F1362" s="98"/>
      <c r="I1362" s="99">
        <f t="shared" si="300"/>
        <v>0</v>
      </c>
      <c r="L1362" s="99">
        <f t="shared" si="301"/>
        <v>0</v>
      </c>
      <c r="M1362" s="44" t="str">
        <f t="shared" si="303"/>
        <v/>
      </c>
      <c r="N1362" s="100">
        <f t="shared" si="304"/>
        <v>0</v>
      </c>
      <c r="O1362" s="101">
        <f t="shared" si="305"/>
        <v>0</v>
      </c>
      <c r="P1362" s="52">
        <f t="shared" si="306"/>
        <v>0</v>
      </c>
      <c r="Q1362" s="49">
        <v>116.88487613461319</v>
      </c>
      <c r="R1362">
        <v>2225</v>
      </c>
      <c r="S1362" s="50">
        <f t="shared" si="302"/>
        <v>71535.307499999995</v>
      </c>
      <c r="T1362" s="50">
        <f t="shared" si="307"/>
        <v>0</v>
      </c>
      <c r="U1362" s="58">
        <f t="shared" si="308"/>
        <v>0</v>
      </c>
      <c r="V1362" s="58">
        <f t="shared" si="309"/>
        <v>0</v>
      </c>
      <c r="W1362" s="58">
        <f t="shared" si="310"/>
        <v>0</v>
      </c>
      <c r="X1362" s="58">
        <f t="shared" si="311"/>
        <v>0</v>
      </c>
      <c r="Y1362" s="52">
        <f t="shared" si="312"/>
        <v>0</v>
      </c>
    </row>
    <row r="1363" spans="1:25" x14ac:dyDescent="0.25">
      <c r="A1363" s="1218" t="s">
        <v>161</v>
      </c>
      <c r="B1363" s="98">
        <v>45597</v>
      </c>
      <c r="C1363" s="117" t="str">
        <f t="shared" si="313"/>
        <v>6L</v>
      </c>
      <c r="D1363" s="96"/>
      <c r="E1363" s="98"/>
      <c r="F1363" s="98"/>
      <c r="I1363" s="99">
        <f t="shared" si="300"/>
        <v>0</v>
      </c>
      <c r="L1363" s="99">
        <f t="shared" si="301"/>
        <v>0</v>
      </c>
      <c r="M1363" s="44" t="str">
        <f t="shared" si="303"/>
        <v/>
      </c>
      <c r="N1363" s="100">
        <f t="shared" si="304"/>
        <v>0</v>
      </c>
      <c r="O1363" s="101">
        <f t="shared" si="305"/>
        <v>0</v>
      </c>
      <c r="P1363" s="52">
        <f t="shared" si="306"/>
        <v>0</v>
      </c>
      <c r="Q1363" s="49">
        <v>116.88487613461319</v>
      </c>
      <c r="R1363">
        <v>2225</v>
      </c>
      <c r="S1363" s="50">
        <f t="shared" si="302"/>
        <v>71535.307499999995</v>
      </c>
      <c r="T1363" s="50">
        <f t="shared" si="307"/>
        <v>0</v>
      </c>
      <c r="U1363" s="58">
        <f t="shared" si="308"/>
        <v>0</v>
      </c>
      <c r="V1363" s="58">
        <f t="shared" si="309"/>
        <v>0</v>
      </c>
      <c r="W1363" s="58">
        <f t="shared" si="310"/>
        <v>0</v>
      </c>
      <c r="X1363" s="58">
        <f t="shared" si="311"/>
        <v>0</v>
      </c>
      <c r="Y1363" s="52">
        <f t="shared" si="312"/>
        <v>0</v>
      </c>
    </row>
    <row r="1364" spans="1:25" x14ac:dyDescent="0.25">
      <c r="A1364" s="1218" t="s">
        <v>162</v>
      </c>
      <c r="B1364" s="98">
        <v>45597</v>
      </c>
      <c r="C1364" s="117" t="str">
        <f t="shared" si="313"/>
        <v>6L</v>
      </c>
      <c r="D1364" s="96"/>
      <c r="E1364" s="98"/>
      <c r="F1364" s="98"/>
      <c r="I1364" s="99">
        <f t="shared" si="300"/>
        <v>0</v>
      </c>
      <c r="L1364" s="99">
        <f t="shared" si="301"/>
        <v>0</v>
      </c>
      <c r="M1364" s="44" t="str">
        <f t="shared" si="303"/>
        <v/>
      </c>
      <c r="N1364" s="100">
        <f t="shared" si="304"/>
        <v>0</v>
      </c>
      <c r="O1364" s="101">
        <f t="shared" si="305"/>
        <v>0</v>
      </c>
      <c r="P1364" s="52">
        <f t="shared" si="306"/>
        <v>0</v>
      </c>
      <c r="Q1364" s="49">
        <v>116.88487613461319</v>
      </c>
      <c r="R1364">
        <v>2225</v>
      </c>
      <c r="S1364" s="50">
        <f t="shared" si="302"/>
        <v>71535.307499999995</v>
      </c>
      <c r="T1364" s="50">
        <f t="shared" si="307"/>
        <v>0</v>
      </c>
      <c r="U1364" s="58">
        <f t="shared" si="308"/>
        <v>0</v>
      </c>
      <c r="V1364" s="58">
        <f t="shared" si="309"/>
        <v>0</v>
      </c>
      <c r="W1364" s="58">
        <f t="shared" si="310"/>
        <v>0</v>
      </c>
      <c r="X1364" s="58">
        <f t="shared" si="311"/>
        <v>0</v>
      </c>
      <c r="Y1364" s="52">
        <f t="shared" si="312"/>
        <v>0</v>
      </c>
    </row>
    <row r="1365" spans="1:25" x14ac:dyDescent="0.25">
      <c r="A1365" s="1218" t="s">
        <v>163</v>
      </c>
      <c r="B1365" s="98">
        <v>45597</v>
      </c>
      <c r="C1365" s="117" t="str">
        <f t="shared" si="313"/>
        <v>6L</v>
      </c>
      <c r="D1365" s="96"/>
      <c r="E1365" s="98"/>
      <c r="F1365" s="98"/>
      <c r="I1365" s="99">
        <f t="shared" si="300"/>
        <v>0</v>
      </c>
      <c r="L1365" s="99">
        <f t="shared" si="301"/>
        <v>0</v>
      </c>
      <c r="M1365" s="44" t="str">
        <f t="shared" si="303"/>
        <v/>
      </c>
      <c r="N1365" s="100">
        <f t="shared" si="304"/>
        <v>0</v>
      </c>
      <c r="O1365" s="101">
        <f t="shared" si="305"/>
        <v>0</v>
      </c>
      <c r="P1365" s="52">
        <f t="shared" si="306"/>
        <v>0</v>
      </c>
      <c r="Q1365" s="49">
        <v>116.88487613461319</v>
      </c>
      <c r="R1365">
        <v>2225</v>
      </c>
      <c r="S1365" s="50">
        <f t="shared" si="302"/>
        <v>71535.307499999995</v>
      </c>
      <c r="T1365" s="50">
        <f t="shared" si="307"/>
        <v>0</v>
      </c>
      <c r="U1365" s="58">
        <f t="shared" si="308"/>
        <v>0</v>
      </c>
      <c r="V1365" s="58">
        <f t="shared" si="309"/>
        <v>0</v>
      </c>
      <c r="W1365" s="58">
        <f t="shared" si="310"/>
        <v>0</v>
      </c>
      <c r="X1365" s="58">
        <f t="shared" si="311"/>
        <v>0</v>
      </c>
      <c r="Y1365" s="52">
        <f t="shared" si="312"/>
        <v>0</v>
      </c>
    </row>
    <row r="1366" spans="1:25" x14ac:dyDescent="0.25">
      <c r="A1366" s="1218" t="s">
        <v>164</v>
      </c>
      <c r="B1366" s="98">
        <v>45597</v>
      </c>
      <c r="C1366" s="117" t="str">
        <f t="shared" si="313"/>
        <v>6L</v>
      </c>
      <c r="D1366" s="96"/>
      <c r="E1366" s="98"/>
      <c r="F1366" s="98"/>
      <c r="I1366" s="99">
        <f t="shared" si="300"/>
        <v>0</v>
      </c>
      <c r="L1366" s="99">
        <f t="shared" si="301"/>
        <v>0</v>
      </c>
      <c r="M1366" s="44" t="str">
        <f t="shared" si="303"/>
        <v/>
      </c>
      <c r="N1366" s="100">
        <f t="shared" si="304"/>
        <v>0</v>
      </c>
      <c r="O1366" s="101">
        <f t="shared" si="305"/>
        <v>0</v>
      </c>
      <c r="P1366" s="52">
        <f t="shared" si="306"/>
        <v>0</v>
      </c>
      <c r="Q1366" s="49">
        <v>116.88487613461319</v>
      </c>
      <c r="R1366">
        <v>2225</v>
      </c>
      <c r="S1366" s="50">
        <f t="shared" si="302"/>
        <v>71535.307499999995</v>
      </c>
      <c r="T1366" s="50">
        <f t="shared" si="307"/>
        <v>0</v>
      </c>
      <c r="U1366" s="58">
        <f t="shared" si="308"/>
        <v>0</v>
      </c>
      <c r="V1366" s="58">
        <f t="shared" si="309"/>
        <v>0</v>
      </c>
      <c r="W1366" s="58">
        <f t="shared" si="310"/>
        <v>0</v>
      </c>
      <c r="X1366" s="58">
        <f t="shared" si="311"/>
        <v>0</v>
      </c>
      <c r="Y1366" s="52">
        <f t="shared" si="312"/>
        <v>0</v>
      </c>
    </row>
    <row r="1367" spans="1:25" x14ac:dyDescent="0.25">
      <c r="A1367" s="1218" t="s">
        <v>165</v>
      </c>
      <c r="B1367" s="98">
        <v>45597</v>
      </c>
      <c r="C1367" s="117" t="str">
        <f t="shared" si="313"/>
        <v>6L</v>
      </c>
      <c r="D1367" s="96"/>
      <c r="E1367" s="98"/>
      <c r="F1367" s="98"/>
      <c r="I1367" s="99">
        <f t="shared" si="300"/>
        <v>0</v>
      </c>
      <c r="L1367" s="99">
        <f t="shared" si="301"/>
        <v>0</v>
      </c>
      <c r="M1367" s="44" t="str">
        <f t="shared" si="303"/>
        <v/>
      </c>
      <c r="N1367" s="100">
        <f t="shared" si="304"/>
        <v>0</v>
      </c>
      <c r="O1367" s="101">
        <f t="shared" si="305"/>
        <v>0</v>
      </c>
      <c r="P1367" s="52">
        <f t="shared" si="306"/>
        <v>0</v>
      </c>
      <c r="Q1367" s="49">
        <v>116.88487613461319</v>
      </c>
      <c r="R1367">
        <v>2225</v>
      </c>
      <c r="S1367" s="50">
        <f t="shared" si="302"/>
        <v>71535.307499999995</v>
      </c>
      <c r="T1367" s="50">
        <f t="shared" si="307"/>
        <v>0</v>
      </c>
      <c r="U1367" s="58">
        <f t="shared" si="308"/>
        <v>0</v>
      </c>
      <c r="V1367" s="58">
        <f t="shared" si="309"/>
        <v>0</v>
      </c>
      <c r="W1367" s="58">
        <f t="shared" si="310"/>
        <v>0</v>
      </c>
      <c r="X1367" s="58">
        <f t="shared" si="311"/>
        <v>0</v>
      </c>
      <c r="Y1367" s="52">
        <f t="shared" si="312"/>
        <v>0</v>
      </c>
    </row>
    <row r="1368" spans="1:25" x14ac:dyDescent="0.25">
      <c r="A1368" s="1218" t="s">
        <v>166</v>
      </c>
      <c r="B1368" s="98">
        <v>45597</v>
      </c>
      <c r="C1368" s="117" t="str">
        <f t="shared" si="313"/>
        <v>6L</v>
      </c>
      <c r="D1368" s="96"/>
      <c r="E1368" s="98"/>
      <c r="F1368" s="98"/>
      <c r="I1368" s="99">
        <f t="shared" si="300"/>
        <v>0</v>
      </c>
      <c r="L1368" s="99">
        <f t="shared" si="301"/>
        <v>0</v>
      </c>
      <c r="M1368" s="44" t="str">
        <f t="shared" si="303"/>
        <v/>
      </c>
      <c r="N1368" s="100">
        <f t="shared" si="304"/>
        <v>0</v>
      </c>
      <c r="O1368" s="101">
        <f t="shared" si="305"/>
        <v>0</v>
      </c>
      <c r="P1368" s="52">
        <f t="shared" si="306"/>
        <v>0</v>
      </c>
      <c r="Q1368" s="49">
        <v>116.88487613461319</v>
      </c>
      <c r="R1368">
        <v>2225</v>
      </c>
      <c r="S1368" s="50">
        <f t="shared" si="302"/>
        <v>71535.307499999995</v>
      </c>
      <c r="T1368" s="50">
        <f t="shared" si="307"/>
        <v>0</v>
      </c>
      <c r="U1368" s="58">
        <f t="shared" si="308"/>
        <v>0</v>
      </c>
      <c r="V1368" s="58">
        <f t="shared" si="309"/>
        <v>0</v>
      </c>
      <c r="W1368" s="58">
        <f t="shared" si="310"/>
        <v>0</v>
      </c>
      <c r="X1368" s="58">
        <f t="shared" si="311"/>
        <v>0</v>
      </c>
      <c r="Y1368" s="52">
        <f t="shared" si="312"/>
        <v>0</v>
      </c>
    </row>
    <row r="1369" spans="1:25" x14ac:dyDescent="0.25">
      <c r="A1369" s="1218" t="s">
        <v>167</v>
      </c>
      <c r="B1369" s="98">
        <v>45597</v>
      </c>
      <c r="C1369" s="117" t="str">
        <f t="shared" si="313"/>
        <v>6L</v>
      </c>
      <c r="D1369" s="96"/>
      <c r="E1369" s="98"/>
      <c r="F1369" s="98"/>
      <c r="I1369" s="99">
        <f t="shared" si="300"/>
        <v>0</v>
      </c>
      <c r="L1369" s="99">
        <f t="shared" si="301"/>
        <v>0</v>
      </c>
      <c r="M1369" s="44" t="str">
        <f t="shared" si="303"/>
        <v/>
      </c>
      <c r="N1369" s="100">
        <f t="shared" si="304"/>
        <v>0</v>
      </c>
      <c r="O1369" s="101">
        <f t="shared" si="305"/>
        <v>0</v>
      </c>
      <c r="P1369" s="52">
        <f t="shared" si="306"/>
        <v>0</v>
      </c>
      <c r="Q1369" s="49">
        <v>116.88487613461319</v>
      </c>
      <c r="R1369">
        <v>2225</v>
      </c>
      <c r="S1369" s="50">
        <f t="shared" si="302"/>
        <v>71535.307499999995</v>
      </c>
      <c r="T1369" s="50">
        <f t="shared" si="307"/>
        <v>0</v>
      </c>
      <c r="U1369" s="58">
        <f t="shared" si="308"/>
        <v>0</v>
      </c>
      <c r="V1369" s="58">
        <f t="shared" si="309"/>
        <v>0</v>
      </c>
      <c r="W1369" s="58">
        <f t="shared" si="310"/>
        <v>0</v>
      </c>
      <c r="X1369" s="58">
        <f t="shared" si="311"/>
        <v>0</v>
      </c>
      <c r="Y1369" s="52">
        <f t="shared" si="312"/>
        <v>0</v>
      </c>
    </row>
    <row r="1370" spans="1:25" x14ac:dyDescent="0.25">
      <c r="A1370" s="1218" t="s">
        <v>168</v>
      </c>
      <c r="B1370" s="98">
        <v>45597</v>
      </c>
      <c r="C1370" s="117" t="str">
        <f t="shared" si="313"/>
        <v>6L</v>
      </c>
      <c r="D1370" s="96"/>
      <c r="E1370" s="98"/>
      <c r="F1370" s="98"/>
      <c r="I1370" s="99">
        <f t="shared" si="300"/>
        <v>0</v>
      </c>
      <c r="L1370" s="99">
        <f t="shared" si="301"/>
        <v>0</v>
      </c>
      <c r="M1370" s="44" t="str">
        <f t="shared" si="303"/>
        <v/>
      </c>
      <c r="N1370" s="100">
        <f t="shared" si="304"/>
        <v>0</v>
      </c>
      <c r="O1370" s="101">
        <f t="shared" si="305"/>
        <v>0</v>
      </c>
      <c r="P1370" s="52">
        <f t="shared" si="306"/>
        <v>0</v>
      </c>
      <c r="Q1370" s="49">
        <v>116.88487613461319</v>
      </c>
      <c r="R1370">
        <v>2225</v>
      </c>
      <c r="S1370" s="50">
        <f t="shared" si="302"/>
        <v>71535.307499999995</v>
      </c>
      <c r="T1370" s="50">
        <f t="shared" si="307"/>
        <v>0</v>
      </c>
      <c r="U1370" s="58">
        <f t="shared" si="308"/>
        <v>0</v>
      </c>
      <c r="V1370" s="58">
        <f t="shared" si="309"/>
        <v>0</v>
      </c>
      <c r="W1370" s="58">
        <f t="shared" si="310"/>
        <v>0</v>
      </c>
      <c r="X1370" s="58">
        <f t="shared" si="311"/>
        <v>0</v>
      </c>
      <c r="Y1370" s="52">
        <f t="shared" si="312"/>
        <v>0</v>
      </c>
    </row>
    <row r="1371" spans="1:25" x14ac:dyDescent="0.25">
      <c r="A1371" s="1218" t="s">
        <v>169</v>
      </c>
      <c r="B1371" s="98">
        <v>45597</v>
      </c>
      <c r="C1371" s="117" t="str">
        <f t="shared" si="313"/>
        <v>6L</v>
      </c>
      <c r="D1371" s="96"/>
      <c r="E1371" s="98"/>
      <c r="F1371" s="98"/>
      <c r="I1371" s="99">
        <f t="shared" si="300"/>
        <v>0</v>
      </c>
      <c r="L1371" s="99">
        <f t="shared" si="301"/>
        <v>0</v>
      </c>
      <c r="M1371" s="44" t="str">
        <f t="shared" si="303"/>
        <v/>
      </c>
      <c r="N1371" s="100">
        <f t="shared" si="304"/>
        <v>0</v>
      </c>
      <c r="O1371" s="101">
        <f t="shared" si="305"/>
        <v>0</v>
      </c>
      <c r="P1371" s="52">
        <f t="shared" si="306"/>
        <v>0</v>
      </c>
      <c r="Q1371" s="49">
        <v>116.88487613461319</v>
      </c>
      <c r="R1371">
        <v>2225</v>
      </c>
      <c r="S1371" s="50">
        <f t="shared" si="302"/>
        <v>71535.307499999995</v>
      </c>
      <c r="T1371" s="50">
        <f t="shared" si="307"/>
        <v>0</v>
      </c>
      <c r="U1371" s="58">
        <f t="shared" si="308"/>
        <v>0</v>
      </c>
      <c r="V1371" s="58">
        <f t="shared" si="309"/>
        <v>0</v>
      </c>
      <c r="W1371" s="58">
        <f t="shared" si="310"/>
        <v>0</v>
      </c>
      <c r="X1371" s="58">
        <f t="shared" si="311"/>
        <v>0</v>
      </c>
      <c r="Y1371" s="52">
        <f t="shared" si="312"/>
        <v>0</v>
      </c>
    </row>
    <row r="1372" spans="1:25" x14ac:dyDescent="0.25">
      <c r="A1372" s="1218" t="s">
        <v>170</v>
      </c>
      <c r="B1372" s="98">
        <v>45597</v>
      </c>
      <c r="C1372" s="117" t="str">
        <f t="shared" si="313"/>
        <v>6L</v>
      </c>
      <c r="D1372" s="96"/>
      <c r="E1372" s="98"/>
      <c r="F1372" s="98"/>
      <c r="I1372" s="99">
        <f t="shared" si="300"/>
        <v>0</v>
      </c>
      <c r="L1372" s="99">
        <f t="shared" si="301"/>
        <v>0</v>
      </c>
      <c r="M1372" s="44" t="str">
        <f t="shared" si="303"/>
        <v/>
      </c>
      <c r="N1372" s="100">
        <f t="shared" si="304"/>
        <v>0</v>
      </c>
      <c r="O1372" s="101">
        <f t="shared" si="305"/>
        <v>0</v>
      </c>
      <c r="P1372" s="52">
        <f t="shared" si="306"/>
        <v>0</v>
      </c>
      <c r="Q1372" s="49">
        <v>116.88487613461319</v>
      </c>
      <c r="R1372">
        <v>2225</v>
      </c>
      <c r="S1372" s="50">
        <f t="shared" si="302"/>
        <v>71535.307499999995</v>
      </c>
      <c r="T1372" s="50">
        <f t="shared" si="307"/>
        <v>0</v>
      </c>
      <c r="U1372" s="58">
        <f t="shared" si="308"/>
        <v>0</v>
      </c>
      <c r="V1372" s="58">
        <f t="shared" si="309"/>
        <v>0</v>
      </c>
      <c r="W1372" s="58">
        <f t="shared" si="310"/>
        <v>0</v>
      </c>
      <c r="X1372" s="58">
        <f t="shared" si="311"/>
        <v>0</v>
      </c>
      <c r="Y1372" s="52">
        <f t="shared" si="312"/>
        <v>0</v>
      </c>
    </row>
    <row r="1373" spans="1:25" x14ac:dyDescent="0.25">
      <c r="A1373" s="1218" t="s">
        <v>171</v>
      </c>
      <c r="B1373" s="98">
        <v>45597</v>
      </c>
      <c r="C1373" s="117" t="str">
        <f t="shared" si="313"/>
        <v>6L</v>
      </c>
      <c r="D1373" s="96"/>
      <c r="E1373" s="98"/>
      <c r="F1373" s="98"/>
      <c r="I1373" s="99">
        <f t="shared" si="300"/>
        <v>0</v>
      </c>
      <c r="L1373" s="99">
        <f t="shared" si="301"/>
        <v>0</v>
      </c>
      <c r="M1373" s="44" t="str">
        <f t="shared" si="303"/>
        <v/>
      </c>
      <c r="N1373" s="100">
        <f t="shared" si="304"/>
        <v>0</v>
      </c>
      <c r="O1373" s="101">
        <f t="shared" si="305"/>
        <v>0</v>
      </c>
      <c r="P1373" s="52">
        <f t="shared" si="306"/>
        <v>0</v>
      </c>
      <c r="Q1373" s="49">
        <v>116.88487613461319</v>
      </c>
      <c r="R1373">
        <v>2225</v>
      </c>
      <c r="S1373" s="50">
        <f t="shared" si="302"/>
        <v>71535.307499999995</v>
      </c>
      <c r="T1373" s="50">
        <f t="shared" si="307"/>
        <v>0</v>
      </c>
      <c r="U1373" s="58">
        <f t="shared" si="308"/>
        <v>0</v>
      </c>
      <c r="V1373" s="58">
        <f t="shared" si="309"/>
        <v>0</v>
      </c>
      <c r="W1373" s="58">
        <f t="shared" si="310"/>
        <v>0</v>
      </c>
      <c r="X1373" s="58">
        <f t="shared" si="311"/>
        <v>0</v>
      </c>
      <c r="Y1373" s="52">
        <f t="shared" si="312"/>
        <v>0</v>
      </c>
    </row>
    <row r="1374" spans="1:25" x14ac:dyDescent="0.25">
      <c r="A1374" s="1218" t="s">
        <v>172</v>
      </c>
      <c r="B1374" s="98">
        <v>45597</v>
      </c>
      <c r="C1374" s="117" t="str">
        <f t="shared" si="313"/>
        <v>6L</v>
      </c>
      <c r="D1374" s="96"/>
      <c r="E1374" s="98"/>
      <c r="F1374" s="98"/>
      <c r="I1374" s="99">
        <f t="shared" si="300"/>
        <v>0</v>
      </c>
      <c r="L1374" s="99">
        <f t="shared" si="301"/>
        <v>0</v>
      </c>
      <c r="M1374" s="44" t="str">
        <f t="shared" si="303"/>
        <v/>
      </c>
      <c r="N1374" s="100">
        <f t="shared" si="304"/>
        <v>0</v>
      </c>
      <c r="O1374" s="101">
        <f t="shared" si="305"/>
        <v>0</v>
      </c>
      <c r="P1374" s="52">
        <f t="shared" si="306"/>
        <v>0</v>
      </c>
      <c r="Q1374" s="49">
        <v>116.88487613461319</v>
      </c>
      <c r="R1374">
        <v>2225</v>
      </c>
      <c r="S1374" s="50">
        <f t="shared" si="302"/>
        <v>71535.307499999995</v>
      </c>
      <c r="T1374" s="50">
        <f t="shared" si="307"/>
        <v>0</v>
      </c>
      <c r="U1374" s="58">
        <f t="shared" si="308"/>
        <v>0</v>
      </c>
      <c r="V1374" s="58">
        <f t="shared" si="309"/>
        <v>0</v>
      </c>
      <c r="W1374" s="58">
        <f t="shared" si="310"/>
        <v>0</v>
      </c>
      <c r="X1374" s="58">
        <f t="shared" si="311"/>
        <v>0</v>
      </c>
      <c r="Y1374" s="52">
        <f t="shared" si="312"/>
        <v>0</v>
      </c>
    </row>
    <row r="1375" spans="1:25" x14ac:dyDescent="0.25">
      <c r="A1375" s="1218" t="s">
        <v>173</v>
      </c>
      <c r="B1375" s="98">
        <v>45597</v>
      </c>
      <c r="C1375" s="117" t="str">
        <f t="shared" si="313"/>
        <v>6L</v>
      </c>
      <c r="D1375" s="96"/>
      <c r="E1375" s="98"/>
      <c r="F1375" s="98"/>
      <c r="I1375" s="99">
        <f t="shared" si="300"/>
        <v>0</v>
      </c>
      <c r="L1375" s="99">
        <f t="shared" si="301"/>
        <v>0</v>
      </c>
      <c r="M1375" s="44" t="str">
        <f t="shared" si="303"/>
        <v/>
      </c>
      <c r="N1375" s="100">
        <f t="shared" si="304"/>
        <v>0</v>
      </c>
      <c r="O1375" s="101">
        <f t="shared" si="305"/>
        <v>0</v>
      </c>
      <c r="P1375" s="52">
        <f t="shared" si="306"/>
        <v>0</v>
      </c>
      <c r="Q1375" s="49">
        <v>116.88487613461319</v>
      </c>
      <c r="R1375">
        <v>2225</v>
      </c>
      <c r="S1375" s="50">
        <f t="shared" si="302"/>
        <v>71535.307499999995</v>
      </c>
      <c r="T1375" s="50">
        <f t="shared" si="307"/>
        <v>0</v>
      </c>
      <c r="U1375" s="58">
        <f t="shared" si="308"/>
        <v>0</v>
      </c>
      <c r="V1375" s="58">
        <f t="shared" si="309"/>
        <v>0</v>
      </c>
      <c r="W1375" s="58">
        <f t="shared" si="310"/>
        <v>0</v>
      </c>
      <c r="X1375" s="58">
        <f t="shared" si="311"/>
        <v>0</v>
      </c>
      <c r="Y1375" s="52">
        <f t="shared" si="312"/>
        <v>0</v>
      </c>
    </row>
    <row r="1376" spans="1:25" x14ac:dyDescent="0.25">
      <c r="A1376" s="1218" t="s">
        <v>174</v>
      </c>
      <c r="B1376" s="98">
        <v>45597</v>
      </c>
      <c r="C1376" s="117" t="str">
        <f t="shared" si="313"/>
        <v>6L</v>
      </c>
      <c r="D1376" s="96"/>
      <c r="E1376" s="98"/>
      <c r="F1376" s="98"/>
      <c r="I1376" s="99">
        <f t="shared" si="300"/>
        <v>0</v>
      </c>
      <c r="L1376" s="99">
        <f t="shared" si="301"/>
        <v>0</v>
      </c>
      <c r="M1376" s="44" t="str">
        <f t="shared" si="303"/>
        <v/>
      </c>
      <c r="N1376" s="100">
        <f t="shared" si="304"/>
        <v>0</v>
      </c>
      <c r="O1376" s="101">
        <f t="shared" si="305"/>
        <v>0</v>
      </c>
      <c r="P1376" s="52">
        <f t="shared" si="306"/>
        <v>0</v>
      </c>
      <c r="Q1376" s="49">
        <v>116.88487613461319</v>
      </c>
      <c r="R1376">
        <v>2225</v>
      </c>
      <c r="S1376" s="50">
        <f t="shared" si="302"/>
        <v>71535.307499999995</v>
      </c>
      <c r="T1376" s="50">
        <f t="shared" si="307"/>
        <v>0</v>
      </c>
      <c r="U1376" s="58">
        <f t="shared" si="308"/>
        <v>0</v>
      </c>
      <c r="V1376" s="58">
        <f t="shared" si="309"/>
        <v>0</v>
      </c>
      <c r="W1376" s="58">
        <f t="shared" si="310"/>
        <v>0</v>
      </c>
      <c r="X1376" s="58">
        <f t="shared" si="311"/>
        <v>0</v>
      </c>
      <c r="Y1376" s="52">
        <f t="shared" si="312"/>
        <v>0</v>
      </c>
    </row>
    <row r="1377" spans="1:25" x14ac:dyDescent="0.25">
      <c r="A1377" s="1218" t="s">
        <v>175</v>
      </c>
      <c r="B1377" s="98">
        <v>45597</v>
      </c>
      <c r="C1377" s="117" t="str">
        <f t="shared" si="313"/>
        <v>6L</v>
      </c>
      <c r="D1377" s="96"/>
      <c r="E1377" s="98"/>
      <c r="F1377" s="98"/>
      <c r="I1377" s="99">
        <f t="shared" si="300"/>
        <v>0</v>
      </c>
      <c r="L1377" s="99">
        <f t="shared" si="301"/>
        <v>0</v>
      </c>
      <c r="M1377" s="44" t="str">
        <f t="shared" si="303"/>
        <v/>
      </c>
      <c r="N1377" s="100">
        <f t="shared" si="304"/>
        <v>0</v>
      </c>
      <c r="O1377" s="101">
        <f t="shared" si="305"/>
        <v>0</v>
      </c>
      <c r="P1377" s="52">
        <f t="shared" si="306"/>
        <v>0</v>
      </c>
      <c r="Q1377" s="49">
        <v>116.88487613461319</v>
      </c>
      <c r="R1377">
        <v>2225</v>
      </c>
      <c r="S1377" s="50">
        <f t="shared" si="302"/>
        <v>71535.307499999995</v>
      </c>
      <c r="T1377" s="50">
        <f t="shared" si="307"/>
        <v>0</v>
      </c>
      <c r="U1377" s="58">
        <f t="shared" si="308"/>
        <v>0</v>
      </c>
      <c r="V1377" s="58">
        <f t="shared" si="309"/>
        <v>0</v>
      </c>
      <c r="W1377" s="58">
        <f t="shared" si="310"/>
        <v>0</v>
      </c>
      <c r="X1377" s="58">
        <f t="shared" si="311"/>
        <v>0</v>
      </c>
      <c r="Y1377" s="52">
        <f t="shared" si="312"/>
        <v>0</v>
      </c>
    </row>
    <row r="1378" spans="1:25" x14ac:dyDescent="0.25">
      <c r="A1378" s="1218" t="s">
        <v>176</v>
      </c>
      <c r="B1378" s="98">
        <v>45597</v>
      </c>
      <c r="C1378" s="117" t="str">
        <f t="shared" si="313"/>
        <v>6L</v>
      </c>
      <c r="D1378" s="96"/>
      <c r="E1378" s="98"/>
      <c r="F1378" s="98"/>
      <c r="I1378" s="99">
        <f t="shared" si="300"/>
        <v>0</v>
      </c>
      <c r="L1378" s="99">
        <f t="shared" si="301"/>
        <v>0</v>
      </c>
      <c r="M1378" s="44" t="str">
        <f t="shared" si="303"/>
        <v/>
      </c>
      <c r="N1378" s="100">
        <f t="shared" si="304"/>
        <v>0</v>
      </c>
      <c r="O1378" s="101">
        <f t="shared" si="305"/>
        <v>0</v>
      </c>
      <c r="P1378" s="52">
        <f t="shared" si="306"/>
        <v>0</v>
      </c>
      <c r="Q1378" s="49">
        <v>116.88487613461319</v>
      </c>
      <c r="R1378">
        <v>2225</v>
      </c>
      <c r="S1378" s="50">
        <f t="shared" si="302"/>
        <v>71535.307499999995</v>
      </c>
      <c r="T1378" s="50">
        <f t="shared" si="307"/>
        <v>0</v>
      </c>
      <c r="U1378" s="58">
        <f t="shared" si="308"/>
        <v>0</v>
      </c>
      <c r="V1378" s="58">
        <f t="shared" si="309"/>
        <v>0</v>
      </c>
      <c r="W1378" s="58">
        <f t="shared" si="310"/>
        <v>0</v>
      </c>
      <c r="X1378" s="58">
        <f t="shared" si="311"/>
        <v>0</v>
      </c>
      <c r="Y1378" s="52">
        <f t="shared" si="312"/>
        <v>0</v>
      </c>
    </row>
    <row r="1379" spans="1:25" x14ac:dyDescent="0.25">
      <c r="A1379" s="1218" t="s">
        <v>177</v>
      </c>
      <c r="B1379" s="98">
        <v>45597</v>
      </c>
      <c r="C1379" s="117" t="str">
        <f t="shared" si="313"/>
        <v>6L</v>
      </c>
      <c r="D1379" s="96"/>
      <c r="E1379" s="98"/>
      <c r="F1379" s="98"/>
      <c r="I1379" s="99">
        <f t="shared" si="300"/>
        <v>0</v>
      </c>
      <c r="L1379" s="99">
        <f t="shared" si="301"/>
        <v>0</v>
      </c>
      <c r="M1379" s="44" t="str">
        <f t="shared" si="303"/>
        <v/>
      </c>
      <c r="N1379" s="100">
        <f t="shared" si="304"/>
        <v>0</v>
      </c>
      <c r="O1379" s="101">
        <f t="shared" si="305"/>
        <v>0</v>
      </c>
      <c r="P1379" s="52">
        <f t="shared" si="306"/>
        <v>0</v>
      </c>
      <c r="Q1379" s="49">
        <v>116.88487613461319</v>
      </c>
      <c r="R1379">
        <v>2225</v>
      </c>
      <c r="S1379" s="50">
        <f t="shared" si="302"/>
        <v>71535.307499999995</v>
      </c>
      <c r="T1379" s="50">
        <f t="shared" si="307"/>
        <v>0</v>
      </c>
      <c r="U1379" s="58">
        <f t="shared" si="308"/>
        <v>0</v>
      </c>
      <c r="V1379" s="58">
        <f t="shared" si="309"/>
        <v>0</v>
      </c>
      <c r="W1379" s="58">
        <f t="shared" si="310"/>
        <v>0</v>
      </c>
      <c r="X1379" s="58">
        <f t="shared" si="311"/>
        <v>0</v>
      </c>
      <c r="Y1379" s="52">
        <f t="shared" si="312"/>
        <v>0</v>
      </c>
    </row>
    <row r="1380" spans="1:25" x14ac:dyDescent="0.25">
      <c r="A1380" s="1218" t="s">
        <v>178</v>
      </c>
      <c r="B1380" s="98">
        <v>45597</v>
      </c>
      <c r="C1380" s="117" t="str">
        <f t="shared" si="313"/>
        <v>7L</v>
      </c>
      <c r="D1380" s="96"/>
      <c r="I1380" s="99">
        <f t="shared" si="300"/>
        <v>0</v>
      </c>
      <c r="L1380" s="99">
        <f t="shared" si="301"/>
        <v>0</v>
      </c>
      <c r="M1380" s="44" t="str">
        <f t="shared" si="303"/>
        <v/>
      </c>
      <c r="N1380" s="100">
        <f t="shared" si="304"/>
        <v>0</v>
      </c>
      <c r="O1380" s="101">
        <f t="shared" si="305"/>
        <v>0</v>
      </c>
      <c r="P1380" s="52">
        <f t="shared" si="306"/>
        <v>0</v>
      </c>
      <c r="Q1380" s="49">
        <v>116.88487613461319</v>
      </c>
      <c r="R1380">
        <v>2225</v>
      </c>
      <c r="S1380" s="50">
        <f t="shared" si="302"/>
        <v>71535.307499999995</v>
      </c>
      <c r="T1380" s="50">
        <f t="shared" si="307"/>
        <v>0</v>
      </c>
      <c r="U1380" s="58">
        <f t="shared" si="308"/>
        <v>0</v>
      </c>
      <c r="V1380" s="58">
        <f t="shared" si="309"/>
        <v>0</v>
      </c>
      <c r="W1380" s="58">
        <f t="shared" si="310"/>
        <v>0</v>
      </c>
      <c r="X1380" s="58">
        <f t="shared" si="311"/>
        <v>0</v>
      </c>
      <c r="Y1380" s="52">
        <f t="shared" si="312"/>
        <v>0</v>
      </c>
    </row>
    <row r="1381" spans="1:25" x14ac:dyDescent="0.25">
      <c r="A1381" s="1218" t="s">
        <v>179</v>
      </c>
      <c r="B1381" s="98">
        <v>45597</v>
      </c>
      <c r="C1381" s="117" t="str">
        <f t="shared" si="313"/>
        <v>7L</v>
      </c>
      <c r="D1381" s="96"/>
      <c r="I1381" s="99">
        <f t="shared" si="300"/>
        <v>0</v>
      </c>
      <c r="L1381" s="99">
        <f t="shared" si="301"/>
        <v>0</v>
      </c>
      <c r="M1381" s="44" t="str">
        <f t="shared" si="303"/>
        <v/>
      </c>
      <c r="N1381" s="100">
        <f t="shared" si="304"/>
        <v>0</v>
      </c>
      <c r="O1381" s="101">
        <f t="shared" si="305"/>
        <v>0</v>
      </c>
      <c r="P1381" s="52">
        <f t="shared" si="306"/>
        <v>0</v>
      </c>
      <c r="Q1381" s="49">
        <v>116.88487613461319</v>
      </c>
      <c r="R1381">
        <v>2225</v>
      </c>
      <c r="S1381" s="50">
        <f t="shared" si="302"/>
        <v>71535.307499999995</v>
      </c>
      <c r="T1381" s="50">
        <f t="shared" si="307"/>
        <v>0</v>
      </c>
      <c r="U1381" s="58">
        <f t="shared" si="308"/>
        <v>0</v>
      </c>
      <c r="V1381" s="58">
        <f t="shared" si="309"/>
        <v>0</v>
      </c>
      <c r="W1381" s="58">
        <f t="shared" si="310"/>
        <v>0</v>
      </c>
      <c r="X1381" s="58">
        <f t="shared" si="311"/>
        <v>0</v>
      </c>
      <c r="Y1381" s="52">
        <f t="shared" si="312"/>
        <v>0</v>
      </c>
    </row>
    <row r="1382" spans="1:25" x14ac:dyDescent="0.25">
      <c r="A1382" s="1218" t="s">
        <v>180</v>
      </c>
      <c r="B1382" s="98">
        <v>45597</v>
      </c>
      <c r="C1382" s="117" t="str">
        <f t="shared" si="313"/>
        <v>7L</v>
      </c>
      <c r="D1382" s="96"/>
      <c r="I1382" s="99">
        <f t="shared" si="300"/>
        <v>0</v>
      </c>
      <c r="L1382" s="99">
        <f t="shared" si="301"/>
        <v>0</v>
      </c>
      <c r="M1382" s="44" t="str">
        <f t="shared" si="303"/>
        <v/>
      </c>
      <c r="N1382" s="100">
        <f t="shared" si="304"/>
        <v>0</v>
      </c>
      <c r="O1382" s="101">
        <f t="shared" si="305"/>
        <v>0</v>
      </c>
      <c r="P1382" s="52">
        <f t="shared" si="306"/>
        <v>0</v>
      </c>
      <c r="Q1382" s="49">
        <v>116.88487613461319</v>
      </c>
      <c r="R1382">
        <v>2225</v>
      </c>
      <c r="S1382" s="50">
        <f t="shared" si="302"/>
        <v>71535.307499999995</v>
      </c>
      <c r="T1382" s="50">
        <f t="shared" si="307"/>
        <v>0</v>
      </c>
      <c r="U1382" s="58">
        <f t="shared" si="308"/>
        <v>0</v>
      </c>
      <c r="V1382" s="58">
        <f t="shared" si="309"/>
        <v>0</v>
      </c>
      <c r="W1382" s="58">
        <f t="shared" si="310"/>
        <v>0</v>
      </c>
      <c r="X1382" s="58">
        <f t="shared" si="311"/>
        <v>0</v>
      </c>
      <c r="Y1382" s="52">
        <f t="shared" si="312"/>
        <v>0</v>
      </c>
    </row>
    <row r="1383" spans="1:25" x14ac:dyDescent="0.25">
      <c r="A1383" s="1218" t="s">
        <v>181</v>
      </c>
      <c r="B1383" s="98">
        <v>45597</v>
      </c>
      <c r="C1383" s="117" t="str">
        <f t="shared" si="313"/>
        <v>7L</v>
      </c>
      <c r="D1383" s="96"/>
      <c r="I1383" s="99">
        <f t="shared" si="300"/>
        <v>0</v>
      </c>
      <c r="L1383" s="99">
        <f t="shared" si="301"/>
        <v>0</v>
      </c>
      <c r="M1383" s="44" t="str">
        <f t="shared" si="303"/>
        <v/>
      </c>
      <c r="N1383" s="100">
        <f t="shared" si="304"/>
        <v>0</v>
      </c>
      <c r="O1383" s="101">
        <f t="shared" si="305"/>
        <v>0</v>
      </c>
      <c r="P1383" s="52">
        <f t="shared" si="306"/>
        <v>0</v>
      </c>
      <c r="Q1383" s="49">
        <v>116.88487613461319</v>
      </c>
      <c r="R1383">
        <v>2225</v>
      </c>
      <c r="S1383" s="50">
        <f t="shared" si="302"/>
        <v>71535.307499999995</v>
      </c>
      <c r="T1383" s="50">
        <f t="shared" si="307"/>
        <v>0</v>
      </c>
      <c r="U1383" s="58">
        <f t="shared" si="308"/>
        <v>0</v>
      </c>
      <c r="V1383" s="58">
        <f t="shared" si="309"/>
        <v>0</v>
      </c>
      <c r="W1383" s="58">
        <f t="shared" si="310"/>
        <v>0</v>
      </c>
      <c r="X1383" s="58">
        <f t="shared" si="311"/>
        <v>0</v>
      </c>
      <c r="Y1383" s="52">
        <f t="shared" si="312"/>
        <v>0</v>
      </c>
    </row>
    <row r="1384" spans="1:25" x14ac:dyDescent="0.25">
      <c r="A1384" s="1218" t="s">
        <v>182</v>
      </c>
      <c r="B1384" s="98">
        <v>45597</v>
      </c>
      <c r="C1384" s="117" t="str">
        <f t="shared" si="313"/>
        <v>7L</v>
      </c>
      <c r="D1384" s="96"/>
      <c r="I1384" s="99">
        <f t="shared" si="300"/>
        <v>0</v>
      </c>
      <c r="L1384" s="99">
        <f t="shared" si="301"/>
        <v>0</v>
      </c>
      <c r="M1384" s="44" t="str">
        <f t="shared" si="303"/>
        <v/>
      </c>
      <c r="N1384" s="100">
        <f t="shared" si="304"/>
        <v>0</v>
      </c>
      <c r="O1384" s="101">
        <f t="shared" si="305"/>
        <v>0</v>
      </c>
      <c r="P1384" s="52">
        <f t="shared" si="306"/>
        <v>0</v>
      </c>
      <c r="Q1384" s="49">
        <v>116.88487613461319</v>
      </c>
      <c r="R1384">
        <v>2225</v>
      </c>
      <c r="S1384" s="50">
        <f t="shared" si="302"/>
        <v>71535.307499999995</v>
      </c>
      <c r="T1384" s="50">
        <f t="shared" si="307"/>
        <v>0</v>
      </c>
      <c r="U1384" s="58">
        <f t="shared" si="308"/>
        <v>0</v>
      </c>
      <c r="V1384" s="58">
        <f t="shared" si="309"/>
        <v>0</v>
      </c>
      <c r="W1384" s="58">
        <f t="shared" si="310"/>
        <v>0</v>
      </c>
      <c r="X1384" s="58">
        <f t="shared" si="311"/>
        <v>0</v>
      </c>
      <c r="Y1384" s="52">
        <f t="shared" si="312"/>
        <v>0</v>
      </c>
    </row>
    <row r="1385" spans="1:25" x14ac:dyDescent="0.25">
      <c r="A1385" s="1218" t="s">
        <v>183</v>
      </c>
      <c r="B1385" s="98">
        <v>45597</v>
      </c>
      <c r="C1385" s="117" t="str">
        <f t="shared" si="313"/>
        <v>7L</v>
      </c>
      <c r="D1385" s="96"/>
      <c r="I1385" s="99">
        <f t="shared" si="300"/>
        <v>0</v>
      </c>
      <c r="L1385" s="99">
        <f t="shared" si="301"/>
        <v>0</v>
      </c>
      <c r="M1385" s="44" t="str">
        <f t="shared" si="303"/>
        <v/>
      </c>
      <c r="N1385" s="100">
        <f t="shared" si="304"/>
        <v>0</v>
      </c>
      <c r="O1385" s="101">
        <f t="shared" si="305"/>
        <v>0</v>
      </c>
      <c r="P1385" s="52">
        <f t="shared" si="306"/>
        <v>0</v>
      </c>
      <c r="Q1385" s="49">
        <v>116.88487613461319</v>
      </c>
      <c r="R1385">
        <v>2225</v>
      </c>
      <c r="S1385" s="50">
        <f t="shared" si="302"/>
        <v>71535.307499999995</v>
      </c>
      <c r="T1385" s="50">
        <f t="shared" si="307"/>
        <v>0</v>
      </c>
      <c r="U1385" s="58">
        <f t="shared" si="308"/>
        <v>0</v>
      </c>
      <c r="V1385" s="58">
        <f t="shared" si="309"/>
        <v>0</v>
      </c>
      <c r="W1385" s="58">
        <f t="shared" si="310"/>
        <v>0</v>
      </c>
      <c r="X1385" s="58">
        <f t="shared" si="311"/>
        <v>0</v>
      </c>
      <c r="Y1385" s="52">
        <f t="shared" si="312"/>
        <v>0</v>
      </c>
    </row>
    <row r="1386" spans="1:25" x14ac:dyDescent="0.25">
      <c r="A1386" s="1218" t="s">
        <v>184</v>
      </c>
      <c r="B1386" s="98">
        <v>45597</v>
      </c>
      <c r="C1386" s="117" t="str">
        <f t="shared" si="313"/>
        <v>7L</v>
      </c>
      <c r="D1386" s="96"/>
      <c r="I1386" s="99">
        <f t="shared" si="300"/>
        <v>0</v>
      </c>
      <c r="L1386" s="99">
        <f t="shared" si="301"/>
        <v>0</v>
      </c>
      <c r="M1386" s="44" t="str">
        <f t="shared" si="303"/>
        <v/>
      </c>
      <c r="N1386" s="100">
        <f t="shared" si="304"/>
        <v>0</v>
      </c>
      <c r="O1386" s="101">
        <f t="shared" si="305"/>
        <v>0</v>
      </c>
      <c r="P1386" s="52">
        <f t="shared" si="306"/>
        <v>0</v>
      </c>
      <c r="Q1386" s="49">
        <v>116.88487613461319</v>
      </c>
      <c r="R1386">
        <v>2225</v>
      </c>
      <c r="S1386" s="50">
        <f t="shared" si="302"/>
        <v>71535.307499999995</v>
      </c>
      <c r="T1386" s="50">
        <f t="shared" si="307"/>
        <v>0</v>
      </c>
      <c r="U1386" s="58">
        <f t="shared" si="308"/>
        <v>0</v>
      </c>
      <c r="V1386" s="58">
        <f t="shared" si="309"/>
        <v>0</v>
      </c>
      <c r="W1386" s="58">
        <f t="shared" si="310"/>
        <v>0</v>
      </c>
      <c r="X1386" s="58">
        <f t="shared" si="311"/>
        <v>0</v>
      </c>
      <c r="Y1386" s="52">
        <f t="shared" si="312"/>
        <v>0</v>
      </c>
    </row>
    <row r="1387" spans="1:25" x14ac:dyDescent="0.25">
      <c r="A1387" s="1218" t="s">
        <v>185</v>
      </c>
      <c r="B1387" s="98">
        <v>45597</v>
      </c>
      <c r="C1387" s="117" t="str">
        <f t="shared" si="313"/>
        <v>7L</v>
      </c>
      <c r="D1387" s="96"/>
      <c r="I1387" s="99">
        <f t="shared" si="300"/>
        <v>0</v>
      </c>
      <c r="L1387" s="99">
        <f t="shared" si="301"/>
        <v>0</v>
      </c>
      <c r="M1387" s="44" t="str">
        <f t="shared" si="303"/>
        <v/>
      </c>
      <c r="N1387" s="100">
        <f t="shared" si="304"/>
        <v>0</v>
      </c>
      <c r="O1387" s="101">
        <f t="shared" si="305"/>
        <v>0</v>
      </c>
      <c r="P1387" s="52">
        <f t="shared" si="306"/>
        <v>0</v>
      </c>
      <c r="Q1387" s="49">
        <v>116.88487613461319</v>
      </c>
      <c r="R1387">
        <v>2225</v>
      </c>
      <c r="S1387" s="50">
        <f t="shared" si="302"/>
        <v>71535.307499999995</v>
      </c>
      <c r="T1387" s="50">
        <f t="shared" si="307"/>
        <v>0</v>
      </c>
      <c r="U1387" s="58">
        <f t="shared" si="308"/>
        <v>0</v>
      </c>
      <c r="V1387" s="58">
        <f t="shared" si="309"/>
        <v>0</v>
      </c>
      <c r="W1387" s="58">
        <f t="shared" si="310"/>
        <v>0</v>
      </c>
      <c r="X1387" s="58">
        <f t="shared" si="311"/>
        <v>0</v>
      </c>
      <c r="Y1387" s="52">
        <f t="shared" si="312"/>
        <v>0</v>
      </c>
    </row>
    <row r="1388" spans="1:25" x14ac:dyDescent="0.25">
      <c r="A1388" s="1218" t="s">
        <v>186</v>
      </c>
      <c r="B1388" s="98">
        <v>45597</v>
      </c>
      <c r="C1388" s="117" t="str">
        <f t="shared" si="313"/>
        <v>7L</v>
      </c>
      <c r="D1388" s="96"/>
      <c r="I1388" s="99">
        <f t="shared" si="300"/>
        <v>0</v>
      </c>
      <c r="L1388" s="99">
        <f t="shared" si="301"/>
        <v>0</v>
      </c>
      <c r="M1388" s="44" t="str">
        <f t="shared" si="303"/>
        <v/>
      </c>
      <c r="N1388" s="100">
        <f t="shared" si="304"/>
        <v>0</v>
      </c>
      <c r="O1388" s="101">
        <f t="shared" si="305"/>
        <v>0</v>
      </c>
      <c r="P1388" s="52">
        <f t="shared" si="306"/>
        <v>0</v>
      </c>
      <c r="Q1388" s="49">
        <v>116.88487613461319</v>
      </c>
      <c r="R1388">
        <v>2225</v>
      </c>
      <c r="S1388" s="50">
        <f t="shared" si="302"/>
        <v>71535.307499999995</v>
      </c>
      <c r="T1388" s="50">
        <f t="shared" si="307"/>
        <v>0</v>
      </c>
      <c r="U1388" s="58">
        <f t="shared" si="308"/>
        <v>0</v>
      </c>
      <c r="V1388" s="58">
        <f t="shared" si="309"/>
        <v>0</v>
      </c>
      <c r="W1388" s="58">
        <f t="shared" si="310"/>
        <v>0</v>
      </c>
      <c r="X1388" s="58">
        <f t="shared" si="311"/>
        <v>0</v>
      </c>
      <c r="Y1388" s="52">
        <f t="shared" si="312"/>
        <v>0</v>
      </c>
    </row>
    <row r="1389" spans="1:25" x14ac:dyDescent="0.25">
      <c r="A1389" s="1218" t="s">
        <v>187</v>
      </c>
      <c r="B1389" s="98">
        <v>45597</v>
      </c>
      <c r="C1389" s="117" t="str">
        <f t="shared" si="313"/>
        <v>7L</v>
      </c>
      <c r="D1389" s="96"/>
      <c r="I1389" s="99">
        <f t="shared" si="300"/>
        <v>0</v>
      </c>
      <c r="L1389" s="99">
        <f t="shared" si="301"/>
        <v>0</v>
      </c>
      <c r="M1389" s="44" t="str">
        <f t="shared" si="303"/>
        <v/>
      </c>
      <c r="N1389" s="100">
        <f t="shared" si="304"/>
        <v>0</v>
      </c>
      <c r="O1389" s="101">
        <f t="shared" si="305"/>
        <v>0</v>
      </c>
      <c r="P1389" s="52">
        <f t="shared" si="306"/>
        <v>0</v>
      </c>
      <c r="Q1389" s="49">
        <v>116.88487613461319</v>
      </c>
      <c r="R1389">
        <v>2225</v>
      </c>
      <c r="S1389" s="50">
        <f t="shared" si="302"/>
        <v>71535.307499999995</v>
      </c>
      <c r="T1389" s="50">
        <f t="shared" si="307"/>
        <v>0</v>
      </c>
      <c r="U1389" s="58">
        <f t="shared" si="308"/>
        <v>0</v>
      </c>
      <c r="V1389" s="58">
        <f t="shared" si="309"/>
        <v>0</v>
      </c>
      <c r="W1389" s="58">
        <f t="shared" si="310"/>
        <v>0</v>
      </c>
      <c r="X1389" s="58">
        <f t="shared" si="311"/>
        <v>0</v>
      </c>
      <c r="Y1389" s="52">
        <f t="shared" si="312"/>
        <v>0</v>
      </c>
    </row>
    <row r="1390" spans="1:25" x14ac:dyDescent="0.25">
      <c r="A1390" s="1218" t="s">
        <v>188</v>
      </c>
      <c r="B1390" s="98">
        <v>45597</v>
      </c>
      <c r="C1390" s="117" t="str">
        <f t="shared" si="313"/>
        <v>7L</v>
      </c>
      <c r="D1390" s="96"/>
      <c r="I1390" s="99">
        <f t="shared" si="300"/>
        <v>0</v>
      </c>
      <c r="L1390" s="99">
        <f t="shared" si="301"/>
        <v>0</v>
      </c>
      <c r="M1390" s="44" t="str">
        <f t="shared" si="303"/>
        <v/>
      </c>
      <c r="N1390" s="100">
        <f t="shared" si="304"/>
        <v>0</v>
      </c>
      <c r="O1390" s="101">
        <f t="shared" si="305"/>
        <v>0</v>
      </c>
      <c r="P1390" s="52">
        <f t="shared" si="306"/>
        <v>0</v>
      </c>
      <c r="Q1390" s="49">
        <v>116.88487613461319</v>
      </c>
      <c r="R1390">
        <v>2225</v>
      </c>
      <c r="S1390" s="50">
        <f t="shared" si="302"/>
        <v>71535.307499999995</v>
      </c>
      <c r="T1390" s="50">
        <f t="shared" si="307"/>
        <v>0</v>
      </c>
      <c r="U1390" s="58">
        <f t="shared" si="308"/>
        <v>0</v>
      </c>
      <c r="V1390" s="58">
        <f t="shared" si="309"/>
        <v>0</v>
      </c>
      <c r="W1390" s="58">
        <f t="shared" si="310"/>
        <v>0</v>
      </c>
      <c r="X1390" s="58">
        <f t="shared" si="311"/>
        <v>0</v>
      </c>
      <c r="Y1390" s="52">
        <f t="shared" si="312"/>
        <v>0</v>
      </c>
    </row>
    <row r="1391" spans="1:25" x14ac:dyDescent="0.25">
      <c r="A1391" s="1218" t="s">
        <v>189</v>
      </c>
      <c r="B1391" s="98">
        <v>45597</v>
      </c>
      <c r="C1391" s="117" t="str">
        <f t="shared" si="313"/>
        <v>7L</v>
      </c>
      <c r="D1391" s="96"/>
      <c r="I1391" s="99">
        <f t="shared" si="300"/>
        <v>0</v>
      </c>
      <c r="L1391" s="99">
        <f t="shared" si="301"/>
        <v>0</v>
      </c>
      <c r="M1391" s="44" t="str">
        <f t="shared" si="303"/>
        <v/>
      </c>
      <c r="N1391" s="100">
        <f t="shared" si="304"/>
        <v>0</v>
      </c>
      <c r="O1391" s="101">
        <f t="shared" si="305"/>
        <v>0</v>
      </c>
      <c r="P1391" s="52">
        <f t="shared" si="306"/>
        <v>0</v>
      </c>
      <c r="Q1391" s="49">
        <v>116.88487613461319</v>
      </c>
      <c r="R1391">
        <v>2225</v>
      </c>
      <c r="S1391" s="50">
        <f t="shared" si="302"/>
        <v>71535.307499999995</v>
      </c>
      <c r="T1391" s="50">
        <f t="shared" si="307"/>
        <v>0</v>
      </c>
      <c r="U1391" s="58">
        <f t="shared" si="308"/>
        <v>0</v>
      </c>
      <c r="V1391" s="58">
        <f t="shared" si="309"/>
        <v>0</v>
      </c>
      <c r="W1391" s="58">
        <f t="shared" si="310"/>
        <v>0</v>
      </c>
      <c r="X1391" s="58">
        <f t="shared" si="311"/>
        <v>0</v>
      </c>
      <c r="Y1391" s="52">
        <f t="shared" si="312"/>
        <v>0</v>
      </c>
    </row>
    <row r="1392" spans="1:25" x14ac:dyDescent="0.25">
      <c r="A1392" s="1218" t="s">
        <v>190</v>
      </c>
      <c r="B1392" s="98">
        <v>45597</v>
      </c>
      <c r="C1392" s="117" t="str">
        <f t="shared" si="313"/>
        <v>8L</v>
      </c>
      <c r="D1392" s="96"/>
      <c r="I1392" s="99">
        <f t="shared" si="300"/>
        <v>0</v>
      </c>
      <c r="L1392" s="99">
        <f t="shared" si="301"/>
        <v>0</v>
      </c>
      <c r="M1392" s="44" t="str">
        <f t="shared" si="303"/>
        <v/>
      </c>
      <c r="N1392" s="100">
        <f t="shared" si="304"/>
        <v>0</v>
      </c>
      <c r="O1392" s="101">
        <f t="shared" si="305"/>
        <v>0</v>
      </c>
      <c r="P1392" s="52">
        <f t="shared" si="306"/>
        <v>0</v>
      </c>
      <c r="Q1392" s="49">
        <v>116.88487613461319</v>
      </c>
      <c r="R1392">
        <v>2225</v>
      </c>
      <c r="S1392" s="50">
        <f t="shared" si="302"/>
        <v>71535.307499999995</v>
      </c>
      <c r="T1392" s="50">
        <f t="shared" si="307"/>
        <v>0</v>
      </c>
      <c r="U1392" s="58">
        <f t="shared" si="308"/>
        <v>0</v>
      </c>
      <c r="V1392" s="58">
        <f t="shared" si="309"/>
        <v>0</v>
      </c>
      <c r="W1392" s="58">
        <f t="shared" si="310"/>
        <v>0</v>
      </c>
      <c r="X1392" s="58">
        <f t="shared" si="311"/>
        <v>0</v>
      </c>
      <c r="Y1392" s="52">
        <f t="shared" si="312"/>
        <v>0</v>
      </c>
    </row>
    <row r="1393" spans="1:25" x14ac:dyDescent="0.25">
      <c r="A1393" s="1218" t="s">
        <v>191</v>
      </c>
      <c r="B1393" s="98">
        <v>45597</v>
      </c>
      <c r="C1393" s="117" t="str">
        <f t="shared" si="313"/>
        <v>8L</v>
      </c>
      <c r="D1393" s="96"/>
      <c r="I1393" s="99">
        <f t="shared" si="300"/>
        <v>0</v>
      </c>
      <c r="L1393" s="99">
        <f t="shared" si="301"/>
        <v>0</v>
      </c>
      <c r="M1393" s="44" t="str">
        <f t="shared" si="303"/>
        <v/>
      </c>
      <c r="N1393" s="100">
        <f t="shared" si="304"/>
        <v>0</v>
      </c>
      <c r="O1393" s="101">
        <f t="shared" si="305"/>
        <v>0</v>
      </c>
      <c r="P1393" s="52">
        <f t="shared" si="306"/>
        <v>0</v>
      </c>
      <c r="Q1393" s="49">
        <v>116.88487613461319</v>
      </c>
      <c r="R1393">
        <v>2225</v>
      </c>
      <c r="S1393" s="50">
        <f t="shared" si="302"/>
        <v>71535.307499999995</v>
      </c>
      <c r="T1393" s="50">
        <f t="shared" si="307"/>
        <v>0</v>
      </c>
      <c r="U1393" s="58">
        <f t="shared" si="308"/>
        <v>0</v>
      </c>
      <c r="V1393" s="58">
        <f t="shared" si="309"/>
        <v>0</v>
      </c>
      <c r="W1393" s="58">
        <f t="shared" si="310"/>
        <v>0</v>
      </c>
      <c r="X1393" s="58">
        <f t="shared" si="311"/>
        <v>0</v>
      </c>
      <c r="Y1393" s="52">
        <f t="shared" si="312"/>
        <v>0</v>
      </c>
    </row>
    <row r="1394" spans="1:25" x14ac:dyDescent="0.25">
      <c r="A1394" s="1218" t="s">
        <v>192</v>
      </c>
      <c r="B1394" s="98">
        <v>45597</v>
      </c>
      <c r="C1394" s="117" t="str">
        <f t="shared" si="313"/>
        <v>8L</v>
      </c>
      <c r="D1394" s="96"/>
      <c r="I1394" s="99">
        <f t="shared" si="300"/>
        <v>0</v>
      </c>
      <c r="L1394" s="99">
        <f t="shared" si="301"/>
        <v>0</v>
      </c>
      <c r="M1394" s="44" t="str">
        <f t="shared" si="303"/>
        <v/>
      </c>
      <c r="N1394" s="100">
        <f t="shared" si="304"/>
        <v>0</v>
      </c>
      <c r="O1394" s="101">
        <f t="shared" si="305"/>
        <v>0</v>
      </c>
      <c r="P1394" s="52">
        <f t="shared" si="306"/>
        <v>0</v>
      </c>
      <c r="Q1394" s="49">
        <v>116.88487613461319</v>
      </c>
      <c r="R1394">
        <v>2225</v>
      </c>
      <c r="S1394" s="50">
        <f t="shared" si="302"/>
        <v>71535.307499999995</v>
      </c>
      <c r="T1394" s="50">
        <f t="shared" si="307"/>
        <v>0</v>
      </c>
      <c r="U1394" s="58">
        <f t="shared" si="308"/>
        <v>0</v>
      </c>
      <c r="V1394" s="58">
        <f t="shared" si="309"/>
        <v>0</v>
      </c>
      <c r="W1394" s="58">
        <f t="shared" si="310"/>
        <v>0</v>
      </c>
      <c r="X1394" s="58">
        <f t="shared" si="311"/>
        <v>0</v>
      </c>
      <c r="Y1394" s="52">
        <f t="shared" si="312"/>
        <v>0</v>
      </c>
    </row>
    <row r="1395" spans="1:25" x14ac:dyDescent="0.25">
      <c r="A1395" s="1218" t="s">
        <v>193</v>
      </c>
      <c r="B1395" s="98">
        <v>45597</v>
      </c>
      <c r="C1395" s="117" t="str">
        <f t="shared" si="313"/>
        <v>8L</v>
      </c>
      <c r="D1395" s="96"/>
      <c r="I1395" s="99">
        <f t="shared" si="300"/>
        <v>0</v>
      </c>
      <c r="L1395" s="99">
        <f t="shared" si="301"/>
        <v>0</v>
      </c>
      <c r="M1395" s="44" t="str">
        <f t="shared" si="303"/>
        <v/>
      </c>
      <c r="N1395" s="100">
        <f t="shared" si="304"/>
        <v>0</v>
      </c>
      <c r="O1395" s="101">
        <f t="shared" si="305"/>
        <v>0</v>
      </c>
      <c r="P1395" s="52">
        <f t="shared" si="306"/>
        <v>0</v>
      </c>
      <c r="Q1395" s="49">
        <v>116.88487613461319</v>
      </c>
      <c r="R1395">
        <v>2225</v>
      </c>
      <c r="S1395" s="50">
        <f t="shared" si="302"/>
        <v>71535.307499999995</v>
      </c>
      <c r="T1395" s="50">
        <f t="shared" si="307"/>
        <v>0</v>
      </c>
      <c r="U1395" s="58">
        <f t="shared" si="308"/>
        <v>0</v>
      </c>
      <c r="V1395" s="58">
        <f t="shared" si="309"/>
        <v>0</v>
      </c>
      <c r="W1395" s="58">
        <f t="shared" si="310"/>
        <v>0</v>
      </c>
      <c r="X1395" s="58">
        <f t="shared" si="311"/>
        <v>0</v>
      </c>
      <c r="Y1395" s="52">
        <f t="shared" si="312"/>
        <v>0</v>
      </c>
    </row>
    <row r="1396" spans="1:25" x14ac:dyDescent="0.25">
      <c r="A1396" s="1218" t="s">
        <v>194</v>
      </c>
      <c r="B1396" s="98">
        <v>45597</v>
      </c>
      <c r="C1396" s="117" t="str">
        <f t="shared" si="313"/>
        <v>8L</v>
      </c>
      <c r="D1396" s="96"/>
      <c r="I1396" s="99">
        <f t="shared" si="300"/>
        <v>0</v>
      </c>
      <c r="L1396" s="99">
        <f t="shared" si="301"/>
        <v>0</v>
      </c>
      <c r="M1396" s="44" t="str">
        <f t="shared" si="303"/>
        <v/>
      </c>
      <c r="N1396" s="100">
        <f t="shared" si="304"/>
        <v>0</v>
      </c>
      <c r="O1396" s="101">
        <f t="shared" si="305"/>
        <v>0</v>
      </c>
      <c r="P1396" s="52">
        <f t="shared" si="306"/>
        <v>0</v>
      </c>
      <c r="Q1396" s="49">
        <v>116.88487613461319</v>
      </c>
      <c r="R1396">
        <v>2225</v>
      </c>
      <c r="S1396" s="50">
        <f t="shared" si="302"/>
        <v>71535.307499999995</v>
      </c>
      <c r="T1396" s="50">
        <f t="shared" si="307"/>
        <v>0</v>
      </c>
      <c r="U1396" s="58">
        <f t="shared" si="308"/>
        <v>0</v>
      </c>
      <c r="V1396" s="58">
        <f t="shared" si="309"/>
        <v>0</v>
      </c>
      <c r="W1396" s="58">
        <f t="shared" si="310"/>
        <v>0</v>
      </c>
      <c r="X1396" s="58">
        <f t="shared" si="311"/>
        <v>0</v>
      </c>
      <c r="Y1396" s="52">
        <f t="shared" si="312"/>
        <v>0</v>
      </c>
    </row>
    <row r="1397" spans="1:25" x14ac:dyDescent="0.25">
      <c r="A1397" s="1218" t="s">
        <v>195</v>
      </c>
      <c r="B1397" s="98">
        <v>45597</v>
      </c>
      <c r="C1397" s="117" t="str">
        <f t="shared" si="313"/>
        <v>8L</v>
      </c>
      <c r="D1397" s="96"/>
      <c r="I1397" s="99">
        <f t="shared" si="300"/>
        <v>0</v>
      </c>
      <c r="L1397" s="99">
        <f t="shared" si="301"/>
        <v>0</v>
      </c>
      <c r="M1397" s="44" t="str">
        <f t="shared" si="303"/>
        <v/>
      </c>
      <c r="N1397" s="100">
        <f t="shared" si="304"/>
        <v>0</v>
      </c>
      <c r="O1397" s="101">
        <f t="shared" si="305"/>
        <v>0</v>
      </c>
      <c r="P1397" s="52">
        <f t="shared" si="306"/>
        <v>0</v>
      </c>
      <c r="Q1397" s="49">
        <v>116.88487613461319</v>
      </c>
      <c r="R1397">
        <v>2225</v>
      </c>
      <c r="S1397" s="50">
        <f t="shared" si="302"/>
        <v>71535.307499999995</v>
      </c>
      <c r="T1397" s="50">
        <f t="shared" si="307"/>
        <v>0</v>
      </c>
      <c r="U1397" s="58">
        <f t="shared" si="308"/>
        <v>0</v>
      </c>
      <c r="V1397" s="58">
        <f t="shared" si="309"/>
        <v>0</v>
      </c>
      <c r="W1397" s="58">
        <f t="shared" si="310"/>
        <v>0</v>
      </c>
      <c r="X1397" s="58">
        <f t="shared" si="311"/>
        <v>0</v>
      </c>
      <c r="Y1397" s="52">
        <f t="shared" si="312"/>
        <v>0</v>
      </c>
    </row>
    <row r="1398" spans="1:25" x14ac:dyDescent="0.25">
      <c r="A1398" s="1218" t="s">
        <v>196</v>
      </c>
      <c r="B1398" s="98">
        <v>45597</v>
      </c>
      <c r="C1398" s="117" t="str">
        <f t="shared" si="313"/>
        <v>8L</v>
      </c>
      <c r="D1398" s="96"/>
      <c r="I1398" s="99">
        <f t="shared" si="300"/>
        <v>0</v>
      </c>
      <c r="L1398" s="99">
        <f t="shared" si="301"/>
        <v>0</v>
      </c>
      <c r="M1398" s="44" t="str">
        <f t="shared" si="303"/>
        <v/>
      </c>
      <c r="N1398" s="100">
        <f t="shared" si="304"/>
        <v>0</v>
      </c>
      <c r="O1398" s="101">
        <f t="shared" si="305"/>
        <v>0</v>
      </c>
      <c r="P1398" s="52">
        <f t="shared" si="306"/>
        <v>0</v>
      </c>
      <c r="Q1398" s="49">
        <v>116.88487613461319</v>
      </c>
      <c r="R1398">
        <v>2225</v>
      </c>
      <c r="S1398" s="50">
        <f t="shared" si="302"/>
        <v>71535.307499999995</v>
      </c>
      <c r="T1398" s="50">
        <f t="shared" si="307"/>
        <v>0</v>
      </c>
      <c r="U1398" s="58">
        <f t="shared" si="308"/>
        <v>0</v>
      </c>
      <c r="V1398" s="58">
        <f t="shared" si="309"/>
        <v>0</v>
      </c>
      <c r="W1398" s="58">
        <f t="shared" si="310"/>
        <v>0</v>
      </c>
      <c r="X1398" s="58">
        <f t="shared" si="311"/>
        <v>0</v>
      </c>
      <c r="Y1398" s="52">
        <f t="shared" si="312"/>
        <v>0</v>
      </c>
    </row>
    <row r="1399" spans="1:25" x14ac:dyDescent="0.25">
      <c r="A1399" s="1218" t="s">
        <v>197</v>
      </c>
      <c r="B1399" s="98">
        <v>45597</v>
      </c>
      <c r="C1399" s="117" t="str">
        <f t="shared" si="313"/>
        <v>8L</v>
      </c>
      <c r="D1399" s="96"/>
      <c r="I1399" s="99">
        <f t="shared" si="300"/>
        <v>0</v>
      </c>
      <c r="L1399" s="99">
        <f t="shared" si="301"/>
        <v>0</v>
      </c>
      <c r="M1399" s="44" t="str">
        <f t="shared" si="303"/>
        <v/>
      </c>
      <c r="N1399" s="100">
        <f t="shared" si="304"/>
        <v>0</v>
      </c>
      <c r="O1399" s="101">
        <f t="shared" si="305"/>
        <v>0</v>
      </c>
      <c r="P1399" s="52">
        <f t="shared" si="306"/>
        <v>0</v>
      </c>
      <c r="Q1399" s="49">
        <v>116.88487613461319</v>
      </c>
      <c r="R1399">
        <v>2225</v>
      </c>
      <c r="S1399" s="50">
        <f t="shared" si="302"/>
        <v>71535.307499999995</v>
      </c>
      <c r="T1399" s="50">
        <f t="shared" si="307"/>
        <v>0</v>
      </c>
      <c r="U1399" s="58">
        <f t="shared" si="308"/>
        <v>0</v>
      </c>
      <c r="V1399" s="58">
        <f t="shared" si="309"/>
        <v>0</v>
      </c>
      <c r="W1399" s="58">
        <f t="shared" si="310"/>
        <v>0</v>
      </c>
      <c r="X1399" s="58">
        <f t="shared" si="311"/>
        <v>0</v>
      </c>
      <c r="Y1399" s="52">
        <f t="shared" si="312"/>
        <v>0</v>
      </c>
    </row>
    <row r="1400" spans="1:25" x14ac:dyDescent="0.25">
      <c r="A1400" s="1218" t="s">
        <v>198</v>
      </c>
      <c r="B1400" s="98">
        <v>45597</v>
      </c>
      <c r="C1400" s="117" t="str">
        <f t="shared" si="313"/>
        <v>8L</v>
      </c>
      <c r="D1400" s="96"/>
      <c r="I1400" s="99">
        <f t="shared" si="300"/>
        <v>0</v>
      </c>
      <c r="L1400" s="99">
        <f t="shared" si="301"/>
        <v>0</v>
      </c>
      <c r="M1400" s="44" t="str">
        <f t="shared" si="303"/>
        <v/>
      </c>
      <c r="N1400" s="100">
        <f t="shared" si="304"/>
        <v>0</v>
      </c>
      <c r="O1400" s="101">
        <f t="shared" si="305"/>
        <v>0</v>
      </c>
      <c r="P1400" s="52">
        <f t="shared" si="306"/>
        <v>0</v>
      </c>
      <c r="Q1400" s="49">
        <v>116.88487613461319</v>
      </c>
      <c r="R1400">
        <v>2225</v>
      </c>
      <c r="S1400" s="50">
        <f t="shared" si="302"/>
        <v>71535.307499999995</v>
      </c>
      <c r="T1400" s="50">
        <f t="shared" si="307"/>
        <v>0</v>
      </c>
      <c r="U1400" s="58">
        <f t="shared" si="308"/>
        <v>0</v>
      </c>
      <c r="V1400" s="58">
        <f t="shared" si="309"/>
        <v>0</v>
      </c>
      <c r="W1400" s="58">
        <f t="shared" si="310"/>
        <v>0</v>
      </c>
      <c r="X1400" s="58">
        <f t="shared" si="311"/>
        <v>0</v>
      </c>
      <c r="Y1400" s="52">
        <f t="shared" si="312"/>
        <v>0</v>
      </c>
    </row>
    <row r="1401" spans="1:25" x14ac:dyDescent="0.25">
      <c r="A1401" s="1218" t="s">
        <v>199</v>
      </c>
      <c r="B1401" s="98">
        <v>45597</v>
      </c>
      <c r="C1401" s="117" t="str">
        <f t="shared" si="313"/>
        <v>8L</v>
      </c>
      <c r="D1401" s="96"/>
      <c r="I1401" s="99">
        <f t="shared" ref="I1401:I1465" si="314">IFERROR(G1401*H1401/1000,"")</f>
        <v>0</v>
      </c>
      <c r="L1401" s="99">
        <f t="shared" ref="L1401:L1467" si="315">IFERROR(J1401*K1401/1000,"")</f>
        <v>0</v>
      </c>
      <c r="M1401" s="44" t="str">
        <f t="shared" si="303"/>
        <v/>
      </c>
      <c r="N1401" s="100">
        <f t="shared" si="304"/>
        <v>0</v>
      </c>
      <c r="O1401" s="101">
        <f t="shared" si="305"/>
        <v>0</v>
      </c>
      <c r="P1401" s="52">
        <f t="shared" si="306"/>
        <v>0</v>
      </c>
      <c r="Q1401" s="49">
        <v>116.88487613461319</v>
      </c>
      <c r="R1401">
        <v>2225</v>
      </c>
      <c r="S1401" s="50">
        <f t="shared" ref="S1401:S1467" si="316">R1401*32.1507</f>
        <v>71535.307499999995</v>
      </c>
      <c r="T1401" s="50">
        <f t="shared" si="307"/>
        <v>0</v>
      </c>
      <c r="U1401" s="58">
        <f t="shared" si="308"/>
        <v>0</v>
      </c>
      <c r="V1401" s="58">
        <f t="shared" si="309"/>
        <v>0</v>
      </c>
      <c r="W1401" s="58">
        <f t="shared" si="310"/>
        <v>0</v>
      </c>
      <c r="X1401" s="58">
        <f t="shared" si="311"/>
        <v>0</v>
      </c>
      <c r="Y1401" s="52">
        <f t="shared" si="312"/>
        <v>0</v>
      </c>
    </row>
    <row r="1402" spans="1:25" x14ac:dyDescent="0.25">
      <c r="A1402" s="1218" t="s">
        <v>200</v>
      </c>
      <c r="B1402" s="98">
        <v>45597</v>
      </c>
      <c r="C1402" s="117" t="str">
        <f t="shared" si="313"/>
        <v>8L</v>
      </c>
      <c r="D1402" s="96"/>
      <c r="I1402" s="99">
        <f t="shared" si="314"/>
        <v>0</v>
      </c>
      <c r="L1402" s="99">
        <f t="shared" si="315"/>
        <v>0</v>
      </c>
      <c r="M1402" s="44" t="str">
        <f t="shared" si="303"/>
        <v/>
      </c>
      <c r="N1402" s="100">
        <f t="shared" si="304"/>
        <v>0</v>
      </c>
      <c r="O1402" s="101">
        <f t="shared" si="305"/>
        <v>0</v>
      </c>
      <c r="P1402" s="52">
        <f t="shared" si="306"/>
        <v>0</v>
      </c>
      <c r="Q1402" s="49">
        <v>116.88487613461319</v>
      </c>
      <c r="R1402">
        <v>2225</v>
      </c>
      <c r="S1402" s="50">
        <f t="shared" si="316"/>
        <v>71535.307499999995</v>
      </c>
      <c r="T1402" s="50">
        <f t="shared" si="307"/>
        <v>0</v>
      </c>
      <c r="U1402" s="58">
        <f t="shared" si="308"/>
        <v>0</v>
      </c>
      <c r="V1402" s="58">
        <f t="shared" si="309"/>
        <v>0</v>
      </c>
      <c r="W1402" s="58">
        <f t="shared" si="310"/>
        <v>0</v>
      </c>
      <c r="X1402" s="58">
        <f t="shared" si="311"/>
        <v>0</v>
      </c>
      <c r="Y1402" s="52">
        <f t="shared" si="312"/>
        <v>0</v>
      </c>
    </row>
    <row r="1403" spans="1:25" x14ac:dyDescent="0.25">
      <c r="A1403" s="1218" t="s">
        <v>201</v>
      </c>
      <c r="B1403" s="98">
        <v>45597</v>
      </c>
      <c r="C1403" s="117" t="str">
        <f t="shared" si="313"/>
        <v>8L</v>
      </c>
      <c r="D1403" s="96"/>
      <c r="I1403" s="99">
        <f t="shared" si="314"/>
        <v>0</v>
      </c>
      <c r="L1403" s="99">
        <f t="shared" si="315"/>
        <v>0</v>
      </c>
      <c r="M1403" s="44" t="str">
        <f t="shared" ref="M1403:M1469" si="317">IFERROR((L1403-I1403)/I1403,"")</f>
        <v/>
      </c>
      <c r="N1403" s="100">
        <f t="shared" ref="N1403:N1469" si="318">J1403-G1403</f>
        <v>0</v>
      </c>
      <c r="O1403" s="101">
        <f t="shared" ref="O1403:O1469" si="319">L1403-I1403</f>
        <v>0</v>
      </c>
      <c r="P1403" s="52">
        <f t="shared" ref="P1403:P1469" si="320">U1403-W1403</f>
        <v>0</v>
      </c>
      <c r="Q1403" s="49">
        <v>116.88487613461319</v>
      </c>
      <c r="R1403">
        <v>2225</v>
      </c>
      <c r="S1403" s="50">
        <f t="shared" si="316"/>
        <v>71535.307499999995</v>
      </c>
      <c r="T1403" s="50">
        <f t="shared" ref="T1403:T1469" si="321">IFERROR(S1403*I1403,"")</f>
        <v>0</v>
      </c>
      <c r="U1403" s="58">
        <f t="shared" ref="U1403:U1469" si="322">IFERROR(S1403*L1403,"")</f>
        <v>0</v>
      </c>
      <c r="V1403" s="58">
        <f t="shared" ref="V1403:V1469" si="323">IFERROR(Q1403*G1403,"")</f>
        <v>0</v>
      </c>
      <c r="W1403" s="58">
        <f t="shared" ref="W1403:W1469" si="324">IFERROR(Q1403*J1403,"")</f>
        <v>0</v>
      </c>
      <c r="X1403" s="58">
        <f t="shared" ref="X1403:X1469" si="325">T1403-V1403</f>
        <v>0</v>
      </c>
      <c r="Y1403" s="52">
        <f t="shared" ref="Y1403:Y1469" si="326">U1403-W1403</f>
        <v>0</v>
      </c>
    </row>
    <row r="1404" spans="1:25" x14ac:dyDescent="0.25">
      <c r="A1404" s="1218" t="s">
        <v>202</v>
      </c>
      <c r="B1404" s="98">
        <v>45597</v>
      </c>
      <c r="C1404" s="117" t="str">
        <f t="shared" si="313"/>
        <v>8L</v>
      </c>
      <c r="D1404" s="96"/>
      <c r="I1404" s="99">
        <f t="shared" si="314"/>
        <v>0</v>
      </c>
      <c r="L1404" s="99">
        <f t="shared" si="315"/>
        <v>0</v>
      </c>
      <c r="M1404" s="44" t="str">
        <f t="shared" si="317"/>
        <v/>
      </c>
      <c r="N1404" s="100">
        <f t="shared" si="318"/>
        <v>0</v>
      </c>
      <c r="O1404" s="101">
        <f t="shared" si="319"/>
        <v>0</v>
      </c>
      <c r="P1404" s="52">
        <f t="shared" si="320"/>
        <v>0</v>
      </c>
      <c r="Q1404" s="49">
        <v>116.88487613461319</v>
      </c>
      <c r="R1404">
        <v>2225</v>
      </c>
      <c r="S1404" s="50">
        <f t="shared" si="316"/>
        <v>71535.307499999995</v>
      </c>
      <c r="T1404" s="50">
        <f t="shared" si="321"/>
        <v>0</v>
      </c>
      <c r="U1404" s="58">
        <f t="shared" si="322"/>
        <v>0</v>
      </c>
      <c r="V1404" s="58">
        <f t="shared" si="323"/>
        <v>0</v>
      </c>
      <c r="W1404" s="58">
        <f t="shared" si="324"/>
        <v>0</v>
      </c>
      <c r="X1404" s="58">
        <f t="shared" si="325"/>
        <v>0</v>
      </c>
      <c r="Y1404" s="52">
        <f t="shared" si="326"/>
        <v>0</v>
      </c>
    </row>
    <row r="1405" spans="1:25" x14ac:dyDescent="0.25">
      <c r="A1405" s="1218" t="s">
        <v>203</v>
      </c>
      <c r="B1405" s="98">
        <v>45597</v>
      </c>
      <c r="C1405" s="117" t="str">
        <f t="shared" si="313"/>
        <v>8L</v>
      </c>
      <c r="D1405" s="96"/>
      <c r="I1405" s="99">
        <f t="shared" si="314"/>
        <v>0</v>
      </c>
      <c r="L1405" s="99">
        <f t="shared" si="315"/>
        <v>0</v>
      </c>
      <c r="M1405" s="44" t="str">
        <f t="shared" si="317"/>
        <v/>
      </c>
      <c r="N1405" s="100">
        <f t="shared" si="318"/>
        <v>0</v>
      </c>
      <c r="O1405" s="101">
        <f t="shared" si="319"/>
        <v>0</v>
      </c>
      <c r="P1405" s="52">
        <f t="shared" si="320"/>
        <v>0</v>
      </c>
      <c r="Q1405" s="49">
        <v>116.88487613461319</v>
      </c>
      <c r="R1405">
        <v>2225</v>
      </c>
      <c r="S1405" s="50">
        <f t="shared" si="316"/>
        <v>71535.307499999995</v>
      </c>
      <c r="T1405" s="50">
        <f t="shared" si="321"/>
        <v>0</v>
      </c>
      <c r="U1405" s="58">
        <f t="shared" si="322"/>
        <v>0</v>
      </c>
      <c r="V1405" s="58">
        <f t="shared" si="323"/>
        <v>0</v>
      </c>
      <c r="W1405" s="58">
        <f t="shared" si="324"/>
        <v>0</v>
      </c>
      <c r="X1405" s="58">
        <f t="shared" si="325"/>
        <v>0</v>
      </c>
      <c r="Y1405" s="52">
        <f t="shared" si="326"/>
        <v>0</v>
      </c>
    </row>
    <row r="1406" spans="1:25" x14ac:dyDescent="0.25">
      <c r="A1406" s="1218" t="s">
        <v>204</v>
      </c>
      <c r="B1406" s="98">
        <v>45597</v>
      </c>
      <c r="C1406" s="117" t="str">
        <f t="shared" si="313"/>
        <v>8L</v>
      </c>
      <c r="D1406" s="96"/>
      <c r="I1406" s="99">
        <f t="shared" si="314"/>
        <v>0</v>
      </c>
      <c r="L1406" s="99">
        <f t="shared" si="315"/>
        <v>0</v>
      </c>
      <c r="M1406" s="44" t="str">
        <f t="shared" si="317"/>
        <v/>
      </c>
      <c r="N1406" s="100">
        <f t="shared" si="318"/>
        <v>0</v>
      </c>
      <c r="O1406" s="101">
        <f t="shared" si="319"/>
        <v>0</v>
      </c>
      <c r="P1406" s="52">
        <f t="shared" si="320"/>
        <v>0</v>
      </c>
      <c r="Q1406" s="49">
        <v>116.88487613461319</v>
      </c>
      <c r="R1406">
        <v>2225</v>
      </c>
      <c r="S1406" s="50">
        <f t="shared" si="316"/>
        <v>71535.307499999995</v>
      </c>
      <c r="T1406" s="50">
        <f t="shared" si="321"/>
        <v>0</v>
      </c>
      <c r="U1406" s="58">
        <f t="shared" si="322"/>
        <v>0</v>
      </c>
      <c r="V1406" s="58">
        <f t="shared" si="323"/>
        <v>0</v>
      </c>
      <c r="W1406" s="58">
        <f t="shared" si="324"/>
        <v>0</v>
      </c>
      <c r="X1406" s="58">
        <f t="shared" si="325"/>
        <v>0</v>
      </c>
      <c r="Y1406" s="52">
        <f t="shared" si="326"/>
        <v>0</v>
      </c>
    </row>
    <row r="1407" spans="1:25" x14ac:dyDescent="0.25">
      <c r="A1407" s="1218" t="s">
        <v>205</v>
      </c>
      <c r="B1407" s="98">
        <v>45597</v>
      </c>
      <c r="C1407" s="117" t="str">
        <f t="shared" si="313"/>
        <v>8L</v>
      </c>
      <c r="D1407" s="96"/>
      <c r="I1407" s="99">
        <f t="shared" si="314"/>
        <v>0</v>
      </c>
      <c r="L1407" s="99">
        <f t="shared" si="315"/>
        <v>0</v>
      </c>
      <c r="M1407" s="44" t="str">
        <f t="shared" si="317"/>
        <v/>
      </c>
      <c r="N1407" s="100">
        <f t="shared" si="318"/>
        <v>0</v>
      </c>
      <c r="O1407" s="101">
        <f t="shared" si="319"/>
        <v>0</v>
      </c>
      <c r="P1407" s="52">
        <f t="shared" si="320"/>
        <v>0</v>
      </c>
      <c r="Q1407" s="49">
        <v>116.88487613461319</v>
      </c>
      <c r="R1407">
        <v>2225</v>
      </c>
      <c r="S1407" s="50">
        <f t="shared" si="316"/>
        <v>71535.307499999995</v>
      </c>
      <c r="T1407" s="50">
        <f t="shared" si="321"/>
        <v>0</v>
      </c>
      <c r="U1407" s="58">
        <f t="shared" si="322"/>
        <v>0</v>
      </c>
      <c r="V1407" s="58">
        <f t="shared" si="323"/>
        <v>0</v>
      </c>
      <c r="W1407" s="58">
        <f t="shared" si="324"/>
        <v>0</v>
      </c>
      <c r="X1407" s="58">
        <f t="shared" si="325"/>
        <v>0</v>
      </c>
      <c r="Y1407" s="52">
        <f t="shared" si="326"/>
        <v>0</v>
      </c>
    </row>
    <row r="1408" spans="1:25" x14ac:dyDescent="0.25">
      <c r="A1408" s="1218" t="s">
        <v>206</v>
      </c>
      <c r="B1408" s="98">
        <v>45597</v>
      </c>
      <c r="C1408" s="117" t="str">
        <f t="shared" si="313"/>
        <v>8L</v>
      </c>
      <c r="D1408" s="96"/>
      <c r="I1408" s="99">
        <f t="shared" si="314"/>
        <v>0</v>
      </c>
      <c r="L1408" s="99">
        <f t="shared" si="315"/>
        <v>0</v>
      </c>
      <c r="M1408" s="44" t="str">
        <f t="shared" si="317"/>
        <v/>
      </c>
      <c r="N1408" s="100">
        <f t="shared" si="318"/>
        <v>0</v>
      </c>
      <c r="O1408" s="101">
        <f t="shared" si="319"/>
        <v>0</v>
      </c>
      <c r="P1408" s="52">
        <f t="shared" si="320"/>
        <v>0</v>
      </c>
      <c r="Q1408" s="49">
        <v>116.88487613461319</v>
      </c>
      <c r="R1408">
        <v>2225</v>
      </c>
      <c r="S1408" s="50">
        <f t="shared" si="316"/>
        <v>71535.307499999995</v>
      </c>
      <c r="T1408" s="50">
        <f t="shared" si="321"/>
        <v>0</v>
      </c>
      <c r="U1408" s="58">
        <f t="shared" si="322"/>
        <v>0</v>
      </c>
      <c r="V1408" s="58">
        <f t="shared" si="323"/>
        <v>0</v>
      </c>
      <c r="W1408" s="58">
        <f t="shared" si="324"/>
        <v>0</v>
      </c>
      <c r="X1408" s="58">
        <f t="shared" si="325"/>
        <v>0</v>
      </c>
      <c r="Y1408" s="52">
        <f t="shared" si="326"/>
        <v>0</v>
      </c>
    </row>
    <row r="1409" spans="1:25" ht="15.75" thickBot="1" x14ac:dyDescent="0.3">
      <c r="A1409" s="1219" t="s">
        <v>207</v>
      </c>
      <c r="B1409" s="98">
        <v>45597</v>
      </c>
      <c r="C1409" s="117" t="str">
        <f t="shared" si="313"/>
        <v>8L</v>
      </c>
      <c r="D1409" s="96"/>
      <c r="I1409" s="99">
        <f t="shared" si="314"/>
        <v>0</v>
      </c>
      <c r="L1409" s="99">
        <f t="shared" si="315"/>
        <v>0</v>
      </c>
      <c r="M1409" s="44" t="str">
        <f t="shared" si="317"/>
        <v/>
      </c>
      <c r="N1409" s="100">
        <f t="shared" si="318"/>
        <v>0</v>
      </c>
      <c r="O1409" s="101">
        <f t="shared" si="319"/>
        <v>0</v>
      </c>
      <c r="P1409" s="52">
        <f t="shared" si="320"/>
        <v>0</v>
      </c>
      <c r="Q1409" s="49">
        <v>116.88487613461319</v>
      </c>
      <c r="R1409">
        <v>2225</v>
      </c>
      <c r="S1409" s="50">
        <f t="shared" si="316"/>
        <v>71535.307499999995</v>
      </c>
      <c r="T1409" s="50">
        <f t="shared" si="321"/>
        <v>0</v>
      </c>
      <c r="U1409" s="58">
        <f t="shared" si="322"/>
        <v>0</v>
      </c>
      <c r="V1409" s="58">
        <f t="shared" si="323"/>
        <v>0</v>
      </c>
      <c r="W1409" s="58">
        <f t="shared" si="324"/>
        <v>0</v>
      </c>
      <c r="X1409" s="58">
        <f t="shared" si="325"/>
        <v>0</v>
      </c>
      <c r="Y1409" s="52">
        <f t="shared" si="326"/>
        <v>0</v>
      </c>
    </row>
    <row r="1410" spans="1:25" x14ac:dyDescent="0.25">
      <c r="A1410" s="97" t="s">
        <v>80</v>
      </c>
      <c r="B1410" s="98">
        <v>45627</v>
      </c>
      <c r="C1410" s="117" t="str">
        <f t="shared" si="313"/>
        <v>1L</v>
      </c>
      <c r="D1410" s="96"/>
      <c r="E1410" s="96"/>
      <c r="F1410" s="96"/>
      <c r="G1410" s="96"/>
      <c r="H1410" s="96"/>
      <c r="I1410" s="99">
        <f t="shared" si="314"/>
        <v>0</v>
      </c>
      <c r="J1410" s="96"/>
      <c r="K1410" s="96"/>
      <c r="L1410" s="99">
        <f t="shared" si="315"/>
        <v>0</v>
      </c>
      <c r="M1410" s="44" t="str">
        <f t="shared" si="317"/>
        <v/>
      </c>
      <c r="N1410" s="100">
        <f t="shared" si="318"/>
        <v>0</v>
      </c>
      <c r="O1410" s="101">
        <f t="shared" si="319"/>
        <v>0</v>
      </c>
      <c r="P1410" s="52">
        <f t="shared" si="320"/>
        <v>0</v>
      </c>
      <c r="Q1410" s="49">
        <v>116.88487613461319</v>
      </c>
      <c r="R1410">
        <v>2225</v>
      </c>
      <c r="S1410" s="50">
        <f t="shared" si="316"/>
        <v>71535.307499999995</v>
      </c>
      <c r="T1410" s="50">
        <f t="shared" si="321"/>
        <v>0</v>
      </c>
      <c r="U1410" s="58">
        <f t="shared" si="322"/>
        <v>0</v>
      </c>
      <c r="V1410" s="58">
        <f t="shared" si="323"/>
        <v>0</v>
      </c>
      <c r="W1410" s="58">
        <f t="shared" si="324"/>
        <v>0</v>
      </c>
      <c r="X1410" s="58">
        <f t="shared" si="325"/>
        <v>0</v>
      </c>
      <c r="Y1410" s="52">
        <f t="shared" si="326"/>
        <v>0</v>
      </c>
    </row>
    <row r="1411" spans="1:25" x14ac:dyDescent="0.25">
      <c r="A1411" s="1218" t="s">
        <v>81</v>
      </c>
      <c r="B1411" s="98">
        <v>45627</v>
      </c>
      <c r="C1411" s="117" t="str">
        <f t="shared" si="313"/>
        <v>1L</v>
      </c>
      <c r="D1411" s="96"/>
      <c r="E1411" s="96"/>
      <c r="F1411" s="96"/>
      <c r="G1411" s="96"/>
      <c r="H1411" s="96"/>
      <c r="I1411" s="99">
        <f t="shared" si="314"/>
        <v>0</v>
      </c>
      <c r="J1411" s="96"/>
      <c r="K1411" s="96"/>
      <c r="L1411" s="99">
        <f t="shared" si="315"/>
        <v>0</v>
      </c>
      <c r="M1411" s="44" t="str">
        <f t="shared" si="317"/>
        <v/>
      </c>
      <c r="N1411" s="100">
        <f t="shared" si="318"/>
        <v>0</v>
      </c>
      <c r="O1411" s="101">
        <f t="shared" si="319"/>
        <v>0</v>
      </c>
      <c r="P1411" s="52">
        <f t="shared" si="320"/>
        <v>0</v>
      </c>
      <c r="Q1411" s="49">
        <v>116.88487613461319</v>
      </c>
      <c r="R1411">
        <v>2225</v>
      </c>
      <c r="S1411" s="50">
        <f t="shared" si="316"/>
        <v>71535.307499999995</v>
      </c>
      <c r="T1411" s="50">
        <f t="shared" si="321"/>
        <v>0</v>
      </c>
      <c r="U1411" s="58">
        <f t="shared" si="322"/>
        <v>0</v>
      </c>
      <c r="V1411" s="58">
        <f t="shared" si="323"/>
        <v>0</v>
      </c>
      <c r="W1411" s="58">
        <f t="shared" si="324"/>
        <v>0</v>
      </c>
      <c r="X1411" s="58">
        <f t="shared" si="325"/>
        <v>0</v>
      </c>
      <c r="Y1411" s="52">
        <f t="shared" si="326"/>
        <v>0</v>
      </c>
    </row>
    <row r="1412" spans="1:25" x14ac:dyDescent="0.25">
      <c r="A1412" s="1218" t="s">
        <v>82</v>
      </c>
      <c r="B1412" s="98">
        <v>45627</v>
      </c>
      <c r="C1412" s="117" t="str">
        <f t="shared" si="313"/>
        <v>1L</v>
      </c>
      <c r="D1412" s="96"/>
      <c r="E1412" s="96"/>
      <c r="F1412" s="96"/>
      <c r="G1412" s="96"/>
      <c r="H1412" s="96"/>
      <c r="I1412" s="99">
        <f t="shared" si="314"/>
        <v>0</v>
      </c>
      <c r="J1412" s="96"/>
      <c r="K1412" s="96"/>
      <c r="L1412" s="99">
        <f t="shared" si="315"/>
        <v>0</v>
      </c>
      <c r="M1412" s="44" t="str">
        <f t="shared" si="317"/>
        <v/>
      </c>
      <c r="N1412" s="100">
        <f t="shared" si="318"/>
        <v>0</v>
      </c>
      <c r="O1412" s="101">
        <f t="shared" si="319"/>
        <v>0</v>
      </c>
      <c r="P1412" s="52">
        <f t="shared" si="320"/>
        <v>0</v>
      </c>
      <c r="Q1412" s="49">
        <v>116.88487613461319</v>
      </c>
      <c r="R1412">
        <v>2225</v>
      </c>
      <c r="S1412" s="50">
        <f t="shared" si="316"/>
        <v>71535.307499999995</v>
      </c>
      <c r="T1412" s="50">
        <f t="shared" si="321"/>
        <v>0</v>
      </c>
      <c r="U1412" s="58">
        <f t="shared" si="322"/>
        <v>0</v>
      </c>
      <c r="V1412" s="58">
        <f t="shared" si="323"/>
        <v>0</v>
      </c>
      <c r="W1412" s="58">
        <f t="shared" si="324"/>
        <v>0</v>
      </c>
      <c r="X1412" s="58">
        <f t="shared" si="325"/>
        <v>0</v>
      </c>
      <c r="Y1412" s="52">
        <f t="shared" si="326"/>
        <v>0</v>
      </c>
    </row>
    <row r="1413" spans="1:25" x14ac:dyDescent="0.25">
      <c r="A1413" s="1218" t="s">
        <v>83</v>
      </c>
      <c r="B1413" s="98">
        <v>45627</v>
      </c>
      <c r="C1413" s="117" t="str">
        <f t="shared" si="313"/>
        <v>1L</v>
      </c>
      <c r="D1413" s="96"/>
      <c r="E1413" s="96"/>
      <c r="F1413" s="96"/>
      <c r="G1413" s="96"/>
      <c r="H1413" s="96"/>
      <c r="I1413" s="99">
        <f t="shared" si="314"/>
        <v>0</v>
      </c>
      <c r="J1413" s="96"/>
      <c r="K1413" s="96"/>
      <c r="L1413" s="99">
        <f t="shared" si="315"/>
        <v>0</v>
      </c>
      <c r="M1413" s="44" t="str">
        <f t="shared" si="317"/>
        <v/>
      </c>
      <c r="N1413" s="100">
        <f t="shared" si="318"/>
        <v>0</v>
      </c>
      <c r="O1413" s="101">
        <f t="shared" si="319"/>
        <v>0</v>
      </c>
      <c r="P1413" s="52">
        <f t="shared" si="320"/>
        <v>0</v>
      </c>
      <c r="Q1413" s="49">
        <v>116.88487613461319</v>
      </c>
      <c r="R1413">
        <v>2225</v>
      </c>
      <c r="S1413" s="50">
        <f t="shared" si="316"/>
        <v>71535.307499999995</v>
      </c>
      <c r="T1413" s="50">
        <f t="shared" si="321"/>
        <v>0</v>
      </c>
      <c r="U1413" s="58">
        <f t="shared" si="322"/>
        <v>0</v>
      </c>
      <c r="V1413" s="58">
        <f t="shared" si="323"/>
        <v>0</v>
      </c>
      <c r="W1413" s="58">
        <f t="shared" si="324"/>
        <v>0</v>
      </c>
      <c r="X1413" s="58">
        <f t="shared" si="325"/>
        <v>0</v>
      </c>
      <c r="Y1413" s="52">
        <f t="shared" si="326"/>
        <v>0</v>
      </c>
    </row>
    <row r="1414" spans="1:25" x14ac:dyDescent="0.25">
      <c r="A1414" s="1218" t="s">
        <v>84</v>
      </c>
      <c r="B1414" s="98">
        <v>45627</v>
      </c>
      <c r="C1414" s="117" t="str">
        <f t="shared" si="313"/>
        <v>2L</v>
      </c>
      <c r="D1414" s="96"/>
      <c r="E1414" s="98"/>
      <c r="F1414" s="98"/>
      <c r="I1414" s="99">
        <f t="shared" si="314"/>
        <v>0</v>
      </c>
      <c r="L1414" s="99">
        <f t="shared" si="315"/>
        <v>0</v>
      </c>
      <c r="M1414" s="44" t="str">
        <f t="shared" si="317"/>
        <v/>
      </c>
      <c r="N1414" s="100">
        <f t="shared" si="318"/>
        <v>0</v>
      </c>
      <c r="O1414" s="101">
        <f t="shared" si="319"/>
        <v>0</v>
      </c>
      <c r="P1414" s="52">
        <f t="shared" si="320"/>
        <v>0</v>
      </c>
      <c r="Q1414" s="49">
        <v>116.88487613461319</v>
      </c>
      <c r="R1414">
        <v>2225</v>
      </c>
      <c r="S1414" s="50">
        <f t="shared" si="316"/>
        <v>71535.307499999995</v>
      </c>
      <c r="T1414" s="50">
        <f t="shared" si="321"/>
        <v>0</v>
      </c>
      <c r="U1414" s="58">
        <f t="shared" si="322"/>
        <v>0</v>
      </c>
      <c r="V1414" s="58">
        <f t="shared" si="323"/>
        <v>0</v>
      </c>
      <c r="W1414" s="58">
        <f t="shared" si="324"/>
        <v>0</v>
      </c>
      <c r="X1414" s="58">
        <f t="shared" si="325"/>
        <v>0</v>
      </c>
      <c r="Y1414" s="52">
        <f t="shared" si="326"/>
        <v>0</v>
      </c>
    </row>
    <row r="1415" spans="1:25" x14ac:dyDescent="0.25">
      <c r="A1415" s="1218" t="s">
        <v>85</v>
      </c>
      <c r="B1415" s="98">
        <v>45627</v>
      </c>
      <c r="C1415" s="117" t="str">
        <f t="shared" si="313"/>
        <v>2L</v>
      </c>
      <c r="D1415" s="96"/>
      <c r="E1415" s="98"/>
      <c r="F1415" s="98"/>
      <c r="I1415" s="99">
        <f t="shared" si="314"/>
        <v>0</v>
      </c>
      <c r="L1415" s="99">
        <f t="shared" si="315"/>
        <v>0</v>
      </c>
      <c r="M1415" s="44" t="str">
        <f t="shared" si="317"/>
        <v/>
      </c>
      <c r="N1415" s="100">
        <f t="shared" si="318"/>
        <v>0</v>
      </c>
      <c r="O1415" s="101">
        <f t="shared" si="319"/>
        <v>0</v>
      </c>
      <c r="P1415" s="52">
        <f t="shared" si="320"/>
        <v>0</v>
      </c>
      <c r="Q1415" s="49">
        <v>116.88487613461319</v>
      </c>
      <c r="R1415">
        <v>2225</v>
      </c>
      <c r="S1415" s="50">
        <f t="shared" si="316"/>
        <v>71535.307499999995</v>
      </c>
      <c r="T1415" s="50">
        <f t="shared" si="321"/>
        <v>0</v>
      </c>
      <c r="U1415" s="58">
        <f t="shared" si="322"/>
        <v>0</v>
      </c>
      <c r="V1415" s="58">
        <f t="shared" si="323"/>
        <v>0</v>
      </c>
      <c r="W1415" s="58">
        <f t="shared" si="324"/>
        <v>0</v>
      </c>
      <c r="X1415" s="58">
        <f t="shared" si="325"/>
        <v>0</v>
      </c>
      <c r="Y1415" s="52">
        <f t="shared" si="326"/>
        <v>0</v>
      </c>
    </row>
    <row r="1416" spans="1:25" x14ac:dyDescent="0.25">
      <c r="A1416" s="1218" t="s">
        <v>86</v>
      </c>
      <c r="B1416" s="98">
        <v>45627</v>
      </c>
      <c r="C1416" s="117" t="str">
        <f t="shared" si="313"/>
        <v>2L</v>
      </c>
      <c r="D1416" s="96"/>
      <c r="E1416" s="98"/>
      <c r="F1416" s="98"/>
      <c r="I1416" s="99">
        <f t="shared" si="314"/>
        <v>0</v>
      </c>
      <c r="L1416" s="99">
        <f t="shared" si="315"/>
        <v>0</v>
      </c>
      <c r="M1416" s="44" t="str">
        <f t="shared" si="317"/>
        <v/>
      </c>
      <c r="N1416" s="100">
        <f t="shared" si="318"/>
        <v>0</v>
      </c>
      <c r="O1416" s="101">
        <f t="shared" si="319"/>
        <v>0</v>
      </c>
      <c r="P1416" s="52">
        <f t="shared" si="320"/>
        <v>0</v>
      </c>
      <c r="Q1416" s="49">
        <v>116.88487613461319</v>
      </c>
      <c r="R1416">
        <v>2225</v>
      </c>
      <c r="S1416" s="50">
        <f t="shared" si="316"/>
        <v>71535.307499999995</v>
      </c>
      <c r="T1416" s="50">
        <f t="shared" si="321"/>
        <v>0</v>
      </c>
      <c r="U1416" s="58">
        <f t="shared" si="322"/>
        <v>0</v>
      </c>
      <c r="V1416" s="58">
        <f t="shared" si="323"/>
        <v>0</v>
      </c>
      <c r="W1416" s="58">
        <f t="shared" si="324"/>
        <v>0</v>
      </c>
      <c r="X1416" s="58">
        <f t="shared" si="325"/>
        <v>0</v>
      </c>
      <c r="Y1416" s="52">
        <f t="shared" si="326"/>
        <v>0</v>
      </c>
    </row>
    <row r="1417" spans="1:25" x14ac:dyDescent="0.25">
      <c r="A1417" s="1218" t="s">
        <v>87</v>
      </c>
      <c r="B1417" s="98">
        <v>45627</v>
      </c>
      <c r="C1417" s="117" t="str">
        <f t="shared" si="313"/>
        <v>3L</v>
      </c>
      <c r="D1417" s="96"/>
      <c r="E1417" s="98"/>
      <c r="F1417" s="98"/>
      <c r="G1417" s="43">
        <v>4060</v>
      </c>
      <c r="H1417" s="26">
        <v>2.0299999999999998</v>
      </c>
      <c r="I1417" s="99">
        <f t="shared" si="314"/>
        <v>8.2417999999999996</v>
      </c>
      <c r="L1417" s="99">
        <f t="shared" si="315"/>
        <v>0</v>
      </c>
      <c r="M1417" s="44">
        <f t="shared" si="317"/>
        <v>-1</v>
      </c>
      <c r="N1417" s="100">
        <f t="shared" si="318"/>
        <v>-4060</v>
      </c>
      <c r="O1417" s="101">
        <f t="shared" si="319"/>
        <v>-8.2417999999999996</v>
      </c>
      <c r="P1417" s="52">
        <f t="shared" si="320"/>
        <v>0</v>
      </c>
      <c r="Q1417" s="49">
        <v>116.88487613461319</v>
      </c>
      <c r="R1417">
        <v>2225</v>
      </c>
      <c r="S1417" s="50">
        <f t="shared" si="316"/>
        <v>71535.307499999995</v>
      </c>
      <c r="T1417" s="50">
        <f t="shared" si="321"/>
        <v>589579.69735349994</v>
      </c>
      <c r="U1417" s="58">
        <f t="shared" si="322"/>
        <v>0</v>
      </c>
      <c r="V1417" s="58">
        <f t="shared" si="323"/>
        <v>474552.59710652957</v>
      </c>
      <c r="W1417" s="58">
        <f t="shared" si="324"/>
        <v>0</v>
      </c>
      <c r="X1417" s="58">
        <f t="shared" si="325"/>
        <v>115027.10024697037</v>
      </c>
      <c r="Y1417" s="52">
        <f t="shared" si="326"/>
        <v>0</v>
      </c>
    </row>
    <row r="1418" spans="1:25" x14ac:dyDescent="0.25">
      <c r="A1418" s="1218" t="s">
        <v>88</v>
      </c>
      <c r="B1418" s="98">
        <v>45627</v>
      </c>
      <c r="C1418" s="117" t="str">
        <f t="shared" si="313"/>
        <v>3L</v>
      </c>
      <c r="D1418" s="96"/>
      <c r="E1418" s="98"/>
      <c r="F1418" s="98"/>
      <c r="I1418" s="99">
        <f t="shared" si="314"/>
        <v>0</v>
      </c>
      <c r="J1418">
        <v>2822</v>
      </c>
      <c r="K1418" s="49">
        <v>3.15</v>
      </c>
      <c r="L1418" s="99">
        <f t="shared" si="315"/>
        <v>8.8892999999999986</v>
      </c>
      <c r="M1418" s="44" t="str">
        <f t="shared" si="317"/>
        <v/>
      </c>
      <c r="N1418" s="100">
        <f t="shared" si="318"/>
        <v>2822</v>
      </c>
      <c r="O1418" s="101">
        <f t="shared" si="319"/>
        <v>8.8892999999999986</v>
      </c>
      <c r="P1418" s="52">
        <f t="shared" si="320"/>
        <v>306049.68850787147</v>
      </c>
      <c r="Q1418" s="49">
        <v>116.88487613461319</v>
      </c>
      <c r="R1418">
        <v>2225</v>
      </c>
      <c r="S1418" s="50">
        <f t="shared" si="316"/>
        <v>71535.307499999995</v>
      </c>
      <c r="T1418" s="50">
        <f t="shared" si="321"/>
        <v>0</v>
      </c>
      <c r="U1418" s="58">
        <f t="shared" si="322"/>
        <v>635898.80895974988</v>
      </c>
      <c r="V1418" s="58">
        <f t="shared" si="323"/>
        <v>0</v>
      </c>
      <c r="W1418" s="58">
        <f t="shared" si="324"/>
        <v>329849.12045187841</v>
      </c>
      <c r="X1418" s="58">
        <f t="shared" si="325"/>
        <v>0</v>
      </c>
      <c r="Y1418" s="52">
        <f t="shared" si="326"/>
        <v>306049.68850787147</v>
      </c>
    </row>
    <row r="1419" spans="1:25" x14ac:dyDescent="0.25">
      <c r="A1419" s="1218" t="s">
        <v>89</v>
      </c>
      <c r="B1419" s="98">
        <v>45627</v>
      </c>
      <c r="C1419" s="117" t="str">
        <f t="shared" si="313"/>
        <v>3L</v>
      </c>
      <c r="D1419" s="96"/>
      <c r="E1419" s="98"/>
      <c r="F1419" s="98"/>
      <c r="I1419" s="99">
        <f t="shared" si="314"/>
        <v>0</v>
      </c>
      <c r="L1419" s="99">
        <f t="shared" si="315"/>
        <v>0</v>
      </c>
      <c r="M1419" s="44" t="str">
        <f t="shared" si="317"/>
        <v/>
      </c>
      <c r="N1419" s="100">
        <f t="shared" si="318"/>
        <v>0</v>
      </c>
      <c r="O1419" s="101">
        <f t="shared" si="319"/>
        <v>0</v>
      </c>
      <c r="P1419" s="52">
        <f t="shared" si="320"/>
        <v>0</v>
      </c>
      <c r="Q1419" s="49">
        <v>116.88487613461319</v>
      </c>
      <c r="R1419">
        <v>2225</v>
      </c>
      <c r="S1419" s="50">
        <f t="shared" si="316"/>
        <v>71535.307499999995</v>
      </c>
      <c r="T1419" s="50">
        <f t="shared" si="321"/>
        <v>0</v>
      </c>
      <c r="U1419" s="58">
        <f t="shared" si="322"/>
        <v>0</v>
      </c>
      <c r="V1419" s="58">
        <f t="shared" si="323"/>
        <v>0</v>
      </c>
      <c r="W1419" s="58">
        <f t="shared" si="324"/>
        <v>0</v>
      </c>
      <c r="X1419" s="58">
        <f t="shared" si="325"/>
        <v>0</v>
      </c>
      <c r="Y1419" s="52">
        <f t="shared" si="326"/>
        <v>0</v>
      </c>
    </row>
    <row r="1420" spans="1:25" x14ac:dyDescent="0.25">
      <c r="A1420" s="1218" t="s">
        <v>90</v>
      </c>
      <c r="B1420" s="98">
        <v>45627</v>
      </c>
      <c r="C1420" s="117" t="str">
        <f t="shared" si="313"/>
        <v>3L</v>
      </c>
      <c r="D1420" s="96"/>
      <c r="E1420" s="98"/>
      <c r="F1420" s="98"/>
      <c r="I1420" s="99">
        <f t="shared" si="314"/>
        <v>0</v>
      </c>
      <c r="L1420" s="99">
        <f t="shared" si="315"/>
        <v>0</v>
      </c>
      <c r="M1420" s="44" t="str">
        <f t="shared" si="317"/>
        <v/>
      </c>
      <c r="N1420" s="100">
        <f t="shared" si="318"/>
        <v>0</v>
      </c>
      <c r="O1420" s="101">
        <f t="shared" si="319"/>
        <v>0</v>
      </c>
      <c r="P1420" s="52">
        <f t="shared" si="320"/>
        <v>0</v>
      </c>
      <c r="Q1420" s="49">
        <v>116.88487613461319</v>
      </c>
      <c r="R1420">
        <v>2225</v>
      </c>
      <c r="S1420" s="50">
        <f t="shared" si="316"/>
        <v>71535.307499999995</v>
      </c>
      <c r="T1420" s="50">
        <f t="shared" si="321"/>
        <v>0</v>
      </c>
      <c r="U1420" s="58">
        <f t="shared" si="322"/>
        <v>0</v>
      </c>
      <c r="V1420" s="58">
        <f t="shared" si="323"/>
        <v>0</v>
      </c>
      <c r="W1420" s="58">
        <f t="shared" si="324"/>
        <v>0</v>
      </c>
      <c r="X1420" s="58">
        <f t="shared" si="325"/>
        <v>0</v>
      </c>
      <c r="Y1420" s="52">
        <f t="shared" si="326"/>
        <v>0</v>
      </c>
    </row>
    <row r="1421" spans="1:25" x14ac:dyDescent="0.25">
      <c r="A1421" s="1218" t="s">
        <v>91</v>
      </c>
      <c r="B1421" s="98">
        <v>45627</v>
      </c>
      <c r="C1421" s="117" t="str">
        <f t="shared" si="313"/>
        <v>3L</v>
      </c>
      <c r="D1421" s="96"/>
      <c r="E1421" s="98"/>
      <c r="F1421" s="98"/>
      <c r="I1421" s="99">
        <f t="shared" si="314"/>
        <v>0</v>
      </c>
      <c r="L1421" s="99">
        <f t="shared" si="315"/>
        <v>0</v>
      </c>
      <c r="M1421" s="44" t="str">
        <f t="shared" si="317"/>
        <v/>
      </c>
      <c r="N1421" s="100">
        <f t="shared" si="318"/>
        <v>0</v>
      </c>
      <c r="O1421" s="101">
        <f t="shared" si="319"/>
        <v>0</v>
      </c>
      <c r="P1421" s="52">
        <f t="shared" si="320"/>
        <v>0</v>
      </c>
      <c r="Q1421" s="49">
        <v>116.88487613461319</v>
      </c>
      <c r="R1421">
        <v>2225</v>
      </c>
      <c r="S1421" s="50">
        <f t="shared" si="316"/>
        <v>71535.307499999995</v>
      </c>
      <c r="T1421" s="50">
        <f t="shared" si="321"/>
        <v>0</v>
      </c>
      <c r="U1421" s="58">
        <f t="shared" si="322"/>
        <v>0</v>
      </c>
      <c r="V1421" s="58">
        <f t="shared" si="323"/>
        <v>0</v>
      </c>
      <c r="W1421" s="58">
        <f t="shared" si="324"/>
        <v>0</v>
      </c>
      <c r="X1421" s="58">
        <f t="shared" si="325"/>
        <v>0</v>
      </c>
      <c r="Y1421" s="52">
        <f t="shared" si="326"/>
        <v>0</v>
      </c>
    </row>
    <row r="1422" spans="1:25" x14ac:dyDescent="0.25">
      <c r="A1422" s="1218" t="s">
        <v>92</v>
      </c>
      <c r="B1422" s="98">
        <v>45627</v>
      </c>
      <c r="C1422" s="117" t="str">
        <f t="shared" ref="C1422:C1486" si="327">LEFT(A1422,2)</f>
        <v>3L</v>
      </c>
      <c r="D1422" s="96"/>
      <c r="E1422" s="98"/>
      <c r="F1422" s="98"/>
      <c r="G1422" s="41"/>
      <c r="H1422" s="47"/>
      <c r="I1422" s="99">
        <f t="shared" si="314"/>
        <v>0</v>
      </c>
      <c r="J1422" s="41"/>
      <c r="K1422" s="47"/>
      <c r="L1422" s="99">
        <f t="shared" si="315"/>
        <v>0</v>
      </c>
      <c r="M1422" s="44" t="str">
        <f t="shared" si="317"/>
        <v/>
      </c>
      <c r="N1422" s="100">
        <f t="shared" si="318"/>
        <v>0</v>
      </c>
      <c r="O1422" s="101">
        <f t="shared" si="319"/>
        <v>0</v>
      </c>
      <c r="P1422" s="52">
        <f t="shared" si="320"/>
        <v>0</v>
      </c>
      <c r="Q1422" s="49">
        <v>116.88487613461319</v>
      </c>
      <c r="R1422">
        <v>2225</v>
      </c>
      <c r="S1422" s="50">
        <f t="shared" si="316"/>
        <v>71535.307499999995</v>
      </c>
      <c r="T1422" s="50">
        <f t="shared" si="321"/>
        <v>0</v>
      </c>
      <c r="U1422" s="58">
        <f t="shared" si="322"/>
        <v>0</v>
      </c>
      <c r="V1422" s="58">
        <f t="shared" si="323"/>
        <v>0</v>
      </c>
      <c r="W1422" s="58">
        <f t="shared" si="324"/>
        <v>0</v>
      </c>
      <c r="X1422" s="58">
        <f t="shared" si="325"/>
        <v>0</v>
      </c>
      <c r="Y1422" s="52">
        <f t="shared" si="326"/>
        <v>0</v>
      </c>
    </row>
    <row r="1423" spans="1:25" x14ac:dyDescent="0.25">
      <c r="A1423" s="1218" t="s">
        <v>93</v>
      </c>
      <c r="B1423" s="98">
        <v>45627</v>
      </c>
      <c r="C1423" s="117" t="str">
        <f t="shared" si="327"/>
        <v>3L</v>
      </c>
      <c r="D1423" s="96"/>
      <c r="E1423" s="98"/>
      <c r="F1423" s="98"/>
      <c r="G1423" s="41"/>
      <c r="H1423" s="47"/>
      <c r="I1423" s="99">
        <f t="shared" si="314"/>
        <v>0</v>
      </c>
      <c r="J1423" s="41"/>
      <c r="K1423" s="47"/>
      <c r="L1423" s="99">
        <f t="shared" si="315"/>
        <v>0</v>
      </c>
      <c r="M1423" s="44" t="str">
        <f t="shared" si="317"/>
        <v/>
      </c>
      <c r="N1423" s="100">
        <f t="shared" si="318"/>
        <v>0</v>
      </c>
      <c r="O1423" s="101">
        <f t="shared" si="319"/>
        <v>0</v>
      </c>
      <c r="P1423" s="52">
        <f t="shared" si="320"/>
        <v>0</v>
      </c>
      <c r="Q1423" s="49">
        <v>116.88487613461319</v>
      </c>
      <c r="R1423">
        <v>2225</v>
      </c>
      <c r="S1423" s="50">
        <f t="shared" si="316"/>
        <v>71535.307499999995</v>
      </c>
      <c r="T1423" s="50">
        <f t="shared" si="321"/>
        <v>0</v>
      </c>
      <c r="U1423" s="58">
        <f t="shared" si="322"/>
        <v>0</v>
      </c>
      <c r="V1423" s="58">
        <f t="shared" si="323"/>
        <v>0</v>
      </c>
      <c r="W1423" s="58">
        <f t="shared" si="324"/>
        <v>0</v>
      </c>
      <c r="X1423" s="58">
        <f t="shared" si="325"/>
        <v>0</v>
      </c>
      <c r="Y1423" s="52">
        <f t="shared" si="326"/>
        <v>0</v>
      </c>
    </row>
    <row r="1424" spans="1:25" x14ac:dyDescent="0.25">
      <c r="A1424" s="1218" t="s">
        <v>94</v>
      </c>
      <c r="B1424" s="98">
        <v>45627</v>
      </c>
      <c r="C1424" s="117" t="str">
        <f t="shared" si="327"/>
        <v>3L</v>
      </c>
      <c r="D1424" s="96"/>
      <c r="E1424" s="98"/>
      <c r="F1424" s="98"/>
      <c r="G1424" s="41"/>
      <c r="H1424" s="47"/>
      <c r="I1424" s="99">
        <f t="shared" si="314"/>
        <v>0</v>
      </c>
      <c r="J1424" s="41"/>
      <c r="K1424" s="47"/>
      <c r="L1424" s="99">
        <f t="shared" si="315"/>
        <v>0</v>
      </c>
      <c r="M1424" s="44" t="str">
        <f t="shared" si="317"/>
        <v/>
      </c>
      <c r="N1424" s="100">
        <f t="shared" si="318"/>
        <v>0</v>
      </c>
      <c r="O1424" s="101">
        <f t="shared" si="319"/>
        <v>0</v>
      </c>
      <c r="P1424" s="52">
        <f t="shared" si="320"/>
        <v>0</v>
      </c>
      <c r="Q1424" s="49">
        <v>116.88487613461319</v>
      </c>
      <c r="R1424">
        <v>2225</v>
      </c>
      <c r="S1424" s="50">
        <f t="shared" si="316"/>
        <v>71535.307499999995</v>
      </c>
      <c r="T1424" s="50">
        <f t="shared" si="321"/>
        <v>0</v>
      </c>
      <c r="U1424" s="58">
        <f t="shared" si="322"/>
        <v>0</v>
      </c>
      <c r="V1424" s="58">
        <f t="shared" si="323"/>
        <v>0</v>
      </c>
      <c r="W1424" s="58">
        <f t="shared" si="324"/>
        <v>0</v>
      </c>
      <c r="X1424" s="58">
        <f t="shared" si="325"/>
        <v>0</v>
      </c>
      <c r="Y1424" s="52">
        <f t="shared" si="326"/>
        <v>0</v>
      </c>
    </row>
    <row r="1425" spans="1:25" x14ac:dyDescent="0.25">
      <c r="A1425" s="1218" t="s">
        <v>95</v>
      </c>
      <c r="B1425" s="98">
        <v>45627</v>
      </c>
      <c r="C1425" s="117" t="str">
        <f t="shared" si="327"/>
        <v>3L</v>
      </c>
      <c r="D1425" s="96"/>
      <c r="E1425" s="98"/>
      <c r="F1425" s="98"/>
      <c r="G1425" s="41"/>
      <c r="H1425" s="47"/>
      <c r="I1425" s="99">
        <f t="shared" si="314"/>
        <v>0</v>
      </c>
      <c r="J1425" s="41"/>
      <c r="K1425" s="47"/>
      <c r="L1425" s="99">
        <f t="shared" si="315"/>
        <v>0</v>
      </c>
      <c r="M1425" s="44" t="str">
        <f t="shared" si="317"/>
        <v/>
      </c>
      <c r="N1425" s="100">
        <f t="shared" si="318"/>
        <v>0</v>
      </c>
      <c r="O1425" s="101">
        <f t="shared" si="319"/>
        <v>0</v>
      </c>
      <c r="P1425" s="52">
        <f t="shared" si="320"/>
        <v>0</v>
      </c>
      <c r="Q1425" s="49">
        <v>116.88487613461319</v>
      </c>
      <c r="R1425">
        <v>2225</v>
      </c>
      <c r="S1425" s="50">
        <f t="shared" si="316"/>
        <v>71535.307499999995</v>
      </c>
      <c r="T1425" s="50">
        <f t="shared" si="321"/>
        <v>0</v>
      </c>
      <c r="U1425" s="58">
        <f t="shared" si="322"/>
        <v>0</v>
      </c>
      <c r="V1425" s="58">
        <f t="shared" si="323"/>
        <v>0</v>
      </c>
      <c r="W1425" s="58">
        <f t="shared" si="324"/>
        <v>0</v>
      </c>
      <c r="X1425" s="58">
        <f t="shared" si="325"/>
        <v>0</v>
      </c>
      <c r="Y1425" s="52">
        <f t="shared" si="326"/>
        <v>0</v>
      </c>
    </row>
    <row r="1426" spans="1:25" x14ac:dyDescent="0.25">
      <c r="A1426" s="1218" t="s">
        <v>96</v>
      </c>
      <c r="B1426" s="98">
        <v>45627</v>
      </c>
      <c r="C1426" s="117" t="str">
        <f t="shared" si="327"/>
        <v>3L</v>
      </c>
      <c r="D1426" s="96"/>
      <c r="E1426" s="98"/>
      <c r="F1426" s="98"/>
      <c r="G1426" s="41"/>
      <c r="H1426" s="47"/>
      <c r="I1426" s="99">
        <f t="shared" si="314"/>
        <v>0</v>
      </c>
      <c r="J1426" s="41"/>
      <c r="K1426" s="47"/>
      <c r="L1426" s="99">
        <f t="shared" si="315"/>
        <v>0</v>
      </c>
      <c r="M1426" s="44" t="str">
        <f t="shared" si="317"/>
        <v/>
      </c>
      <c r="N1426" s="100">
        <f t="shared" si="318"/>
        <v>0</v>
      </c>
      <c r="O1426" s="101">
        <f t="shared" si="319"/>
        <v>0</v>
      </c>
      <c r="P1426" s="52">
        <f t="shared" si="320"/>
        <v>0</v>
      </c>
      <c r="Q1426" s="49">
        <v>116.88487613461319</v>
      </c>
      <c r="R1426">
        <v>2225</v>
      </c>
      <c r="S1426" s="50">
        <f t="shared" si="316"/>
        <v>71535.307499999995</v>
      </c>
      <c r="T1426" s="50">
        <f t="shared" si="321"/>
        <v>0</v>
      </c>
      <c r="U1426" s="58">
        <f t="shared" si="322"/>
        <v>0</v>
      </c>
      <c r="V1426" s="58">
        <f t="shared" si="323"/>
        <v>0</v>
      </c>
      <c r="W1426" s="58">
        <f t="shared" si="324"/>
        <v>0</v>
      </c>
      <c r="X1426" s="58">
        <f t="shared" si="325"/>
        <v>0</v>
      </c>
      <c r="Y1426" s="52">
        <f t="shared" si="326"/>
        <v>0</v>
      </c>
    </row>
    <row r="1427" spans="1:25" x14ac:dyDescent="0.25">
      <c r="A1427" s="1218" t="s">
        <v>97</v>
      </c>
      <c r="B1427" s="98">
        <v>45627</v>
      </c>
      <c r="C1427" s="117" t="str">
        <f t="shared" si="327"/>
        <v>4L</v>
      </c>
      <c r="D1427" s="96"/>
      <c r="E1427" s="98"/>
      <c r="F1427" s="98"/>
      <c r="I1427" s="99">
        <f t="shared" si="314"/>
        <v>0</v>
      </c>
      <c r="L1427" s="99">
        <f t="shared" si="315"/>
        <v>0</v>
      </c>
      <c r="M1427" s="44" t="str">
        <f t="shared" si="317"/>
        <v/>
      </c>
      <c r="N1427" s="100">
        <f t="shared" si="318"/>
        <v>0</v>
      </c>
      <c r="O1427" s="101">
        <f t="shared" si="319"/>
        <v>0</v>
      </c>
      <c r="P1427" s="52">
        <f t="shared" si="320"/>
        <v>0</v>
      </c>
      <c r="Q1427" s="49">
        <v>116.88487613461319</v>
      </c>
      <c r="R1427">
        <v>2225</v>
      </c>
      <c r="S1427" s="50">
        <f t="shared" si="316"/>
        <v>71535.307499999995</v>
      </c>
      <c r="T1427" s="50">
        <f t="shared" si="321"/>
        <v>0</v>
      </c>
      <c r="U1427" s="58">
        <f t="shared" si="322"/>
        <v>0</v>
      </c>
      <c r="V1427" s="58">
        <f t="shared" si="323"/>
        <v>0</v>
      </c>
      <c r="W1427" s="58">
        <f t="shared" si="324"/>
        <v>0</v>
      </c>
      <c r="X1427" s="58">
        <f t="shared" si="325"/>
        <v>0</v>
      </c>
      <c r="Y1427" s="52">
        <f t="shared" si="326"/>
        <v>0</v>
      </c>
    </row>
    <row r="1428" spans="1:25" x14ac:dyDescent="0.25">
      <c r="A1428" s="1218" t="s">
        <v>98</v>
      </c>
      <c r="B1428" s="98">
        <v>45627</v>
      </c>
      <c r="C1428" s="117" t="str">
        <f t="shared" si="327"/>
        <v>4L</v>
      </c>
      <c r="D1428" s="96"/>
      <c r="E1428" s="98"/>
      <c r="F1428" s="98"/>
      <c r="I1428" s="99">
        <f t="shared" si="314"/>
        <v>0</v>
      </c>
      <c r="L1428" s="99">
        <f t="shared" si="315"/>
        <v>0</v>
      </c>
      <c r="M1428" s="44" t="str">
        <f t="shared" si="317"/>
        <v/>
      </c>
      <c r="N1428" s="100">
        <f t="shared" si="318"/>
        <v>0</v>
      </c>
      <c r="O1428" s="101">
        <f t="shared" si="319"/>
        <v>0</v>
      </c>
      <c r="P1428" s="52">
        <f t="shared" si="320"/>
        <v>0</v>
      </c>
      <c r="Q1428" s="49">
        <v>116.88487613461319</v>
      </c>
      <c r="R1428">
        <v>2225</v>
      </c>
      <c r="S1428" s="50">
        <f t="shared" si="316"/>
        <v>71535.307499999995</v>
      </c>
      <c r="T1428" s="50">
        <f t="shared" si="321"/>
        <v>0</v>
      </c>
      <c r="U1428" s="58">
        <f t="shared" si="322"/>
        <v>0</v>
      </c>
      <c r="V1428" s="58">
        <f t="shared" si="323"/>
        <v>0</v>
      </c>
      <c r="W1428" s="58">
        <f t="shared" si="324"/>
        <v>0</v>
      </c>
      <c r="X1428" s="58">
        <f t="shared" si="325"/>
        <v>0</v>
      </c>
      <c r="Y1428" s="52">
        <f t="shared" si="326"/>
        <v>0</v>
      </c>
    </row>
    <row r="1429" spans="1:25" x14ac:dyDescent="0.25">
      <c r="A1429" s="1218" t="s">
        <v>99</v>
      </c>
      <c r="B1429" s="98">
        <v>45627</v>
      </c>
      <c r="C1429" s="117" t="str">
        <f t="shared" si="327"/>
        <v>4L</v>
      </c>
      <c r="D1429" s="96"/>
      <c r="E1429" s="98"/>
      <c r="F1429" s="98"/>
      <c r="I1429" s="99">
        <f t="shared" si="314"/>
        <v>0</v>
      </c>
      <c r="L1429" s="99">
        <f t="shared" si="315"/>
        <v>0</v>
      </c>
      <c r="M1429" s="44" t="str">
        <f t="shared" si="317"/>
        <v/>
      </c>
      <c r="N1429" s="100">
        <f t="shared" si="318"/>
        <v>0</v>
      </c>
      <c r="O1429" s="101">
        <f t="shared" si="319"/>
        <v>0</v>
      </c>
      <c r="P1429" s="52">
        <f t="shared" si="320"/>
        <v>0</v>
      </c>
      <c r="Q1429" s="49">
        <v>116.88487613461319</v>
      </c>
      <c r="R1429">
        <v>2225</v>
      </c>
      <c r="S1429" s="50">
        <f t="shared" si="316"/>
        <v>71535.307499999995</v>
      </c>
      <c r="T1429" s="50">
        <f t="shared" si="321"/>
        <v>0</v>
      </c>
      <c r="U1429" s="58">
        <f t="shared" si="322"/>
        <v>0</v>
      </c>
      <c r="V1429" s="58">
        <f t="shared" si="323"/>
        <v>0</v>
      </c>
      <c r="W1429" s="58">
        <f t="shared" si="324"/>
        <v>0</v>
      </c>
      <c r="X1429" s="58">
        <f t="shared" si="325"/>
        <v>0</v>
      </c>
      <c r="Y1429" s="52">
        <f t="shared" si="326"/>
        <v>0</v>
      </c>
    </row>
    <row r="1430" spans="1:25" x14ac:dyDescent="0.25">
      <c r="A1430" s="1218" t="s">
        <v>100</v>
      </c>
      <c r="B1430" s="98">
        <v>45627</v>
      </c>
      <c r="C1430" s="117" t="str">
        <f t="shared" si="327"/>
        <v>4L</v>
      </c>
      <c r="D1430" s="96"/>
      <c r="E1430" s="98"/>
      <c r="F1430" s="98"/>
      <c r="I1430" s="99">
        <f t="shared" si="314"/>
        <v>0</v>
      </c>
      <c r="L1430" s="99">
        <f t="shared" si="315"/>
        <v>0</v>
      </c>
      <c r="M1430" s="44" t="str">
        <f t="shared" si="317"/>
        <v/>
      </c>
      <c r="N1430" s="100">
        <f t="shared" si="318"/>
        <v>0</v>
      </c>
      <c r="O1430" s="101">
        <f t="shared" si="319"/>
        <v>0</v>
      </c>
      <c r="P1430" s="52">
        <f t="shared" si="320"/>
        <v>0</v>
      </c>
      <c r="Q1430" s="49">
        <v>116.88487613461319</v>
      </c>
      <c r="R1430">
        <v>2225</v>
      </c>
      <c r="S1430" s="50">
        <f t="shared" si="316"/>
        <v>71535.307499999995</v>
      </c>
      <c r="T1430" s="50">
        <f t="shared" si="321"/>
        <v>0</v>
      </c>
      <c r="U1430" s="58">
        <f t="shared" si="322"/>
        <v>0</v>
      </c>
      <c r="V1430" s="58">
        <f t="shared" si="323"/>
        <v>0</v>
      </c>
      <c r="W1430" s="58">
        <f t="shared" si="324"/>
        <v>0</v>
      </c>
      <c r="X1430" s="58">
        <f t="shared" si="325"/>
        <v>0</v>
      </c>
      <c r="Y1430" s="52">
        <f t="shared" si="326"/>
        <v>0</v>
      </c>
    </row>
    <row r="1431" spans="1:25" x14ac:dyDescent="0.25">
      <c r="A1431" s="1218" t="s">
        <v>101</v>
      </c>
      <c r="B1431" s="98">
        <v>45627</v>
      </c>
      <c r="C1431" s="117" t="str">
        <f t="shared" si="327"/>
        <v>4L</v>
      </c>
      <c r="D1431" s="96"/>
      <c r="E1431" s="98"/>
      <c r="F1431" s="98"/>
      <c r="I1431" s="99">
        <f t="shared" si="314"/>
        <v>0</v>
      </c>
      <c r="L1431" s="99">
        <f t="shared" si="315"/>
        <v>0</v>
      </c>
      <c r="M1431" s="44" t="str">
        <f t="shared" si="317"/>
        <v/>
      </c>
      <c r="N1431" s="100">
        <f t="shared" si="318"/>
        <v>0</v>
      </c>
      <c r="O1431" s="101">
        <f t="shared" si="319"/>
        <v>0</v>
      </c>
      <c r="P1431" s="52">
        <f t="shared" si="320"/>
        <v>0</v>
      </c>
      <c r="Q1431" s="49">
        <v>116.88487613461319</v>
      </c>
      <c r="R1431">
        <v>2225</v>
      </c>
      <c r="S1431" s="50">
        <f t="shared" si="316"/>
        <v>71535.307499999995</v>
      </c>
      <c r="T1431" s="50">
        <f t="shared" si="321"/>
        <v>0</v>
      </c>
      <c r="U1431" s="58">
        <f t="shared" si="322"/>
        <v>0</v>
      </c>
      <c r="V1431" s="58">
        <f t="shared" si="323"/>
        <v>0</v>
      </c>
      <c r="W1431" s="58">
        <f t="shared" si="324"/>
        <v>0</v>
      </c>
      <c r="X1431" s="58">
        <f t="shared" si="325"/>
        <v>0</v>
      </c>
      <c r="Y1431" s="52">
        <f t="shared" si="326"/>
        <v>0</v>
      </c>
    </row>
    <row r="1432" spans="1:25" x14ac:dyDescent="0.25">
      <c r="A1432" s="1218" t="s">
        <v>102</v>
      </c>
      <c r="B1432" s="98">
        <v>45627</v>
      </c>
      <c r="C1432" s="117" t="str">
        <f t="shared" si="327"/>
        <v>4L</v>
      </c>
      <c r="D1432" s="96"/>
      <c r="E1432" s="98"/>
      <c r="F1432" s="98"/>
      <c r="I1432" s="99">
        <f t="shared" si="314"/>
        <v>0</v>
      </c>
      <c r="L1432" s="99">
        <f t="shared" si="315"/>
        <v>0</v>
      </c>
      <c r="M1432" s="44" t="str">
        <f t="shared" si="317"/>
        <v/>
      </c>
      <c r="N1432" s="100">
        <f t="shared" si="318"/>
        <v>0</v>
      </c>
      <c r="O1432" s="101">
        <f t="shared" si="319"/>
        <v>0</v>
      </c>
      <c r="P1432" s="52">
        <f t="shared" si="320"/>
        <v>0</v>
      </c>
      <c r="Q1432" s="49">
        <v>116.88487613461319</v>
      </c>
      <c r="R1432">
        <v>2225</v>
      </c>
      <c r="S1432" s="50">
        <f t="shared" si="316"/>
        <v>71535.307499999995</v>
      </c>
      <c r="T1432" s="50">
        <f t="shared" si="321"/>
        <v>0</v>
      </c>
      <c r="U1432" s="58">
        <f t="shared" si="322"/>
        <v>0</v>
      </c>
      <c r="V1432" s="58">
        <f t="shared" si="323"/>
        <v>0</v>
      </c>
      <c r="W1432" s="58">
        <f t="shared" si="324"/>
        <v>0</v>
      </c>
      <c r="X1432" s="58">
        <f t="shared" si="325"/>
        <v>0</v>
      </c>
      <c r="Y1432" s="52">
        <f t="shared" si="326"/>
        <v>0</v>
      </c>
    </row>
    <row r="1433" spans="1:25" x14ac:dyDescent="0.25">
      <c r="A1433" s="1218" t="s">
        <v>103</v>
      </c>
      <c r="B1433" s="98">
        <v>45627</v>
      </c>
      <c r="C1433" s="117" t="str">
        <f t="shared" si="327"/>
        <v>4L</v>
      </c>
      <c r="D1433" s="96"/>
      <c r="E1433" s="98"/>
      <c r="F1433" s="98"/>
      <c r="I1433" s="99">
        <f t="shared" si="314"/>
        <v>0</v>
      </c>
      <c r="L1433" s="99">
        <f t="shared" si="315"/>
        <v>0</v>
      </c>
      <c r="M1433" s="44" t="str">
        <f t="shared" si="317"/>
        <v/>
      </c>
      <c r="N1433" s="100">
        <f t="shared" si="318"/>
        <v>0</v>
      </c>
      <c r="O1433" s="101">
        <f t="shared" si="319"/>
        <v>0</v>
      </c>
      <c r="P1433" s="52">
        <f t="shared" si="320"/>
        <v>0</v>
      </c>
      <c r="Q1433" s="49">
        <v>116.88487613461319</v>
      </c>
      <c r="R1433">
        <v>2225</v>
      </c>
      <c r="S1433" s="50">
        <f t="shared" si="316"/>
        <v>71535.307499999995</v>
      </c>
      <c r="T1433" s="50">
        <f t="shared" si="321"/>
        <v>0</v>
      </c>
      <c r="U1433" s="58">
        <f t="shared" si="322"/>
        <v>0</v>
      </c>
      <c r="V1433" s="58">
        <f t="shared" si="323"/>
        <v>0</v>
      </c>
      <c r="W1433" s="58">
        <f t="shared" si="324"/>
        <v>0</v>
      </c>
      <c r="X1433" s="58">
        <f t="shared" si="325"/>
        <v>0</v>
      </c>
      <c r="Y1433" s="52">
        <f t="shared" si="326"/>
        <v>0</v>
      </c>
    </row>
    <row r="1434" spans="1:25" x14ac:dyDescent="0.25">
      <c r="A1434" s="1218" t="s">
        <v>104</v>
      </c>
      <c r="B1434" s="98">
        <v>45627</v>
      </c>
      <c r="C1434" s="117" t="str">
        <f t="shared" si="327"/>
        <v>4L</v>
      </c>
      <c r="D1434" s="96"/>
      <c r="E1434" s="98"/>
      <c r="F1434" s="98"/>
      <c r="I1434" s="99">
        <f t="shared" si="314"/>
        <v>0</v>
      </c>
      <c r="L1434" s="99">
        <f t="shared" si="315"/>
        <v>0</v>
      </c>
      <c r="M1434" s="44" t="str">
        <f t="shared" si="317"/>
        <v/>
      </c>
      <c r="N1434" s="100">
        <f t="shared" si="318"/>
        <v>0</v>
      </c>
      <c r="O1434" s="101">
        <f t="shared" si="319"/>
        <v>0</v>
      </c>
      <c r="P1434" s="52">
        <f t="shared" si="320"/>
        <v>0</v>
      </c>
      <c r="Q1434" s="49">
        <v>116.88487613461319</v>
      </c>
      <c r="R1434">
        <v>2225</v>
      </c>
      <c r="S1434" s="50">
        <f t="shared" si="316"/>
        <v>71535.307499999995</v>
      </c>
      <c r="T1434" s="50">
        <f t="shared" si="321"/>
        <v>0</v>
      </c>
      <c r="U1434" s="58">
        <f t="shared" si="322"/>
        <v>0</v>
      </c>
      <c r="V1434" s="58">
        <f t="shared" si="323"/>
        <v>0</v>
      </c>
      <c r="W1434" s="58">
        <f t="shared" si="324"/>
        <v>0</v>
      </c>
      <c r="X1434" s="58">
        <f t="shared" si="325"/>
        <v>0</v>
      </c>
      <c r="Y1434" s="52">
        <f t="shared" si="326"/>
        <v>0</v>
      </c>
    </row>
    <row r="1435" spans="1:25" x14ac:dyDescent="0.25">
      <c r="A1435" s="1218" t="s">
        <v>105</v>
      </c>
      <c r="B1435" s="98">
        <v>45627</v>
      </c>
      <c r="C1435" s="117" t="str">
        <f t="shared" si="327"/>
        <v>4L</v>
      </c>
      <c r="D1435" s="96"/>
      <c r="E1435" s="98"/>
      <c r="F1435" s="98"/>
      <c r="I1435" s="99">
        <f t="shared" si="314"/>
        <v>0</v>
      </c>
      <c r="L1435" s="99">
        <f t="shared" si="315"/>
        <v>0</v>
      </c>
      <c r="M1435" s="44" t="str">
        <f t="shared" si="317"/>
        <v/>
      </c>
      <c r="N1435" s="100">
        <f t="shared" si="318"/>
        <v>0</v>
      </c>
      <c r="O1435" s="101">
        <f t="shared" si="319"/>
        <v>0</v>
      </c>
      <c r="P1435" s="52">
        <f t="shared" si="320"/>
        <v>0</v>
      </c>
      <c r="Q1435" s="49">
        <v>116.88487613461319</v>
      </c>
      <c r="R1435">
        <v>2225</v>
      </c>
      <c r="S1435" s="50">
        <f t="shared" si="316"/>
        <v>71535.307499999995</v>
      </c>
      <c r="T1435" s="50">
        <f t="shared" si="321"/>
        <v>0</v>
      </c>
      <c r="U1435" s="58">
        <f t="shared" si="322"/>
        <v>0</v>
      </c>
      <c r="V1435" s="58">
        <f t="shared" si="323"/>
        <v>0</v>
      </c>
      <c r="W1435" s="58">
        <f t="shared" si="324"/>
        <v>0</v>
      </c>
      <c r="X1435" s="58">
        <f t="shared" si="325"/>
        <v>0</v>
      </c>
      <c r="Y1435" s="52">
        <f t="shared" si="326"/>
        <v>0</v>
      </c>
    </row>
    <row r="1436" spans="1:25" x14ac:dyDescent="0.25">
      <c r="A1436" s="1218" t="s">
        <v>106</v>
      </c>
      <c r="B1436" s="98">
        <v>45627</v>
      </c>
      <c r="C1436" s="117" t="str">
        <f t="shared" si="327"/>
        <v>4L</v>
      </c>
      <c r="D1436" s="96"/>
      <c r="E1436" s="98"/>
      <c r="F1436" s="98"/>
      <c r="I1436" s="99">
        <f t="shared" si="314"/>
        <v>0</v>
      </c>
      <c r="L1436" s="99">
        <f t="shared" si="315"/>
        <v>0</v>
      </c>
      <c r="M1436" s="44" t="str">
        <f t="shared" si="317"/>
        <v/>
      </c>
      <c r="N1436" s="100">
        <f t="shared" si="318"/>
        <v>0</v>
      </c>
      <c r="O1436" s="101">
        <f t="shared" si="319"/>
        <v>0</v>
      </c>
      <c r="P1436" s="52">
        <f t="shared" si="320"/>
        <v>0</v>
      </c>
      <c r="Q1436" s="49">
        <v>116.88487613461319</v>
      </c>
      <c r="R1436">
        <v>2225</v>
      </c>
      <c r="S1436" s="50">
        <f t="shared" si="316"/>
        <v>71535.307499999995</v>
      </c>
      <c r="T1436" s="50">
        <f t="shared" si="321"/>
        <v>0</v>
      </c>
      <c r="U1436" s="58">
        <f t="shared" si="322"/>
        <v>0</v>
      </c>
      <c r="V1436" s="58">
        <f t="shared" si="323"/>
        <v>0</v>
      </c>
      <c r="W1436" s="58">
        <f t="shared" si="324"/>
        <v>0</v>
      </c>
      <c r="X1436" s="58">
        <f t="shared" si="325"/>
        <v>0</v>
      </c>
      <c r="Y1436" s="52">
        <f t="shared" si="326"/>
        <v>0</v>
      </c>
    </row>
    <row r="1437" spans="1:25" x14ac:dyDescent="0.25">
      <c r="A1437" s="1218" t="s">
        <v>107</v>
      </c>
      <c r="B1437" s="98">
        <v>45627</v>
      </c>
      <c r="C1437" s="117" t="str">
        <f t="shared" si="327"/>
        <v>4L</v>
      </c>
      <c r="D1437" s="96"/>
      <c r="E1437" s="98"/>
      <c r="F1437" s="98"/>
      <c r="I1437" s="99">
        <f t="shared" si="314"/>
        <v>0</v>
      </c>
      <c r="L1437" s="99">
        <f t="shared" si="315"/>
        <v>0</v>
      </c>
      <c r="M1437" s="44" t="str">
        <f t="shared" si="317"/>
        <v/>
      </c>
      <c r="N1437" s="100">
        <f t="shared" si="318"/>
        <v>0</v>
      </c>
      <c r="O1437" s="101">
        <f t="shared" si="319"/>
        <v>0</v>
      </c>
      <c r="P1437" s="52">
        <f t="shared" si="320"/>
        <v>0</v>
      </c>
      <c r="Q1437" s="49">
        <v>116.88487613461319</v>
      </c>
      <c r="R1437">
        <v>2225</v>
      </c>
      <c r="S1437" s="50">
        <f t="shared" si="316"/>
        <v>71535.307499999995</v>
      </c>
      <c r="T1437" s="50">
        <f t="shared" si="321"/>
        <v>0</v>
      </c>
      <c r="U1437" s="58">
        <f t="shared" si="322"/>
        <v>0</v>
      </c>
      <c r="V1437" s="58">
        <f t="shared" si="323"/>
        <v>0</v>
      </c>
      <c r="W1437" s="58">
        <f t="shared" si="324"/>
        <v>0</v>
      </c>
      <c r="X1437" s="58">
        <f t="shared" si="325"/>
        <v>0</v>
      </c>
      <c r="Y1437" s="52">
        <f t="shared" si="326"/>
        <v>0</v>
      </c>
    </row>
    <row r="1438" spans="1:25" x14ac:dyDescent="0.25">
      <c r="A1438" s="1218" t="s">
        <v>108</v>
      </c>
      <c r="B1438" s="98">
        <v>45627</v>
      </c>
      <c r="C1438" s="117" t="str">
        <f t="shared" si="327"/>
        <v>4L</v>
      </c>
      <c r="D1438" s="96"/>
      <c r="E1438" s="98"/>
      <c r="F1438" s="98"/>
      <c r="I1438" s="99">
        <f t="shared" si="314"/>
        <v>0</v>
      </c>
      <c r="L1438" s="99">
        <f t="shared" si="315"/>
        <v>0</v>
      </c>
      <c r="M1438" s="44" t="str">
        <f t="shared" si="317"/>
        <v/>
      </c>
      <c r="N1438" s="100">
        <f t="shared" si="318"/>
        <v>0</v>
      </c>
      <c r="O1438" s="101">
        <f t="shared" si="319"/>
        <v>0</v>
      </c>
      <c r="P1438" s="52">
        <f t="shared" si="320"/>
        <v>0</v>
      </c>
      <c r="Q1438" s="49">
        <v>116.88487613461319</v>
      </c>
      <c r="R1438">
        <v>2225</v>
      </c>
      <c r="S1438" s="50">
        <f t="shared" si="316"/>
        <v>71535.307499999995</v>
      </c>
      <c r="T1438" s="50">
        <f t="shared" si="321"/>
        <v>0</v>
      </c>
      <c r="U1438" s="58">
        <f t="shared" si="322"/>
        <v>0</v>
      </c>
      <c r="V1438" s="58">
        <f t="shared" si="323"/>
        <v>0</v>
      </c>
      <c r="W1438" s="58">
        <f t="shared" si="324"/>
        <v>0</v>
      </c>
      <c r="X1438" s="58">
        <f t="shared" si="325"/>
        <v>0</v>
      </c>
      <c r="Y1438" s="52">
        <f t="shared" si="326"/>
        <v>0</v>
      </c>
    </row>
    <row r="1439" spans="1:25" x14ac:dyDescent="0.25">
      <c r="A1439" s="1218" t="s">
        <v>109</v>
      </c>
      <c r="B1439" s="98">
        <v>45627</v>
      </c>
      <c r="C1439" s="117" t="str">
        <f t="shared" si="327"/>
        <v>4L</v>
      </c>
      <c r="D1439" s="96"/>
      <c r="E1439" s="98"/>
      <c r="F1439" s="98"/>
      <c r="I1439" s="99">
        <f t="shared" si="314"/>
        <v>0</v>
      </c>
      <c r="L1439" s="99">
        <f t="shared" si="315"/>
        <v>0</v>
      </c>
      <c r="M1439" s="44" t="str">
        <f t="shared" si="317"/>
        <v/>
      </c>
      <c r="N1439" s="100">
        <f t="shared" si="318"/>
        <v>0</v>
      </c>
      <c r="O1439" s="101">
        <f t="shared" si="319"/>
        <v>0</v>
      </c>
      <c r="P1439" s="52">
        <f t="shared" si="320"/>
        <v>0</v>
      </c>
      <c r="Q1439" s="49">
        <v>116.88487613461319</v>
      </c>
      <c r="R1439">
        <v>2225</v>
      </c>
      <c r="S1439" s="50">
        <f t="shared" si="316"/>
        <v>71535.307499999995</v>
      </c>
      <c r="T1439" s="50">
        <f t="shared" si="321"/>
        <v>0</v>
      </c>
      <c r="U1439" s="58">
        <f t="shared" si="322"/>
        <v>0</v>
      </c>
      <c r="V1439" s="58">
        <f t="shared" si="323"/>
        <v>0</v>
      </c>
      <c r="W1439" s="58">
        <f t="shared" si="324"/>
        <v>0</v>
      </c>
      <c r="X1439" s="58">
        <f t="shared" si="325"/>
        <v>0</v>
      </c>
      <c r="Y1439" s="52">
        <f t="shared" si="326"/>
        <v>0</v>
      </c>
    </row>
    <row r="1440" spans="1:25" x14ac:dyDescent="0.25">
      <c r="A1440" s="1218" t="s">
        <v>110</v>
      </c>
      <c r="B1440" s="98">
        <v>45627</v>
      </c>
      <c r="C1440" s="117" t="str">
        <f t="shared" si="327"/>
        <v>4L</v>
      </c>
      <c r="D1440" s="96"/>
      <c r="E1440" s="98"/>
      <c r="F1440" s="98"/>
      <c r="I1440" s="99">
        <f t="shared" si="314"/>
        <v>0</v>
      </c>
      <c r="L1440" s="99">
        <f t="shared" si="315"/>
        <v>0</v>
      </c>
      <c r="M1440" s="44" t="str">
        <f t="shared" si="317"/>
        <v/>
      </c>
      <c r="N1440" s="100">
        <f t="shared" si="318"/>
        <v>0</v>
      </c>
      <c r="O1440" s="101">
        <f t="shared" si="319"/>
        <v>0</v>
      </c>
      <c r="P1440" s="52">
        <f t="shared" si="320"/>
        <v>0</v>
      </c>
      <c r="Q1440" s="49">
        <v>116.88487613461319</v>
      </c>
      <c r="R1440">
        <v>2225</v>
      </c>
      <c r="S1440" s="50">
        <f t="shared" si="316"/>
        <v>71535.307499999995</v>
      </c>
      <c r="T1440" s="50">
        <f t="shared" si="321"/>
        <v>0</v>
      </c>
      <c r="U1440" s="58">
        <f t="shared" si="322"/>
        <v>0</v>
      </c>
      <c r="V1440" s="58">
        <f t="shared" si="323"/>
        <v>0</v>
      </c>
      <c r="W1440" s="58">
        <f t="shared" si="324"/>
        <v>0</v>
      </c>
      <c r="X1440" s="58">
        <f t="shared" si="325"/>
        <v>0</v>
      </c>
      <c r="Y1440" s="52">
        <f t="shared" si="326"/>
        <v>0</v>
      </c>
    </row>
    <row r="1441" spans="1:25" x14ac:dyDescent="0.25">
      <c r="A1441" s="1218" t="s">
        <v>111</v>
      </c>
      <c r="B1441" s="98">
        <v>45627</v>
      </c>
      <c r="C1441" s="117" t="str">
        <f t="shared" si="327"/>
        <v>4L</v>
      </c>
      <c r="D1441" s="96"/>
      <c r="E1441" s="98"/>
      <c r="F1441" s="98"/>
      <c r="G1441" s="43">
        <v>2030</v>
      </c>
      <c r="H1441" s="26">
        <v>1.4</v>
      </c>
      <c r="I1441" s="99">
        <f t="shared" si="314"/>
        <v>2.8420000000000001</v>
      </c>
      <c r="J1441">
        <v>1516</v>
      </c>
      <c r="K1441" s="49">
        <v>0.78</v>
      </c>
      <c r="L1441" s="99">
        <f t="shared" si="315"/>
        <v>1.18248</v>
      </c>
      <c r="M1441" s="44">
        <f t="shared" si="317"/>
        <v>-0.58392681210415198</v>
      </c>
      <c r="N1441" s="100">
        <f t="shared" si="318"/>
        <v>-514</v>
      </c>
      <c r="O1441" s="101">
        <f t="shared" si="319"/>
        <v>-1.6595200000000001</v>
      </c>
      <c r="P1441" s="52">
        <f t="shared" si="320"/>
        <v>-92608.401807473609</v>
      </c>
      <c r="Q1441" s="49">
        <v>116.88487613461319</v>
      </c>
      <c r="R1441">
        <v>2225</v>
      </c>
      <c r="S1441" s="50">
        <f t="shared" si="316"/>
        <v>71535.307499999995</v>
      </c>
      <c r="T1441" s="50">
        <f t="shared" si="321"/>
        <v>203303.343915</v>
      </c>
      <c r="U1441" s="58">
        <f t="shared" si="322"/>
        <v>84589.070412599991</v>
      </c>
      <c r="V1441" s="58">
        <f t="shared" si="323"/>
        <v>237276.29855326479</v>
      </c>
      <c r="W1441" s="58">
        <f t="shared" si="324"/>
        <v>177197.4722200736</v>
      </c>
      <c r="X1441" s="58">
        <f t="shared" si="325"/>
        <v>-33972.954638264782</v>
      </c>
      <c r="Y1441" s="52">
        <f t="shared" si="326"/>
        <v>-92608.401807473609</v>
      </c>
    </row>
    <row r="1442" spans="1:25" x14ac:dyDescent="0.25">
      <c r="A1442" s="1218" t="s">
        <v>112</v>
      </c>
      <c r="B1442" s="98">
        <v>45627</v>
      </c>
      <c r="C1442" s="117" t="str">
        <f t="shared" si="327"/>
        <v>4L</v>
      </c>
      <c r="D1442" s="96"/>
      <c r="E1442" s="98"/>
      <c r="F1442" s="98"/>
      <c r="I1442" s="99">
        <f t="shared" si="314"/>
        <v>0</v>
      </c>
      <c r="L1442" s="99">
        <f t="shared" si="315"/>
        <v>0</v>
      </c>
      <c r="M1442" s="44" t="str">
        <f t="shared" si="317"/>
        <v/>
      </c>
      <c r="N1442" s="100">
        <f t="shared" si="318"/>
        <v>0</v>
      </c>
      <c r="O1442" s="101">
        <f t="shared" si="319"/>
        <v>0</v>
      </c>
      <c r="P1442" s="52">
        <f t="shared" si="320"/>
        <v>0</v>
      </c>
      <c r="Q1442" s="49">
        <v>116.88487613461319</v>
      </c>
      <c r="R1442">
        <v>2225</v>
      </c>
      <c r="S1442" s="50">
        <f t="shared" si="316"/>
        <v>71535.307499999995</v>
      </c>
      <c r="T1442" s="50">
        <f t="shared" si="321"/>
        <v>0</v>
      </c>
      <c r="U1442" s="58">
        <f t="shared" si="322"/>
        <v>0</v>
      </c>
      <c r="V1442" s="58">
        <f t="shared" si="323"/>
        <v>0</v>
      </c>
      <c r="W1442" s="58">
        <f t="shared" si="324"/>
        <v>0</v>
      </c>
      <c r="X1442" s="58">
        <f t="shared" si="325"/>
        <v>0</v>
      </c>
      <c r="Y1442" s="52">
        <f t="shared" si="326"/>
        <v>0</v>
      </c>
    </row>
    <row r="1443" spans="1:25" x14ac:dyDescent="0.25">
      <c r="A1443" s="1218" t="s">
        <v>113</v>
      </c>
      <c r="B1443" s="98">
        <v>45627</v>
      </c>
      <c r="C1443" s="117" t="str">
        <f t="shared" si="327"/>
        <v>4L</v>
      </c>
      <c r="D1443" s="96"/>
      <c r="E1443" s="98"/>
      <c r="F1443" s="98"/>
      <c r="I1443" s="99">
        <f t="shared" si="314"/>
        <v>0</v>
      </c>
      <c r="L1443" s="99">
        <f t="shared" si="315"/>
        <v>0</v>
      </c>
      <c r="M1443" s="44" t="str">
        <f t="shared" si="317"/>
        <v/>
      </c>
      <c r="N1443" s="100">
        <f t="shared" si="318"/>
        <v>0</v>
      </c>
      <c r="O1443" s="101">
        <f t="shared" si="319"/>
        <v>0</v>
      </c>
      <c r="P1443" s="52">
        <f t="shared" si="320"/>
        <v>0</v>
      </c>
      <c r="Q1443" s="49">
        <v>116.88487613461319</v>
      </c>
      <c r="R1443">
        <v>2225</v>
      </c>
      <c r="S1443" s="50">
        <f t="shared" si="316"/>
        <v>71535.307499999995</v>
      </c>
      <c r="T1443" s="50">
        <f t="shared" si="321"/>
        <v>0</v>
      </c>
      <c r="U1443" s="58">
        <f t="shared" si="322"/>
        <v>0</v>
      </c>
      <c r="V1443" s="58">
        <f t="shared" si="323"/>
        <v>0</v>
      </c>
      <c r="W1443" s="58">
        <f t="shared" si="324"/>
        <v>0</v>
      </c>
      <c r="X1443" s="58">
        <f t="shared" si="325"/>
        <v>0</v>
      </c>
      <c r="Y1443" s="52">
        <f t="shared" si="326"/>
        <v>0</v>
      </c>
    </row>
    <row r="1444" spans="1:25" x14ac:dyDescent="0.25">
      <c r="A1444" s="1218" t="s">
        <v>114</v>
      </c>
      <c r="B1444" s="98">
        <v>45627</v>
      </c>
      <c r="C1444" s="117" t="str">
        <f t="shared" si="327"/>
        <v>4L</v>
      </c>
      <c r="D1444" s="96"/>
      <c r="E1444" s="98"/>
      <c r="F1444" s="98"/>
      <c r="I1444" s="99">
        <f t="shared" si="314"/>
        <v>0</v>
      </c>
      <c r="L1444" s="99">
        <f t="shared" si="315"/>
        <v>0</v>
      </c>
      <c r="M1444" s="44" t="str">
        <f t="shared" si="317"/>
        <v/>
      </c>
      <c r="N1444" s="100">
        <f t="shared" si="318"/>
        <v>0</v>
      </c>
      <c r="O1444" s="101">
        <f t="shared" si="319"/>
        <v>0</v>
      </c>
      <c r="P1444" s="52">
        <f t="shared" si="320"/>
        <v>0</v>
      </c>
      <c r="Q1444" s="49">
        <v>116.88487613461319</v>
      </c>
      <c r="R1444">
        <v>2225</v>
      </c>
      <c r="S1444" s="50">
        <f t="shared" si="316"/>
        <v>71535.307499999995</v>
      </c>
      <c r="T1444" s="50">
        <f t="shared" si="321"/>
        <v>0</v>
      </c>
      <c r="U1444" s="58">
        <f t="shared" si="322"/>
        <v>0</v>
      </c>
      <c r="V1444" s="58">
        <f t="shared" si="323"/>
        <v>0</v>
      </c>
      <c r="W1444" s="58">
        <f t="shared" si="324"/>
        <v>0</v>
      </c>
      <c r="X1444" s="58">
        <f t="shared" si="325"/>
        <v>0</v>
      </c>
      <c r="Y1444" s="52">
        <f t="shared" si="326"/>
        <v>0</v>
      </c>
    </row>
    <row r="1445" spans="1:25" x14ac:dyDescent="0.25">
      <c r="A1445" s="1218" t="s">
        <v>115</v>
      </c>
      <c r="B1445" s="98">
        <v>45627</v>
      </c>
      <c r="C1445" s="117" t="str">
        <f t="shared" si="327"/>
        <v>4L</v>
      </c>
      <c r="D1445" s="96"/>
      <c r="E1445" s="98"/>
      <c r="F1445" s="98"/>
      <c r="I1445" s="99">
        <f t="shared" si="314"/>
        <v>0</v>
      </c>
      <c r="L1445" s="99">
        <f t="shared" si="315"/>
        <v>0</v>
      </c>
      <c r="M1445" s="44" t="str">
        <f t="shared" si="317"/>
        <v/>
      </c>
      <c r="N1445" s="100">
        <f t="shared" si="318"/>
        <v>0</v>
      </c>
      <c r="O1445" s="101">
        <f t="shared" si="319"/>
        <v>0</v>
      </c>
      <c r="P1445" s="52">
        <f t="shared" si="320"/>
        <v>0</v>
      </c>
      <c r="Q1445" s="49">
        <v>116.88487613461319</v>
      </c>
      <c r="R1445">
        <v>2225</v>
      </c>
      <c r="S1445" s="50">
        <f t="shared" si="316"/>
        <v>71535.307499999995</v>
      </c>
      <c r="T1445" s="50">
        <f t="shared" si="321"/>
        <v>0</v>
      </c>
      <c r="U1445" s="58">
        <f t="shared" si="322"/>
        <v>0</v>
      </c>
      <c r="V1445" s="58">
        <f t="shared" si="323"/>
        <v>0</v>
      </c>
      <c r="W1445" s="58">
        <f t="shared" si="324"/>
        <v>0</v>
      </c>
      <c r="X1445" s="58">
        <f t="shared" si="325"/>
        <v>0</v>
      </c>
      <c r="Y1445" s="52">
        <f t="shared" si="326"/>
        <v>0</v>
      </c>
    </row>
    <row r="1446" spans="1:25" x14ac:dyDescent="0.25">
      <c r="A1446" s="1218" t="s">
        <v>116</v>
      </c>
      <c r="B1446" s="98">
        <v>45627</v>
      </c>
      <c r="C1446" s="117" t="str">
        <f t="shared" si="327"/>
        <v>4L</v>
      </c>
      <c r="D1446" s="96"/>
      <c r="E1446" s="98"/>
      <c r="F1446" s="98"/>
      <c r="G1446" s="43">
        <v>1015</v>
      </c>
      <c r="H1446" s="26">
        <v>2.35</v>
      </c>
      <c r="I1446" s="99">
        <f t="shared" si="314"/>
        <v>2.3852500000000001</v>
      </c>
      <c r="J1446">
        <v>1341</v>
      </c>
      <c r="K1446" s="49">
        <v>0.89</v>
      </c>
      <c r="L1446" s="99">
        <f t="shared" si="315"/>
        <v>1.1934899999999999</v>
      </c>
      <c r="M1446" s="44">
        <f t="shared" si="317"/>
        <v>-0.4996373545749922</v>
      </c>
      <c r="N1446" s="100">
        <f t="shared" si="318"/>
        <v>326</v>
      </c>
      <c r="O1446" s="101">
        <f t="shared" si="319"/>
        <v>-1.1917600000000002</v>
      </c>
      <c r="P1446" s="52">
        <f t="shared" si="320"/>
        <v>-71365.94474834131</v>
      </c>
      <c r="Q1446" s="49">
        <v>116.88487613461319</v>
      </c>
      <c r="R1446">
        <v>2225</v>
      </c>
      <c r="S1446" s="50">
        <f t="shared" si="316"/>
        <v>71535.307499999995</v>
      </c>
      <c r="T1446" s="50">
        <f t="shared" si="321"/>
        <v>170629.59221437501</v>
      </c>
      <c r="U1446" s="58">
        <f t="shared" si="322"/>
        <v>85376.674148174992</v>
      </c>
      <c r="V1446" s="58">
        <f t="shared" si="323"/>
        <v>118638.14927663239</v>
      </c>
      <c r="W1446" s="58">
        <f t="shared" si="324"/>
        <v>156742.6188965163</v>
      </c>
      <c r="X1446" s="58">
        <f t="shared" si="325"/>
        <v>51991.442937742613</v>
      </c>
      <c r="Y1446" s="52">
        <f t="shared" si="326"/>
        <v>-71365.94474834131</v>
      </c>
    </row>
    <row r="1447" spans="1:25" x14ac:dyDescent="0.25">
      <c r="A1447" s="1218" t="s">
        <v>117</v>
      </c>
      <c r="B1447" s="98">
        <v>45627</v>
      </c>
      <c r="C1447" s="117" t="str">
        <f t="shared" si="327"/>
        <v>4L</v>
      </c>
      <c r="D1447" s="96"/>
      <c r="E1447" s="98"/>
      <c r="F1447" s="98"/>
      <c r="G1447" s="43">
        <v>3045</v>
      </c>
      <c r="H1447" s="26">
        <v>2.85</v>
      </c>
      <c r="I1447" s="99">
        <f t="shared" si="314"/>
        <v>8.6782500000000002</v>
      </c>
      <c r="J1447">
        <v>2008</v>
      </c>
      <c r="K1447" s="49">
        <v>0.95</v>
      </c>
      <c r="L1447" s="99">
        <f t="shared" si="315"/>
        <v>1.9076</v>
      </c>
      <c r="M1447" s="44">
        <f t="shared" si="317"/>
        <v>-0.78018609742747669</v>
      </c>
      <c r="N1447" s="100">
        <f t="shared" si="318"/>
        <v>-1037</v>
      </c>
      <c r="O1447" s="101">
        <f t="shared" si="319"/>
        <v>-6.7706499999999998</v>
      </c>
      <c r="P1447" s="52">
        <f t="shared" si="320"/>
        <v>-98244.078691303293</v>
      </c>
      <c r="Q1447" s="49">
        <v>116.88487613461319</v>
      </c>
      <c r="R1447">
        <v>2225</v>
      </c>
      <c r="S1447" s="50">
        <f t="shared" si="316"/>
        <v>71535.307499999995</v>
      </c>
      <c r="T1447" s="50">
        <f t="shared" si="321"/>
        <v>620801.28231187502</v>
      </c>
      <c r="U1447" s="58">
        <f t="shared" si="322"/>
        <v>136460.752587</v>
      </c>
      <c r="V1447" s="58">
        <f t="shared" si="323"/>
        <v>355914.44782989717</v>
      </c>
      <c r="W1447" s="58">
        <f t="shared" si="324"/>
        <v>234704.83127830329</v>
      </c>
      <c r="X1447" s="58">
        <f t="shared" si="325"/>
        <v>264886.83448197786</v>
      </c>
      <c r="Y1447" s="52">
        <f t="shared" si="326"/>
        <v>-98244.078691303293</v>
      </c>
    </row>
    <row r="1448" spans="1:25" x14ac:dyDescent="0.25">
      <c r="A1448" s="1218" t="s">
        <v>118</v>
      </c>
      <c r="B1448" s="98">
        <v>45627</v>
      </c>
      <c r="C1448" s="117" t="str">
        <f t="shared" si="327"/>
        <v>4L</v>
      </c>
      <c r="D1448" s="96"/>
      <c r="E1448" s="98"/>
      <c r="F1448" s="98"/>
      <c r="I1448" s="99">
        <f t="shared" si="314"/>
        <v>0</v>
      </c>
      <c r="L1448" s="99">
        <f t="shared" si="315"/>
        <v>0</v>
      </c>
      <c r="M1448" s="44" t="str">
        <f t="shared" si="317"/>
        <v/>
      </c>
      <c r="N1448" s="100">
        <f t="shared" si="318"/>
        <v>0</v>
      </c>
      <c r="O1448" s="101">
        <f t="shared" si="319"/>
        <v>0</v>
      </c>
      <c r="P1448" s="52">
        <f t="shared" si="320"/>
        <v>0</v>
      </c>
      <c r="Q1448" s="49">
        <v>116.88487613461319</v>
      </c>
      <c r="R1448">
        <v>2225</v>
      </c>
      <c r="S1448" s="50">
        <f t="shared" si="316"/>
        <v>71535.307499999995</v>
      </c>
      <c r="T1448" s="50">
        <f t="shared" si="321"/>
        <v>0</v>
      </c>
      <c r="U1448" s="58">
        <f t="shared" si="322"/>
        <v>0</v>
      </c>
      <c r="V1448" s="58">
        <f t="shared" si="323"/>
        <v>0</v>
      </c>
      <c r="W1448" s="58">
        <f t="shared" si="324"/>
        <v>0</v>
      </c>
      <c r="X1448" s="58">
        <f t="shared" si="325"/>
        <v>0</v>
      </c>
      <c r="Y1448" s="52">
        <f t="shared" si="326"/>
        <v>0</v>
      </c>
    </row>
    <row r="1449" spans="1:25" x14ac:dyDescent="0.25">
      <c r="A1449" s="1218" t="s">
        <v>119</v>
      </c>
      <c r="B1449" s="98">
        <v>45627</v>
      </c>
      <c r="C1449" s="117" t="str">
        <f t="shared" si="327"/>
        <v>4L</v>
      </c>
      <c r="D1449" s="96"/>
      <c r="E1449" s="98"/>
      <c r="F1449" s="98"/>
      <c r="I1449" s="99">
        <f t="shared" si="314"/>
        <v>0</v>
      </c>
      <c r="L1449" s="99">
        <f t="shared" si="315"/>
        <v>0</v>
      </c>
      <c r="M1449" s="44" t="str">
        <f t="shared" si="317"/>
        <v/>
      </c>
      <c r="N1449" s="100">
        <f t="shared" si="318"/>
        <v>0</v>
      </c>
      <c r="O1449" s="101">
        <f t="shared" si="319"/>
        <v>0</v>
      </c>
      <c r="P1449" s="52">
        <f t="shared" si="320"/>
        <v>0</v>
      </c>
      <c r="Q1449" s="49">
        <v>116.88487613461319</v>
      </c>
      <c r="R1449">
        <v>2225</v>
      </c>
      <c r="S1449" s="50">
        <f t="shared" si="316"/>
        <v>71535.307499999995</v>
      </c>
      <c r="T1449" s="50">
        <f t="shared" si="321"/>
        <v>0</v>
      </c>
      <c r="U1449" s="58">
        <f t="shared" si="322"/>
        <v>0</v>
      </c>
      <c r="V1449" s="58">
        <f t="shared" si="323"/>
        <v>0</v>
      </c>
      <c r="W1449" s="58">
        <f t="shared" si="324"/>
        <v>0</v>
      </c>
      <c r="X1449" s="58">
        <f t="shared" si="325"/>
        <v>0</v>
      </c>
      <c r="Y1449" s="52">
        <f t="shared" si="326"/>
        <v>0</v>
      </c>
    </row>
    <row r="1450" spans="1:25" x14ac:dyDescent="0.25">
      <c r="A1450" s="1218" t="s">
        <v>120</v>
      </c>
      <c r="B1450" s="98">
        <v>45627</v>
      </c>
      <c r="C1450" s="117" t="str">
        <f t="shared" si="327"/>
        <v>4L</v>
      </c>
      <c r="D1450" s="96"/>
      <c r="E1450" s="98"/>
      <c r="F1450" s="98"/>
      <c r="I1450" s="99">
        <f t="shared" si="314"/>
        <v>0</v>
      </c>
      <c r="L1450" s="99">
        <f t="shared" si="315"/>
        <v>0</v>
      </c>
      <c r="M1450" s="44" t="str">
        <f t="shared" si="317"/>
        <v/>
      </c>
      <c r="N1450" s="100">
        <f t="shared" si="318"/>
        <v>0</v>
      </c>
      <c r="O1450" s="101">
        <f t="shared" si="319"/>
        <v>0</v>
      </c>
      <c r="P1450" s="52">
        <f t="shared" si="320"/>
        <v>0</v>
      </c>
      <c r="Q1450" s="49">
        <v>116.88487613461319</v>
      </c>
      <c r="R1450">
        <v>2225</v>
      </c>
      <c r="S1450" s="50">
        <f t="shared" si="316"/>
        <v>71535.307499999995</v>
      </c>
      <c r="T1450" s="50">
        <f t="shared" si="321"/>
        <v>0</v>
      </c>
      <c r="U1450" s="58">
        <f t="shared" si="322"/>
        <v>0</v>
      </c>
      <c r="V1450" s="58">
        <f t="shared" si="323"/>
        <v>0</v>
      </c>
      <c r="W1450" s="58">
        <f t="shared" si="324"/>
        <v>0</v>
      </c>
      <c r="X1450" s="58">
        <f t="shared" si="325"/>
        <v>0</v>
      </c>
      <c r="Y1450" s="52">
        <f t="shared" si="326"/>
        <v>0</v>
      </c>
    </row>
    <row r="1451" spans="1:25" x14ac:dyDescent="0.25">
      <c r="A1451" s="1218" t="s">
        <v>121</v>
      </c>
      <c r="B1451" s="98">
        <v>45627</v>
      </c>
      <c r="C1451" s="117" t="str">
        <f t="shared" si="327"/>
        <v>4L</v>
      </c>
      <c r="D1451" s="96"/>
      <c r="E1451" s="98"/>
      <c r="F1451" s="98"/>
      <c r="I1451" s="99">
        <f t="shared" si="314"/>
        <v>0</v>
      </c>
      <c r="L1451" s="99">
        <f t="shared" si="315"/>
        <v>0</v>
      </c>
      <c r="M1451" s="44" t="str">
        <f t="shared" si="317"/>
        <v/>
      </c>
      <c r="N1451" s="100">
        <f t="shared" si="318"/>
        <v>0</v>
      </c>
      <c r="O1451" s="101">
        <f t="shared" si="319"/>
        <v>0</v>
      </c>
      <c r="P1451" s="52">
        <f t="shared" si="320"/>
        <v>0</v>
      </c>
      <c r="Q1451" s="49">
        <v>116.88487613461319</v>
      </c>
      <c r="R1451">
        <v>2225</v>
      </c>
      <c r="S1451" s="50">
        <f t="shared" si="316"/>
        <v>71535.307499999995</v>
      </c>
      <c r="T1451" s="50">
        <f t="shared" si="321"/>
        <v>0</v>
      </c>
      <c r="U1451" s="58">
        <f t="shared" si="322"/>
        <v>0</v>
      </c>
      <c r="V1451" s="58">
        <f t="shared" si="323"/>
        <v>0</v>
      </c>
      <c r="W1451" s="58">
        <f t="shared" si="324"/>
        <v>0</v>
      </c>
      <c r="X1451" s="58">
        <f t="shared" si="325"/>
        <v>0</v>
      </c>
      <c r="Y1451" s="52">
        <f t="shared" si="326"/>
        <v>0</v>
      </c>
    </row>
    <row r="1452" spans="1:25" x14ac:dyDescent="0.25">
      <c r="A1452" s="1218" t="s">
        <v>122</v>
      </c>
      <c r="B1452" s="98">
        <v>45627</v>
      </c>
      <c r="C1452" s="117" t="str">
        <f t="shared" si="327"/>
        <v>4L</v>
      </c>
      <c r="D1452" s="96"/>
      <c r="E1452" s="98"/>
      <c r="F1452" s="98"/>
      <c r="I1452" s="99">
        <f t="shared" si="314"/>
        <v>0</v>
      </c>
      <c r="L1452" s="99">
        <f t="shared" si="315"/>
        <v>0</v>
      </c>
      <c r="M1452" s="44" t="str">
        <f t="shared" si="317"/>
        <v/>
      </c>
      <c r="N1452" s="100">
        <f t="shared" si="318"/>
        <v>0</v>
      </c>
      <c r="O1452" s="101">
        <f t="shared" si="319"/>
        <v>0</v>
      </c>
      <c r="P1452" s="52">
        <f t="shared" si="320"/>
        <v>0</v>
      </c>
      <c r="Q1452" s="49">
        <v>116.88487613461319</v>
      </c>
      <c r="R1452">
        <v>2225</v>
      </c>
      <c r="S1452" s="50">
        <f t="shared" si="316"/>
        <v>71535.307499999995</v>
      </c>
      <c r="T1452" s="50">
        <f t="shared" si="321"/>
        <v>0</v>
      </c>
      <c r="U1452" s="58">
        <f t="shared" si="322"/>
        <v>0</v>
      </c>
      <c r="V1452" s="58">
        <f t="shared" si="323"/>
        <v>0</v>
      </c>
      <c r="W1452" s="58">
        <f t="shared" si="324"/>
        <v>0</v>
      </c>
      <c r="X1452" s="58">
        <f t="shared" si="325"/>
        <v>0</v>
      </c>
      <c r="Y1452" s="52">
        <f t="shared" si="326"/>
        <v>0</v>
      </c>
    </row>
    <row r="1453" spans="1:25" x14ac:dyDescent="0.25">
      <c r="A1453" s="1218" t="s">
        <v>123</v>
      </c>
      <c r="B1453" s="98">
        <v>45627</v>
      </c>
      <c r="C1453" s="117" t="str">
        <f t="shared" si="327"/>
        <v>4L</v>
      </c>
      <c r="D1453" s="96"/>
      <c r="E1453" s="98"/>
      <c r="F1453" s="98"/>
      <c r="I1453" s="99">
        <f t="shared" si="314"/>
        <v>0</v>
      </c>
      <c r="L1453" s="99">
        <f t="shared" si="315"/>
        <v>0</v>
      </c>
      <c r="M1453" s="44" t="str">
        <f t="shared" si="317"/>
        <v/>
      </c>
      <c r="N1453" s="100">
        <f t="shared" si="318"/>
        <v>0</v>
      </c>
      <c r="O1453" s="101">
        <f t="shared" si="319"/>
        <v>0</v>
      </c>
      <c r="P1453" s="52">
        <f t="shared" si="320"/>
        <v>0</v>
      </c>
      <c r="Q1453" s="49">
        <v>116.88487613461319</v>
      </c>
      <c r="R1453">
        <v>2225</v>
      </c>
      <c r="S1453" s="50">
        <f t="shared" si="316"/>
        <v>71535.307499999995</v>
      </c>
      <c r="T1453" s="50">
        <f t="shared" si="321"/>
        <v>0</v>
      </c>
      <c r="U1453" s="58">
        <f t="shared" si="322"/>
        <v>0</v>
      </c>
      <c r="V1453" s="58">
        <f t="shared" si="323"/>
        <v>0</v>
      </c>
      <c r="W1453" s="58">
        <f t="shared" si="324"/>
        <v>0</v>
      </c>
      <c r="X1453" s="58">
        <f t="shared" si="325"/>
        <v>0</v>
      </c>
      <c r="Y1453" s="52">
        <f t="shared" si="326"/>
        <v>0</v>
      </c>
    </row>
    <row r="1454" spans="1:25" x14ac:dyDescent="0.25">
      <c r="A1454" s="1218" t="s">
        <v>124</v>
      </c>
      <c r="B1454" s="98">
        <v>45627</v>
      </c>
      <c r="C1454" s="117" t="str">
        <f t="shared" si="327"/>
        <v>4L</v>
      </c>
      <c r="D1454" s="96"/>
      <c r="E1454" s="98"/>
      <c r="F1454" s="98"/>
      <c r="I1454" s="99">
        <f t="shared" si="314"/>
        <v>0</v>
      </c>
      <c r="L1454" s="99">
        <f t="shared" si="315"/>
        <v>0</v>
      </c>
      <c r="M1454" s="44" t="str">
        <f t="shared" si="317"/>
        <v/>
      </c>
      <c r="N1454" s="100">
        <f t="shared" si="318"/>
        <v>0</v>
      </c>
      <c r="O1454" s="101">
        <f t="shared" si="319"/>
        <v>0</v>
      </c>
      <c r="P1454" s="52">
        <f t="shared" si="320"/>
        <v>0</v>
      </c>
      <c r="Q1454" s="49">
        <v>116.88487613461319</v>
      </c>
      <c r="R1454">
        <v>2225</v>
      </c>
      <c r="S1454" s="50">
        <f t="shared" si="316"/>
        <v>71535.307499999995</v>
      </c>
      <c r="T1454" s="50">
        <f t="shared" si="321"/>
        <v>0</v>
      </c>
      <c r="U1454" s="58">
        <f t="shared" si="322"/>
        <v>0</v>
      </c>
      <c r="V1454" s="58">
        <f t="shared" si="323"/>
        <v>0</v>
      </c>
      <c r="W1454" s="58">
        <f t="shared" si="324"/>
        <v>0</v>
      </c>
      <c r="X1454" s="58">
        <f t="shared" si="325"/>
        <v>0</v>
      </c>
      <c r="Y1454" s="52">
        <f t="shared" si="326"/>
        <v>0</v>
      </c>
    </row>
    <row r="1455" spans="1:25" x14ac:dyDescent="0.25">
      <c r="A1455" s="1218" t="s">
        <v>125</v>
      </c>
      <c r="B1455" s="98">
        <v>45627</v>
      </c>
      <c r="C1455" s="117" t="str">
        <f t="shared" ref="C1455:C1458" si="328">LEFT(A1455,2)</f>
        <v>4L</v>
      </c>
      <c r="D1455" s="96"/>
      <c r="E1455" s="98"/>
      <c r="F1455" s="98"/>
      <c r="G1455" s="43">
        <v>5075</v>
      </c>
      <c r="H1455" s="26">
        <v>2.44</v>
      </c>
      <c r="I1455" s="99">
        <f t="shared" si="314"/>
        <v>12.382999999999999</v>
      </c>
      <c r="J1455">
        <v>6166</v>
      </c>
      <c r="K1455" s="49">
        <v>1.98</v>
      </c>
      <c r="L1455" s="99">
        <f t="shared" si="315"/>
        <v>12.208680000000001</v>
      </c>
      <c r="M1455" s="44">
        <f t="shared" si="317"/>
        <v>-1.4077364128240172E-2</v>
      </c>
      <c r="N1455" s="100">
        <f t="shared" si="318"/>
        <v>1091</v>
      </c>
      <c r="O1455" s="101">
        <f t="shared" si="319"/>
        <v>-0.17431999999999803</v>
      </c>
      <c r="P1455" s="52">
        <f t="shared" si="320"/>
        <v>152639.53172307508</v>
      </c>
      <c r="Q1455" s="49">
        <v>116.88487613461319</v>
      </c>
      <c r="R1455">
        <v>2225</v>
      </c>
      <c r="S1455" s="50">
        <f t="shared" si="316"/>
        <v>71535.307499999995</v>
      </c>
      <c r="T1455" s="50">
        <f t="shared" si="321"/>
        <v>885821.71277249989</v>
      </c>
      <c r="U1455" s="58">
        <f t="shared" si="322"/>
        <v>873351.67796910007</v>
      </c>
      <c r="V1455" s="58">
        <f t="shared" si="323"/>
        <v>593190.74638316198</v>
      </c>
      <c r="W1455" s="58">
        <f t="shared" si="324"/>
        <v>720712.14624602499</v>
      </c>
      <c r="X1455" s="58">
        <f t="shared" si="325"/>
        <v>292630.9663893379</v>
      </c>
      <c r="Y1455" s="52">
        <f t="shared" si="326"/>
        <v>152639.53172307508</v>
      </c>
    </row>
    <row r="1456" spans="1:25" x14ac:dyDescent="0.25">
      <c r="A1456" s="1218" t="s">
        <v>126</v>
      </c>
      <c r="B1456" s="98">
        <v>45627</v>
      </c>
      <c r="C1456" s="117" t="str">
        <f t="shared" si="328"/>
        <v>4L</v>
      </c>
      <c r="D1456" s="96"/>
      <c r="E1456" s="98"/>
      <c r="F1456" s="98"/>
      <c r="G1456" s="43"/>
      <c r="H1456" s="26"/>
      <c r="I1456" s="99"/>
      <c r="K1456" s="49"/>
      <c r="L1456" s="99"/>
      <c r="M1456" s="44"/>
      <c r="N1456" s="100"/>
      <c r="O1456" s="101"/>
      <c r="P1456" s="52"/>
      <c r="Q1456" s="49"/>
      <c r="S1456" s="50"/>
      <c r="T1456" s="50"/>
      <c r="U1456" s="58"/>
      <c r="V1456" s="58"/>
      <c r="W1456" s="58"/>
      <c r="X1456" s="58"/>
      <c r="Y1456" s="52"/>
    </row>
    <row r="1457" spans="1:25" x14ac:dyDescent="0.25">
      <c r="A1457" s="1218" t="s">
        <v>127</v>
      </c>
      <c r="B1457" s="98">
        <v>45627</v>
      </c>
      <c r="C1457" s="117" t="str">
        <f t="shared" si="328"/>
        <v>4L</v>
      </c>
      <c r="D1457" s="96"/>
      <c r="E1457" s="98"/>
      <c r="F1457" s="98"/>
      <c r="G1457" s="43"/>
      <c r="H1457" s="26"/>
      <c r="I1457" s="99">
        <f t="shared" si="314"/>
        <v>0</v>
      </c>
      <c r="K1457" s="49"/>
      <c r="L1457" s="99"/>
      <c r="M1457" s="44"/>
      <c r="N1457" s="100"/>
      <c r="O1457" s="101"/>
      <c r="P1457" s="52"/>
      <c r="Q1457" s="49"/>
      <c r="S1457" s="50"/>
      <c r="T1457" s="50"/>
      <c r="U1457" s="58"/>
      <c r="V1457" s="58"/>
      <c r="W1457" s="58"/>
      <c r="X1457" s="58"/>
      <c r="Y1457" s="52"/>
    </row>
    <row r="1458" spans="1:25" x14ac:dyDescent="0.25">
      <c r="A1458" s="1218" t="s">
        <v>128</v>
      </c>
      <c r="B1458" s="98">
        <v>45627</v>
      </c>
      <c r="C1458" s="117" t="str">
        <f t="shared" si="328"/>
        <v>4L</v>
      </c>
      <c r="D1458" s="96"/>
      <c r="E1458" s="98"/>
      <c r="F1458" s="98"/>
      <c r="G1458" s="43"/>
      <c r="H1458" s="26"/>
      <c r="I1458" s="99">
        <f t="shared" si="314"/>
        <v>0</v>
      </c>
      <c r="K1458" s="49"/>
      <c r="L1458" s="99"/>
      <c r="M1458" s="44"/>
      <c r="N1458" s="100"/>
      <c r="O1458" s="101"/>
      <c r="P1458" s="52"/>
      <c r="Q1458" s="49"/>
      <c r="S1458" s="50"/>
      <c r="T1458" s="50"/>
      <c r="U1458" s="58"/>
      <c r="V1458" s="58"/>
      <c r="W1458" s="58"/>
      <c r="X1458" s="58"/>
      <c r="Y1458" s="52"/>
    </row>
    <row r="1459" spans="1:25" x14ac:dyDescent="0.25">
      <c r="A1459" s="1218" t="s">
        <v>129</v>
      </c>
      <c r="B1459" s="98">
        <v>45627</v>
      </c>
      <c r="C1459" s="117" t="str">
        <f t="shared" si="327"/>
        <v>4L</v>
      </c>
      <c r="D1459" s="96"/>
      <c r="E1459" s="98"/>
      <c r="F1459" s="98"/>
      <c r="G1459" s="43"/>
      <c r="H1459" s="26"/>
      <c r="I1459" s="99">
        <f t="shared" si="314"/>
        <v>0</v>
      </c>
      <c r="K1459" s="49"/>
      <c r="L1459" s="99">
        <f t="shared" si="315"/>
        <v>0</v>
      </c>
      <c r="M1459" s="44" t="str">
        <f t="shared" si="317"/>
        <v/>
      </c>
      <c r="N1459" s="100">
        <f t="shared" si="318"/>
        <v>0</v>
      </c>
      <c r="O1459" s="101">
        <f t="shared" si="319"/>
        <v>0</v>
      </c>
      <c r="P1459" s="52">
        <f t="shared" si="320"/>
        <v>0</v>
      </c>
      <c r="Q1459" s="49">
        <v>116.88487613461319</v>
      </c>
      <c r="R1459">
        <v>2225</v>
      </c>
      <c r="S1459" s="50">
        <f t="shared" si="316"/>
        <v>71535.307499999995</v>
      </c>
      <c r="T1459" s="50">
        <f t="shared" si="321"/>
        <v>0</v>
      </c>
      <c r="U1459" s="58">
        <f t="shared" si="322"/>
        <v>0</v>
      </c>
      <c r="V1459" s="58">
        <f t="shared" si="323"/>
        <v>0</v>
      </c>
      <c r="W1459" s="58">
        <f t="shared" si="324"/>
        <v>0</v>
      </c>
      <c r="X1459" s="58">
        <f t="shared" si="325"/>
        <v>0</v>
      </c>
      <c r="Y1459" s="52">
        <f t="shared" si="326"/>
        <v>0</v>
      </c>
    </row>
    <row r="1460" spans="1:25" x14ac:dyDescent="0.25">
      <c r="A1460" s="1218" t="s">
        <v>130</v>
      </c>
      <c r="B1460" s="98">
        <v>45627</v>
      </c>
      <c r="C1460" s="117" t="str">
        <f t="shared" si="327"/>
        <v>5L</v>
      </c>
      <c r="D1460" s="96"/>
      <c r="E1460" s="98"/>
      <c r="F1460" s="98"/>
      <c r="I1460" s="99">
        <f t="shared" si="314"/>
        <v>0</v>
      </c>
      <c r="L1460" s="99">
        <f t="shared" si="315"/>
        <v>0</v>
      </c>
      <c r="M1460" s="44" t="str">
        <f t="shared" si="317"/>
        <v/>
      </c>
      <c r="N1460" s="100">
        <f t="shared" si="318"/>
        <v>0</v>
      </c>
      <c r="O1460" s="101">
        <f t="shared" si="319"/>
        <v>0</v>
      </c>
      <c r="P1460" s="52">
        <f t="shared" si="320"/>
        <v>0</v>
      </c>
      <c r="Q1460" s="49">
        <v>116.88487613461319</v>
      </c>
      <c r="R1460">
        <v>2225</v>
      </c>
      <c r="S1460" s="50">
        <f t="shared" si="316"/>
        <v>71535.307499999995</v>
      </c>
      <c r="T1460" s="50">
        <f t="shared" si="321"/>
        <v>0</v>
      </c>
      <c r="U1460" s="58">
        <f t="shared" si="322"/>
        <v>0</v>
      </c>
      <c r="V1460" s="58">
        <f t="shared" si="323"/>
        <v>0</v>
      </c>
      <c r="W1460" s="58">
        <f t="shared" si="324"/>
        <v>0</v>
      </c>
      <c r="X1460" s="58">
        <f t="shared" si="325"/>
        <v>0</v>
      </c>
      <c r="Y1460" s="52">
        <f t="shared" si="326"/>
        <v>0</v>
      </c>
    </row>
    <row r="1461" spans="1:25" x14ac:dyDescent="0.25">
      <c r="A1461" s="1218" t="s">
        <v>131</v>
      </c>
      <c r="B1461" s="98">
        <v>45627</v>
      </c>
      <c r="C1461" s="117" t="str">
        <f t="shared" si="327"/>
        <v>5L</v>
      </c>
      <c r="D1461" s="96"/>
      <c r="E1461" s="98"/>
      <c r="F1461" s="98"/>
      <c r="I1461" s="99">
        <f t="shared" si="314"/>
        <v>0</v>
      </c>
      <c r="L1461" s="99">
        <f t="shared" si="315"/>
        <v>0</v>
      </c>
      <c r="M1461" s="44" t="str">
        <f t="shared" si="317"/>
        <v/>
      </c>
      <c r="N1461" s="100">
        <f t="shared" si="318"/>
        <v>0</v>
      </c>
      <c r="O1461" s="101">
        <f t="shared" si="319"/>
        <v>0</v>
      </c>
      <c r="P1461" s="52">
        <f t="shared" si="320"/>
        <v>0</v>
      </c>
      <c r="Q1461" s="49">
        <v>116.88487613461319</v>
      </c>
      <c r="R1461">
        <v>2225</v>
      </c>
      <c r="S1461" s="50">
        <f t="shared" si="316"/>
        <v>71535.307499999995</v>
      </c>
      <c r="T1461" s="50">
        <f t="shared" si="321"/>
        <v>0</v>
      </c>
      <c r="U1461" s="58">
        <f t="shared" si="322"/>
        <v>0</v>
      </c>
      <c r="V1461" s="58">
        <f t="shared" si="323"/>
        <v>0</v>
      </c>
      <c r="W1461" s="58">
        <f t="shared" si="324"/>
        <v>0</v>
      </c>
      <c r="X1461" s="58">
        <f t="shared" si="325"/>
        <v>0</v>
      </c>
      <c r="Y1461" s="52">
        <f t="shared" si="326"/>
        <v>0</v>
      </c>
    </row>
    <row r="1462" spans="1:25" x14ac:dyDescent="0.25">
      <c r="A1462" s="1218" t="s">
        <v>132</v>
      </c>
      <c r="B1462" s="98">
        <v>45627</v>
      </c>
      <c r="C1462" s="117" t="str">
        <f t="shared" si="327"/>
        <v>5L</v>
      </c>
      <c r="D1462" s="96"/>
      <c r="E1462" s="98"/>
      <c r="F1462" s="98"/>
      <c r="G1462" s="43">
        <v>980</v>
      </c>
      <c r="H1462" s="26">
        <v>1.86</v>
      </c>
      <c r="I1462" s="99">
        <f t="shared" si="314"/>
        <v>1.8228000000000002</v>
      </c>
      <c r="J1462">
        <v>999</v>
      </c>
      <c r="K1462" s="49">
        <v>1.83</v>
      </c>
      <c r="L1462" s="99">
        <f t="shared" si="315"/>
        <v>1.8281700000000001</v>
      </c>
      <c r="M1462" s="44">
        <f t="shared" si="317"/>
        <v>2.9460171165239602E-3</v>
      </c>
      <c r="N1462" s="100">
        <f t="shared" si="318"/>
        <v>19</v>
      </c>
      <c r="O1462" s="101">
        <f t="shared" si="319"/>
        <v>5.3699999999998749E-3</v>
      </c>
      <c r="P1462" s="52">
        <f t="shared" si="320"/>
        <v>14010.711853796412</v>
      </c>
      <c r="Q1462" s="49">
        <v>116.88487613461319</v>
      </c>
      <c r="R1462">
        <v>2225</v>
      </c>
      <c r="S1462" s="50">
        <f t="shared" si="316"/>
        <v>71535.307499999995</v>
      </c>
      <c r="T1462" s="50">
        <f t="shared" si="321"/>
        <v>130394.55851100001</v>
      </c>
      <c r="U1462" s="58">
        <f t="shared" si="322"/>
        <v>130778.70311227499</v>
      </c>
      <c r="V1462" s="58">
        <f t="shared" si="323"/>
        <v>114547.17861192093</v>
      </c>
      <c r="W1462" s="58">
        <f t="shared" si="324"/>
        <v>116767.99125847858</v>
      </c>
      <c r="X1462" s="58">
        <f t="shared" si="325"/>
        <v>15847.379899079082</v>
      </c>
      <c r="Y1462" s="52">
        <f t="shared" si="326"/>
        <v>14010.711853796412</v>
      </c>
    </row>
    <row r="1463" spans="1:25" x14ac:dyDescent="0.25">
      <c r="A1463" s="1218" t="s">
        <v>133</v>
      </c>
      <c r="B1463" s="98">
        <v>45627</v>
      </c>
      <c r="C1463" s="117" t="str">
        <f t="shared" si="327"/>
        <v>5L</v>
      </c>
      <c r="D1463" s="96"/>
      <c r="E1463" s="98"/>
      <c r="F1463" s="98"/>
      <c r="G1463" s="43"/>
      <c r="H1463" s="26"/>
      <c r="I1463" s="99">
        <f t="shared" si="314"/>
        <v>0</v>
      </c>
      <c r="K1463" s="49"/>
      <c r="L1463" s="99">
        <f t="shared" si="315"/>
        <v>0</v>
      </c>
      <c r="M1463" s="44" t="str">
        <f t="shared" si="317"/>
        <v/>
      </c>
      <c r="N1463" s="100">
        <f t="shared" si="318"/>
        <v>0</v>
      </c>
      <c r="O1463" s="101">
        <f t="shared" si="319"/>
        <v>0</v>
      </c>
      <c r="P1463" s="52">
        <f t="shared" si="320"/>
        <v>0</v>
      </c>
      <c r="Q1463" s="49">
        <v>116.88487613461319</v>
      </c>
      <c r="R1463">
        <v>2225</v>
      </c>
      <c r="S1463" s="50">
        <f t="shared" si="316"/>
        <v>71535.307499999995</v>
      </c>
      <c r="T1463" s="50">
        <f t="shared" si="321"/>
        <v>0</v>
      </c>
      <c r="U1463" s="58">
        <f t="shared" si="322"/>
        <v>0</v>
      </c>
      <c r="V1463" s="58">
        <f t="shared" si="323"/>
        <v>0</v>
      </c>
      <c r="W1463" s="58">
        <f t="shared" si="324"/>
        <v>0</v>
      </c>
      <c r="X1463" s="58">
        <f t="shared" si="325"/>
        <v>0</v>
      </c>
      <c r="Y1463" s="52">
        <f t="shared" si="326"/>
        <v>0</v>
      </c>
    </row>
    <row r="1464" spans="1:25" x14ac:dyDescent="0.25">
      <c r="A1464" s="1218" t="s">
        <v>134</v>
      </c>
      <c r="B1464" s="98">
        <v>45627</v>
      </c>
      <c r="C1464" s="117" t="str">
        <f t="shared" si="327"/>
        <v>5L</v>
      </c>
      <c r="D1464" s="96"/>
      <c r="E1464" s="98"/>
      <c r="F1464" s="98"/>
      <c r="G1464" s="43"/>
      <c r="H1464" s="26"/>
      <c r="I1464" s="99">
        <f t="shared" si="314"/>
        <v>0</v>
      </c>
      <c r="K1464" s="49"/>
      <c r="L1464" s="99">
        <f t="shared" si="315"/>
        <v>0</v>
      </c>
      <c r="M1464" s="44" t="str">
        <f t="shared" si="317"/>
        <v/>
      </c>
      <c r="N1464" s="100">
        <f t="shared" si="318"/>
        <v>0</v>
      </c>
      <c r="O1464" s="101">
        <f t="shared" si="319"/>
        <v>0</v>
      </c>
      <c r="P1464" s="52">
        <f t="shared" si="320"/>
        <v>0</v>
      </c>
      <c r="Q1464" s="49">
        <v>116.88487613461319</v>
      </c>
      <c r="R1464">
        <v>2225</v>
      </c>
      <c r="S1464" s="50">
        <f t="shared" si="316"/>
        <v>71535.307499999995</v>
      </c>
      <c r="T1464" s="50">
        <f t="shared" si="321"/>
        <v>0</v>
      </c>
      <c r="U1464" s="58">
        <f t="shared" si="322"/>
        <v>0</v>
      </c>
      <c r="V1464" s="58">
        <f t="shared" si="323"/>
        <v>0</v>
      </c>
      <c r="W1464" s="58">
        <f t="shared" si="324"/>
        <v>0</v>
      </c>
      <c r="X1464" s="58">
        <f t="shared" si="325"/>
        <v>0</v>
      </c>
      <c r="Y1464" s="52">
        <f t="shared" si="326"/>
        <v>0</v>
      </c>
    </row>
    <row r="1465" spans="1:25" x14ac:dyDescent="0.25">
      <c r="A1465" s="1218" t="s">
        <v>135</v>
      </c>
      <c r="B1465" s="98">
        <v>45627</v>
      </c>
      <c r="C1465" s="117" t="str">
        <f t="shared" si="327"/>
        <v>5L</v>
      </c>
      <c r="D1465" s="96"/>
      <c r="E1465" s="98"/>
      <c r="F1465" s="98"/>
      <c r="G1465" s="43"/>
      <c r="H1465" s="26"/>
      <c r="I1465" s="99">
        <f t="shared" si="314"/>
        <v>0</v>
      </c>
      <c r="K1465" s="49"/>
      <c r="L1465" s="99">
        <f t="shared" si="315"/>
        <v>0</v>
      </c>
      <c r="M1465" s="44" t="str">
        <f t="shared" si="317"/>
        <v/>
      </c>
      <c r="N1465" s="100">
        <f t="shared" si="318"/>
        <v>0</v>
      </c>
      <c r="O1465" s="101">
        <f t="shared" si="319"/>
        <v>0</v>
      </c>
      <c r="P1465" s="52">
        <f t="shared" si="320"/>
        <v>0</v>
      </c>
      <c r="Q1465" s="49">
        <v>116.88487613461319</v>
      </c>
      <c r="R1465">
        <v>2225</v>
      </c>
      <c r="S1465" s="50">
        <f t="shared" si="316"/>
        <v>71535.307499999995</v>
      </c>
      <c r="T1465" s="50">
        <f t="shared" si="321"/>
        <v>0</v>
      </c>
      <c r="U1465" s="58">
        <f t="shared" si="322"/>
        <v>0</v>
      </c>
      <c r="V1465" s="58">
        <f t="shared" si="323"/>
        <v>0</v>
      </c>
      <c r="W1465" s="58">
        <f t="shared" si="324"/>
        <v>0</v>
      </c>
      <c r="X1465" s="58">
        <f t="shared" si="325"/>
        <v>0</v>
      </c>
      <c r="Y1465" s="52">
        <f t="shared" si="326"/>
        <v>0</v>
      </c>
    </row>
    <row r="1466" spans="1:25" x14ac:dyDescent="0.25">
      <c r="A1466" s="1218" t="s">
        <v>136</v>
      </c>
      <c r="B1466" s="98">
        <v>45627</v>
      </c>
      <c r="C1466" s="117" t="str">
        <f t="shared" si="327"/>
        <v>5L</v>
      </c>
      <c r="D1466" s="96"/>
      <c r="E1466" s="98"/>
      <c r="F1466" s="98"/>
      <c r="G1466" s="43"/>
      <c r="H1466" s="26"/>
      <c r="I1466" s="99">
        <f t="shared" ref="I1466:I1529" si="329">IFERROR(G1466*H1466/1000,"")</f>
        <v>0</v>
      </c>
      <c r="K1466" s="49"/>
      <c r="L1466" s="99">
        <f t="shared" si="315"/>
        <v>0</v>
      </c>
      <c r="M1466" s="44" t="str">
        <f t="shared" si="317"/>
        <v/>
      </c>
      <c r="N1466" s="100">
        <f t="shared" si="318"/>
        <v>0</v>
      </c>
      <c r="O1466" s="101">
        <f t="shared" si="319"/>
        <v>0</v>
      </c>
      <c r="P1466" s="52">
        <f t="shared" si="320"/>
        <v>0</v>
      </c>
      <c r="Q1466" s="49">
        <v>116.88487613461319</v>
      </c>
      <c r="R1466">
        <v>2225</v>
      </c>
      <c r="S1466" s="50">
        <f t="shared" si="316"/>
        <v>71535.307499999995</v>
      </c>
      <c r="T1466" s="50">
        <f t="shared" si="321"/>
        <v>0</v>
      </c>
      <c r="U1466" s="58">
        <f t="shared" si="322"/>
        <v>0</v>
      </c>
      <c r="V1466" s="58">
        <f t="shared" si="323"/>
        <v>0</v>
      </c>
      <c r="W1466" s="58">
        <f t="shared" si="324"/>
        <v>0</v>
      </c>
      <c r="X1466" s="58">
        <f t="shared" si="325"/>
        <v>0</v>
      </c>
      <c r="Y1466" s="52">
        <f t="shared" si="326"/>
        <v>0</v>
      </c>
    </row>
    <row r="1467" spans="1:25" x14ac:dyDescent="0.25">
      <c r="A1467" s="1218" t="s">
        <v>137</v>
      </c>
      <c r="B1467" s="98">
        <v>45627</v>
      </c>
      <c r="C1467" s="117" t="str">
        <f t="shared" si="327"/>
        <v>5L</v>
      </c>
      <c r="D1467" s="96"/>
      <c r="E1467" s="98"/>
      <c r="F1467" s="98"/>
      <c r="G1467" s="51">
        <v>3920</v>
      </c>
      <c r="H1467" s="26">
        <v>1.86</v>
      </c>
      <c r="I1467" s="99">
        <f t="shared" si="329"/>
        <v>7.2912000000000008</v>
      </c>
      <c r="J1467" s="52">
        <v>2601</v>
      </c>
      <c r="K1467" s="49">
        <v>1.68</v>
      </c>
      <c r="L1467" s="99">
        <f t="shared" si="315"/>
        <v>4.3696800000000007</v>
      </c>
      <c r="M1467" s="44">
        <f t="shared" si="317"/>
        <v>-0.40069124423963132</v>
      </c>
      <c r="N1467" s="100">
        <f t="shared" si="318"/>
        <v>-1319</v>
      </c>
      <c r="O1467" s="101">
        <f t="shared" si="319"/>
        <v>-2.9215200000000001</v>
      </c>
      <c r="P1467" s="52">
        <f t="shared" si="320"/>
        <v>8568.8396504711127</v>
      </c>
      <c r="Q1467" s="49">
        <v>116.88487613461319</v>
      </c>
      <c r="R1467">
        <v>2225</v>
      </c>
      <c r="S1467" s="50">
        <f t="shared" si="316"/>
        <v>71535.307499999995</v>
      </c>
      <c r="T1467" s="50">
        <f t="shared" si="321"/>
        <v>521578.23404400004</v>
      </c>
      <c r="U1467" s="58">
        <f t="shared" si="322"/>
        <v>312586.40247660002</v>
      </c>
      <c r="V1467" s="58">
        <f t="shared" si="323"/>
        <v>458188.71444768371</v>
      </c>
      <c r="W1467" s="58">
        <f t="shared" si="324"/>
        <v>304017.56282612891</v>
      </c>
      <c r="X1467" s="58">
        <f t="shared" si="325"/>
        <v>63389.519596316328</v>
      </c>
      <c r="Y1467" s="52">
        <f t="shared" si="326"/>
        <v>8568.8396504711127</v>
      </c>
    </row>
    <row r="1468" spans="1:25" x14ac:dyDescent="0.25">
      <c r="A1468" s="1218" t="s">
        <v>138</v>
      </c>
      <c r="B1468" s="98">
        <v>45627</v>
      </c>
      <c r="C1468" s="117" t="str">
        <f t="shared" si="327"/>
        <v>5L</v>
      </c>
      <c r="D1468" s="96"/>
      <c r="E1468" s="98"/>
      <c r="F1468" s="98"/>
      <c r="G1468" s="51"/>
      <c r="H1468" s="26"/>
      <c r="I1468" s="99">
        <f t="shared" si="329"/>
        <v>0</v>
      </c>
      <c r="J1468" s="52"/>
      <c r="K1468" s="49"/>
      <c r="L1468" s="99">
        <f t="shared" ref="L1468:L1533" si="330">IFERROR(J1468*K1468/1000,"")</f>
        <v>0</v>
      </c>
      <c r="M1468" s="44" t="str">
        <f t="shared" si="317"/>
        <v/>
      </c>
      <c r="N1468" s="100">
        <f t="shared" si="318"/>
        <v>0</v>
      </c>
      <c r="O1468" s="101">
        <f t="shared" si="319"/>
        <v>0</v>
      </c>
      <c r="P1468" s="52">
        <f t="shared" si="320"/>
        <v>0</v>
      </c>
      <c r="Q1468" s="49">
        <v>116.88487613461319</v>
      </c>
      <c r="R1468">
        <v>2225</v>
      </c>
      <c r="S1468" s="50">
        <f t="shared" ref="S1468:S1533" si="331">R1468*32.1507</f>
        <v>71535.307499999995</v>
      </c>
      <c r="T1468" s="50">
        <f t="shared" si="321"/>
        <v>0</v>
      </c>
      <c r="U1468" s="58">
        <f t="shared" si="322"/>
        <v>0</v>
      </c>
      <c r="V1468" s="58">
        <f t="shared" si="323"/>
        <v>0</v>
      </c>
      <c r="W1468" s="58">
        <f t="shared" si="324"/>
        <v>0</v>
      </c>
      <c r="X1468" s="58">
        <f t="shared" si="325"/>
        <v>0</v>
      </c>
      <c r="Y1468" s="52">
        <f t="shared" si="326"/>
        <v>0</v>
      </c>
    </row>
    <row r="1469" spans="1:25" x14ac:dyDescent="0.25">
      <c r="A1469" s="1218" t="s">
        <v>139</v>
      </c>
      <c r="B1469" s="98">
        <v>45627</v>
      </c>
      <c r="C1469" s="117" t="str">
        <f t="shared" si="327"/>
        <v>5L</v>
      </c>
      <c r="D1469" s="96"/>
      <c r="E1469" s="98"/>
      <c r="F1469" s="98"/>
      <c r="I1469" s="99">
        <f t="shared" si="329"/>
        <v>0</v>
      </c>
      <c r="J1469" s="52">
        <v>227</v>
      </c>
      <c r="K1469" s="49">
        <v>3.02</v>
      </c>
      <c r="L1469" s="99">
        <f t="shared" si="330"/>
        <v>0.68553999999999993</v>
      </c>
      <c r="M1469" s="44" t="str">
        <f t="shared" si="317"/>
        <v/>
      </c>
      <c r="N1469" s="100">
        <f t="shared" si="318"/>
        <v>227</v>
      </c>
      <c r="O1469" s="101">
        <f t="shared" si="319"/>
        <v>0.68553999999999993</v>
      </c>
      <c r="P1469" s="52">
        <f t="shared" si="320"/>
        <v>22507.447820992798</v>
      </c>
      <c r="Q1469" s="49">
        <v>116.88487613461319</v>
      </c>
      <c r="R1469">
        <v>2225</v>
      </c>
      <c r="S1469" s="50">
        <f t="shared" si="331"/>
        <v>71535.307499999995</v>
      </c>
      <c r="T1469" s="50">
        <f t="shared" si="321"/>
        <v>0</v>
      </c>
      <c r="U1469" s="58">
        <f t="shared" si="322"/>
        <v>49040.314703549993</v>
      </c>
      <c r="V1469" s="58">
        <f t="shared" si="323"/>
        <v>0</v>
      </c>
      <c r="W1469" s="58">
        <f t="shared" si="324"/>
        <v>26532.866882557195</v>
      </c>
      <c r="X1469" s="58">
        <f t="shared" si="325"/>
        <v>0</v>
      </c>
      <c r="Y1469" s="52">
        <f t="shared" si="326"/>
        <v>22507.447820992798</v>
      </c>
    </row>
    <row r="1470" spans="1:25" x14ac:dyDescent="0.25">
      <c r="A1470" s="1218" t="s">
        <v>140</v>
      </c>
      <c r="B1470" s="98">
        <v>45627</v>
      </c>
      <c r="C1470" s="117" t="str">
        <f t="shared" si="327"/>
        <v>5L</v>
      </c>
      <c r="D1470" s="96"/>
      <c r="E1470" s="98"/>
      <c r="F1470" s="98"/>
      <c r="G1470" s="55"/>
      <c r="H1470" s="55"/>
      <c r="I1470" s="99">
        <f t="shared" si="329"/>
        <v>0</v>
      </c>
      <c r="J1470" s="55"/>
      <c r="K1470" s="55"/>
      <c r="L1470" s="99">
        <f t="shared" si="330"/>
        <v>0</v>
      </c>
      <c r="M1470" s="44" t="str">
        <f t="shared" ref="M1470:M1535" si="332">IFERROR((L1470-I1470)/I1470,"")</f>
        <v/>
      </c>
      <c r="N1470" s="100">
        <f t="shared" ref="N1470:N1535" si="333">J1470-G1470</f>
        <v>0</v>
      </c>
      <c r="O1470" s="101">
        <f t="shared" ref="O1470:O1535" si="334">L1470-I1470</f>
        <v>0</v>
      </c>
      <c r="P1470" s="52">
        <f t="shared" ref="P1470:P1535" si="335">U1470-W1470</f>
        <v>0</v>
      </c>
      <c r="Q1470" s="49">
        <v>116.88487613461319</v>
      </c>
      <c r="R1470">
        <v>2225</v>
      </c>
      <c r="S1470" s="50">
        <f t="shared" si="331"/>
        <v>71535.307499999995</v>
      </c>
      <c r="T1470" s="50">
        <f t="shared" ref="T1470:T1535" si="336">IFERROR(S1470*I1470,"")</f>
        <v>0</v>
      </c>
      <c r="U1470" s="58">
        <f t="shared" ref="U1470:U1535" si="337">IFERROR(S1470*L1470,"")</f>
        <v>0</v>
      </c>
      <c r="V1470" s="58">
        <f t="shared" ref="V1470:V1535" si="338">IFERROR(Q1470*G1470,"")</f>
        <v>0</v>
      </c>
      <c r="W1470" s="58">
        <f t="shared" ref="W1470:W1535" si="339">IFERROR(Q1470*J1470,"")</f>
        <v>0</v>
      </c>
      <c r="X1470" s="58">
        <f t="shared" ref="X1470:X1535" si="340">T1470-V1470</f>
        <v>0</v>
      </c>
      <c r="Y1470" s="52">
        <f t="shared" ref="Y1470:Y1535" si="341">U1470-W1470</f>
        <v>0</v>
      </c>
    </row>
    <row r="1471" spans="1:25" x14ac:dyDescent="0.25">
      <c r="A1471" s="1218" t="s">
        <v>141</v>
      </c>
      <c r="B1471" s="98">
        <v>45627</v>
      </c>
      <c r="C1471" s="117" t="str">
        <f t="shared" si="327"/>
        <v>5L</v>
      </c>
      <c r="D1471" s="96"/>
      <c r="E1471" s="98"/>
      <c r="F1471" s="98"/>
      <c r="G1471" s="55"/>
      <c r="H1471" s="55"/>
      <c r="I1471" s="99">
        <f t="shared" si="329"/>
        <v>0</v>
      </c>
      <c r="J1471" s="55"/>
      <c r="K1471" s="55"/>
      <c r="L1471" s="99">
        <f t="shared" si="330"/>
        <v>0</v>
      </c>
      <c r="M1471" s="44" t="str">
        <f t="shared" si="332"/>
        <v/>
      </c>
      <c r="N1471" s="100">
        <f t="shared" si="333"/>
        <v>0</v>
      </c>
      <c r="O1471" s="101">
        <f t="shared" si="334"/>
        <v>0</v>
      </c>
      <c r="P1471" s="52">
        <f t="shared" si="335"/>
        <v>0</v>
      </c>
      <c r="Q1471" s="49">
        <v>116.88487613461319</v>
      </c>
      <c r="R1471">
        <v>2225</v>
      </c>
      <c r="S1471" s="50">
        <f t="shared" si="331"/>
        <v>71535.307499999995</v>
      </c>
      <c r="T1471" s="50">
        <f t="shared" si="336"/>
        <v>0</v>
      </c>
      <c r="U1471" s="58">
        <f t="shared" si="337"/>
        <v>0</v>
      </c>
      <c r="V1471" s="58">
        <f t="shared" si="338"/>
        <v>0</v>
      </c>
      <c r="W1471" s="58">
        <f t="shared" si="339"/>
        <v>0</v>
      </c>
      <c r="X1471" s="58">
        <f t="shared" si="340"/>
        <v>0</v>
      </c>
      <c r="Y1471" s="52">
        <f t="shared" si="341"/>
        <v>0</v>
      </c>
    </row>
    <row r="1472" spans="1:25" x14ac:dyDescent="0.25">
      <c r="A1472" s="1218" t="s">
        <v>142</v>
      </c>
      <c r="B1472" s="98">
        <v>45627</v>
      </c>
      <c r="C1472" s="117" t="str">
        <f t="shared" si="327"/>
        <v>5L</v>
      </c>
      <c r="D1472" s="96"/>
      <c r="E1472" s="98"/>
      <c r="F1472" s="98"/>
      <c r="G1472" s="55"/>
      <c r="H1472" s="55"/>
      <c r="I1472" s="99">
        <f t="shared" si="329"/>
        <v>0</v>
      </c>
      <c r="J1472" s="55"/>
      <c r="K1472" s="55"/>
      <c r="L1472" s="99">
        <f t="shared" si="330"/>
        <v>0</v>
      </c>
      <c r="M1472" s="44" t="str">
        <f t="shared" si="332"/>
        <v/>
      </c>
      <c r="N1472" s="100">
        <f t="shared" si="333"/>
        <v>0</v>
      </c>
      <c r="O1472" s="101">
        <f t="shared" si="334"/>
        <v>0</v>
      </c>
      <c r="P1472" s="52">
        <f t="shared" si="335"/>
        <v>0</v>
      </c>
      <c r="Q1472" s="49">
        <v>116.88487613461319</v>
      </c>
      <c r="R1472">
        <v>2225</v>
      </c>
      <c r="S1472" s="50">
        <f t="shared" si="331"/>
        <v>71535.307499999995</v>
      </c>
      <c r="T1472" s="50">
        <f t="shared" si="336"/>
        <v>0</v>
      </c>
      <c r="U1472" s="58">
        <f t="shared" si="337"/>
        <v>0</v>
      </c>
      <c r="V1472" s="58">
        <f t="shared" si="338"/>
        <v>0</v>
      </c>
      <c r="W1472" s="58">
        <f t="shared" si="339"/>
        <v>0</v>
      </c>
      <c r="X1472" s="58">
        <f t="shared" si="340"/>
        <v>0</v>
      </c>
      <c r="Y1472" s="52">
        <f t="shared" si="341"/>
        <v>0</v>
      </c>
    </row>
    <row r="1473" spans="1:25" x14ac:dyDescent="0.25">
      <c r="A1473" s="1218" t="s">
        <v>143</v>
      </c>
      <c r="B1473" s="98">
        <v>45627</v>
      </c>
      <c r="C1473" s="117" t="str">
        <f t="shared" si="327"/>
        <v>5L</v>
      </c>
      <c r="D1473" s="96"/>
      <c r="E1473" s="98"/>
      <c r="F1473" s="98"/>
      <c r="G1473" s="55"/>
      <c r="H1473" s="55"/>
      <c r="I1473" s="99">
        <f t="shared" si="329"/>
        <v>0</v>
      </c>
      <c r="J1473" s="55"/>
      <c r="K1473" s="55"/>
      <c r="L1473" s="99">
        <f t="shared" si="330"/>
        <v>0</v>
      </c>
      <c r="M1473" s="44" t="str">
        <f t="shared" si="332"/>
        <v/>
      </c>
      <c r="N1473" s="100">
        <f t="shared" si="333"/>
        <v>0</v>
      </c>
      <c r="O1473" s="101">
        <f t="shared" si="334"/>
        <v>0</v>
      </c>
      <c r="P1473" s="52">
        <f t="shared" si="335"/>
        <v>0</v>
      </c>
      <c r="Q1473" s="49">
        <v>116.88487613461319</v>
      </c>
      <c r="R1473">
        <v>2225</v>
      </c>
      <c r="S1473" s="50">
        <f t="shared" si="331"/>
        <v>71535.307499999995</v>
      </c>
      <c r="T1473" s="50">
        <f t="shared" si="336"/>
        <v>0</v>
      </c>
      <c r="U1473" s="58">
        <f t="shared" si="337"/>
        <v>0</v>
      </c>
      <c r="V1473" s="58">
        <f t="shared" si="338"/>
        <v>0</v>
      </c>
      <c r="W1473" s="58">
        <f t="shared" si="339"/>
        <v>0</v>
      </c>
      <c r="X1473" s="58">
        <f t="shared" si="340"/>
        <v>0</v>
      </c>
      <c r="Y1473" s="52">
        <f t="shared" si="341"/>
        <v>0</v>
      </c>
    </row>
    <row r="1474" spans="1:25" x14ac:dyDescent="0.25">
      <c r="A1474" s="1218" t="s">
        <v>144</v>
      </c>
      <c r="B1474" s="98">
        <v>45627</v>
      </c>
      <c r="C1474" s="117" t="str">
        <f t="shared" si="327"/>
        <v>5L</v>
      </c>
      <c r="D1474" s="96"/>
      <c r="E1474" s="98"/>
      <c r="F1474" s="98"/>
      <c r="G1474" s="55"/>
      <c r="H1474" s="55"/>
      <c r="I1474" s="99">
        <f t="shared" si="329"/>
        <v>0</v>
      </c>
      <c r="J1474" s="55"/>
      <c r="K1474" s="55"/>
      <c r="L1474" s="99">
        <f t="shared" si="330"/>
        <v>0</v>
      </c>
      <c r="M1474" s="44" t="str">
        <f t="shared" si="332"/>
        <v/>
      </c>
      <c r="N1474" s="100">
        <f t="shared" si="333"/>
        <v>0</v>
      </c>
      <c r="O1474" s="101">
        <f t="shared" si="334"/>
        <v>0</v>
      </c>
      <c r="P1474" s="52">
        <f t="shared" si="335"/>
        <v>0</v>
      </c>
      <c r="Q1474" s="49">
        <v>116.88487613461319</v>
      </c>
      <c r="R1474">
        <v>2225</v>
      </c>
      <c r="S1474" s="50">
        <f t="shared" si="331"/>
        <v>71535.307499999995</v>
      </c>
      <c r="T1474" s="50">
        <f t="shared" si="336"/>
        <v>0</v>
      </c>
      <c r="U1474" s="58">
        <f t="shared" si="337"/>
        <v>0</v>
      </c>
      <c r="V1474" s="58">
        <f t="shared" si="338"/>
        <v>0</v>
      </c>
      <c r="W1474" s="58">
        <f t="shared" si="339"/>
        <v>0</v>
      </c>
      <c r="X1474" s="58">
        <f t="shared" si="340"/>
        <v>0</v>
      </c>
      <c r="Y1474" s="52">
        <f t="shared" si="341"/>
        <v>0</v>
      </c>
    </row>
    <row r="1475" spans="1:25" x14ac:dyDescent="0.25">
      <c r="A1475" s="1218" t="s">
        <v>145</v>
      </c>
      <c r="B1475" s="98">
        <v>45627</v>
      </c>
      <c r="C1475" s="117" t="str">
        <f t="shared" si="327"/>
        <v>5L</v>
      </c>
      <c r="D1475" s="96"/>
      <c r="E1475" s="98"/>
      <c r="F1475" s="98"/>
      <c r="G1475" s="55"/>
      <c r="H1475" s="55"/>
      <c r="I1475" s="99">
        <f t="shared" si="329"/>
        <v>0</v>
      </c>
      <c r="J1475" s="55"/>
      <c r="K1475" s="55"/>
      <c r="L1475" s="99">
        <f t="shared" si="330"/>
        <v>0</v>
      </c>
      <c r="M1475" s="44" t="str">
        <f t="shared" si="332"/>
        <v/>
      </c>
      <c r="N1475" s="100">
        <f t="shared" si="333"/>
        <v>0</v>
      </c>
      <c r="O1475" s="101">
        <f t="shared" si="334"/>
        <v>0</v>
      </c>
      <c r="P1475" s="52">
        <f t="shared" si="335"/>
        <v>0</v>
      </c>
      <c r="Q1475" s="49">
        <v>116.88487613461319</v>
      </c>
      <c r="R1475">
        <v>2225</v>
      </c>
      <c r="S1475" s="50">
        <f t="shared" si="331"/>
        <v>71535.307499999995</v>
      </c>
      <c r="T1475" s="50">
        <f t="shared" si="336"/>
        <v>0</v>
      </c>
      <c r="U1475" s="58">
        <f t="shared" si="337"/>
        <v>0</v>
      </c>
      <c r="V1475" s="58">
        <f t="shared" si="338"/>
        <v>0</v>
      </c>
      <c r="W1475" s="58">
        <f t="shared" si="339"/>
        <v>0</v>
      </c>
      <c r="X1475" s="58">
        <f t="shared" si="340"/>
        <v>0</v>
      </c>
      <c r="Y1475" s="52">
        <f t="shared" si="341"/>
        <v>0</v>
      </c>
    </row>
    <row r="1476" spans="1:25" x14ac:dyDescent="0.25">
      <c r="A1476" s="1218" t="s">
        <v>146</v>
      </c>
      <c r="B1476" s="98">
        <v>45627</v>
      </c>
      <c r="C1476" s="117" t="str">
        <f t="shared" si="327"/>
        <v>5L</v>
      </c>
      <c r="D1476" s="96"/>
      <c r="E1476" s="98"/>
      <c r="F1476" s="98"/>
      <c r="G1476" s="55"/>
      <c r="H1476" s="55"/>
      <c r="I1476" s="99">
        <f t="shared" si="329"/>
        <v>0</v>
      </c>
      <c r="J1476" s="55"/>
      <c r="K1476" s="55"/>
      <c r="L1476" s="99">
        <f t="shared" si="330"/>
        <v>0</v>
      </c>
      <c r="M1476" s="44" t="str">
        <f t="shared" si="332"/>
        <v/>
      </c>
      <c r="N1476" s="100">
        <f t="shared" si="333"/>
        <v>0</v>
      </c>
      <c r="O1476" s="101">
        <f t="shared" si="334"/>
        <v>0</v>
      </c>
      <c r="P1476" s="52">
        <f t="shared" si="335"/>
        <v>0</v>
      </c>
      <c r="Q1476" s="49">
        <v>116.88487613461319</v>
      </c>
      <c r="R1476">
        <v>2225</v>
      </c>
      <c r="S1476" s="50">
        <f t="shared" si="331"/>
        <v>71535.307499999995</v>
      </c>
      <c r="T1476" s="50">
        <f t="shared" si="336"/>
        <v>0</v>
      </c>
      <c r="U1476" s="58">
        <f t="shared" si="337"/>
        <v>0</v>
      </c>
      <c r="V1476" s="58">
        <f t="shared" si="338"/>
        <v>0</v>
      </c>
      <c r="W1476" s="58">
        <f t="shared" si="339"/>
        <v>0</v>
      </c>
      <c r="X1476" s="58">
        <f t="shared" si="340"/>
        <v>0</v>
      </c>
      <c r="Y1476" s="52">
        <f t="shared" si="341"/>
        <v>0</v>
      </c>
    </row>
    <row r="1477" spans="1:25" x14ac:dyDescent="0.25">
      <c r="A1477" s="1218" t="s">
        <v>147</v>
      </c>
      <c r="B1477" s="98">
        <v>45627</v>
      </c>
      <c r="C1477" s="117" t="str">
        <f t="shared" si="327"/>
        <v>5L</v>
      </c>
      <c r="D1477" s="96"/>
      <c r="E1477" s="98"/>
      <c r="F1477" s="98"/>
      <c r="G1477" s="55"/>
      <c r="H1477" s="55"/>
      <c r="I1477" s="99">
        <f t="shared" si="329"/>
        <v>0</v>
      </c>
      <c r="J1477" s="55"/>
      <c r="K1477" s="55"/>
      <c r="L1477" s="99">
        <f t="shared" si="330"/>
        <v>0</v>
      </c>
      <c r="M1477" s="44" t="str">
        <f t="shared" si="332"/>
        <v/>
      </c>
      <c r="N1477" s="100">
        <f t="shared" si="333"/>
        <v>0</v>
      </c>
      <c r="O1477" s="101">
        <f t="shared" si="334"/>
        <v>0</v>
      </c>
      <c r="P1477" s="52">
        <f t="shared" si="335"/>
        <v>0</v>
      </c>
      <c r="Q1477" s="49">
        <v>116.88487613461319</v>
      </c>
      <c r="R1477">
        <v>2225</v>
      </c>
      <c r="S1477" s="50">
        <f t="shared" si="331"/>
        <v>71535.307499999995</v>
      </c>
      <c r="T1477" s="50">
        <f t="shared" si="336"/>
        <v>0</v>
      </c>
      <c r="U1477" s="58">
        <f t="shared" si="337"/>
        <v>0</v>
      </c>
      <c r="V1477" s="58">
        <f t="shared" si="338"/>
        <v>0</v>
      </c>
      <c r="W1477" s="58">
        <f t="shared" si="339"/>
        <v>0</v>
      </c>
      <c r="X1477" s="58">
        <f t="shared" si="340"/>
        <v>0</v>
      </c>
      <c r="Y1477" s="52">
        <f t="shared" si="341"/>
        <v>0</v>
      </c>
    </row>
    <row r="1478" spans="1:25" x14ac:dyDescent="0.25">
      <c r="A1478" s="1218" t="s">
        <v>148</v>
      </c>
      <c r="B1478" s="98">
        <v>45627</v>
      </c>
      <c r="C1478" s="117" t="str">
        <f t="shared" si="327"/>
        <v>5L</v>
      </c>
      <c r="D1478" s="96"/>
      <c r="E1478" s="98"/>
      <c r="F1478" s="98"/>
      <c r="G1478" s="55"/>
      <c r="H1478" s="55"/>
      <c r="I1478" s="99">
        <f t="shared" si="329"/>
        <v>0</v>
      </c>
      <c r="J1478" s="55"/>
      <c r="K1478" s="55"/>
      <c r="L1478" s="99">
        <f t="shared" si="330"/>
        <v>0</v>
      </c>
      <c r="M1478" s="44" t="str">
        <f t="shared" si="332"/>
        <v/>
      </c>
      <c r="N1478" s="100">
        <f t="shared" si="333"/>
        <v>0</v>
      </c>
      <c r="O1478" s="101">
        <f t="shared" si="334"/>
        <v>0</v>
      </c>
      <c r="P1478" s="52">
        <f t="shared" si="335"/>
        <v>0</v>
      </c>
      <c r="Q1478" s="49">
        <v>116.88487613461319</v>
      </c>
      <c r="R1478">
        <v>2225</v>
      </c>
      <c r="S1478" s="50">
        <f t="shared" si="331"/>
        <v>71535.307499999995</v>
      </c>
      <c r="T1478" s="50">
        <f t="shared" si="336"/>
        <v>0</v>
      </c>
      <c r="U1478" s="58">
        <f t="shared" si="337"/>
        <v>0</v>
      </c>
      <c r="V1478" s="58">
        <f t="shared" si="338"/>
        <v>0</v>
      </c>
      <c r="W1478" s="58">
        <f t="shared" si="339"/>
        <v>0</v>
      </c>
      <c r="X1478" s="58">
        <f t="shared" si="340"/>
        <v>0</v>
      </c>
      <c r="Y1478" s="52">
        <f t="shared" si="341"/>
        <v>0</v>
      </c>
    </row>
    <row r="1479" spans="1:25" x14ac:dyDescent="0.25">
      <c r="A1479" s="1218" t="s">
        <v>149</v>
      </c>
      <c r="B1479" s="98">
        <v>45627</v>
      </c>
      <c r="C1479" s="117" t="str">
        <f t="shared" si="327"/>
        <v>5L</v>
      </c>
      <c r="D1479" s="96"/>
      <c r="E1479" s="98"/>
      <c r="F1479" s="98"/>
      <c r="G1479" s="55"/>
      <c r="H1479" s="55"/>
      <c r="I1479" s="99">
        <f t="shared" si="329"/>
        <v>0</v>
      </c>
      <c r="J1479" s="55"/>
      <c r="K1479" s="55"/>
      <c r="L1479" s="99">
        <f t="shared" si="330"/>
        <v>0</v>
      </c>
      <c r="M1479" s="44" t="str">
        <f t="shared" si="332"/>
        <v/>
      </c>
      <c r="N1479" s="100">
        <f t="shared" si="333"/>
        <v>0</v>
      </c>
      <c r="O1479" s="101">
        <f t="shared" si="334"/>
        <v>0</v>
      </c>
      <c r="P1479" s="52">
        <f t="shared" si="335"/>
        <v>0</v>
      </c>
      <c r="Q1479" s="49">
        <v>116.88487613461319</v>
      </c>
      <c r="R1479">
        <v>2225</v>
      </c>
      <c r="S1479" s="50">
        <f t="shared" si="331"/>
        <v>71535.307499999995</v>
      </c>
      <c r="T1479" s="50">
        <f t="shared" si="336"/>
        <v>0</v>
      </c>
      <c r="U1479" s="58">
        <f t="shared" si="337"/>
        <v>0</v>
      </c>
      <c r="V1479" s="58">
        <f t="shared" si="338"/>
        <v>0</v>
      </c>
      <c r="W1479" s="58">
        <f t="shared" si="339"/>
        <v>0</v>
      </c>
      <c r="X1479" s="58">
        <f t="shared" si="340"/>
        <v>0</v>
      </c>
      <c r="Y1479" s="52">
        <f t="shared" si="341"/>
        <v>0</v>
      </c>
    </row>
    <row r="1480" spans="1:25" x14ac:dyDescent="0.25">
      <c r="A1480" s="1218" t="s">
        <v>150</v>
      </c>
      <c r="B1480" s="98">
        <v>45627</v>
      </c>
      <c r="C1480" s="117" t="str">
        <f t="shared" si="327"/>
        <v>6L</v>
      </c>
      <c r="D1480" s="96"/>
      <c r="E1480" s="98"/>
      <c r="F1480" s="98"/>
      <c r="G1480" s="43">
        <v>1330</v>
      </c>
      <c r="H1480" s="26">
        <v>2.12</v>
      </c>
      <c r="I1480" s="99">
        <f t="shared" si="329"/>
        <v>2.8196000000000003</v>
      </c>
      <c r="J1480">
        <v>732</v>
      </c>
      <c r="K1480" s="49">
        <v>1.56</v>
      </c>
      <c r="L1480" s="99">
        <f t="shared" si="330"/>
        <v>1.14192</v>
      </c>
      <c r="M1480" s="44">
        <f t="shared" si="332"/>
        <v>-0.59500638388423888</v>
      </c>
      <c r="N1480" s="100">
        <f t="shared" si="333"/>
        <v>-598</v>
      </c>
      <c r="O1480" s="101">
        <f t="shared" si="334"/>
        <v>-1.6776800000000003</v>
      </c>
      <c r="P1480" s="52">
        <f t="shared" si="335"/>
        <v>-3872.1309901368513</v>
      </c>
      <c r="Q1480" s="49">
        <v>116.88487613461319</v>
      </c>
      <c r="R1480">
        <v>2225</v>
      </c>
      <c r="S1480" s="50">
        <f t="shared" si="331"/>
        <v>71535.307499999995</v>
      </c>
      <c r="T1480" s="50">
        <f t="shared" si="336"/>
        <v>201700.95302700001</v>
      </c>
      <c r="U1480" s="58">
        <f t="shared" si="337"/>
        <v>81687.5983404</v>
      </c>
      <c r="V1480" s="58">
        <f t="shared" si="338"/>
        <v>155456.88525903554</v>
      </c>
      <c r="W1480" s="58">
        <f t="shared" si="339"/>
        <v>85559.729330536851</v>
      </c>
      <c r="X1480" s="58">
        <f t="shared" si="340"/>
        <v>46244.067767964472</v>
      </c>
      <c r="Y1480" s="52">
        <f t="shared" si="341"/>
        <v>-3872.1309901368513</v>
      </c>
    </row>
    <row r="1481" spans="1:25" x14ac:dyDescent="0.25">
      <c r="A1481" s="1218" t="s">
        <v>151</v>
      </c>
      <c r="B1481" s="98">
        <v>45627</v>
      </c>
      <c r="C1481" s="117" t="str">
        <f t="shared" si="327"/>
        <v>6L</v>
      </c>
      <c r="D1481" s="96"/>
      <c r="E1481" s="98"/>
      <c r="F1481" s="98"/>
      <c r="G1481" s="43">
        <v>665</v>
      </c>
      <c r="H1481" s="26">
        <v>2.0499999999999998</v>
      </c>
      <c r="I1481" s="99">
        <f t="shared" si="329"/>
        <v>1.3632499999999999</v>
      </c>
      <c r="L1481" s="99">
        <f t="shared" si="330"/>
        <v>0</v>
      </c>
      <c r="M1481" s="44">
        <f t="shared" si="332"/>
        <v>-1</v>
      </c>
      <c r="N1481" s="100">
        <f t="shared" si="333"/>
        <v>-665</v>
      </c>
      <c r="O1481" s="101">
        <f t="shared" si="334"/>
        <v>-1.3632499999999999</v>
      </c>
      <c r="P1481" s="52">
        <f t="shared" si="335"/>
        <v>0</v>
      </c>
      <c r="Q1481" s="49">
        <v>116.88487613461319</v>
      </c>
      <c r="R1481">
        <v>2225</v>
      </c>
      <c r="S1481" s="50">
        <f t="shared" si="331"/>
        <v>71535.307499999995</v>
      </c>
      <c r="T1481" s="50">
        <f t="shared" si="336"/>
        <v>97520.50794937498</v>
      </c>
      <c r="U1481" s="58">
        <f t="shared" si="337"/>
        <v>0</v>
      </c>
      <c r="V1481" s="58">
        <f t="shared" si="338"/>
        <v>77728.442629517769</v>
      </c>
      <c r="W1481" s="58">
        <f t="shared" si="339"/>
        <v>0</v>
      </c>
      <c r="X1481" s="58">
        <f t="shared" si="340"/>
        <v>19792.065319857211</v>
      </c>
      <c r="Y1481" s="52">
        <f t="shared" si="341"/>
        <v>0</v>
      </c>
    </row>
    <row r="1482" spans="1:25" x14ac:dyDescent="0.25">
      <c r="A1482" s="1218" t="s">
        <v>152</v>
      </c>
      <c r="B1482" s="98">
        <v>45627</v>
      </c>
      <c r="C1482" s="117" t="str">
        <f t="shared" si="327"/>
        <v>6L</v>
      </c>
      <c r="D1482" s="96"/>
      <c r="E1482" s="98"/>
      <c r="F1482" s="98"/>
      <c r="G1482" s="43"/>
      <c r="H1482" s="26"/>
      <c r="I1482" s="99">
        <f t="shared" si="329"/>
        <v>0</v>
      </c>
      <c r="L1482" s="99"/>
      <c r="M1482" s="44"/>
      <c r="N1482" s="100"/>
      <c r="O1482" s="101"/>
      <c r="P1482" s="52"/>
      <c r="Q1482" s="49"/>
      <c r="S1482" s="50"/>
      <c r="T1482" s="50"/>
      <c r="U1482" s="58"/>
      <c r="V1482" s="58"/>
      <c r="W1482" s="58"/>
      <c r="X1482" s="58"/>
      <c r="Y1482" s="52"/>
    </row>
    <row r="1483" spans="1:25" x14ac:dyDescent="0.25">
      <c r="A1483" s="1218" t="s">
        <v>153</v>
      </c>
      <c r="B1483" s="98">
        <v>45627</v>
      </c>
      <c r="C1483" s="117" t="str">
        <f t="shared" si="327"/>
        <v>6L</v>
      </c>
      <c r="D1483" s="96"/>
      <c r="E1483" s="98"/>
      <c r="F1483" s="98"/>
      <c r="G1483" s="43"/>
      <c r="H1483" s="26"/>
      <c r="I1483" s="99">
        <f t="shared" si="329"/>
        <v>0</v>
      </c>
      <c r="L1483" s="99"/>
      <c r="M1483" s="44"/>
      <c r="N1483" s="100"/>
      <c r="O1483" s="101"/>
      <c r="P1483" s="52"/>
      <c r="Q1483" s="49"/>
      <c r="S1483" s="50"/>
      <c r="T1483" s="50"/>
      <c r="U1483" s="58"/>
      <c r="V1483" s="58"/>
      <c r="W1483" s="58"/>
      <c r="X1483" s="58"/>
      <c r="Y1483" s="52"/>
    </row>
    <row r="1484" spans="1:25" x14ac:dyDescent="0.25">
      <c r="A1484" s="1218" t="s">
        <v>154</v>
      </c>
      <c r="B1484" s="98">
        <v>45627</v>
      </c>
      <c r="C1484" s="117" t="str">
        <f t="shared" si="327"/>
        <v>6L</v>
      </c>
      <c r="D1484" s="96"/>
      <c r="E1484" s="98"/>
      <c r="F1484" s="98"/>
      <c r="G1484" s="43"/>
      <c r="H1484" s="26"/>
      <c r="I1484" s="99">
        <f t="shared" si="329"/>
        <v>0</v>
      </c>
      <c r="L1484" s="99"/>
      <c r="M1484" s="44"/>
      <c r="N1484" s="100"/>
      <c r="O1484" s="101"/>
      <c r="P1484" s="52"/>
      <c r="Q1484" s="49"/>
      <c r="S1484" s="50"/>
      <c r="T1484" s="50"/>
      <c r="U1484" s="58"/>
      <c r="V1484" s="58"/>
      <c r="W1484" s="58"/>
      <c r="X1484" s="58"/>
      <c r="Y1484" s="52"/>
    </row>
    <row r="1485" spans="1:25" x14ac:dyDescent="0.25">
      <c r="A1485" s="1218" t="s">
        <v>155</v>
      </c>
      <c r="B1485" s="98">
        <v>45627</v>
      </c>
      <c r="C1485" s="117" t="str">
        <f t="shared" si="327"/>
        <v>6L</v>
      </c>
      <c r="D1485" s="96"/>
      <c r="E1485" s="98"/>
      <c r="F1485" s="98"/>
      <c r="G1485" s="43"/>
      <c r="H1485" s="26"/>
      <c r="I1485" s="99">
        <f t="shared" si="329"/>
        <v>0</v>
      </c>
      <c r="L1485" s="99">
        <f t="shared" si="330"/>
        <v>0</v>
      </c>
      <c r="M1485" s="44" t="str">
        <f t="shared" si="332"/>
        <v/>
      </c>
      <c r="N1485" s="100">
        <f t="shared" si="333"/>
        <v>0</v>
      </c>
      <c r="O1485" s="101">
        <f t="shared" si="334"/>
        <v>0</v>
      </c>
      <c r="P1485" s="52">
        <f t="shared" si="335"/>
        <v>0</v>
      </c>
      <c r="Q1485" s="49">
        <v>116.88487613461319</v>
      </c>
      <c r="R1485">
        <v>2225</v>
      </c>
      <c r="S1485" s="50">
        <f t="shared" si="331"/>
        <v>71535.307499999995</v>
      </c>
      <c r="T1485" s="50">
        <f t="shared" si="336"/>
        <v>0</v>
      </c>
      <c r="U1485" s="58">
        <f t="shared" si="337"/>
        <v>0</v>
      </c>
      <c r="V1485" s="58">
        <f t="shared" si="338"/>
        <v>0</v>
      </c>
      <c r="W1485" s="58">
        <f t="shared" si="339"/>
        <v>0</v>
      </c>
      <c r="X1485" s="58">
        <f t="shared" si="340"/>
        <v>0</v>
      </c>
      <c r="Y1485" s="52">
        <f t="shared" si="341"/>
        <v>0</v>
      </c>
    </row>
    <row r="1486" spans="1:25" x14ac:dyDescent="0.25">
      <c r="A1486" s="1218" t="s">
        <v>156</v>
      </c>
      <c r="B1486" s="98">
        <v>45627</v>
      </c>
      <c r="C1486" s="117" t="str">
        <f t="shared" si="327"/>
        <v>6L</v>
      </c>
      <c r="D1486" s="96"/>
      <c r="E1486" s="98"/>
      <c r="F1486" s="98"/>
      <c r="G1486" s="43"/>
      <c r="H1486" s="26"/>
      <c r="I1486" s="99">
        <f t="shared" si="329"/>
        <v>0</v>
      </c>
      <c r="L1486" s="99"/>
      <c r="M1486" s="44"/>
      <c r="N1486" s="100"/>
      <c r="O1486" s="101"/>
      <c r="P1486" s="52"/>
      <c r="Q1486" s="49"/>
      <c r="S1486" s="50"/>
      <c r="T1486" s="50"/>
      <c r="U1486" s="58"/>
      <c r="V1486" s="58"/>
      <c r="W1486" s="58"/>
      <c r="X1486" s="58"/>
      <c r="Y1486" s="52"/>
    </row>
    <row r="1487" spans="1:25" x14ac:dyDescent="0.25">
      <c r="A1487" s="1218" t="s">
        <v>157</v>
      </c>
      <c r="B1487" s="98">
        <v>45627</v>
      </c>
      <c r="C1487" s="117" t="str">
        <f t="shared" ref="C1487:C1550" si="342">LEFT(A1487,2)</f>
        <v>6L</v>
      </c>
      <c r="D1487" s="96"/>
      <c r="E1487" s="98"/>
      <c r="F1487" s="98"/>
      <c r="G1487" s="43"/>
      <c r="H1487" s="26"/>
      <c r="I1487" s="99">
        <f t="shared" si="329"/>
        <v>0</v>
      </c>
      <c r="L1487" s="99">
        <f t="shared" si="330"/>
        <v>0</v>
      </c>
      <c r="M1487" s="44" t="str">
        <f t="shared" si="332"/>
        <v/>
      </c>
      <c r="N1487" s="100">
        <f t="shared" si="333"/>
        <v>0</v>
      </c>
      <c r="O1487" s="101">
        <f t="shared" si="334"/>
        <v>0</v>
      </c>
      <c r="P1487" s="52">
        <f t="shared" si="335"/>
        <v>0</v>
      </c>
      <c r="Q1487" s="49">
        <v>116.88487613461319</v>
      </c>
      <c r="R1487">
        <v>2225</v>
      </c>
      <c r="S1487" s="50">
        <f t="shared" si="331"/>
        <v>71535.307499999995</v>
      </c>
      <c r="T1487" s="50">
        <f t="shared" si="336"/>
        <v>0</v>
      </c>
      <c r="U1487" s="58">
        <f t="shared" si="337"/>
        <v>0</v>
      </c>
      <c r="V1487" s="58">
        <f t="shared" si="338"/>
        <v>0</v>
      </c>
      <c r="W1487" s="58">
        <f t="shared" si="339"/>
        <v>0</v>
      </c>
      <c r="X1487" s="58">
        <f t="shared" si="340"/>
        <v>0</v>
      </c>
      <c r="Y1487" s="52">
        <f t="shared" si="341"/>
        <v>0</v>
      </c>
    </row>
    <row r="1488" spans="1:25" x14ac:dyDescent="0.25">
      <c r="A1488" s="1218" t="s">
        <v>158</v>
      </c>
      <c r="B1488" s="98">
        <v>45627</v>
      </c>
      <c r="C1488" s="117" t="str">
        <f t="shared" si="342"/>
        <v>6L</v>
      </c>
      <c r="D1488" s="96"/>
      <c r="E1488" s="98"/>
      <c r="F1488" s="98"/>
      <c r="G1488" s="43"/>
      <c r="H1488" s="26"/>
      <c r="I1488" s="99">
        <f t="shared" si="329"/>
        <v>0</v>
      </c>
      <c r="L1488" s="99">
        <f t="shared" si="330"/>
        <v>0</v>
      </c>
      <c r="M1488" s="44" t="str">
        <f t="shared" si="332"/>
        <v/>
      </c>
      <c r="N1488" s="100">
        <f t="shared" si="333"/>
        <v>0</v>
      </c>
      <c r="O1488" s="101">
        <f t="shared" si="334"/>
        <v>0</v>
      </c>
      <c r="P1488" s="52">
        <f t="shared" si="335"/>
        <v>0</v>
      </c>
      <c r="Q1488" s="49">
        <v>116.88487613461319</v>
      </c>
      <c r="R1488">
        <v>2225</v>
      </c>
      <c r="S1488" s="50">
        <f t="shared" si="331"/>
        <v>71535.307499999995</v>
      </c>
      <c r="T1488" s="50">
        <f t="shared" si="336"/>
        <v>0</v>
      </c>
      <c r="U1488" s="58">
        <f t="shared" si="337"/>
        <v>0</v>
      </c>
      <c r="V1488" s="58">
        <f t="shared" si="338"/>
        <v>0</v>
      </c>
      <c r="W1488" s="58">
        <f t="shared" si="339"/>
        <v>0</v>
      </c>
      <c r="X1488" s="58">
        <f t="shared" si="340"/>
        <v>0</v>
      </c>
      <c r="Y1488" s="52">
        <f t="shared" si="341"/>
        <v>0</v>
      </c>
    </row>
    <row r="1489" spans="1:25" x14ac:dyDescent="0.25">
      <c r="A1489" s="1218" t="s">
        <v>159</v>
      </c>
      <c r="B1489" s="98">
        <v>45627</v>
      </c>
      <c r="C1489" s="117" t="str">
        <f t="shared" si="342"/>
        <v>6L</v>
      </c>
      <c r="D1489" s="96"/>
      <c r="E1489" s="98"/>
      <c r="F1489" s="98"/>
      <c r="G1489" s="43">
        <v>665</v>
      </c>
      <c r="H1489" s="26">
        <v>1.66</v>
      </c>
      <c r="I1489" s="99">
        <f t="shared" si="329"/>
        <v>1.1038999999999999</v>
      </c>
      <c r="L1489" s="99">
        <f t="shared" si="330"/>
        <v>0</v>
      </c>
      <c r="M1489" s="44">
        <f t="shared" si="332"/>
        <v>-1</v>
      </c>
      <c r="N1489" s="100">
        <f t="shared" si="333"/>
        <v>-665</v>
      </c>
      <c r="O1489" s="101">
        <f t="shared" si="334"/>
        <v>-1.1038999999999999</v>
      </c>
      <c r="P1489" s="52">
        <f t="shared" si="335"/>
        <v>0</v>
      </c>
      <c r="Q1489" s="49">
        <v>116.88487613461319</v>
      </c>
      <c r="R1489">
        <v>2225</v>
      </c>
      <c r="S1489" s="50">
        <f t="shared" si="331"/>
        <v>71535.307499999995</v>
      </c>
      <c r="T1489" s="50">
        <f t="shared" si="336"/>
        <v>78967.825949249993</v>
      </c>
      <c r="U1489" s="58">
        <f t="shared" si="337"/>
        <v>0</v>
      </c>
      <c r="V1489" s="58">
        <f t="shared" si="338"/>
        <v>77728.442629517769</v>
      </c>
      <c r="W1489" s="58">
        <f t="shared" si="339"/>
        <v>0</v>
      </c>
      <c r="X1489" s="58">
        <f t="shared" si="340"/>
        <v>1239.3833197322238</v>
      </c>
      <c r="Y1489" s="52">
        <f t="shared" si="341"/>
        <v>0</v>
      </c>
    </row>
    <row r="1490" spans="1:25" x14ac:dyDescent="0.25">
      <c r="A1490" s="1218" t="s">
        <v>160</v>
      </c>
      <c r="B1490" s="98">
        <v>45627</v>
      </c>
      <c r="C1490" s="117" t="str">
        <f t="shared" si="342"/>
        <v>6L</v>
      </c>
      <c r="D1490" s="96"/>
      <c r="E1490" s="98"/>
      <c r="F1490" s="98"/>
      <c r="G1490" s="43">
        <v>1330</v>
      </c>
      <c r="H1490" s="26">
        <v>2.1800000000000002</v>
      </c>
      <c r="I1490" s="99">
        <f t="shared" si="329"/>
        <v>2.8994</v>
      </c>
      <c r="J1490">
        <v>1954</v>
      </c>
      <c r="K1490" s="49">
        <v>2.19</v>
      </c>
      <c r="L1490" s="99">
        <f t="shared" si="330"/>
        <v>4.2792599999999998</v>
      </c>
      <c r="M1490" s="44">
        <f t="shared" si="332"/>
        <v>0.47591225770849138</v>
      </c>
      <c r="N1490" s="100">
        <f t="shared" si="333"/>
        <v>624</v>
      </c>
      <c r="O1490" s="101">
        <f t="shared" si="334"/>
        <v>1.3798599999999999</v>
      </c>
      <c r="P1490" s="52">
        <f t="shared" si="335"/>
        <v>77725.13200541577</v>
      </c>
      <c r="Q1490" s="49">
        <v>116.88487613461319</v>
      </c>
      <c r="R1490">
        <v>2225</v>
      </c>
      <c r="S1490" s="50">
        <f t="shared" si="331"/>
        <v>71535.307499999995</v>
      </c>
      <c r="T1490" s="50">
        <f t="shared" si="336"/>
        <v>207409.47056549997</v>
      </c>
      <c r="U1490" s="58">
        <f t="shared" si="337"/>
        <v>306118.17997244996</v>
      </c>
      <c r="V1490" s="58">
        <f t="shared" si="338"/>
        <v>155456.88525903554</v>
      </c>
      <c r="W1490" s="58">
        <f t="shared" si="339"/>
        <v>228393.04796703419</v>
      </c>
      <c r="X1490" s="58">
        <f t="shared" si="340"/>
        <v>51952.585306464433</v>
      </c>
      <c r="Y1490" s="52">
        <f t="shared" si="341"/>
        <v>77725.13200541577</v>
      </c>
    </row>
    <row r="1491" spans="1:25" x14ac:dyDescent="0.25">
      <c r="A1491" s="1218" t="s">
        <v>161</v>
      </c>
      <c r="B1491" s="98">
        <v>45627</v>
      </c>
      <c r="C1491" s="117" t="str">
        <f t="shared" si="342"/>
        <v>6L</v>
      </c>
      <c r="D1491" s="96"/>
      <c r="E1491" s="98"/>
      <c r="F1491" s="98"/>
      <c r="G1491" s="43"/>
      <c r="H1491" s="26"/>
      <c r="I1491" s="99">
        <f t="shared" si="329"/>
        <v>0</v>
      </c>
      <c r="K1491" s="49"/>
      <c r="L1491" s="99">
        <f t="shared" si="330"/>
        <v>0</v>
      </c>
      <c r="M1491" s="44" t="str">
        <f t="shared" si="332"/>
        <v/>
      </c>
      <c r="N1491" s="100">
        <f t="shared" si="333"/>
        <v>0</v>
      </c>
      <c r="O1491" s="101">
        <f t="shared" si="334"/>
        <v>0</v>
      </c>
      <c r="P1491" s="52">
        <f t="shared" si="335"/>
        <v>0</v>
      </c>
      <c r="Q1491" s="49">
        <v>116.88487613461319</v>
      </c>
      <c r="R1491">
        <v>2225</v>
      </c>
      <c r="S1491" s="50">
        <f t="shared" si="331"/>
        <v>71535.307499999995</v>
      </c>
      <c r="T1491" s="50">
        <f t="shared" si="336"/>
        <v>0</v>
      </c>
      <c r="U1491" s="58">
        <f t="shared" si="337"/>
        <v>0</v>
      </c>
      <c r="V1491" s="58">
        <f t="shared" si="338"/>
        <v>0</v>
      </c>
      <c r="W1491" s="58">
        <f t="shared" si="339"/>
        <v>0</v>
      </c>
      <c r="X1491" s="58">
        <f t="shared" si="340"/>
        <v>0</v>
      </c>
      <c r="Y1491" s="52">
        <f t="shared" si="341"/>
        <v>0</v>
      </c>
    </row>
    <row r="1492" spans="1:25" x14ac:dyDescent="0.25">
      <c r="A1492" s="1218" t="s">
        <v>162</v>
      </c>
      <c r="B1492" s="98">
        <v>45627</v>
      </c>
      <c r="C1492" s="117" t="str">
        <f t="shared" si="342"/>
        <v>6L</v>
      </c>
      <c r="D1492" s="96"/>
      <c r="E1492" s="98"/>
      <c r="F1492" s="98"/>
      <c r="G1492" s="43">
        <v>1330</v>
      </c>
      <c r="H1492" s="26">
        <v>1.85</v>
      </c>
      <c r="I1492" s="99">
        <f t="shared" si="329"/>
        <v>2.4605000000000001</v>
      </c>
      <c r="L1492" s="99">
        <f t="shared" si="330"/>
        <v>0</v>
      </c>
      <c r="M1492" s="44">
        <f t="shared" si="332"/>
        <v>-1</v>
      </c>
      <c r="N1492" s="100">
        <f t="shared" si="333"/>
        <v>-1330</v>
      </c>
      <c r="O1492" s="101">
        <f t="shared" si="334"/>
        <v>-2.4605000000000001</v>
      </c>
      <c r="P1492" s="52">
        <f t="shared" si="335"/>
        <v>0</v>
      </c>
      <c r="Q1492" s="49">
        <v>116.88487613461319</v>
      </c>
      <c r="R1492">
        <v>2225</v>
      </c>
      <c r="S1492" s="50">
        <f t="shared" si="331"/>
        <v>71535.307499999995</v>
      </c>
      <c r="T1492" s="50">
        <f t="shared" si="336"/>
        <v>176012.62410374999</v>
      </c>
      <c r="U1492" s="58">
        <f t="shared" si="337"/>
        <v>0</v>
      </c>
      <c r="V1492" s="58">
        <f t="shared" si="338"/>
        <v>155456.88525903554</v>
      </c>
      <c r="W1492" s="58">
        <f t="shared" si="339"/>
        <v>0</v>
      </c>
      <c r="X1492" s="58">
        <f t="shared" si="340"/>
        <v>20555.738844714448</v>
      </c>
      <c r="Y1492" s="52">
        <f t="shared" si="341"/>
        <v>0</v>
      </c>
    </row>
    <row r="1493" spans="1:25" x14ac:dyDescent="0.25">
      <c r="A1493" s="1218" t="s">
        <v>163</v>
      </c>
      <c r="B1493" s="98">
        <v>45627</v>
      </c>
      <c r="C1493" s="117" t="str">
        <f t="shared" si="342"/>
        <v>6L</v>
      </c>
      <c r="D1493" s="96"/>
      <c r="E1493" s="98"/>
      <c r="F1493" s="98"/>
      <c r="G1493" s="43">
        <v>665</v>
      </c>
      <c r="H1493" s="26">
        <v>1.79</v>
      </c>
      <c r="I1493" s="99">
        <f t="shared" si="329"/>
        <v>1.1903500000000002</v>
      </c>
      <c r="L1493" s="99">
        <f t="shared" si="330"/>
        <v>0</v>
      </c>
      <c r="M1493" s="44">
        <f t="shared" si="332"/>
        <v>-1</v>
      </c>
      <c r="N1493" s="100">
        <f t="shared" si="333"/>
        <v>-665</v>
      </c>
      <c r="O1493" s="101">
        <f t="shared" si="334"/>
        <v>-1.1903500000000002</v>
      </c>
      <c r="P1493" s="52">
        <f t="shared" si="335"/>
        <v>0</v>
      </c>
      <c r="Q1493" s="49">
        <v>116.88487613461319</v>
      </c>
      <c r="R1493">
        <v>2225</v>
      </c>
      <c r="S1493" s="50">
        <f t="shared" si="331"/>
        <v>71535.307499999995</v>
      </c>
      <c r="T1493" s="50">
        <f t="shared" si="336"/>
        <v>85152.053282625013</v>
      </c>
      <c r="U1493" s="58">
        <f t="shared" si="337"/>
        <v>0</v>
      </c>
      <c r="V1493" s="58">
        <f t="shared" si="338"/>
        <v>77728.442629517769</v>
      </c>
      <c r="W1493" s="58">
        <f t="shared" si="339"/>
        <v>0</v>
      </c>
      <c r="X1493" s="58">
        <f t="shared" si="340"/>
        <v>7423.6106531072437</v>
      </c>
      <c r="Y1493" s="52">
        <f t="shared" si="341"/>
        <v>0</v>
      </c>
    </row>
    <row r="1494" spans="1:25" x14ac:dyDescent="0.25">
      <c r="A1494" s="1218" t="s">
        <v>164</v>
      </c>
      <c r="B1494" s="98">
        <v>45627</v>
      </c>
      <c r="C1494" s="117" t="str">
        <f t="shared" si="342"/>
        <v>6L</v>
      </c>
      <c r="D1494" s="96"/>
      <c r="E1494" s="98"/>
      <c r="F1494" s="98"/>
      <c r="I1494" s="99">
        <f t="shared" si="329"/>
        <v>0</v>
      </c>
      <c r="L1494" s="99">
        <f t="shared" si="330"/>
        <v>0</v>
      </c>
      <c r="M1494" s="44" t="str">
        <f t="shared" si="332"/>
        <v/>
      </c>
      <c r="N1494" s="100">
        <f t="shared" si="333"/>
        <v>0</v>
      </c>
      <c r="O1494" s="101">
        <f t="shared" si="334"/>
        <v>0</v>
      </c>
      <c r="P1494" s="52">
        <f t="shared" si="335"/>
        <v>0</v>
      </c>
      <c r="Q1494" s="49">
        <v>116.88487613461319</v>
      </c>
      <c r="R1494">
        <v>2225</v>
      </c>
      <c r="S1494" s="50">
        <f t="shared" si="331"/>
        <v>71535.307499999995</v>
      </c>
      <c r="T1494" s="50">
        <f t="shared" si="336"/>
        <v>0</v>
      </c>
      <c r="U1494" s="58">
        <f t="shared" si="337"/>
        <v>0</v>
      </c>
      <c r="V1494" s="58">
        <f t="shared" si="338"/>
        <v>0</v>
      </c>
      <c r="W1494" s="58">
        <f t="shared" si="339"/>
        <v>0</v>
      </c>
      <c r="X1494" s="58">
        <f t="shared" si="340"/>
        <v>0</v>
      </c>
      <c r="Y1494" s="52">
        <f t="shared" si="341"/>
        <v>0</v>
      </c>
    </row>
    <row r="1495" spans="1:25" x14ac:dyDescent="0.25">
      <c r="A1495" s="1218" t="s">
        <v>165</v>
      </c>
      <c r="B1495" s="98">
        <v>45627</v>
      </c>
      <c r="C1495" s="117" t="str">
        <f t="shared" si="342"/>
        <v>6L</v>
      </c>
      <c r="D1495" s="96"/>
      <c r="E1495" s="98"/>
      <c r="F1495" s="98"/>
      <c r="I1495" s="99">
        <f t="shared" si="329"/>
        <v>0</v>
      </c>
      <c r="L1495" s="99">
        <f t="shared" si="330"/>
        <v>0</v>
      </c>
      <c r="M1495" s="44" t="str">
        <f t="shared" si="332"/>
        <v/>
      </c>
      <c r="N1495" s="100">
        <f t="shared" si="333"/>
        <v>0</v>
      </c>
      <c r="O1495" s="101">
        <f t="shared" si="334"/>
        <v>0</v>
      </c>
      <c r="P1495" s="52">
        <f t="shared" si="335"/>
        <v>0</v>
      </c>
      <c r="Q1495" s="49">
        <v>116.88487613461319</v>
      </c>
      <c r="R1495">
        <v>2225</v>
      </c>
      <c r="S1495" s="50">
        <f t="shared" si="331"/>
        <v>71535.307499999995</v>
      </c>
      <c r="T1495" s="50">
        <f t="shared" si="336"/>
        <v>0</v>
      </c>
      <c r="U1495" s="58">
        <f t="shared" si="337"/>
        <v>0</v>
      </c>
      <c r="V1495" s="58">
        <f t="shared" si="338"/>
        <v>0</v>
      </c>
      <c r="W1495" s="58">
        <f t="shared" si="339"/>
        <v>0</v>
      </c>
      <c r="X1495" s="58">
        <f t="shared" si="340"/>
        <v>0</v>
      </c>
      <c r="Y1495" s="52">
        <f t="shared" si="341"/>
        <v>0</v>
      </c>
    </row>
    <row r="1496" spans="1:25" x14ac:dyDescent="0.25">
      <c r="A1496" s="1218" t="s">
        <v>166</v>
      </c>
      <c r="B1496" s="98">
        <v>45627</v>
      </c>
      <c r="C1496" s="117" t="str">
        <f t="shared" si="342"/>
        <v>6L</v>
      </c>
      <c r="D1496" s="96"/>
      <c r="E1496" s="98"/>
      <c r="F1496" s="98"/>
      <c r="I1496" s="99">
        <f t="shared" si="329"/>
        <v>0</v>
      </c>
      <c r="L1496" s="99">
        <f t="shared" si="330"/>
        <v>0</v>
      </c>
      <c r="M1496" s="44" t="str">
        <f t="shared" si="332"/>
        <v/>
      </c>
      <c r="N1496" s="100">
        <f t="shared" si="333"/>
        <v>0</v>
      </c>
      <c r="O1496" s="101">
        <f t="shared" si="334"/>
        <v>0</v>
      </c>
      <c r="P1496" s="52">
        <f t="shared" si="335"/>
        <v>0</v>
      </c>
      <c r="Q1496" s="49">
        <v>116.88487613461319</v>
      </c>
      <c r="R1496">
        <v>2225</v>
      </c>
      <c r="S1496" s="50">
        <f t="shared" si="331"/>
        <v>71535.307499999995</v>
      </c>
      <c r="T1496" s="50">
        <f t="shared" si="336"/>
        <v>0</v>
      </c>
      <c r="U1496" s="58">
        <f t="shared" si="337"/>
        <v>0</v>
      </c>
      <c r="V1496" s="58">
        <f t="shared" si="338"/>
        <v>0</v>
      </c>
      <c r="W1496" s="58">
        <f t="shared" si="339"/>
        <v>0</v>
      </c>
      <c r="X1496" s="58">
        <f t="shared" si="340"/>
        <v>0</v>
      </c>
      <c r="Y1496" s="52">
        <f t="shared" si="341"/>
        <v>0</v>
      </c>
    </row>
    <row r="1497" spans="1:25" x14ac:dyDescent="0.25">
      <c r="A1497" s="1218" t="s">
        <v>167</v>
      </c>
      <c r="B1497" s="98">
        <v>45627</v>
      </c>
      <c r="C1497" s="117" t="str">
        <f t="shared" si="342"/>
        <v>6L</v>
      </c>
      <c r="D1497" s="96"/>
      <c r="E1497" s="98"/>
      <c r="F1497" s="98"/>
      <c r="I1497" s="99">
        <f t="shared" si="329"/>
        <v>0</v>
      </c>
      <c r="L1497" s="99">
        <f t="shared" si="330"/>
        <v>0</v>
      </c>
      <c r="M1497" s="44" t="str">
        <f t="shared" si="332"/>
        <v/>
      </c>
      <c r="N1497" s="100">
        <f t="shared" si="333"/>
        <v>0</v>
      </c>
      <c r="O1497" s="101">
        <f t="shared" si="334"/>
        <v>0</v>
      </c>
      <c r="P1497" s="52">
        <f t="shared" si="335"/>
        <v>0</v>
      </c>
      <c r="Q1497" s="49">
        <v>116.88487613461319</v>
      </c>
      <c r="R1497">
        <v>2225</v>
      </c>
      <c r="S1497" s="50">
        <f t="shared" si="331"/>
        <v>71535.307499999995</v>
      </c>
      <c r="T1497" s="50">
        <f t="shared" si="336"/>
        <v>0</v>
      </c>
      <c r="U1497" s="58">
        <f t="shared" si="337"/>
        <v>0</v>
      </c>
      <c r="V1497" s="58">
        <f t="shared" si="338"/>
        <v>0</v>
      </c>
      <c r="W1497" s="58">
        <f t="shared" si="339"/>
        <v>0</v>
      </c>
      <c r="X1497" s="58">
        <f t="shared" si="340"/>
        <v>0</v>
      </c>
      <c r="Y1497" s="52">
        <f t="shared" si="341"/>
        <v>0</v>
      </c>
    </row>
    <row r="1498" spans="1:25" x14ac:dyDescent="0.25">
      <c r="A1498" s="1218" t="s">
        <v>168</v>
      </c>
      <c r="B1498" s="98">
        <v>45627</v>
      </c>
      <c r="C1498" s="117" t="str">
        <f t="shared" si="342"/>
        <v>6L</v>
      </c>
      <c r="D1498" s="96"/>
      <c r="E1498" s="98"/>
      <c r="F1498" s="98"/>
      <c r="I1498" s="99">
        <f t="shared" si="329"/>
        <v>0</v>
      </c>
      <c r="L1498" s="99">
        <f t="shared" si="330"/>
        <v>0</v>
      </c>
      <c r="M1498" s="44" t="str">
        <f t="shared" si="332"/>
        <v/>
      </c>
      <c r="N1498" s="100">
        <f t="shared" si="333"/>
        <v>0</v>
      </c>
      <c r="O1498" s="101">
        <f t="shared" si="334"/>
        <v>0</v>
      </c>
      <c r="P1498" s="52">
        <f t="shared" si="335"/>
        <v>0</v>
      </c>
      <c r="Q1498" s="49">
        <v>116.88487613461319</v>
      </c>
      <c r="R1498">
        <v>2225</v>
      </c>
      <c r="S1498" s="50">
        <f t="shared" si="331"/>
        <v>71535.307499999995</v>
      </c>
      <c r="T1498" s="50">
        <f t="shared" si="336"/>
        <v>0</v>
      </c>
      <c r="U1498" s="58">
        <f t="shared" si="337"/>
        <v>0</v>
      </c>
      <c r="V1498" s="58">
        <f t="shared" si="338"/>
        <v>0</v>
      </c>
      <c r="W1498" s="58">
        <f t="shared" si="339"/>
        <v>0</v>
      </c>
      <c r="X1498" s="58">
        <f t="shared" si="340"/>
        <v>0</v>
      </c>
      <c r="Y1498" s="52">
        <f t="shared" si="341"/>
        <v>0</v>
      </c>
    </row>
    <row r="1499" spans="1:25" x14ac:dyDescent="0.25">
      <c r="A1499" s="1218" t="s">
        <v>169</v>
      </c>
      <c r="B1499" s="98">
        <v>45627</v>
      </c>
      <c r="C1499" s="117" t="str">
        <f t="shared" si="342"/>
        <v>6L</v>
      </c>
      <c r="D1499" s="96"/>
      <c r="E1499" s="98"/>
      <c r="F1499" s="98"/>
      <c r="I1499" s="99">
        <f t="shared" si="329"/>
        <v>0</v>
      </c>
      <c r="L1499" s="99">
        <f t="shared" si="330"/>
        <v>0</v>
      </c>
      <c r="M1499" s="44" t="str">
        <f t="shared" si="332"/>
        <v/>
      </c>
      <c r="N1499" s="100">
        <f t="shared" si="333"/>
        <v>0</v>
      </c>
      <c r="O1499" s="101">
        <f t="shared" si="334"/>
        <v>0</v>
      </c>
      <c r="P1499" s="52">
        <f t="shared" si="335"/>
        <v>0</v>
      </c>
      <c r="Q1499" s="49">
        <v>116.88487613461319</v>
      </c>
      <c r="R1499">
        <v>2225</v>
      </c>
      <c r="S1499" s="50">
        <f t="shared" si="331"/>
        <v>71535.307499999995</v>
      </c>
      <c r="T1499" s="50">
        <f t="shared" si="336"/>
        <v>0</v>
      </c>
      <c r="U1499" s="58">
        <f t="shared" si="337"/>
        <v>0</v>
      </c>
      <c r="V1499" s="58">
        <f t="shared" si="338"/>
        <v>0</v>
      </c>
      <c r="W1499" s="58">
        <f t="shared" si="339"/>
        <v>0</v>
      </c>
      <c r="X1499" s="58">
        <f t="shared" si="340"/>
        <v>0</v>
      </c>
      <c r="Y1499" s="52">
        <f t="shared" si="341"/>
        <v>0</v>
      </c>
    </row>
    <row r="1500" spans="1:25" x14ac:dyDescent="0.25">
      <c r="A1500" s="1218" t="s">
        <v>170</v>
      </c>
      <c r="B1500" s="98">
        <v>45627</v>
      </c>
      <c r="C1500" s="117" t="str">
        <f t="shared" si="342"/>
        <v>6L</v>
      </c>
      <c r="D1500" s="96"/>
      <c r="E1500" s="98"/>
      <c r="F1500" s="98"/>
      <c r="I1500" s="99">
        <f t="shared" si="329"/>
        <v>0</v>
      </c>
      <c r="L1500" s="99">
        <f t="shared" si="330"/>
        <v>0</v>
      </c>
      <c r="M1500" s="44" t="str">
        <f t="shared" si="332"/>
        <v/>
      </c>
      <c r="N1500" s="100">
        <f t="shared" si="333"/>
        <v>0</v>
      </c>
      <c r="O1500" s="101">
        <f t="shared" si="334"/>
        <v>0</v>
      </c>
      <c r="P1500" s="52">
        <f t="shared" si="335"/>
        <v>0</v>
      </c>
      <c r="Q1500" s="49">
        <v>116.88487613461319</v>
      </c>
      <c r="R1500">
        <v>2225</v>
      </c>
      <c r="S1500" s="50">
        <f t="shared" si="331"/>
        <v>71535.307499999995</v>
      </c>
      <c r="T1500" s="50">
        <f t="shared" si="336"/>
        <v>0</v>
      </c>
      <c r="U1500" s="58">
        <f t="shared" si="337"/>
        <v>0</v>
      </c>
      <c r="V1500" s="58">
        <f t="shared" si="338"/>
        <v>0</v>
      </c>
      <c r="W1500" s="58">
        <f t="shared" si="339"/>
        <v>0</v>
      </c>
      <c r="X1500" s="58">
        <f t="shared" si="340"/>
        <v>0</v>
      </c>
      <c r="Y1500" s="52">
        <f t="shared" si="341"/>
        <v>0</v>
      </c>
    </row>
    <row r="1501" spans="1:25" x14ac:dyDescent="0.25">
      <c r="A1501" s="1218" t="s">
        <v>171</v>
      </c>
      <c r="B1501" s="98">
        <v>45627</v>
      </c>
      <c r="C1501" s="117" t="str">
        <f t="shared" si="342"/>
        <v>6L</v>
      </c>
      <c r="D1501" s="96"/>
      <c r="E1501" s="98"/>
      <c r="F1501" s="98"/>
      <c r="I1501" s="99">
        <f t="shared" si="329"/>
        <v>0</v>
      </c>
      <c r="L1501" s="99">
        <f t="shared" si="330"/>
        <v>0</v>
      </c>
      <c r="M1501" s="44" t="str">
        <f t="shared" si="332"/>
        <v/>
      </c>
      <c r="N1501" s="100">
        <f t="shared" si="333"/>
        <v>0</v>
      </c>
      <c r="O1501" s="101">
        <f t="shared" si="334"/>
        <v>0</v>
      </c>
      <c r="P1501" s="52">
        <f t="shared" si="335"/>
        <v>0</v>
      </c>
      <c r="Q1501" s="49">
        <v>116.88487613461319</v>
      </c>
      <c r="R1501">
        <v>2225</v>
      </c>
      <c r="S1501" s="50">
        <f t="shared" si="331"/>
        <v>71535.307499999995</v>
      </c>
      <c r="T1501" s="50">
        <f t="shared" si="336"/>
        <v>0</v>
      </c>
      <c r="U1501" s="58">
        <f t="shared" si="337"/>
        <v>0</v>
      </c>
      <c r="V1501" s="58">
        <f t="shared" si="338"/>
        <v>0</v>
      </c>
      <c r="W1501" s="58">
        <f t="shared" si="339"/>
        <v>0</v>
      </c>
      <c r="X1501" s="58">
        <f t="shared" si="340"/>
        <v>0</v>
      </c>
      <c r="Y1501" s="52">
        <f t="shared" si="341"/>
        <v>0</v>
      </c>
    </row>
    <row r="1502" spans="1:25" x14ac:dyDescent="0.25">
      <c r="A1502" s="1218" t="s">
        <v>172</v>
      </c>
      <c r="B1502" s="98">
        <v>45627</v>
      </c>
      <c r="C1502" s="117" t="str">
        <f t="shared" si="342"/>
        <v>6L</v>
      </c>
      <c r="D1502" s="96"/>
      <c r="E1502" s="98"/>
      <c r="F1502" s="98"/>
      <c r="I1502" s="99">
        <f t="shared" si="329"/>
        <v>0</v>
      </c>
      <c r="L1502" s="99">
        <f t="shared" si="330"/>
        <v>0</v>
      </c>
      <c r="M1502" s="44" t="str">
        <f t="shared" si="332"/>
        <v/>
      </c>
      <c r="N1502" s="100">
        <f t="shared" si="333"/>
        <v>0</v>
      </c>
      <c r="O1502" s="101">
        <f t="shared" si="334"/>
        <v>0</v>
      </c>
      <c r="P1502" s="52">
        <f t="shared" si="335"/>
        <v>0</v>
      </c>
      <c r="Q1502" s="49">
        <v>116.88487613461319</v>
      </c>
      <c r="R1502">
        <v>2225</v>
      </c>
      <c r="S1502" s="50">
        <f t="shared" si="331"/>
        <v>71535.307499999995</v>
      </c>
      <c r="T1502" s="50">
        <f t="shared" si="336"/>
        <v>0</v>
      </c>
      <c r="U1502" s="58">
        <f t="shared" si="337"/>
        <v>0</v>
      </c>
      <c r="V1502" s="58">
        <f t="shared" si="338"/>
        <v>0</v>
      </c>
      <c r="W1502" s="58">
        <f t="shared" si="339"/>
        <v>0</v>
      </c>
      <c r="X1502" s="58">
        <f t="shared" si="340"/>
        <v>0</v>
      </c>
      <c r="Y1502" s="52">
        <f t="shared" si="341"/>
        <v>0</v>
      </c>
    </row>
    <row r="1503" spans="1:25" x14ac:dyDescent="0.25">
      <c r="A1503" s="1218" t="s">
        <v>173</v>
      </c>
      <c r="B1503" s="98">
        <v>45627</v>
      </c>
      <c r="C1503" s="117" t="str">
        <f t="shared" si="342"/>
        <v>6L</v>
      </c>
      <c r="D1503" s="96"/>
      <c r="E1503" s="98"/>
      <c r="F1503" s="98"/>
      <c r="I1503" s="99">
        <f t="shared" si="329"/>
        <v>0</v>
      </c>
      <c r="L1503" s="99">
        <f t="shared" si="330"/>
        <v>0</v>
      </c>
      <c r="M1503" s="44" t="str">
        <f t="shared" si="332"/>
        <v/>
      </c>
      <c r="N1503" s="100">
        <f t="shared" si="333"/>
        <v>0</v>
      </c>
      <c r="O1503" s="101">
        <f t="shared" si="334"/>
        <v>0</v>
      </c>
      <c r="P1503" s="52">
        <f t="shared" si="335"/>
        <v>0</v>
      </c>
      <c r="Q1503" s="49">
        <v>116.88487613461319</v>
      </c>
      <c r="R1503">
        <v>2225</v>
      </c>
      <c r="S1503" s="50">
        <f t="shared" si="331"/>
        <v>71535.307499999995</v>
      </c>
      <c r="T1503" s="50">
        <f t="shared" si="336"/>
        <v>0</v>
      </c>
      <c r="U1503" s="58">
        <f t="shared" si="337"/>
        <v>0</v>
      </c>
      <c r="V1503" s="58">
        <f t="shared" si="338"/>
        <v>0</v>
      </c>
      <c r="W1503" s="58">
        <f t="shared" si="339"/>
        <v>0</v>
      </c>
      <c r="X1503" s="58">
        <f t="shared" si="340"/>
        <v>0</v>
      </c>
      <c r="Y1503" s="52">
        <f t="shared" si="341"/>
        <v>0</v>
      </c>
    </row>
    <row r="1504" spans="1:25" x14ac:dyDescent="0.25">
      <c r="A1504" s="1218" t="s">
        <v>174</v>
      </c>
      <c r="B1504" s="98">
        <v>45627</v>
      </c>
      <c r="C1504" s="117" t="str">
        <f t="shared" si="342"/>
        <v>6L</v>
      </c>
      <c r="D1504" s="96"/>
      <c r="E1504" s="98"/>
      <c r="F1504" s="98"/>
      <c r="I1504" s="99">
        <f t="shared" si="329"/>
        <v>0</v>
      </c>
      <c r="L1504" s="99">
        <f t="shared" si="330"/>
        <v>0</v>
      </c>
      <c r="M1504" s="44" t="str">
        <f t="shared" si="332"/>
        <v/>
      </c>
      <c r="N1504" s="100">
        <f t="shared" si="333"/>
        <v>0</v>
      </c>
      <c r="O1504" s="101">
        <f t="shared" si="334"/>
        <v>0</v>
      </c>
      <c r="P1504" s="52">
        <f t="shared" si="335"/>
        <v>0</v>
      </c>
      <c r="Q1504" s="49">
        <v>116.88487613461319</v>
      </c>
      <c r="R1504">
        <v>2225</v>
      </c>
      <c r="S1504" s="50">
        <f t="shared" si="331"/>
        <v>71535.307499999995</v>
      </c>
      <c r="T1504" s="50">
        <f t="shared" si="336"/>
        <v>0</v>
      </c>
      <c r="U1504" s="58">
        <f t="shared" si="337"/>
        <v>0</v>
      </c>
      <c r="V1504" s="58">
        <f t="shared" si="338"/>
        <v>0</v>
      </c>
      <c r="W1504" s="58">
        <f t="shared" si="339"/>
        <v>0</v>
      </c>
      <c r="X1504" s="58">
        <f t="shared" si="340"/>
        <v>0</v>
      </c>
      <c r="Y1504" s="52">
        <f t="shared" si="341"/>
        <v>0</v>
      </c>
    </row>
    <row r="1505" spans="1:25" x14ac:dyDescent="0.25">
      <c r="A1505" s="1218" t="s">
        <v>175</v>
      </c>
      <c r="B1505" s="98">
        <v>45627</v>
      </c>
      <c r="C1505" s="117" t="str">
        <f t="shared" si="342"/>
        <v>6L</v>
      </c>
      <c r="D1505" s="96"/>
      <c r="E1505" s="98"/>
      <c r="F1505" s="98"/>
      <c r="I1505" s="99">
        <f t="shared" si="329"/>
        <v>0</v>
      </c>
      <c r="L1505" s="99">
        <f t="shared" si="330"/>
        <v>0</v>
      </c>
      <c r="M1505" s="44" t="str">
        <f t="shared" si="332"/>
        <v/>
      </c>
      <c r="N1505" s="100">
        <f t="shared" si="333"/>
        <v>0</v>
      </c>
      <c r="O1505" s="101">
        <f t="shared" si="334"/>
        <v>0</v>
      </c>
      <c r="P1505" s="52">
        <f t="shared" si="335"/>
        <v>0</v>
      </c>
      <c r="Q1505" s="49">
        <v>116.88487613461319</v>
      </c>
      <c r="R1505">
        <v>2225</v>
      </c>
      <c r="S1505" s="50">
        <f t="shared" si="331"/>
        <v>71535.307499999995</v>
      </c>
      <c r="T1505" s="50">
        <f t="shared" si="336"/>
        <v>0</v>
      </c>
      <c r="U1505" s="58">
        <f t="shared" si="337"/>
        <v>0</v>
      </c>
      <c r="V1505" s="58">
        <f t="shared" si="338"/>
        <v>0</v>
      </c>
      <c r="W1505" s="58">
        <f t="shared" si="339"/>
        <v>0</v>
      </c>
      <c r="X1505" s="58">
        <f t="shared" si="340"/>
        <v>0</v>
      </c>
      <c r="Y1505" s="52">
        <f t="shared" si="341"/>
        <v>0</v>
      </c>
    </row>
    <row r="1506" spans="1:25" x14ac:dyDescent="0.25">
      <c r="A1506" s="1218" t="s">
        <v>176</v>
      </c>
      <c r="B1506" s="98">
        <v>45627</v>
      </c>
      <c r="C1506" s="117" t="str">
        <f t="shared" si="342"/>
        <v>6L</v>
      </c>
      <c r="D1506" s="96"/>
      <c r="E1506" s="98"/>
      <c r="F1506" s="98"/>
      <c r="I1506" s="99">
        <f t="shared" si="329"/>
        <v>0</v>
      </c>
      <c r="L1506" s="99">
        <f t="shared" si="330"/>
        <v>0</v>
      </c>
      <c r="M1506" s="44" t="str">
        <f t="shared" si="332"/>
        <v/>
      </c>
      <c r="N1506" s="100">
        <f t="shared" si="333"/>
        <v>0</v>
      </c>
      <c r="O1506" s="101">
        <f t="shared" si="334"/>
        <v>0</v>
      </c>
      <c r="P1506" s="52">
        <f t="shared" si="335"/>
        <v>0</v>
      </c>
      <c r="Q1506" s="49">
        <v>116.88487613461319</v>
      </c>
      <c r="R1506">
        <v>2225</v>
      </c>
      <c r="S1506" s="50">
        <f t="shared" si="331"/>
        <v>71535.307499999995</v>
      </c>
      <c r="T1506" s="50">
        <f t="shared" si="336"/>
        <v>0</v>
      </c>
      <c r="U1506" s="58">
        <f t="shared" si="337"/>
        <v>0</v>
      </c>
      <c r="V1506" s="58">
        <f t="shared" si="338"/>
        <v>0</v>
      </c>
      <c r="W1506" s="58">
        <f t="shared" si="339"/>
        <v>0</v>
      </c>
      <c r="X1506" s="58">
        <f t="shared" si="340"/>
        <v>0</v>
      </c>
      <c r="Y1506" s="52">
        <f t="shared" si="341"/>
        <v>0</v>
      </c>
    </row>
    <row r="1507" spans="1:25" x14ac:dyDescent="0.25">
      <c r="A1507" s="1218" t="s">
        <v>177</v>
      </c>
      <c r="B1507" s="98">
        <v>45627</v>
      </c>
      <c r="C1507" s="117" t="str">
        <f t="shared" si="342"/>
        <v>6L</v>
      </c>
      <c r="D1507" s="96"/>
      <c r="E1507" s="98"/>
      <c r="F1507" s="98"/>
      <c r="I1507" s="99">
        <f t="shared" si="329"/>
        <v>0</v>
      </c>
      <c r="L1507" s="99">
        <f t="shared" si="330"/>
        <v>0</v>
      </c>
      <c r="M1507" s="44" t="str">
        <f t="shared" si="332"/>
        <v/>
      </c>
      <c r="N1507" s="100">
        <f t="shared" si="333"/>
        <v>0</v>
      </c>
      <c r="O1507" s="101">
        <f t="shared" si="334"/>
        <v>0</v>
      </c>
      <c r="P1507" s="52">
        <f t="shared" si="335"/>
        <v>0</v>
      </c>
      <c r="Q1507" s="49">
        <v>116.88487613461319</v>
      </c>
      <c r="R1507">
        <v>2225</v>
      </c>
      <c r="S1507" s="50">
        <f t="shared" si="331"/>
        <v>71535.307499999995</v>
      </c>
      <c r="T1507" s="50">
        <f t="shared" si="336"/>
        <v>0</v>
      </c>
      <c r="U1507" s="58">
        <f t="shared" si="337"/>
        <v>0</v>
      </c>
      <c r="V1507" s="58">
        <f t="shared" si="338"/>
        <v>0</v>
      </c>
      <c r="W1507" s="58">
        <f t="shared" si="339"/>
        <v>0</v>
      </c>
      <c r="X1507" s="58">
        <f t="shared" si="340"/>
        <v>0</v>
      </c>
      <c r="Y1507" s="52">
        <f t="shared" si="341"/>
        <v>0</v>
      </c>
    </row>
    <row r="1508" spans="1:25" x14ac:dyDescent="0.25">
      <c r="A1508" s="1218" t="s">
        <v>178</v>
      </c>
      <c r="B1508" s="98">
        <v>45627</v>
      </c>
      <c r="C1508" s="117" t="str">
        <f t="shared" si="342"/>
        <v>7L</v>
      </c>
      <c r="D1508" s="96"/>
      <c r="I1508" s="99">
        <f t="shared" si="329"/>
        <v>0</v>
      </c>
      <c r="L1508" s="99">
        <f t="shared" si="330"/>
        <v>0</v>
      </c>
      <c r="M1508" s="44" t="str">
        <f t="shared" si="332"/>
        <v/>
      </c>
      <c r="N1508" s="100">
        <f t="shared" si="333"/>
        <v>0</v>
      </c>
      <c r="O1508" s="101">
        <f t="shared" si="334"/>
        <v>0</v>
      </c>
      <c r="P1508" s="52">
        <f t="shared" si="335"/>
        <v>0</v>
      </c>
      <c r="Q1508" s="49">
        <v>116.88487613461319</v>
      </c>
      <c r="R1508">
        <v>2225</v>
      </c>
      <c r="S1508" s="50">
        <f t="shared" si="331"/>
        <v>71535.307499999995</v>
      </c>
      <c r="T1508" s="50">
        <f t="shared" si="336"/>
        <v>0</v>
      </c>
      <c r="U1508" s="58">
        <f t="shared" si="337"/>
        <v>0</v>
      </c>
      <c r="V1508" s="58">
        <f t="shared" si="338"/>
        <v>0</v>
      </c>
      <c r="W1508" s="58">
        <f t="shared" si="339"/>
        <v>0</v>
      </c>
      <c r="X1508" s="58">
        <f t="shared" si="340"/>
        <v>0</v>
      </c>
      <c r="Y1508" s="52">
        <f t="shared" si="341"/>
        <v>0</v>
      </c>
    </row>
    <row r="1509" spans="1:25" x14ac:dyDescent="0.25">
      <c r="A1509" s="1218" t="s">
        <v>179</v>
      </c>
      <c r="B1509" s="98">
        <v>45627</v>
      </c>
      <c r="C1509" s="117" t="str">
        <f t="shared" si="342"/>
        <v>7L</v>
      </c>
      <c r="D1509" s="96"/>
      <c r="I1509" s="99">
        <f t="shared" si="329"/>
        <v>0</v>
      </c>
      <c r="L1509" s="99">
        <f t="shared" si="330"/>
        <v>0</v>
      </c>
      <c r="M1509" s="44" t="str">
        <f t="shared" si="332"/>
        <v/>
      </c>
      <c r="N1509" s="100">
        <f t="shared" si="333"/>
        <v>0</v>
      </c>
      <c r="O1509" s="101">
        <f t="shared" si="334"/>
        <v>0</v>
      </c>
      <c r="P1509" s="52">
        <f t="shared" si="335"/>
        <v>0</v>
      </c>
      <c r="Q1509" s="49">
        <v>116.88487613461319</v>
      </c>
      <c r="R1509">
        <v>2225</v>
      </c>
      <c r="S1509" s="50">
        <f t="shared" si="331"/>
        <v>71535.307499999995</v>
      </c>
      <c r="T1509" s="50">
        <f t="shared" si="336"/>
        <v>0</v>
      </c>
      <c r="U1509" s="58">
        <f t="shared" si="337"/>
        <v>0</v>
      </c>
      <c r="V1509" s="58">
        <f t="shared" si="338"/>
        <v>0</v>
      </c>
      <c r="W1509" s="58">
        <f t="shared" si="339"/>
        <v>0</v>
      </c>
      <c r="X1509" s="58">
        <f t="shared" si="340"/>
        <v>0</v>
      </c>
      <c r="Y1509" s="52">
        <f t="shared" si="341"/>
        <v>0</v>
      </c>
    </row>
    <row r="1510" spans="1:25" x14ac:dyDescent="0.25">
      <c r="A1510" s="1218" t="s">
        <v>180</v>
      </c>
      <c r="B1510" s="98">
        <v>45627</v>
      </c>
      <c r="C1510" s="117" t="str">
        <f t="shared" si="342"/>
        <v>7L</v>
      </c>
      <c r="D1510" s="96"/>
      <c r="I1510" s="99">
        <f t="shared" si="329"/>
        <v>0</v>
      </c>
      <c r="L1510" s="99">
        <f t="shared" si="330"/>
        <v>0</v>
      </c>
      <c r="M1510" s="44" t="str">
        <f t="shared" si="332"/>
        <v/>
      </c>
      <c r="N1510" s="100">
        <f t="shared" si="333"/>
        <v>0</v>
      </c>
      <c r="O1510" s="101">
        <f t="shared" si="334"/>
        <v>0</v>
      </c>
      <c r="P1510" s="52">
        <f t="shared" si="335"/>
        <v>0</v>
      </c>
      <c r="Q1510" s="49">
        <v>116.88487613461319</v>
      </c>
      <c r="R1510">
        <v>2225</v>
      </c>
      <c r="S1510" s="50">
        <f t="shared" si="331"/>
        <v>71535.307499999995</v>
      </c>
      <c r="T1510" s="50">
        <f t="shared" si="336"/>
        <v>0</v>
      </c>
      <c r="U1510" s="58">
        <f t="shared" si="337"/>
        <v>0</v>
      </c>
      <c r="V1510" s="58">
        <f t="shared" si="338"/>
        <v>0</v>
      </c>
      <c r="W1510" s="58">
        <f t="shared" si="339"/>
        <v>0</v>
      </c>
      <c r="X1510" s="58">
        <f t="shared" si="340"/>
        <v>0</v>
      </c>
      <c r="Y1510" s="52">
        <f t="shared" si="341"/>
        <v>0</v>
      </c>
    </row>
    <row r="1511" spans="1:25" x14ac:dyDescent="0.25">
      <c r="A1511" s="1218" t="s">
        <v>181</v>
      </c>
      <c r="B1511" s="98">
        <v>45627</v>
      </c>
      <c r="C1511" s="117" t="str">
        <f t="shared" si="342"/>
        <v>7L</v>
      </c>
      <c r="D1511" s="96"/>
      <c r="I1511" s="99">
        <f t="shared" si="329"/>
        <v>0</v>
      </c>
      <c r="L1511" s="99">
        <f t="shared" si="330"/>
        <v>0</v>
      </c>
      <c r="M1511" s="44" t="str">
        <f t="shared" si="332"/>
        <v/>
      </c>
      <c r="N1511" s="100">
        <f t="shared" si="333"/>
        <v>0</v>
      </c>
      <c r="O1511" s="101">
        <f t="shared" si="334"/>
        <v>0</v>
      </c>
      <c r="P1511" s="52">
        <f t="shared" si="335"/>
        <v>0</v>
      </c>
      <c r="Q1511" s="49">
        <v>116.88487613461319</v>
      </c>
      <c r="R1511">
        <v>2225</v>
      </c>
      <c r="S1511" s="50">
        <f t="shared" si="331"/>
        <v>71535.307499999995</v>
      </c>
      <c r="T1511" s="50">
        <f t="shared" si="336"/>
        <v>0</v>
      </c>
      <c r="U1511" s="58">
        <f t="shared" si="337"/>
        <v>0</v>
      </c>
      <c r="V1511" s="58">
        <f t="shared" si="338"/>
        <v>0</v>
      </c>
      <c r="W1511" s="58">
        <f t="shared" si="339"/>
        <v>0</v>
      </c>
      <c r="X1511" s="58">
        <f t="shared" si="340"/>
        <v>0</v>
      </c>
      <c r="Y1511" s="52">
        <f t="shared" si="341"/>
        <v>0</v>
      </c>
    </row>
    <row r="1512" spans="1:25" x14ac:dyDescent="0.25">
      <c r="A1512" s="1218" t="s">
        <v>182</v>
      </c>
      <c r="B1512" s="98">
        <v>45627</v>
      </c>
      <c r="C1512" s="117" t="str">
        <f t="shared" si="342"/>
        <v>7L</v>
      </c>
      <c r="D1512" s="96"/>
      <c r="I1512" s="99">
        <f t="shared" si="329"/>
        <v>0</v>
      </c>
      <c r="L1512" s="99">
        <f t="shared" si="330"/>
        <v>0</v>
      </c>
      <c r="M1512" s="44" t="str">
        <f t="shared" si="332"/>
        <v/>
      </c>
      <c r="N1512" s="100">
        <f t="shared" si="333"/>
        <v>0</v>
      </c>
      <c r="O1512" s="101">
        <f t="shared" si="334"/>
        <v>0</v>
      </c>
      <c r="P1512" s="52">
        <f t="shared" si="335"/>
        <v>0</v>
      </c>
      <c r="Q1512" s="49">
        <v>116.88487613461319</v>
      </c>
      <c r="R1512">
        <v>2225</v>
      </c>
      <c r="S1512" s="50">
        <f t="shared" si="331"/>
        <v>71535.307499999995</v>
      </c>
      <c r="T1512" s="50">
        <f t="shared" si="336"/>
        <v>0</v>
      </c>
      <c r="U1512" s="58">
        <f t="shared" si="337"/>
        <v>0</v>
      </c>
      <c r="V1512" s="58">
        <f t="shared" si="338"/>
        <v>0</v>
      </c>
      <c r="W1512" s="58">
        <f t="shared" si="339"/>
        <v>0</v>
      </c>
      <c r="X1512" s="58">
        <f t="shared" si="340"/>
        <v>0</v>
      </c>
      <c r="Y1512" s="52">
        <f t="shared" si="341"/>
        <v>0</v>
      </c>
    </row>
    <row r="1513" spans="1:25" x14ac:dyDescent="0.25">
      <c r="A1513" s="1218" t="s">
        <v>183</v>
      </c>
      <c r="B1513" s="98">
        <v>45627</v>
      </c>
      <c r="C1513" s="117" t="str">
        <f t="shared" si="342"/>
        <v>7L</v>
      </c>
      <c r="D1513" s="96"/>
      <c r="I1513" s="99">
        <f t="shared" si="329"/>
        <v>0</v>
      </c>
      <c r="L1513" s="99">
        <f t="shared" si="330"/>
        <v>0</v>
      </c>
      <c r="M1513" s="44" t="str">
        <f t="shared" si="332"/>
        <v/>
      </c>
      <c r="N1513" s="100">
        <f t="shared" si="333"/>
        <v>0</v>
      </c>
      <c r="O1513" s="101">
        <f t="shared" si="334"/>
        <v>0</v>
      </c>
      <c r="P1513" s="52">
        <f t="shared" si="335"/>
        <v>0</v>
      </c>
      <c r="Q1513" s="49">
        <v>116.88487613461319</v>
      </c>
      <c r="R1513">
        <v>2225</v>
      </c>
      <c r="S1513" s="50">
        <f t="shared" si="331"/>
        <v>71535.307499999995</v>
      </c>
      <c r="T1513" s="50">
        <f t="shared" si="336"/>
        <v>0</v>
      </c>
      <c r="U1513" s="58">
        <f t="shared" si="337"/>
        <v>0</v>
      </c>
      <c r="V1513" s="58">
        <f t="shared" si="338"/>
        <v>0</v>
      </c>
      <c r="W1513" s="58">
        <f t="shared" si="339"/>
        <v>0</v>
      </c>
      <c r="X1513" s="58">
        <f t="shared" si="340"/>
        <v>0</v>
      </c>
      <c r="Y1513" s="52">
        <f t="shared" si="341"/>
        <v>0</v>
      </c>
    </row>
    <row r="1514" spans="1:25" x14ac:dyDescent="0.25">
      <c r="A1514" s="1218" t="s">
        <v>184</v>
      </c>
      <c r="B1514" s="98">
        <v>45627</v>
      </c>
      <c r="C1514" s="117" t="str">
        <f t="shared" si="342"/>
        <v>7L</v>
      </c>
      <c r="D1514" s="96"/>
      <c r="I1514" s="99">
        <f t="shared" si="329"/>
        <v>0</v>
      </c>
      <c r="L1514" s="99">
        <f t="shared" si="330"/>
        <v>0</v>
      </c>
      <c r="M1514" s="44" t="str">
        <f t="shared" si="332"/>
        <v/>
      </c>
      <c r="N1514" s="100">
        <f t="shared" si="333"/>
        <v>0</v>
      </c>
      <c r="O1514" s="101">
        <f t="shared" si="334"/>
        <v>0</v>
      </c>
      <c r="P1514" s="52">
        <f t="shared" si="335"/>
        <v>0</v>
      </c>
      <c r="Q1514" s="49">
        <v>116.88487613461319</v>
      </c>
      <c r="R1514">
        <v>2225</v>
      </c>
      <c r="S1514" s="50">
        <f t="shared" si="331"/>
        <v>71535.307499999995</v>
      </c>
      <c r="T1514" s="50">
        <f t="shared" si="336"/>
        <v>0</v>
      </c>
      <c r="U1514" s="58">
        <f t="shared" si="337"/>
        <v>0</v>
      </c>
      <c r="V1514" s="58">
        <f t="shared" si="338"/>
        <v>0</v>
      </c>
      <c r="W1514" s="58">
        <f t="shared" si="339"/>
        <v>0</v>
      </c>
      <c r="X1514" s="58">
        <f t="shared" si="340"/>
        <v>0</v>
      </c>
      <c r="Y1514" s="52">
        <f t="shared" si="341"/>
        <v>0</v>
      </c>
    </row>
    <row r="1515" spans="1:25" x14ac:dyDescent="0.25">
      <c r="A1515" s="1218" t="s">
        <v>185</v>
      </c>
      <c r="B1515" s="98">
        <v>45627</v>
      </c>
      <c r="C1515" s="117" t="str">
        <f t="shared" si="342"/>
        <v>7L</v>
      </c>
      <c r="D1515" s="96"/>
      <c r="I1515" s="99">
        <f t="shared" si="329"/>
        <v>0</v>
      </c>
      <c r="L1515" s="99">
        <f t="shared" si="330"/>
        <v>0</v>
      </c>
      <c r="M1515" s="44" t="str">
        <f t="shared" si="332"/>
        <v/>
      </c>
      <c r="N1515" s="100">
        <f t="shared" si="333"/>
        <v>0</v>
      </c>
      <c r="O1515" s="101">
        <f t="shared" si="334"/>
        <v>0</v>
      </c>
      <c r="P1515" s="52">
        <f t="shared" si="335"/>
        <v>0</v>
      </c>
      <c r="Q1515" s="49">
        <v>116.88487613461319</v>
      </c>
      <c r="R1515">
        <v>2225</v>
      </c>
      <c r="S1515" s="50">
        <f t="shared" si="331"/>
        <v>71535.307499999995</v>
      </c>
      <c r="T1515" s="50">
        <f t="shared" si="336"/>
        <v>0</v>
      </c>
      <c r="U1515" s="58">
        <f t="shared" si="337"/>
        <v>0</v>
      </c>
      <c r="V1515" s="58">
        <f t="shared" si="338"/>
        <v>0</v>
      </c>
      <c r="W1515" s="58">
        <f t="shared" si="339"/>
        <v>0</v>
      </c>
      <c r="X1515" s="58">
        <f t="shared" si="340"/>
        <v>0</v>
      </c>
      <c r="Y1515" s="52">
        <f t="shared" si="341"/>
        <v>0</v>
      </c>
    </row>
    <row r="1516" spans="1:25" x14ac:dyDescent="0.25">
      <c r="A1516" s="1218" t="s">
        <v>186</v>
      </c>
      <c r="B1516" s="98">
        <v>45627</v>
      </c>
      <c r="C1516" s="117" t="str">
        <f t="shared" si="342"/>
        <v>7L</v>
      </c>
      <c r="D1516" s="96"/>
      <c r="I1516" s="99">
        <f t="shared" si="329"/>
        <v>0</v>
      </c>
      <c r="L1516" s="99">
        <f t="shared" si="330"/>
        <v>0</v>
      </c>
      <c r="M1516" s="44" t="str">
        <f t="shared" si="332"/>
        <v/>
      </c>
      <c r="N1516" s="100">
        <f t="shared" si="333"/>
        <v>0</v>
      </c>
      <c r="O1516" s="101">
        <f t="shared" si="334"/>
        <v>0</v>
      </c>
      <c r="P1516" s="52">
        <f t="shared" si="335"/>
        <v>0</v>
      </c>
      <c r="Q1516" s="49">
        <v>116.88487613461319</v>
      </c>
      <c r="R1516">
        <v>2225</v>
      </c>
      <c r="S1516" s="50">
        <f t="shared" si="331"/>
        <v>71535.307499999995</v>
      </c>
      <c r="T1516" s="50">
        <f t="shared" si="336"/>
        <v>0</v>
      </c>
      <c r="U1516" s="58">
        <f t="shared" si="337"/>
        <v>0</v>
      </c>
      <c r="V1516" s="58">
        <f t="shared" si="338"/>
        <v>0</v>
      </c>
      <c r="W1516" s="58">
        <f t="shared" si="339"/>
        <v>0</v>
      </c>
      <c r="X1516" s="58">
        <f t="shared" si="340"/>
        <v>0</v>
      </c>
      <c r="Y1516" s="52">
        <f t="shared" si="341"/>
        <v>0</v>
      </c>
    </row>
    <row r="1517" spans="1:25" x14ac:dyDescent="0.25">
      <c r="A1517" s="1218" t="s">
        <v>187</v>
      </c>
      <c r="B1517" s="98">
        <v>45627</v>
      </c>
      <c r="C1517" s="117" t="str">
        <f t="shared" si="342"/>
        <v>7L</v>
      </c>
      <c r="D1517" s="96"/>
      <c r="I1517" s="99">
        <f t="shared" si="329"/>
        <v>0</v>
      </c>
      <c r="L1517" s="99">
        <f t="shared" si="330"/>
        <v>0</v>
      </c>
      <c r="M1517" s="44" t="str">
        <f t="shared" si="332"/>
        <v/>
      </c>
      <c r="N1517" s="100">
        <f t="shared" si="333"/>
        <v>0</v>
      </c>
      <c r="O1517" s="101">
        <f t="shared" si="334"/>
        <v>0</v>
      </c>
      <c r="P1517" s="52">
        <f t="shared" si="335"/>
        <v>0</v>
      </c>
      <c r="Q1517" s="49">
        <v>116.88487613461319</v>
      </c>
      <c r="R1517">
        <v>2225</v>
      </c>
      <c r="S1517" s="50">
        <f t="shared" si="331"/>
        <v>71535.307499999995</v>
      </c>
      <c r="T1517" s="50">
        <f t="shared" si="336"/>
        <v>0</v>
      </c>
      <c r="U1517" s="58">
        <f t="shared" si="337"/>
        <v>0</v>
      </c>
      <c r="V1517" s="58">
        <f t="shared" si="338"/>
        <v>0</v>
      </c>
      <c r="W1517" s="58">
        <f t="shared" si="339"/>
        <v>0</v>
      </c>
      <c r="X1517" s="58">
        <f t="shared" si="340"/>
        <v>0</v>
      </c>
      <c r="Y1517" s="52">
        <f t="shared" si="341"/>
        <v>0</v>
      </c>
    </row>
    <row r="1518" spans="1:25" x14ac:dyDescent="0.25">
      <c r="A1518" s="1218" t="s">
        <v>188</v>
      </c>
      <c r="B1518" s="98">
        <v>45627</v>
      </c>
      <c r="C1518" s="117" t="str">
        <f t="shared" si="342"/>
        <v>7L</v>
      </c>
      <c r="D1518" s="96"/>
      <c r="I1518" s="99">
        <f t="shared" si="329"/>
        <v>0</v>
      </c>
      <c r="L1518" s="99">
        <f t="shared" si="330"/>
        <v>0</v>
      </c>
      <c r="M1518" s="44" t="str">
        <f t="shared" si="332"/>
        <v/>
      </c>
      <c r="N1518" s="100">
        <f t="shared" si="333"/>
        <v>0</v>
      </c>
      <c r="O1518" s="101">
        <f t="shared" si="334"/>
        <v>0</v>
      </c>
      <c r="P1518" s="52">
        <f t="shared" si="335"/>
        <v>0</v>
      </c>
      <c r="Q1518" s="49">
        <v>116.88487613461319</v>
      </c>
      <c r="R1518">
        <v>2225</v>
      </c>
      <c r="S1518" s="50">
        <f t="shared" si="331"/>
        <v>71535.307499999995</v>
      </c>
      <c r="T1518" s="50">
        <f t="shared" si="336"/>
        <v>0</v>
      </c>
      <c r="U1518" s="58">
        <f t="shared" si="337"/>
        <v>0</v>
      </c>
      <c r="V1518" s="58">
        <f t="shared" si="338"/>
        <v>0</v>
      </c>
      <c r="W1518" s="58">
        <f t="shared" si="339"/>
        <v>0</v>
      </c>
      <c r="X1518" s="58">
        <f t="shared" si="340"/>
        <v>0</v>
      </c>
      <c r="Y1518" s="52">
        <f t="shared" si="341"/>
        <v>0</v>
      </c>
    </row>
    <row r="1519" spans="1:25" x14ac:dyDescent="0.25">
      <c r="A1519" s="1218" t="s">
        <v>189</v>
      </c>
      <c r="B1519" s="98">
        <v>45627</v>
      </c>
      <c r="C1519" s="117" t="str">
        <f t="shared" si="342"/>
        <v>7L</v>
      </c>
      <c r="D1519" s="96"/>
      <c r="I1519" s="99">
        <f t="shared" si="329"/>
        <v>0</v>
      </c>
      <c r="L1519" s="99">
        <f t="shared" si="330"/>
        <v>0</v>
      </c>
      <c r="M1519" s="44" t="str">
        <f t="shared" si="332"/>
        <v/>
      </c>
      <c r="N1519" s="100">
        <f t="shared" si="333"/>
        <v>0</v>
      </c>
      <c r="O1519" s="101">
        <f t="shared" si="334"/>
        <v>0</v>
      </c>
      <c r="P1519" s="52">
        <f t="shared" si="335"/>
        <v>0</v>
      </c>
      <c r="Q1519" s="49">
        <v>116.88487613461319</v>
      </c>
      <c r="R1519">
        <v>2225</v>
      </c>
      <c r="S1519" s="50">
        <f t="shared" si="331"/>
        <v>71535.307499999995</v>
      </c>
      <c r="T1519" s="50">
        <f t="shared" si="336"/>
        <v>0</v>
      </c>
      <c r="U1519" s="58">
        <f t="shared" si="337"/>
        <v>0</v>
      </c>
      <c r="V1519" s="58">
        <f t="shared" si="338"/>
        <v>0</v>
      </c>
      <c r="W1519" s="58">
        <f t="shared" si="339"/>
        <v>0</v>
      </c>
      <c r="X1519" s="58">
        <f t="shared" si="340"/>
        <v>0</v>
      </c>
      <c r="Y1519" s="52">
        <f t="shared" si="341"/>
        <v>0</v>
      </c>
    </row>
    <row r="1520" spans="1:25" x14ac:dyDescent="0.25">
      <c r="A1520" s="1218" t="s">
        <v>190</v>
      </c>
      <c r="B1520" s="98">
        <v>45627</v>
      </c>
      <c r="C1520" s="117" t="str">
        <f t="shared" si="342"/>
        <v>8L</v>
      </c>
      <c r="D1520" s="96"/>
      <c r="I1520" s="99">
        <f t="shared" si="329"/>
        <v>0</v>
      </c>
      <c r="L1520" s="99">
        <f t="shared" si="330"/>
        <v>0</v>
      </c>
      <c r="M1520" s="44" t="str">
        <f t="shared" si="332"/>
        <v/>
      </c>
      <c r="N1520" s="100">
        <f t="shared" si="333"/>
        <v>0</v>
      </c>
      <c r="O1520" s="101">
        <f t="shared" si="334"/>
        <v>0</v>
      </c>
      <c r="P1520" s="52">
        <f t="shared" si="335"/>
        <v>0</v>
      </c>
      <c r="Q1520" s="49">
        <v>116.88487613461319</v>
      </c>
      <c r="R1520">
        <v>2225</v>
      </c>
      <c r="S1520" s="50">
        <f t="shared" si="331"/>
        <v>71535.307499999995</v>
      </c>
      <c r="T1520" s="50">
        <f t="shared" si="336"/>
        <v>0</v>
      </c>
      <c r="U1520" s="58">
        <f t="shared" si="337"/>
        <v>0</v>
      </c>
      <c r="V1520" s="58">
        <f t="shared" si="338"/>
        <v>0</v>
      </c>
      <c r="W1520" s="58">
        <f t="shared" si="339"/>
        <v>0</v>
      </c>
      <c r="X1520" s="58">
        <f t="shared" si="340"/>
        <v>0</v>
      </c>
      <c r="Y1520" s="52">
        <f t="shared" si="341"/>
        <v>0</v>
      </c>
    </row>
    <row r="1521" spans="1:25" x14ac:dyDescent="0.25">
      <c r="A1521" s="1218" t="s">
        <v>191</v>
      </c>
      <c r="B1521" s="98">
        <v>45627</v>
      </c>
      <c r="C1521" s="117" t="str">
        <f t="shared" si="342"/>
        <v>8L</v>
      </c>
      <c r="D1521" s="96"/>
      <c r="I1521" s="99">
        <f t="shared" si="329"/>
        <v>0</v>
      </c>
      <c r="L1521" s="99">
        <f t="shared" si="330"/>
        <v>0</v>
      </c>
      <c r="M1521" s="44" t="str">
        <f t="shared" si="332"/>
        <v/>
      </c>
      <c r="N1521" s="100">
        <f t="shared" si="333"/>
        <v>0</v>
      </c>
      <c r="O1521" s="101">
        <f t="shared" si="334"/>
        <v>0</v>
      </c>
      <c r="P1521" s="52">
        <f t="shared" si="335"/>
        <v>0</v>
      </c>
      <c r="Q1521" s="49">
        <v>116.88487613461319</v>
      </c>
      <c r="R1521">
        <v>2225</v>
      </c>
      <c r="S1521" s="50">
        <f t="shared" si="331"/>
        <v>71535.307499999995</v>
      </c>
      <c r="T1521" s="50">
        <f t="shared" si="336"/>
        <v>0</v>
      </c>
      <c r="U1521" s="58">
        <f t="shared" si="337"/>
        <v>0</v>
      </c>
      <c r="V1521" s="58">
        <f t="shared" si="338"/>
        <v>0</v>
      </c>
      <c r="W1521" s="58">
        <f t="shared" si="339"/>
        <v>0</v>
      </c>
      <c r="X1521" s="58">
        <f t="shared" si="340"/>
        <v>0</v>
      </c>
      <c r="Y1521" s="52">
        <f t="shared" si="341"/>
        <v>0</v>
      </c>
    </row>
    <row r="1522" spans="1:25" x14ac:dyDescent="0.25">
      <c r="A1522" s="1218" t="s">
        <v>192</v>
      </c>
      <c r="B1522" s="98">
        <v>45627</v>
      </c>
      <c r="C1522" s="117" t="str">
        <f t="shared" si="342"/>
        <v>8L</v>
      </c>
      <c r="D1522" s="96"/>
      <c r="I1522" s="99">
        <f t="shared" si="329"/>
        <v>0</v>
      </c>
      <c r="L1522" s="99">
        <f t="shared" si="330"/>
        <v>0</v>
      </c>
      <c r="M1522" s="44" t="str">
        <f t="shared" si="332"/>
        <v/>
      </c>
      <c r="N1522" s="100">
        <f t="shared" si="333"/>
        <v>0</v>
      </c>
      <c r="O1522" s="101">
        <f t="shared" si="334"/>
        <v>0</v>
      </c>
      <c r="P1522" s="52">
        <f t="shared" si="335"/>
        <v>0</v>
      </c>
      <c r="Q1522" s="49">
        <v>116.88487613461319</v>
      </c>
      <c r="R1522">
        <v>2225</v>
      </c>
      <c r="S1522" s="50">
        <f t="shared" si="331"/>
        <v>71535.307499999995</v>
      </c>
      <c r="T1522" s="50">
        <f t="shared" si="336"/>
        <v>0</v>
      </c>
      <c r="U1522" s="58">
        <f t="shared" si="337"/>
        <v>0</v>
      </c>
      <c r="V1522" s="58">
        <f t="shared" si="338"/>
        <v>0</v>
      </c>
      <c r="W1522" s="58">
        <f t="shared" si="339"/>
        <v>0</v>
      </c>
      <c r="X1522" s="58">
        <f t="shared" si="340"/>
        <v>0</v>
      </c>
      <c r="Y1522" s="52">
        <f t="shared" si="341"/>
        <v>0</v>
      </c>
    </row>
    <row r="1523" spans="1:25" x14ac:dyDescent="0.25">
      <c r="A1523" s="1218" t="s">
        <v>193</v>
      </c>
      <c r="B1523" s="98">
        <v>45627</v>
      </c>
      <c r="C1523" s="117" t="str">
        <f t="shared" si="342"/>
        <v>8L</v>
      </c>
      <c r="D1523" s="96"/>
      <c r="I1523" s="99">
        <f t="shared" si="329"/>
        <v>0</v>
      </c>
      <c r="L1523" s="99">
        <f t="shared" si="330"/>
        <v>0</v>
      </c>
      <c r="M1523" s="44" t="str">
        <f t="shared" si="332"/>
        <v/>
      </c>
      <c r="N1523" s="100">
        <f t="shared" si="333"/>
        <v>0</v>
      </c>
      <c r="O1523" s="101">
        <f t="shared" si="334"/>
        <v>0</v>
      </c>
      <c r="P1523" s="52">
        <f t="shared" si="335"/>
        <v>0</v>
      </c>
      <c r="Q1523" s="49">
        <v>116.88487613461319</v>
      </c>
      <c r="R1523">
        <v>2225</v>
      </c>
      <c r="S1523" s="50">
        <f t="shared" si="331"/>
        <v>71535.307499999995</v>
      </c>
      <c r="T1523" s="50">
        <f t="shared" si="336"/>
        <v>0</v>
      </c>
      <c r="U1523" s="58">
        <f t="shared" si="337"/>
        <v>0</v>
      </c>
      <c r="V1523" s="58">
        <f t="shared" si="338"/>
        <v>0</v>
      </c>
      <c r="W1523" s="58">
        <f t="shared" si="339"/>
        <v>0</v>
      </c>
      <c r="X1523" s="58">
        <f t="shared" si="340"/>
        <v>0</v>
      </c>
      <c r="Y1523" s="52">
        <f t="shared" si="341"/>
        <v>0</v>
      </c>
    </row>
    <row r="1524" spans="1:25" x14ac:dyDescent="0.25">
      <c r="A1524" s="1218" t="s">
        <v>194</v>
      </c>
      <c r="B1524" s="98">
        <v>45627</v>
      </c>
      <c r="C1524" s="117" t="str">
        <f t="shared" si="342"/>
        <v>8L</v>
      </c>
      <c r="D1524" s="96"/>
      <c r="I1524" s="99">
        <f t="shared" si="329"/>
        <v>0</v>
      </c>
      <c r="L1524" s="99">
        <f t="shared" si="330"/>
        <v>0</v>
      </c>
      <c r="M1524" s="44" t="str">
        <f t="shared" si="332"/>
        <v/>
      </c>
      <c r="N1524" s="100">
        <f t="shared" si="333"/>
        <v>0</v>
      </c>
      <c r="O1524" s="101">
        <f t="shared" si="334"/>
        <v>0</v>
      </c>
      <c r="P1524" s="52">
        <f t="shared" si="335"/>
        <v>0</v>
      </c>
      <c r="Q1524" s="49">
        <v>116.88487613461319</v>
      </c>
      <c r="R1524">
        <v>2225</v>
      </c>
      <c r="S1524" s="50">
        <f t="shared" si="331"/>
        <v>71535.307499999995</v>
      </c>
      <c r="T1524" s="50">
        <f t="shared" si="336"/>
        <v>0</v>
      </c>
      <c r="U1524" s="58">
        <f t="shared" si="337"/>
        <v>0</v>
      </c>
      <c r="V1524" s="58">
        <f t="shared" si="338"/>
        <v>0</v>
      </c>
      <c r="W1524" s="58">
        <f t="shared" si="339"/>
        <v>0</v>
      </c>
      <c r="X1524" s="58">
        <f t="shared" si="340"/>
        <v>0</v>
      </c>
      <c r="Y1524" s="52">
        <f t="shared" si="341"/>
        <v>0</v>
      </c>
    </row>
    <row r="1525" spans="1:25" x14ac:dyDescent="0.25">
      <c r="A1525" s="1218" t="s">
        <v>195</v>
      </c>
      <c r="B1525" s="98">
        <v>45627</v>
      </c>
      <c r="C1525" s="117" t="str">
        <f t="shared" si="342"/>
        <v>8L</v>
      </c>
      <c r="D1525" s="96"/>
      <c r="I1525" s="99">
        <f t="shared" si="329"/>
        <v>0</v>
      </c>
      <c r="L1525" s="99">
        <f t="shared" si="330"/>
        <v>0</v>
      </c>
      <c r="M1525" s="44" t="str">
        <f t="shared" si="332"/>
        <v/>
      </c>
      <c r="N1525" s="100">
        <f t="shared" si="333"/>
        <v>0</v>
      </c>
      <c r="O1525" s="101">
        <f t="shared" si="334"/>
        <v>0</v>
      </c>
      <c r="P1525" s="52">
        <f t="shared" si="335"/>
        <v>0</v>
      </c>
      <c r="Q1525" s="49">
        <v>116.88487613461319</v>
      </c>
      <c r="R1525">
        <v>2225</v>
      </c>
      <c r="S1525" s="50">
        <f t="shared" si="331"/>
        <v>71535.307499999995</v>
      </c>
      <c r="T1525" s="50">
        <f t="shared" si="336"/>
        <v>0</v>
      </c>
      <c r="U1525" s="58">
        <f t="shared" si="337"/>
        <v>0</v>
      </c>
      <c r="V1525" s="58">
        <f t="shared" si="338"/>
        <v>0</v>
      </c>
      <c r="W1525" s="58">
        <f t="shared" si="339"/>
        <v>0</v>
      </c>
      <c r="X1525" s="58">
        <f t="shared" si="340"/>
        <v>0</v>
      </c>
      <c r="Y1525" s="52">
        <f t="shared" si="341"/>
        <v>0</v>
      </c>
    </row>
    <row r="1526" spans="1:25" x14ac:dyDescent="0.25">
      <c r="A1526" s="1218" t="s">
        <v>196</v>
      </c>
      <c r="B1526" s="98">
        <v>45627</v>
      </c>
      <c r="C1526" s="117" t="str">
        <f t="shared" si="342"/>
        <v>8L</v>
      </c>
      <c r="D1526" s="96"/>
      <c r="I1526" s="99">
        <f t="shared" si="329"/>
        <v>0</v>
      </c>
      <c r="L1526" s="99">
        <f t="shared" si="330"/>
        <v>0</v>
      </c>
      <c r="M1526" s="44" t="str">
        <f t="shared" si="332"/>
        <v/>
      </c>
      <c r="N1526" s="100">
        <f t="shared" si="333"/>
        <v>0</v>
      </c>
      <c r="O1526" s="101">
        <f t="shared" si="334"/>
        <v>0</v>
      </c>
      <c r="P1526" s="52">
        <f t="shared" si="335"/>
        <v>0</v>
      </c>
      <c r="Q1526" s="49">
        <v>116.88487613461319</v>
      </c>
      <c r="R1526">
        <v>2225</v>
      </c>
      <c r="S1526" s="50">
        <f t="shared" si="331"/>
        <v>71535.307499999995</v>
      </c>
      <c r="T1526" s="50">
        <f t="shared" si="336"/>
        <v>0</v>
      </c>
      <c r="U1526" s="58">
        <f t="shared" si="337"/>
        <v>0</v>
      </c>
      <c r="V1526" s="58">
        <f t="shared" si="338"/>
        <v>0</v>
      </c>
      <c r="W1526" s="58">
        <f t="shared" si="339"/>
        <v>0</v>
      </c>
      <c r="X1526" s="58">
        <f t="shared" si="340"/>
        <v>0</v>
      </c>
      <c r="Y1526" s="52">
        <f t="shared" si="341"/>
        <v>0</v>
      </c>
    </row>
    <row r="1527" spans="1:25" x14ac:dyDescent="0.25">
      <c r="A1527" s="1218" t="s">
        <v>197</v>
      </c>
      <c r="B1527" s="98">
        <v>45627</v>
      </c>
      <c r="C1527" s="117" t="str">
        <f t="shared" si="342"/>
        <v>8L</v>
      </c>
      <c r="D1527" s="96"/>
      <c r="I1527" s="99">
        <f t="shared" si="329"/>
        <v>0</v>
      </c>
      <c r="L1527" s="99">
        <f t="shared" si="330"/>
        <v>0</v>
      </c>
      <c r="M1527" s="44" t="str">
        <f t="shared" si="332"/>
        <v/>
      </c>
      <c r="N1527" s="100">
        <f t="shared" si="333"/>
        <v>0</v>
      </c>
      <c r="O1527" s="101">
        <f t="shared" si="334"/>
        <v>0</v>
      </c>
      <c r="P1527" s="52">
        <f t="shared" si="335"/>
        <v>0</v>
      </c>
      <c r="Q1527" s="49">
        <v>116.88487613461319</v>
      </c>
      <c r="R1527">
        <v>2225</v>
      </c>
      <c r="S1527" s="50">
        <f t="shared" si="331"/>
        <v>71535.307499999995</v>
      </c>
      <c r="T1527" s="50">
        <f t="shared" si="336"/>
        <v>0</v>
      </c>
      <c r="U1527" s="58">
        <f t="shared" si="337"/>
        <v>0</v>
      </c>
      <c r="V1527" s="58">
        <f t="shared" si="338"/>
        <v>0</v>
      </c>
      <c r="W1527" s="58">
        <f t="shared" si="339"/>
        <v>0</v>
      </c>
      <c r="X1527" s="58">
        <f t="shared" si="340"/>
        <v>0</v>
      </c>
      <c r="Y1527" s="52">
        <f t="shared" si="341"/>
        <v>0</v>
      </c>
    </row>
    <row r="1528" spans="1:25" x14ac:dyDescent="0.25">
      <c r="A1528" s="1218" t="s">
        <v>198</v>
      </c>
      <c r="B1528" s="98">
        <v>45627</v>
      </c>
      <c r="C1528" s="117" t="str">
        <f t="shared" si="342"/>
        <v>8L</v>
      </c>
      <c r="D1528" s="96"/>
      <c r="I1528" s="99">
        <f t="shared" si="329"/>
        <v>0</v>
      </c>
      <c r="L1528" s="99">
        <f t="shared" si="330"/>
        <v>0</v>
      </c>
      <c r="M1528" s="44" t="str">
        <f t="shared" si="332"/>
        <v/>
      </c>
      <c r="N1528" s="100">
        <f t="shared" si="333"/>
        <v>0</v>
      </c>
      <c r="O1528" s="101">
        <f t="shared" si="334"/>
        <v>0</v>
      </c>
      <c r="P1528" s="52">
        <f t="shared" si="335"/>
        <v>0</v>
      </c>
      <c r="Q1528" s="49">
        <v>116.88487613461319</v>
      </c>
      <c r="R1528">
        <v>2225</v>
      </c>
      <c r="S1528" s="50">
        <f t="shared" si="331"/>
        <v>71535.307499999995</v>
      </c>
      <c r="T1528" s="50">
        <f t="shared" si="336"/>
        <v>0</v>
      </c>
      <c r="U1528" s="58">
        <f t="shared" si="337"/>
        <v>0</v>
      </c>
      <c r="V1528" s="58">
        <f t="shared" si="338"/>
        <v>0</v>
      </c>
      <c r="W1528" s="58">
        <f t="shared" si="339"/>
        <v>0</v>
      </c>
      <c r="X1528" s="58">
        <f t="shared" si="340"/>
        <v>0</v>
      </c>
      <c r="Y1528" s="52">
        <f t="shared" si="341"/>
        <v>0</v>
      </c>
    </row>
    <row r="1529" spans="1:25" x14ac:dyDescent="0.25">
      <c r="A1529" s="1218" t="s">
        <v>199</v>
      </c>
      <c r="B1529" s="98">
        <v>45627</v>
      </c>
      <c r="C1529" s="117" t="str">
        <f t="shared" si="342"/>
        <v>8L</v>
      </c>
      <c r="D1529" s="96"/>
      <c r="I1529" s="99">
        <f t="shared" si="329"/>
        <v>0</v>
      </c>
      <c r="L1529" s="99">
        <f t="shared" si="330"/>
        <v>0</v>
      </c>
      <c r="M1529" s="44" t="str">
        <f t="shared" si="332"/>
        <v/>
      </c>
      <c r="N1529" s="100">
        <f t="shared" si="333"/>
        <v>0</v>
      </c>
      <c r="O1529" s="101">
        <f t="shared" si="334"/>
        <v>0</v>
      </c>
      <c r="P1529" s="52">
        <f t="shared" si="335"/>
        <v>0</v>
      </c>
      <c r="Q1529" s="49">
        <v>116.88487613461319</v>
      </c>
      <c r="R1529">
        <v>2225</v>
      </c>
      <c r="S1529" s="50">
        <f t="shared" si="331"/>
        <v>71535.307499999995</v>
      </c>
      <c r="T1529" s="50">
        <f t="shared" si="336"/>
        <v>0</v>
      </c>
      <c r="U1529" s="58">
        <f t="shared" si="337"/>
        <v>0</v>
      </c>
      <c r="V1529" s="58">
        <f t="shared" si="338"/>
        <v>0</v>
      </c>
      <c r="W1529" s="58">
        <f t="shared" si="339"/>
        <v>0</v>
      </c>
      <c r="X1529" s="58">
        <f t="shared" si="340"/>
        <v>0</v>
      </c>
      <c r="Y1529" s="52">
        <f t="shared" si="341"/>
        <v>0</v>
      </c>
    </row>
    <row r="1530" spans="1:25" x14ac:dyDescent="0.25">
      <c r="A1530" s="1218" t="s">
        <v>200</v>
      </c>
      <c r="B1530" s="98">
        <v>45627</v>
      </c>
      <c r="C1530" s="117" t="str">
        <f t="shared" si="342"/>
        <v>8L</v>
      </c>
      <c r="D1530" s="96"/>
      <c r="I1530" s="99">
        <f t="shared" ref="I1530:I1594" si="343">IFERROR(G1530*H1530/1000,"")</f>
        <v>0</v>
      </c>
      <c r="L1530" s="99">
        <f t="shared" si="330"/>
        <v>0</v>
      </c>
      <c r="M1530" s="44" t="str">
        <f t="shared" si="332"/>
        <v/>
      </c>
      <c r="N1530" s="100">
        <f t="shared" si="333"/>
        <v>0</v>
      </c>
      <c r="O1530" s="101">
        <f t="shared" si="334"/>
        <v>0</v>
      </c>
      <c r="P1530" s="52">
        <f t="shared" si="335"/>
        <v>0</v>
      </c>
      <c r="Q1530" s="49">
        <v>116.88487613461319</v>
      </c>
      <c r="R1530">
        <v>2225</v>
      </c>
      <c r="S1530" s="50">
        <f t="shared" si="331"/>
        <v>71535.307499999995</v>
      </c>
      <c r="T1530" s="50">
        <f t="shared" si="336"/>
        <v>0</v>
      </c>
      <c r="U1530" s="58">
        <f t="shared" si="337"/>
        <v>0</v>
      </c>
      <c r="V1530" s="58">
        <f t="shared" si="338"/>
        <v>0</v>
      </c>
      <c r="W1530" s="58">
        <f t="shared" si="339"/>
        <v>0</v>
      </c>
      <c r="X1530" s="58">
        <f t="shared" si="340"/>
        <v>0</v>
      </c>
      <c r="Y1530" s="52">
        <f t="shared" si="341"/>
        <v>0</v>
      </c>
    </row>
    <row r="1531" spans="1:25" x14ac:dyDescent="0.25">
      <c r="A1531" s="1218" t="s">
        <v>201</v>
      </c>
      <c r="B1531" s="98">
        <v>45627</v>
      </c>
      <c r="C1531" s="117" t="str">
        <f t="shared" si="342"/>
        <v>8L</v>
      </c>
      <c r="D1531" s="96"/>
      <c r="I1531" s="99">
        <f t="shared" si="343"/>
        <v>0</v>
      </c>
      <c r="L1531" s="99">
        <f t="shared" si="330"/>
        <v>0</v>
      </c>
      <c r="M1531" s="44" t="str">
        <f t="shared" si="332"/>
        <v/>
      </c>
      <c r="N1531" s="100">
        <f t="shared" si="333"/>
        <v>0</v>
      </c>
      <c r="O1531" s="101">
        <f t="shared" si="334"/>
        <v>0</v>
      </c>
      <c r="P1531" s="52">
        <f t="shared" si="335"/>
        <v>0</v>
      </c>
      <c r="Q1531" s="49">
        <v>116.88487613461319</v>
      </c>
      <c r="R1531">
        <v>2225</v>
      </c>
      <c r="S1531" s="50">
        <f t="shared" si="331"/>
        <v>71535.307499999995</v>
      </c>
      <c r="T1531" s="50">
        <f t="shared" si="336"/>
        <v>0</v>
      </c>
      <c r="U1531" s="58">
        <f t="shared" si="337"/>
        <v>0</v>
      </c>
      <c r="V1531" s="58">
        <f t="shared" si="338"/>
        <v>0</v>
      </c>
      <c r="W1531" s="58">
        <f t="shared" si="339"/>
        <v>0</v>
      </c>
      <c r="X1531" s="58">
        <f t="shared" si="340"/>
        <v>0</v>
      </c>
      <c r="Y1531" s="52">
        <f t="shared" si="341"/>
        <v>0</v>
      </c>
    </row>
    <row r="1532" spans="1:25" x14ac:dyDescent="0.25">
      <c r="A1532" s="1218" t="s">
        <v>202</v>
      </c>
      <c r="B1532" s="98">
        <v>45627</v>
      </c>
      <c r="C1532" s="117" t="str">
        <f t="shared" si="342"/>
        <v>8L</v>
      </c>
      <c r="D1532" s="96"/>
      <c r="I1532" s="99">
        <f t="shared" si="343"/>
        <v>0</v>
      </c>
      <c r="L1532" s="99">
        <f t="shared" si="330"/>
        <v>0</v>
      </c>
      <c r="M1532" s="44" t="str">
        <f t="shared" si="332"/>
        <v/>
      </c>
      <c r="N1532" s="100">
        <f t="shared" si="333"/>
        <v>0</v>
      </c>
      <c r="O1532" s="101">
        <f t="shared" si="334"/>
        <v>0</v>
      </c>
      <c r="P1532" s="52">
        <f t="shared" si="335"/>
        <v>0</v>
      </c>
      <c r="Q1532" s="49">
        <v>116.88487613461319</v>
      </c>
      <c r="R1532">
        <v>2225</v>
      </c>
      <c r="S1532" s="50">
        <f t="shared" si="331"/>
        <v>71535.307499999995</v>
      </c>
      <c r="T1532" s="50">
        <f t="shared" si="336"/>
        <v>0</v>
      </c>
      <c r="U1532" s="58">
        <f t="shared" si="337"/>
        <v>0</v>
      </c>
      <c r="V1532" s="58">
        <f t="shared" si="338"/>
        <v>0</v>
      </c>
      <c r="W1532" s="58">
        <f t="shared" si="339"/>
        <v>0</v>
      </c>
      <c r="X1532" s="58">
        <f t="shared" si="340"/>
        <v>0</v>
      </c>
      <c r="Y1532" s="52">
        <f t="shared" si="341"/>
        <v>0</v>
      </c>
    </row>
    <row r="1533" spans="1:25" x14ac:dyDescent="0.25">
      <c r="A1533" s="1218" t="s">
        <v>203</v>
      </c>
      <c r="B1533" s="98">
        <v>45627</v>
      </c>
      <c r="C1533" s="117" t="str">
        <f t="shared" si="342"/>
        <v>8L</v>
      </c>
      <c r="D1533" s="96"/>
      <c r="I1533" s="99">
        <f t="shared" si="343"/>
        <v>0</v>
      </c>
      <c r="L1533" s="99">
        <f t="shared" si="330"/>
        <v>0</v>
      </c>
      <c r="M1533" s="44" t="str">
        <f t="shared" si="332"/>
        <v/>
      </c>
      <c r="N1533" s="100">
        <f t="shared" si="333"/>
        <v>0</v>
      </c>
      <c r="O1533" s="101">
        <f t="shared" si="334"/>
        <v>0</v>
      </c>
      <c r="P1533" s="52">
        <f t="shared" si="335"/>
        <v>0</v>
      </c>
      <c r="Q1533" s="49">
        <v>116.88487613461319</v>
      </c>
      <c r="R1533">
        <v>2225</v>
      </c>
      <c r="S1533" s="50">
        <f t="shared" si="331"/>
        <v>71535.307499999995</v>
      </c>
      <c r="T1533" s="50">
        <f t="shared" si="336"/>
        <v>0</v>
      </c>
      <c r="U1533" s="58">
        <f t="shared" si="337"/>
        <v>0</v>
      </c>
      <c r="V1533" s="58">
        <f t="shared" si="338"/>
        <v>0</v>
      </c>
      <c r="W1533" s="58">
        <f t="shared" si="339"/>
        <v>0</v>
      </c>
      <c r="X1533" s="58">
        <f t="shared" si="340"/>
        <v>0</v>
      </c>
      <c r="Y1533" s="52">
        <f t="shared" si="341"/>
        <v>0</v>
      </c>
    </row>
    <row r="1534" spans="1:25" x14ac:dyDescent="0.25">
      <c r="A1534" s="1218" t="s">
        <v>204</v>
      </c>
      <c r="B1534" s="98">
        <v>45627</v>
      </c>
      <c r="C1534" s="117" t="str">
        <f t="shared" si="342"/>
        <v>8L</v>
      </c>
      <c r="D1534" s="96"/>
      <c r="I1534" s="99">
        <f t="shared" si="343"/>
        <v>0</v>
      </c>
      <c r="L1534" s="99">
        <f t="shared" ref="L1534:L1600" si="344">IFERROR(J1534*K1534/1000,"")</f>
        <v>0</v>
      </c>
      <c r="M1534" s="44" t="str">
        <f t="shared" si="332"/>
        <v/>
      </c>
      <c r="N1534" s="100">
        <f t="shared" si="333"/>
        <v>0</v>
      </c>
      <c r="O1534" s="101">
        <f t="shared" si="334"/>
        <v>0</v>
      </c>
      <c r="P1534" s="52">
        <f t="shared" si="335"/>
        <v>0</v>
      </c>
      <c r="Q1534" s="49">
        <v>116.88487613461319</v>
      </c>
      <c r="R1534">
        <v>2225</v>
      </c>
      <c r="S1534" s="50">
        <f t="shared" ref="S1534:S1600" si="345">R1534*32.1507</f>
        <v>71535.307499999995</v>
      </c>
      <c r="T1534" s="50">
        <f t="shared" si="336"/>
        <v>0</v>
      </c>
      <c r="U1534" s="58">
        <f t="shared" si="337"/>
        <v>0</v>
      </c>
      <c r="V1534" s="58">
        <f t="shared" si="338"/>
        <v>0</v>
      </c>
      <c r="W1534" s="58">
        <f t="shared" si="339"/>
        <v>0</v>
      </c>
      <c r="X1534" s="58">
        <f t="shared" si="340"/>
        <v>0</v>
      </c>
      <c r="Y1534" s="52">
        <f t="shared" si="341"/>
        <v>0</v>
      </c>
    </row>
    <row r="1535" spans="1:25" x14ac:dyDescent="0.25">
      <c r="A1535" s="1218" t="s">
        <v>205</v>
      </c>
      <c r="B1535" s="98">
        <v>45627</v>
      </c>
      <c r="C1535" s="117" t="str">
        <f t="shared" si="342"/>
        <v>8L</v>
      </c>
      <c r="D1535" s="96"/>
      <c r="I1535" s="99">
        <f t="shared" si="343"/>
        <v>0</v>
      </c>
      <c r="L1535" s="99">
        <f t="shared" si="344"/>
        <v>0</v>
      </c>
      <c r="M1535" s="44" t="str">
        <f t="shared" si="332"/>
        <v/>
      </c>
      <c r="N1535" s="100">
        <f t="shared" si="333"/>
        <v>0</v>
      </c>
      <c r="O1535" s="101">
        <f t="shared" si="334"/>
        <v>0</v>
      </c>
      <c r="P1535" s="52">
        <f t="shared" si="335"/>
        <v>0</v>
      </c>
      <c r="Q1535" s="49">
        <v>116.88487613461319</v>
      </c>
      <c r="R1535">
        <v>2225</v>
      </c>
      <c r="S1535" s="50">
        <f t="shared" si="345"/>
        <v>71535.307499999995</v>
      </c>
      <c r="T1535" s="50">
        <f t="shared" si="336"/>
        <v>0</v>
      </c>
      <c r="U1535" s="58">
        <f t="shared" si="337"/>
        <v>0</v>
      </c>
      <c r="V1535" s="58">
        <f t="shared" si="338"/>
        <v>0</v>
      </c>
      <c r="W1535" s="58">
        <f t="shared" si="339"/>
        <v>0</v>
      </c>
      <c r="X1535" s="58">
        <f t="shared" si="340"/>
        <v>0</v>
      </c>
      <c r="Y1535" s="52">
        <f t="shared" si="341"/>
        <v>0</v>
      </c>
    </row>
    <row r="1536" spans="1:25" x14ac:dyDescent="0.25">
      <c r="A1536" s="1218" t="s">
        <v>206</v>
      </c>
      <c r="B1536" s="98">
        <v>45627</v>
      </c>
      <c r="C1536" s="117" t="str">
        <f t="shared" si="342"/>
        <v>8L</v>
      </c>
      <c r="D1536" s="96"/>
      <c r="I1536" s="99">
        <f t="shared" si="343"/>
        <v>0</v>
      </c>
      <c r="L1536" s="99">
        <f t="shared" si="344"/>
        <v>0</v>
      </c>
      <c r="M1536" s="44" t="str">
        <f t="shared" ref="M1536:M1602" si="346">IFERROR((L1536-I1536)/I1536,"")</f>
        <v/>
      </c>
      <c r="N1536" s="100">
        <f t="shared" ref="N1536:N1602" si="347">J1536-G1536</f>
        <v>0</v>
      </c>
      <c r="O1536" s="101">
        <f t="shared" ref="O1536:O1602" si="348">L1536-I1536</f>
        <v>0</v>
      </c>
      <c r="P1536" s="52">
        <f t="shared" ref="P1536:P1602" si="349">U1536-W1536</f>
        <v>0</v>
      </c>
      <c r="Q1536" s="49">
        <v>116.88487613461319</v>
      </c>
      <c r="R1536">
        <v>2225</v>
      </c>
      <c r="S1536" s="50">
        <f t="shared" si="345"/>
        <v>71535.307499999995</v>
      </c>
      <c r="T1536" s="50">
        <f t="shared" ref="T1536:T1602" si="350">IFERROR(S1536*I1536,"")</f>
        <v>0</v>
      </c>
      <c r="U1536" s="58">
        <f t="shared" ref="U1536:U1602" si="351">IFERROR(S1536*L1536,"")</f>
        <v>0</v>
      </c>
      <c r="V1536" s="58">
        <f t="shared" ref="V1536:V1602" si="352">IFERROR(Q1536*G1536,"")</f>
        <v>0</v>
      </c>
      <c r="W1536" s="58">
        <f t="shared" ref="W1536:W1602" si="353">IFERROR(Q1536*J1536,"")</f>
        <v>0</v>
      </c>
      <c r="X1536" s="58">
        <f t="shared" ref="X1536:X1602" si="354">T1536-V1536</f>
        <v>0</v>
      </c>
      <c r="Y1536" s="52">
        <f t="shared" ref="Y1536:Y1602" si="355">U1536-W1536</f>
        <v>0</v>
      </c>
    </row>
    <row r="1537" spans="1:25" ht="15.75" thickBot="1" x14ac:dyDescent="0.3">
      <c r="A1537" s="1219" t="s">
        <v>207</v>
      </c>
      <c r="B1537" s="98">
        <v>45627</v>
      </c>
      <c r="C1537" s="117" t="str">
        <f t="shared" si="342"/>
        <v>8L</v>
      </c>
      <c r="D1537" s="96"/>
      <c r="I1537" s="99">
        <f t="shared" si="343"/>
        <v>0</v>
      </c>
      <c r="L1537" s="99">
        <f t="shared" si="344"/>
        <v>0</v>
      </c>
      <c r="M1537" s="44" t="str">
        <f t="shared" si="346"/>
        <v/>
      </c>
      <c r="N1537" s="100">
        <f t="shared" si="347"/>
        <v>0</v>
      </c>
      <c r="O1537" s="101">
        <f t="shared" si="348"/>
        <v>0</v>
      </c>
      <c r="P1537" s="52">
        <f t="shared" si="349"/>
        <v>0</v>
      </c>
      <c r="Q1537" s="49">
        <v>116.88487613461319</v>
      </c>
      <c r="R1537">
        <v>2225</v>
      </c>
      <c r="S1537" s="50">
        <f t="shared" si="345"/>
        <v>71535.307499999995</v>
      </c>
      <c r="T1537" s="50">
        <f t="shared" si="350"/>
        <v>0</v>
      </c>
      <c r="U1537" s="58">
        <f t="shared" si="351"/>
        <v>0</v>
      </c>
      <c r="V1537" s="58">
        <f t="shared" si="352"/>
        <v>0</v>
      </c>
      <c r="W1537" s="58">
        <f t="shared" si="353"/>
        <v>0</v>
      </c>
      <c r="X1537" s="58">
        <f t="shared" si="354"/>
        <v>0</v>
      </c>
      <c r="Y1537" s="52">
        <f t="shared" si="355"/>
        <v>0</v>
      </c>
    </row>
    <row r="1538" spans="1:25" x14ac:dyDescent="0.25">
      <c r="A1538" s="97" t="s">
        <v>80</v>
      </c>
      <c r="B1538" s="98">
        <v>45658</v>
      </c>
      <c r="C1538" s="117" t="str">
        <f t="shared" si="342"/>
        <v>1L</v>
      </c>
      <c r="D1538" s="96"/>
      <c r="E1538" s="96"/>
      <c r="F1538" s="99">
        <f t="shared" ref="F1538:F1604" si="356">IFERROR(D1538*E1538/1000,"")</f>
        <v>0</v>
      </c>
      <c r="G1538" s="96"/>
      <c r="H1538" s="96"/>
      <c r="I1538" s="99">
        <f t="shared" si="343"/>
        <v>0</v>
      </c>
      <c r="J1538" s="96"/>
      <c r="K1538" s="96"/>
      <c r="L1538" s="99">
        <f t="shared" si="344"/>
        <v>0</v>
      </c>
      <c r="M1538" s="44" t="str">
        <f t="shared" si="346"/>
        <v/>
      </c>
      <c r="N1538" s="100">
        <f t="shared" si="347"/>
        <v>0</v>
      </c>
      <c r="O1538" s="101">
        <f t="shared" si="348"/>
        <v>0</v>
      </c>
      <c r="P1538" s="52">
        <f t="shared" si="349"/>
        <v>0</v>
      </c>
      <c r="Q1538" s="49">
        <v>116.88487613461319</v>
      </c>
      <c r="R1538">
        <v>2225</v>
      </c>
      <c r="S1538" s="50">
        <f t="shared" si="345"/>
        <v>71535.307499999995</v>
      </c>
      <c r="T1538" s="50">
        <f t="shared" si="350"/>
        <v>0</v>
      </c>
      <c r="U1538" s="58">
        <f t="shared" si="351"/>
        <v>0</v>
      </c>
      <c r="V1538" s="58">
        <f t="shared" si="352"/>
        <v>0</v>
      </c>
      <c r="W1538" s="58">
        <f t="shared" si="353"/>
        <v>0</v>
      </c>
      <c r="X1538" s="58">
        <f t="shared" si="354"/>
        <v>0</v>
      </c>
      <c r="Y1538" s="52">
        <f t="shared" si="355"/>
        <v>0</v>
      </c>
    </row>
    <row r="1539" spans="1:25" x14ac:dyDescent="0.25">
      <c r="A1539" s="1218" t="s">
        <v>81</v>
      </c>
      <c r="B1539" s="98">
        <v>45658</v>
      </c>
      <c r="C1539" s="117" t="str">
        <f t="shared" si="342"/>
        <v>1L</v>
      </c>
      <c r="D1539" s="96"/>
      <c r="E1539" s="96"/>
      <c r="F1539" s="99">
        <f t="shared" si="356"/>
        <v>0</v>
      </c>
      <c r="G1539" s="96"/>
      <c r="H1539" s="96"/>
      <c r="I1539" s="99">
        <f t="shared" si="343"/>
        <v>0</v>
      </c>
      <c r="J1539" s="96"/>
      <c r="K1539" s="96"/>
      <c r="L1539" s="99">
        <f t="shared" si="344"/>
        <v>0</v>
      </c>
      <c r="M1539" s="44" t="str">
        <f t="shared" si="346"/>
        <v/>
      </c>
      <c r="N1539" s="100">
        <f t="shared" si="347"/>
        <v>0</v>
      </c>
      <c r="O1539" s="101">
        <f t="shared" si="348"/>
        <v>0</v>
      </c>
      <c r="P1539" s="52">
        <f t="shared" si="349"/>
        <v>0</v>
      </c>
      <c r="Q1539" s="49">
        <v>116.88487613461319</v>
      </c>
      <c r="R1539">
        <v>2225</v>
      </c>
      <c r="S1539" s="50">
        <f t="shared" si="345"/>
        <v>71535.307499999995</v>
      </c>
      <c r="T1539" s="50">
        <f t="shared" si="350"/>
        <v>0</v>
      </c>
      <c r="U1539" s="58">
        <f t="shared" si="351"/>
        <v>0</v>
      </c>
      <c r="V1539" s="58">
        <f t="shared" si="352"/>
        <v>0</v>
      </c>
      <c r="W1539" s="58">
        <f t="shared" si="353"/>
        <v>0</v>
      </c>
      <c r="X1539" s="58">
        <f t="shared" si="354"/>
        <v>0</v>
      </c>
      <c r="Y1539" s="52">
        <f t="shared" si="355"/>
        <v>0</v>
      </c>
    </row>
    <row r="1540" spans="1:25" x14ac:dyDescent="0.25">
      <c r="A1540" s="1218" t="s">
        <v>82</v>
      </c>
      <c r="B1540" s="98">
        <v>45658</v>
      </c>
      <c r="C1540" s="117" t="str">
        <f t="shared" si="342"/>
        <v>1L</v>
      </c>
      <c r="D1540" s="96"/>
      <c r="E1540" s="96"/>
      <c r="F1540" s="99">
        <f t="shared" si="356"/>
        <v>0</v>
      </c>
      <c r="G1540" s="96"/>
      <c r="H1540" s="96"/>
      <c r="I1540" s="99">
        <f t="shared" si="343"/>
        <v>0</v>
      </c>
      <c r="J1540" s="96"/>
      <c r="K1540" s="96"/>
      <c r="L1540" s="99">
        <f t="shared" si="344"/>
        <v>0</v>
      </c>
      <c r="M1540" s="44" t="str">
        <f t="shared" si="346"/>
        <v/>
      </c>
      <c r="N1540" s="100">
        <f t="shared" si="347"/>
        <v>0</v>
      </c>
      <c r="O1540" s="101">
        <f t="shared" si="348"/>
        <v>0</v>
      </c>
      <c r="P1540" s="52">
        <f t="shared" si="349"/>
        <v>0</v>
      </c>
      <c r="Q1540" s="49">
        <v>116.88487613461319</v>
      </c>
      <c r="R1540">
        <v>2225</v>
      </c>
      <c r="S1540" s="50">
        <f t="shared" si="345"/>
        <v>71535.307499999995</v>
      </c>
      <c r="T1540" s="50">
        <f t="shared" si="350"/>
        <v>0</v>
      </c>
      <c r="U1540" s="58">
        <f t="shared" si="351"/>
        <v>0</v>
      </c>
      <c r="V1540" s="58">
        <f t="shared" si="352"/>
        <v>0</v>
      </c>
      <c r="W1540" s="58">
        <f t="shared" si="353"/>
        <v>0</v>
      </c>
      <c r="X1540" s="58">
        <f t="shared" si="354"/>
        <v>0</v>
      </c>
      <c r="Y1540" s="52">
        <f t="shared" si="355"/>
        <v>0</v>
      </c>
    </row>
    <row r="1541" spans="1:25" x14ac:dyDescent="0.25">
      <c r="A1541" s="1218" t="s">
        <v>83</v>
      </c>
      <c r="B1541" s="98">
        <v>45658</v>
      </c>
      <c r="C1541" s="117" t="str">
        <f t="shared" si="342"/>
        <v>1L</v>
      </c>
      <c r="D1541" s="96"/>
      <c r="E1541" s="96"/>
      <c r="F1541" s="99">
        <f t="shared" si="356"/>
        <v>0</v>
      </c>
      <c r="G1541" s="96"/>
      <c r="H1541" s="96"/>
      <c r="I1541" s="99">
        <f t="shared" si="343"/>
        <v>0</v>
      </c>
      <c r="J1541" s="96"/>
      <c r="K1541" s="96"/>
      <c r="L1541" s="99">
        <f t="shared" si="344"/>
        <v>0</v>
      </c>
      <c r="M1541" s="44" t="str">
        <f t="shared" si="346"/>
        <v/>
      </c>
      <c r="N1541" s="100">
        <f t="shared" si="347"/>
        <v>0</v>
      </c>
      <c r="O1541" s="101">
        <f t="shared" si="348"/>
        <v>0</v>
      </c>
      <c r="P1541" s="52">
        <f t="shared" si="349"/>
        <v>0</v>
      </c>
      <c r="Q1541" s="49">
        <v>116.88487613461319</v>
      </c>
      <c r="R1541">
        <v>2225</v>
      </c>
      <c r="S1541" s="50">
        <f t="shared" si="345"/>
        <v>71535.307499999995</v>
      </c>
      <c r="T1541" s="50">
        <f t="shared" si="350"/>
        <v>0</v>
      </c>
      <c r="U1541" s="58">
        <f t="shared" si="351"/>
        <v>0</v>
      </c>
      <c r="V1541" s="58">
        <f t="shared" si="352"/>
        <v>0</v>
      </c>
      <c r="W1541" s="58">
        <f t="shared" si="353"/>
        <v>0</v>
      </c>
      <c r="X1541" s="58">
        <f t="shared" si="354"/>
        <v>0</v>
      </c>
      <c r="Y1541" s="52">
        <f t="shared" si="355"/>
        <v>0</v>
      </c>
    </row>
    <row r="1542" spans="1:25" x14ac:dyDescent="0.25">
      <c r="A1542" s="1218" t="s">
        <v>84</v>
      </c>
      <c r="B1542" s="98">
        <v>45658</v>
      </c>
      <c r="C1542" s="117" t="str">
        <f t="shared" si="342"/>
        <v>2L</v>
      </c>
      <c r="D1542" s="96"/>
      <c r="E1542" s="98"/>
      <c r="F1542" s="99">
        <f t="shared" si="356"/>
        <v>0</v>
      </c>
      <c r="I1542" s="99">
        <f t="shared" si="343"/>
        <v>0</v>
      </c>
      <c r="L1542" s="99">
        <f t="shared" si="344"/>
        <v>0</v>
      </c>
      <c r="M1542" s="44" t="str">
        <f t="shared" si="346"/>
        <v/>
      </c>
      <c r="N1542" s="100">
        <f t="shared" si="347"/>
        <v>0</v>
      </c>
      <c r="O1542" s="101">
        <f t="shared" si="348"/>
        <v>0</v>
      </c>
      <c r="P1542" s="52">
        <f t="shared" si="349"/>
        <v>0</v>
      </c>
      <c r="Q1542" s="49">
        <v>116.88487613461319</v>
      </c>
      <c r="R1542">
        <v>2225</v>
      </c>
      <c r="S1542" s="50">
        <f t="shared" si="345"/>
        <v>71535.307499999995</v>
      </c>
      <c r="T1542" s="50">
        <f t="shared" si="350"/>
        <v>0</v>
      </c>
      <c r="U1542" s="58">
        <f t="shared" si="351"/>
        <v>0</v>
      </c>
      <c r="V1542" s="58">
        <f t="shared" si="352"/>
        <v>0</v>
      </c>
      <c r="W1542" s="58">
        <f t="shared" si="353"/>
        <v>0</v>
      </c>
      <c r="X1542" s="58">
        <f t="shared" si="354"/>
        <v>0</v>
      </c>
      <c r="Y1542" s="52">
        <f t="shared" si="355"/>
        <v>0</v>
      </c>
    </row>
    <row r="1543" spans="1:25" x14ac:dyDescent="0.25">
      <c r="A1543" s="1218" t="s">
        <v>85</v>
      </c>
      <c r="B1543" s="98">
        <v>45658</v>
      </c>
      <c r="C1543" s="117" t="str">
        <f t="shared" si="342"/>
        <v>2L</v>
      </c>
      <c r="D1543" s="96"/>
      <c r="E1543" s="98"/>
      <c r="F1543" s="99">
        <f t="shared" si="356"/>
        <v>0</v>
      </c>
      <c r="I1543" s="99">
        <f t="shared" si="343"/>
        <v>0</v>
      </c>
      <c r="L1543" s="99">
        <f t="shared" si="344"/>
        <v>0</v>
      </c>
      <c r="M1543" s="44" t="str">
        <f t="shared" si="346"/>
        <v/>
      </c>
      <c r="N1543" s="100">
        <f t="shared" si="347"/>
        <v>0</v>
      </c>
      <c r="O1543" s="101">
        <f t="shared" si="348"/>
        <v>0</v>
      </c>
      <c r="P1543" s="52">
        <f t="shared" si="349"/>
        <v>0</v>
      </c>
      <c r="Q1543" s="49">
        <v>116.88487613461319</v>
      </c>
      <c r="R1543">
        <v>2225</v>
      </c>
      <c r="S1543" s="50">
        <f t="shared" si="345"/>
        <v>71535.307499999995</v>
      </c>
      <c r="T1543" s="50">
        <f t="shared" si="350"/>
        <v>0</v>
      </c>
      <c r="U1543" s="58">
        <f t="shared" si="351"/>
        <v>0</v>
      </c>
      <c r="V1543" s="58">
        <f t="shared" si="352"/>
        <v>0</v>
      </c>
      <c r="W1543" s="58">
        <f t="shared" si="353"/>
        <v>0</v>
      </c>
      <c r="X1543" s="58">
        <f t="shared" si="354"/>
        <v>0</v>
      </c>
      <c r="Y1543" s="52">
        <f t="shared" si="355"/>
        <v>0</v>
      </c>
    </row>
    <row r="1544" spans="1:25" x14ac:dyDescent="0.25">
      <c r="A1544" s="1218" t="s">
        <v>86</v>
      </c>
      <c r="B1544" s="98">
        <v>45658</v>
      </c>
      <c r="C1544" s="117" t="str">
        <f t="shared" si="342"/>
        <v>2L</v>
      </c>
      <c r="D1544" s="96"/>
      <c r="E1544" s="98"/>
      <c r="F1544" s="99">
        <f t="shared" si="356"/>
        <v>0</v>
      </c>
      <c r="I1544" s="99">
        <f t="shared" si="343"/>
        <v>0</v>
      </c>
      <c r="L1544" s="99">
        <f t="shared" si="344"/>
        <v>0</v>
      </c>
      <c r="M1544" s="44" t="str">
        <f t="shared" si="346"/>
        <v/>
      </c>
      <c r="N1544" s="100">
        <f t="shared" si="347"/>
        <v>0</v>
      </c>
      <c r="O1544" s="101">
        <f t="shared" si="348"/>
        <v>0</v>
      </c>
      <c r="P1544" s="52">
        <f t="shared" si="349"/>
        <v>0</v>
      </c>
      <c r="Q1544" s="49">
        <v>116.88487613461319</v>
      </c>
      <c r="R1544">
        <v>2225</v>
      </c>
      <c r="S1544" s="50">
        <f t="shared" si="345"/>
        <v>71535.307499999995</v>
      </c>
      <c r="T1544" s="50">
        <f t="shared" si="350"/>
        <v>0</v>
      </c>
      <c r="U1544" s="58">
        <f t="shared" si="351"/>
        <v>0</v>
      </c>
      <c r="V1544" s="58">
        <f t="shared" si="352"/>
        <v>0</v>
      </c>
      <c r="W1544" s="58">
        <f t="shared" si="353"/>
        <v>0</v>
      </c>
      <c r="X1544" s="58">
        <f t="shared" si="354"/>
        <v>0</v>
      </c>
      <c r="Y1544" s="52">
        <f t="shared" si="355"/>
        <v>0</v>
      </c>
    </row>
    <row r="1545" spans="1:25" x14ac:dyDescent="0.25">
      <c r="A1545" s="1218" t="s">
        <v>87</v>
      </c>
      <c r="B1545" s="98">
        <v>45658</v>
      </c>
      <c r="C1545" s="117" t="str">
        <f t="shared" si="342"/>
        <v>3L</v>
      </c>
      <c r="D1545" s="96"/>
      <c r="E1545" s="98"/>
      <c r="F1545" s="99">
        <f t="shared" si="356"/>
        <v>0</v>
      </c>
      <c r="I1545" s="99">
        <f t="shared" si="343"/>
        <v>0</v>
      </c>
      <c r="L1545" s="99">
        <f t="shared" si="344"/>
        <v>0</v>
      </c>
      <c r="M1545" s="44" t="str">
        <f t="shared" si="346"/>
        <v/>
      </c>
      <c r="N1545" s="100">
        <f t="shared" si="347"/>
        <v>0</v>
      </c>
      <c r="O1545" s="101">
        <f t="shared" si="348"/>
        <v>0</v>
      </c>
      <c r="P1545" s="52">
        <f t="shared" si="349"/>
        <v>0</v>
      </c>
      <c r="Q1545" s="49">
        <v>116.88487613461319</v>
      </c>
      <c r="R1545">
        <v>2225</v>
      </c>
      <c r="S1545" s="50">
        <f t="shared" si="345"/>
        <v>71535.307499999995</v>
      </c>
      <c r="T1545" s="50">
        <f t="shared" si="350"/>
        <v>0</v>
      </c>
      <c r="U1545" s="58">
        <f t="shared" si="351"/>
        <v>0</v>
      </c>
      <c r="V1545" s="58">
        <f t="shared" si="352"/>
        <v>0</v>
      </c>
      <c r="W1545" s="58">
        <f t="shared" si="353"/>
        <v>0</v>
      </c>
      <c r="X1545" s="58">
        <f t="shared" si="354"/>
        <v>0</v>
      </c>
      <c r="Y1545" s="52">
        <f t="shared" si="355"/>
        <v>0</v>
      </c>
    </row>
    <row r="1546" spans="1:25" x14ac:dyDescent="0.25">
      <c r="A1546" s="1218" t="s">
        <v>88</v>
      </c>
      <c r="B1546" s="98">
        <v>45658</v>
      </c>
      <c r="C1546" s="117" t="str">
        <f t="shared" si="342"/>
        <v>3L</v>
      </c>
      <c r="D1546">
        <v>521</v>
      </c>
      <c r="E1546">
        <v>3.11</v>
      </c>
      <c r="F1546" s="99">
        <f t="shared" si="356"/>
        <v>1.6203099999999999</v>
      </c>
      <c r="I1546" s="99">
        <f t="shared" si="343"/>
        <v>0</v>
      </c>
      <c r="L1546" s="99">
        <f t="shared" si="344"/>
        <v>0</v>
      </c>
      <c r="M1546" s="44" t="str">
        <f t="shared" si="346"/>
        <v/>
      </c>
      <c r="N1546" s="100">
        <f t="shared" si="347"/>
        <v>0</v>
      </c>
      <c r="O1546" s="101">
        <f t="shared" si="348"/>
        <v>0</v>
      </c>
      <c r="P1546" s="52">
        <f t="shared" si="349"/>
        <v>0</v>
      </c>
      <c r="Q1546" s="49">
        <v>116.88487613461319</v>
      </c>
      <c r="R1546">
        <v>2225</v>
      </c>
      <c r="S1546" s="50">
        <f t="shared" si="345"/>
        <v>71535.307499999995</v>
      </c>
      <c r="T1546" s="50">
        <f t="shared" si="350"/>
        <v>0</v>
      </c>
      <c r="U1546" s="58">
        <f t="shared" si="351"/>
        <v>0</v>
      </c>
      <c r="V1546" s="58">
        <f t="shared" si="352"/>
        <v>0</v>
      </c>
      <c r="W1546" s="58">
        <f t="shared" si="353"/>
        <v>0</v>
      </c>
      <c r="X1546" s="58">
        <f t="shared" si="354"/>
        <v>0</v>
      </c>
      <c r="Y1546" s="52">
        <f t="shared" si="355"/>
        <v>0</v>
      </c>
    </row>
    <row r="1547" spans="1:25" x14ac:dyDescent="0.25">
      <c r="A1547" s="1218" t="s">
        <v>89</v>
      </c>
      <c r="B1547" s="98">
        <v>45658</v>
      </c>
      <c r="C1547" s="117" t="str">
        <f t="shared" si="342"/>
        <v>3L</v>
      </c>
      <c r="D1547" s="96"/>
      <c r="E1547" s="98"/>
      <c r="F1547" s="99">
        <f t="shared" si="356"/>
        <v>0</v>
      </c>
      <c r="I1547" s="99">
        <f t="shared" si="343"/>
        <v>0</v>
      </c>
      <c r="L1547" s="99">
        <f t="shared" si="344"/>
        <v>0</v>
      </c>
      <c r="M1547" s="44" t="str">
        <f t="shared" si="346"/>
        <v/>
      </c>
      <c r="N1547" s="100">
        <f t="shared" si="347"/>
        <v>0</v>
      </c>
      <c r="O1547" s="101">
        <f t="shared" si="348"/>
        <v>0</v>
      </c>
      <c r="P1547" s="52">
        <f t="shared" si="349"/>
        <v>0</v>
      </c>
      <c r="Q1547" s="49">
        <v>116.88487613461319</v>
      </c>
      <c r="R1547">
        <v>2225</v>
      </c>
      <c r="S1547" s="50">
        <f t="shared" si="345"/>
        <v>71535.307499999995</v>
      </c>
      <c r="T1547" s="50">
        <f t="shared" si="350"/>
        <v>0</v>
      </c>
      <c r="U1547" s="58">
        <f t="shared" si="351"/>
        <v>0</v>
      </c>
      <c r="V1547" s="58">
        <f t="shared" si="352"/>
        <v>0</v>
      </c>
      <c r="W1547" s="58">
        <f t="shared" si="353"/>
        <v>0</v>
      </c>
      <c r="X1547" s="58">
        <f t="shared" si="354"/>
        <v>0</v>
      </c>
      <c r="Y1547" s="52">
        <f t="shared" si="355"/>
        <v>0</v>
      </c>
    </row>
    <row r="1548" spans="1:25" x14ac:dyDescent="0.25">
      <c r="A1548" s="1218" t="s">
        <v>90</v>
      </c>
      <c r="B1548" s="98">
        <v>45658</v>
      </c>
      <c r="C1548" s="117" t="str">
        <f t="shared" si="342"/>
        <v>3L</v>
      </c>
      <c r="D1548" s="118">
        <v>658</v>
      </c>
      <c r="E1548">
        <v>2.5499999999999998</v>
      </c>
      <c r="F1548" s="99">
        <f t="shared" si="356"/>
        <v>1.6778999999999999</v>
      </c>
      <c r="I1548" s="99">
        <f t="shared" si="343"/>
        <v>0</v>
      </c>
      <c r="L1548" s="99">
        <f t="shared" si="344"/>
        <v>0</v>
      </c>
      <c r="M1548" s="44" t="str">
        <f t="shared" si="346"/>
        <v/>
      </c>
      <c r="N1548" s="100">
        <f t="shared" si="347"/>
        <v>0</v>
      </c>
      <c r="O1548" s="101">
        <f t="shared" si="348"/>
        <v>0</v>
      </c>
      <c r="P1548" s="52">
        <f t="shared" si="349"/>
        <v>0</v>
      </c>
      <c r="Q1548" s="49">
        <v>116.88487613461319</v>
      </c>
      <c r="R1548">
        <v>2225</v>
      </c>
      <c r="S1548" s="50">
        <f t="shared" si="345"/>
        <v>71535.307499999995</v>
      </c>
      <c r="T1548" s="50">
        <f t="shared" si="350"/>
        <v>0</v>
      </c>
      <c r="U1548" s="58">
        <f t="shared" si="351"/>
        <v>0</v>
      </c>
      <c r="V1548" s="58">
        <f t="shared" si="352"/>
        <v>0</v>
      </c>
      <c r="W1548" s="58">
        <f t="shared" si="353"/>
        <v>0</v>
      </c>
      <c r="X1548" s="58">
        <f t="shared" si="354"/>
        <v>0</v>
      </c>
      <c r="Y1548" s="52">
        <f t="shared" si="355"/>
        <v>0</v>
      </c>
    </row>
    <row r="1549" spans="1:25" x14ac:dyDescent="0.25">
      <c r="A1549" s="1218" t="s">
        <v>91</v>
      </c>
      <c r="B1549" s="98">
        <v>45658</v>
      </c>
      <c r="C1549" s="117" t="str">
        <f t="shared" si="342"/>
        <v>3L</v>
      </c>
      <c r="D1549" s="96"/>
      <c r="E1549" s="98"/>
      <c r="F1549" s="99">
        <f t="shared" si="356"/>
        <v>0</v>
      </c>
      <c r="I1549" s="99">
        <f t="shared" si="343"/>
        <v>0</v>
      </c>
      <c r="L1549" s="99">
        <f t="shared" si="344"/>
        <v>0</v>
      </c>
      <c r="M1549" s="44" t="str">
        <f t="shared" si="346"/>
        <v/>
      </c>
      <c r="N1549" s="100">
        <f t="shared" si="347"/>
        <v>0</v>
      </c>
      <c r="O1549" s="101">
        <f t="shared" si="348"/>
        <v>0</v>
      </c>
      <c r="P1549" s="52">
        <f t="shared" si="349"/>
        <v>0</v>
      </c>
      <c r="Q1549" s="49">
        <v>116.88487613461319</v>
      </c>
      <c r="R1549">
        <v>2225</v>
      </c>
      <c r="S1549" s="50">
        <f t="shared" si="345"/>
        <v>71535.307499999995</v>
      </c>
      <c r="T1549" s="50">
        <f t="shared" si="350"/>
        <v>0</v>
      </c>
      <c r="U1549" s="58">
        <f t="shared" si="351"/>
        <v>0</v>
      </c>
      <c r="V1549" s="58">
        <f t="shared" si="352"/>
        <v>0</v>
      </c>
      <c r="W1549" s="58">
        <f t="shared" si="353"/>
        <v>0</v>
      </c>
      <c r="X1549" s="58">
        <f t="shared" si="354"/>
        <v>0</v>
      </c>
      <c r="Y1549" s="52">
        <f t="shared" si="355"/>
        <v>0</v>
      </c>
    </row>
    <row r="1550" spans="1:25" x14ac:dyDescent="0.25">
      <c r="A1550" s="1218" t="s">
        <v>92</v>
      </c>
      <c r="B1550" s="98">
        <v>45658</v>
      </c>
      <c r="C1550" s="117" t="str">
        <f t="shared" si="342"/>
        <v>3L</v>
      </c>
      <c r="D1550" s="96"/>
      <c r="E1550" s="98"/>
      <c r="F1550" s="99">
        <f t="shared" si="356"/>
        <v>0</v>
      </c>
      <c r="G1550" s="41"/>
      <c r="H1550" s="47"/>
      <c r="I1550" s="99">
        <f t="shared" si="343"/>
        <v>0</v>
      </c>
      <c r="J1550" s="41"/>
      <c r="K1550" s="47"/>
      <c r="L1550" s="99">
        <f t="shared" si="344"/>
        <v>0</v>
      </c>
      <c r="M1550" s="44" t="str">
        <f t="shared" si="346"/>
        <v/>
      </c>
      <c r="N1550" s="100">
        <f t="shared" si="347"/>
        <v>0</v>
      </c>
      <c r="O1550" s="101">
        <f t="shared" si="348"/>
        <v>0</v>
      </c>
      <c r="P1550" s="52">
        <f t="shared" si="349"/>
        <v>0</v>
      </c>
      <c r="Q1550" s="49">
        <v>116.88487613461319</v>
      </c>
      <c r="R1550">
        <v>2225</v>
      </c>
      <c r="S1550" s="50">
        <f t="shared" si="345"/>
        <v>71535.307499999995</v>
      </c>
      <c r="T1550" s="50">
        <f t="shared" si="350"/>
        <v>0</v>
      </c>
      <c r="U1550" s="58">
        <f t="shared" si="351"/>
        <v>0</v>
      </c>
      <c r="V1550" s="58">
        <f t="shared" si="352"/>
        <v>0</v>
      </c>
      <c r="W1550" s="58">
        <f t="shared" si="353"/>
        <v>0</v>
      </c>
      <c r="X1550" s="58">
        <f t="shared" si="354"/>
        <v>0</v>
      </c>
      <c r="Y1550" s="52">
        <f t="shared" si="355"/>
        <v>0</v>
      </c>
    </row>
    <row r="1551" spans="1:25" x14ac:dyDescent="0.25">
      <c r="A1551" s="1218" t="s">
        <v>93</v>
      </c>
      <c r="B1551" s="98">
        <v>45658</v>
      </c>
      <c r="C1551" s="117" t="str">
        <f t="shared" ref="C1551:C1615" si="357">LEFT(A1551,2)</f>
        <v>3L</v>
      </c>
      <c r="D1551" s="96"/>
      <c r="E1551" s="98"/>
      <c r="F1551" s="99">
        <f t="shared" si="356"/>
        <v>0</v>
      </c>
      <c r="G1551" s="41"/>
      <c r="H1551" s="47"/>
      <c r="I1551" s="99">
        <f t="shared" si="343"/>
        <v>0</v>
      </c>
      <c r="J1551" s="41"/>
      <c r="K1551" s="47"/>
      <c r="L1551" s="99">
        <f t="shared" si="344"/>
        <v>0</v>
      </c>
      <c r="M1551" s="44" t="str">
        <f t="shared" si="346"/>
        <v/>
      </c>
      <c r="N1551" s="100">
        <f t="shared" si="347"/>
        <v>0</v>
      </c>
      <c r="O1551" s="101">
        <f t="shared" si="348"/>
        <v>0</v>
      </c>
      <c r="P1551" s="52">
        <f t="shared" si="349"/>
        <v>0</v>
      </c>
      <c r="Q1551" s="49">
        <v>116.88487613461319</v>
      </c>
      <c r="R1551">
        <v>2225</v>
      </c>
      <c r="S1551" s="50">
        <f t="shared" si="345"/>
        <v>71535.307499999995</v>
      </c>
      <c r="T1551" s="50">
        <f t="shared" si="350"/>
        <v>0</v>
      </c>
      <c r="U1551" s="58">
        <f t="shared" si="351"/>
        <v>0</v>
      </c>
      <c r="V1551" s="58">
        <f t="shared" si="352"/>
        <v>0</v>
      </c>
      <c r="W1551" s="58">
        <f t="shared" si="353"/>
        <v>0</v>
      </c>
      <c r="X1551" s="58">
        <f t="shared" si="354"/>
        <v>0</v>
      </c>
      <c r="Y1551" s="52">
        <f t="shared" si="355"/>
        <v>0</v>
      </c>
    </row>
    <row r="1552" spans="1:25" x14ac:dyDescent="0.25">
      <c r="A1552" s="1218" t="s">
        <v>94</v>
      </c>
      <c r="B1552" s="98">
        <v>45658</v>
      </c>
      <c r="C1552" s="117" t="str">
        <f t="shared" si="357"/>
        <v>3L</v>
      </c>
      <c r="D1552" s="96"/>
      <c r="E1552" s="98"/>
      <c r="F1552" s="99">
        <f t="shared" si="356"/>
        <v>0</v>
      </c>
      <c r="G1552" s="41"/>
      <c r="H1552" s="47"/>
      <c r="I1552" s="99">
        <f t="shared" si="343"/>
        <v>0</v>
      </c>
      <c r="J1552" s="41"/>
      <c r="K1552" s="47"/>
      <c r="L1552" s="99">
        <f t="shared" si="344"/>
        <v>0</v>
      </c>
      <c r="M1552" s="44" t="str">
        <f t="shared" si="346"/>
        <v/>
      </c>
      <c r="N1552" s="100">
        <f t="shared" si="347"/>
        <v>0</v>
      </c>
      <c r="O1552" s="101">
        <f t="shared" si="348"/>
        <v>0</v>
      </c>
      <c r="P1552" s="52">
        <f t="shared" si="349"/>
        <v>0</v>
      </c>
      <c r="Q1552" s="49">
        <v>116.88487613461319</v>
      </c>
      <c r="R1552">
        <v>2225</v>
      </c>
      <c r="S1552" s="50">
        <f t="shared" si="345"/>
        <v>71535.307499999995</v>
      </c>
      <c r="T1552" s="50">
        <f t="shared" si="350"/>
        <v>0</v>
      </c>
      <c r="U1552" s="58">
        <f t="shared" si="351"/>
        <v>0</v>
      </c>
      <c r="V1552" s="58">
        <f t="shared" si="352"/>
        <v>0</v>
      </c>
      <c r="W1552" s="58">
        <f t="shared" si="353"/>
        <v>0</v>
      </c>
      <c r="X1552" s="58">
        <f t="shared" si="354"/>
        <v>0</v>
      </c>
      <c r="Y1552" s="52">
        <f t="shared" si="355"/>
        <v>0</v>
      </c>
    </row>
    <row r="1553" spans="1:25" x14ac:dyDescent="0.25">
      <c r="A1553" s="1218" t="s">
        <v>95</v>
      </c>
      <c r="B1553" s="98">
        <v>45658</v>
      </c>
      <c r="C1553" s="117" t="str">
        <f t="shared" si="357"/>
        <v>3L</v>
      </c>
      <c r="D1553" s="96"/>
      <c r="E1553" s="98"/>
      <c r="F1553" s="99">
        <f t="shared" si="356"/>
        <v>0</v>
      </c>
      <c r="G1553" s="41"/>
      <c r="H1553" s="47"/>
      <c r="I1553" s="99">
        <f t="shared" si="343"/>
        <v>0</v>
      </c>
      <c r="J1553" s="41"/>
      <c r="K1553" s="47"/>
      <c r="L1553" s="99">
        <f t="shared" si="344"/>
        <v>0</v>
      </c>
      <c r="M1553" s="44" t="str">
        <f t="shared" si="346"/>
        <v/>
      </c>
      <c r="N1553" s="100">
        <f t="shared" si="347"/>
        <v>0</v>
      </c>
      <c r="O1553" s="101">
        <f t="shared" si="348"/>
        <v>0</v>
      </c>
      <c r="P1553" s="52">
        <f t="shared" si="349"/>
        <v>0</v>
      </c>
      <c r="Q1553" s="49">
        <v>116.88487613461319</v>
      </c>
      <c r="R1553">
        <v>2225</v>
      </c>
      <c r="S1553" s="50">
        <f t="shared" si="345"/>
        <v>71535.307499999995</v>
      </c>
      <c r="T1553" s="50">
        <f t="shared" si="350"/>
        <v>0</v>
      </c>
      <c r="U1553" s="58">
        <f t="shared" si="351"/>
        <v>0</v>
      </c>
      <c r="V1553" s="58">
        <f t="shared" si="352"/>
        <v>0</v>
      </c>
      <c r="W1553" s="58">
        <f t="shared" si="353"/>
        <v>0</v>
      </c>
      <c r="X1553" s="58">
        <f t="shared" si="354"/>
        <v>0</v>
      </c>
      <c r="Y1553" s="52">
        <f t="shared" si="355"/>
        <v>0</v>
      </c>
    </row>
    <row r="1554" spans="1:25" x14ac:dyDescent="0.25">
      <c r="A1554" s="1218" t="s">
        <v>96</v>
      </c>
      <c r="B1554" s="98">
        <v>45658</v>
      </c>
      <c r="C1554" s="117" t="str">
        <f t="shared" si="357"/>
        <v>3L</v>
      </c>
      <c r="D1554" s="96"/>
      <c r="E1554" s="98"/>
      <c r="F1554" s="99">
        <f t="shared" si="356"/>
        <v>0</v>
      </c>
      <c r="G1554" s="41"/>
      <c r="H1554" s="47"/>
      <c r="I1554" s="99">
        <f t="shared" si="343"/>
        <v>0</v>
      </c>
      <c r="J1554" s="41"/>
      <c r="K1554" s="47"/>
      <c r="L1554" s="99">
        <f t="shared" si="344"/>
        <v>0</v>
      </c>
      <c r="M1554" s="44" t="str">
        <f t="shared" si="346"/>
        <v/>
      </c>
      <c r="N1554" s="100">
        <f t="shared" si="347"/>
        <v>0</v>
      </c>
      <c r="O1554" s="101">
        <f t="shared" si="348"/>
        <v>0</v>
      </c>
      <c r="P1554" s="52">
        <f t="shared" si="349"/>
        <v>0</v>
      </c>
      <c r="Q1554" s="49">
        <v>116.88487613461319</v>
      </c>
      <c r="R1554">
        <v>2225</v>
      </c>
      <c r="S1554" s="50">
        <f t="shared" si="345"/>
        <v>71535.307499999995</v>
      </c>
      <c r="T1554" s="50">
        <f t="shared" si="350"/>
        <v>0</v>
      </c>
      <c r="U1554" s="58">
        <f t="shared" si="351"/>
        <v>0</v>
      </c>
      <c r="V1554" s="58">
        <f t="shared" si="352"/>
        <v>0</v>
      </c>
      <c r="W1554" s="58">
        <f t="shared" si="353"/>
        <v>0</v>
      </c>
      <c r="X1554" s="58">
        <f t="shared" si="354"/>
        <v>0</v>
      </c>
      <c r="Y1554" s="52">
        <f t="shared" si="355"/>
        <v>0</v>
      </c>
    </row>
    <row r="1555" spans="1:25" x14ac:dyDescent="0.25">
      <c r="A1555" s="1218" t="s">
        <v>97</v>
      </c>
      <c r="B1555" s="98">
        <v>45658</v>
      </c>
      <c r="C1555" s="117" t="str">
        <f t="shared" si="357"/>
        <v>4L</v>
      </c>
      <c r="D1555" s="96"/>
      <c r="E1555" s="98"/>
      <c r="F1555" s="99">
        <f t="shared" si="356"/>
        <v>0</v>
      </c>
      <c r="I1555" s="99">
        <f t="shared" si="343"/>
        <v>0</v>
      </c>
      <c r="L1555" s="99">
        <f t="shared" si="344"/>
        <v>0</v>
      </c>
      <c r="M1555" s="44" t="str">
        <f t="shared" si="346"/>
        <v/>
      </c>
      <c r="N1555" s="100">
        <f t="shared" si="347"/>
        <v>0</v>
      </c>
      <c r="O1555" s="101">
        <f t="shared" si="348"/>
        <v>0</v>
      </c>
      <c r="P1555" s="52">
        <f t="shared" si="349"/>
        <v>0</v>
      </c>
      <c r="Q1555" s="49">
        <v>116.88487613461319</v>
      </c>
      <c r="R1555">
        <v>2225</v>
      </c>
      <c r="S1555" s="50">
        <f t="shared" si="345"/>
        <v>71535.307499999995</v>
      </c>
      <c r="T1555" s="50">
        <f t="shared" si="350"/>
        <v>0</v>
      </c>
      <c r="U1555" s="58">
        <f t="shared" si="351"/>
        <v>0</v>
      </c>
      <c r="V1555" s="58">
        <f t="shared" si="352"/>
        <v>0</v>
      </c>
      <c r="W1555" s="58">
        <f t="shared" si="353"/>
        <v>0</v>
      </c>
      <c r="X1555" s="58">
        <f t="shared" si="354"/>
        <v>0</v>
      </c>
      <c r="Y1555" s="52">
        <f t="shared" si="355"/>
        <v>0</v>
      </c>
    </row>
    <row r="1556" spans="1:25" x14ac:dyDescent="0.25">
      <c r="A1556" s="1218" t="s">
        <v>98</v>
      </c>
      <c r="B1556" s="98">
        <v>45658</v>
      </c>
      <c r="C1556" s="117" t="str">
        <f t="shared" si="357"/>
        <v>4L</v>
      </c>
      <c r="D1556" s="96"/>
      <c r="E1556" s="98"/>
      <c r="F1556" s="99">
        <f t="shared" si="356"/>
        <v>0</v>
      </c>
      <c r="I1556" s="99">
        <f t="shared" si="343"/>
        <v>0</v>
      </c>
      <c r="L1556" s="99">
        <f t="shared" si="344"/>
        <v>0</v>
      </c>
      <c r="M1556" s="44" t="str">
        <f t="shared" si="346"/>
        <v/>
      </c>
      <c r="N1556" s="100">
        <f t="shared" si="347"/>
        <v>0</v>
      </c>
      <c r="O1556" s="101">
        <f t="shared" si="348"/>
        <v>0</v>
      </c>
      <c r="P1556" s="52">
        <f t="shared" si="349"/>
        <v>0</v>
      </c>
      <c r="Q1556" s="49">
        <v>116.88487613461319</v>
      </c>
      <c r="R1556">
        <v>2225</v>
      </c>
      <c r="S1556" s="50">
        <f t="shared" si="345"/>
        <v>71535.307499999995</v>
      </c>
      <c r="T1556" s="50">
        <f t="shared" si="350"/>
        <v>0</v>
      </c>
      <c r="U1556" s="58">
        <f t="shared" si="351"/>
        <v>0</v>
      </c>
      <c r="V1556" s="58">
        <f t="shared" si="352"/>
        <v>0</v>
      </c>
      <c r="W1556" s="58">
        <f t="shared" si="353"/>
        <v>0</v>
      </c>
      <c r="X1556" s="58">
        <f t="shared" si="354"/>
        <v>0</v>
      </c>
      <c r="Y1556" s="52">
        <f t="shared" si="355"/>
        <v>0</v>
      </c>
    </row>
    <row r="1557" spans="1:25" x14ac:dyDescent="0.25">
      <c r="A1557" s="1218" t="s">
        <v>99</v>
      </c>
      <c r="B1557" s="98">
        <v>45658</v>
      </c>
      <c r="C1557" s="117" t="str">
        <f t="shared" si="357"/>
        <v>4L</v>
      </c>
      <c r="D1557" s="96"/>
      <c r="E1557" s="98"/>
      <c r="F1557" s="99">
        <f t="shared" si="356"/>
        <v>0</v>
      </c>
      <c r="I1557" s="99">
        <f t="shared" si="343"/>
        <v>0</v>
      </c>
      <c r="L1557" s="99">
        <f t="shared" si="344"/>
        <v>0</v>
      </c>
      <c r="M1557" s="44" t="str">
        <f t="shared" si="346"/>
        <v/>
      </c>
      <c r="N1557" s="100">
        <f t="shared" si="347"/>
        <v>0</v>
      </c>
      <c r="O1557" s="101">
        <f t="shared" si="348"/>
        <v>0</v>
      </c>
      <c r="P1557" s="52">
        <f t="shared" si="349"/>
        <v>0</v>
      </c>
      <c r="Q1557" s="49">
        <v>116.88487613461319</v>
      </c>
      <c r="R1557">
        <v>2225</v>
      </c>
      <c r="S1557" s="50">
        <f t="shared" si="345"/>
        <v>71535.307499999995</v>
      </c>
      <c r="T1557" s="50">
        <f t="shared" si="350"/>
        <v>0</v>
      </c>
      <c r="U1557" s="58">
        <f t="shared" si="351"/>
        <v>0</v>
      </c>
      <c r="V1557" s="58">
        <f t="shared" si="352"/>
        <v>0</v>
      </c>
      <c r="W1557" s="58">
        <f t="shared" si="353"/>
        <v>0</v>
      </c>
      <c r="X1557" s="58">
        <f t="shared" si="354"/>
        <v>0</v>
      </c>
      <c r="Y1557" s="52">
        <f t="shared" si="355"/>
        <v>0</v>
      </c>
    </row>
    <row r="1558" spans="1:25" x14ac:dyDescent="0.25">
      <c r="A1558" s="1218" t="s">
        <v>100</v>
      </c>
      <c r="B1558" s="98">
        <v>45658</v>
      </c>
      <c r="C1558" s="117" t="str">
        <f t="shared" si="357"/>
        <v>4L</v>
      </c>
      <c r="D1558" s="96"/>
      <c r="E1558" s="98"/>
      <c r="F1558" s="99">
        <f t="shared" si="356"/>
        <v>0</v>
      </c>
      <c r="I1558" s="99">
        <f t="shared" si="343"/>
        <v>0</v>
      </c>
      <c r="L1558" s="99">
        <f t="shared" si="344"/>
        <v>0</v>
      </c>
      <c r="M1558" s="44" t="str">
        <f t="shared" si="346"/>
        <v/>
      </c>
      <c r="N1558" s="100">
        <f t="shared" si="347"/>
        <v>0</v>
      </c>
      <c r="O1558" s="101">
        <f t="shared" si="348"/>
        <v>0</v>
      </c>
      <c r="P1558" s="52">
        <f t="shared" si="349"/>
        <v>0</v>
      </c>
      <c r="Q1558" s="49">
        <v>116.88487613461319</v>
      </c>
      <c r="R1558">
        <v>2225</v>
      </c>
      <c r="S1558" s="50">
        <f t="shared" si="345"/>
        <v>71535.307499999995</v>
      </c>
      <c r="T1558" s="50">
        <f t="shared" si="350"/>
        <v>0</v>
      </c>
      <c r="U1558" s="58">
        <f t="shared" si="351"/>
        <v>0</v>
      </c>
      <c r="V1558" s="58">
        <f t="shared" si="352"/>
        <v>0</v>
      </c>
      <c r="W1558" s="58">
        <f t="shared" si="353"/>
        <v>0</v>
      </c>
      <c r="X1558" s="58">
        <f t="shared" si="354"/>
        <v>0</v>
      </c>
      <c r="Y1558" s="52">
        <f t="shared" si="355"/>
        <v>0</v>
      </c>
    </row>
    <row r="1559" spans="1:25" x14ac:dyDescent="0.25">
      <c r="A1559" s="1218" t="s">
        <v>101</v>
      </c>
      <c r="B1559" s="98">
        <v>45658</v>
      </c>
      <c r="C1559" s="117" t="str">
        <f t="shared" si="357"/>
        <v>4L</v>
      </c>
      <c r="D1559" s="96"/>
      <c r="E1559" s="98"/>
      <c r="F1559" s="99">
        <f t="shared" si="356"/>
        <v>0</v>
      </c>
      <c r="I1559" s="99">
        <f t="shared" si="343"/>
        <v>0</v>
      </c>
      <c r="L1559" s="99">
        <f t="shared" si="344"/>
        <v>0</v>
      </c>
      <c r="M1559" s="44" t="str">
        <f t="shared" si="346"/>
        <v/>
      </c>
      <c r="N1559" s="100">
        <f t="shared" si="347"/>
        <v>0</v>
      </c>
      <c r="O1559" s="101">
        <f t="shared" si="348"/>
        <v>0</v>
      </c>
      <c r="P1559" s="52">
        <f t="shared" si="349"/>
        <v>0</v>
      </c>
      <c r="Q1559" s="49">
        <v>116.88487613461319</v>
      </c>
      <c r="R1559">
        <v>2225</v>
      </c>
      <c r="S1559" s="50">
        <f t="shared" si="345"/>
        <v>71535.307499999995</v>
      </c>
      <c r="T1559" s="50">
        <f t="shared" si="350"/>
        <v>0</v>
      </c>
      <c r="U1559" s="58">
        <f t="shared" si="351"/>
        <v>0</v>
      </c>
      <c r="V1559" s="58">
        <f t="shared" si="352"/>
        <v>0</v>
      </c>
      <c r="W1559" s="58">
        <f t="shared" si="353"/>
        <v>0</v>
      </c>
      <c r="X1559" s="58">
        <f t="shared" si="354"/>
        <v>0</v>
      </c>
      <c r="Y1559" s="52">
        <f t="shared" si="355"/>
        <v>0</v>
      </c>
    </row>
    <row r="1560" spans="1:25" x14ac:dyDescent="0.25">
      <c r="A1560" s="1218" t="s">
        <v>102</v>
      </c>
      <c r="B1560" s="98">
        <v>45658</v>
      </c>
      <c r="C1560" s="117" t="str">
        <f t="shared" si="357"/>
        <v>4L</v>
      </c>
      <c r="D1560" s="96"/>
      <c r="E1560" s="98"/>
      <c r="F1560" s="99">
        <f t="shared" si="356"/>
        <v>0</v>
      </c>
      <c r="I1560" s="99">
        <f t="shared" si="343"/>
        <v>0</v>
      </c>
      <c r="L1560" s="99">
        <f t="shared" si="344"/>
        <v>0</v>
      </c>
      <c r="M1560" s="44" t="str">
        <f t="shared" si="346"/>
        <v/>
      </c>
      <c r="N1560" s="100">
        <f t="shared" si="347"/>
        <v>0</v>
      </c>
      <c r="O1560" s="101">
        <f t="shared" si="348"/>
        <v>0</v>
      </c>
      <c r="P1560" s="52">
        <f t="shared" si="349"/>
        <v>0</v>
      </c>
      <c r="Q1560" s="49">
        <v>116.88487613461319</v>
      </c>
      <c r="R1560">
        <v>2225</v>
      </c>
      <c r="S1560" s="50">
        <f t="shared" si="345"/>
        <v>71535.307499999995</v>
      </c>
      <c r="T1560" s="50">
        <f t="shared" si="350"/>
        <v>0</v>
      </c>
      <c r="U1560" s="58">
        <f t="shared" si="351"/>
        <v>0</v>
      </c>
      <c r="V1560" s="58">
        <f t="shared" si="352"/>
        <v>0</v>
      </c>
      <c r="W1560" s="58">
        <f t="shared" si="353"/>
        <v>0</v>
      </c>
      <c r="X1560" s="58">
        <f t="shared" si="354"/>
        <v>0</v>
      </c>
      <c r="Y1560" s="52">
        <f t="shared" si="355"/>
        <v>0</v>
      </c>
    </row>
    <row r="1561" spans="1:25" x14ac:dyDescent="0.25">
      <c r="A1561" s="1218" t="s">
        <v>103</v>
      </c>
      <c r="B1561" s="98">
        <v>45658</v>
      </c>
      <c r="C1561" s="117" t="str">
        <f t="shared" si="357"/>
        <v>4L</v>
      </c>
      <c r="D1561" s="96"/>
      <c r="E1561" s="98"/>
      <c r="F1561" s="99">
        <f t="shared" si="356"/>
        <v>0</v>
      </c>
      <c r="I1561" s="99">
        <f t="shared" si="343"/>
        <v>0</v>
      </c>
      <c r="L1561" s="99">
        <f t="shared" si="344"/>
        <v>0</v>
      </c>
      <c r="M1561" s="44" t="str">
        <f t="shared" si="346"/>
        <v/>
      </c>
      <c r="N1561" s="100">
        <f t="shared" si="347"/>
        <v>0</v>
      </c>
      <c r="O1561" s="101">
        <f t="shared" si="348"/>
        <v>0</v>
      </c>
      <c r="P1561" s="52">
        <f t="shared" si="349"/>
        <v>0</v>
      </c>
      <c r="Q1561" s="49">
        <v>116.88487613461319</v>
      </c>
      <c r="R1561">
        <v>2225</v>
      </c>
      <c r="S1561" s="50">
        <f t="shared" si="345"/>
        <v>71535.307499999995</v>
      </c>
      <c r="T1561" s="50">
        <f t="shared" si="350"/>
        <v>0</v>
      </c>
      <c r="U1561" s="58">
        <f t="shared" si="351"/>
        <v>0</v>
      </c>
      <c r="V1561" s="58">
        <f t="shared" si="352"/>
        <v>0</v>
      </c>
      <c r="W1561" s="58">
        <f t="shared" si="353"/>
        <v>0</v>
      </c>
      <c r="X1561" s="58">
        <f t="shared" si="354"/>
        <v>0</v>
      </c>
      <c r="Y1561" s="52">
        <f t="shared" si="355"/>
        <v>0</v>
      </c>
    </row>
    <row r="1562" spans="1:25" x14ac:dyDescent="0.25">
      <c r="A1562" s="1218" t="s">
        <v>104</v>
      </c>
      <c r="B1562" s="98">
        <v>45658</v>
      </c>
      <c r="C1562" s="117" t="str">
        <f t="shared" si="357"/>
        <v>4L</v>
      </c>
      <c r="D1562" s="96"/>
      <c r="E1562" s="98"/>
      <c r="F1562" s="99">
        <f t="shared" si="356"/>
        <v>0</v>
      </c>
      <c r="I1562" s="99">
        <f t="shared" si="343"/>
        <v>0</v>
      </c>
      <c r="L1562" s="99">
        <f t="shared" si="344"/>
        <v>0</v>
      </c>
      <c r="M1562" s="44" t="str">
        <f t="shared" si="346"/>
        <v/>
      </c>
      <c r="N1562" s="100">
        <f t="shared" si="347"/>
        <v>0</v>
      </c>
      <c r="O1562" s="101">
        <f t="shared" si="348"/>
        <v>0</v>
      </c>
      <c r="P1562" s="52">
        <f t="shared" si="349"/>
        <v>0</v>
      </c>
      <c r="Q1562" s="49">
        <v>116.88487613461319</v>
      </c>
      <c r="R1562">
        <v>2225</v>
      </c>
      <c r="S1562" s="50">
        <f t="shared" si="345"/>
        <v>71535.307499999995</v>
      </c>
      <c r="T1562" s="50">
        <f t="shared" si="350"/>
        <v>0</v>
      </c>
      <c r="U1562" s="58">
        <f t="shared" si="351"/>
        <v>0</v>
      </c>
      <c r="V1562" s="58">
        <f t="shared" si="352"/>
        <v>0</v>
      </c>
      <c r="W1562" s="58">
        <f t="shared" si="353"/>
        <v>0</v>
      </c>
      <c r="X1562" s="58">
        <f t="shared" si="354"/>
        <v>0</v>
      </c>
      <c r="Y1562" s="52">
        <f t="shared" si="355"/>
        <v>0</v>
      </c>
    </row>
    <row r="1563" spans="1:25" x14ac:dyDescent="0.25">
      <c r="A1563" s="1218" t="s">
        <v>105</v>
      </c>
      <c r="B1563" s="98">
        <v>45658</v>
      </c>
      <c r="C1563" s="117" t="str">
        <f t="shared" si="357"/>
        <v>4L</v>
      </c>
      <c r="D1563" s="96"/>
      <c r="E1563" s="98"/>
      <c r="F1563" s="99">
        <f t="shared" si="356"/>
        <v>0</v>
      </c>
      <c r="I1563" s="99">
        <f t="shared" si="343"/>
        <v>0</v>
      </c>
      <c r="L1563" s="99">
        <f t="shared" si="344"/>
        <v>0</v>
      </c>
      <c r="M1563" s="44" t="str">
        <f t="shared" si="346"/>
        <v/>
      </c>
      <c r="N1563" s="100">
        <f t="shared" si="347"/>
        <v>0</v>
      </c>
      <c r="O1563" s="101">
        <f t="shared" si="348"/>
        <v>0</v>
      </c>
      <c r="P1563" s="52">
        <f t="shared" si="349"/>
        <v>0</v>
      </c>
      <c r="Q1563" s="49">
        <v>116.88487613461319</v>
      </c>
      <c r="R1563">
        <v>2225</v>
      </c>
      <c r="S1563" s="50">
        <f t="shared" si="345"/>
        <v>71535.307499999995</v>
      </c>
      <c r="T1563" s="50">
        <f t="shared" si="350"/>
        <v>0</v>
      </c>
      <c r="U1563" s="58">
        <f t="shared" si="351"/>
        <v>0</v>
      </c>
      <c r="V1563" s="58">
        <f t="shared" si="352"/>
        <v>0</v>
      </c>
      <c r="W1563" s="58">
        <f t="shared" si="353"/>
        <v>0</v>
      </c>
      <c r="X1563" s="58">
        <f t="shared" si="354"/>
        <v>0</v>
      </c>
      <c r="Y1563" s="52">
        <f t="shared" si="355"/>
        <v>0</v>
      </c>
    </row>
    <row r="1564" spans="1:25" x14ac:dyDescent="0.25">
      <c r="A1564" s="1218" t="s">
        <v>106</v>
      </c>
      <c r="B1564" s="98">
        <v>45658</v>
      </c>
      <c r="C1564" s="117" t="str">
        <f t="shared" si="357"/>
        <v>4L</v>
      </c>
      <c r="D1564" s="96"/>
      <c r="E1564" s="98"/>
      <c r="F1564" s="99">
        <f t="shared" si="356"/>
        <v>0</v>
      </c>
      <c r="I1564" s="99">
        <f t="shared" si="343"/>
        <v>0</v>
      </c>
      <c r="L1564" s="99">
        <f t="shared" si="344"/>
        <v>0</v>
      </c>
      <c r="M1564" s="44" t="str">
        <f t="shared" si="346"/>
        <v/>
      </c>
      <c r="N1564" s="100">
        <f t="shared" si="347"/>
        <v>0</v>
      </c>
      <c r="O1564" s="101">
        <f t="shared" si="348"/>
        <v>0</v>
      </c>
      <c r="P1564" s="52">
        <f t="shared" si="349"/>
        <v>0</v>
      </c>
      <c r="Q1564" s="49">
        <v>116.88487613461319</v>
      </c>
      <c r="R1564">
        <v>2225</v>
      </c>
      <c r="S1564" s="50">
        <f t="shared" si="345"/>
        <v>71535.307499999995</v>
      </c>
      <c r="T1564" s="50">
        <f t="shared" si="350"/>
        <v>0</v>
      </c>
      <c r="U1564" s="58">
        <f t="shared" si="351"/>
        <v>0</v>
      </c>
      <c r="V1564" s="58">
        <f t="shared" si="352"/>
        <v>0</v>
      </c>
      <c r="W1564" s="58">
        <f t="shared" si="353"/>
        <v>0</v>
      </c>
      <c r="X1564" s="58">
        <f t="shared" si="354"/>
        <v>0</v>
      </c>
      <c r="Y1564" s="52">
        <f t="shared" si="355"/>
        <v>0</v>
      </c>
    </row>
    <row r="1565" spans="1:25" x14ac:dyDescent="0.25">
      <c r="A1565" s="1218" t="s">
        <v>107</v>
      </c>
      <c r="B1565" s="98">
        <v>45658</v>
      </c>
      <c r="C1565" s="117" t="str">
        <f t="shared" si="357"/>
        <v>4L</v>
      </c>
      <c r="D1565" s="96"/>
      <c r="E1565" s="98"/>
      <c r="F1565" s="99">
        <f t="shared" si="356"/>
        <v>0</v>
      </c>
      <c r="I1565" s="99">
        <f t="shared" si="343"/>
        <v>0</v>
      </c>
      <c r="L1565" s="99">
        <f t="shared" si="344"/>
        <v>0</v>
      </c>
      <c r="M1565" s="44" t="str">
        <f t="shared" si="346"/>
        <v/>
      </c>
      <c r="N1565" s="100">
        <f t="shared" si="347"/>
        <v>0</v>
      </c>
      <c r="O1565" s="101">
        <f t="shared" si="348"/>
        <v>0</v>
      </c>
      <c r="P1565" s="52">
        <f t="shared" si="349"/>
        <v>0</v>
      </c>
      <c r="Q1565" s="49">
        <v>116.88487613461319</v>
      </c>
      <c r="R1565">
        <v>2225</v>
      </c>
      <c r="S1565" s="50">
        <f t="shared" si="345"/>
        <v>71535.307499999995</v>
      </c>
      <c r="T1565" s="50">
        <f t="shared" si="350"/>
        <v>0</v>
      </c>
      <c r="U1565" s="58">
        <f t="shared" si="351"/>
        <v>0</v>
      </c>
      <c r="V1565" s="58">
        <f t="shared" si="352"/>
        <v>0</v>
      </c>
      <c r="W1565" s="58">
        <f t="shared" si="353"/>
        <v>0</v>
      </c>
      <c r="X1565" s="58">
        <f t="shared" si="354"/>
        <v>0</v>
      </c>
      <c r="Y1565" s="52">
        <f t="shared" si="355"/>
        <v>0</v>
      </c>
    </row>
    <row r="1566" spans="1:25" x14ac:dyDescent="0.25">
      <c r="A1566" s="1218" t="s">
        <v>108</v>
      </c>
      <c r="B1566" s="98">
        <v>45658</v>
      </c>
      <c r="C1566" s="117" t="str">
        <f t="shared" si="357"/>
        <v>4L</v>
      </c>
      <c r="D1566" s="96"/>
      <c r="E1566" s="98"/>
      <c r="F1566" s="99">
        <f t="shared" si="356"/>
        <v>0</v>
      </c>
      <c r="I1566" s="99">
        <f t="shared" si="343"/>
        <v>0</v>
      </c>
      <c r="L1566" s="99">
        <f t="shared" si="344"/>
        <v>0</v>
      </c>
      <c r="M1566" s="44" t="str">
        <f t="shared" si="346"/>
        <v/>
      </c>
      <c r="N1566" s="100">
        <f t="shared" si="347"/>
        <v>0</v>
      </c>
      <c r="O1566" s="101">
        <f t="shared" si="348"/>
        <v>0</v>
      </c>
      <c r="P1566" s="52">
        <f t="shared" si="349"/>
        <v>0</v>
      </c>
      <c r="Q1566" s="49">
        <v>116.88487613461319</v>
      </c>
      <c r="R1566">
        <v>2225</v>
      </c>
      <c r="S1566" s="50">
        <f t="shared" si="345"/>
        <v>71535.307499999995</v>
      </c>
      <c r="T1566" s="50">
        <f t="shared" si="350"/>
        <v>0</v>
      </c>
      <c r="U1566" s="58">
        <f t="shared" si="351"/>
        <v>0</v>
      </c>
      <c r="V1566" s="58">
        <f t="shared" si="352"/>
        <v>0</v>
      </c>
      <c r="W1566" s="58">
        <f t="shared" si="353"/>
        <v>0</v>
      </c>
      <c r="X1566" s="58">
        <f t="shared" si="354"/>
        <v>0</v>
      </c>
      <c r="Y1566" s="52">
        <f t="shared" si="355"/>
        <v>0</v>
      </c>
    </row>
    <row r="1567" spans="1:25" x14ac:dyDescent="0.25">
      <c r="A1567" s="1218" t="s">
        <v>109</v>
      </c>
      <c r="B1567" s="98">
        <v>45658</v>
      </c>
      <c r="C1567" s="117" t="str">
        <f t="shared" si="357"/>
        <v>4L</v>
      </c>
      <c r="D1567" s="96"/>
      <c r="E1567" s="98"/>
      <c r="F1567" s="99">
        <f t="shared" si="356"/>
        <v>0</v>
      </c>
      <c r="I1567" s="99">
        <f t="shared" si="343"/>
        <v>0</v>
      </c>
      <c r="L1567" s="99">
        <f t="shared" si="344"/>
        <v>0</v>
      </c>
      <c r="M1567" s="44" t="str">
        <f t="shared" si="346"/>
        <v/>
      </c>
      <c r="N1567" s="100">
        <f t="shared" si="347"/>
        <v>0</v>
      </c>
      <c r="O1567" s="101">
        <f t="shared" si="348"/>
        <v>0</v>
      </c>
      <c r="P1567" s="52">
        <f t="shared" si="349"/>
        <v>0</v>
      </c>
      <c r="Q1567" s="49">
        <v>116.88487613461319</v>
      </c>
      <c r="R1567">
        <v>2225</v>
      </c>
      <c r="S1567" s="50">
        <f t="shared" si="345"/>
        <v>71535.307499999995</v>
      </c>
      <c r="T1567" s="50">
        <f t="shared" si="350"/>
        <v>0</v>
      </c>
      <c r="U1567" s="58">
        <f t="shared" si="351"/>
        <v>0</v>
      </c>
      <c r="V1567" s="58">
        <f t="shared" si="352"/>
        <v>0</v>
      </c>
      <c r="W1567" s="58">
        <f t="shared" si="353"/>
        <v>0</v>
      </c>
      <c r="X1567" s="58">
        <f t="shared" si="354"/>
        <v>0</v>
      </c>
      <c r="Y1567" s="52">
        <f t="shared" si="355"/>
        <v>0</v>
      </c>
    </row>
    <row r="1568" spans="1:25" x14ac:dyDescent="0.25">
      <c r="A1568" s="1218" t="s">
        <v>110</v>
      </c>
      <c r="B1568" s="98">
        <v>45658</v>
      </c>
      <c r="C1568" s="117" t="str">
        <f t="shared" si="357"/>
        <v>4L</v>
      </c>
      <c r="D1568" s="96"/>
      <c r="E1568" s="98"/>
      <c r="F1568" s="99">
        <f t="shared" si="356"/>
        <v>0</v>
      </c>
      <c r="I1568" s="99">
        <f t="shared" si="343"/>
        <v>0</v>
      </c>
      <c r="L1568" s="99">
        <f t="shared" si="344"/>
        <v>0</v>
      </c>
      <c r="M1568" s="44" t="str">
        <f t="shared" si="346"/>
        <v/>
      </c>
      <c r="N1568" s="100">
        <f t="shared" si="347"/>
        <v>0</v>
      </c>
      <c r="O1568" s="101">
        <f t="shared" si="348"/>
        <v>0</v>
      </c>
      <c r="P1568" s="52">
        <f t="shared" si="349"/>
        <v>0</v>
      </c>
      <c r="Q1568" s="49">
        <v>116.88487613461319</v>
      </c>
      <c r="R1568">
        <v>2225</v>
      </c>
      <c r="S1568" s="50">
        <f t="shared" si="345"/>
        <v>71535.307499999995</v>
      </c>
      <c r="T1568" s="50">
        <f t="shared" si="350"/>
        <v>0</v>
      </c>
      <c r="U1568" s="58">
        <f t="shared" si="351"/>
        <v>0</v>
      </c>
      <c r="V1568" s="58">
        <f t="shared" si="352"/>
        <v>0</v>
      </c>
      <c r="W1568" s="58">
        <f t="shared" si="353"/>
        <v>0</v>
      </c>
      <c r="X1568" s="58">
        <f t="shared" si="354"/>
        <v>0</v>
      </c>
      <c r="Y1568" s="52">
        <f t="shared" si="355"/>
        <v>0</v>
      </c>
    </row>
    <row r="1569" spans="1:25" x14ac:dyDescent="0.25">
      <c r="A1569" s="1218" t="s">
        <v>111</v>
      </c>
      <c r="B1569" s="98">
        <v>45658</v>
      </c>
      <c r="C1569" s="117" t="str">
        <f t="shared" si="357"/>
        <v>4L</v>
      </c>
      <c r="D1569" s="96"/>
      <c r="E1569" s="98"/>
      <c r="F1569" s="99">
        <f t="shared" si="356"/>
        <v>0</v>
      </c>
      <c r="I1569" s="99">
        <f t="shared" si="343"/>
        <v>0</v>
      </c>
      <c r="L1569" s="99">
        <f t="shared" si="344"/>
        <v>0</v>
      </c>
      <c r="M1569" s="44" t="str">
        <f t="shared" si="346"/>
        <v/>
      </c>
      <c r="N1569" s="100">
        <f t="shared" si="347"/>
        <v>0</v>
      </c>
      <c r="O1569" s="101">
        <f t="shared" si="348"/>
        <v>0</v>
      </c>
      <c r="P1569" s="52">
        <f t="shared" si="349"/>
        <v>0</v>
      </c>
      <c r="Q1569" s="49">
        <v>116.88487613461319</v>
      </c>
      <c r="R1569">
        <v>2225</v>
      </c>
      <c r="S1569" s="50">
        <f t="shared" si="345"/>
        <v>71535.307499999995</v>
      </c>
      <c r="T1569" s="50">
        <f t="shared" si="350"/>
        <v>0</v>
      </c>
      <c r="U1569" s="58">
        <f t="shared" si="351"/>
        <v>0</v>
      </c>
      <c r="V1569" s="58">
        <f t="shared" si="352"/>
        <v>0</v>
      </c>
      <c r="W1569" s="58">
        <f t="shared" si="353"/>
        <v>0</v>
      </c>
      <c r="X1569" s="58">
        <f t="shared" si="354"/>
        <v>0</v>
      </c>
      <c r="Y1569" s="52">
        <f t="shared" si="355"/>
        <v>0</v>
      </c>
    </row>
    <row r="1570" spans="1:25" x14ac:dyDescent="0.25">
      <c r="A1570" s="1218" t="s">
        <v>112</v>
      </c>
      <c r="B1570" s="98">
        <v>45658</v>
      </c>
      <c r="C1570" s="117" t="str">
        <f t="shared" si="357"/>
        <v>4L</v>
      </c>
      <c r="D1570" s="96"/>
      <c r="E1570" s="98"/>
      <c r="F1570" s="99">
        <f t="shared" si="356"/>
        <v>0</v>
      </c>
      <c r="I1570" s="99">
        <f t="shared" si="343"/>
        <v>0</v>
      </c>
      <c r="L1570" s="99">
        <f t="shared" si="344"/>
        <v>0</v>
      </c>
      <c r="M1570" s="44" t="str">
        <f t="shared" si="346"/>
        <v/>
      </c>
      <c r="N1570" s="100">
        <f t="shared" si="347"/>
        <v>0</v>
      </c>
      <c r="O1570" s="101">
        <f t="shared" si="348"/>
        <v>0</v>
      </c>
      <c r="P1570" s="52">
        <f t="shared" si="349"/>
        <v>0</v>
      </c>
      <c r="Q1570" s="49">
        <v>116.88487613461319</v>
      </c>
      <c r="R1570">
        <v>2225</v>
      </c>
      <c r="S1570" s="50">
        <f t="shared" si="345"/>
        <v>71535.307499999995</v>
      </c>
      <c r="T1570" s="50">
        <f t="shared" si="350"/>
        <v>0</v>
      </c>
      <c r="U1570" s="58">
        <f t="shared" si="351"/>
        <v>0</v>
      </c>
      <c r="V1570" s="58">
        <f t="shared" si="352"/>
        <v>0</v>
      </c>
      <c r="W1570" s="58">
        <f t="shared" si="353"/>
        <v>0</v>
      </c>
      <c r="X1570" s="58">
        <f t="shared" si="354"/>
        <v>0</v>
      </c>
      <c r="Y1570" s="52">
        <f t="shared" si="355"/>
        <v>0</v>
      </c>
    </row>
    <row r="1571" spans="1:25" x14ac:dyDescent="0.25">
      <c r="A1571" s="1218" t="s">
        <v>113</v>
      </c>
      <c r="B1571" s="98">
        <v>45658</v>
      </c>
      <c r="C1571" s="117" t="str">
        <f t="shared" si="357"/>
        <v>4L</v>
      </c>
      <c r="D1571">
        <v>2921</v>
      </c>
      <c r="E1571">
        <v>2.71</v>
      </c>
      <c r="F1571" s="99">
        <f t="shared" si="356"/>
        <v>7.9159100000000002</v>
      </c>
      <c r="I1571" s="99">
        <f t="shared" si="343"/>
        <v>0</v>
      </c>
      <c r="L1571" s="99">
        <f t="shared" si="344"/>
        <v>0</v>
      </c>
      <c r="M1571" s="44" t="str">
        <f t="shared" si="346"/>
        <v/>
      </c>
      <c r="N1571" s="100">
        <f t="shared" si="347"/>
        <v>0</v>
      </c>
      <c r="O1571" s="101">
        <f t="shared" si="348"/>
        <v>0</v>
      </c>
      <c r="P1571" s="52">
        <f t="shared" si="349"/>
        <v>0</v>
      </c>
      <c r="Q1571" s="49">
        <v>116.88487613461319</v>
      </c>
      <c r="R1571">
        <v>2225</v>
      </c>
      <c r="S1571" s="50">
        <f t="shared" si="345"/>
        <v>71535.307499999995</v>
      </c>
      <c r="T1571" s="50">
        <f t="shared" si="350"/>
        <v>0</v>
      </c>
      <c r="U1571" s="58">
        <f t="shared" si="351"/>
        <v>0</v>
      </c>
      <c r="V1571" s="58">
        <f t="shared" si="352"/>
        <v>0</v>
      </c>
      <c r="W1571" s="58">
        <f t="shared" si="353"/>
        <v>0</v>
      </c>
      <c r="X1571" s="58">
        <f t="shared" si="354"/>
        <v>0</v>
      </c>
      <c r="Y1571" s="52">
        <f t="shared" si="355"/>
        <v>0</v>
      </c>
    </row>
    <row r="1572" spans="1:25" x14ac:dyDescent="0.25">
      <c r="A1572" s="1218" t="s">
        <v>114</v>
      </c>
      <c r="B1572" s="98">
        <v>45658</v>
      </c>
      <c r="C1572" s="117" t="str">
        <f t="shared" si="357"/>
        <v>4L</v>
      </c>
      <c r="D1572" s="118">
        <v>1947</v>
      </c>
      <c r="E1572">
        <v>1.4</v>
      </c>
      <c r="F1572" s="99">
        <f t="shared" si="356"/>
        <v>2.7257999999999996</v>
      </c>
      <c r="I1572" s="99">
        <f t="shared" si="343"/>
        <v>0</v>
      </c>
      <c r="L1572" s="99">
        <f t="shared" si="344"/>
        <v>0</v>
      </c>
      <c r="M1572" s="44" t="str">
        <f t="shared" si="346"/>
        <v/>
      </c>
      <c r="N1572" s="100">
        <f t="shared" si="347"/>
        <v>0</v>
      </c>
      <c r="O1572" s="101">
        <f t="shared" si="348"/>
        <v>0</v>
      </c>
      <c r="P1572" s="52">
        <f t="shared" si="349"/>
        <v>0</v>
      </c>
      <c r="Q1572" s="49">
        <v>116.88487613461319</v>
      </c>
      <c r="R1572">
        <v>2225</v>
      </c>
      <c r="S1572" s="50">
        <f t="shared" si="345"/>
        <v>71535.307499999995</v>
      </c>
      <c r="T1572" s="50">
        <f t="shared" si="350"/>
        <v>0</v>
      </c>
      <c r="U1572" s="58">
        <f t="shared" si="351"/>
        <v>0</v>
      </c>
      <c r="V1572" s="58">
        <f t="shared" si="352"/>
        <v>0</v>
      </c>
      <c r="W1572" s="58">
        <f t="shared" si="353"/>
        <v>0</v>
      </c>
      <c r="X1572" s="58">
        <f t="shared" si="354"/>
        <v>0</v>
      </c>
      <c r="Y1572" s="52">
        <f t="shared" si="355"/>
        <v>0</v>
      </c>
    </row>
    <row r="1573" spans="1:25" x14ac:dyDescent="0.25">
      <c r="A1573" s="1218" t="s">
        <v>115</v>
      </c>
      <c r="B1573" s="98">
        <v>45658</v>
      </c>
      <c r="C1573" s="117" t="str">
        <f t="shared" si="357"/>
        <v>4L</v>
      </c>
      <c r="D1573" s="96"/>
      <c r="E1573" s="98"/>
      <c r="F1573" s="99">
        <f t="shared" si="356"/>
        <v>0</v>
      </c>
      <c r="I1573" s="99">
        <f t="shared" si="343"/>
        <v>0</v>
      </c>
      <c r="L1573" s="99">
        <f t="shared" si="344"/>
        <v>0</v>
      </c>
      <c r="M1573" s="44" t="str">
        <f t="shared" si="346"/>
        <v/>
      </c>
      <c r="N1573" s="100">
        <f t="shared" si="347"/>
        <v>0</v>
      </c>
      <c r="O1573" s="101">
        <f t="shared" si="348"/>
        <v>0</v>
      </c>
      <c r="P1573" s="52">
        <f t="shared" si="349"/>
        <v>0</v>
      </c>
      <c r="Q1573" s="49">
        <v>116.88487613461319</v>
      </c>
      <c r="R1573">
        <v>2225</v>
      </c>
      <c r="S1573" s="50">
        <f t="shared" si="345"/>
        <v>71535.307499999995</v>
      </c>
      <c r="T1573" s="50">
        <f t="shared" si="350"/>
        <v>0</v>
      </c>
      <c r="U1573" s="58">
        <f t="shared" si="351"/>
        <v>0</v>
      </c>
      <c r="V1573" s="58">
        <f t="shared" si="352"/>
        <v>0</v>
      </c>
      <c r="W1573" s="58">
        <f t="shared" si="353"/>
        <v>0</v>
      </c>
      <c r="X1573" s="58">
        <f t="shared" si="354"/>
        <v>0</v>
      </c>
      <c r="Y1573" s="52">
        <f t="shared" si="355"/>
        <v>0</v>
      </c>
    </row>
    <row r="1574" spans="1:25" x14ac:dyDescent="0.25">
      <c r="A1574" s="1218" t="s">
        <v>116</v>
      </c>
      <c r="B1574" s="98">
        <v>45658</v>
      </c>
      <c r="C1574" s="117" t="str">
        <f t="shared" si="357"/>
        <v>4L</v>
      </c>
      <c r="D1574">
        <v>408</v>
      </c>
      <c r="E1574">
        <v>1.28</v>
      </c>
      <c r="F1574" s="99">
        <f t="shared" si="356"/>
        <v>0.52224000000000004</v>
      </c>
      <c r="I1574" s="99">
        <f t="shared" si="343"/>
        <v>0</v>
      </c>
      <c r="L1574" s="99">
        <f t="shared" si="344"/>
        <v>0</v>
      </c>
      <c r="M1574" s="44" t="str">
        <f t="shared" si="346"/>
        <v/>
      </c>
      <c r="N1574" s="100">
        <f t="shared" si="347"/>
        <v>0</v>
      </c>
      <c r="O1574" s="101">
        <f t="shared" si="348"/>
        <v>0</v>
      </c>
      <c r="P1574" s="52">
        <f t="shared" si="349"/>
        <v>0</v>
      </c>
      <c r="Q1574" s="49">
        <v>116.88487613461319</v>
      </c>
      <c r="R1574">
        <v>2225</v>
      </c>
      <c r="S1574" s="50">
        <f t="shared" si="345"/>
        <v>71535.307499999995</v>
      </c>
      <c r="T1574" s="50">
        <f t="shared" si="350"/>
        <v>0</v>
      </c>
      <c r="U1574" s="58">
        <f t="shared" si="351"/>
        <v>0</v>
      </c>
      <c r="V1574" s="58">
        <f t="shared" si="352"/>
        <v>0</v>
      </c>
      <c r="W1574" s="58">
        <f t="shared" si="353"/>
        <v>0</v>
      </c>
      <c r="X1574" s="58">
        <f t="shared" si="354"/>
        <v>0</v>
      </c>
      <c r="Y1574" s="52">
        <f t="shared" si="355"/>
        <v>0</v>
      </c>
    </row>
    <row r="1575" spans="1:25" x14ac:dyDescent="0.25">
      <c r="A1575" s="1218" t="s">
        <v>117</v>
      </c>
      <c r="B1575" s="98">
        <v>45658</v>
      </c>
      <c r="C1575" s="117" t="str">
        <f t="shared" si="357"/>
        <v>4L</v>
      </c>
      <c r="D1575" s="96"/>
      <c r="E1575" s="98"/>
      <c r="F1575" s="99">
        <f t="shared" si="356"/>
        <v>0</v>
      </c>
      <c r="I1575" s="99">
        <f t="shared" si="343"/>
        <v>0</v>
      </c>
      <c r="L1575" s="99">
        <f t="shared" si="344"/>
        <v>0</v>
      </c>
      <c r="M1575" s="44" t="str">
        <f t="shared" si="346"/>
        <v/>
      </c>
      <c r="N1575" s="100">
        <f t="shared" si="347"/>
        <v>0</v>
      </c>
      <c r="O1575" s="101">
        <f t="shared" si="348"/>
        <v>0</v>
      </c>
      <c r="P1575" s="52">
        <f t="shared" si="349"/>
        <v>0</v>
      </c>
      <c r="Q1575" s="49">
        <v>116.88487613461319</v>
      </c>
      <c r="R1575">
        <v>2225</v>
      </c>
      <c r="S1575" s="50">
        <f t="shared" si="345"/>
        <v>71535.307499999995</v>
      </c>
      <c r="T1575" s="50">
        <f t="shared" si="350"/>
        <v>0</v>
      </c>
      <c r="U1575" s="58">
        <f t="shared" si="351"/>
        <v>0</v>
      </c>
      <c r="V1575" s="58">
        <f t="shared" si="352"/>
        <v>0</v>
      </c>
      <c r="W1575" s="58">
        <f t="shared" si="353"/>
        <v>0</v>
      </c>
      <c r="X1575" s="58">
        <f t="shared" si="354"/>
        <v>0</v>
      </c>
      <c r="Y1575" s="52">
        <f t="shared" si="355"/>
        <v>0</v>
      </c>
    </row>
    <row r="1576" spans="1:25" x14ac:dyDescent="0.25">
      <c r="A1576" s="1218" t="s">
        <v>118</v>
      </c>
      <c r="B1576" s="98">
        <v>45658</v>
      </c>
      <c r="C1576" s="117" t="str">
        <f t="shared" si="357"/>
        <v>4L</v>
      </c>
      <c r="D1576" s="96"/>
      <c r="E1576" s="98"/>
      <c r="F1576" s="99">
        <f t="shared" si="356"/>
        <v>0</v>
      </c>
      <c r="I1576" s="99">
        <f t="shared" si="343"/>
        <v>0</v>
      </c>
      <c r="L1576" s="99">
        <f t="shared" si="344"/>
        <v>0</v>
      </c>
      <c r="M1576" s="44" t="str">
        <f t="shared" si="346"/>
        <v/>
      </c>
      <c r="N1576" s="100">
        <f t="shared" si="347"/>
        <v>0</v>
      </c>
      <c r="O1576" s="101">
        <f t="shared" si="348"/>
        <v>0</v>
      </c>
      <c r="P1576" s="52">
        <f t="shared" si="349"/>
        <v>0</v>
      </c>
      <c r="Q1576" s="49">
        <v>116.88487613461319</v>
      </c>
      <c r="R1576">
        <v>2225</v>
      </c>
      <c r="S1576" s="50">
        <f t="shared" si="345"/>
        <v>71535.307499999995</v>
      </c>
      <c r="T1576" s="50">
        <f t="shared" si="350"/>
        <v>0</v>
      </c>
      <c r="U1576" s="58">
        <f t="shared" si="351"/>
        <v>0</v>
      </c>
      <c r="V1576" s="58">
        <f t="shared" si="352"/>
        <v>0</v>
      </c>
      <c r="W1576" s="58">
        <f t="shared" si="353"/>
        <v>0</v>
      </c>
      <c r="X1576" s="58">
        <f t="shared" si="354"/>
        <v>0</v>
      </c>
      <c r="Y1576" s="52">
        <f t="shared" si="355"/>
        <v>0</v>
      </c>
    </row>
    <row r="1577" spans="1:25" x14ac:dyDescent="0.25">
      <c r="A1577" s="1218" t="s">
        <v>119</v>
      </c>
      <c r="B1577" s="98">
        <v>45658</v>
      </c>
      <c r="C1577" s="117" t="str">
        <f t="shared" si="357"/>
        <v>4L</v>
      </c>
      <c r="D1577" s="96"/>
      <c r="E1577" s="98"/>
      <c r="F1577" s="99">
        <f t="shared" si="356"/>
        <v>0</v>
      </c>
      <c r="I1577" s="99">
        <f t="shared" si="343"/>
        <v>0</v>
      </c>
      <c r="L1577" s="99">
        <f t="shared" si="344"/>
        <v>0</v>
      </c>
      <c r="M1577" s="44" t="str">
        <f t="shared" si="346"/>
        <v/>
      </c>
      <c r="N1577" s="100">
        <f t="shared" si="347"/>
        <v>0</v>
      </c>
      <c r="O1577" s="101">
        <f t="shared" si="348"/>
        <v>0</v>
      </c>
      <c r="P1577" s="52">
        <f t="shared" si="349"/>
        <v>0</v>
      </c>
      <c r="Q1577" s="49">
        <v>116.88487613461319</v>
      </c>
      <c r="R1577">
        <v>2225</v>
      </c>
      <c r="S1577" s="50">
        <f t="shared" si="345"/>
        <v>71535.307499999995</v>
      </c>
      <c r="T1577" s="50">
        <f t="shared" si="350"/>
        <v>0</v>
      </c>
      <c r="U1577" s="58">
        <f t="shared" si="351"/>
        <v>0</v>
      </c>
      <c r="V1577" s="58">
        <f t="shared" si="352"/>
        <v>0</v>
      </c>
      <c r="W1577" s="58">
        <f t="shared" si="353"/>
        <v>0</v>
      </c>
      <c r="X1577" s="58">
        <f t="shared" si="354"/>
        <v>0</v>
      </c>
      <c r="Y1577" s="52">
        <f t="shared" si="355"/>
        <v>0</v>
      </c>
    </row>
    <row r="1578" spans="1:25" x14ac:dyDescent="0.25">
      <c r="A1578" s="1218" t="s">
        <v>120</v>
      </c>
      <c r="B1578" s="98">
        <v>45658</v>
      </c>
      <c r="C1578" s="117" t="str">
        <f t="shared" si="357"/>
        <v>4L</v>
      </c>
      <c r="D1578" s="96"/>
      <c r="E1578" s="98"/>
      <c r="F1578" s="99">
        <f t="shared" si="356"/>
        <v>0</v>
      </c>
      <c r="I1578" s="99">
        <f t="shared" si="343"/>
        <v>0</v>
      </c>
      <c r="L1578" s="99">
        <f t="shared" si="344"/>
        <v>0</v>
      </c>
      <c r="M1578" s="44" t="str">
        <f t="shared" si="346"/>
        <v/>
      </c>
      <c r="N1578" s="100">
        <f t="shared" si="347"/>
        <v>0</v>
      </c>
      <c r="O1578" s="101">
        <f t="shared" si="348"/>
        <v>0</v>
      </c>
      <c r="P1578" s="52">
        <f t="shared" si="349"/>
        <v>0</v>
      </c>
      <c r="Q1578" s="49">
        <v>116.88487613461319</v>
      </c>
      <c r="R1578">
        <v>2225</v>
      </c>
      <c r="S1578" s="50">
        <f t="shared" si="345"/>
        <v>71535.307499999995</v>
      </c>
      <c r="T1578" s="50">
        <f t="shared" si="350"/>
        <v>0</v>
      </c>
      <c r="U1578" s="58">
        <f t="shared" si="351"/>
        <v>0</v>
      </c>
      <c r="V1578" s="58">
        <f t="shared" si="352"/>
        <v>0</v>
      </c>
      <c r="W1578" s="58">
        <f t="shared" si="353"/>
        <v>0</v>
      </c>
      <c r="X1578" s="58">
        <f t="shared" si="354"/>
        <v>0</v>
      </c>
      <c r="Y1578" s="52">
        <f t="shared" si="355"/>
        <v>0</v>
      </c>
    </row>
    <row r="1579" spans="1:25" x14ac:dyDescent="0.25">
      <c r="A1579" s="1218" t="s">
        <v>121</v>
      </c>
      <c r="B1579" s="98">
        <v>45658</v>
      </c>
      <c r="C1579" s="117" t="str">
        <f t="shared" si="357"/>
        <v>4L</v>
      </c>
      <c r="D1579" s="96"/>
      <c r="E1579" s="98"/>
      <c r="F1579" s="99">
        <f t="shared" si="356"/>
        <v>0</v>
      </c>
      <c r="I1579" s="99">
        <f t="shared" si="343"/>
        <v>0</v>
      </c>
      <c r="L1579" s="99">
        <f t="shared" si="344"/>
        <v>0</v>
      </c>
      <c r="M1579" s="44" t="str">
        <f t="shared" si="346"/>
        <v/>
      </c>
      <c r="N1579" s="100">
        <f t="shared" si="347"/>
        <v>0</v>
      </c>
      <c r="O1579" s="101">
        <f t="shared" si="348"/>
        <v>0</v>
      </c>
      <c r="P1579" s="52">
        <f t="shared" si="349"/>
        <v>0</v>
      </c>
      <c r="Q1579" s="49">
        <v>116.88487613461319</v>
      </c>
      <c r="R1579">
        <v>2225</v>
      </c>
      <c r="S1579" s="50">
        <f t="shared" si="345"/>
        <v>71535.307499999995</v>
      </c>
      <c r="T1579" s="50">
        <f t="shared" si="350"/>
        <v>0</v>
      </c>
      <c r="U1579" s="58">
        <f t="shared" si="351"/>
        <v>0</v>
      </c>
      <c r="V1579" s="58">
        <f t="shared" si="352"/>
        <v>0</v>
      </c>
      <c r="W1579" s="58">
        <f t="shared" si="353"/>
        <v>0</v>
      </c>
      <c r="X1579" s="58">
        <f t="shared" si="354"/>
        <v>0</v>
      </c>
      <c r="Y1579" s="52">
        <f t="shared" si="355"/>
        <v>0</v>
      </c>
    </row>
    <row r="1580" spans="1:25" x14ac:dyDescent="0.25">
      <c r="A1580" s="1218" t="s">
        <v>122</v>
      </c>
      <c r="B1580" s="98">
        <v>45658</v>
      </c>
      <c r="C1580" s="117" t="str">
        <f t="shared" si="357"/>
        <v>4L</v>
      </c>
      <c r="D1580" s="96"/>
      <c r="E1580" s="98"/>
      <c r="F1580" s="99">
        <f t="shared" si="356"/>
        <v>0</v>
      </c>
      <c r="I1580" s="99">
        <f t="shared" si="343"/>
        <v>0</v>
      </c>
      <c r="L1580" s="99">
        <f t="shared" si="344"/>
        <v>0</v>
      </c>
      <c r="M1580" s="44" t="str">
        <f t="shared" si="346"/>
        <v/>
      </c>
      <c r="N1580" s="100">
        <f t="shared" si="347"/>
        <v>0</v>
      </c>
      <c r="O1580" s="101">
        <f t="shared" si="348"/>
        <v>0</v>
      </c>
      <c r="P1580" s="52">
        <f t="shared" si="349"/>
        <v>0</v>
      </c>
      <c r="Q1580" s="49">
        <v>116.88487613461319</v>
      </c>
      <c r="R1580">
        <v>2225</v>
      </c>
      <c r="S1580" s="50">
        <f t="shared" si="345"/>
        <v>71535.307499999995</v>
      </c>
      <c r="T1580" s="50">
        <f t="shared" si="350"/>
        <v>0</v>
      </c>
      <c r="U1580" s="58">
        <f t="shared" si="351"/>
        <v>0</v>
      </c>
      <c r="V1580" s="58">
        <f t="shared" si="352"/>
        <v>0</v>
      </c>
      <c r="W1580" s="58">
        <f t="shared" si="353"/>
        <v>0</v>
      </c>
      <c r="X1580" s="58">
        <f t="shared" si="354"/>
        <v>0</v>
      </c>
      <c r="Y1580" s="52">
        <f t="shared" si="355"/>
        <v>0</v>
      </c>
    </row>
    <row r="1581" spans="1:25" x14ac:dyDescent="0.25">
      <c r="A1581" s="1218" t="s">
        <v>123</v>
      </c>
      <c r="B1581" s="98">
        <v>45658</v>
      </c>
      <c r="C1581" s="117" t="str">
        <f t="shared" si="357"/>
        <v>4L</v>
      </c>
      <c r="D1581" s="96"/>
      <c r="E1581" s="98"/>
      <c r="F1581" s="99">
        <f t="shared" si="356"/>
        <v>0</v>
      </c>
      <c r="I1581" s="99">
        <f t="shared" si="343"/>
        <v>0</v>
      </c>
      <c r="L1581" s="99">
        <f t="shared" si="344"/>
        <v>0</v>
      </c>
      <c r="M1581" s="44" t="str">
        <f t="shared" si="346"/>
        <v/>
      </c>
      <c r="N1581" s="100">
        <f t="shared" si="347"/>
        <v>0</v>
      </c>
      <c r="O1581" s="101">
        <f t="shared" si="348"/>
        <v>0</v>
      </c>
      <c r="P1581" s="52">
        <f t="shared" si="349"/>
        <v>0</v>
      </c>
      <c r="Q1581" s="49">
        <v>116.88487613461319</v>
      </c>
      <c r="R1581">
        <v>2225</v>
      </c>
      <c r="S1581" s="50">
        <f t="shared" si="345"/>
        <v>71535.307499999995</v>
      </c>
      <c r="T1581" s="50">
        <f t="shared" si="350"/>
        <v>0</v>
      </c>
      <c r="U1581" s="58">
        <f t="shared" si="351"/>
        <v>0</v>
      </c>
      <c r="V1581" s="58">
        <f t="shared" si="352"/>
        <v>0</v>
      </c>
      <c r="W1581" s="58">
        <f t="shared" si="353"/>
        <v>0</v>
      </c>
      <c r="X1581" s="58">
        <f t="shared" si="354"/>
        <v>0</v>
      </c>
      <c r="Y1581" s="52">
        <f t="shared" si="355"/>
        <v>0</v>
      </c>
    </row>
    <row r="1582" spans="1:25" x14ac:dyDescent="0.25">
      <c r="A1582" s="1218" t="s">
        <v>124</v>
      </c>
      <c r="B1582" s="98">
        <v>45658</v>
      </c>
      <c r="C1582" s="117" t="str">
        <f t="shared" si="357"/>
        <v>4L</v>
      </c>
      <c r="D1582" s="96"/>
      <c r="E1582" s="98"/>
      <c r="F1582" s="99">
        <f t="shared" si="356"/>
        <v>0</v>
      </c>
      <c r="I1582" s="99">
        <f t="shared" si="343"/>
        <v>0</v>
      </c>
      <c r="L1582" s="99">
        <f t="shared" si="344"/>
        <v>0</v>
      </c>
      <c r="M1582" s="44" t="str">
        <f t="shared" si="346"/>
        <v/>
      </c>
      <c r="N1582" s="100">
        <f t="shared" si="347"/>
        <v>0</v>
      </c>
      <c r="O1582" s="101">
        <f t="shared" si="348"/>
        <v>0</v>
      </c>
      <c r="P1582" s="52">
        <f t="shared" si="349"/>
        <v>0</v>
      </c>
      <c r="Q1582" s="49">
        <v>116.88487613461319</v>
      </c>
      <c r="R1582">
        <v>2225</v>
      </c>
      <c r="S1582" s="50">
        <f t="shared" si="345"/>
        <v>71535.307499999995</v>
      </c>
      <c r="T1582" s="50">
        <f t="shared" si="350"/>
        <v>0</v>
      </c>
      <c r="U1582" s="58">
        <f t="shared" si="351"/>
        <v>0</v>
      </c>
      <c r="V1582" s="58">
        <f t="shared" si="352"/>
        <v>0</v>
      </c>
      <c r="W1582" s="58">
        <f t="shared" si="353"/>
        <v>0</v>
      </c>
      <c r="X1582" s="58">
        <f t="shared" si="354"/>
        <v>0</v>
      </c>
      <c r="Y1582" s="52">
        <f t="shared" si="355"/>
        <v>0</v>
      </c>
    </row>
    <row r="1583" spans="1:25" x14ac:dyDescent="0.25">
      <c r="A1583" s="1218" t="s">
        <v>125</v>
      </c>
      <c r="B1583" s="98">
        <v>45658</v>
      </c>
      <c r="C1583" s="117" t="str">
        <f t="shared" ref="C1583:C1586" si="358">LEFT(A1583,2)</f>
        <v>4L</v>
      </c>
      <c r="D1583" s="118">
        <v>3033</v>
      </c>
      <c r="E1583">
        <v>1.81</v>
      </c>
      <c r="F1583" s="99">
        <f t="shared" si="356"/>
        <v>5.4897300000000007</v>
      </c>
      <c r="G1583" s="49">
        <f>'[4]Underground Breaking Plan'!$C$44</f>
        <v>6510</v>
      </c>
      <c r="H1583" s="49">
        <f>'[4]Underground Breaking Plan'!$C$45</f>
        <v>2.4399999999999986</v>
      </c>
      <c r="I1583" s="99">
        <f t="shared" si="343"/>
        <v>15.884399999999991</v>
      </c>
      <c r="J1583">
        <f>[5]Generation!$D$11</f>
        <v>6179</v>
      </c>
      <c r="K1583" s="63">
        <f>[5]Generation!$E$11</f>
        <v>3.2601958245670826</v>
      </c>
      <c r="L1583" s="99">
        <f t="shared" si="344"/>
        <v>20.144750000000002</v>
      </c>
      <c r="M1583" s="44">
        <f t="shared" si="346"/>
        <v>0.26820969001032546</v>
      </c>
      <c r="N1583" s="100">
        <f t="shared" si="347"/>
        <v>-331</v>
      </c>
      <c r="O1583" s="101">
        <f t="shared" si="348"/>
        <v>4.2603500000000114</v>
      </c>
      <c r="P1583" s="52">
        <f t="shared" si="349"/>
        <v>718829.23612485023</v>
      </c>
      <c r="Q1583" s="49">
        <v>116.88487613461319</v>
      </c>
      <c r="R1583">
        <v>2225</v>
      </c>
      <c r="S1583" s="50">
        <f t="shared" si="345"/>
        <v>71535.307499999995</v>
      </c>
      <c r="T1583" s="50">
        <f t="shared" si="350"/>
        <v>1136295.4384529993</v>
      </c>
      <c r="U1583" s="58">
        <f t="shared" si="351"/>
        <v>1441060.8857606251</v>
      </c>
      <c r="V1583" s="58">
        <f t="shared" si="352"/>
        <v>760920.54363633192</v>
      </c>
      <c r="W1583" s="58">
        <f t="shared" si="353"/>
        <v>722231.6496357749</v>
      </c>
      <c r="X1583" s="58">
        <f t="shared" si="354"/>
        <v>375374.89481666742</v>
      </c>
      <c r="Y1583" s="52">
        <f t="shared" si="355"/>
        <v>718829.23612485023</v>
      </c>
    </row>
    <row r="1584" spans="1:25" x14ac:dyDescent="0.25">
      <c r="A1584" s="1218" t="s">
        <v>126</v>
      </c>
      <c r="B1584" s="98">
        <v>45658</v>
      </c>
      <c r="C1584" s="117" t="str">
        <f t="shared" si="358"/>
        <v>4L</v>
      </c>
      <c r="D1584" s="118"/>
      <c r="F1584" s="99"/>
      <c r="I1584" s="99"/>
      <c r="K1584" s="63"/>
      <c r="L1584" s="99"/>
      <c r="M1584" s="44"/>
      <c r="N1584" s="100"/>
      <c r="O1584" s="101"/>
      <c r="P1584" s="52"/>
      <c r="Q1584" s="49"/>
      <c r="S1584" s="50"/>
      <c r="T1584" s="50"/>
      <c r="U1584" s="58"/>
      <c r="V1584" s="58"/>
      <c r="W1584" s="58"/>
      <c r="X1584" s="58"/>
      <c r="Y1584" s="52"/>
    </row>
    <row r="1585" spans="1:25" x14ac:dyDescent="0.25">
      <c r="A1585" s="1218" t="s">
        <v>127</v>
      </c>
      <c r="B1585" s="98">
        <v>45658</v>
      </c>
      <c r="C1585" s="117" t="str">
        <f t="shared" si="358"/>
        <v>4L</v>
      </c>
      <c r="D1585" s="118"/>
      <c r="F1585" s="99">
        <f t="shared" si="356"/>
        <v>0</v>
      </c>
      <c r="I1585" s="99">
        <f t="shared" si="343"/>
        <v>0</v>
      </c>
      <c r="K1585" s="63"/>
      <c r="L1585" s="99"/>
      <c r="M1585" s="44"/>
      <c r="N1585" s="100"/>
      <c r="O1585" s="101"/>
      <c r="P1585" s="52"/>
      <c r="Q1585" s="49"/>
      <c r="S1585" s="50"/>
      <c r="T1585" s="50"/>
      <c r="U1585" s="58"/>
      <c r="V1585" s="58"/>
      <c r="W1585" s="58"/>
      <c r="X1585" s="58"/>
      <c r="Y1585" s="52"/>
    </row>
    <row r="1586" spans="1:25" x14ac:dyDescent="0.25">
      <c r="A1586" s="1218" t="s">
        <v>128</v>
      </c>
      <c r="B1586" s="98">
        <v>45658</v>
      </c>
      <c r="C1586" s="117" t="str">
        <f t="shared" si="358"/>
        <v>4L</v>
      </c>
      <c r="D1586" s="118"/>
      <c r="F1586" s="99">
        <f t="shared" si="356"/>
        <v>0</v>
      </c>
      <c r="I1586" s="99">
        <f t="shared" si="343"/>
        <v>0</v>
      </c>
      <c r="K1586" s="63"/>
      <c r="L1586" s="99"/>
      <c r="M1586" s="44"/>
      <c r="N1586" s="100"/>
      <c r="O1586" s="101"/>
      <c r="P1586" s="52"/>
      <c r="Q1586" s="49"/>
      <c r="S1586" s="50"/>
      <c r="T1586" s="50"/>
      <c r="U1586" s="58"/>
      <c r="V1586" s="58"/>
      <c r="W1586" s="58"/>
      <c r="X1586" s="58"/>
      <c r="Y1586" s="52"/>
    </row>
    <row r="1587" spans="1:25" x14ac:dyDescent="0.25">
      <c r="A1587" s="1218" t="s">
        <v>129</v>
      </c>
      <c r="B1587" s="98">
        <v>45658</v>
      </c>
      <c r="C1587" s="117" t="str">
        <f t="shared" si="357"/>
        <v>4L</v>
      </c>
      <c r="D1587" s="96"/>
      <c r="E1587" s="98"/>
      <c r="F1587" s="99">
        <f t="shared" si="356"/>
        <v>0</v>
      </c>
      <c r="G1587" s="49">
        <f>'[4]Underground Breaking Plan'!$C$42</f>
        <v>1085</v>
      </c>
      <c r="H1587" s="49">
        <f>'[4]Underground Breaking Plan'!$C$43</f>
        <v>2.12</v>
      </c>
      <c r="I1587" s="99">
        <f t="shared" si="343"/>
        <v>2.3002000000000002</v>
      </c>
      <c r="J1587">
        <f>[5]Generation!$D$12</f>
        <v>1458</v>
      </c>
      <c r="K1587" s="63">
        <f>[5]Generation!$E$12</f>
        <v>1.2119204389574763</v>
      </c>
      <c r="L1587" s="99">
        <f t="shared" si="344"/>
        <v>1.7669800000000004</v>
      </c>
      <c r="M1587" s="44">
        <f t="shared" si="346"/>
        <v>-0.23181462481523335</v>
      </c>
      <c r="N1587" s="100">
        <f t="shared" si="347"/>
        <v>373</v>
      </c>
      <c r="O1587" s="101">
        <f t="shared" si="348"/>
        <v>-0.53321999999999981</v>
      </c>
      <c r="P1587" s="52">
        <f t="shared" si="349"/>
        <v>-44016.691757916007</v>
      </c>
      <c r="Q1587" s="49">
        <v>116.88487613461319</v>
      </c>
      <c r="R1587">
        <v>2225</v>
      </c>
      <c r="S1587" s="50">
        <f t="shared" si="345"/>
        <v>71535.307499999995</v>
      </c>
      <c r="T1587" s="50">
        <f t="shared" si="350"/>
        <v>164545.51431150001</v>
      </c>
      <c r="U1587" s="58">
        <f t="shared" si="351"/>
        <v>126401.45764635003</v>
      </c>
      <c r="V1587" s="58">
        <f t="shared" si="352"/>
        <v>126820.09060605531</v>
      </c>
      <c r="W1587" s="58">
        <f t="shared" si="353"/>
        <v>170418.14940426603</v>
      </c>
      <c r="X1587" s="58">
        <f t="shared" si="354"/>
        <v>37725.4237054447</v>
      </c>
      <c r="Y1587" s="52">
        <f t="shared" si="355"/>
        <v>-44016.691757916007</v>
      </c>
    </row>
    <row r="1588" spans="1:25" x14ac:dyDescent="0.25">
      <c r="A1588" s="1218" t="s">
        <v>130</v>
      </c>
      <c r="B1588" s="98">
        <v>45658</v>
      </c>
      <c r="C1588" s="117" t="str">
        <f t="shared" si="357"/>
        <v>5L</v>
      </c>
      <c r="D1588" s="96"/>
      <c r="E1588" s="98"/>
      <c r="F1588" s="99">
        <f t="shared" si="356"/>
        <v>0</v>
      </c>
      <c r="I1588" s="99">
        <f t="shared" si="343"/>
        <v>0</v>
      </c>
      <c r="L1588" s="99">
        <f t="shared" si="344"/>
        <v>0</v>
      </c>
      <c r="M1588" s="44" t="str">
        <f t="shared" si="346"/>
        <v/>
      </c>
      <c r="N1588" s="100">
        <f t="shared" si="347"/>
        <v>0</v>
      </c>
      <c r="O1588" s="101">
        <f t="shared" si="348"/>
        <v>0</v>
      </c>
      <c r="P1588" s="52">
        <f t="shared" si="349"/>
        <v>0</v>
      </c>
      <c r="Q1588" s="49">
        <v>116.88487613461319</v>
      </c>
      <c r="R1588">
        <v>2225</v>
      </c>
      <c r="S1588" s="50">
        <f t="shared" si="345"/>
        <v>71535.307499999995</v>
      </c>
      <c r="T1588" s="50">
        <f t="shared" si="350"/>
        <v>0</v>
      </c>
      <c r="U1588" s="58">
        <f t="shared" si="351"/>
        <v>0</v>
      </c>
      <c r="V1588" s="58">
        <f t="shared" si="352"/>
        <v>0</v>
      </c>
      <c r="W1588" s="58">
        <f t="shared" si="353"/>
        <v>0</v>
      </c>
      <c r="X1588" s="58">
        <f t="shared" si="354"/>
        <v>0</v>
      </c>
      <c r="Y1588" s="52">
        <f t="shared" si="355"/>
        <v>0</v>
      </c>
    </row>
    <row r="1589" spans="1:25" x14ac:dyDescent="0.25">
      <c r="A1589" s="1218" t="s">
        <v>131</v>
      </c>
      <c r="B1589" s="98">
        <v>45658</v>
      </c>
      <c r="C1589" s="117" t="str">
        <f t="shared" si="357"/>
        <v>5L</v>
      </c>
      <c r="D1589" s="96"/>
      <c r="E1589" s="98"/>
      <c r="F1589" s="99">
        <f t="shared" si="356"/>
        <v>0</v>
      </c>
      <c r="I1589" s="99">
        <f t="shared" si="343"/>
        <v>0</v>
      </c>
      <c r="L1589" s="99">
        <f t="shared" si="344"/>
        <v>0</v>
      </c>
      <c r="M1589" s="44" t="str">
        <f t="shared" si="346"/>
        <v/>
      </c>
      <c r="N1589" s="100">
        <f t="shared" si="347"/>
        <v>0</v>
      </c>
      <c r="O1589" s="101">
        <f t="shared" si="348"/>
        <v>0</v>
      </c>
      <c r="P1589" s="52">
        <f t="shared" si="349"/>
        <v>0</v>
      </c>
      <c r="Q1589" s="49">
        <v>116.88487613461319</v>
      </c>
      <c r="R1589">
        <v>2225</v>
      </c>
      <c r="S1589" s="50">
        <f t="shared" si="345"/>
        <v>71535.307499999995</v>
      </c>
      <c r="T1589" s="50">
        <f t="shared" si="350"/>
        <v>0</v>
      </c>
      <c r="U1589" s="58">
        <f t="shared" si="351"/>
        <v>0</v>
      </c>
      <c r="V1589" s="58">
        <f t="shared" si="352"/>
        <v>0</v>
      </c>
      <c r="W1589" s="58">
        <f t="shared" si="353"/>
        <v>0</v>
      </c>
      <c r="X1589" s="58">
        <f t="shared" si="354"/>
        <v>0</v>
      </c>
      <c r="Y1589" s="52">
        <f t="shared" si="355"/>
        <v>0</v>
      </c>
    </row>
    <row r="1590" spans="1:25" x14ac:dyDescent="0.25">
      <c r="A1590" s="1218" t="s">
        <v>132</v>
      </c>
      <c r="B1590" s="98">
        <v>45658</v>
      </c>
      <c r="C1590" s="117" t="str">
        <f t="shared" si="357"/>
        <v>5L</v>
      </c>
      <c r="D1590" s="96"/>
      <c r="E1590" s="98"/>
      <c r="F1590" s="99">
        <f t="shared" si="356"/>
        <v>0</v>
      </c>
      <c r="G1590" s="49">
        <f>'[4]Underground Breaking Plan'!$C$50</f>
        <v>1085</v>
      </c>
      <c r="H1590" s="63">
        <f>'[4]Underground Breaking Plan'!$C$51</f>
        <v>1.8599999999999988</v>
      </c>
      <c r="I1590" s="99">
        <f t="shared" si="343"/>
        <v>2.0180999999999987</v>
      </c>
      <c r="J1590" s="58">
        <f>[5]Generation!$D$15</f>
        <v>754</v>
      </c>
      <c r="K1590" s="63">
        <f>[5]Generation!$E$15</f>
        <v>0.46722811671087527</v>
      </c>
      <c r="L1590" s="99">
        <f t="shared" si="344"/>
        <v>0.35228999999999994</v>
      </c>
      <c r="M1590" s="44">
        <f t="shared" si="346"/>
        <v>-0.82543481492492932</v>
      </c>
      <c r="N1590" s="100">
        <f t="shared" si="347"/>
        <v>-331</v>
      </c>
      <c r="O1590" s="101">
        <f t="shared" si="348"/>
        <v>-1.6658099999999987</v>
      </c>
      <c r="P1590" s="52">
        <f t="shared" si="349"/>
        <v>-62930.023126323358</v>
      </c>
      <c r="Q1590" s="49">
        <v>116.88487613461319</v>
      </c>
      <c r="R1590">
        <v>2225</v>
      </c>
      <c r="S1590" s="50">
        <f t="shared" si="345"/>
        <v>71535.307499999995</v>
      </c>
      <c r="T1590" s="50">
        <f t="shared" si="350"/>
        <v>144365.4040657499</v>
      </c>
      <c r="U1590" s="58">
        <f t="shared" si="351"/>
        <v>25201.173479174995</v>
      </c>
      <c r="V1590" s="58">
        <f t="shared" si="352"/>
        <v>126820.09060605531</v>
      </c>
      <c r="W1590" s="58">
        <f t="shared" si="353"/>
        <v>88131.19660549835</v>
      </c>
      <c r="X1590" s="58">
        <f t="shared" si="354"/>
        <v>17545.313459694589</v>
      </c>
      <c r="Y1590" s="52">
        <f t="shared" si="355"/>
        <v>-62930.023126323358</v>
      </c>
    </row>
    <row r="1591" spans="1:25" x14ac:dyDescent="0.25">
      <c r="A1591" s="1218" t="s">
        <v>133</v>
      </c>
      <c r="B1591" s="98">
        <v>45658</v>
      </c>
      <c r="C1591" s="117" t="str">
        <f t="shared" si="357"/>
        <v>5L</v>
      </c>
      <c r="D1591">
        <v>351</v>
      </c>
      <c r="E1591">
        <v>1.82</v>
      </c>
      <c r="F1591" s="99">
        <f t="shared" si="356"/>
        <v>0.63882000000000005</v>
      </c>
      <c r="G1591" s="63"/>
      <c r="H1591" s="99"/>
      <c r="I1591" s="99">
        <f t="shared" si="343"/>
        <v>0</v>
      </c>
      <c r="J1591" s="58"/>
      <c r="K1591" s="63"/>
      <c r="L1591" s="99">
        <f t="shared" si="344"/>
        <v>0</v>
      </c>
      <c r="M1591" s="44" t="str">
        <f t="shared" si="346"/>
        <v/>
      </c>
      <c r="N1591" s="100">
        <f t="shared" si="347"/>
        <v>0</v>
      </c>
      <c r="O1591" s="101">
        <f t="shared" si="348"/>
        <v>0</v>
      </c>
      <c r="P1591" s="52">
        <f t="shared" si="349"/>
        <v>0</v>
      </c>
      <c r="Q1591" s="49">
        <v>116.88487613461319</v>
      </c>
      <c r="R1591">
        <v>2225</v>
      </c>
      <c r="S1591" s="50">
        <f t="shared" si="345"/>
        <v>71535.307499999995</v>
      </c>
      <c r="T1591" s="50">
        <f t="shared" si="350"/>
        <v>0</v>
      </c>
      <c r="U1591" s="58">
        <f t="shared" si="351"/>
        <v>0</v>
      </c>
      <c r="V1591" s="58">
        <f t="shared" si="352"/>
        <v>0</v>
      </c>
      <c r="W1591" s="58">
        <f t="shared" si="353"/>
        <v>0</v>
      </c>
      <c r="X1591" s="58">
        <f t="shared" si="354"/>
        <v>0</v>
      </c>
      <c r="Y1591" s="52">
        <f t="shared" si="355"/>
        <v>0</v>
      </c>
    </row>
    <row r="1592" spans="1:25" x14ac:dyDescent="0.25">
      <c r="A1592" s="1218" t="s">
        <v>134</v>
      </c>
      <c r="B1592" s="98">
        <v>45658</v>
      </c>
      <c r="C1592" s="117" t="str">
        <f t="shared" si="357"/>
        <v>5L</v>
      </c>
      <c r="D1592" s="96"/>
      <c r="E1592" s="98"/>
      <c r="F1592" s="99">
        <f t="shared" si="356"/>
        <v>0</v>
      </c>
      <c r="H1592" s="99"/>
      <c r="I1592" s="99">
        <f t="shared" si="343"/>
        <v>0</v>
      </c>
      <c r="J1592" s="58"/>
      <c r="K1592" s="63"/>
      <c r="L1592" s="99">
        <f t="shared" si="344"/>
        <v>0</v>
      </c>
      <c r="M1592" s="44" t="str">
        <f t="shared" si="346"/>
        <v/>
      </c>
      <c r="N1592" s="100">
        <f t="shared" si="347"/>
        <v>0</v>
      </c>
      <c r="O1592" s="101">
        <f t="shared" si="348"/>
        <v>0</v>
      </c>
      <c r="P1592" s="52">
        <f t="shared" si="349"/>
        <v>0</v>
      </c>
      <c r="Q1592" s="49">
        <v>116.88487613461319</v>
      </c>
      <c r="R1592">
        <v>2225</v>
      </c>
      <c r="S1592" s="50">
        <f t="shared" si="345"/>
        <v>71535.307499999995</v>
      </c>
      <c r="T1592" s="50">
        <f t="shared" si="350"/>
        <v>0</v>
      </c>
      <c r="U1592" s="58">
        <f t="shared" si="351"/>
        <v>0</v>
      </c>
      <c r="V1592" s="58">
        <f t="shared" si="352"/>
        <v>0</v>
      </c>
      <c r="W1592" s="58">
        <f t="shared" si="353"/>
        <v>0</v>
      </c>
      <c r="X1592" s="58">
        <f t="shared" si="354"/>
        <v>0</v>
      </c>
      <c r="Y1592" s="52">
        <f t="shared" si="355"/>
        <v>0</v>
      </c>
    </row>
    <row r="1593" spans="1:25" x14ac:dyDescent="0.25">
      <c r="A1593" s="1218" t="s">
        <v>135</v>
      </c>
      <c r="B1593" s="98">
        <v>45658</v>
      </c>
      <c r="C1593" s="117" t="str">
        <f t="shared" si="357"/>
        <v>5L</v>
      </c>
      <c r="D1593" s="96"/>
      <c r="E1593" s="98"/>
      <c r="F1593" s="99">
        <f t="shared" si="356"/>
        <v>0</v>
      </c>
      <c r="H1593" s="99"/>
      <c r="I1593" s="99">
        <f t="shared" si="343"/>
        <v>0</v>
      </c>
      <c r="J1593" s="58"/>
      <c r="K1593" s="63"/>
      <c r="L1593" s="99">
        <f t="shared" si="344"/>
        <v>0</v>
      </c>
      <c r="M1593" s="44" t="str">
        <f t="shared" si="346"/>
        <v/>
      </c>
      <c r="N1593" s="100">
        <f t="shared" si="347"/>
        <v>0</v>
      </c>
      <c r="O1593" s="101">
        <f t="shared" si="348"/>
        <v>0</v>
      </c>
      <c r="P1593" s="52">
        <f t="shared" si="349"/>
        <v>0</v>
      </c>
      <c r="Q1593" s="49">
        <v>116.88487613461319</v>
      </c>
      <c r="R1593">
        <v>2225</v>
      </c>
      <c r="S1593" s="50">
        <f t="shared" si="345"/>
        <v>71535.307499999995</v>
      </c>
      <c r="T1593" s="50">
        <f t="shared" si="350"/>
        <v>0</v>
      </c>
      <c r="U1593" s="58">
        <f t="shared" si="351"/>
        <v>0</v>
      </c>
      <c r="V1593" s="58">
        <f t="shared" si="352"/>
        <v>0</v>
      </c>
      <c r="W1593" s="58">
        <f t="shared" si="353"/>
        <v>0</v>
      </c>
      <c r="X1593" s="58">
        <f t="shared" si="354"/>
        <v>0</v>
      </c>
      <c r="Y1593" s="52">
        <f t="shared" si="355"/>
        <v>0</v>
      </c>
    </row>
    <row r="1594" spans="1:25" x14ac:dyDescent="0.25">
      <c r="A1594" s="1218" t="s">
        <v>136</v>
      </c>
      <c r="B1594" s="98">
        <v>45658</v>
      </c>
      <c r="C1594" s="117" t="str">
        <f t="shared" si="357"/>
        <v>5L</v>
      </c>
      <c r="D1594">
        <v>1908</v>
      </c>
      <c r="E1594">
        <v>0.92</v>
      </c>
      <c r="F1594" s="99">
        <f t="shared" si="356"/>
        <v>1.75536</v>
      </c>
      <c r="H1594" s="99"/>
      <c r="I1594" s="99">
        <f t="shared" si="343"/>
        <v>0</v>
      </c>
      <c r="J1594" s="58"/>
      <c r="K1594" s="63"/>
      <c r="L1594" s="99">
        <f t="shared" si="344"/>
        <v>0</v>
      </c>
      <c r="M1594" s="44" t="str">
        <f t="shared" si="346"/>
        <v/>
      </c>
      <c r="N1594" s="100">
        <f t="shared" si="347"/>
        <v>0</v>
      </c>
      <c r="O1594" s="101">
        <f t="shared" si="348"/>
        <v>0</v>
      </c>
      <c r="P1594" s="52">
        <f t="shared" si="349"/>
        <v>0</v>
      </c>
      <c r="Q1594" s="49">
        <v>116.88487613461319</v>
      </c>
      <c r="R1594">
        <v>2225</v>
      </c>
      <c r="S1594" s="50">
        <f t="shared" si="345"/>
        <v>71535.307499999995</v>
      </c>
      <c r="T1594" s="50">
        <f t="shared" si="350"/>
        <v>0</v>
      </c>
      <c r="U1594" s="58">
        <f t="shared" si="351"/>
        <v>0</v>
      </c>
      <c r="V1594" s="58">
        <f t="shared" si="352"/>
        <v>0</v>
      </c>
      <c r="W1594" s="58">
        <f t="shared" si="353"/>
        <v>0</v>
      </c>
      <c r="X1594" s="58">
        <f t="shared" si="354"/>
        <v>0</v>
      </c>
      <c r="Y1594" s="52">
        <f t="shared" si="355"/>
        <v>0</v>
      </c>
    </row>
    <row r="1595" spans="1:25" x14ac:dyDescent="0.25">
      <c r="A1595" s="1218" t="s">
        <v>137</v>
      </c>
      <c r="B1595" s="98">
        <v>45658</v>
      </c>
      <c r="C1595" s="117" t="str">
        <f t="shared" si="357"/>
        <v>5L</v>
      </c>
      <c r="D1595">
        <v>1947</v>
      </c>
      <c r="E1595">
        <v>0.53</v>
      </c>
      <c r="F1595" s="99">
        <f t="shared" si="356"/>
        <v>1.0319100000000001</v>
      </c>
      <c r="G1595" s="49">
        <f>'[4]Underground Breaking Plan'!$C$48</f>
        <v>4060</v>
      </c>
      <c r="H1595" s="63">
        <f>'[4]Underground Breaking Plan'!$C$49</f>
        <v>2.0099999999999989</v>
      </c>
      <c r="I1595" s="99">
        <f t="shared" ref="I1595:I1658" si="359">IFERROR(G1595*H1595/1000,"")</f>
        <v>8.1605999999999952</v>
      </c>
      <c r="J1595" s="58">
        <f>[5]Generation!$D$16</f>
        <v>4555</v>
      </c>
      <c r="K1595" s="63">
        <f>[5]Generation!$E$16</f>
        <v>1.8785049396267839</v>
      </c>
      <c r="L1595" s="99">
        <f t="shared" si="344"/>
        <v>8.5565899999999999</v>
      </c>
      <c r="M1595" s="44">
        <f t="shared" si="346"/>
        <v>4.85246182878716E-2</v>
      </c>
      <c r="N1595" s="100">
        <f t="shared" si="347"/>
        <v>495</v>
      </c>
      <c r="O1595" s="101">
        <f t="shared" si="348"/>
        <v>0.39599000000000473</v>
      </c>
      <c r="P1595" s="52">
        <f t="shared" si="349"/>
        <v>79687.686008261866</v>
      </c>
      <c r="Q1595" s="49">
        <v>116.88487613461319</v>
      </c>
      <c r="R1595">
        <v>2225</v>
      </c>
      <c r="S1595" s="50">
        <f t="shared" si="345"/>
        <v>71535.307499999995</v>
      </c>
      <c r="T1595" s="50">
        <f t="shared" si="350"/>
        <v>583771.03038449958</v>
      </c>
      <c r="U1595" s="58">
        <f t="shared" si="351"/>
        <v>612098.29680142493</v>
      </c>
      <c r="V1595" s="58">
        <f t="shared" si="352"/>
        <v>474552.59710652957</v>
      </c>
      <c r="W1595" s="58">
        <f t="shared" si="353"/>
        <v>532410.61079316307</v>
      </c>
      <c r="X1595" s="58">
        <f t="shared" si="354"/>
        <v>109218.43327797001</v>
      </c>
      <c r="Y1595" s="52">
        <f t="shared" si="355"/>
        <v>79687.686008261866</v>
      </c>
    </row>
    <row r="1596" spans="1:25" x14ac:dyDescent="0.25">
      <c r="A1596" s="1218" t="s">
        <v>138</v>
      </c>
      <c r="B1596" s="98">
        <v>45658</v>
      </c>
      <c r="C1596" s="117" t="str">
        <f t="shared" si="357"/>
        <v>5L</v>
      </c>
      <c r="D1596" s="96"/>
      <c r="E1596" s="98"/>
      <c r="F1596" s="99">
        <f t="shared" si="356"/>
        <v>0</v>
      </c>
      <c r="H1596" s="63"/>
      <c r="I1596" s="99">
        <f t="shared" si="359"/>
        <v>0</v>
      </c>
      <c r="J1596" s="58"/>
      <c r="K1596" s="63"/>
      <c r="L1596" s="99">
        <f t="shared" si="344"/>
        <v>0</v>
      </c>
      <c r="M1596" s="44" t="str">
        <f t="shared" si="346"/>
        <v/>
      </c>
      <c r="N1596" s="100">
        <f t="shared" si="347"/>
        <v>0</v>
      </c>
      <c r="O1596" s="101">
        <f t="shared" si="348"/>
        <v>0</v>
      </c>
      <c r="P1596" s="52">
        <f t="shared" si="349"/>
        <v>0</v>
      </c>
      <c r="Q1596" s="49">
        <v>116.88487613461319</v>
      </c>
      <c r="R1596">
        <v>2225</v>
      </c>
      <c r="S1596" s="50">
        <f t="shared" si="345"/>
        <v>71535.307499999995</v>
      </c>
      <c r="T1596" s="50">
        <f t="shared" si="350"/>
        <v>0</v>
      </c>
      <c r="U1596" s="58">
        <f t="shared" si="351"/>
        <v>0</v>
      </c>
      <c r="V1596" s="58">
        <f t="shared" si="352"/>
        <v>0</v>
      </c>
      <c r="W1596" s="58">
        <f t="shared" si="353"/>
        <v>0</v>
      </c>
      <c r="X1596" s="58">
        <f t="shared" si="354"/>
        <v>0</v>
      </c>
      <c r="Y1596" s="52">
        <f t="shared" si="355"/>
        <v>0</v>
      </c>
    </row>
    <row r="1597" spans="1:25" x14ac:dyDescent="0.25">
      <c r="A1597" s="1218" t="s">
        <v>139</v>
      </c>
      <c r="B1597" s="98">
        <v>45658</v>
      </c>
      <c r="C1597" s="117" t="str">
        <f t="shared" si="357"/>
        <v>5L</v>
      </c>
      <c r="D1597" s="96"/>
      <c r="E1597" s="98"/>
      <c r="F1597" s="99">
        <f t="shared" si="356"/>
        <v>0</v>
      </c>
      <c r="G1597" s="49">
        <f>'[4]Underground Breaking Plan'!$C$52</f>
        <v>3255</v>
      </c>
      <c r="H1597" s="63">
        <f>'[4]Underground Breaking Plan'!$C$53</f>
        <v>1.8</v>
      </c>
      <c r="I1597" s="99">
        <f t="shared" si="359"/>
        <v>5.859</v>
      </c>
      <c r="J1597" s="58">
        <f>[5]Generation!$D$17</f>
        <v>2609.5</v>
      </c>
      <c r="K1597" s="63">
        <f>[5]Generation!$E$17</f>
        <v>2.4268116497413295</v>
      </c>
      <c r="L1597" s="99">
        <f t="shared" si="344"/>
        <v>6.3327649999999993</v>
      </c>
      <c r="M1597" s="44">
        <f t="shared" si="346"/>
        <v>8.0861068441713493E-2</v>
      </c>
      <c r="N1597" s="100">
        <f t="shared" si="347"/>
        <v>-645.5</v>
      </c>
      <c r="O1597" s="101">
        <f t="shared" si="348"/>
        <v>0.47376499999999933</v>
      </c>
      <c r="P1597" s="52">
        <f t="shared" si="349"/>
        <v>148005.2073269643</v>
      </c>
      <c r="Q1597" s="49">
        <v>116.88487613461319</v>
      </c>
      <c r="R1597">
        <v>2225</v>
      </c>
      <c r="S1597" s="50">
        <f t="shared" si="345"/>
        <v>71535.307499999995</v>
      </c>
      <c r="T1597" s="50">
        <f t="shared" si="350"/>
        <v>419125.36664249998</v>
      </c>
      <c r="U1597" s="58">
        <f t="shared" si="351"/>
        <v>453016.29160023743</v>
      </c>
      <c r="V1597" s="58">
        <f t="shared" si="352"/>
        <v>380460.27181816596</v>
      </c>
      <c r="W1597" s="58">
        <f t="shared" si="353"/>
        <v>305011.08427327313</v>
      </c>
      <c r="X1597" s="58">
        <f t="shared" si="354"/>
        <v>38665.094824334024</v>
      </c>
      <c r="Y1597" s="52">
        <f t="shared" si="355"/>
        <v>148005.2073269643</v>
      </c>
    </row>
    <row r="1598" spans="1:25" x14ac:dyDescent="0.25">
      <c r="A1598" s="1218" t="s">
        <v>140</v>
      </c>
      <c r="B1598" s="98">
        <v>45658</v>
      </c>
      <c r="C1598" s="117" t="str">
        <f t="shared" si="357"/>
        <v>5L</v>
      </c>
      <c r="D1598" s="96"/>
      <c r="E1598" s="98"/>
      <c r="F1598" s="99">
        <f t="shared" si="356"/>
        <v>0</v>
      </c>
      <c r="G1598" s="55"/>
      <c r="H1598" s="1557"/>
      <c r="I1598" s="99">
        <f t="shared" si="359"/>
        <v>0</v>
      </c>
      <c r="J1598" s="55"/>
      <c r="K1598" s="55"/>
      <c r="L1598" s="99">
        <f t="shared" si="344"/>
        <v>0</v>
      </c>
      <c r="M1598" s="44" t="str">
        <f t="shared" si="346"/>
        <v/>
      </c>
      <c r="N1598" s="100">
        <f t="shared" si="347"/>
        <v>0</v>
      </c>
      <c r="O1598" s="101">
        <f t="shared" si="348"/>
        <v>0</v>
      </c>
      <c r="P1598" s="52">
        <f t="shared" si="349"/>
        <v>0</v>
      </c>
      <c r="Q1598" s="49">
        <v>116.88487613461319</v>
      </c>
      <c r="R1598">
        <v>2225</v>
      </c>
      <c r="S1598" s="50">
        <f t="shared" si="345"/>
        <v>71535.307499999995</v>
      </c>
      <c r="T1598" s="50">
        <f t="shared" si="350"/>
        <v>0</v>
      </c>
      <c r="U1598" s="58">
        <f t="shared" si="351"/>
        <v>0</v>
      </c>
      <c r="V1598" s="58">
        <f t="shared" si="352"/>
        <v>0</v>
      </c>
      <c r="W1598" s="58">
        <f t="shared" si="353"/>
        <v>0</v>
      </c>
      <c r="X1598" s="58">
        <f t="shared" si="354"/>
        <v>0</v>
      </c>
      <c r="Y1598" s="52">
        <f t="shared" si="355"/>
        <v>0</v>
      </c>
    </row>
    <row r="1599" spans="1:25" x14ac:dyDescent="0.25">
      <c r="A1599" s="1218" t="s">
        <v>141</v>
      </c>
      <c r="B1599" s="98">
        <v>45658</v>
      </c>
      <c r="C1599" s="117" t="str">
        <f t="shared" si="357"/>
        <v>5L</v>
      </c>
      <c r="D1599" s="96"/>
      <c r="E1599" s="98"/>
      <c r="F1599" s="99">
        <f t="shared" si="356"/>
        <v>0</v>
      </c>
      <c r="G1599" s="55"/>
      <c r="H1599" s="55"/>
      <c r="I1599" s="99">
        <f t="shared" si="359"/>
        <v>0</v>
      </c>
      <c r="J1599" s="55"/>
      <c r="K1599" s="55"/>
      <c r="L1599" s="99">
        <f t="shared" si="344"/>
        <v>0</v>
      </c>
      <c r="M1599" s="44" t="str">
        <f t="shared" si="346"/>
        <v/>
      </c>
      <c r="N1599" s="100">
        <f t="shared" si="347"/>
        <v>0</v>
      </c>
      <c r="O1599" s="101">
        <f t="shared" si="348"/>
        <v>0</v>
      </c>
      <c r="P1599" s="52">
        <f t="shared" si="349"/>
        <v>0</v>
      </c>
      <c r="Q1599" s="49">
        <v>116.88487613461319</v>
      </c>
      <c r="R1599">
        <v>2225</v>
      </c>
      <c r="S1599" s="50">
        <f t="shared" si="345"/>
        <v>71535.307499999995</v>
      </c>
      <c r="T1599" s="50">
        <f t="shared" si="350"/>
        <v>0</v>
      </c>
      <c r="U1599" s="58">
        <f t="shared" si="351"/>
        <v>0</v>
      </c>
      <c r="V1599" s="58">
        <f t="shared" si="352"/>
        <v>0</v>
      </c>
      <c r="W1599" s="58">
        <f t="shared" si="353"/>
        <v>0</v>
      </c>
      <c r="X1599" s="58">
        <f t="shared" si="354"/>
        <v>0</v>
      </c>
      <c r="Y1599" s="52">
        <f t="shared" si="355"/>
        <v>0</v>
      </c>
    </row>
    <row r="1600" spans="1:25" x14ac:dyDescent="0.25">
      <c r="A1600" s="1218" t="s">
        <v>142</v>
      </c>
      <c r="B1600" s="98">
        <v>45658</v>
      </c>
      <c r="C1600" s="117" t="str">
        <f t="shared" si="357"/>
        <v>5L</v>
      </c>
      <c r="D1600" s="96"/>
      <c r="E1600" s="98"/>
      <c r="F1600" s="99">
        <f t="shared" si="356"/>
        <v>0</v>
      </c>
      <c r="G1600" s="55"/>
      <c r="H1600" s="55"/>
      <c r="I1600" s="99">
        <f t="shared" si="359"/>
        <v>0</v>
      </c>
      <c r="J1600" s="55"/>
      <c r="K1600" s="55"/>
      <c r="L1600" s="99">
        <f t="shared" si="344"/>
        <v>0</v>
      </c>
      <c r="M1600" s="44" t="str">
        <f t="shared" si="346"/>
        <v/>
      </c>
      <c r="N1600" s="100">
        <f t="shared" si="347"/>
        <v>0</v>
      </c>
      <c r="O1600" s="101">
        <f t="shared" si="348"/>
        <v>0</v>
      </c>
      <c r="P1600" s="52">
        <f t="shared" si="349"/>
        <v>0</v>
      </c>
      <c r="Q1600" s="49">
        <v>116.88487613461319</v>
      </c>
      <c r="R1600">
        <v>2225</v>
      </c>
      <c r="S1600" s="50">
        <f t="shared" si="345"/>
        <v>71535.307499999995</v>
      </c>
      <c r="T1600" s="50">
        <f t="shared" si="350"/>
        <v>0</v>
      </c>
      <c r="U1600" s="58">
        <f t="shared" si="351"/>
        <v>0</v>
      </c>
      <c r="V1600" s="58">
        <f t="shared" si="352"/>
        <v>0</v>
      </c>
      <c r="W1600" s="58">
        <f t="shared" si="353"/>
        <v>0</v>
      </c>
      <c r="X1600" s="58">
        <f t="shared" si="354"/>
        <v>0</v>
      </c>
      <c r="Y1600" s="52">
        <f t="shared" si="355"/>
        <v>0</v>
      </c>
    </row>
    <row r="1601" spans="1:25" x14ac:dyDescent="0.25">
      <c r="A1601" s="1218" t="s">
        <v>143</v>
      </c>
      <c r="B1601" s="98">
        <v>45658</v>
      </c>
      <c r="C1601" s="117" t="str">
        <f t="shared" si="357"/>
        <v>5L</v>
      </c>
      <c r="D1601" s="96"/>
      <c r="E1601" s="98"/>
      <c r="F1601" s="99">
        <f t="shared" si="356"/>
        <v>0</v>
      </c>
      <c r="G1601" s="55"/>
      <c r="H1601" s="55"/>
      <c r="I1601" s="99">
        <f t="shared" si="359"/>
        <v>0</v>
      </c>
      <c r="J1601" s="55"/>
      <c r="K1601" s="55"/>
      <c r="L1601" s="99">
        <f t="shared" ref="L1601:L1666" si="360">IFERROR(J1601*K1601/1000,"")</f>
        <v>0</v>
      </c>
      <c r="M1601" s="44" t="str">
        <f t="shared" si="346"/>
        <v/>
      </c>
      <c r="N1601" s="100">
        <f t="shared" si="347"/>
        <v>0</v>
      </c>
      <c r="O1601" s="101">
        <f t="shared" si="348"/>
        <v>0</v>
      </c>
      <c r="P1601" s="52">
        <f t="shared" si="349"/>
        <v>0</v>
      </c>
      <c r="Q1601" s="49">
        <v>116.88487613461319</v>
      </c>
      <c r="R1601">
        <v>2225</v>
      </c>
      <c r="S1601" s="50">
        <f t="shared" ref="S1601:S1666" si="361">R1601*32.1507</f>
        <v>71535.307499999995</v>
      </c>
      <c r="T1601" s="50">
        <f t="shared" si="350"/>
        <v>0</v>
      </c>
      <c r="U1601" s="58">
        <f t="shared" si="351"/>
        <v>0</v>
      </c>
      <c r="V1601" s="58">
        <f t="shared" si="352"/>
        <v>0</v>
      </c>
      <c r="W1601" s="58">
        <f t="shared" si="353"/>
        <v>0</v>
      </c>
      <c r="X1601" s="58">
        <f t="shared" si="354"/>
        <v>0</v>
      </c>
      <c r="Y1601" s="52">
        <f t="shared" si="355"/>
        <v>0</v>
      </c>
    </row>
    <row r="1602" spans="1:25" x14ac:dyDescent="0.25">
      <c r="A1602" s="1218" t="s">
        <v>144</v>
      </c>
      <c r="B1602" s="98">
        <v>45658</v>
      </c>
      <c r="C1602" s="117" t="str">
        <f t="shared" si="357"/>
        <v>5L</v>
      </c>
      <c r="D1602" s="96"/>
      <c r="E1602" s="98"/>
      <c r="F1602" s="99">
        <f t="shared" si="356"/>
        <v>0</v>
      </c>
      <c r="G1602" s="55"/>
      <c r="H1602" s="55"/>
      <c r="I1602" s="99">
        <f t="shared" si="359"/>
        <v>0</v>
      </c>
      <c r="J1602" s="55"/>
      <c r="K1602" s="55"/>
      <c r="L1602" s="99">
        <f t="shared" si="360"/>
        <v>0</v>
      </c>
      <c r="M1602" s="44" t="str">
        <f t="shared" si="346"/>
        <v/>
      </c>
      <c r="N1602" s="100">
        <f t="shared" si="347"/>
        <v>0</v>
      </c>
      <c r="O1602" s="101">
        <f t="shared" si="348"/>
        <v>0</v>
      </c>
      <c r="P1602" s="52">
        <f t="shared" si="349"/>
        <v>0</v>
      </c>
      <c r="Q1602" s="49">
        <v>116.88487613461319</v>
      </c>
      <c r="R1602">
        <v>2225</v>
      </c>
      <c r="S1602" s="50">
        <f t="shared" si="361"/>
        <v>71535.307499999995</v>
      </c>
      <c r="T1602" s="50">
        <f t="shared" si="350"/>
        <v>0</v>
      </c>
      <c r="U1602" s="58">
        <f t="shared" si="351"/>
        <v>0</v>
      </c>
      <c r="V1602" s="58">
        <f t="shared" si="352"/>
        <v>0</v>
      </c>
      <c r="W1602" s="58">
        <f t="shared" si="353"/>
        <v>0</v>
      </c>
      <c r="X1602" s="58">
        <f t="shared" si="354"/>
        <v>0</v>
      </c>
      <c r="Y1602" s="52">
        <f t="shared" si="355"/>
        <v>0</v>
      </c>
    </row>
    <row r="1603" spans="1:25" x14ac:dyDescent="0.25">
      <c r="A1603" s="1218" t="s">
        <v>145</v>
      </c>
      <c r="B1603" s="98">
        <v>45658</v>
      </c>
      <c r="C1603" s="117" t="str">
        <f t="shared" si="357"/>
        <v>5L</v>
      </c>
      <c r="D1603" s="96"/>
      <c r="E1603" s="98"/>
      <c r="F1603" s="99">
        <f t="shared" si="356"/>
        <v>0</v>
      </c>
      <c r="G1603" s="55"/>
      <c r="H1603" s="55"/>
      <c r="I1603" s="99">
        <f t="shared" si="359"/>
        <v>0</v>
      </c>
      <c r="J1603" s="55"/>
      <c r="K1603" s="55"/>
      <c r="L1603" s="99">
        <f t="shared" si="360"/>
        <v>0</v>
      </c>
      <c r="M1603" s="44" t="str">
        <f t="shared" ref="M1603:M1668" si="362">IFERROR((L1603-I1603)/I1603,"")</f>
        <v/>
      </c>
      <c r="N1603" s="100">
        <f t="shared" ref="N1603:N1668" si="363">J1603-G1603</f>
        <v>0</v>
      </c>
      <c r="O1603" s="101">
        <f t="shared" ref="O1603:O1668" si="364">L1603-I1603</f>
        <v>0</v>
      </c>
      <c r="P1603" s="52">
        <f t="shared" ref="P1603:P1668" si="365">U1603-W1603</f>
        <v>0</v>
      </c>
      <c r="Q1603" s="49">
        <v>116.88487613461319</v>
      </c>
      <c r="R1603">
        <v>2225</v>
      </c>
      <c r="S1603" s="50">
        <f t="shared" si="361"/>
        <v>71535.307499999995</v>
      </c>
      <c r="T1603" s="50">
        <f t="shared" ref="T1603:T1668" si="366">IFERROR(S1603*I1603,"")</f>
        <v>0</v>
      </c>
      <c r="U1603" s="58">
        <f t="shared" ref="U1603:U1668" si="367">IFERROR(S1603*L1603,"")</f>
        <v>0</v>
      </c>
      <c r="V1603" s="58">
        <f t="shared" ref="V1603:V1668" si="368">IFERROR(Q1603*G1603,"")</f>
        <v>0</v>
      </c>
      <c r="W1603" s="58">
        <f t="shared" ref="W1603:W1668" si="369">IFERROR(Q1603*J1603,"")</f>
        <v>0</v>
      </c>
      <c r="X1603" s="58">
        <f t="shared" ref="X1603:X1668" si="370">T1603-V1603</f>
        <v>0</v>
      </c>
      <c r="Y1603" s="52">
        <f t="shared" ref="Y1603:Y1668" si="371">U1603-W1603</f>
        <v>0</v>
      </c>
    </row>
    <row r="1604" spans="1:25" x14ac:dyDescent="0.25">
      <c r="A1604" s="1218" t="s">
        <v>146</v>
      </c>
      <c r="B1604" s="98">
        <v>45658</v>
      </c>
      <c r="C1604" s="117" t="str">
        <f t="shared" si="357"/>
        <v>5L</v>
      </c>
      <c r="D1604" s="96"/>
      <c r="E1604" s="98"/>
      <c r="F1604" s="99">
        <f t="shared" si="356"/>
        <v>0</v>
      </c>
      <c r="G1604" s="55"/>
      <c r="H1604" s="55"/>
      <c r="I1604" s="99">
        <f t="shared" si="359"/>
        <v>0</v>
      </c>
      <c r="J1604" s="55"/>
      <c r="K1604" s="55"/>
      <c r="L1604" s="99">
        <f t="shared" si="360"/>
        <v>0</v>
      </c>
      <c r="M1604" s="44" t="str">
        <f t="shared" si="362"/>
        <v/>
      </c>
      <c r="N1604" s="100">
        <f t="shared" si="363"/>
        <v>0</v>
      </c>
      <c r="O1604" s="101">
        <f t="shared" si="364"/>
        <v>0</v>
      </c>
      <c r="P1604" s="52">
        <f t="shared" si="365"/>
        <v>0</v>
      </c>
      <c r="Q1604" s="49">
        <v>116.88487613461319</v>
      </c>
      <c r="R1604">
        <v>2225</v>
      </c>
      <c r="S1604" s="50">
        <f t="shared" si="361"/>
        <v>71535.307499999995</v>
      </c>
      <c r="T1604" s="50">
        <f t="shared" si="366"/>
        <v>0</v>
      </c>
      <c r="U1604" s="58">
        <f t="shared" si="367"/>
        <v>0</v>
      </c>
      <c r="V1604" s="58">
        <f t="shared" si="368"/>
        <v>0</v>
      </c>
      <c r="W1604" s="58">
        <f t="shared" si="369"/>
        <v>0</v>
      </c>
      <c r="X1604" s="58">
        <f t="shared" si="370"/>
        <v>0</v>
      </c>
      <c r="Y1604" s="52">
        <f t="shared" si="371"/>
        <v>0</v>
      </c>
    </row>
    <row r="1605" spans="1:25" x14ac:dyDescent="0.25">
      <c r="A1605" s="1218" t="s">
        <v>147</v>
      </c>
      <c r="B1605" s="98">
        <v>45658</v>
      </c>
      <c r="C1605" s="117" t="str">
        <f t="shared" si="357"/>
        <v>5L</v>
      </c>
      <c r="D1605" s="96"/>
      <c r="E1605" s="98"/>
      <c r="F1605" s="99">
        <f t="shared" ref="F1605:F1668" si="372">IFERROR(D1605*E1605/1000,"")</f>
        <v>0</v>
      </c>
      <c r="G1605" s="55"/>
      <c r="H1605" s="55"/>
      <c r="I1605" s="99">
        <f t="shared" si="359"/>
        <v>0</v>
      </c>
      <c r="J1605" s="55"/>
      <c r="K1605" s="55"/>
      <c r="L1605" s="99">
        <f t="shared" si="360"/>
        <v>0</v>
      </c>
      <c r="M1605" s="44" t="str">
        <f t="shared" si="362"/>
        <v/>
      </c>
      <c r="N1605" s="100">
        <f t="shared" si="363"/>
        <v>0</v>
      </c>
      <c r="O1605" s="101">
        <f t="shared" si="364"/>
        <v>0</v>
      </c>
      <c r="P1605" s="52">
        <f t="shared" si="365"/>
        <v>0</v>
      </c>
      <c r="Q1605" s="49">
        <v>116.88487613461319</v>
      </c>
      <c r="R1605">
        <v>2225</v>
      </c>
      <c r="S1605" s="50">
        <f t="shared" si="361"/>
        <v>71535.307499999995</v>
      </c>
      <c r="T1605" s="50">
        <f t="shared" si="366"/>
        <v>0</v>
      </c>
      <c r="U1605" s="58">
        <f t="shared" si="367"/>
        <v>0</v>
      </c>
      <c r="V1605" s="58">
        <f t="shared" si="368"/>
        <v>0</v>
      </c>
      <c r="W1605" s="58">
        <f t="shared" si="369"/>
        <v>0</v>
      </c>
      <c r="X1605" s="58">
        <f t="shared" si="370"/>
        <v>0</v>
      </c>
      <c r="Y1605" s="52">
        <f t="shared" si="371"/>
        <v>0</v>
      </c>
    </row>
    <row r="1606" spans="1:25" x14ac:dyDescent="0.25">
      <c r="A1606" s="1218" t="s">
        <v>148</v>
      </c>
      <c r="B1606" s="98">
        <v>45658</v>
      </c>
      <c r="C1606" s="117" t="str">
        <f t="shared" si="357"/>
        <v>5L</v>
      </c>
      <c r="D1606" s="96"/>
      <c r="E1606" s="98"/>
      <c r="F1606" s="99">
        <f t="shared" si="372"/>
        <v>0</v>
      </c>
      <c r="G1606" s="55"/>
      <c r="H1606" s="55"/>
      <c r="I1606" s="99">
        <f t="shared" si="359"/>
        <v>0</v>
      </c>
      <c r="J1606" s="55"/>
      <c r="K1606" s="55"/>
      <c r="L1606" s="99">
        <f t="shared" si="360"/>
        <v>0</v>
      </c>
      <c r="M1606" s="44" t="str">
        <f t="shared" si="362"/>
        <v/>
      </c>
      <c r="N1606" s="100">
        <f t="shared" si="363"/>
        <v>0</v>
      </c>
      <c r="O1606" s="101">
        <f t="shared" si="364"/>
        <v>0</v>
      </c>
      <c r="P1606" s="52">
        <f t="shared" si="365"/>
        <v>0</v>
      </c>
      <c r="Q1606" s="49">
        <v>116.88487613461319</v>
      </c>
      <c r="R1606">
        <v>2225</v>
      </c>
      <c r="S1606" s="50">
        <f t="shared" si="361"/>
        <v>71535.307499999995</v>
      </c>
      <c r="T1606" s="50">
        <f t="shared" si="366"/>
        <v>0</v>
      </c>
      <c r="U1606" s="58">
        <f t="shared" si="367"/>
        <v>0</v>
      </c>
      <c r="V1606" s="58">
        <f t="shared" si="368"/>
        <v>0</v>
      </c>
      <c r="W1606" s="58">
        <f t="shared" si="369"/>
        <v>0</v>
      </c>
      <c r="X1606" s="58">
        <f t="shared" si="370"/>
        <v>0</v>
      </c>
      <c r="Y1606" s="52">
        <f t="shared" si="371"/>
        <v>0</v>
      </c>
    </row>
    <row r="1607" spans="1:25" x14ac:dyDescent="0.25">
      <c r="A1607" s="1218" t="s">
        <v>149</v>
      </c>
      <c r="B1607" s="98">
        <v>45658</v>
      </c>
      <c r="C1607" s="117" t="str">
        <f t="shared" si="357"/>
        <v>5L</v>
      </c>
      <c r="D1607" s="96"/>
      <c r="E1607" s="98"/>
      <c r="F1607" s="99">
        <f t="shared" si="372"/>
        <v>0</v>
      </c>
      <c r="G1607" s="55"/>
      <c r="H1607" s="55"/>
      <c r="I1607" s="99">
        <f t="shared" si="359"/>
        <v>0</v>
      </c>
      <c r="J1607" s="55"/>
      <c r="K1607" s="55"/>
      <c r="L1607" s="99">
        <f t="shared" si="360"/>
        <v>0</v>
      </c>
      <c r="M1607" s="44" t="str">
        <f t="shared" si="362"/>
        <v/>
      </c>
      <c r="N1607" s="100">
        <f t="shared" si="363"/>
        <v>0</v>
      </c>
      <c r="O1607" s="101">
        <f t="shared" si="364"/>
        <v>0</v>
      </c>
      <c r="P1607" s="52">
        <f t="shared" si="365"/>
        <v>0</v>
      </c>
      <c r="Q1607" s="49">
        <v>116.88487613461319</v>
      </c>
      <c r="R1607">
        <v>2225</v>
      </c>
      <c r="S1607" s="50">
        <f t="shared" si="361"/>
        <v>71535.307499999995</v>
      </c>
      <c r="T1607" s="50">
        <f t="shared" si="366"/>
        <v>0</v>
      </c>
      <c r="U1607" s="58">
        <f t="shared" si="367"/>
        <v>0</v>
      </c>
      <c r="V1607" s="58">
        <f t="shared" si="368"/>
        <v>0</v>
      </c>
      <c r="W1607" s="58">
        <f t="shared" si="369"/>
        <v>0</v>
      </c>
      <c r="X1607" s="58">
        <f t="shared" si="370"/>
        <v>0</v>
      </c>
      <c r="Y1607" s="52">
        <f t="shared" si="371"/>
        <v>0</v>
      </c>
    </row>
    <row r="1608" spans="1:25" x14ac:dyDescent="0.25">
      <c r="A1608" s="1218" t="s">
        <v>150</v>
      </c>
      <c r="B1608" s="98">
        <v>45658</v>
      </c>
      <c r="C1608" s="117" t="str">
        <f t="shared" si="357"/>
        <v>6L</v>
      </c>
      <c r="D1608" s="118">
        <v>2921</v>
      </c>
      <c r="E1608">
        <v>2.83</v>
      </c>
      <c r="F1608" s="99">
        <f t="shared" si="372"/>
        <v>8.2664299999999997</v>
      </c>
      <c r="G1608" s="49">
        <f>'[4]Underground Breaking Plan'!$C$60</f>
        <v>2100</v>
      </c>
      <c r="H1608" s="63">
        <f>'[4]Underground Breaking Plan'!$C$61</f>
        <v>3.1620000000000013</v>
      </c>
      <c r="I1608" s="99">
        <f t="shared" si="359"/>
        <v>6.6402000000000028</v>
      </c>
      <c r="J1608" s="58">
        <f>[5]Generation!$D$20</f>
        <v>2028.2</v>
      </c>
      <c r="K1608" s="63">
        <f>[5]Generation!$E$20</f>
        <v>3.1833892121092591</v>
      </c>
      <c r="L1608" s="99">
        <f t="shared" si="360"/>
        <v>6.4565499999999991</v>
      </c>
      <c r="M1608" s="44">
        <f t="shared" si="362"/>
        <v>-2.7657299478931894E-2</v>
      </c>
      <c r="N1608" s="100">
        <f t="shared" si="363"/>
        <v>-71.799999999999955</v>
      </c>
      <c r="O1608" s="101">
        <f t="shared" si="364"/>
        <v>-0.18365000000000364</v>
      </c>
      <c r="P1608" s="52">
        <f t="shared" si="365"/>
        <v>224805.38386290238</v>
      </c>
      <c r="Q1608" s="49">
        <v>116.88487613461319</v>
      </c>
      <c r="R1608">
        <v>2225</v>
      </c>
      <c r="S1608" s="50">
        <f t="shared" si="361"/>
        <v>71535.307499999995</v>
      </c>
      <c r="T1608" s="50">
        <f t="shared" si="366"/>
        <v>475008.74886150018</v>
      </c>
      <c r="U1608" s="58">
        <f t="shared" si="367"/>
        <v>461871.28963912488</v>
      </c>
      <c r="V1608" s="58">
        <f t="shared" si="368"/>
        <v>245458.23988268772</v>
      </c>
      <c r="W1608" s="58">
        <f t="shared" si="369"/>
        <v>237065.9057762225</v>
      </c>
      <c r="X1608" s="58">
        <f t="shared" si="370"/>
        <v>229550.50897881246</v>
      </c>
      <c r="Y1608" s="52">
        <f t="shared" si="371"/>
        <v>224805.38386290238</v>
      </c>
    </row>
    <row r="1609" spans="1:25" x14ac:dyDescent="0.25">
      <c r="A1609" s="1218" t="s">
        <v>151</v>
      </c>
      <c r="B1609" s="98">
        <v>45658</v>
      </c>
      <c r="C1609" s="117" t="str">
        <f t="shared" si="357"/>
        <v>6L</v>
      </c>
      <c r="D1609" s="96"/>
      <c r="E1609" s="98"/>
      <c r="F1609" s="99">
        <f t="shared" si="372"/>
        <v>0</v>
      </c>
      <c r="G1609" s="49">
        <f>'[4]Underground Breaking Plan'!$C$58</f>
        <v>1050</v>
      </c>
      <c r="H1609" s="63">
        <f>'[4]Underground Breaking Plan'!$C$59</f>
        <v>1.05</v>
      </c>
      <c r="I1609" s="99">
        <f t="shared" si="359"/>
        <v>1.1025</v>
      </c>
      <c r="J1609" s="58">
        <f>[5]Generation!$D$21</f>
        <v>0</v>
      </c>
      <c r="K1609" s="63">
        <f>[5]Generation!$E$21</f>
        <v>0</v>
      </c>
      <c r="L1609" s="99">
        <f t="shared" si="360"/>
        <v>0</v>
      </c>
      <c r="M1609" s="44">
        <f t="shared" si="362"/>
        <v>-1</v>
      </c>
      <c r="N1609" s="100">
        <f t="shared" si="363"/>
        <v>-1050</v>
      </c>
      <c r="O1609" s="101">
        <f t="shared" si="364"/>
        <v>-1.1025</v>
      </c>
      <c r="P1609" s="52">
        <f t="shared" si="365"/>
        <v>0</v>
      </c>
      <c r="Q1609" s="49">
        <v>116.88487613461319</v>
      </c>
      <c r="R1609">
        <v>2225</v>
      </c>
      <c r="S1609" s="50">
        <f t="shared" si="361"/>
        <v>71535.307499999995</v>
      </c>
      <c r="T1609" s="50">
        <f t="shared" si="366"/>
        <v>78867.676518749999</v>
      </c>
      <c r="U1609" s="58">
        <f t="shared" si="367"/>
        <v>0</v>
      </c>
      <c r="V1609" s="58">
        <f t="shared" si="368"/>
        <v>122729.11994134386</v>
      </c>
      <c r="W1609" s="58">
        <f t="shared" si="369"/>
        <v>0</v>
      </c>
      <c r="X1609" s="58">
        <f t="shared" si="370"/>
        <v>-43861.44342259386</v>
      </c>
      <c r="Y1609" s="52">
        <f t="shared" si="371"/>
        <v>0</v>
      </c>
    </row>
    <row r="1610" spans="1:25" x14ac:dyDescent="0.25">
      <c r="A1610" s="1218" t="s">
        <v>152</v>
      </c>
      <c r="B1610" s="98">
        <v>45658</v>
      </c>
      <c r="C1610" s="117" t="str">
        <f t="shared" si="357"/>
        <v>6L</v>
      </c>
      <c r="D1610" s="96"/>
      <c r="E1610" s="98"/>
      <c r="F1610" s="99">
        <f t="shared" si="372"/>
        <v>0</v>
      </c>
      <c r="H1610" s="63"/>
      <c r="I1610" s="99">
        <f t="shared" si="359"/>
        <v>0</v>
      </c>
      <c r="J1610" s="58"/>
      <c r="K1610" s="63"/>
      <c r="L1610" s="99"/>
      <c r="M1610" s="44"/>
      <c r="N1610" s="100"/>
      <c r="O1610" s="101"/>
      <c r="P1610" s="52"/>
      <c r="Q1610" s="49"/>
      <c r="S1610" s="50"/>
      <c r="T1610" s="50"/>
      <c r="U1610" s="58"/>
      <c r="V1610" s="58"/>
      <c r="W1610" s="58"/>
      <c r="X1610" s="58"/>
      <c r="Y1610" s="52"/>
    </row>
    <row r="1611" spans="1:25" x14ac:dyDescent="0.25">
      <c r="A1611" s="1218" t="s">
        <v>153</v>
      </c>
      <c r="B1611" s="98">
        <v>45658</v>
      </c>
      <c r="C1611" s="117" t="str">
        <f t="shared" si="357"/>
        <v>6L</v>
      </c>
      <c r="D1611" s="96"/>
      <c r="E1611" s="98"/>
      <c r="F1611" s="99">
        <f t="shared" si="372"/>
        <v>0</v>
      </c>
      <c r="H1611" s="63"/>
      <c r="I1611" s="99">
        <f t="shared" si="359"/>
        <v>0</v>
      </c>
      <c r="J1611" s="58"/>
      <c r="K1611" s="63"/>
      <c r="L1611" s="99"/>
      <c r="M1611" s="44"/>
      <c r="N1611" s="100"/>
      <c r="O1611" s="101"/>
      <c r="P1611" s="52"/>
      <c r="Q1611" s="49"/>
      <c r="S1611" s="50"/>
      <c r="T1611" s="50"/>
      <c r="U1611" s="58"/>
      <c r="V1611" s="58"/>
      <c r="W1611" s="58"/>
      <c r="X1611" s="58"/>
      <c r="Y1611" s="52"/>
    </row>
    <row r="1612" spans="1:25" x14ac:dyDescent="0.25">
      <c r="A1612" s="1218" t="s">
        <v>154</v>
      </c>
      <c r="B1612" s="98">
        <v>45658</v>
      </c>
      <c r="C1612" s="117" t="str">
        <f t="shared" si="357"/>
        <v>6L</v>
      </c>
      <c r="D1612" s="96"/>
      <c r="E1612" s="98"/>
      <c r="F1612" s="99">
        <f t="shared" si="372"/>
        <v>0</v>
      </c>
      <c r="H1612" s="63"/>
      <c r="I1612" s="99">
        <f t="shared" si="359"/>
        <v>0</v>
      </c>
      <c r="J1612" s="58"/>
      <c r="K1612" s="63"/>
      <c r="L1612" s="99"/>
      <c r="M1612" s="44"/>
      <c r="N1612" s="100"/>
      <c r="O1612" s="101"/>
      <c r="P1612" s="52"/>
      <c r="Q1612" s="49"/>
      <c r="S1612" s="50"/>
      <c r="T1612" s="50"/>
      <c r="U1612" s="58"/>
      <c r="V1612" s="58"/>
      <c r="W1612" s="58"/>
      <c r="X1612" s="58"/>
      <c r="Y1612" s="52"/>
    </row>
    <row r="1613" spans="1:25" x14ac:dyDescent="0.25">
      <c r="A1613" s="1218" t="s">
        <v>155</v>
      </c>
      <c r="B1613" s="98">
        <v>45658</v>
      </c>
      <c r="C1613" s="117" t="str">
        <f t="shared" si="357"/>
        <v>6L</v>
      </c>
      <c r="D1613" s="96"/>
      <c r="E1613" s="98"/>
      <c r="F1613" s="99">
        <f t="shared" si="372"/>
        <v>0</v>
      </c>
      <c r="G1613" s="43"/>
      <c r="H1613" s="26"/>
      <c r="I1613" s="99">
        <f t="shared" si="359"/>
        <v>0</v>
      </c>
      <c r="L1613" s="99">
        <f t="shared" si="360"/>
        <v>0</v>
      </c>
      <c r="M1613" s="44" t="str">
        <f t="shared" si="362"/>
        <v/>
      </c>
      <c r="N1613" s="100">
        <f t="shared" si="363"/>
        <v>0</v>
      </c>
      <c r="O1613" s="101">
        <f t="shared" si="364"/>
        <v>0</v>
      </c>
      <c r="P1613" s="52">
        <f t="shared" si="365"/>
        <v>0</v>
      </c>
      <c r="Q1613" s="49">
        <v>116.88487613461319</v>
      </c>
      <c r="R1613">
        <v>2225</v>
      </c>
      <c r="S1613" s="50">
        <f t="shared" si="361"/>
        <v>71535.307499999995</v>
      </c>
      <c r="T1613" s="50">
        <f t="shared" si="366"/>
        <v>0</v>
      </c>
      <c r="U1613" s="58">
        <f t="shared" si="367"/>
        <v>0</v>
      </c>
      <c r="V1613" s="58">
        <f t="shared" si="368"/>
        <v>0</v>
      </c>
      <c r="W1613" s="58">
        <f t="shared" si="369"/>
        <v>0</v>
      </c>
      <c r="X1613" s="58">
        <f t="shared" si="370"/>
        <v>0</v>
      </c>
      <c r="Y1613" s="52">
        <f t="shared" si="371"/>
        <v>0</v>
      </c>
    </row>
    <row r="1614" spans="1:25" x14ac:dyDescent="0.25">
      <c r="A1614" s="1218" t="s">
        <v>156</v>
      </c>
      <c r="B1614" s="98">
        <v>45658</v>
      </c>
      <c r="C1614" s="117" t="str">
        <f t="shared" si="357"/>
        <v>6L</v>
      </c>
      <c r="D1614" s="96"/>
      <c r="E1614" s="98"/>
      <c r="F1614" s="99">
        <f t="shared" si="372"/>
        <v>0</v>
      </c>
      <c r="G1614" s="26">
        <f>'[4]Underground Breaking Plan'!$C$66</f>
        <v>1050</v>
      </c>
      <c r="H1614" s="26">
        <f>'[4]Underground Breaking Plan'!$C$67</f>
        <v>2.728499999999999</v>
      </c>
      <c r="I1614" s="99">
        <f t="shared" si="359"/>
        <v>2.8649249999999986</v>
      </c>
      <c r="J1614">
        <f>[5]Generation!$D$22</f>
        <v>1949</v>
      </c>
      <c r="K1614" s="49">
        <f>[5]Generation!$E$22</f>
        <v>2.7855515649050795</v>
      </c>
      <c r="L1614" s="99"/>
      <c r="M1614" s="44"/>
      <c r="N1614" s="100"/>
      <c r="O1614" s="101"/>
      <c r="P1614" s="52"/>
      <c r="Q1614" s="49"/>
      <c r="S1614" s="50"/>
      <c r="T1614" s="50"/>
      <c r="U1614" s="58"/>
      <c r="V1614" s="58"/>
      <c r="W1614" s="58"/>
      <c r="X1614" s="58"/>
      <c r="Y1614" s="52"/>
    </row>
    <row r="1615" spans="1:25" x14ac:dyDescent="0.25">
      <c r="A1615" s="1218" t="s">
        <v>157</v>
      </c>
      <c r="B1615" s="98">
        <v>45658</v>
      </c>
      <c r="C1615" s="117" t="str">
        <f t="shared" si="357"/>
        <v>6L</v>
      </c>
      <c r="D1615" s="96"/>
      <c r="E1615" s="98"/>
      <c r="F1615" s="99">
        <f t="shared" si="372"/>
        <v>0</v>
      </c>
      <c r="G1615" s="26">
        <f>'[4]Underground Breaking Plan'!$C$62</f>
        <v>2100</v>
      </c>
      <c r="H1615" s="26">
        <f>'[4]Underground Breaking Plan'!$C$63</f>
        <v>2.1930000000000014</v>
      </c>
      <c r="I1615" s="99">
        <f t="shared" si="359"/>
        <v>4.6053000000000033</v>
      </c>
      <c r="J1615">
        <f>[5]Generation!$D$23</f>
        <v>804</v>
      </c>
      <c r="K1615" s="49">
        <f>[5]Generation!$E$23</f>
        <v>2.6023756218905474</v>
      </c>
      <c r="L1615" s="99">
        <f t="shared" si="360"/>
        <v>2.0923099999999999</v>
      </c>
      <c r="M1615" s="44">
        <f t="shared" si="362"/>
        <v>-0.54567346318372345</v>
      </c>
      <c r="N1615" s="100">
        <f t="shared" si="363"/>
        <v>-1296</v>
      </c>
      <c r="O1615" s="101">
        <f t="shared" si="364"/>
        <v>-2.5129900000000034</v>
      </c>
      <c r="P1615" s="52">
        <f t="shared" si="365"/>
        <v>55698.598823095963</v>
      </c>
      <c r="Q1615" s="49">
        <v>116.88487613461319</v>
      </c>
      <c r="R1615">
        <v>2225</v>
      </c>
      <c r="S1615" s="50">
        <f t="shared" si="361"/>
        <v>71535.307499999995</v>
      </c>
      <c r="T1615" s="50">
        <f t="shared" si="366"/>
        <v>329441.55162975023</v>
      </c>
      <c r="U1615" s="58">
        <f t="shared" si="367"/>
        <v>149674.03923532498</v>
      </c>
      <c r="V1615" s="58">
        <f t="shared" si="368"/>
        <v>245458.23988268772</v>
      </c>
      <c r="W1615" s="58">
        <f t="shared" si="369"/>
        <v>93975.440412229014</v>
      </c>
      <c r="X1615" s="58">
        <f t="shared" si="370"/>
        <v>83983.311747062515</v>
      </c>
      <c r="Y1615" s="52">
        <f t="shared" si="371"/>
        <v>55698.598823095963</v>
      </c>
    </row>
    <row r="1616" spans="1:25" x14ac:dyDescent="0.25">
      <c r="A1616" s="1218" t="s">
        <v>158</v>
      </c>
      <c r="B1616" s="98">
        <v>45658</v>
      </c>
      <c r="C1616" s="117" t="str">
        <f t="shared" ref="C1616:C1679" si="373">LEFT(A1616,2)</f>
        <v>6L</v>
      </c>
      <c r="D1616">
        <v>1947</v>
      </c>
      <c r="E1616">
        <v>3.06</v>
      </c>
      <c r="F1616" s="99">
        <f t="shared" si="372"/>
        <v>5.9578199999999999</v>
      </c>
      <c r="G1616" s="49">
        <f>'[4]Underground Breaking Plan'!$C$64</f>
        <v>2100</v>
      </c>
      <c r="H1616" s="63">
        <f>'[4]Underground Breaking Plan'!$C$65</f>
        <v>2.6604999999999994</v>
      </c>
      <c r="I1616" s="99">
        <f t="shared" si="359"/>
        <v>5.5870499999999987</v>
      </c>
      <c r="J1616" s="58">
        <f>[5]Generation!$D$24</f>
        <v>3534.5</v>
      </c>
      <c r="K1616" s="63">
        <f>[5]Generation!$E$24</f>
        <v>2.2162979204979485</v>
      </c>
      <c r="L1616" s="99">
        <f t="shared" si="360"/>
        <v>7.8335049999999988</v>
      </c>
      <c r="M1616" s="44">
        <f t="shared" si="362"/>
        <v>0.40208249433958898</v>
      </c>
      <c r="N1616" s="100">
        <f t="shared" si="363"/>
        <v>1434.5</v>
      </c>
      <c r="O1616" s="101">
        <f t="shared" si="364"/>
        <v>2.2464550000000001</v>
      </c>
      <c r="P1616" s="52">
        <f t="shared" si="365"/>
        <v>147242.59427999705</v>
      </c>
      <c r="Q1616" s="49">
        <v>116.88487613461319</v>
      </c>
      <c r="R1616">
        <v>2225</v>
      </c>
      <c r="S1616" s="50">
        <f t="shared" si="361"/>
        <v>71535.307499999995</v>
      </c>
      <c r="T1616" s="50">
        <f t="shared" si="366"/>
        <v>399671.33976787486</v>
      </c>
      <c r="U1616" s="58">
        <f t="shared" si="367"/>
        <v>560372.18897778739</v>
      </c>
      <c r="V1616" s="58">
        <f t="shared" si="368"/>
        <v>245458.23988268772</v>
      </c>
      <c r="W1616" s="58">
        <f t="shared" si="369"/>
        <v>413129.59469779034</v>
      </c>
      <c r="X1616" s="58">
        <f t="shared" si="370"/>
        <v>154213.09988518714</v>
      </c>
      <c r="Y1616" s="52">
        <f t="shared" si="371"/>
        <v>147242.59427999705</v>
      </c>
    </row>
    <row r="1617" spans="1:25" x14ac:dyDescent="0.25">
      <c r="A1617" s="1218" t="s">
        <v>159</v>
      </c>
      <c r="B1617" s="98">
        <v>45658</v>
      </c>
      <c r="C1617" s="117" t="str">
        <f t="shared" si="373"/>
        <v>6L</v>
      </c>
      <c r="D1617">
        <v>1807</v>
      </c>
      <c r="E1617">
        <v>1.57</v>
      </c>
      <c r="F1617" s="99">
        <f t="shared" si="372"/>
        <v>2.8369900000000001</v>
      </c>
      <c r="H1617" s="63"/>
      <c r="I1617" s="99">
        <f t="shared" si="359"/>
        <v>0</v>
      </c>
      <c r="J1617" s="58"/>
      <c r="K1617" s="63"/>
      <c r="L1617" s="99">
        <f t="shared" si="360"/>
        <v>0</v>
      </c>
      <c r="M1617" s="44" t="str">
        <f t="shared" si="362"/>
        <v/>
      </c>
      <c r="N1617" s="100">
        <f t="shared" si="363"/>
        <v>0</v>
      </c>
      <c r="O1617" s="101">
        <f t="shared" si="364"/>
        <v>0</v>
      </c>
      <c r="P1617" s="52">
        <f t="shared" si="365"/>
        <v>0</v>
      </c>
      <c r="Q1617" s="49">
        <v>116.88487613461319</v>
      </c>
      <c r="R1617">
        <v>2225</v>
      </c>
      <c r="S1617" s="50">
        <f t="shared" si="361"/>
        <v>71535.307499999995</v>
      </c>
      <c r="T1617" s="50">
        <f t="shared" si="366"/>
        <v>0</v>
      </c>
      <c r="U1617" s="58">
        <f t="shared" si="367"/>
        <v>0</v>
      </c>
      <c r="V1617" s="58">
        <f t="shared" si="368"/>
        <v>0</v>
      </c>
      <c r="W1617" s="58">
        <f t="shared" si="369"/>
        <v>0</v>
      </c>
      <c r="X1617" s="58">
        <f t="shared" si="370"/>
        <v>0</v>
      </c>
      <c r="Y1617" s="52">
        <f t="shared" si="371"/>
        <v>0</v>
      </c>
    </row>
    <row r="1618" spans="1:25" x14ac:dyDescent="0.25">
      <c r="A1618" s="1218" t="s">
        <v>160</v>
      </c>
      <c r="B1618" s="98">
        <v>45658</v>
      </c>
      <c r="C1618" s="117" t="str">
        <f t="shared" si="373"/>
        <v>6L</v>
      </c>
      <c r="D1618">
        <v>1947</v>
      </c>
      <c r="E1618">
        <v>2.7</v>
      </c>
      <c r="F1618" s="99">
        <f t="shared" si="372"/>
        <v>5.2569000000000008</v>
      </c>
      <c r="H1618" s="63"/>
      <c r="I1618" s="99">
        <f t="shared" si="359"/>
        <v>0</v>
      </c>
      <c r="J1618" s="58"/>
      <c r="K1618" s="63"/>
      <c r="L1618" s="99">
        <f t="shared" si="360"/>
        <v>0</v>
      </c>
      <c r="M1618" s="44" t="str">
        <f t="shared" si="362"/>
        <v/>
      </c>
      <c r="N1618" s="100">
        <f t="shared" si="363"/>
        <v>0</v>
      </c>
      <c r="O1618" s="101">
        <f t="shared" si="364"/>
        <v>0</v>
      </c>
      <c r="P1618" s="52">
        <f t="shared" si="365"/>
        <v>0</v>
      </c>
      <c r="Q1618" s="49">
        <v>116.88487613461319</v>
      </c>
      <c r="R1618">
        <v>2225</v>
      </c>
      <c r="S1618" s="50">
        <f t="shared" si="361"/>
        <v>71535.307499999995</v>
      </c>
      <c r="T1618" s="50">
        <f t="shared" si="366"/>
        <v>0</v>
      </c>
      <c r="U1618" s="58">
        <f t="shared" si="367"/>
        <v>0</v>
      </c>
      <c r="V1618" s="58">
        <f t="shared" si="368"/>
        <v>0</v>
      </c>
      <c r="W1618" s="58">
        <f t="shared" si="369"/>
        <v>0</v>
      </c>
      <c r="X1618" s="58">
        <f t="shared" si="370"/>
        <v>0</v>
      </c>
      <c r="Y1618" s="52">
        <f t="shared" si="371"/>
        <v>0</v>
      </c>
    </row>
    <row r="1619" spans="1:25" x14ac:dyDescent="0.25">
      <c r="A1619" s="1218" t="s">
        <v>161</v>
      </c>
      <c r="B1619" s="98">
        <v>45658</v>
      </c>
      <c r="C1619" s="117" t="str">
        <f t="shared" si="373"/>
        <v>6L</v>
      </c>
      <c r="D1619" s="96"/>
      <c r="E1619" s="98"/>
      <c r="F1619" s="99">
        <f t="shared" si="372"/>
        <v>0</v>
      </c>
      <c r="H1619" s="63"/>
      <c r="I1619" s="99">
        <f t="shared" si="359"/>
        <v>0</v>
      </c>
      <c r="J1619" s="58"/>
      <c r="K1619" s="63"/>
      <c r="L1619" s="99">
        <f t="shared" si="360"/>
        <v>0</v>
      </c>
      <c r="M1619" s="44" t="str">
        <f t="shared" si="362"/>
        <v/>
      </c>
      <c r="N1619" s="100">
        <f t="shared" si="363"/>
        <v>0</v>
      </c>
      <c r="O1619" s="101">
        <f t="shared" si="364"/>
        <v>0</v>
      </c>
      <c r="P1619" s="52">
        <f t="shared" si="365"/>
        <v>0</v>
      </c>
      <c r="Q1619" s="49">
        <v>116.88487613461319</v>
      </c>
      <c r="R1619">
        <v>2225</v>
      </c>
      <c r="S1619" s="50">
        <f t="shared" si="361"/>
        <v>71535.307499999995</v>
      </c>
      <c r="T1619" s="50">
        <f t="shared" si="366"/>
        <v>0</v>
      </c>
      <c r="U1619" s="58">
        <f t="shared" si="367"/>
        <v>0</v>
      </c>
      <c r="V1619" s="58">
        <f t="shared" si="368"/>
        <v>0</v>
      </c>
      <c r="W1619" s="58">
        <f t="shared" si="369"/>
        <v>0</v>
      </c>
      <c r="X1619" s="58">
        <f t="shared" si="370"/>
        <v>0</v>
      </c>
      <c r="Y1619" s="52">
        <f t="shared" si="371"/>
        <v>0</v>
      </c>
    </row>
    <row r="1620" spans="1:25" x14ac:dyDescent="0.25">
      <c r="A1620" s="1218" t="s">
        <v>162</v>
      </c>
      <c r="B1620" s="98">
        <v>45658</v>
      </c>
      <c r="C1620" s="117" t="str">
        <f t="shared" si="373"/>
        <v>6L</v>
      </c>
      <c r="D1620">
        <v>1947</v>
      </c>
      <c r="E1620">
        <v>3.63</v>
      </c>
      <c r="F1620" s="99">
        <f t="shared" si="372"/>
        <v>7.0676099999999993</v>
      </c>
      <c r="I1620" s="99">
        <f t="shared" si="359"/>
        <v>0</v>
      </c>
      <c r="L1620" s="99">
        <f t="shared" si="360"/>
        <v>0</v>
      </c>
      <c r="M1620" s="44" t="str">
        <f t="shared" si="362"/>
        <v/>
      </c>
      <c r="N1620" s="100">
        <f t="shared" si="363"/>
        <v>0</v>
      </c>
      <c r="O1620" s="101">
        <f t="shared" si="364"/>
        <v>0</v>
      </c>
      <c r="P1620" s="52">
        <f t="shared" si="365"/>
        <v>0</v>
      </c>
      <c r="Q1620" s="49">
        <v>116.88487613461319</v>
      </c>
      <c r="R1620">
        <v>2225</v>
      </c>
      <c r="S1620" s="50">
        <f t="shared" si="361"/>
        <v>71535.307499999995</v>
      </c>
      <c r="T1620" s="50">
        <f t="shared" si="366"/>
        <v>0</v>
      </c>
      <c r="U1620" s="58">
        <f t="shared" si="367"/>
        <v>0</v>
      </c>
      <c r="V1620" s="58">
        <f t="shared" si="368"/>
        <v>0</v>
      </c>
      <c r="W1620" s="58">
        <f t="shared" si="369"/>
        <v>0</v>
      </c>
      <c r="X1620" s="58">
        <f t="shared" si="370"/>
        <v>0</v>
      </c>
      <c r="Y1620" s="52">
        <f t="shared" si="371"/>
        <v>0</v>
      </c>
    </row>
    <row r="1621" spans="1:25" x14ac:dyDescent="0.25">
      <c r="A1621" s="1218" t="s">
        <v>163</v>
      </c>
      <c r="B1621" s="98">
        <v>45658</v>
      </c>
      <c r="C1621" s="117" t="str">
        <f t="shared" si="373"/>
        <v>6L</v>
      </c>
      <c r="D1621">
        <v>1947</v>
      </c>
      <c r="E1621">
        <v>2.87</v>
      </c>
      <c r="F1621" s="99">
        <f t="shared" si="372"/>
        <v>5.5878900000000007</v>
      </c>
      <c r="I1621" s="99">
        <f t="shared" si="359"/>
        <v>0</v>
      </c>
      <c r="L1621" s="99">
        <f t="shared" si="360"/>
        <v>0</v>
      </c>
      <c r="M1621" s="44" t="str">
        <f t="shared" si="362"/>
        <v/>
      </c>
      <c r="N1621" s="100">
        <f t="shared" si="363"/>
        <v>0</v>
      </c>
      <c r="O1621" s="101">
        <f t="shared" si="364"/>
        <v>0</v>
      </c>
      <c r="P1621" s="52">
        <f t="shared" si="365"/>
        <v>0</v>
      </c>
      <c r="Q1621" s="49">
        <v>116.88487613461319</v>
      </c>
      <c r="R1621">
        <v>2225</v>
      </c>
      <c r="S1621" s="50">
        <f t="shared" si="361"/>
        <v>71535.307499999995</v>
      </c>
      <c r="T1621" s="50">
        <f t="shared" si="366"/>
        <v>0</v>
      </c>
      <c r="U1621" s="58">
        <f t="shared" si="367"/>
        <v>0</v>
      </c>
      <c r="V1621" s="58">
        <f t="shared" si="368"/>
        <v>0</v>
      </c>
      <c r="W1621" s="58">
        <f t="shared" si="369"/>
        <v>0</v>
      </c>
      <c r="X1621" s="58">
        <f t="shared" si="370"/>
        <v>0</v>
      </c>
      <c r="Y1621" s="52">
        <f t="shared" si="371"/>
        <v>0</v>
      </c>
    </row>
    <row r="1622" spans="1:25" x14ac:dyDescent="0.25">
      <c r="A1622" s="1218" t="s">
        <v>164</v>
      </c>
      <c r="B1622" s="98">
        <v>45658</v>
      </c>
      <c r="C1622" s="117" t="str">
        <f t="shared" si="373"/>
        <v>6L</v>
      </c>
      <c r="D1622" s="96"/>
      <c r="E1622" s="98"/>
      <c r="F1622" s="99">
        <f t="shared" si="372"/>
        <v>0</v>
      </c>
      <c r="I1622" s="99">
        <f t="shared" si="359"/>
        <v>0</v>
      </c>
      <c r="L1622" s="99">
        <f t="shared" si="360"/>
        <v>0</v>
      </c>
      <c r="M1622" s="44" t="str">
        <f t="shared" si="362"/>
        <v/>
      </c>
      <c r="N1622" s="100">
        <f t="shared" si="363"/>
        <v>0</v>
      </c>
      <c r="O1622" s="101">
        <f t="shared" si="364"/>
        <v>0</v>
      </c>
      <c r="P1622" s="52">
        <f t="shared" si="365"/>
        <v>0</v>
      </c>
      <c r="Q1622" s="49">
        <v>116.88487613461319</v>
      </c>
      <c r="R1622">
        <v>2225</v>
      </c>
      <c r="S1622" s="50">
        <f t="shared" si="361"/>
        <v>71535.307499999995</v>
      </c>
      <c r="T1622" s="50">
        <f t="shared" si="366"/>
        <v>0</v>
      </c>
      <c r="U1622" s="58">
        <f t="shared" si="367"/>
        <v>0</v>
      </c>
      <c r="V1622" s="58">
        <f t="shared" si="368"/>
        <v>0</v>
      </c>
      <c r="W1622" s="58">
        <f t="shared" si="369"/>
        <v>0</v>
      </c>
      <c r="X1622" s="58">
        <f t="shared" si="370"/>
        <v>0</v>
      </c>
      <c r="Y1622" s="52">
        <f t="shared" si="371"/>
        <v>0</v>
      </c>
    </row>
    <row r="1623" spans="1:25" x14ac:dyDescent="0.25">
      <c r="A1623" s="1218" t="s">
        <v>165</v>
      </c>
      <c r="B1623" s="98">
        <v>45658</v>
      </c>
      <c r="C1623" s="117" t="str">
        <f t="shared" si="373"/>
        <v>6L</v>
      </c>
      <c r="F1623" s="99">
        <f t="shared" si="372"/>
        <v>0</v>
      </c>
      <c r="I1623" s="99">
        <f t="shared" si="359"/>
        <v>0</v>
      </c>
      <c r="L1623" s="99">
        <f t="shared" si="360"/>
        <v>0</v>
      </c>
      <c r="M1623" s="44" t="str">
        <f t="shared" si="362"/>
        <v/>
      </c>
      <c r="N1623" s="100">
        <f t="shared" si="363"/>
        <v>0</v>
      </c>
      <c r="O1623" s="101">
        <f t="shared" si="364"/>
        <v>0</v>
      </c>
      <c r="P1623" s="52">
        <f t="shared" si="365"/>
        <v>0</v>
      </c>
      <c r="Q1623" s="49">
        <v>116.88487613461319</v>
      </c>
      <c r="R1623">
        <v>2225</v>
      </c>
      <c r="S1623" s="50">
        <f t="shared" si="361"/>
        <v>71535.307499999995</v>
      </c>
      <c r="T1623" s="50">
        <f t="shared" si="366"/>
        <v>0</v>
      </c>
      <c r="U1623" s="58">
        <f t="shared" si="367"/>
        <v>0</v>
      </c>
      <c r="V1623" s="58">
        <f t="shared" si="368"/>
        <v>0</v>
      </c>
      <c r="W1623" s="58">
        <f t="shared" si="369"/>
        <v>0</v>
      </c>
      <c r="X1623" s="58">
        <f t="shared" si="370"/>
        <v>0</v>
      </c>
      <c r="Y1623" s="52">
        <f t="shared" si="371"/>
        <v>0</v>
      </c>
    </row>
    <row r="1624" spans="1:25" x14ac:dyDescent="0.25">
      <c r="A1624" s="1218" t="s">
        <v>166</v>
      </c>
      <c r="B1624" s="98">
        <v>45658</v>
      </c>
      <c r="C1624" s="117" t="str">
        <f t="shared" si="373"/>
        <v>6L</v>
      </c>
      <c r="F1624" s="99">
        <f t="shared" si="372"/>
        <v>0</v>
      </c>
      <c r="I1624" s="99">
        <f t="shared" si="359"/>
        <v>0</v>
      </c>
      <c r="L1624" s="99">
        <f t="shared" si="360"/>
        <v>0</v>
      </c>
      <c r="M1624" s="44" t="str">
        <f t="shared" si="362"/>
        <v/>
      </c>
      <c r="N1624" s="100">
        <f t="shared" si="363"/>
        <v>0</v>
      </c>
      <c r="O1624" s="101">
        <f t="shared" si="364"/>
        <v>0</v>
      </c>
      <c r="P1624" s="52">
        <f t="shared" si="365"/>
        <v>0</v>
      </c>
      <c r="Q1624" s="49">
        <v>116.88487613461319</v>
      </c>
      <c r="R1624">
        <v>2225</v>
      </c>
      <c r="S1624" s="50">
        <f t="shared" si="361"/>
        <v>71535.307499999995</v>
      </c>
      <c r="T1624" s="50">
        <f t="shared" si="366"/>
        <v>0</v>
      </c>
      <c r="U1624" s="58">
        <f t="shared" si="367"/>
        <v>0</v>
      </c>
      <c r="V1624" s="58">
        <f t="shared" si="368"/>
        <v>0</v>
      </c>
      <c r="W1624" s="58">
        <f t="shared" si="369"/>
        <v>0</v>
      </c>
      <c r="X1624" s="58">
        <f t="shared" si="370"/>
        <v>0</v>
      </c>
      <c r="Y1624" s="52">
        <f t="shared" si="371"/>
        <v>0</v>
      </c>
    </row>
    <row r="1625" spans="1:25" x14ac:dyDescent="0.25">
      <c r="A1625" s="1218" t="s">
        <v>167</v>
      </c>
      <c r="B1625" s="98">
        <v>45658</v>
      </c>
      <c r="C1625" s="117" t="str">
        <f t="shared" si="373"/>
        <v>6L</v>
      </c>
      <c r="F1625" s="99">
        <f t="shared" si="372"/>
        <v>0</v>
      </c>
      <c r="I1625" s="99">
        <f t="shared" si="359"/>
        <v>0</v>
      </c>
      <c r="L1625" s="99">
        <f t="shared" si="360"/>
        <v>0</v>
      </c>
      <c r="M1625" s="44" t="str">
        <f t="shared" si="362"/>
        <v/>
      </c>
      <c r="N1625" s="100">
        <f t="shared" si="363"/>
        <v>0</v>
      </c>
      <c r="O1625" s="101">
        <f t="shared" si="364"/>
        <v>0</v>
      </c>
      <c r="P1625" s="52">
        <f t="shared" si="365"/>
        <v>0</v>
      </c>
      <c r="Q1625" s="49">
        <v>116.88487613461319</v>
      </c>
      <c r="R1625">
        <v>2225</v>
      </c>
      <c r="S1625" s="50">
        <f t="shared" si="361"/>
        <v>71535.307499999995</v>
      </c>
      <c r="T1625" s="50">
        <f t="shared" si="366"/>
        <v>0</v>
      </c>
      <c r="U1625" s="58">
        <f t="shared" si="367"/>
        <v>0</v>
      </c>
      <c r="V1625" s="58">
        <f t="shared" si="368"/>
        <v>0</v>
      </c>
      <c r="W1625" s="58">
        <f t="shared" si="369"/>
        <v>0</v>
      </c>
      <c r="X1625" s="58">
        <f t="shared" si="370"/>
        <v>0</v>
      </c>
      <c r="Y1625" s="52">
        <f t="shared" si="371"/>
        <v>0</v>
      </c>
    </row>
    <row r="1626" spans="1:25" x14ac:dyDescent="0.25">
      <c r="A1626" s="1218" t="s">
        <v>168</v>
      </c>
      <c r="B1626" s="98">
        <v>45658</v>
      </c>
      <c r="C1626" s="117" t="str">
        <f t="shared" si="373"/>
        <v>6L</v>
      </c>
      <c r="F1626" s="99">
        <f t="shared" si="372"/>
        <v>0</v>
      </c>
      <c r="I1626" s="99">
        <f t="shared" si="359"/>
        <v>0</v>
      </c>
      <c r="L1626" s="99">
        <f t="shared" si="360"/>
        <v>0</v>
      </c>
      <c r="M1626" s="44" t="str">
        <f t="shared" si="362"/>
        <v/>
      </c>
      <c r="N1626" s="100">
        <f t="shared" si="363"/>
        <v>0</v>
      </c>
      <c r="O1626" s="101">
        <f t="shared" si="364"/>
        <v>0</v>
      </c>
      <c r="P1626" s="52">
        <f t="shared" si="365"/>
        <v>0</v>
      </c>
      <c r="Q1626" s="49">
        <v>116.88487613461319</v>
      </c>
      <c r="R1626">
        <v>2225</v>
      </c>
      <c r="S1626" s="50">
        <f t="shared" si="361"/>
        <v>71535.307499999995</v>
      </c>
      <c r="T1626" s="50">
        <f t="shared" si="366"/>
        <v>0</v>
      </c>
      <c r="U1626" s="58">
        <f t="shared" si="367"/>
        <v>0</v>
      </c>
      <c r="V1626" s="58">
        <f t="shared" si="368"/>
        <v>0</v>
      </c>
      <c r="W1626" s="58">
        <f t="shared" si="369"/>
        <v>0</v>
      </c>
      <c r="X1626" s="58">
        <f t="shared" si="370"/>
        <v>0</v>
      </c>
      <c r="Y1626" s="52">
        <f t="shared" si="371"/>
        <v>0</v>
      </c>
    </row>
    <row r="1627" spans="1:25" x14ac:dyDescent="0.25">
      <c r="A1627" s="1218" t="s">
        <v>169</v>
      </c>
      <c r="B1627" s="98">
        <v>45658</v>
      </c>
      <c r="C1627" s="117" t="str">
        <f t="shared" si="373"/>
        <v>6L</v>
      </c>
      <c r="D1627" s="96"/>
      <c r="E1627" s="98"/>
      <c r="F1627" s="99">
        <f t="shared" si="372"/>
        <v>0</v>
      </c>
      <c r="I1627" s="99">
        <f t="shared" si="359"/>
        <v>0</v>
      </c>
      <c r="L1627" s="99">
        <f t="shared" si="360"/>
        <v>0</v>
      </c>
      <c r="M1627" s="44" t="str">
        <f t="shared" si="362"/>
        <v/>
      </c>
      <c r="N1627" s="100">
        <f t="shared" si="363"/>
        <v>0</v>
      </c>
      <c r="O1627" s="101">
        <f t="shared" si="364"/>
        <v>0</v>
      </c>
      <c r="P1627" s="52">
        <f t="shared" si="365"/>
        <v>0</v>
      </c>
      <c r="Q1627" s="49">
        <v>116.88487613461319</v>
      </c>
      <c r="R1627">
        <v>2225</v>
      </c>
      <c r="S1627" s="50">
        <f t="shared" si="361"/>
        <v>71535.307499999995</v>
      </c>
      <c r="T1627" s="50">
        <f t="shared" si="366"/>
        <v>0</v>
      </c>
      <c r="U1627" s="58">
        <f t="shared" si="367"/>
        <v>0</v>
      </c>
      <c r="V1627" s="58">
        <f t="shared" si="368"/>
        <v>0</v>
      </c>
      <c r="W1627" s="58">
        <f t="shared" si="369"/>
        <v>0</v>
      </c>
      <c r="X1627" s="58">
        <f t="shared" si="370"/>
        <v>0</v>
      </c>
      <c r="Y1627" s="52">
        <f t="shared" si="371"/>
        <v>0</v>
      </c>
    </row>
    <row r="1628" spans="1:25" x14ac:dyDescent="0.25">
      <c r="A1628" s="1218" t="s">
        <v>170</v>
      </c>
      <c r="B1628" s="98">
        <v>45658</v>
      </c>
      <c r="C1628" s="117" t="str">
        <f t="shared" si="373"/>
        <v>6L</v>
      </c>
      <c r="D1628" s="96"/>
      <c r="E1628" s="98"/>
      <c r="F1628" s="99">
        <f t="shared" si="372"/>
        <v>0</v>
      </c>
      <c r="I1628" s="99">
        <f t="shared" si="359"/>
        <v>0</v>
      </c>
      <c r="L1628" s="99">
        <f t="shared" si="360"/>
        <v>0</v>
      </c>
      <c r="M1628" s="44" t="str">
        <f t="shared" si="362"/>
        <v/>
      </c>
      <c r="N1628" s="100">
        <f t="shared" si="363"/>
        <v>0</v>
      </c>
      <c r="O1628" s="101">
        <f t="shared" si="364"/>
        <v>0</v>
      </c>
      <c r="P1628" s="52">
        <f t="shared" si="365"/>
        <v>0</v>
      </c>
      <c r="Q1628" s="49">
        <v>116.88487613461319</v>
      </c>
      <c r="R1628">
        <v>2225</v>
      </c>
      <c r="S1628" s="50">
        <f t="shared" si="361"/>
        <v>71535.307499999995</v>
      </c>
      <c r="T1628" s="50">
        <f t="shared" si="366"/>
        <v>0</v>
      </c>
      <c r="U1628" s="58">
        <f t="shared" si="367"/>
        <v>0</v>
      </c>
      <c r="V1628" s="58">
        <f t="shared" si="368"/>
        <v>0</v>
      </c>
      <c r="W1628" s="58">
        <f t="shared" si="369"/>
        <v>0</v>
      </c>
      <c r="X1628" s="58">
        <f t="shared" si="370"/>
        <v>0</v>
      </c>
      <c r="Y1628" s="52">
        <f t="shared" si="371"/>
        <v>0</v>
      </c>
    </row>
    <row r="1629" spans="1:25" x14ac:dyDescent="0.25">
      <c r="A1629" s="1218" t="s">
        <v>171</v>
      </c>
      <c r="B1629" s="98">
        <v>45658</v>
      </c>
      <c r="C1629" s="117" t="str">
        <f t="shared" si="373"/>
        <v>6L</v>
      </c>
      <c r="D1629" s="96"/>
      <c r="E1629" s="98"/>
      <c r="F1629" s="99">
        <f t="shared" si="372"/>
        <v>0</v>
      </c>
      <c r="I1629" s="99">
        <f t="shared" si="359"/>
        <v>0</v>
      </c>
      <c r="L1629" s="99">
        <f t="shared" si="360"/>
        <v>0</v>
      </c>
      <c r="M1629" s="44" t="str">
        <f t="shared" si="362"/>
        <v/>
      </c>
      <c r="N1629" s="100">
        <f t="shared" si="363"/>
        <v>0</v>
      </c>
      <c r="O1629" s="101">
        <f t="shared" si="364"/>
        <v>0</v>
      </c>
      <c r="P1629" s="52">
        <f t="shared" si="365"/>
        <v>0</v>
      </c>
      <c r="Q1629" s="49">
        <v>116.88487613461319</v>
      </c>
      <c r="R1629">
        <v>2225</v>
      </c>
      <c r="S1629" s="50">
        <f t="shared" si="361"/>
        <v>71535.307499999995</v>
      </c>
      <c r="T1629" s="50">
        <f t="shared" si="366"/>
        <v>0</v>
      </c>
      <c r="U1629" s="58">
        <f t="shared" si="367"/>
        <v>0</v>
      </c>
      <c r="V1629" s="58">
        <f t="shared" si="368"/>
        <v>0</v>
      </c>
      <c r="W1629" s="58">
        <f t="shared" si="369"/>
        <v>0</v>
      </c>
      <c r="X1629" s="58">
        <f t="shared" si="370"/>
        <v>0</v>
      </c>
      <c r="Y1629" s="52">
        <f t="shared" si="371"/>
        <v>0</v>
      </c>
    </row>
    <row r="1630" spans="1:25" x14ac:dyDescent="0.25">
      <c r="A1630" s="1218" t="s">
        <v>172</v>
      </c>
      <c r="B1630" s="98">
        <v>45658</v>
      </c>
      <c r="C1630" s="117" t="str">
        <f t="shared" si="373"/>
        <v>6L</v>
      </c>
      <c r="D1630" s="96"/>
      <c r="E1630" s="98"/>
      <c r="F1630" s="99">
        <f t="shared" si="372"/>
        <v>0</v>
      </c>
      <c r="I1630" s="99">
        <f t="shared" si="359"/>
        <v>0</v>
      </c>
      <c r="L1630" s="99">
        <f t="shared" si="360"/>
        <v>0</v>
      </c>
      <c r="M1630" s="44" t="str">
        <f t="shared" si="362"/>
        <v/>
      </c>
      <c r="N1630" s="100">
        <f t="shared" si="363"/>
        <v>0</v>
      </c>
      <c r="O1630" s="101">
        <f t="shared" si="364"/>
        <v>0</v>
      </c>
      <c r="P1630" s="52">
        <f t="shared" si="365"/>
        <v>0</v>
      </c>
      <c r="Q1630" s="49">
        <v>116.88487613461319</v>
      </c>
      <c r="R1630">
        <v>2225</v>
      </c>
      <c r="S1630" s="50">
        <f t="shared" si="361"/>
        <v>71535.307499999995</v>
      </c>
      <c r="T1630" s="50">
        <f t="shared" si="366"/>
        <v>0</v>
      </c>
      <c r="U1630" s="58">
        <f t="shared" si="367"/>
        <v>0</v>
      </c>
      <c r="V1630" s="58">
        <f t="shared" si="368"/>
        <v>0</v>
      </c>
      <c r="W1630" s="58">
        <f t="shared" si="369"/>
        <v>0</v>
      </c>
      <c r="X1630" s="58">
        <f t="shared" si="370"/>
        <v>0</v>
      </c>
      <c r="Y1630" s="52">
        <f t="shared" si="371"/>
        <v>0</v>
      </c>
    </row>
    <row r="1631" spans="1:25" x14ac:dyDescent="0.25">
      <c r="A1631" s="1218" t="s">
        <v>173</v>
      </c>
      <c r="B1631" s="98">
        <v>45658</v>
      </c>
      <c r="C1631" s="117" t="str">
        <f t="shared" si="373"/>
        <v>6L</v>
      </c>
      <c r="D1631" s="96"/>
      <c r="E1631" s="98"/>
      <c r="F1631" s="99">
        <f t="shared" si="372"/>
        <v>0</v>
      </c>
      <c r="I1631" s="99">
        <f t="shared" si="359"/>
        <v>0</v>
      </c>
      <c r="L1631" s="99">
        <f t="shared" si="360"/>
        <v>0</v>
      </c>
      <c r="M1631" s="44" t="str">
        <f t="shared" si="362"/>
        <v/>
      </c>
      <c r="N1631" s="100">
        <f t="shared" si="363"/>
        <v>0</v>
      </c>
      <c r="O1631" s="101">
        <f t="shared" si="364"/>
        <v>0</v>
      </c>
      <c r="P1631" s="52">
        <f t="shared" si="365"/>
        <v>0</v>
      </c>
      <c r="Q1631" s="49">
        <v>116.88487613461319</v>
      </c>
      <c r="R1631">
        <v>2225</v>
      </c>
      <c r="S1631" s="50">
        <f t="shared" si="361"/>
        <v>71535.307499999995</v>
      </c>
      <c r="T1631" s="50">
        <f t="shared" si="366"/>
        <v>0</v>
      </c>
      <c r="U1631" s="58">
        <f t="shared" si="367"/>
        <v>0</v>
      </c>
      <c r="V1631" s="58">
        <f t="shared" si="368"/>
        <v>0</v>
      </c>
      <c r="W1631" s="58">
        <f t="shared" si="369"/>
        <v>0</v>
      </c>
      <c r="X1631" s="58">
        <f t="shared" si="370"/>
        <v>0</v>
      </c>
      <c r="Y1631" s="52">
        <f t="shared" si="371"/>
        <v>0</v>
      </c>
    </row>
    <row r="1632" spans="1:25" x14ac:dyDescent="0.25">
      <c r="A1632" s="1218" t="s">
        <v>174</v>
      </c>
      <c r="B1632" s="98">
        <v>45658</v>
      </c>
      <c r="C1632" s="117" t="str">
        <f t="shared" si="373"/>
        <v>6L</v>
      </c>
      <c r="D1632" s="96"/>
      <c r="E1632" s="98"/>
      <c r="F1632" s="99">
        <f t="shared" si="372"/>
        <v>0</v>
      </c>
      <c r="I1632" s="99">
        <f t="shared" si="359"/>
        <v>0</v>
      </c>
      <c r="L1632" s="99">
        <f t="shared" si="360"/>
        <v>0</v>
      </c>
      <c r="M1632" s="44" t="str">
        <f t="shared" si="362"/>
        <v/>
      </c>
      <c r="N1632" s="100">
        <f t="shared" si="363"/>
        <v>0</v>
      </c>
      <c r="O1632" s="101">
        <f t="shared" si="364"/>
        <v>0</v>
      </c>
      <c r="P1632" s="52">
        <f t="shared" si="365"/>
        <v>0</v>
      </c>
      <c r="Q1632" s="49">
        <v>116.88487613461319</v>
      </c>
      <c r="R1632">
        <v>2225</v>
      </c>
      <c r="S1632" s="50">
        <f t="shared" si="361"/>
        <v>71535.307499999995</v>
      </c>
      <c r="T1632" s="50">
        <f t="shared" si="366"/>
        <v>0</v>
      </c>
      <c r="U1632" s="58">
        <f t="shared" si="367"/>
        <v>0</v>
      </c>
      <c r="V1632" s="58">
        <f t="shared" si="368"/>
        <v>0</v>
      </c>
      <c r="W1632" s="58">
        <f t="shared" si="369"/>
        <v>0</v>
      </c>
      <c r="X1632" s="58">
        <f t="shared" si="370"/>
        <v>0</v>
      </c>
      <c r="Y1632" s="52">
        <f t="shared" si="371"/>
        <v>0</v>
      </c>
    </row>
    <row r="1633" spans="1:25" x14ac:dyDescent="0.25">
      <c r="A1633" s="1218" t="s">
        <v>175</v>
      </c>
      <c r="B1633" s="98">
        <v>45658</v>
      </c>
      <c r="C1633" s="117" t="str">
        <f t="shared" si="373"/>
        <v>6L</v>
      </c>
      <c r="D1633" s="96"/>
      <c r="E1633" s="98"/>
      <c r="F1633" s="99">
        <f t="shared" si="372"/>
        <v>0</v>
      </c>
      <c r="I1633" s="99">
        <f t="shared" si="359"/>
        <v>0</v>
      </c>
      <c r="L1633" s="99">
        <f t="shared" si="360"/>
        <v>0</v>
      </c>
      <c r="M1633" s="44" t="str">
        <f t="shared" si="362"/>
        <v/>
      </c>
      <c r="N1633" s="100">
        <f t="shared" si="363"/>
        <v>0</v>
      </c>
      <c r="O1633" s="101">
        <f t="shared" si="364"/>
        <v>0</v>
      </c>
      <c r="P1633" s="52">
        <f t="shared" si="365"/>
        <v>0</v>
      </c>
      <c r="Q1633" s="49">
        <v>116.88487613461319</v>
      </c>
      <c r="R1633">
        <v>2225</v>
      </c>
      <c r="S1633" s="50">
        <f t="shared" si="361"/>
        <v>71535.307499999995</v>
      </c>
      <c r="T1633" s="50">
        <f t="shared" si="366"/>
        <v>0</v>
      </c>
      <c r="U1633" s="58">
        <f t="shared" si="367"/>
        <v>0</v>
      </c>
      <c r="V1633" s="58">
        <f t="shared" si="368"/>
        <v>0</v>
      </c>
      <c r="W1633" s="58">
        <f t="shared" si="369"/>
        <v>0</v>
      </c>
      <c r="X1633" s="58">
        <f t="shared" si="370"/>
        <v>0</v>
      </c>
      <c r="Y1633" s="52">
        <f t="shared" si="371"/>
        <v>0</v>
      </c>
    </row>
    <row r="1634" spans="1:25" x14ac:dyDescent="0.25">
      <c r="A1634" s="1218" t="s">
        <v>176</v>
      </c>
      <c r="B1634" s="98">
        <v>45658</v>
      </c>
      <c r="C1634" s="117" t="str">
        <f t="shared" si="373"/>
        <v>6L</v>
      </c>
      <c r="D1634" s="96"/>
      <c r="E1634" s="98"/>
      <c r="F1634" s="99">
        <f t="shared" si="372"/>
        <v>0</v>
      </c>
      <c r="I1634" s="99">
        <f t="shared" si="359"/>
        <v>0</v>
      </c>
      <c r="L1634" s="99">
        <f t="shared" si="360"/>
        <v>0</v>
      </c>
      <c r="M1634" s="44" t="str">
        <f t="shared" si="362"/>
        <v/>
      </c>
      <c r="N1634" s="100">
        <f t="shared" si="363"/>
        <v>0</v>
      </c>
      <c r="O1634" s="101">
        <f t="shared" si="364"/>
        <v>0</v>
      </c>
      <c r="P1634" s="52">
        <f t="shared" si="365"/>
        <v>0</v>
      </c>
      <c r="Q1634" s="49">
        <v>116.88487613461319</v>
      </c>
      <c r="R1634">
        <v>2225</v>
      </c>
      <c r="S1634" s="50">
        <f t="shared" si="361"/>
        <v>71535.307499999995</v>
      </c>
      <c r="T1634" s="50">
        <f t="shared" si="366"/>
        <v>0</v>
      </c>
      <c r="U1634" s="58">
        <f t="shared" si="367"/>
        <v>0</v>
      </c>
      <c r="V1634" s="58">
        <f t="shared" si="368"/>
        <v>0</v>
      </c>
      <c r="W1634" s="58">
        <f t="shared" si="369"/>
        <v>0</v>
      </c>
      <c r="X1634" s="58">
        <f t="shared" si="370"/>
        <v>0</v>
      </c>
      <c r="Y1634" s="52">
        <f t="shared" si="371"/>
        <v>0</v>
      </c>
    </row>
    <row r="1635" spans="1:25" x14ac:dyDescent="0.25">
      <c r="A1635" s="1218" t="s">
        <v>177</v>
      </c>
      <c r="B1635" s="98">
        <v>45658</v>
      </c>
      <c r="C1635" s="117" t="str">
        <f t="shared" si="373"/>
        <v>6L</v>
      </c>
      <c r="D1635" s="96"/>
      <c r="E1635" s="98"/>
      <c r="F1635" s="99">
        <f t="shared" si="372"/>
        <v>0</v>
      </c>
      <c r="I1635" s="99">
        <f t="shared" si="359"/>
        <v>0</v>
      </c>
      <c r="L1635" s="99">
        <f t="shared" si="360"/>
        <v>0</v>
      </c>
      <c r="M1635" s="44" t="str">
        <f t="shared" si="362"/>
        <v/>
      </c>
      <c r="N1635" s="100">
        <f t="shared" si="363"/>
        <v>0</v>
      </c>
      <c r="O1635" s="101">
        <f t="shared" si="364"/>
        <v>0</v>
      </c>
      <c r="P1635" s="52">
        <f t="shared" si="365"/>
        <v>0</v>
      </c>
      <c r="Q1635" s="49">
        <v>116.88487613461319</v>
      </c>
      <c r="R1635">
        <v>2225</v>
      </c>
      <c r="S1635" s="50">
        <f t="shared" si="361"/>
        <v>71535.307499999995</v>
      </c>
      <c r="T1635" s="50">
        <f t="shared" si="366"/>
        <v>0</v>
      </c>
      <c r="U1635" s="58">
        <f t="shared" si="367"/>
        <v>0</v>
      </c>
      <c r="V1635" s="58">
        <f t="shared" si="368"/>
        <v>0</v>
      </c>
      <c r="W1635" s="58">
        <f t="shared" si="369"/>
        <v>0</v>
      </c>
      <c r="X1635" s="58">
        <f t="shared" si="370"/>
        <v>0</v>
      </c>
      <c r="Y1635" s="52">
        <f t="shared" si="371"/>
        <v>0</v>
      </c>
    </row>
    <row r="1636" spans="1:25" x14ac:dyDescent="0.25">
      <c r="A1636" s="1218" t="s">
        <v>178</v>
      </c>
      <c r="B1636" s="98">
        <v>45658</v>
      </c>
      <c r="C1636" s="117" t="str">
        <f t="shared" si="373"/>
        <v>7L</v>
      </c>
      <c r="D1636" s="96"/>
      <c r="F1636" s="99">
        <f t="shared" si="372"/>
        <v>0</v>
      </c>
      <c r="I1636" s="99">
        <f t="shared" si="359"/>
        <v>0</v>
      </c>
      <c r="L1636" s="99">
        <f t="shared" si="360"/>
        <v>0</v>
      </c>
      <c r="M1636" s="44" t="str">
        <f t="shared" si="362"/>
        <v/>
      </c>
      <c r="N1636" s="100">
        <f t="shared" si="363"/>
        <v>0</v>
      </c>
      <c r="O1636" s="101">
        <f t="shared" si="364"/>
        <v>0</v>
      </c>
      <c r="P1636" s="52">
        <f t="shared" si="365"/>
        <v>0</v>
      </c>
      <c r="Q1636" s="49">
        <v>116.88487613461319</v>
      </c>
      <c r="R1636">
        <v>2225</v>
      </c>
      <c r="S1636" s="50">
        <f t="shared" si="361"/>
        <v>71535.307499999995</v>
      </c>
      <c r="T1636" s="50">
        <f t="shared" si="366"/>
        <v>0</v>
      </c>
      <c r="U1636" s="58">
        <f t="shared" si="367"/>
        <v>0</v>
      </c>
      <c r="V1636" s="58">
        <f t="shared" si="368"/>
        <v>0</v>
      </c>
      <c r="W1636" s="58">
        <f t="shared" si="369"/>
        <v>0</v>
      </c>
      <c r="X1636" s="58">
        <f t="shared" si="370"/>
        <v>0</v>
      </c>
      <c r="Y1636" s="52">
        <f t="shared" si="371"/>
        <v>0</v>
      </c>
    </row>
    <row r="1637" spans="1:25" x14ac:dyDescent="0.25">
      <c r="A1637" s="1218" t="s">
        <v>179</v>
      </c>
      <c r="B1637" s="98">
        <v>45658</v>
      </c>
      <c r="C1637" s="117" t="str">
        <f t="shared" si="373"/>
        <v>7L</v>
      </c>
      <c r="D1637" s="96"/>
      <c r="F1637" s="99">
        <f t="shared" si="372"/>
        <v>0</v>
      </c>
      <c r="I1637" s="99">
        <f t="shared" si="359"/>
        <v>0</v>
      </c>
      <c r="L1637" s="99">
        <f t="shared" si="360"/>
        <v>0</v>
      </c>
      <c r="M1637" s="44" t="str">
        <f t="shared" si="362"/>
        <v/>
      </c>
      <c r="N1637" s="100">
        <f t="shared" si="363"/>
        <v>0</v>
      </c>
      <c r="O1637" s="101">
        <f t="shared" si="364"/>
        <v>0</v>
      </c>
      <c r="P1637" s="52">
        <f t="shared" si="365"/>
        <v>0</v>
      </c>
      <c r="Q1637" s="49">
        <v>116.88487613461319</v>
      </c>
      <c r="R1637">
        <v>2225</v>
      </c>
      <c r="S1637" s="50">
        <f t="shared" si="361"/>
        <v>71535.307499999995</v>
      </c>
      <c r="T1637" s="50">
        <f t="shared" si="366"/>
        <v>0</v>
      </c>
      <c r="U1637" s="58">
        <f t="shared" si="367"/>
        <v>0</v>
      </c>
      <c r="V1637" s="58">
        <f t="shared" si="368"/>
        <v>0</v>
      </c>
      <c r="W1637" s="58">
        <f t="shared" si="369"/>
        <v>0</v>
      </c>
      <c r="X1637" s="58">
        <f t="shared" si="370"/>
        <v>0</v>
      </c>
      <c r="Y1637" s="52">
        <f t="shared" si="371"/>
        <v>0</v>
      </c>
    </row>
    <row r="1638" spans="1:25" x14ac:dyDescent="0.25">
      <c r="A1638" s="1218" t="s">
        <v>180</v>
      </c>
      <c r="B1638" s="98">
        <v>45658</v>
      </c>
      <c r="C1638" s="117" t="str">
        <f t="shared" si="373"/>
        <v>7L</v>
      </c>
      <c r="D1638" s="96"/>
      <c r="F1638" s="99">
        <f t="shared" si="372"/>
        <v>0</v>
      </c>
      <c r="I1638" s="99">
        <f t="shared" si="359"/>
        <v>0</v>
      </c>
      <c r="L1638" s="99">
        <f t="shared" si="360"/>
        <v>0</v>
      </c>
      <c r="M1638" s="44" t="str">
        <f t="shared" si="362"/>
        <v/>
      </c>
      <c r="N1638" s="100">
        <f t="shared" si="363"/>
        <v>0</v>
      </c>
      <c r="O1638" s="101">
        <f t="shared" si="364"/>
        <v>0</v>
      </c>
      <c r="P1638" s="52">
        <f t="shared" si="365"/>
        <v>0</v>
      </c>
      <c r="Q1638" s="49">
        <v>116.88487613461319</v>
      </c>
      <c r="R1638">
        <v>2225</v>
      </c>
      <c r="S1638" s="50">
        <f t="shared" si="361"/>
        <v>71535.307499999995</v>
      </c>
      <c r="T1638" s="50">
        <f t="shared" si="366"/>
        <v>0</v>
      </c>
      <c r="U1638" s="58">
        <f t="shared" si="367"/>
        <v>0</v>
      </c>
      <c r="V1638" s="58">
        <f t="shared" si="368"/>
        <v>0</v>
      </c>
      <c r="W1638" s="58">
        <f t="shared" si="369"/>
        <v>0</v>
      </c>
      <c r="X1638" s="58">
        <f t="shared" si="370"/>
        <v>0</v>
      </c>
      <c r="Y1638" s="52">
        <f t="shared" si="371"/>
        <v>0</v>
      </c>
    </row>
    <row r="1639" spans="1:25" x14ac:dyDescent="0.25">
      <c r="A1639" s="1218" t="s">
        <v>181</v>
      </c>
      <c r="B1639" s="98">
        <v>45658</v>
      </c>
      <c r="C1639" s="117" t="str">
        <f t="shared" si="373"/>
        <v>7L</v>
      </c>
      <c r="D1639" s="96"/>
      <c r="F1639" s="99">
        <f t="shared" si="372"/>
        <v>0</v>
      </c>
      <c r="I1639" s="99">
        <f t="shared" si="359"/>
        <v>0</v>
      </c>
      <c r="L1639" s="99">
        <f t="shared" si="360"/>
        <v>0</v>
      </c>
      <c r="M1639" s="44" t="str">
        <f t="shared" si="362"/>
        <v/>
      </c>
      <c r="N1639" s="100">
        <f t="shared" si="363"/>
        <v>0</v>
      </c>
      <c r="O1639" s="101">
        <f t="shared" si="364"/>
        <v>0</v>
      </c>
      <c r="P1639" s="52">
        <f t="shared" si="365"/>
        <v>0</v>
      </c>
      <c r="Q1639" s="49">
        <v>116.88487613461319</v>
      </c>
      <c r="R1639">
        <v>2225</v>
      </c>
      <c r="S1639" s="50">
        <f t="shared" si="361"/>
        <v>71535.307499999995</v>
      </c>
      <c r="T1639" s="50">
        <f t="shared" si="366"/>
        <v>0</v>
      </c>
      <c r="U1639" s="58">
        <f t="shared" si="367"/>
        <v>0</v>
      </c>
      <c r="V1639" s="58">
        <f t="shared" si="368"/>
        <v>0</v>
      </c>
      <c r="W1639" s="58">
        <f t="shared" si="369"/>
        <v>0</v>
      </c>
      <c r="X1639" s="58">
        <f t="shared" si="370"/>
        <v>0</v>
      </c>
      <c r="Y1639" s="52">
        <f t="shared" si="371"/>
        <v>0</v>
      </c>
    </row>
    <row r="1640" spans="1:25" x14ac:dyDescent="0.25">
      <c r="A1640" s="1218" t="s">
        <v>182</v>
      </c>
      <c r="B1640" s="98">
        <v>45658</v>
      </c>
      <c r="C1640" s="117" t="str">
        <f t="shared" si="373"/>
        <v>7L</v>
      </c>
      <c r="D1640" s="96"/>
      <c r="F1640" s="99">
        <f t="shared" si="372"/>
        <v>0</v>
      </c>
      <c r="I1640" s="99">
        <f t="shared" si="359"/>
        <v>0</v>
      </c>
      <c r="L1640" s="99">
        <f t="shared" si="360"/>
        <v>0</v>
      </c>
      <c r="M1640" s="44" t="str">
        <f t="shared" si="362"/>
        <v/>
      </c>
      <c r="N1640" s="100">
        <f t="shared" si="363"/>
        <v>0</v>
      </c>
      <c r="O1640" s="101">
        <f t="shared" si="364"/>
        <v>0</v>
      </c>
      <c r="P1640" s="52">
        <f t="shared" si="365"/>
        <v>0</v>
      </c>
      <c r="Q1640" s="49">
        <v>116.88487613461319</v>
      </c>
      <c r="R1640">
        <v>2225</v>
      </c>
      <c r="S1640" s="50">
        <f t="shared" si="361"/>
        <v>71535.307499999995</v>
      </c>
      <c r="T1640" s="50">
        <f t="shared" si="366"/>
        <v>0</v>
      </c>
      <c r="U1640" s="58">
        <f t="shared" si="367"/>
        <v>0</v>
      </c>
      <c r="V1640" s="58">
        <f t="shared" si="368"/>
        <v>0</v>
      </c>
      <c r="W1640" s="58">
        <f t="shared" si="369"/>
        <v>0</v>
      </c>
      <c r="X1640" s="58">
        <f t="shared" si="370"/>
        <v>0</v>
      </c>
      <c r="Y1640" s="52">
        <f t="shared" si="371"/>
        <v>0</v>
      </c>
    </row>
    <row r="1641" spans="1:25" x14ac:dyDescent="0.25">
      <c r="A1641" s="1218" t="s">
        <v>183</v>
      </c>
      <c r="B1641" s="98">
        <v>45658</v>
      </c>
      <c r="C1641" s="117" t="str">
        <f t="shared" si="373"/>
        <v>7L</v>
      </c>
      <c r="D1641" s="96"/>
      <c r="F1641" s="99">
        <f t="shared" si="372"/>
        <v>0</v>
      </c>
      <c r="I1641" s="99">
        <f t="shared" si="359"/>
        <v>0</v>
      </c>
      <c r="L1641" s="99">
        <f t="shared" si="360"/>
        <v>0</v>
      </c>
      <c r="M1641" s="44" t="str">
        <f t="shared" si="362"/>
        <v/>
      </c>
      <c r="N1641" s="100">
        <f t="shared" si="363"/>
        <v>0</v>
      </c>
      <c r="O1641" s="101">
        <f t="shared" si="364"/>
        <v>0</v>
      </c>
      <c r="P1641" s="52">
        <f t="shared" si="365"/>
        <v>0</v>
      </c>
      <c r="Q1641" s="49">
        <v>116.88487613461319</v>
      </c>
      <c r="R1641">
        <v>2225</v>
      </c>
      <c r="S1641" s="50">
        <f t="shared" si="361"/>
        <v>71535.307499999995</v>
      </c>
      <c r="T1641" s="50">
        <f t="shared" si="366"/>
        <v>0</v>
      </c>
      <c r="U1641" s="58">
        <f t="shared" si="367"/>
        <v>0</v>
      </c>
      <c r="V1641" s="58">
        <f t="shared" si="368"/>
        <v>0</v>
      </c>
      <c r="W1641" s="58">
        <f t="shared" si="369"/>
        <v>0</v>
      </c>
      <c r="X1641" s="58">
        <f t="shared" si="370"/>
        <v>0</v>
      </c>
      <c r="Y1641" s="52">
        <f t="shared" si="371"/>
        <v>0</v>
      </c>
    </row>
    <row r="1642" spans="1:25" x14ac:dyDescent="0.25">
      <c r="A1642" s="1218" t="s">
        <v>184</v>
      </c>
      <c r="B1642" s="98">
        <v>45658</v>
      </c>
      <c r="C1642" s="117" t="str">
        <f t="shared" si="373"/>
        <v>7L</v>
      </c>
      <c r="D1642" s="96"/>
      <c r="F1642" s="99">
        <f t="shared" si="372"/>
        <v>0</v>
      </c>
      <c r="I1642" s="99">
        <f t="shared" si="359"/>
        <v>0</v>
      </c>
      <c r="L1642" s="99">
        <f t="shared" si="360"/>
        <v>0</v>
      </c>
      <c r="M1642" s="44" t="str">
        <f t="shared" si="362"/>
        <v/>
      </c>
      <c r="N1642" s="100">
        <f t="shared" si="363"/>
        <v>0</v>
      </c>
      <c r="O1642" s="101">
        <f t="shared" si="364"/>
        <v>0</v>
      </c>
      <c r="P1642" s="52">
        <f t="shared" si="365"/>
        <v>0</v>
      </c>
      <c r="Q1642" s="49">
        <v>116.88487613461319</v>
      </c>
      <c r="R1642">
        <v>2225</v>
      </c>
      <c r="S1642" s="50">
        <f t="shared" si="361"/>
        <v>71535.307499999995</v>
      </c>
      <c r="T1642" s="50">
        <f t="shared" si="366"/>
        <v>0</v>
      </c>
      <c r="U1642" s="58">
        <f t="shared" si="367"/>
        <v>0</v>
      </c>
      <c r="V1642" s="58">
        <f t="shared" si="368"/>
        <v>0</v>
      </c>
      <c r="W1642" s="58">
        <f t="shared" si="369"/>
        <v>0</v>
      </c>
      <c r="X1642" s="58">
        <f t="shared" si="370"/>
        <v>0</v>
      </c>
      <c r="Y1642" s="52">
        <f t="shared" si="371"/>
        <v>0</v>
      </c>
    </row>
    <row r="1643" spans="1:25" x14ac:dyDescent="0.25">
      <c r="A1643" s="1218" t="s">
        <v>185</v>
      </c>
      <c r="B1643" s="98">
        <v>45658</v>
      </c>
      <c r="C1643" s="117" t="str">
        <f t="shared" si="373"/>
        <v>7L</v>
      </c>
      <c r="D1643" s="96"/>
      <c r="F1643" s="99">
        <f t="shared" si="372"/>
        <v>0</v>
      </c>
      <c r="I1643" s="99">
        <f t="shared" si="359"/>
        <v>0</v>
      </c>
      <c r="L1643" s="99">
        <f t="shared" si="360"/>
        <v>0</v>
      </c>
      <c r="M1643" s="44" t="str">
        <f t="shared" si="362"/>
        <v/>
      </c>
      <c r="N1643" s="100">
        <f t="shared" si="363"/>
        <v>0</v>
      </c>
      <c r="O1643" s="101">
        <f t="shared" si="364"/>
        <v>0</v>
      </c>
      <c r="P1643" s="52">
        <f t="shared" si="365"/>
        <v>0</v>
      </c>
      <c r="Q1643" s="49">
        <v>116.88487613461319</v>
      </c>
      <c r="R1643">
        <v>2225</v>
      </c>
      <c r="S1643" s="50">
        <f t="shared" si="361"/>
        <v>71535.307499999995</v>
      </c>
      <c r="T1643" s="50">
        <f t="shared" si="366"/>
        <v>0</v>
      </c>
      <c r="U1643" s="58">
        <f t="shared" si="367"/>
        <v>0</v>
      </c>
      <c r="V1643" s="58">
        <f t="shared" si="368"/>
        <v>0</v>
      </c>
      <c r="W1643" s="58">
        <f t="shared" si="369"/>
        <v>0</v>
      </c>
      <c r="X1643" s="58">
        <f t="shared" si="370"/>
        <v>0</v>
      </c>
      <c r="Y1643" s="52">
        <f t="shared" si="371"/>
        <v>0</v>
      </c>
    </row>
    <row r="1644" spans="1:25" x14ac:dyDescent="0.25">
      <c r="A1644" s="1218" t="s">
        <v>186</v>
      </c>
      <c r="B1644" s="98">
        <v>45658</v>
      </c>
      <c r="C1644" s="117" t="str">
        <f t="shared" si="373"/>
        <v>7L</v>
      </c>
      <c r="D1644" s="96"/>
      <c r="F1644" s="99">
        <f t="shared" si="372"/>
        <v>0</v>
      </c>
      <c r="I1644" s="99">
        <f t="shared" si="359"/>
        <v>0</v>
      </c>
      <c r="L1644" s="99">
        <f t="shared" si="360"/>
        <v>0</v>
      </c>
      <c r="M1644" s="44" t="str">
        <f t="shared" si="362"/>
        <v/>
      </c>
      <c r="N1644" s="100">
        <f t="shared" si="363"/>
        <v>0</v>
      </c>
      <c r="O1644" s="101">
        <f t="shared" si="364"/>
        <v>0</v>
      </c>
      <c r="P1644" s="52">
        <f t="shared" si="365"/>
        <v>0</v>
      </c>
      <c r="Q1644" s="49">
        <v>116.88487613461319</v>
      </c>
      <c r="R1644">
        <v>2225</v>
      </c>
      <c r="S1644" s="50">
        <f t="shared" si="361"/>
        <v>71535.307499999995</v>
      </c>
      <c r="T1644" s="50">
        <f t="shared" si="366"/>
        <v>0</v>
      </c>
      <c r="U1644" s="58">
        <f t="shared" si="367"/>
        <v>0</v>
      </c>
      <c r="V1644" s="58">
        <f t="shared" si="368"/>
        <v>0</v>
      </c>
      <c r="W1644" s="58">
        <f t="shared" si="369"/>
        <v>0</v>
      </c>
      <c r="X1644" s="58">
        <f t="shared" si="370"/>
        <v>0</v>
      </c>
      <c r="Y1644" s="52">
        <f t="shared" si="371"/>
        <v>0</v>
      </c>
    </row>
    <row r="1645" spans="1:25" x14ac:dyDescent="0.25">
      <c r="A1645" s="1218" t="s">
        <v>187</v>
      </c>
      <c r="B1645" s="98">
        <v>45658</v>
      </c>
      <c r="C1645" s="117" t="str">
        <f t="shared" si="373"/>
        <v>7L</v>
      </c>
      <c r="D1645" s="96"/>
      <c r="F1645" s="99">
        <f t="shared" si="372"/>
        <v>0</v>
      </c>
      <c r="I1645" s="99">
        <f t="shared" si="359"/>
        <v>0</v>
      </c>
      <c r="L1645" s="99">
        <f t="shared" si="360"/>
        <v>0</v>
      </c>
      <c r="M1645" s="44" t="str">
        <f t="shared" si="362"/>
        <v/>
      </c>
      <c r="N1645" s="100">
        <f t="shared" si="363"/>
        <v>0</v>
      </c>
      <c r="O1645" s="101">
        <f t="shared" si="364"/>
        <v>0</v>
      </c>
      <c r="P1645" s="52">
        <f t="shared" si="365"/>
        <v>0</v>
      </c>
      <c r="Q1645" s="49">
        <v>116.88487613461319</v>
      </c>
      <c r="R1645">
        <v>2225</v>
      </c>
      <c r="S1645" s="50">
        <f t="shared" si="361"/>
        <v>71535.307499999995</v>
      </c>
      <c r="T1645" s="50">
        <f t="shared" si="366"/>
        <v>0</v>
      </c>
      <c r="U1645" s="58">
        <f t="shared" si="367"/>
        <v>0</v>
      </c>
      <c r="V1645" s="58">
        <f t="shared" si="368"/>
        <v>0</v>
      </c>
      <c r="W1645" s="58">
        <f t="shared" si="369"/>
        <v>0</v>
      </c>
      <c r="X1645" s="58">
        <f t="shared" si="370"/>
        <v>0</v>
      </c>
      <c r="Y1645" s="52">
        <f t="shared" si="371"/>
        <v>0</v>
      </c>
    </row>
    <row r="1646" spans="1:25" x14ac:dyDescent="0.25">
      <c r="A1646" s="1218" t="s">
        <v>188</v>
      </c>
      <c r="B1646" s="98">
        <v>45658</v>
      </c>
      <c r="C1646" s="117" t="str">
        <f t="shared" si="373"/>
        <v>7L</v>
      </c>
      <c r="D1646" s="96"/>
      <c r="F1646" s="99">
        <f t="shared" si="372"/>
        <v>0</v>
      </c>
      <c r="I1646" s="99">
        <f t="shared" si="359"/>
        <v>0</v>
      </c>
      <c r="L1646" s="99">
        <f t="shared" si="360"/>
        <v>0</v>
      </c>
      <c r="M1646" s="44" t="str">
        <f t="shared" si="362"/>
        <v/>
      </c>
      <c r="N1646" s="100">
        <f t="shared" si="363"/>
        <v>0</v>
      </c>
      <c r="O1646" s="101">
        <f t="shared" si="364"/>
        <v>0</v>
      </c>
      <c r="P1646" s="52">
        <f t="shared" si="365"/>
        <v>0</v>
      </c>
      <c r="Q1646" s="49">
        <v>116.88487613461319</v>
      </c>
      <c r="R1646">
        <v>2225</v>
      </c>
      <c r="S1646" s="50">
        <f t="shared" si="361"/>
        <v>71535.307499999995</v>
      </c>
      <c r="T1646" s="50">
        <f t="shared" si="366"/>
        <v>0</v>
      </c>
      <c r="U1646" s="58">
        <f t="shared" si="367"/>
        <v>0</v>
      </c>
      <c r="V1646" s="58">
        <f t="shared" si="368"/>
        <v>0</v>
      </c>
      <c r="W1646" s="58">
        <f t="shared" si="369"/>
        <v>0</v>
      </c>
      <c r="X1646" s="58">
        <f t="shared" si="370"/>
        <v>0</v>
      </c>
      <c r="Y1646" s="52">
        <f t="shared" si="371"/>
        <v>0</v>
      </c>
    </row>
    <row r="1647" spans="1:25" x14ac:dyDescent="0.25">
      <c r="A1647" s="1218" t="s">
        <v>189</v>
      </c>
      <c r="B1647" s="98">
        <v>45658</v>
      </c>
      <c r="C1647" s="117" t="str">
        <f t="shared" si="373"/>
        <v>7L</v>
      </c>
      <c r="D1647" s="96"/>
      <c r="F1647" s="99">
        <f t="shared" si="372"/>
        <v>0</v>
      </c>
      <c r="I1647" s="99">
        <f t="shared" si="359"/>
        <v>0</v>
      </c>
      <c r="L1647" s="99">
        <f t="shared" si="360"/>
        <v>0</v>
      </c>
      <c r="M1647" s="44" t="str">
        <f t="shared" si="362"/>
        <v/>
      </c>
      <c r="N1647" s="100">
        <f t="shared" si="363"/>
        <v>0</v>
      </c>
      <c r="O1647" s="101">
        <f t="shared" si="364"/>
        <v>0</v>
      </c>
      <c r="P1647" s="52">
        <f t="shared" si="365"/>
        <v>0</v>
      </c>
      <c r="Q1647" s="49">
        <v>116.88487613461319</v>
      </c>
      <c r="R1647">
        <v>2225</v>
      </c>
      <c r="S1647" s="50">
        <f t="shared" si="361"/>
        <v>71535.307499999995</v>
      </c>
      <c r="T1647" s="50">
        <f t="shared" si="366"/>
        <v>0</v>
      </c>
      <c r="U1647" s="58">
        <f t="shared" si="367"/>
        <v>0</v>
      </c>
      <c r="V1647" s="58">
        <f t="shared" si="368"/>
        <v>0</v>
      </c>
      <c r="W1647" s="58">
        <f t="shared" si="369"/>
        <v>0</v>
      </c>
      <c r="X1647" s="58">
        <f t="shared" si="370"/>
        <v>0</v>
      </c>
      <c r="Y1647" s="52">
        <f t="shared" si="371"/>
        <v>0</v>
      </c>
    </row>
    <row r="1648" spans="1:25" x14ac:dyDescent="0.25">
      <c r="A1648" s="1218" t="s">
        <v>190</v>
      </c>
      <c r="B1648" s="98">
        <v>45658</v>
      </c>
      <c r="C1648" s="117" t="str">
        <f t="shared" si="373"/>
        <v>8L</v>
      </c>
      <c r="D1648" s="96"/>
      <c r="F1648" s="99">
        <f t="shared" si="372"/>
        <v>0</v>
      </c>
      <c r="I1648" s="99">
        <f t="shared" si="359"/>
        <v>0</v>
      </c>
      <c r="L1648" s="99">
        <f t="shared" si="360"/>
        <v>0</v>
      </c>
      <c r="M1648" s="44" t="str">
        <f t="shared" si="362"/>
        <v/>
      </c>
      <c r="N1648" s="100">
        <f t="shared" si="363"/>
        <v>0</v>
      </c>
      <c r="O1648" s="101">
        <f t="shared" si="364"/>
        <v>0</v>
      </c>
      <c r="P1648" s="52">
        <f t="shared" si="365"/>
        <v>0</v>
      </c>
      <c r="Q1648" s="49">
        <v>116.88487613461319</v>
      </c>
      <c r="R1648">
        <v>2225</v>
      </c>
      <c r="S1648" s="50">
        <f t="shared" si="361"/>
        <v>71535.307499999995</v>
      </c>
      <c r="T1648" s="50">
        <f t="shared" si="366"/>
        <v>0</v>
      </c>
      <c r="U1648" s="58">
        <f t="shared" si="367"/>
        <v>0</v>
      </c>
      <c r="V1648" s="58">
        <f t="shared" si="368"/>
        <v>0</v>
      </c>
      <c r="W1648" s="58">
        <f t="shared" si="369"/>
        <v>0</v>
      </c>
      <c r="X1648" s="58">
        <f t="shared" si="370"/>
        <v>0</v>
      </c>
      <c r="Y1648" s="52">
        <f t="shared" si="371"/>
        <v>0</v>
      </c>
    </row>
    <row r="1649" spans="1:25" x14ac:dyDescent="0.25">
      <c r="A1649" s="1218" t="s">
        <v>191</v>
      </c>
      <c r="B1649" s="98">
        <v>45658</v>
      </c>
      <c r="C1649" s="117" t="str">
        <f t="shared" si="373"/>
        <v>8L</v>
      </c>
      <c r="D1649" s="96"/>
      <c r="F1649" s="99">
        <f t="shared" si="372"/>
        <v>0</v>
      </c>
      <c r="I1649" s="99">
        <f t="shared" si="359"/>
        <v>0</v>
      </c>
      <c r="L1649" s="99">
        <f t="shared" si="360"/>
        <v>0</v>
      </c>
      <c r="M1649" s="44" t="str">
        <f t="shared" si="362"/>
        <v/>
      </c>
      <c r="N1649" s="100">
        <f t="shared" si="363"/>
        <v>0</v>
      </c>
      <c r="O1649" s="101">
        <f t="shared" si="364"/>
        <v>0</v>
      </c>
      <c r="P1649" s="52">
        <f t="shared" si="365"/>
        <v>0</v>
      </c>
      <c r="Q1649" s="49">
        <v>116.88487613461319</v>
      </c>
      <c r="R1649">
        <v>2225</v>
      </c>
      <c r="S1649" s="50">
        <f t="shared" si="361"/>
        <v>71535.307499999995</v>
      </c>
      <c r="T1649" s="50">
        <f t="shared" si="366"/>
        <v>0</v>
      </c>
      <c r="U1649" s="58">
        <f t="shared" si="367"/>
        <v>0</v>
      </c>
      <c r="V1649" s="58">
        <f t="shared" si="368"/>
        <v>0</v>
      </c>
      <c r="W1649" s="58">
        <f t="shared" si="369"/>
        <v>0</v>
      </c>
      <c r="X1649" s="58">
        <f t="shared" si="370"/>
        <v>0</v>
      </c>
      <c r="Y1649" s="52">
        <f t="shared" si="371"/>
        <v>0</v>
      </c>
    </row>
    <row r="1650" spans="1:25" x14ac:dyDescent="0.25">
      <c r="A1650" s="1218" t="s">
        <v>192</v>
      </c>
      <c r="B1650" s="98">
        <v>45658</v>
      </c>
      <c r="C1650" s="117" t="str">
        <f t="shared" si="373"/>
        <v>8L</v>
      </c>
      <c r="D1650" s="96"/>
      <c r="F1650" s="99">
        <f t="shared" si="372"/>
        <v>0</v>
      </c>
      <c r="I1650" s="99">
        <f t="shared" si="359"/>
        <v>0</v>
      </c>
      <c r="L1650" s="99">
        <f t="shared" si="360"/>
        <v>0</v>
      </c>
      <c r="M1650" s="44" t="str">
        <f t="shared" si="362"/>
        <v/>
      </c>
      <c r="N1650" s="100">
        <f t="shared" si="363"/>
        <v>0</v>
      </c>
      <c r="O1650" s="101">
        <f t="shared" si="364"/>
        <v>0</v>
      </c>
      <c r="P1650" s="52">
        <f t="shared" si="365"/>
        <v>0</v>
      </c>
      <c r="Q1650" s="49">
        <v>116.88487613461319</v>
      </c>
      <c r="R1650">
        <v>2225</v>
      </c>
      <c r="S1650" s="50">
        <f t="shared" si="361"/>
        <v>71535.307499999995</v>
      </c>
      <c r="T1650" s="50">
        <f t="shared" si="366"/>
        <v>0</v>
      </c>
      <c r="U1650" s="58">
        <f t="shared" si="367"/>
        <v>0</v>
      </c>
      <c r="V1650" s="58">
        <f t="shared" si="368"/>
        <v>0</v>
      </c>
      <c r="W1650" s="58">
        <f t="shared" si="369"/>
        <v>0</v>
      </c>
      <c r="X1650" s="58">
        <f t="shared" si="370"/>
        <v>0</v>
      </c>
      <c r="Y1650" s="52">
        <f t="shared" si="371"/>
        <v>0</v>
      </c>
    </row>
    <row r="1651" spans="1:25" x14ac:dyDescent="0.25">
      <c r="A1651" s="1218" t="s">
        <v>193</v>
      </c>
      <c r="B1651" s="98">
        <v>45658</v>
      </c>
      <c r="C1651" s="117" t="str">
        <f t="shared" si="373"/>
        <v>8L</v>
      </c>
      <c r="D1651" s="96"/>
      <c r="F1651" s="99">
        <f t="shared" si="372"/>
        <v>0</v>
      </c>
      <c r="I1651" s="99">
        <f t="shared" si="359"/>
        <v>0</v>
      </c>
      <c r="L1651" s="99">
        <f t="shared" si="360"/>
        <v>0</v>
      </c>
      <c r="M1651" s="44" t="str">
        <f t="shared" si="362"/>
        <v/>
      </c>
      <c r="N1651" s="100">
        <f t="shared" si="363"/>
        <v>0</v>
      </c>
      <c r="O1651" s="101">
        <f t="shared" si="364"/>
        <v>0</v>
      </c>
      <c r="P1651" s="52">
        <f t="shared" si="365"/>
        <v>0</v>
      </c>
      <c r="Q1651" s="49">
        <v>116.88487613461319</v>
      </c>
      <c r="R1651">
        <v>2225</v>
      </c>
      <c r="S1651" s="50">
        <f t="shared" si="361"/>
        <v>71535.307499999995</v>
      </c>
      <c r="T1651" s="50">
        <f t="shared" si="366"/>
        <v>0</v>
      </c>
      <c r="U1651" s="58">
        <f t="shared" si="367"/>
        <v>0</v>
      </c>
      <c r="V1651" s="58">
        <f t="shared" si="368"/>
        <v>0</v>
      </c>
      <c r="W1651" s="58">
        <f t="shared" si="369"/>
        <v>0</v>
      </c>
      <c r="X1651" s="58">
        <f t="shared" si="370"/>
        <v>0</v>
      </c>
      <c r="Y1651" s="52">
        <f t="shared" si="371"/>
        <v>0</v>
      </c>
    </row>
    <row r="1652" spans="1:25" x14ac:dyDescent="0.25">
      <c r="A1652" s="1218" t="s">
        <v>194</v>
      </c>
      <c r="B1652" s="98">
        <v>45658</v>
      </c>
      <c r="C1652" s="117" t="str">
        <f t="shared" si="373"/>
        <v>8L</v>
      </c>
      <c r="D1652" s="96"/>
      <c r="F1652" s="99">
        <f t="shared" si="372"/>
        <v>0</v>
      </c>
      <c r="I1652" s="99">
        <f t="shared" si="359"/>
        <v>0</v>
      </c>
      <c r="L1652" s="99">
        <f t="shared" si="360"/>
        <v>0</v>
      </c>
      <c r="M1652" s="44" t="str">
        <f t="shared" si="362"/>
        <v/>
      </c>
      <c r="N1652" s="100">
        <f t="shared" si="363"/>
        <v>0</v>
      </c>
      <c r="O1652" s="101">
        <f t="shared" si="364"/>
        <v>0</v>
      </c>
      <c r="P1652" s="52">
        <f t="shared" si="365"/>
        <v>0</v>
      </c>
      <c r="Q1652" s="49">
        <v>116.88487613461319</v>
      </c>
      <c r="R1652">
        <v>2225</v>
      </c>
      <c r="S1652" s="50">
        <f t="shared" si="361"/>
        <v>71535.307499999995</v>
      </c>
      <c r="T1652" s="50">
        <f t="shared" si="366"/>
        <v>0</v>
      </c>
      <c r="U1652" s="58">
        <f t="shared" si="367"/>
        <v>0</v>
      </c>
      <c r="V1652" s="58">
        <f t="shared" si="368"/>
        <v>0</v>
      </c>
      <c r="W1652" s="58">
        <f t="shared" si="369"/>
        <v>0</v>
      </c>
      <c r="X1652" s="58">
        <f t="shared" si="370"/>
        <v>0</v>
      </c>
      <c r="Y1652" s="52">
        <f t="shared" si="371"/>
        <v>0</v>
      </c>
    </row>
    <row r="1653" spans="1:25" x14ac:dyDescent="0.25">
      <c r="A1653" s="1218" t="s">
        <v>195</v>
      </c>
      <c r="B1653" s="98">
        <v>45658</v>
      </c>
      <c r="C1653" s="117" t="str">
        <f t="shared" si="373"/>
        <v>8L</v>
      </c>
      <c r="D1653" s="96"/>
      <c r="F1653" s="99">
        <f t="shared" si="372"/>
        <v>0</v>
      </c>
      <c r="I1653" s="99">
        <f t="shared" si="359"/>
        <v>0</v>
      </c>
      <c r="L1653" s="99">
        <f t="shared" si="360"/>
        <v>0</v>
      </c>
      <c r="M1653" s="44" t="str">
        <f t="shared" si="362"/>
        <v/>
      </c>
      <c r="N1653" s="100">
        <f t="shared" si="363"/>
        <v>0</v>
      </c>
      <c r="O1653" s="101">
        <f t="shared" si="364"/>
        <v>0</v>
      </c>
      <c r="P1653" s="52">
        <f t="shared" si="365"/>
        <v>0</v>
      </c>
      <c r="Q1653" s="49">
        <v>116.88487613461319</v>
      </c>
      <c r="R1653">
        <v>2225</v>
      </c>
      <c r="S1653" s="50">
        <f t="shared" si="361"/>
        <v>71535.307499999995</v>
      </c>
      <c r="T1653" s="50">
        <f t="shared" si="366"/>
        <v>0</v>
      </c>
      <c r="U1653" s="58">
        <f t="shared" si="367"/>
        <v>0</v>
      </c>
      <c r="V1653" s="58">
        <f t="shared" si="368"/>
        <v>0</v>
      </c>
      <c r="W1653" s="58">
        <f t="shared" si="369"/>
        <v>0</v>
      </c>
      <c r="X1653" s="58">
        <f t="shared" si="370"/>
        <v>0</v>
      </c>
      <c r="Y1653" s="52">
        <f t="shared" si="371"/>
        <v>0</v>
      </c>
    </row>
    <row r="1654" spans="1:25" x14ac:dyDescent="0.25">
      <c r="A1654" s="1218" t="s">
        <v>196</v>
      </c>
      <c r="B1654" s="98">
        <v>45658</v>
      </c>
      <c r="C1654" s="117" t="str">
        <f t="shared" si="373"/>
        <v>8L</v>
      </c>
      <c r="D1654" s="96"/>
      <c r="F1654" s="99">
        <f t="shared" si="372"/>
        <v>0</v>
      </c>
      <c r="I1654" s="99">
        <f t="shared" si="359"/>
        <v>0</v>
      </c>
      <c r="L1654" s="99">
        <f t="shared" si="360"/>
        <v>0</v>
      </c>
      <c r="M1654" s="44" t="str">
        <f t="shared" si="362"/>
        <v/>
      </c>
      <c r="N1654" s="100">
        <f t="shared" si="363"/>
        <v>0</v>
      </c>
      <c r="O1654" s="101">
        <f t="shared" si="364"/>
        <v>0</v>
      </c>
      <c r="P1654" s="52">
        <f t="shared" si="365"/>
        <v>0</v>
      </c>
      <c r="Q1654" s="49">
        <v>116.88487613461319</v>
      </c>
      <c r="R1654">
        <v>2225</v>
      </c>
      <c r="S1654" s="50">
        <f t="shared" si="361"/>
        <v>71535.307499999995</v>
      </c>
      <c r="T1654" s="50">
        <f t="shared" si="366"/>
        <v>0</v>
      </c>
      <c r="U1654" s="58">
        <f t="shared" si="367"/>
        <v>0</v>
      </c>
      <c r="V1654" s="58">
        <f t="shared" si="368"/>
        <v>0</v>
      </c>
      <c r="W1654" s="58">
        <f t="shared" si="369"/>
        <v>0</v>
      </c>
      <c r="X1654" s="58">
        <f t="shared" si="370"/>
        <v>0</v>
      </c>
      <c r="Y1654" s="52">
        <f t="shared" si="371"/>
        <v>0</v>
      </c>
    </row>
    <row r="1655" spans="1:25" x14ac:dyDescent="0.25">
      <c r="A1655" s="1218" t="s">
        <v>197</v>
      </c>
      <c r="B1655" s="98">
        <v>45658</v>
      </c>
      <c r="C1655" s="117" t="str">
        <f t="shared" si="373"/>
        <v>8L</v>
      </c>
      <c r="D1655" s="96"/>
      <c r="F1655" s="99">
        <f t="shared" si="372"/>
        <v>0</v>
      </c>
      <c r="I1655" s="99">
        <f t="shared" si="359"/>
        <v>0</v>
      </c>
      <c r="L1655" s="99">
        <f t="shared" si="360"/>
        <v>0</v>
      </c>
      <c r="M1655" s="44" t="str">
        <f t="shared" si="362"/>
        <v/>
      </c>
      <c r="N1655" s="100">
        <f t="shared" si="363"/>
        <v>0</v>
      </c>
      <c r="O1655" s="101">
        <f t="shared" si="364"/>
        <v>0</v>
      </c>
      <c r="P1655" s="52">
        <f t="shared" si="365"/>
        <v>0</v>
      </c>
      <c r="Q1655" s="49">
        <v>116.88487613461319</v>
      </c>
      <c r="R1655">
        <v>2225</v>
      </c>
      <c r="S1655" s="50">
        <f t="shared" si="361"/>
        <v>71535.307499999995</v>
      </c>
      <c r="T1655" s="50">
        <f t="shared" si="366"/>
        <v>0</v>
      </c>
      <c r="U1655" s="58">
        <f t="shared" si="367"/>
        <v>0</v>
      </c>
      <c r="V1655" s="58">
        <f t="shared" si="368"/>
        <v>0</v>
      </c>
      <c r="W1655" s="58">
        <f t="shared" si="369"/>
        <v>0</v>
      </c>
      <c r="X1655" s="58">
        <f t="shared" si="370"/>
        <v>0</v>
      </c>
      <c r="Y1655" s="52">
        <f t="shared" si="371"/>
        <v>0</v>
      </c>
    </row>
    <row r="1656" spans="1:25" x14ac:dyDescent="0.25">
      <c r="A1656" s="1218" t="s">
        <v>198</v>
      </c>
      <c r="B1656" s="98">
        <v>45658</v>
      </c>
      <c r="C1656" s="117" t="str">
        <f t="shared" si="373"/>
        <v>8L</v>
      </c>
      <c r="D1656" s="96"/>
      <c r="F1656" s="99">
        <f t="shared" si="372"/>
        <v>0</v>
      </c>
      <c r="I1656" s="99">
        <f t="shared" si="359"/>
        <v>0</v>
      </c>
      <c r="L1656" s="99">
        <f t="shared" si="360"/>
        <v>0</v>
      </c>
      <c r="M1656" s="44" t="str">
        <f t="shared" si="362"/>
        <v/>
      </c>
      <c r="N1656" s="100">
        <f t="shared" si="363"/>
        <v>0</v>
      </c>
      <c r="O1656" s="101">
        <f t="shared" si="364"/>
        <v>0</v>
      </c>
      <c r="P1656" s="52">
        <f t="shared" si="365"/>
        <v>0</v>
      </c>
      <c r="Q1656" s="49">
        <v>116.88487613461319</v>
      </c>
      <c r="R1656">
        <v>2225</v>
      </c>
      <c r="S1656" s="50">
        <f t="shared" si="361"/>
        <v>71535.307499999995</v>
      </c>
      <c r="T1656" s="50">
        <f t="shared" si="366"/>
        <v>0</v>
      </c>
      <c r="U1656" s="58">
        <f t="shared" si="367"/>
        <v>0</v>
      </c>
      <c r="V1656" s="58">
        <f t="shared" si="368"/>
        <v>0</v>
      </c>
      <c r="W1656" s="58">
        <f t="shared" si="369"/>
        <v>0</v>
      </c>
      <c r="X1656" s="58">
        <f t="shared" si="370"/>
        <v>0</v>
      </c>
      <c r="Y1656" s="52">
        <f t="shared" si="371"/>
        <v>0</v>
      </c>
    </row>
    <row r="1657" spans="1:25" x14ac:dyDescent="0.25">
      <c r="A1657" s="1218" t="s">
        <v>199</v>
      </c>
      <c r="B1657" s="98">
        <v>45658</v>
      </c>
      <c r="C1657" s="117" t="str">
        <f t="shared" si="373"/>
        <v>8L</v>
      </c>
      <c r="D1657" s="96"/>
      <c r="F1657" s="99">
        <f t="shared" si="372"/>
        <v>0</v>
      </c>
      <c r="I1657" s="99">
        <f t="shared" si="359"/>
        <v>0</v>
      </c>
      <c r="L1657" s="99">
        <f t="shared" si="360"/>
        <v>0</v>
      </c>
      <c r="M1657" s="44" t="str">
        <f t="shared" si="362"/>
        <v/>
      </c>
      <c r="N1657" s="100">
        <f t="shared" si="363"/>
        <v>0</v>
      </c>
      <c r="O1657" s="101">
        <f t="shared" si="364"/>
        <v>0</v>
      </c>
      <c r="P1657" s="52">
        <f t="shared" si="365"/>
        <v>0</v>
      </c>
      <c r="Q1657" s="49">
        <v>116.88487613461319</v>
      </c>
      <c r="R1657">
        <v>2225</v>
      </c>
      <c r="S1657" s="50">
        <f t="shared" si="361"/>
        <v>71535.307499999995</v>
      </c>
      <c r="T1657" s="50">
        <f t="shared" si="366"/>
        <v>0</v>
      </c>
      <c r="U1657" s="58">
        <f t="shared" si="367"/>
        <v>0</v>
      </c>
      <c r="V1657" s="58">
        <f t="shared" si="368"/>
        <v>0</v>
      </c>
      <c r="W1657" s="58">
        <f t="shared" si="369"/>
        <v>0</v>
      </c>
      <c r="X1657" s="58">
        <f t="shared" si="370"/>
        <v>0</v>
      </c>
      <c r="Y1657" s="52">
        <f t="shared" si="371"/>
        <v>0</v>
      </c>
    </row>
    <row r="1658" spans="1:25" x14ac:dyDescent="0.25">
      <c r="A1658" s="1218" t="s">
        <v>200</v>
      </c>
      <c r="B1658" s="98">
        <v>45658</v>
      </c>
      <c r="C1658" s="117" t="str">
        <f t="shared" si="373"/>
        <v>8L</v>
      </c>
      <c r="D1658" s="96"/>
      <c r="F1658" s="99">
        <f t="shared" si="372"/>
        <v>0</v>
      </c>
      <c r="I1658" s="99">
        <f t="shared" si="359"/>
        <v>0</v>
      </c>
      <c r="L1658" s="99">
        <f t="shared" si="360"/>
        <v>0</v>
      </c>
      <c r="M1658" s="44" t="str">
        <f t="shared" si="362"/>
        <v/>
      </c>
      <c r="N1658" s="100">
        <f t="shared" si="363"/>
        <v>0</v>
      </c>
      <c r="O1658" s="101">
        <f t="shared" si="364"/>
        <v>0</v>
      </c>
      <c r="P1658" s="52">
        <f t="shared" si="365"/>
        <v>0</v>
      </c>
      <c r="Q1658" s="49">
        <v>116.88487613461319</v>
      </c>
      <c r="R1658">
        <v>2225</v>
      </c>
      <c r="S1658" s="50">
        <f t="shared" si="361"/>
        <v>71535.307499999995</v>
      </c>
      <c r="T1658" s="50">
        <f t="shared" si="366"/>
        <v>0</v>
      </c>
      <c r="U1658" s="58">
        <f t="shared" si="367"/>
        <v>0</v>
      </c>
      <c r="V1658" s="58">
        <f t="shared" si="368"/>
        <v>0</v>
      </c>
      <c r="W1658" s="58">
        <f t="shared" si="369"/>
        <v>0</v>
      </c>
      <c r="X1658" s="58">
        <f t="shared" si="370"/>
        <v>0</v>
      </c>
      <c r="Y1658" s="52">
        <f t="shared" si="371"/>
        <v>0</v>
      </c>
    </row>
    <row r="1659" spans="1:25" x14ac:dyDescent="0.25">
      <c r="A1659" s="1218" t="s">
        <v>201</v>
      </c>
      <c r="B1659" s="98">
        <v>45658</v>
      </c>
      <c r="C1659" s="117" t="str">
        <f t="shared" si="373"/>
        <v>8L</v>
      </c>
      <c r="D1659" s="96"/>
      <c r="F1659" s="99">
        <f t="shared" si="372"/>
        <v>0</v>
      </c>
      <c r="I1659" s="99">
        <f t="shared" ref="I1659:I1723" si="374">IFERROR(G1659*H1659/1000,"")</f>
        <v>0</v>
      </c>
      <c r="L1659" s="99">
        <f t="shared" si="360"/>
        <v>0</v>
      </c>
      <c r="M1659" s="44" t="str">
        <f t="shared" si="362"/>
        <v/>
      </c>
      <c r="N1659" s="100">
        <f t="shared" si="363"/>
        <v>0</v>
      </c>
      <c r="O1659" s="101">
        <f t="shared" si="364"/>
        <v>0</v>
      </c>
      <c r="P1659" s="52">
        <f t="shared" si="365"/>
        <v>0</v>
      </c>
      <c r="Q1659" s="49">
        <v>116.88487613461319</v>
      </c>
      <c r="R1659">
        <v>2225</v>
      </c>
      <c r="S1659" s="50">
        <f t="shared" si="361"/>
        <v>71535.307499999995</v>
      </c>
      <c r="T1659" s="50">
        <f t="shared" si="366"/>
        <v>0</v>
      </c>
      <c r="U1659" s="58">
        <f t="shared" si="367"/>
        <v>0</v>
      </c>
      <c r="V1659" s="58">
        <f t="shared" si="368"/>
        <v>0</v>
      </c>
      <c r="W1659" s="58">
        <f t="shared" si="369"/>
        <v>0</v>
      </c>
      <c r="X1659" s="58">
        <f t="shared" si="370"/>
        <v>0</v>
      </c>
      <c r="Y1659" s="52">
        <f t="shared" si="371"/>
        <v>0</v>
      </c>
    </row>
    <row r="1660" spans="1:25" x14ac:dyDescent="0.25">
      <c r="A1660" s="1218" t="s">
        <v>202</v>
      </c>
      <c r="B1660" s="98">
        <v>45658</v>
      </c>
      <c r="C1660" s="117" t="str">
        <f t="shared" si="373"/>
        <v>8L</v>
      </c>
      <c r="D1660" s="96"/>
      <c r="F1660" s="99">
        <f t="shared" si="372"/>
        <v>0</v>
      </c>
      <c r="I1660" s="99">
        <f t="shared" si="374"/>
        <v>0</v>
      </c>
      <c r="L1660" s="99">
        <f t="shared" si="360"/>
        <v>0</v>
      </c>
      <c r="M1660" s="44" t="str">
        <f t="shared" si="362"/>
        <v/>
      </c>
      <c r="N1660" s="100">
        <f t="shared" si="363"/>
        <v>0</v>
      </c>
      <c r="O1660" s="101">
        <f t="shared" si="364"/>
        <v>0</v>
      </c>
      <c r="P1660" s="52">
        <f t="shared" si="365"/>
        <v>0</v>
      </c>
      <c r="Q1660" s="49">
        <v>116.88487613461319</v>
      </c>
      <c r="R1660">
        <v>2225</v>
      </c>
      <c r="S1660" s="50">
        <f t="shared" si="361"/>
        <v>71535.307499999995</v>
      </c>
      <c r="T1660" s="50">
        <f t="shared" si="366"/>
        <v>0</v>
      </c>
      <c r="U1660" s="58">
        <f t="shared" si="367"/>
        <v>0</v>
      </c>
      <c r="V1660" s="58">
        <f t="shared" si="368"/>
        <v>0</v>
      </c>
      <c r="W1660" s="58">
        <f t="shared" si="369"/>
        <v>0</v>
      </c>
      <c r="X1660" s="58">
        <f t="shared" si="370"/>
        <v>0</v>
      </c>
      <c r="Y1660" s="52">
        <f t="shared" si="371"/>
        <v>0</v>
      </c>
    </row>
    <row r="1661" spans="1:25" x14ac:dyDescent="0.25">
      <c r="A1661" s="1218" t="s">
        <v>203</v>
      </c>
      <c r="B1661" s="98">
        <v>45658</v>
      </c>
      <c r="C1661" s="117" t="str">
        <f t="shared" si="373"/>
        <v>8L</v>
      </c>
      <c r="D1661" s="96"/>
      <c r="F1661" s="99">
        <f t="shared" si="372"/>
        <v>0</v>
      </c>
      <c r="I1661" s="99">
        <f t="shared" si="374"/>
        <v>0</v>
      </c>
      <c r="L1661" s="99">
        <f t="shared" si="360"/>
        <v>0</v>
      </c>
      <c r="M1661" s="44" t="str">
        <f t="shared" si="362"/>
        <v/>
      </c>
      <c r="N1661" s="100">
        <f t="shared" si="363"/>
        <v>0</v>
      </c>
      <c r="O1661" s="101">
        <f t="shared" si="364"/>
        <v>0</v>
      </c>
      <c r="P1661" s="52">
        <f t="shared" si="365"/>
        <v>0</v>
      </c>
      <c r="Q1661" s="49">
        <v>116.88487613461319</v>
      </c>
      <c r="R1661">
        <v>2225</v>
      </c>
      <c r="S1661" s="50">
        <f t="shared" si="361"/>
        <v>71535.307499999995</v>
      </c>
      <c r="T1661" s="50">
        <f t="shared" si="366"/>
        <v>0</v>
      </c>
      <c r="U1661" s="58">
        <f t="shared" si="367"/>
        <v>0</v>
      </c>
      <c r="V1661" s="58">
        <f t="shared" si="368"/>
        <v>0</v>
      </c>
      <c r="W1661" s="58">
        <f t="shared" si="369"/>
        <v>0</v>
      </c>
      <c r="X1661" s="58">
        <f t="shared" si="370"/>
        <v>0</v>
      </c>
      <c r="Y1661" s="52">
        <f t="shared" si="371"/>
        <v>0</v>
      </c>
    </row>
    <row r="1662" spans="1:25" x14ac:dyDescent="0.25">
      <c r="A1662" s="1218" t="s">
        <v>204</v>
      </c>
      <c r="B1662" s="98">
        <v>45658</v>
      </c>
      <c r="C1662" s="117" t="str">
        <f t="shared" si="373"/>
        <v>8L</v>
      </c>
      <c r="D1662" s="96"/>
      <c r="F1662" s="99">
        <f t="shared" si="372"/>
        <v>0</v>
      </c>
      <c r="I1662" s="99">
        <f t="shared" si="374"/>
        <v>0</v>
      </c>
      <c r="L1662" s="99">
        <f t="shared" si="360"/>
        <v>0</v>
      </c>
      <c r="M1662" s="44" t="str">
        <f t="shared" si="362"/>
        <v/>
      </c>
      <c r="N1662" s="100">
        <f t="shared" si="363"/>
        <v>0</v>
      </c>
      <c r="O1662" s="101">
        <f t="shared" si="364"/>
        <v>0</v>
      </c>
      <c r="P1662" s="52">
        <f t="shared" si="365"/>
        <v>0</v>
      </c>
      <c r="Q1662" s="49">
        <v>116.88487613461319</v>
      </c>
      <c r="R1662">
        <v>2225</v>
      </c>
      <c r="S1662" s="50">
        <f t="shared" si="361"/>
        <v>71535.307499999995</v>
      </c>
      <c r="T1662" s="50">
        <f t="shared" si="366"/>
        <v>0</v>
      </c>
      <c r="U1662" s="58">
        <f t="shared" si="367"/>
        <v>0</v>
      </c>
      <c r="V1662" s="58">
        <f t="shared" si="368"/>
        <v>0</v>
      </c>
      <c r="W1662" s="58">
        <f t="shared" si="369"/>
        <v>0</v>
      </c>
      <c r="X1662" s="58">
        <f t="shared" si="370"/>
        <v>0</v>
      </c>
      <c r="Y1662" s="52">
        <f t="shared" si="371"/>
        <v>0</v>
      </c>
    </row>
    <row r="1663" spans="1:25" x14ac:dyDescent="0.25">
      <c r="A1663" s="1218" t="s">
        <v>205</v>
      </c>
      <c r="B1663" s="98">
        <v>45658</v>
      </c>
      <c r="C1663" s="117" t="str">
        <f t="shared" si="373"/>
        <v>8L</v>
      </c>
      <c r="D1663" s="96"/>
      <c r="F1663" s="99">
        <f t="shared" si="372"/>
        <v>0</v>
      </c>
      <c r="I1663" s="99">
        <f t="shared" si="374"/>
        <v>0</v>
      </c>
      <c r="L1663" s="99">
        <f t="shared" si="360"/>
        <v>0</v>
      </c>
      <c r="M1663" s="44" t="str">
        <f t="shared" si="362"/>
        <v/>
      </c>
      <c r="N1663" s="100">
        <f t="shared" si="363"/>
        <v>0</v>
      </c>
      <c r="O1663" s="101">
        <f t="shared" si="364"/>
        <v>0</v>
      </c>
      <c r="P1663" s="52">
        <f t="shared" si="365"/>
        <v>0</v>
      </c>
      <c r="Q1663" s="49">
        <v>116.88487613461319</v>
      </c>
      <c r="R1663">
        <v>2225</v>
      </c>
      <c r="S1663" s="50">
        <f t="shared" si="361"/>
        <v>71535.307499999995</v>
      </c>
      <c r="T1663" s="50">
        <f t="shared" si="366"/>
        <v>0</v>
      </c>
      <c r="U1663" s="58">
        <f t="shared" si="367"/>
        <v>0</v>
      </c>
      <c r="V1663" s="58">
        <f t="shared" si="368"/>
        <v>0</v>
      </c>
      <c r="W1663" s="58">
        <f t="shared" si="369"/>
        <v>0</v>
      </c>
      <c r="X1663" s="58">
        <f t="shared" si="370"/>
        <v>0</v>
      </c>
      <c r="Y1663" s="52">
        <f t="shared" si="371"/>
        <v>0</v>
      </c>
    </row>
    <row r="1664" spans="1:25" x14ac:dyDescent="0.25">
      <c r="A1664" s="1218" t="s">
        <v>206</v>
      </c>
      <c r="B1664" s="98">
        <v>45658</v>
      </c>
      <c r="C1664" s="117" t="str">
        <f t="shared" si="373"/>
        <v>8L</v>
      </c>
      <c r="D1664" s="96"/>
      <c r="F1664" s="99">
        <f t="shared" si="372"/>
        <v>0</v>
      </c>
      <c r="I1664" s="99">
        <f t="shared" si="374"/>
        <v>0</v>
      </c>
      <c r="L1664" s="99">
        <f t="shared" si="360"/>
        <v>0</v>
      </c>
      <c r="M1664" s="44" t="str">
        <f t="shared" si="362"/>
        <v/>
      </c>
      <c r="N1664" s="100">
        <f t="shared" si="363"/>
        <v>0</v>
      </c>
      <c r="O1664" s="101">
        <f t="shared" si="364"/>
        <v>0</v>
      </c>
      <c r="P1664" s="52">
        <f t="shared" si="365"/>
        <v>0</v>
      </c>
      <c r="Q1664" s="49">
        <v>116.88487613461319</v>
      </c>
      <c r="R1664">
        <v>2225</v>
      </c>
      <c r="S1664" s="50">
        <f t="shared" si="361"/>
        <v>71535.307499999995</v>
      </c>
      <c r="T1664" s="50">
        <f t="shared" si="366"/>
        <v>0</v>
      </c>
      <c r="U1664" s="58">
        <f t="shared" si="367"/>
        <v>0</v>
      </c>
      <c r="V1664" s="58">
        <f t="shared" si="368"/>
        <v>0</v>
      </c>
      <c r="W1664" s="58">
        <f t="shared" si="369"/>
        <v>0</v>
      </c>
      <c r="X1664" s="58">
        <f t="shared" si="370"/>
        <v>0</v>
      </c>
      <c r="Y1664" s="52">
        <f t="shared" si="371"/>
        <v>0</v>
      </c>
    </row>
    <row r="1665" spans="1:25" ht="15.75" thickBot="1" x14ac:dyDescent="0.3">
      <c r="A1665" s="1219" t="s">
        <v>207</v>
      </c>
      <c r="B1665" s="98">
        <v>45658</v>
      </c>
      <c r="C1665" s="117" t="str">
        <f t="shared" si="373"/>
        <v>8L</v>
      </c>
      <c r="D1665" s="96"/>
      <c r="F1665" s="99">
        <f t="shared" si="372"/>
        <v>0</v>
      </c>
      <c r="I1665" s="99">
        <f t="shared" si="374"/>
        <v>0</v>
      </c>
      <c r="L1665" s="99">
        <f t="shared" si="360"/>
        <v>0</v>
      </c>
      <c r="M1665" s="44" t="str">
        <f t="shared" si="362"/>
        <v/>
      </c>
      <c r="N1665" s="100">
        <f t="shared" si="363"/>
        <v>0</v>
      </c>
      <c r="O1665" s="101">
        <f t="shared" si="364"/>
        <v>0</v>
      </c>
      <c r="P1665" s="52">
        <f t="shared" si="365"/>
        <v>0</v>
      </c>
      <c r="Q1665" s="49">
        <v>116.88487613461319</v>
      </c>
      <c r="R1665">
        <v>2225</v>
      </c>
      <c r="S1665" s="50">
        <f t="shared" si="361"/>
        <v>71535.307499999995</v>
      </c>
      <c r="T1665" s="50">
        <f t="shared" si="366"/>
        <v>0</v>
      </c>
      <c r="U1665" s="58">
        <f t="shared" si="367"/>
        <v>0</v>
      </c>
      <c r="V1665" s="58">
        <f t="shared" si="368"/>
        <v>0</v>
      </c>
      <c r="W1665" s="58">
        <f t="shared" si="369"/>
        <v>0</v>
      </c>
      <c r="X1665" s="58">
        <f t="shared" si="370"/>
        <v>0</v>
      </c>
      <c r="Y1665" s="52">
        <f t="shared" si="371"/>
        <v>0</v>
      </c>
    </row>
    <row r="1666" spans="1:25" x14ac:dyDescent="0.25">
      <c r="A1666" s="97" t="s">
        <v>80</v>
      </c>
      <c r="B1666" s="98">
        <v>45689</v>
      </c>
      <c r="C1666" s="117" t="str">
        <f t="shared" si="373"/>
        <v>1L</v>
      </c>
      <c r="D1666" s="96"/>
      <c r="E1666" s="96"/>
      <c r="F1666" s="99">
        <f t="shared" si="372"/>
        <v>0</v>
      </c>
      <c r="G1666" s="96"/>
      <c r="H1666" s="96"/>
      <c r="I1666" s="99">
        <f t="shared" si="374"/>
        <v>0</v>
      </c>
      <c r="J1666" s="96"/>
      <c r="K1666" s="96"/>
      <c r="L1666" s="99">
        <f t="shared" si="360"/>
        <v>0</v>
      </c>
      <c r="M1666" s="44" t="str">
        <f t="shared" si="362"/>
        <v/>
      </c>
      <c r="N1666" s="100">
        <f t="shared" si="363"/>
        <v>0</v>
      </c>
      <c r="O1666" s="101">
        <f t="shared" si="364"/>
        <v>0</v>
      </c>
      <c r="P1666" s="52">
        <f t="shared" si="365"/>
        <v>0</v>
      </c>
      <c r="Q1666" s="49">
        <v>116.88487613461319</v>
      </c>
      <c r="R1666">
        <v>2225</v>
      </c>
      <c r="S1666" s="50">
        <f t="shared" si="361"/>
        <v>71535.307499999995</v>
      </c>
      <c r="T1666" s="50">
        <f t="shared" si="366"/>
        <v>0</v>
      </c>
      <c r="U1666" s="58">
        <f t="shared" si="367"/>
        <v>0</v>
      </c>
      <c r="V1666" s="58">
        <f t="shared" si="368"/>
        <v>0</v>
      </c>
      <c r="W1666" s="58">
        <f t="shared" si="369"/>
        <v>0</v>
      </c>
      <c r="X1666" s="58">
        <f t="shared" si="370"/>
        <v>0</v>
      </c>
      <c r="Y1666" s="52">
        <f t="shared" si="371"/>
        <v>0</v>
      </c>
    </row>
    <row r="1667" spans="1:25" x14ac:dyDescent="0.25">
      <c r="A1667" s="1218" t="s">
        <v>81</v>
      </c>
      <c r="B1667" s="98">
        <v>45689</v>
      </c>
      <c r="C1667" s="117" t="str">
        <f t="shared" si="373"/>
        <v>1L</v>
      </c>
      <c r="D1667" s="96"/>
      <c r="E1667" s="96"/>
      <c r="F1667" s="99">
        <f t="shared" si="372"/>
        <v>0</v>
      </c>
      <c r="G1667" s="96"/>
      <c r="H1667" s="96"/>
      <c r="I1667" s="99">
        <f t="shared" si="374"/>
        <v>0</v>
      </c>
      <c r="J1667" s="96"/>
      <c r="K1667" s="96"/>
      <c r="L1667" s="99">
        <f t="shared" ref="L1667:L1734" si="375">IFERROR(J1667*K1667/1000,"")</f>
        <v>0</v>
      </c>
      <c r="M1667" s="44" t="str">
        <f t="shared" si="362"/>
        <v/>
      </c>
      <c r="N1667" s="100">
        <f t="shared" si="363"/>
        <v>0</v>
      </c>
      <c r="O1667" s="101">
        <f t="shared" si="364"/>
        <v>0</v>
      </c>
      <c r="P1667" s="52">
        <f t="shared" si="365"/>
        <v>0</v>
      </c>
      <c r="Q1667" s="49">
        <v>116.88487613461319</v>
      </c>
      <c r="R1667">
        <v>2225</v>
      </c>
      <c r="S1667" s="50">
        <f t="shared" ref="S1667:S1733" si="376">R1667*32.1507</f>
        <v>71535.307499999995</v>
      </c>
      <c r="T1667" s="50">
        <f t="shared" si="366"/>
        <v>0</v>
      </c>
      <c r="U1667" s="58">
        <f t="shared" si="367"/>
        <v>0</v>
      </c>
      <c r="V1667" s="58">
        <f t="shared" si="368"/>
        <v>0</v>
      </c>
      <c r="W1667" s="58">
        <f t="shared" si="369"/>
        <v>0</v>
      </c>
      <c r="X1667" s="58">
        <f t="shared" si="370"/>
        <v>0</v>
      </c>
      <c r="Y1667" s="52">
        <f t="shared" si="371"/>
        <v>0</v>
      </c>
    </row>
    <row r="1668" spans="1:25" x14ac:dyDescent="0.25">
      <c r="A1668" s="1218" t="s">
        <v>82</v>
      </c>
      <c r="B1668" s="98">
        <v>45689</v>
      </c>
      <c r="C1668" s="117" t="str">
        <f t="shared" si="373"/>
        <v>1L</v>
      </c>
      <c r="D1668" s="96"/>
      <c r="E1668" s="96"/>
      <c r="F1668" s="99">
        <f t="shared" si="372"/>
        <v>0</v>
      </c>
      <c r="G1668" s="96"/>
      <c r="H1668" s="96"/>
      <c r="I1668" s="99">
        <f t="shared" si="374"/>
        <v>0</v>
      </c>
      <c r="J1668" s="96"/>
      <c r="K1668" s="96"/>
      <c r="L1668" s="99">
        <f t="shared" si="375"/>
        <v>0</v>
      </c>
      <c r="M1668" s="44" t="str">
        <f t="shared" si="362"/>
        <v/>
      </c>
      <c r="N1668" s="100">
        <f t="shared" si="363"/>
        <v>0</v>
      </c>
      <c r="O1668" s="101">
        <f t="shared" si="364"/>
        <v>0</v>
      </c>
      <c r="P1668" s="52">
        <f t="shared" si="365"/>
        <v>0</v>
      </c>
      <c r="Q1668" s="49">
        <v>116.88487613461319</v>
      </c>
      <c r="R1668">
        <v>2225</v>
      </c>
      <c r="S1668" s="50">
        <f t="shared" si="376"/>
        <v>71535.307499999995</v>
      </c>
      <c r="T1668" s="50">
        <f t="shared" si="366"/>
        <v>0</v>
      </c>
      <c r="U1668" s="58">
        <f t="shared" si="367"/>
        <v>0</v>
      </c>
      <c r="V1668" s="58">
        <f t="shared" si="368"/>
        <v>0</v>
      </c>
      <c r="W1668" s="58">
        <f t="shared" si="369"/>
        <v>0</v>
      </c>
      <c r="X1668" s="58">
        <f t="shared" si="370"/>
        <v>0</v>
      </c>
      <c r="Y1668" s="52">
        <f t="shared" si="371"/>
        <v>0</v>
      </c>
    </row>
    <row r="1669" spans="1:25" x14ac:dyDescent="0.25">
      <c r="A1669" s="1218" t="s">
        <v>83</v>
      </c>
      <c r="B1669" s="98">
        <v>45689</v>
      </c>
      <c r="C1669" s="117" t="str">
        <f t="shared" si="373"/>
        <v>1L</v>
      </c>
      <c r="D1669" s="96"/>
      <c r="E1669" s="96"/>
      <c r="F1669" s="99">
        <f t="shared" ref="F1669:F1733" si="377">IFERROR(D1669*E1669/1000,"")</f>
        <v>0</v>
      </c>
      <c r="G1669" s="96"/>
      <c r="H1669" s="96"/>
      <c r="I1669" s="99">
        <f t="shared" si="374"/>
        <v>0</v>
      </c>
      <c r="J1669" s="96"/>
      <c r="K1669" s="96"/>
      <c r="L1669" s="99">
        <f t="shared" si="375"/>
        <v>0</v>
      </c>
      <c r="M1669" s="44" t="str">
        <f t="shared" ref="M1669:M1735" si="378">IFERROR((L1669-I1669)/I1669,"")</f>
        <v/>
      </c>
      <c r="N1669" s="100">
        <f t="shared" ref="N1669:N1735" si="379">J1669-G1669</f>
        <v>0</v>
      </c>
      <c r="O1669" s="101">
        <f t="shared" ref="O1669:O1735" si="380">L1669-I1669</f>
        <v>0</v>
      </c>
      <c r="P1669" s="52">
        <f t="shared" ref="P1669:P1735" si="381">U1669-W1669</f>
        <v>0</v>
      </c>
      <c r="Q1669" s="49">
        <v>116.88487613461319</v>
      </c>
      <c r="R1669">
        <v>2225</v>
      </c>
      <c r="S1669" s="50">
        <f t="shared" si="376"/>
        <v>71535.307499999995</v>
      </c>
      <c r="T1669" s="50">
        <f t="shared" ref="T1669:T1735" si="382">IFERROR(S1669*I1669,"")</f>
        <v>0</v>
      </c>
      <c r="U1669" s="58">
        <f t="shared" ref="U1669:U1735" si="383">IFERROR(S1669*L1669,"")</f>
        <v>0</v>
      </c>
      <c r="V1669" s="58">
        <f t="shared" ref="V1669:V1735" si="384">IFERROR(Q1669*G1669,"")</f>
        <v>0</v>
      </c>
      <c r="W1669" s="58">
        <f t="shared" ref="W1669:W1735" si="385">IFERROR(Q1669*J1669,"")</f>
        <v>0</v>
      </c>
      <c r="X1669" s="58">
        <f t="shared" ref="X1669:X1735" si="386">T1669-V1669</f>
        <v>0</v>
      </c>
      <c r="Y1669" s="52">
        <f t="shared" ref="Y1669:Y1735" si="387">U1669-W1669</f>
        <v>0</v>
      </c>
    </row>
    <row r="1670" spans="1:25" x14ac:dyDescent="0.25">
      <c r="A1670" s="1218" t="s">
        <v>84</v>
      </c>
      <c r="B1670" s="98">
        <v>45689</v>
      </c>
      <c r="C1670" s="117" t="str">
        <f t="shared" si="373"/>
        <v>2L</v>
      </c>
      <c r="D1670" s="96"/>
      <c r="E1670" s="98"/>
      <c r="F1670" s="99">
        <f t="shared" si="377"/>
        <v>0</v>
      </c>
      <c r="I1670" s="99">
        <f t="shared" si="374"/>
        <v>0</v>
      </c>
      <c r="L1670" s="99">
        <f t="shared" si="375"/>
        <v>0</v>
      </c>
      <c r="M1670" s="44" t="str">
        <f t="shared" si="378"/>
        <v/>
      </c>
      <c r="N1670" s="100">
        <f t="shared" si="379"/>
        <v>0</v>
      </c>
      <c r="O1670" s="101">
        <f t="shared" si="380"/>
        <v>0</v>
      </c>
      <c r="P1670" s="52">
        <f t="shared" si="381"/>
        <v>0</v>
      </c>
      <c r="Q1670" s="49">
        <v>116.88487613461319</v>
      </c>
      <c r="R1670">
        <v>2225</v>
      </c>
      <c r="S1670" s="50">
        <f t="shared" si="376"/>
        <v>71535.307499999995</v>
      </c>
      <c r="T1670" s="50">
        <f t="shared" si="382"/>
        <v>0</v>
      </c>
      <c r="U1670" s="58">
        <f t="shared" si="383"/>
        <v>0</v>
      </c>
      <c r="V1670" s="58">
        <f t="shared" si="384"/>
        <v>0</v>
      </c>
      <c r="W1670" s="58">
        <f t="shared" si="385"/>
        <v>0</v>
      </c>
      <c r="X1670" s="58">
        <f t="shared" si="386"/>
        <v>0</v>
      </c>
      <c r="Y1670" s="52">
        <f t="shared" si="387"/>
        <v>0</v>
      </c>
    </row>
    <row r="1671" spans="1:25" x14ac:dyDescent="0.25">
      <c r="A1671" s="1218" t="s">
        <v>85</v>
      </c>
      <c r="B1671" s="98">
        <v>45689</v>
      </c>
      <c r="C1671" s="117" t="str">
        <f t="shared" si="373"/>
        <v>2L</v>
      </c>
      <c r="D1671" s="96"/>
      <c r="E1671" s="98"/>
      <c r="F1671" s="99">
        <f t="shared" si="377"/>
        <v>0</v>
      </c>
      <c r="I1671" s="99">
        <f t="shared" si="374"/>
        <v>0</v>
      </c>
      <c r="L1671" s="99">
        <f t="shared" si="375"/>
        <v>0</v>
      </c>
      <c r="M1671" s="44" t="str">
        <f t="shared" si="378"/>
        <v/>
      </c>
      <c r="N1671" s="100">
        <f t="shared" si="379"/>
        <v>0</v>
      </c>
      <c r="O1671" s="101">
        <f t="shared" si="380"/>
        <v>0</v>
      </c>
      <c r="P1671" s="52">
        <f t="shared" si="381"/>
        <v>0</v>
      </c>
      <c r="Q1671" s="49">
        <v>116.88487613461319</v>
      </c>
      <c r="R1671">
        <v>2225</v>
      </c>
      <c r="S1671" s="50">
        <f t="shared" si="376"/>
        <v>71535.307499999995</v>
      </c>
      <c r="T1671" s="50">
        <f t="shared" si="382"/>
        <v>0</v>
      </c>
      <c r="U1671" s="58">
        <f t="shared" si="383"/>
        <v>0</v>
      </c>
      <c r="V1671" s="58">
        <f t="shared" si="384"/>
        <v>0</v>
      </c>
      <c r="W1671" s="58">
        <f t="shared" si="385"/>
        <v>0</v>
      </c>
      <c r="X1671" s="58">
        <f t="shared" si="386"/>
        <v>0</v>
      </c>
      <c r="Y1671" s="52">
        <f t="shared" si="387"/>
        <v>0</v>
      </c>
    </row>
    <row r="1672" spans="1:25" x14ac:dyDescent="0.25">
      <c r="A1672" s="1218" t="s">
        <v>86</v>
      </c>
      <c r="B1672" s="98">
        <v>45689</v>
      </c>
      <c r="C1672" s="117" t="str">
        <f t="shared" si="373"/>
        <v>2L</v>
      </c>
      <c r="D1672" s="96"/>
      <c r="E1672" s="98"/>
      <c r="F1672" s="99">
        <f t="shared" si="377"/>
        <v>0</v>
      </c>
      <c r="I1672" s="99">
        <f t="shared" si="374"/>
        <v>0</v>
      </c>
      <c r="L1672" s="99">
        <f t="shared" si="375"/>
        <v>0</v>
      </c>
      <c r="M1672" s="44" t="str">
        <f t="shared" si="378"/>
        <v/>
      </c>
      <c r="N1672" s="100">
        <f t="shared" si="379"/>
        <v>0</v>
      </c>
      <c r="O1672" s="101">
        <f t="shared" si="380"/>
        <v>0</v>
      </c>
      <c r="P1672" s="52">
        <f t="shared" si="381"/>
        <v>0</v>
      </c>
      <c r="Q1672" s="49">
        <v>116.88487613461319</v>
      </c>
      <c r="R1672">
        <v>2225</v>
      </c>
      <c r="S1672" s="50">
        <f t="shared" si="376"/>
        <v>71535.307499999995</v>
      </c>
      <c r="T1672" s="50">
        <f t="shared" si="382"/>
        <v>0</v>
      </c>
      <c r="U1672" s="58">
        <f t="shared" si="383"/>
        <v>0</v>
      </c>
      <c r="V1672" s="58">
        <f t="shared" si="384"/>
        <v>0</v>
      </c>
      <c r="W1672" s="58">
        <f t="shared" si="385"/>
        <v>0</v>
      </c>
      <c r="X1672" s="58">
        <f t="shared" si="386"/>
        <v>0</v>
      </c>
      <c r="Y1672" s="52">
        <f t="shared" si="387"/>
        <v>0</v>
      </c>
    </row>
    <row r="1673" spans="1:25" x14ac:dyDescent="0.25">
      <c r="A1673" s="1218" t="s">
        <v>87</v>
      </c>
      <c r="B1673" s="98">
        <v>45689</v>
      </c>
      <c r="C1673" s="117" t="str">
        <f t="shared" si="373"/>
        <v>3L</v>
      </c>
      <c r="D1673" s="96"/>
      <c r="E1673" s="98"/>
      <c r="F1673" s="99">
        <f t="shared" si="377"/>
        <v>0</v>
      </c>
      <c r="I1673" s="99">
        <f t="shared" si="374"/>
        <v>0</v>
      </c>
      <c r="L1673" s="99">
        <f t="shared" si="375"/>
        <v>0</v>
      </c>
      <c r="M1673" s="44" t="str">
        <f t="shared" si="378"/>
        <v/>
      </c>
      <c r="N1673" s="100">
        <f t="shared" si="379"/>
        <v>0</v>
      </c>
      <c r="O1673" s="101">
        <f t="shared" si="380"/>
        <v>0</v>
      </c>
      <c r="P1673" s="52">
        <f t="shared" si="381"/>
        <v>0</v>
      </c>
      <c r="Q1673" s="49">
        <v>116.88487613461319</v>
      </c>
      <c r="R1673">
        <v>2225</v>
      </c>
      <c r="S1673" s="50">
        <f t="shared" si="376"/>
        <v>71535.307499999995</v>
      </c>
      <c r="T1673" s="50">
        <f t="shared" si="382"/>
        <v>0</v>
      </c>
      <c r="U1673" s="58">
        <f t="shared" si="383"/>
        <v>0</v>
      </c>
      <c r="V1673" s="58">
        <f t="shared" si="384"/>
        <v>0</v>
      </c>
      <c r="W1673" s="58">
        <f t="shared" si="385"/>
        <v>0</v>
      </c>
      <c r="X1673" s="58">
        <f t="shared" si="386"/>
        <v>0</v>
      </c>
      <c r="Y1673" s="52">
        <f t="shared" si="387"/>
        <v>0</v>
      </c>
    </row>
    <row r="1674" spans="1:25" x14ac:dyDescent="0.25">
      <c r="A1674" s="1218" t="s">
        <v>88</v>
      </c>
      <c r="B1674" s="98">
        <v>45689</v>
      </c>
      <c r="C1674" s="117" t="str">
        <f t="shared" si="373"/>
        <v>3L</v>
      </c>
      <c r="D1674" s="96"/>
      <c r="E1674" s="98"/>
      <c r="F1674" s="99">
        <f t="shared" si="377"/>
        <v>0</v>
      </c>
      <c r="I1674" s="99">
        <f t="shared" si="374"/>
        <v>0</v>
      </c>
      <c r="L1674" s="99">
        <f t="shared" si="375"/>
        <v>0</v>
      </c>
      <c r="M1674" s="44" t="str">
        <f t="shared" si="378"/>
        <v/>
      </c>
      <c r="N1674" s="100">
        <f t="shared" si="379"/>
        <v>0</v>
      </c>
      <c r="O1674" s="101">
        <f t="shared" si="380"/>
        <v>0</v>
      </c>
      <c r="P1674" s="52">
        <f t="shared" si="381"/>
        <v>0</v>
      </c>
      <c r="Q1674" s="49">
        <v>116.88487613461319</v>
      </c>
      <c r="R1674">
        <v>2225</v>
      </c>
      <c r="S1674" s="50">
        <f t="shared" si="376"/>
        <v>71535.307499999995</v>
      </c>
      <c r="T1674" s="50">
        <f t="shared" si="382"/>
        <v>0</v>
      </c>
      <c r="U1674" s="58">
        <f t="shared" si="383"/>
        <v>0</v>
      </c>
      <c r="V1674" s="58">
        <f t="shared" si="384"/>
        <v>0</v>
      </c>
      <c r="W1674" s="58">
        <f t="shared" si="385"/>
        <v>0</v>
      </c>
      <c r="X1674" s="58">
        <f t="shared" si="386"/>
        <v>0</v>
      </c>
      <c r="Y1674" s="52">
        <f t="shared" si="387"/>
        <v>0</v>
      </c>
    </row>
    <row r="1675" spans="1:25" x14ac:dyDescent="0.25">
      <c r="A1675" s="1218" t="s">
        <v>89</v>
      </c>
      <c r="B1675" s="98">
        <v>45689</v>
      </c>
      <c r="C1675" s="117" t="str">
        <f t="shared" si="373"/>
        <v>3L</v>
      </c>
      <c r="D1675" s="96"/>
      <c r="E1675" s="98"/>
      <c r="F1675" s="99">
        <f t="shared" si="377"/>
        <v>0</v>
      </c>
      <c r="I1675" s="99">
        <f t="shared" si="374"/>
        <v>0</v>
      </c>
      <c r="L1675" s="99">
        <f t="shared" si="375"/>
        <v>0</v>
      </c>
      <c r="M1675" s="44" t="str">
        <f t="shared" si="378"/>
        <v/>
      </c>
      <c r="N1675" s="100">
        <f t="shared" si="379"/>
        <v>0</v>
      </c>
      <c r="O1675" s="101">
        <f t="shared" si="380"/>
        <v>0</v>
      </c>
      <c r="P1675" s="52">
        <f t="shared" si="381"/>
        <v>0</v>
      </c>
      <c r="Q1675" s="49">
        <v>116.88487613461319</v>
      </c>
      <c r="R1675">
        <v>2225</v>
      </c>
      <c r="S1675" s="50">
        <f t="shared" si="376"/>
        <v>71535.307499999995</v>
      </c>
      <c r="T1675" s="50">
        <f t="shared" si="382"/>
        <v>0</v>
      </c>
      <c r="U1675" s="58">
        <f t="shared" si="383"/>
        <v>0</v>
      </c>
      <c r="V1675" s="58">
        <f t="shared" si="384"/>
        <v>0</v>
      </c>
      <c r="W1675" s="58">
        <f t="shared" si="385"/>
        <v>0</v>
      </c>
      <c r="X1675" s="58">
        <f t="shared" si="386"/>
        <v>0</v>
      </c>
      <c r="Y1675" s="52">
        <f t="shared" si="387"/>
        <v>0</v>
      </c>
    </row>
    <row r="1676" spans="1:25" x14ac:dyDescent="0.25">
      <c r="A1676" s="1218" t="s">
        <v>90</v>
      </c>
      <c r="B1676" s="98">
        <v>45689</v>
      </c>
      <c r="C1676" s="117" t="str">
        <f t="shared" si="373"/>
        <v>3L</v>
      </c>
      <c r="D1676" s="118">
        <v>2696</v>
      </c>
      <c r="E1676">
        <v>2.5499999999999998</v>
      </c>
      <c r="F1676" s="99">
        <f t="shared" si="377"/>
        <v>6.8747999999999996</v>
      </c>
      <c r="G1676" s="82">
        <f>'[6]Underground Breaking Plan'!$C$12</f>
        <v>1960</v>
      </c>
      <c r="H1676" s="40">
        <f>'[6]Underground Breaking Plan'!$C$13</f>
        <v>2.85</v>
      </c>
      <c r="I1676" s="99">
        <f t="shared" si="374"/>
        <v>5.5860000000000003</v>
      </c>
      <c r="J1676" s="50">
        <f>[7]Generation!$D$11</f>
        <v>1564</v>
      </c>
      <c r="K1676" s="63">
        <f>[7]Generation!$E$11</f>
        <v>1.9371099744245526</v>
      </c>
      <c r="L1676" s="99">
        <f>'February 25 D_R (Stoping)'!J24</f>
        <v>3</v>
      </c>
      <c r="M1676" s="44">
        <f t="shared" si="378"/>
        <v>-0.46294307196562839</v>
      </c>
      <c r="N1676" s="100">
        <f t="shared" si="379"/>
        <v>-396</v>
      </c>
      <c r="O1676" s="101">
        <f t="shared" si="380"/>
        <v>-2.5860000000000003</v>
      </c>
      <c r="P1676" s="52">
        <f t="shared" si="381"/>
        <v>31797.976225464954</v>
      </c>
      <c r="Q1676" s="49">
        <v>116.88487613461319</v>
      </c>
      <c r="R1676">
        <v>2225</v>
      </c>
      <c r="S1676" s="50">
        <f t="shared" si="376"/>
        <v>71535.307499999995</v>
      </c>
      <c r="T1676" s="50">
        <f t="shared" si="382"/>
        <v>399596.22769500001</v>
      </c>
      <c r="U1676" s="58">
        <f t="shared" si="383"/>
        <v>214605.92249999999</v>
      </c>
      <c r="V1676" s="58">
        <f t="shared" si="384"/>
        <v>229094.35722384186</v>
      </c>
      <c r="W1676" s="58">
        <f t="shared" si="385"/>
        <v>182807.94627453503</v>
      </c>
      <c r="X1676" s="58">
        <f t="shared" si="386"/>
        <v>170501.87047115815</v>
      </c>
      <c r="Y1676" s="52">
        <f t="shared" si="387"/>
        <v>31797.976225464954</v>
      </c>
    </row>
    <row r="1677" spans="1:25" x14ac:dyDescent="0.25">
      <c r="A1677" s="1218" t="s">
        <v>91</v>
      </c>
      <c r="B1677" s="98">
        <v>45689</v>
      </c>
      <c r="C1677" s="117" t="str">
        <f t="shared" si="373"/>
        <v>3L</v>
      </c>
      <c r="D1677" s="118">
        <v>1700</v>
      </c>
      <c r="E1677">
        <v>0.8</v>
      </c>
      <c r="F1677" s="99">
        <f t="shared" si="377"/>
        <v>1.36</v>
      </c>
      <c r="G1677" s="82">
        <f>'[6]Underground Breaking Plan'!$C$18</f>
        <v>980</v>
      </c>
      <c r="H1677" s="40">
        <f>'[6]Underground Breaking Plan'!$C$19</f>
        <v>1.8099999999999992</v>
      </c>
      <c r="I1677" s="99">
        <f t="shared" si="374"/>
        <v>1.7737999999999994</v>
      </c>
      <c r="J1677" s="50">
        <f>[7]Generation!$D$12</f>
        <v>0</v>
      </c>
      <c r="K1677" s="49">
        <f>[7]Generation!$E$12</f>
        <v>0</v>
      </c>
      <c r="L1677" s="99">
        <f>'February 25 D_R (Stoping)'!J31</f>
        <v>17.100000000000001</v>
      </c>
      <c r="M1677" s="44">
        <f t="shared" si="378"/>
        <v>8.6403202164843886</v>
      </c>
      <c r="N1677" s="100">
        <f t="shared" si="379"/>
        <v>-980</v>
      </c>
      <c r="O1677" s="101">
        <f t="shared" si="380"/>
        <v>15.326200000000002</v>
      </c>
      <c r="P1677" s="52">
        <f t="shared" si="381"/>
        <v>1223253.75825</v>
      </c>
      <c r="Q1677" s="49">
        <v>116.88487613461319</v>
      </c>
      <c r="R1677">
        <v>2225</v>
      </c>
      <c r="S1677" s="50">
        <f t="shared" si="376"/>
        <v>71535.307499999995</v>
      </c>
      <c r="T1677" s="50">
        <f t="shared" si="382"/>
        <v>126889.32844349995</v>
      </c>
      <c r="U1677" s="58">
        <f t="shared" si="383"/>
        <v>1223253.75825</v>
      </c>
      <c r="V1677" s="58">
        <f t="shared" si="384"/>
        <v>114547.17861192093</v>
      </c>
      <c r="W1677" s="58">
        <f t="shared" si="385"/>
        <v>0</v>
      </c>
      <c r="X1677" s="58">
        <f t="shared" si="386"/>
        <v>12342.149831579023</v>
      </c>
      <c r="Y1677" s="52">
        <f t="shared" si="387"/>
        <v>1223253.75825</v>
      </c>
    </row>
    <row r="1678" spans="1:25" x14ac:dyDescent="0.25">
      <c r="A1678" s="1218" t="s">
        <v>92</v>
      </c>
      <c r="B1678" s="98">
        <v>45689</v>
      </c>
      <c r="C1678" s="117" t="str">
        <f t="shared" si="373"/>
        <v>3L</v>
      </c>
      <c r="D1678" s="96"/>
      <c r="E1678" s="98"/>
      <c r="F1678" s="99">
        <f t="shared" si="377"/>
        <v>0</v>
      </c>
      <c r="G1678" s="41"/>
      <c r="H1678" s="47"/>
      <c r="I1678" s="99">
        <f t="shared" si="374"/>
        <v>0</v>
      </c>
      <c r="J1678" s="41"/>
      <c r="K1678" s="47"/>
      <c r="L1678" s="99">
        <f t="shared" si="375"/>
        <v>0</v>
      </c>
      <c r="M1678" s="44" t="str">
        <f t="shared" si="378"/>
        <v/>
      </c>
      <c r="N1678" s="100">
        <f t="shared" si="379"/>
        <v>0</v>
      </c>
      <c r="O1678" s="101">
        <f t="shared" si="380"/>
        <v>0</v>
      </c>
      <c r="P1678" s="52">
        <f t="shared" si="381"/>
        <v>0</v>
      </c>
      <c r="Q1678" s="49">
        <v>116.88487613461319</v>
      </c>
      <c r="R1678">
        <v>2225</v>
      </c>
      <c r="S1678" s="50">
        <f t="shared" si="376"/>
        <v>71535.307499999995</v>
      </c>
      <c r="T1678" s="50">
        <f t="shared" si="382"/>
        <v>0</v>
      </c>
      <c r="U1678" s="58">
        <f t="shared" si="383"/>
        <v>0</v>
      </c>
      <c r="V1678" s="58">
        <f t="shared" si="384"/>
        <v>0</v>
      </c>
      <c r="W1678" s="58">
        <f t="shared" si="385"/>
        <v>0</v>
      </c>
      <c r="X1678" s="58">
        <f t="shared" si="386"/>
        <v>0</v>
      </c>
      <c r="Y1678" s="52">
        <f t="shared" si="387"/>
        <v>0</v>
      </c>
    </row>
    <row r="1679" spans="1:25" x14ac:dyDescent="0.25">
      <c r="A1679" s="1218" t="s">
        <v>93</v>
      </c>
      <c r="B1679" s="98">
        <v>45689</v>
      </c>
      <c r="C1679" s="117" t="str">
        <f t="shared" si="373"/>
        <v>3L</v>
      </c>
      <c r="D1679" s="96"/>
      <c r="E1679" s="98"/>
      <c r="F1679" s="99">
        <f t="shared" si="377"/>
        <v>0</v>
      </c>
      <c r="G1679" s="41"/>
      <c r="H1679" s="47"/>
      <c r="I1679" s="99">
        <f t="shared" si="374"/>
        <v>0</v>
      </c>
      <c r="J1679" s="41"/>
      <c r="K1679" s="47"/>
      <c r="L1679" s="99">
        <f t="shared" si="375"/>
        <v>0</v>
      </c>
      <c r="M1679" s="44" t="str">
        <f t="shared" si="378"/>
        <v/>
      </c>
      <c r="N1679" s="100">
        <f t="shared" si="379"/>
        <v>0</v>
      </c>
      <c r="O1679" s="101">
        <f t="shared" si="380"/>
        <v>0</v>
      </c>
      <c r="P1679" s="52">
        <f t="shared" si="381"/>
        <v>0</v>
      </c>
      <c r="Q1679" s="49">
        <v>116.88487613461319</v>
      </c>
      <c r="R1679">
        <v>2225</v>
      </c>
      <c r="S1679" s="50">
        <f t="shared" si="376"/>
        <v>71535.307499999995</v>
      </c>
      <c r="T1679" s="50">
        <f t="shared" si="382"/>
        <v>0</v>
      </c>
      <c r="U1679" s="58">
        <f t="shared" si="383"/>
        <v>0</v>
      </c>
      <c r="V1679" s="58">
        <f t="shared" si="384"/>
        <v>0</v>
      </c>
      <c r="W1679" s="58">
        <f t="shared" si="385"/>
        <v>0</v>
      </c>
      <c r="X1679" s="58">
        <f t="shared" si="386"/>
        <v>0</v>
      </c>
      <c r="Y1679" s="52">
        <f t="shared" si="387"/>
        <v>0</v>
      </c>
    </row>
    <row r="1680" spans="1:25" x14ac:dyDescent="0.25">
      <c r="A1680" s="1218" t="s">
        <v>94</v>
      </c>
      <c r="B1680" s="98">
        <v>45689</v>
      </c>
      <c r="C1680" s="117" t="str">
        <f t="shared" ref="C1680:C1744" si="388">LEFT(A1680,2)</f>
        <v>3L</v>
      </c>
      <c r="D1680" s="96"/>
      <c r="E1680" s="98"/>
      <c r="F1680" s="99">
        <f t="shared" si="377"/>
        <v>0</v>
      </c>
      <c r="G1680" s="41"/>
      <c r="H1680" s="47"/>
      <c r="I1680" s="99">
        <f t="shared" si="374"/>
        <v>0</v>
      </c>
      <c r="J1680" s="41"/>
      <c r="K1680" s="47"/>
      <c r="L1680" s="99">
        <f t="shared" si="375"/>
        <v>0</v>
      </c>
      <c r="M1680" s="44" t="str">
        <f t="shared" si="378"/>
        <v/>
      </c>
      <c r="N1680" s="100">
        <f t="shared" si="379"/>
        <v>0</v>
      </c>
      <c r="O1680" s="101">
        <f t="shared" si="380"/>
        <v>0</v>
      </c>
      <c r="P1680" s="52">
        <f t="shared" si="381"/>
        <v>0</v>
      </c>
      <c r="Q1680" s="49">
        <v>116.88487613461319</v>
      </c>
      <c r="R1680">
        <v>2225</v>
      </c>
      <c r="S1680" s="50">
        <f t="shared" si="376"/>
        <v>71535.307499999995</v>
      </c>
      <c r="T1680" s="50">
        <f t="shared" si="382"/>
        <v>0</v>
      </c>
      <c r="U1680" s="58">
        <f t="shared" si="383"/>
        <v>0</v>
      </c>
      <c r="V1680" s="58">
        <f t="shared" si="384"/>
        <v>0</v>
      </c>
      <c r="W1680" s="58">
        <f t="shared" si="385"/>
        <v>0</v>
      </c>
      <c r="X1680" s="58">
        <f t="shared" si="386"/>
        <v>0</v>
      </c>
      <c r="Y1680" s="52">
        <f t="shared" si="387"/>
        <v>0</v>
      </c>
    </row>
    <row r="1681" spans="1:25" x14ac:dyDescent="0.25">
      <c r="A1681" s="1218" t="s">
        <v>95</v>
      </c>
      <c r="B1681" s="98">
        <v>45689</v>
      </c>
      <c r="C1681" s="117" t="str">
        <f t="shared" si="388"/>
        <v>3L</v>
      </c>
      <c r="D1681" s="96"/>
      <c r="E1681" s="98"/>
      <c r="F1681" s="99">
        <f t="shared" si="377"/>
        <v>0</v>
      </c>
      <c r="G1681" s="41"/>
      <c r="H1681" s="47"/>
      <c r="I1681" s="99">
        <f t="shared" si="374"/>
        <v>0</v>
      </c>
      <c r="J1681" s="41"/>
      <c r="K1681" s="47"/>
      <c r="L1681" s="99">
        <f t="shared" si="375"/>
        <v>0</v>
      </c>
      <c r="M1681" s="44" t="str">
        <f t="shared" si="378"/>
        <v/>
      </c>
      <c r="N1681" s="100">
        <f t="shared" si="379"/>
        <v>0</v>
      </c>
      <c r="O1681" s="101">
        <f t="shared" si="380"/>
        <v>0</v>
      </c>
      <c r="P1681" s="52">
        <f t="shared" si="381"/>
        <v>0</v>
      </c>
      <c r="Q1681" s="49">
        <v>116.88487613461319</v>
      </c>
      <c r="R1681">
        <v>2225</v>
      </c>
      <c r="S1681" s="50">
        <f t="shared" si="376"/>
        <v>71535.307499999995</v>
      </c>
      <c r="T1681" s="50">
        <f t="shared" si="382"/>
        <v>0</v>
      </c>
      <c r="U1681" s="58">
        <f t="shared" si="383"/>
        <v>0</v>
      </c>
      <c r="V1681" s="58">
        <f t="shared" si="384"/>
        <v>0</v>
      </c>
      <c r="W1681" s="58">
        <f t="shared" si="385"/>
        <v>0</v>
      </c>
      <c r="X1681" s="58">
        <f t="shared" si="386"/>
        <v>0</v>
      </c>
      <c r="Y1681" s="52">
        <f t="shared" si="387"/>
        <v>0</v>
      </c>
    </row>
    <row r="1682" spans="1:25" x14ac:dyDescent="0.25">
      <c r="A1682" s="1218" t="s">
        <v>96</v>
      </c>
      <c r="B1682" s="98">
        <v>45689</v>
      </c>
      <c r="C1682" s="117" t="str">
        <f t="shared" si="388"/>
        <v>3L</v>
      </c>
      <c r="D1682" s="96"/>
      <c r="E1682" s="98"/>
      <c r="F1682" s="99">
        <f t="shared" si="377"/>
        <v>0</v>
      </c>
      <c r="G1682" s="41"/>
      <c r="H1682" s="47"/>
      <c r="I1682" s="99">
        <f t="shared" si="374"/>
        <v>0</v>
      </c>
      <c r="J1682" s="41"/>
      <c r="K1682" s="47"/>
      <c r="L1682" s="99">
        <f t="shared" si="375"/>
        <v>0</v>
      </c>
      <c r="M1682" s="44" t="str">
        <f t="shared" si="378"/>
        <v/>
      </c>
      <c r="N1682" s="100">
        <f t="shared" si="379"/>
        <v>0</v>
      </c>
      <c r="O1682" s="101">
        <f t="shared" si="380"/>
        <v>0</v>
      </c>
      <c r="P1682" s="52">
        <f t="shared" si="381"/>
        <v>0</v>
      </c>
      <c r="Q1682" s="49">
        <v>116.88487613461319</v>
      </c>
      <c r="R1682">
        <v>2225</v>
      </c>
      <c r="S1682" s="50">
        <f t="shared" si="376"/>
        <v>71535.307499999995</v>
      </c>
      <c r="T1682" s="50">
        <f t="shared" si="382"/>
        <v>0</v>
      </c>
      <c r="U1682" s="58">
        <f t="shared" si="383"/>
        <v>0</v>
      </c>
      <c r="V1682" s="58">
        <f t="shared" si="384"/>
        <v>0</v>
      </c>
      <c r="W1682" s="58">
        <f t="shared" si="385"/>
        <v>0</v>
      </c>
      <c r="X1682" s="58">
        <f t="shared" si="386"/>
        <v>0</v>
      </c>
      <c r="Y1682" s="52">
        <f t="shared" si="387"/>
        <v>0</v>
      </c>
    </row>
    <row r="1683" spans="1:25" x14ac:dyDescent="0.25">
      <c r="A1683" s="1218" t="s">
        <v>97</v>
      </c>
      <c r="B1683" s="98">
        <v>45689</v>
      </c>
      <c r="C1683" s="117" t="str">
        <f t="shared" si="388"/>
        <v>4L</v>
      </c>
      <c r="D1683" s="96"/>
      <c r="E1683" s="98"/>
      <c r="F1683" s="99">
        <f t="shared" si="377"/>
        <v>0</v>
      </c>
      <c r="I1683" s="99">
        <f t="shared" si="374"/>
        <v>0</v>
      </c>
      <c r="L1683" s="99">
        <f t="shared" si="375"/>
        <v>0</v>
      </c>
      <c r="M1683" s="44" t="str">
        <f t="shared" si="378"/>
        <v/>
      </c>
      <c r="N1683" s="100">
        <f t="shared" si="379"/>
        <v>0</v>
      </c>
      <c r="O1683" s="101">
        <f t="shared" si="380"/>
        <v>0</v>
      </c>
      <c r="P1683" s="52">
        <f t="shared" si="381"/>
        <v>0</v>
      </c>
      <c r="Q1683" s="49">
        <v>116.88487613461319</v>
      </c>
      <c r="R1683">
        <v>2225</v>
      </c>
      <c r="S1683" s="50">
        <f t="shared" si="376"/>
        <v>71535.307499999995</v>
      </c>
      <c r="T1683" s="50">
        <f t="shared" si="382"/>
        <v>0</v>
      </c>
      <c r="U1683" s="58">
        <f t="shared" si="383"/>
        <v>0</v>
      </c>
      <c r="V1683" s="58">
        <f t="shared" si="384"/>
        <v>0</v>
      </c>
      <c r="W1683" s="58">
        <f t="shared" si="385"/>
        <v>0</v>
      </c>
      <c r="X1683" s="58">
        <f t="shared" si="386"/>
        <v>0</v>
      </c>
      <c r="Y1683" s="52">
        <f t="shared" si="387"/>
        <v>0</v>
      </c>
    </row>
    <row r="1684" spans="1:25" x14ac:dyDescent="0.25">
      <c r="A1684" s="1218" t="s">
        <v>98</v>
      </c>
      <c r="B1684" s="98">
        <v>45689</v>
      </c>
      <c r="C1684" s="117" t="str">
        <f t="shared" si="388"/>
        <v>4L</v>
      </c>
      <c r="D1684" s="96"/>
      <c r="E1684" s="98"/>
      <c r="F1684" s="99">
        <f t="shared" si="377"/>
        <v>0</v>
      </c>
      <c r="I1684" s="99">
        <f t="shared" si="374"/>
        <v>0</v>
      </c>
      <c r="L1684" s="99">
        <f t="shared" si="375"/>
        <v>0</v>
      </c>
      <c r="M1684" s="44" t="str">
        <f t="shared" si="378"/>
        <v/>
      </c>
      <c r="N1684" s="100">
        <f t="shared" si="379"/>
        <v>0</v>
      </c>
      <c r="O1684" s="101">
        <f t="shared" si="380"/>
        <v>0</v>
      </c>
      <c r="P1684" s="52">
        <f t="shared" si="381"/>
        <v>0</v>
      </c>
      <c r="Q1684" s="49">
        <v>116.88487613461319</v>
      </c>
      <c r="R1684">
        <v>2225</v>
      </c>
      <c r="S1684" s="50">
        <f t="shared" si="376"/>
        <v>71535.307499999995</v>
      </c>
      <c r="T1684" s="50">
        <f t="shared" si="382"/>
        <v>0</v>
      </c>
      <c r="U1684" s="58">
        <f t="shared" si="383"/>
        <v>0</v>
      </c>
      <c r="V1684" s="58">
        <f t="shared" si="384"/>
        <v>0</v>
      </c>
      <c r="W1684" s="58">
        <f t="shared" si="385"/>
        <v>0</v>
      </c>
      <c r="X1684" s="58">
        <f t="shared" si="386"/>
        <v>0</v>
      </c>
      <c r="Y1684" s="52">
        <f t="shared" si="387"/>
        <v>0</v>
      </c>
    </row>
    <row r="1685" spans="1:25" x14ac:dyDescent="0.25">
      <c r="A1685" s="1218" t="s">
        <v>99</v>
      </c>
      <c r="B1685" s="98">
        <v>45689</v>
      </c>
      <c r="C1685" s="117" t="str">
        <f t="shared" si="388"/>
        <v>4L</v>
      </c>
      <c r="D1685" s="96"/>
      <c r="E1685" s="98"/>
      <c r="F1685" s="99">
        <f t="shared" si="377"/>
        <v>0</v>
      </c>
      <c r="I1685" s="99">
        <f t="shared" si="374"/>
        <v>0</v>
      </c>
      <c r="L1685" s="99">
        <f t="shared" si="375"/>
        <v>0</v>
      </c>
      <c r="M1685" s="44" t="str">
        <f t="shared" si="378"/>
        <v/>
      </c>
      <c r="N1685" s="100">
        <f t="shared" si="379"/>
        <v>0</v>
      </c>
      <c r="O1685" s="101">
        <f t="shared" si="380"/>
        <v>0</v>
      </c>
      <c r="P1685" s="52">
        <f t="shared" si="381"/>
        <v>0</v>
      </c>
      <c r="Q1685" s="49">
        <v>116.88487613461319</v>
      </c>
      <c r="R1685">
        <v>2225</v>
      </c>
      <c r="S1685" s="50">
        <f t="shared" si="376"/>
        <v>71535.307499999995</v>
      </c>
      <c r="T1685" s="50">
        <f t="shared" si="382"/>
        <v>0</v>
      </c>
      <c r="U1685" s="58">
        <f t="shared" si="383"/>
        <v>0</v>
      </c>
      <c r="V1685" s="58">
        <f t="shared" si="384"/>
        <v>0</v>
      </c>
      <c r="W1685" s="58">
        <f t="shared" si="385"/>
        <v>0</v>
      </c>
      <c r="X1685" s="58">
        <f t="shared" si="386"/>
        <v>0</v>
      </c>
      <c r="Y1685" s="52">
        <f t="shared" si="387"/>
        <v>0</v>
      </c>
    </row>
    <row r="1686" spans="1:25" x14ac:dyDescent="0.25">
      <c r="A1686" s="1218" t="s">
        <v>100</v>
      </c>
      <c r="B1686" s="98">
        <v>45689</v>
      </c>
      <c r="C1686" s="117" t="str">
        <f t="shared" si="388"/>
        <v>4L</v>
      </c>
      <c r="D1686" s="96"/>
      <c r="E1686" s="98"/>
      <c r="F1686" s="99">
        <f t="shared" si="377"/>
        <v>0</v>
      </c>
      <c r="I1686" s="99">
        <f t="shared" si="374"/>
        <v>0</v>
      </c>
      <c r="L1686" s="99">
        <f t="shared" si="375"/>
        <v>0</v>
      </c>
      <c r="M1686" s="44" t="str">
        <f t="shared" si="378"/>
        <v/>
      </c>
      <c r="N1686" s="100">
        <f t="shared" si="379"/>
        <v>0</v>
      </c>
      <c r="O1686" s="101">
        <f t="shared" si="380"/>
        <v>0</v>
      </c>
      <c r="P1686" s="52">
        <f t="shared" si="381"/>
        <v>0</v>
      </c>
      <c r="Q1686" s="49">
        <v>116.88487613461319</v>
      </c>
      <c r="R1686">
        <v>2225</v>
      </c>
      <c r="S1686" s="50">
        <f t="shared" si="376"/>
        <v>71535.307499999995</v>
      </c>
      <c r="T1686" s="50">
        <f t="shared" si="382"/>
        <v>0</v>
      </c>
      <c r="U1686" s="58">
        <f t="shared" si="383"/>
        <v>0</v>
      </c>
      <c r="V1686" s="58">
        <f t="shared" si="384"/>
        <v>0</v>
      </c>
      <c r="W1686" s="58">
        <f t="shared" si="385"/>
        <v>0</v>
      </c>
      <c r="X1686" s="58">
        <f t="shared" si="386"/>
        <v>0</v>
      </c>
      <c r="Y1686" s="52">
        <f t="shared" si="387"/>
        <v>0</v>
      </c>
    </row>
    <row r="1687" spans="1:25" x14ac:dyDescent="0.25">
      <c r="A1687" s="1218" t="s">
        <v>101</v>
      </c>
      <c r="B1687" s="98">
        <v>45689</v>
      </c>
      <c r="C1687" s="117" t="str">
        <f t="shared" si="388"/>
        <v>4L</v>
      </c>
      <c r="D1687" s="96"/>
      <c r="E1687" s="98"/>
      <c r="F1687" s="99">
        <f t="shared" si="377"/>
        <v>0</v>
      </c>
      <c r="I1687" s="99">
        <f t="shared" si="374"/>
        <v>0</v>
      </c>
      <c r="L1687" s="99">
        <f t="shared" si="375"/>
        <v>0</v>
      </c>
      <c r="M1687" s="44" t="str">
        <f t="shared" si="378"/>
        <v/>
      </c>
      <c r="N1687" s="100">
        <f t="shared" si="379"/>
        <v>0</v>
      </c>
      <c r="O1687" s="101">
        <f t="shared" si="380"/>
        <v>0</v>
      </c>
      <c r="P1687" s="52">
        <f t="shared" si="381"/>
        <v>0</v>
      </c>
      <c r="Q1687" s="49">
        <v>116.88487613461319</v>
      </c>
      <c r="R1687">
        <v>2225</v>
      </c>
      <c r="S1687" s="50">
        <f t="shared" si="376"/>
        <v>71535.307499999995</v>
      </c>
      <c r="T1687" s="50">
        <f t="shared" si="382"/>
        <v>0</v>
      </c>
      <c r="U1687" s="58">
        <f t="shared" si="383"/>
        <v>0</v>
      </c>
      <c r="V1687" s="58">
        <f t="shared" si="384"/>
        <v>0</v>
      </c>
      <c r="W1687" s="58">
        <f t="shared" si="385"/>
        <v>0</v>
      </c>
      <c r="X1687" s="58">
        <f t="shared" si="386"/>
        <v>0</v>
      </c>
      <c r="Y1687" s="52">
        <f t="shared" si="387"/>
        <v>0</v>
      </c>
    </row>
    <row r="1688" spans="1:25" x14ac:dyDescent="0.25">
      <c r="A1688" s="1218" t="s">
        <v>102</v>
      </c>
      <c r="B1688" s="98">
        <v>45689</v>
      </c>
      <c r="C1688" s="117" t="str">
        <f t="shared" si="388"/>
        <v>4L</v>
      </c>
      <c r="D1688" s="96"/>
      <c r="E1688" s="98"/>
      <c r="F1688" s="99">
        <f t="shared" si="377"/>
        <v>0</v>
      </c>
      <c r="I1688" s="99">
        <f t="shared" si="374"/>
        <v>0</v>
      </c>
      <c r="L1688" s="99">
        <f t="shared" si="375"/>
        <v>0</v>
      </c>
      <c r="M1688" s="44" t="str">
        <f t="shared" si="378"/>
        <v/>
      </c>
      <c r="N1688" s="100">
        <f t="shared" si="379"/>
        <v>0</v>
      </c>
      <c r="O1688" s="101">
        <f t="shared" si="380"/>
        <v>0</v>
      </c>
      <c r="P1688" s="52">
        <f t="shared" si="381"/>
        <v>0</v>
      </c>
      <c r="Q1688" s="49">
        <v>116.88487613461319</v>
      </c>
      <c r="R1688">
        <v>2225</v>
      </c>
      <c r="S1688" s="50">
        <f t="shared" si="376"/>
        <v>71535.307499999995</v>
      </c>
      <c r="T1688" s="50">
        <f t="shared" si="382"/>
        <v>0</v>
      </c>
      <c r="U1688" s="58">
        <f t="shared" si="383"/>
        <v>0</v>
      </c>
      <c r="V1688" s="58">
        <f t="shared" si="384"/>
        <v>0</v>
      </c>
      <c r="W1688" s="58">
        <f t="shared" si="385"/>
        <v>0</v>
      </c>
      <c r="X1688" s="58">
        <f t="shared" si="386"/>
        <v>0</v>
      </c>
      <c r="Y1688" s="52">
        <f t="shared" si="387"/>
        <v>0</v>
      </c>
    </row>
    <row r="1689" spans="1:25" x14ac:dyDescent="0.25">
      <c r="A1689" s="1218" t="s">
        <v>103</v>
      </c>
      <c r="B1689" s="98">
        <v>45689</v>
      </c>
      <c r="C1689" s="117" t="str">
        <f t="shared" si="388"/>
        <v>4L</v>
      </c>
      <c r="D1689" s="96"/>
      <c r="E1689" s="98"/>
      <c r="F1689" s="99">
        <f t="shared" si="377"/>
        <v>0</v>
      </c>
      <c r="I1689" s="99">
        <f t="shared" si="374"/>
        <v>0</v>
      </c>
      <c r="L1689" s="99">
        <f t="shared" si="375"/>
        <v>0</v>
      </c>
      <c r="M1689" s="44" t="str">
        <f t="shared" si="378"/>
        <v/>
      </c>
      <c r="N1689" s="100">
        <f t="shared" si="379"/>
        <v>0</v>
      </c>
      <c r="O1689" s="101">
        <f t="shared" si="380"/>
        <v>0</v>
      </c>
      <c r="P1689" s="52">
        <f t="shared" si="381"/>
        <v>0</v>
      </c>
      <c r="Q1689" s="49">
        <v>116.88487613461319</v>
      </c>
      <c r="R1689">
        <v>2225</v>
      </c>
      <c r="S1689" s="50">
        <f t="shared" si="376"/>
        <v>71535.307499999995</v>
      </c>
      <c r="T1689" s="50">
        <f t="shared" si="382"/>
        <v>0</v>
      </c>
      <c r="U1689" s="58">
        <f t="shared" si="383"/>
        <v>0</v>
      </c>
      <c r="V1689" s="58">
        <f t="shared" si="384"/>
        <v>0</v>
      </c>
      <c r="W1689" s="58">
        <f t="shared" si="385"/>
        <v>0</v>
      </c>
      <c r="X1689" s="58">
        <f t="shared" si="386"/>
        <v>0</v>
      </c>
      <c r="Y1689" s="52">
        <f t="shared" si="387"/>
        <v>0</v>
      </c>
    </row>
    <row r="1690" spans="1:25" x14ac:dyDescent="0.25">
      <c r="A1690" s="1218" t="s">
        <v>104</v>
      </c>
      <c r="B1690" s="98">
        <v>45689</v>
      </c>
      <c r="C1690" s="117" t="str">
        <f t="shared" si="388"/>
        <v>4L</v>
      </c>
      <c r="D1690" s="96"/>
      <c r="E1690" s="98"/>
      <c r="F1690" s="99">
        <f t="shared" si="377"/>
        <v>0</v>
      </c>
      <c r="I1690" s="99">
        <f t="shared" si="374"/>
        <v>0</v>
      </c>
      <c r="L1690" s="99">
        <f t="shared" si="375"/>
        <v>0</v>
      </c>
      <c r="M1690" s="44" t="str">
        <f t="shared" si="378"/>
        <v/>
      </c>
      <c r="N1690" s="100">
        <f t="shared" si="379"/>
        <v>0</v>
      </c>
      <c r="O1690" s="101">
        <f t="shared" si="380"/>
        <v>0</v>
      </c>
      <c r="P1690" s="52">
        <f t="shared" si="381"/>
        <v>0</v>
      </c>
      <c r="Q1690" s="49">
        <v>116.88487613461319</v>
      </c>
      <c r="R1690">
        <v>2225</v>
      </c>
      <c r="S1690" s="50">
        <f t="shared" si="376"/>
        <v>71535.307499999995</v>
      </c>
      <c r="T1690" s="50">
        <f t="shared" si="382"/>
        <v>0</v>
      </c>
      <c r="U1690" s="58">
        <f t="shared" si="383"/>
        <v>0</v>
      </c>
      <c r="V1690" s="58">
        <f t="shared" si="384"/>
        <v>0</v>
      </c>
      <c r="W1690" s="58">
        <f t="shared" si="385"/>
        <v>0</v>
      </c>
      <c r="X1690" s="58">
        <f t="shared" si="386"/>
        <v>0</v>
      </c>
      <c r="Y1690" s="52">
        <f t="shared" si="387"/>
        <v>0</v>
      </c>
    </row>
    <row r="1691" spans="1:25" x14ac:dyDescent="0.25">
      <c r="A1691" s="1218" t="s">
        <v>105</v>
      </c>
      <c r="B1691" s="98">
        <v>45689</v>
      </c>
      <c r="C1691" s="117" t="str">
        <f t="shared" si="388"/>
        <v>4L</v>
      </c>
      <c r="D1691" s="96"/>
      <c r="E1691" s="98"/>
      <c r="F1691" s="99">
        <f t="shared" si="377"/>
        <v>0</v>
      </c>
      <c r="I1691" s="99">
        <f t="shared" si="374"/>
        <v>0</v>
      </c>
      <c r="L1691" s="99">
        <f t="shared" si="375"/>
        <v>0</v>
      </c>
      <c r="M1691" s="44" t="str">
        <f t="shared" si="378"/>
        <v/>
      </c>
      <c r="N1691" s="100">
        <f t="shared" si="379"/>
        <v>0</v>
      </c>
      <c r="O1691" s="101">
        <f t="shared" si="380"/>
        <v>0</v>
      </c>
      <c r="P1691" s="52">
        <f t="shared" si="381"/>
        <v>0</v>
      </c>
      <c r="Q1691" s="49">
        <v>116.88487613461319</v>
      </c>
      <c r="R1691">
        <v>2225</v>
      </c>
      <c r="S1691" s="50">
        <f t="shared" si="376"/>
        <v>71535.307499999995</v>
      </c>
      <c r="T1691" s="50">
        <f t="shared" si="382"/>
        <v>0</v>
      </c>
      <c r="U1691" s="58">
        <f t="shared" si="383"/>
        <v>0</v>
      </c>
      <c r="V1691" s="58">
        <f t="shared" si="384"/>
        <v>0</v>
      </c>
      <c r="W1691" s="58">
        <f t="shared" si="385"/>
        <v>0</v>
      </c>
      <c r="X1691" s="58">
        <f t="shared" si="386"/>
        <v>0</v>
      </c>
      <c r="Y1691" s="52">
        <f t="shared" si="387"/>
        <v>0</v>
      </c>
    </row>
    <row r="1692" spans="1:25" x14ac:dyDescent="0.25">
      <c r="A1692" s="1218" t="s">
        <v>106</v>
      </c>
      <c r="B1692" s="98">
        <v>45689</v>
      </c>
      <c r="C1692" s="117" t="str">
        <f t="shared" si="388"/>
        <v>4L</v>
      </c>
      <c r="D1692" s="96"/>
      <c r="E1692" s="98"/>
      <c r="F1692" s="99">
        <f t="shared" si="377"/>
        <v>0</v>
      </c>
      <c r="I1692" s="99">
        <f t="shared" si="374"/>
        <v>0</v>
      </c>
      <c r="L1692" s="99">
        <f t="shared" si="375"/>
        <v>0</v>
      </c>
      <c r="M1692" s="44" t="str">
        <f t="shared" si="378"/>
        <v/>
      </c>
      <c r="N1692" s="100">
        <f t="shared" si="379"/>
        <v>0</v>
      </c>
      <c r="O1692" s="101">
        <f t="shared" si="380"/>
        <v>0</v>
      </c>
      <c r="P1692" s="52">
        <f t="shared" si="381"/>
        <v>0</v>
      </c>
      <c r="Q1692" s="49">
        <v>116.88487613461319</v>
      </c>
      <c r="R1692">
        <v>2225</v>
      </c>
      <c r="S1692" s="50">
        <f t="shared" si="376"/>
        <v>71535.307499999995</v>
      </c>
      <c r="T1692" s="50">
        <f t="shared" si="382"/>
        <v>0</v>
      </c>
      <c r="U1692" s="58">
        <f t="shared" si="383"/>
        <v>0</v>
      </c>
      <c r="V1692" s="58">
        <f t="shared" si="384"/>
        <v>0</v>
      </c>
      <c r="W1692" s="58">
        <f t="shared" si="385"/>
        <v>0</v>
      </c>
      <c r="X1692" s="58">
        <f t="shared" si="386"/>
        <v>0</v>
      </c>
      <c r="Y1692" s="52">
        <f t="shared" si="387"/>
        <v>0</v>
      </c>
    </row>
    <row r="1693" spans="1:25" x14ac:dyDescent="0.25">
      <c r="A1693" s="1218" t="s">
        <v>107</v>
      </c>
      <c r="B1693" s="98">
        <v>45689</v>
      </c>
      <c r="C1693" s="117" t="str">
        <f t="shared" si="388"/>
        <v>4L</v>
      </c>
      <c r="D1693" s="96"/>
      <c r="E1693" s="98"/>
      <c r="F1693" s="99">
        <f t="shared" si="377"/>
        <v>0</v>
      </c>
      <c r="I1693" s="99">
        <f t="shared" si="374"/>
        <v>0</v>
      </c>
      <c r="L1693" s="99">
        <f t="shared" si="375"/>
        <v>0</v>
      </c>
      <c r="M1693" s="44" t="str">
        <f t="shared" si="378"/>
        <v/>
      </c>
      <c r="N1693" s="100">
        <f t="shared" si="379"/>
        <v>0</v>
      </c>
      <c r="O1693" s="101">
        <f t="shared" si="380"/>
        <v>0</v>
      </c>
      <c r="P1693" s="52">
        <f t="shared" si="381"/>
        <v>0</v>
      </c>
      <c r="Q1693" s="49">
        <v>116.88487613461319</v>
      </c>
      <c r="R1693">
        <v>2225</v>
      </c>
      <c r="S1693" s="50">
        <f t="shared" si="376"/>
        <v>71535.307499999995</v>
      </c>
      <c r="T1693" s="50">
        <f t="shared" si="382"/>
        <v>0</v>
      </c>
      <c r="U1693" s="58">
        <f t="shared" si="383"/>
        <v>0</v>
      </c>
      <c r="V1693" s="58">
        <f t="shared" si="384"/>
        <v>0</v>
      </c>
      <c r="W1693" s="58">
        <f t="shared" si="385"/>
        <v>0</v>
      </c>
      <c r="X1693" s="58">
        <f t="shared" si="386"/>
        <v>0</v>
      </c>
      <c r="Y1693" s="52">
        <f t="shared" si="387"/>
        <v>0</v>
      </c>
    </row>
    <row r="1694" spans="1:25" x14ac:dyDescent="0.25">
      <c r="A1694" s="1218" t="s">
        <v>108</v>
      </c>
      <c r="B1694" s="98">
        <v>45689</v>
      </c>
      <c r="C1694" s="117" t="str">
        <f t="shared" si="388"/>
        <v>4L</v>
      </c>
      <c r="D1694" s="96"/>
      <c r="E1694" s="98"/>
      <c r="F1694" s="99">
        <f t="shared" si="377"/>
        <v>0</v>
      </c>
      <c r="I1694" s="99">
        <f t="shared" si="374"/>
        <v>0</v>
      </c>
      <c r="L1694" s="99">
        <f t="shared" si="375"/>
        <v>0</v>
      </c>
      <c r="M1694" s="44" t="str">
        <f t="shared" si="378"/>
        <v/>
      </c>
      <c r="N1694" s="100">
        <f t="shared" si="379"/>
        <v>0</v>
      </c>
      <c r="O1694" s="101">
        <f t="shared" si="380"/>
        <v>0</v>
      </c>
      <c r="P1694" s="52">
        <f t="shared" si="381"/>
        <v>0</v>
      </c>
      <c r="Q1694" s="49">
        <v>116.88487613461319</v>
      </c>
      <c r="R1694">
        <v>2225</v>
      </c>
      <c r="S1694" s="50">
        <f t="shared" si="376"/>
        <v>71535.307499999995</v>
      </c>
      <c r="T1694" s="50">
        <f t="shared" si="382"/>
        <v>0</v>
      </c>
      <c r="U1694" s="58">
        <f t="shared" si="383"/>
        <v>0</v>
      </c>
      <c r="V1694" s="58">
        <f t="shared" si="384"/>
        <v>0</v>
      </c>
      <c r="W1694" s="58">
        <f t="shared" si="385"/>
        <v>0</v>
      </c>
      <c r="X1694" s="58">
        <f t="shared" si="386"/>
        <v>0</v>
      </c>
      <c r="Y1694" s="52">
        <f t="shared" si="387"/>
        <v>0</v>
      </c>
    </row>
    <row r="1695" spans="1:25" x14ac:dyDescent="0.25">
      <c r="A1695" s="1218" t="s">
        <v>109</v>
      </c>
      <c r="B1695" s="98">
        <v>45689</v>
      </c>
      <c r="C1695" s="117" t="str">
        <f t="shared" si="388"/>
        <v>4L</v>
      </c>
      <c r="D1695" s="96"/>
      <c r="E1695" s="98"/>
      <c r="F1695" s="99">
        <f t="shared" si="377"/>
        <v>0</v>
      </c>
      <c r="I1695" s="99">
        <f t="shared" si="374"/>
        <v>0</v>
      </c>
      <c r="L1695" s="99">
        <f t="shared" si="375"/>
        <v>0</v>
      </c>
      <c r="M1695" s="44" t="str">
        <f t="shared" si="378"/>
        <v/>
      </c>
      <c r="N1695" s="100">
        <f t="shared" si="379"/>
        <v>0</v>
      </c>
      <c r="O1695" s="101">
        <f t="shared" si="380"/>
        <v>0</v>
      </c>
      <c r="P1695" s="52">
        <f t="shared" si="381"/>
        <v>0</v>
      </c>
      <c r="Q1695" s="49">
        <v>116.88487613461319</v>
      </c>
      <c r="R1695">
        <v>2225</v>
      </c>
      <c r="S1695" s="50">
        <f t="shared" si="376"/>
        <v>71535.307499999995</v>
      </c>
      <c r="T1695" s="50">
        <f t="shared" si="382"/>
        <v>0</v>
      </c>
      <c r="U1695" s="58">
        <f t="shared" si="383"/>
        <v>0</v>
      </c>
      <c r="V1695" s="58">
        <f t="shared" si="384"/>
        <v>0</v>
      </c>
      <c r="W1695" s="58">
        <f t="shared" si="385"/>
        <v>0</v>
      </c>
      <c r="X1695" s="58">
        <f t="shared" si="386"/>
        <v>0</v>
      </c>
      <c r="Y1695" s="52">
        <f t="shared" si="387"/>
        <v>0</v>
      </c>
    </row>
    <row r="1696" spans="1:25" x14ac:dyDescent="0.25">
      <c r="A1696" s="1218" t="s">
        <v>110</v>
      </c>
      <c r="B1696" s="98">
        <v>45689</v>
      </c>
      <c r="C1696" s="117" t="str">
        <f t="shared" si="388"/>
        <v>4L</v>
      </c>
      <c r="D1696" s="96"/>
      <c r="E1696" s="98"/>
      <c r="F1696" s="99">
        <f t="shared" si="377"/>
        <v>0</v>
      </c>
      <c r="I1696" s="99">
        <f t="shared" si="374"/>
        <v>0</v>
      </c>
      <c r="L1696" s="99">
        <f t="shared" si="375"/>
        <v>0</v>
      </c>
      <c r="M1696" s="44" t="str">
        <f t="shared" si="378"/>
        <v/>
      </c>
      <c r="N1696" s="100">
        <f t="shared" si="379"/>
        <v>0</v>
      </c>
      <c r="O1696" s="101">
        <f t="shared" si="380"/>
        <v>0</v>
      </c>
      <c r="P1696" s="52">
        <f t="shared" si="381"/>
        <v>0</v>
      </c>
      <c r="Q1696" s="49">
        <v>116.88487613461319</v>
      </c>
      <c r="R1696">
        <v>2225</v>
      </c>
      <c r="S1696" s="50">
        <f t="shared" si="376"/>
        <v>71535.307499999995</v>
      </c>
      <c r="T1696" s="50">
        <f t="shared" si="382"/>
        <v>0</v>
      </c>
      <c r="U1696" s="58">
        <f t="shared" si="383"/>
        <v>0</v>
      </c>
      <c r="V1696" s="58">
        <f t="shared" si="384"/>
        <v>0</v>
      </c>
      <c r="W1696" s="58">
        <f t="shared" si="385"/>
        <v>0</v>
      </c>
      <c r="X1696" s="58">
        <f t="shared" si="386"/>
        <v>0</v>
      </c>
      <c r="Y1696" s="52">
        <f t="shared" si="387"/>
        <v>0</v>
      </c>
    </row>
    <row r="1697" spans="1:25" x14ac:dyDescent="0.25">
      <c r="A1697" s="1218" t="s">
        <v>111</v>
      </c>
      <c r="B1697" s="98">
        <v>45689</v>
      </c>
      <c r="C1697" s="117" t="str">
        <f t="shared" si="388"/>
        <v>4L</v>
      </c>
      <c r="D1697" s="96"/>
      <c r="E1697" s="98"/>
      <c r="F1697" s="99">
        <f t="shared" si="377"/>
        <v>0</v>
      </c>
      <c r="I1697" s="99">
        <f t="shared" si="374"/>
        <v>0</v>
      </c>
      <c r="L1697" s="99">
        <f t="shared" si="375"/>
        <v>0</v>
      </c>
      <c r="M1697" s="44" t="str">
        <f t="shared" si="378"/>
        <v/>
      </c>
      <c r="N1697" s="100">
        <f t="shared" si="379"/>
        <v>0</v>
      </c>
      <c r="O1697" s="101">
        <f t="shared" si="380"/>
        <v>0</v>
      </c>
      <c r="P1697" s="52">
        <f t="shared" si="381"/>
        <v>0</v>
      </c>
      <c r="Q1697" s="49">
        <v>116.88487613461319</v>
      </c>
      <c r="R1697">
        <v>2225</v>
      </c>
      <c r="S1697" s="50">
        <f t="shared" si="376"/>
        <v>71535.307499999995</v>
      </c>
      <c r="T1697" s="50">
        <f t="shared" si="382"/>
        <v>0</v>
      </c>
      <c r="U1697" s="58">
        <f t="shared" si="383"/>
        <v>0</v>
      </c>
      <c r="V1697" s="58">
        <f t="shared" si="384"/>
        <v>0</v>
      </c>
      <c r="W1697" s="58">
        <f t="shared" si="385"/>
        <v>0</v>
      </c>
      <c r="X1697" s="58">
        <f t="shared" si="386"/>
        <v>0</v>
      </c>
      <c r="Y1697" s="52">
        <f t="shared" si="387"/>
        <v>0</v>
      </c>
    </row>
    <row r="1698" spans="1:25" x14ac:dyDescent="0.25">
      <c r="A1698" s="1218" t="s">
        <v>112</v>
      </c>
      <c r="B1698" s="98">
        <v>45689</v>
      </c>
      <c r="C1698" s="117" t="str">
        <f t="shared" si="388"/>
        <v>4L</v>
      </c>
      <c r="D1698" s="96"/>
      <c r="E1698" s="98"/>
      <c r="F1698" s="99">
        <f t="shared" si="377"/>
        <v>0</v>
      </c>
      <c r="I1698" s="99">
        <f t="shared" si="374"/>
        <v>0</v>
      </c>
      <c r="L1698" s="99">
        <f t="shared" si="375"/>
        <v>0</v>
      </c>
      <c r="M1698" s="44" t="str">
        <f t="shared" si="378"/>
        <v/>
      </c>
      <c r="N1698" s="100">
        <f t="shared" si="379"/>
        <v>0</v>
      </c>
      <c r="O1698" s="101">
        <f t="shared" si="380"/>
        <v>0</v>
      </c>
      <c r="P1698" s="52">
        <f t="shared" si="381"/>
        <v>0</v>
      </c>
      <c r="Q1698" s="49">
        <v>116.88487613461319</v>
      </c>
      <c r="R1698">
        <v>2225</v>
      </c>
      <c r="S1698" s="50">
        <f t="shared" si="376"/>
        <v>71535.307499999995</v>
      </c>
      <c r="T1698" s="50">
        <f t="shared" si="382"/>
        <v>0</v>
      </c>
      <c r="U1698" s="58">
        <f t="shared" si="383"/>
        <v>0</v>
      </c>
      <c r="V1698" s="58">
        <f t="shared" si="384"/>
        <v>0</v>
      </c>
      <c r="W1698" s="58">
        <f t="shared" si="385"/>
        <v>0</v>
      </c>
      <c r="X1698" s="58">
        <f t="shared" si="386"/>
        <v>0</v>
      </c>
      <c r="Y1698" s="52">
        <f t="shared" si="387"/>
        <v>0</v>
      </c>
    </row>
    <row r="1699" spans="1:25" x14ac:dyDescent="0.25">
      <c r="A1699" s="1218" t="s">
        <v>113</v>
      </c>
      <c r="B1699" s="98">
        <v>45689</v>
      </c>
      <c r="C1699" s="117" t="str">
        <f t="shared" si="388"/>
        <v>4L</v>
      </c>
      <c r="D1699">
        <v>345</v>
      </c>
      <c r="E1699">
        <v>2.71</v>
      </c>
      <c r="F1699" s="99">
        <f t="shared" si="377"/>
        <v>0.93494999999999995</v>
      </c>
      <c r="I1699" s="99">
        <f t="shared" si="374"/>
        <v>0</v>
      </c>
      <c r="L1699" s="99">
        <f t="shared" si="375"/>
        <v>0</v>
      </c>
      <c r="M1699" s="44" t="str">
        <f t="shared" si="378"/>
        <v/>
      </c>
      <c r="N1699" s="100">
        <f t="shared" si="379"/>
        <v>0</v>
      </c>
      <c r="O1699" s="101">
        <f t="shared" si="380"/>
        <v>0</v>
      </c>
      <c r="P1699" s="52">
        <f t="shared" si="381"/>
        <v>0</v>
      </c>
      <c r="Q1699" s="49">
        <v>116.88487613461319</v>
      </c>
      <c r="R1699">
        <v>2225</v>
      </c>
      <c r="S1699" s="50">
        <f t="shared" si="376"/>
        <v>71535.307499999995</v>
      </c>
      <c r="T1699" s="50">
        <f t="shared" si="382"/>
        <v>0</v>
      </c>
      <c r="U1699" s="58">
        <f t="shared" si="383"/>
        <v>0</v>
      </c>
      <c r="V1699" s="58">
        <f t="shared" si="384"/>
        <v>0</v>
      </c>
      <c r="W1699" s="58">
        <f t="shared" si="385"/>
        <v>0</v>
      </c>
      <c r="X1699" s="58">
        <f t="shared" si="386"/>
        <v>0</v>
      </c>
      <c r="Y1699" s="52">
        <f t="shared" si="387"/>
        <v>0</v>
      </c>
    </row>
    <row r="1700" spans="1:25" x14ac:dyDescent="0.25">
      <c r="A1700" s="1218" t="s">
        <v>114</v>
      </c>
      <c r="B1700" s="98">
        <v>45689</v>
      </c>
      <c r="C1700" s="117" t="str">
        <f t="shared" si="388"/>
        <v>4L</v>
      </c>
      <c r="D1700" s="118">
        <v>1723</v>
      </c>
      <c r="E1700">
        <v>1.4</v>
      </c>
      <c r="F1700" s="99">
        <f t="shared" si="377"/>
        <v>2.4121999999999999</v>
      </c>
      <c r="I1700" s="99">
        <f t="shared" si="374"/>
        <v>0</v>
      </c>
      <c r="L1700" s="99">
        <f t="shared" si="375"/>
        <v>0</v>
      </c>
      <c r="M1700" s="44" t="str">
        <f t="shared" si="378"/>
        <v/>
      </c>
      <c r="N1700" s="100">
        <f t="shared" si="379"/>
        <v>0</v>
      </c>
      <c r="O1700" s="101">
        <f t="shared" si="380"/>
        <v>0</v>
      </c>
      <c r="P1700" s="52">
        <f t="shared" si="381"/>
        <v>0</v>
      </c>
      <c r="Q1700" s="49">
        <v>116.88487613461319</v>
      </c>
      <c r="R1700">
        <v>2225</v>
      </c>
      <c r="S1700" s="50">
        <f t="shared" si="376"/>
        <v>71535.307499999995</v>
      </c>
      <c r="T1700" s="50">
        <f t="shared" si="382"/>
        <v>0</v>
      </c>
      <c r="U1700" s="58">
        <f t="shared" si="383"/>
        <v>0</v>
      </c>
      <c r="V1700" s="58">
        <f t="shared" si="384"/>
        <v>0</v>
      </c>
      <c r="W1700" s="58">
        <f t="shared" si="385"/>
        <v>0</v>
      </c>
      <c r="X1700" s="58">
        <f t="shared" si="386"/>
        <v>0</v>
      </c>
      <c r="Y1700" s="52">
        <f t="shared" si="387"/>
        <v>0</v>
      </c>
    </row>
    <row r="1701" spans="1:25" x14ac:dyDescent="0.25">
      <c r="A1701" s="1218" t="s">
        <v>115</v>
      </c>
      <c r="B1701" s="98">
        <v>45689</v>
      </c>
      <c r="C1701" s="117" t="str">
        <f t="shared" si="388"/>
        <v>4L</v>
      </c>
      <c r="D1701" s="96"/>
      <c r="E1701" s="98"/>
      <c r="F1701" s="99">
        <f t="shared" si="377"/>
        <v>0</v>
      </c>
      <c r="I1701" s="99">
        <f t="shared" si="374"/>
        <v>0</v>
      </c>
      <c r="L1701" s="99">
        <f t="shared" si="375"/>
        <v>0</v>
      </c>
      <c r="M1701" s="44" t="str">
        <f t="shared" si="378"/>
        <v/>
      </c>
      <c r="N1701" s="100">
        <f t="shared" si="379"/>
        <v>0</v>
      </c>
      <c r="O1701" s="101">
        <f t="shared" si="380"/>
        <v>0</v>
      </c>
      <c r="P1701" s="52">
        <f t="shared" si="381"/>
        <v>0</v>
      </c>
      <c r="Q1701" s="49">
        <v>116.88487613461319</v>
      </c>
      <c r="R1701">
        <v>2225</v>
      </c>
      <c r="S1701" s="50">
        <f t="shared" si="376"/>
        <v>71535.307499999995</v>
      </c>
      <c r="T1701" s="50">
        <f t="shared" si="382"/>
        <v>0</v>
      </c>
      <c r="U1701" s="58">
        <f t="shared" si="383"/>
        <v>0</v>
      </c>
      <c r="V1701" s="58">
        <f t="shared" si="384"/>
        <v>0</v>
      </c>
      <c r="W1701" s="58">
        <f t="shared" si="385"/>
        <v>0</v>
      </c>
      <c r="X1701" s="58">
        <f t="shared" si="386"/>
        <v>0</v>
      </c>
      <c r="Y1701" s="52">
        <f t="shared" si="387"/>
        <v>0</v>
      </c>
    </row>
    <row r="1702" spans="1:25" x14ac:dyDescent="0.25">
      <c r="A1702" s="1218" t="s">
        <v>116</v>
      </c>
      <c r="B1702" s="98">
        <v>45689</v>
      </c>
      <c r="C1702" s="117" t="str">
        <f t="shared" si="388"/>
        <v>4L</v>
      </c>
      <c r="D1702" s="96"/>
      <c r="E1702" s="98"/>
      <c r="F1702" s="99">
        <f t="shared" si="377"/>
        <v>0</v>
      </c>
      <c r="I1702" s="99">
        <f t="shared" si="374"/>
        <v>0</v>
      </c>
      <c r="L1702" s="99">
        <f t="shared" si="375"/>
        <v>0</v>
      </c>
      <c r="M1702" s="44" t="str">
        <f t="shared" si="378"/>
        <v/>
      </c>
      <c r="N1702" s="100">
        <f t="shared" si="379"/>
        <v>0</v>
      </c>
      <c r="O1702" s="101">
        <f t="shared" si="380"/>
        <v>0</v>
      </c>
      <c r="P1702" s="52">
        <f t="shared" si="381"/>
        <v>0</v>
      </c>
      <c r="Q1702" s="49">
        <v>116.88487613461319</v>
      </c>
      <c r="R1702">
        <v>2225</v>
      </c>
      <c r="S1702" s="50">
        <f t="shared" si="376"/>
        <v>71535.307499999995</v>
      </c>
      <c r="T1702" s="50">
        <f t="shared" si="382"/>
        <v>0</v>
      </c>
      <c r="U1702" s="58">
        <f t="shared" si="383"/>
        <v>0</v>
      </c>
      <c r="V1702" s="58">
        <f t="shared" si="384"/>
        <v>0</v>
      </c>
      <c r="W1702" s="58">
        <f t="shared" si="385"/>
        <v>0</v>
      </c>
      <c r="X1702" s="58">
        <f t="shared" si="386"/>
        <v>0</v>
      </c>
      <c r="Y1702" s="52">
        <f t="shared" si="387"/>
        <v>0</v>
      </c>
    </row>
    <row r="1703" spans="1:25" x14ac:dyDescent="0.25">
      <c r="A1703" s="1218" t="s">
        <v>117</v>
      </c>
      <c r="B1703" s="98">
        <v>45689</v>
      </c>
      <c r="C1703" s="117" t="str">
        <f t="shared" si="388"/>
        <v>4L</v>
      </c>
      <c r="D1703" s="96"/>
      <c r="E1703" s="98"/>
      <c r="F1703" s="99">
        <f t="shared" si="377"/>
        <v>0</v>
      </c>
      <c r="I1703" s="99">
        <f t="shared" si="374"/>
        <v>0</v>
      </c>
      <c r="L1703" s="99">
        <f t="shared" si="375"/>
        <v>0</v>
      </c>
      <c r="M1703" s="44" t="str">
        <f t="shared" si="378"/>
        <v/>
      </c>
      <c r="N1703" s="100">
        <f t="shared" si="379"/>
        <v>0</v>
      </c>
      <c r="O1703" s="101">
        <f t="shared" si="380"/>
        <v>0</v>
      </c>
      <c r="P1703" s="52">
        <f t="shared" si="381"/>
        <v>0</v>
      </c>
      <c r="Q1703" s="49">
        <v>116.88487613461319</v>
      </c>
      <c r="R1703">
        <v>2225</v>
      </c>
      <c r="S1703" s="50">
        <f t="shared" si="376"/>
        <v>71535.307499999995</v>
      </c>
      <c r="T1703" s="50">
        <f t="shared" si="382"/>
        <v>0</v>
      </c>
      <c r="U1703" s="58">
        <f t="shared" si="383"/>
        <v>0</v>
      </c>
      <c r="V1703" s="58">
        <f t="shared" si="384"/>
        <v>0</v>
      </c>
      <c r="W1703" s="58">
        <f t="shared" si="385"/>
        <v>0</v>
      </c>
      <c r="X1703" s="58">
        <f t="shared" si="386"/>
        <v>0</v>
      </c>
      <c r="Y1703" s="52">
        <f t="shared" si="387"/>
        <v>0</v>
      </c>
    </row>
    <row r="1704" spans="1:25" x14ac:dyDescent="0.25">
      <c r="A1704" s="1218" t="s">
        <v>118</v>
      </c>
      <c r="B1704" s="98">
        <v>45689</v>
      </c>
      <c r="C1704" s="117" t="str">
        <f t="shared" si="388"/>
        <v>4L</v>
      </c>
      <c r="D1704" s="96"/>
      <c r="E1704" s="98"/>
      <c r="F1704" s="99">
        <f t="shared" si="377"/>
        <v>0</v>
      </c>
      <c r="I1704" s="99">
        <f t="shared" si="374"/>
        <v>0</v>
      </c>
      <c r="L1704" s="99">
        <f t="shared" si="375"/>
        <v>0</v>
      </c>
      <c r="M1704" s="44" t="str">
        <f t="shared" si="378"/>
        <v/>
      </c>
      <c r="N1704" s="100">
        <f t="shared" si="379"/>
        <v>0</v>
      </c>
      <c r="O1704" s="101">
        <f t="shared" si="380"/>
        <v>0</v>
      </c>
      <c r="P1704" s="52">
        <f t="shared" si="381"/>
        <v>0</v>
      </c>
      <c r="Q1704" s="49">
        <v>116.88487613461319</v>
      </c>
      <c r="R1704">
        <v>2225</v>
      </c>
      <c r="S1704" s="50">
        <f t="shared" si="376"/>
        <v>71535.307499999995</v>
      </c>
      <c r="T1704" s="50">
        <f t="shared" si="382"/>
        <v>0</v>
      </c>
      <c r="U1704" s="58">
        <f t="shared" si="383"/>
        <v>0</v>
      </c>
      <c r="V1704" s="58">
        <f t="shared" si="384"/>
        <v>0</v>
      </c>
      <c r="W1704" s="58">
        <f t="shared" si="385"/>
        <v>0</v>
      </c>
      <c r="X1704" s="58">
        <f t="shared" si="386"/>
        <v>0</v>
      </c>
      <c r="Y1704" s="52">
        <f t="shared" si="387"/>
        <v>0</v>
      </c>
    </row>
    <row r="1705" spans="1:25" x14ac:dyDescent="0.25">
      <c r="A1705" s="1218" t="s">
        <v>119</v>
      </c>
      <c r="B1705" s="98">
        <v>45689</v>
      </c>
      <c r="C1705" s="117" t="str">
        <f t="shared" si="388"/>
        <v>4L</v>
      </c>
      <c r="D1705" s="96"/>
      <c r="E1705" s="98"/>
      <c r="F1705" s="99">
        <f t="shared" si="377"/>
        <v>0</v>
      </c>
      <c r="I1705" s="99">
        <f t="shared" si="374"/>
        <v>0</v>
      </c>
      <c r="L1705" s="99">
        <f t="shared" si="375"/>
        <v>0</v>
      </c>
      <c r="M1705" s="44" t="str">
        <f t="shared" si="378"/>
        <v/>
      </c>
      <c r="N1705" s="100">
        <f t="shared" si="379"/>
        <v>0</v>
      </c>
      <c r="O1705" s="101">
        <f t="shared" si="380"/>
        <v>0</v>
      </c>
      <c r="P1705" s="52">
        <f t="shared" si="381"/>
        <v>0</v>
      </c>
      <c r="Q1705" s="49">
        <v>116.88487613461319</v>
      </c>
      <c r="R1705">
        <v>2225</v>
      </c>
      <c r="S1705" s="50">
        <f t="shared" si="376"/>
        <v>71535.307499999995</v>
      </c>
      <c r="T1705" s="50">
        <f t="shared" si="382"/>
        <v>0</v>
      </c>
      <c r="U1705" s="58">
        <f t="shared" si="383"/>
        <v>0</v>
      </c>
      <c r="V1705" s="58">
        <f t="shared" si="384"/>
        <v>0</v>
      </c>
      <c r="W1705" s="58">
        <f t="shared" si="385"/>
        <v>0</v>
      </c>
      <c r="X1705" s="58">
        <f t="shared" si="386"/>
        <v>0</v>
      </c>
      <c r="Y1705" s="52">
        <f t="shared" si="387"/>
        <v>0</v>
      </c>
    </row>
    <row r="1706" spans="1:25" x14ac:dyDescent="0.25">
      <c r="A1706" s="1218" t="s">
        <v>120</v>
      </c>
      <c r="B1706" s="98">
        <v>45689</v>
      </c>
      <c r="C1706" s="117" t="str">
        <f t="shared" si="388"/>
        <v>4L</v>
      </c>
      <c r="D1706" s="96"/>
      <c r="E1706" s="98"/>
      <c r="F1706" s="99">
        <f t="shared" si="377"/>
        <v>0</v>
      </c>
      <c r="I1706" s="99">
        <f t="shared" si="374"/>
        <v>0</v>
      </c>
      <c r="L1706" s="99">
        <f t="shared" si="375"/>
        <v>0</v>
      </c>
      <c r="M1706" s="44" t="str">
        <f t="shared" si="378"/>
        <v/>
      </c>
      <c r="N1706" s="100">
        <f t="shared" si="379"/>
        <v>0</v>
      </c>
      <c r="O1706" s="101">
        <f t="shared" si="380"/>
        <v>0</v>
      </c>
      <c r="P1706" s="52">
        <f t="shared" si="381"/>
        <v>0</v>
      </c>
      <c r="Q1706" s="49">
        <v>116.88487613461319</v>
      </c>
      <c r="R1706">
        <v>2225</v>
      </c>
      <c r="S1706" s="50">
        <f t="shared" si="376"/>
        <v>71535.307499999995</v>
      </c>
      <c r="T1706" s="50">
        <f t="shared" si="382"/>
        <v>0</v>
      </c>
      <c r="U1706" s="58">
        <f t="shared" si="383"/>
        <v>0</v>
      </c>
      <c r="V1706" s="58">
        <f t="shared" si="384"/>
        <v>0</v>
      </c>
      <c r="W1706" s="58">
        <f t="shared" si="385"/>
        <v>0</v>
      </c>
      <c r="X1706" s="58">
        <f t="shared" si="386"/>
        <v>0</v>
      </c>
      <c r="Y1706" s="52">
        <f t="shared" si="387"/>
        <v>0</v>
      </c>
    </row>
    <row r="1707" spans="1:25" x14ac:dyDescent="0.25">
      <c r="A1707" s="1218" t="s">
        <v>121</v>
      </c>
      <c r="B1707" s="98">
        <v>45689</v>
      </c>
      <c r="C1707" s="117" t="str">
        <f t="shared" si="388"/>
        <v>4L</v>
      </c>
      <c r="D1707" s="96"/>
      <c r="E1707" s="98"/>
      <c r="F1707" s="99">
        <f t="shared" si="377"/>
        <v>0</v>
      </c>
      <c r="I1707" s="99">
        <f t="shared" si="374"/>
        <v>0</v>
      </c>
      <c r="L1707" s="99">
        <f t="shared" si="375"/>
        <v>0</v>
      </c>
      <c r="M1707" s="44" t="str">
        <f t="shared" si="378"/>
        <v/>
      </c>
      <c r="N1707" s="100">
        <f t="shared" si="379"/>
        <v>0</v>
      </c>
      <c r="O1707" s="101">
        <f t="shared" si="380"/>
        <v>0</v>
      </c>
      <c r="P1707" s="52">
        <f t="shared" si="381"/>
        <v>0</v>
      </c>
      <c r="Q1707" s="49">
        <v>116.88487613461319</v>
      </c>
      <c r="R1707">
        <v>2225</v>
      </c>
      <c r="S1707" s="50">
        <f t="shared" si="376"/>
        <v>71535.307499999995</v>
      </c>
      <c r="T1707" s="50">
        <f t="shared" si="382"/>
        <v>0</v>
      </c>
      <c r="U1707" s="58">
        <f t="shared" si="383"/>
        <v>0</v>
      </c>
      <c r="V1707" s="58">
        <f t="shared" si="384"/>
        <v>0</v>
      </c>
      <c r="W1707" s="58">
        <f t="shared" si="385"/>
        <v>0</v>
      </c>
      <c r="X1707" s="58">
        <f t="shared" si="386"/>
        <v>0</v>
      </c>
      <c r="Y1707" s="52">
        <f t="shared" si="387"/>
        <v>0</v>
      </c>
    </row>
    <row r="1708" spans="1:25" x14ac:dyDescent="0.25">
      <c r="A1708" s="1218" t="s">
        <v>122</v>
      </c>
      <c r="B1708" s="98">
        <v>45689</v>
      </c>
      <c r="C1708" s="117" t="str">
        <f t="shared" si="388"/>
        <v>4L</v>
      </c>
      <c r="D1708" s="96"/>
      <c r="E1708" s="98"/>
      <c r="F1708" s="99">
        <f t="shared" si="377"/>
        <v>0</v>
      </c>
      <c r="I1708" s="99">
        <f t="shared" si="374"/>
        <v>0</v>
      </c>
      <c r="L1708" s="99">
        <f t="shared" si="375"/>
        <v>0</v>
      </c>
      <c r="M1708" s="44" t="str">
        <f t="shared" si="378"/>
        <v/>
      </c>
      <c r="N1708" s="100">
        <f t="shared" si="379"/>
        <v>0</v>
      </c>
      <c r="O1708" s="101">
        <f t="shared" si="380"/>
        <v>0</v>
      </c>
      <c r="P1708" s="52">
        <f t="shared" si="381"/>
        <v>0</v>
      </c>
      <c r="Q1708" s="49">
        <v>116.88487613461319</v>
      </c>
      <c r="R1708">
        <v>2225</v>
      </c>
      <c r="S1708" s="50">
        <f t="shared" si="376"/>
        <v>71535.307499999995</v>
      </c>
      <c r="T1708" s="50">
        <f t="shared" si="382"/>
        <v>0</v>
      </c>
      <c r="U1708" s="58">
        <f t="shared" si="383"/>
        <v>0</v>
      </c>
      <c r="V1708" s="58">
        <f t="shared" si="384"/>
        <v>0</v>
      </c>
      <c r="W1708" s="58">
        <f t="shared" si="385"/>
        <v>0</v>
      </c>
      <c r="X1708" s="58">
        <f t="shared" si="386"/>
        <v>0</v>
      </c>
      <c r="Y1708" s="52">
        <f t="shared" si="387"/>
        <v>0</v>
      </c>
    </row>
    <row r="1709" spans="1:25" x14ac:dyDescent="0.25">
      <c r="A1709" s="1218" t="s">
        <v>123</v>
      </c>
      <c r="B1709" s="98">
        <v>45689</v>
      </c>
      <c r="C1709" s="117" t="str">
        <f t="shared" si="388"/>
        <v>4L</v>
      </c>
      <c r="D1709" s="96"/>
      <c r="E1709" s="98"/>
      <c r="F1709" s="99">
        <f t="shared" si="377"/>
        <v>0</v>
      </c>
      <c r="I1709" s="99">
        <f t="shared" si="374"/>
        <v>0</v>
      </c>
      <c r="L1709" s="99">
        <f t="shared" si="375"/>
        <v>0</v>
      </c>
      <c r="M1709" s="44" t="str">
        <f t="shared" si="378"/>
        <v/>
      </c>
      <c r="N1709" s="100">
        <f t="shared" si="379"/>
        <v>0</v>
      </c>
      <c r="O1709" s="101">
        <f t="shared" si="380"/>
        <v>0</v>
      </c>
      <c r="P1709" s="52">
        <f t="shared" si="381"/>
        <v>0</v>
      </c>
      <c r="Q1709" s="49">
        <v>116.88487613461319</v>
      </c>
      <c r="R1709">
        <v>2225</v>
      </c>
      <c r="S1709" s="50">
        <f t="shared" si="376"/>
        <v>71535.307499999995</v>
      </c>
      <c r="T1709" s="50">
        <f t="shared" si="382"/>
        <v>0</v>
      </c>
      <c r="U1709" s="58">
        <f t="shared" si="383"/>
        <v>0</v>
      </c>
      <c r="V1709" s="58">
        <f t="shared" si="384"/>
        <v>0</v>
      </c>
      <c r="W1709" s="58">
        <f t="shared" si="385"/>
        <v>0</v>
      </c>
      <c r="X1709" s="58">
        <f t="shared" si="386"/>
        <v>0</v>
      </c>
      <c r="Y1709" s="52">
        <f t="shared" si="387"/>
        <v>0</v>
      </c>
    </row>
    <row r="1710" spans="1:25" x14ac:dyDescent="0.25">
      <c r="A1710" s="1218" t="s">
        <v>124</v>
      </c>
      <c r="B1710" s="98">
        <v>45689</v>
      </c>
      <c r="C1710" s="117" t="str">
        <f t="shared" si="388"/>
        <v>4L</v>
      </c>
      <c r="D1710" s="96"/>
      <c r="E1710" s="98"/>
      <c r="F1710" s="99">
        <f t="shared" si="377"/>
        <v>0</v>
      </c>
      <c r="I1710" s="99">
        <f t="shared" si="374"/>
        <v>0</v>
      </c>
      <c r="L1710" s="99">
        <f t="shared" si="375"/>
        <v>0</v>
      </c>
      <c r="M1710" s="44" t="str">
        <f t="shared" si="378"/>
        <v/>
      </c>
      <c r="N1710" s="100">
        <f>J1711-G1710</f>
        <v>5794</v>
      </c>
      <c r="O1710" s="101">
        <f t="shared" si="380"/>
        <v>0</v>
      </c>
      <c r="P1710" s="52">
        <f t="shared" si="381"/>
        <v>-677230.97232394887</v>
      </c>
      <c r="Q1710" s="49">
        <v>116.88487613461319</v>
      </c>
      <c r="R1710">
        <v>2225</v>
      </c>
      <c r="S1710" s="50">
        <f t="shared" si="376"/>
        <v>71535.307499999995</v>
      </c>
      <c r="T1710" s="50">
        <f t="shared" si="382"/>
        <v>0</v>
      </c>
      <c r="U1710" s="58">
        <f t="shared" si="383"/>
        <v>0</v>
      </c>
      <c r="V1710" s="58">
        <f t="shared" si="384"/>
        <v>0</v>
      </c>
      <c r="W1710" s="58">
        <f>IFERROR(Q1710*J1711,"")</f>
        <v>677230.97232394887</v>
      </c>
      <c r="X1710" s="58">
        <f t="shared" si="386"/>
        <v>0</v>
      </c>
      <c r="Y1710" s="52">
        <f t="shared" si="387"/>
        <v>-677230.97232394887</v>
      </c>
    </row>
    <row r="1711" spans="1:25" x14ac:dyDescent="0.25">
      <c r="A1711" s="1218" t="s">
        <v>125</v>
      </c>
      <c r="B1711" s="98">
        <v>45689</v>
      </c>
      <c r="C1711" s="117" t="str">
        <f t="shared" ref="C1711:C1713" si="389">LEFT(A1711,2)</f>
        <v>4L</v>
      </c>
      <c r="D1711" s="118">
        <v>2921</v>
      </c>
      <c r="E1711">
        <v>1.81</v>
      </c>
      <c r="F1711" s="99">
        <f t="shared" si="377"/>
        <v>5.2870100000000004</v>
      </c>
      <c r="G1711" s="82">
        <f>'[6]Underground Breaking Plan'!$C$44</f>
        <v>2940</v>
      </c>
      <c r="H1711" s="40">
        <f>'[6]Underground Breaking Plan'!$C$45</f>
        <v>3.54</v>
      </c>
      <c r="I1711" s="99">
        <f t="shared" si="374"/>
        <v>10.4076</v>
      </c>
      <c r="J1711" s="118">
        <f>[7]Generation!$D$15</f>
        <v>5794</v>
      </c>
      <c r="K1711" s="358">
        <f>[7]Generation!$E$15</f>
        <v>2.9553227476700035</v>
      </c>
      <c r="L1711" s="99">
        <f t="shared" si="375"/>
        <v>17.123139999999999</v>
      </c>
      <c r="M1711" s="44">
        <f t="shared" si="378"/>
        <v>0.64525346861908595</v>
      </c>
      <c r="N1711" s="100">
        <f>J1715-G1711</f>
        <v>-1835</v>
      </c>
      <c r="O1711" s="101">
        <f>L1711-I1711</f>
        <v>6.715539999999999</v>
      </c>
      <c r="P1711" s="52" t="e">
        <f>U1711-W1711</f>
        <v>#VALUE!</v>
      </c>
      <c r="Q1711" s="49">
        <v>116.88487613461319</v>
      </c>
      <c r="R1711">
        <v>2225</v>
      </c>
      <c r="S1711" s="50">
        <f t="shared" si="376"/>
        <v>71535.307499999995</v>
      </c>
      <c r="T1711" s="50">
        <f t="shared" si="382"/>
        <v>744510.86633699993</v>
      </c>
      <c r="U1711" s="58">
        <f t="shared" si="383"/>
        <v>1224909.0852655498</v>
      </c>
      <c r="V1711" s="58">
        <f t="shared" si="384"/>
        <v>343641.5358357628</v>
      </c>
      <c r="W1711" s="58" t="str">
        <f>IFERROR(Q1711*#REF!,"")</f>
        <v/>
      </c>
      <c r="X1711" s="58">
        <f t="shared" si="386"/>
        <v>400869.33050123713</v>
      </c>
      <c r="Y1711" s="52" t="e">
        <f t="shared" si="387"/>
        <v>#VALUE!</v>
      </c>
    </row>
    <row r="1712" spans="1:25" x14ac:dyDescent="0.25">
      <c r="A1712" s="1218" t="s">
        <v>126</v>
      </c>
      <c r="B1712" s="98">
        <v>45689</v>
      </c>
      <c r="C1712" s="117" t="str">
        <f t="shared" si="389"/>
        <v>4L</v>
      </c>
      <c r="D1712" s="118"/>
      <c r="F1712" s="99"/>
      <c r="G1712" s="82"/>
      <c r="H1712" s="40"/>
      <c r="I1712" s="99"/>
      <c r="J1712" s="118"/>
      <c r="K1712" s="358"/>
      <c r="L1712" s="99">
        <f t="shared" si="375"/>
        <v>0</v>
      </c>
      <c r="M1712" s="44"/>
      <c r="N1712" s="100"/>
      <c r="O1712" s="101"/>
      <c r="P1712" s="52"/>
      <c r="Q1712" s="49"/>
      <c r="S1712" s="50"/>
      <c r="T1712" s="50"/>
      <c r="U1712" s="58"/>
      <c r="V1712" s="58"/>
      <c r="W1712" s="58"/>
      <c r="X1712" s="58"/>
      <c r="Y1712" s="52"/>
    </row>
    <row r="1713" spans="1:25" x14ac:dyDescent="0.25">
      <c r="A1713" s="1218" t="s">
        <v>127</v>
      </c>
      <c r="B1713" s="98">
        <v>45689</v>
      </c>
      <c r="C1713" s="117" t="str">
        <f t="shared" si="389"/>
        <v>4L</v>
      </c>
      <c r="D1713" s="118"/>
      <c r="F1713" s="99">
        <f t="shared" si="377"/>
        <v>0</v>
      </c>
      <c r="G1713" s="82"/>
      <c r="H1713" s="40"/>
      <c r="I1713" s="99">
        <f t="shared" si="374"/>
        <v>0</v>
      </c>
      <c r="J1713" s="118"/>
      <c r="L1713" s="99">
        <f t="shared" si="375"/>
        <v>0</v>
      </c>
      <c r="M1713" s="44"/>
      <c r="N1713" s="100"/>
      <c r="O1713" s="101"/>
      <c r="P1713" s="52"/>
      <c r="Q1713" s="49"/>
      <c r="S1713" s="50"/>
      <c r="T1713" s="50"/>
      <c r="U1713" s="58"/>
      <c r="V1713" s="58"/>
      <c r="W1713" s="58"/>
      <c r="X1713" s="58"/>
      <c r="Y1713" s="52"/>
    </row>
    <row r="1714" spans="1:25" x14ac:dyDescent="0.25">
      <c r="A1714" s="1218" t="s">
        <v>128</v>
      </c>
      <c r="B1714" s="98">
        <v>45689</v>
      </c>
      <c r="C1714" s="117" t="str">
        <f t="shared" si="388"/>
        <v>4L</v>
      </c>
      <c r="D1714" s="118"/>
      <c r="F1714" s="99">
        <f t="shared" si="377"/>
        <v>0</v>
      </c>
      <c r="G1714" s="82"/>
      <c r="H1714" s="40"/>
      <c r="I1714" s="99">
        <f t="shared" si="374"/>
        <v>0</v>
      </c>
      <c r="K1714" s="63"/>
      <c r="L1714" s="99">
        <f t="shared" si="375"/>
        <v>0</v>
      </c>
      <c r="M1714" s="44"/>
      <c r="N1714" s="100"/>
      <c r="O1714" s="101"/>
      <c r="P1714" s="52"/>
      <c r="Q1714" s="49"/>
      <c r="S1714" s="50"/>
      <c r="T1714" s="50"/>
      <c r="U1714" s="58"/>
      <c r="V1714" s="58"/>
      <c r="W1714" s="58"/>
      <c r="X1714" s="58"/>
      <c r="Y1714" s="52"/>
    </row>
    <row r="1715" spans="1:25" x14ac:dyDescent="0.25">
      <c r="A1715" s="1218" t="s">
        <v>129</v>
      </c>
      <c r="B1715" s="98">
        <v>45689</v>
      </c>
      <c r="C1715" s="117" t="str">
        <f t="shared" si="388"/>
        <v>4L</v>
      </c>
      <c r="D1715" s="96"/>
      <c r="E1715" s="98"/>
      <c r="F1715" s="99">
        <f t="shared" si="377"/>
        <v>0</v>
      </c>
      <c r="G1715" s="82">
        <f>'[6]Underground Breaking Plan'!$C$42</f>
        <v>1960</v>
      </c>
      <c r="H1715" s="40">
        <f>'[6]Underground Breaking Plan'!$C$43</f>
        <v>1.31</v>
      </c>
      <c r="I1715" s="99">
        <f t="shared" si="374"/>
        <v>2.5676000000000001</v>
      </c>
      <c r="J1715">
        <f>[7]Generation!$D$16</f>
        <v>1105</v>
      </c>
      <c r="K1715" s="63">
        <f>[7]Generation!$E$16</f>
        <v>1.0324524886877826</v>
      </c>
      <c r="L1715" s="99">
        <f t="shared" si="375"/>
        <v>1.1408599999999998</v>
      </c>
      <c r="M1715" s="44">
        <f t="shared" si="378"/>
        <v>-0.55567066521265007</v>
      </c>
      <c r="N1715" s="100">
        <f t="shared" si="379"/>
        <v>-855</v>
      </c>
      <c r="O1715" s="101">
        <f t="shared" si="380"/>
        <v>-1.4267400000000003</v>
      </c>
      <c r="P1715" s="52">
        <f t="shared" si="381"/>
        <v>-47546.017214297593</v>
      </c>
      <c r="Q1715" s="49">
        <v>116.88487613461319</v>
      </c>
      <c r="R1715">
        <v>2225</v>
      </c>
      <c r="S1715" s="50">
        <f t="shared" si="376"/>
        <v>71535.307499999995</v>
      </c>
      <c r="T1715" s="50">
        <f t="shared" si="382"/>
        <v>183674.05553700001</v>
      </c>
      <c r="U1715" s="58">
        <f t="shared" si="383"/>
        <v>81611.770914449982</v>
      </c>
      <c r="V1715" s="58">
        <f t="shared" si="384"/>
        <v>229094.35722384186</v>
      </c>
      <c r="W1715" s="58">
        <f t="shared" si="385"/>
        <v>129157.78812874758</v>
      </c>
      <c r="X1715" s="58">
        <f t="shared" si="386"/>
        <v>-45420.301686841849</v>
      </c>
      <c r="Y1715" s="52">
        <f t="shared" si="387"/>
        <v>-47546.017214297593</v>
      </c>
    </row>
    <row r="1716" spans="1:25" x14ac:dyDescent="0.25">
      <c r="A1716" s="1218" t="s">
        <v>130</v>
      </c>
      <c r="B1716" s="98">
        <v>45689</v>
      </c>
      <c r="C1716" s="117" t="str">
        <f t="shared" si="388"/>
        <v>5L</v>
      </c>
      <c r="D1716" s="96"/>
      <c r="E1716" s="98"/>
      <c r="F1716" s="99">
        <f t="shared" si="377"/>
        <v>0</v>
      </c>
      <c r="I1716" s="99">
        <f t="shared" si="374"/>
        <v>0</v>
      </c>
      <c r="L1716" s="99">
        <f t="shared" si="375"/>
        <v>0</v>
      </c>
      <c r="M1716" s="44" t="str">
        <f t="shared" si="378"/>
        <v/>
      </c>
      <c r="N1716" s="100">
        <f t="shared" si="379"/>
        <v>0</v>
      </c>
      <c r="O1716" s="101">
        <f t="shared" si="380"/>
        <v>0</v>
      </c>
      <c r="P1716" s="52">
        <f t="shared" si="381"/>
        <v>0</v>
      </c>
      <c r="Q1716" s="49">
        <v>116.88487613461319</v>
      </c>
      <c r="R1716">
        <v>2225</v>
      </c>
      <c r="S1716" s="50">
        <f t="shared" si="376"/>
        <v>71535.307499999995</v>
      </c>
      <c r="T1716" s="50">
        <f t="shared" si="382"/>
        <v>0</v>
      </c>
      <c r="U1716" s="58">
        <f t="shared" si="383"/>
        <v>0</v>
      </c>
      <c r="V1716" s="58">
        <f t="shared" si="384"/>
        <v>0</v>
      </c>
      <c r="W1716" s="58">
        <f t="shared" si="385"/>
        <v>0</v>
      </c>
      <c r="X1716" s="58">
        <f t="shared" si="386"/>
        <v>0</v>
      </c>
      <c r="Y1716" s="52">
        <f t="shared" si="387"/>
        <v>0</v>
      </c>
    </row>
    <row r="1717" spans="1:25" x14ac:dyDescent="0.25">
      <c r="A1717" s="1218" t="s">
        <v>131</v>
      </c>
      <c r="B1717" s="98">
        <v>45689</v>
      </c>
      <c r="C1717" s="117" t="str">
        <f t="shared" si="388"/>
        <v>5L</v>
      </c>
      <c r="D1717" s="96"/>
      <c r="E1717" s="98"/>
      <c r="F1717" s="99">
        <f t="shared" si="377"/>
        <v>0</v>
      </c>
      <c r="I1717" s="99">
        <f t="shared" si="374"/>
        <v>0</v>
      </c>
      <c r="L1717" s="99">
        <f t="shared" si="375"/>
        <v>0</v>
      </c>
      <c r="M1717" s="44" t="str">
        <f t="shared" si="378"/>
        <v/>
      </c>
      <c r="N1717" s="100">
        <f t="shared" si="379"/>
        <v>0</v>
      </c>
      <c r="O1717" s="101">
        <f t="shared" si="380"/>
        <v>0</v>
      </c>
      <c r="P1717" s="52">
        <f t="shared" si="381"/>
        <v>0</v>
      </c>
      <c r="Q1717" s="49">
        <v>116.88487613461319</v>
      </c>
      <c r="R1717">
        <v>2225</v>
      </c>
      <c r="S1717" s="50">
        <f t="shared" si="376"/>
        <v>71535.307499999995</v>
      </c>
      <c r="T1717" s="50">
        <f t="shared" si="382"/>
        <v>0</v>
      </c>
      <c r="U1717" s="58">
        <f t="shared" si="383"/>
        <v>0</v>
      </c>
      <c r="V1717" s="58">
        <f t="shared" si="384"/>
        <v>0</v>
      </c>
      <c r="W1717" s="58">
        <f t="shared" si="385"/>
        <v>0</v>
      </c>
      <c r="X1717" s="58">
        <f t="shared" si="386"/>
        <v>0</v>
      </c>
      <c r="Y1717" s="52">
        <f t="shared" si="387"/>
        <v>0</v>
      </c>
    </row>
    <row r="1718" spans="1:25" x14ac:dyDescent="0.25">
      <c r="A1718" s="1218" t="s">
        <v>132</v>
      </c>
      <c r="B1718" s="98">
        <v>45689</v>
      </c>
      <c r="C1718" s="117" t="str">
        <f t="shared" si="388"/>
        <v>5L</v>
      </c>
      <c r="D1718" s="96"/>
      <c r="E1718" s="98"/>
      <c r="F1718" s="99">
        <f t="shared" si="377"/>
        <v>0</v>
      </c>
      <c r="I1718" s="99">
        <f t="shared" si="374"/>
        <v>0</v>
      </c>
      <c r="L1718" s="99">
        <f t="shared" si="375"/>
        <v>0</v>
      </c>
      <c r="M1718" s="44" t="str">
        <f t="shared" si="378"/>
        <v/>
      </c>
      <c r="N1718" s="100">
        <f t="shared" si="379"/>
        <v>0</v>
      </c>
      <c r="O1718" s="101">
        <f t="shared" si="380"/>
        <v>0</v>
      </c>
      <c r="P1718" s="52">
        <f t="shared" si="381"/>
        <v>0</v>
      </c>
      <c r="Q1718" s="49">
        <v>116.88487613461319</v>
      </c>
      <c r="R1718">
        <v>2225</v>
      </c>
      <c r="S1718" s="50">
        <f t="shared" si="376"/>
        <v>71535.307499999995</v>
      </c>
      <c r="T1718" s="50">
        <f t="shared" si="382"/>
        <v>0</v>
      </c>
      <c r="U1718" s="58">
        <f t="shared" si="383"/>
        <v>0</v>
      </c>
      <c r="V1718" s="58">
        <f t="shared" si="384"/>
        <v>0</v>
      </c>
      <c r="W1718" s="58">
        <f t="shared" si="385"/>
        <v>0</v>
      </c>
      <c r="X1718" s="58">
        <f t="shared" si="386"/>
        <v>0</v>
      </c>
      <c r="Y1718" s="52">
        <f t="shared" si="387"/>
        <v>0</v>
      </c>
    </row>
    <row r="1719" spans="1:25" x14ac:dyDescent="0.25">
      <c r="A1719" s="1218" t="s">
        <v>133</v>
      </c>
      <c r="B1719" s="98">
        <v>45689</v>
      </c>
      <c r="C1719" s="117" t="str">
        <f t="shared" si="388"/>
        <v>5L</v>
      </c>
      <c r="D1719" s="96"/>
      <c r="E1719" s="98"/>
      <c r="F1719" s="99">
        <f t="shared" si="377"/>
        <v>0</v>
      </c>
      <c r="I1719" s="99">
        <f t="shared" si="374"/>
        <v>0</v>
      </c>
      <c r="L1719" s="99">
        <f t="shared" si="375"/>
        <v>0</v>
      </c>
      <c r="M1719" s="44" t="str">
        <f t="shared" si="378"/>
        <v/>
      </c>
      <c r="N1719" s="100">
        <f t="shared" si="379"/>
        <v>0</v>
      </c>
      <c r="O1719" s="101">
        <f t="shared" si="380"/>
        <v>0</v>
      </c>
      <c r="P1719" s="52">
        <f t="shared" si="381"/>
        <v>0</v>
      </c>
      <c r="Q1719" s="49">
        <v>116.88487613461319</v>
      </c>
      <c r="R1719">
        <v>2225</v>
      </c>
      <c r="S1719" s="50">
        <f t="shared" si="376"/>
        <v>71535.307499999995</v>
      </c>
      <c r="T1719" s="50">
        <f t="shared" si="382"/>
        <v>0</v>
      </c>
      <c r="U1719" s="58">
        <f t="shared" si="383"/>
        <v>0</v>
      </c>
      <c r="V1719" s="58">
        <f t="shared" si="384"/>
        <v>0</v>
      </c>
      <c r="W1719" s="58">
        <f t="shared" si="385"/>
        <v>0</v>
      </c>
      <c r="X1719" s="58">
        <f t="shared" si="386"/>
        <v>0</v>
      </c>
      <c r="Y1719" s="52">
        <f t="shared" si="387"/>
        <v>0</v>
      </c>
    </row>
    <row r="1720" spans="1:25" x14ac:dyDescent="0.25">
      <c r="A1720" s="1218" t="s">
        <v>134</v>
      </c>
      <c r="B1720" s="98">
        <v>45689</v>
      </c>
      <c r="C1720" s="117" t="str">
        <f t="shared" si="388"/>
        <v>5L</v>
      </c>
      <c r="D1720" s="96"/>
      <c r="E1720" s="98"/>
      <c r="F1720" s="99">
        <f t="shared" si="377"/>
        <v>0</v>
      </c>
      <c r="I1720" s="99">
        <f t="shared" si="374"/>
        <v>0</v>
      </c>
      <c r="L1720" s="99">
        <f t="shared" si="375"/>
        <v>0</v>
      </c>
      <c r="M1720" s="44" t="str">
        <f t="shared" si="378"/>
        <v/>
      </c>
      <c r="N1720" s="100">
        <f t="shared" si="379"/>
        <v>0</v>
      </c>
      <c r="O1720" s="101">
        <f t="shared" si="380"/>
        <v>0</v>
      </c>
      <c r="P1720" s="52">
        <f t="shared" si="381"/>
        <v>0</v>
      </c>
      <c r="Q1720" s="49">
        <v>116.88487613461319</v>
      </c>
      <c r="R1720">
        <v>2225</v>
      </c>
      <c r="S1720" s="50">
        <f t="shared" si="376"/>
        <v>71535.307499999995</v>
      </c>
      <c r="T1720" s="50">
        <f t="shared" si="382"/>
        <v>0</v>
      </c>
      <c r="U1720" s="58">
        <f t="shared" si="383"/>
        <v>0</v>
      </c>
      <c r="V1720" s="58">
        <f t="shared" si="384"/>
        <v>0</v>
      </c>
      <c r="W1720" s="58">
        <f t="shared" si="385"/>
        <v>0</v>
      </c>
      <c r="X1720" s="58">
        <f t="shared" si="386"/>
        <v>0</v>
      </c>
      <c r="Y1720" s="52">
        <f t="shared" si="387"/>
        <v>0</v>
      </c>
    </row>
    <row r="1721" spans="1:25" x14ac:dyDescent="0.25">
      <c r="A1721" s="1218" t="s">
        <v>135</v>
      </c>
      <c r="B1721" s="98">
        <v>45689</v>
      </c>
      <c r="C1721" s="117" t="str">
        <f t="shared" si="388"/>
        <v>5L</v>
      </c>
      <c r="D1721">
        <v>1723</v>
      </c>
      <c r="E1721">
        <v>0.82</v>
      </c>
      <c r="F1721" s="99">
        <f t="shared" si="377"/>
        <v>1.41286</v>
      </c>
      <c r="I1721" s="99">
        <f t="shared" si="374"/>
        <v>0</v>
      </c>
      <c r="L1721" s="99">
        <f t="shared" si="375"/>
        <v>0</v>
      </c>
      <c r="M1721" s="44" t="str">
        <f t="shared" si="378"/>
        <v/>
      </c>
      <c r="N1721" s="100">
        <f t="shared" si="379"/>
        <v>0</v>
      </c>
      <c r="O1721" s="101">
        <f t="shared" si="380"/>
        <v>0</v>
      </c>
      <c r="P1721" s="52">
        <f t="shared" si="381"/>
        <v>0</v>
      </c>
      <c r="Q1721" s="49">
        <v>116.88487613461319</v>
      </c>
      <c r="R1721">
        <v>2225</v>
      </c>
      <c r="S1721" s="50">
        <f t="shared" si="376"/>
        <v>71535.307499999995</v>
      </c>
      <c r="T1721" s="50">
        <f t="shared" si="382"/>
        <v>0</v>
      </c>
      <c r="U1721" s="58">
        <f t="shared" si="383"/>
        <v>0</v>
      </c>
      <c r="V1721" s="58">
        <f t="shared" si="384"/>
        <v>0</v>
      </c>
      <c r="W1721" s="58">
        <f t="shared" si="385"/>
        <v>0</v>
      </c>
      <c r="X1721" s="58">
        <f t="shared" si="386"/>
        <v>0</v>
      </c>
      <c r="Y1721" s="52">
        <f t="shared" si="387"/>
        <v>0</v>
      </c>
    </row>
    <row r="1722" spans="1:25" x14ac:dyDescent="0.25">
      <c r="A1722" s="1218" t="s">
        <v>136</v>
      </c>
      <c r="B1722" s="98">
        <v>45689</v>
      </c>
      <c r="C1722" s="117" t="str">
        <f t="shared" si="388"/>
        <v>5L</v>
      </c>
      <c r="D1722" s="96"/>
      <c r="E1722" s="98"/>
      <c r="F1722" s="99">
        <f t="shared" si="377"/>
        <v>0</v>
      </c>
      <c r="I1722" s="99">
        <f t="shared" si="374"/>
        <v>0</v>
      </c>
      <c r="L1722" s="99">
        <f t="shared" si="375"/>
        <v>0</v>
      </c>
      <c r="M1722" s="44" t="str">
        <f t="shared" si="378"/>
        <v/>
      </c>
      <c r="N1722" s="100">
        <f t="shared" si="379"/>
        <v>0</v>
      </c>
      <c r="O1722" s="101">
        <f t="shared" si="380"/>
        <v>0</v>
      </c>
      <c r="P1722" s="52">
        <f t="shared" si="381"/>
        <v>0</v>
      </c>
      <c r="Q1722" s="49">
        <v>116.88487613461319</v>
      </c>
      <c r="R1722">
        <v>2225</v>
      </c>
      <c r="S1722" s="50">
        <f t="shared" si="376"/>
        <v>71535.307499999995</v>
      </c>
      <c r="T1722" s="50">
        <f t="shared" si="382"/>
        <v>0</v>
      </c>
      <c r="U1722" s="58">
        <f t="shared" si="383"/>
        <v>0</v>
      </c>
      <c r="V1722" s="58">
        <f t="shared" si="384"/>
        <v>0</v>
      </c>
      <c r="W1722" s="58">
        <f t="shared" si="385"/>
        <v>0</v>
      </c>
      <c r="X1722" s="58">
        <f t="shared" si="386"/>
        <v>0</v>
      </c>
      <c r="Y1722" s="52">
        <f t="shared" si="387"/>
        <v>0</v>
      </c>
    </row>
    <row r="1723" spans="1:25" x14ac:dyDescent="0.25">
      <c r="A1723" s="1218" t="s">
        <v>137</v>
      </c>
      <c r="B1723" s="98">
        <v>45689</v>
      </c>
      <c r="C1723" s="117" t="str">
        <f t="shared" si="388"/>
        <v>5L</v>
      </c>
      <c r="D1723">
        <v>1010</v>
      </c>
      <c r="E1723">
        <v>0.53</v>
      </c>
      <c r="F1723" s="99">
        <f t="shared" si="377"/>
        <v>0.53530000000000011</v>
      </c>
      <c r="G1723">
        <f>'[6]Underground Breaking Plan'!$C$48</f>
        <v>1960</v>
      </c>
      <c r="H1723" s="49">
        <f>'[6]Underground Breaking Plan'!$C$49</f>
        <v>1.6900000000000008</v>
      </c>
      <c r="I1723" s="99">
        <f t="shared" si="374"/>
        <v>3.3124000000000016</v>
      </c>
      <c r="J1723">
        <f>[7]Generation!$D$19</f>
        <v>2689</v>
      </c>
      <c r="K1723" s="49">
        <f>[7]Generation!$E$19</f>
        <v>2.1631721829676462</v>
      </c>
      <c r="L1723" s="99">
        <f t="shared" si="375"/>
        <v>5.81677</v>
      </c>
      <c r="M1723" s="44">
        <f>IFERROR((L1724-I1723)/I1723,"")</f>
        <v>-1</v>
      </c>
      <c r="N1723" s="100">
        <f>J1724-G1723</f>
        <v>-1960</v>
      </c>
      <c r="O1723" s="101">
        <f>L1724-I1723</f>
        <v>-3.3124000000000016</v>
      </c>
      <c r="P1723" s="52">
        <f t="shared" si="381"/>
        <v>0</v>
      </c>
      <c r="Q1723" s="49">
        <v>116.88487613461319</v>
      </c>
      <c r="R1723">
        <v>2225</v>
      </c>
      <c r="S1723" s="50">
        <f t="shared" si="376"/>
        <v>71535.307499999995</v>
      </c>
      <c r="T1723" s="50">
        <f t="shared" si="382"/>
        <v>236953.55256300009</v>
      </c>
      <c r="U1723" s="58">
        <f>IFERROR(S1723*L1724,"")</f>
        <v>0</v>
      </c>
      <c r="V1723" s="58">
        <f t="shared" si="384"/>
        <v>229094.35722384186</v>
      </c>
      <c r="W1723" s="58">
        <f>IFERROR(Q1723*J1724,"")</f>
        <v>0</v>
      </c>
      <c r="X1723" s="58">
        <f t="shared" si="386"/>
        <v>7859.1953391582356</v>
      </c>
      <c r="Y1723" s="52">
        <f t="shared" si="387"/>
        <v>0</v>
      </c>
    </row>
    <row r="1724" spans="1:25" x14ac:dyDescent="0.25">
      <c r="A1724" s="1218" t="s">
        <v>138</v>
      </c>
      <c r="B1724" s="98">
        <v>45689</v>
      </c>
      <c r="C1724" s="117" t="str">
        <f t="shared" si="388"/>
        <v>5L</v>
      </c>
      <c r="D1724" s="96"/>
      <c r="E1724" s="98"/>
      <c r="F1724" s="99">
        <f t="shared" si="377"/>
        <v>0</v>
      </c>
      <c r="G1724" s="82"/>
      <c r="H1724" s="40"/>
      <c r="I1724" s="99">
        <f t="shared" ref="I1724:I1787" si="390">IFERROR(G1724*H1724/1000,"")</f>
        <v>0</v>
      </c>
      <c r="J1724" s="118"/>
      <c r="K1724" s="63"/>
      <c r="L1724" s="99">
        <f t="shared" si="375"/>
        <v>0</v>
      </c>
      <c r="M1724" s="44" t="str">
        <f>IFERROR((#REF!-I1724)/I1724,"")</f>
        <v/>
      </c>
      <c r="N1724" s="100">
        <f t="shared" ref="N1724:N1726" si="391">J1725-G1724</f>
        <v>1603</v>
      </c>
      <c r="O1724" s="101">
        <f t="shared" ref="O1724:O1726" si="392">L1725-I1724</f>
        <v>3.5991099999999996</v>
      </c>
      <c r="P1724" s="52" t="e">
        <f t="shared" ref="P1724:P1726" si="393">U1724-W1724</f>
        <v>#VALUE!</v>
      </c>
      <c r="Q1724" s="49">
        <v>116.88487613461319</v>
      </c>
      <c r="R1724">
        <v>2225</v>
      </c>
      <c r="S1724" s="50">
        <f t="shared" si="376"/>
        <v>71535.307499999995</v>
      </c>
      <c r="T1724" s="50">
        <f t="shared" si="382"/>
        <v>0</v>
      </c>
      <c r="U1724" s="58" t="str">
        <f>IFERROR(S1724*#REF!,"")</f>
        <v/>
      </c>
      <c r="V1724" s="58">
        <f t="shared" si="384"/>
        <v>0</v>
      </c>
      <c r="W1724" s="58" t="str">
        <f>IFERROR(Q1724*#REF!,"")</f>
        <v/>
      </c>
      <c r="X1724" s="58">
        <f t="shared" si="386"/>
        <v>0</v>
      </c>
      <c r="Y1724" s="52" t="e">
        <f t="shared" si="387"/>
        <v>#VALUE!</v>
      </c>
    </row>
    <row r="1725" spans="1:25" x14ac:dyDescent="0.25">
      <c r="A1725" s="1218" t="s">
        <v>139</v>
      </c>
      <c r="B1725" s="98">
        <v>45689</v>
      </c>
      <c r="C1725" s="117" t="str">
        <f t="shared" si="388"/>
        <v>5L</v>
      </c>
      <c r="D1725">
        <v>712</v>
      </c>
      <c r="E1725">
        <v>3.3</v>
      </c>
      <c r="F1725" s="99">
        <f t="shared" si="377"/>
        <v>2.3495999999999997</v>
      </c>
      <c r="G1725">
        <f>'[6]Underground Breaking Plan'!$C$52</f>
        <v>3920</v>
      </c>
      <c r="H1725" s="49">
        <f>'[6]Underground Breaking Plan'!$C$53</f>
        <v>2.8699999999999997</v>
      </c>
      <c r="I1725" s="99">
        <f t="shared" si="390"/>
        <v>11.250399999999997</v>
      </c>
      <c r="J1725">
        <f>[7]Generation!$D$20</f>
        <v>1603</v>
      </c>
      <c r="K1725" s="49">
        <f>[7]Generation!$E$20</f>
        <v>2.2452339363693072</v>
      </c>
      <c r="L1725" s="99">
        <f t="shared" si="375"/>
        <v>3.5991099999999996</v>
      </c>
      <c r="M1725" s="44" t="str">
        <f>IFERROR((#REF!-I1725)/I1725,"")</f>
        <v/>
      </c>
      <c r="N1725" s="100">
        <f t="shared" si="391"/>
        <v>-3920</v>
      </c>
      <c r="O1725" s="101">
        <f t="shared" si="392"/>
        <v>-11.250399999999997</v>
      </c>
      <c r="P1725" s="52" t="e">
        <f t="shared" si="393"/>
        <v>#VALUE!</v>
      </c>
      <c r="Q1725" s="49">
        <v>116.88487613461319</v>
      </c>
      <c r="R1725">
        <v>2225</v>
      </c>
      <c r="S1725" s="50">
        <f t="shared" si="376"/>
        <v>71535.307499999995</v>
      </c>
      <c r="T1725" s="50">
        <f t="shared" si="382"/>
        <v>804800.82349799981</v>
      </c>
      <c r="U1725" s="58" t="str">
        <f>IFERROR(S1725*#REF!,"")</f>
        <v/>
      </c>
      <c r="V1725" s="58">
        <f t="shared" si="384"/>
        <v>458188.71444768371</v>
      </c>
      <c r="W1725" s="58" t="str">
        <f>IFERROR(Q1725*#REF!,"")</f>
        <v/>
      </c>
      <c r="X1725" s="58">
        <f t="shared" si="386"/>
        <v>346612.1090503161</v>
      </c>
      <c r="Y1725" s="52" t="e">
        <f t="shared" si="387"/>
        <v>#VALUE!</v>
      </c>
    </row>
    <row r="1726" spans="1:25" x14ac:dyDescent="0.25">
      <c r="A1726" s="1218" t="s">
        <v>140</v>
      </c>
      <c r="B1726" s="98">
        <v>45689</v>
      </c>
      <c r="C1726" s="117" t="str">
        <f t="shared" si="388"/>
        <v>5L</v>
      </c>
      <c r="D1726" s="96"/>
      <c r="E1726" s="98"/>
      <c r="F1726" s="99">
        <f t="shared" si="377"/>
        <v>0</v>
      </c>
      <c r="G1726" s="82"/>
      <c r="H1726" s="40"/>
      <c r="I1726" s="99">
        <f t="shared" si="390"/>
        <v>0</v>
      </c>
      <c r="J1726" s="118"/>
      <c r="K1726" s="63"/>
      <c r="L1726" s="99">
        <f t="shared" si="375"/>
        <v>0</v>
      </c>
      <c r="M1726" s="44" t="str">
        <f>IFERROR((#REF!-I1726)/I1726,"")</f>
        <v/>
      </c>
      <c r="N1726" s="100">
        <f t="shared" si="391"/>
        <v>0</v>
      </c>
      <c r="O1726" s="101">
        <f t="shared" si="392"/>
        <v>0</v>
      </c>
      <c r="P1726" s="52" t="e">
        <f t="shared" si="393"/>
        <v>#VALUE!</v>
      </c>
      <c r="Q1726" s="49">
        <v>116.88487613461319</v>
      </c>
      <c r="R1726">
        <v>2225</v>
      </c>
      <c r="S1726" s="50">
        <f t="shared" si="376"/>
        <v>71535.307499999995</v>
      </c>
      <c r="T1726" s="50">
        <f t="shared" si="382"/>
        <v>0</v>
      </c>
      <c r="U1726" s="58" t="str">
        <f>IFERROR(S1726*#REF!,"")</f>
        <v/>
      </c>
      <c r="V1726" s="58">
        <f t="shared" si="384"/>
        <v>0</v>
      </c>
      <c r="W1726" s="58" t="str">
        <f>IFERROR(Q1726*#REF!,"")</f>
        <v/>
      </c>
      <c r="X1726" s="58">
        <f t="shared" si="386"/>
        <v>0</v>
      </c>
      <c r="Y1726" s="52" t="e">
        <f t="shared" si="387"/>
        <v>#VALUE!</v>
      </c>
    </row>
    <row r="1727" spans="1:25" x14ac:dyDescent="0.25">
      <c r="A1727" s="1218" t="s">
        <v>141</v>
      </c>
      <c r="B1727" s="98">
        <v>45689</v>
      </c>
      <c r="C1727" s="117" t="str">
        <f t="shared" si="388"/>
        <v>5L</v>
      </c>
      <c r="D1727" s="96"/>
      <c r="E1727" s="98"/>
      <c r="F1727" s="99">
        <f t="shared" si="377"/>
        <v>0</v>
      </c>
      <c r="G1727" s="55"/>
      <c r="H1727" s="55"/>
      <c r="I1727" s="99">
        <f t="shared" si="390"/>
        <v>0</v>
      </c>
      <c r="J1727" s="55"/>
      <c r="K1727" s="55"/>
      <c r="L1727" s="99">
        <f t="shared" si="375"/>
        <v>0</v>
      </c>
      <c r="M1727" s="44" t="str">
        <f t="shared" si="378"/>
        <v/>
      </c>
      <c r="N1727" s="100">
        <f t="shared" si="379"/>
        <v>0</v>
      </c>
      <c r="O1727" s="101">
        <f t="shared" si="380"/>
        <v>0</v>
      </c>
      <c r="P1727" s="52">
        <f t="shared" si="381"/>
        <v>0</v>
      </c>
      <c r="Q1727" s="49">
        <v>116.88487613461319</v>
      </c>
      <c r="R1727">
        <v>2225</v>
      </c>
      <c r="S1727" s="50">
        <f t="shared" si="376"/>
        <v>71535.307499999995</v>
      </c>
      <c r="T1727" s="50">
        <f t="shared" si="382"/>
        <v>0</v>
      </c>
      <c r="U1727" s="58">
        <f t="shared" si="383"/>
        <v>0</v>
      </c>
      <c r="V1727" s="58">
        <f t="shared" si="384"/>
        <v>0</v>
      </c>
      <c r="W1727" s="58">
        <f t="shared" si="385"/>
        <v>0</v>
      </c>
      <c r="X1727" s="58">
        <f t="shared" si="386"/>
        <v>0</v>
      </c>
      <c r="Y1727" s="52">
        <f t="shared" si="387"/>
        <v>0</v>
      </c>
    </row>
    <row r="1728" spans="1:25" x14ac:dyDescent="0.25">
      <c r="A1728" s="1218" t="s">
        <v>142</v>
      </c>
      <c r="B1728" s="98">
        <v>45689</v>
      </c>
      <c r="C1728" s="117" t="str">
        <f t="shared" si="388"/>
        <v>5L</v>
      </c>
      <c r="D1728" s="96"/>
      <c r="E1728" s="98"/>
      <c r="F1728" s="99">
        <f t="shared" si="377"/>
        <v>0</v>
      </c>
      <c r="G1728" s="55"/>
      <c r="H1728" s="55"/>
      <c r="I1728" s="99">
        <f t="shared" si="390"/>
        <v>0</v>
      </c>
      <c r="J1728" s="55"/>
      <c r="K1728" s="55"/>
      <c r="L1728" s="99">
        <f t="shared" si="375"/>
        <v>0</v>
      </c>
      <c r="M1728" s="44" t="str">
        <f t="shared" si="378"/>
        <v/>
      </c>
      <c r="N1728" s="100">
        <f t="shared" si="379"/>
        <v>0</v>
      </c>
      <c r="O1728" s="101">
        <f t="shared" si="380"/>
        <v>0</v>
      </c>
      <c r="P1728" s="52">
        <f t="shared" si="381"/>
        <v>0</v>
      </c>
      <c r="Q1728" s="49">
        <v>116.88487613461319</v>
      </c>
      <c r="R1728">
        <v>2225</v>
      </c>
      <c r="S1728" s="50">
        <f t="shared" si="376"/>
        <v>71535.307499999995</v>
      </c>
      <c r="T1728" s="50">
        <f t="shared" si="382"/>
        <v>0</v>
      </c>
      <c r="U1728" s="58">
        <f t="shared" si="383"/>
        <v>0</v>
      </c>
      <c r="V1728" s="58">
        <f t="shared" si="384"/>
        <v>0</v>
      </c>
      <c r="W1728" s="58">
        <f t="shared" si="385"/>
        <v>0</v>
      </c>
      <c r="X1728" s="58">
        <f t="shared" si="386"/>
        <v>0</v>
      </c>
      <c r="Y1728" s="52">
        <f t="shared" si="387"/>
        <v>0</v>
      </c>
    </row>
    <row r="1729" spans="1:25" x14ac:dyDescent="0.25">
      <c r="A1729" s="1218" t="s">
        <v>143</v>
      </c>
      <c r="B1729" s="98">
        <v>45689</v>
      </c>
      <c r="C1729" s="117" t="str">
        <f t="shared" si="388"/>
        <v>5L</v>
      </c>
      <c r="D1729" s="96"/>
      <c r="E1729" s="98"/>
      <c r="F1729" s="99">
        <f t="shared" si="377"/>
        <v>0</v>
      </c>
      <c r="G1729" s="55"/>
      <c r="H1729" s="55"/>
      <c r="I1729" s="99">
        <f t="shared" si="390"/>
        <v>0</v>
      </c>
      <c r="J1729" s="55"/>
      <c r="K1729" s="55"/>
      <c r="L1729" s="99">
        <f t="shared" si="375"/>
        <v>0</v>
      </c>
      <c r="M1729" s="44" t="str">
        <f t="shared" si="378"/>
        <v/>
      </c>
      <c r="N1729" s="100">
        <f t="shared" si="379"/>
        <v>0</v>
      </c>
      <c r="O1729" s="101">
        <f t="shared" si="380"/>
        <v>0</v>
      </c>
      <c r="P1729" s="52">
        <f t="shared" si="381"/>
        <v>0</v>
      </c>
      <c r="Q1729" s="49">
        <v>116.88487613461319</v>
      </c>
      <c r="R1729">
        <v>2225</v>
      </c>
      <c r="S1729" s="50">
        <f t="shared" si="376"/>
        <v>71535.307499999995</v>
      </c>
      <c r="T1729" s="50">
        <f t="shared" si="382"/>
        <v>0</v>
      </c>
      <c r="U1729" s="58">
        <f t="shared" si="383"/>
        <v>0</v>
      </c>
      <c r="V1729" s="58">
        <f t="shared" si="384"/>
        <v>0</v>
      </c>
      <c r="W1729" s="58">
        <f t="shared" si="385"/>
        <v>0</v>
      </c>
      <c r="X1729" s="58">
        <f t="shared" si="386"/>
        <v>0</v>
      </c>
      <c r="Y1729" s="52">
        <f t="shared" si="387"/>
        <v>0</v>
      </c>
    </row>
    <row r="1730" spans="1:25" x14ac:dyDescent="0.25">
      <c r="A1730" s="1218" t="s">
        <v>144</v>
      </c>
      <c r="B1730" s="98">
        <v>45689</v>
      </c>
      <c r="C1730" s="117" t="str">
        <f t="shared" si="388"/>
        <v>5L</v>
      </c>
      <c r="D1730" s="96"/>
      <c r="E1730" s="98"/>
      <c r="F1730" s="99">
        <f t="shared" si="377"/>
        <v>0</v>
      </c>
      <c r="G1730" s="55"/>
      <c r="H1730" s="55"/>
      <c r="I1730" s="99">
        <f t="shared" si="390"/>
        <v>0</v>
      </c>
      <c r="J1730" s="55"/>
      <c r="K1730" s="55"/>
      <c r="L1730" s="99">
        <f t="shared" si="375"/>
        <v>0</v>
      </c>
      <c r="M1730" s="44" t="str">
        <f t="shared" si="378"/>
        <v/>
      </c>
      <c r="N1730" s="100">
        <f t="shared" si="379"/>
        <v>0</v>
      </c>
      <c r="O1730" s="101">
        <f t="shared" si="380"/>
        <v>0</v>
      </c>
      <c r="P1730" s="52">
        <f t="shared" si="381"/>
        <v>0</v>
      </c>
      <c r="Q1730" s="49">
        <v>116.88487613461319</v>
      </c>
      <c r="R1730">
        <v>2225</v>
      </c>
      <c r="S1730" s="50">
        <f t="shared" si="376"/>
        <v>71535.307499999995</v>
      </c>
      <c r="T1730" s="50">
        <f t="shared" si="382"/>
        <v>0</v>
      </c>
      <c r="U1730" s="58">
        <f t="shared" si="383"/>
        <v>0</v>
      </c>
      <c r="V1730" s="58">
        <f t="shared" si="384"/>
        <v>0</v>
      </c>
      <c r="W1730" s="58">
        <f t="shared" si="385"/>
        <v>0</v>
      </c>
      <c r="X1730" s="58">
        <f t="shared" si="386"/>
        <v>0</v>
      </c>
      <c r="Y1730" s="52">
        <f t="shared" si="387"/>
        <v>0</v>
      </c>
    </row>
    <row r="1731" spans="1:25" x14ac:dyDescent="0.25">
      <c r="A1731" s="1218" t="s">
        <v>145</v>
      </c>
      <c r="B1731" s="98">
        <v>45689</v>
      </c>
      <c r="C1731" s="117" t="str">
        <f t="shared" si="388"/>
        <v>5L</v>
      </c>
      <c r="D1731" s="96"/>
      <c r="E1731" s="98"/>
      <c r="F1731" s="99">
        <f t="shared" si="377"/>
        <v>0</v>
      </c>
      <c r="G1731" s="55"/>
      <c r="H1731" s="55"/>
      <c r="I1731" s="99">
        <f t="shared" si="390"/>
        <v>0</v>
      </c>
      <c r="J1731" s="55"/>
      <c r="K1731" s="55"/>
      <c r="L1731" s="99">
        <f t="shared" si="375"/>
        <v>0</v>
      </c>
      <c r="M1731" s="44" t="str">
        <f t="shared" si="378"/>
        <v/>
      </c>
      <c r="N1731" s="100">
        <f t="shared" si="379"/>
        <v>0</v>
      </c>
      <c r="O1731" s="101">
        <f t="shared" si="380"/>
        <v>0</v>
      </c>
      <c r="P1731" s="52">
        <f t="shared" si="381"/>
        <v>0</v>
      </c>
      <c r="Q1731" s="49">
        <v>116.88487613461319</v>
      </c>
      <c r="R1731">
        <v>2225</v>
      </c>
      <c r="S1731" s="50">
        <f t="shared" si="376"/>
        <v>71535.307499999995</v>
      </c>
      <c r="T1731" s="50">
        <f t="shared" si="382"/>
        <v>0</v>
      </c>
      <c r="U1731" s="58">
        <f t="shared" si="383"/>
        <v>0</v>
      </c>
      <c r="V1731" s="58">
        <f t="shared" si="384"/>
        <v>0</v>
      </c>
      <c r="W1731" s="58">
        <f t="shared" si="385"/>
        <v>0</v>
      </c>
      <c r="X1731" s="58">
        <f t="shared" si="386"/>
        <v>0</v>
      </c>
      <c r="Y1731" s="52">
        <f t="shared" si="387"/>
        <v>0</v>
      </c>
    </row>
    <row r="1732" spans="1:25" x14ac:dyDescent="0.25">
      <c r="A1732" s="1218" t="s">
        <v>146</v>
      </c>
      <c r="B1732" s="98">
        <v>45689</v>
      </c>
      <c r="C1732" s="117" t="str">
        <f t="shared" si="388"/>
        <v>5L</v>
      </c>
      <c r="D1732" s="96"/>
      <c r="E1732" s="98"/>
      <c r="F1732" s="99">
        <f t="shared" si="377"/>
        <v>0</v>
      </c>
      <c r="G1732" s="55"/>
      <c r="H1732" s="55"/>
      <c r="I1732" s="99">
        <f t="shared" si="390"/>
        <v>0</v>
      </c>
      <c r="J1732" s="55"/>
      <c r="K1732" s="55"/>
      <c r="L1732" s="99">
        <f t="shared" si="375"/>
        <v>0</v>
      </c>
      <c r="M1732" s="44" t="str">
        <f t="shared" si="378"/>
        <v/>
      </c>
      <c r="N1732" s="100">
        <f t="shared" si="379"/>
        <v>0</v>
      </c>
      <c r="O1732" s="101">
        <f t="shared" si="380"/>
        <v>0</v>
      </c>
      <c r="P1732" s="52">
        <f t="shared" si="381"/>
        <v>0</v>
      </c>
      <c r="Q1732" s="49">
        <v>116.88487613461319</v>
      </c>
      <c r="R1732">
        <v>2225</v>
      </c>
      <c r="S1732" s="50">
        <f t="shared" si="376"/>
        <v>71535.307499999995</v>
      </c>
      <c r="T1732" s="50">
        <f t="shared" si="382"/>
        <v>0</v>
      </c>
      <c r="U1732" s="58">
        <f t="shared" si="383"/>
        <v>0</v>
      </c>
      <c r="V1732" s="58">
        <f t="shared" si="384"/>
        <v>0</v>
      </c>
      <c r="W1732" s="58">
        <f t="shared" si="385"/>
        <v>0</v>
      </c>
      <c r="X1732" s="58">
        <f t="shared" si="386"/>
        <v>0</v>
      </c>
      <c r="Y1732" s="52">
        <f t="shared" si="387"/>
        <v>0</v>
      </c>
    </row>
    <row r="1733" spans="1:25" x14ac:dyDescent="0.25">
      <c r="A1733" s="1218" t="s">
        <v>147</v>
      </c>
      <c r="B1733" s="98">
        <v>45689</v>
      </c>
      <c r="C1733" s="117" t="str">
        <f t="shared" si="388"/>
        <v>5L</v>
      </c>
      <c r="D1733" s="96"/>
      <c r="E1733" s="98"/>
      <c r="F1733" s="99">
        <f t="shared" si="377"/>
        <v>0</v>
      </c>
      <c r="G1733" s="55"/>
      <c r="H1733" s="55"/>
      <c r="I1733" s="99">
        <f t="shared" si="390"/>
        <v>0</v>
      </c>
      <c r="J1733" s="55"/>
      <c r="K1733" s="55"/>
      <c r="L1733" s="99">
        <f t="shared" si="375"/>
        <v>0</v>
      </c>
      <c r="M1733" s="44" t="str">
        <f t="shared" si="378"/>
        <v/>
      </c>
      <c r="N1733" s="100">
        <f t="shared" si="379"/>
        <v>0</v>
      </c>
      <c r="O1733" s="101">
        <f t="shared" si="380"/>
        <v>0</v>
      </c>
      <c r="P1733" s="52">
        <f t="shared" si="381"/>
        <v>0</v>
      </c>
      <c r="Q1733" s="49">
        <v>116.88487613461319</v>
      </c>
      <c r="R1733">
        <v>2225</v>
      </c>
      <c r="S1733" s="50">
        <f t="shared" si="376"/>
        <v>71535.307499999995</v>
      </c>
      <c r="T1733" s="50">
        <f t="shared" si="382"/>
        <v>0</v>
      </c>
      <c r="U1733" s="58">
        <f t="shared" si="383"/>
        <v>0</v>
      </c>
      <c r="V1733" s="58">
        <f t="shared" si="384"/>
        <v>0</v>
      </c>
      <c r="W1733" s="58">
        <f t="shared" si="385"/>
        <v>0</v>
      </c>
      <c r="X1733" s="58">
        <f t="shared" si="386"/>
        <v>0</v>
      </c>
      <c r="Y1733" s="52">
        <f t="shared" si="387"/>
        <v>0</v>
      </c>
    </row>
    <row r="1734" spans="1:25" x14ac:dyDescent="0.25">
      <c r="A1734" s="1218" t="s">
        <v>148</v>
      </c>
      <c r="B1734" s="98">
        <v>45689</v>
      </c>
      <c r="C1734" s="117" t="str">
        <f t="shared" si="388"/>
        <v>5L</v>
      </c>
      <c r="D1734" s="96"/>
      <c r="E1734" s="98"/>
      <c r="F1734" s="99">
        <f t="shared" ref="F1734:F1797" si="394">IFERROR(D1734*E1734/1000,"")</f>
        <v>0</v>
      </c>
      <c r="G1734" s="55"/>
      <c r="H1734" s="55"/>
      <c r="I1734" s="99">
        <f t="shared" si="390"/>
        <v>0</v>
      </c>
      <c r="J1734" s="55"/>
      <c r="K1734" s="55"/>
      <c r="L1734" s="99">
        <f t="shared" si="375"/>
        <v>0</v>
      </c>
      <c r="M1734" s="44" t="str">
        <f t="shared" si="378"/>
        <v/>
      </c>
      <c r="N1734" s="100">
        <f t="shared" si="379"/>
        <v>0</v>
      </c>
      <c r="O1734" s="101">
        <f t="shared" si="380"/>
        <v>0</v>
      </c>
      <c r="P1734" s="52">
        <f t="shared" si="381"/>
        <v>0</v>
      </c>
      <c r="Q1734" s="49">
        <v>116.88487613461319</v>
      </c>
      <c r="R1734">
        <v>2225</v>
      </c>
      <c r="S1734" s="50">
        <f t="shared" ref="S1734:S1799" si="395">R1734*32.1507</f>
        <v>71535.307499999995</v>
      </c>
      <c r="T1734" s="50">
        <f t="shared" si="382"/>
        <v>0</v>
      </c>
      <c r="U1734" s="58">
        <f t="shared" si="383"/>
        <v>0</v>
      </c>
      <c r="V1734" s="58">
        <f t="shared" si="384"/>
        <v>0</v>
      </c>
      <c r="W1734" s="58">
        <f t="shared" si="385"/>
        <v>0</v>
      </c>
      <c r="X1734" s="58">
        <f t="shared" si="386"/>
        <v>0</v>
      </c>
      <c r="Y1734" s="52">
        <f t="shared" si="387"/>
        <v>0</v>
      </c>
    </row>
    <row r="1735" spans="1:25" x14ac:dyDescent="0.25">
      <c r="A1735" s="1218" t="s">
        <v>149</v>
      </c>
      <c r="B1735" s="98">
        <v>45689</v>
      </c>
      <c r="C1735" s="117" t="str">
        <f t="shared" si="388"/>
        <v>5L</v>
      </c>
      <c r="D1735" s="96"/>
      <c r="E1735" s="98"/>
      <c r="F1735" s="99">
        <f t="shared" si="394"/>
        <v>0</v>
      </c>
      <c r="G1735" s="55"/>
      <c r="H1735" s="55"/>
      <c r="I1735" s="99">
        <f t="shared" si="390"/>
        <v>0</v>
      </c>
      <c r="J1735" s="55"/>
      <c r="K1735" s="55"/>
      <c r="L1735" s="99">
        <f t="shared" ref="L1735:L1798" si="396">IFERROR(J1735*K1735/1000,"")</f>
        <v>0</v>
      </c>
      <c r="M1735" s="44" t="str">
        <f t="shared" si="378"/>
        <v/>
      </c>
      <c r="N1735" s="100">
        <f t="shared" si="379"/>
        <v>0</v>
      </c>
      <c r="O1735" s="101">
        <f t="shared" si="380"/>
        <v>0</v>
      </c>
      <c r="P1735" s="52">
        <f t="shared" si="381"/>
        <v>0</v>
      </c>
      <c r="Q1735" s="49">
        <v>116.88487613461319</v>
      </c>
      <c r="R1735">
        <v>2225</v>
      </c>
      <c r="S1735" s="50">
        <f t="shared" si="395"/>
        <v>71535.307499999995</v>
      </c>
      <c r="T1735" s="50">
        <f t="shared" si="382"/>
        <v>0</v>
      </c>
      <c r="U1735" s="58">
        <f t="shared" si="383"/>
        <v>0</v>
      </c>
      <c r="V1735" s="58">
        <f t="shared" si="384"/>
        <v>0</v>
      </c>
      <c r="W1735" s="58">
        <f t="shared" si="385"/>
        <v>0</v>
      </c>
      <c r="X1735" s="58">
        <f t="shared" si="386"/>
        <v>0</v>
      </c>
      <c r="Y1735" s="52">
        <f t="shared" si="387"/>
        <v>0</v>
      </c>
    </row>
    <row r="1736" spans="1:25" x14ac:dyDescent="0.25">
      <c r="A1736" s="1218" t="s">
        <v>150</v>
      </c>
      <c r="B1736" s="98">
        <v>45689</v>
      </c>
      <c r="C1736" s="117" t="str">
        <f t="shared" si="388"/>
        <v>6L</v>
      </c>
      <c r="D1736" s="118">
        <v>2584</v>
      </c>
      <c r="E1736">
        <v>2.83</v>
      </c>
      <c r="F1736" s="99">
        <f t="shared" si="394"/>
        <v>7.3127200000000006</v>
      </c>
      <c r="G1736" s="82">
        <f>'[6]Underground Breaking Plan'!$C$60</f>
        <v>2940</v>
      </c>
      <c r="H1736" s="40">
        <f>'[6]Underground Breaking Plan'!$C$61</f>
        <v>3.2299999999999982</v>
      </c>
      <c r="I1736" s="99">
        <f t="shared" si="390"/>
        <v>9.4961999999999946</v>
      </c>
      <c r="J1736" s="118">
        <f>[7]Generation!$D$23</f>
        <v>4343</v>
      </c>
      <c r="K1736" s="63">
        <f>[7]Generation!$E$23</f>
        <v>3.6885033387059631</v>
      </c>
      <c r="L1736" s="99">
        <f t="shared" si="396"/>
        <v>16.019169999999999</v>
      </c>
      <c r="M1736" s="44">
        <f>IFERROR((L1736-I1736)/I1736,"")</f>
        <v>0.68690318232556269</v>
      </c>
      <c r="N1736" s="100">
        <f t="shared" ref="N1736:N1801" si="397">J1736-G1736</f>
        <v>1403</v>
      </c>
      <c r="O1736" s="101">
        <f>L1736-I1736</f>
        <v>6.5229700000000044</v>
      </c>
      <c r="P1736" s="52">
        <f t="shared" ref="P1736:P1801" si="398">U1736-W1736</f>
        <v>638305.23479214986</v>
      </c>
      <c r="Q1736" s="49">
        <v>116.88487613461319</v>
      </c>
      <c r="R1736">
        <v>2225</v>
      </c>
      <c r="S1736" s="50">
        <f t="shared" si="395"/>
        <v>71535.307499999995</v>
      </c>
      <c r="T1736" s="50">
        <f t="shared" ref="T1736:T1801" si="399">IFERROR(S1736*I1736,"")</f>
        <v>679313.58708149963</v>
      </c>
      <c r="U1736" s="58">
        <f t="shared" ref="U1736:U1801" si="400">IFERROR(S1736*L1736,"")</f>
        <v>1145936.2518447749</v>
      </c>
      <c r="V1736" s="58">
        <f t="shared" ref="V1736:V1801" si="401">IFERROR(Q1736*G1736,"")</f>
        <v>343641.5358357628</v>
      </c>
      <c r="W1736" s="58">
        <f t="shared" ref="W1736:W1801" si="402">IFERROR(Q1736*J1736,"")</f>
        <v>507631.01705262507</v>
      </c>
      <c r="X1736" s="58">
        <f t="shared" ref="X1736:X1801" si="403">T1736-V1736</f>
        <v>335672.05124573683</v>
      </c>
      <c r="Y1736" s="52">
        <f t="shared" ref="Y1736:Y1801" si="404">U1736-W1736</f>
        <v>638305.23479214986</v>
      </c>
    </row>
    <row r="1737" spans="1:25" x14ac:dyDescent="0.25">
      <c r="A1737" s="1218" t="s">
        <v>151</v>
      </c>
      <c r="B1737" s="98">
        <v>45689</v>
      </c>
      <c r="C1737" s="117" t="str">
        <f t="shared" si="388"/>
        <v>6L</v>
      </c>
      <c r="D1737" s="96"/>
      <c r="E1737" s="98"/>
      <c r="F1737" s="99">
        <f t="shared" si="394"/>
        <v>0</v>
      </c>
      <c r="I1737" s="99">
        <f t="shared" si="390"/>
        <v>0</v>
      </c>
      <c r="L1737" s="99">
        <f t="shared" si="396"/>
        <v>0</v>
      </c>
      <c r="M1737" s="44" t="str">
        <f t="shared" ref="M1737:M1744" si="405">IFERROR((L1737-I1737)/I1737,"")</f>
        <v/>
      </c>
      <c r="N1737" s="100">
        <f t="shared" si="397"/>
        <v>0</v>
      </c>
      <c r="O1737" s="101">
        <f t="shared" ref="O1737:O1741" si="406">L1737-I1737</f>
        <v>0</v>
      </c>
      <c r="P1737" s="52">
        <f t="shared" si="398"/>
        <v>0</v>
      </c>
      <c r="Q1737" s="49">
        <v>116.88487613461319</v>
      </c>
      <c r="R1737">
        <v>2225</v>
      </c>
      <c r="S1737" s="50">
        <f t="shared" si="395"/>
        <v>71535.307499999995</v>
      </c>
      <c r="T1737" s="50">
        <f t="shared" si="399"/>
        <v>0</v>
      </c>
      <c r="U1737" s="58">
        <f t="shared" si="400"/>
        <v>0</v>
      </c>
      <c r="V1737" s="58">
        <f t="shared" si="401"/>
        <v>0</v>
      </c>
      <c r="W1737" s="58">
        <f t="shared" si="402"/>
        <v>0</v>
      </c>
      <c r="X1737" s="58">
        <f t="shared" si="403"/>
        <v>0</v>
      </c>
      <c r="Y1737" s="52">
        <f t="shared" si="404"/>
        <v>0</v>
      </c>
    </row>
    <row r="1738" spans="1:25" x14ac:dyDescent="0.25">
      <c r="A1738" s="1218" t="s">
        <v>152</v>
      </c>
      <c r="B1738" s="98">
        <v>45689</v>
      </c>
      <c r="C1738" s="117" t="str">
        <f t="shared" si="388"/>
        <v>6L</v>
      </c>
      <c r="D1738" s="96"/>
      <c r="E1738" s="98"/>
      <c r="F1738" s="99">
        <f t="shared" si="394"/>
        <v>0</v>
      </c>
      <c r="I1738" s="99">
        <f t="shared" si="390"/>
        <v>0</v>
      </c>
      <c r="J1738" s="118"/>
      <c r="K1738" s="49"/>
      <c r="L1738" s="99">
        <f t="shared" si="396"/>
        <v>0</v>
      </c>
      <c r="M1738" s="44"/>
      <c r="N1738" s="100">
        <f t="shared" si="397"/>
        <v>0</v>
      </c>
      <c r="O1738" s="101">
        <f t="shared" si="406"/>
        <v>0</v>
      </c>
      <c r="P1738" s="52"/>
      <c r="Q1738" s="49"/>
      <c r="S1738" s="50"/>
      <c r="T1738" s="50"/>
      <c r="U1738" s="58"/>
      <c r="V1738" s="58"/>
      <c r="W1738" s="58"/>
      <c r="X1738" s="58"/>
      <c r="Y1738" s="52"/>
    </row>
    <row r="1739" spans="1:25" x14ac:dyDescent="0.25">
      <c r="A1739" s="1218" t="s">
        <v>153</v>
      </c>
      <c r="B1739" s="98">
        <v>45689</v>
      </c>
      <c r="C1739" s="117" t="str">
        <f t="shared" si="388"/>
        <v>6L</v>
      </c>
      <c r="D1739" s="96"/>
      <c r="E1739" s="98"/>
      <c r="F1739" s="99">
        <f t="shared" si="394"/>
        <v>0</v>
      </c>
      <c r="I1739" s="99">
        <f t="shared" si="390"/>
        <v>0</v>
      </c>
      <c r="L1739" s="99">
        <f t="shared" si="396"/>
        <v>0</v>
      </c>
      <c r="M1739" s="44" t="str">
        <f t="shared" si="405"/>
        <v/>
      </c>
      <c r="N1739" s="100">
        <f t="shared" si="397"/>
        <v>0</v>
      </c>
      <c r="O1739" s="101">
        <f t="shared" si="406"/>
        <v>0</v>
      </c>
      <c r="P1739" s="52">
        <f t="shared" si="398"/>
        <v>0</v>
      </c>
      <c r="Q1739" s="49"/>
      <c r="S1739" s="50"/>
      <c r="T1739" s="50"/>
      <c r="U1739" s="58"/>
      <c r="V1739" s="58"/>
      <c r="W1739" s="58"/>
      <c r="X1739" s="58"/>
      <c r="Y1739" s="52"/>
    </row>
    <row r="1740" spans="1:25" x14ac:dyDescent="0.25">
      <c r="A1740" s="1218" t="s">
        <v>154</v>
      </c>
      <c r="B1740" s="98">
        <v>45689</v>
      </c>
      <c r="C1740" s="117" t="str">
        <f t="shared" si="388"/>
        <v>6L</v>
      </c>
      <c r="D1740" s="96"/>
      <c r="E1740" s="98"/>
      <c r="F1740" s="99">
        <f t="shared" si="394"/>
        <v>0</v>
      </c>
      <c r="H1740" s="49"/>
      <c r="I1740" s="99">
        <f t="shared" si="390"/>
        <v>0</v>
      </c>
      <c r="L1740" s="99">
        <f t="shared" si="396"/>
        <v>0</v>
      </c>
      <c r="M1740" s="44"/>
      <c r="N1740" s="100">
        <f t="shared" si="397"/>
        <v>0</v>
      </c>
      <c r="O1740" s="101">
        <f t="shared" si="406"/>
        <v>0</v>
      </c>
      <c r="P1740" s="52"/>
      <c r="Q1740" s="49"/>
      <c r="S1740" s="50"/>
      <c r="T1740" s="50"/>
      <c r="U1740" s="58"/>
      <c r="V1740" s="58"/>
      <c r="W1740" s="58"/>
      <c r="X1740" s="58"/>
      <c r="Y1740" s="52"/>
    </row>
    <row r="1741" spans="1:25" x14ac:dyDescent="0.25">
      <c r="A1741" s="1218" t="s">
        <v>155</v>
      </c>
      <c r="B1741" s="98">
        <v>45689</v>
      </c>
      <c r="C1741" s="117" t="str">
        <f t="shared" si="388"/>
        <v>6L</v>
      </c>
      <c r="D1741" s="96"/>
      <c r="E1741" s="98"/>
      <c r="F1741" s="99">
        <f t="shared" si="394"/>
        <v>0</v>
      </c>
      <c r="I1741" s="99">
        <f t="shared" si="390"/>
        <v>0</v>
      </c>
      <c r="K1741" s="63"/>
      <c r="L1741" s="99">
        <f t="shared" si="396"/>
        <v>0</v>
      </c>
      <c r="M1741" s="44" t="str">
        <f t="shared" si="405"/>
        <v/>
      </c>
      <c r="N1741" s="100">
        <f t="shared" si="397"/>
        <v>0</v>
      </c>
      <c r="O1741" s="101">
        <f t="shared" si="406"/>
        <v>0</v>
      </c>
      <c r="P1741" s="52" t="e">
        <f t="shared" si="398"/>
        <v>#VALUE!</v>
      </c>
      <c r="Q1741" s="49">
        <v>116.88487613461319</v>
      </c>
      <c r="R1741">
        <v>2225</v>
      </c>
      <c r="S1741" s="50">
        <f t="shared" si="395"/>
        <v>71535.307499999995</v>
      </c>
      <c r="T1741" s="50">
        <f t="shared" si="399"/>
        <v>0</v>
      </c>
      <c r="U1741" s="58" t="str">
        <f>IFERROR(S1741*#REF!,"")</f>
        <v/>
      </c>
      <c r="V1741" s="58">
        <f t="shared" si="401"/>
        <v>0</v>
      </c>
      <c r="W1741" s="58" t="str">
        <f>IFERROR(Q1741*#REF!,"")</f>
        <v/>
      </c>
      <c r="X1741" s="58">
        <f t="shared" si="403"/>
        <v>0</v>
      </c>
      <c r="Y1741" s="52" t="e">
        <f t="shared" si="404"/>
        <v>#VALUE!</v>
      </c>
    </row>
    <row r="1742" spans="1:25" x14ac:dyDescent="0.25">
      <c r="A1742" s="1218" t="s">
        <v>156</v>
      </c>
      <c r="B1742" s="98">
        <v>45689</v>
      </c>
      <c r="C1742" s="117" t="str">
        <f t="shared" si="388"/>
        <v>6L</v>
      </c>
      <c r="D1742" s="96"/>
      <c r="E1742" s="98"/>
      <c r="F1742" s="99">
        <f t="shared" si="394"/>
        <v>0</v>
      </c>
      <c r="G1742">
        <f>'[6]Underground Breaking Plan'!$C$66</f>
        <v>980</v>
      </c>
      <c r="H1742" s="49">
        <f>'[6]Underground Breaking Plan'!$C$67</f>
        <v>2.9099999999999988</v>
      </c>
      <c r="I1742" s="99">
        <f t="shared" si="390"/>
        <v>2.851799999999999</v>
      </c>
      <c r="J1742" s="118">
        <f>[7]Generation!$D$24</f>
        <v>2329</v>
      </c>
      <c r="K1742" s="63">
        <f>[7]Generation!$E$24</f>
        <v>4.1762516101331046</v>
      </c>
      <c r="L1742" s="99">
        <f t="shared" si="396"/>
        <v>9.7264900000000019</v>
      </c>
      <c r="M1742" s="44">
        <f t="shared" si="405"/>
        <v>2.4106494144049391</v>
      </c>
      <c r="N1742" s="100">
        <f t="shared" si="397"/>
        <v>1349</v>
      </c>
      <c r="O1742" s="101">
        <f>L1742-I1742</f>
        <v>6.8746900000000029</v>
      </c>
      <c r="P1742" s="52">
        <f t="shared" si="398"/>
        <v>0</v>
      </c>
      <c r="Q1742" s="49"/>
      <c r="S1742" s="50"/>
      <c r="T1742" s="50"/>
      <c r="U1742" s="58"/>
      <c r="V1742" s="58"/>
      <c r="W1742" s="58"/>
      <c r="X1742" s="58"/>
      <c r="Y1742" s="52"/>
    </row>
    <row r="1743" spans="1:25" x14ac:dyDescent="0.25">
      <c r="A1743" s="1218" t="s">
        <v>157</v>
      </c>
      <c r="B1743" s="98">
        <v>45689</v>
      </c>
      <c r="C1743" s="117" t="str">
        <f t="shared" si="388"/>
        <v>6L</v>
      </c>
      <c r="D1743" s="96"/>
      <c r="E1743" s="98"/>
      <c r="F1743" s="99">
        <f t="shared" si="394"/>
        <v>0</v>
      </c>
      <c r="G1743">
        <f>'[6]Underground Breaking Plan'!$C$62</f>
        <v>1960</v>
      </c>
      <c r="H1743" s="49">
        <f>'[6]Underground Breaking Plan'!$C$63</f>
        <v>2.6</v>
      </c>
      <c r="I1743" s="99">
        <f t="shared" si="390"/>
        <v>5.0960000000000001</v>
      </c>
      <c r="J1743" s="118">
        <f>[7]Generation!$D$25</f>
        <v>353</v>
      </c>
      <c r="K1743" s="63">
        <f>[7]Generation!$E$25</f>
        <v>2.5405665722379602</v>
      </c>
      <c r="L1743" s="99">
        <f t="shared" si="396"/>
        <v>0.89681999999999995</v>
      </c>
      <c r="M1743" s="44">
        <f t="shared" si="405"/>
        <v>-0.8240149136577708</v>
      </c>
      <c r="N1743" s="100">
        <f t="shared" ref="N1743:N1744" si="407">J1743-G1743</f>
        <v>-1607</v>
      </c>
      <c r="O1743" s="101">
        <f t="shared" ref="O1743:O1801" si="408">L1743-I1743</f>
        <v>-4.1991800000000001</v>
      </c>
      <c r="P1743" s="52">
        <f t="shared" si="398"/>
        <v>0</v>
      </c>
      <c r="Q1743" s="49">
        <v>116.88487613461319</v>
      </c>
      <c r="R1743">
        <v>2225</v>
      </c>
      <c r="S1743" s="50">
        <f t="shared" si="395"/>
        <v>71535.307499999995</v>
      </c>
      <c r="T1743" s="50">
        <f t="shared" si="399"/>
        <v>364543.92702</v>
      </c>
      <c r="U1743" s="58">
        <f>IFERROR(S1743*L1741,"")</f>
        <v>0</v>
      </c>
      <c r="V1743" s="58">
        <f t="shared" si="401"/>
        <v>229094.35722384186</v>
      </c>
      <c r="W1743" s="58">
        <f>IFERROR(Q1743*J1741,"")</f>
        <v>0</v>
      </c>
      <c r="X1743" s="58">
        <f t="shared" si="403"/>
        <v>135449.56979615815</v>
      </c>
      <c r="Y1743" s="52">
        <f t="shared" si="404"/>
        <v>0</v>
      </c>
    </row>
    <row r="1744" spans="1:25" x14ac:dyDescent="0.25">
      <c r="A1744" s="1218" t="s">
        <v>158</v>
      </c>
      <c r="B1744" s="98">
        <v>45689</v>
      </c>
      <c r="C1744" s="117" t="str">
        <f t="shared" si="388"/>
        <v>6L</v>
      </c>
      <c r="D1744">
        <v>1723</v>
      </c>
      <c r="E1744">
        <v>1.34</v>
      </c>
      <c r="F1744" s="99">
        <f t="shared" si="394"/>
        <v>2.3088200000000003</v>
      </c>
      <c r="G1744" s="82">
        <f>'[6]Underground Breaking Plan'!$C$64</f>
        <v>2940</v>
      </c>
      <c r="H1744" s="40">
        <f>'[6]Underground Breaking Plan'!$C$65</f>
        <v>2.5299999999999989</v>
      </c>
      <c r="I1744" s="99">
        <f t="shared" si="390"/>
        <v>7.4381999999999975</v>
      </c>
      <c r="J1744" s="118">
        <f>[7]Generation!$D$26</f>
        <v>4489</v>
      </c>
      <c r="K1744" s="63">
        <f>[7]Generation!$E$26</f>
        <v>3.0416930274003122</v>
      </c>
      <c r="L1744" s="99">
        <f t="shared" si="396"/>
        <v>13.654160000000001</v>
      </c>
      <c r="M1744" s="44">
        <f t="shared" si="405"/>
        <v>0.83568067543222901</v>
      </c>
      <c r="N1744" s="100">
        <f t="shared" si="407"/>
        <v>1549</v>
      </c>
      <c r="O1744" s="101" t="e">
        <f>#REF!-I1744</f>
        <v>#REF!</v>
      </c>
      <c r="P1744" s="52" t="e">
        <f t="shared" si="398"/>
        <v>#VALUE!</v>
      </c>
      <c r="Q1744" s="49">
        <v>116.88487613461319</v>
      </c>
      <c r="R1744">
        <v>2225</v>
      </c>
      <c r="S1744" s="50">
        <f t="shared" si="395"/>
        <v>71535.307499999995</v>
      </c>
      <c r="T1744" s="50">
        <f t="shared" si="399"/>
        <v>532093.92424649978</v>
      </c>
      <c r="U1744" s="58" t="str">
        <f>IFERROR(S1744*#REF!,"")</f>
        <v/>
      </c>
      <c r="V1744" s="58">
        <f t="shared" si="401"/>
        <v>343641.5358357628</v>
      </c>
      <c r="W1744" s="58" t="str">
        <f>IFERROR(Q1744*#REF!,"")</f>
        <v/>
      </c>
      <c r="X1744" s="58">
        <f t="shared" si="403"/>
        <v>188452.38841073698</v>
      </c>
      <c r="Y1744" s="52" t="e">
        <f t="shared" si="404"/>
        <v>#VALUE!</v>
      </c>
    </row>
    <row r="1745" spans="1:25" x14ac:dyDescent="0.25">
      <c r="A1745" s="1218" t="s">
        <v>159</v>
      </c>
      <c r="B1745" s="98">
        <v>45689</v>
      </c>
      <c r="C1745" s="117" t="str">
        <f t="shared" ref="C1745:C1808" si="409">LEFT(A1745,2)</f>
        <v>6L</v>
      </c>
      <c r="D1745" s="96"/>
      <c r="E1745" s="98"/>
      <c r="F1745" s="99">
        <f t="shared" si="394"/>
        <v>0</v>
      </c>
      <c r="G1745" s="82">
        <f>'[6]Underground Breaking Plan'!$C$70</f>
        <v>980</v>
      </c>
      <c r="H1745" s="40">
        <f>'[6]Underground Breaking Plan'!$C$71</f>
        <v>2.75</v>
      </c>
      <c r="I1745" s="99">
        <f t="shared" si="390"/>
        <v>2.6949999999999998</v>
      </c>
      <c r="J1745" s="118">
        <f>[7]Generation!$D$27</f>
        <v>660</v>
      </c>
      <c r="K1745" s="63">
        <f>[7]Generation!$E$27</f>
        <v>1.2471969696969698</v>
      </c>
      <c r="L1745" s="99">
        <f t="shared" si="396"/>
        <v>0.82315000000000005</v>
      </c>
      <c r="M1745" s="44">
        <f>IFERROR((L1743-I1745)/I1745,"")</f>
        <v>-0.66722820037105757</v>
      </c>
      <c r="N1745" s="100">
        <f>J1743-G1745</f>
        <v>-627</v>
      </c>
      <c r="O1745" s="101">
        <f>L1743-I1745</f>
        <v>-1.7981799999999999</v>
      </c>
      <c r="P1745" s="52">
        <f t="shared" si="398"/>
        <v>22893.933196631537</v>
      </c>
      <c r="Q1745" s="49">
        <v>116.88487613461319</v>
      </c>
      <c r="R1745">
        <v>2225</v>
      </c>
      <c r="S1745" s="50">
        <f t="shared" si="395"/>
        <v>71535.307499999995</v>
      </c>
      <c r="T1745" s="50">
        <f t="shared" si="399"/>
        <v>192787.65371249997</v>
      </c>
      <c r="U1745" s="58">
        <f>IFERROR(S1745*L1743,"")</f>
        <v>64154.294472149995</v>
      </c>
      <c r="V1745" s="58">
        <f t="shared" si="401"/>
        <v>114547.17861192093</v>
      </c>
      <c r="W1745" s="58">
        <f>IFERROR(Q1745*J1743,"")</f>
        <v>41260.361275518459</v>
      </c>
      <c r="X1745" s="58">
        <f t="shared" si="403"/>
        <v>78240.475100579046</v>
      </c>
      <c r="Y1745" s="52">
        <f t="shared" si="404"/>
        <v>22893.933196631537</v>
      </c>
    </row>
    <row r="1746" spans="1:25" x14ac:dyDescent="0.25">
      <c r="A1746" s="1218" t="s">
        <v>160</v>
      </c>
      <c r="B1746" s="98">
        <v>45689</v>
      </c>
      <c r="C1746" s="117" t="str">
        <f t="shared" si="409"/>
        <v>6L</v>
      </c>
      <c r="D1746">
        <v>1723</v>
      </c>
      <c r="E1746">
        <v>2.7</v>
      </c>
      <c r="F1746" s="99">
        <f t="shared" si="394"/>
        <v>4.6521000000000008</v>
      </c>
      <c r="G1746" s="82"/>
      <c r="H1746" s="40"/>
      <c r="I1746" s="99">
        <f t="shared" si="390"/>
        <v>0</v>
      </c>
      <c r="L1746" s="99">
        <f t="shared" si="396"/>
        <v>0</v>
      </c>
      <c r="M1746" s="44" t="str">
        <f>IFERROR((L1744-I1746)/I1746,"")</f>
        <v/>
      </c>
      <c r="N1746" s="100">
        <f>J1744-G1746</f>
        <v>4489</v>
      </c>
      <c r="O1746" s="101">
        <f>L1744-I1746</f>
        <v>13.654160000000001</v>
      </c>
      <c r="P1746" s="52">
        <f t="shared" si="398"/>
        <v>452058.32528592146</v>
      </c>
      <c r="Q1746" s="49">
        <v>116.88487613461319</v>
      </c>
      <c r="R1746">
        <v>2225</v>
      </c>
      <c r="S1746" s="50">
        <f t="shared" si="395"/>
        <v>71535.307499999995</v>
      </c>
      <c r="T1746" s="50">
        <f t="shared" si="399"/>
        <v>0</v>
      </c>
      <c r="U1746" s="58">
        <f>IFERROR(S1746*L1744,"")</f>
        <v>976754.53425420006</v>
      </c>
      <c r="V1746" s="58">
        <f t="shared" si="401"/>
        <v>0</v>
      </c>
      <c r="W1746" s="58">
        <f>IFERROR(Q1746*J1744,"")</f>
        <v>524696.2089682786</v>
      </c>
      <c r="X1746" s="58">
        <f t="shared" si="403"/>
        <v>0</v>
      </c>
      <c r="Y1746" s="52">
        <f t="shared" si="404"/>
        <v>452058.32528592146</v>
      </c>
    </row>
    <row r="1747" spans="1:25" x14ac:dyDescent="0.25">
      <c r="A1747" s="1218" t="s">
        <v>161</v>
      </c>
      <c r="B1747" s="98">
        <v>45689</v>
      </c>
      <c r="C1747" s="117" t="str">
        <f t="shared" si="409"/>
        <v>6L</v>
      </c>
      <c r="D1747" s="96"/>
      <c r="E1747" s="98"/>
      <c r="F1747" s="99">
        <f t="shared" si="394"/>
        <v>0</v>
      </c>
      <c r="G1747" s="82">
        <f>'[6]Underground Breaking Plan'!$C$68</f>
        <v>1960</v>
      </c>
      <c r="H1747" s="40">
        <f>'[6]Underground Breaking Plan'!$C$69</f>
        <v>2.75</v>
      </c>
      <c r="I1747" s="99">
        <f t="shared" si="390"/>
        <v>5.39</v>
      </c>
      <c r="J1747" s="118">
        <f>[7]Generation!$D$28</f>
        <v>68</v>
      </c>
      <c r="K1747" s="63">
        <f>[7]Generation!$E$28</f>
        <v>0.79352941176470582</v>
      </c>
      <c r="L1747" s="99">
        <f t="shared" si="396"/>
        <v>5.3959999999999994E-2</v>
      </c>
      <c r="M1747" s="44">
        <f>IFERROR((L1745-I1747)/I1747,"")</f>
        <v>-0.84728200371057516</v>
      </c>
      <c r="N1747" s="100">
        <f>J1745-G1747</f>
        <v>-1300</v>
      </c>
      <c r="O1747" s="101">
        <f>L1745-I1747</f>
        <v>-4.5668499999999996</v>
      </c>
      <c r="P1747" s="52">
        <f t="shared" si="398"/>
        <v>-18259.729880219704</v>
      </c>
      <c r="Q1747" s="49">
        <v>116.88487613461319</v>
      </c>
      <c r="R1747">
        <v>2225</v>
      </c>
      <c r="S1747" s="50">
        <f t="shared" si="395"/>
        <v>71535.307499999995</v>
      </c>
      <c r="T1747" s="50">
        <f t="shared" si="399"/>
        <v>385575.30742499995</v>
      </c>
      <c r="U1747" s="58">
        <f>IFERROR(S1747*L1745,"")</f>
        <v>58884.288368624999</v>
      </c>
      <c r="V1747" s="58">
        <f t="shared" si="401"/>
        <v>229094.35722384186</v>
      </c>
      <c r="W1747" s="58">
        <f>IFERROR(Q1747*J1745,"")</f>
        <v>77144.018248844703</v>
      </c>
      <c r="X1747" s="58">
        <f t="shared" si="403"/>
        <v>156480.95020115809</v>
      </c>
      <c r="Y1747" s="52">
        <f t="shared" si="404"/>
        <v>-18259.729880219704</v>
      </c>
    </row>
    <row r="1748" spans="1:25" x14ac:dyDescent="0.25">
      <c r="A1748" s="1218" t="s">
        <v>162</v>
      </c>
      <c r="B1748" s="98">
        <v>45689</v>
      </c>
      <c r="C1748" s="117" t="str">
        <f t="shared" si="409"/>
        <v>6L</v>
      </c>
      <c r="D1748">
        <v>207</v>
      </c>
      <c r="E1748">
        <v>3.63</v>
      </c>
      <c r="F1748" s="99">
        <f t="shared" si="394"/>
        <v>0.75141000000000002</v>
      </c>
      <c r="I1748" s="99">
        <f t="shared" si="390"/>
        <v>0</v>
      </c>
      <c r="L1748" s="99">
        <f t="shared" si="396"/>
        <v>0</v>
      </c>
      <c r="M1748" s="44" t="str">
        <f t="shared" ref="M1748:M1801" si="410">IFERROR((L1748-I1748)/I1748,"")</f>
        <v/>
      </c>
      <c r="N1748" s="100">
        <f t="shared" si="397"/>
        <v>0</v>
      </c>
      <c r="O1748" s="101">
        <f t="shared" si="408"/>
        <v>0</v>
      </c>
      <c r="P1748" s="52">
        <f t="shared" si="398"/>
        <v>0</v>
      </c>
      <c r="Q1748" s="49">
        <v>116.88487613461319</v>
      </c>
      <c r="R1748">
        <v>2225</v>
      </c>
      <c r="S1748" s="50">
        <f t="shared" si="395"/>
        <v>71535.307499999995</v>
      </c>
      <c r="T1748" s="50">
        <f t="shared" si="399"/>
        <v>0</v>
      </c>
      <c r="U1748" s="58">
        <f t="shared" si="400"/>
        <v>0</v>
      </c>
      <c r="V1748" s="58">
        <f t="shared" si="401"/>
        <v>0</v>
      </c>
      <c r="W1748" s="58">
        <f t="shared" si="402"/>
        <v>0</v>
      </c>
      <c r="X1748" s="58">
        <f t="shared" si="403"/>
        <v>0</v>
      </c>
      <c r="Y1748" s="52">
        <f t="shared" si="404"/>
        <v>0</v>
      </c>
    </row>
    <row r="1749" spans="1:25" x14ac:dyDescent="0.25">
      <c r="A1749" s="1218" t="s">
        <v>163</v>
      </c>
      <c r="B1749" s="98">
        <v>45689</v>
      </c>
      <c r="C1749" s="117" t="str">
        <f t="shared" si="409"/>
        <v>6L</v>
      </c>
      <c r="D1749">
        <v>481</v>
      </c>
      <c r="E1749">
        <v>2.87</v>
      </c>
      <c r="F1749" s="99">
        <f t="shared" si="394"/>
        <v>1.3804700000000001</v>
      </c>
      <c r="G1749" s="82"/>
      <c r="H1749" s="40"/>
      <c r="I1749" s="99">
        <f t="shared" si="390"/>
        <v>0</v>
      </c>
      <c r="L1749" s="99">
        <f t="shared" si="396"/>
        <v>0</v>
      </c>
      <c r="M1749" s="44" t="str">
        <f t="shared" si="410"/>
        <v/>
      </c>
      <c r="N1749" s="100">
        <f t="shared" si="397"/>
        <v>0</v>
      </c>
      <c r="O1749" s="101">
        <f t="shared" si="408"/>
        <v>0</v>
      </c>
      <c r="P1749" s="52">
        <f t="shared" si="398"/>
        <v>0</v>
      </c>
      <c r="Q1749" s="49">
        <v>116.88487613461319</v>
      </c>
      <c r="R1749">
        <v>2225</v>
      </c>
      <c r="S1749" s="50">
        <f t="shared" si="395"/>
        <v>71535.307499999995</v>
      </c>
      <c r="T1749" s="50">
        <f t="shared" si="399"/>
        <v>0</v>
      </c>
      <c r="U1749" s="58">
        <f t="shared" si="400"/>
        <v>0</v>
      </c>
      <c r="V1749" s="58">
        <f t="shared" si="401"/>
        <v>0</v>
      </c>
      <c r="W1749" s="58">
        <f t="shared" si="402"/>
        <v>0</v>
      </c>
      <c r="X1749" s="58">
        <f t="shared" si="403"/>
        <v>0</v>
      </c>
      <c r="Y1749" s="52">
        <f t="shared" si="404"/>
        <v>0</v>
      </c>
    </row>
    <row r="1750" spans="1:25" x14ac:dyDescent="0.25">
      <c r="A1750" s="1218" t="s">
        <v>164</v>
      </c>
      <c r="B1750" s="98">
        <v>45689</v>
      </c>
      <c r="C1750" s="117" t="str">
        <f t="shared" si="409"/>
        <v>6L</v>
      </c>
      <c r="D1750">
        <v>1242</v>
      </c>
      <c r="E1750">
        <v>2.4500000000000002</v>
      </c>
      <c r="F1750" s="99">
        <f t="shared" si="394"/>
        <v>3.0428999999999999</v>
      </c>
      <c r="I1750" s="99">
        <f t="shared" si="390"/>
        <v>0</v>
      </c>
      <c r="L1750" s="99">
        <f t="shared" si="396"/>
        <v>0</v>
      </c>
      <c r="M1750" s="44" t="str">
        <f t="shared" si="410"/>
        <v/>
      </c>
      <c r="N1750" s="100">
        <f t="shared" si="397"/>
        <v>0</v>
      </c>
      <c r="O1750" s="101">
        <f t="shared" si="408"/>
        <v>0</v>
      </c>
      <c r="P1750" s="52">
        <f t="shared" si="398"/>
        <v>0</v>
      </c>
      <c r="Q1750" s="49">
        <v>116.88487613461319</v>
      </c>
      <c r="R1750">
        <v>2225</v>
      </c>
      <c r="S1750" s="50">
        <f t="shared" si="395"/>
        <v>71535.307499999995</v>
      </c>
      <c r="T1750" s="50">
        <f t="shared" si="399"/>
        <v>0</v>
      </c>
      <c r="U1750" s="58">
        <f t="shared" si="400"/>
        <v>0</v>
      </c>
      <c r="V1750" s="58">
        <f t="shared" si="401"/>
        <v>0</v>
      </c>
      <c r="W1750" s="58">
        <f t="shared" si="402"/>
        <v>0</v>
      </c>
      <c r="X1750" s="58">
        <f t="shared" si="403"/>
        <v>0</v>
      </c>
      <c r="Y1750" s="52">
        <f t="shared" si="404"/>
        <v>0</v>
      </c>
    </row>
    <row r="1751" spans="1:25" x14ac:dyDescent="0.25">
      <c r="A1751" s="1218" t="s">
        <v>165</v>
      </c>
      <c r="B1751" s="98">
        <v>45689</v>
      </c>
      <c r="C1751" s="117" t="str">
        <f t="shared" si="409"/>
        <v>6L</v>
      </c>
      <c r="D1751" s="96"/>
      <c r="E1751" s="98"/>
      <c r="F1751" s="99">
        <f t="shared" si="394"/>
        <v>0</v>
      </c>
      <c r="I1751" s="99">
        <f t="shared" si="390"/>
        <v>0</v>
      </c>
      <c r="L1751" s="99">
        <f t="shared" si="396"/>
        <v>0</v>
      </c>
      <c r="M1751" s="44" t="str">
        <f t="shared" si="410"/>
        <v/>
      </c>
      <c r="N1751" s="100">
        <f t="shared" si="397"/>
        <v>0</v>
      </c>
      <c r="O1751" s="101">
        <f t="shared" si="408"/>
        <v>0</v>
      </c>
      <c r="P1751" s="52">
        <f t="shared" si="398"/>
        <v>0</v>
      </c>
      <c r="Q1751" s="49">
        <v>116.88487613461319</v>
      </c>
      <c r="R1751">
        <v>2225</v>
      </c>
      <c r="S1751" s="50">
        <f t="shared" si="395"/>
        <v>71535.307499999995</v>
      </c>
      <c r="T1751" s="50">
        <f t="shared" si="399"/>
        <v>0</v>
      </c>
      <c r="U1751" s="58">
        <f t="shared" si="400"/>
        <v>0</v>
      </c>
      <c r="V1751" s="58">
        <f t="shared" si="401"/>
        <v>0</v>
      </c>
      <c r="W1751" s="58">
        <f t="shared" si="402"/>
        <v>0</v>
      </c>
      <c r="X1751" s="58">
        <f t="shared" si="403"/>
        <v>0</v>
      </c>
      <c r="Y1751" s="52">
        <f t="shared" si="404"/>
        <v>0</v>
      </c>
    </row>
    <row r="1752" spans="1:25" x14ac:dyDescent="0.25">
      <c r="A1752" s="1218" t="s">
        <v>166</v>
      </c>
      <c r="B1752" s="98">
        <v>45689</v>
      </c>
      <c r="C1752" s="117" t="str">
        <f t="shared" si="409"/>
        <v>6L</v>
      </c>
      <c r="D1752" s="96"/>
      <c r="E1752" s="98"/>
      <c r="F1752" s="99">
        <f t="shared" si="394"/>
        <v>0</v>
      </c>
      <c r="I1752" s="99">
        <f t="shared" si="390"/>
        <v>0</v>
      </c>
      <c r="L1752" s="99">
        <f t="shared" si="396"/>
        <v>0</v>
      </c>
      <c r="M1752" s="44" t="str">
        <f t="shared" si="410"/>
        <v/>
      </c>
      <c r="N1752" s="100">
        <f t="shared" si="397"/>
        <v>0</v>
      </c>
      <c r="O1752" s="101">
        <f t="shared" si="408"/>
        <v>0</v>
      </c>
      <c r="P1752" s="52">
        <f t="shared" si="398"/>
        <v>0</v>
      </c>
      <c r="Q1752" s="49">
        <v>116.88487613461319</v>
      </c>
      <c r="R1752">
        <v>2225</v>
      </c>
      <c r="S1752" s="50">
        <f t="shared" si="395"/>
        <v>71535.307499999995</v>
      </c>
      <c r="T1752" s="50">
        <f t="shared" si="399"/>
        <v>0</v>
      </c>
      <c r="U1752" s="58">
        <f t="shared" si="400"/>
        <v>0</v>
      </c>
      <c r="V1752" s="58">
        <f t="shared" si="401"/>
        <v>0</v>
      </c>
      <c r="W1752" s="58">
        <f t="shared" si="402"/>
        <v>0</v>
      </c>
      <c r="X1752" s="58">
        <f t="shared" si="403"/>
        <v>0</v>
      </c>
      <c r="Y1752" s="52">
        <f t="shared" si="404"/>
        <v>0</v>
      </c>
    </row>
    <row r="1753" spans="1:25" x14ac:dyDescent="0.25">
      <c r="A1753" s="1218" t="s">
        <v>167</v>
      </c>
      <c r="B1753" s="98">
        <v>45689</v>
      </c>
      <c r="C1753" s="117" t="str">
        <f t="shared" si="409"/>
        <v>6L</v>
      </c>
      <c r="D1753" s="96"/>
      <c r="E1753" s="98"/>
      <c r="F1753" s="99">
        <f t="shared" si="394"/>
        <v>0</v>
      </c>
      <c r="I1753" s="99">
        <f t="shared" si="390"/>
        <v>0</v>
      </c>
      <c r="L1753" s="99">
        <f t="shared" si="396"/>
        <v>0</v>
      </c>
      <c r="M1753" s="44" t="str">
        <f t="shared" si="410"/>
        <v/>
      </c>
      <c r="N1753" s="100">
        <f t="shared" si="397"/>
        <v>0</v>
      </c>
      <c r="O1753" s="101">
        <f t="shared" si="408"/>
        <v>0</v>
      </c>
      <c r="P1753" s="52">
        <f t="shared" si="398"/>
        <v>0</v>
      </c>
      <c r="Q1753" s="49">
        <v>116.88487613461319</v>
      </c>
      <c r="R1753">
        <v>2225</v>
      </c>
      <c r="S1753" s="50">
        <f t="shared" si="395"/>
        <v>71535.307499999995</v>
      </c>
      <c r="T1753" s="50">
        <f t="shared" si="399"/>
        <v>0</v>
      </c>
      <c r="U1753" s="58">
        <f t="shared" si="400"/>
        <v>0</v>
      </c>
      <c r="V1753" s="58">
        <f t="shared" si="401"/>
        <v>0</v>
      </c>
      <c r="W1753" s="58">
        <f t="shared" si="402"/>
        <v>0</v>
      </c>
      <c r="X1753" s="58">
        <f t="shared" si="403"/>
        <v>0</v>
      </c>
      <c r="Y1753" s="52">
        <f t="shared" si="404"/>
        <v>0</v>
      </c>
    </row>
    <row r="1754" spans="1:25" x14ac:dyDescent="0.25">
      <c r="A1754" s="1218" t="s">
        <v>168</v>
      </c>
      <c r="B1754" s="98">
        <v>45689</v>
      </c>
      <c r="C1754" s="117" t="str">
        <f t="shared" si="409"/>
        <v>6L</v>
      </c>
      <c r="D1754" s="96"/>
      <c r="E1754" s="98"/>
      <c r="F1754" s="99">
        <f t="shared" si="394"/>
        <v>0</v>
      </c>
      <c r="I1754" s="99">
        <f t="shared" si="390"/>
        <v>0</v>
      </c>
      <c r="L1754" s="99">
        <f t="shared" si="396"/>
        <v>0</v>
      </c>
      <c r="M1754" s="44" t="str">
        <f t="shared" si="410"/>
        <v/>
      </c>
      <c r="N1754" s="100">
        <f t="shared" si="397"/>
        <v>0</v>
      </c>
      <c r="O1754" s="101">
        <f t="shared" si="408"/>
        <v>0</v>
      </c>
      <c r="P1754" s="52">
        <f t="shared" si="398"/>
        <v>0</v>
      </c>
      <c r="Q1754" s="49">
        <v>116.88487613461319</v>
      </c>
      <c r="R1754">
        <v>2225</v>
      </c>
      <c r="S1754" s="50">
        <f t="shared" si="395"/>
        <v>71535.307499999995</v>
      </c>
      <c r="T1754" s="50">
        <f t="shared" si="399"/>
        <v>0</v>
      </c>
      <c r="U1754" s="58">
        <f t="shared" si="400"/>
        <v>0</v>
      </c>
      <c r="V1754" s="58">
        <f t="shared" si="401"/>
        <v>0</v>
      </c>
      <c r="W1754" s="58">
        <f t="shared" si="402"/>
        <v>0</v>
      </c>
      <c r="X1754" s="58">
        <f t="shared" si="403"/>
        <v>0</v>
      </c>
      <c r="Y1754" s="52">
        <f t="shared" si="404"/>
        <v>0</v>
      </c>
    </row>
    <row r="1755" spans="1:25" x14ac:dyDescent="0.25">
      <c r="A1755" s="1218" t="s">
        <v>169</v>
      </c>
      <c r="B1755" s="98">
        <v>45689</v>
      </c>
      <c r="C1755" s="117" t="str">
        <f t="shared" si="409"/>
        <v>6L</v>
      </c>
      <c r="D1755" s="96"/>
      <c r="E1755" s="98"/>
      <c r="F1755" s="99">
        <f t="shared" si="394"/>
        <v>0</v>
      </c>
      <c r="I1755" s="99">
        <f t="shared" si="390"/>
        <v>0</v>
      </c>
      <c r="L1755" s="99">
        <f t="shared" si="396"/>
        <v>0</v>
      </c>
      <c r="M1755" s="44" t="str">
        <f t="shared" si="410"/>
        <v/>
      </c>
      <c r="N1755" s="100">
        <f t="shared" si="397"/>
        <v>0</v>
      </c>
      <c r="O1755" s="101">
        <f t="shared" si="408"/>
        <v>0</v>
      </c>
      <c r="P1755" s="52">
        <f t="shared" si="398"/>
        <v>0</v>
      </c>
      <c r="Q1755" s="49">
        <v>116.88487613461319</v>
      </c>
      <c r="R1755">
        <v>2225</v>
      </c>
      <c r="S1755" s="50">
        <f t="shared" si="395"/>
        <v>71535.307499999995</v>
      </c>
      <c r="T1755" s="50">
        <f t="shared" si="399"/>
        <v>0</v>
      </c>
      <c r="U1755" s="58">
        <f t="shared" si="400"/>
        <v>0</v>
      </c>
      <c r="V1755" s="58">
        <f t="shared" si="401"/>
        <v>0</v>
      </c>
      <c r="W1755" s="58">
        <f t="shared" si="402"/>
        <v>0</v>
      </c>
      <c r="X1755" s="58">
        <f t="shared" si="403"/>
        <v>0</v>
      </c>
      <c r="Y1755" s="52">
        <f t="shared" si="404"/>
        <v>0</v>
      </c>
    </row>
    <row r="1756" spans="1:25" x14ac:dyDescent="0.25">
      <c r="A1756" s="1218" t="s">
        <v>170</v>
      </c>
      <c r="B1756" s="98">
        <v>45689</v>
      </c>
      <c r="C1756" s="117" t="str">
        <f t="shared" si="409"/>
        <v>6L</v>
      </c>
      <c r="D1756" s="96"/>
      <c r="E1756" s="98"/>
      <c r="F1756" s="99">
        <f t="shared" si="394"/>
        <v>0</v>
      </c>
      <c r="I1756" s="99">
        <f t="shared" si="390"/>
        <v>0</v>
      </c>
      <c r="L1756" s="99">
        <f t="shared" si="396"/>
        <v>0</v>
      </c>
      <c r="M1756" s="44" t="str">
        <f t="shared" si="410"/>
        <v/>
      </c>
      <c r="N1756" s="100">
        <f t="shared" si="397"/>
        <v>0</v>
      </c>
      <c r="O1756" s="101">
        <f t="shared" si="408"/>
        <v>0</v>
      </c>
      <c r="P1756" s="52">
        <f t="shared" si="398"/>
        <v>0</v>
      </c>
      <c r="Q1756" s="49">
        <v>116.88487613461319</v>
      </c>
      <c r="R1756">
        <v>2225</v>
      </c>
      <c r="S1756" s="50">
        <f t="shared" si="395"/>
        <v>71535.307499999995</v>
      </c>
      <c r="T1756" s="50">
        <f t="shared" si="399"/>
        <v>0</v>
      </c>
      <c r="U1756" s="58">
        <f t="shared" si="400"/>
        <v>0</v>
      </c>
      <c r="V1756" s="58">
        <f t="shared" si="401"/>
        <v>0</v>
      </c>
      <c r="W1756" s="58">
        <f t="shared" si="402"/>
        <v>0</v>
      </c>
      <c r="X1756" s="58">
        <f t="shared" si="403"/>
        <v>0</v>
      </c>
      <c r="Y1756" s="52">
        <f t="shared" si="404"/>
        <v>0</v>
      </c>
    </row>
    <row r="1757" spans="1:25" x14ac:dyDescent="0.25">
      <c r="A1757" s="1218" t="s">
        <v>171</v>
      </c>
      <c r="B1757" s="98">
        <v>45689</v>
      </c>
      <c r="C1757" s="117" t="str">
        <f t="shared" si="409"/>
        <v>6L</v>
      </c>
      <c r="D1757" s="96"/>
      <c r="E1757" s="98"/>
      <c r="F1757" s="99">
        <f t="shared" si="394"/>
        <v>0</v>
      </c>
      <c r="I1757" s="99">
        <f t="shared" si="390"/>
        <v>0</v>
      </c>
      <c r="L1757" s="99">
        <f t="shared" si="396"/>
        <v>0</v>
      </c>
      <c r="M1757" s="44" t="str">
        <f t="shared" si="410"/>
        <v/>
      </c>
      <c r="N1757" s="100">
        <f t="shared" si="397"/>
        <v>0</v>
      </c>
      <c r="O1757" s="101">
        <f t="shared" si="408"/>
        <v>0</v>
      </c>
      <c r="P1757" s="52">
        <f t="shared" si="398"/>
        <v>0</v>
      </c>
      <c r="Q1757" s="49">
        <v>116.88487613461319</v>
      </c>
      <c r="R1757">
        <v>2225</v>
      </c>
      <c r="S1757" s="50">
        <f t="shared" si="395"/>
        <v>71535.307499999995</v>
      </c>
      <c r="T1757" s="50">
        <f t="shared" si="399"/>
        <v>0</v>
      </c>
      <c r="U1757" s="58">
        <f t="shared" si="400"/>
        <v>0</v>
      </c>
      <c r="V1757" s="58">
        <f t="shared" si="401"/>
        <v>0</v>
      </c>
      <c r="W1757" s="58">
        <f t="shared" si="402"/>
        <v>0</v>
      </c>
      <c r="X1757" s="58">
        <f t="shared" si="403"/>
        <v>0</v>
      </c>
      <c r="Y1757" s="52">
        <f t="shared" si="404"/>
        <v>0</v>
      </c>
    </row>
    <row r="1758" spans="1:25" x14ac:dyDescent="0.25">
      <c r="A1758" s="1218" t="s">
        <v>172</v>
      </c>
      <c r="B1758" s="98">
        <v>45689</v>
      </c>
      <c r="C1758" s="117" t="str">
        <f t="shared" si="409"/>
        <v>6L</v>
      </c>
      <c r="D1758" s="96"/>
      <c r="E1758" s="98"/>
      <c r="F1758" s="99">
        <f t="shared" si="394"/>
        <v>0</v>
      </c>
      <c r="I1758" s="99">
        <f t="shared" si="390"/>
        <v>0</v>
      </c>
      <c r="L1758" s="99">
        <f t="shared" si="396"/>
        <v>0</v>
      </c>
      <c r="M1758" s="44" t="str">
        <f t="shared" si="410"/>
        <v/>
      </c>
      <c r="N1758" s="100">
        <f t="shared" si="397"/>
        <v>0</v>
      </c>
      <c r="O1758" s="101">
        <f t="shared" si="408"/>
        <v>0</v>
      </c>
      <c r="P1758" s="52">
        <f t="shared" si="398"/>
        <v>0</v>
      </c>
      <c r="Q1758" s="49">
        <v>116.88487613461319</v>
      </c>
      <c r="R1758">
        <v>2225</v>
      </c>
      <c r="S1758" s="50">
        <f t="shared" si="395"/>
        <v>71535.307499999995</v>
      </c>
      <c r="T1758" s="50">
        <f t="shared" si="399"/>
        <v>0</v>
      </c>
      <c r="U1758" s="58">
        <f t="shared" si="400"/>
        <v>0</v>
      </c>
      <c r="V1758" s="58">
        <f t="shared" si="401"/>
        <v>0</v>
      </c>
      <c r="W1758" s="58">
        <f t="shared" si="402"/>
        <v>0</v>
      </c>
      <c r="X1758" s="58">
        <f t="shared" si="403"/>
        <v>0</v>
      </c>
      <c r="Y1758" s="52">
        <f t="shared" si="404"/>
        <v>0</v>
      </c>
    </row>
    <row r="1759" spans="1:25" x14ac:dyDescent="0.25">
      <c r="A1759" s="1218" t="s">
        <v>173</v>
      </c>
      <c r="B1759" s="98">
        <v>45689</v>
      </c>
      <c r="C1759" s="117" t="str">
        <f t="shared" si="409"/>
        <v>6L</v>
      </c>
      <c r="D1759" s="96"/>
      <c r="E1759" s="98"/>
      <c r="F1759" s="99">
        <f t="shared" si="394"/>
        <v>0</v>
      </c>
      <c r="I1759" s="99">
        <f t="shared" si="390"/>
        <v>0</v>
      </c>
      <c r="L1759" s="99">
        <f t="shared" si="396"/>
        <v>0</v>
      </c>
      <c r="M1759" s="44" t="str">
        <f t="shared" si="410"/>
        <v/>
      </c>
      <c r="N1759" s="100">
        <f t="shared" si="397"/>
        <v>0</v>
      </c>
      <c r="O1759" s="101">
        <f t="shared" si="408"/>
        <v>0</v>
      </c>
      <c r="P1759" s="52">
        <f t="shared" si="398"/>
        <v>0</v>
      </c>
      <c r="Q1759" s="49">
        <v>116.88487613461319</v>
      </c>
      <c r="R1759">
        <v>2225</v>
      </c>
      <c r="S1759" s="50">
        <f t="shared" si="395"/>
        <v>71535.307499999995</v>
      </c>
      <c r="T1759" s="50">
        <f t="shared" si="399"/>
        <v>0</v>
      </c>
      <c r="U1759" s="58">
        <f t="shared" si="400"/>
        <v>0</v>
      </c>
      <c r="V1759" s="58">
        <f t="shared" si="401"/>
        <v>0</v>
      </c>
      <c r="W1759" s="58">
        <f t="shared" si="402"/>
        <v>0</v>
      </c>
      <c r="X1759" s="58">
        <f t="shared" si="403"/>
        <v>0</v>
      </c>
      <c r="Y1759" s="52">
        <f t="shared" si="404"/>
        <v>0</v>
      </c>
    </row>
    <row r="1760" spans="1:25" x14ac:dyDescent="0.25">
      <c r="A1760" s="1218" t="s">
        <v>174</v>
      </c>
      <c r="B1760" s="98">
        <v>45689</v>
      </c>
      <c r="C1760" s="117" t="str">
        <f t="shared" si="409"/>
        <v>6L</v>
      </c>
      <c r="D1760" s="96"/>
      <c r="E1760" s="98"/>
      <c r="F1760" s="99">
        <f t="shared" si="394"/>
        <v>0</v>
      </c>
      <c r="I1760" s="99">
        <f t="shared" si="390"/>
        <v>0</v>
      </c>
      <c r="L1760" s="99">
        <f t="shared" si="396"/>
        <v>0</v>
      </c>
      <c r="M1760" s="44" t="str">
        <f t="shared" si="410"/>
        <v/>
      </c>
      <c r="N1760" s="100">
        <f t="shared" si="397"/>
        <v>0</v>
      </c>
      <c r="O1760" s="101">
        <f t="shared" si="408"/>
        <v>0</v>
      </c>
      <c r="P1760" s="52">
        <f t="shared" si="398"/>
        <v>0</v>
      </c>
      <c r="Q1760" s="49">
        <v>116.88487613461319</v>
      </c>
      <c r="R1760">
        <v>2225</v>
      </c>
      <c r="S1760" s="50">
        <f t="shared" si="395"/>
        <v>71535.307499999995</v>
      </c>
      <c r="T1760" s="50">
        <f t="shared" si="399"/>
        <v>0</v>
      </c>
      <c r="U1760" s="58">
        <f t="shared" si="400"/>
        <v>0</v>
      </c>
      <c r="V1760" s="58">
        <f t="shared" si="401"/>
        <v>0</v>
      </c>
      <c r="W1760" s="58">
        <f t="shared" si="402"/>
        <v>0</v>
      </c>
      <c r="X1760" s="58">
        <f t="shared" si="403"/>
        <v>0</v>
      </c>
      <c r="Y1760" s="52">
        <f t="shared" si="404"/>
        <v>0</v>
      </c>
    </row>
    <row r="1761" spans="1:25" x14ac:dyDescent="0.25">
      <c r="A1761" s="1218" t="s">
        <v>175</v>
      </c>
      <c r="B1761" s="98">
        <v>45689</v>
      </c>
      <c r="C1761" s="117" t="str">
        <f t="shared" si="409"/>
        <v>6L</v>
      </c>
      <c r="D1761" s="96"/>
      <c r="E1761" s="98"/>
      <c r="F1761" s="99">
        <f t="shared" si="394"/>
        <v>0</v>
      </c>
      <c r="I1761" s="99">
        <f t="shared" si="390"/>
        <v>0</v>
      </c>
      <c r="L1761" s="99">
        <f t="shared" si="396"/>
        <v>0</v>
      </c>
      <c r="M1761" s="44" t="str">
        <f t="shared" si="410"/>
        <v/>
      </c>
      <c r="N1761" s="100">
        <f t="shared" si="397"/>
        <v>0</v>
      </c>
      <c r="O1761" s="101">
        <f t="shared" si="408"/>
        <v>0</v>
      </c>
      <c r="P1761" s="52">
        <f t="shared" si="398"/>
        <v>0</v>
      </c>
      <c r="Q1761" s="49">
        <v>116.88487613461319</v>
      </c>
      <c r="R1761">
        <v>2225</v>
      </c>
      <c r="S1761" s="50">
        <f t="shared" si="395"/>
        <v>71535.307499999995</v>
      </c>
      <c r="T1761" s="50">
        <f t="shared" si="399"/>
        <v>0</v>
      </c>
      <c r="U1761" s="58">
        <f t="shared" si="400"/>
        <v>0</v>
      </c>
      <c r="V1761" s="58">
        <f t="shared" si="401"/>
        <v>0</v>
      </c>
      <c r="W1761" s="58">
        <f t="shared" si="402"/>
        <v>0</v>
      </c>
      <c r="X1761" s="58">
        <f t="shared" si="403"/>
        <v>0</v>
      </c>
      <c r="Y1761" s="52">
        <f t="shared" si="404"/>
        <v>0</v>
      </c>
    </row>
    <row r="1762" spans="1:25" x14ac:dyDescent="0.25">
      <c r="A1762" s="1218" t="s">
        <v>176</v>
      </c>
      <c r="B1762" s="98">
        <v>45689</v>
      </c>
      <c r="C1762" s="117" t="str">
        <f t="shared" si="409"/>
        <v>6L</v>
      </c>
      <c r="D1762" s="96"/>
      <c r="E1762" s="98"/>
      <c r="F1762" s="99">
        <f t="shared" si="394"/>
        <v>0</v>
      </c>
      <c r="I1762" s="99">
        <f t="shared" si="390"/>
        <v>0</v>
      </c>
      <c r="L1762" s="99">
        <f t="shared" si="396"/>
        <v>0</v>
      </c>
      <c r="M1762" s="44" t="str">
        <f t="shared" si="410"/>
        <v/>
      </c>
      <c r="N1762" s="100">
        <f t="shared" si="397"/>
        <v>0</v>
      </c>
      <c r="O1762" s="101">
        <f t="shared" si="408"/>
        <v>0</v>
      </c>
      <c r="P1762" s="52">
        <f t="shared" si="398"/>
        <v>0</v>
      </c>
      <c r="Q1762" s="49">
        <v>116.88487613461319</v>
      </c>
      <c r="R1762">
        <v>2225</v>
      </c>
      <c r="S1762" s="50">
        <f t="shared" si="395"/>
        <v>71535.307499999995</v>
      </c>
      <c r="T1762" s="50">
        <f t="shared" si="399"/>
        <v>0</v>
      </c>
      <c r="U1762" s="58">
        <f t="shared" si="400"/>
        <v>0</v>
      </c>
      <c r="V1762" s="58">
        <f t="shared" si="401"/>
        <v>0</v>
      </c>
      <c r="W1762" s="58">
        <f t="shared" si="402"/>
        <v>0</v>
      </c>
      <c r="X1762" s="58">
        <f t="shared" si="403"/>
        <v>0</v>
      </c>
      <c r="Y1762" s="52">
        <f t="shared" si="404"/>
        <v>0</v>
      </c>
    </row>
    <row r="1763" spans="1:25" x14ac:dyDescent="0.25">
      <c r="A1763" s="1218" t="s">
        <v>177</v>
      </c>
      <c r="B1763" s="98">
        <v>45689</v>
      </c>
      <c r="C1763" s="117" t="str">
        <f t="shared" si="409"/>
        <v>6L</v>
      </c>
      <c r="D1763" s="96"/>
      <c r="E1763" s="98"/>
      <c r="F1763" s="99">
        <f t="shared" si="394"/>
        <v>0</v>
      </c>
      <c r="I1763" s="99">
        <f t="shared" si="390"/>
        <v>0</v>
      </c>
      <c r="L1763" s="99">
        <f t="shared" si="396"/>
        <v>0</v>
      </c>
      <c r="M1763" s="44" t="str">
        <f t="shared" si="410"/>
        <v/>
      </c>
      <c r="N1763" s="100">
        <f t="shared" si="397"/>
        <v>0</v>
      </c>
      <c r="O1763" s="101">
        <f t="shared" si="408"/>
        <v>0</v>
      </c>
      <c r="P1763" s="52">
        <f t="shared" si="398"/>
        <v>0</v>
      </c>
      <c r="Q1763" s="49">
        <v>116.88487613461319</v>
      </c>
      <c r="R1763">
        <v>2225</v>
      </c>
      <c r="S1763" s="50">
        <f t="shared" si="395"/>
        <v>71535.307499999995</v>
      </c>
      <c r="T1763" s="50">
        <f t="shared" si="399"/>
        <v>0</v>
      </c>
      <c r="U1763" s="58">
        <f t="shared" si="400"/>
        <v>0</v>
      </c>
      <c r="V1763" s="58">
        <f t="shared" si="401"/>
        <v>0</v>
      </c>
      <c r="W1763" s="58">
        <f t="shared" si="402"/>
        <v>0</v>
      </c>
      <c r="X1763" s="58">
        <f t="shared" si="403"/>
        <v>0</v>
      </c>
      <c r="Y1763" s="52">
        <f t="shared" si="404"/>
        <v>0</v>
      </c>
    </row>
    <row r="1764" spans="1:25" x14ac:dyDescent="0.25">
      <c r="A1764" s="1218" t="s">
        <v>178</v>
      </c>
      <c r="B1764" s="98">
        <v>45689</v>
      </c>
      <c r="C1764" s="117" t="str">
        <f t="shared" si="409"/>
        <v>7L</v>
      </c>
      <c r="D1764" s="96"/>
      <c r="F1764" s="99">
        <f t="shared" si="394"/>
        <v>0</v>
      </c>
      <c r="I1764" s="99">
        <f t="shared" si="390"/>
        <v>0</v>
      </c>
      <c r="L1764" s="99">
        <f t="shared" si="396"/>
        <v>0</v>
      </c>
      <c r="M1764" s="44" t="str">
        <f t="shared" si="410"/>
        <v/>
      </c>
      <c r="N1764" s="100">
        <f t="shared" si="397"/>
        <v>0</v>
      </c>
      <c r="O1764" s="101">
        <f t="shared" si="408"/>
        <v>0</v>
      </c>
      <c r="P1764" s="52">
        <f t="shared" si="398"/>
        <v>0</v>
      </c>
      <c r="Q1764" s="49">
        <v>116.88487613461319</v>
      </c>
      <c r="R1764">
        <v>2225</v>
      </c>
      <c r="S1764" s="50">
        <f t="shared" si="395"/>
        <v>71535.307499999995</v>
      </c>
      <c r="T1764" s="50">
        <f t="shared" si="399"/>
        <v>0</v>
      </c>
      <c r="U1764" s="58">
        <f t="shared" si="400"/>
        <v>0</v>
      </c>
      <c r="V1764" s="58">
        <f t="shared" si="401"/>
        <v>0</v>
      </c>
      <c r="W1764" s="58">
        <f t="shared" si="402"/>
        <v>0</v>
      </c>
      <c r="X1764" s="58">
        <f t="shared" si="403"/>
        <v>0</v>
      </c>
      <c r="Y1764" s="52">
        <f t="shared" si="404"/>
        <v>0</v>
      </c>
    </row>
    <row r="1765" spans="1:25" x14ac:dyDescent="0.25">
      <c r="A1765" s="1218" t="s">
        <v>179</v>
      </c>
      <c r="B1765" s="98">
        <v>45689</v>
      </c>
      <c r="C1765" s="117" t="str">
        <f t="shared" si="409"/>
        <v>7L</v>
      </c>
      <c r="D1765" s="96"/>
      <c r="F1765" s="99">
        <f t="shared" si="394"/>
        <v>0</v>
      </c>
      <c r="I1765" s="99">
        <f t="shared" si="390"/>
        <v>0</v>
      </c>
      <c r="L1765" s="99">
        <f t="shared" si="396"/>
        <v>0</v>
      </c>
      <c r="M1765" s="44" t="str">
        <f t="shared" si="410"/>
        <v/>
      </c>
      <c r="N1765" s="100">
        <f t="shared" si="397"/>
        <v>0</v>
      </c>
      <c r="O1765" s="101">
        <f t="shared" si="408"/>
        <v>0</v>
      </c>
      <c r="P1765" s="52">
        <f t="shared" si="398"/>
        <v>0</v>
      </c>
      <c r="Q1765" s="49">
        <v>116.88487613461319</v>
      </c>
      <c r="R1765">
        <v>2225</v>
      </c>
      <c r="S1765" s="50">
        <f t="shared" si="395"/>
        <v>71535.307499999995</v>
      </c>
      <c r="T1765" s="50">
        <f t="shared" si="399"/>
        <v>0</v>
      </c>
      <c r="U1765" s="58">
        <f t="shared" si="400"/>
        <v>0</v>
      </c>
      <c r="V1765" s="58">
        <f t="shared" si="401"/>
        <v>0</v>
      </c>
      <c r="W1765" s="58">
        <f t="shared" si="402"/>
        <v>0</v>
      </c>
      <c r="X1765" s="58">
        <f t="shared" si="403"/>
        <v>0</v>
      </c>
      <c r="Y1765" s="52">
        <f t="shared" si="404"/>
        <v>0</v>
      </c>
    </row>
    <row r="1766" spans="1:25" x14ac:dyDescent="0.25">
      <c r="A1766" s="1218" t="s">
        <v>180</v>
      </c>
      <c r="B1766" s="98">
        <v>45689</v>
      </c>
      <c r="C1766" s="117" t="str">
        <f t="shared" si="409"/>
        <v>7L</v>
      </c>
      <c r="D1766" s="96"/>
      <c r="F1766" s="99">
        <f t="shared" si="394"/>
        <v>0</v>
      </c>
      <c r="I1766" s="99">
        <f t="shared" si="390"/>
        <v>0</v>
      </c>
      <c r="L1766" s="99">
        <f t="shared" si="396"/>
        <v>0</v>
      </c>
      <c r="M1766" s="44" t="str">
        <f t="shared" si="410"/>
        <v/>
      </c>
      <c r="N1766" s="100">
        <f t="shared" si="397"/>
        <v>0</v>
      </c>
      <c r="O1766" s="101">
        <f t="shared" si="408"/>
        <v>0</v>
      </c>
      <c r="P1766" s="52">
        <f t="shared" si="398"/>
        <v>0</v>
      </c>
      <c r="Q1766" s="49">
        <v>116.88487613461319</v>
      </c>
      <c r="R1766">
        <v>2225</v>
      </c>
      <c r="S1766" s="50">
        <f t="shared" si="395"/>
        <v>71535.307499999995</v>
      </c>
      <c r="T1766" s="50">
        <f t="shared" si="399"/>
        <v>0</v>
      </c>
      <c r="U1766" s="58">
        <f t="shared" si="400"/>
        <v>0</v>
      </c>
      <c r="V1766" s="58">
        <f t="shared" si="401"/>
        <v>0</v>
      </c>
      <c r="W1766" s="58">
        <f t="shared" si="402"/>
        <v>0</v>
      </c>
      <c r="X1766" s="58">
        <f t="shared" si="403"/>
        <v>0</v>
      </c>
      <c r="Y1766" s="52">
        <f t="shared" si="404"/>
        <v>0</v>
      </c>
    </row>
    <row r="1767" spans="1:25" x14ac:dyDescent="0.25">
      <c r="A1767" s="1218" t="s">
        <v>181</v>
      </c>
      <c r="B1767" s="98">
        <v>45689</v>
      </c>
      <c r="C1767" s="117" t="str">
        <f t="shared" si="409"/>
        <v>7L</v>
      </c>
      <c r="D1767" s="96"/>
      <c r="F1767" s="99">
        <f t="shared" si="394"/>
        <v>0</v>
      </c>
      <c r="I1767" s="99">
        <f t="shared" si="390"/>
        <v>0</v>
      </c>
      <c r="L1767" s="99">
        <f t="shared" si="396"/>
        <v>0</v>
      </c>
      <c r="M1767" s="44" t="str">
        <f t="shared" si="410"/>
        <v/>
      </c>
      <c r="N1767" s="100">
        <f t="shared" si="397"/>
        <v>0</v>
      </c>
      <c r="O1767" s="101">
        <f t="shared" si="408"/>
        <v>0</v>
      </c>
      <c r="P1767" s="52">
        <f t="shared" si="398"/>
        <v>0</v>
      </c>
      <c r="Q1767" s="49">
        <v>116.88487613461319</v>
      </c>
      <c r="R1767">
        <v>2225</v>
      </c>
      <c r="S1767" s="50">
        <f t="shared" si="395"/>
        <v>71535.307499999995</v>
      </c>
      <c r="T1767" s="50">
        <f t="shared" si="399"/>
        <v>0</v>
      </c>
      <c r="U1767" s="58">
        <f t="shared" si="400"/>
        <v>0</v>
      </c>
      <c r="V1767" s="58">
        <f t="shared" si="401"/>
        <v>0</v>
      </c>
      <c r="W1767" s="58">
        <f t="shared" si="402"/>
        <v>0</v>
      </c>
      <c r="X1767" s="58">
        <f t="shared" si="403"/>
        <v>0</v>
      </c>
      <c r="Y1767" s="52">
        <f t="shared" si="404"/>
        <v>0</v>
      </c>
    </row>
    <row r="1768" spans="1:25" x14ac:dyDescent="0.25">
      <c r="A1768" s="1218" t="s">
        <v>182</v>
      </c>
      <c r="B1768" s="98">
        <v>45689</v>
      </c>
      <c r="C1768" s="117" t="str">
        <f t="shared" si="409"/>
        <v>7L</v>
      </c>
      <c r="D1768" s="96"/>
      <c r="F1768" s="99">
        <f t="shared" si="394"/>
        <v>0</v>
      </c>
      <c r="I1768" s="99">
        <f t="shared" si="390"/>
        <v>0</v>
      </c>
      <c r="L1768" s="99">
        <f t="shared" si="396"/>
        <v>0</v>
      </c>
      <c r="M1768" s="44" t="str">
        <f t="shared" si="410"/>
        <v/>
      </c>
      <c r="N1768" s="100">
        <f t="shared" si="397"/>
        <v>0</v>
      </c>
      <c r="O1768" s="101">
        <f t="shared" si="408"/>
        <v>0</v>
      </c>
      <c r="P1768" s="52">
        <f t="shared" si="398"/>
        <v>0</v>
      </c>
      <c r="Q1768" s="49">
        <v>116.88487613461319</v>
      </c>
      <c r="R1768">
        <v>2225</v>
      </c>
      <c r="S1768" s="50">
        <f t="shared" si="395"/>
        <v>71535.307499999995</v>
      </c>
      <c r="T1768" s="50">
        <f t="shared" si="399"/>
        <v>0</v>
      </c>
      <c r="U1768" s="58">
        <f t="shared" si="400"/>
        <v>0</v>
      </c>
      <c r="V1768" s="58">
        <f t="shared" si="401"/>
        <v>0</v>
      </c>
      <c r="W1768" s="58">
        <f t="shared" si="402"/>
        <v>0</v>
      </c>
      <c r="X1768" s="58">
        <f t="shared" si="403"/>
        <v>0</v>
      </c>
      <c r="Y1768" s="52">
        <f t="shared" si="404"/>
        <v>0</v>
      </c>
    </row>
    <row r="1769" spans="1:25" x14ac:dyDescent="0.25">
      <c r="A1769" s="1218" t="s">
        <v>183</v>
      </c>
      <c r="B1769" s="98">
        <v>45689</v>
      </c>
      <c r="C1769" s="117" t="str">
        <f t="shared" si="409"/>
        <v>7L</v>
      </c>
      <c r="D1769" s="96"/>
      <c r="F1769" s="99">
        <f t="shared" si="394"/>
        <v>0</v>
      </c>
      <c r="I1769" s="99">
        <f t="shared" si="390"/>
        <v>0</v>
      </c>
      <c r="L1769" s="99">
        <f t="shared" si="396"/>
        <v>0</v>
      </c>
      <c r="M1769" s="44" t="str">
        <f t="shared" si="410"/>
        <v/>
      </c>
      <c r="N1769" s="100">
        <f t="shared" si="397"/>
        <v>0</v>
      </c>
      <c r="O1769" s="101">
        <f t="shared" si="408"/>
        <v>0</v>
      </c>
      <c r="P1769" s="52">
        <f t="shared" si="398"/>
        <v>0</v>
      </c>
      <c r="Q1769" s="49">
        <v>116.88487613461319</v>
      </c>
      <c r="R1769">
        <v>2225</v>
      </c>
      <c r="S1769" s="50">
        <f t="shared" si="395"/>
        <v>71535.307499999995</v>
      </c>
      <c r="T1769" s="50">
        <f t="shared" si="399"/>
        <v>0</v>
      </c>
      <c r="U1769" s="58">
        <f t="shared" si="400"/>
        <v>0</v>
      </c>
      <c r="V1769" s="58">
        <f t="shared" si="401"/>
        <v>0</v>
      </c>
      <c r="W1769" s="58">
        <f t="shared" si="402"/>
        <v>0</v>
      </c>
      <c r="X1769" s="58">
        <f t="shared" si="403"/>
        <v>0</v>
      </c>
      <c r="Y1769" s="52">
        <f t="shared" si="404"/>
        <v>0</v>
      </c>
    </row>
    <row r="1770" spans="1:25" x14ac:dyDescent="0.25">
      <c r="A1770" s="1218" t="s">
        <v>184</v>
      </c>
      <c r="B1770" s="98">
        <v>45689</v>
      </c>
      <c r="C1770" s="117" t="str">
        <f t="shared" si="409"/>
        <v>7L</v>
      </c>
      <c r="D1770" s="96"/>
      <c r="F1770" s="99">
        <f t="shared" si="394"/>
        <v>0</v>
      </c>
      <c r="I1770" s="99">
        <f t="shared" si="390"/>
        <v>0</v>
      </c>
      <c r="L1770" s="99">
        <f t="shared" si="396"/>
        <v>0</v>
      </c>
      <c r="M1770" s="44" t="str">
        <f t="shared" si="410"/>
        <v/>
      </c>
      <c r="N1770" s="100">
        <f t="shared" si="397"/>
        <v>0</v>
      </c>
      <c r="O1770" s="101">
        <f t="shared" si="408"/>
        <v>0</v>
      </c>
      <c r="P1770" s="52">
        <f t="shared" si="398"/>
        <v>0</v>
      </c>
      <c r="Q1770" s="49">
        <v>116.88487613461319</v>
      </c>
      <c r="R1770">
        <v>2225</v>
      </c>
      <c r="S1770" s="50">
        <f t="shared" si="395"/>
        <v>71535.307499999995</v>
      </c>
      <c r="T1770" s="50">
        <f t="shared" si="399"/>
        <v>0</v>
      </c>
      <c r="U1770" s="58">
        <f t="shared" si="400"/>
        <v>0</v>
      </c>
      <c r="V1770" s="58">
        <f t="shared" si="401"/>
        <v>0</v>
      </c>
      <c r="W1770" s="58">
        <f t="shared" si="402"/>
        <v>0</v>
      </c>
      <c r="X1770" s="58">
        <f t="shared" si="403"/>
        <v>0</v>
      </c>
      <c r="Y1770" s="52">
        <f t="shared" si="404"/>
        <v>0</v>
      </c>
    </row>
    <row r="1771" spans="1:25" x14ac:dyDescent="0.25">
      <c r="A1771" s="1218" t="s">
        <v>185</v>
      </c>
      <c r="B1771" s="98">
        <v>45689</v>
      </c>
      <c r="C1771" s="117" t="str">
        <f t="shared" si="409"/>
        <v>7L</v>
      </c>
      <c r="D1771" s="96"/>
      <c r="F1771" s="99">
        <f t="shared" si="394"/>
        <v>0</v>
      </c>
      <c r="I1771" s="99">
        <f t="shared" si="390"/>
        <v>0</v>
      </c>
      <c r="L1771" s="99">
        <f t="shared" si="396"/>
        <v>0</v>
      </c>
      <c r="M1771" s="44" t="str">
        <f t="shared" si="410"/>
        <v/>
      </c>
      <c r="N1771" s="100">
        <f t="shared" si="397"/>
        <v>0</v>
      </c>
      <c r="O1771" s="101">
        <f t="shared" si="408"/>
        <v>0</v>
      </c>
      <c r="P1771" s="52">
        <f t="shared" si="398"/>
        <v>0</v>
      </c>
      <c r="Q1771" s="49">
        <v>116.88487613461319</v>
      </c>
      <c r="R1771">
        <v>2225</v>
      </c>
      <c r="S1771" s="50">
        <f t="shared" si="395"/>
        <v>71535.307499999995</v>
      </c>
      <c r="T1771" s="50">
        <f t="shared" si="399"/>
        <v>0</v>
      </c>
      <c r="U1771" s="58">
        <f t="shared" si="400"/>
        <v>0</v>
      </c>
      <c r="V1771" s="58">
        <f t="shared" si="401"/>
        <v>0</v>
      </c>
      <c r="W1771" s="58">
        <f t="shared" si="402"/>
        <v>0</v>
      </c>
      <c r="X1771" s="58">
        <f t="shared" si="403"/>
        <v>0</v>
      </c>
      <c r="Y1771" s="52">
        <f t="shared" si="404"/>
        <v>0</v>
      </c>
    </row>
    <row r="1772" spans="1:25" x14ac:dyDescent="0.25">
      <c r="A1772" s="1218" t="s">
        <v>186</v>
      </c>
      <c r="B1772" s="98">
        <v>45689</v>
      </c>
      <c r="C1772" s="117" t="str">
        <f t="shared" si="409"/>
        <v>7L</v>
      </c>
      <c r="D1772" s="96"/>
      <c r="F1772" s="99">
        <f t="shared" si="394"/>
        <v>0</v>
      </c>
      <c r="I1772" s="99">
        <f t="shared" si="390"/>
        <v>0</v>
      </c>
      <c r="L1772" s="99">
        <f t="shared" si="396"/>
        <v>0</v>
      </c>
      <c r="M1772" s="44" t="str">
        <f t="shared" si="410"/>
        <v/>
      </c>
      <c r="N1772" s="100">
        <f t="shared" si="397"/>
        <v>0</v>
      </c>
      <c r="O1772" s="101">
        <f t="shared" si="408"/>
        <v>0</v>
      </c>
      <c r="P1772" s="52">
        <f t="shared" si="398"/>
        <v>0</v>
      </c>
      <c r="Q1772" s="49">
        <v>116.88487613461319</v>
      </c>
      <c r="R1772">
        <v>2225</v>
      </c>
      <c r="S1772" s="50">
        <f t="shared" si="395"/>
        <v>71535.307499999995</v>
      </c>
      <c r="T1772" s="50">
        <f t="shared" si="399"/>
        <v>0</v>
      </c>
      <c r="U1772" s="58">
        <f t="shared" si="400"/>
        <v>0</v>
      </c>
      <c r="V1772" s="58">
        <f t="shared" si="401"/>
        <v>0</v>
      </c>
      <c r="W1772" s="58">
        <f t="shared" si="402"/>
        <v>0</v>
      </c>
      <c r="X1772" s="58">
        <f t="shared" si="403"/>
        <v>0</v>
      </c>
      <c r="Y1772" s="52">
        <f t="shared" si="404"/>
        <v>0</v>
      </c>
    </row>
    <row r="1773" spans="1:25" x14ac:dyDescent="0.25">
      <c r="A1773" s="1218" t="s">
        <v>187</v>
      </c>
      <c r="B1773" s="98">
        <v>45689</v>
      </c>
      <c r="C1773" s="117" t="str">
        <f t="shared" si="409"/>
        <v>7L</v>
      </c>
      <c r="D1773" s="96"/>
      <c r="F1773" s="99">
        <f t="shared" si="394"/>
        <v>0</v>
      </c>
      <c r="I1773" s="99">
        <f t="shared" si="390"/>
        <v>0</v>
      </c>
      <c r="L1773" s="99">
        <f t="shared" si="396"/>
        <v>0</v>
      </c>
      <c r="M1773" s="44" t="str">
        <f t="shared" si="410"/>
        <v/>
      </c>
      <c r="N1773" s="100">
        <f t="shared" si="397"/>
        <v>0</v>
      </c>
      <c r="O1773" s="101">
        <f t="shared" si="408"/>
        <v>0</v>
      </c>
      <c r="P1773" s="52">
        <f t="shared" si="398"/>
        <v>0</v>
      </c>
      <c r="Q1773" s="49">
        <v>116.88487613461319</v>
      </c>
      <c r="R1773">
        <v>2225</v>
      </c>
      <c r="S1773" s="50">
        <f t="shared" si="395"/>
        <v>71535.307499999995</v>
      </c>
      <c r="T1773" s="50">
        <f t="shared" si="399"/>
        <v>0</v>
      </c>
      <c r="U1773" s="58">
        <f t="shared" si="400"/>
        <v>0</v>
      </c>
      <c r="V1773" s="58">
        <f t="shared" si="401"/>
        <v>0</v>
      </c>
      <c r="W1773" s="58">
        <f t="shared" si="402"/>
        <v>0</v>
      </c>
      <c r="X1773" s="58">
        <f t="shared" si="403"/>
        <v>0</v>
      </c>
      <c r="Y1773" s="52">
        <f t="shared" si="404"/>
        <v>0</v>
      </c>
    </row>
    <row r="1774" spans="1:25" x14ac:dyDescent="0.25">
      <c r="A1774" s="1218" t="s">
        <v>188</v>
      </c>
      <c r="B1774" s="98">
        <v>45689</v>
      </c>
      <c r="C1774" s="117" t="str">
        <f t="shared" si="409"/>
        <v>7L</v>
      </c>
      <c r="D1774" s="96"/>
      <c r="F1774" s="99">
        <f t="shared" si="394"/>
        <v>0</v>
      </c>
      <c r="I1774" s="99">
        <f t="shared" si="390"/>
        <v>0</v>
      </c>
      <c r="L1774" s="99">
        <f t="shared" si="396"/>
        <v>0</v>
      </c>
      <c r="M1774" s="44" t="str">
        <f t="shared" si="410"/>
        <v/>
      </c>
      <c r="N1774" s="100">
        <f t="shared" si="397"/>
        <v>0</v>
      </c>
      <c r="O1774" s="101">
        <f t="shared" si="408"/>
        <v>0</v>
      </c>
      <c r="P1774" s="52">
        <f t="shared" si="398"/>
        <v>0</v>
      </c>
      <c r="Q1774" s="49">
        <v>116.88487613461319</v>
      </c>
      <c r="R1774">
        <v>2225</v>
      </c>
      <c r="S1774" s="50">
        <f t="shared" si="395"/>
        <v>71535.307499999995</v>
      </c>
      <c r="T1774" s="50">
        <f t="shared" si="399"/>
        <v>0</v>
      </c>
      <c r="U1774" s="58">
        <f t="shared" si="400"/>
        <v>0</v>
      </c>
      <c r="V1774" s="58">
        <f t="shared" si="401"/>
        <v>0</v>
      </c>
      <c r="W1774" s="58">
        <f t="shared" si="402"/>
        <v>0</v>
      </c>
      <c r="X1774" s="58">
        <f t="shared" si="403"/>
        <v>0</v>
      </c>
      <c r="Y1774" s="52">
        <f t="shared" si="404"/>
        <v>0</v>
      </c>
    </row>
    <row r="1775" spans="1:25" x14ac:dyDescent="0.25">
      <c r="A1775" s="1218" t="s">
        <v>189</v>
      </c>
      <c r="B1775" s="98">
        <v>45689</v>
      </c>
      <c r="C1775" s="117" t="str">
        <f t="shared" si="409"/>
        <v>7L</v>
      </c>
      <c r="D1775" s="96"/>
      <c r="F1775" s="99">
        <f t="shared" si="394"/>
        <v>0</v>
      </c>
      <c r="I1775" s="99">
        <f t="shared" si="390"/>
        <v>0</v>
      </c>
      <c r="L1775" s="99">
        <f t="shared" si="396"/>
        <v>0</v>
      </c>
      <c r="M1775" s="44" t="str">
        <f t="shared" si="410"/>
        <v/>
      </c>
      <c r="N1775" s="100">
        <f t="shared" si="397"/>
        <v>0</v>
      </c>
      <c r="O1775" s="101">
        <f t="shared" si="408"/>
        <v>0</v>
      </c>
      <c r="P1775" s="52">
        <f t="shared" si="398"/>
        <v>0</v>
      </c>
      <c r="Q1775" s="49">
        <v>116.88487613461319</v>
      </c>
      <c r="R1775">
        <v>2225</v>
      </c>
      <c r="S1775" s="50">
        <f t="shared" si="395"/>
        <v>71535.307499999995</v>
      </c>
      <c r="T1775" s="50">
        <f t="shared" si="399"/>
        <v>0</v>
      </c>
      <c r="U1775" s="58">
        <f t="shared" si="400"/>
        <v>0</v>
      </c>
      <c r="V1775" s="58">
        <f t="shared" si="401"/>
        <v>0</v>
      </c>
      <c r="W1775" s="58">
        <f t="shared" si="402"/>
        <v>0</v>
      </c>
      <c r="X1775" s="58">
        <f t="shared" si="403"/>
        <v>0</v>
      </c>
      <c r="Y1775" s="52">
        <f t="shared" si="404"/>
        <v>0</v>
      </c>
    </row>
    <row r="1776" spans="1:25" x14ac:dyDescent="0.25">
      <c r="A1776" s="1218" t="s">
        <v>190</v>
      </c>
      <c r="B1776" s="98">
        <v>45689</v>
      </c>
      <c r="C1776" s="117" t="str">
        <f t="shared" si="409"/>
        <v>8L</v>
      </c>
      <c r="D1776" s="96"/>
      <c r="F1776" s="99">
        <f t="shared" si="394"/>
        <v>0</v>
      </c>
      <c r="I1776" s="99">
        <f t="shared" si="390"/>
        <v>0</v>
      </c>
      <c r="L1776" s="99">
        <f t="shared" si="396"/>
        <v>0</v>
      </c>
      <c r="M1776" s="44" t="str">
        <f t="shared" si="410"/>
        <v/>
      </c>
      <c r="N1776" s="100">
        <f t="shared" si="397"/>
        <v>0</v>
      </c>
      <c r="O1776" s="101">
        <f t="shared" si="408"/>
        <v>0</v>
      </c>
      <c r="P1776" s="52">
        <f t="shared" si="398"/>
        <v>0</v>
      </c>
      <c r="Q1776" s="49">
        <v>116.88487613461319</v>
      </c>
      <c r="R1776">
        <v>2225</v>
      </c>
      <c r="S1776" s="50">
        <f t="shared" si="395"/>
        <v>71535.307499999995</v>
      </c>
      <c r="T1776" s="50">
        <f t="shared" si="399"/>
        <v>0</v>
      </c>
      <c r="U1776" s="58">
        <f t="shared" si="400"/>
        <v>0</v>
      </c>
      <c r="V1776" s="58">
        <f t="shared" si="401"/>
        <v>0</v>
      </c>
      <c r="W1776" s="58">
        <f t="shared" si="402"/>
        <v>0</v>
      </c>
      <c r="X1776" s="58">
        <f t="shared" si="403"/>
        <v>0</v>
      </c>
      <c r="Y1776" s="52">
        <f t="shared" si="404"/>
        <v>0</v>
      </c>
    </row>
    <row r="1777" spans="1:25" x14ac:dyDescent="0.25">
      <c r="A1777" s="1218" t="s">
        <v>191</v>
      </c>
      <c r="B1777" s="98">
        <v>45689</v>
      </c>
      <c r="C1777" s="117" t="str">
        <f t="shared" si="409"/>
        <v>8L</v>
      </c>
      <c r="D1777" s="96"/>
      <c r="F1777" s="99">
        <f t="shared" si="394"/>
        <v>0</v>
      </c>
      <c r="I1777" s="99">
        <f t="shared" si="390"/>
        <v>0</v>
      </c>
      <c r="L1777" s="99">
        <f t="shared" si="396"/>
        <v>0</v>
      </c>
      <c r="M1777" s="44" t="str">
        <f t="shared" si="410"/>
        <v/>
      </c>
      <c r="N1777" s="100">
        <f t="shared" si="397"/>
        <v>0</v>
      </c>
      <c r="O1777" s="101">
        <f t="shared" si="408"/>
        <v>0</v>
      </c>
      <c r="P1777" s="52">
        <f t="shared" si="398"/>
        <v>0</v>
      </c>
      <c r="Q1777" s="49">
        <v>116.88487613461319</v>
      </c>
      <c r="R1777">
        <v>2225</v>
      </c>
      <c r="S1777" s="50">
        <f t="shared" si="395"/>
        <v>71535.307499999995</v>
      </c>
      <c r="T1777" s="50">
        <f t="shared" si="399"/>
        <v>0</v>
      </c>
      <c r="U1777" s="58">
        <f t="shared" si="400"/>
        <v>0</v>
      </c>
      <c r="V1777" s="58">
        <f t="shared" si="401"/>
        <v>0</v>
      </c>
      <c r="W1777" s="58">
        <f t="shared" si="402"/>
        <v>0</v>
      </c>
      <c r="X1777" s="58">
        <f t="shared" si="403"/>
        <v>0</v>
      </c>
      <c r="Y1777" s="52">
        <f t="shared" si="404"/>
        <v>0</v>
      </c>
    </row>
    <row r="1778" spans="1:25" x14ac:dyDescent="0.25">
      <c r="A1778" s="1218" t="s">
        <v>192</v>
      </c>
      <c r="B1778" s="98">
        <v>45689</v>
      </c>
      <c r="C1778" s="117" t="str">
        <f t="shared" si="409"/>
        <v>8L</v>
      </c>
      <c r="D1778" s="96"/>
      <c r="F1778" s="99">
        <f t="shared" si="394"/>
        <v>0</v>
      </c>
      <c r="I1778" s="99">
        <f t="shared" si="390"/>
        <v>0</v>
      </c>
      <c r="L1778" s="99">
        <f t="shared" si="396"/>
        <v>0</v>
      </c>
      <c r="M1778" s="44" t="str">
        <f t="shared" si="410"/>
        <v/>
      </c>
      <c r="N1778" s="100">
        <f t="shared" si="397"/>
        <v>0</v>
      </c>
      <c r="O1778" s="101">
        <f t="shared" si="408"/>
        <v>0</v>
      </c>
      <c r="P1778" s="52">
        <f t="shared" si="398"/>
        <v>0</v>
      </c>
      <c r="Q1778" s="49">
        <v>116.88487613461319</v>
      </c>
      <c r="R1778">
        <v>2225</v>
      </c>
      <c r="S1778" s="50">
        <f t="shared" si="395"/>
        <v>71535.307499999995</v>
      </c>
      <c r="T1778" s="50">
        <f t="shared" si="399"/>
        <v>0</v>
      </c>
      <c r="U1778" s="58">
        <f t="shared" si="400"/>
        <v>0</v>
      </c>
      <c r="V1778" s="58">
        <f t="shared" si="401"/>
        <v>0</v>
      </c>
      <c r="W1778" s="58">
        <f t="shared" si="402"/>
        <v>0</v>
      </c>
      <c r="X1778" s="58">
        <f t="shared" si="403"/>
        <v>0</v>
      </c>
      <c r="Y1778" s="52">
        <f t="shared" si="404"/>
        <v>0</v>
      </c>
    </row>
    <row r="1779" spans="1:25" x14ac:dyDescent="0.25">
      <c r="A1779" s="1218" t="s">
        <v>193</v>
      </c>
      <c r="B1779" s="98">
        <v>45689</v>
      </c>
      <c r="C1779" s="117" t="str">
        <f t="shared" si="409"/>
        <v>8L</v>
      </c>
      <c r="D1779" s="96"/>
      <c r="F1779" s="99">
        <f t="shared" si="394"/>
        <v>0</v>
      </c>
      <c r="I1779" s="99">
        <f t="shared" si="390"/>
        <v>0</v>
      </c>
      <c r="L1779" s="99">
        <f t="shared" si="396"/>
        <v>0</v>
      </c>
      <c r="M1779" s="44" t="str">
        <f t="shared" si="410"/>
        <v/>
      </c>
      <c r="N1779" s="100">
        <f t="shared" si="397"/>
        <v>0</v>
      </c>
      <c r="O1779" s="101">
        <f t="shared" si="408"/>
        <v>0</v>
      </c>
      <c r="P1779" s="52">
        <f t="shared" si="398"/>
        <v>0</v>
      </c>
      <c r="Q1779" s="49">
        <v>116.88487613461319</v>
      </c>
      <c r="R1779">
        <v>2225</v>
      </c>
      <c r="S1779" s="50">
        <f t="shared" si="395"/>
        <v>71535.307499999995</v>
      </c>
      <c r="T1779" s="50">
        <f t="shared" si="399"/>
        <v>0</v>
      </c>
      <c r="U1779" s="58">
        <f t="shared" si="400"/>
        <v>0</v>
      </c>
      <c r="V1779" s="58">
        <f t="shared" si="401"/>
        <v>0</v>
      </c>
      <c r="W1779" s="58">
        <f t="shared" si="402"/>
        <v>0</v>
      </c>
      <c r="X1779" s="58">
        <f t="shared" si="403"/>
        <v>0</v>
      </c>
      <c r="Y1779" s="52">
        <f t="shared" si="404"/>
        <v>0</v>
      </c>
    </row>
    <row r="1780" spans="1:25" x14ac:dyDescent="0.25">
      <c r="A1780" s="1218" t="s">
        <v>194</v>
      </c>
      <c r="B1780" s="98">
        <v>45689</v>
      </c>
      <c r="C1780" s="117" t="str">
        <f t="shared" si="409"/>
        <v>8L</v>
      </c>
      <c r="D1780" s="96"/>
      <c r="F1780" s="99">
        <f t="shared" si="394"/>
        <v>0</v>
      </c>
      <c r="I1780" s="99">
        <f t="shared" si="390"/>
        <v>0</v>
      </c>
      <c r="L1780" s="99">
        <f t="shared" si="396"/>
        <v>0</v>
      </c>
      <c r="M1780" s="44" t="str">
        <f t="shared" si="410"/>
        <v/>
      </c>
      <c r="N1780" s="100">
        <f t="shared" si="397"/>
        <v>0</v>
      </c>
      <c r="O1780" s="101">
        <f t="shared" si="408"/>
        <v>0</v>
      </c>
      <c r="P1780" s="52">
        <f t="shared" si="398"/>
        <v>0</v>
      </c>
      <c r="Q1780" s="49">
        <v>116.88487613461319</v>
      </c>
      <c r="R1780">
        <v>2225</v>
      </c>
      <c r="S1780" s="50">
        <f t="shared" si="395"/>
        <v>71535.307499999995</v>
      </c>
      <c r="T1780" s="50">
        <f t="shared" si="399"/>
        <v>0</v>
      </c>
      <c r="U1780" s="58">
        <f t="shared" si="400"/>
        <v>0</v>
      </c>
      <c r="V1780" s="58">
        <f t="shared" si="401"/>
        <v>0</v>
      </c>
      <c r="W1780" s="58">
        <f t="shared" si="402"/>
        <v>0</v>
      </c>
      <c r="X1780" s="58">
        <f t="shared" si="403"/>
        <v>0</v>
      </c>
      <c r="Y1780" s="52">
        <f t="shared" si="404"/>
        <v>0</v>
      </c>
    </row>
    <row r="1781" spans="1:25" x14ac:dyDescent="0.25">
      <c r="A1781" s="1218" t="s">
        <v>195</v>
      </c>
      <c r="B1781" s="98">
        <v>45689</v>
      </c>
      <c r="C1781" s="117" t="str">
        <f t="shared" si="409"/>
        <v>8L</v>
      </c>
      <c r="D1781" s="96"/>
      <c r="F1781" s="99">
        <f t="shared" si="394"/>
        <v>0</v>
      </c>
      <c r="I1781" s="99">
        <f t="shared" si="390"/>
        <v>0</v>
      </c>
      <c r="L1781" s="99">
        <f t="shared" si="396"/>
        <v>0</v>
      </c>
      <c r="M1781" s="44" t="str">
        <f t="shared" si="410"/>
        <v/>
      </c>
      <c r="N1781" s="100">
        <f t="shared" si="397"/>
        <v>0</v>
      </c>
      <c r="O1781" s="101">
        <f t="shared" si="408"/>
        <v>0</v>
      </c>
      <c r="P1781" s="52">
        <f t="shared" si="398"/>
        <v>0</v>
      </c>
      <c r="Q1781" s="49">
        <v>116.88487613461319</v>
      </c>
      <c r="R1781">
        <v>2225</v>
      </c>
      <c r="S1781" s="50">
        <f t="shared" si="395"/>
        <v>71535.307499999995</v>
      </c>
      <c r="T1781" s="50">
        <f t="shared" si="399"/>
        <v>0</v>
      </c>
      <c r="U1781" s="58">
        <f t="shared" si="400"/>
        <v>0</v>
      </c>
      <c r="V1781" s="58">
        <f t="shared" si="401"/>
        <v>0</v>
      </c>
      <c r="W1781" s="58">
        <f t="shared" si="402"/>
        <v>0</v>
      </c>
      <c r="X1781" s="58">
        <f t="shared" si="403"/>
        <v>0</v>
      </c>
      <c r="Y1781" s="52">
        <f t="shared" si="404"/>
        <v>0</v>
      </c>
    </row>
    <row r="1782" spans="1:25" x14ac:dyDescent="0.25">
      <c r="A1782" s="1218" t="s">
        <v>196</v>
      </c>
      <c r="B1782" s="98">
        <v>45689</v>
      </c>
      <c r="C1782" s="117" t="str">
        <f t="shared" si="409"/>
        <v>8L</v>
      </c>
      <c r="D1782" s="96"/>
      <c r="F1782" s="99">
        <f t="shared" si="394"/>
        <v>0</v>
      </c>
      <c r="I1782" s="99">
        <f t="shared" si="390"/>
        <v>0</v>
      </c>
      <c r="L1782" s="99">
        <f t="shared" si="396"/>
        <v>0</v>
      </c>
      <c r="M1782" s="44" t="str">
        <f t="shared" si="410"/>
        <v/>
      </c>
      <c r="N1782" s="100">
        <f t="shared" si="397"/>
        <v>0</v>
      </c>
      <c r="O1782" s="101">
        <f t="shared" si="408"/>
        <v>0</v>
      </c>
      <c r="P1782" s="52">
        <f t="shared" si="398"/>
        <v>0</v>
      </c>
      <c r="Q1782" s="49">
        <v>116.88487613461319</v>
      </c>
      <c r="R1782">
        <v>2225</v>
      </c>
      <c r="S1782" s="50">
        <f t="shared" si="395"/>
        <v>71535.307499999995</v>
      </c>
      <c r="T1782" s="50">
        <f t="shared" si="399"/>
        <v>0</v>
      </c>
      <c r="U1782" s="58">
        <f t="shared" si="400"/>
        <v>0</v>
      </c>
      <c r="V1782" s="58">
        <f t="shared" si="401"/>
        <v>0</v>
      </c>
      <c r="W1782" s="58">
        <f t="shared" si="402"/>
        <v>0</v>
      </c>
      <c r="X1782" s="58">
        <f t="shared" si="403"/>
        <v>0</v>
      </c>
      <c r="Y1782" s="52">
        <f t="shared" si="404"/>
        <v>0</v>
      </c>
    </row>
    <row r="1783" spans="1:25" x14ac:dyDescent="0.25">
      <c r="A1783" s="1218" t="s">
        <v>197</v>
      </c>
      <c r="B1783" s="98">
        <v>45689</v>
      </c>
      <c r="C1783" s="117" t="str">
        <f t="shared" si="409"/>
        <v>8L</v>
      </c>
      <c r="D1783" s="96"/>
      <c r="F1783" s="99">
        <f t="shared" si="394"/>
        <v>0</v>
      </c>
      <c r="I1783" s="99">
        <f t="shared" si="390"/>
        <v>0</v>
      </c>
      <c r="L1783" s="99">
        <f t="shared" si="396"/>
        <v>0</v>
      </c>
      <c r="M1783" s="44" t="str">
        <f t="shared" si="410"/>
        <v/>
      </c>
      <c r="N1783" s="100">
        <f t="shared" si="397"/>
        <v>0</v>
      </c>
      <c r="O1783" s="101">
        <f t="shared" si="408"/>
        <v>0</v>
      </c>
      <c r="P1783" s="52">
        <f t="shared" si="398"/>
        <v>0</v>
      </c>
      <c r="Q1783" s="49">
        <v>116.88487613461319</v>
      </c>
      <c r="R1783">
        <v>2225</v>
      </c>
      <c r="S1783" s="50">
        <f t="shared" si="395"/>
        <v>71535.307499999995</v>
      </c>
      <c r="T1783" s="50">
        <f t="shared" si="399"/>
        <v>0</v>
      </c>
      <c r="U1783" s="58">
        <f t="shared" si="400"/>
        <v>0</v>
      </c>
      <c r="V1783" s="58">
        <f t="shared" si="401"/>
        <v>0</v>
      </c>
      <c r="W1783" s="58">
        <f t="shared" si="402"/>
        <v>0</v>
      </c>
      <c r="X1783" s="58">
        <f t="shared" si="403"/>
        <v>0</v>
      </c>
      <c r="Y1783" s="52">
        <f t="shared" si="404"/>
        <v>0</v>
      </c>
    </row>
    <row r="1784" spans="1:25" x14ac:dyDescent="0.25">
      <c r="A1784" s="1218" t="s">
        <v>198</v>
      </c>
      <c r="B1784" s="98">
        <v>45689</v>
      </c>
      <c r="C1784" s="117" t="str">
        <f t="shared" si="409"/>
        <v>8L</v>
      </c>
      <c r="D1784" s="96"/>
      <c r="F1784" s="99">
        <f t="shared" si="394"/>
        <v>0</v>
      </c>
      <c r="I1784" s="99">
        <f t="shared" si="390"/>
        <v>0</v>
      </c>
      <c r="L1784" s="99">
        <f t="shared" si="396"/>
        <v>0</v>
      </c>
      <c r="M1784" s="44" t="str">
        <f t="shared" si="410"/>
        <v/>
      </c>
      <c r="N1784" s="100">
        <f t="shared" si="397"/>
        <v>0</v>
      </c>
      <c r="O1784" s="101">
        <f t="shared" si="408"/>
        <v>0</v>
      </c>
      <c r="P1784" s="52">
        <f t="shared" si="398"/>
        <v>0</v>
      </c>
      <c r="Q1784" s="49">
        <v>116.88487613461319</v>
      </c>
      <c r="R1784">
        <v>2225</v>
      </c>
      <c r="S1784" s="50">
        <f t="shared" si="395"/>
        <v>71535.307499999995</v>
      </c>
      <c r="T1784" s="50">
        <f t="shared" si="399"/>
        <v>0</v>
      </c>
      <c r="U1784" s="58">
        <f t="shared" si="400"/>
        <v>0</v>
      </c>
      <c r="V1784" s="58">
        <f t="shared" si="401"/>
        <v>0</v>
      </c>
      <c r="W1784" s="58">
        <f t="shared" si="402"/>
        <v>0</v>
      </c>
      <c r="X1784" s="58">
        <f t="shared" si="403"/>
        <v>0</v>
      </c>
      <c r="Y1784" s="52">
        <f t="shared" si="404"/>
        <v>0</v>
      </c>
    </row>
    <row r="1785" spans="1:25" x14ac:dyDescent="0.25">
      <c r="A1785" s="1218" t="s">
        <v>199</v>
      </c>
      <c r="B1785" s="98">
        <v>45689</v>
      </c>
      <c r="C1785" s="117" t="str">
        <f t="shared" si="409"/>
        <v>8L</v>
      </c>
      <c r="D1785" s="96"/>
      <c r="F1785" s="99">
        <f t="shared" si="394"/>
        <v>0</v>
      </c>
      <c r="I1785" s="99">
        <f t="shared" si="390"/>
        <v>0</v>
      </c>
      <c r="L1785" s="99">
        <f t="shared" si="396"/>
        <v>0</v>
      </c>
      <c r="M1785" s="44" t="str">
        <f t="shared" si="410"/>
        <v/>
      </c>
      <c r="N1785" s="100">
        <f t="shared" si="397"/>
        <v>0</v>
      </c>
      <c r="O1785" s="101">
        <f t="shared" si="408"/>
        <v>0</v>
      </c>
      <c r="P1785" s="52">
        <f t="shared" si="398"/>
        <v>0</v>
      </c>
      <c r="Q1785" s="49">
        <v>116.88487613461319</v>
      </c>
      <c r="R1785">
        <v>2225</v>
      </c>
      <c r="S1785" s="50">
        <f t="shared" si="395"/>
        <v>71535.307499999995</v>
      </c>
      <c r="T1785" s="50">
        <f t="shared" si="399"/>
        <v>0</v>
      </c>
      <c r="U1785" s="58">
        <f t="shared" si="400"/>
        <v>0</v>
      </c>
      <c r="V1785" s="58">
        <f t="shared" si="401"/>
        <v>0</v>
      </c>
      <c r="W1785" s="58">
        <f t="shared" si="402"/>
        <v>0</v>
      </c>
      <c r="X1785" s="58">
        <f t="shared" si="403"/>
        <v>0</v>
      </c>
      <c r="Y1785" s="52">
        <f t="shared" si="404"/>
        <v>0</v>
      </c>
    </row>
    <row r="1786" spans="1:25" x14ac:dyDescent="0.25">
      <c r="A1786" s="1218" t="s">
        <v>200</v>
      </c>
      <c r="B1786" s="98">
        <v>45689</v>
      </c>
      <c r="C1786" s="117" t="str">
        <f t="shared" si="409"/>
        <v>8L</v>
      </c>
      <c r="D1786" s="96"/>
      <c r="F1786" s="99">
        <f t="shared" si="394"/>
        <v>0</v>
      </c>
      <c r="I1786" s="99">
        <f t="shared" si="390"/>
        <v>0</v>
      </c>
      <c r="L1786" s="99">
        <f t="shared" si="396"/>
        <v>0</v>
      </c>
      <c r="M1786" s="44" t="str">
        <f t="shared" si="410"/>
        <v/>
      </c>
      <c r="N1786" s="100">
        <f t="shared" si="397"/>
        <v>0</v>
      </c>
      <c r="O1786" s="101">
        <f t="shared" si="408"/>
        <v>0</v>
      </c>
      <c r="P1786" s="52">
        <f t="shared" si="398"/>
        <v>0</v>
      </c>
      <c r="Q1786" s="49">
        <v>116.88487613461319</v>
      </c>
      <c r="R1786">
        <v>2225</v>
      </c>
      <c r="S1786" s="50">
        <f t="shared" si="395"/>
        <v>71535.307499999995</v>
      </c>
      <c r="T1786" s="50">
        <f t="shared" si="399"/>
        <v>0</v>
      </c>
      <c r="U1786" s="58">
        <f t="shared" si="400"/>
        <v>0</v>
      </c>
      <c r="V1786" s="58">
        <f t="shared" si="401"/>
        <v>0</v>
      </c>
      <c r="W1786" s="58">
        <f t="shared" si="402"/>
        <v>0</v>
      </c>
      <c r="X1786" s="58">
        <f t="shared" si="403"/>
        <v>0</v>
      </c>
      <c r="Y1786" s="52">
        <f t="shared" si="404"/>
        <v>0</v>
      </c>
    </row>
    <row r="1787" spans="1:25" x14ac:dyDescent="0.25">
      <c r="A1787" s="1218" t="s">
        <v>201</v>
      </c>
      <c r="B1787" s="98">
        <v>45689</v>
      </c>
      <c r="C1787" s="117" t="str">
        <f t="shared" si="409"/>
        <v>8L</v>
      </c>
      <c r="D1787" s="96"/>
      <c r="F1787" s="99">
        <f t="shared" si="394"/>
        <v>0</v>
      </c>
      <c r="I1787" s="99">
        <f t="shared" si="390"/>
        <v>0</v>
      </c>
      <c r="L1787" s="99">
        <f t="shared" si="396"/>
        <v>0</v>
      </c>
      <c r="M1787" s="44" t="str">
        <f t="shared" si="410"/>
        <v/>
      </c>
      <c r="N1787" s="100">
        <f t="shared" si="397"/>
        <v>0</v>
      </c>
      <c r="O1787" s="101">
        <f t="shared" si="408"/>
        <v>0</v>
      </c>
      <c r="P1787" s="52">
        <f t="shared" si="398"/>
        <v>0</v>
      </c>
      <c r="Q1787" s="49">
        <v>116.88487613461319</v>
      </c>
      <c r="R1787">
        <v>2225</v>
      </c>
      <c r="S1787" s="50">
        <f t="shared" si="395"/>
        <v>71535.307499999995</v>
      </c>
      <c r="T1787" s="50">
        <f t="shared" si="399"/>
        <v>0</v>
      </c>
      <c r="U1787" s="58">
        <f t="shared" si="400"/>
        <v>0</v>
      </c>
      <c r="V1787" s="58">
        <f t="shared" si="401"/>
        <v>0</v>
      </c>
      <c r="W1787" s="58">
        <f t="shared" si="402"/>
        <v>0</v>
      </c>
      <c r="X1787" s="58">
        <f t="shared" si="403"/>
        <v>0</v>
      </c>
      <c r="Y1787" s="52">
        <f t="shared" si="404"/>
        <v>0</v>
      </c>
    </row>
    <row r="1788" spans="1:25" x14ac:dyDescent="0.25">
      <c r="A1788" s="1218" t="s">
        <v>202</v>
      </c>
      <c r="B1788" s="98">
        <v>45689</v>
      </c>
      <c r="C1788" s="117" t="str">
        <f t="shared" si="409"/>
        <v>8L</v>
      </c>
      <c r="D1788" s="96"/>
      <c r="F1788" s="99">
        <f t="shared" si="394"/>
        <v>0</v>
      </c>
      <c r="I1788" s="99">
        <f t="shared" ref="I1788:I1853" si="411">IFERROR(G1788*H1788/1000,"")</f>
        <v>0</v>
      </c>
      <c r="L1788" s="99">
        <f t="shared" si="396"/>
        <v>0</v>
      </c>
      <c r="M1788" s="44" t="str">
        <f t="shared" si="410"/>
        <v/>
      </c>
      <c r="N1788" s="100">
        <f t="shared" si="397"/>
        <v>0</v>
      </c>
      <c r="O1788" s="101">
        <f t="shared" si="408"/>
        <v>0</v>
      </c>
      <c r="P1788" s="52">
        <f t="shared" si="398"/>
        <v>0</v>
      </c>
      <c r="Q1788" s="49">
        <v>116.88487613461319</v>
      </c>
      <c r="R1788">
        <v>2225</v>
      </c>
      <c r="S1788" s="50">
        <f t="shared" si="395"/>
        <v>71535.307499999995</v>
      </c>
      <c r="T1788" s="50">
        <f t="shared" si="399"/>
        <v>0</v>
      </c>
      <c r="U1788" s="58">
        <f t="shared" si="400"/>
        <v>0</v>
      </c>
      <c r="V1788" s="58">
        <f t="shared" si="401"/>
        <v>0</v>
      </c>
      <c r="W1788" s="58">
        <f t="shared" si="402"/>
        <v>0</v>
      </c>
      <c r="X1788" s="58">
        <f t="shared" si="403"/>
        <v>0</v>
      </c>
      <c r="Y1788" s="52">
        <f t="shared" si="404"/>
        <v>0</v>
      </c>
    </row>
    <row r="1789" spans="1:25" x14ac:dyDescent="0.25">
      <c r="A1789" s="1218" t="s">
        <v>203</v>
      </c>
      <c r="B1789" s="98">
        <v>45689</v>
      </c>
      <c r="C1789" s="117" t="str">
        <f t="shared" si="409"/>
        <v>8L</v>
      </c>
      <c r="D1789" s="96"/>
      <c r="F1789" s="99">
        <f t="shared" si="394"/>
        <v>0</v>
      </c>
      <c r="I1789" s="99">
        <f t="shared" si="411"/>
        <v>0</v>
      </c>
      <c r="L1789" s="99">
        <f t="shared" si="396"/>
        <v>0</v>
      </c>
      <c r="M1789" s="44" t="str">
        <f t="shared" si="410"/>
        <v/>
      </c>
      <c r="N1789" s="100">
        <f t="shared" si="397"/>
        <v>0</v>
      </c>
      <c r="O1789" s="101">
        <f t="shared" si="408"/>
        <v>0</v>
      </c>
      <c r="P1789" s="52">
        <f t="shared" si="398"/>
        <v>0</v>
      </c>
      <c r="Q1789" s="49">
        <v>116.88487613461319</v>
      </c>
      <c r="R1789">
        <v>2225</v>
      </c>
      <c r="S1789" s="50">
        <f t="shared" si="395"/>
        <v>71535.307499999995</v>
      </c>
      <c r="T1789" s="50">
        <f t="shared" si="399"/>
        <v>0</v>
      </c>
      <c r="U1789" s="58">
        <f t="shared" si="400"/>
        <v>0</v>
      </c>
      <c r="V1789" s="58">
        <f t="shared" si="401"/>
        <v>0</v>
      </c>
      <c r="W1789" s="58">
        <f t="shared" si="402"/>
        <v>0</v>
      </c>
      <c r="X1789" s="58">
        <f t="shared" si="403"/>
        <v>0</v>
      </c>
      <c r="Y1789" s="52">
        <f t="shared" si="404"/>
        <v>0</v>
      </c>
    </row>
    <row r="1790" spans="1:25" x14ac:dyDescent="0.25">
      <c r="A1790" s="1218" t="s">
        <v>204</v>
      </c>
      <c r="B1790" s="98">
        <v>45689</v>
      </c>
      <c r="C1790" s="117" t="str">
        <f t="shared" si="409"/>
        <v>8L</v>
      </c>
      <c r="D1790" s="96"/>
      <c r="F1790" s="99">
        <f t="shared" si="394"/>
        <v>0</v>
      </c>
      <c r="I1790" s="99">
        <f t="shared" si="411"/>
        <v>0</v>
      </c>
      <c r="L1790" s="99">
        <f t="shared" si="396"/>
        <v>0</v>
      </c>
      <c r="M1790" s="44" t="str">
        <f t="shared" si="410"/>
        <v/>
      </c>
      <c r="N1790" s="100">
        <f t="shared" si="397"/>
        <v>0</v>
      </c>
      <c r="O1790" s="101">
        <f t="shared" si="408"/>
        <v>0</v>
      </c>
      <c r="P1790" s="52">
        <f t="shared" si="398"/>
        <v>0</v>
      </c>
      <c r="Q1790" s="49">
        <v>116.88487613461319</v>
      </c>
      <c r="R1790">
        <v>2225</v>
      </c>
      <c r="S1790" s="50">
        <f t="shared" si="395"/>
        <v>71535.307499999995</v>
      </c>
      <c r="T1790" s="50">
        <f t="shared" si="399"/>
        <v>0</v>
      </c>
      <c r="U1790" s="58">
        <f t="shared" si="400"/>
        <v>0</v>
      </c>
      <c r="V1790" s="58">
        <f t="shared" si="401"/>
        <v>0</v>
      </c>
      <c r="W1790" s="58">
        <f t="shared" si="402"/>
        <v>0</v>
      </c>
      <c r="X1790" s="58">
        <f t="shared" si="403"/>
        <v>0</v>
      </c>
      <c r="Y1790" s="52">
        <f t="shared" si="404"/>
        <v>0</v>
      </c>
    </row>
    <row r="1791" spans="1:25" x14ac:dyDescent="0.25">
      <c r="A1791" s="1218" t="s">
        <v>205</v>
      </c>
      <c r="B1791" s="98">
        <v>45689</v>
      </c>
      <c r="C1791" s="117" t="str">
        <f t="shared" si="409"/>
        <v>8L</v>
      </c>
      <c r="D1791" s="96"/>
      <c r="F1791" s="99">
        <f t="shared" si="394"/>
        <v>0</v>
      </c>
      <c r="I1791" s="99">
        <f t="shared" si="411"/>
        <v>0</v>
      </c>
      <c r="L1791" s="99">
        <f t="shared" si="396"/>
        <v>0</v>
      </c>
      <c r="M1791" s="44" t="str">
        <f t="shared" si="410"/>
        <v/>
      </c>
      <c r="N1791" s="100">
        <f t="shared" si="397"/>
        <v>0</v>
      </c>
      <c r="O1791" s="101">
        <f t="shared" si="408"/>
        <v>0</v>
      </c>
      <c r="P1791" s="52">
        <f t="shared" si="398"/>
        <v>0</v>
      </c>
      <c r="Q1791" s="49">
        <v>116.88487613461319</v>
      </c>
      <c r="R1791">
        <v>2225</v>
      </c>
      <c r="S1791" s="50">
        <f t="shared" si="395"/>
        <v>71535.307499999995</v>
      </c>
      <c r="T1791" s="50">
        <f t="shared" si="399"/>
        <v>0</v>
      </c>
      <c r="U1791" s="58">
        <f t="shared" si="400"/>
        <v>0</v>
      </c>
      <c r="V1791" s="58">
        <f t="shared" si="401"/>
        <v>0</v>
      </c>
      <c r="W1791" s="58">
        <f t="shared" si="402"/>
        <v>0</v>
      </c>
      <c r="X1791" s="58">
        <f t="shared" si="403"/>
        <v>0</v>
      </c>
      <c r="Y1791" s="52">
        <f t="shared" si="404"/>
        <v>0</v>
      </c>
    </row>
    <row r="1792" spans="1:25" x14ac:dyDescent="0.25">
      <c r="A1792" s="1218" t="s">
        <v>206</v>
      </c>
      <c r="B1792" s="98">
        <v>45689</v>
      </c>
      <c r="C1792" s="117" t="str">
        <f t="shared" si="409"/>
        <v>8L</v>
      </c>
      <c r="D1792" s="96"/>
      <c r="F1792" s="99">
        <f t="shared" si="394"/>
        <v>0</v>
      </c>
      <c r="I1792" s="99">
        <f t="shared" si="411"/>
        <v>0</v>
      </c>
      <c r="L1792" s="99">
        <f t="shared" si="396"/>
        <v>0</v>
      </c>
      <c r="M1792" s="44" t="str">
        <f t="shared" si="410"/>
        <v/>
      </c>
      <c r="N1792" s="100">
        <f t="shared" si="397"/>
        <v>0</v>
      </c>
      <c r="O1792" s="101">
        <f t="shared" si="408"/>
        <v>0</v>
      </c>
      <c r="P1792" s="52">
        <f t="shared" si="398"/>
        <v>0</v>
      </c>
      <c r="Q1792" s="49">
        <v>116.88487613461319</v>
      </c>
      <c r="R1792">
        <v>2225</v>
      </c>
      <c r="S1792" s="50">
        <f t="shared" si="395"/>
        <v>71535.307499999995</v>
      </c>
      <c r="T1792" s="50">
        <f t="shared" si="399"/>
        <v>0</v>
      </c>
      <c r="U1792" s="58">
        <f t="shared" si="400"/>
        <v>0</v>
      </c>
      <c r="V1792" s="58">
        <f t="shared" si="401"/>
        <v>0</v>
      </c>
      <c r="W1792" s="58">
        <f t="shared" si="402"/>
        <v>0</v>
      </c>
      <c r="X1792" s="58">
        <f t="shared" si="403"/>
        <v>0</v>
      </c>
      <c r="Y1792" s="52">
        <f t="shared" si="404"/>
        <v>0</v>
      </c>
    </row>
    <row r="1793" spans="1:25" ht="15.75" thickBot="1" x14ac:dyDescent="0.3">
      <c r="A1793" s="1219" t="s">
        <v>207</v>
      </c>
      <c r="B1793" s="98">
        <v>45689</v>
      </c>
      <c r="C1793" s="117" t="str">
        <f t="shared" si="409"/>
        <v>8L</v>
      </c>
      <c r="D1793" s="96"/>
      <c r="F1793" s="99">
        <f t="shared" si="394"/>
        <v>0</v>
      </c>
      <c r="I1793" s="99">
        <f t="shared" si="411"/>
        <v>0</v>
      </c>
      <c r="L1793" s="99">
        <f t="shared" si="396"/>
        <v>0</v>
      </c>
      <c r="M1793" s="44" t="str">
        <f t="shared" si="410"/>
        <v/>
      </c>
      <c r="N1793" s="100">
        <f t="shared" si="397"/>
        <v>0</v>
      </c>
      <c r="O1793" s="101">
        <f t="shared" si="408"/>
        <v>0</v>
      </c>
      <c r="P1793" s="52">
        <f t="shared" si="398"/>
        <v>0</v>
      </c>
      <c r="Q1793" s="49">
        <v>116.88487613461319</v>
      </c>
      <c r="R1793">
        <v>2225</v>
      </c>
      <c r="S1793" s="50">
        <f t="shared" si="395"/>
        <v>71535.307499999995</v>
      </c>
      <c r="T1793" s="50">
        <f t="shared" si="399"/>
        <v>0</v>
      </c>
      <c r="U1793" s="58">
        <f t="shared" si="400"/>
        <v>0</v>
      </c>
      <c r="V1793" s="58">
        <f t="shared" si="401"/>
        <v>0</v>
      </c>
      <c r="W1793" s="58">
        <f t="shared" si="402"/>
        <v>0</v>
      </c>
      <c r="X1793" s="58">
        <f t="shared" si="403"/>
        <v>0</v>
      </c>
      <c r="Y1793" s="52">
        <f t="shared" si="404"/>
        <v>0</v>
      </c>
    </row>
    <row r="1794" spans="1:25" x14ac:dyDescent="0.25">
      <c r="A1794" s="97" t="s">
        <v>80</v>
      </c>
      <c r="B1794" s="98">
        <v>45717</v>
      </c>
      <c r="C1794" s="117" t="str">
        <f t="shared" si="409"/>
        <v>1L</v>
      </c>
      <c r="F1794" s="99">
        <f t="shared" si="394"/>
        <v>0</v>
      </c>
      <c r="G1794" s="532">
        <f>'[8]Underground Breaking Plan'!$C$11</f>
        <v>1085</v>
      </c>
      <c r="H1794" s="534">
        <f>'[8]Underground Breaking Plan'!$C$12</f>
        <v>1.8271028037383188</v>
      </c>
      <c r="I1794" s="99">
        <f t="shared" si="411"/>
        <v>1.9824065420560759</v>
      </c>
      <c r="J1794">
        <f>[9]Generation!$D$11</f>
        <v>279</v>
      </c>
      <c r="K1794" s="49">
        <f>[9]Generation!$E$11</f>
        <v>1.1235125448028676</v>
      </c>
      <c r="L1794" s="99">
        <f t="shared" si="396"/>
        <v>0.31346000000000002</v>
      </c>
      <c r="M1794" s="44">
        <f t="shared" si="410"/>
        <v>-0.84187905288342546</v>
      </c>
      <c r="N1794" s="100">
        <f t="shared" si="397"/>
        <v>-806</v>
      </c>
      <c r="O1794" s="101">
        <f t="shared" si="408"/>
        <v>-1.6689465420560758</v>
      </c>
      <c r="P1794" s="52">
        <f t="shared" si="398"/>
        <v>-10187.422952607081</v>
      </c>
      <c r="Q1794" s="49">
        <v>116.88487613461319</v>
      </c>
      <c r="R1794">
        <v>2225</v>
      </c>
      <c r="S1794" s="50">
        <f t="shared" si="395"/>
        <v>71535.307499999995</v>
      </c>
      <c r="T1794" s="50">
        <f t="shared" si="399"/>
        <v>141812.06157599305</v>
      </c>
      <c r="U1794" s="58">
        <f t="shared" si="400"/>
        <v>22423.45748895</v>
      </c>
      <c r="V1794" s="58">
        <f t="shared" si="401"/>
        <v>126820.09060605531</v>
      </c>
      <c r="W1794" s="58">
        <f t="shared" si="402"/>
        <v>32610.880441557081</v>
      </c>
      <c r="X1794" s="58">
        <f t="shared" si="403"/>
        <v>14991.970969937742</v>
      </c>
      <c r="Y1794" s="52">
        <f t="shared" si="404"/>
        <v>-10187.422952607081</v>
      </c>
    </row>
    <row r="1795" spans="1:25" x14ac:dyDescent="0.25">
      <c r="A1795" s="1218" t="s">
        <v>81</v>
      </c>
      <c r="B1795" s="98">
        <v>45717</v>
      </c>
      <c r="C1795" s="117" t="str">
        <f t="shared" si="409"/>
        <v>1L</v>
      </c>
      <c r="F1795" s="99">
        <f t="shared" si="394"/>
        <v>0</v>
      </c>
      <c r="I1795" s="99">
        <f t="shared" si="411"/>
        <v>0</v>
      </c>
      <c r="L1795" s="99">
        <f t="shared" si="396"/>
        <v>0</v>
      </c>
      <c r="M1795" s="44" t="str">
        <f t="shared" si="410"/>
        <v/>
      </c>
      <c r="N1795" s="100">
        <f t="shared" si="397"/>
        <v>0</v>
      </c>
      <c r="O1795" s="101">
        <f t="shared" si="408"/>
        <v>0</v>
      </c>
      <c r="P1795" s="52">
        <f t="shared" si="398"/>
        <v>0</v>
      </c>
      <c r="Q1795" s="49">
        <v>116.88487613461319</v>
      </c>
      <c r="R1795">
        <v>2225</v>
      </c>
      <c r="S1795" s="50">
        <f t="shared" si="395"/>
        <v>71535.307499999995</v>
      </c>
      <c r="T1795" s="50">
        <f t="shared" si="399"/>
        <v>0</v>
      </c>
      <c r="U1795" s="58">
        <f t="shared" si="400"/>
        <v>0</v>
      </c>
      <c r="V1795" s="58">
        <f t="shared" si="401"/>
        <v>0</v>
      </c>
      <c r="W1795" s="58">
        <f t="shared" si="402"/>
        <v>0</v>
      </c>
      <c r="X1795" s="58">
        <f t="shared" si="403"/>
        <v>0</v>
      </c>
      <c r="Y1795" s="52">
        <f t="shared" si="404"/>
        <v>0</v>
      </c>
    </row>
    <row r="1796" spans="1:25" x14ac:dyDescent="0.25">
      <c r="A1796" s="1218" t="s">
        <v>82</v>
      </c>
      <c r="B1796" s="98">
        <v>45717</v>
      </c>
      <c r="C1796" s="117" t="str">
        <f t="shared" si="409"/>
        <v>1L</v>
      </c>
      <c r="F1796" s="99">
        <f t="shared" si="394"/>
        <v>0</v>
      </c>
      <c r="I1796" s="99">
        <f t="shared" si="411"/>
        <v>0</v>
      </c>
      <c r="L1796" s="99">
        <f t="shared" si="396"/>
        <v>0</v>
      </c>
      <c r="M1796" s="44" t="str">
        <f t="shared" si="410"/>
        <v/>
      </c>
      <c r="N1796" s="100">
        <f t="shared" si="397"/>
        <v>0</v>
      </c>
      <c r="O1796" s="101">
        <f t="shared" si="408"/>
        <v>0</v>
      </c>
      <c r="P1796" s="52">
        <f t="shared" si="398"/>
        <v>0</v>
      </c>
      <c r="Q1796" s="49">
        <v>116.88487613461319</v>
      </c>
      <c r="R1796">
        <v>2225</v>
      </c>
      <c r="S1796" s="50">
        <f t="shared" si="395"/>
        <v>71535.307499999995</v>
      </c>
      <c r="T1796" s="50">
        <f t="shared" si="399"/>
        <v>0</v>
      </c>
      <c r="U1796" s="58">
        <f t="shared" si="400"/>
        <v>0</v>
      </c>
      <c r="V1796" s="58">
        <f t="shared" si="401"/>
        <v>0</v>
      </c>
      <c r="W1796" s="58">
        <f t="shared" si="402"/>
        <v>0</v>
      </c>
      <c r="X1796" s="58">
        <f t="shared" si="403"/>
        <v>0</v>
      </c>
      <c r="Y1796" s="52">
        <f t="shared" si="404"/>
        <v>0</v>
      </c>
    </row>
    <row r="1797" spans="1:25" x14ac:dyDescent="0.25">
      <c r="A1797" s="1218" t="s">
        <v>83</v>
      </c>
      <c r="B1797" s="98">
        <v>45717</v>
      </c>
      <c r="C1797" s="117" t="str">
        <f t="shared" si="409"/>
        <v>1L</v>
      </c>
      <c r="F1797" s="99">
        <f t="shared" si="394"/>
        <v>0</v>
      </c>
      <c r="I1797" s="99">
        <f t="shared" si="411"/>
        <v>0</v>
      </c>
      <c r="L1797" s="99">
        <f t="shared" si="396"/>
        <v>0</v>
      </c>
      <c r="M1797" s="44" t="str">
        <f t="shared" si="410"/>
        <v/>
      </c>
      <c r="N1797" s="100">
        <f t="shared" si="397"/>
        <v>0</v>
      </c>
      <c r="O1797" s="101">
        <f t="shared" si="408"/>
        <v>0</v>
      </c>
      <c r="P1797" s="52">
        <f t="shared" si="398"/>
        <v>0</v>
      </c>
      <c r="Q1797" s="49">
        <v>116.88487613461319</v>
      </c>
      <c r="R1797">
        <v>2225</v>
      </c>
      <c r="S1797" s="50">
        <f t="shared" si="395"/>
        <v>71535.307499999995</v>
      </c>
      <c r="T1797" s="50">
        <f t="shared" si="399"/>
        <v>0</v>
      </c>
      <c r="U1797" s="58">
        <f t="shared" si="400"/>
        <v>0</v>
      </c>
      <c r="V1797" s="58">
        <f t="shared" si="401"/>
        <v>0</v>
      </c>
      <c r="W1797" s="58">
        <f t="shared" si="402"/>
        <v>0</v>
      </c>
      <c r="X1797" s="58">
        <f t="shared" si="403"/>
        <v>0</v>
      </c>
      <c r="Y1797" s="52">
        <f t="shared" si="404"/>
        <v>0</v>
      </c>
    </row>
    <row r="1798" spans="1:25" x14ac:dyDescent="0.25">
      <c r="A1798" s="1218" t="s">
        <v>84</v>
      </c>
      <c r="B1798" s="98">
        <v>45717</v>
      </c>
      <c r="C1798" s="117" t="str">
        <f t="shared" si="409"/>
        <v>2L</v>
      </c>
      <c r="F1798" s="99">
        <f t="shared" ref="F1798:F1862" si="412">IFERROR(D1798*E1798/1000,"")</f>
        <v>0</v>
      </c>
      <c r="I1798" s="99">
        <f t="shared" si="411"/>
        <v>0</v>
      </c>
      <c r="L1798" s="99">
        <f t="shared" si="396"/>
        <v>0</v>
      </c>
      <c r="M1798" s="44" t="str">
        <f t="shared" si="410"/>
        <v/>
      </c>
      <c r="N1798" s="100">
        <f t="shared" si="397"/>
        <v>0</v>
      </c>
      <c r="O1798" s="101">
        <f t="shared" si="408"/>
        <v>0</v>
      </c>
      <c r="P1798" s="52">
        <f t="shared" si="398"/>
        <v>0</v>
      </c>
      <c r="Q1798" s="49">
        <v>116.88487613461319</v>
      </c>
      <c r="R1798">
        <v>2225</v>
      </c>
      <c r="S1798" s="50">
        <f t="shared" si="395"/>
        <v>71535.307499999995</v>
      </c>
      <c r="T1798" s="50">
        <f t="shared" si="399"/>
        <v>0</v>
      </c>
      <c r="U1798" s="58">
        <f t="shared" si="400"/>
        <v>0</v>
      </c>
      <c r="V1798" s="58">
        <f t="shared" si="401"/>
        <v>0</v>
      </c>
      <c r="W1798" s="58">
        <f t="shared" si="402"/>
        <v>0</v>
      </c>
      <c r="X1798" s="58">
        <f t="shared" si="403"/>
        <v>0</v>
      </c>
      <c r="Y1798" s="52">
        <f t="shared" si="404"/>
        <v>0</v>
      </c>
    </row>
    <row r="1799" spans="1:25" x14ac:dyDescent="0.25">
      <c r="A1799" s="1218" t="s">
        <v>85</v>
      </c>
      <c r="B1799" s="98">
        <v>45717</v>
      </c>
      <c r="C1799" s="117" t="str">
        <f t="shared" si="409"/>
        <v>2L</v>
      </c>
      <c r="F1799" s="99">
        <f t="shared" si="412"/>
        <v>0</v>
      </c>
      <c r="I1799" s="99">
        <f t="shared" si="411"/>
        <v>0</v>
      </c>
      <c r="L1799" s="99">
        <f t="shared" ref="L1799:L1839" si="413">IFERROR(J1799*K1799/1000,"")</f>
        <v>0</v>
      </c>
      <c r="M1799" s="44" t="str">
        <f t="shared" si="410"/>
        <v/>
      </c>
      <c r="N1799" s="100">
        <f t="shared" si="397"/>
        <v>0</v>
      </c>
      <c r="O1799" s="101">
        <f t="shared" si="408"/>
        <v>0</v>
      </c>
      <c r="P1799" s="52">
        <f t="shared" si="398"/>
        <v>0</v>
      </c>
      <c r="Q1799" s="49">
        <v>116.88487613461319</v>
      </c>
      <c r="R1799">
        <v>2225</v>
      </c>
      <c r="S1799" s="50">
        <f t="shared" si="395"/>
        <v>71535.307499999995</v>
      </c>
      <c r="T1799" s="50">
        <f t="shared" si="399"/>
        <v>0</v>
      </c>
      <c r="U1799" s="58">
        <f t="shared" si="400"/>
        <v>0</v>
      </c>
      <c r="V1799" s="58">
        <f t="shared" si="401"/>
        <v>0</v>
      </c>
      <c r="W1799" s="58">
        <f t="shared" si="402"/>
        <v>0</v>
      </c>
      <c r="X1799" s="58">
        <f t="shared" si="403"/>
        <v>0</v>
      </c>
      <c r="Y1799" s="52">
        <f t="shared" si="404"/>
        <v>0</v>
      </c>
    </row>
    <row r="1800" spans="1:25" x14ac:dyDescent="0.25">
      <c r="A1800" s="1218" t="s">
        <v>86</v>
      </c>
      <c r="B1800" s="98">
        <v>45717</v>
      </c>
      <c r="C1800" s="117" t="str">
        <f t="shared" si="409"/>
        <v>2L</v>
      </c>
      <c r="F1800" s="99">
        <f t="shared" si="412"/>
        <v>0</v>
      </c>
      <c r="I1800" s="99">
        <f t="shared" si="411"/>
        <v>0</v>
      </c>
      <c r="L1800" s="99">
        <f t="shared" si="413"/>
        <v>0</v>
      </c>
      <c r="M1800" s="44" t="str">
        <f t="shared" si="410"/>
        <v/>
      </c>
      <c r="N1800" s="100">
        <f t="shared" si="397"/>
        <v>0</v>
      </c>
      <c r="O1800" s="101">
        <f t="shared" si="408"/>
        <v>0</v>
      </c>
      <c r="P1800" s="52">
        <f t="shared" si="398"/>
        <v>0</v>
      </c>
      <c r="Q1800" s="49">
        <v>116.88487613461319</v>
      </c>
      <c r="R1800">
        <v>2225</v>
      </c>
      <c r="S1800" s="50">
        <f t="shared" ref="S1800:S1869" si="414">R1800*32.1507</f>
        <v>71535.307499999995</v>
      </c>
      <c r="T1800" s="50">
        <f t="shared" si="399"/>
        <v>0</v>
      </c>
      <c r="U1800" s="58">
        <f t="shared" si="400"/>
        <v>0</v>
      </c>
      <c r="V1800" s="58">
        <f t="shared" si="401"/>
        <v>0</v>
      </c>
      <c r="W1800" s="58">
        <f t="shared" si="402"/>
        <v>0</v>
      </c>
      <c r="X1800" s="58">
        <f t="shared" si="403"/>
        <v>0</v>
      </c>
      <c r="Y1800" s="52">
        <f t="shared" si="404"/>
        <v>0</v>
      </c>
    </row>
    <row r="1801" spans="1:25" x14ac:dyDescent="0.25">
      <c r="A1801" s="1218" t="s">
        <v>87</v>
      </c>
      <c r="B1801" s="98">
        <v>45717</v>
      </c>
      <c r="C1801" s="117" t="str">
        <f t="shared" si="409"/>
        <v>3L</v>
      </c>
      <c r="F1801" s="99">
        <f t="shared" si="412"/>
        <v>0</v>
      </c>
      <c r="I1801" s="99">
        <f t="shared" si="411"/>
        <v>0</v>
      </c>
      <c r="L1801" s="99">
        <f t="shared" si="413"/>
        <v>0</v>
      </c>
      <c r="M1801" s="44" t="str">
        <f t="shared" si="410"/>
        <v/>
      </c>
      <c r="N1801" s="100">
        <f t="shared" si="397"/>
        <v>0</v>
      </c>
      <c r="O1801" s="101">
        <f t="shared" si="408"/>
        <v>0</v>
      </c>
      <c r="P1801" s="52">
        <f t="shared" si="398"/>
        <v>0</v>
      </c>
      <c r="Q1801" s="49">
        <v>116.88487613461319</v>
      </c>
      <c r="R1801">
        <v>2225</v>
      </c>
      <c r="S1801" s="50">
        <f t="shared" si="414"/>
        <v>71535.307499999995</v>
      </c>
      <c r="T1801" s="50">
        <f t="shared" si="399"/>
        <v>0</v>
      </c>
      <c r="U1801" s="58">
        <f t="shared" si="400"/>
        <v>0</v>
      </c>
      <c r="V1801" s="58">
        <f t="shared" si="401"/>
        <v>0</v>
      </c>
      <c r="W1801" s="58">
        <f t="shared" si="402"/>
        <v>0</v>
      </c>
      <c r="X1801" s="58">
        <f t="shared" si="403"/>
        <v>0</v>
      </c>
      <c r="Y1801" s="52">
        <f t="shared" si="404"/>
        <v>0</v>
      </c>
    </row>
    <row r="1802" spans="1:25" x14ac:dyDescent="0.25">
      <c r="A1802" s="1218" t="s">
        <v>88</v>
      </c>
      <c r="B1802" s="98">
        <v>45717</v>
      </c>
      <c r="C1802" s="117" t="str">
        <f t="shared" si="409"/>
        <v>3L</v>
      </c>
      <c r="F1802" s="99">
        <f t="shared" si="412"/>
        <v>0</v>
      </c>
      <c r="I1802" s="99">
        <f t="shared" si="411"/>
        <v>0</v>
      </c>
      <c r="L1802" s="99">
        <f t="shared" si="413"/>
        <v>0</v>
      </c>
      <c r="M1802" s="44" t="str">
        <f t="shared" ref="M1802:M1872" si="415">IFERROR((L1802-I1802)/I1802,"")</f>
        <v/>
      </c>
      <c r="N1802" s="100">
        <f t="shared" ref="N1802:N1872" si="416">J1802-G1802</f>
        <v>0</v>
      </c>
      <c r="O1802" s="101">
        <f t="shared" ref="O1802:O1872" si="417">L1802-I1802</f>
        <v>0</v>
      </c>
      <c r="P1802" s="52">
        <f t="shared" ref="P1802:P1872" si="418">U1802-W1802</f>
        <v>0</v>
      </c>
      <c r="Q1802" s="49">
        <v>116.88487613461319</v>
      </c>
      <c r="R1802">
        <v>2225</v>
      </c>
      <c r="S1802" s="50">
        <f t="shared" si="414"/>
        <v>71535.307499999995</v>
      </c>
      <c r="T1802" s="50">
        <f t="shared" ref="T1802:T1872" si="419">IFERROR(S1802*I1802,"")</f>
        <v>0</v>
      </c>
      <c r="U1802" s="58">
        <f t="shared" ref="U1802:U1872" si="420">IFERROR(S1802*L1802,"")</f>
        <v>0</v>
      </c>
      <c r="V1802" s="58">
        <f t="shared" ref="V1802:V1872" si="421">IFERROR(Q1802*G1802,"")</f>
        <v>0</v>
      </c>
      <c r="W1802" s="58">
        <f t="shared" ref="W1802:W1872" si="422">IFERROR(Q1802*J1802,"")</f>
        <v>0</v>
      </c>
      <c r="X1802" s="58">
        <f t="shared" ref="X1802:X1872" si="423">T1802-V1802</f>
        <v>0</v>
      </c>
      <c r="Y1802" s="52">
        <f t="shared" ref="Y1802:Y1872" si="424">U1802-W1802</f>
        <v>0</v>
      </c>
    </row>
    <row r="1803" spans="1:25" x14ac:dyDescent="0.25">
      <c r="A1803" s="1218" t="s">
        <v>89</v>
      </c>
      <c r="B1803" s="98">
        <v>45717</v>
      </c>
      <c r="C1803" s="117" t="str">
        <f t="shared" si="409"/>
        <v>3L</v>
      </c>
      <c r="F1803" s="99">
        <f t="shared" si="412"/>
        <v>0</v>
      </c>
      <c r="I1803" s="99">
        <f t="shared" si="411"/>
        <v>0</v>
      </c>
      <c r="L1803" s="99">
        <f t="shared" si="413"/>
        <v>0</v>
      </c>
      <c r="M1803" s="44" t="str">
        <f t="shared" si="415"/>
        <v/>
      </c>
      <c r="N1803" s="100">
        <f t="shared" si="416"/>
        <v>0</v>
      </c>
      <c r="O1803" s="101">
        <f t="shared" si="417"/>
        <v>0</v>
      </c>
      <c r="P1803" s="52">
        <f t="shared" si="418"/>
        <v>0</v>
      </c>
      <c r="Q1803" s="49">
        <v>116.88487613461319</v>
      </c>
      <c r="R1803">
        <v>2225</v>
      </c>
      <c r="S1803" s="50">
        <f t="shared" si="414"/>
        <v>71535.307499999995</v>
      </c>
      <c r="T1803" s="50">
        <f t="shared" si="419"/>
        <v>0</v>
      </c>
      <c r="U1803" s="58">
        <f t="shared" si="420"/>
        <v>0</v>
      </c>
      <c r="V1803" s="58">
        <f t="shared" si="421"/>
        <v>0</v>
      </c>
      <c r="W1803" s="58">
        <f t="shared" si="422"/>
        <v>0</v>
      </c>
      <c r="X1803" s="58">
        <f t="shared" si="423"/>
        <v>0</v>
      </c>
      <c r="Y1803" s="52">
        <f t="shared" si="424"/>
        <v>0</v>
      </c>
    </row>
    <row r="1804" spans="1:25" x14ac:dyDescent="0.25">
      <c r="A1804" s="1218" t="s">
        <v>90</v>
      </c>
      <c r="B1804" s="98">
        <v>45717</v>
      </c>
      <c r="C1804" s="117" t="str">
        <f t="shared" si="409"/>
        <v>3L</v>
      </c>
      <c r="D1804" s="118">
        <v>2921</v>
      </c>
      <c r="E1804">
        <v>2.5499999999999998</v>
      </c>
      <c r="F1804" s="99">
        <f t="shared" si="412"/>
        <v>7.4485499999999991</v>
      </c>
      <c r="G1804" s="532">
        <f>'[8]Underground Breaking Plan'!$C$21</f>
        <v>1260</v>
      </c>
      <c r="H1804" s="534">
        <f>'[8]Underground Breaking Plan'!$C$22</f>
        <v>3.0584112149532694</v>
      </c>
      <c r="I1804" s="99">
        <f t="shared" si="411"/>
        <v>3.8535981308411196</v>
      </c>
      <c r="J1804">
        <f>[9]Generation!$D$15</f>
        <v>1294</v>
      </c>
      <c r="K1804" s="49">
        <f>[9]Generation!$E$15</f>
        <v>3.3226816074188563</v>
      </c>
      <c r="L1804" s="99">
        <f t="shared" si="413"/>
        <v>4.29955</v>
      </c>
      <c r="M1804" s="44">
        <f t="shared" si="415"/>
        <v>0.1157235015218214</v>
      </c>
      <c r="N1804" s="100">
        <f t="shared" si="416"/>
        <v>34</v>
      </c>
      <c r="O1804" s="101">
        <f t="shared" si="417"/>
        <v>0.44595186915888041</v>
      </c>
      <c r="P1804" s="52">
        <f t="shared" si="418"/>
        <v>156320.60164343551</v>
      </c>
      <c r="Q1804" s="49">
        <v>116.88487613461319</v>
      </c>
      <c r="R1804">
        <v>2225</v>
      </c>
      <c r="S1804" s="50">
        <f t="shared" si="414"/>
        <v>71535.307499999995</v>
      </c>
      <c r="T1804" s="50">
        <f t="shared" si="419"/>
        <v>275668.32727114472</v>
      </c>
      <c r="U1804" s="58">
        <f t="shared" si="420"/>
        <v>307569.63136162498</v>
      </c>
      <c r="V1804" s="58">
        <f t="shared" si="421"/>
        <v>147274.94392961264</v>
      </c>
      <c r="W1804" s="58">
        <f t="shared" si="422"/>
        <v>151249.02971818947</v>
      </c>
      <c r="X1804" s="58">
        <f t="shared" si="423"/>
        <v>128393.38334153208</v>
      </c>
      <c r="Y1804" s="52">
        <f t="shared" si="424"/>
        <v>156320.60164343551</v>
      </c>
    </row>
    <row r="1805" spans="1:25" x14ac:dyDescent="0.25">
      <c r="A1805" s="1218" t="s">
        <v>91</v>
      </c>
      <c r="B1805" s="98">
        <v>45717</v>
      </c>
      <c r="C1805" s="117" t="str">
        <f t="shared" si="409"/>
        <v>3L</v>
      </c>
      <c r="D1805">
        <v>1947</v>
      </c>
      <c r="E1805">
        <v>0.8</v>
      </c>
      <c r="F1805" s="99">
        <f t="shared" si="412"/>
        <v>1.5576000000000001</v>
      </c>
      <c r="I1805" s="99">
        <f t="shared" si="411"/>
        <v>0</v>
      </c>
      <c r="L1805" s="99">
        <f t="shared" si="413"/>
        <v>0</v>
      </c>
      <c r="M1805" s="44" t="str">
        <f t="shared" si="415"/>
        <v/>
      </c>
      <c r="N1805" s="100">
        <f t="shared" si="416"/>
        <v>0</v>
      </c>
      <c r="O1805" s="101">
        <f t="shared" si="417"/>
        <v>0</v>
      </c>
      <c r="P1805" s="52">
        <f t="shared" si="418"/>
        <v>0</v>
      </c>
      <c r="Q1805" s="49">
        <v>116.88487613461319</v>
      </c>
      <c r="R1805">
        <v>2225</v>
      </c>
      <c r="S1805" s="50">
        <f t="shared" si="414"/>
        <v>71535.307499999995</v>
      </c>
      <c r="T1805" s="50">
        <f t="shared" si="419"/>
        <v>0</v>
      </c>
      <c r="U1805" s="58">
        <f t="shared" si="420"/>
        <v>0</v>
      </c>
      <c r="V1805" s="58">
        <f t="shared" si="421"/>
        <v>0</v>
      </c>
      <c r="W1805" s="58">
        <f t="shared" si="422"/>
        <v>0</v>
      </c>
      <c r="X1805" s="58">
        <f t="shared" si="423"/>
        <v>0</v>
      </c>
      <c r="Y1805" s="52">
        <f t="shared" si="424"/>
        <v>0</v>
      </c>
    </row>
    <row r="1806" spans="1:25" x14ac:dyDescent="0.25">
      <c r="A1806" s="1218" t="s">
        <v>92</v>
      </c>
      <c r="B1806" s="98">
        <v>45717</v>
      </c>
      <c r="C1806" s="117" t="str">
        <f t="shared" si="409"/>
        <v>3L</v>
      </c>
      <c r="D1806" s="118">
        <v>1947</v>
      </c>
      <c r="E1806">
        <v>1.72</v>
      </c>
      <c r="F1806" s="99">
        <f t="shared" si="412"/>
        <v>3.34884</v>
      </c>
      <c r="I1806" s="99">
        <f t="shared" si="411"/>
        <v>0</v>
      </c>
      <c r="L1806" s="99">
        <f t="shared" si="413"/>
        <v>0</v>
      </c>
      <c r="M1806" s="44" t="str">
        <f t="shared" si="415"/>
        <v/>
      </c>
      <c r="N1806" s="100">
        <f t="shared" si="416"/>
        <v>0</v>
      </c>
      <c r="O1806" s="101">
        <f t="shared" si="417"/>
        <v>0</v>
      </c>
      <c r="P1806" s="52">
        <f t="shared" si="418"/>
        <v>0</v>
      </c>
      <c r="Q1806" s="49">
        <v>116.88487613461319</v>
      </c>
      <c r="R1806">
        <v>2225</v>
      </c>
      <c r="S1806" s="50">
        <f t="shared" si="414"/>
        <v>71535.307499999995</v>
      </c>
      <c r="T1806" s="50">
        <f t="shared" si="419"/>
        <v>0</v>
      </c>
      <c r="U1806" s="58">
        <f t="shared" si="420"/>
        <v>0</v>
      </c>
      <c r="V1806" s="58">
        <f t="shared" si="421"/>
        <v>0</v>
      </c>
      <c r="W1806" s="58">
        <f t="shared" si="422"/>
        <v>0</v>
      </c>
      <c r="X1806" s="58">
        <f t="shared" si="423"/>
        <v>0</v>
      </c>
      <c r="Y1806" s="52">
        <f t="shared" si="424"/>
        <v>0</v>
      </c>
    </row>
    <row r="1807" spans="1:25" x14ac:dyDescent="0.25">
      <c r="A1807" s="1218" t="s">
        <v>93</v>
      </c>
      <c r="B1807" s="98">
        <v>45717</v>
      </c>
      <c r="C1807" s="117" t="str">
        <f t="shared" si="409"/>
        <v>3L</v>
      </c>
      <c r="F1807" s="99">
        <f t="shared" si="412"/>
        <v>0</v>
      </c>
      <c r="I1807" s="99">
        <f t="shared" si="411"/>
        <v>0</v>
      </c>
      <c r="L1807" s="99">
        <f t="shared" si="413"/>
        <v>0</v>
      </c>
      <c r="M1807" s="44" t="str">
        <f t="shared" si="415"/>
        <v/>
      </c>
      <c r="N1807" s="100">
        <f t="shared" si="416"/>
        <v>0</v>
      </c>
      <c r="O1807" s="101">
        <f t="shared" si="417"/>
        <v>0</v>
      </c>
      <c r="P1807" s="52">
        <f t="shared" si="418"/>
        <v>0</v>
      </c>
      <c r="Q1807" s="49">
        <v>116.88487613461319</v>
      </c>
      <c r="R1807">
        <v>2225</v>
      </c>
      <c r="S1807" s="50">
        <f t="shared" si="414"/>
        <v>71535.307499999995</v>
      </c>
      <c r="T1807" s="50">
        <f t="shared" si="419"/>
        <v>0</v>
      </c>
      <c r="U1807" s="58">
        <f t="shared" si="420"/>
        <v>0</v>
      </c>
      <c r="V1807" s="58">
        <f t="shared" si="421"/>
        <v>0</v>
      </c>
      <c r="W1807" s="58">
        <f t="shared" si="422"/>
        <v>0</v>
      </c>
      <c r="X1807" s="58">
        <f t="shared" si="423"/>
        <v>0</v>
      </c>
      <c r="Y1807" s="52">
        <f t="shared" si="424"/>
        <v>0</v>
      </c>
    </row>
    <row r="1808" spans="1:25" x14ac:dyDescent="0.25">
      <c r="A1808" s="1218" t="s">
        <v>94</v>
      </c>
      <c r="B1808" s="98">
        <v>45717</v>
      </c>
      <c r="C1808" s="117" t="str">
        <f t="shared" si="409"/>
        <v>3L</v>
      </c>
      <c r="F1808" s="99">
        <f t="shared" si="412"/>
        <v>0</v>
      </c>
      <c r="I1808" s="99">
        <f t="shared" si="411"/>
        <v>0</v>
      </c>
      <c r="L1808" s="99">
        <f t="shared" si="413"/>
        <v>0</v>
      </c>
      <c r="M1808" s="44" t="str">
        <f t="shared" si="415"/>
        <v/>
      </c>
      <c r="N1808" s="100">
        <f t="shared" si="416"/>
        <v>0</v>
      </c>
      <c r="O1808" s="101">
        <f t="shared" si="417"/>
        <v>0</v>
      </c>
      <c r="P1808" s="52">
        <f t="shared" si="418"/>
        <v>0</v>
      </c>
      <c r="Q1808" s="49">
        <v>116.88487613461319</v>
      </c>
      <c r="R1808">
        <v>2225</v>
      </c>
      <c r="S1808" s="50">
        <f t="shared" si="414"/>
        <v>71535.307499999995</v>
      </c>
      <c r="T1808" s="50">
        <f t="shared" si="419"/>
        <v>0</v>
      </c>
      <c r="U1808" s="58">
        <f t="shared" si="420"/>
        <v>0</v>
      </c>
      <c r="V1808" s="58">
        <f t="shared" si="421"/>
        <v>0</v>
      </c>
      <c r="W1808" s="58">
        <f t="shared" si="422"/>
        <v>0</v>
      </c>
      <c r="X1808" s="58">
        <f t="shared" si="423"/>
        <v>0</v>
      </c>
      <c r="Y1808" s="52">
        <f t="shared" si="424"/>
        <v>0</v>
      </c>
    </row>
    <row r="1809" spans="1:25" x14ac:dyDescent="0.25">
      <c r="A1809" s="1218" t="s">
        <v>95</v>
      </c>
      <c r="B1809" s="98">
        <v>45717</v>
      </c>
      <c r="C1809" s="117" t="str">
        <f t="shared" ref="C1809:C1873" si="425">LEFT(A1809,2)</f>
        <v>3L</v>
      </c>
      <c r="F1809" s="99">
        <f t="shared" si="412"/>
        <v>0</v>
      </c>
      <c r="I1809" s="99">
        <f t="shared" si="411"/>
        <v>0</v>
      </c>
      <c r="L1809" s="99">
        <f t="shared" si="413"/>
        <v>0</v>
      </c>
      <c r="M1809" s="44" t="str">
        <f t="shared" si="415"/>
        <v/>
      </c>
      <c r="N1809" s="100">
        <f t="shared" si="416"/>
        <v>0</v>
      </c>
      <c r="O1809" s="101">
        <f t="shared" si="417"/>
        <v>0</v>
      </c>
      <c r="P1809" s="52">
        <f t="shared" si="418"/>
        <v>0</v>
      </c>
      <c r="Q1809" s="49">
        <v>116.88487613461319</v>
      </c>
      <c r="R1809">
        <v>2225</v>
      </c>
      <c r="S1809" s="50">
        <f t="shared" si="414"/>
        <v>71535.307499999995</v>
      </c>
      <c r="T1809" s="50">
        <f t="shared" si="419"/>
        <v>0</v>
      </c>
      <c r="U1809" s="58">
        <f t="shared" si="420"/>
        <v>0</v>
      </c>
      <c r="V1809" s="58">
        <f t="shared" si="421"/>
        <v>0</v>
      </c>
      <c r="W1809" s="58">
        <f t="shared" si="422"/>
        <v>0</v>
      </c>
      <c r="X1809" s="58">
        <f t="shared" si="423"/>
        <v>0</v>
      </c>
      <c r="Y1809" s="52">
        <f t="shared" si="424"/>
        <v>0</v>
      </c>
    </row>
    <row r="1810" spans="1:25" x14ac:dyDescent="0.25">
      <c r="A1810" s="1218" t="s">
        <v>96</v>
      </c>
      <c r="B1810" s="98">
        <v>45717</v>
      </c>
      <c r="C1810" s="117" t="str">
        <f t="shared" si="425"/>
        <v>3L</v>
      </c>
      <c r="F1810" s="99">
        <f t="shared" si="412"/>
        <v>0</v>
      </c>
      <c r="I1810" s="99">
        <f t="shared" si="411"/>
        <v>0</v>
      </c>
      <c r="L1810" s="99">
        <f t="shared" si="413"/>
        <v>0</v>
      </c>
      <c r="M1810" s="44" t="str">
        <f t="shared" si="415"/>
        <v/>
      </c>
      <c r="N1810" s="100">
        <f t="shared" si="416"/>
        <v>0</v>
      </c>
      <c r="O1810" s="101">
        <f t="shared" si="417"/>
        <v>0</v>
      </c>
      <c r="P1810" s="52">
        <f t="shared" si="418"/>
        <v>0</v>
      </c>
      <c r="Q1810" s="49">
        <v>116.88487613461319</v>
      </c>
      <c r="R1810">
        <v>2225</v>
      </c>
      <c r="S1810" s="50">
        <f t="shared" si="414"/>
        <v>71535.307499999995</v>
      </c>
      <c r="T1810" s="50">
        <f t="shared" si="419"/>
        <v>0</v>
      </c>
      <c r="U1810" s="58">
        <f t="shared" si="420"/>
        <v>0</v>
      </c>
      <c r="V1810" s="58">
        <f t="shared" si="421"/>
        <v>0</v>
      </c>
      <c r="W1810" s="58">
        <f t="shared" si="422"/>
        <v>0</v>
      </c>
      <c r="X1810" s="58">
        <f t="shared" si="423"/>
        <v>0</v>
      </c>
      <c r="Y1810" s="52">
        <f t="shared" si="424"/>
        <v>0</v>
      </c>
    </row>
    <row r="1811" spans="1:25" x14ac:dyDescent="0.25">
      <c r="A1811" s="1218" t="s">
        <v>97</v>
      </c>
      <c r="B1811" s="98">
        <v>45717</v>
      </c>
      <c r="C1811" s="117" t="str">
        <f t="shared" si="425"/>
        <v>4L</v>
      </c>
      <c r="F1811" s="99">
        <f t="shared" si="412"/>
        <v>0</v>
      </c>
      <c r="I1811" s="99">
        <f t="shared" si="411"/>
        <v>0</v>
      </c>
      <c r="L1811" s="99">
        <f t="shared" si="413"/>
        <v>0</v>
      </c>
      <c r="M1811" s="44" t="str">
        <f t="shared" si="415"/>
        <v/>
      </c>
      <c r="N1811" s="100">
        <f t="shared" si="416"/>
        <v>0</v>
      </c>
      <c r="O1811" s="101">
        <f t="shared" si="417"/>
        <v>0</v>
      </c>
      <c r="P1811" s="52">
        <f t="shared" si="418"/>
        <v>0</v>
      </c>
      <c r="Q1811" s="49">
        <v>116.88487613461319</v>
      </c>
      <c r="R1811">
        <v>2225</v>
      </c>
      <c r="S1811" s="50">
        <f t="shared" si="414"/>
        <v>71535.307499999995</v>
      </c>
      <c r="T1811" s="50">
        <f t="shared" si="419"/>
        <v>0</v>
      </c>
      <c r="U1811" s="58">
        <f t="shared" si="420"/>
        <v>0</v>
      </c>
      <c r="V1811" s="58">
        <f t="shared" si="421"/>
        <v>0</v>
      </c>
      <c r="W1811" s="58">
        <f t="shared" si="422"/>
        <v>0</v>
      </c>
      <c r="X1811" s="58">
        <f t="shared" si="423"/>
        <v>0</v>
      </c>
      <c r="Y1811" s="52">
        <f t="shared" si="424"/>
        <v>0</v>
      </c>
    </row>
    <row r="1812" spans="1:25" x14ac:dyDescent="0.25">
      <c r="A1812" s="1218" t="s">
        <v>98</v>
      </c>
      <c r="B1812" s="98">
        <v>45717</v>
      </c>
      <c r="C1812" s="117" t="str">
        <f t="shared" si="425"/>
        <v>4L</v>
      </c>
      <c r="F1812" s="99">
        <f t="shared" si="412"/>
        <v>0</v>
      </c>
      <c r="I1812" s="99">
        <f t="shared" si="411"/>
        <v>0</v>
      </c>
      <c r="L1812" s="99">
        <f t="shared" si="413"/>
        <v>0</v>
      </c>
      <c r="M1812" s="44" t="str">
        <f t="shared" si="415"/>
        <v/>
      </c>
      <c r="N1812" s="100">
        <f t="shared" si="416"/>
        <v>0</v>
      </c>
      <c r="O1812" s="101">
        <f t="shared" si="417"/>
        <v>0</v>
      </c>
      <c r="P1812" s="52">
        <f t="shared" si="418"/>
        <v>0</v>
      </c>
      <c r="Q1812" s="49">
        <v>116.88487613461319</v>
      </c>
      <c r="R1812">
        <v>2225</v>
      </c>
      <c r="S1812" s="50">
        <f t="shared" si="414"/>
        <v>71535.307499999995</v>
      </c>
      <c r="T1812" s="50">
        <f t="shared" si="419"/>
        <v>0</v>
      </c>
      <c r="U1812" s="58">
        <f t="shared" si="420"/>
        <v>0</v>
      </c>
      <c r="V1812" s="58">
        <f t="shared" si="421"/>
        <v>0</v>
      </c>
      <c r="W1812" s="58">
        <f t="shared" si="422"/>
        <v>0</v>
      </c>
      <c r="X1812" s="58">
        <f t="shared" si="423"/>
        <v>0</v>
      </c>
      <c r="Y1812" s="52">
        <f t="shared" si="424"/>
        <v>0</v>
      </c>
    </row>
    <row r="1813" spans="1:25" x14ac:dyDescent="0.25">
      <c r="A1813" s="1218" t="s">
        <v>99</v>
      </c>
      <c r="B1813" s="98">
        <v>45717</v>
      </c>
      <c r="C1813" s="117" t="str">
        <f t="shared" si="425"/>
        <v>4L</v>
      </c>
      <c r="F1813" s="99">
        <f t="shared" si="412"/>
        <v>0</v>
      </c>
      <c r="I1813" s="99">
        <f t="shared" si="411"/>
        <v>0</v>
      </c>
      <c r="L1813" s="99">
        <f t="shared" si="413"/>
        <v>0</v>
      </c>
      <c r="M1813" s="44" t="str">
        <f t="shared" si="415"/>
        <v/>
      </c>
      <c r="N1813" s="100">
        <f t="shared" si="416"/>
        <v>0</v>
      </c>
      <c r="O1813" s="101">
        <f t="shared" si="417"/>
        <v>0</v>
      </c>
      <c r="P1813" s="52">
        <f t="shared" si="418"/>
        <v>0</v>
      </c>
      <c r="Q1813" s="49">
        <v>116.88487613461319</v>
      </c>
      <c r="R1813">
        <v>2225</v>
      </c>
      <c r="S1813" s="50">
        <f t="shared" si="414"/>
        <v>71535.307499999995</v>
      </c>
      <c r="T1813" s="50">
        <f t="shared" si="419"/>
        <v>0</v>
      </c>
      <c r="U1813" s="58">
        <f t="shared" si="420"/>
        <v>0</v>
      </c>
      <c r="V1813" s="58">
        <f t="shared" si="421"/>
        <v>0</v>
      </c>
      <c r="W1813" s="58">
        <f t="shared" si="422"/>
        <v>0</v>
      </c>
      <c r="X1813" s="58">
        <f t="shared" si="423"/>
        <v>0</v>
      </c>
      <c r="Y1813" s="52">
        <f t="shared" si="424"/>
        <v>0</v>
      </c>
    </row>
    <row r="1814" spans="1:25" x14ac:dyDescent="0.25">
      <c r="A1814" s="1218" t="s">
        <v>100</v>
      </c>
      <c r="B1814" s="98">
        <v>45717</v>
      </c>
      <c r="C1814" s="117" t="str">
        <f t="shared" si="425"/>
        <v>4L</v>
      </c>
      <c r="F1814" s="99">
        <f t="shared" si="412"/>
        <v>0</v>
      </c>
      <c r="I1814" s="99">
        <f t="shared" si="411"/>
        <v>0</v>
      </c>
      <c r="L1814" s="99">
        <f t="shared" si="413"/>
        <v>0</v>
      </c>
      <c r="M1814" s="44" t="str">
        <f t="shared" si="415"/>
        <v/>
      </c>
      <c r="N1814" s="100">
        <f t="shared" si="416"/>
        <v>0</v>
      </c>
      <c r="O1814" s="101">
        <f t="shared" si="417"/>
        <v>0</v>
      </c>
      <c r="P1814" s="52">
        <f t="shared" si="418"/>
        <v>0</v>
      </c>
      <c r="Q1814" s="49">
        <v>116.88487613461319</v>
      </c>
      <c r="R1814">
        <v>2225</v>
      </c>
      <c r="S1814" s="50">
        <f t="shared" si="414"/>
        <v>71535.307499999995</v>
      </c>
      <c r="T1814" s="50">
        <f t="shared" si="419"/>
        <v>0</v>
      </c>
      <c r="U1814" s="58">
        <f t="shared" si="420"/>
        <v>0</v>
      </c>
      <c r="V1814" s="58">
        <f t="shared" si="421"/>
        <v>0</v>
      </c>
      <c r="W1814" s="58">
        <f t="shared" si="422"/>
        <v>0</v>
      </c>
      <c r="X1814" s="58">
        <f t="shared" si="423"/>
        <v>0</v>
      </c>
      <c r="Y1814" s="52">
        <f t="shared" si="424"/>
        <v>0</v>
      </c>
    </row>
    <row r="1815" spans="1:25" x14ac:dyDescent="0.25">
      <c r="A1815" s="1218" t="s">
        <v>101</v>
      </c>
      <c r="B1815" s="98">
        <v>45717</v>
      </c>
      <c r="C1815" s="117" t="str">
        <f t="shared" si="425"/>
        <v>4L</v>
      </c>
      <c r="F1815" s="99">
        <f t="shared" si="412"/>
        <v>0</v>
      </c>
      <c r="I1815" s="99">
        <f t="shared" si="411"/>
        <v>0</v>
      </c>
      <c r="L1815" s="99">
        <f t="shared" si="413"/>
        <v>0</v>
      </c>
      <c r="M1815" s="44" t="str">
        <f t="shared" si="415"/>
        <v/>
      </c>
      <c r="N1815" s="100">
        <f t="shared" si="416"/>
        <v>0</v>
      </c>
      <c r="O1815" s="101">
        <f t="shared" si="417"/>
        <v>0</v>
      </c>
      <c r="P1815" s="52">
        <f t="shared" si="418"/>
        <v>0</v>
      </c>
      <c r="Q1815" s="49">
        <v>116.88487613461319</v>
      </c>
      <c r="R1815">
        <v>2225</v>
      </c>
      <c r="S1815" s="50">
        <f t="shared" si="414"/>
        <v>71535.307499999995</v>
      </c>
      <c r="T1815" s="50">
        <f t="shared" si="419"/>
        <v>0</v>
      </c>
      <c r="U1815" s="58">
        <f t="shared" si="420"/>
        <v>0</v>
      </c>
      <c r="V1815" s="58">
        <f t="shared" si="421"/>
        <v>0</v>
      </c>
      <c r="W1815" s="58">
        <f t="shared" si="422"/>
        <v>0</v>
      </c>
      <c r="X1815" s="58">
        <f t="shared" si="423"/>
        <v>0</v>
      </c>
      <c r="Y1815" s="52">
        <f t="shared" si="424"/>
        <v>0</v>
      </c>
    </row>
    <row r="1816" spans="1:25" x14ac:dyDescent="0.25">
      <c r="A1816" s="1218" t="s">
        <v>102</v>
      </c>
      <c r="B1816" s="98">
        <v>45717</v>
      </c>
      <c r="C1816" s="117" t="str">
        <f t="shared" si="425"/>
        <v>4L</v>
      </c>
      <c r="F1816" s="99">
        <f t="shared" si="412"/>
        <v>0</v>
      </c>
      <c r="I1816" s="99">
        <f t="shared" si="411"/>
        <v>0</v>
      </c>
      <c r="L1816" s="99">
        <f t="shared" si="413"/>
        <v>0</v>
      </c>
      <c r="M1816" s="44" t="str">
        <f t="shared" si="415"/>
        <v/>
      </c>
      <c r="N1816" s="100">
        <f t="shared" si="416"/>
        <v>0</v>
      </c>
      <c r="O1816" s="101">
        <f t="shared" si="417"/>
        <v>0</v>
      </c>
      <c r="P1816" s="52">
        <f t="shared" si="418"/>
        <v>0</v>
      </c>
      <c r="Q1816" s="49">
        <v>116.88487613461319</v>
      </c>
      <c r="R1816">
        <v>2225</v>
      </c>
      <c r="S1816" s="50">
        <f t="shared" si="414"/>
        <v>71535.307499999995</v>
      </c>
      <c r="T1816" s="50">
        <f t="shared" si="419"/>
        <v>0</v>
      </c>
      <c r="U1816" s="58">
        <f t="shared" si="420"/>
        <v>0</v>
      </c>
      <c r="V1816" s="58">
        <f t="shared" si="421"/>
        <v>0</v>
      </c>
      <c r="W1816" s="58">
        <f t="shared" si="422"/>
        <v>0</v>
      </c>
      <c r="X1816" s="58">
        <f t="shared" si="423"/>
        <v>0</v>
      </c>
      <c r="Y1816" s="52">
        <f t="shared" si="424"/>
        <v>0</v>
      </c>
    </row>
    <row r="1817" spans="1:25" x14ac:dyDescent="0.25">
      <c r="A1817" s="1218" t="s">
        <v>103</v>
      </c>
      <c r="B1817" s="98">
        <v>45717</v>
      </c>
      <c r="C1817" s="117" t="str">
        <f t="shared" si="425"/>
        <v>4L</v>
      </c>
      <c r="F1817" s="99">
        <f t="shared" si="412"/>
        <v>0</v>
      </c>
      <c r="I1817" s="99">
        <f t="shared" si="411"/>
        <v>0</v>
      </c>
      <c r="L1817" s="99">
        <f t="shared" si="413"/>
        <v>0</v>
      </c>
      <c r="M1817" s="44" t="str">
        <f t="shared" si="415"/>
        <v/>
      </c>
      <c r="N1817" s="100">
        <f t="shared" si="416"/>
        <v>0</v>
      </c>
      <c r="O1817" s="101">
        <f t="shared" si="417"/>
        <v>0</v>
      </c>
      <c r="P1817" s="52">
        <f t="shared" si="418"/>
        <v>0</v>
      </c>
      <c r="Q1817" s="49">
        <v>116.88487613461319</v>
      </c>
      <c r="R1817">
        <v>2225</v>
      </c>
      <c r="S1817" s="50">
        <f t="shared" si="414"/>
        <v>71535.307499999995</v>
      </c>
      <c r="T1817" s="50">
        <f t="shared" si="419"/>
        <v>0</v>
      </c>
      <c r="U1817" s="58">
        <f t="shared" si="420"/>
        <v>0</v>
      </c>
      <c r="V1817" s="58">
        <f t="shared" si="421"/>
        <v>0</v>
      </c>
      <c r="W1817" s="58">
        <f t="shared" si="422"/>
        <v>0</v>
      </c>
      <c r="X1817" s="58">
        <f t="shared" si="423"/>
        <v>0</v>
      </c>
      <c r="Y1817" s="52">
        <f t="shared" si="424"/>
        <v>0</v>
      </c>
    </row>
    <row r="1818" spans="1:25" x14ac:dyDescent="0.25">
      <c r="A1818" s="1218" t="s">
        <v>104</v>
      </c>
      <c r="B1818" s="98">
        <v>45717</v>
      </c>
      <c r="C1818" s="117" t="str">
        <f t="shared" si="425"/>
        <v>4L</v>
      </c>
      <c r="F1818" s="99">
        <f t="shared" si="412"/>
        <v>0</v>
      </c>
      <c r="I1818" s="99">
        <f t="shared" si="411"/>
        <v>0</v>
      </c>
      <c r="L1818" s="99">
        <f t="shared" si="413"/>
        <v>0</v>
      </c>
      <c r="M1818" s="44" t="str">
        <f t="shared" si="415"/>
        <v/>
      </c>
      <c r="N1818" s="100">
        <f t="shared" si="416"/>
        <v>0</v>
      </c>
      <c r="O1818" s="101">
        <f t="shared" si="417"/>
        <v>0</v>
      </c>
      <c r="P1818" s="52">
        <f t="shared" si="418"/>
        <v>0</v>
      </c>
      <c r="Q1818" s="49">
        <v>116.88487613461319</v>
      </c>
      <c r="R1818">
        <v>2225</v>
      </c>
      <c r="S1818" s="50">
        <f t="shared" si="414"/>
        <v>71535.307499999995</v>
      </c>
      <c r="T1818" s="50">
        <f t="shared" si="419"/>
        <v>0</v>
      </c>
      <c r="U1818" s="58">
        <f t="shared" si="420"/>
        <v>0</v>
      </c>
      <c r="V1818" s="58">
        <f t="shared" si="421"/>
        <v>0</v>
      </c>
      <c r="W1818" s="58">
        <f t="shared" si="422"/>
        <v>0</v>
      </c>
      <c r="X1818" s="58">
        <f t="shared" si="423"/>
        <v>0</v>
      </c>
      <c r="Y1818" s="52">
        <f t="shared" si="424"/>
        <v>0</v>
      </c>
    </row>
    <row r="1819" spans="1:25" x14ac:dyDescent="0.25">
      <c r="A1819" s="1218" t="s">
        <v>105</v>
      </c>
      <c r="B1819" s="98">
        <v>45717</v>
      </c>
      <c r="C1819" s="117" t="str">
        <f t="shared" si="425"/>
        <v>4L</v>
      </c>
      <c r="F1819" s="99">
        <f t="shared" si="412"/>
        <v>0</v>
      </c>
      <c r="I1819" s="99">
        <f t="shared" si="411"/>
        <v>0</v>
      </c>
      <c r="L1819" s="99">
        <f t="shared" si="413"/>
        <v>0</v>
      </c>
      <c r="M1819" s="44" t="str">
        <f t="shared" si="415"/>
        <v/>
      </c>
      <c r="N1819" s="100">
        <f t="shared" si="416"/>
        <v>0</v>
      </c>
      <c r="O1819" s="101">
        <f t="shared" si="417"/>
        <v>0</v>
      </c>
      <c r="P1819" s="52">
        <f t="shared" si="418"/>
        <v>0</v>
      </c>
      <c r="Q1819" s="49">
        <v>116.88487613461319</v>
      </c>
      <c r="R1819">
        <v>2225</v>
      </c>
      <c r="S1819" s="50">
        <f t="shared" si="414"/>
        <v>71535.307499999995</v>
      </c>
      <c r="T1819" s="50">
        <f t="shared" si="419"/>
        <v>0</v>
      </c>
      <c r="U1819" s="58">
        <f t="shared" si="420"/>
        <v>0</v>
      </c>
      <c r="V1819" s="58">
        <f t="shared" si="421"/>
        <v>0</v>
      </c>
      <c r="W1819" s="58">
        <f t="shared" si="422"/>
        <v>0</v>
      </c>
      <c r="X1819" s="58">
        <f t="shared" si="423"/>
        <v>0</v>
      </c>
      <c r="Y1819" s="52">
        <f t="shared" si="424"/>
        <v>0</v>
      </c>
    </row>
    <row r="1820" spans="1:25" x14ac:dyDescent="0.25">
      <c r="A1820" s="1218" t="s">
        <v>106</v>
      </c>
      <c r="B1820" s="98">
        <v>45717</v>
      </c>
      <c r="C1820" s="117" t="str">
        <f t="shared" si="425"/>
        <v>4L</v>
      </c>
      <c r="F1820" s="99">
        <f t="shared" si="412"/>
        <v>0</v>
      </c>
      <c r="I1820" s="99">
        <f t="shared" si="411"/>
        <v>0</v>
      </c>
      <c r="L1820" s="99">
        <f t="shared" si="413"/>
        <v>0</v>
      </c>
      <c r="M1820" s="44" t="str">
        <f t="shared" si="415"/>
        <v/>
      </c>
      <c r="N1820" s="100">
        <f t="shared" si="416"/>
        <v>0</v>
      </c>
      <c r="O1820" s="101">
        <f t="shared" si="417"/>
        <v>0</v>
      </c>
      <c r="P1820" s="52">
        <f t="shared" si="418"/>
        <v>0</v>
      </c>
      <c r="Q1820" s="49">
        <v>116.88487613461319</v>
      </c>
      <c r="R1820">
        <v>2225</v>
      </c>
      <c r="S1820" s="50">
        <f t="shared" si="414"/>
        <v>71535.307499999995</v>
      </c>
      <c r="T1820" s="50">
        <f t="shared" si="419"/>
        <v>0</v>
      </c>
      <c r="U1820" s="58">
        <f t="shared" si="420"/>
        <v>0</v>
      </c>
      <c r="V1820" s="58">
        <f t="shared" si="421"/>
        <v>0</v>
      </c>
      <c r="W1820" s="58">
        <f t="shared" si="422"/>
        <v>0</v>
      </c>
      <c r="X1820" s="58">
        <f t="shared" si="423"/>
        <v>0</v>
      </c>
      <c r="Y1820" s="52">
        <f t="shared" si="424"/>
        <v>0</v>
      </c>
    </row>
    <row r="1821" spans="1:25" x14ac:dyDescent="0.25">
      <c r="A1821" s="1218" t="s">
        <v>107</v>
      </c>
      <c r="B1821" s="98">
        <v>45717</v>
      </c>
      <c r="C1821" s="117" t="str">
        <f t="shared" si="425"/>
        <v>4L</v>
      </c>
      <c r="F1821" s="99">
        <f t="shared" si="412"/>
        <v>0</v>
      </c>
      <c r="I1821" s="99">
        <f t="shared" si="411"/>
        <v>0</v>
      </c>
      <c r="L1821" s="99">
        <f t="shared" si="413"/>
        <v>0</v>
      </c>
      <c r="M1821" s="44" t="str">
        <f t="shared" si="415"/>
        <v/>
      </c>
      <c r="N1821" s="100">
        <f t="shared" si="416"/>
        <v>0</v>
      </c>
      <c r="O1821" s="101">
        <f t="shared" si="417"/>
        <v>0</v>
      </c>
      <c r="P1821" s="52">
        <f t="shared" si="418"/>
        <v>0</v>
      </c>
      <c r="Q1821" s="49">
        <v>116.88487613461319</v>
      </c>
      <c r="R1821">
        <v>2225</v>
      </c>
      <c r="S1821" s="50">
        <f t="shared" si="414"/>
        <v>71535.307499999995</v>
      </c>
      <c r="T1821" s="50">
        <f t="shared" si="419"/>
        <v>0</v>
      </c>
      <c r="U1821" s="58">
        <f t="shared" si="420"/>
        <v>0</v>
      </c>
      <c r="V1821" s="58">
        <f t="shared" si="421"/>
        <v>0</v>
      </c>
      <c r="W1821" s="58">
        <f t="shared" si="422"/>
        <v>0</v>
      </c>
      <c r="X1821" s="58">
        <f t="shared" si="423"/>
        <v>0</v>
      </c>
      <c r="Y1821" s="52">
        <f t="shared" si="424"/>
        <v>0</v>
      </c>
    </row>
    <row r="1822" spans="1:25" x14ac:dyDescent="0.25">
      <c r="A1822" s="1218" t="s">
        <v>108</v>
      </c>
      <c r="B1822" s="98">
        <v>45717</v>
      </c>
      <c r="C1822" s="117" t="str">
        <f t="shared" si="425"/>
        <v>4L</v>
      </c>
      <c r="F1822" s="99">
        <f t="shared" si="412"/>
        <v>0</v>
      </c>
      <c r="I1822" s="99">
        <f t="shared" si="411"/>
        <v>0</v>
      </c>
      <c r="L1822" s="99">
        <f t="shared" si="413"/>
        <v>0</v>
      </c>
      <c r="M1822" s="44" t="str">
        <f t="shared" si="415"/>
        <v/>
      </c>
      <c r="N1822" s="100">
        <f t="shared" si="416"/>
        <v>0</v>
      </c>
      <c r="O1822" s="101">
        <f t="shared" si="417"/>
        <v>0</v>
      </c>
      <c r="P1822" s="52">
        <f t="shared" si="418"/>
        <v>0</v>
      </c>
      <c r="Q1822" s="49">
        <v>116.88487613461319</v>
      </c>
      <c r="R1822">
        <v>2225</v>
      </c>
      <c r="S1822" s="50">
        <f t="shared" si="414"/>
        <v>71535.307499999995</v>
      </c>
      <c r="T1822" s="50">
        <f t="shared" si="419"/>
        <v>0</v>
      </c>
      <c r="U1822" s="58">
        <f t="shared" si="420"/>
        <v>0</v>
      </c>
      <c r="V1822" s="58">
        <f t="shared" si="421"/>
        <v>0</v>
      </c>
      <c r="W1822" s="58">
        <f t="shared" si="422"/>
        <v>0</v>
      </c>
      <c r="X1822" s="58">
        <f t="shared" si="423"/>
        <v>0</v>
      </c>
      <c r="Y1822" s="52">
        <f t="shared" si="424"/>
        <v>0</v>
      </c>
    </row>
    <row r="1823" spans="1:25" x14ac:dyDescent="0.25">
      <c r="A1823" s="1218" t="s">
        <v>109</v>
      </c>
      <c r="B1823" s="98">
        <v>45717</v>
      </c>
      <c r="C1823" s="117" t="str">
        <f t="shared" si="425"/>
        <v>4L</v>
      </c>
      <c r="F1823" s="99">
        <f t="shared" si="412"/>
        <v>0</v>
      </c>
      <c r="I1823" s="99">
        <f t="shared" si="411"/>
        <v>0</v>
      </c>
      <c r="L1823" s="99">
        <f t="shared" si="413"/>
        <v>0</v>
      </c>
      <c r="M1823" s="44" t="str">
        <f t="shared" si="415"/>
        <v/>
      </c>
      <c r="N1823" s="100">
        <f t="shared" si="416"/>
        <v>0</v>
      </c>
      <c r="O1823" s="101">
        <f t="shared" si="417"/>
        <v>0</v>
      </c>
      <c r="P1823" s="52">
        <f t="shared" si="418"/>
        <v>0</v>
      </c>
      <c r="Q1823" s="49">
        <v>116.88487613461319</v>
      </c>
      <c r="R1823">
        <v>2225</v>
      </c>
      <c r="S1823" s="50">
        <f t="shared" si="414"/>
        <v>71535.307499999995</v>
      </c>
      <c r="T1823" s="50">
        <f t="shared" si="419"/>
        <v>0</v>
      </c>
      <c r="U1823" s="58">
        <f t="shared" si="420"/>
        <v>0</v>
      </c>
      <c r="V1823" s="58">
        <f t="shared" si="421"/>
        <v>0</v>
      </c>
      <c r="W1823" s="58">
        <f t="shared" si="422"/>
        <v>0</v>
      </c>
      <c r="X1823" s="58">
        <f t="shared" si="423"/>
        <v>0</v>
      </c>
      <c r="Y1823" s="52">
        <f t="shared" si="424"/>
        <v>0</v>
      </c>
    </row>
    <row r="1824" spans="1:25" x14ac:dyDescent="0.25">
      <c r="A1824" s="1218" t="s">
        <v>110</v>
      </c>
      <c r="B1824" s="98">
        <v>45717</v>
      </c>
      <c r="C1824" s="117" t="str">
        <f t="shared" si="425"/>
        <v>4L</v>
      </c>
      <c r="F1824" s="99">
        <f t="shared" si="412"/>
        <v>0</v>
      </c>
      <c r="I1824" s="99">
        <f t="shared" si="411"/>
        <v>0</v>
      </c>
      <c r="L1824" s="99">
        <f t="shared" si="413"/>
        <v>0</v>
      </c>
      <c r="M1824" s="44" t="str">
        <f t="shared" si="415"/>
        <v/>
      </c>
      <c r="N1824" s="100">
        <f t="shared" si="416"/>
        <v>0</v>
      </c>
      <c r="O1824" s="101">
        <f t="shared" si="417"/>
        <v>0</v>
      </c>
      <c r="P1824" s="52">
        <f t="shared" si="418"/>
        <v>0</v>
      </c>
      <c r="Q1824" s="49">
        <v>116.88487613461319</v>
      </c>
      <c r="R1824">
        <v>2225</v>
      </c>
      <c r="S1824" s="50">
        <f t="shared" si="414"/>
        <v>71535.307499999995</v>
      </c>
      <c r="T1824" s="50">
        <f t="shared" si="419"/>
        <v>0</v>
      </c>
      <c r="U1824" s="58">
        <f t="shared" si="420"/>
        <v>0</v>
      </c>
      <c r="V1824" s="58">
        <f t="shared" si="421"/>
        <v>0</v>
      </c>
      <c r="W1824" s="58">
        <f t="shared" si="422"/>
        <v>0</v>
      </c>
      <c r="X1824" s="58">
        <f t="shared" si="423"/>
        <v>0</v>
      </c>
      <c r="Y1824" s="52">
        <f t="shared" si="424"/>
        <v>0</v>
      </c>
    </row>
    <row r="1825" spans="1:25" x14ac:dyDescent="0.25">
      <c r="A1825" s="1218" t="s">
        <v>111</v>
      </c>
      <c r="B1825" s="98">
        <v>45717</v>
      </c>
      <c r="C1825" s="117" t="str">
        <f t="shared" si="425"/>
        <v>4L</v>
      </c>
      <c r="F1825" s="99">
        <f t="shared" si="412"/>
        <v>0</v>
      </c>
      <c r="I1825" s="99">
        <f t="shared" si="411"/>
        <v>0</v>
      </c>
      <c r="L1825" s="99">
        <f t="shared" si="413"/>
        <v>0</v>
      </c>
      <c r="M1825" s="44" t="str">
        <f t="shared" si="415"/>
        <v/>
      </c>
      <c r="N1825" s="100">
        <f t="shared" si="416"/>
        <v>0</v>
      </c>
      <c r="O1825" s="101">
        <f t="shared" si="417"/>
        <v>0</v>
      </c>
      <c r="P1825" s="52">
        <f t="shared" si="418"/>
        <v>0</v>
      </c>
      <c r="Q1825" s="49">
        <v>116.88487613461319</v>
      </c>
      <c r="R1825">
        <v>2225</v>
      </c>
      <c r="S1825" s="50">
        <f t="shared" si="414"/>
        <v>71535.307499999995</v>
      </c>
      <c r="T1825" s="50">
        <f t="shared" si="419"/>
        <v>0</v>
      </c>
      <c r="U1825" s="58">
        <f t="shared" si="420"/>
        <v>0</v>
      </c>
      <c r="V1825" s="58">
        <f t="shared" si="421"/>
        <v>0</v>
      </c>
      <c r="W1825" s="58">
        <f t="shared" si="422"/>
        <v>0</v>
      </c>
      <c r="X1825" s="58">
        <f t="shared" si="423"/>
        <v>0</v>
      </c>
      <c r="Y1825" s="52">
        <f t="shared" si="424"/>
        <v>0</v>
      </c>
    </row>
    <row r="1826" spans="1:25" x14ac:dyDescent="0.25">
      <c r="A1826" s="1218" t="s">
        <v>112</v>
      </c>
      <c r="B1826" s="98">
        <v>45717</v>
      </c>
      <c r="C1826" s="117" t="str">
        <f t="shared" si="425"/>
        <v>4L</v>
      </c>
      <c r="F1826" s="99">
        <f t="shared" si="412"/>
        <v>0</v>
      </c>
      <c r="I1826" s="99">
        <f t="shared" si="411"/>
        <v>0</v>
      </c>
      <c r="L1826" s="99">
        <f t="shared" si="413"/>
        <v>0</v>
      </c>
      <c r="M1826" s="44" t="str">
        <f t="shared" si="415"/>
        <v/>
      </c>
      <c r="N1826" s="100">
        <f t="shared" si="416"/>
        <v>0</v>
      </c>
      <c r="O1826" s="101">
        <f t="shared" si="417"/>
        <v>0</v>
      </c>
      <c r="P1826" s="52">
        <f t="shared" si="418"/>
        <v>0</v>
      </c>
      <c r="Q1826" s="49">
        <v>116.88487613461319</v>
      </c>
      <c r="R1826">
        <v>2225</v>
      </c>
      <c r="S1826" s="50">
        <f t="shared" si="414"/>
        <v>71535.307499999995</v>
      </c>
      <c r="T1826" s="50">
        <f t="shared" si="419"/>
        <v>0</v>
      </c>
      <c r="U1826" s="58">
        <f t="shared" si="420"/>
        <v>0</v>
      </c>
      <c r="V1826" s="58">
        <f t="shared" si="421"/>
        <v>0</v>
      </c>
      <c r="W1826" s="58">
        <f t="shared" si="422"/>
        <v>0</v>
      </c>
      <c r="X1826" s="58">
        <f t="shared" si="423"/>
        <v>0</v>
      </c>
      <c r="Y1826" s="52">
        <f t="shared" si="424"/>
        <v>0</v>
      </c>
    </row>
    <row r="1827" spans="1:25" x14ac:dyDescent="0.25">
      <c r="A1827" s="1218" t="s">
        <v>113</v>
      </c>
      <c r="B1827" s="98">
        <v>45717</v>
      </c>
      <c r="C1827" s="117" t="str">
        <f t="shared" si="425"/>
        <v>4L</v>
      </c>
      <c r="F1827" s="99">
        <f t="shared" si="412"/>
        <v>0</v>
      </c>
      <c r="I1827" s="99">
        <f t="shared" si="411"/>
        <v>0</v>
      </c>
      <c r="L1827" s="99">
        <f t="shared" si="413"/>
        <v>0</v>
      </c>
      <c r="M1827" s="44" t="str">
        <f t="shared" si="415"/>
        <v/>
      </c>
      <c r="N1827" s="100">
        <f t="shared" si="416"/>
        <v>0</v>
      </c>
      <c r="O1827" s="101">
        <f t="shared" si="417"/>
        <v>0</v>
      </c>
      <c r="P1827" s="52">
        <f t="shared" si="418"/>
        <v>0</v>
      </c>
      <c r="Q1827" s="49">
        <v>116.88487613461319</v>
      </c>
      <c r="R1827">
        <v>2225</v>
      </c>
      <c r="S1827" s="50">
        <f t="shared" si="414"/>
        <v>71535.307499999995</v>
      </c>
      <c r="T1827" s="50">
        <f t="shared" si="419"/>
        <v>0</v>
      </c>
      <c r="U1827" s="58">
        <f t="shared" si="420"/>
        <v>0</v>
      </c>
      <c r="V1827" s="58">
        <f t="shared" si="421"/>
        <v>0</v>
      </c>
      <c r="W1827" s="58">
        <f t="shared" si="422"/>
        <v>0</v>
      </c>
      <c r="X1827" s="58">
        <f t="shared" si="423"/>
        <v>0</v>
      </c>
      <c r="Y1827" s="52">
        <f t="shared" si="424"/>
        <v>0</v>
      </c>
    </row>
    <row r="1828" spans="1:25" x14ac:dyDescent="0.25">
      <c r="A1828" s="1218" t="s">
        <v>114</v>
      </c>
      <c r="B1828" s="98">
        <v>45717</v>
      </c>
      <c r="C1828" s="117" t="str">
        <f t="shared" si="425"/>
        <v>4L</v>
      </c>
      <c r="D1828" s="118">
        <v>1798</v>
      </c>
      <c r="E1828">
        <v>1.4</v>
      </c>
      <c r="F1828" s="99">
        <f t="shared" si="412"/>
        <v>2.5171999999999999</v>
      </c>
      <c r="I1828" s="99">
        <f t="shared" si="411"/>
        <v>0</v>
      </c>
      <c r="L1828" s="99">
        <f t="shared" si="413"/>
        <v>0</v>
      </c>
      <c r="M1828" s="44" t="str">
        <f t="shared" si="415"/>
        <v/>
      </c>
      <c r="N1828" s="100">
        <f t="shared" si="416"/>
        <v>0</v>
      </c>
      <c r="O1828" s="101">
        <f t="shared" si="417"/>
        <v>0</v>
      </c>
      <c r="P1828" s="52">
        <f t="shared" si="418"/>
        <v>0</v>
      </c>
      <c r="Q1828" s="49">
        <v>116.88487613461319</v>
      </c>
      <c r="R1828">
        <v>2225</v>
      </c>
      <c r="S1828" s="50">
        <f t="shared" si="414"/>
        <v>71535.307499999995</v>
      </c>
      <c r="T1828" s="50">
        <f t="shared" si="419"/>
        <v>0</v>
      </c>
      <c r="U1828" s="58">
        <f t="shared" si="420"/>
        <v>0</v>
      </c>
      <c r="V1828" s="58">
        <f t="shared" si="421"/>
        <v>0</v>
      </c>
      <c r="W1828" s="58">
        <f t="shared" si="422"/>
        <v>0</v>
      </c>
      <c r="X1828" s="58">
        <f t="shared" si="423"/>
        <v>0</v>
      </c>
      <c r="Y1828" s="52">
        <f t="shared" si="424"/>
        <v>0</v>
      </c>
    </row>
    <row r="1829" spans="1:25" x14ac:dyDescent="0.25">
      <c r="A1829" s="1218" t="s">
        <v>115</v>
      </c>
      <c r="B1829" s="98">
        <v>45717</v>
      </c>
      <c r="C1829" s="117" t="str">
        <f t="shared" si="425"/>
        <v>4L</v>
      </c>
      <c r="F1829" s="99">
        <f t="shared" si="412"/>
        <v>0</v>
      </c>
      <c r="I1829" s="99">
        <f t="shared" si="411"/>
        <v>0</v>
      </c>
      <c r="L1829" s="99">
        <f t="shared" si="413"/>
        <v>0</v>
      </c>
      <c r="M1829" s="44" t="str">
        <f t="shared" si="415"/>
        <v/>
      </c>
      <c r="N1829" s="100">
        <f t="shared" si="416"/>
        <v>0</v>
      </c>
      <c r="O1829" s="101">
        <f t="shared" si="417"/>
        <v>0</v>
      </c>
      <c r="P1829" s="52">
        <f t="shared" si="418"/>
        <v>0</v>
      </c>
      <c r="Q1829" s="49">
        <v>116.88487613461319</v>
      </c>
      <c r="R1829">
        <v>2225</v>
      </c>
      <c r="S1829" s="50">
        <f t="shared" si="414"/>
        <v>71535.307499999995</v>
      </c>
      <c r="T1829" s="50">
        <f t="shared" si="419"/>
        <v>0</v>
      </c>
      <c r="U1829" s="58">
        <f t="shared" si="420"/>
        <v>0</v>
      </c>
      <c r="V1829" s="58">
        <f t="shared" si="421"/>
        <v>0</v>
      </c>
      <c r="W1829" s="58">
        <f t="shared" si="422"/>
        <v>0</v>
      </c>
      <c r="X1829" s="58">
        <f t="shared" si="423"/>
        <v>0</v>
      </c>
      <c r="Y1829" s="52">
        <f t="shared" si="424"/>
        <v>0</v>
      </c>
    </row>
    <row r="1830" spans="1:25" x14ac:dyDescent="0.25">
      <c r="A1830" s="1218" t="s">
        <v>116</v>
      </c>
      <c r="B1830" s="98">
        <v>45717</v>
      </c>
      <c r="C1830" s="117" t="str">
        <f t="shared" si="425"/>
        <v>4L</v>
      </c>
      <c r="F1830" s="99">
        <f t="shared" si="412"/>
        <v>0</v>
      </c>
      <c r="I1830" s="99">
        <f t="shared" si="411"/>
        <v>0</v>
      </c>
      <c r="L1830" s="99">
        <f t="shared" si="413"/>
        <v>0</v>
      </c>
      <c r="M1830" s="44" t="str">
        <f t="shared" si="415"/>
        <v/>
      </c>
      <c r="N1830" s="100">
        <f t="shared" si="416"/>
        <v>0</v>
      </c>
      <c r="O1830" s="101">
        <f t="shared" si="417"/>
        <v>0</v>
      </c>
      <c r="P1830" s="52">
        <f t="shared" si="418"/>
        <v>0</v>
      </c>
      <c r="Q1830" s="49">
        <v>116.88487613461319</v>
      </c>
      <c r="R1830">
        <v>2225</v>
      </c>
      <c r="S1830" s="50">
        <f t="shared" si="414"/>
        <v>71535.307499999995</v>
      </c>
      <c r="T1830" s="50">
        <f t="shared" si="419"/>
        <v>0</v>
      </c>
      <c r="U1830" s="58">
        <f t="shared" si="420"/>
        <v>0</v>
      </c>
      <c r="V1830" s="58">
        <f t="shared" si="421"/>
        <v>0</v>
      </c>
      <c r="W1830" s="58">
        <f t="shared" si="422"/>
        <v>0</v>
      </c>
      <c r="X1830" s="58">
        <f t="shared" si="423"/>
        <v>0</v>
      </c>
      <c r="Y1830" s="52">
        <f t="shared" si="424"/>
        <v>0</v>
      </c>
    </row>
    <row r="1831" spans="1:25" x14ac:dyDescent="0.25">
      <c r="A1831" s="1218" t="s">
        <v>117</v>
      </c>
      <c r="B1831" s="98">
        <v>45717</v>
      </c>
      <c r="C1831" s="117" t="str">
        <f t="shared" si="425"/>
        <v>4L</v>
      </c>
      <c r="F1831" s="99">
        <f t="shared" si="412"/>
        <v>0</v>
      </c>
      <c r="I1831" s="99">
        <f t="shared" si="411"/>
        <v>0</v>
      </c>
      <c r="L1831" s="99">
        <f t="shared" si="413"/>
        <v>0</v>
      </c>
      <c r="M1831" s="44" t="str">
        <f t="shared" si="415"/>
        <v/>
      </c>
      <c r="N1831" s="100">
        <f t="shared" si="416"/>
        <v>0</v>
      </c>
      <c r="O1831" s="101">
        <f t="shared" si="417"/>
        <v>0</v>
      </c>
      <c r="P1831" s="52">
        <f t="shared" si="418"/>
        <v>0</v>
      </c>
      <c r="Q1831" s="49">
        <v>116.88487613461319</v>
      </c>
      <c r="R1831">
        <v>2225</v>
      </c>
      <c r="S1831" s="50">
        <f t="shared" si="414"/>
        <v>71535.307499999995</v>
      </c>
      <c r="T1831" s="50">
        <f t="shared" si="419"/>
        <v>0</v>
      </c>
      <c r="U1831" s="58">
        <f t="shared" si="420"/>
        <v>0</v>
      </c>
      <c r="V1831" s="58">
        <f t="shared" si="421"/>
        <v>0</v>
      </c>
      <c r="W1831" s="58">
        <f t="shared" si="422"/>
        <v>0</v>
      </c>
      <c r="X1831" s="58">
        <f t="shared" si="423"/>
        <v>0</v>
      </c>
      <c r="Y1831" s="52">
        <f t="shared" si="424"/>
        <v>0</v>
      </c>
    </row>
    <row r="1832" spans="1:25" x14ac:dyDescent="0.25">
      <c r="A1832" s="1218" t="s">
        <v>118</v>
      </c>
      <c r="B1832" s="98">
        <v>45717</v>
      </c>
      <c r="C1832" s="117" t="str">
        <f t="shared" si="425"/>
        <v>4L</v>
      </c>
      <c r="F1832" s="99">
        <f t="shared" si="412"/>
        <v>0</v>
      </c>
      <c r="I1832" s="99">
        <f t="shared" si="411"/>
        <v>0</v>
      </c>
      <c r="L1832" s="99">
        <f t="shared" si="413"/>
        <v>0</v>
      </c>
      <c r="M1832" s="44" t="str">
        <f t="shared" si="415"/>
        <v/>
      </c>
      <c r="N1832" s="100">
        <f t="shared" si="416"/>
        <v>0</v>
      </c>
      <c r="O1832" s="101">
        <f t="shared" si="417"/>
        <v>0</v>
      </c>
      <c r="P1832" s="52">
        <f t="shared" si="418"/>
        <v>0</v>
      </c>
      <c r="Q1832" s="49">
        <v>116.88487613461319</v>
      </c>
      <c r="R1832">
        <v>2225</v>
      </c>
      <c r="S1832" s="50">
        <f t="shared" si="414"/>
        <v>71535.307499999995</v>
      </c>
      <c r="T1832" s="50">
        <f t="shared" si="419"/>
        <v>0</v>
      </c>
      <c r="U1832" s="58">
        <f t="shared" si="420"/>
        <v>0</v>
      </c>
      <c r="V1832" s="58">
        <f t="shared" si="421"/>
        <v>0</v>
      </c>
      <c r="W1832" s="58">
        <f t="shared" si="422"/>
        <v>0</v>
      </c>
      <c r="X1832" s="58">
        <f t="shared" si="423"/>
        <v>0</v>
      </c>
      <c r="Y1832" s="52">
        <f t="shared" si="424"/>
        <v>0</v>
      </c>
    </row>
    <row r="1833" spans="1:25" x14ac:dyDescent="0.25">
      <c r="A1833" s="1218" t="s">
        <v>119</v>
      </c>
      <c r="B1833" s="98">
        <v>45717</v>
      </c>
      <c r="C1833" s="117" t="str">
        <f t="shared" si="425"/>
        <v>4L</v>
      </c>
      <c r="F1833" s="99">
        <f t="shared" si="412"/>
        <v>0</v>
      </c>
      <c r="I1833" s="99">
        <f t="shared" si="411"/>
        <v>0</v>
      </c>
      <c r="L1833" s="99">
        <f t="shared" si="413"/>
        <v>0</v>
      </c>
      <c r="M1833" s="44" t="str">
        <f t="shared" si="415"/>
        <v/>
      </c>
      <c r="N1833" s="100">
        <f t="shared" si="416"/>
        <v>0</v>
      </c>
      <c r="O1833" s="101">
        <f t="shared" si="417"/>
        <v>0</v>
      </c>
      <c r="P1833" s="52">
        <f t="shared" si="418"/>
        <v>0</v>
      </c>
      <c r="Q1833" s="49">
        <v>116.88487613461319</v>
      </c>
      <c r="R1833">
        <v>2225</v>
      </c>
      <c r="S1833" s="50">
        <f t="shared" si="414"/>
        <v>71535.307499999995</v>
      </c>
      <c r="T1833" s="50">
        <f t="shared" si="419"/>
        <v>0</v>
      </c>
      <c r="U1833" s="58">
        <f t="shared" si="420"/>
        <v>0</v>
      </c>
      <c r="V1833" s="58">
        <f t="shared" si="421"/>
        <v>0</v>
      </c>
      <c r="W1833" s="58">
        <f t="shared" si="422"/>
        <v>0</v>
      </c>
      <c r="X1833" s="58">
        <f t="shared" si="423"/>
        <v>0</v>
      </c>
      <c r="Y1833" s="52">
        <f t="shared" si="424"/>
        <v>0</v>
      </c>
    </row>
    <row r="1834" spans="1:25" x14ac:dyDescent="0.25">
      <c r="A1834" s="1218" t="s">
        <v>120</v>
      </c>
      <c r="B1834" s="98">
        <v>45717</v>
      </c>
      <c r="C1834" s="117" t="str">
        <f t="shared" si="425"/>
        <v>4L</v>
      </c>
      <c r="F1834" s="99">
        <f t="shared" si="412"/>
        <v>0</v>
      </c>
      <c r="I1834" s="99">
        <f t="shared" si="411"/>
        <v>0</v>
      </c>
      <c r="L1834" s="99">
        <f t="shared" si="413"/>
        <v>0</v>
      </c>
      <c r="M1834" s="44" t="str">
        <f t="shared" si="415"/>
        <v/>
      </c>
      <c r="N1834" s="100">
        <f t="shared" si="416"/>
        <v>0</v>
      </c>
      <c r="O1834" s="101">
        <f t="shared" si="417"/>
        <v>0</v>
      </c>
      <c r="P1834" s="52">
        <f t="shared" si="418"/>
        <v>0</v>
      </c>
      <c r="Q1834" s="49">
        <v>116.88487613461319</v>
      </c>
      <c r="R1834">
        <v>2225</v>
      </c>
      <c r="S1834" s="50">
        <f t="shared" si="414"/>
        <v>71535.307499999995</v>
      </c>
      <c r="T1834" s="50">
        <f t="shared" si="419"/>
        <v>0</v>
      </c>
      <c r="U1834" s="58">
        <f t="shared" si="420"/>
        <v>0</v>
      </c>
      <c r="V1834" s="58">
        <f t="shared" si="421"/>
        <v>0</v>
      </c>
      <c r="W1834" s="58">
        <f t="shared" si="422"/>
        <v>0</v>
      </c>
      <c r="X1834" s="58">
        <f t="shared" si="423"/>
        <v>0</v>
      </c>
      <c r="Y1834" s="52">
        <f t="shared" si="424"/>
        <v>0</v>
      </c>
    </row>
    <row r="1835" spans="1:25" x14ac:dyDescent="0.25">
      <c r="A1835" s="1218" t="s">
        <v>121</v>
      </c>
      <c r="B1835" s="98">
        <v>45717</v>
      </c>
      <c r="C1835" s="117" t="str">
        <f t="shared" si="425"/>
        <v>4L</v>
      </c>
      <c r="F1835" s="99">
        <f t="shared" si="412"/>
        <v>0</v>
      </c>
      <c r="I1835" s="99">
        <f t="shared" si="411"/>
        <v>0</v>
      </c>
      <c r="L1835" s="99">
        <f t="shared" si="413"/>
        <v>0</v>
      </c>
      <c r="M1835" s="44" t="str">
        <f t="shared" si="415"/>
        <v/>
      </c>
      <c r="N1835" s="100">
        <f t="shared" si="416"/>
        <v>0</v>
      </c>
      <c r="O1835" s="101">
        <f t="shared" si="417"/>
        <v>0</v>
      </c>
      <c r="P1835" s="52">
        <f t="shared" si="418"/>
        <v>0</v>
      </c>
      <c r="Q1835" s="49">
        <v>116.88487613461319</v>
      </c>
      <c r="R1835">
        <v>2225</v>
      </c>
      <c r="S1835" s="50">
        <f t="shared" si="414"/>
        <v>71535.307499999995</v>
      </c>
      <c r="T1835" s="50">
        <f t="shared" si="419"/>
        <v>0</v>
      </c>
      <c r="U1835" s="58">
        <f t="shared" si="420"/>
        <v>0</v>
      </c>
      <c r="V1835" s="58">
        <f t="shared" si="421"/>
        <v>0</v>
      </c>
      <c r="W1835" s="58">
        <f t="shared" si="422"/>
        <v>0</v>
      </c>
      <c r="X1835" s="58">
        <f t="shared" si="423"/>
        <v>0</v>
      </c>
      <c r="Y1835" s="52">
        <f t="shared" si="424"/>
        <v>0</v>
      </c>
    </row>
    <row r="1836" spans="1:25" x14ac:dyDescent="0.25">
      <c r="A1836" s="1218" t="s">
        <v>122</v>
      </c>
      <c r="B1836" s="98">
        <v>45717</v>
      </c>
      <c r="C1836" s="117" t="str">
        <f t="shared" si="425"/>
        <v>4L</v>
      </c>
      <c r="F1836" s="99">
        <f t="shared" si="412"/>
        <v>0</v>
      </c>
      <c r="I1836" s="99">
        <f t="shared" si="411"/>
        <v>0</v>
      </c>
      <c r="L1836" s="99">
        <f t="shared" si="413"/>
        <v>0</v>
      </c>
      <c r="M1836" s="44" t="str">
        <f t="shared" si="415"/>
        <v/>
      </c>
      <c r="N1836" s="100">
        <f t="shared" si="416"/>
        <v>0</v>
      </c>
      <c r="O1836" s="101">
        <f t="shared" si="417"/>
        <v>0</v>
      </c>
      <c r="P1836" s="52">
        <f t="shared" si="418"/>
        <v>0</v>
      </c>
      <c r="Q1836" s="49">
        <v>116.88487613461319</v>
      </c>
      <c r="R1836">
        <v>2225</v>
      </c>
      <c r="S1836" s="50">
        <f t="shared" si="414"/>
        <v>71535.307499999995</v>
      </c>
      <c r="T1836" s="50">
        <f t="shared" si="419"/>
        <v>0</v>
      </c>
      <c r="U1836" s="58">
        <f t="shared" si="420"/>
        <v>0</v>
      </c>
      <c r="V1836" s="58">
        <f t="shared" si="421"/>
        <v>0</v>
      </c>
      <c r="W1836" s="58">
        <f t="shared" si="422"/>
        <v>0</v>
      </c>
      <c r="X1836" s="58">
        <f t="shared" si="423"/>
        <v>0</v>
      </c>
      <c r="Y1836" s="52">
        <f t="shared" si="424"/>
        <v>0</v>
      </c>
    </row>
    <row r="1837" spans="1:25" x14ac:dyDescent="0.25">
      <c r="A1837" s="1218" t="s">
        <v>123</v>
      </c>
      <c r="B1837" s="98">
        <v>45717</v>
      </c>
      <c r="C1837" s="117" t="str">
        <f t="shared" si="425"/>
        <v>4L</v>
      </c>
      <c r="F1837" s="99">
        <f t="shared" si="412"/>
        <v>0</v>
      </c>
      <c r="I1837" s="99">
        <f t="shared" si="411"/>
        <v>0</v>
      </c>
      <c r="L1837" s="99">
        <f t="shared" si="413"/>
        <v>0</v>
      </c>
      <c r="M1837" s="44" t="str">
        <f t="shared" si="415"/>
        <v/>
      </c>
      <c r="N1837" s="100">
        <f t="shared" si="416"/>
        <v>0</v>
      </c>
      <c r="O1837" s="101">
        <f t="shared" si="417"/>
        <v>0</v>
      </c>
      <c r="P1837" s="52">
        <f t="shared" si="418"/>
        <v>0</v>
      </c>
      <c r="Q1837" s="49">
        <v>116.88487613461319</v>
      </c>
      <c r="R1837">
        <v>2225</v>
      </c>
      <c r="S1837" s="50">
        <f t="shared" si="414"/>
        <v>71535.307499999995</v>
      </c>
      <c r="T1837" s="50">
        <f t="shared" si="419"/>
        <v>0</v>
      </c>
      <c r="U1837" s="58">
        <f t="shared" si="420"/>
        <v>0</v>
      </c>
      <c r="V1837" s="58">
        <f t="shared" si="421"/>
        <v>0</v>
      </c>
      <c r="W1837" s="58">
        <f t="shared" si="422"/>
        <v>0</v>
      </c>
      <c r="X1837" s="58">
        <f t="shared" si="423"/>
        <v>0</v>
      </c>
      <c r="Y1837" s="52">
        <f t="shared" si="424"/>
        <v>0</v>
      </c>
    </row>
    <row r="1838" spans="1:25" x14ac:dyDescent="0.25">
      <c r="A1838" s="1218" t="s">
        <v>124</v>
      </c>
      <c r="B1838" s="98">
        <v>45717</v>
      </c>
      <c r="C1838" s="117" t="str">
        <f t="shared" si="425"/>
        <v>4L</v>
      </c>
      <c r="F1838" s="99">
        <f t="shared" si="412"/>
        <v>0</v>
      </c>
      <c r="I1838" s="99">
        <f t="shared" si="411"/>
        <v>0</v>
      </c>
      <c r="L1838" s="99">
        <f t="shared" si="413"/>
        <v>0</v>
      </c>
      <c r="M1838" s="44" t="str">
        <f t="shared" si="415"/>
        <v/>
      </c>
      <c r="N1838" s="100">
        <f t="shared" si="416"/>
        <v>0</v>
      </c>
      <c r="O1838" s="101">
        <f t="shared" si="417"/>
        <v>0</v>
      </c>
      <c r="P1838" s="52">
        <f t="shared" si="418"/>
        <v>0</v>
      </c>
      <c r="Q1838" s="49">
        <v>116.88487613461319</v>
      </c>
      <c r="R1838">
        <v>2225</v>
      </c>
      <c r="S1838" s="50">
        <f t="shared" si="414"/>
        <v>71535.307499999995</v>
      </c>
      <c r="T1838" s="50">
        <f t="shared" si="419"/>
        <v>0</v>
      </c>
      <c r="U1838" s="58">
        <f t="shared" si="420"/>
        <v>0</v>
      </c>
      <c r="V1838" s="58">
        <f t="shared" si="421"/>
        <v>0</v>
      </c>
      <c r="W1838" s="58">
        <f t="shared" si="422"/>
        <v>0</v>
      </c>
      <c r="X1838" s="58">
        <f t="shared" si="423"/>
        <v>0</v>
      </c>
      <c r="Y1838" s="52">
        <f t="shared" si="424"/>
        <v>0</v>
      </c>
    </row>
    <row r="1839" spans="1:25" x14ac:dyDescent="0.25">
      <c r="A1839" s="1218" t="s">
        <v>125</v>
      </c>
      <c r="B1839" s="98">
        <v>45717</v>
      </c>
      <c r="C1839" s="117" t="str">
        <f t="shared" ref="C1839:C1841" si="426">LEFT(A1839,2)</f>
        <v>4L</v>
      </c>
      <c r="D1839">
        <v>2534</v>
      </c>
      <c r="E1839">
        <v>1.81</v>
      </c>
      <c r="F1839" s="99">
        <f t="shared" si="412"/>
        <v>4.5865400000000003</v>
      </c>
      <c r="G1839" s="532">
        <f>'[8]Underground Breaking Plan'!$C$43</f>
        <v>2660</v>
      </c>
      <c r="H1839" s="534">
        <f>'[8]Underground Breaking Plan'!$C$44</f>
        <v>2.8121495327102815</v>
      </c>
      <c r="I1839" s="99">
        <f t="shared" si="411"/>
        <v>7.4803177570093489</v>
      </c>
      <c r="J1839">
        <f>[9]Generation!$D$19</f>
        <v>2821</v>
      </c>
      <c r="K1839" s="49">
        <f>[9]Generation!$E$19</f>
        <v>2.590361573909961</v>
      </c>
      <c r="L1839" s="99">
        <f t="shared" si="413"/>
        <v>7.30741</v>
      </c>
      <c r="M1839" s="44">
        <f t="shared" si="415"/>
        <v>-2.3115028348538753E-2</v>
      </c>
      <c r="N1839" s="100">
        <f t="shared" si="416"/>
        <v>161</v>
      </c>
      <c r="O1839" s="101">
        <f t="shared" si="417"/>
        <v>-0.17290775700934891</v>
      </c>
      <c r="P1839" s="52">
        <f t="shared" si="418"/>
        <v>193005.5858028311</v>
      </c>
      <c r="Q1839" s="49">
        <v>116.88487613461319</v>
      </c>
      <c r="R1839">
        <v>2225</v>
      </c>
      <c r="S1839" s="50">
        <f t="shared" si="414"/>
        <v>71535.307499999995</v>
      </c>
      <c r="T1839" s="50">
        <f t="shared" si="419"/>
        <v>535106.83094537398</v>
      </c>
      <c r="U1839" s="58">
        <f t="shared" si="420"/>
        <v>522737.82137857494</v>
      </c>
      <c r="V1839" s="58">
        <f t="shared" si="421"/>
        <v>310913.77051807108</v>
      </c>
      <c r="W1839" s="58">
        <f t="shared" si="422"/>
        <v>329732.23557574383</v>
      </c>
      <c r="X1839" s="58">
        <f t="shared" si="423"/>
        <v>224193.0604273029</v>
      </c>
      <c r="Y1839" s="52">
        <f t="shared" si="424"/>
        <v>193005.5858028311</v>
      </c>
    </row>
    <row r="1840" spans="1:25" x14ac:dyDescent="0.25">
      <c r="A1840" s="1218" t="s">
        <v>126</v>
      </c>
      <c r="B1840" s="98">
        <v>45717</v>
      </c>
      <c r="C1840" s="117" t="str">
        <f t="shared" si="426"/>
        <v>4L</v>
      </c>
      <c r="F1840" s="99">
        <f t="shared" si="412"/>
        <v>0</v>
      </c>
      <c r="G1840" s="532">
        <f>'[8]Underground Breaking Plan'!$C$45</f>
        <v>4340</v>
      </c>
      <c r="H1840" s="534">
        <f>'[8]Underground Breaking Plan'!$C$46</f>
        <v>3.0584112149532698</v>
      </c>
      <c r="I1840" s="99">
        <f t="shared" si="411"/>
        <v>13.273504672897191</v>
      </c>
      <c r="J1840">
        <f>'March 25 D_R (Tramming)'!F40</f>
        <v>4581</v>
      </c>
      <c r="K1840" s="49">
        <f>'March 25 D_R (Tramming)'!F43</f>
        <v>2.7069286182056325</v>
      </c>
      <c r="L1840" s="99"/>
      <c r="M1840" s="44"/>
      <c r="N1840" s="100"/>
      <c r="O1840" s="101"/>
      <c r="P1840" s="52"/>
      <c r="Q1840" s="49"/>
      <c r="S1840" s="50"/>
      <c r="T1840" s="50"/>
      <c r="U1840" s="58"/>
      <c r="V1840" s="58"/>
      <c r="W1840" s="58"/>
      <c r="X1840" s="58"/>
      <c r="Y1840" s="52"/>
    </row>
    <row r="1841" spans="1:25" x14ac:dyDescent="0.25">
      <c r="A1841" s="1218" t="s">
        <v>127</v>
      </c>
      <c r="B1841" s="98">
        <v>45717</v>
      </c>
      <c r="C1841" s="117" t="str">
        <f t="shared" si="426"/>
        <v>4L</v>
      </c>
      <c r="F1841" s="99">
        <f t="shared" si="412"/>
        <v>0</v>
      </c>
      <c r="G1841" s="50"/>
      <c r="I1841" s="99">
        <f t="shared" si="411"/>
        <v>0</v>
      </c>
      <c r="L1841" s="99"/>
      <c r="M1841" s="44"/>
      <c r="N1841" s="100"/>
      <c r="O1841" s="101"/>
      <c r="P1841" s="52"/>
      <c r="Q1841" s="49"/>
      <c r="S1841" s="50"/>
      <c r="T1841" s="50"/>
      <c r="U1841" s="58"/>
      <c r="V1841" s="58"/>
      <c r="W1841" s="58"/>
      <c r="X1841" s="58"/>
      <c r="Y1841" s="52"/>
    </row>
    <row r="1842" spans="1:25" x14ac:dyDescent="0.25">
      <c r="A1842" s="1218" t="s">
        <v>128</v>
      </c>
      <c r="B1842" s="98">
        <v>45717</v>
      </c>
      <c r="C1842" s="117" t="str">
        <f t="shared" si="425"/>
        <v>4L</v>
      </c>
      <c r="F1842" s="99">
        <f t="shared" si="412"/>
        <v>0</v>
      </c>
      <c r="H1842" s="49"/>
      <c r="I1842" s="99">
        <f t="shared" si="411"/>
        <v>0</v>
      </c>
      <c r="L1842" s="99"/>
      <c r="M1842" s="44"/>
      <c r="N1842" s="100"/>
      <c r="O1842" s="101"/>
      <c r="P1842" s="52"/>
      <c r="Q1842" s="49"/>
      <c r="S1842" s="50"/>
      <c r="T1842" s="50"/>
      <c r="U1842" s="58"/>
      <c r="V1842" s="58"/>
      <c r="W1842" s="58"/>
      <c r="X1842" s="58"/>
      <c r="Y1842" s="52"/>
    </row>
    <row r="1843" spans="1:25" x14ac:dyDescent="0.25">
      <c r="A1843" s="1218" t="s">
        <v>129</v>
      </c>
      <c r="B1843" s="98">
        <v>45717</v>
      </c>
      <c r="C1843" s="117" t="str">
        <f t="shared" si="425"/>
        <v>4L</v>
      </c>
      <c r="F1843" s="99">
        <f t="shared" si="412"/>
        <v>0</v>
      </c>
      <c r="G1843" s="532">
        <f>'[8]Underground Breaking Plan'!$C$47</f>
        <v>1085</v>
      </c>
      <c r="H1843" s="534">
        <f>'[8]Underground Breaking Plan'!$C$48</f>
        <v>1.6841121495327112</v>
      </c>
      <c r="I1843" s="99">
        <f t="shared" si="411"/>
        <v>1.8272616822429917</v>
      </c>
      <c r="J1843">
        <f>'March 25 D_R (Tramming)'!F47</f>
        <v>1258</v>
      </c>
      <c r="K1843" s="49">
        <f>'March 25 D_R (Tramming)'!F50</f>
        <v>1.9284737678855326</v>
      </c>
      <c r="L1843" s="99">
        <f t="shared" ref="L1843:L1869" si="427">IFERROR(J1843*K1843/1000,"")</f>
        <v>2.4260199999999998</v>
      </c>
      <c r="M1843" s="44">
        <f t="shared" si="415"/>
        <v>0.32768066203961721</v>
      </c>
      <c r="N1843" s="100">
        <f t="shared" si="416"/>
        <v>173</v>
      </c>
      <c r="O1843" s="101">
        <f t="shared" si="417"/>
        <v>0.59875831775700816</v>
      </c>
      <c r="P1843" s="52">
        <f t="shared" si="418"/>
        <v>26504.912523806561</v>
      </c>
      <c r="Q1843" s="49">
        <v>116.88487613461319</v>
      </c>
      <c r="R1843">
        <v>2225</v>
      </c>
      <c r="S1843" s="50">
        <f t="shared" si="414"/>
        <v>71535.307499999995</v>
      </c>
      <c r="T1843" s="50">
        <f t="shared" si="419"/>
        <v>130713.72632221969</v>
      </c>
      <c r="U1843" s="58">
        <f t="shared" si="420"/>
        <v>173546.08670114996</v>
      </c>
      <c r="V1843" s="58">
        <f t="shared" si="421"/>
        <v>126820.09060605531</v>
      </c>
      <c r="W1843" s="58">
        <f t="shared" si="422"/>
        <v>147041.1741773434</v>
      </c>
      <c r="X1843" s="58">
        <f t="shared" si="423"/>
        <v>3893.6357161643828</v>
      </c>
      <c r="Y1843" s="52">
        <f t="shared" si="424"/>
        <v>26504.912523806561</v>
      </c>
    </row>
    <row r="1844" spans="1:25" x14ac:dyDescent="0.25">
      <c r="A1844" s="1218" t="s">
        <v>130</v>
      </c>
      <c r="B1844" s="98">
        <v>45717</v>
      </c>
      <c r="C1844" s="117" t="str">
        <f t="shared" si="425"/>
        <v>5L</v>
      </c>
      <c r="F1844" s="99">
        <f t="shared" si="412"/>
        <v>0</v>
      </c>
      <c r="H1844" s="49"/>
      <c r="I1844" s="99">
        <f t="shared" si="411"/>
        <v>0</v>
      </c>
      <c r="L1844" s="99">
        <f t="shared" si="427"/>
        <v>0</v>
      </c>
      <c r="M1844" s="44" t="str">
        <f t="shared" si="415"/>
        <v/>
      </c>
      <c r="N1844" s="100">
        <f t="shared" si="416"/>
        <v>0</v>
      </c>
      <c r="O1844" s="101">
        <f t="shared" si="417"/>
        <v>0</v>
      </c>
      <c r="P1844" s="52">
        <f t="shared" si="418"/>
        <v>0</v>
      </c>
      <c r="Q1844" s="49">
        <v>116.88487613461319</v>
      </c>
      <c r="R1844">
        <v>2225</v>
      </c>
      <c r="S1844" s="50">
        <f t="shared" si="414"/>
        <v>71535.307499999995</v>
      </c>
      <c r="T1844" s="50">
        <f t="shared" si="419"/>
        <v>0</v>
      </c>
      <c r="U1844" s="58">
        <f t="shared" si="420"/>
        <v>0</v>
      </c>
      <c r="V1844" s="58">
        <f t="shared" si="421"/>
        <v>0</v>
      </c>
      <c r="W1844" s="58">
        <f t="shared" si="422"/>
        <v>0</v>
      </c>
      <c r="X1844" s="58">
        <f t="shared" si="423"/>
        <v>0</v>
      </c>
      <c r="Y1844" s="52">
        <f t="shared" si="424"/>
        <v>0</v>
      </c>
    </row>
    <row r="1845" spans="1:25" x14ac:dyDescent="0.25">
      <c r="A1845" s="1218" t="s">
        <v>131</v>
      </c>
      <c r="B1845" s="98">
        <v>45717</v>
      </c>
      <c r="C1845" s="117" t="str">
        <f t="shared" si="425"/>
        <v>5L</v>
      </c>
      <c r="F1845" s="99">
        <f t="shared" si="412"/>
        <v>0</v>
      </c>
      <c r="H1845" s="49"/>
      <c r="I1845" s="99">
        <f t="shared" si="411"/>
        <v>0</v>
      </c>
      <c r="L1845" s="99">
        <f t="shared" si="427"/>
        <v>0</v>
      </c>
      <c r="M1845" s="44" t="str">
        <f t="shared" si="415"/>
        <v/>
      </c>
      <c r="N1845" s="100">
        <f t="shared" si="416"/>
        <v>0</v>
      </c>
      <c r="O1845" s="101">
        <f t="shared" si="417"/>
        <v>0</v>
      </c>
      <c r="P1845" s="52">
        <f t="shared" si="418"/>
        <v>0</v>
      </c>
      <c r="Q1845" s="49">
        <v>116.88487613461319</v>
      </c>
      <c r="R1845">
        <v>2225</v>
      </c>
      <c r="S1845" s="50">
        <f t="shared" si="414"/>
        <v>71535.307499999995</v>
      </c>
      <c r="T1845" s="50">
        <f t="shared" si="419"/>
        <v>0</v>
      </c>
      <c r="U1845" s="58">
        <f t="shared" si="420"/>
        <v>0</v>
      </c>
      <c r="V1845" s="58">
        <f t="shared" si="421"/>
        <v>0</v>
      </c>
      <c r="W1845" s="58">
        <f t="shared" si="422"/>
        <v>0</v>
      </c>
      <c r="X1845" s="58">
        <f t="shared" si="423"/>
        <v>0</v>
      </c>
      <c r="Y1845" s="52">
        <f t="shared" si="424"/>
        <v>0</v>
      </c>
    </row>
    <row r="1846" spans="1:25" x14ac:dyDescent="0.25">
      <c r="A1846" s="1218" t="s">
        <v>132</v>
      </c>
      <c r="B1846" s="98">
        <v>45717</v>
      </c>
      <c r="C1846" s="117" t="str">
        <f t="shared" si="425"/>
        <v>5L</v>
      </c>
      <c r="F1846" s="99">
        <f t="shared" si="412"/>
        <v>0</v>
      </c>
      <c r="I1846" s="99">
        <f t="shared" si="411"/>
        <v>0</v>
      </c>
      <c r="L1846" s="99">
        <f t="shared" si="427"/>
        <v>0</v>
      </c>
      <c r="M1846" s="44" t="str">
        <f t="shared" si="415"/>
        <v/>
      </c>
      <c r="N1846" s="100">
        <f t="shared" si="416"/>
        <v>0</v>
      </c>
      <c r="O1846" s="101">
        <f t="shared" si="417"/>
        <v>0</v>
      </c>
      <c r="P1846" s="52">
        <f t="shared" si="418"/>
        <v>0</v>
      </c>
      <c r="Q1846" s="49">
        <v>116.88487613461319</v>
      </c>
      <c r="R1846">
        <v>2225</v>
      </c>
      <c r="S1846" s="50">
        <f t="shared" si="414"/>
        <v>71535.307499999995</v>
      </c>
      <c r="T1846" s="50">
        <f t="shared" si="419"/>
        <v>0</v>
      </c>
      <c r="U1846" s="58">
        <f t="shared" si="420"/>
        <v>0</v>
      </c>
      <c r="V1846" s="58">
        <f t="shared" si="421"/>
        <v>0</v>
      </c>
      <c r="W1846" s="58">
        <f t="shared" si="422"/>
        <v>0</v>
      </c>
      <c r="X1846" s="58">
        <f t="shared" si="423"/>
        <v>0</v>
      </c>
      <c r="Y1846" s="52">
        <f t="shared" si="424"/>
        <v>0</v>
      </c>
    </row>
    <row r="1847" spans="1:25" x14ac:dyDescent="0.25">
      <c r="A1847" s="1218" t="s">
        <v>133</v>
      </c>
      <c r="B1847" s="98">
        <v>45717</v>
      </c>
      <c r="C1847" s="117" t="str">
        <f t="shared" si="425"/>
        <v>5L</v>
      </c>
      <c r="F1847" s="99">
        <f t="shared" si="412"/>
        <v>0</v>
      </c>
      <c r="I1847" s="99">
        <f t="shared" si="411"/>
        <v>0</v>
      </c>
      <c r="L1847" s="99">
        <f t="shared" si="427"/>
        <v>0</v>
      </c>
      <c r="M1847" s="44" t="str">
        <f t="shared" si="415"/>
        <v/>
      </c>
      <c r="N1847" s="100">
        <f t="shared" si="416"/>
        <v>0</v>
      </c>
      <c r="O1847" s="101">
        <f t="shared" si="417"/>
        <v>0</v>
      </c>
      <c r="P1847" s="52">
        <f t="shared" si="418"/>
        <v>0</v>
      </c>
      <c r="Q1847" s="49">
        <v>116.88487613461319</v>
      </c>
      <c r="R1847">
        <v>2225</v>
      </c>
      <c r="S1847" s="50">
        <f t="shared" si="414"/>
        <v>71535.307499999995</v>
      </c>
      <c r="T1847" s="50">
        <f t="shared" si="419"/>
        <v>0</v>
      </c>
      <c r="U1847" s="58">
        <f t="shared" si="420"/>
        <v>0</v>
      </c>
      <c r="V1847" s="58">
        <f t="shared" si="421"/>
        <v>0</v>
      </c>
      <c r="W1847" s="58">
        <f t="shared" si="422"/>
        <v>0</v>
      </c>
      <c r="X1847" s="58">
        <f t="shared" si="423"/>
        <v>0</v>
      </c>
      <c r="Y1847" s="52">
        <f t="shared" si="424"/>
        <v>0</v>
      </c>
    </row>
    <row r="1848" spans="1:25" x14ac:dyDescent="0.25">
      <c r="A1848" s="1218" t="s">
        <v>134</v>
      </c>
      <c r="B1848" s="98">
        <v>45717</v>
      </c>
      <c r="C1848" s="117" t="str">
        <f t="shared" si="425"/>
        <v>5L</v>
      </c>
      <c r="F1848" s="99">
        <f t="shared" si="412"/>
        <v>0</v>
      </c>
      <c r="I1848" s="99">
        <f t="shared" si="411"/>
        <v>0</v>
      </c>
      <c r="L1848" s="99">
        <f t="shared" si="427"/>
        <v>0</v>
      </c>
      <c r="M1848" s="44" t="str">
        <f t="shared" si="415"/>
        <v/>
      </c>
      <c r="N1848" s="100">
        <f t="shared" si="416"/>
        <v>0</v>
      </c>
      <c r="O1848" s="101">
        <f t="shared" si="417"/>
        <v>0</v>
      </c>
      <c r="P1848" s="52">
        <f t="shared" si="418"/>
        <v>0</v>
      </c>
      <c r="Q1848" s="49">
        <v>116.88487613461319</v>
      </c>
      <c r="R1848">
        <v>2225</v>
      </c>
      <c r="S1848" s="50">
        <f t="shared" si="414"/>
        <v>71535.307499999995</v>
      </c>
      <c r="T1848" s="50">
        <f t="shared" si="419"/>
        <v>0</v>
      </c>
      <c r="U1848" s="58">
        <f t="shared" si="420"/>
        <v>0</v>
      </c>
      <c r="V1848" s="58">
        <f t="shared" si="421"/>
        <v>0</v>
      </c>
      <c r="W1848" s="58">
        <f t="shared" si="422"/>
        <v>0</v>
      </c>
      <c r="X1848" s="58">
        <f t="shared" si="423"/>
        <v>0</v>
      </c>
      <c r="Y1848" s="52">
        <f t="shared" si="424"/>
        <v>0</v>
      </c>
    </row>
    <row r="1849" spans="1:25" x14ac:dyDescent="0.25">
      <c r="A1849" s="1218" t="s">
        <v>135</v>
      </c>
      <c r="B1849" s="98">
        <v>45717</v>
      </c>
      <c r="C1849" s="117" t="str">
        <f t="shared" si="425"/>
        <v>5L</v>
      </c>
      <c r="D1849">
        <v>184</v>
      </c>
      <c r="E1849">
        <v>0.82</v>
      </c>
      <c r="F1849" s="99">
        <f t="shared" si="412"/>
        <v>0.15087999999999999</v>
      </c>
      <c r="I1849" s="99">
        <f t="shared" si="411"/>
        <v>0</v>
      </c>
      <c r="L1849" s="99">
        <f t="shared" si="427"/>
        <v>0</v>
      </c>
      <c r="M1849" s="44" t="str">
        <f t="shared" si="415"/>
        <v/>
      </c>
      <c r="N1849" s="100">
        <f t="shared" si="416"/>
        <v>0</v>
      </c>
      <c r="O1849" s="101">
        <f t="shared" si="417"/>
        <v>0</v>
      </c>
      <c r="P1849" s="52">
        <f t="shared" si="418"/>
        <v>0</v>
      </c>
      <c r="Q1849" s="49">
        <v>116.88487613461319</v>
      </c>
      <c r="R1849">
        <v>2225</v>
      </c>
      <c r="S1849" s="50">
        <f t="shared" si="414"/>
        <v>71535.307499999995</v>
      </c>
      <c r="T1849" s="50">
        <f t="shared" si="419"/>
        <v>0</v>
      </c>
      <c r="U1849" s="58">
        <f t="shared" si="420"/>
        <v>0</v>
      </c>
      <c r="V1849" s="58">
        <f t="shared" si="421"/>
        <v>0</v>
      </c>
      <c r="W1849" s="58">
        <f t="shared" si="422"/>
        <v>0</v>
      </c>
      <c r="X1849" s="58">
        <f t="shared" si="423"/>
        <v>0</v>
      </c>
      <c r="Y1849" s="52">
        <f t="shared" si="424"/>
        <v>0</v>
      </c>
    </row>
    <row r="1850" spans="1:25" x14ac:dyDescent="0.25">
      <c r="A1850" s="1218" t="s">
        <v>136</v>
      </c>
      <c r="B1850" s="98">
        <v>45717</v>
      </c>
      <c r="C1850" s="117" t="str">
        <f t="shared" si="425"/>
        <v>5L</v>
      </c>
      <c r="F1850" s="99">
        <f t="shared" si="412"/>
        <v>0</v>
      </c>
      <c r="I1850" s="99">
        <f t="shared" si="411"/>
        <v>0</v>
      </c>
      <c r="L1850" s="99">
        <f t="shared" si="427"/>
        <v>0</v>
      </c>
      <c r="M1850" s="44" t="str">
        <f t="shared" si="415"/>
        <v/>
      </c>
      <c r="N1850" s="100">
        <f t="shared" si="416"/>
        <v>0</v>
      </c>
      <c r="O1850" s="101">
        <f t="shared" si="417"/>
        <v>0</v>
      </c>
      <c r="P1850" s="52">
        <f t="shared" si="418"/>
        <v>0</v>
      </c>
      <c r="Q1850" s="49">
        <v>116.88487613461319</v>
      </c>
      <c r="R1850">
        <v>2225</v>
      </c>
      <c r="S1850" s="50">
        <f t="shared" si="414"/>
        <v>71535.307499999995</v>
      </c>
      <c r="T1850" s="50">
        <f t="shared" si="419"/>
        <v>0</v>
      </c>
      <c r="U1850" s="58">
        <f t="shared" si="420"/>
        <v>0</v>
      </c>
      <c r="V1850" s="58">
        <f t="shared" si="421"/>
        <v>0</v>
      </c>
      <c r="W1850" s="58">
        <f t="shared" si="422"/>
        <v>0</v>
      </c>
      <c r="X1850" s="58">
        <f t="shared" si="423"/>
        <v>0</v>
      </c>
      <c r="Y1850" s="52">
        <f t="shared" si="424"/>
        <v>0</v>
      </c>
    </row>
    <row r="1851" spans="1:25" x14ac:dyDescent="0.25">
      <c r="A1851" s="1218" t="s">
        <v>137</v>
      </c>
      <c r="B1851" s="98">
        <v>45717</v>
      </c>
      <c r="C1851" s="117" t="str">
        <f t="shared" si="425"/>
        <v>5L</v>
      </c>
      <c r="F1851" s="99">
        <f t="shared" si="412"/>
        <v>0</v>
      </c>
      <c r="I1851" s="99">
        <f t="shared" si="411"/>
        <v>0</v>
      </c>
      <c r="L1851" s="99">
        <f t="shared" si="427"/>
        <v>0</v>
      </c>
      <c r="M1851" s="44" t="str">
        <f t="shared" si="415"/>
        <v/>
      </c>
      <c r="N1851" s="100">
        <f t="shared" si="416"/>
        <v>0</v>
      </c>
      <c r="O1851" s="101">
        <f t="shared" si="417"/>
        <v>0</v>
      </c>
      <c r="P1851" s="52">
        <f t="shared" si="418"/>
        <v>0</v>
      </c>
      <c r="Q1851" s="49">
        <v>116.88487613461319</v>
      </c>
      <c r="R1851">
        <v>2225</v>
      </c>
      <c r="S1851" s="50">
        <f t="shared" si="414"/>
        <v>71535.307499999995</v>
      </c>
      <c r="T1851" s="50">
        <f t="shared" si="419"/>
        <v>0</v>
      </c>
      <c r="U1851" s="58">
        <f t="shared" si="420"/>
        <v>0</v>
      </c>
      <c r="V1851" s="58">
        <f t="shared" si="421"/>
        <v>0</v>
      </c>
      <c r="W1851" s="58">
        <f t="shared" si="422"/>
        <v>0</v>
      </c>
      <c r="X1851" s="58">
        <f t="shared" si="423"/>
        <v>0</v>
      </c>
      <c r="Y1851" s="52">
        <f t="shared" si="424"/>
        <v>0</v>
      </c>
    </row>
    <row r="1852" spans="1:25" x14ac:dyDescent="0.25">
      <c r="A1852" s="1218" t="s">
        <v>138</v>
      </c>
      <c r="B1852" s="98">
        <v>45717</v>
      </c>
      <c r="C1852" s="117" t="str">
        <f t="shared" si="425"/>
        <v>5L</v>
      </c>
      <c r="D1852">
        <v>1792</v>
      </c>
      <c r="E1852">
        <v>0.69</v>
      </c>
      <c r="F1852" s="99">
        <f t="shared" si="412"/>
        <v>1.23648</v>
      </c>
      <c r="G1852">
        <f>'[8]Underground Breaking Plan'!$C$53</f>
        <v>2170</v>
      </c>
      <c r="H1852" s="49">
        <f>'[8]Underground Breaking Plan'!$C$54</f>
        <v>1.6900000000000008</v>
      </c>
      <c r="I1852" s="99">
        <f t="shared" si="411"/>
        <v>3.6673000000000018</v>
      </c>
      <c r="J1852">
        <f>'March 25 D_R (Tramming)'!F54</f>
        <v>2587</v>
      </c>
      <c r="K1852" s="49">
        <f>'March 25 D_R (Tramming)'!F57</f>
        <v>2.1497680711248552</v>
      </c>
      <c r="L1852" s="99">
        <f t="shared" si="427"/>
        <v>5.5614500000000007</v>
      </c>
      <c r="M1852" s="44">
        <f t="shared" si="415"/>
        <v>0.51649715049218714</v>
      </c>
      <c r="N1852" s="100">
        <f t="shared" si="416"/>
        <v>417</v>
      </c>
      <c r="O1852" s="101">
        <f t="shared" si="417"/>
        <v>1.8941499999999989</v>
      </c>
      <c r="P1852" s="52">
        <f t="shared" si="418"/>
        <v>95458.861335630703</v>
      </c>
      <c r="Q1852" s="49">
        <v>116.88487613461319</v>
      </c>
      <c r="R1852">
        <v>2225</v>
      </c>
      <c r="S1852" s="50">
        <f t="shared" si="414"/>
        <v>71535.307499999995</v>
      </c>
      <c r="T1852" s="50">
        <f t="shared" si="419"/>
        <v>262341.43319475011</v>
      </c>
      <c r="U1852" s="58">
        <f t="shared" si="420"/>
        <v>397840.03589587501</v>
      </c>
      <c r="V1852" s="58">
        <f t="shared" si="421"/>
        <v>253640.18121211062</v>
      </c>
      <c r="W1852" s="58">
        <f t="shared" si="422"/>
        <v>302381.17456024431</v>
      </c>
      <c r="X1852" s="58">
        <f t="shared" si="423"/>
        <v>8701.2519826394855</v>
      </c>
      <c r="Y1852" s="52">
        <f t="shared" si="424"/>
        <v>95458.861335630703</v>
      </c>
    </row>
    <row r="1853" spans="1:25" x14ac:dyDescent="0.25">
      <c r="A1853" s="1218" t="s">
        <v>139</v>
      </c>
      <c r="B1853" s="98">
        <v>45717</v>
      </c>
      <c r="C1853" s="117" t="str">
        <f t="shared" si="425"/>
        <v>5L</v>
      </c>
      <c r="D1853">
        <v>1798</v>
      </c>
      <c r="E1853">
        <v>3.3</v>
      </c>
      <c r="F1853" s="99">
        <f t="shared" si="412"/>
        <v>5.9333999999999998</v>
      </c>
      <c r="G1853" s="532">
        <f>'[8]Underground Breaking Plan'!$C$55</f>
        <v>1120</v>
      </c>
      <c r="H1853" s="534">
        <f>'[8]Underground Breaking Plan'!$C$56</f>
        <v>1.604672897196262</v>
      </c>
      <c r="I1853" s="99">
        <f t="shared" si="411"/>
        <v>1.7972336448598134</v>
      </c>
      <c r="J1853">
        <f>'March 25 D_R (Tramming)'!F61</f>
        <v>778</v>
      </c>
      <c r="K1853" s="49">
        <f>'March 25 D_R (Tramming)'!F64</f>
        <v>1.5569922879177376</v>
      </c>
      <c r="L1853" s="99">
        <f t="shared" si="427"/>
        <v>1.2113399999999999</v>
      </c>
      <c r="M1853" s="44">
        <f t="shared" si="415"/>
        <v>-0.3259974831516767</v>
      </c>
      <c r="N1853" s="100">
        <f t="shared" si="416"/>
        <v>-342</v>
      </c>
      <c r="O1853" s="101">
        <f t="shared" si="417"/>
        <v>-0.58589364485981354</v>
      </c>
      <c r="P1853" s="52">
        <f t="shared" si="418"/>
        <v>-4282.8542456790747</v>
      </c>
      <c r="Q1853" s="49">
        <v>116.88487613461319</v>
      </c>
      <c r="R1853">
        <v>2225</v>
      </c>
      <c r="S1853" s="50">
        <f t="shared" si="414"/>
        <v>71535.307499999995</v>
      </c>
      <c r="T1853" s="50">
        <f t="shared" si="419"/>
        <v>128565.66143439253</v>
      </c>
      <c r="U1853" s="58">
        <f t="shared" si="420"/>
        <v>86653.579387049991</v>
      </c>
      <c r="V1853" s="58">
        <f t="shared" si="421"/>
        <v>130911.06127076678</v>
      </c>
      <c r="W1853" s="58">
        <f t="shared" si="422"/>
        <v>90936.433632729066</v>
      </c>
      <c r="X1853" s="58">
        <f t="shared" si="423"/>
        <v>-2345.399836374243</v>
      </c>
      <c r="Y1853" s="52">
        <f t="shared" si="424"/>
        <v>-4282.8542456790747</v>
      </c>
    </row>
    <row r="1854" spans="1:25" x14ac:dyDescent="0.25">
      <c r="A1854" s="1218" t="s">
        <v>140</v>
      </c>
      <c r="B1854" s="98">
        <v>45717</v>
      </c>
      <c r="C1854" s="117" t="str">
        <f t="shared" si="425"/>
        <v>5L</v>
      </c>
      <c r="F1854" s="99">
        <f t="shared" si="412"/>
        <v>0</v>
      </c>
      <c r="I1854" s="99">
        <f t="shared" ref="I1854:I1916" si="428">IFERROR(G1854*H1854/1000,"")</f>
        <v>0</v>
      </c>
      <c r="L1854" s="99">
        <f t="shared" si="427"/>
        <v>0</v>
      </c>
      <c r="M1854" s="44" t="str">
        <f t="shared" si="415"/>
        <v/>
      </c>
      <c r="N1854" s="100">
        <f t="shared" si="416"/>
        <v>0</v>
      </c>
      <c r="O1854" s="101">
        <f t="shared" si="417"/>
        <v>0</v>
      </c>
      <c r="P1854" s="52">
        <f t="shared" si="418"/>
        <v>0</v>
      </c>
      <c r="Q1854" s="49">
        <v>116.88487613461319</v>
      </c>
      <c r="R1854">
        <v>2225</v>
      </c>
      <c r="S1854" s="50">
        <f t="shared" si="414"/>
        <v>71535.307499999995</v>
      </c>
      <c r="T1854" s="50">
        <f t="shared" si="419"/>
        <v>0</v>
      </c>
      <c r="U1854" s="58">
        <f t="shared" si="420"/>
        <v>0</v>
      </c>
      <c r="V1854" s="58">
        <f t="shared" si="421"/>
        <v>0</v>
      </c>
      <c r="W1854" s="58">
        <f t="shared" si="422"/>
        <v>0</v>
      </c>
      <c r="X1854" s="58">
        <f t="shared" si="423"/>
        <v>0</v>
      </c>
      <c r="Y1854" s="52">
        <f t="shared" si="424"/>
        <v>0</v>
      </c>
    </row>
    <row r="1855" spans="1:25" x14ac:dyDescent="0.25">
      <c r="A1855" s="1218" t="s">
        <v>141</v>
      </c>
      <c r="B1855" s="98">
        <v>45717</v>
      </c>
      <c r="C1855" s="117" t="str">
        <f t="shared" si="425"/>
        <v>5L</v>
      </c>
      <c r="D1855" s="118">
        <v>85</v>
      </c>
      <c r="E1855">
        <v>3.33</v>
      </c>
      <c r="F1855" s="99">
        <f t="shared" si="412"/>
        <v>0.28305000000000002</v>
      </c>
      <c r="I1855" s="99">
        <f t="shared" si="428"/>
        <v>0</v>
      </c>
      <c r="L1855" s="99">
        <f t="shared" si="427"/>
        <v>0</v>
      </c>
      <c r="M1855" s="44" t="str">
        <f t="shared" si="415"/>
        <v/>
      </c>
      <c r="N1855" s="100">
        <f t="shared" si="416"/>
        <v>0</v>
      </c>
      <c r="O1855" s="101">
        <f t="shared" si="417"/>
        <v>0</v>
      </c>
      <c r="P1855" s="52">
        <f t="shared" si="418"/>
        <v>0</v>
      </c>
      <c r="Q1855" s="49">
        <v>116.88487613461319</v>
      </c>
      <c r="R1855">
        <v>2225</v>
      </c>
      <c r="S1855" s="50">
        <f t="shared" si="414"/>
        <v>71535.307499999995</v>
      </c>
      <c r="T1855" s="50">
        <f t="shared" si="419"/>
        <v>0</v>
      </c>
      <c r="U1855" s="58">
        <f t="shared" si="420"/>
        <v>0</v>
      </c>
      <c r="V1855" s="58">
        <f t="shared" si="421"/>
        <v>0</v>
      </c>
      <c r="W1855" s="58">
        <f t="shared" si="422"/>
        <v>0</v>
      </c>
      <c r="X1855" s="58">
        <f t="shared" si="423"/>
        <v>0</v>
      </c>
      <c r="Y1855" s="52">
        <f t="shared" si="424"/>
        <v>0</v>
      </c>
    </row>
    <row r="1856" spans="1:25" x14ac:dyDescent="0.25">
      <c r="A1856" s="1218" t="s">
        <v>142</v>
      </c>
      <c r="B1856" s="98">
        <v>45717</v>
      </c>
      <c r="C1856" s="117" t="str">
        <f t="shared" si="425"/>
        <v>5L</v>
      </c>
      <c r="D1856" s="118">
        <v>85</v>
      </c>
      <c r="E1856">
        <v>2.94</v>
      </c>
      <c r="F1856" s="99">
        <f t="shared" si="412"/>
        <v>0.24990000000000001</v>
      </c>
      <c r="I1856" s="99">
        <f t="shared" si="428"/>
        <v>0</v>
      </c>
      <c r="L1856" s="99">
        <f t="shared" si="427"/>
        <v>0</v>
      </c>
      <c r="M1856" s="44" t="str">
        <f t="shared" si="415"/>
        <v/>
      </c>
      <c r="N1856" s="100">
        <f t="shared" si="416"/>
        <v>0</v>
      </c>
      <c r="O1856" s="101">
        <f t="shared" si="417"/>
        <v>0</v>
      </c>
      <c r="P1856" s="52">
        <f t="shared" si="418"/>
        <v>0</v>
      </c>
      <c r="Q1856" s="49">
        <v>116.88487613461319</v>
      </c>
      <c r="R1856">
        <v>2225</v>
      </c>
      <c r="S1856" s="50">
        <f t="shared" si="414"/>
        <v>71535.307499999995</v>
      </c>
      <c r="T1856" s="50">
        <f t="shared" si="419"/>
        <v>0</v>
      </c>
      <c r="U1856" s="58">
        <f t="shared" si="420"/>
        <v>0</v>
      </c>
      <c r="V1856" s="58">
        <f t="shared" si="421"/>
        <v>0</v>
      </c>
      <c r="W1856" s="58">
        <f t="shared" si="422"/>
        <v>0</v>
      </c>
      <c r="X1856" s="58">
        <f t="shared" si="423"/>
        <v>0</v>
      </c>
      <c r="Y1856" s="52">
        <f t="shared" si="424"/>
        <v>0</v>
      </c>
    </row>
    <row r="1857" spans="1:25" x14ac:dyDescent="0.25">
      <c r="A1857" s="1218" t="s">
        <v>143</v>
      </c>
      <c r="B1857" s="98">
        <v>45717</v>
      </c>
      <c r="C1857" s="117" t="str">
        <f t="shared" si="425"/>
        <v>5L</v>
      </c>
      <c r="F1857" s="99">
        <f t="shared" si="412"/>
        <v>0</v>
      </c>
      <c r="I1857" s="99">
        <f t="shared" si="428"/>
        <v>0</v>
      </c>
      <c r="L1857" s="99">
        <f t="shared" si="427"/>
        <v>0</v>
      </c>
      <c r="M1857" s="44" t="str">
        <f t="shared" si="415"/>
        <v/>
      </c>
      <c r="N1857" s="100">
        <f t="shared" si="416"/>
        <v>0</v>
      </c>
      <c r="O1857" s="101">
        <f t="shared" si="417"/>
        <v>0</v>
      </c>
      <c r="P1857" s="52">
        <f t="shared" si="418"/>
        <v>0</v>
      </c>
      <c r="Q1857" s="49">
        <v>116.88487613461319</v>
      </c>
      <c r="R1857">
        <v>2225</v>
      </c>
      <c r="S1857" s="50">
        <f t="shared" si="414"/>
        <v>71535.307499999995</v>
      </c>
      <c r="T1857" s="50">
        <f t="shared" si="419"/>
        <v>0</v>
      </c>
      <c r="U1857" s="58">
        <f t="shared" si="420"/>
        <v>0</v>
      </c>
      <c r="V1857" s="58">
        <f t="shared" si="421"/>
        <v>0</v>
      </c>
      <c r="W1857" s="58">
        <f t="shared" si="422"/>
        <v>0</v>
      </c>
      <c r="X1857" s="58">
        <f t="shared" si="423"/>
        <v>0</v>
      </c>
      <c r="Y1857" s="52">
        <f t="shared" si="424"/>
        <v>0</v>
      </c>
    </row>
    <row r="1858" spans="1:25" x14ac:dyDescent="0.25">
      <c r="A1858" s="1218" t="s">
        <v>144</v>
      </c>
      <c r="B1858" s="98">
        <v>45717</v>
      </c>
      <c r="C1858" s="117" t="str">
        <f t="shared" si="425"/>
        <v>5L</v>
      </c>
      <c r="F1858" s="99">
        <f t="shared" si="412"/>
        <v>0</v>
      </c>
      <c r="I1858" s="99">
        <f t="shared" si="428"/>
        <v>0</v>
      </c>
      <c r="L1858" s="99">
        <f t="shared" si="427"/>
        <v>0</v>
      </c>
      <c r="M1858" s="44" t="str">
        <f t="shared" si="415"/>
        <v/>
      </c>
      <c r="N1858" s="100">
        <f t="shared" si="416"/>
        <v>0</v>
      </c>
      <c r="O1858" s="101">
        <f t="shared" si="417"/>
        <v>0</v>
      </c>
      <c r="P1858" s="52">
        <f t="shared" si="418"/>
        <v>0</v>
      </c>
      <c r="Q1858" s="49">
        <v>116.88487613461319</v>
      </c>
      <c r="R1858">
        <v>2225</v>
      </c>
      <c r="S1858" s="50">
        <f t="shared" si="414"/>
        <v>71535.307499999995</v>
      </c>
      <c r="T1858" s="50">
        <f t="shared" si="419"/>
        <v>0</v>
      </c>
      <c r="U1858" s="58">
        <f t="shared" si="420"/>
        <v>0</v>
      </c>
      <c r="V1858" s="58">
        <f t="shared" si="421"/>
        <v>0</v>
      </c>
      <c r="W1858" s="58">
        <f t="shared" si="422"/>
        <v>0</v>
      </c>
      <c r="X1858" s="58">
        <f t="shared" si="423"/>
        <v>0</v>
      </c>
      <c r="Y1858" s="52">
        <f t="shared" si="424"/>
        <v>0</v>
      </c>
    </row>
    <row r="1859" spans="1:25" x14ac:dyDescent="0.25">
      <c r="A1859" s="1218" t="s">
        <v>145</v>
      </c>
      <c r="B1859" s="98">
        <v>45717</v>
      </c>
      <c r="C1859" s="117" t="str">
        <f t="shared" si="425"/>
        <v>5L</v>
      </c>
      <c r="F1859" s="99">
        <f t="shared" si="412"/>
        <v>0</v>
      </c>
      <c r="I1859" s="99">
        <f t="shared" si="428"/>
        <v>0</v>
      </c>
      <c r="L1859" s="99">
        <f t="shared" si="427"/>
        <v>0</v>
      </c>
      <c r="M1859" s="44" t="str">
        <f t="shared" si="415"/>
        <v/>
      </c>
      <c r="N1859" s="100">
        <f t="shared" si="416"/>
        <v>0</v>
      </c>
      <c r="O1859" s="101">
        <f t="shared" si="417"/>
        <v>0</v>
      </c>
      <c r="P1859" s="52">
        <f t="shared" si="418"/>
        <v>0</v>
      </c>
      <c r="Q1859" s="49">
        <v>116.88487613461319</v>
      </c>
      <c r="R1859">
        <v>2225</v>
      </c>
      <c r="S1859" s="50">
        <f t="shared" si="414"/>
        <v>71535.307499999995</v>
      </c>
      <c r="T1859" s="50">
        <f t="shared" si="419"/>
        <v>0</v>
      </c>
      <c r="U1859" s="58">
        <f t="shared" si="420"/>
        <v>0</v>
      </c>
      <c r="V1859" s="58">
        <f t="shared" si="421"/>
        <v>0</v>
      </c>
      <c r="W1859" s="58">
        <f t="shared" si="422"/>
        <v>0</v>
      </c>
      <c r="X1859" s="58">
        <f t="shared" si="423"/>
        <v>0</v>
      </c>
      <c r="Y1859" s="52">
        <f t="shared" si="424"/>
        <v>0</v>
      </c>
    </row>
    <row r="1860" spans="1:25" x14ac:dyDescent="0.25">
      <c r="A1860" s="1218" t="s">
        <v>146</v>
      </c>
      <c r="B1860" s="98">
        <v>45717</v>
      </c>
      <c r="C1860" s="117" t="str">
        <f t="shared" si="425"/>
        <v>5L</v>
      </c>
      <c r="F1860" s="99">
        <f t="shared" si="412"/>
        <v>0</v>
      </c>
      <c r="I1860" s="99">
        <f t="shared" si="428"/>
        <v>0</v>
      </c>
      <c r="L1860" s="99">
        <f t="shared" si="427"/>
        <v>0</v>
      </c>
      <c r="M1860" s="44" t="str">
        <f t="shared" si="415"/>
        <v/>
      </c>
      <c r="N1860" s="100">
        <f t="shared" si="416"/>
        <v>0</v>
      </c>
      <c r="O1860" s="101">
        <f t="shared" si="417"/>
        <v>0</v>
      </c>
      <c r="P1860" s="52">
        <f t="shared" si="418"/>
        <v>0</v>
      </c>
      <c r="Q1860" s="49">
        <v>116.88487613461319</v>
      </c>
      <c r="R1860">
        <v>2225</v>
      </c>
      <c r="S1860" s="50">
        <f t="shared" si="414"/>
        <v>71535.307499999995</v>
      </c>
      <c r="T1860" s="50">
        <f t="shared" si="419"/>
        <v>0</v>
      </c>
      <c r="U1860" s="58">
        <f t="shared" si="420"/>
        <v>0</v>
      </c>
      <c r="V1860" s="58">
        <f t="shared" si="421"/>
        <v>0</v>
      </c>
      <c r="W1860" s="58">
        <f t="shared" si="422"/>
        <v>0</v>
      </c>
      <c r="X1860" s="58">
        <f t="shared" si="423"/>
        <v>0</v>
      </c>
      <c r="Y1860" s="52">
        <f t="shared" si="424"/>
        <v>0</v>
      </c>
    </row>
    <row r="1861" spans="1:25" x14ac:dyDescent="0.25">
      <c r="A1861" s="1218" t="s">
        <v>147</v>
      </c>
      <c r="B1861" s="98">
        <v>45717</v>
      </c>
      <c r="C1861" s="117" t="str">
        <f t="shared" si="425"/>
        <v>5L</v>
      </c>
      <c r="F1861" s="99">
        <f t="shared" si="412"/>
        <v>0</v>
      </c>
      <c r="I1861" s="99">
        <f t="shared" si="428"/>
        <v>0</v>
      </c>
      <c r="L1861" s="99">
        <f t="shared" si="427"/>
        <v>0</v>
      </c>
      <c r="M1861" s="44" t="str">
        <f t="shared" si="415"/>
        <v/>
      </c>
      <c r="N1861" s="100">
        <f t="shared" si="416"/>
        <v>0</v>
      </c>
      <c r="O1861" s="101">
        <f t="shared" si="417"/>
        <v>0</v>
      </c>
      <c r="P1861" s="52">
        <f t="shared" si="418"/>
        <v>0</v>
      </c>
      <c r="Q1861" s="49">
        <v>116.88487613461319</v>
      </c>
      <c r="R1861">
        <v>2225</v>
      </c>
      <c r="S1861" s="50">
        <f t="shared" si="414"/>
        <v>71535.307499999995</v>
      </c>
      <c r="T1861" s="50">
        <f t="shared" si="419"/>
        <v>0</v>
      </c>
      <c r="U1861" s="58">
        <f t="shared" si="420"/>
        <v>0</v>
      </c>
      <c r="V1861" s="58">
        <f t="shared" si="421"/>
        <v>0</v>
      </c>
      <c r="W1861" s="58">
        <f t="shared" si="422"/>
        <v>0</v>
      </c>
      <c r="X1861" s="58">
        <f t="shared" si="423"/>
        <v>0</v>
      </c>
      <c r="Y1861" s="52">
        <f t="shared" si="424"/>
        <v>0</v>
      </c>
    </row>
    <row r="1862" spans="1:25" x14ac:dyDescent="0.25">
      <c r="A1862" s="1218" t="s">
        <v>148</v>
      </c>
      <c r="B1862" s="98">
        <v>45717</v>
      </c>
      <c r="C1862" s="117" t="str">
        <f t="shared" si="425"/>
        <v>5L</v>
      </c>
      <c r="F1862" s="99">
        <f t="shared" si="412"/>
        <v>0</v>
      </c>
      <c r="I1862" s="99">
        <f t="shared" si="428"/>
        <v>0</v>
      </c>
      <c r="L1862" s="99">
        <f t="shared" si="427"/>
        <v>0</v>
      </c>
      <c r="M1862" s="44" t="str">
        <f t="shared" si="415"/>
        <v/>
      </c>
      <c r="N1862" s="100">
        <f t="shared" si="416"/>
        <v>0</v>
      </c>
      <c r="O1862" s="101">
        <f t="shared" si="417"/>
        <v>0</v>
      </c>
      <c r="P1862" s="52">
        <f t="shared" si="418"/>
        <v>0</v>
      </c>
      <c r="Q1862" s="49">
        <v>116.88487613461319</v>
      </c>
      <c r="R1862">
        <v>2225</v>
      </c>
      <c r="S1862" s="50">
        <f t="shared" si="414"/>
        <v>71535.307499999995</v>
      </c>
      <c r="T1862" s="50">
        <f t="shared" si="419"/>
        <v>0</v>
      </c>
      <c r="U1862" s="58">
        <f t="shared" si="420"/>
        <v>0</v>
      </c>
      <c r="V1862" s="58">
        <f t="shared" si="421"/>
        <v>0</v>
      </c>
      <c r="W1862" s="58">
        <f t="shared" si="422"/>
        <v>0</v>
      </c>
      <c r="X1862" s="58">
        <f t="shared" si="423"/>
        <v>0</v>
      </c>
      <c r="Y1862" s="52">
        <f t="shared" si="424"/>
        <v>0</v>
      </c>
    </row>
    <row r="1863" spans="1:25" x14ac:dyDescent="0.25">
      <c r="A1863" s="1218" t="s">
        <v>149</v>
      </c>
      <c r="B1863" s="98">
        <v>45717</v>
      </c>
      <c r="C1863" s="117" t="str">
        <f t="shared" si="425"/>
        <v>5L</v>
      </c>
      <c r="F1863" s="99">
        <f t="shared" ref="F1863:F1926" si="429">IFERROR(D1863*E1863/1000,"")</f>
        <v>0</v>
      </c>
      <c r="I1863" s="99">
        <f t="shared" si="428"/>
        <v>0</v>
      </c>
      <c r="L1863" s="99">
        <f t="shared" si="427"/>
        <v>0</v>
      </c>
      <c r="M1863" s="44" t="str">
        <f t="shared" si="415"/>
        <v/>
      </c>
      <c r="N1863" s="100">
        <f t="shared" si="416"/>
        <v>0</v>
      </c>
      <c r="O1863" s="101">
        <f t="shared" si="417"/>
        <v>0</v>
      </c>
      <c r="P1863" s="52">
        <f t="shared" si="418"/>
        <v>0</v>
      </c>
      <c r="Q1863" s="49">
        <v>116.88487613461319</v>
      </c>
      <c r="R1863">
        <v>2225</v>
      </c>
      <c r="S1863" s="50">
        <f t="shared" si="414"/>
        <v>71535.307499999995</v>
      </c>
      <c r="T1863" s="50">
        <f t="shared" si="419"/>
        <v>0</v>
      </c>
      <c r="U1863" s="58">
        <f t="shared" si="420"/>
        <v>0</v>
      </c>
      <c r="V1863" s="58">
        <f t="shared" si="421"/>
        <v>0</v>
      </c>
      <c r="W1863" s="58">
        <f t="shared" si="422"/>
        <v>0</v>
      </c>
      <c r="X1863" s="58">
        <f t="shared" si="423"/>
        <v>0</v>
      </c>
      <c r="Y1863" s="52">
        <f t="shared" si="424"/>
        <v>0</v>
      </c>
    </row>
    <row r="1864" spans="1:25" x14ac:dyDescent="0.25">
      <c r="A1864" s="1218" t="s">
        <v>150</v>
      </c>
      <c r="B1864" s="98">
        <v>45717</v>
      </c>
      <c r="C1864" s="117" t="str">
        <f t="shared" si="425"/>
        <v>6L</v>
      </c>
      <c r="D1864" s="118">
        <v>2696</v>
      </c>
      <c r="E1864">
        <v>2.83</v>
      </c>
      <c r="F1864" s="99">
        <f t="shared" si="429"/>
        <v>7.6296800000000005</v>
      </c>
      <c r="G1864" s="532">
        <f>'[8]Underground Breaking Plan'!$C$63</f>
        <v>2170</v>
      </c>
      <c r="H1864" s="534">
        <f>'[8]Underground Breaking Plan'!$C$64</f>
        <v>3.0901869158878492</v>
      </c>
      <c r="I1864" s="99">
        <f t="shared" si="428"/>
        <v>6.7057056074766326</v>
      </c>
      <c r="J1864">
        <f>'March 25 D_R (Tramming)'!F68</f>
        <v>2738.2</v>
      </c>
      <c r="K1864" s="49">
        <f>'March 25 D_R (Tramming)'!F71</f>
        <v>3.2370144620553654</v>
      </c>
      <c r="L1864" s="99">
        <f t="shared" si="427"/>
        <v>8.8635930000000016</v>
      </c>
      <c r="M1864" s="44">
        <f t="shared" si="415"/>
        <v>0.32179870677850791</v>
      </c>
      <c r="N1864" s="100">
        <f t="shared" si="416"/>
        <v>568.19999999999982</v>
      </c>
      <c r="O1864" s="101">
        <f t="shared" si="417"/>
        <v>2.157887392523369</v>
      </c>
      <c r="P1864" s="52">
        <f t="shared" si="418"/>
        <v>314005.68297804974</v>
      </c>
      <c r="Q1864" s="49">
        <v>116.88487613461319</v>
      </c>
      <c r="R1864">
        <v>2225</v>
      </c>
      <c r="S1864" s="50">
        <f t="shared" si="414"/>
        <v>71535.307499999995</v>
      </c>
      <c r="T1864" s="50">
        <f t="shared" si="419"/>
        <v>479694.7126353152</v>
      </c>
      <c r="U1864" s="58">
        <f t="shared" si="420"/>
        <v>634059.85080984759</v>
      </c>
      <c r="V1864" s="58">
        <f t="shared" si="421"/>
        <v>253640.18121211062</v>
      </c>
      <c r="W1864" s="58">
        <f t="shared" si="422"/>
        <v>320054.16783179785</v>
      </c>
      <c r="X1864" s="58">
        <f t="shared" si="423"/>
        <v>226054.53142320458</v>
      </c>
      <c r="Y1864" s="52">
        <f t="shared" si="424"/>
        <v>314005.68297804974</v>
      </c>
    </row>
    <row r="1865" spans="1:25" x14ac:dyDescent="0.25">
      <c r="A1865" s="1218" t="s">
        <v>151</v>
      </c>
      <c r="B1865" s="98">
        <v>45717</v>
      </c>
      <c r="C1865" s="117" t="str">
        <f t="shared" si="425"/>
        <v>6L</v>
      </c>
      <c r="F1865" s="99">
        <f t="shared" si="429"/>
        <v>0</v>
      </c>
      <c r="I1865" s="99">
        <f t="shared" si="428"/>
        <v>0</v>
      </c>
      <c r="L1865" s="99">
        <f t="shared" si="427"/>
        <v>0</v>
      </c>
      <c r="M1865" s="44" t="str">
        <f t="shared" si="415"/>
        <v/>
      </c>
      <c r="N1865" s="100">
        <f t="shared" si="416"/>
        <v>0</v>
      </c>
      <c r="O1865" s="101">
        <f t="shared" si="417"/>
        <v>0</v>
      </c>
      <c r="P1865" s="52">
        <f t="shared" si="418"/>
        <v>0</v>
      </c>
      <c r="Q1865" s="49">
        <v>116.88487613461319</v>
      </c>
      <c r="R1865">
        <v>2225</v>
      </c>
      <c r="S1865" s="50">
        <f t="shared" si="414"/>
        <v>71535.307499999995</v>
      </c>
      <c r="T1865" s="50">
        <f t="shared" si="419"/>
        <v>0</v>
      </c>
      <c r="U1865" s="58">
        <f t="shared" si="420"/>
        <v>0</v>
      </c>
      <c r="V1865" s="58">
        <f t="shared" si="421"/>
        <v>0</v>
      </c>
      <c r="W1865" s="58">
        <f t="shared" si="422"/>
        <v>0</v>
      </c>
      <c r="X1865" s="58">
        <f t="shared" si="423"/>
        <v>0</v>
      </c>
      <c r="Y1865" s="52">
        <f t="shared" si="424"/>
        <v>0</v>
      </c>
    </row>
    <row r="1866" spans="1:25" x14ac:dyDescent="0.25">
      <c r="A1866" s="1218" t="s">
        <v>152</v>
      </c>
      <c r="B1866" s="98">
        <v>45717</v>
      </c>
      <c r="C1866" s="117" t="str">
        <f t="shared" si="425"/>
        <v>6L</v>
      </c>
      <c r="F1866" s="99">
        <f t="shared" si="429"/>
        <v>0</v>
      </c>
      <c r="G1866" s="532">
        <f>'[8]Underground Breaking Plan'!$C$65</f>
        <v>3255</v>
      </c>
      <c r="H1866" s="534">
        <f>'[8]Underground Breaking Plan'!$C$66</f>
        <v>3.0901869158878479</v>
      </c>
      <c r="I1866" s="99">
        <f t="shared" si="428"/>
        <v>10.058558411214944</v>
      </c>
      <c r="J1866">
        <f>'March 25 D_R (Tramming)'!F75</f>
        <v>2814.1</v>
      </c>
      <c r="K1866" s="49">
        <f>'March 25 D_R (Tramming)'!F78</f>
        <v>2.6445158309939236</v>
      </c>
      <c r="L1866" s="99"/>
      <c r="M1866" s="44"/>
      <c r="N1866" s="100"/>
      <c r="O1866" s="101"/>
      <c r="P1866" s="52"/>
      <c r="Q1866" s="49"/>
      <c r="S1866" s="50"/>
      <c r="T1866" s="50"/>
      <c r="U1866" s="58"/>
      <c r="V1866" s="58"/>
      <c r="W1866" s="58"/>
      <c r="X1866" s="58"/>
      <c r="Y1866" s="52"/>
    </row>
    <row r="1867" spans="1:25" x14ac:dyDescent="0.25">
      <c r="A1867" s="1218" t="s">
        <v>153</v>
      </c>
      <c r="B1867" s="98">
        <v>45717</v>
      </c>
      <c r="C1867" s="117" t="str">
        <f t="shared" si="425"/>
        <v>6L</v>
      </c>
      <c r="F1867" s="99">
        <f t="shared" si="429"/>
        <v>0</v>
      </c>
      <c r="G1867" s="532">
        <f>'[8]Underground Breaking Plan'!$C$67</f>
        <v>2170</v>
      </c>
      <c r="H1867" s="534">
        <f>'[8]Underground Breaking Plan'!$C$68</f>
        <v>2.3116822429906541</v>
      </c>
      <c r="I1867" s="99">
        <f t="shared" si="428"/>
        <v>5.0163504672897199</v>
      </c>
      <c r="J1867">
        <f>'March 25 D_R (Tramming)'!F82</f>
        <v>2103.1</v>
      </c>
      <c r="K1867" s="49">
        <f>'March 25 D_R (Tramming)'!F85</f>
        <v>2.5423327468974373</v>
      </c>
      <c r="L1867" s="99"/>
      <c r="M1867" s="44"/>
      <c r="N1867" s="100"/>
      <c r="O1867" s="101"/>
      <c r="P1867" s="52"/>
      <c r="Q1867" s="49"/>
      <c r="S1867" s="50"/>
      <c r="T1867" s="50"/>
      <c r="U1867" s="58"/>
      <c r="V1867" s="58"/>
      <c r="W1867" s="58"/>
      <c r="X1867" s="58"/>
      <c r="Y1867" s="52"/>
    </row>
    <row r="1868" spans="1:25" x14ac:dyDescent="0.25">
      <c r="A1868" s="1218" t="s">
        <v>154</v>
      </c>
      <c r="B1868" s="98">
        <v>45717</v>
      </c>
      <c r="C1868" s="117" t="str">
        <f t="shared" si="425"/>
        <v>6L</v>
      </c>
      <c r="F1868" s="99">
        <f t="shared" si="429"/>
        <v>0</v>
      </c>
      <c r="I1868" s="99">
        <f t="shared" si="428"/>
        <v>0</v>
      </c>
      <c r="L1868" s="99"/>
      <c r="M1868" s="44"/>
      <c r="N1868" s="100"/>
      <c r="O1868" s="101"/>
      <c r="P1868" s="52"/>
      <c r="Q1868" s="49"/>
      <c r="S1868" s="50"/>
      <c r="T1868" s="50"/>
      <c r="U1868" s="58"/>
      <c r="V1868" s="58"/>
      <c r="W1868" s="58"/>
      <c r="X1868" s="58"/>
      <c r="Y1868" s="52"/>
    </row>
    <row r="1869" spans="1:25" x14ac:dyDescent="0.25">
      <c r="A1869" s="1218" t="s">
        <v>155</v>
      </c>
      <c r="B1869" s="98">
        <v>45717</v>
      </c>
      <c r="C1869" s="117" t="str">
        <f t="shared" si="425"/>
        <v>6L</v>
      </c>
      <c r="F1869" s="99">
        <f t="shared" si="429"/>
        <v>0</v>
      </c>
      <c r="I1869" s="99">
        <f t="shared" si="428"/>
        <v>0</v>
      </c>
      <c r="L1869" s="99">
        <f t="shared" si="427"/>
        <v>0</v>
      </c>
      <c r="M1869" s="44" t="str">
        <f t="shared" si="415"/>
        <v/>
      </c>
      <c r="N1869" s="100">
        <f t="shared" si="416"/>
        <v>0</v>
      </c>
      <c r="O1869" s="101">
        <f t="shared" si="417"/>
        <v>0</v>
      </c>
      <c r="P1869" s="52">
        <f t="shared" si="418"/>
        <v>0</v>
      </c>
      <c r="Q1869" s="49">
        <v>116.88487613461319</v>
      </c>
      <c r="R1869">
        <v>2225</v>
      </c>
      <c r="S1869" s="50">
        <f t="shared" si="414"/>
        <v>71535.307499999995</v>
      </c>
      <c r="T1869" s="50">
        <f t="shared" si="419"/>
        <v>0</v>
      </c>
      <c r="U1869" s="58">
        <f t="shared" si="420"/>
        <v>0</v>
      </c>
      <c r="V1869" s="58">
        <f t="shared" si="421"/>
        <v>0</v>
      </c>
      <c r="W1869" s="58">
        <f t="shared" si="422"/>
        <v>0</v>
      </c>
      <c r="X1869" s="58">
        <f t="shared" si="423"/>
        <v>0</v>
      </c>
      <c r="Y1869" s="52">
        <f t="shared" si="424"/>
        <v>0</v>
      </c>
    </row>
    <row r="1870" spans="1:25" x14ac:dyDescent="0.25">
      <c r="A1870" s="1218" t="s">
        <v>156</v>
      </c>
      <c r="B1870" s="98">
        <v>45717</v>
      </c>
      <c r="C1870" s="117" t="str">
        <f t="shared" si="425"/>
        <v>6L</v>
      </c>
      <c r="F1870" s="99">
        <f t="shared" si="429"/>
        <v>0</v>
      </c>
      <c r="I1870" s="99">
        <f t="shared" si="428"/>
        <v>0</v>
      </c>
      <c r="L1870" s="99"/>
      <c r="M1870" s="44"/>
      <c r="N1870" s="100"/>
      <c r="O1870" s="101"/>
      <c r="P1870" s="52"/>
      <c r="Q1870" s="49"/>
      <c r="S1870" s="50"/>
      <c r="T1870" s="50"/>
      <c r="U1870" s="58"/>
      <c r="V1870" s="58"/>
      <c r="W1870" s="58"/>
      <c r="X1870" s="58"/>
      <c r="Y1870" s="52"/>
    </row>
    <row r="1871" spans="1:25" x14ac:dyDescent="0.25">
      <c r="A1871" s="1218" t="s">
        <v>157</v>
      </c>
      <c r="B1871" s="98">
        <v>45717</v>
      </c>
      <c r="C1871" s="117" t="str">
        <f t="shared" si="425"/>
        <v>6L</v>
      </c>
      <c r="D1871" s="118">
        <v>945</v>
      </c>
      <c r="E1871">
        <v>2.41</v>
      </c>
      <c r="F1871" s="99">
        <f t="shared" si="429"/>
        <v>2.2774500000000004</v>
      </c>
      <c r="G1871" s="532">
        <f>'[8]Underground Breaking Plan'!$C$69</f>
        <v>2170</v>
      </c>
      <c r="H1871" s="534">
        <f>'[8]Underground Breaking Plan'!$C$70</f>
        <v>2.2560747663551406</v>
      </c>
      <c r="I1871" s="99">
        <f t="shared" si="428"/>
        <v>4.895682242990655</v>
      </c>
      <c r="J1871">
        <f>'March 25 D_R (Tramming)'!F89</f>
        <v>530.79999999999995</v>
      </c>
      <c r="K1871" s="49">
        <f>'March 25 D_R (Tramming)'!F92</f>
        <v>1.9271590052750567</v>
      </c>
      <c r="L1871" s="99">
        <f t="shared" ref="L1871:L1932" si="430">IFERROR(J1871*K1871/1000,"")</f>
        <v>1.0229360000000001</v>
      </c>
      <c r="M1871" s="44">
        <f t="shared" si="415"/>
        <v>-0.7910534325497578</v>
      </c>
      <c r="N1871" s="100">
        <f t="shared" si="416"/>
        <v>-1639.2</v>
      </c>
      <c r="O1871" s="101">
        <f t="shared" si="417"/>
        <v>-3.872746242990655</v>
      </c>
      <c r="P1871" s="52">
        <f t="shared" si="418"/>
        <v>11133.549060567326</v>
      </c>
      <c r="Q1871" s="49">
        <v>116.88487613461319</v>
      </c>
      <c r="R1871">
        <v>2225</v>
      </c>
      <c r="S1871" s="50">
        <f t="shared" ref="S1871:S1932" si="431">R1871*32.1507</f>
        <v>71535.307499999995</v>
      </c>
      <c r="T1871" s="50">
        <f t="shared" si="419"/>
        <v>350214.13467462623</v>
      </c>
      <c r="U1871" s="58">
        <f t="shared" si="420"/>
        <v>73176.041312820002</v>
      </c>
      <c r="V1871" s="58">
        <f t="shared" si="421"/>
        <v>253640.18121211062</v>
      </c>
      <c r="W1871" s="58">
        <f t="shared" si="422"/>
        <v>62042.492252252676</v>
      </c>
      <c r="X1871" s="58">
        <f t="shared" si="423"/>
        <v>96573.953462515608</v>
      </c>
      <c r="Y1871" s="52">
        <f t="shared" si="424"/>
        <v>11133.549060567326</v>
      </c>
    </row>
    <row r="1872" spans="1:25" x14ac:dyDescent="0.25">
      <c r="A1872" s="1218" t="s">
        <v>158</v>
      </c>
      <c r="B1872" s="98">
        <v>45717</v>
      </c>
      <c r="C1872" s="117" t="str">
        <f t="shared" si="425"/>
        <v>6L</v>
      </c>
      <c r="D1872" s="118">
        <v>1710</v>
      </c>
      <c r="E1872" s="64">
        <v>1.5451929824561406</v>
      </c>
      <c r="F1872" s="99">
        <f t="shared" si="429"/>
        <v>2.6422800000000004</v>
      </c>
      <c r="G1872" s="532">
        <f>'[8]Underground Breaking Plan'!$C$71</f>
        <v>4340</v>
      </c>
      <c r="H1872" s="534">
        <f>'[8]Underground Breaking Plan'!$C$72</f>
        <v>2.0098130841121482</v>
      </c>
      <c r="I1872" s="99">
        <f t="shared" si="428"/>
        <v>8.7225887850467227</v>
      </c>
      <c r="J1872">
        <f>'March 25 D_R (Tramming)'!F96</f>
        <v>5164.5999999999995</v>
      </c>
      <c r="K1872" s="49">
        <f>'March 25 D_R (Tramming)'!F99</f>
        <v>2.4794214459977546</v>
      </c>
      <c r="L1872" s="99">
        <f t="shared" si="430"/>
        <v>12.805220000000002</v>
      </c>
      <c r="M1872" s="44">
        <f t="shared" si="415"/>
        <v>0.46805269806507455</v>
      </c>
      <c r="N1872" s="100">
        <f t="shared" si="416"/>
        <v>824.59999999999945</v>
      </c>
      <c r="O1872" s="101">
        <f t="shared" si="417"/>
        <v>4.0826312149532793</v>
      </c>
      <c r="P1872" s="52">
        <f t="shared" si="418"/>
        <v>312361.71902032674</v>
      </c>
      <c r="Q1872" s="49">
        <v>116.88487613461319</v>
      </c>
      <c r="R1872">
        <v>2225</v>
      </c>
      <c r="S1872" s="50">
        <f t="shared" si="431"/>
        <v>71535.307499999995</v>
      </c>
      <c r="T1872" s="50">
        <f t="shared" si="419"/>
        <v>623973.07093436865</v>
      </c>
      <c r="U1872" s="58">
        <f t="shared" si="420"/>
        <v>916025.35030515003</v>
      </c>
      <c r="V1872" s="58">
        <f t="shared" si="421"/>
        <v>507280.36242422124</v>
      </c>
      <c r="W1872" s="58">
        <f t="shared" si="422"/>
        <v>603663.63128482329</v>
      </c>
      <c r="X1872" s="58">
        <f t="shared" si="423"/>
        <v>116692.70851014741</v>
      </c>
      <c r="Y1872" s="52">
        <f t="shared" si="424"/>
        <v>312361.71902032674</v>
      </c>
    </row>
    <row r="1873" spans="1:25" x14ac:dyDescent="0.25">
      <c r="A1873" s="1218" t="s">
        <v>159</v>
      </c>
      <c r="B1873" s="98">
        <v>45717</v>
      </c>
      <c r="C1873" s="117" t="str">
        <f t="shared" si="425"/>
        <v>6L</v>
      </c>
      <c r="F1873" s="99">
        <f t="shared" si="429"/>
        <v>0</v>
      </c>
      <c r="G1873" s="532">
        <f>'[8]Underground Breaking Plan'!$C$73</f>
        <v>1085</v>
      </c>
      <c r="H1873" s="534">
        <f>'[8]Underground Breaking Plan'!$C$74</f>
        <v>1.7238317757009356</v>
      </c>
      <c r="I1873" s="99">
        <f t="shared" si="428"/>
        <v>1.8703574766355151</v>
      </c>
      <c r="J1873">
        <f>'March 25 D_R (Tramming)'!F103</f>
        <v>54</v>
      </c>
      <c r="K1873" s="49">
        <f>'March 25 D_R (Tramming)'!F106</f>
        <v>5.9900000000000011</v>
      </c>
      <c r="L1873" s="99">
        <f t="shared" si="430"/>
        <v>0.32346000000000003</v>
      </c>
      <c r="M1873" s="44">
        <f t="shared" ref="M1873:M1934" si="432">IFERROR((L1873-I1873)/I1873,"")</f>
        <v>-0.82705979790459372</v>
      </c>
      <c r="N1873" s="100">
        <f t="shared" ref="N1873:N1934" si="433">J1873-G1873</f>
        <v>-1031</v>
      </c>
      <c r="O1873" s="101">
        <f t="shared" ref="O1873:O1934" si="434">L1873-I1873</f>
        <v>-1.546897476635515</v>
      </c>
      <c r="P1873" s="52">
        <f t="shared" ref="P1873:P1934" si="435">U1873-W1873</f>
        <v>16827.027252680888</v>
      </c>
      <c r="Q1873" s="49">
        <v>116.88487613461319</v>
      </c>
      <c r="R1873">
        <v>2225</v>
      </c>
      <c r="S1873" s="50">
        <f t="shared" si="431"/>
        <v>71535.307499999995</v>
      </c>
      <c r="T1873" s="50">
        <f t="shared" ref="T1873:T1934" si="436">IFERROR(S1873*I1873,"")</f>
        <v>133796.59722604562</v>
      </c>
      <c r="U1873" s="58">
        <f t="shared" ref="U1873:U1934" si="437">IFERROR(S1873*L1873,"")</f>
        <v>23138.810563949999</v>
      </c>
      <c r="V1873" s="58">
        <f t="shared" ref="V1873:V1934" si="438">IFERROR(Q1873*G1873,"")</f>
        <v>126820.09060605531</v>
      </c>
      <c r="W1873" s="58">
        <f t="shared" ref="W1873:W1934" si="439">IFERROR(Q1873*J1873,"")</f>
        <v>6311.7833112691123</v>
      </c>
      <c r="X1873" s="58">
        <f t="shared" ref="X1873:X1934" si="440">T1873-V1873</f>
        <v>6976.5066199903085</v>
      </c>
      <c r="Y1873" s="52">
        <f t="shared" ref="Y1873:Y1934" si="441">U1873-W1873</f>
        <v>16827.027252680888</v>
      </c>
    </row>
    <row r="1874" spans="1:25" x14ac:dyDescent="0.25">
      <c r="A1874" s="1218" t="s">
        <v>160</v>
      </c>
      <c r="B1874" s="98">
        <v>45717</v>
      </c>
      <c r="C1874" s="117" t="str">
        <f t="shared" ref="C1874:C1937" si="442">LEFT(A1874,2)</f>
        <v>6L</v>
      </c>
      <c r="D1874">
        <v>121</v>
      </c>
      <c r="E1874">
        <v>2.7</v>
      </c>
      <c r="F1874" s="99">
        <f t="shared" si="429"/>
        <v>0.32670000000000005</v>
      </c>
      <c r="I1874" s="99">
        <f t="shared" si="428"/>
        <v>0</v>
      </c>
      <c r="L1874" s="99">
        <f t="shared" si="430"/>
        <v>0</v>
      </c>
      <c r="M1874" s="44" t="str">
        <f t="shared" si="432"/>
        <v/>
      </c>
      <c r="N1874" s="100">
        <f t="shared" si="433"/>
        <v>0</v>
      </c>
      <c r="O1874" s="101">
        <f t="shared" si="434"/>
        <v>0</v>
      </c>
      <c r="P1874" s="52">
        <f t="shared" si="435"/>
        <v>0</v>
      </c>
      <c r="Q1874" s="49">
        <v>116.88487613461319</v>
      </c>
      <c r="R1874">
        <v>2225</v>
      </c>
      <c r="S1874" s="50">
        <f t="shared" si="431"/>
        <v>71535.307499999995</v>
      </c>
      <c r="T1874" s="50">
        <f t="shared" si="436"/>
        <v>0</v>
      </c>
      <c r="U1874" s="58">
        <f t="shared" si="437"/>
        <v>0</v>
      </c>
      <c r="V1874" s="58">
        <f t="shared" si="438"/>
        <v>0</v>
      </c>
      <c r="W1874" s="58">
        <f t="shared" si="439"/>
        <v>0</v>
      </c>
      <c r="X1874" s="58">
        <f t="shared" si="440"/>
        <v>0</v>
      </c>
      <c r="Y1874" s="52">
        <f t="shared" si="441"/>
        <v>0</v>
      </c>
    </row>
    <row r="1875" spans="1:25" x14ac:dyDescent="0.25">
      <c r="A1875" s="1218" t="s">
        <v>161</v>
      </c>
      <c r="B1875" s="98">
        <v>45717</v>
      </c>
      <c r="C1875" s="117" t="str">
        <f t="shared" si="442"/>
        <v>6L</v>
      </c>
      <c r="F1875" s="99">
        <f t="shared" si="429"/>
        <v>0</v>
      </c>
      <c r="I1875" s="99">
        <f t="shared" si="428"/>
        <v>0</v>
      </c>
      <c r="L1875" s="99">
        <f t="shared" si="430"/>
        <v>0</v>
      </c>
      <c r="M1875" s="44" t="str">
        <f t="shared" si="432"/>
        <v/>
      </c>
      <c r="N1875" s="100">
        <f t="shared" si="433"/>
        <v>0</v>
      </c>
      <c r="O1875" s="101">
        <f t="shared" si="434"/>
        <v>0</v>
      </c>
      <c r="P1875" s="52">
        <f t="shared" si="435"/>
        <v>0</v>
      </c>
      <c r="Q1875" s="49">
        <v>116.88487613461319</v>
      </c>
      <c r="R1875">
        <v>2225</v>
      </c>
      <c r="S1875" s="50">
        <f t="shared" si="431"/>
        <v>71535.307499999995</v>
      </c>
      <c r="T1875" s="50">
        <f t="shared" si="436"/>
        <v>0</v>
      </c>
      <c r="U1875" s="58">
        <f t="shared" si="437"/>
        <v>0</v>
      </c>
      <c r="V1875" s="58">
        <f t="shared" si="438"/>
        <v>0</v>
      </c>
      <c r="W1875" s="58">
        <f t="shared" si="439"/>
        <v>0</v>
      </c>
      <c r="X1875" s="58">
        <f t="shared" si="440"/>
        <v>0</v>
      </c>
      <c r="Y1875" s="52">
        <f t="shared" si="441"/>
        <v>0</v>
      </c>
    </row>
    <row r="1876" spans="1:25" x14ac:dyDescent="0.25">
      <c r="A1876" s="1218" t="s">
        <v>162</v>
      </c>
      <c r="B1876" s="98">
        <v>45717</v>
      </c>
      <c r="C1876" s="117" t="str">
        <f t="shared" si="442"/>
        <v>6L</v>
      </c>
      <c r="F1876" s="99">
        <f t="shared" si="429"/>
        <v>0</v>
      </c>
      <c r="I1876" s="99">
        <f t="shared" si="428"/>
        <v>0</v>
      </c>
      <c r="L1876" s="99">
        <f t="shared" si="430"/>
        <v>0</v>
      </c>
      <c r="M1876" s="44" t="str">
        <f t="shared" si="432"/>
        <v/>
      </c>
      <c r="N1876" s="100">
        <f t="shared" si="433"/>
        <v>0</v>
      </c>
      <c r="O1876" s="101">
        <f t="shared" si="434"/>
        <v>0</v>
      </c>
      <c r="P1876" s="52">
        <f t="shared" si="435"/>
        <v>0</v>
      </c>
      <c r="Q1876" s="49">
        <v>116.88487613461319</v>
      </c>
      <c r="R1876">
        <v>2225</v>
      </c>
      <c r="S1876" s="50">
        <f t="shared" si="431"/>
        <v>71535.307499999995</v>
      </c>
      <c r="T1876" s="50">
        <f t="shared" si="436"/>
        <v>0</v>
      </c>
      <c r="U1876" s="58">
        <f t="shared" si="437"/>
        <v>0</v>
      </c>
      <c r="V1876" s="58">
        <f t="shared" si="438"/>
        <v>0</v>
      </c>
      <c r="W1876" s="58">
        <f t="shared" si="439"/>
        <v>0</v>
      </c>
      <c r="X1876" s="58">
        <f t="shared" si="440"/>
        <v>0</v>
      </c>
      <c r="Y1876" s="52">
        <f t="shared" si="441"/>
        <v>0</v>
      </c>
    </row>
    <row r="1877" spans="1:25" x14ac:dyDescent="0.25">
      <c r="A1877" s="1218" t="s">
        <v>163</v>
      </c>
      <c r="B1877" s="98">
        <v>45717</v>
      </c>
      <c r="C1877" s="117" t="str">
        <f t="shared" si="442"/>
        <v>6L</v>
      </c>
      <c r="F1877" s="99">
        <f t="shared" si="429"/>
        <v>0</v>
      </c>
      <c r="I1877" s="99">
        <f t="shared" si="428"/>
        <v>0</v>
      </c>
      <c r="L1877" s="99">
        <f t="shared" si="430"/>
        <v>0</v>
      </c>
      <c r="M1877" s="44" t="str">
        <f t="shared" si="432"/>
        <v/>
      </c>
      <c r="N1877" s="100">
        <f t="shared" si="433"/>
        <v>0</v>
      </c>
      <c r="O1877" s="101">
        <f t="shared" si="434"/>
        <v>0</v>
      </c>
      <c r="P1877" s="52">
        <f t="shared" si="435"/>
        <v>0</v>
      </c>
      <c r="Q1877" s="49">
        <v>116.88487613461319</v>
      </c>
      <c r="R1877">
        <v>2225</v>
      </c>
      <c r="S1877" s="50">
        <f t="shared" si="431"/>
        <v>71535.307499999995</v>
      </c>
      <c r="T1877" s="50">
        <f t="shared" si="436"/>
        <v>0</v>
      </c>
      <c r="U1877" s="58">
        <f t="shared" si="437"/>
        <v>0</v>
      </c>
      <c r="V1877" s="58">
        <f t="shared" si="438"/>
        <v>0</v>
      </c>
      <c r="W1877" s="58">
        <f t="shared" si="439"/>
        <v>0</v>
      </c>
      <c r="X1877" s="58">
        <f t="shared" si="440"/>
        <v>0</v>
      </c>
      <c r="Y1877" s="52">
        <f t="shared" si="441"/>
        <v>0</v>
      </c>
    </row>
    <row r="1878" spans="1:25" x14ac:dyDescent="0.25">
      <c r="A1878" s="1218" t="s">
        <v>164</v>
      </c>
      <c r="B1878" s="98">
        <v>45717</v>
      </c>
      <c r="C1878" s="117" t="str">
        <f t="shared" si="442"/>
        <v>6L</v>
      </c>
      <c r="D1878">
        <v>1798</v>
      </c>
      <c r="E1878">
        <v>2.4500000000000002</v>
      </c>
      <c r="F1878" s="99">
        <f t="shared" si="429"/>
        <v>4.4051</v>
      </c>
      <c r="I1878" s="99">
        <f t="shared" si="428"/>
        <v>0</v>
      </c>
      <c r="L1878" s="99">
        <f t="shared" si="430"/>
        <v>0</v>
      </c>
      <c r="M1878" s="44" t="str">
        <f t="shared" si="432"/>
        <v/>
      </c>
      <c r="N1878" s="100">
        <f t="shared" si="433"/>
        <v>0</v>
      </c>
      <c r="O1878" s="101">
        <f t="shared" si="434"/>
        <v>0</v>
      </c>
      <c r="P1878" s="52">
        <f t="shared" si="435"/>
        <v>0</v>
      </c>
      <c r="Q1878" s="49">
        <v>116.88487613461319</v>
      </c>
      <c r="R1878">
        <v>2225</v>
      </c>
      <c r="S1878" s="50">
        <f t="shared" si="431"/>
        <v>71535.307499999995</v>
      </c>
      <c r="T1878" s="50">
        <f t="shared" si="436"/>
        <v>0</v>
      </c>
      <c r="U1878" s="58">
        <f t="shared" si="437"/>
        <v>0</v>
      </c>
      <c r="V1878" s="58">
        <f t="shared" si="438"/>
        <v>0</v>
      </c>
      <c r="W1878" s="58">
        <f t="shared" si="439"/>
        <v>0</v>
      </c>
      <c r="X1878" s="58">
        <f t="shared" si="440"/>
        <v>0</v>
      </c>
      <c r="Y1878" s="52">
        <f t="shared" si="441"/>
        <v>0</v>
      </c>
    </row>
    <row r="1879" spans="1:25" x14ac:dyDescent="0.25">
      <c r="A1879" s="1218" t="s">
        <v>165</v>
      </c>
      <c r="B1879" s="98">
        <v>45717</v>
      </c>
      <c r="C1879" s="117" t="str">
        <f t="shared" si="442"/>
        <v>6L</v>
      </c>
      <c r="F1879" s="99">
        <f t="shared" si="429"/>
        <v>0</v>
      </c>
      <c r="I1879" s="99">
        <f t="shared" si="428"/>
        <v>0</v>
      </c>
      <c r="L1879" s="99">
        <f t="shared" si="430"/>
        <v>0</v>
      </c>
      <c r="M1879" s="44" t="str">
        <f t="shared" si="432"/>
        <v/>
      </c>
      <c r="N1879" s="100">
        <f t="shared" si="433"/>
        <v>0</v>
      </c>
      <c r="O1879" s="101">
        <f t="shared" si="434"/>
        <v>0</v>
      </c>
      <c r="P1879" s="52">
        <f t="shared" si="435"/>
        <v>0</v>
      </c>
      <c r="Q1879" s="49">
        <v>116.88487613461319</v>
      </c>
      <c r="R1879">
        <v>2225</v>
      </c>
      <c r="S1879" s="50">
        <f t="shared" si="431"/>
        <v>71535.307499999995</v>
      </c>
      <c r="T1879" s="50">
        <f t="shared" si="436"/>
        <v>0</v>
      </c>
      <c r="U1879" s="58">
        <f t="shared" si="437"/>
        <v>0</v>
      </c>
      <c r="V1879" s="58">
        <f t="shared" si="438"/>
        <v>0</v>
      </c>
      <c r="W1879" s="58">
        <f t="shared" si="439"/>
        <v>0</v>
      </c>
      <c r="X1879" s="58">
        <f t="shared" si="440"/>
        <v>0</v>
      </c>
      <c r="Y1879" s="52">
        <f t="shared" si="441"/>
        <v>0</v>
      </c>
    </row>
    <row r="1880" spans="1:25" x14ac:dyDescent="0.25">
      <c r="A1880" s="1218" t="s">
        <v>166</v>
      </c>
      <c r="B1880" s="98">
        <v>45717</v>
      </c>
      <c r="C1880" s="117" t="str">
        <f t="shared" si="442"/>
        <v>6L</v>
      </c>
      <c r="F1880" s="99">
        <f t="shared" si="429"/>
        <v>0</v>
      </c>
      <c r="I1880" s="99">
        <f t="shared" si="428"/>
        <v>0</v>
      </c>
      <c r="L1880" s="99">
        <f t="shared" si="430"/>
        <v>0</v>
      </c>
      <c r="M1880" s="44" t="str">
        <f t="shared" si="432"/>
        <v/>
      </c>
      <c r="N1880" s="100">
        <f t="shared" si="433"/>
        <v>0</v>
      </c>
      <c r="O1880" s="101">
        <f t="shared" si="434"/>
        <v>0</v>
      </c>
      <c r="P1880" s="52">
        <f t="shared" si="435"/>
        <v>0</v>
      </c>
      <c r="Q1880" s="49">
        <v>116.88487613461319</v>
      </c>
      <c r="R1880">
        <v>2225</v>
      </c>
      <c r="S1880" s="50">
        <f t="shared" si="431"/>
        <v>71535.307499999995</v>
      </c>
      <c r="T1880" s="50">
        <f t="shared" si="436"/>
        <v>0</v>
      </c>
      <c r="U1880" s="58">
        <f t="shared" si="437"/>
        <v>0</v>
      </c>
      <c r="V1880" s="58">
        <f t="shared" si="438"/>
        <v>0</v>
      </c>
      <c r="W1880" s="58">
        <f t="shared" si="439"/>
        <v>0</v>
      </c>
      <c r="X1880" s="58">
        <f t="shared" si="440"/>
        <v>0</v>
      </c>
      <c r="Y1880" s="52">
        <f t="shared" si="441"/>
        <v>0</v>
      </c>
    </row>
    <row r="1881" spans="1:25" x14ac:dyDescent="0.25">
      <c r="A1881" s="1218" t="s">
        <v>167</v>
      </c>
      <c r="B1881" s="98">
        <v>45717</v>
      </c>
      <c r="C1881" s="117" t="str">
        <f t="shared" si="442"/>
        <v>6L</v>
      </c>
      <c r="F1881" s="99">
        <f t="shared" si="429"/>
        <v>0</v>
      </c>
      <c r="I1881" s="99">
        <f t="shared" si="428"/>
        <v>0</v>
      </c>
      <c r="L1881" s="99">
        <f t="shared" si="430"/>
        <v>0</v>
      </c>
      <c r="M1881" s="44" t="str">
        <f t="shared" si="432"/>
        <v/>
      </c>
      <c r="N1881" s="100">
        <f t="shared" si="433"/>
        <v>0</v>
      </c>
      <c r="O1881" s="101">
        <f t="shared" si="434"/>
        <v>0</v>
      </c>
      <c r="P1881" s="52">
        <f t="shared" si="435"/>
        <v>0</v>
      </c>
      <c r="Q1881" s="49">
        <v>116.88487613461319</v>
      </c>
      <c r="R1881">
        <v>2225</v>
      </c>
      <c r="S1881" s="50">
        <f t="shared" si="431"/>
        <v>71535.307499999995</v>
      </c>
      <c r="T1881" s="50">
        <f t="shared" si="436"/>
        <v>0</v>
      </c>
      <c r="U1881" s="58">
        <f t="shared" si="437"/>
        <v>0</v>
      </c>
      <c r="V1881" s="58">
        <f t="shared" si="438"/>
        <v>0</v>
      </c>
      <c r="W1881" s="58">
        <f t="shared" si="439"/>
        <v>0</v>
      </c>
      <c r="X1881" s="58">
        <f t="shared" si="440"/>
        <v>0</v>
      </c>
      <c r="Y1881" s="52">
        <f t="shared" si="441"/>
        <v>0</v>
      </c>
    </row>
    <row r="1882" spans="1:25" x14ac:dyDescent="0.25">
      <c r="A1882" s="1218" t="s">
        <v>168</v>
      </c>
      <c r="B1882" s="98">
        <v>45717</v>
      </c>
      <c r="C1882" s="117" t="str">
        <f t="shared" si="442"/>
        <v>6L</v>
      </c>
      <c r="F1882" s="99">
        <f t="shared" si="429"/>
        <v>0</v>
      </c>
      <c r="I1882" s="99">
        <f t="shared" si="428"/>
        <v>0</v>
      </c>
      <c r="L1882" s="99">
        <f t="shared" si="430"/>
        <v>0</v>
      </c>
      <c r="M1882" s="44" t="str">
        <f t="shared" si="432"/>
        <v/>
      </c>
      <c r="N1882" s="100">
        <f t="shared" si="433"/>
        <v>0</v>
      </c>
      <c r="O1882" s="101">
        <f t="shared" si="434"/>
        <v>0</v>
      </c>
      <c r="P1882" s="52">
        <f t="shared" si="435"/>
        <v>0</v>
      </c>
      <c r="Q1882" s="49">
        <v>116.88487613461319</v>
      </c>
      <c r="R1882">
        <v>2225</v>
      </c>
      <c r="S1882" s="50">
        <f t="shared" si="431"/>
        <v>71535.307499999995</v>
      </c>
      <c r="T1882" s="50">
        <f t="shared" si="436"/>
        <v>0</v>
      </c>
      <c r="U1882" s="58">
        <f t="shared" si="437"/>
        <v>0</v>
      </c>
      <c r="V1882" s="58">
        <f t="shared" si="438"/>
        <v>0</v>
      </c>
      <c r="W1882" s="58">
        <f t="shared" si="439"/>
        <v>0</v>
      </c>
      <c r="X1882" s="58">
        <f t="shared" si="440"/>
        <v>0</v>
      </c>
      <c r="Y1882" s="52">
        <f t="shared" si="441"/>
        <v>0</v>
      </c>
    </row>
    <row r="1883" spans="1:25" x14ac:dyDescent="0.25">
      <c r="A1883" s="1218" t="s">
        <v>169</v>
      </c>
      <c r="B1883" s="98">
        <v>45717</v>
      </c>
      <c r="C1883" s="117" t="str">
        <f t="shared" si="442"/>
        <v>6L</v>
      </c>
      <c r="F1883" s="99">
        <f t="shared" si="429"/>
        <v>0</v>
      </c>
      <c r="I1883" s="99">
        <f t="shared" si="428"/>
        <v>0</v>
      </c>
      <c r="L1883" s="99">
        <f t="shared" si="430"/>
        <v>0</v>
      </c>
      <c r="M1883" s="44" t="str">
        <f t="shared" si="432"/>
        <v/>
      </c>
      <c r="N1883" s="100">
        <f t="shared" si="433"/>
        <v>0</v>
      </c>
      <c r="O1883" s="101">
        <f t="shared" si="434"/>
        <v>0</v>
      </c>
      <c r="P1883" s="52">
        <f t="shared" si="435"/>
        <v>0</v>
      </c>
      <c r="Q1883" s="49">
        <v>116.88487613461319</v>
      </c>
      <c r="R1883">
        <v>2225</v>
      </c>
      <c r="S1883" s="50">
        <f t="shared" si="431"/>
        <v>71535.307499999995</v>
      </c>
      <c r="T1883" s="50">
        <f t="shared" si="436"/>
        <v>0</v>
      </c>
      <c r="U1883" s="58">
        <f t="shared" si="437"/>
        <v>0</v>
      </c>
      <c r="V1883" s="58">
        <f t="shared" si="438"/>
        <v>0</v>
      </c>
      <c r="W1883" s="58">
        <f t="shared" si="439"/>
        <v>0</v>
      </c>
      <c r="X1883" s="58">
        <f t="shared" si="440"/>
        <v>0</v>
      </c>
      <c r="Y1883" s="52">
        <f t="shared" si="441"/>
        <v>0</v>
      </c>
    </row>
    <row r="1884" spans="1:25" x14ac:dyDescent="0.25">
      <c r="A1884" s="1218" t="s">
        <v>170</v>
      </c>
      <c r="B1884" s="98">
        <v>45717</v>
      </c>
      <c r="C1884" s="117" t="str">
        <f t="shared" si="442"/>
        <v>6L</v>
      </c>
      <c r="F1884" s="99">
        <f t="shared" si="429"/>
        <v>0</v>
      </c>
      <c r="I1884" s="99">
        <f t="shared" si="428"/>
        <v>0</v>
      </c>
      <c r="L1884" s="99">
        <f t="shared" si="430"/>
        <v>0</v>
      </c>
      <c r="M1884" s="44" t="str">
        <f t="shared" si="432"/>
        <v/>
      </c>
      <c r="N1884" s="100">
        <f t="shared" si="433"/>
        <v>0</v>
      </c>
      <c r="O1884" s="101">
        <f t="shared" si="434"/>
        <v>0</v>
      </c>
      <c r="P1884" s="52">
        <f t="shared" si="435"/>
        <v>0</v>
      </c>
      <c r="Q1884" s="49">
        <v>116.88487613461319</v>
      </c>
      <c r="R1884">
        <v>2225</v>
      </c>
      <c r="S1884" s="50">
        <f t="shared" si="431"/>
        <v>71535.307499999995</v>
      </c>
      <c r="T1884" s="50">
        <f t="shared" si="436"/>
        <v>0</v>
      </c>
      <c r="U1884" s="58">
        <f t="shared" si="437"/>
        <v>0</v>
      </c>
      <c r="V1884" s="58">
        <f t="shared" si="438"/>
        <v>0</v>
      </c>
      <c r="W1884" s="58">
        <f t="shared" si="439"/>
        <v>0</v>
      </c>
      <c r="X1884" s="58">
        <f t="shared" si="440"/>
        <v>0</v>
      </c>
      <c r="Y1884" s="52">
        <f t="shared" si="441"/>
        <v>0</v>
      </c>
    </row>
    <row r="1885" spans="1:25" x14ac:dyDescent="0.25">
      <c r="A1885" s="1218" t="s">
        <v>171</v>
      </c>
      <c r="B1885" s="98">
        <v>45717</v>
      </c>
      <c r="C1885" s="117" t="str">
        <f t="shared" si="442"/>
        <v>6L</v>
      </c>
      <c r="F1885" s="99">
        <f t="shared" si="429"/>
        <v>0</v>
      </c>
      <c r="I1885" s="99">
        <f t="shared" si="428"/>
        <v>0</v>
      </c>
      <c r="L1885" s="99">
        <f t="shared" si="430"/>
        <v>0</v>
      </c>
      <c r="M1885" s="44" t="str">
        <f t="shared" si="432"/>
        <v/>
      </c>
      <c r="N1885" s="100">
        <f t="shared" si="433"/>
        <v>0</v>
      </c>
      <c r="O1885" s="101">
        <f t="shared" si="434"/>
        <v>0</v>
      </c>
      <c r="P1885" s="52">
        <f t="shared" si="435"/>
        <v>0</v>
      </c>
      <c r="Q1885" s="49">
        <v>116.88487613461319</v>
      </c>
      <c r="R1885">
        <v>2225</v>
      </c>
      <c r="S1885" s="50">
        <f t="shared" si="431"/>
        <v>71535.307499999995</v>
      </c>
      <c r="T1885" s="50">
        <f t="shared" si="436"/>
        <v>0</v>
      </c>
      <c r="U1885" s="58">
        <f t="shared" si="437"/>
        <v>0</v>
      </c>
      <c r="V1885" s="58">
        <f t="shared" si="438"/>
        <v>0</v>
      </c>
      <c r="W1885" s="58">
        <f t="shared" si="439"/>
        <v>0</v>
      </c>
      <c r="X1885" s="58">
        <f t="shared" si="440"/>
        <v>0</v>
      </c>
      <c r="Y1885" s="52">
        <f t="shared" si="441"/>
        <v>0</v>
      </c>
    </row>
    <row r="1886" spans="1:25" x14ac:dyDescent="0.25">
      <c r="A1886" s="1218" t="s">
        <v>172</v>
      </c>
      <c r="B1886" s="98">
        <v>45717</v>
      </c>
      <c r="C1886" s="117" t="str">
        <f t="shared" si="442"/>
        <v>6L</v>
      </c>
      <c r="F1886" s="99">
        <f t="shared" si="429"/>
        <v>0</v>
      </c>
      <c r="I1886" s="99">
        <f t="shared" si="428"/>
        <v>0</v>
      </c>
      <c r="L1886" s="99">
        <f t="shared" si="430"/>
        <v>0</v>
      </c>
      <c r="M1886" s="44" t="str">
        <f t="shared" si="432"/>
        <v/>
      </c>
      <c r="N1886" s="100">
        <f t="shared" si="433"/>
        <v>0</v>
      </c>
      <c r="O1886" s="101">
        <f t="shared" si="434"/>
        <v>0</v>
      </c>
      <c r="P1886" s="52">
        <f t="shared" si="435"/>
        <v>0</v>
      </c>
      <c r="Q1886" s="49">
        <v>116.88487613461319</v>
      </c>
      <c r="R1886">
        <v>2225</v>
      </c>
      <c r="S1886" s="50">
        <f t="shared" si="431"/>
        <v>71535.307499999995</v>
      </c>
      <c r="T1886" s="50">
        <f t="shared" si="436"/>
        <v>0</v>
      </c>
      <c r="U1886" s="58">
        <f t="shared" si="437"/>
        <v>0</v>
      </c>
      <c r="V1886" s="58">
        <f t="shared" si="438"/>
        <v>0</v>
      </c>
      <c r="W1886" s="58">
        <f t="shared" si="439"/>
        <v>0</v>
      </c>
      <c r="X1886" s="58">
        <f t="shared" si="440"/>
        <v>0</v>
      </c>
      <c r="Y1886" s="52">
        <f t="shared" si="441"/>
        <v>0</v>
      </c>
    </row>
    <row r="1887" spans="1:25" x14ac:dyDescent="0.25">
      <c r="A1887" s="1218" t="s">
        <v>173</v>
      </c>
      <c r="B1887" s="98">
        <v>45717</v>
      </c>
      <c r="C1887" s="117" t="str">
        <f t="shared" si="442"/>
        <v>6L</v>
      </c>
      <c r="F1887" s="99">
        <f t="shared" si="429"/>
        <v>0</v>
      </c>
      <c r="I1887" s="99">
        <f t="shared" si="428"/>
        <v>0</v>
      </c>
      <c r="L1887" s="99">
        <f t="shared" si="430"/>
        <v>0</v>
      </c>
      <c r="M1887" s="44" t="str">
        <f t="shared" si="432"/>
        <v/>
      </c>
      <c r="N1887" s="100">
        <f t="shared" si="433"/>
        <v>0</v>
      </c>
      <c r="O1887" s="101">
        <f t="shared" si="434"/>
        <v>0</v>
      </c>
      <c r="P1887" s="52">
        <f t="shared" si="435"/>
        <v>0</v>
      </c>
      <c r="Q1887" s="49">
        <v>116.88487613461319</v>
      </c>
      <c r="R1887">
        <v>2225</v>
      </c>
      <c r="S1887" s="50">
        <f t="shared" si="431"/>
        <v>71535.307499999995</v>
      </c>
      <c r="T1887" s="50">
        <f t="shared" si="436"/>
        <v>0</v>
      </c>
      <c r="U1887" s="58">
        <f t="shared" si="437"/>
        <v>0</v>
      </c>
      <c r="V1887" s="58">
        <f t="shared" si="438"/>
        <v>0</v>
      </c>
      <c r="W1887" s="58">
        <f t="shared" si="439"/>
        <v>0</v>
      </c>
      <c r="X1887" s="58">
        <f t="shared" si="440"/>
        <v>0</v>
      </c>
      <c r="Y1887" s="52">
        <f t="shared" si="441"/>
        <v>0</v>
      </c>
    </row>
    <row r="1888" spans="1:25" x14ac:dyDescent="0.25">
      <c r="A1888" s="1218" t="s">
        <v>174</v>
      </c>
      <c r="B1888" s="98">
        <v>45717</v>
      </c>
      <c r="C1888" s="117" t="str">
        <f t="shared" si="442"/>
        <v>6L</v>
      </c>
      <c r="D1888">
        <v>1036</v>
      </c>
      <c r="E1888">
        <v>2.0099999999999998</v>
      </c>
      <c r="F1888" s="99">
        <f t="shared" si="429"/>
        <v>2.0823599999999995</v>
      </c>
      <c r="I1888" s="99">
        <f t="shared" si="428"/>
        <v>0</v>
      </c>
      <c r="L1888" s="99">
        <f t="shared" si="430"/>
        <v>0</v>
      </c>
      <c r="M1888" s="44" t="str">
        <f t="shared" si="432"/>
        <v/>
      </c>
      <c r="N1888" s="100">
        <f t="shared" si="433"/>
        <v>0</v>
      </c>
      <c r="O1888" s="101">
        <f t="shared" si="434"/>
        <v>0</v>
      </c>
      <c r="P1888" s="52">
        <f t="shared" si="435"/>
        <v>0</v>
      </c>
      <c r="Q1888" s="49">
        <v>116.88487613461319</v>
      </c>
      <c r="R1888">
        <v>2225</v>
      </c>
      <c r="S1888" s="50">
        <f t="shared" si="431"/>
        <v>71535.307499999995</v>
      </c>
      <c r="T1888" s="50">
        <f t="shared" si="436"/>
        <v>0</v>
      </c>
      <c r="U1888" s="58">
        <f t="shared" si="437"/>
        <v>0</v>
      </c>
      <c r="V1888" s="58">
        <f t="shared" si="438"/>
        <v>0</v>
      </c>
      <c r="W1888" s="58">
        <f t="shared" si="439"/>
        <v>0</v>
      </c>
      <c r="X1888" s="58">
        <f t="shared" si="440"/>
        <v>0</v>
      </c>
      <c r="Y1888" s="52">
        <f t="shared" si="441"/>
        <v>0</v>
      </c>
    </row>
    <row r="1889" spans="1:25" x14ac:dyDescent="0.25">
      <c r="A1889" s="1218" t="s">
        <v>175</v>
      </c>
      <c r="B1889" s="98">
        <v>45717</v>
      </c>
      <c r="C1889" s="117" t="str">
        <f t="shared" si="442"/>
        <v>6L</v>
      </c>
      <c r="F1889" s="99">
        <f t="shared" si="429"/>
        <v>0</v>
      </c>
      <c r="I1889" s="99">
        <f t="shared" si="428"/>
        <v>0</v>
      </c>
      <c r="L1889" s="99">
        <f t="shared" si="430"/>
        <v>0</v>
      </c>
      <c r="M1889" s="44" t="str">
        <f t="shared" si="432"/>
        <v/>
      </c>
      <c r="N1889" s="100">
        <f t="shared" si="433"/>
        <v>0</v>
      </c>
      <c r="O1889" s="101">
        <f t="shared" si="434"/>
        <v>0</v>
      </c>
      <c r="P1889" s="52">
        <f t="shared" si="435"/>
        <v>0</v>
      </c>
      <c r="Q1889" s="49">
        <v>116.88487613461319</v>
      </c>
      <c r="R1889">
        <v>2225</v>
      </c>
      <c r="S1889" s="50">
        <f t="shared" si="431"/>
        <v>71535.307499999995</v>
      </c>
      <c r="T1889" s="50">
        <f t="shared" si="436"/>
        <v>0</v>
      </c>
      <c r="U1889" s="58">
        <f t="shared" si="437"/>
        <v>0</v>
      </c>
      <c r="V1889" s="58">
        <f t="shared" si="438"/>
        <v>0</v>
      </c>
      <c r="W1889" s="58">
        <f t="shared" si="439"/>
        <v>0</v>
      </c>
      <c r="X1889" s="58">
        <f t="shared" si="440"/>
        <v>0</v>
      </c>
      <c r="Y1889" s="52">
        <f t="shared" si="441"/>
        <v>0</v>
      </c>
    </row>
    <row r="1890" spans="1:25" x14ac:dyDescent="0.25">
      <c r="A1890" s="1218" t="s">
        <v>176</v>
      </c>
      <c r="B1890" s="98">
        <v>45717</v>
      </c>
      <c r="C1890" s="117" t="str">
        <f t="shared" si="442"/>
        <v>6L</v>
      </c>
      <c r="F1890" s="99">
        <f t="shared" si="429"/>
        <v>0</v>
      </c>
      <c r="I1890" s="99">
        <f t="shared" si="428"/>
        <v>0</v>
      </c>
      <c r="L1890" s="99">
        <f t="shared" si="430"/>
        <v>0</v>
      </c>
      <c r="M1890" s="44" t="str">
        <f t="shared" si="432"/>
        <v/>
      </c>
      <c r="N1890" s="100">
        <f t="shared" si="433"/>
        <v>0</v>
      </c>
      <c r="O1890" s="101">
        <f t="shared" si="434"/>
        <v>0</v>
      </c>
      <c r="P1890" s="52">
        <f t="shared" si="435"/>
        <v>0</v>
      </c>
      <c r="Q1890" s="49">
        <v>116.88487613461319</v>
      </c>
      <c r="R1890">
        <v>2225</v>
      </c>
      <c r="S1890" s="50">
        <f t="shared" si="431"/>
        <v>71535.307499999995</v>
      </c>
      <c r="T1890" s="50">
        <f t="shared" si="436"/>
        <v>0</v>
      </c>
      <c r="U1890" s="58">
        <f t="shared" si="437"/>
        <v>0</v>
      </c>
      <c r="V1890" s="58">
        <f t="shared" si="438"/>
        <v>0</v>
      </c>
      <c r="W1890" s="58">
        <f t="shared" si="439"/>
        <v>0</v>
      </c>
      <c r="X1890" s="58">
        <f t="shared" si="440"/>
        <v>0</v>
      </c>
      <c r="Y1890" s="52">
        <f t="shared" si="441"/>
        <v>0</v>
      </c>
    </row>
    <row r="1891" spans="1:25" x14ac:dyDescent="0.25">
      <c r="A1891" s="1218" t="s">
        <v>177</v>
      </c>
      <c r="B1891" s="98">
        <v>45717</v>
      </c>
      <c r="C1891" s="117" t="str">
        <f t="shared" si="442"/>
        <v>6L</v>
      </c>
      <c r="F1891" s="99">
        <f t="shared" si="429"/>
        <v>0</v>
      </c>
      <c r="I1891" s="99">
        <f t="shared" si="428"/>
        <v>0</v>
      </c>
      <c r="L1891" s="99">
        <f t="shared" si="430"/>
        <v>0</v>
      </c>
      <c r="M1891" s="44" t="str">
        <f t="shared" si="432"/>
        <v/>
      </c>
      <c r="N1891" s="100">
        <f t="shared" si="433"/>
        <v>0</v>
      </c>
      <c r="O1891" s="101">
        <f t="shared" si="434"/>
        <v>0</v>
      </c>
      <c r="P1891" s="52">
        <f t="shared" si="435"/>
        <v>0</v>
      </c>
      <c r="Q1891" s="49">
        <v>116.88487613461319</v>
      </c>
      <c r="R1891">
        <v>2225</v>
      </c>
      <c r="S1891" s="50">
        <f t="shared" si="431"/>
        <v>71535.307499999995</v>
      </c>
      <c r="T1891" s="50">
        <f t="shared" si="436"/>
        <v>0</v>
      </c>
      <c r="U1891" s="58">
        <f t="shared" si="437"/>
        <v>0</v>
      </c>
      <c r="V1891" s="58">
        <f t="shared" si="438"/>
        <v>0</v>
      </c>
      <c r="W1891" s="58">
        <f t="shared" si="439"/>
        <v>0</v>
      </c>
      <c r="X1891" s="58">
        <f t="shared" si="440"/>
        <v>0</v>
      </c>
      <c r="Y1891" s="52">
        <f t="shared" si="441"/>
        <v>0</v>
      </c>
    </row>
    <row r="1892" spans="1:25" x14ac:dyDescent="0.25">
      <c r="A1892" s="1218" t="s">
        <v>178</v>
      </c>
      <c r="B1892" s="98">
        <v>45717</v>
      </c>
      <c r="C1892" s="117" t="str">
        <f t="shared" si="442"/>
        <v>7L</v>
      </c>
      <c r="F1892" s="99">
        <f t="shared" si="429"/>
        <v>0</v>
      </c>
      <c r="I1892" s="99">
        <f t="shared" si="428"/>
        <v>0</v>
      </c>
      <c r="L1892" s="99">
        <f t="shared" si="430"/>
        <v>0</v>
      </c>
      <c r="M1892" s="44" t="str">
        <f t="shared" si="432"/>
        <v/>
      </c>
      <c r="N1892" s="100">
        <f t="shared" si="433"/>
        <v>0</v>
      </c>
      <c r="O1892" s="101">
        <f t="shared" si="434"/>
        <v>0</v>
      </c>
      <c r="P1892" s="52">
        <f t="shared" si="435"/>
        <v>0</v>
      </c>
      <c r="Q1892" s="49">
        <v>116.88487613461319</v>
      </c>
      <c r="R1892">
        <v>2225</v>
      </c>
      <c r="S1892" s="50">
        <f t="shared" si="431"/>
        <v>71535.307499999995</v>
      </c>
      <c r="T1892" s="50">
        <f t="shared" si="436"/>
        <v>0</v>
      </c>
      <c r="U1892" s="58">
        <f t="shared" si="437"/>
        <v>0</v>
      </c>
      <c r="V1892" s="58">
        <f t="shared" si="438"/>
        <v>0</v>
      </c>
      <c r="W1892" s="58">
        <f t="shared" si="439"/>
        <v>0</v>
      </c>
      <c r="X1892" s="58">
        <f t="shared" si="440"/>
        <v>0</v>
      </c>
      <c r="Y1892" s="52">
        <f t="shared" si="441"/>
        <v>0</v>
      </c>
    </row>
    <row r="1893" spans="1:25" x14ac:dyDescent="0.25">
      <c r="A1893" s="1218" t="s">
        <v>179</v>
      </c>
      <c r="B1893" s="98">
        <v>45717</v>
      </c>
      <c r="C1893" s="117" t="str">
        <f t="shared" si="442"/>
        <v>7L</v>
      </c>
      <c r="F1893" s="99">
        <f t="shared" si="429"/>
        <v>0</v>
      </c>
      <c r="I1893" s="99">
        <f t="shared" si="428"/>
        <v>0</v>
      </c>
      <c r="L1893" s="99">
        <f t="shared" si="430"/>
        <v>0</v>
      </c>
      <c r="M1893" s="44" t="str">
        <f t="shared" si="432"/>
        <v/>
      </c>
      <c r="N1893" s="100">
        <f t="shared" si="433"/>
        <v>0</v>
      </c>
      <c r="O1893" s="101">
        <f t="shared" si="434"/>
        <v>0</v>
      </c>
      <c r="P1893" s="52">
        <f t="shared" si="435"/>
        <v>0</v>
      </c>
      <c r="Q1893" s="49">
        <v>116.88487613461319</v>
      </c>
      <c r="R1893">
        <v>2225</v>
      </c>
      <c r="S1893" s="50">
        <f t="shared" si="431"/>
        <v>71535.307499999995</v>
      </c>
      <c r="T1893" s="50">
        <f t="shared" si="436"/>
        <v>0</v>
      </c>
      <c r="U1893" s="58">
        <f t="shared" si="437"/>
        <v>0</v>
      </c>
      <c r="V1893" s="58">
        <f t="shared" si="438"/>
        <v>0</v>
      </c>
      <c r="W1893" s="58">
        <f t="shared" si="439"/>
        <v>0</v>
      </c>
      <c r="X1893" s="58">
        <f t="shared" si="440"/>
        <v>0</v>
      </c>
      <c r="Y1893" s="52">
        <f t="shared" si="441"/>
        <v>0</v>
      </c>
    </row>
    <row r="1894" spans="1:25" x14ac:dyDescent="0.25">
      <c r="A1894" s="1218" t="s">
        <v>180</v>
      </c>
      <c r="B1894" s="98">
        <v>45717</v>
      </c>
      <c r="C1894" s="117" t="str">
        <f t="shared" si="442"/>
        <v>7L</v>
      </c>
      <c r="F1894" s="99">
        <f t="shared" si="429"/>
        <v>0</v>
      </c>
      <c r="I1894" s="99">
        <f t="shared" si="428"/>
        <v>0</v>
      </c>
      <c r="L1894" s="99">
        <f t="shared" si="430"/>
        <v>0</v>
      </c>
      <c r="M1894" s="44" t="str">
        <f t="shared" si="432"/>
        <v/>
      </c>
      <c r="N1894" s="100">
        <f t="shared" si="433"/>
        <v>0</v>
      </c>
      <c r="O1894" s="101">
        <f t="shared" si="434"/>
        <v>0</v>
      </c>
      <c r="P1894" s="52">
        <f t="shared" si="435"/>
        <v>0</v>
      </c>
      <c r="Q1894" s="49">
        <v>116.88487613461319</v>
      </c>
      <c r="R1894">
        <v>2225</v>
      </c>
      <c r="S1894" s="50">
        <f t="shared" si="431"/>
        <v>71535.307499999995</v>
      </c>
      <c r="T1894" s="50">
        <f t="shared" si="436"/>
        <v>0</v>
      </c>
      <c r="U1894" s="58">
        <f t="shared" si="437"/>
        <v>0</v>
      </c>
      <c r="V1894" s="58">
        <f t="shared" si="438"/>
        <v>0</v>
      </c>
      <c r="W1894" s="58">
        <f t="shared" si="439"/>
        <v>0</v>
      </c>
      <c r="X1894" s="58">
        <f t="shared" si="440"/>
        <v>0</v>
      </c>
      <c r="Y1894" s="52">
        <f t="shared" si="441"/>
        <v>0</v>
      </c>
    </row>
    <row r="1895" spans="1:25" x14ac:dyDescent="0.25">
      <c r="A1895" s="1218" t="s">
        <v>181</v>
      </c>
      <c r="B1895" s="98">
        <v>45717</v>
      </c>
      <c r="C1895" s="117" t="str">
        <f t="shared" si="442"/>
        <v>7L</v>
      </c>
      <c r="F1895" s="99">
        <f t="shared" si="429"/>
        <v>0</v>
      </c>
      <c r="I1895" s="99">
        <f t="shared" si="428"/>
        <v>0</v>
      </c>
      <c r="L1895" s="99">
        <f t="shared" si="430"/>
        <v>0</v>
      </c>
      <c r="M1895" s="44" t="str">
        <f t="shared" si="432"/>
        <v/>
      </c>
      <c r="N1895" s="100">
        <f t="shared" si="433"/>
        <v>0</v>
      </c>
      <c r="O1895" s="101">
        <f t="shared" si="434"/>
        <v>0</v>
      </c>
      <c r="P1895" s="52">
        <f t="shared" si="435"/>
        <v>0</v>
      </c>
      <c r="Q1895" s="49">
        <v>116.88487613461319</v>
      </c>
      <c r="R1895">
        <v>2225</v>
      </c>
      <c r="S1895" s="50">
        <f t="shared" si="431"/>
        <v>71535.307499999995</v>
      </c>
      <c r="T1895" s="50">
        <f t="shared" si="436"/>
        <v>0</v>
      </c>
      <c r="U1895" s="58">
        <f t="shared" si="437"/>
        <v>0</v>
      </c>
      <c r="V1895" s="58">
        <f t="shared" si="438"/>
        <v>0</v>
      </c>
      <c r="W1895" s="58">
        <f t="shared" si="439"/>
        <v>0</v>
      </c>
      <c r="X1895" s="58">
        <f t="shared" si="440"/>
        <v>0</v>
      </c>
      <c r="Y1895" s="52">
        <f t="shared" si="441"/>
        <v>0</v>
      </c>
    </row>
    <row r="1896" spans="1:25" x14ac:dyDescent="0.25">
      <c r="A1896" s="1218" t="s">
        <v>182</v>
      </c>
      <c r="B1896" s="98">
        <v>45717</v>
      </c>
      <c r="C1896" s="117" t="str">
        <f t="shared" si="442"/>
        <v>7L</v>
      </c>
      <c r="F1896" s="99">
        <f t="shared" si="429"/>
        <v>0</v>
      </c>
      <c r="I1896" s="99">
        <f t="shared" si="428"/>
        <v>0</v>
      </c>
      <c r="L1896" s="99">
        <f t="shared" si="430"/>
        <v>0</v>
      </c>
      <c r="M1896" s="44" t="str">
        <f t="shared" si="432"/>
        <v/>
      </c>
      <c r="N1896" s="100">
        <f t="shared" si="433"/>
        <v>0</v>
      </c>
      <c r="O1896" s="101">
        <f t="shared" si="434"/>
        <v>0</v>
      </c>
      <c r="P1896" s="52">
        <f t="shared" si="435"/>
        <v>0</v>
      </c>
      <c r="Q1896" s="49">
        <v>116.88487613461319</v>
      </c>
      <c r="R1896">
        <v>2225</v>
      </c>
      <c r="S1896" s="50">
        <f t="shared" si="431"/>
        <v>71535.307499999995</v>
      </c>
      <c r="T1896" s="50">
        <f t="shared" si="436"/>
        <v>0</v>
      </c>
      <c r="U1896" s="58">
        <f t="shared" si="437"/>
        <v>0</v>
      </c>
      <c r="V1896" s="58">
        <f t="shared" si="438"/>
        <v>0</v>
      </c>
      <c r="W1896" s="58">
        <f t="shared" si="439"/>
        <v>0</v>
      </c>
      <c r="X1896" s="58">
        <f t="shared" si="440"/>
        <v>0</v>
      </c>
      <c r="Y1896" s="52">
        <f t="shared" si="441"/>
        <v>0</v>
      </c>
    </row>
    <row r="1897" spans="1:25" x14ac:dyDescent="0.25">
      <c r="A1897" s="1218" t="s">
        <v>183</v>
      </c>
      <c r="B1897" s="98">
        <v>45717</v>
      </c>
      <c r="C1897" s="117" t="str">
        <f t="shared" si="442"/>
        <v>7L</v>
      </c>
      <c r="F1897" s="99">
        <f t="shared" si="429"/>
        <v>0</v>
      </c>
      <c r="I1897" s="99">
        <f t="shared" si="428"/>
        <v>0</v>
      </c>
      <c r="L1897" s="99">
        <f t="shared" si="430"/>
        <v>0</v>
      </c>
      <c r="M1897" s="44" t="str">
        <f t="shared" si="432"/>
        <v/>
      </c>
      <c r="N1897" s="100">
        <f t="shared" si="433"/>
        <v>0</v>
      </c>
      <c r="O1897" s="101">
        <f t="shared" si="434"/>
        <v>0</v>
      </c>
      <c r="P1897" s="52">
        <f t="shared" si="435"/>
        <v>0</v>
      </c>
      <c r="Q1897" s="49">
        <v>116.88487613461319</v>
      </c>
      <c r="R1897">
        <v>2225</v>
      </c>
      <c r="S1897" s="50">
        <f t="shared" si="431"/>
        <v>71535.307499999995</v>
      </c>
      <c r="T1897" s="50">
        <f t="shared" si="436"/>
        <v>0</v>
      </c>
      <c r="U1897" s="58">
        <f t="shared" si="437"/>
        <v>0</v>
      </c>
      <c r="V1897" s="58">
        <f t="shared" si="438"/>
        <v>0</v>
      </c>
      <c r="W1897" s="58">
        <f t="shared" si="439"/>
        <v>0</v>
      </c>
      <c r="X1897" s="58">
        <f t="shared" si="440"/>
        <v>0</v>
      </c>
      <c r="Y1897" s="52">
        <f t="shared" si="441"/>
        <v>0</v>
      </c>
    </row>
    <row r="1898" spans="1:25" x14ac:dyDescent="0.25">
      <c r="A1898" s="1218" t="s">
        <v>184</v>
      </c>
      <c r="B1898" s="98">
        <v>45717</v>
      </c>
      <c r="C1898" s="117" t="str">
        <f t="shared" si="442"/>
        <v>7L</v>
      </c>
      <c r="F1898" s="99">
        <f t="shared" si="429"/>
        <v>0</v>
      </c>
      <c r="I1898" s="99">
        <f t="shared" si="428"/>
        <v>0</v>
      </c>
      <c r="L1898" s="99">
        <f t="shared" si="430"/>
        <v>0</v>
      </c>
      <c r="M1898" s="44" t="str">
        <f t="shared" si="432"/>
        <v/>
      </c>
      <c r="N1898" s="100">
        <f t="shared" si="433"/>
        <v>0</v>
      </c>
      <c r="O1898" s="101">
        <f t="shared" si="434"/>
        <v>0</v>
      </c>
      <c r="P1898" s="52">
        <f t="shared" si="435"/>
        <v>0</v>
      </c>
      <c r="Q1898" s="49">
        <v>116.88487613461319</v>
      </c>
      <c r="R1898">
        <v>2225</v>
      </c>
      <c r="S1898" s="50">
        <f t="shared" si="431"/>
        <v>71535.307499999995</v>
      </c>
      <c r="T1898" s="50">
        <f t="shared" si="436"/>
        <v>0</v>
      </c>
      <c r="U1898" s="58">
        <f t="shared" si="437"/>
        <v>0</v>
      </c>
      <c r="V1898" s="58">
        <f t="shared" si="438"/>
        <v>0</v>
      </c>
      <c r="W1898" s="58">
        <f t="shared" si="439"/>
        <v>0</v>
      </c>
      <c r="X1898" s="58">
        <f t="shared" si="440"/>
        <v>0</v>
      </c>
      <c r="Y1898" s="52">
        <f t="shared" si="441"/>
        <v>0</v>
      </c>
    </row>
    <row r="1899" spans="1:25" x14ac:dyDescent="0.25">
      <c r="A1899" s="1218" t="s">
        <v>185</v>
      </c>
      <c r="B1899" s="98">
        <v>45717</v>
      </c>
      <c r="C1899" s="117" t="str">
        <f t="shared" si="442"/>
        <v>7L</v>
      </c>
      <c r="F1899" s="99">
        <f t="shared" si="429"/>
        <v>0</v>
      </c>
      <c r="I1899" s="99">
        <f t="shared" si="428"/>
        <v>0</v>
      </c>
      <c r="L1899" s="99">
        <f t="shared" si="430"/>
        <v>0</v>
      </c>
      <c r="M1899" s="44" t="str">
        <f t="shared" si="432"/>
        <v/>
      </c>
      <c r="N1899" s="100">
        <f t="shared" si="433"/>
        <v>0</v>
      </c>
      <c r="O1899" s="101">
        <f t="shared" si="434"/>
        <v>0</v>
      </c>
      <c r="P1899" s="52">
        <f t="shared" si="435"/>
        <v>0</v>
      </c>
      <c r="Q1899" s="49">
        <v>116.88487613461319</v>
      </c>
      <c r="R1899">
        <v>2225</v>
      </c>
      <c r="S1899" s="50">
        <f t="shared" si="431"/>
        <v>71535.307499999995</v>
      </c>
      <c r="T1899" s="50">
        <f t="shared" si="436"/>
        <v>0</v>
      </c>
      <c r="U1899" s="58">
        <f t="shared" si="437"/>
        <v>0</v>
      </c>
      <c r="V1899" s="58">
        <f t="shared" si="438"/>
        <v>0</v>
      </c>
      <c r="W1899" s="58">
        <f t="shared" si="439"/>
        <v>0</v>
      </c>
      <c r="X1899" s="58">
        <f t="shared" si="440"/>
        <v>0</v>
      </c>
      <c r="Y1899" s="52">
        <f t="shared" si="441"/>
        <v>0</v>
      </c>
    </row>
    <row r="1900" spans="1:25" x14ac:dyDescent="0.25">
      <c r="A1900" s="1218" t="s">
        <v>186</v>
      </c>
      <c r="B1900" s="98">
        <v>45717</v>
      </c>
      <c r="C1900" s="117" t="str">
        <f t="shared" si="442"/>
        <v>7L</v>
      </c>
      <c r="F1900" s="99">
        <f t="shared" si="429"/>
        <v>0</v>
      </c>
      <c r="I1900" s="99">
        <f t="shared" si="428"/>
        <v>0</v>
      </c>
      <c r="L1900" s="99">
        <f t="shared" si="430"/>
        <v>0</v>
      </c>
      <c r="M1900" s="44" t="str">
        <f t="shared" si="432"/>
        <v/>
      </c>
      <c r="N1900" s="100">
        <f t="shared" si="433"/>
        <v>0</v>
      </c>
      <c r="O1900" s="101">
        <f t="shared" si="434"/>
        <v>0</v>
      </c>
      <c r="P1900" s="52">
        <f t="shared" si="435"/>
        <v>0</v>
      </c>
      <c r="Q1900" s="49">
        <v>116.88487613461319</v>
      </c>
      <c r="R1900">
        <v>2225</v>
      </c>
      <c r="S1900" s="50">
        <f t="shared" si="431"/>
        <v>71535.307499999995</v>
      </c>
      <c r="T1900" s="50">
        <f t="shared" si="436"/>
        <v>0</v>
      </c>
      <c r="U1900" s="58">
        <f t="shared" si="437"/>
        <v>0</v>
      </c>
      <c r="V1900" s="58">
        <f t="shared" si="438"/>
        <v>0</v>
      </c>
      <c r="W1900" s="58">
        <f t="shared" si="439"/>
        <v>0</v>
      </c>
      <c r="X1900" s="58">
        <f t="shared" si="440"/>
        <v>0</v>
      </c>
      <c r="Y1900" s="52">
        <f t="shared" si="441"/>
        <v>0</v>
      </c>
    </row>
    <row r="1901" spans="1:25" x14ac:dyDescent="0.25">
      <c r="A1901" s="1218" t="s">
        <v>187</v>
      </c>
      <c r="B1901" s="98">
        <v>45717</v>
      </c>
      <c r="C1901" s="117" t="str">
        <f t="shared" si="442"/>
        <v>7L</v>
      </c>
      <c r="F1901" s="99">
        <f t="shared" si="429"/>
        <v>0</v>
      </c>
      <c r="I1901" s="99">
        <f t="shared" si="428"/>
        <v>0</v>
      </c>
      <c r="L1901" s="99">
        <f t="shared" si="430"/>
        <v>0</v>
      </c>
      <c r="M1901" s="44" t="str">
        <f t="shared" si="432"/>
        <v/>
      </c>
      <c r="N1901" s="100">
        <f t="shared" si="433"/>
        <v>0</v>
      </c>
      <c r="O1901" s="101">
        <f t="shared" si="434"/>
        <v>0</v>
      </c>
      <c r="P1901" s="52">
        <f t="shared" si="435"/>
        <v>0</v>
      </c>
      <c r="Q1901" s="49">
        <v>116.88487613461319</v>
      </c>
      <c r="R1901">
        <v>2225</v>
      </c>
      <c r="S1901" s="50">
        <f t="shared" si="431"/>
        <v>71535.307499999995</v>
      </c>
      <c r="T1901" s="50">
        <f t="shared" si="436"/>
        <v>0</v>
      </c>
      <c r="U1901" s="58">
        <f t="shared" si="437"/>
        <v>0</v>
      </c>
      <c r="V1901" s="58">
        <f t="shared" si="438"/>
        <v>0</v>
      </c>
      <c r="W1901" s="58">
        <f t="shared" si="439"/>
        <v>0</v>
      </c>
      <c r="X1901" s="58">
        <f t="shared" si="440"/>
        <v>0</v>
      </c>
      <c r="Y1901" s="52">
        <f t="shared" si="441"/>
        <v>0</v>
      </c>
    </row>
    <row r="1902" spans="1:25" x14ac:dyDescent="0.25">
      <c r="A1902" s="1218" t="s">
        <v>188</v>
      </c>
      <c r="B1902" s="98">
        <v>45717</v>
      </c>
      <c r="C1902" s="117" t="str">
        <f t="shared" si="442"/>
        <v>7L</v>
      </c>
      <c r="F1902" s="99">
        <f t="shared" si="429"/>
        <v>0</v>
      </c>
      <c r="I1902" s="99">
        <f t="shared" si="428"/>
        <v>0</v>
      </c>
      <c r="L1902" s="99">
        <f t="shared" si="430"/>
        <v>0</v>
      </c>
      <c r="M1902" s="44" t="str">
        <f t="shared" si="432"/>
        <v/>
      </c>
      <c r="N1902" s="100">
        <f t="shared" si="433"/>
        <v>0</v>
      </c>
      <c r="O1902" s="101">
        <f t="shared" si="434"/>
        <v>0</v>
      </c>
      <c r="P1902" s="52">
        <f t="shared" si="435"/>
        <v>0</v>
      </c>
      <c r="Q1902" s="49">
        <v>116.88487613461319</v>
      </c>
      <c r="R1902">
        <v>2225</v>
      </c>
      <c r="S1902" s="50">
        <f t="shared" si="431"/>
        <v>71535.307499999995</v>
      </c>
      <c r="T1902" s="50">
        <f t="shared" si="436"/>
        <v>0</v>
      </c>
      <c r="U1902" s="58">
        <f t="shared" si="437"/>
        <v>0</v>
      </c>
      <c r="V1902" s="58">
        <f t="shared" si="438"/>
        <v>0</v>
      </c>
      <c r="W1902" s="58">
        <f t="shared" si="439"/>
        <v>0</v>
      </c>
      <c r="X1902" s="58">
        <f t="shared" si="440"/>
        <v>0</v>
      </c>
      <c r="Y1902" s="52">
        <f t="shared" si="441"/>
        <v>0</v>
      </c>
    </row>
    <row r="1903" spans="1:25" x14ac:dyDescent="0.25">
      <c r="A1903" s="1218" t="s">
        <v>189</v>
      </c>
      <c r="B1903" s="98">
        <v>45717</v>
      </c>
      <c r="C1903" s="117" t="str">
        <f t="shared" si="442"/>
        <v>7L</v>
      </c>
      <c r="F1903" s="99">
        <f t="shared" si="429"/>
        <v>0</v>
      </c>
      <c r="I1903" s="99">
        <f t="shared" si="428"/>
        <v>0</v>
      </c>
      <c r="L1903" s="99">
        <f t="shared" si="430"/>
        <v>0</v>
      </c>
      <c r="M1903" s="44" t="str">
        <f t="shared" si="432"/>
        <v/>
      </c>
      <c r="N1903" s="100">
        <f t="shared" si="433"/>
        <v>0</v>
      </c>
      <c r="O1903" s="101">
        <f t="shared" si="434"/>
        <v>0</v>
      </c>
      <c r="P1903" s="52">
        <f t="shared" si="435"/>
        <v>0</v>
      </c>
      <c r="Q1903" s="49">
        <v>116.88487613461319</v>
      </c>
      <c r="R1903">
        <v>2225</v>
      </c>
      <c r="S1903" s="50">
        <f t="shared" si="431"/>
        <v>71535.307499999995</v>
      </c>
      <c r="T1903" s="50">
        <f t="shared" si="436"/>
        <v>0</v>
      </c>
      <c r="U1903" s="58">
        <f t="shared" si="437"/>
        <v>0</v>
      </c>
      <c r="V1903" s="58">
        <f t="shared" si="438"/>
        <v>0</v>
      </c>
      <c r="W1903" s="58">
        <f t="shared" si="439"/>
        <v>0</v>
      </c>
      <c r="X1903" s="58">
        <f t="shared" si="440"/>
        <v>0</v>
      </c>
      <c r="Y1903" s="52">
        <f t="shared" si="441"/>
        <v>0</v>
      </c>
    </row>
    <row r="1904" spans="1:25" x14ac:dyDescent="0.25">
      <c r="A1904" s="1218" t="s">
        <v>190</v>
      </c>
      <c r="B1904" s="98">
        <v>45717</v>
      </c>
      <c r="C1904" s="117" t="str">
        <f t="shared" si="442"/>
        <v>8L</v>
      </c>
      <c r="F1904" s="99">
        <f t="shared" si="429"/>
        <v>0</v>
      </c>
      <c r="I1904" s="99">
        <f t="shared" si="428"/>
        <v>0</v>
      </c>
      <c r="L1904" s="99">
        <f t="shared" si="430"/>
        <v>0</v>
      </c>
      <c r="M1904" s="44" t="str">
        <f t="shared" si="432"/>
        <v/>
      </c>
      <c r="N1904" s="100">
        <f t="shared" si="433"/>
        <v>0</v>
      </c>
      <c r="O1904" s="101">
        <f t="shared" si="434"/>
        <v>0</v>
      </c>
      <c r="P1904" s="52">
        <f t="shared" si="435"/>
        <v>0</v>
      </c>
      <c r="Q1904" s="49">
        <v>116.88487613461319</v>
      </c>
      <c r="R1904">
        <v>2225</v>
      </c>
      <c r="S1904" s="50">
        <f t="shared" si="431"/>
        <v>71535.307499999995</v>
      </c>
      <c r="T1904" s="50">
        <f t="shared" si="436"/>
        <v>0</v>
      </c>
      <c r="U1904" s="58">
        <f t="shared" si="437"/>
        <v>0</v>
      </c>
      <c r="V1904" s="58">
        <f t="shared" si="438"/>
        <v>0</v>
      </c>
      <c r="W1904" s="58">
        <f t="shared" si="439"/>
        <v>0</v>
      </c>
      <c r="X1904" s="58">
        <f t="shared" si="440"/>
        <v>0</v>
      </c>
      <c r="Y1904" s="52">
        <f t="shared" si="441"/>
        <v>0</v>
      </c>
    </row>
    <row r="1905" spans="1:25" x14ac:dyDescent="0.25">
      <c r="A1905" s="1218" t="s">
        <v>191</v>
      </c>
      <c r="B1905" s="98">
        <v>45717</v>
      </c>
      <c r="C1905" s="117" t="str">
        <f t="shared" si="442"/>
        <v>8L</v>
      </c>
      <c r="F1905" s="99">
        <f t="shared" si="429"/>
        <v>0</v>
      </c>
      <c r="I1905" s="99">
        <f t="shared" si="428"/>
        <v>0</v>
      </c>
      <c r="L1905" s="99">
        <f t="shared" si="430"/>
        <v>0</v>
      </c>
      <c r="M1905" s="44" t="str">
        <f t="shared" si="432"/>
        <v/>
      </c>
      <c r="N1905" s="100">
        <f t="shared" si="433"/>
        <v>0</v>
      </c>
      <c r="O1905" s="101">
        <f t="shared" si="434"/>
        <v>0</v>
      </c>
      <c r="P1905" s="52">
        <f t="shared" si="435"/>
        <v>0</v>
      </c>
      <c r="Q1905" s="49">
        <v>116.88487613461319</v>
      </c>
      <c r="R1905">
        <v>2225</v>
      </c>
      <c r="S1905" s="50">
        <f t="shared" si="431"/>
        <v>71535.307499999995</v>
      </c>
      <c r="T1905" s="50">
        <f t="shared" si="436"/>
        <v>0</v>
      </c>
      <c r="U1905" s="58">
        <f t="shared" si="437"/>
        <v>0</v>
      </c>
      <c r="V1905" s="58">
        <f t="shared" si="438"/>
        <v>0</v>
      </c>
      <c r="W1905" s="58">
        <f t="shared" si="439"/>
        <v>0</v>
      </c>
      <c r="X1905" s="58">
        <f t="shared" si="440"/>
        <v>0</v>
      </c>
      <c r="Y1905" s="52">
        <f t="shared" si="441"/>
        <v>0</v>
      </c>
    </row>
    <row r="1906" spans="1:25" x14ac:dyDescent="0.25">
      <c r="A1906" s="1218" t="s">
        <v>192</v>
      </c>
      <c r="B1906" s="98">
        <v>45717</v>
      </c>
      <c r="C1906" s="117" t="str">
        <f t="shared" si="442"/>
        <v>8L</v>
      </c>
      <c r="F1906" s="99">
        <f t="shared" si="429"/>
        <v>0</v>
      </c>
      <c r="I1906" s="99">
        <f t="shared" si="428"/>
        <v>0</v>
      </c>
      <c r="L1906" s="99">
        <f t="shared" si="430"/>
        <v>0</v>
      </c>
      <c r="M1906" s="44" t="str">
        <f t="shared" si="432"/>
        <v/>
      </c>
      <c r="N1906" s="100">
        <f t="shared" si="433"/>
        <v>0</v>
      </c>
      <c r="O1906" s="101">
        <f t="shared" si="434"/>
        <v>0</v>
      </c>
      <c r="P1906" s="52">
        <f t="shared" si="435"/>
        <v>0</v>
      </c>
      <c r="Q1906" s="49">
        <v>116.88487613461319</v>
      </c>
      <c r="R1906">
        <v>2225</v>
      </c>
      <c r="S1906" s="50">
        <f t="shared" si="431"/>
        <v>71535.307499999995</v>
      </c>
      <c r="T1906" s="50">
        <f t="shared" si="436"/>
        <v>0</v>
      </c>
      <c r="U1906" s="58">
        <f t="shared" si="437"/>
        <v>0</v>
      </c>
      <c r="V1906" s="58">
        <f t="shared" si="438"/>
        <v>0</v>
      </c>
      <c r="W1906" s="58">
        <f t="shared" si="439"/>
        <v>0</v>
      </c>
      <c r="X1906" s="58">
        <f t="shared" si="440"/>
        <v>0</v>
      </c>
      <c r="Y1906" s="52">
        <f t="shared" si="441"/>
        <v>0</v>
      </c>
    </row>
    <row r="1907" spans="1:25" x14ac:dyDescent="0.25">
      <c r="A1907" s="1218" t="s">
        <v>193</v>
      </c>
      <c r="B1907" s="98">
        <v>45717</v>
      </c>
      <c r="C1907" s="117" t="str">
        <f t="shared" si="442"/>
        <v>8L</v>
      </c>
      <c r="F1907" s="99">
        <f t="shared" si="429"/>
        <v>0</v>
      </c>
      <c r="I1907" s="99">
        <f t="shared" si="428"/>
        <v>0</v>
      </c>
      <c r="L1907" s="99">
        <f t="shared" si="430"/>
        <v>0</v>
      </c>
      <c r="M1907" s="44" t="str">
        <f t="shared" si="432"/>
        <v/>
      </c>
      <c r="N1907" s="100">
        <f t="shared" si="433"/>
        <v>0</v>
      </c>
      <c r="O1907" s="101">
        <f t="shared" si="434"/>
        <v>0</v>
      </c>
      <c r="P1907" s="52">
        <f t="shared" si="435"/>
        <v>0</v>
      </c>
      <c r="Q1907" s="49">
        <v>116.88487613461319</v>
      </c>
      <c r="R1907">
        <v>2225</v>
      </c>
      <c r="S1907" s="50">
        <f t="shared" si="431"/>
        <v>71535.307499999995</v>
      </c>
      <c r="T1907" s="50">
        <f t="shared" si="436"/>
        <v>0</v>
      </c>
      <c r="U1907" s="58">
        <f t="shared" si="437"/>
        <v>0</v>
      </c>
      <c r="V1907" s="58">
        <f t="shared" si="438"/>
        <v>0</v>
      </c>
      <c r="W1907" s="58">
        <f t="shared" si="439"/>
        <v>0</v>
      </c>
      <c r="X1907" s="58">
        <f t="shared" si="440"/>
        <v>0</v>
      </c>
      <c r="Y1907" s="52">
        <f t="shared" si="441"/>
        <v>0</v>
      </c>
    </row>
    <row r="1908" spans="1:25" x14ac:dyDescent="0.25">
      <c r="A1908" s="1218" t="s">
        <v>194</v>
      </c>
      <c r="B1908" s="98">
        <v>45717</v>
      </c>
      <c r="C1908" s="117" t="str">
        <f t="shared" si="442"/>
        <v>8L</v>
      </c>
      <c r="F1908" s="99">
        <f t="shared" si="429"/>
        <v>0</v>
      </c>
      <c r="I1908" s="99">
        <f t="shared" si="428"/>
        <v>0</v>
      </c>
      <c r="L1908" s="99">
        <f t="shared" si="430"/>
        <v>0</v>
      </c>
      <c r="M1908" s="44" t="str">
        <f t="shared" si="432"/>
        <v/>
      </c>
      <c r="N1908" s="100">
        <f t="shared" si="433"/>
        <v>0</v>
      </c>
      <c r="O1908" s="101">
        <f t="shared" si="434"/>
        <v>0</v>
      </c>
      <c r="P1908" s="52">
        <f t="shared" si="435"/>
        <v>0</v>
      </c>
      <c r="Q1908" s="49">
        <v>116.88487613461319</v>
      </c>
      <c r="R1908">
        <v>2225</v>
      </c>
      <c r="S1908" s="50">
        <f t="shared" si="431"/>
        <v>71535.307499999995</v>
      </c>
      <c r="T1908" s="50">
        <f t="shared" si="436"/>
        <v>0</v>
      </c>
      <c r="U1908" s="58">
        <f t="shared" si="437"/>
        <v>0</v>
      </c>
      <c r="V1908" s="58">
        <f t="shared" si="438"/>
        <v>0</v>
      </c>
      <c r="W1908" s="58">
        <f t="shared" si="439"/>
        <v>0</v>
      </c>
      <c r="X1908" s="58">
        <f t="shared" si="440"/>
        <v>0</v>
      </c>
      <c r="Y1908" s="52">
        <f t="shared" si="441"/>
        <v>0</v>
      </c>
    </row>
    <row r="1909" spans="1:25" x14ac:dyDescent="0.25">
      <c r="A1909" s="1218" t="s">
        <v>195</v>
      </c>
      <c r="B1909" s="98">
        <v>45717</v>
      </c>
      <c r="C1909" s="117" t="str">
        <f t="shared" si="442"/>
        <v>8L</v>
      </c>
      <c r="F1909" s="99">
        <f t="shared" si="429"/>
        <v>0</v>
      </c>
      <c r="I1909" s="99">
        <f t="shared" si="428"/>
        <v>0</v>
      </c>
      <c r="L1909" s="99">
        <f t="shared" si="430"/>
        <v>0</v>
      </c>
      <c r="M1909" s="44" t="str">
        <f t="shared" si="432"/>
        <v/>
      </c>
      <c r="N1909" s="100">
        <f t="shared" si="433"/>
        <v>0</v>
      </c>
      <c r="O1909" s="101">
        <f t="shared" si="434"/>
        <v>0</v>
      </c>
      <c r="P1909" s="52">
        <f t="shared" si="435"/>
        <v>0</v>
      </c>
      <c r="Q1909" s="49">
        <v>116.88487613461319</v>
      </c>
      <c r="R1909">
        <v>2225</v>
      </c>
      <c r="S1909" s="50">
        <f t="shared" si="431"/>
        <v>71535.307499999995</v>
      </c>
      <c r="T1909" s="50">
        <f t="shared" si="436"/>
        <v>0</v>
      </c>
      <c r="U1909" s="58">
        <f t="shared" si="437"/>
        <v>0</v>
      </c>
      <c r="V1909" s="58">
        <f t="shared" si="438"/>
        <v>0</v>
      </c>
      <c r="W1909" s="58">
        <f t="shared" si="439"/>
        <v>0</v>
      </c>
      <c r="X1909" s="58">
        <f t="shared" si="440"/>
        <v>0</v>
      </c>
      <c r="Y1909" s="52">
        <f t="shared" si="441"/>
        <v>0</v>
      </c>
    </row>
    <row r="1910" spans="1:25" x14ac:dyDescent="0.25">
      <c r="A1910" s="1218" t="s">
        <v>196</v>
      </c>
      <c r="B1910" s="98">
        <v>45717</v>
      </c>
      <c r="C1910" s="117" t="str">
        <f t="shared" si="442"/>
        <v>8L</v>
      </c>
      <c r="F1910" s="99">
        <f t="shared" si="429"/>
        <v>0</v>
      </c>
      <c r="I1910" s="99">
        <f t="shared" si="428"/>
        <v>0</v>
      </c>
      <c r="L1910" s="99">
        <f t="shared" si="430"/>
        <v>0</v>
      </c>
      <c r="M1910" s="44" t="str">
        <f t="shared" si="432"/>
        <v/>
      </c>
      <c r="N1910" s="100">
        <f t="shared" si="433"/>
        <v>0</v>
      </c>
      <c r="O1910" s="101">
        <f t="shared" si="434"/>
        <v>0</v>
      </c>
      <c r="P1910" s="52">
        <f t="shared" si="435"/>
        <v>0</v>
      </c>
      <c r="Q1910" s="49">
        <v>116.88487613461319</v>
      </c>
      <c r="R1910">
        <v>2225</v>
      </c>
      <c r="S1910" s="50">
        <f t="shared" si="431"/>
        <v>71535.307499999995</v>
      </c>
      <c r="T1910" s="50">
        <f t="shared" si="436"/>
        <v>0</v>
      </c>
      <c r="U1910" s="58">
        <f t="shared" si="437"/>
        <v>0</v>
      </c>
      <c r="V1910" s="58">
        <f t="shared" si="438"/>
        <v>0</v>
      </c>
      <c r="W1910" s="58">
        <f t="shared" si="439"/>
        <v>0</v>
      </c>
      <c r="X1910" s="58">
        <f t="shared" si="440"/>
        <v>0</v>
      </c>
      <c r="Y1910" s="52">
        <f t="shared" si="441"/>
        <v>0</v>
      </c>
    </row>
    <row r="1911" spans="1:25" x14ac:dyDescent="0.25">
      <c r="A1911" s="1218" t="s">
        <v>197</v>
      </c>
      <c r="B1911" s="98">
        <v>45717</v>
      </c>
      <c r="C1911" s="117" t="str">
        <f t="shared" si="442"/>
        <v>8L</v>
      </c>
      <c r="F1911" s="99">
        <f t="shared" si="429"/>
        <v>0</v>
      </c>
      <c r="I1911" s="99">
        <f t="shared" si="428"/>
        <v>0</v>
      </c>
      <c r="L1911" s="99">
        <f t="shared" si="430"/>
        <v>0</v>
      </c>
      <c r="M1911" s="44" t="str">
        <f t="shared" si="432"/>
        <v/>
      </c>
      <c r="N1911" s="100">
        <f t="shared" si="433"/>
        <v>0</v>
      </c>
      <c r="O1911" s="101">
        <f t="shared" si="434"/>
        <v>0</v>
      </c>
      <c r="P1911" s="52">
        <f t="shared" si="435"/>
        <v>0</v>
      </c>
      <c r="Q1911" s="49">
        <v>116.88487613461319</v>
      </c>
      <c r="R1911">
        <v>2225</v>
      </c>
      <c r="S1911" s="50">
        <f t="shared" si="431"/>
        <v>71535.307499999995</v>
      </c>
      <c r="T1911" s="50">
        <f t="shared" si="436"/>
        <v>0</v>
      </c>
      <c r="U1911" s="58">
        <f t="shared" si="437"/>
        <v>0</v>
      </c>
      <c r="V1911" s="58">
        <f t="shared" si="438"/>
        <v>0</v>
      </c>
      <c r="W1911" s="58">
        <f t="shared" si="439"/>
        <v>0</v>
      </c>
      <c r="X1911" s="58">
        <f t="shared" si="440"/>
        <v>0</v>
      </c>
      <c r="Y1911" s="52">
        <f t="shared" si="441"/>
        <v>0</v>
      </c>
    </row>
    <row r="1912" spans="1:25" x14ac:dyDescent="0.25">
      <c r="A1912" s="1218" t="s">
        <v>198</v>
      </c>
      <c r="B1912" s="98">
        <v>45717</v>
      </c>
      <c r="C1912" s="117" t="str">
        <f t="shared" si="442"/>
        <v>8L</v>
      </c>
      <c r="F1912" s="99">
        <f t="shared" si="429"/>
        <v>0</v>
      </c>
      <c r="I1912" s="99">
        <f t="shared" si="428"/>
        <v>0</v>
      </c>
      <c r="L1912" s="99">
        <f t="shared" si="430"/>
        <v>0</v>
      </c>
      <c r="M1912" s="44" t="str">
        <f t="shared" si="432"/>
        <v/>
      </c>
      <c r="N1912" s="100">
        <f t="shared" si="433"/>
        <v>0</v>
      </c>
      <c r="O1912" s="101">
        <f t="shared" si="434"/>
        <v>0</v>
      </c>
      <c r="P1912" s="52">
        <f t="shared" si="435"/>
        <v>0</v>
      </c>
      <c r="Q1912" s="49">
        <v>116.88487613461319</v>
      </c>
      <c r="R1912">
        <v>2225</v>
      </c>
      <c r="S1912" s="50">
        <f t="shared" si="431"/>
        <v>71535.307499999995</v>
      </c>
      <c r="T1912" s="50">
        <f t="shared" si="436"/>
        <v>0</v>
      </c>
      <c r="U1912" s="58">
        <f t="shared" si="437"/>
        <v>0</v>
      </c>
      <c r="V1912" s="58">
        <f t="shared" si="438"/>
        <v>0</v>
      </c>
      <c r="W1912" s="58">
        <f t="shared" si="439"/>
        <v>0</v>
      </c>
      <c r="X1912" s="58">
        <f t="shared" si="440"/>
        <v>0</v>
      </c>
      <c r="Y1912" s="52">
        <f t="shared" si="441"/>
        <v>0</v>
      </c>
    </row>
    <row r="1913" spans="1:25" x14ac:dyDescent="0.25">
      <c r="A1913" s="1218" t="s">
        <v>199</v>
      </c>
      <c r="B1913" s="98">
        <v>45717</v>
      </c>
      <c r="C1913" s="117" t="str">
        <f t="shared" si="442"/>
        <v>8L</v>
      </c>
      <c r="F1913" s="99">
        <f t="shared" si="429"/>
        <v>0</v>
      </c>
      <c r="I1913" s="99">
        <f t="shared" si="428"/>
        <v>0</v>
      </c>
      <c r="L1913" s="99">
        <f t="shared" si="430"/>
        <v>0</v>
      </c>
      <c r="M1913" s="44" t="str">
        <f t="shared" si="432"/>
        <v/>
      </c>
      <c r="N1913" s="100">
        <f t="shared" si="433"/>
        <v>0</v>
      </c>
      <c r="O1913" s="101">
        <f t="shared" si="434"/>
        <v>0</v>
      </c>
      <c r="P1913" s="52">
        <f t="shared" si="435"/>
        <v>0</v>
      </c>
      <c r="Q1913" s="49">
        <v>116.88487613461319</v>
      </c>
      <c r="R1913">
        <v>2225</v>
      </c>
      <c r="S1913" s="50">
        <f t="shared" si="431"/>
        <v>71535.307499999995</v>
      </c>
      <c r="T1913" s="50">
        <f t="shared" si="436"/>
        <v>0</v>
      </c>
      <c r="U1913" s="58">
        <f t="shared" si="437"/>
        <v>0</v>
      </c>
      <c r="V1913" s="58">
        <f t="shared" si="438"/>
        <v>0</v>
      </c>
      <c r="W1913" s="58">
        <f t="shared" si="439"/>
        <v>0</v>
      </c>
      <c r="X1913" s="58">
        <f t="shared" si="440"/>
        <v>0</v>
      </c>
      <c r="Y1913" s="52">
        <f t="shared" si="441"/>
        <v>0</v>
      </c>
    </row>
    <row r="1914" spans="1:25" x14ac:dyDescent="0.25">
      <c r="A1914" s="1218" t="s">
        <v>200</v>
      </c>
      <c r="B1914" s="98">
        <v>45717</v>
      </c>
      <c r="C1914" s="117" t="str">
        <f t="shared" si="442"/>
        <v>8L</v>
      </c>
      <c r="F1914" s="99">
        <f t="shared" si="429"/>
        <v>0</v>
      </c>
      <c r="I1914" s="99">
        <f t="shared" si="428"/>
        <v>0</v>
      </c>
      <c r="L1914" s="99">
        <f t="shared" si="430"/>
        <v>0</v>
      </c>
      <c r="M1914" s="44" t="str">
        <f t="shared" si="432"/>
        <v/>
      </c>
      <c r="N1914" s="100">
        <f t="shared" si="433"/>
        <v>0</v>
      </c>
      <c r="O1914" s="101">
        <f t="shared" si="434"/>
        <v>0</v>
      </c>
      <c r="P1914" s="52">
        <f t="shared" si="435"/>
        <v>0</v>
      </c>
      <c r="Q1914" s="49">
        <v>116.88487613461319</v>
      </c>
      <c r="R1914">
        <v>2225</v>
      </c>
      <c r="S1914" s="50">
        <f t="shared" si="431"/>
        <v>71535.307499999995</v>
      </c>
      <c r="T1914" s="50">
        <f t="shared" si="436"/>
        <v>0</v>
      </c>
      <c r="U1914" s="58">
        <f t="shared" si="437"/>
        <v>0</v>
      </c>
      <c r="V1914" s="58">
        <f t="shared" si="438"/>
        <v>0</v>
      </c>
      <c r="W1914" s="58">
        <f t="shared" si="439"/>
        <v>0</v>
      </c>
      <c r="X1914" s="58">
        <f t="shared" si="440"/>
        <v>0</v>
      </c>
      <c r="Y1914" s="52">
        <f t="shared" si="441"/>
        <v>0</v>
      </c>
    </row>
    <row r="1915" spans="1:25" x14ac:dyDescent="0.25">
      <c r="A1915" s="1218" t="s">
        <v>201</v>
      </c>
      <c r="B1915" s="98">
        <v>45717</v>
      </c>
      <c r="C1915" s="117" t="str">
        <f t="shared" si="442"/>
        <v>8L</v>
      </c>
      <c r="F1915" s="99">
        <f t="shared" si="429"/>
        <v>0</v>
      </c>
      <c r="I1915" s="99">
        <f t="shared" si="428"/>
        <v>0</v>
      </c>
      <c r="L1915" s="99">
        <f t="shared" si="430"/>
        <v>0</v>
      </c>
      <c r="M1915" s="44" t="str">
        <f t="shared" si="432"/>
        <v/>
      </c>
      <c r="N1915" s="100">
        <f t="shared" si="433"/>
        <v>0</v>
      </c>
      <c r="O1915" s="101">
        <f t="shared" si="434"/>
        <v>0</v>
      </c>
      <c r="P1915" s="52">
        <f t="shared" si="435"/>
        <v>0</v>
      </c>
      <c r="Q1915" s="49">
        <v>116.88487613461319</v>
      </c>
      <c r="R1915">
        <v>2225</v>
      </c>
      <c r="S1915" s="50">
        <f t="shared" si="431"/>
        <v>71535.307499999995</v>
      </c>
      <c r="T1915" s="50">
        <f t="shared" si="436"/>
        <v>0</v>
      </c>
      <c r="U1915" s="58">
        <f t="shared" si="437"/>
        <v>0</v>
      </c>
      <c r="V1915" s="58">
        <f t="shared" si="438"/>
        <v>0</v>
      </c>
      <c r="W1915" s="58">
        <f t="shared" si="439"/>
        <v>0</v>
      </c>
      <c r="X1915" s="58">
        <f t="shared" si="440"/>
        <v>0</v>
      </c>
      <c r="Y1915" s="52">
        <f t="shared" si="441"/>
        <v>0</v>
      </c>
    </row>
    <row r="1916" spans="1:25" x14ac:dyDescent="0.25">
      <c r="A1916" s="1218" t="s">
        <v>202</v>
      </c>
      <c r="B1916" s="98">
        <v>45717</v>
      </c>
      <c r="C1916" s="117" t="str">
        <f t="shared" si="442"/>
        <v>8L</v>
      </c>
      <c r="F1916" s="99">
        <f t="shared" si="429"/>
        <v>0</v>
      </c>
      <c r="I1916" s="99">
        <f t="shared" si="428"/>
        <v>0</v>
      </c>
      <c r="L1916" s="99">
        <f t="shared" si="430"/>
        <v>0</v>
      </c>
      <c r="M1916" s="44" t="str">
        <f t="shared" si="432"/>
        <v/>
      </c>
      <c r="N1916" s="100">
        <f t="shared" si="433"/>
        <v>0</v>
      </c>
      <c r="O1916" s="101">
        <f t="shared" si="434"/>
        <v>0</v>
      </c>
      <c r="P1916" s="52">
        <f t="shared" si="435"/>
        <v>0</v>
      </c>
      <c r="Q1916" s="49">
        <v>116.88487613461319</v>
      </c>
      <c r="R1916">
        <v>2225</v>
      </c>
      <c r="S1916" s="50">
        <f t="shared" si="431"/>
        <v>71535.307499999995</v>
      </c>
      <c r="T1916" s="50">
        <f t="shared" si="436"/>
        <v>0</v>
      </c>
      <c r="U1916" s="58">
        <f t="shared" si="437"/>
        <v>0</v>
      </c>
      <c r="V1916" s="58">
        <f t="shared" si="438"/>
        <v>0</v>
      </c>
      <c r="W1916" s="58">
        <f t="shared" si="439"/>
        <v>0</v>
      </c>
      <c r="X1916" s="58">
        <f t="shared" si="440"/>
        <v>0</v>
      </c>
      <c r="Y1916" s="52">
        <f t="shared" si="441"/>
        <v>0</v>
      </c>
    </row>
    <row r="1917" spans="1:25" x14ac:dyDescent="0.25">
      <c r="A1917" s="1218" t="s">
        <v>203</v>
      </c>
      <c r="B1917" s="98">
        <v>45717</v>
      </c>
      <c r="C1917" s="117" t="str">
        <f t="shared" si="442"/>
        <v>8L</v>
      </c>
      <c r="F1917" s="99">
        <f t="shared" si="429"/>
        <v>0</v>
      </c>
      <c r="I1917" s="99">
        <f t="shared" ref="I1917:I1981" si="443">IFERROR(G1917*H1917/1000,"")</f>
        <v>0</v>
      </c>
      <c r="L1917" s="99">
        <f t="shared" si="430"/>
        <v>0</v>
      </c>
      <c r="M1917" s="44" t="str">
        <f t="shared" si="432"/>
        <v/>
      </c>
      <c r="N1917" s="100">
        <f t="shared" si="433"/>
        <v>0</v>
      </c>
      <c r="O1917" s="101">
        <f t="shared" si="434"/>
        <v>0</v>
      </c>
      <c r="P1917" s="52">
        <f t="shared" si="435"/>
        <v>0</v>
      </c>
      <c r="Q1917" s="49">
        <v>116.88487613461319</v>
      </c>
      <c r="R1917">
        <v>2225</v>
      </c>
      <c r="S1917" s="50">
        <f t="shared" si="431"/>
        <v>71535.307499999995</v>
      </c>
      <c r="T1917" s="50">
        <f t="shared" si="436"/>
        <v>0</v>
      </c>
      <c r="U1917" s="58">
        <f t="shared" si="437"/>
        <v>0</v>
      </c>
      <c r="V1917" s="58">
        <f t="shared" si="438"/>
        <v>0</v>
      </c>
      <c r="W1917" s="58">
        <f t="shared" si="439"/>
        <v>0</v>
      </c>
      <c r="X1917" s="58">
        <f t="shared" si="440"/>
        <v>0</v>
      </c>
      <c r="Y1917" s="52">
        <f t="shared" si="441"/>
        <v>0</v>
      </c>
    </row>
    <row r="1918" spans="1:25" x14ac:dyDescent="0.25">
      <c r="A1918" s="1218" t="s">
        <v>204</v>
      </c>
      <c r="B1918" s="98">
        <v>45717</v>
      </c>
      <c r="C1918" s="117" t="str">
        <f t="shared" si="442"/>
        <v>8L</v>
      </c>
      <c r="F1918" s="99">
        <f t="shared" si="429"/>
        <v>0</v>
      </c>
      <c r="I1918" s="99">
        <f t="shared" si="443"/>
        <v>0</v>
      </c>
      <c r="L1918" s="99">
        <f t="shared" si="430"/>
        <v>0</v>
      </c>
      <c r="M1918" s="44" t="str">
        <f t="shared" si="432"/>
        <v/>
      </c>
      <c r="N1918" s="100">
        <f t="shared" si="433"/>
        <v>0</v>
      </c>
      <c r="O1918" s="101">
        <f t="shared" si="434"/>
        <v>0</v>
      </c>
      <c r="P1918" s="52">
        <f t="shared" si="435"/>
        <v>0</v>
      </c>
      <c r="Q1918" s="49">
        <v>116.88487613461319</v>
      </c>
      <c r="R1918">
        <v>2225</v>
      </c>
      <c r="S1918" s="50">
        <f t="shared" si="431"/>
        <v>71535.307499999995</v>
      </c>
      <c r="T1918" s="50">
        <f t="shared" si="436"/>
        <v>0</v>
      </c>
      <c r="U1918" s="58">
        <f t="shared" si="437"/>
        <v>0</v>
      </c>
      <c r="V1918" s="58">
        <f t="shared" si="438"/>
        <v>0</v>
      </c>
      <c r="W1918" s="58">
        <f t="shared" si="439"/>
        <v>0</v>
      </c>
      <c r="X1918" s="58">
        <f t="shared" si="440"/>
        <v>0</v>
      </c>
      <c r="Y1918" s="52">
        <f t="shared" si="441"/>
        <v>0</v>
      </c>
    </row>
    <row r="1919" spans="1:25" x14ac:dyDescent="0.25">
      <c r="A1919" s="1218" t="s">
        <v>205</v>
      </c>
      <c r="B1919" s="98">
        <v>45717</v>
      </c>
      <c r="C1919" s="117" t="str">
        <f t="shared" si="442"/>
        <v>8L</v>
      </c>
      <c r="F1919" s="99">
        <f t="shared" si="429"/>
        <v>0</v>
      </c>
      <c r="I1919" s="99">
        <f t="shared" si="443"/>
        <v>0</v>
      </c>
      <c r="L1919" s="99">
        <f t="shared" si="430"/>
        <v>0</v>
      </c>
      <c r="M1919" s="44" t="str">
        <f t="shared" si="432"/>
        <v/>
      </c>
      <c r="N1919" s="100">
        <f t="shared" si="433"/>
        <v>0</v>
      </c>
      <c r="O1919" s="101">
        <f t="shared" si="434"/>
        <v>0</v>
      </c>
      <c r="P1919" s="52">
        <f t="shared" si="435"/>
        <v>0</v>
      </c>
      <c r="Q1919" s="49">
        <v>116.88487613461319</v>
      </c>
      <c r="R1919">
        <v>2225</v>
      </c>
      <c r="S1919" s="50">
        <f t="shared" si="431"/>
        <v>71535.307499999995</v>
      </c>
      <c r="T1919" s="50">
        <f t="shared" si="436"/>
        <v>0</v>
      </c>
      <c r="U1919" s="58">
        <f t="shared" si="437"/>
        <v>0</v>
      </c>
      <c r="V1919" s="58">
        <f t="shared" si="438"/>
        <v>0</v>
      </c>
      <c r="W1919" s="58">
        <f t="shared" si="439"/>
        <v>0</v>
      </c>
      <c r="X1919" s="58">
        <f t="shared" si="440"/>
        <v>0</v>
      </c>
      <c r="Y1919" s="52">
        <f t="shared" si="441"/>
        <v>0</v>
      </c>
    </row>
    <row r="1920" spans="1:25" x14ac:dyDescent="0.25">
      <c r="A1920" s="1218" t="s">
        <v>206</v>
      </c>
      <c r="B1920" s="98">
        <v>45717</v>
      </c>
      <c r="C1920" s="117" t="str">
        <f t="shared" si="442"/>
        <v>8L</v>
      </c>
      <c r="F1920" s="99">
        <f t="shared" si="429"/>
        <v>0</v>
      </c>
      <c r="I1920" s="99">
        <f t="shared" si="443"/>
        <v>0</v>
      </c>
      <c r="L1920" s="99">
        <f t="shared" si="430"/>
        <v>0</v>
      </c>
      <c r="M1920" s="44" t="str">
        <f t="shared" si="432"/>
        <v/>
      </c>
      <c r="N1920" s="100">
        <f t="shared" si="433"/>
        <v>0</v>
      </c>
      <c r="O1920" s="101">
        <f t="shared" si="434"/>
        <v>0</v>
      </c>
      <c r="P1920" s="52">
        <f t="shared" si="435"/>
        <v>0</v>
      </c>
      <c r="Q1920" s="49">
        <v>116.88487613461319</v>
      </c>
      <c r="R1920">
        <v>2225</v>
      </c>
      <c r="S1920" s="50">
        <f t="shared" si="431"/>
        <v>71535.307499999995</v>
      </c>
      <c r="T1920" s="50">
        <f t="shared" si="436"/>
        <v>0</v>
      </c>
      <c r="U1920" s="58">
        <f t="shared" si="437"/>
        <v>0</v>
      </c>
      <c r="V1920" s="58">
        <f t="shared" si="438"/>
        <v>0</v>
      </c>
      <c r="W1920" s="58">
        <f t="shared" si="439"/>
        <v>0</v>
      </c>
      <c r="X1920" s="58">
        <f t="shared" si="440"/>
        <v>0</v>
      </c>
      <c r="Y1920" s="52">
        <f t="shared" si="441"/>
        <v>0</v>
      </c>
    </row>
    <row r="1921" spans="1:25" ht="15.75" thickBot="1" x14ac:dyDescent="0.3">
      <c r="A1921" s="1219" t="s">
        <v>207</v>
      </c>
      <c r="B1921" s="98">
        <v>45717</v>
      </c>
      <c r="C1921" s="117" t="str">
        <f t="shared" si="442"/>
        <v>8L</v>
      </c>
      <c r="F1921" s="99">
        <f t="shared" si="429"/>
        <v>0</v>
      </c>
      <c r="I1921" s="99">
        <f t="shared" si="443"/>
        <v>0</v>
      </c>
      <c r="L1921" s="99">
        <f t="shared" si="430"/>
        <v>0</v>
      </c>
      <c r="M1921" s="44" t="str">
        <f t="shared" si="432"/>
        <v/>
      </c>
      <c r="N1921" s="100">
        <f t="shared" si="433"/>
        <v>0</v>
      </c>
      <c r="O1921" s="101">
        <f t="shared" si="434"/>
        <v>0</v>
      </c>
      <c r="P1921" s="52">
        <f t="shared" si="435"/>
        <v>0</v>
      </c>
      <c r="Q1921" s="49">
        <v>116.88487613461319</v>
      </c>
      <c r="R1921">
        <v>2225</v>
      </c>
      <c r="S1921" s="50">
        <f t="shared" si="431"/>
        <v>71535.307499999995</v>
      </c>
      <c r="T1921" s="50">
        <f t="shared" si="436"/>
        <v>0</v>
      </c>
      <c r="U1921" s="58">
        <f t="shared" si="437"/>
        <v>0</v>
      </c>
      <c r="V1921" s="58">
        <f t="shared" si="438"/>
        <v>0</v>
      </c>
      <c r="W1921" s="58">
        <f t="shared" si="439"/>
        <v>0</v>
      </c>
      <c r="X1921" s="58">
        <f t="shared" si="440"/>
        <v>0</v>
      </c>
      <c r="Y1921" s="52">
        <f t="shared" si="441"/>
        <v>0</v>
      </c>
    </row>
    <row r="1922" spans="1:25" x14ac:dyDescent="0.25">
      <c r="A1922" s="97" t="s">
        <v>80</v>
      </c>
      <c r="B1922" s="98">
        <v>45748</v>
      </c>
      <c r="C1922" s="117" t="str">
        <f t="shared" si="442"/>
        <v>1L</v>
      </c>
      <c r="F1922" s="99">
        <f t="shared" si="429"/>
        <v>0</v>
      </c>
      <c r="G1922" s="58">
        <v>1890</v>
      </c>
      <c r="H1922">
        <v>1.83</v>
      </c>
      <c r="I1922" s="99">
        <f t="shared" si="443"/>
        <v>3.4587000000000003</v>
      </c>
      <c r="J1922">
        <f>'April 25 D_R (Tramming)'!G19</f>
        <v>2125</v>
      </c>
      <c r="K1922" s="49">
        <f>'April 25 D_R (Tramming)'!G22</f>
        <v>1.882352941176471</v>
      </c>
      <c r="L1922" s="99">
        <f t="shared" si="430"/>
        <v>4.0000000000000009</v>
      </c>
      <c r="M1922" s="44">
        <f t="shared" si="432"/>
        <v>0.15650388874432605</v>
      </c>
      <c r="N1922" s="100">
        <f t="shared" si="433"/>
        <v>235</v>
      </c>
      <c r="O1922" s="101">
        <f t="shared" si="434"/>
        <v>0.54130000000000056</v>
      </c>
      <c r="P1922" s="52">
        <f t="shared" si="435"/>
        <v>37760.868213946989</v>
      </c>
      <c r="Q1922" s="49">
        <v>116.88487613461319</v>
      </c>
      <c r="R1922">
        <v>2225</v>
      </c>
      <c r="S1922" s="50">
        <f t="shared" si="431"/>
        <v>71535.307499999995</v>
      </c>
      <c r="T1922" s="50">
        <f t="shared" si="436"/>
        <v>247419.16805025001</v>
      </c>
      <c r="U1922" s="58">
        <f t="shared" si="437"/>
        <v>286141.23000000004</v>
      </c>
      <c r="V1922" s="58">
        <f t="shared" si="438"/>
        <v>220912.41589441893</v>
      </c>
      <c r="W1922" s="58">
        <f t="shared" si="439"/>
        <v>248380.36178605305</v>
      </c>
      <c r="X1922" s="58">
        <f t="shared" si="440"/>
        <v>26506.752155831084</v>
      </c>
      <c r="Y1922" s="52">
        <f t="shared" si="441"/>
        <v>37760.868213946989</v>
      </c>
    </row>
    <row r="1923" spans="1:25" x14ac:dyDescent="0.25">
      <c r="A1923" s="1218" t="s">
        <v>81</v>
      </c>
      <c r="B1923" s="98">
        <v>45748</v>
      </c>
      <c r="C1923" s="117" t="str">
        <f t="shared" si="442"/>
        <v>1L</v>
      </c>
      <c r="F1923" s="99">
        <f t="shared" si="429"/>
        <v>0</v>
      </c>
      <c r="I1923" s="99">
        <f t="shared" si="443"/>
        <v>0</v>
      </c>
      <c r="L1923" s="99">
        <f t="shared" si="430"/>
        <v>0</v>
      </c>
      <c r="M1923" s="44" t="str">
        <f t="shared" si="432"/>
        <v/>
      </c>
      <c r="N1923" s="100">
        <f t="shared" si="433"/>
        <v>0</v>
      </c>
      <c r="O1923" s="101">
        <f t="shared" si="434"/>
        <v>0</v>
      </c>
      <c r="P1923" s="52">
        <f t="shared" si="435"/>
        <v>0</v>
      </c>
      <c r="Q1923" s="49">
        <v>116.88487613461319</v>
      </c>
      <c r="R1923">
        <v>2225</v>
      </c>
      <c r="S1923" s="50">
        <f t="shared" si="431"/>
        <v>71535.307499999995</v>
      </c>
      <c r="T1923" s="50">
        <f t="shared" si="436"/>
        <v>0</v>
      </c>
      <c r="U1923" s="58">
        <f t="shared" si="437"/>
        <v>0</v>
      </c>
      <c r="V1923" s="58">
        <f t="shared" si="438"/>
        <v>0</v>
      </c>
      <c r="W1923" s="58">
        <f t="shared" si="439"/>
        <v>0</v>
      </c>
      <c r="X1923" s="58">
        <f t="shared" si="440"/>
        <v>0</v>
      </c>
      <c r="Y1923" s="52">
        <f t="shared" si="441"/>
        <v>0</v>
      </c>
    </row>
    <row r="1924" spans="1:25" x14ac:dyDescent="0.25">
      <c r="A1924" s="1218" t="s">
        <v>82</v>
      </c>
      <c r="B1924" s="98">
        <v>45748</v>
      </c>
      <c r="C1924" s="117" t="str">
        <f t="shared" si="442"/>
        <v>1L</v>
      </c>
      <c r="F1924" s="99">
        <f t="shared" si="429"/>
        <v>0</v>
      </c>
      <c r="I1924" s="99">
        <f t="shared" si="443"/>
        <v>0</v>
      </c>
      <c r="L1924" s="99">
        <f t="shared" si="430"/>
        <v>0</v>
      </c>
      <c r="M1924" s="44" t="str">
        <f t="shared" si="432"/>
        <v/>
      </c>
      <c r="N1924" s="100">
        <f t="shared" si="433"/>
        <v>0</v>
      </c>
      <c r="O1924" s="101">
        <f t="shared" si="434"/>
        <v>0</v>
      </c>
      <c r="P1924" s="52">
        <f t="shared" si="435"/>
        <v>0</v>
      </c>
      <c r="Q1924" s="49">
        <v>116.88487613461319</v>
      </c>
      <c r="R1924">
        <v>2225</v>
      </c>
      <c r="S1924" s="50">
        <f t="shared" si="431"/>
        <v>71535.307499999995</v>
      </c>
      <c r="T1924" s="50">
        <f t="shared" si="436"/>
        <v>0</v>
      </c>
      <c r="U1924" s="58">
        <f t="shared" si="437"/>
        <v>0</v>
      </c>
      <c r="V1924" s="58">
        <f t="shared" si="438"/>
        <v>0</v>
      </c>
      <c r="W1924" s="58">
        <f t="shared" si="439"/>
        <v>0</v>
      </c>
      <c r="X1924" s="58">
        <f t="shared" si="440"/>
        <v>0</v>
      </c>
      <c r="Y1924" s="52">
        <f t="shared" si="441"/>
        <v>0</v>
      </c>
    </row>
    <row r="1925" spans="1:25" x14ac:dyDescent="0.25">
      <c r="A1925" s="1218" t="s">
        <v>83</v>
      </c>
      <c r="B1925" s="98">
        <v>45748</v>
      </c>
      <c r="C1925" s="117" t="str">
        <f t="shared" si="442"/>
        <v>1L</v>
      </c>
      <c r="F1925" s="99">
        <f t="shared" si="429"/>
        <v>0</v>
      </c>
      <c r="I1925" s="99">
        <f t="shared" si="443"/>
        <v>0</v>
      </c>
      <c r="L1925" s="99">
        <f t="shared" si="430"/>
        <v>0</v>
      </c>
      <c r="M1925" s="44" t="str">
        <f t="shared" si="432"/>
        <v/>
      </c>
      <c r="N1925" s="100">
        <f t="shared" si="433"/>
        <v>0</v>
      </c>
      <c r="O1925" s="101">
        <f t="shared" si="434"/>
        <v>0</v>
      </c>
      <c r="P1925" s="52">
        <f t="shared" si="435"/>
        <v>0</v>
      </c>
      <c r="Q1925" s="49">
        <v>116.88487613461319</v>
      </c>
      <c r="R1925">
        <v>2225</v>
      </c>
      <c r="S1925" s="50">
        <f t="shared" si="431"/>
        <v>71535.307499999995</v>
      </c>
      <c r="T1925" s="50">
        <f t="shared" si="436"/>
        <v>0</v>
      </c>
      <c r="U1925" s="58">
        <f t="shared" si="437"/>
        <v>0</v>
      </c>
      <c r="V1925" s="58">
        <f t="shared" si="438"/>
        <v>0</v>
      </c>
      <c r="W1925" s="58">
        <f t="shared" si="439"/>
        <v>0</v>
      </c>
      <c r="X1925" s="58">
        <f t="shared" si="440"/>
        <v>0</v>
      </c>
      <c r="Y1925" s="52">
        <f t="shared" si="441"/>
        <v>0</v>
      </c>
    </row>
    <row r="1926" spans="1:25" x14ac:dyDescent="0.25">
      <c r="A1926" s="1218" t="s">
        <v>84</v>
      </c>
      <c r="B1926" s="98">
        <v>45748</v>
      </c>
      <c r="C1926" s="117" t="str">
        <f t="shared" si="442"/>
        <v>2L</v>
      </c>
      <c r="F1926" s="99">
        <f t="shared" si="429"/>
        <v>0</v>
      </c>
      <c r="I1926" s="99">
        <f t="shared" si="443"/>
        <v>0</v>
      </c>
      <c r="L1926" s="99">
        <f t="shared" si="430"/>
        <v>0</v>
      </c>
      <c r="M1926" s="44" t="str">
        <f t="shared" si="432"/>
        <v/>
      </c>
      <c r="N1926" s="100">
        <f t="shared" si="433"/>
        <v>0</v>
      </c>
      <c r="O1926" s="101">
        <f t="shared" si="434"/>
        <v>0</v>
      </c>
      <c r="P1926" s="52">
        <f t="shared" si="435"/>
        <v>0</v>
      </c>
      <c r="Q1926" s="49">
        <v>116.88487613461319</v>
      </c>
      <c r="R1926">
        <v>2225</v>
      </c>
      <c r="S1926" s="50">
        <f t="shared" si="431"/>
        <v>71535.307499999995</v>
      </c>
      <c r="T1926" s="50">
        <f t="shared" si="436"/>
        <v>0</v>
      </c>
      <c r="U1926" s="58">
        <f t="shared" si="437"/>
        <v>0</v>
      </c>
      <c r="V1926" s="58">
        <f t="shared" si="438"/>
        <v>0</v>
      </c>
      <c r="W1926" s="58">
        <f t="shared" si="439"/>
        <v>0</v>
      </c>
      <c r="X1926" s="58">
        <f t="shared" si="440"/>
        <v>0</v>
      </c>
      <c r="Y1926" s="52">
        <f t="shared" si="441"/>
        <v>0</v>
      </c>
    </row>
    <row r="1927" spans="1:25" x14ac:dyDescent="0.25">
      <c r="A1927" s="1218" t="s">
        <v>85</v>
      </c>
      <c r="B1927" s="98">
        <v>45748</v>
      </c>
      <c r="C1927" s="117" t="str">
        <f t="shared" si="442"/>
        <v>2L</v>
      </c>
      <c r="F1927" s="99">
        <f t="shared" ref="F1927:F1991" si="444">IFERROR(D1927*E1927/1000,"")</f>
        <v>0</v>
      </c>
      <c r="I1927" s="99">
        <f t="shared" si="443"/>
        <v>0</v>
      </c>
      <c r="L1927" s="99">
        <f t="shared" si="430"/>
        <v>0</v>
      </c>
      <c r="M1927" s="44" t="str">
        <f t="shared" si="432"/>
        <v/>
      </c>
      <c r="N1927" s="100">
        <f t="shared" si="433"/>
        <v>0</v>
      </c>
      <c r="O1927" s="101">
        <f t="shared" si="434"/>
        <v>0</v>
      </c>
      <c r="P1927" s="52">
        <f t="shared" si="435"/>
        <v>0</v>
      </c>
      <c r="Q1927" s="49">
        <v>116.88487613461319</v>
      </c>
      <c r="R1927">
        <v>2225</v>
      </c>
      <c r="S1927" s="50">
        <f t="shared" si="431"/>
        <v>71535.307499999995</v>
      </c>
      <c r="T1927" s="50">
        <f t="shared" si="436"/>
        <v>0</v>
      </c>
      <c r="U1927" s="58">
        <f t="shared" si="437"/>
        <v>0</v>
      </c>
      <c r="V1927" s="58">
        <f t="shared" si="438"/>
        <v>0</v>
      </c>
      <c r="W1927" s="58">
        <f t="shared" si="439"/>
        <v>0</v>
      </c>
      <c r="X1927" s="58">
        <f t="shared" si="440"/>
        <v>0</v>
      </c>
      <c r="Y1927" s="52">
        <f t="shared" si="441"/>
        <v>0</v>
      </c>
    </row>
    <row r="1928" spans="1:25" x14ac:dyDescent="0.25">
      <c r="A1928" s="1218" t="s">
        <v>86</v>
      </c>
      <c r="B1928" s="98">
        <v>45748</v>
      </c>
      <c r="C1928" s="117" t="str">
        <f t="shared" si="442"/>
        <v>2L</v>
      </c>
      <c r="F1928" s="99">
        <f t="shared" si="444"/>
        <v>0</v>
      </c>
      <c r="I1928" s="99">
        <f t="shared" si="443"/>
        <v>0</v>
      </c>
      <c r="L1928" s="99">
        <f t="shared" si="430"/>
        <v>0</v>
      </c>
      <c r="M1928" s="44" t="str">
        <f t="shared" si="432"/>
        <v/>
      </c>
      <c r="N1928" s="100">
        <f t="shared" si="433"/>
        <v>0</v>
      </c>
      <c r="O1928" s="101">
        <f t="shared" si="434"/>
        <v>0</v>
      </c>
      <c r="P1928" s="52">
        <f t="shared" si="435"/>
        <v>0</v>
      </c>
      <c r="Q1928" s="49">
        <v>116.88487613461319</v>
      </c>
      <c r="R1928">
        <v>2225</v>
      </c>
      <c r="S1928" s="50">
        <f t="shared" si="431"/>
        <v>71535.307499999995</v>
      </c>
      <c r="T1928" s="50">
        <f t="shared" si="436"/>
        <v>0</v>
      </c>
      <c r="U1928" s="58">
        <f t="shared" si="437"/>
        <v>0</v>
      </c>
      <c r="V1928" s="58">
        <f t="shared" si="438"/>
        <v>0</v>
      </c>
      <c r="W1928" s="58">
        <f t="shared" si="439"/>
        <v>0</v>
      </c>
      <c r="X1928" s="58">
        <f t="shared" si="440"/>
        <v>0</v>
      </c>
      <c r="Y1928" s="52">
        <f t="shared" si="441"/>
        <v>0</v>
      </c>
    </row>
    <row r="1929" spans="1:25" x14ac:dyDescent="0.25">
      <c r="A1929" s="1218" t="s">
        <v>87</v>
      </c>
      <c r="B1929" s="98">
        <v>45748</v>
      </c>
      <c r="C1929" s="117" t="str">
        <f t="shared" si="442"/>
        <v>3L</v>
      </c>
      <c r="F1929" s="99">
        <f t="shared" si="444"/>
        <v>0</v>
      </c>
      <c r="I1929" s="99">
        <f t="shared" si="443"/>
        <v>0</v>
      </c>
      <c r="L1929" s="99">
        <f t="shared" si="430"/>
        <v>0</v>
      </c>
      <c r="M1929" s="44" t="str">
        <f t="shared" si="432"/>
        <v/>
      </c>
      <c r="N1929" s="100">
        <f t="shared" si="433"/>
        <v>0</v>
      </c>
      <c r="O1929" s="101">
        <f t="shared" si="434"/>
        <v>0</v>
      </c>
      <c r="P1929" s="52">
        <f t="shared" si="435"/>
        <v>0</v>
      </c>
      <c r="Q1929" s="49">
        <v>116.88487613461319</v>
      </c>
      <c r="R1929">
        <v>2225</v>
      </c>
      <c r="S1929" s="50">
        <f t="shared" si="431"/>
        <v>71535.307499999995</v>
      </c>
      <c r="T1929" s="50">
        <f t="shared" si="436"/>
        <v>0</v>
      </c>
      <c r="U1929" s="58">
        <f t="shared" si="437"/>
        <v>0</v>
      </c>
      <c r="V1929" s="58">
        <f t="shared" si="438"/>
        <v>0</v>
      </c>
      <c r="W1929" s="58">
        <f t="shared" si="439"/>
        <v>0</v>
      </c>
      <c r="X1929" s="58">
        <f t="shared" si="440"/>
        <v>0</v>
      </c>
      <c r="Y1929" s="52">
        <f t="shared" si="441"/>
        <v>0</v>
      </c>
    </row>
    <row r="1930" spans="1:25" x14ac:dyDescent="0.25">
      <c r="A1930" s="1218" t="s">
        <v>88</v>
      </c>
      <c r="B1930" s="98">
        <v>45748</v>
      </c>
      <c r="C1930" s="117" t="str">
        <f t="shared" si="442"/>
        <v>3L</v>
      </c>
      <c r="F1930" s="99">
        <f t="shared" si="444"/>
        <v>0</v>
      </c>
      <c r="I1930" s="99">
        <f t="shared" si="443"/>
        <v>0</v>
      </c>
      <c r="L1930" s="99">
        <f t="shared" si="430"/>
        <v>0</v>
      </c>
      <c r="M1930" s="44" t="str">
        <f t="shared" si="432"/>
        <v/>
      </c>
      <c r="N1930" s="100">
        <f t="shared" si="433"/>
        <v>0</v>
      </c>
      <c r="O1930" s="101">
        <f t="shared" si="434"/>
        <v>0</v>
      </c>
      <c r="P1930" s="52">
        <f t="shared" si="435"/>
        <v>0</v>
      </c>
      <c r="Q1930" s="49">
        <v>116.88487613461319</v>
      </c>
      <c r="R1930">
        <v>2225</v>
      </c>
      <c r="S1930" s="50">
        <f t="shared" si="431"/>
        <v>71535.307499999995</v>
      </c>
      <c r="T1930" s="50">
        <f t="shared" si="436"/>
        <v>0</v>
      </c>
      <c r="U1930" s="58">
        <f t="shared" si="437"/>
        <v>0</v>
      </c>
      <c r="V1930" s="58">
        <f t="shared" si="438"/>
        <v>0</v>
      </c>
      <c r="W1930" s="58">
        <f t="shared" si="439"/>
        <v>0</v>
      </c>
      <c r="X1930" s="58">
        <f t="shared" si="440"/>
        <v>0</v>
      </c>
      <c r="Y1930" s="52">
        <f t="shared" si="441"/>
        <v>0</v>
      </c>
    </row>
    <row r="1931" spans="1:25" x14ac:dyDescent="0.25">
      <c r="A1931" s="1218" t="s">
        <v>89</v>
      </c>
      <c r="B1931" s="98">
        <v>45748</v>
      </c>
      <c r="C1931" s="117" t="str">
        <f t="shared" si="442"/>
        <v>3L</v>
      </c>
      <c r="F1931" s="99">
        <f t="shared" si="444"/>
        <v>0</v>
      </c>
      <c r="I1931" s="99">
        <f t="shared" si="443"/>
        <v>0</v>
      </c>
      <c r="L1931" s="99">
        <f t="shared" si="430"/>
        <v>0</v>
      </c>
      <c r="M1931" s="44" t="str">
        <f t="shared" si="432"/>
        <v/>
      </c>
      <c r="N1931" s="100">
        <f t="shared" si="433"/>
        <v>0</v>
      </c>
      <c r="O1931" s="101">
        <f t="shared" si="434"/>
        <v>0</v>
      </c>
      <c r="P1931" s="52">
        <f t="shared" si="435"/>
        <v>0</v>
      </c>
      <c r="Q1931" s="49">
        <v>116.88487613461319</v>
      </c>
      <c r="R1931">
        <v>2225</v>
      </c>
      <c r="S1931" s="50">
        <f t="shared" si="431"/>
        <v>71535.307499999995</v>
      </c>
      <c r="T1931" s="50">
        <f t="shared" si="436"/>
        <v>0</v>
      </c>
      <c r="U1931" s="58">
        <f t="shared" si="437"/>
        <v>0</v>
      </c>
      <c r="V1931" s="58">
        <f t="shared" si="438"/>
        <v>0</v>
      </c>
      <c r="W1931" s="58">
        <f t="shared" si="439"/>
        <v>0</v>
      </c>
      <c r="X1931" s="58">
        <f t="shared" si="440"/>
        <v>0</v>
      </c>
      <c r="Y1931" s="52">
        <f t="shared" si="441"/>
        <v>0</v>
      </c>
    </row>
    <row r="1932" spans="1:25" x14ac:dyDescent="0.25">
      <c r="A1932" s="1218" t="s">
        <v>90</v>
      </c>
      <c r="B1932" s="98">
        <v>45748</v>
      </c>
      <c r="C1932" s="117" t="str">
        <f t="shared" si="442"/>
        <v>3L</v>
      </c>
      <c r="D1932">
        <v>2584</v>
      </c>
      <c r="E1932">
        <v>2.5499999999999998</v>
      </c>
      <c r="F1932" s="99">
        <f t="shared" si="444"/>
        <v>6.5891999999999999</v>
      </c>
      <c r="G1932" s="58">
        <v>2940</v>
      </c>
      <c r="H1932">
        <v>3.06</v>
      </c>
      <c r="I1932" s="99">
        <f t="shared" si="443"/>
        <v>8.9963999999999995</v>
      </c>
      <c r="J1932">
        <f>'April 25 D_R (Tramming)'!G26</f>
        <v>2726</v>
      </c>
      <c r="K1932" s="49">
        <f>'April 25 D_R (Tramming)'!G29</f>
        <v>2.0542920029347025</v>
      </c>
      <c r="L1932" s="99">
        <f t="shared" si="430"/>
        <v>5.5999999999999988</v>
      </c>
      <c r="M1932" s="44">
        <f t="shared" si="432"/>
        <v>-0.37752878929349526</v>
      </c>
      <c r="N1932" s="100">
        <f t="shared" si="433"/>
        <v>-214</v>
      </c>
      <c r="O1932" s="101">
        <f t="shared" si="434"/>
        <v>-3.3964000000000008</v>
      </c>
      <c r="P1932" s="52">
        <f t="shared" si="435"/>
        <v>81969.54965704435</v>
      </c>
      <c r="Q1932" s="49">
        <v>116.88487613461319</v>
      </c>
      <c r="R1932">
        <v>2225</v>
      </c>
      <c r="S1932" s="50">
        <f t="shared" si="431"/>
        <v>71535.307499999995</v>
      </c>
      <c r="T1932" s="50">
        <f t="shared" si="436"/>
        <v>643560.24039299996</v>
      </c>
      <c r="U1932" s="58">
        <f t="shared" si="437"/>
        <v>400597.72199999989</v>
      </c>
      <c r="V1932" s="58">
        <f t="shared" si="438"/>
        <v>343641.5358357628</v>
      </c>
      <c r="W1932" s="58">
        <f t="shared" si="439"/>
        <v>318628.17234295554</v>
      </c>
      <c r="X1932" s="58">
        <f t="shared" si="440"/>
        <v>299918.70455723716</v>
      </c>
      <c r="Y1932" s="52">
        <f t="shared" si="441"/>
        <v>81969.54965704435</v>
      </c>
    </row>
    <row r="1933" spans="1:25" x14ac:dyDescent="0.25">
      <c r="A1933" s="1218" t="s">
        <v>91</v>
      </c>
      <c r="B1933" s="98">
        <v>45748</v>
      </c>
      <c r="C1933" s="117" t="str">
        <f t="shared" si="442"/>
        <v>3L</v>
      </c>
      <c r="D1933">
        <v>1496</v>
      </c>
      <c r="E1933">
        <v>0.8</v>
      </c>
      <c r="F1933" s="99">
        <f t="shared" si="444"/>
        <v>1.1967999999999999</v>
      </c>
      <c r="I1933" s="99">
        <f t="shared" si="443"/>
        <v>0</v>
      </c>
      <c r="L1933" s="99">
        <f t="shared" ref="L1933:L2003" si="445">IFERROR(J1933*K1933/1000,"")</f>
        <v>0</v>
      </c>
      <c r="M1933" s="44" t="str">
        <f t="shared" si="432"/>
        <v/>
      </c>
      <c r="N1933" s="100">
        <f t="shared" si="433"/>
        <v>0</v>
      </c>
      <c r="O1933" s="101">
        <f t="shared" si="434"/>
        <v>0</v>
      </c>
      <c r="P1933" s="52">
        <f t="shared" si="435"/>
        <v>0</v>
      </c>
      <c r="Q1933" s="49">
        <v>116.88487613461319</v>
      </c>
      <c r="R1933">
        <v>2225</v>
      </c>
      <c r="S1933" s="50">
        <f t="shared" ref="S1933:S2003" si="446">R1933*32.1507</f>
        <v>71535.307499999995</v>
      </c>
      <c r="T1933" s="50">
        <f t="shared" si="436"/>
        <v>0</v>
      </c>
      <c r="U1933" s="58">
        <f t="shared" si="437"/>
        <v>0</v>
      </c>
      <c r="V1933" s="58">
        <f t="shared" si="438"/>
        <v>0</v>
      </c>
      <c r="W1933" s="58">
        <f t="shared" si="439"/>
        <v>0</v>
      </c>
      <c r="X1933" s="58">
        <f t="shared" si="440"/>
        <v>0</v>
      </c>
      <c r="Y1933" s="52">
        <f t="shared" si="441"/>
        <v>0</v>
      </c>
    </row>
    <row r="1934" spans="1:25" x14ac:dyDescent="0.25">
      <c r="A1934" s="1218" t="s">
        <v>92</v>
      </c>
      <c r="B1934" s="98">
        <v>45748</v>
      </c>
      <c r="C1934" s="117" t="str">
        <f t="shared" si="442"/>
        <v>3L</v>
      </c>
      <c r="D1934" s="118">
        <v>1723</v>
      </c>
      <c r="E1934">
        <v>1.72</v>
      </c>
      <c r="F1934" s="99">
        <f t="shared" si="444"/>
        <v>2.9635599999999998</v>
      </c>
      <c r="I1934" s="99">
        <f t="shared" si="443"/>
        <v>0</v>
      </c>
      <c r="L1934" s="99">
        <f t="shared" si="445"/>
        <v>0</v>
      </c>
      <c r="M1934" s="44" t="str">
        <f t="shared" si="432"/>
        <v/>
      </c>
      <c r="N1934" s="100">
        <f t="shared" si="433"/>
        <v>0</v>
      </c>
      <c r="O1934" s="101">
        <f t="shared" si="434"/>
        <v>0</v>
      </c>
      <c r="P1934" s="52">
        <f t="shared" si="435"/>
        <v>0</v>
      </c>
      <c r="Q1934" s="49">
        <v>116.88487613461319</v>
      </c>
      <c r="R1934">
        <v>2225</v>
      </c>
      <c r="S1934" s="50">
        <f t="shared" si="446"/>
        <v>71535.307499999995</v>
      </c>
      <c r="T1934" s="50">
        <f t="shared" si="436"/>
        <v>0</v>
      </c>
      <c r="U1934" s="58">
        <f t="shared" si="437"/>
        <v>0</v>
      </c>
      <c r="V1934" s="58">
        <f t="shared" si="438"/>
        <v>0</v>
      </c>
      <c r="W1934" s="58">
        <f t="shared" si="439"/>
        <v>0</v>
      </c>
      <c r="X1934" s="58">
        <f t="shared" si="440"/>
        <v>0</v>
      </c>
      <c r="Y1934" s="52">
        <f t="shared" si="441"/>
        <v>0</v>
      </c>
    </row>
    <row r="1935" spans="1:25" x14ac:dyDescent="0.25">
      <c r="A1935" s="1218" t="s">
        <v>93</v>
      </c>
      <c r="B1935" s="98">
        <v>45748</v>
      </c>
      <c r="C1935" s="117" t="str">
        <f t="shared" si="442"/>
        <v>3L</v>
      </c>
      <c r="F1935" s="99">
        <f t="shared" si="444"/>
        <v>0</v>
      </c>
      <c r="I1935" s="99">
        <f t="shared" si="443"/>
        <v>0</v>
      </c>
      <c r="L1935" s="99">
        <f t="shared" si="445"/>
        <v>0</v>
      </c>
      <c r="M1935" s="44" t="str">
        <f t="shared" ref="M1935:M2005" si="447">IFERROR((L1935-I1935)/I1935,"")</f>
        <v/>
      </c>
      <c r="N1935" s="100">
        <f t="shared" ref="N1935:N2005" si="448">J1935-G1935</f>
        <v>0</v>
      </c>
      <c r="O1935" s="101">
        <f t="shared" ref="O1935:O2005" si="449">L1935-I1935</f>
        <v>0</v>
      </c>
      <c r="P1935" s="52">
        <f t="shared" ref="P1935:P2005" si="450">U1935-W1935</f>
        <v>0</v>
      </c>
      <c r="Q1935" s="49">
        <v>116.88487613461319</v>
      </c>
      <c r="R1935">
        <v>2225</v>
      </c>
      <c r="S1935" s="50">
        <f t="shared" si="446"/>
        <v>71535.307499999995</v>
      </c>
      <c r="T1935" s="50">
        <f t="shared" ref="T1935:T2005" si="451">IFERROR(S1935*I1935,"")</f>
        <v>0</v>
      </c>
      <c r="U1935" s="58">
        <f t="shared" ref="U1935:U2005" si="452">IFERROR(S1935*L1935,"")</f>
        <v>0</v>
      </c>
      <c r="V1935" s="58">
        <f t="shared" ref="V1935:V2005" si="453">IFERROR(Q1935*G1935,"")</f>
        <v>0</v>
      </c>
      <c r="W1935" s="58">
        <f t="shared" ref="W1935:W2005" si="454">IFERROR(Q1935*J1935,"")</f>
        <v>0</v>
      </c>
      <c r="X1935" s="58">
        <f t="shared" ref="X1935:X2005" si="455">T1935-V1935</f>
        <v>0</v>
      </c>
      <c r="Y1935" s="52">
        <f t="shared" ref="Y1935:Y2005" si="456">U1935-W1935</f>
        <v>0</v>
      </c>
    </row>
    <row r="1936" spans="1:25" x14ac:dyDescent="0.25">
      <c r="A1936" s="1218" t="s">
        <v>94</v>
      </c>
      <c r="B1936" s="98">
        <v>45748</v>
      </c>
      <c r="C1936" s="117" t="str">
        <f t="shared" si="442"/>
        <v>3L</v>
      </c>
      <c r="F1936" s="99">
        <f t="shared" si="444"/>
        <v>0</v>
      </c>
      <c r="I1936" s="99">
        <f t="shared" si="443"/>
        <v>0</v>
      </c>
      <c r="L1936" s="99">
        <f t="shared" si="445"/>
        <v>0</v>
      </c>
      <c r="M1936" s="44" t="str">
        <f t="shared" si="447"/>
        <v/>
      </c>
      <c r="N1936" s="100">
        <f t="shared" si="448"/>
        <v>0</v>
      </c>
      <c r="O1936" s="101">
        <f t="shared" si="449"/>
        <v>0</v>
      </c>
      <c r="P1936" s="52">
        <f t="shared" si="450"/>
        <v>0</v>
      </c>
      <c r="Q1936" s="49">
        <v>116.88487613461319</v>
      </c>
      <c r="R1936">
        <v>2225</v>
      </c>
      <c r="S1936" s="50">
        <f t="shared" si="446"/>
        <v>71535.307499999995</v>
      </c>
      <c r="T1936" s="50">
        <f t="shared" si="451"/>
        <v>0</v>
      </c>
      <c r="U1936" s="58">
        <f t="shared" si="452"/>
        <v>0</v>
      </c>
      <c r="V1936" s="58">
        <f t="shared" si="453"/>
        <v>0</v>
      </c>
      <c r="W1936" s="58">
        <f t="shared" si="454"/>
        <v>0</v>
      </c>
      <c r="X1936" s="58">
        <f t="shared" si="455"/>
        <v>0</v>
      </c>
      <c r="Y1936" s="52">
        <f t="shared" si="456"/>
        <v>0</v>
      </c>
    </row>
    <row r="1937" spans="1:25" x14ac:dyDescent="0.25">
      <c r="A1937" s="1218" t="s">
        <v>95</v>
      </c>
      <c r="B1937" s="98">
        <v>45748</v>
      </c>
      <c r="C1937" s="117" t="str">
        <f t="shared" si="442"/>
        <v>3L</v>
      </c>
      <c r="F1937" s="99">
        <f t="shared" si="444"/>
        <v>0</v>
      </c>
      <c r="I1937" s="99">
        <f t="shared" si="443"/>
        <v>0</v>
      </c>
      <c r="L1937" s="99">
        <f t="shared" si="445"/>
        <v>0</v>
      </c>
      <c r="M1937" s="44" t="str">
        <f t="shared" si="447"/>
        <v/>
      </c>
      <c r="N1937" s="100">
        <f t="shared" si="448"/>
        <v>0</v>
      </c>
      <c r="O1937" s="101">
        <f t="shared" si="449"/>
        <v>0</v>
      </c>
      <c r="P1937" s="52">
        <f t="shared" si="450"/>
        <v>0</v>
      </c>
      <c r="Q1937" s="49">
        <v>116.88487613461319</v>
      </c>
      <c r="R1937">
        <v>2225</v>
      </c>
      <c r="S1937" s="50">
        <f t="shared" si="446"/>
        <v>71535.307499999995</v>
      </c>
      <c r="T1937" s="50">
        <f t="shared" si="451"/>
        <v>0</v>
      </c>
      <c r="U1937" s="58">
        <f t="shared" si="452"/>
        <v>0</v>
      </c>
      <c r="V1937" s="58">
        <f t="shared" si="453"/>
        <v>0</v>
      </c>
      <c r="W1937" s="58">
        <f t="shared" si="454"/>
        <v>0</v>
      </c>
      <c r="X1937" s="58">
        <f t="shared" si="455"/>
        <v>0</v>
      </c>
      <c r="Y1937" s="52">
        <f t="shared" si="456"/>
        <v>0</v>
      </c>
    </row>
    <row r="1938" spans="1:25" x14ac:dyDescent="0.25">
      <c r="A1938" s="1218" t="s">
        <v>96</v>
      </c>
      <c r="B1938" s="98">
        <v>45748</v>
      </c>
      <c r="C1938" s="117" t="str">
        <f t="shared" ref="C1938:C2002" si="457">LEFT(A1938,2)</f>
        <v>3L</v>
      </c>
      <c r="F1938" s="99">
        <f t="shared" si="444"/>
        <v>0</v>
      </c>
      <c r="I1938" s="99">
        <f t="shared" si="443"/>
        <v>0</v>
      </c>
      <c r="L1938" s="99">
        <f t="shared" si="445"/>
        <v>0</v>
      </c>
      <c r="M1938" s="44" t="str">
        <f t="shared" si="447"/>
        <v/>
      </c>
      <c r="N1938" s="100">
        <f t="shared" si="448"/>
        <v>0</v>
      </c>
      <c r="O1938" s="101">
        <f t="shared" si="449"/>
        <v>0</v>
      </c>
      <c r="P1938" s="52">
        <f t="shared" si="450"/>
        <v>0</v>
      </c>
      <c r="Q1938" s="49">
        <v>116.88487613461319</v>
      </c>
      <c r="R1938">
        <v>2225</v>
      </c>
      <c r="S1938" s="50">
        <f t="shared" si="446"/>
        <v>71535.307499999995</v>
      </c>
      <c r="T1938" s="50">
        <f t="shared" si="451"/>
        <v>0</v>
      </c>
      <c r="U1938" s="58">
        <f t="shared" si="452"/>
        <v>0</v>
      </c>
      <c r="V1938" s="58">
        <f t="shared" si="453"/>
        <v>0</v>
      </c>
      <c r="W1938" s="58">
        <f t="shared" si="454"/>
        <v>0</v>
      </c>
      <c r="X1938" s="58">
        <f t="shared" si="455"/>
        <v>0</v>
      </c>
      <c r="Y1938" s="52">
        <f t="shared" si="456"/>
        <v>0</v>
      </c>
    </row>
    <row r="1939" spans="1:25" x14ac:dyDescent="0.25">
      <c r="A1939" s="1218" t="s">
        <v>97</v>
      </c>
      <c r="B1939" s="98">
        <v>45748</v>
      </c>
      <c r="C1939" s="117" t="str">
        <f t="shared" si="457"/>
        <v>4L</v>
      </c>
      <c r="F1939" s="99">
        <f t="shared" si="444"/>
        <v>0</v>
      </c>
      <c r="I1939" s="99">
        <f t="shared" si="443"/>
        <v>0</v>
      </c>
      <c r="L1939" s="99">
        <f t="shared" si="445"/>
        <v>0</v>
      </c>
      <c r="M1939" s="44" t="str">
        <f t="shared" si="447"/>
        <v/>
      </c>
      <c r="N1939" s="100">
        <f t="shared" si="448"/>
        <v>0</v>
      </c>
      <c r="O1939" s="101">
        <f t="shared" si="449"/>
        <v>0</v>
      </c>
      <c r="P1939" s="52">
        <f t="shared" si="450"/>
        <v>0</v>
      </c>
      <c r="Q1939" s="49">
        <v>116.88487613461319</v>
      </c>
      <c r="R1939">
        <v>2225</v>
      </c>
      <c r="S1939" s="50">
        <f t="shared" si="446"/>
        <v>71535.307499999995</v>
      </c>
      <c r="T1939" s="50">
        <f t="shared" si="451"/>
        <v>0</v>
      </c>
      <c r="U1939" s="58">
        <f t="shared" si="452"/>
        <v>0</v>
      </c>
      <c r="V1939" s="58">
        <f t="shared" si="453"/>
        <v>0</v>
      </c>
      <c r="W1939" s="58">
        <f t="shared" si="454"/>
        <v>0</v>
      </c>
      <c r="X1939" s="58">
        <f t="shared" si="455"/>
        <v>0</v>
      </c>
      <c r="Y1939" s="52">
        <f t="shared" si="456"/>
        <v>0</v>
      </c>
    </row>
    <row r="1940" spans="1:25" x14ac:dyDescent="0.25">
      <c r="A1940" s="1218" t="s">
        <v>98</v>
      </c>
      <c r="B1940" s="98">
        <v>45748</v>
      </c>
      <c r="C1940" s="117" t="str">
        <f t="shared" si="457"/>
        <v>4L</v>
      </c>
      <c r="F1940" s="99">
        <f t="shared" si="444"/>
        <v>0</v>
      </c>
      <c r="I1940" s="99">
        <f t="shared" si="443"/>
        <v>0</v>
      </c>
      <c r="L1940" s="99">
        <f t="shared" si="445"/>
        <v>0</v>
      </c>
      <c r="M1940" s="44" t="str">
        <f t="shared" si="447"/>
        <v/>
      </c>
      <c r="N1940" s="100">
        <f t="shared" si="448"/>
        <v>0</v>
      </c>
      <c r="O1940" s="101">
        <f t="shared" si="449"/>
        <v>0</v>
      </c>
      <c r="P1940" s="52">
        <f t="shared" si="450"/>
        <v>0</v>
      </c>
      <c r="Q1940" s="49">
        <v>116.88487613461319</v>
      </c>
      <c r="R1940">
        <v>2225</v>
      </c>
      <c r="S1940" s="50">
        <f t="shared" si="446"/>
        <v>71535.307499999995</v>
      </c>
      <c r="T1940" s="50">
        <f t="shared" si="451"/>
        <v>0</v>
      </c>
      <c r="U1940" s="58">
        <f t="shared" si="452"/>
        <v>0</v>
      </c>
      <c r="V1940" s="58">
        <f t="shared" si="453"/>
        <v>0</v>
      </c>
      <c r="W1940" s="58">
        <f t="shared" si="454"/>
        <v>0</v>
      </c>
      <c r="X1940" s="58">
        <f t="shared" si="455"/>
        <v>0</v>
      </c>
      <c r="Y1940" s="52">
        <f t="shared" si="456"/>
        <v>0</v>
      </c>
    </row>
    <row r="1941" spans="1:25" x14ac:dyDescent="0.25">
      <c r="A1941" s="1218" t="s">
        <v>99</v>
      </c>
      <c r="B1941" s="98">
        <v>45748</v>
      </c>
      <c r="C1941" s="117" t="str">
        <f t="shared" si="457"/>
        <v>4L</v>
      </c>
      <c r="F1941" s="99">
        <f t="shared" si="444"/>
        <v>0</v>
      </c>
      <c r="I1941" s="99">
        <f t="shared" si="443"/>
        <v>0</v>
      </c>
      <c r="L1941" s="99">
        <f t="shared" si="445"/>
        <v>0</v>
      </c>
      <c r="M1941" s="44" t="str">
        <f t="shared" si="447"/>
        <v/>
      </c>
      <c r="N1941" s="100">
        <f t="shared" si="448"/>
        <v>0</v>
      </c>
      <c r="O1941" s="101">
        <f t="shared" si="449"/>
        <v>0</v>
      </c>
      <c r="P1941" s="52">
        <f t="shared" si="450"/>
        <v>0</v>
      </c>
      <c r="Q1941" s="49">
        <v>116.88487613461319</v>
      </c>
      <c r="R1941">
        <v>2225</v>
      </c>
      <c r="S1941" s="50">
        <f t="shared" si="446"/>
        <v>71535.307499999995</v>
      </c>
      <c r="T1941" s="50">
        <f t="shared" si="451"/>
        <v>0</v>
      </c>
      <c r="U1941" s="58">
        <f t="shared" si="452"/>
        <v>0</v>
      </c>
      <c r="V1941" s="58">
        <f t="shared" si="453"/>
        <v>0</v>
      </c>
      <c r="W1941" s="58">
        <f t="shared" si="454"/>
        <v>0</v>
      </c>
      <c r="X1941" s="58">
        <f t="shared" si="455"/>
        <v>0</v>
      </c>
      <c r="Y1941" s="52">
        <f t="shared" si="456"/>
        <v>0</v>
      </c>
    </row>
    <row r="1942" spans="1:25" x14ac:dyDescent="0.25">
      <c r="A1942" s="1218" t="s">
        <v>100</v>
      </c>
      <c r="B1942" s="98">
        <v>45748</v>
      </c>
      <c r="C1942" s="117" t="str">
        <f t="shared" si="457"/>
        <v>4L</v>
      </c>
      <c r="F1942" s="99">
        <f t="shared" si="444"/>
        <v>0</v>
      </c>
      <c r="I1942" s="99">
        <f t="shared" si="443"/>
        <v>0</v>
      </c>
      <c r="L1942" s="99">
        <f t="shared" si="445"/>
        <v>0</v>
      </c>
      <c r="M1942" s="44" t="str">
        <f t="shared" si="447"/>
        <v/>
      </c>
      <c r="N1942" s="100">
        <f t="shared" si="448"/>
        <v>0</v>
      </c>
      <c r="O1942" s="101">
        <f t="shared" si="449"/>
        <v>0</v>
      </c>
      <c r="P1942" s="52">
        <f t="shared" si="450"/>
        <v>0</v>
      </c>
      <c r="Q1942" s="49">
        <v>116.88487613461319</v>
      </c>
      <c r="R1942">
        <v>2225</v>
      </c>
      <c r="S1942" s="50">
        <f t="shared" si="446"/>
        <v>71535.307499999995</v>
      </c>
      <c r="T1942" s="50">
        <f t="shared" si="451"/>
        <v>0</v>
      </c>
      <c r="U1942" s="58">
        <f t="shared" si="452"/>
        <v>0</v>
      </c>
      <c r="V1942" s="58">
        <f t="shared" si="453"/>
        <v>0</v>
      </c>
      <c r="W1942" s="58">
        <f t="shared" si="454"/>
        <v>0</v>
      </c>
      <c r="X1942" s="58">
        <f t="shared" si="455"/>
        <v>0</v>
      </c>
      <c r="Y1942" s="52">
        <f t="shared" si="456"/>
        <v>0</v>
      </c>
    </row>
    <row r="1943" spans="1:25" x14ac:dyDescent="0.25">
      <c r="A1943" s="1218" t="s">
        <v>101</v>
      </c>
      <c r="B1943" s="98">
        <v>45748</v>
      </c>
      <c r="C1943" s="117" t="str">
        <f t="shared" si="457"/>
        <v>4L</v>
      </c>
      <c r="F1943" s="99">
        <f t="shared" si="444"/>
        <v>0</v>
      </c>
      <c r="I1943" s="99">
        <f t="shared" si="443"/>
        <v>0</v>
      </c>
      <c r="L1943" s="99">
        <f t="shared" si="445"/>
        <v>0</v>
      </c>
      <c r="M1943" s="44" t="str">
        <f t="shared" si="447"/>
        <v/>
      </c>
      <c r="N1943" s="100">
        <f t="shared" si="448"/>
        <v>0</v>
      </c>
      <c r="O1943" s="101">
        <f t="shared" si="449"/>
        <v>0</v>
      </c>
      <c r="P1943" s="52">
        <f t="shared" si="450"/>
        <v>0</v>
      </c>
      <c r="Q1943" s="49">
        <v>116.88487613461319</v>
      </c>
      <c r="R1943">
        <v>2225</v>
      </c>
      <c r="S1943" s="50">
        <f t="shared" si="446"/>
        <v>71535.307499999995</v>
      </c>
      <c r="T1943" s="50">
        <f t="shared" si="451"/>
        <v>0</v>
      </c>
      <c r="U1943" s="58">
        <f t="shared" si="452"/>
        <v>0</v>
      </c>
      <c r="V1943" s="58">
        <f t="shared" si="453"/>
        <v>0</v>
      </c>
      <c r="W1943" s="58">
        <f t="shared" si="454"/>
        <v>0</v>
      </c>
      <c r="X1943" s="58">
        <f t="shared" si="455"/>
        <v>0</v>
      </c>
      <c r="Y1943" s="52">
        <f t="shared" si="456"/>
        <v>0</v>
      </c>
    </row>
    <row r="1944" spans="1:25" x14ac:dyDescent="0.25">
      <c r="A1944" s="1218" t="s">
        <v>102</v>
      </c>
      <c r="B1944" s="98">
        <v>45748</v>
      </c>
      <c r="C1944" s="117" t="str">
        <f t="shared" si="457"/>
        <v>4L</v>
      </c>
      <c r="F1944" s="99">
        <f t="shared" si="444"/>
        <v>0</v>
      </c>
      <c r="I1944" s="99">
        <f t="shared" si="443"/>
        <v>0</v>
      </c>
      <c r="L1944" s="99">
        <f t="shared" si="445"/>
        <v>0</v>
      </c>
      <c r="M1944" s="44" t="str">
        <f t="shared" si="447"/>
        <v/>
      </c>
      <c r="N1944" s="100">
        <f t="shared" si="448"/>
        <v>0</v>
      </c>
      <c r="O1944" s="101">
        <f t="shared" si="449"/>
        <v>0</v>
      </c>
      <c r="P1944" s="52">
        <f t="shared" si="450"/>
        <v>0</v>
      </c>
      <c r="Q1944" s="49">
        <v>116.88487613461319</v>
      </c>
      <c r="R1944">
        <v>2225</v>
      </c>
      <c r="S1944" s="50">
        <f t="shared" si="446"/>
        <v>71535.307499999995</v>
      </c>
      <c r="T1944" s="50">
        <f t="shared" si="451"/>
        <v>0</v>
      </c>
      <c r="U1944" s="58">
        <f t="shared" si="452"/>
        <v>0</v>
      </c>
      <c r="V1944" s="58">
        <f t="shared" si="453"/>
        <v>0</v>
      </c>
      <c r="W1944" s="58">
        <f t="shared" si="454"/>
        <v>0</v>
      </c>
      <c r="X1944" s="58">
        <f t="shared" si="455"/>
        <v>0</v>
      </c>
      <c r="Y1944" s="52">
        <f t="shared" si="456"/>
        <v>0</v>
      </c>
    </row>
    <row r="1945" spans="1:25" x14ac:dyDescent="0.25">
      <c r="A1945" s="1218" t="s">
        <v>103</v>
      </c>
      <c r="B1945" s="98">
        <v>45748</v>
      </c>
      <c r="C1945" s="117" t="str">
        <f t="shared" si="457"/>
        <v>4L</v>
      </c>
      <c r="F1945" s="99">
        <f t="shared" si="444"/>
        <v>0</v>
      </c>
      <c r="I1945" s="99">
        <f t="shared" si="443"/>
        <v>0</v>
      </c>
      <c r="L1945" s="99">
        <f t="shared" si="445"/>
        <v>0</v>
      </c>
      <c r="M1945" s="44" t="str">
        <f t="shared" si="447"/>
        <v/>
      </c>
      <c r="N1945" s="100">
        <f t="shared" si="448"/>
        <v>0</v>
      </c>
      <c r="O1945" s="101">
        <f t="shared" si="449"/>
        <v>0</v>
      </c>
      <c r="P1945" s="52">
        <f t="shared" si="450"/>
        <v>0</v>
      </c>
      <c r="Q1945" s="49">
        <v>116.88487613461319</v>
      </c>
      <c r="R1945">
        <v>2225</v>
      </c>
      <c r="S1945" s="50">
        <f t="shared" si="446"/>
        <v>71535.307499999995</v>
      </c>
      <c r="T1945" s="50">
        <f t="shared" si="451"/>
        <v>0</v>
      </c>
      <c r="U1945" s="58">
        <f t="shared" si="452"/>
        <v>0</v>
      </c>
      <c r="V1945" s="58">
        <f t="shared" si="453"/>
        <v>0</v>
      </c>
      <c r="W1945" s="58">
        <f t="shared" si="454"/>
        <v>0</v>
      </c>
      <c r="X1945" s="58">
        <f t="shared" si="455"/>
        <v>0</v>
      </c>
      <c r="Y1945" s="52">
        <f t="shared" si="456"/>
        <v>0</v>
      </c>
    </row>
    <row r="1946" spans="1:25" x14ac:dyDescent="0.25">
      <c r="A1946" s="1218" t="s">
        <v>104</v>
      </c>
      <c r="B1946" s="98">
        <v>45748</v>
      </c>
      <c r="C1946" s="117" t="str">
        <f t="shared" si="457"/>
        <v>4L</v>
      </c>
      <c r="F1946" s="99">
        <f t="shared" si="444"/>
        <v>0</v>
      </c>
      <c r="I1946" s="99">
        <f t="shared" si="443"/>
        <v>0</v>
      </c>
      <c r="L1946" s="99">
        <f t="shared" si="445"/>
        <v>0</v>
      </c>
      <c r="M1946" s="44" t="str">
        <f t="shared" si="447"/>
        <v/>
      </c>
      <c r="N1946" s="100">
        <f t="shared" si="448"/>
        <v>0</v>
      </c>
      <c r="O1946" s="101">
        <f t="shared" si="449"/>
        <v>0</v>
      </c>
      <c r="P1946" s="52">
        <f t="shared" si="450"/>
        <v>0</v>
      </c>
      <c r="Q1946" s="49">
        <v>116.88487613461319</v>
      </c>
      <c r="R1946">
        <v>2225</v>
      </c>
      <c r="S1946" s="50">
        <f t="shared" si="446"/>
        <v>71535.307499999995</v>
      </c>
      <c r="T1946" s="50">
        <f t="shared" si="451"/>
        <v>0</v>
      </c>
      <c r="U1946" s="58">
        <f t="shared" si="452"/>
        <v>0</v>
      </c>
      <c r="V1946" s="58">
        <f t="shared" si="453"/>
        <v>0</v>
      </c>
      <c r="W1946" s="58">
        <f t="shared" si="454"/>
        <v>0</v>
      </c>
      <c r="X1946" s="58">
        <f t="shared" si="455"/>
        <v>0</v>
      </c>
      <c r="Y1946" s="52">
        <f t="shared" si="456"/>
        <v>0</v>
      </c>
    </row>
    <row r="1947" spans="1:25" x14ac:dyDescent="0.25">
      <c r="A1947" s="1218" t="s">
        <v>105</v>
      </c>
      <c r="B1947" s="98">
        <v>45748</v>
      </c>
      <c r="C1947" s="117" t="str">
        <f t="shared" si="457"/>
        <v>4L</v>
      </c>
      <c r="F1947" s="99">
        <f t="shared" si="444"/>
        <v>0</v>
      </c>
      <c r="I1947" s="99">
        <f t="shared" si="443"/>
        <v>0</v>
      </c>
      <c r="L1947" s="99">
        <f t="shared" si="445"/>
        <v>0</v>
      </c>
      <c r="M1947" s="44" t="str">
        <f t="shared" si="447"/>
        <v/>
      </c>
      <c r="N1947" s="100">
        <f t="shared" si="448"/>
        <v>0</v>
      </c>
      <c r="O1947" s="101">
        <f t="shared" si="449"/>
        <v>0</v>
      </c>
      <c r="P1947" s="52">
        <f t="shared" si="450"/>
        <v>0</v>
      </c>
      <c r="Q1947" s="49">
        <v>116.88487613461319</v>
      </c>
      <c r="R1947">
        <v>2225</v>
      </c>
      <c r="S1947" s="50">
        <f t="shared" si="446"/>
        <v>71535.307499999995</v>
      </c>
      <c r="T1947" s="50">
        <f t="shared" si="451"/>
        <v>0</v>
      </c>
      <c r="U1947" s="58">
        <f t="shared" si="452"/>
        <v>0</v>
      </c>
      <c r="V1947" s="58">
        <f t="shared" si="453"/>
        <v>0</v>
      </c>
      <c r="W1947" s="58">
        <f t="shared" si="454"/>
        <v>0</v>
      </c>
      <c r="X1947" s="58">
        <f t="shared" si="455"/>
        <v>0</v>
      </c>
      <c r="Y1947" s="52">
        <f t="shared" si="456"/>
        <v>0</v>
      </c>
    </row>
    <row r="1948" spans="1:25" x14ac:dyDescent="0.25">
      <c r="A1948" s="1218" t="s">
        <v>106</v>
      </c>
      <c r="B1948" s="98">
        <v>45748</v>
      </c>
      <c r="C1948" s="117" t="str">
        <f t="shared" si="457"/>
        <v>4L</v>
      </c>
      <c r="F1948" s="99">
        <f t="shared" si="444"/>
        <v>0</v>
      </c>
      <c r="I1948" s="99">
        <f t="shared" si="443"/>
        <v>0</v>
      </c>
      <c r="L1948" s="99">
        <f t="shared" si="445"/>
        <v>0</v>
      </c>
      <c r="M1948" s="44" t="str">
        <f t="shared" si="447"/>
        <v/>
      </c>
      <c r="N1948" s="100">
        <f t="shared" si="448"/>
        <v>0</v>
      </c>
      <c r="O1948" s="101">
        <f t="shared" si="449"/>
        <v>0</v>
      </c>
      <c r="P1948" s="52">
        <f t="shared" si="450"/>
        <v>0</v>
      </c>
      <c r="Q1948" s="49">
        <v>116.88487613461319</v>
      </c>
      <c r="R1948">
        <v>2225</v>
      </c>
      <c r="S1948" s="50">
        <f t="shared" si="446"/>
        <v>71535.307499999995</v>
      </c>
      <c r="T1948" s="50">
        <f t="shared" si="451"/>
        <v>0</v>
      </c>
      <c r="U1948" s="58">
        <f t="shared" si="452"/>
        <v>0</v>
      </c>
      <c r="V1948" s="58">
        <f t="shared" si="453"/>
        <v>0</v>
      </c>
      <c r="W1948" s="58">
        <f t="shared" si="454"/>
        <v>0</v>
      </c>
      <c r="X1948" s="58">
        <f t="shared" si="455"/>
        <v>0</v>
      </c>
      <c r="Y1948" s="52">
        <f t="shared" si="456"/>
        <v>0</v>
      </c>
    </row>
    <row r="1949" spans="1:25" x14ac:dyDescent="0.25">
      <c r="A1949" s="1218" t="s">
        <v>107</v>
      </c>
      <c r="B1949" s="98">
        <v>45748</v>
      </c>
      <c r="C1949" s="117" t="str">
        <f t="shared" si="457"/>
        <v>4L</v>
      </c>
      <c r="F1949" s="99">
        <f t="shared" si="444"/>
        <v>0</v>
      </c>
      <c r="I1949" s="99">
        <f t="shared" si="443"/>
        <v>0</v>
      </c>
      <c r="L1949" s="99">
        <f t="shared" si="445"/>
        <v>0</v>
      </c>
      <c r="M1949" s="44" t="str">
        <f t="shared" si="447"/>
        <v/>
      </c>
      <c r="N1949" s="100">
        <f t="shared" si="448"/>
        <v>0</v>
      </c>
      <c r="O1949" s="101">
        <f t="shared" si="449"/>
        <v>0</v>
      </c>
      <c r="P1949" s="52">
        <f t="shared" si="450"/>
        <v>0</v>
      </c>
      <c r="Q1949" s="49">
        <v>116.88487613461319</v>
      </c>
      <c r="R1949">
        <v>2225</v>
      </c>
      <c r="S1949" s="50">
        <f t="shared" si="446"/>
        <v>71535.307499999995</v>
      </c>
      <c r="T1949" s="50">
        <f t="shared" si="451"/>
        <v>0</v>
      </c>
      <c r="U1949" s="58">
        <f t="shared" si="452"/>
        <v>0</v>
      </c>
      <c r="V1949" s="58">
        <f t="shared" si="453"/>
        <v>0</v>
      </c>
      <c r="W1949" s="58">
        <f t="shared" si="454"/>
        <v>0</v>
      </c>
      <c r="X1949" s="58">
        <f t="shared" si="455"/>
        <v>0</v>
      </c>
      <c r="Y1949" s="52">
        <f t="shared" si="456"/>
        <v>0</v>
      </c>
    </row>
    <row r="1950" spans="1:25" x14ac:dyDescent="0.25">
      <c r="A1950" s="1218" t="s">
        <v>108</v>
      </c>
      <c r="B1950" s="98">
        <v>45748</v>
      </c>
      <c r="C1950" s="117" t="str">
        <f t="shared" si="457"/>
        <v>4L</v>
      </c>
      <c r="F1950" s="99">
        <f t="shared" si="444"/>
        <v>0</v>
      </c>
      <c r="I1950" s="99">
        <f t="shared" si="443"/>
        <v>0</v>
      </c>
      <c r="L1950" s="99">
        <f t="shared" si="445"/>
        <v>0</v>
      </c>
      <c r="M1950" s="44" t="str">
        <f t="shared" si="447"/>
        <v/>
      </c>
      <c r="N1950" s="100">
        <f t="shared" si="448"/>
        <v>0</v>
      </c>
      <c r="O1950" s="101">
        <f t="shared" si="449"/>
        <v>0</v>
      </c>
      <c r="P1950" s="52">
        <f t="shared" si="450"/>
        <v>0</v>
      </c>
      <c r="Q1950" s="49">
        <v>116.88487613461319</v>
      </c>
      <c r="R1950">
        <v>2225</v>
      </c>
      <c r="S1950" s="50">
        <f t="shared" si="446"/>
        <v>71535.307499999995</v>
      </c>
      <c r="T1950" s="50">
        <f t="shared" si="451"/>
        <v>0</v>
      </c>
      <c r="U1950" s="58">
        <f t="shared" si="452"/>
        <v>0</v>
      </c>
      <c r="V1950" s="58">
        <f t="shared" si="453"/>
        <v>0</v>
      </c>
      <c r="W1950" s="58">
        <f t="shared" si="454"/>
        <v>0</v>
      </c>
      <c r="X1950" s="58">
        <f t="shared" si="455"/>
        <v>0</v>
      </c>
      <c r="Y1950" s="52">
        <f t="shared" si="456"/>
        <v>0</v>
      </c>
    </row>
    <row r="1951" spans="1:25" x14ac:dyDescent="0.25">
      <c r="A1951" s="1218" t="s">
        <v>109</v>
      </c>
      <c r="B1951" s="98">
        <v>45748</v>
      </c>
      <c r="C1951" s="117" t="str">
        <f t="shared" si="457"/>
        <v>4L</v>
      </c>
      <c r="F1951" s="99">
        <f t="shared" si="444"/>
        <v>0</v>
      </c>
      <c r="I1951" s="99">
        <f t="shared" si="443"/>
        <v>0</v>
      </c>
      <c r="L1951" s="99">
        <f t="shared" si="445"/>
        <v>0</v>
      </c>
      <c r="M1951" s="44" t="str">
        <f t="shared" si="447"/>
        <v/>
      </c>
      <c r="N1951" s="100">
        <f t="shared" si="448"/>
        <v>0</v>
      </c>
      <c r="O1951" s="101">
        <f t="shared" si="449"/>
        <v>0</v>
      </c>
      <c r="P1951" s="52">
        <f t="shared" si="450"/>
        <v>0</v>
      </c>
      <c r="Q1951" s="49">
        <v>116.88487613461319</v>
      </c>
      <c r="R1951">
        <v>2225</v>
      </c>
      <c r="S1951" s="50">
        <f t="shared" si="446"/>
        <v>71535.307499999995</v>
      </c>
      <c r="T1951" s="50">
        <f t="shared" si="451"/>
        <v>0</v>
      </c>
      <c r="U1951" s="58">
        <f t="shared" si="452"/>
        <v>0</v>
      </c>
      <c r="V1951" s="58">
        <f t="shared" si="453"/>
        <v>0</v>
      </c>
      <c r="W1951" s="58">
        <f t="shared" si="454"/>
        <v>0</v>
      </c>
      <c r="X1951" s="58">
        <f t="shared" si="455"/>
        <v>0</v>
      </c>
      <c r="Y1951" s="52">
        <f t="shared" si="456"/>
        <v>0</v>
      </c>
    </row>
    <row r="1952" spans="1:25" x14ac:dyDescent="0.25">
      <c r="A1952" s="1218" t="s">
        <v>110</v>
      </c>
      <c r="B1952" s="98">
        <v>45748</v>
      </c>
      <c r="C1952" s="117" t="str">
        <f t="shared" si="457"/>
        <v>4L</v>
      </c>
      <c r="F1952" s="99">
        <f t="shared" si="444"/>
        <v>0</v>
      </c>
      <c r="I1952" s="99">
        <f t="shared" si="443"/>
        <v>0</v>
      </c>
      <c r="L1952" s="99">
        <f t="shared" si="445"/>
        <v>0</v>
      </c>
      <c r="M1952" s="44" t="str">
        <f t="shared" si="447"/>
        <v/>
      </c>
      <c r="N1952" s="100">
        <f t="shared" si="448"/>
        <v>0</v>
      </c>
      <c r="O1952" s="101">
        <f t="shared" si="449"/>
        <v>0</v>
      </c>
      <c r="P1952" s="52">
        <f t="shared" si="450"/>
        <v>0</v>
      </c>
      <c r="Q1952" s="49">
        <v>116.88487613461319</v>
      </c>
      <c r="R1952">
        <v>2225</v>
      </c>
      <c r="S1952" s="50">
        <f t="shared" si="446"/>
        <v>71535.307499999995</v>
      </c>
      <c r="T1952" s="50">
        <f t="shared" si="451"/>
        <v>0</v>
      </c>
      <c r="U1952" s="58">
        <f t="shared" si="452"/>
        <v>0</v>
      </c>
      <c r="V1952" s="58">
        <f t="shared" si="453"/>
        <v>0</v>
      </c>
      <c r="W1952" s="58">
        <f t="shared" si="454"/>
        <v>0</v>
      </c>
      <c r="X1952" s="58">
        <f t="shared" si="455"/>
        <v>0</v>
      </c>
      <c r="Y1952" s="52">
        <f t="shared" si="456"/>
        <v>0</v>
      </c>
    </row>
    <row r="1953" spans="1:25" x14ac:dyDescent="0.25">
      <c r="A1953" s="1218" t="s">
        <v>111</v>
      </c>
      <c r="B1953" s="98">
        <v>45748</v>
      </c>
      <c r="C1953" s="117" t="str">
        <f t="shared" si="457"/>
        <v>4L</v>
      </c>
      <c r="F1953" s="99">
        <f t="shared" si="444"/>
        <v>0</v>
      </c>
      <c r="I1953" s="99">
        <f t="shared" si="443"/>
        <v>0</v>
      </c>
      <c r="L1953" s="99">
        <f t="shared" si="445"/>
        <v>0</v>
      </c>
      <c r="M1953" s="44" t="str">
        <f t="shared" si="447"/>
        <v/>
      </c>
      <c r="N1953" s="100">
        <f t="shared" si="448"/>
        <v>0</v>
      </c>
      <c r="O1953" s="101">
        <f t="shared" si="449"/>
        <v>0</v>
      </c>
      <c r="P1953" s="52">
        <f t="shared" si="450"/>
        <v>0</v>
      </c>
      <c r="Q1953" s="49">
        <v>116.88487613461319</v>
      </c>
      <c r="R1953">
        <v>2225</v>
      </c>
      <c r="S1953" s="50">
        <f t="shared" si="446"/>
        <v>71535.307499999995</v>
      </c>
      <c r="T1953" s="50">
        <f t="shared" si="451"/>
        <v>0</v>
      </c>
      <c r="U1953" s="58">
        <f t="shared" si="452"/>
        <v>0</v>
      </c>
      <c r="V1953" s="58">
        <f t="shared" si="453"/>
        <v>0</v>
      </c>
      <c r="W1953" s="58">
        <f t="shared" si="454"/>
        <v>0</v>
      </c>
      <c r="X1953" s="58">
        <f t="shared" si="455"/>
        <v>0</v>
      </c>
      <c r="Y1953" s="52">
        <f t="shared" si="456"/>
        <v>0</v>
      </c>
    </row>
    <row r="1954" spans="1:25" x14ac:dyDescent="0.25">
      <c r="A1954" s="1218" t="s">
        <v>112</v>
      </c>
      <c r="B1954" s="98">
        <v>45748</v>
      </c>
      <c r="C1954" s="117" t="str">
        <f t="shared" si="457"/>
        <v>4L</v>
      </c>
      <c r="F1954" s="99">
        <f t="shared" si="444"/>
        <v>0</v>
      </c>
      <c r="I1954" s="99">
        <f t="shared" si="443"/>
        <v>0</v>
      </c>
      <c r="L1954" s="99">
        <f t="shared" si="445"/>
        <v>0</v>
      </c>
      <c r="M1954" s="44" t="str">
        <f t="shared" si="447"/>
        <v/>
      </c>
      <c r="N1954" s="100">
        <f t="shared" si="448"/>
        <v>0</v>
      </c>
      <c r="O1954" s="101">
        <f t="shared" si="449"/>
        <v>0</v>
      </c>
      <c r="P1954" s="52">
        <f t="shared" si="450"/>
        <v>0</v>
      </c>
      <c r="Q1954" s="49">
        <v>116.88487613461319</v>
      </c>
      <c r="R1954">
        <v>2225</v>
      </c>
      <c r="S1954" s="50">
        <f t="shared" si="446"/>
        <v>71535.307499999995</v>
      </c>
      <c r="T1954" s="50">
        <f t="shared" si="451"/>
        <v>0</v>
      </c>
      <c r="U1954" s="58">
        <f t="shared" si="452"/>
        <v>0</v>
      </c>
      <c r="V1954" s="58">
        <f t="shared" si="453"/>
        <v>0</v>
      </c>
      <c r="W1954" s="58">
        <f t="shared" si="454"/>
        <v>0</v>
      </c>
      <c r="X1954" s="58">
        <f t="shared" si="455"/>
        <v>0</v>
      </c>
      <c r="Y1954" s="52">
        <f t="shared" si="456"/>
        <v>0</v>
      </c>
    </row>
    <row r="1955" spans="1:25" x14ac:dyDescent="0.25">
      <c r="A1955" s="1218" t="s">
        <v>113</v>
      </c>
      <c r="B1955" s="98">
        <v>45748</v>
      </c>
      <c r="C1955" s="117" t="str">
        <f t="shared" si="457"/>
        <v>4L</v>
      </c>
      <c r="F1955" s="99">
        <f t="shared" si="444"/>
        <v>0</v>
      </c>
      <c r="I1955" s="99">
        <f t="shared" si="443"/>
        <v>0</v>
      </c>
      <c r="L1955" s="99">
        <f t="shared" si="445"/>
        <v>0</v>
      </c>
      <c r="M1955" s="44" t="str">
        <f t="shared" si="447"/>
        <v/>
      </c>
      <c r="N1955" s="100">
        <f t="shared" si="448"/>
        <v>0</v>
      </c>
      <c r="O1955" s="101">
        <f t="shared" si="449"/>
        <v>0</v>
      </c>
      <c r="P1955" s="52">
        <f t="shared" si="450"/>
        <v>0</v>
      </c>
      <c r="Q1955" s="49">
        <v>116.88487613461319</v>
      </c>
      <c r="R1955">
        <v>2225</v>
      </c>
      <c r="S1955" s="50">
        <f t="shared" si="446"/>
        <v>71535.307499999995</v>
      </c>
      <c r="T1955" s="50">
        <f t="shared" si="451"/>
        <v>0</v>
      </c>
      <c r="U1955" s="58">
        <f t="shared" si="452"/>
        <v>0</v>
      </c>
      <c r="V1955" s="58">
        <f t="shared" si="453"/>
        <v>0</v>
      </c>
      <c r="W1955" s="58">
        <f t="shared" si="454"/>
        <v>0</v>
      </c>
      <c r="X1955" s="58">
        <f t="shared" si="455"/>
        <v>0</v>
      </c>
      <c r="Y1955" s="52">
        <f t="shared" si="456"/>
        <v>0</v>
      </c>
    </row>
    <row r="1956" spans="1:25" x14ac:dyDescent="0.25">
      <c r="A1956" s="1218" t="s">
        <v>114</v>
      </c>
      <c r="B1956" s="98">
        <v>45748</v>
      </c>
      <c r="C1956" s="117" t="str">
        <f t="shared" si="457"/>
        <v>4L</v>
      </c>
      <c r="D1956" s="118">
        <v>1873</v>
      </c>
      <c r="E1956">
        <v>1.4</v>
      </c>
      <c r="F1956" s="99">
        <f t="shared" si="444"/>
        <v>2.6221999999999999</v>
      </c>
      <c r="I1956" s="99">
        <f t="shared" si="443"/>
        <v>0</v>
      </c>
      <c r="L1956" s="99">
        <f t="shared" si="445"/>
        <v>0</v>
      </c>
      <c r="M1956" s="44" t="str">
        <f t="shared" si="447"/>
        <v/>
      </c>
      <c r="N1956" s="100">
        <f t="shared" si="448"/>
        <v>0</v>
      </c>
      <c r="O1956" s="101">
        <f t="shared" si="449"/>
        <v>0</v>
      </c>
      <c r="P1956" s="52">
        <f t="shared" si="450"/>
        <v>0</v>
      </c>
      <c r="Q1956" s="49">
        <v>116.88487613461319</v>
      </c>
      <c r="R1956">
        <v>2225</v>
      </c>
      <c r="S1956" s="50">
        <f t="shared" si="446"/>
        <v>71535.307499999995</v>
      </c>
      <c r="T1956" s="50">
        <f t="shared" si="451"/>
        <v>0</v>
      </c>
      <c r="U1956" s="58">
        <f t="shared" si="452"/>
        <v>0</v>
      </c>
      <c r="V1956" s="58">
        <f t="shared" si="453"/>
        <v>0</v>
      </c>
      <c r="W1956" s="58">
        <f t="shared" si="454"/>
        <v>0</v>
      </c>
      <c r="X1956" s="58">
        <f t="shared" si="455"/>
        <v>0</v>
      </c>
      <c r="Y1956" s="52">
        <f t="shared" si="456"/>
        <v>0</v>
      </c>
    </row>
    <row r="1957" spans="1:25" x14ac:dyDescent="0.25">
      <c r="A1957" s="1218" t="s">
        <v>115</v>
      </c>
      <c r="B1957" s="98">
        <v>45748</v>
      </c>
      <c r="C1957" s="117" t="str">
        <f t="shared" si="457"/>
        <v>4L</v>
      </c>
      <c r="F1957" s="99">
        <f t="shared" si="444"/>
        <v>0</v>
      </c>
      <c r="I1957" s="99">
        <f t="shared" si="443"/>
        <v>0</v>
      </c>
      <c r="L1957" s="99">
        <f t="shared" si="445"/>
        <v>0</v>
      </c>
      <c r="M1957" s="44" t="str">
        <f t="shared" si="447"/>
        <v/>
      </c>
      <c r="N1957" s="100">
        <f t="shared" si="448"/>
        <v>0</v>
      </c>
      <c r="O1957" s="101">
        <f t="shared" si="449"/>
        <v>0</v>
      </c>
      <c r="P1957" s="52">
        <f t="shared" si="450"/>
        <v>0</v>
      </c>
      <c r="Q1957" s="49">
        <v>116.88487613461319</v>
      </c>
      <c r="R1957">
        <v>2225</v>
      </c>
      <c r="S1957" s="50">
        <f t="shared" si="446"/>
        <v>71535.307499999995</v>
      </c>
      <c r="T1957" s="50">
        <f t="shared" si="451"/>
        <v>0</v>
      </c>
      <c r="U1957" s="58">
        <f t="shared" si="452"/>
        <v>0</v>
      </c>
      <c r="V1957" s="58">
        <f t="shared" si="453"/>
        <v>0</v>
      </c>
      <c r="W1957" s="58">
        <f t="shared" si="454"/>
        <v>0</v>
      </c>
      <c r="X1957" s="58">
        <f t="shared" si="455"/>
        <v>0</v>
      </c>
      <c r="Y1957" s="52">
        <f t="shared" si="456"/>
        <v>0</v>
      </c>
    </row>
    <row r="1958" spans="1:25" x14ac:dyDescent="0.25">
      <c r="A1958" s="1218" t="s">
        <v>116</v>
      </c>
      <c r="B1958" s="98">
        <v>45748</v>
      </c>
      <c r="C1958" s="117" t="str">
        <f t="shared" si="457"/>
        <v>4L</v>
      </c>
      <c r="F1958" s="99">
        <f t="shared" si="444"/>
        <v>0</v>
      </c>
      <c r="I1958" s="99">
        <f t="shared" si="443"/>
        <v>0</v>
      </c>
      <c r="L1958" s="99">
        <f t="shared" si="445"/>
        <v>0</v>
      </c>
      <c r="M1958" s="44" t="str">
        <f t="shared" si="447"/>
        <v/>
      </c>
      <c r="N1958" s="100">
        <f t="shared" si="448"/>
        <v>0</v>
      </c>
      <c r="O1958" s="101">
        <f t="shared" si="449"/>
        <v>0</v>
      </c>
      <c r="P1958" s="52">
        <f t="shared" si="450"/>
        <v>0</v>
      </c>
      <c r="Q1958" s="49">
        <v>116.88487613461319</v>
      </c>
      <c r="R1958">
        <v>2225</v>
      </c>
      <c r="S1958" s="50">
        <f t="shared" si="446"/>
        <v>71535.307499999995</v>
      </c>
      <c r="T1958" s="50">
        <f t="shared" si="451"/>
        <v>0</v>
      </c>
      <c r="U1958" s="58">
        <f t="shared" si="452"/>
        <v>0</v>
      </c>
      <c r="V1958" s="58">
        <f t="shared" si="453"/>
        <v>0</v>
      </c>
      <c r="W1958" s="58">
        <f t="shared" si="454"/>
        <v>0</v>
      </c>
      <c r="X1958" s="58">
        <f t="shared" si="455"/>
        <v>0</v>
      </c>
      <c r="Y1958" s="52">
        <f t="shared" si="456"/>
        <v>0</v>
      </c>
    </row>
    <row r="1959" spans="1:25" x14ac:dyDescent="0.25">
      <c r="A1959" s="1218" t="s">
        <v>117</v>
      </c>
      <c r="B1959" s="98">
        <v>45748</v>
      </c>
      <c r="C1959" s="117" t="str">
        <f t="shared" si="457"/>
        <v>4L</v>
      </c>
      <c r="F1959" s="99">
        <f t="shared" si="444"/>
        <v>0</v>
      </c>
      <c r="I1959" s="99">
        <f t="shared" si="443"/>
        <v>0</v>
      </c>
      <c r="L1959" s="99">
        <f t="shared" si="445"/>
        <v>0</v>
      </c>
      <c r="M1959" s="44" t="str">
        <f t="shared" si="447"/>
        <v/>
      </c>
      <c r="N1959" s="100">
        <f t="shared" si="448"/>
        <v>0</v>
      </c>
      <c r="O1959" s="101">
        <f t="shared" si="449"/>
        <v>0</v>
      </c>
      <c r="P1959" s="52">
        <f t="shared" si="450"/>
        <v>0</v>
      </c>
      <c r="Q1959" s="49">
        <v>116.88487613461319</v>
      </c>
      <c r="R1959">
        <v>2225</v>
      </c>
      <c r="S1959" s="50">
        <f t="shared" si="446"/>
        <v>71535.307499999995</v>
      </c>
      <c r="T1959" s="50">
        <f t="shared" si="451"/>
        <v>0</v>
      </c>
      <c r="U1959" s="58">
        <f t="shared" si="452"/>
        <v>0</v>
      </c>
      <c r="V1959" s="58">
        <f t="shared" si="453"/>
        <v>0</v>
      </c>
      <c r="W1959" s="58">
        <f t="shared" si="454"/>
        <v>0</v>
      </c>
      <c r="X1959" s="58">
        <f t="shared" si="455"/>
        <v>0</v>
      </c>
      <c r="Y1959" s="52">
        <f t="shared" si="456"/>
        <v>0</v>
      </c>
    </row>
    <row r="1960" spans="1:25" x14ac:dyDescent="0.25">
      <c r="A1960" s="1218" t="s">
        <v>118</v>
      </c>
      <c r="B1960" s="98">
        <v>45748</v>
      </c>
      <c r="C1960" s="117" t="str">
        <f t="shared" si="457"/>
        <v>4L</v>
      </c>
      <c r="F1960" s="99">
        <f t="shared" si="444"/>
        <v>0</v>
      </c>
      <c r="I1960" s="99">
        <f t="shared" si="443"/>
        <v>0</v>
      </c>
      <c r="L1960" s="99">
        <f t="shared" si="445"/>
        <v>0</v>
      </c>
      <c r="M1960" s="44" t="str">
        <f t="shared" si="447"/>
        <v/>
      </c>
      <c r="N1960" s="100">
        <f t="shared" si="448"/>
        <v>0</v>
      </c>
      <c r="O1960" s="101">
        <f t="shared" si="449"/>
        <v>0</v>
      </c>
      <c r="P1960" s="52">
        <f t="shared" si="450"/>
        <v>0</v>
      </c>
      <c r="Q1960" s="49">
        <v>116.88487613461319</v>
      </c>
      <c r="R1960">
        <v>2225</v>
      </c>
      <c r="S1960" s="50">
        <f t="shared" si="446"/>
        <v>71535.307499999995</v>
      </c>
      <c r="T1960" s="50">
        <f t="shared" si="451"/>
        <v>0</v>
      </c>
      <c r="U1960" s="58">
        <f t="shared" si="452"/>
        <v>0</v>
      </c>
      <c r="V1960" s="58">
        <f t="shared" si="453"/>
        <v>0</v>
      </c>
      <c r="W1960" s="58">
        <f t="shared" si="454"/>
        <v>0</v>
      </c>
      <c r="X1960" s="58">
        <f t="shared" si="455"/>
        <v>0</v>
      </c>
      <c r="Y1960" s="52">
        <f t="shared" si="456"/>
        <v>0</v>
      </c>
    </row>
    <row r="1961" spans="1:25" x14ac:dyDescent="0.25">
      <c r="A1961" s="1218" t="s">
        <v>119</v>
      </c>
      <c r="B1961" s="98">
        <v>45748</v>
      </c>
      <c r="C1961" s="117" t="str">
        <f t="shared" si="457"/>
        <v>4L</v>
      </c>
      <c r="F1961" s="99">
        <f t="shared" si="444"/>
        <v>0</v>
      </c>
      <c r="I1961" s="99">
        <f t="shared" si="443"/>
        <v>0</v>
      </c>
      <c r="L1961" s="99">
        <f t="shared" si="445"/>
        <v>0</v>
      </c>
      <c r="M1961" s="44" t="str">
        <f t="shared" si="447"/>
        <v/>
      </c>
      <c r="N1961" s="100">
        <f t="shared" si="448"/>
        <v>0</v>
      </c>
      <c r="O1961" s="101">
        <f t="shared" si="449"/>
        <v>0</v>
      </c>
      <c r="P1961" s="52">
        <f t="shared" si="450"/>
        <v>0</v>
      </c>
      <c r="Q1961" s="49">
        <v>116.88487613461319</v>
      </c>
      <c r="R1961">
        <v>2225</v>
      </c>
      <c r="S1961" s="50">
        <f t="shared" si="446"/>
        <v>71535.307499999995</v>
      </c>
      <c r="T1961" s="50">
        <f t="shared" si="451"/>
        <v>0</v>
      </c>
      <c r="U1961" s="58">
        <f t="shared" si="452"/>
        <v>0</v>
      </c>
      <c r="V1961" s="58">
        <f t="shared" si="453"/>
        <v>0</v>
      </c>
      <c r="W1961" s="58">
        <f t="shared" si="454"/>
        <v>0</v>
      </c>
      <c r="X1961" s="58">
        <f t="shared" si="455"/>
        <v>0</v>
      </c>
      <c r="Y1961" s="52">
        <f t="shared" si="456"/>
        <v>0</v>
      </c>
    </row>
    <row r="1962" spans="1:25" x14ac:dyDescent="0.25">
      <c r="A1962" s="1218" t="s">
        <v>120</v>
      </c>
      <c r="B1962" s="98">
        <v>45748</v>
      </c>
      <c r="C1962" s="117" t="str">
        <f t="shared" si="457"/>
        <v>4L</v>
      </c>
      <c r="F1962" s="99">
        <f t="shared" si="444"/>
        <v>0</v>
      </c>
      <c r="I1962" s="99">
        <f t="shared" si="443"/>
        <v>0</v>
      </c>
      <c r="L1962" s="99">
        <f t="shared" si="445"/>
        <v>0</v>
      </c>
      <c r="M1962" s="44" t="str">
        <f t="shared" si="447"/>
        <v/>
      </c>
      <c r="N1962" s="100">
        <f t="shared" si="448"/>
        <v>0</v>
      </c>
      <c r="O1962" s="101">
        <f t="shared" si="449"/>
        <v>0</v>
      </c>
      <c r="P1962" s="52">
        <f t="shared" si="450"/>
        <v>0</v>
      </c>
      <c r="Q1962" s="49">
        <v>116.88487613461319</v>
      </c>
      <c r="R1962">
        <v>2225</v>
      </c>
      <c r="S1962" s="50">
        <f t="shared" si="446"/>
        <v>71535.307499999995</v>
      </c>
      <c r="T1962" s="50">
        <f t="shared" si="451"/>
        <v>0</v>
      </c>
      <c r="U1962" s="58">
        <f t="shared" si="452"/>
        <v>0</v>
      </c>
      <c r="V1962" s="58">
        <f t="shared" si="453"/>
        <v>0</v>
      </c>
      <c r="W1962" s="58">
        <f t="shared" si="454"/>
        <v>0</v>
      </c>
      <c r="X1962" s="58">
        <f t="shared" si="455"/>
        <v>0</v>
      </c>
      <c r="Y1962" s="52">
        <f t="shared" si="456"/>
        <v>0</v>
      </c>
    </row>
    <row r="1963" spans="1:25" x14ac:dyDescent="0.25">
      <c r="A1963" s="1218" t="s">
        <v>121</v>
      </c>
      <c r="B1963" s="98">
        <v>45748</v>
      </c>
      <c r="C1963" s="117" t="str">
        <f t="shared" si="457"/>
        <v>4L</v>
      </c>
      <c r="F1963" s="99">
        <f t="shared" si="444"/>
        <v>0</v>
      </c>
      <c r="I1963" s="99">
        <f t="shared" si="443"/>
        <v>0</v>
      </c>
      <c r="L1963" s="99">
        <f t="shared" si="445"/>
        <v>0</v>
      </c>
      <c r="M1963" s="44" t="str">
        <f t="shared" si="447"/>
        <v/>
      </c>
      <c r="N1963" s="100">
        <f t="shared" si="448"/>
        <v>0</v>
      </c>
      <c r="O1963" s="101">
        <f t="shared" si="449"/>
        <v>0</v>
      </c>
      <c r="P1963" s="52">
        <f t="shared" si="450"/>
        <v>0</v>
      </c>
      <c r="Q1963" s="49">
        <v>116.88487613461319</v>
      </c>
      <c r="R1963">
        <v>2225</v>
      </c>
      <c r="S1963" s="50">
        <f t="shared" si="446"/>
        <v>71535.307499999995</v>
      </c>
      <c r="T1963" s="50">
        <f t="shared" si="451"/>
        <v>0</v>
      </c>
      <c r="U1963" s="58">
        <f t="shared" si="452"/>
        <v>0</v>
      </c>
      <c r="V1963" s="58">
        <f t="shared" si="453"/>
        <v>0</v>
      </c>
      <c r="W1963" s="58">
        <f t="shared" si="454"/>
        <v>0</v>
      </c>
      <c r="X1963" s="58">
        <f t="shared" si="455"/>
        <v>0</v>
      </c>
      <c r="Y1963" s="52">
        <f t="shared" si="456"/>
        <v>0</v>
      </c>
    </row>
    <row r="1964" spans="1:25" x14ac:dyDescent="0.25">
      <c r="A1964" s="1218" t="s">
        <v>122</v>
      </c>
      <c r="B1964" s="98">
        <v>45748</v>
      </c>
      <c r="C1964" s="117" t="str">
        <f t="shared" si="457"/>
        <v>4L</v>
      </c>
      <c r="F1964" s="99">
        <f t="shared" si="444"/>
        <v>0</v>
      </c>
      <c r="I1964" s="99">
        <f t="shared" si="443"/>
        <v>0</v>
      </c>
      <c r="L1964" s="99">
        <f t="shared" si="445"/>
        <v>0</v>
      </c>
      <c r="M1964" s="44" t="str">
        <f t="shared" si="447"/>
        <v/>
      </c>
      <c r="N1964" s="100">
        <f t="shared" si="448"/>
        <v>0</v>
      </c>
      <c r="O1964" s="101">
        <f t="shared" si="449"/>
        <v>0</v>
      </c>
      <c r="P1964" s="52">
        <f t="shared" si="450"/>
        <v>0</v>
      </c>
      <c r="Q1964" s="49">
        <v>116.88487613461319</v>
      </c>
      <c r="R1964">
        <v>2225</v>
      </c>
      <c r="S1964" s="50">
        <f t="shared" si="446"/>
        <v>71535.307499999995</v>
      </c>
      <c r="T1964" s="50">
        <f t="shared" si="451"/>
        <v>0</v>
      </c>
      <c r="U1964" s="58">
        <f t="shared" si="452"/>
        <v>0</v>
      </c>
      <c r="V1964" s="58">
        <f t="shared" si="453"/>
        <v>0</v>
      </c>
      <c r="W1964" s="58">
        <f t="shared" si="454"/>
        <v>0</v>
      </c>
      <c r="X1964" s="58">
        <f t="shared" si="455"/>
        <v>0</v>
      </c>
      <c r="Y1964" s="52">
        <f t="shared" si="456"/>
        <v>0</v>
      </c>
    </row>
    <row r="1965" spans="1:25" x14ac:dyDescent="0.25">
      <c r="A1965" s="1218" t="s">
        <v>123</v>
      </c>
      <c r="B1965" s="98">
        <v>45748</v>
      </c>
      <c r="C1965" s="117" t="str">
        <f t="shared" si="457"/>
        <v>4L</v>
      </c>
      <c r="F1965" s="99">
        <f t="shared" si="444"/>
        <v>0</v>
      </c>
      <c r="I1965" s="99">
        <f t="shared" si="443"/>
        <v>0</v>
      </c>
      <c r="L1965" s="99">
        <f t="shared" si="445"/>
        <v>0</v>
      </c>
      <c r="M1965" s="44" t="str">
        <f t="shared" si="447"/>
        <v/>
      </c>
      <c r="N1965" s="100">
        <f t="shared" si="448"/>
        <v>0</v>
      </c>
      <c r="O1965" s="101">
        <f t="shared" si="449"/>
        <v>0</v>
      </c>
      <c r="P1965" s="52">
        <f t="shared" si="450"/>
        <v>0</v>
      </c>
      <c r="Q1965" s="49">
        <v>116.88487613461319</v>
      </c>
      <c r="R1965">
        <v>2225</v>
      </c>
      <c r="S1965" s="50">
        <f t="shared" si="446"/>
        <v>71535.307499999995</v>
      </c>
      <c r="T1965" s="50">
        <f t="shared" si="451"/>
        <v>0</v>
      </c>
      <c r="U1965" s="58">
        <f t="shared" si="452"/>
        <v>0</v>
      </c>
      <c r="V1965" s="58">
        <f t="shared" si="453"/>
        <v>0</v>
      </c>
      <c r="W1965" s="58">
        <f t="shared" si="454"/>
        <v>0</v>
      </c>
      <c r="X1965" s="58">
        <f t="shared" si="455"/>
        <v>0</v>
      </c>
      <c r="Y1965" s="52">
        <f t="shared" si="456"/>
        <v>0</v>
      </c>
    </row>
    <row r="1966" spans="1:25" x14ac:dyDescent="0.25">
      <c r="A1966" s="1218" t="s">
        <v>124</v>
      </c>
      <c r="B1966" s="98">
        <v>45748</v>
      </c>
      <c r="C1966" s="117" t="str">
        <f t="shared" si="457"/>
        <v>4L</v>
      </c>
      <c r="F1966" s="99">
        <f t="shared" si="444"/>
        <v>0</v>
      </c>
      <c r="I1966" s="99">
        <f t="shared" si="443"/>
        <v>0</v>
      </c>
      <c r="L1966" s="99">
        <f t="shared" si="445"/>
        <v>0</v>
      </c>
      <c r="M1966" s="44" t="str">
        <f t="shared" si="447"/>
        <v/>
      </c>
      <c r="N1966" s="100">
        <f t="shared" si="448"/>
        <v>0</v>
      </c>
      <c r="O1966" s="101">
        <f t="shared" si="449"/>
        <v>0</v>
      </c>
      <c r="P1966" s="52">
        <f t="shared" si="450"/>
        <v>0</v>
      </c>
      <c r="Q1966" s="49">
        <v>116.88487613461319</v>
      </c>
      <c r="R1966">
        <v>2225</v>
      </c>
      <c r="S1966" s="50">
        <f t="shared" si="446"/>
        <v>71535.307499999995</v>
      </c>
      <c r="T1966" s="50">
        <f t="shared" si="451"/>
        <v>0</v>
      </c>
      <c r="U1966" s="58">
        <f t="shared" si="452"/>
        <v>0</v>
      </c>
      <c r="V1966" s="58">
        <f t="shared" si="453"/>
        <v>0</v>
      </c>
      <c r="W1966" s="58">
        <f t="shared" si="454"/>
        <v>0</v>
      </c>
      <c r="X1966" s="58">
        <f t="shared" si="455"/>
        <v>0</v>
      </c>
      <c r="Y1966" s="52">
        <f t="shared" si="456"/>
        <v>0</v>
      </c>
    </row>
    <row r="1967" spans="1:25" x14ac:dyDescent="0.25">
      <c r="A1967" s="1218" t="s">
        <v>125</v>
      </c>
      <c r="B1967" s="98">
        <v>45748</v>
      </c>
      <c r="C1967" s="117" t="str">
        <f t="shared" ref="C1967:C1969" si="458">LEFT(A1967,2)</f>
        <v>4L</v>
      </c>
      <c r="F1967" s="99">
        <f t="shared" ref="F1967:F1972" si="459">IFERROR(D1967*E1967/1000,"")</f>
        <v>0</v>
      </c>
      <c r="G1967" s="58"/>
      <c r="I1967" s="99">
        <f t="shared" si="443"/>
        <v>0</v>
      </c>
      <c r="L1967" s="99">
        <f t="shared" si="445"/>
        <v>0</v>
      </c>
      <c r="M1967" s="44" t="str">
        <f t="shared" si="447"/>
        <v/>
      </c>
      <c r="N1967" s="100">
        <f t="shared" si="448"/>
        <v>0</v>
      </c>
      <c r="O1967" s="101">
        <f t="shared" si="449"/>
        <v>0</v>
      </c>
      <c r="P1967" s="52">
        <f t="shared" si="450"/>
        <v>0</v>
      </c>
      <c r="Q1967" s="49">
        <v>116.88487613461319</v>
      </c>
      <c r="R1967">
        <v>2225</v>
      </c>
      <c r="S1967" s="50">
        <f t="shared" si="446"/>
        <v>71535.307499999995</v>
      </c>
      <c r="T1967" s="50">
        <f t="shared" si="451"/>
        <v>0</v>
      </c>
      <c r="U1967" s="58">
        <f t="shared" si="452"/>
        <v>0</v>
      </c>
      <c r="V1967" s="58">
        <f t="shared" si="453"/>
        <v>0</v>
      </c>
      <c r="W1967" s="58">
        <f t="shared" si="454"/>
        <v>0</v>
      </c>
      <c r="X1967" s="58">
        <f t="shared" si="455"/>
        <v>0</v>
      </c>
      <c r="Y1967" s="52">
        <f t="shared" si="456"/>
        <v>0</v>
      </c>
    </row>
    <row r="1968" spans="1:25" x14ac:dyDescent="0.25">
      <c r="A1968" s="1218" t="s">
        <v>126</v>
      </c>
      <c r="B1968" s="98">
        <v>45748</v>
      </c>
      <c r="C1968" s="117" t="str">
        <f t="shared" si="458"/>
        <v>4L</v>
      </c>
      <c r="D1968" s="118"/>
      <c r="F1968" s="99">
        <f t="shared" si="459"/>
        <v>0</v>
      </c>
      <c r="G1968" s="58">
        <v>3920</v>
      </c>
      <c r="H1968">
        <v>3.06</v>
      </c>
      <c r="I1968" s="99">
        <f>IFERROR(G1968*H1968/1000,"")</f>
        <v>11.995200000000001</v>
      </c>
      <c r="J1968">
        <f>'April 25 D_R (Tramming)'!G40</f>
        <v>4161</v>
      </c>
      <c r="K1968" s="49">
        <f>'April 25 D_R (Tramming)'!G43</f>
        <v>2.2590723383801965</v>
      </c>
      <c r="L1968" s="99">
        <f t="shared" si="445"/>
        <v>9.3999999999999986</v>
      </c>
      <c r="M1968" s="44"/>
      <c r="N1968" s="100">
        <f>J1968-G1968</f>
        <v>241</v>
      </c>
      <c r="O1968" s="101">
        <f t="shared" si="449"/>
        <v>-2.5952000000000019</v>
      </c>
      <c r="P1968" s="52">
        <f t="shared" si="450"/>
        <v>0</v>
      </c>
      <c r="Q1968" s="49">
        <v>116.88487613461319</v>
      </c>
      <c r="R1968">
        <v>2225</v>
      </c>
      <c r="S1968" s="50">
        <f t="shared" si="446"/>
        <v>71535.307499999995</v>
      </c>
      <c r="T1968" s="50"/>
      <c r="U1968" s="58"/>
      <c r="V1968" s="58"/>
      <c r="W1968" s="58"/>
      <c r="X1968" s="58"/>
      <c r="Y1968" s="52"/>
    </row>
    <row r="1969" spans="1:25" x14ac:dyDescent="0.25">
      <c r="A1969" s="1218" t="s">
        <v>127</v>
      </c>
      <c r="B1969" s="98">
        <v>45748</v>
      </c>
      <c r="C1969" s="117" t="str">
        <f t="shared" si="458"/>
        <v>4L</v>
      </c>
      <c r="F1969" s="99">
        <f t="shared" si="459"/>
        <v>0</v>
      </c>
      <c r="G1969" s="58"/>
      <c r="I1969" s="99">
        <f>IFERROR(G1969*H1969/1000,"")</f>
        <v>0</v>
      </c>
      <c r="L1969" s="99">
        <f t="shared" si="445"/>
        <v>0</v>
      </c>
      <c r="M1969" s="44"/>
      <c r="N1969" s="100">
        <f>J1969-G1969</f>
        <v>0</v>
      </c>
      <c r="O1969" s="101">
        <f t="shared" si="449"/>
        <v>0</v>
      </c>
      <c r="P1969" s="52">
        <f t="shared" si="450"/>
        <v>0</v>
      </c>
      <c r="Q1969" s="49">
        <v>116.88487613461319</v>
      </c>
      <c r="R1969">
        <v>2225</v>
      </c>
      <c r="S1969" s="50">
        <f t="shared" si="446"/>
        <v>71535.307499999995</v>
      </c>
      <c r="T1969" s="50"/>
      <c r="U1969" s="58"/>
      <c r="V1969" s="58"/>
      <c r="W1969" s="58"/>
      <c r="X1969" s="58"/>
      <c r="Y1969" s="52"/>
    </row>
    <row r="1970" spans="1:25" x14ac:dyDescent="0.25">
      <c r="A1970" s="1218" t="s">
        <v>128</v>
      </c>
      <c r="B1970" s="98">
        <v>45748</v>
      </c>
      <c r="C1970" s="117" t="str">
        <f t="shared" si="457"/>
        <v>4L</v>
      </c>
      <c r="F1970" s="99">
        <f t="shared" si="459"/>
        <v>0</v>
      </c>
      <c r="G1970" s="58"/>
      <c r="I1970" s="99">
        <f>IFERROR(G1970*H1970/1000,"")</f>
        <v>0</v>
      </c>
      <c r="L1970" s="99">
        <f t="shared" si="445"/>
        <v>0</v>
      </c>
      <c r="M1970" s="44"/>
      <c r="N1970" s="100">
        <f>J1970-G1970</f>
        <v>0</v>
      </c>
      <c r="O1970" s="101">
        <f t="shared" si="449"/>
        <v>0</v>
      </c>
      <c r="P1970" s="52">
        <f t="shared" si="450"/>
        <v>0</v>
      </c>
      <c r="Q1970" s="49">
        <v>116.88487613461319</v>
      </c>
      <c r="R1970">
        <v>2225</v>
      </c>
      <c r="S1970" s="50">
        <f t="shared" si="446"/>
        <v>71535.307499999995</v>
      </c>
      <c r="T1970" s="50"/>
      <c r="U1970" s="58"/>
      <c r="V1970" s="58"/>
      <c r="W1970" s="58"/>
      <c r="X1970" s="58"/>
      <c r="Y1970" s="52"/>
    </row>
    <row r="1971" spans="1:25" x14ac:dyDescent="0.25">
      <c r="A1971" s="1218" t="s">
        <v>129</v>
      </c>
      <c r="B1971" s="98">
        <v>45748</v>
      </c>
      <c r="C1971" s="117" t="str">
        <f t="shared" si="457"/>
        <v>4L</v>
      </c>
      <c r="D1971" s="118"/>
      <c r="F1971" s="99">
        <f t="shared" si="459"/>
        <v>0</v>
      </c>
      <c r="G1971" s="58">
        <v>1960</v>
      </c>
      <c r="H1971">
        <v>1.68</v>
      </c>
      <c r="I1971" s="99">
        <f>IFERROR(G1971*H1971/1000,"")</f>
        <v>3.2927999999999997</v>
      </c>
      <c r="J1971">
        <f>'April 25 D_R (Tramming)'!G47</f>
        <v>1695</v>
      </c>
      <c r="K1971" s="49">
        <f>'April 25 D_R (Tramming)'!G50</f>
        <v>2.3598820058997054</v>
      </c>
      <c r="L1971" s="99">
        <f t="shared" si="445"/>
        <v>4.0000000000000009</v>
      </c>
      <c r="M1971" s="44">
        <f t="shared" si="447"/>
        <v>0.21477162293488861</v>
      </c>
      <c r="N1971" s="100">
        <f>J1971-G1971</f>
        <v>-265</v>
      </c>
      <c r="O1971" s="101">
        <f t="shared" si="449"/>
        <v>0.70720000000000116</v>
      </c>
      <c r="P1971" s="52">
        <f t="shared" si="450"/>
        <v>88021.364951830677</v>
      </c>
      <c r="Q1971" s="49">
        <v>116.88487613461319</v>
      </c>
      <c r="R1971">
        <v>2225</v>
      </c>
      <c r="S1971" s="50">
        <f t="shared" si="446"/>
        <v>71535.307499999995</v>
      </c>
      <c r="T1971" s="50">
        <f t="shared" si="451"/>
        <v>235551.46053599997</v>
      </c>
      <c r="U1971" s="58">
        <f t="shared" si="452"/>
        <v>286141.23000000004</v>
      </c>
      <c r="V1971" s="58">
        <f>IFERROR(Q1971*G1971,"")</f>
        <v>229094.35722384186</v>
      </c>
      <c r="W1971" s="58">
        <f t="shared" si="454"/>
        <v>198119.86504816936</v>
      </c>
      <c r="X1971" s="58">
        <f t="shared" si="455"/>
        <v>6457.1033121581131</v>
      </c>
      <c r="Y1971" s="52">
        <f t="shared" si="456"/>
        <v>88021.364951830677</v>
      </c>
    </row>
    <row r="1972" spans="1:25" x14ac:dyDescent="0.25">
      <c r="A1972" s="1218" t="s">
        <v>130</v>
      </c>
      <c r="B1972" s="98">
        <v>45748</v>
      </c>
      <c r="C1972" s="117" t="str">
        <f t="shared" si="457"/>
        <v>5L</v>
      </c>
      <c r="F1972" s="99">
        <f t="shared" si="459"/>
        <v>0</v>
      </c>
      <c r="G1972" s="58"/>
      <c r="I1972" s="99">
        <f t="shared" si="443"/>
        <v>0</v>
      </c>
      <c r="L1972" s="99">
        <f t="shared" si="445"/>
        <v>0</v>
      </c>
      <c r="M1972" s="44" t="str">
        <f t="shared" si="447"/>
        <v/>
      </c>
      <c r="N1972" s="100">
        <f t="shared" si="448"/>
        <v>0</v>
      </c>
      <c r="O1972" s="101">
        <f t="shared" si="449"/>
        <v>0</v>
      </c>
      <c r="P1972" s="52">
        <f t="shared" si="450"/>
        <v>0</v>
      </c>
      <c r="Q1972" s="49">
        <v>116.88487613461319</v>
      </c>
      <c r="R1972">
        <v>2225</v>
      </c>
      <c r="S1972" s="50">
        <f t="shared" si="446"/>
        <v>71535.307499999995</v>
      </c>
      <c r="T1972" s="50">
        <f t="shared" si="451"/>
        <v>0</v>
      </c>
      <c r="U1972" s="58">
        <f t="shared" si="452"/>
        <v>0</v>
      </c>
      <c r="V1972" s="58">
        <f t="shared" si="453"/>
        <v>0</v>
      </c>
      <c r="W1972" s="58">
        <f t="shared" si="454"/>
        <v>0</v>
      </c>
      <c r="X1972" s="58">
        <f t="shared" si="455"/>
        <v>0</v>
      </c>
      <c r="Y1972" s="52">
        <f t="shared" si="456"/>
        <v>0</v>
      </c>
    </row>
    <row r="1973" spans="1:25" x14ac:dyDescent="0.25">
      <c r="A1973" s="1218" t="s">
        <v>131</v>
      </c>
      <c r="B1973" s="98">
        <v>45748</v>
      </c>
      <c r="C1973" s="117" t="str">
        <f t="shared" si="457"/>
        <v>5L</v>
      </c>
      <c r="F1973" s="99">
        <f t="shared" si="444"/>
        <v>0</v>
      </c>
      <c r="G1973" s="58"/>
      <c r="I1973" s="99">
        <f t="shared" si="443"/>
        <v>0</v>
      </c>
      <c r="L1973" s="99">
        <f t="shared" si="445"/>
        <v>0</v>
      </c>
      <c r="M1973" s="44" t="str">
        <f t="shared" si="447"/>
        <v/>
      </c>
      <c r="N1973" s="100">
        <f t="shared" si="448"/>
        <v>0</v>
      </c>
      <c r="O1973" s="101">
        <f t="shared" si="449"/>
        <v>0</v>
      </c>
      <c r="P1973" s="52">
        <f t="shared" si="450"/>
        <v>0</v>
      </c>
      <c r="Q1973" s="49">
        <v>116.88487613461319</v>
      </c>
      <c r="R1973">
        <v>2225</v>
      </c>
      <c r="S1973" s="50">
        <f t="shared" si="446"/>
        <v>71535.307499999995</v>
      </c>
      <c r="T1973" s="50">
        <f t="shared" si="451"/>
        <v>0</v>
      </c>
      <c r="U1973" s="58">
        <f t="shared" si="452"/>
        <v>0</v>
      </c>
      <c r="V1973" s="58">
        <f t="shared" si="453"/>
        <v>0</v>
      </c>
      <c r="W1973" s="58">
        <f t="shared" si="454"/>
        <v>0</v>
      </c>
      <c r="X1973" s="58">
        <f t="shared" si="455"/>
        <v>0</v>
      </c>
      <c r="Y1973" s="52">
        <f t="shared" si="456"/>
        <v>0</v>
      </c>
    </row>
    <row r="1974" spans="1:25" x14ac:dyDescent="0.25">
      <c r="A1974" s="1218" t="s">
        <v>132</v>
      </c>
      <c r="B1974" s="98">
        <v>45748</v>
      </c>
      <c r="C1974" s="117" t="str">
        <f t="shared" si="457"/>
        <v>5L</v>
      </c>
      <c r="F1974" s="99">
        <f t="shared" si="444"/>
        <v>0</v>
      </c>
      <c r="G1974" s="58"/>
      <c r="I1974" s="99">
        <f t="shared" si="443"/>
        <v>0</v>
      </c>
      <c r="L1974" s="99">
        <f t="shared" si="445"/>
        <v>0</v>
      </c>
      <c r="M1974" s="44" t="str">
        <f t="shared" si="447"/>
        <v/>
      </c>
      <c r="N1974" s="100">
        <f t="shared" si="448"/>
        <v>0</v>
      </c>
      <c r="O1974" s="101">
        <f t="shared" si="449"/>
        <v>0</v>
      </c>
      <c r="P1974" s="52">
        <f t="shared" si="450"/>
        <v>0</v>
      </c>
      <c r="Q1974" s="49">
        <v>116.88487613461319</v>
      </c>
      <c r="R1974">
        <v>2225</v>
      </c>
      <c r="S1974" s="50">
        <f t="shared" si="446"/>
        <v>71535.307499999995</v>
      </c>
      <c r="T1974" s="50">
        <f t="shared" si="451"/>
        <v>0</v>
      </c>
      <c r="U1974" s="58">
        <f t="shared" si="452"/>
        <v>0</v>
      </c>
      <c r="V1974" s="58">
        <f t="shared" si="453"/>
        <v>0</v>
      </c>
      <c r="W1974" s="58">
        <f t="shared" si="454"/>
        <v>0</v>
      </c>
      <c r="X1974" s="58">
        <f t="shared" si="455"/>
        <v>0</v>
      </c>
      <c r="Y1974" s="52">
        <f t="shared" si="456"/>
        <v>0</v>
      </c>
    </row>
    <row r="1975" spans="1:25" x14ac:dyDescent="0.25">
      <c r="A1975" s="1218" t="s">
        <v>133</v>
      </c>
      <c r="B1975" s="98">
        <v>45748</v>
      </c>
      <c r="C1975" s="117" t="str">
        <f t="shared" si="457"/>
        <v>5L</v>
      </c>
      <c r="F1975" s="99">
        <f t="shared" si="444"/>
        <v>0</v>
      </c>
      <c r="G1975" s="58"/>
      <c r="I1975" s="99">
        <f t="shared" si="443"/>
        <v>0</v>
      </c>
      <c r="L1975" s="99">
        <f t="shared" si="445"/>
        <v>0</v>
      </c>
      <c r="M1975" s="44" t="str">
        <f t="shared" si="447"/>
        <v/>
      </c>
      <c r="N1975" s="100">
        <f t="shared" si="448"/>
        <v>0</v>
      </c>
      <c r="O1975" s="101">
        <f t="shared" si="449"/>
        <v>0</v>
      </c>
      <c r="P1975" s="52">
        <f t="shared" si="450"/>
        <v>0</v>
      </c>
      <c r="Q1975" s="49">
        <v>116.88487613461319</v>
      </c>
      <c r="R1975">
        <v>2225</v>
      </c>
      <c r="S1975" s="50">
        <f t="shared" si="446"/>
        <v>71535.307499999995</v>
      </c>
      <c r="T1975" s="50">
        <f t="shared" si="451"/>
        <v>0</v>
      </c>
      <c r="U1975" s="58">
        <f t="shared" si="452"/>
        <v>0</v>
      </c>
      <c r="V1975" s="58">
        <f t="shared" si="453"/>
        <v>0</v>
      </c>
      <c r="W1975" s="58">
        <f t="shared" si="454"/>
        <v>0</v>
      </c>
      <c r="X1975" s="58">
        <f t="shared" si="455"/>
        <v>0</v>
      </c>
      <c r="Y1975" s="52">
        <f t="shared" si="456"/>
        <v>0</v>
      </c>
    </row>
    <row r="1976" spans="1:25" x14ac:dyDescent="0.25">
      <c r="A1976" s="1218" t="s">
        <v>134</v>
      </c>
      <c r="B1976" s="98">
        <v>45748</v>
      </c>
      <c r="C1976" s="117" t="str">
        <f t="shared" si="457"/>
        <v>5L</v>
      </c>
      <c r="F1976" s="99">
        <f t="shared" si="444"/>
        <v>0</v>
      </c>
      <c r="G1976" s="58"/>
      <c r="I1976" s="99">
        <f t="shared" si="443"/>
        <v>0</v>
      </c>
      <c r="L1976" s="99">
        <f t="shared" si="445"/>
        <v>0</v>
      </c>
      <c r="M1976" s="44" t="str">
        <f t="shared" si="447"/>
        <v/>
      </c>
      <c r="N1976" s="100">
        <f t="shared" si="448"/>
        <v>0</v>
      </c>
      <c r="O1976" s="101">
        <f t="shared" si="449"/>
        <v>0</v>
      </c>
      <c r="P1976" s="52">
        <f t="shared" si="450"/>
        <v>0</v>
      </c>
      <c r="Q1976" s="49">
        <v>116.88487613461319</v>
      </c>
      <c r="R1976">
        <v>2225</v>
      </c>
      <c r="S1976" s="50">
        <f t="shared" si="446"/>
        <v>71535.307499999995</v>
      </c>
      <c r="T1976" s="50">
        <f t="shared" si="451"/>
        <v>0</v>
      </c>
      <c r="U1976" s="58">
        <f t="shared" si="452"/>
        <v>0</v>
      </c>
      <c r="V1976" s="58">
        <f t="shared" si="453"/>
        <v>0</v>
      </c>
      <c r="W1976" s="58">
        <f t="shared" si="454"/>
        <v>0</v>
      </c>
      <c r="X1976" s="58">
        <f t="shared" si="455"/>
        <v>0</v>
      </c>
      <c r="Y1976" s="52">
        <f t="shared" si="456"/>
        <v>0</v>
      </c>
    </row>
    <row r="1977" spans="1:25" x14ac:dyDescent="0.25">
      <c r="A1977" s="1218" t="s">
        <v>135</v>
      </c>
      <c r="B1977" s="98">
        <v>45748</v>
      </c>
      <c r="C1977" s="117" t="str">
        <f t="shared" si="457"/>
        <v>5L</v>
      </c>
      <c r="F1977" s="99">
        <f t="shared" si="444"/>
        <v>0</v>
      </c>
      <c r="G1977" s="58"/>
      <c r="I1977" s="99">
        <f t="shared" si="443"/>
        <v>0</v>
      </c>
      <c r="L1977" s="99">
        <f t="shared" si="445"/>
        <v>0</v>
      </c>
      <c r="M1977" s="44" t="str">
        <f t="shared" si="447"/>
        <v/>
      </c>
      <c r="N1977" s="100">
        <f t="shared" si="448"/>
        <v>0</v>
      </c>
      <c r="O1977" s="101">
        <f t="shared" si="449"/>
        <v>0</v>
      </c>
      <c r="P1977" s="52">
        <f t="shared" si="450"/>
        <v>0</v>
      </c>
      <c r="Q1977" s="49">
        <v>116.88487613461319</v>
      </c>
      <c r="R1977">
        <v>2225</v>
      </c>
      <c r="S1977" s="50">
        <f t="shared" si="446"/>
        <v>71535.307499999995</v>
      </c>
      <c r="T1977" s="50">
        <f t="shared" si="451"/>
        <v>0</v>
      </c>
      <c r="U1977" s="58">
        <f t="shared" si="452"/>
        <v>0</v>
      </c>
      <c r="V1977" s="58">
        <f t="shared" si="453"/>
        <v>0</v>
      </c>
      <c r="W1977" s="58">
        <f t="shared" si="454"/>
        <v>0</v>
      </c>
      <c r="X1977" s="58">
        <f t="shared" si="455"/>
        <v>0</v>
      </c>
      <c r="Y1977" s="52">
        <f t="shared" si="456"/>
        <v>0</v>
      </c>
    </row>
    <row r="1978" spans="1:25" x14ac:dyDescent="0.25">
      <c r="A1978" s="1218" t="s">
        <v>136</v>
      </c>
      <c r="B1978" s="98">
        <v>45748</v>
      </c>
      <c r="C1978" s="117" t="str">
        <f t="shared" si="457"/>
        <v>5L</v>
      </c>
      <c r="F1978" s="99">
        <f t="shared" si="444"/>
        <v>0</v>
      </c>
      <c r="G1978" s="58"/>
      <c r="I1978" s="99">
        <f t="shared" si="443"/>
        <v>0</v>
      </c>
      <c r="L1978" s="99">
        <f t="shared" si="445"/>
        <v>0</v>
      </c>
      <c r="M1978" s="44" t="str">
        <f t="shared" si="447"/>
        <v/>
      </c>
      <c r="N1978" s="100">
        <f t="shared" si="448"/>
        <v>0</v>
      </c>
      <c r="O1978" s="101">
        <f t="shared" si="449"/>
        <v>0</v>
      </c>
      <c r="P1978" s="52">
        <f t="shared" si="450"/>
        <v>0</v>
      </c>
      <c r="Q1978" s="49">
        <v>116.88487613461319</v>
      </c>
      <c r="R1978">
        <v>2225</v>
      </c>
      <c r="S1978" s="50">
        <f t="shared" si="446"/>
        <v>71535.307499999995</v>
      </c>
      <c r="T1978" s="50">
        <f t="shared" si="451"/>
        <v>0</v>
      </c>
      <c r="U1978" s="58">
        <f t="shared" si="452"/>
        <v>0</v>
      </c>
      <c r="V1978" s="58">
        <f t="shared" si="453"/>
        <v>0</v>
      </c>
      <c r="W1978" s="58">
        <f t="shared" si="454"/>
        <v>0</v>
      </c>
      <c r="X1978" s="58">
        <f t="shared" si="455"/>
        <v>0</v>
      </c>
      <c r="Y1978" s="52">
        <f t="shared" si="456"/>
        <v>0</v>
      </c>
    </row>
    <row r="1979" spans="1:25" x14ac:dyDescent="0.25">
      <c r="A1979" s="1218" t="s">
        <v>137</v>
      </c>
      <c r="B1979" s="98">
        <v>45748</v>
      </c>
      <c r="C1979" s="117" t="str">
        <f t="shared" si="457"/>
        <v>5L</v>
      </c>
      <c r="F1979" s="99">
        <f t="shared" si="444"/>
        <v>0</v>
      </c>
      <c r="G1979" s="58"/>
      <c r="I1979" s="99">
        <f t="shared" si="443"/>
        <v>0</v>
      </c>
      <c r="L1979" s="99">
        <f t="shared" si="445"/>
        <v>0</v>
      </c>
      <c r="M1979" s="44" t="str">
        <f t="shared" si="447"/>
        <v/>
      </c>
      <c r="N1979" s="100">
        <f t="shared" si="448"/>
        <v>0</v>
      </c>
      <c r="O1979" s="101">
        <f t="shared" si="449"/>
        <v>0</v>
      </c>
      <c r="P1979" s="52">
        <f t="shared" si="450"/>
        <v>0</v>
      </c>
      <c r="Q1979" s="49">
        <v>116.88487613461319</v>
      </c>
      <c r="R1979">
        <v>2225</v>
      </c>
      <c r="S1979" s="50">
        <f t="shared" si="446"/>
        <v>71535.307499999995</v>
      </c>
      <c r="T1979" s="50">
        <f t="shared" si="451"/>
        <v>0</v>
      </c>
      <c r="U1979" s="58">
        <f t="shared" si="452"/>
        <v>0</v>
      </c>
      <c r="V1979" s="58">
        <f t="shared" si="453"/>
        <v>0</v>
      </c>
      <c r="W1979" s="58">
        <f t="shared" si="454"/>
        <v>0</v>
      </c>
      <c r="X1979" s="58">
        <f t="shared" si="455"/>
        <v>0</v>
      </c>
      <c r="Y1979" s="52">
        <f t="shared" si="456"/>
        <v>0</v>
      </c>
    </row>
    <row r="1980" spans="1:25" x14ac:dyDescent="0.25">
      <c r="A1980" s="1218" t="s">
        <v>138</v>
      </c>
      <c r="B1980" s="98">
        <v>45748</v>
      </c>
      <c r="C1980" s="117" t="str">
        <f t="shared" si="457"/>
        <v>5L</v>
      </c>
      <c r="D1980">
        <v>1147</v>
      </c>
      <c r="E1980">
        <v>0.69</v>
      </c>
      <c r="F1980" s="99">
        <f t="shared" si="444"/>
        <v>0.79142999999999997</v>
      </c>
      <c r="G1980" s="58">
        <v>1050</v>
      </c>
      <c r="H1980">
        <v>1.68</v>
      </c>
      <c r="I1980" s="99">
        <f t="shared" si="443"/>
        <v>1.764</v>
      </c>
      <c r="J1980">
        <f>'April 25 D_R (Tramming)'!G54</f>
        <v>1481</v>
      </c>
      <c r="K1980" s="49">
        <f>'April 25 D_R (Tramming)'!G57</f>
        <v>2.160702228224173</v>
      </c>
      <c r="L1980" s="99">
        <f t="shared" si="445"/>
        <v>3.2000000000000006</v>
      </c>
      <c r="M1980" s="44">
        <f t="shared" si="447"/>
        <v>0.81405895691610008</v>
      </c>
      <c r="N1980" s="100">
        <f t="shared" si="448"/>
        <v>431</v>
      </c>
      <c r="O1980" s="101">
        <f t="shared" si="449"/>
        <v>1.4360000000000006</v>
      </c>
      <c r="P1980" s="52">
        <f t="shared" si="450"/>
        <v>55806.482444637892</v>
      </c>
      <c r="Q1980" s="49">
        <v>116.88487613461319</v>
      </c>
      <c r="R1980">
        <v>2225</v>
      </c>
      <c r="S1980" s="50">
        <f t="shared" si="446"/>
        <v>71535.307499999995</v>
      </c>
      <c r="T1980" s="50">
        <f t="shared" si="451"/>
        <v>126188.28242999999</v>
      </c>
      <c r="U1980" s="58">
        <f t="shared" si="452"/>
        <v>228912.98400000003</v>
      </c>
      <c r="V1980" s="58">
        <f t="shared" si="453"/>
        <v>122729.11994134386</v>
      </c>
      <c r="W1980" s="58">
        <f t="shared" si="454"/>
        <v>173106.50155536213</v>
      </c>
      <c r="X1980" s="58">
        <f t="shared" si="455"/>
        <v>3459.1624886561331</v>
      </c>
      <c r="Y1980" s="52">
        <f t="shared" si="456"/>
        <v>55806.482444637892</v>
      </c>
    </row>
    <row r="1981" spans="1:25" x14ac:dyDescent="0.25">
      <c r="A1981" s="1218" t="s">
        <v>139</v>
      </c>
      <c r="B1981" s="98">
        <v>45748</v>
      </c>
      <c r="C1981" s="117" t="str">
        <f t="shared" si="457"/>
        <v>5L</v>
      </c>
      <c r="D1981">
        <v>1872</v>
      </c>
      <c r="E1981">
        <v>3.3</v>
      </c>
      <c r="F1981" s="99">
        <f t="shared" si="444"/>
        <v>6.1775999999999991</v>
      </c>
      <c r="G1981" s="58">
        <v>1470</v>
      </c>
      <c r="H1981" s="63">
        <v>1.6</v>
      </c>
      <c r="I1981" s="99">
        <f t="shared" si="443"/>
        <v>2.3519999999999999</v>
      </c>
      <c r="J1981">
        <f>'April 25 D_R (Tramming)'!G61</f>
        <v>1881</v>
      </c>
      <c r="K1981" s="49">
        <f>'April 25 D_R (Tramming)'!G64</f>
        <v>3.0834662413609788</v>
      </c>
      <c r="L1981" s="99">
        <f t="shared" si="445"/>
        <v>5.8000000000000007</v>
      </c>
      <c r="M1981" s="44">
        <f t="shared" si="447"/>
        <v>1.4659863945578235</v>
      </c>
      <c r="N1981" s="100">
        <f t="shared" si="448"/>
        <v>411</v>
      </c>
      <c r="O1981" s="101">
        <f t="shared" si="449"/>
        <v>3.4480000000000008</v>
      </c>
      <c r="P1981" s="52">
        <f t="shared" si="450"/>
        <v>195044.3314907926</v>
      </c>
      <c r="Q1981" s="49">
        <v>116.88487613461319</v>
      </c>
      <c r="R1981">
        <v>2225</v>
      </c>
      <c r="S1981" s="50">
        <f t="shared" si="446"/>
        <v>71535.307499999995</v>
      </c>
      <c r="T1981" s="50">
        <f t="shared" si="451"/>
        <v>168251.04323999997</v>
      </c>
      <c r="U1981" s="58">
        <f t="shared" si="452"/>
        <v>414904.78350000002</v>
      </c>
      <c r="V1981" s="58">
        <f t="shared" si="453"/>
        <v>171820.7679178814</v>
      </c>
      <c r="W1981" s="58">
        <f t="shared" si="454"/>
        <v>219860.45200920742</v>
      </c>
      <c r="X1981" s="58">
        <f t="shared" si="455"/>
        <v>-3569.7246778814297</v>
      </c>
      <c r="Y1981" s="52">
        <f t="shared" si="456"/>
        <v>195044.3314907926</v>
      </c>
    </row>
    <row r="1982" spans="1:25" x14ac:dyDescent="0.25">
      <c r="A1982" s="1218" t="s">
        <v>140</v>
      </c>
      <c r="B1982" s="98">
        <v>45748</v>
      </c>
      <c r="C1982" s="117" t="str">
        <f t="shared" si="457"/>
        <v>5L</v>
      </c>
      <c r="D1982">
        <v>725</v>
      </c>
      <c r="E1982">
        <v>3.97</v>
      </c>
      <c r="F1982" s="99">
        <f t="shared" si="444"/>
        <v>2.87825</v>
      </c>
      <c r="G1982" s="58"/>
      <c r="I1982" s="99">
        <f t="shared" ref="I1982:I2045" si="460">IFERROR(G1982*H1982/1000,"")</f>
        <v>0</v>
      </c>
      <c r="L1982" s="99">
        <f t="shared" si="445"/>
        <v>0</v>
      </c>
      <c r="M1982" s="44" t="str">
        <f t="shared" si="447"/>
        <v/>
      </c>
      <c r="N1982" s="100">
        <f t="shared" si="448"/>
        <v>0</v>
      </c>
      <c r="O1982" s="101">
        <f t="shared" si="449"/>
        <v>0</v>
      </c>
      <c r="P1982" s="52">
        <f t="shared" si="450"/>
        <v>0</v>
      </c>
      <c r="Q1982" s="49">
        <v>116.88487613461319</v>
      </c>
      <c r="R1982">
        <v>2225</v>
      </c>
      <c r="S1982" s="50">
        <f t="shared" si="446"/>
        <v>71535.307499999995</v>
      </c>
      <c r="T1982" s="50">
        <f t="shared" si="451"/>
        <v>0</v>
      </c>
      <c r="U1982" s="58">
        <f t="shared" si="452"/>
        <v>0</v>
      </c>
      <c r="V1982" s="58">
        <f t="shared" si="453"/>
        <v>0</v>
      </c>
      <c r="W1982" s="58">
        <f t="shared" si="454"/>
        <v>0</v>
      </c>
      <c r="X1982" s="58">
        <f t="shared" si="455"/>
        <v>0</v>
      </c>
      <c r="Y1982" s="52">
        <f t="shared" si="456"/>
        <v>0</v>
      </c>
    </row>
    <row r="1983" spans="1:25" x14ac:dyDescent="0.25">
      <c r="A1983" s="1218" t="s">
        <v>141</v>
      </c>
      <c r="B1983" s="98">
        <v>45748</v>
      </c>
      <c r="C1983" s="117" t="str">
        <f t="shared" si="457"/>
        <v>5L</v>
      </c>
      <c r="D1983" s="118">
        <v>1872</v>
      </c>
      <c r="E1983">
        <v>3.33</v>
      </c>
      <c r="F1983" s="99">
        <f t="shared" si="444"/>
        <v>6.2337600000000002</v>
      </c>
      <c r="I1983" s="99">
        <f t="shared" si="460"/>
        <v>0</v>
      </c>
      <c r="L1983" s="99">
        <f t="shared" si="445"/>
        <v>0</v>
      </c>
      <c r="M1983" s="44" t="str">
        <f t="shared" si="447"/>
        <v/>
      </c>
      <c r="N1983" s="100">
        <f t="shared" si="448"/>
        <v>0</v>
      </c>
      <c r="O1983" s="101">
        <f t="shared" si="449"/>
        <v>0</v>
      </c>
      <c r="P1983" s="52">
        <f t="shared" si="450"/>
        <v>0</v>
      </c>
      <c r="Q1983" s="49">
        <v>116.88487613461319</v>
      </c>
      <c r="R1983">
        <v>2225</v>
      </c>
      <c r="S1983" s="50">
        <f t="shared" si="446"/>
        <v>71535.307499999995</v>
      </c>
      <c r="T1983" s="50">
        <f t="shared" si="451"/>
        <v>0</v>
      </c>
      <c r="U1983" s="58">
        <f t="shared" si="452"/>
        <v>0</v>
      </c>
      <c r="V1983" s="58">
        <f t="shared" si="453"/>
        <v>0</v>
      </c>
      <c r="W1983" s="58">
        <f t="shared" si="454"/>
        <v>0</v>
      </c>
      <c r="X1983" s="58">
        <f t="shared" si="455"/>
        <v>0</v>
      </c>
      <c r="Y1983" s="52">
        <f t="shared" si="456"/>
        <v>0</v>
      </c>
    </row>
    <row r="1984" spans="1:25" x14ac:dyDescent="0.25">
      <c r="A1984" s="1218" t="s">
        <v>142</v>
      </c>
      <c r="B1984" s="98">
        <v>45748</v>
      </c>
      <c r="C1984" s="117" t="str">
        <f t="shared" si="457"/>
        <v>5L</v>
      </c>
      <c r="D1984" s="118">
        <v>1873</v>
      </c>
      <c r="E1984">
        <v>2.94</v>
      </c>
      <c r="F1984" s="99">
        <f t="shared" si="444"/>
        <v>5.5066199999999998</v>
      </c>
      <c r="I1984" s="99">
        <f t="shared" si="460"/>
        <v>0</v>
      </c>
      <c r="L1984" s="99">
        <f t="shared" si="445"/>
        <v>0</v>
      </c>
      <c r="M1984" s="44" t="str">
        <f t="shared" si="447"/>
        <v/>
      </c>
      <c r="N1984" s="100">
        <f t="shared" si="448"/>
        <v>0</v>
      </c>
      <c r="O1984" s="101">
        <f t="shared" si="449"/>
        <v>0</v>
      </c>
      <c r="P1984" s="52">
        <f t="shared" si="450"/>
        <v>0</v>
      </c>
      <c r="Q1984" s="49">
        <v>116.88487613461319</v>
      </c>
      <c r="R1984">
        <v>2225</v>
      </c>
      <c r="S1984" s="50">
        <f t="shared" si="446"/>
        <v>71535.307499999995</v>
      </c>
      <c r="T1984" s="50">
        <f t="shared" si="451"/>
        <v>0</v>
      </c>
      <c r="U1984" s="58">
        <f t="shared" si="452"/>
        <v>0</v>
      </c>
      <c r="V1984" s="58">
        <f t="shared" si="453"/>
        <v>0</v>
      </c>
      <c r="W1984" s="58">
        <f t="shared" si="454"/>
        <v>0</v>
      </c>
      <c r="X1984" s="58">
        <f t="shared" si="455"/>
        <v>0</v>
      </c>
      <c r="Y1984" s="52">
        <f t="shared" si="456"/>
        <v>0</v>
      </c>
    </row>
    <row r="1985" spans="1:25" x14ac:dyDescent="0.25">
      <c r="A1985" s="1218" t="s">
        <v>143</v>
      </c>
      <c r="B1985" s="98">
        <v>45748</v>
      </c>
      <c r="C1985" s="117" t="str">
        <f t="shared" si="457"/>
        <v>5L</v>
      </c>
      <c r="F1985" s="99">
        <f t="shared" si="444"/>
        <v>0</v>
      </c>
      <c r="I1985" s="99">
        <f t="shared" si="460"/>
        <v>0</v>
      </c>
      <c r="L1985" s="99">
        <f t="shared" si="445"/>
        <v>0</v>
      </c>
      <c r="M1985" s="44" t="str">
        <f t="shared" si="447"/>
        <v/>
      </c>
      <c r="N1985" s="100">
        <f t="shared" si="448"/>
        <v>0</v>
      </c>
      <c r="O1985" s="101">
        <f t="shared" si="449"/>
        <v>0</v>
      </c>
      <c r="P1985" s="52">
        <f t="shared" si="450"/>
        <v>0</v>
      </c>
      <c r="Q1985" s="49">
        <v>116.88487613461319</v>
      </c>
      <c r="R1985">
        <v>2225</v>
      </c>
      <c r="S1985" s="50">
        <f t="shared" si="446"/>
        <v>71535.307499999995</v>
      </c>
      <c r="T1985" s="50">
        <f t="shared" si="451"/>
        <v>0</v>
      </c>
      <c r="U1985" s="58">
        <f t="shared" si="452"/>
        <v>0</v>
      </c>
      <c r="V1985" s="58">
        <f t="shared" si="453"/>
        <v>0</v>
      </c>
      <c r="W1985" s="58">
        <f t="shared" si="454"/>
        <v>0</v>
      </c>
      <c r="X1985" s="58">
        <f t="shared" si="455"/>
        <v>0</v>
      </c>
      <c r="Y1985" s="52">
        <f t="shared" si="456"/>
        <v>0</v>
      </c>
    </row>
    <row r="1986" spans="1:25" x14ac:dyDescent="0.25">
      <c r="A1986" s="1218" t="s">
        <v>144</v>
      </c>
      <c r="B1986" s="98">
        <v>45748</v>
      </c>
      <c r="C1986" s="117" t="str">
        <f t="shared" si="457"/>
        <v>5L</v>
      </c>
      <c r="F1986" s="99">
        <f t="shared" si="444"/>
        <v>0</v>
      </c>
      <c r="I1986" s="99">
        <f t="shared" si="460"/>
        <v>0</v>
      </c>
      <c r="L1986" s="99">
        <f t="shared" si="445"/>
        <v>0</v>
      </c>
      <c r="M1986" s="44" t="str">
        <f t="shared" si="447"/>
        <v/>
      </c>
      <c r="N1986" s="100">
        <f t="shared" si="448"/>
        <v>0</v>
      </c>
      <c r="O1986" s="101">
        <f t="shared" si="449"/>
        <v>0</v>
      </c>
      <c r="P1986" s="52">
        <f t="shared" si="450"/>
        <v>0</v>
      </c>
      <c r="Q1986" s="49">
        <v>116.88487613461319</v>
      </c>
      <c r="R1986">
        <v>2225</v>
      </c>
      <c r="S1986" s="50">
        <f t="shared" si="446"/>
        <v>71535.307499999995</v>
      </c>
      <c r="T1986" s="50">
        <f t="shared" si="451"/>
        <v>0</v>
      </c>
      <c r="U1986" s="58">
        <f t="shared" si="452"/>
        <v>0</v>
      </c>
      <c r="V1986" s="58">
        <f t="shared" si="453"/>
        <v>0</v>
      </c>
      <c r="W1986" s="58">
        <f t="shared" si="454"/>
        <v>0</v>
      </c>
      <c r="X1986" s="58">
        <f t="shared" si="455"/>
        <v>0</v>
      </c>
      <c r="Y1986" s="52">
        <f t="shared" si="456"/>
        <v>0</v>
      </c>
    </row>
    <row r="1987" spans="1:25" x14ac:dyDescent="0.25">
      <c r="A1987" s="1218" t="s">
        <v>145</v>
      </c>
      <c r="B1987" s="98">
        <v>45748</v>
      </c>
      <c r="C1987" s="117" t="str">
        <f t="shared" si="457"/>
        <v>5L</v>
      </c>
      <c r="F1987" s="99">
        <f t="shared" si="444"/>
        <v>0</v>
      </c>
      <c r="I1987" s="99">
        <f t="shared" si="460"/>
        <v>0</v>
      </c>
      <c r="L1987" s="99">
        <f t="shared" si="445"/>
        <v>0</v>
      </c>
      <c r="M1987" s="44" t="str">
        <f t="shared" si="447"/>
        <v/>
      </c>
      <c r="N1987" s="100">
        <f t="shared" si="448"/>
        <v>0</v>
      </c>
      <c r="O1987" s="101">
        <f t="shared" si="449"/>
        <v>0</v>
      </c>
      <c r="P1987" s="52">
        <f t="shared" si="450"/>
        <v>0</v>
      </c>
      <c r="Q1987" s="49">
        <v>116.88487613461319</v>
      </c>
      <c r="R1987">
        <v>2225</v>
      </c>
      <c r="S1987" s="50">
        <f t="shared" si="446"/>
        <v>71535.307499999995</v>
      </c>
      <c r="T1987" s="50">
        <f t="shared" si="451"/>
        <v>0</v>
      </c>
      <c r="U1987" s="58">
        <f t="shared" si="452"/>
        <v>0</v>
      </c>
      <c r="V1987" s="58">
        <f t="shared" si="453"/>
        <v>0</v>
      </c>
      <c r="W1987" s="58">
        <f t="shared" si="454"/>
        <v>0</v>
      </c>
      <c r="X1987" s="58">
        <f t="shared" si="455"/>
        <v>0</v>
      </c>
      <c r="Y1987" s="52">
        <f t="shared" si="456"/>
        <v>0</v>
      </c>
    </row>
    <row r="1988" spans="1:25" x14ac:dyDescent="0.25">
      <c r="A1988" s="1218" t="s">
        <v>146</v>
      </c>
      <c r="B1988" s="98">
        <v>45748</v>
      </c>
      <c r="C1988" s="117" t="str">
        <f t="shared" si="457"/>
        <v>5L</v>
      </c>
      <c r="F1988" s="99">
        <f t="shared" si="444"/>
        <v>0</v>
      </c>
      <c r="I1988" s="99">
        <f t="shared" si="460"/>
        <v>0</v>
      </c>
      <c r="L1988" s="99">
        <f t="shared" si="445"/>
        <v>0</v>
      </c>
      <c r="M1988" s="44" t="str">
        <f t="shared" si="447"/>
        <v/>
      </c>
      <c r="N1988" s="100">
        <f t="shared" si="448"/>
        <v>0</v>
      </c>
      <c r="O1988" s="101">
        <f t="shared" si="449"/>
        <v>0</v>
      </c>
      <c r="P1988" s="52">
        <f t="shared" si="450"/>
        <v>0</v>
      </c>
      <c r="Q1988" s="49">
        <v>116.88487613461319</v>
      </c>
      <c r="R1988">
        <v>2225</v>
      </c>
      <c r="S1988" s="50">
        <f t="shared" si="446"/>
        <v>71535.307499999995</v>
      </c>
      <c r="T1988" s="50">
        <f t="shared" si="451"/>
        <v>0</v>
      </c>
      <c r="U1988" s="58">
        <f t="shared" si="452"/>
        <v>0</v>
      </c>
      <c r="V1988" s="58">
        <f t="shared" si="453"/>
        <v>0</v>
      </c>
      <c r="W1988" s="58">
        <f t="shared" si="454"/>
        <v>0</v>
      </c>
      <c r="X1988" s="58">
        <f t="shared" si="455"/>
        <v>0</v>
      </c>
      <c r="Y1988" s="52">
        <f t="shared" si="456"/>
        <v>0</v>
      </c>
    </row>
    <row r="1989" spans="1:25" x14ac:dyDescent="0.25">
      <c r="A1989" s="1218" t="s">
        <v>147</v>
      </c>
      <c r="B1989" s="98">
        <v>45748</v>
      </c>
      <c r="C1989" s="117" t="str">
        <f t="shared" si="457"/>
        <v>5L</v>
      </c>
      <c r="F1989" s="99">
        <f t="shared" si="444"/>
        <v>0</v>
      </c>
      <c r="I1989" s="99">
        <f t="shared" si="460"/>
        <v>0</v>
      </c>
      <c r="L1989" s="99">
        <f t="shared" si="445"/>
        <v>0</v>
      </c>
      <c r="M1989" s="44" t="str">
        <f t="shared" si="447"/>
        <v/>
      </c>
      <c r="N1989" s="100">
        <f t="shared" si="448"/>
        <v>0</v>
      </c>
      <c r="O1989" s="101">
        <f t="shared" si="449"/>
        <v>0</v>
      </c>
      <c r="P1989" s="52">
        <f t="shared" si="450"/>
        <v>0</v>
      </c>
      <c r="Q1989" s="49">
        <v>116.88487613461319</v>
      </c>
      <c r="R1989">
        <v>2225</v>
      </c>
      <c r="S1989" s="50">
        <f t="shared" si="446"/>
        <v>71535.307499999995</v>
      </c>
      <c r="T1989" s="50">
        <f t="shared" si="451"/>
        <v>0</v>
      </c>
      <c r="U1989" s="58">
        <f t="shared" si="452"/>
        <v>0</v>
      </c>
      <c r="V1989" s="58">
        <f t="shared" si="453"/>
        <v>0</v>
      </c>
      <c r="W1989" s="58">
        <f t="shared" si="454"/>
        <v>0</v>
      </c>
      <c r="X1989" s="58">
        <f t="shared" si="455"/>
        <v>0</v>
      </c>
      <c r="Y1989" s="52">
        <f t="shared" si="456"/>
        <v>0</v>
      </c>
    </row>
    <row r="1990" spans="1:25" x14ac:dyDescent="0.25">
      <c r="A1990" s="1218" t="s">
        <v>148</v>
      </c>
      <c r="B1990" s="98">
        <v>45748</v>
      </c>
      <c r="C1990" s="117" t="str">
        <f t="shared" si="457"/>
        <v>5L</v>
      </c>
      <c r="F1990" s="99">
        <f t="shared" si="444"/>
        <v>0</v>
      </c>
      <c r="I1990" s="99">
        <f t="shared" si="460"/>
        <v>0</v>
      </c>
      <c r="L1990" s="99">
        <f t="shared" si="445"/>
        <v>0</v>
      </c>
      <c r="M1990" s="44" t="str">
        <f t="shared" si="447"/>
        <v/>
      </c>
      <c r="N1990" s="100">
        <f t="shared" si="448"/>
        <v>0</v>
      </c>
      <c r="O1990" s="101">
        <f t="shared" si="449"/>
        <v>0</v>
      </c>
      <c r="P1990" s="52">
        <f t="shared" si="450"/>
        <v>0</v>
      </c>
      <c r="Q1990" s="49">
        <v>116.88487613461319</v>
      </c>
      <c r="R1990">
        <v>2225</v>
      </c>
      <c r="S1990" s="50">
        <f t="shared" si="446"/>
        <v>71535.307499999995</v>
      </c>
      <c r="T1990" s="50">
        <f t="shared" si="451"/>
        <v>0</v>
      </c>
      <c r="U1990" s="58">
        <f t="shared" si="452"/>
        <v>0</v>
      </c>
      <c r="V1990" s="58">
        <f t="shared" si="453"/>
        <v>0</v>
      </c>
      <c r="W1990" s="58">
        <f t="shared" si="454"/>
        <v>0</v>
      </c>
      <c r="X1990" s="58">
        <f t="shared" si="455"/>
        <v>0</v>
      </c>
      <c r="Y1990" s="52">
        <f t="shared" si="456"/>
        <v>0</v>
      </c>
    </row>
    <row r="1991" spans="1:25" x14ac:dyDescent="0.25">
      <c r="A1991" s="1218" t="s">
        <v>149</v>
      </c>
      <c r="B1991" s="98">
        <v>45748</v>
      </c>
      <c r="C1991" s="117" t="str">
        <f t="shared" si="457"/>
        <v>5L</v>
      </c>
      <c r="F1991" s="99">
        <f t="shared" si="444"/>
        <v>0</v>
      </c>
      <c r="I1991" s="99">
        <f t="shared" si="460"/>
        <v>0</v>
      </c>
      <c r="L1991" s="99">
        <f t="shared" si="445"/>
        <v>0</v>
      </c>
      <c r="M1991" s="44" t="str">
        <f t="shared" si="447"/>
        <v/>
      </c>
      <c r="N1991" s="100">
        <f t="shared" si="448"/>
        <v>0</v>
      </c>
      <c r="O1991" s="101">
        <f t="shared" si="449"/>
        <v>0</v>
      </c>
      <c r="P1991" s="52">
        <f t="shared" si="450"/>
        <v>0</v>
      </c>
      <c r="Q1991" s="49">
        <v>116.88487613461319</v>
      </c>
      <c r="R1991">
        <v>2225</v>
      </c>
      <c r="S1991" s="50">
        <f t="shared" si="446"/>
        <v>71535.307499999995</v>
      </c>
      <c r="T1991" s="50">
        <f t="shared" si="451"/>
        <v>0</v>
      </c>
      <c r="U1991" s="58">
        <f t="shared" si="452"/>
        <v>0</v>
      </c>
      <c r="V1991" s="58">
        <f t="shared" si="453"/>
        <v>0</v>
      </c>
      <c r="W1991" s="58">
        <f t="shared" si="454"/>
        <v>0</v>
      </c>
      <c r="X1991" s="58">
        <f t="shared" si="455"/>
        <v>0</v>
      </c>
      <c r="Y1991" s="52">
        <f t="shared" si="456"/>
        <v>0</v>
      </c>
    </row>
    <row r="1992" spans="1:25" x14ac:dyDescent="0.25">
      <c r="A1992" s="1218" t="s">
        <v>150</v>
      </c>
      <c r="B1992" s="98">
        <v>45748</v>
      </c>
      <c r="C1992" s="117" t="str">
        <f t="shared" si="457"/>
        <v>6L</v>
      </c>
      <c r="F1992" s="99">
        <f t="shared" ref="F1992:F2055" si="461">IFERROR(D1992*E1992/1000,"")</f>
        <v>0</v>
      </c>
      <c r="G1992" s="58">
        <v>1960</v>
      </c>
      <c r="H1992">
        <v>3.09</v>
      </c>
      <c r="I1992" s="99">
        <f t="shared" si="460"/>
        <v>6.0564</v>
      </c>
      <c r="J1992">
        <f>'April 25 D_R (Tramming)'!G68</f>
        <v>1723</v>
      </c>
      <c r="K1992" s="49">
        <f>'April 25 D_R (Tramming)'!G71</f>
        <v>3.1921067904817186</v>
      </c>
      <c r="L1992" s="99">
        <f t="shared" si="445"/>
        <v>5.5000000000000009</v>
      </c>
      <c r="M1992" s="44">
        <f t="shared" si="447"/>
        <v>-9.1869757611782427E-2</v>
      </c>
      <c r="N1992" s="100">
        <f t="shared" si="448"/>
        <v>-237</v>
      </c>
      <c r="O1992" s="101">
        <f t="shared" si="449"/>
        <v>-0.55639999999999912</v>
      </c>
      <c r="P1992" s="52">
        <f t="shared" si="450"/>
        <v>192051.5496700615</v>
      </c>
      <c r="Q1992" s="49">
        <v>116.88487613461319</v>
      </c>
      <c r="R1992">
        <v>2225</v>
      </c>
      <c r="S1992" s="50">
        <f t="shared" si="446"/>
        <v>71535.307499999995</v>
      </c>
      <c r="T1992" s="50">
        <f t="shared" si="451"/>
        <v>433246.43634299998</v>
      </c>
      <c r="U1992" s="58">
        <f t="shared" si="452"/>
        <v>393444.19125000003</v>
      </c>
      <c r="V1992" s="58">
        <f t="shared" si="453"/>
        <v>229094.35722384186</v>
      </c>
      <c r="W1992" s="58">
        <f t="shared" si="454"/>
        <v>201392.64157993853</v>
      </c>
      <c r="X1992" s="58">
        <f t="shared" si="455"/>
        <v>204152.07911915812</v>
      </c>
      <c r="Y1992" s="52">
        <f t="shared" si="456"/>
        <v>192051.5496700615</v>
      </c>
    </row>
    <row r="1993" spans="1:25" x14ac:dyDescent="0.25">
      <c r="A1993" s="1218" t="s">
        <v>151</v>
      </c>
      <c r="B1993" s="98">
        <v>45748</v>
      </c>
      <c r="C1993" s="117" t="str">
        <f t="shared" si="457"/>
        <v>6L</v>
      </c>
      <c r="F1993" s="99">
        <f t="shared" si="461"/>
        <v>0</v>
      </c>
      <c r="G1993" s="58"/>
      <c r="I1993" s="99">
        <f t="shared" si="460"/>
        <v>0</v>
      </c>
      <c r="L1993" s="99">
        <f t="shared" si="445"/>
        <v>0</v>
      </c>
      <c r="M1993" s="44" t="str">
        <f t="shared" si="447"/>
        <v/>
      </c>
      <c r="N1993" s="100">
        <f t="shared" si="448"/>
        <v>0</v>
      </c>
      <c r="O1993" s="101">
        <f t="shared" si="449"/>
        <v>0</v>
      </c>
      <c r="P1993" s="52">
        <f t="shared" si="450"/>
        <v>0</v>
      </c>
      <c r="Q1993" s="49">
        <v>116.88487613461319</v>
      </c>
      <c r="R1993">
        <v>2225</v>
      </c>
      <c r="S1993" s="50">
        <f t="shared" si="446"/>
        <v>71535.307499999995</v>
      </c>
      <c r="T1993" s="50">
        <f t="shared" si="451"/>
        <v>0</v>
      </c>
      <c r="U1993" s="58">
        <f t="shared" si="452"/>
        <v>0</v>
      </c>
      <c r="V1993" s="58">
        <f t="shared" si="453"/>
        <v>0</v>
      </c>
      <c r="W1993" s="58">
        <f t="shared" si="454"/>
        <v>0</v>
      </c>
      <c r="X1993" s="58">
        <f t="shared" si="455"/>
        <v>0</v>
      </c>
      <c r="Y1993" s="52">
        <f t="shared" si="456"/>
        <v>0</v>
      </c>
    </row>
    <row r="1994" spans="1:25" x14ac:dyDescent="0.25">
      <c r="A1994" s="1218" t="s">
        <v>152</v>
      </c>
      <c r="B1994" s="98">
        <v>45748</v>
      </c>
      <c r="C1994" s="117" t="str">
        <f t="shared" si="457"/>
        <v>6L</v>
      </c>
      <c r="F1994" s="99">
        <f t="shared" si="461"/>
        <v>0</v>
      </c>
      <c r="G1994" s="58">
        <v>1960</v>
      </c>
      <c r="H1994">
        <v>3.09</v>
      </c>
      <c r="I1994" s="99">
        <f t="shared" si="460"/>
        <v>6.0564</v>
      </c>
      <c r="J1994">
        <f>'April 25 D_R (Tramming)'!G75</f>
        <v>2443</v>
      </c>
      <c r="K1994" s="49">
        <f>'April 25 D_R (Tramming)'!G78</f>
        <v>1.7601309864920185</v>
      </c>
      <c r="L1994" s="99"/>
      <c r="M1994" s="44"/>
      <c r="N1994" s="100"/>
      <c r="O1994" s="101"/>
      <c r="P1994" s="52"/>
      <c r="Q1994" s="49"/>
      <c r="S1994" s="50"/>
      <c r="T1994" s="50"/>
      <c r="U1994" s="58"/>
      <c r="V1994" s="58"/>
      <c r="W1994" s="58"/>
      <c r="X1994" s="58"/>
      <c r="Y1994" s="52"/>
    </row>
    <row r="1995" spans="1:25" x14ac:dyDescent="0.25">
      <c r="A1995" s="1218" t="s">
        <v>153</v>
      </c>
      <c r="B1995" s="98">
        <v>45748</v>
      </c>
      <c r="C1995" s="117" t="str">
        <f t="shared" si="457"/>
        <v>6L</v>
      </c>
      <c r="F1995" s="99">
        <f t="shared" si="461"/>
        <v>0</v>
      </c>
      <c r="G1995" s="58">
        <v>1960</v>
      </c>
      <c r="H1995">
        <v>2.31</v>
      </c>
      <c r="I1995" s="99">
        <f t="shared" si="460"/>
        <v>4.5276000000000005</v>
      </c>
      <c r="J1995">
        <f>'April 25 D_R (Tramming)'!G82</f>
        <v>2199</v>
      </c>
      <c r="K1995" s="49">
        <f>'April 25 D_R (Tramming)'!G85</f>
        <v>2.4556616643929057</v>
      </c>
      <c r="L1995" s="99"/>
      <c r="M1995" s="44"/>
      <c r="N1995" s="100"/>
      <c r="O1995" s="101"/>
      <c r="P1995" s="52"/>
      <c r="Q1995" s="49"/>
      <c r="S1995" s="50"/>
      <c r="T1995" s="50"/>
      <c r="U1995" s="58"/>
      <c r="V1995" s="58"/>
      <c r="W1995" s="58"/>
      <c r="X1995" s="58"/>
      <c r="Y1995" s="52"/>
    </row>
    <row r="1996" spans="1:25" x14ac:dyDescent="0.25">
      <c r="A1996" s="1218" t="s">
        <v>154</v>
      </c>
      <c r="B1996" s="98">
        <v>45748</v>
      </c>
      <c r="C1996" s="117" t="str">
        <f t="shared" si="457"/>
        <v>6L</v>
      </c>
      <c r="F1996" s="99">
        <f t="shared" si="461"/>
        <v>0</v>
      </c>
      <c r="G1996" s="58"/>
      <c r="I1996" s="99">
        <f t="shared" si="460"/>
        <v>0</v>
      </c>
      <c r="L1996" s="99"/>
      <c r="M1996" s="44"/>
      <c r="N1996" s="100"/>
      <c r="O1996" s="101"/>
      <c r="P1996" s="52"/>
      <c r="Q1996" s="49"/>
      <c r="S1996" s="50"/>
      <c r="T1996" s="50"/>
      <c r="U1996" s="58"/>
      <c r="V1996" s="58"/>
      <c r="W1996" s="58"/>
      <c r="X1996" s="58"/>
      <c r="Y1996" s="52"/>
    </row>
    <row r="1997" spans="1:25" x14ac:dyDescent="0.25">
      <c r="A1997" s="1218" t="s">
        <v>155</v>
      </c>
      <c r="B1997" s="98">
        <v>45748</v>
      </c>
      <c r="C1997" s="117" t="str">
        <f t="shared" si="457"/>
        <v>6L</v>
      </c>
      <c r="D1997">
        <v>2809</v>
      </c>
      <c r="E1997">
        <v>2.31</v>
      </c>
      <c r="F1997" s="99">
        <f t="shared" si="461"/>
        <v>6.4887899999999998</v>
      </c>
      <c r="G1997" s="58"/>
      <c r="I1997" s="99">
        <f t="shared" si="460"/>
        <v>0</v>
      </c>
      <c r="L1997" s="99">
        <f t="shared" si="445"/>
        <v>0</v>
      </c>
      <c r="M1997" s="44" t="str">
        <f t="shared" si="447"/>
        <v/>
      </c>
      <c r="N1997" s="100">
        <f t="shared" si="448"/>
        <v>0</v>
      </c>
      <c r="O1997" s="101">
        <f t="shared" si="449"/>
        <v>0</v>
      </c>
      <c r="P1997" s="52">
        <f t="shared" si="450"/>
        <v>0</v>
      </c>
      <c r="Q1997" s="49">
        <v>116.88487613461319</v>
      </c>
      <c r="R1997">
        <v>2225</v>
      </c>
      <c r="S1997" s="50">
        <f t="shared" si="446"/>
        <v>71535.307499999995</v>
      </c>
      <c r="T1997" s="50">
        <f t="shared" si="451"/>
        <v>0</v>
      </c>
      <c r="U1997" s="58">
        <f t="shared" si="452"/>
        <v>0</v>
      </c>
      <c r="V1997" s="58">
        <f t="shared" si="453"/>
        <v>0</v>
      </c>
      <c r="W1997" s="58">
        <f t="shared" si="454"/>
        <v>0</v>
      </c>
      <c r="X1997" s="58">
        <f t="shared" si="455"/>
        <v>0</v>
      </c>
      <c r="Y1997" s="52">
        <f t="shared" si="456"/>
        <v>0</v>
      </c>
    </row>
    <row r="1998" spans="1:25" x14ac:dyDescent="0.25">
      <c r="A1998" s="1218" t="s">
        <v>156</v>
      </c>
      <c r="B1998" s="98">
        <v>45748</v>
      </c>
      <c r="C1998" s="117" t="str">
        <f t="shared" si="457"/>
        <v>6L</v>
      </c>
      <c r="F1998" s="99">
        <f t="shared" si="461"/>
        <v>0</v>
      </c>
      <c r="G1998" s="58"/>
      <c r="I1998" s="99">
        <f t="shared" si="460"/>
        <v>0</v>
      </c>
      <c r="L1998" s="99"/>
      <c r="M1998" s="44"/>
      <c r="N1998" s="100"/>
      <c r="O1998" s="101"/>
      <c r="P1998" s="52"/>
      <c r="Q1998" s="49"/>
      <c r="S1998" s="50"/>
      <c r="T1998" s="50"/>
      <c r="U1998" s="58"/>
      <c r="V1998" s="58"/>
      <c r="W1998" s="58"/>
      <c r="X1998" s="58"/>
      <c r="Y1998" s="52"/>
    </row>
    <row r="1999" spans="1:25" x14ac:dyDescent="0.25">
      <c r="A1999" s="1218" t="s">
        <v>157</v>
      </c>
      <c r="B1999" s="98">
        <v>45748</v>
      </c>
      <c r="C1999" s="117" t="str">
        <f t="shared" si="457"/>
        <v>6L</v>
      </c>
      <c r="D1999" s="118">
        <v>1873</v>
      </c>
      <c r="E1999">
        <v>2.41</v>
      </c>
      <c r="F1999" s="99">
        <f t="shared" si="461"/>
        <v>4.5139300000000002</v>
      </c>
      <c r="G1999" s="58">
        <v>1960</v>
      </c>
      <c r="H1999">
        <v>2.2599999999999998</v>
      </c>
      <c r="I1999" s="99">
        <f t="shared" si="460"/>
        <v>4.4295999999999998</v>
      </c>
      <c r="J1999">
        <f>'April 25 D_R (Tramming)'!G89</f>
        <v>1134</v>
      </c>
      <c r="K1999" s="49">
        <f>'April 25 D_R (Tramming)'!G92</f>
        <v>1.5873015873015877</v>
      </c>
      <c r="L1999" s="99">
        <f t="shared" si="445"/>
        <v>1.8000000000000005</v>
      </c>
      <c r="M1999" s="44">
        <f t="shared" si="447"/>
        <v>-0.59364276684124961</v>
      </c>
      <c r="N1999" s="100">
        <f t="shared" si="448"/>
        <v>-826</v>
      </c>
      <c r="O1999" s="101">
        <f t="shared" si="449"/>
        <v>-2.629599999999999</v>
      </c>
      <c r="P1999" s="52">
        <f t="shared" si="450"/>
        <v>-3783.8960366513493</v>
      </c>
      <c r="Q1999" s="49">
        <v>116.88487613461319</v>
      </c>
      <c r="R1999">
        <v>2225</v>
      </c>
      <c r="S1999" s="50">
        <f t="shared" si="446"/>
        <v>71535.307499999995</v>
      </c>
      <c r="T1999" s="50">
        <f t="shared" si="451"/>
        <v>316872.79810199997</v>
      </c>
      <c r="U1999" s="58">
        <f t="shared" si="452"/>
        <v>128763.55350000002</v>
      </c>
      <c r="V1999" s="58">
        <f t="shared" si="453"/>
        <v>229094.35722384186</v>
      </c>
      <c r="W1999" s="58">
        <f t="shared" si="454"/>
        <v>132547.44953665137</v>
      </c>
      <c r="X1999" s="58">
        <f t="shared" si="455"/>
        <v>87778.440878158115</v>
      </c>
      <c r="Y1999" s="52">
        <f t="shared" si="456"/>
        <v>-3783.8960366513493</v>
      </c>
    </row>
    <row r="2000" spans="1:25" x14ac:dyDescent="0.25">
      <c r="A2000" s="1218" t="s">
        <v>158</v>
      </c>
      <c r="B2000" s="98">
        <v>45748</v>
      </c>
      <c r="C2000" s="117" t="str">
        <f t="shared" si="457"/>
        <v>6L</v>
      </c>
      <c r="F2000" s="99">
        <f t="shared" si="461"/>
        <v>0</v>
      </c>
      <c r="G2000" s="58">
        <v>3920</v>
      </c>
      <c r="H2000">
        <v>2.0099999999999998</v>
      </c>
      <c r="I2000" s="99">
        <f t="shared" si="460"/>
        <v>7.8791999999999991</v>
      </c>
      <c r="J2000">
        <f>'April 25 D_R (Tramming)'!G96</f>
        <v>2858.6</v>
      </c>
      <c r="K2000" s="49">
        <f>'April 25 D_R (Tramming)'!G99</f>
        <v>2.5536976142167491</v>
      </c>
      <c r="L2000" s="99">
        <f t="shared" si="445"/>
        <v>7.2999999999999989</v>
      </c>
      <c r="M2000" s="44">
        <f t="shared" si="447"/>
        <v>-7.3510001015331533E-2</v>
      </c>
      <c r="N2000" s="100">
        <f t="shared" si="448"/>
        <v>-1061.4000000000001</v>
      </c>
      <c r="O2000" s="101">
        <f t="shared" si="449"/>
        <v>-0.57920000000000016</v>
      </c>
      <c r="P2000" s="52">
        <f t="shared" si="450"/>
        <v>188080.63783159462</v>
      </c>
      <c r="Q2000" s="49">
        <v>116.88487613461319</v>
      </c>
      <c r="R2000">
        <v>2225</v>
      </c>
      <c r="S2000" s="50">
        <f t="shared" si="446"/>
        <v>71535.307499999995</v>
      </c>
      <c r="T2000" s="50">
        <f t="shared" si="451"/>
        <v>563640.99485399993</v>
      </c>
      <c r="U2000" s="58">
        <f t="shared" si="452"/>
        <v>522207.7447499999</v>
      </c>
      <c r="V2000" s="58">
        <f t="shared" si="453"/>
        <v>458188.71444768371</v>
      </c>
      <c r="W2000" s="58">
        <f t="shared" si="454"/>
        <v>334127.10691840528</v>
      </c>
      <c r="X2000" s="58">
        <f t="shared" si="455"/>
        <v>105452.28040631622</v>
      </c>
      <c r="Y2000" s="52">
        <f t="shared" si="456"/>
        <v>188080.63783159462</v>
      </c>
    </row>
    <row r="2001" spans="1:25" x14ac:dyDescent="0.25">
      <c r="A2001" s="1218" t="s">
        <v>159</v>
      </c>
      <c r="B2001" s="98">
        <v>45748</v>
      </c>
      <c r="C2001" s="117" t="str">
        <f t="shared" si="457"/>
        <v>6L</v>
      </c>
      <c r="F2001" s="99">
        <f t="shared" si="461"/>
        <v>0</v>
      </c>
      <c r="G2001" s="58">
        <v>1960</v>
      </c>
      <c r="H2001">
        <v>1.72</v>
      </c>
      <c r="I2001" s="99">
        <f t="shared" si="460"/>
        <v>3.3712</v>
      </c>
      <c r="J2001">
        <f>'April 25 D_R (Tramming)'!G103</f>
        <v>1950</v>
      </c>
      <c r="K2001" s="49">
        <f>'April 25 D_R (Tramming)'!G106</f>
        <v>3.4871794871794868</v>
      </c>
      <c r="L2001" s="99">
        <f t="shared" si="445"/>
        <v>6.7999999999999989</v>
      </c>
      <c r="M2001" s="44">
        <f t="shared" si="447"/>
        <v>1.0170859041290932</v>
      </c>
      <c r="N2001" s="100">
        <f t="shared" si="448"/>
        <v>-10</v>
      </c>
      <c r="O2001" s="101">
        <f t="shared" si="449"/>
        <v>3.428799999999999</v>
      </c>
      <c r="P2001" s="52">
        <f t="shared" si="450"/>
        <v>258514.58253750417</v>
      </c>
      <c r="Q2001" s="49">
        <v>116.88487613461319</v>
      </c>
      <c r="R2001">
        <v>2225</v>
      </c>
      <c r="S2001" s="50">
        <f t="shared" si="446"/>
        <v>71535.307499999995</v>
      </c>
      <c r="T2001" s="50">
        <f t="shared" si="451"/>
        <v>241159.82864399999</v>
      </c>
      <c r="U2001" s="58">
        <f t="shared" si="452"/>
        <v>486440.0909999999</v>
      </c>
      <c r="V2001" s="58">
        <f t="shared" si="453"/>
        <v>229094.35722384186</v>
      </c>
      <c r="W2001" s="58">
        <f t="shared" si="454"/>
        <v>227925.50846249572</v>
      </c>
      <c r="X2001" s="58">
        <f t="shared" si="455"/>
        <v>12065.471420158137</v>
      </c>
      <c r="Y2001" s="52">
        <f t="shared" si="456"/>
        <v>258514.58253750417</v>
      </c>
    </row>
    <row r="2002" spans="1:25" x14ac:dyDescent="0.25">
      <c r="A2002" s="1218" t="s">
        <v>160</v>
      </c>
      <c r="B2002" s="98">
        <v>45748</v>
      </c>
      <c r="C2002" s="117" t="str">
        <f t="shared" si="457"/>
        <v>6L</v>
      </c>
      <c r="F2002" s="99">
        <f t="shared" si="461"/>
        <v>0</v>
      </c>
      <c r="G2002" s="58"/>
      <c r="I2002" s="99">
        <f t="shared" si="460"/>
        <v>0</v>
      </c>
      <c r="L2002" s="99">
        <f t="shared" si="445"/>
        <v>0</v>
      </c>
      <c r="M2002" s="44" t="str">
        <f t="shared" si="447"/>
        <v/>
      </c>
      <c r="N2002" s="100">
        <f t="shared" si="448"/>
        <v>0</v>
      </c>
      <c r="O2002" s="101">
        <f t="shared" si="449"/>
        <v>0</v>
      </c>
      <c r="P2002" s="52">
        <f t="shared" si="450"/>
        <v>0</v>
      </c>
      <c r="Q2002" s="49">
        <v>116.88487613461319</v>
      </c>
      <c r="R2002">
        <v>2225</v>
      </c>
      <c r="S2002" s="50">
        <f t="shared" si="446"/>
        <v>71535.307499999995</v>
      </c>
      <c r="T2002" s="50">
        <f t="shared" si="451"/>
        <v>0</v>
      </c>
      <c r="U2002" s="58">
        <f t="shared" si="452"/>
        <v>0</v>
      </c>
      <c r="V2002" s="58">
        <f t="shared" si="453"/>
        <v>0</v>
      </c>
      <c r="W2002" s="58">
        <f t="shared" si="454"/>
        <v>0</v>
      </c>
      <c r="X2002" s="58">
        <f t="shared" si="455"/>
        <v>0</v>
      </c>
      <c r="Y2002" s="52">
        <f t="shared" si="456"/>
        <v>0</v>
      </c>
    </row>
    <row r="2003" spans="1:25" x14ac:dyDescent="0.25">
      <c r="A2003" s="1218" t="s">
        <v>161</v>
      </c>
      <c r="B2003" s="98">
        <v>45748</v>
      </c>
      <c r="C2003" s="117" t="str">
        <f t="shared" ref="C2003:C2066" si="462">LEFT(A2003,2)</f>
        <v>6L</v>
      </c>
      <c r="F2003" s="99">
        <f t="shared" si="461"/>
        <v>0</v>
      </c>
      <c r="G2003" s="58">
        <v>980</v>
      </c>
      <c r="H2003">
        <v>1.42</v>
      </c>
      <c r="I2003" s="99">
        <f t="shared" si="460"/>
        <v>1.3915999999999999</v>
      </c>
      <c r="L2003" s="99">
        <f t="shared" si="445"/>
        <v>0</v>
      </c>
      <c r="M2003" s="44">
        <f t="shared" si="447"/>
        <v>-1</v>
      </c>
      <c r="N2003" s="100">
        <f t="shared" si="448"/>
        <v>-980</v>
      </c>
      <c r="O2003" s="101">
        <f t="shared" si="449"/>
        <v>-1.3915999999999999</v>
      </c>
      <c r="P2003" s="52">
        <f t="shared" si="450"/>
        <v>0</v>
      </c>
      <c r="Q2003" s="49">
        <v>116.88487613461319</v>
      </c>
      <c r="R2003">
        <v>2225</v>
      </c>
      <c r="S2003" s="50">
        <f t="shared" si="446"/>
        <v>71535.307499999995</v>
      </c>
      <c r="T2003" s="50">
        <f t="shared" si="451"/>
        <v>99548.533916999993</v>
      </c>
      <c r="U2003" s="58">
        <f t="shared" si="452"/>
        <v>0</v>
      </c>
      <c r="V2003" s="58">
        <f t="shared" si="453"/>
        <v>114547.17861192093</v>
      </c>
      <c r="W2003" s="58">
        <f t="shared" si="454"/>
        <v>0</v>
      </c>
      <c r="X2003" s="58">
        <f t="shared" si="455"/>
        <v>-14998.644694920935</v>
      </c>
      <c r="Y2003" s="52">
        <f t="shared" si="456"/>
        <v>0</v>
      </c>
    </row>
    <row r="2004" spans="1:25" x14ac:dyDescent="0.25">
      <c r="A2004" s="1218" t="s">
        <v>162</v>
      </c>
      <c r="B2004" s="98">
        <v>45748</v>
      </c>
      <c r="C2004" s="117" t="str">
        <f t="shared" si="462"/>
        <v>6L</v>
      </c>
      <c r="F2004" s="99">
        <f t="shared" si="461"/>
        <v>0</v>
      </c>
      <c r="G2004" s="58"/>
      <c r="I2004" s="99">
        <f t="shared" si="460"/>
        <v>0</v>
      </c>
      <c r="L2004" s="99">
        <f t="shared" ref="L2004:L2065" si="463">IFERROR(J2004*K2004/1000,"")</f>
        <v>0</v>
      </c>
      <c r="M2004" s="44" t="str">
        <f t="shared" si="447"/>
        <v/>
      </c>
      <c r="N2004" s="100">
        <f t="shared" si="448"/>
        <v>0</v>
      </c>
      <c r="O2004" s="101">
        <f t="shared" si="449"/>
        <v>0</v>
      </c>
      <c r="P2004" s="52">
        <f t="shared" si="450"/>
        <v>0</v>
      </c>
      <c r="Q2004" s="49">
        <v>116.88487613461319</v>
      </c>
      <c r="R2004">
        <v>2225</v>
      </c>
      <c r="S2004" s="50">
        <f t="shared" ref="S2004:S2065" si="464">R2004*32.1507</f>
        <v>71535.307499999995</v>
      </c>
      <c r="T2004" s="50">
        <f t="shared" si="451"/>
        <v>0</v>
      </c>
      <c r="U2004" s="58">
        <f t="shared" si="452"/>
        <v>0</v>
      </c>
      <c r="V2004" s="58">
        <f t="shared" si="453"/>
        <v>0</v>
      </c>
      <c r="W2004" s="58">
        <f t="shared" si="454"/>
        <v>0</v>
      </c>
      <c r="X2004" s="58">
        <f t="shared" si="455"/>
        <v>0</v>
      </c>
      <c r="Y2004" s="52">
        <f t="shared" si="456"/>
        <v>0</v>
      </c>
    </row>
    <row r="2005" spans="1:25" x14ac:dyDescent="0.25">
      <c r="A2005" s="1218" t="s">
        <v>163</v>
      </c>
      <c r="B2005" s="98">
        <v>45748</v>
      </c>
      <c r="C2005" s="117" t="str">
        <f t="shared" si="462"/>
        <v>6L</v>
      </c>
      <c r="F2005" s="99">
        <f t="shared" si="461"/>
        <v>0</v>
      </c>
      <c r="G2005" s="58"/>
      <c r="I2005" s="99">
        <f t="shared" si="460"/>
        <v>0</v>
      </c>
      <c r="L2005" s="99">
        <f t="shared" si="463"/>
        <v>0</v>
      </c>
      <c r="M2005" s="44" t="str">
        <f t="shared" si="447"/>
        <v/>
      </c>
      <c r="N2005" s="100">
        <f t="shared" si="448"/>
        <v>0</v>
      </c>
      <c r="O2005" s="101">
        <f t="shared" si="449"/>
        <v>0</v>
      </c>
      <c r="P2005" s="52">
        <f t="shared" si="450"/>
        <v>0</v>
      </c>
      <c r="Q2005" s="49">
        <v>116.88487613461319</v>
      </c>
      <c r="R2005">
        <v>2225</v>
      </c>
      <c r="S2005" s="50">
        <f t="shared" si="464"/>
        <v>71535.307499999995</v>
      </c>
      <c r="T2005" s="50">
        <f t="shared" si="451"/>
        <v>0</v>
      </c>
      <c r="U2005" s="58">
        <f t="shared" si="452"/>
        <v>0</v>
      </c>
      <c r="V2005" s="58">
        <f t="shared" si="453"/>
        <v>0</v>
      </c>
      <c r="W2005" s="58">
        <f t="shared" si="454"/>
        <v>0</v>
      </c>
      <c r="X2005" s="58">
        <f t="shared" si="455"/>
        <v>0</v>
      </c>
      <c r="Y2005" s="52">
        <f t="shared" si="456"/>
        <v>0</v>
      </c>
    </row>
    <row r="2006" spans="1:25" x14ac:dyDescent="0.25">
      <c r="A2006" s="1218" t="s">
        <v>164</v>
      </c>
      <c r="B2006" s="98">
        <v>45748</v>
      </c>
      <c r="C2006" s="117" t="str">
        <f t="shared" si="462"/>
        <v>6L</v>
      </c>
      <c r="D2006">
        <v>1282</v>
      </c>
      <c r="E2006">
        <v>2.4500000000000002</v>
      </c>
      <c r="F2006" s="99">
        <f t="shared" si="461"/>
        <v>3.1409000000000002</v>
      </c>
      <c r="G2006" s="58"/>
      <c r="I2006" s="99">
        <f t="shared" si="460"/>
        <v>0</v>
      </c>
      <c r="L2006" s="99">
        <f t="shared" si="463"/>
        <v>0</v>
      </c>
      <c r="M2006" s="44" t="str">
        <f t="shared" ref="M2006:M2067" si="465">IFERROR((L2006-I2006)/I2006,"")</f>
        <v/>
      </c>
      <c r="N2006" s="100">
        <f t="shared" ref="N2006:N2067" si="466">J2006-G2006</f>
        <v>0</v>
      </c>
      <c r="O2006" s="101">
        <f t="shared" ref="O2006:O2067" si="467">L2006-I2006</f>
        <v>0</v>
      </c>
      <c r="P2006" s="52">
        <f t="shared" ref="P2006:P2067" si="468">U2006-W2006</f>
        <v>0</v>
      </c>
      <c r="Q2006" s="49">
        <v>116.88487613461319</v>
      </c>
      <c r="R2006">
        <v>2225</v>
      </c>
      <c r="S2006" s="50">
        <f t="shared" si="464"/>
        <v>71535.307499999995</v>
      </c>
      <c r="T2006" s="50">
        <f t="shared" ref="T2006:T2067" si="469">IFERROR(S2006*I2006,"")</f>
        <v>0</v>
      </c>
      <c r="U2006" s="58">
        <f t="shared" ref="U2006:U2067" si="470">IFERROR(S2006*L2006,"")</f>
        <v>0</v>
      </c>
      <c r="V2006" s="58">
        <f t="shared" ref="V2006:V2067" si="471">IFERROR(Q2006*G2006,"")</f>
        <v>0</v>
      </c>
      <c r="W2006" s="58">
        <f t="shared" ref="W2006:W2067" si="472">IFERROR(Q2006*J2006,"")</f>
        <v>0</v>
      </c>
      <c r="X2006" s="58">
        <f t="shared" ref="X2006:X2067" si="473">T2006-V2006</f>
        <v>0</v>
      </c>
      <c r="Y2006" s="52">
        <f t="shared" ref="Y2006:Y2067" si="474">U2006-W2006</f>
        <v>0</v>
      </c>
    </row>
    <row r="2007" spans="1:25" x14ac:dyDescent="0.25">
      <c r="A2007" s="1218" t="s">
        <v>165</v>
      </c>
      <c r="B2007" s="98">
        <v>45748</v>
      </c>
      <c r="C2007" s="117" t="str">
        <f t="shared" si="462"/>
        <v>6L</v>
      </c>
      <c r="F2007" s="99">
        <f t="shared" si="461"/>
        <v>0</v>
      </c>
      <c r="G2007" s="58"/>
      <c r="I2007" s="99">
        <f t="shared" si="460"/>
        <v>0</v>
      </c>
      <c r="L2007" s="99">
        <f t="shared" si="463"/>
        <v>0</v>
      </c>
      <c r="M2007" s="44" t="str">
        <f t="shared" si="465"/>
        <v/>
      </c>
      <c r="N2007" s="100">
        <f t="shared" si="466"/>
        <v>0</v>
      </c>
      <c r="O2007" s="101">
        <f t="shared" si="467"/>
        <v>0</v>
      </c>
      <c r="P2007" s="52">
        <f t="shared" si="468"/>
        <v>0</v>
      </c>
      <c r="Q2007" s="49">
        <v>116.88487613461319</v>
      </c>
      <c r="R2007">
        <v>2225</v>
      </c>
      <c r="S2007" s="50">
        <f t="shared" si="464"/>
        <v>71535.307499999995</v>
      </c>
      <c r="T2007" s="50">
        <f t="shared" si="469"/>
        <v>0</v>
      </c>
      <c r="U2007" s="58">
        <f t="shared" si="470"/>
        <v>0</v>
      </c>
      <c r="V2007" s="58">
        <f t="shared" si="471"/>
        <v>0</v>
      </c>
      <c r="W2007" s="58">
        <f t="shared" si="472"/>
        <v>0</v>
      </c>
      <c r="X2007" s="58">
        <f t="shared" si="473"/>
        <v>0</v>
      </c>
      <c r="Y2007" s="52">
        <f t="shared" si="474"/>
        <v>0</v>
      </c>
    </row>
    <row r="2008" spans="1:25" x14ac:dyDescent="0.25">
      <c r="A2008" s="1218" t="s">
        <v>166</v>
      </c>
      <c r="B2008" s="98">
        <v>45748</v>
      </c>
      <c r="C2008" s="117" t="str">
        <f t="shared" si="462"/>
        <v>6L</v>
      </c>
      <c r="F2008" s="99">
        <f t="shared" si="461"/>
        <v>0</v>
      </c>
      <c r="G2008" s="58"/>
      <c r="I2008" s="99">
        <f t="shared" si="460"/>
        <v>0</v>
      </c>
      <c r="L2008" s="99">
        <f t="shared" si="463"/>
        <v>0</v>
      </c>
      <c r="M2008" s="44" t="str">
        <f t="shared" si="465"/>
        <v/>
      </c>
      <c r="N2008" s="100">
        <f t="shared" si="466"/>
        <v>0</v>
      </c>
      <c r="O2008" s="101">
        <f t="shared" si="467"/>
        <v>0</v>
      </c>
      <c r="P2008" s="52">
        <f t="shared" si="468"/>
        <v>0</v>
      </c>
      <c r="Q2008" s="49">
        <v>116.88487613461319</v>
      </c>
      <c r="R2008">
        <v>2225</v>
      </c>
      <c r="S2008" s="50">
        <f t="shared" si="464"/>
        <v>71535.307499999995</v>
      </c>
      <c r="T2008" s="50">
        <f t="shared" si="469"/>
        <v>0</v>
      </c>
      <c r="U2008" s="58">
        <f t="shared" si="470"/>
        <v>0</v>
      </c>
      <c r="V2008" s="58">
        <f t="shared" si="471"/>
        <v>0</v>
      </c>
      <c r="W2008" s="58">
        <f t="shared" si="472"/>
        <v>0</v>
      </c>
      <c r="X2008" s="58">
        <f t="shared" si="473"/>
        <v>0</v>
      </c>
      <c r="Y2008" s="52">
        <f t="shared" si="474"/>
        <v>0</v>
      </c>
    </row>
    <row r="2009" spans="1:25" x14ac:dyDescent="0.25">
      <c r="A2009" s="1218" t="s">
        <v>167</v>
      </c>
      <c r="B2009" s="98">
        <v>45748</v>
      </c>
      <c r="C2009" s="117" t="str">
        <f t="shared" si="462"/>
        <v>6L</v>
      </c>
      <c r="F2009" s="99">
        <f t="shared" si="461"/>
        <v>0</v>
      </c>
      <c r="G2009" s="58"/>
      <c r="I2009" s="99">
        <f t="shared" si="460"/>
        <v>0</v>
      </c>
      <c r="L2009" s="99">
        <f t="shared" si="463"/>
        <v>0</v>
      </c>
      <c r="M2009" s="44" t="str">
        <f t="shared" si="465"/>
        <v/>
      </c>
      <c r="N2009" s="100">
        <f t="shared" si="466"/>
        <v>0</v>
      </c>
      <c r="O2009" s="101">
        <f t="shared" si="467"/>
        <v>0</v>
      </c>
      <c r="P2009" s="52">
        <f t="shared" si="468"/>
        <v>0</v>
      </c>
      <c r="Q2009" s="49">
        <v>116.88487613461319</v>
      </c>
      <c r="R2009">
        <v>2225</v>
      </c>
      <c r="S2009" s="50">
        <f t="shared" si="464"/>
        <v>71535.307499999995</v>
      </c>
      <c r="T2009" s="50">
        <f t="shared" si="469"/>
        <v>0</v>
      </c>
      <c r="U2009" s="58">
        <f t="shared" si="470"/>
        <v>0</v>
      </c>
      <c r="V2009" s="58">
        <f t="shared" si="471"/>
        <v>0</v>
      </c>
      <c r="W2009" s="58">
        <f t="shared" si="472"/>
        <v>0</v>
      </c>
      <c r="X2009" s="58">
        <f t="shared" si="473"/>
        <v>0</v>
      </c>
      <c r="Y2009" s="52">
        <f t="shared" si="474"/>
        <v>0</v>
      </c>
    </row>
    <row r="2010" spans="1:25" x14ac:dyDescent="0.25">
      <c r="A2010" s="1218" t="s">
        <v>168</v>
      </c>
      <c r="B2010" s="98">
        <v>45748</v>
      </c>
      <c r="C2010" s="117" t="str">
        <f t="shared" si="462"/>
        <v>6L</v>
      </c>
      <c r="D2010">
        <v>635</v>
      </c>
      <c r="E2010">
        <v>2.85</v>
      </c>
      <c r="F2010" s="99">
        <f t="shared" si="461"/>
        <v>1.80975</v>
      </c>
      <c r="G2010" s="58"/>
      <c r="I2010" s="99">
        <f t="shared" si="460"/>
        <v>0</v>
      </c>
      <c r="L2010" s="99">
        <f t="shared" si="463"/>
        <v>0</v>
      </c>
      <c r="M2010" s="44" t="str">
        <f t="shared" si="465"/>
        <v/>
      </c>
      <c r="N2010" s="100">
        <f t="shared" si="466"/>
        <v>0</v>
      </c>
      <c r="O2010" s="101">
        <f t="shared" si="467"/>
        <v>0</v>
      </c>
      <c r="P2010" s="52">
        <f t="shared" si="468"/>
        <v>0</v>
      </c>
      <c r="Q2010" s="49">
        <v>116.88487613461319</v>
      </c>
      <c r="R2010">
        <v>2225</v>
      </c>
      <c r="S2010" s="50">
        <f t="shared" si="464"/>
        <v>71535.307499999995</v>
      </c>
      <c r="T2010" s="50">
        <f t="shared" si="469"/>
        <v>0</v>
      </c>
      <c r="U2010" s="58">
        <f t="shared" si="470"/>
        <v>0</v>
      </c>
      <c r="V2010" s="58">
        <f t="shared" si="471"/>
        <v>0</v>
      </c>
      <c r="W2010" s="58">
        <f t="shared" si="472"/>
        <v>0</v>
      </c>
      <c r="X2010" s="58">
        <f t="shared" si="473"/>
        <v>0</v>
      </c>
      <c r="Y2010" s="52">
        <f t="shared" si="474"/>
        <v>0</v>
      </c>
    </row>
    <row r="2011" spans="1:25" x14ac:dyDescent="0.25">
      <c r="A2011" s="1218" t="s">
        <v>169</v>
      </c>
      <c r="B2011" s="98">
        <v>45748</v>
      </c>
      <c r="C2011" s="117" t="str">
        <f t="shared" si="462"/>
        <v>6L</v>
      </c>
      <c r="F2011" s="99">
        <f t="shared" si="461"/>
        <v>0</v>
      </c>
      <c r="G2011" s="58"/>
      <c r="I2011" s="99">
        <f t="shared" si="460"/>
        <v>0</v>
      </c>
      <c r="L2011" s="99">
        <f t="shared" si="463"/>
        <v>0</v>
      </c>
      <c r="M2011" s="44" t="str">
        <f t="shared" si="465"/>
        <v/>
      </c>
      <c r="N2011" s="100">
        <f t="shared" si="466"/>
        <v>0</v>
      </c>
      <c r="O2011" s="101">
        <f t="shared" si="467"/>
        <v>0</v>
      </c>
      <c r="P2011" s="52">
        <f t="shared" si="468"/>
        <v>0</v>
      </c>
      <c r="Q2011" s="49">
        <v>116.88487613461319</v>
      </c>
      <c r="R2011">
        <v>2225</v>
      </c>
      <c r="S2011" s="50">
        <f t="shared" si="464"/>
        <v>71535.307499999995</v>
      </c>
      <c r="T2011" s="50">
        <f t="shared" si="469"/>
        <v>0</v>
      </c>
      <c r="U2011" s="58">
        <f t="shared" si="470"/>
        <v>0</v>
      </c>
      <c r="V2011" s="58">
        <f t="shared" si="471"/>
        <v>0</v>
      </c>
      <c r="W2011" s="58">
        <f t="shared" si="472"/>
        <v>0</v>
      </c>
      <c r="X2011" s="58">
        <f t="shared" si="473"/>
        <v>0</v>
      </c>
      <c r="Y2011" s="52">
        <f t="shared" si="474"/>
        <v>0</v>
      </c>
    </row>
    <row r="2012" spans="1:25" x14ac:dyDescent="0.25">
      <c r="A2012" s="1218" t="s">
        <v>170</v>
      </c>
      <c r="B2012" s="98">
        <v>45748</v>
      </c>
      <c r="C2012" s="117" t="str">
        <f t="shared" si="462"/>
        <v>6L</v>
      </c>
      <c r="F2012" s="99">
        <f t="shared" si="461"/>
        <v>0</v>
      </c>
      <c r="G2012" s="58"/>
      <c r="I2012" s="99">
        <f t="shared" si="460"/>
        <v>0</v>
      </c>
      <c r="L2012" s="99">
        <f t="shared" si="463"/>
        <v>0</v>
      </c>
      <c r="M2012" s="44" t="str">
        <f t="shared" si="465"/>
        <v/>
      </c>
      <c r="N2012" s="100">
        <f t="shared" si="466"/>
        <v>0</v>
      </c>
      <c r="O2012" s="101">
        <f t="shared" si="467"/>
        <v>0</v>
      </c>
      <c r="P2012" s="52">
        <f t="shared" si="468"/>
        <v>0</v>
      </c>
      <c r="Q2012" s="49">
        <v>116.88487613461319</v>
      </c>
      <c r="R2012">
        <v>2225</v>
      </c>
      <c r="S2012" s="50">
        <f t="shared" si="464"/>
        <v>71535.307499999995</v>
      </c>
      <c r="T2012" s="50">
        <f t="shared" si="469"/>
        <v>0</v>
      </c>
      <c r="U2012" s="58">
        <f t="shared" si="470"/>
        <v>0</v>
      </c>
      <c r="V2012" s="58">
        <f t="shared" si="471"/>
        <v>0</v>
      </c>
      <c r="W2012" s="58">
        <f t="shared" si="472"/>
        <v>0</v>
      </c>
      <c r="X2012" s="58">
        <f t="shared" si="473"/>
        <v>0</v>
      </c>
      <c r="Y2012" s="52">
        <f t="shared" si="474"/>
        <v>0</v>
      </c>
    </row>
    <row r="2013" spans="1:25" x14ac:dyDescent="0.25">
      <c r="A2013" s="1218" t="s">
        <v>171</v>
      </c>
      <c r="B2013" s="98">
        <v>45748</v>
      </c>
      <c r="C2013" s="117" t="str">
        <f t="shared" si="462"/>
        <v>6L</v>
      </c>
      <c r="F2013" s="99">
        <f t="shared" si="461"/>
        <v>0</v>
      </c>
      <c r="G2013" s="58"/>
      <c r="I2013" s="99">
        <f t="shared" si="460"/>
        <v>0</v>
      </c>
      <c r="L2013" s="99">
        <f t="shared" si="463"/>
        <v>0</v>
      </c>
      <c r="M2013" s="44" t="str">
        <f t="shared" si="465"/>
        <v/>
      </c>
      <c r="N2013" s="100">
        <f t="shared" si="466"/>
        <v>0</v>
      </c>
      <c r="O2013" s="101">
        <f t="shared" si="467"/>
        <v>0</v>
      </c>
      <c r="P2013" s="52">
        <f t="shared" si="468"/>
        <v>0</v>
      </c>
      <c r="Q2013" s="49">
        <v>116.88487613461319</v>
      </c>
      <c r="R2013">
        <v>2225</v>
      </c>
      <c r="S2013" s="50">
        <f t="shared" si="464"/>
        <v>71535.307499999995</v>
      </c>
      <c r="T2013" s="50">
        <f t="shared" si="469"/>
        <v>0</v>
      </c>
      <c r="U2013" s="58">
        <f t="shared" si="470"/>
        <v>0</v>
      </c>
      <c r="V2013" s="58">
        <f t="shared" si="471"/>
        <v>0</v>
      </c>
      <c r="W2013" s="58">
        <f t="shared" si="472"/>
        <v>0</v>
      </c>
      <c r="X2013" s="58">
        <f t="shared" si="473"/>
        <v>0</v>
      </c>
      <c r="Y2013" s="52">
        <f t="shared" si="474"/>
        <v>0</v>
      </c>
    </row>
    <row r="2014" spans="1:25" x14ac:dyDescent="0.25">
      <c r="A2014" s="1218" t="s">
        <v>172</v>
      </c>
      <c r="B2014" s="98">
        <v>45748</v>
      </c>
      <c r="C2014" s="117" t="str">
        <f t="shared" si="462"/>
        <v>6L</v>
      </c>
      <c r="F2014" s="99">
        <f t="shared" si="461"/>
        <v>0</v>
      </c>
      <c r="G2014" s="58"/>
      <c r="I2014" s="99">
        <f t="shared" si="460"/>
        <v>0</v>
      </c>
      <c r="L2014" s="99">
        <f t="shared" si="463"/>
        <v>0</v>
      </c>
      <c r="M2014" s="44" t="str">
        <f t="shared" si="465"/>
        <v/>
      </c>
      <c r="N2014" s="100">
        <f t="shared" si="466"/>
        <v>0</v>
      </c>
      <c r="O2014" s="101">
        <f t="shared" si="467"/>
        <v>0</v>
      </c>
      <c r="P2014" s="52">
        <f t="shared" si="468"/>
        <v>0</v>
      </c>
      <c r="Q2014" s="49">
        <v>116.88487613461319</v>
      </c>
      <c r="R2014">
        <v>2225</v>
      </c>
      <c r="S2014" s="50">
        <f t="shared" si="464"/>
        <v>71535.307499999995</v>
      </c>
      <c r="T2014" s="50">
        <f t="shared" si="469"/>
        <v>0</v>
      </c>
      <c r="U2014" s="58">
        <f t="shared" si="470"/>
        <v>0</v>
      </c>
      <c r="V2014" s="58">
        <f t="shared" si="471"/>
        <v>0</v>
      </c>
      <c r="W2014" s="58">
        <f t="shared" si="472"/>
        <v>0</v>
      </c>
      <c r="X2014" s="58">
        <f t="shared" si="473"/>
        <v>0</v>
      </c>
      <c r="Y2014" s="52">
        <f t="shared" si="474"/>
        <v>0</v>
      </c>
    </row>
    <row r="2015" spans="1:25" x14ac:dyDescent="0.25">
      <c r="A2015" s="1218" t="s">
        <v>173</v>
      </c>
      <c r="B2015" s="98">
        <v>45748</v>
      </c>
      <c r="C2015" s="117" t="str">
        <f t="shared" si="462"/>
        <v>6L</v>
      </c>
      <c r="F2015" s="99">
        <f t="shared" si="461"/>
        <v>0</v>
      </c>
      <c r="I2015" s="99">
        <f t="shared" si="460"/>
        <v>0</v>
      </c>
      <c r="L2015" s="99">
        <f t="shared" si="463"/>
        <v>0</v>
      </c>
      <c r="M2015" s="44" t="str">
        <f t="shared" si="465"/>
        <v/>
      </c>
      <c r="N2015" s="100">
        <f t="shared" si="466"/>
        <v>0</v>
      </c>
      <c r="O2015" s="101">
        <f t="shared" si="467"/>
        <v>0</v>
      </c>
      <c r="P2015" s="52">
        <f t="shared" si="468"/>
        <v>0</v>
      </c>
      <c r="Q2015" s="49">
        <v>116.88487613461319</v>
      </c>
      <c r="R2015">
        <v>2225</v>
      </c>
      <c r="S2015" s="50">
        <f t="shared" si="464"/>
        <v>71535.307499999995</v>
      </c>
      <c r="T2015" s="50">
        <f t="shared" si="469"/>
        <v>0</v>
      </c>
      <c r="U2015" s="58">
        <f t="shared" si="470"/>
        <v>0</v>
      </c>
      <c r="V2015" s="58">
        <f t="shared" si="471"/>
        <v>0</v>
      </c>
      <c r="W2015" s="58">
        <f t="shared" si="472"/>
        <v>0</v>
      </c>
      <c r="X2015" s="58">
        <f t="shared" si="473"/>
        <v>0</v>
      </c>
      <c r="Y2015" s="52">
        <f t="shared" si="474"/>
        <v>0</v>
      </c>
    </row>
    <row r="2016" spans="1:25" x14ac:dyDescent="0.25">
      <c r="A2016" s="1218" t="s">
        <v>174</v>
      </c>
      <c r="B2016" s="98">
        <v>45748</v>
      </c>
      <c r="C2016" s="117" t="str">
        <f t="shared" si="462"/>
        <v>6L</v>
      </c>
      <c r="D2016">
        <v>1007</v>
      </c>
      <c r="E2016">
        <v>2.0099999999999998</v>
      </c>
      <c r="F2016" s="99">
        <f t="shared" si="461"/>
        <v>2.0240699999999996</v>
      </c>
      <c r="I2016" s="99">
        <f t="shared" si="460"/>
        <v>0</v>
      </c>
      <c r="L2016" s="99">
        <f t="shared" si="463"/>
        <v>0</v>
      </c>
      <c r="M2016" s="44" t="str">
        <f t="shared" si="465"/>
        <v/>
      </c>
      <c r="N2016" s="100">
        <f t="shared" si="466"/>
        <v>0</v>
      </c>
      <c r="O2016" s="101">
        <f t="shared" si="467"/>
        <v>0</v>
      </c>
      <c r="P2016" s="52">
        <f t="shared" si="468"/>
        <v>0</v>
      </c>
      <c r="Q2016" s="49">
        <v>116.88487613461319</v>
      </c>
      <c r="R2016">
        <v>2225</v>
      </c>
      <c r="S2016" s="50">
        <f t="shared" si="464"/>
        <v>71535.307499999995</v>
      </c>
      <c r="T2016" s="50">
        <f t="shared" si="469"/>
        <v>0</v>
      </c>
      <c r="U2016" s="58">
        <f t="shared" si="470"/>
        <v>0</v>
      </c>
      <c r="V2016" s="58">
        <f t="shared" si="471"/>
        <v>0</v>
      </c>
      <c r="W2016" s="58">
        <f t="shared" si="472"/>
        <v>0</v>
      </c>
      <c r="X2016" s="58">
        <f t="shared" si="473"/>
        <v>0</v>
      </c>
      <c r="Y2016" s="52">
        <f t="shared" si="474"/>
        <v>0</v>
      </c>
    </row>
    <row r="2017" spans="1:25" x14ac:dyDescent="0.25">
      <c r="A2017" s="1218" t="s">
        <v>175</v>
      </c>
      <c r="B2017" s="98">
        <v>45748</v>
      </c>
      <c r="C2017" s="117" t="str">
        <f t="shared" si="462"/>
        <v>6L</v>
      </c>
      <c r="F2017" s="99">
        <f t="shared" si="461"/>
        <v>0</v>
      </c>
      <c r="I2017" s="99">
        <f t="shared" si="460"/>
        <v>0</v>
      </c>
      <c r="L2017" s="99">
        <f t="shared" si="463"/>
        <v>0</v>
      </c>
      <c r="M2017" s="44" t="str">
        <f t="shared" si="465"/>
        <v/>
      </c>
      <c r="N2017" s="100">
        <f t="shared" si="466"/>
        <v>0</v>
      </c>
      <c r="O2017" s="101">
        <f t="shared" si="467"/>
        <v>0</v>
      </c>
      <c r="P2017" s="52">
        <f t="shared" si="468"/>
        <v>0</v>
      </c>
      <c r="Q2017" s="49">
        <v>116.88487613461319</v>
      </c>
      <c r="R2017">
        <v>2225</v>
      </c>
      <c r="S2017" s="50">
        <f t="shared" si="464"/>
        <v>71535.307499999995</v>
      </c>
      <c r="T2017" s="50">
        <f t="shared" si="469"/>
        <v>0</v>
      </c>
      <c r="U2017" s="58">
        <f t="shared" si="470"/>
        <v>0</v>
      </c>
      <c r="V2017" s="58">
        <f t="shared" si="471"/>
        <v>0</v>
      </c>
      <c r="W2017" s="58">
        <f t="shared" si="472"/>
        <v>0</v>
      </c>
      <c r="X2017" s="58">
        <f t="shared" si="473"/>
        <v>0</v>
      </c>
      <c r="Y2017" s="52">
        <f t="shared" si="474"/>
        <v>0</v>
      </c>
    </row>
    <row r="2018" spans="1:25" x14ac:dyDescent="0.25">
      <c r="A2018" s="1218" t="s">
        <v>176</v>
      </c>
      <c r="B2018" s="98">
        <v>45748</v>
      </c>
      <c r="C2018" s="117" t="str">
        <f t="shared" si="462"/>
        <v>6L</v>
      </c>
      <c r="F2018" s="99">
        <f t="shared" si="461"/>
        <v>0</v>
      </c>
      <c r="I2018" s="99">
        <f t="shared" si="460"/>
        <v>0</v>
      </c>
      <c r="L2018" s="99">
        <f t="shared" si="463"/>
        <v>0</v>
      </c>
      <c r="M2018" s="44" t="str">
        <f t="shared" si="465"/>
        <v/>
      </c>
      <c r="N2018" s="100">
        <f t="shared" si="466"/>
        <v>0</v>
      </c>
      <c r="O2018" s="101">
        <f t="shared" si="467"/>
        <v>0</v>
      </c>
      <c r="P2018" s="52">
        <f t="shared" si="468"/>
        <v>0</v>
      </c>
      <c r="Q2018" s="49">
        <v>116.88487613461319</v>
      </c>
      <c r="R2018">
        <v>2225</v>
      </c>
      <c r="S2018" s="50">
        <f t="shared" si="464"/>
        <v>71535.307499999995</v>
      </c>
      <c r="T2018" s="50">
        <f t="shared" si="469"/>
        <v>0</v>
      </c>
      <c r="U2018" s="58">
        <f t="shared" si="470"/>
        <v>0</v>
      </c>
      <c r="V2018" s="58">
        <f t="shared" si="471"/>
        <v>0</v>
      </c>
      <c r="W2018" s="58">
        <f t="shared" si="472"/>
        <v>0</v>
      </c>
      <c r="X2018" s="58">
        <f t="shared" si="473"/>
        <v>0</v>
      </c>
      <c r="Y2018" s="52">
        <f t="shared" si="474"/>
        <v>0</v>
      </c>
    </row>
    <row r="2019" spans="1:25" x14ac:dyDescent="0.25">
      <c r="A2019" s="1218" t="s">
        <v>177</v>
      </c>
      <c r="B2019" s="98">
        <v>45748</v>
      </c>
      <c r="C2019" s="117" t="str">
        <f t="shared" si="462"/>
        <v>6L</v>
      </c>
      <c r="F2019" s="99">
        <f t="shared" si="461"/>
        <v>0</v>
      </c>
      <c r="I2019" s="99">
        <f t="shared" si="460"/>
        <v>0</v>
      </c>
      <c r="L2019" s="99">
        <f t="shared" si="463"/>
        <v>0</v>
      </c>
      <c r="M2019" s="44" t="str">
        <f t="shared" si="465"/>
        <v/>
      </c>
      <c r="N2019" s="100">
        <f t="shared" si="466"/>
        <v>0</v>
      </c>
      <c r="O2019" s="101">
        <f t="shared" si="467"/>
        <v>0</v>
      </c>
      <c r="P2019" s="52">
        <f t="shared" si="468"/>
        <v>0</v>
      </c>
      <c r="Q2019" s="49">
        <v>116.88487613461319</v>
      </c>
      <c r="R2019">
        <v>2225</v>
      </c>
      <c r="S2019" s="50">
        <f t="shared" si="464"/>
        <v>71535.307499999995</v>
      </c>
      <c r="T2019" s="50">
        <f t="shared" si="469"/>
        <v>0</v>
      </c>
      <c r="U2019" s="58">
        <f t="shared" si="470"/>
        <v>0</v>
      </c>
      <c r="V2019" s="58">
        <f t="shared" si="471"/>
        <v>0</v>
      </c>
      <c r="W2019" s="58">
        <f t="shared" si="472"/>
        <v>0</v>
      </c>
      <c r="X2019" s="58">
        <f t="shared" si="473"/>
        <v>0</v>
      </c>
      <c r="Y2019" s="52">
        <f t="shared" si="474"/>
        <v>0</v>
      </c>
    </row>
    <row r="2020" spans="1:25" x14ac:dyDescent="0.25">
      <c r="A2020" s="1218" t="s">
        <v>178</v>
      </c>
      <c r="B2020" s="98">
        <v>45748</v>
      </c>
      <c r="C2020" s="117" t="str">
        <f t="shared" si="462"/>
        <v>7L</v>
      </c>
      <c r="F2020" s="99">
        <f t="shared" si="461"/>
        <v>0</v>
      </c>
      <c r="I2020" s="99">
        <f t="shared" si="460"/>
        <v>0</v>
      </c>
      <c r="L2020" s="99">
        <f t="shared" si="463"/>
        <v>0</v>
      </c>
      <c r="M2020" s="44" t="str">
        <f t="shared" si="465"/>
        <v/>
      </c>
      <c r="N2020" s="100">
        <f t="shared" si="466"/>
        <v>0</v>
      </c>
      <c r="O2020" s="101">
        <f t="shared" si="467"/>
        <v>0</v>
      </c>
      <c r="P2020" s="52">
        <f t="shared" si="468"/>
        <v>0</v>
      </c>
      <c r="Q2020" s="49">
        <v>116.88487613461319</v>
      </c>
      <c r="R2020">
        <v>2225</v>
      </c>
      <c r="S2020" s="50">
        <f t="shared" si="464"/>
        <v>71535.307499999995</v>
      </c>
      <c r="T2020" s="50">
        <f t="shared" si="469"/>
        <v>0</v>
      </c>
      <c r="U2020" s="58">
        <f t="shared" si="470"/>
        <v>0</v>
      </c>
      <c r="V2020" s="58">
        <f t="shared" si="471"/>
        <v>0</v>
      </c>
      <c r="W2020" s="58">
        <f t="shared" si="472"/>
        <v>0</v>
      </c>
      <c r="X2020" s="58">
        <f t="shared" si="473"/>
        <v>0</v>
      </c>
      <c r="Y2020" s="52">
        <f t="shared" si="474"/>
        <v>0</v>
      </c>
    </row>
    <row r="2021" spans="1:25" x14ac:dyDescent="0.25">
      <c r="A2021" s="1218" t="s">
        <v>179</v>
      </c>
      <c r="B2021" s="98">
        <v>45748</v>
      </c>
      <c r="C2021" s="117" t="str">
        <f t="shared" si="462"/>
        <v>7L</v>
      </c>
      <c r="F2021" s="99">
        <f t="shared" si="461"/>
        <v>0</v>
      </c>
      <c r="I2021" s="99">
        <f t="shared" si="460"/>
        <v>0</v>
      </c>
      <c r="L2021" s="99">
        <f t="shared" si="463"/>
        <v>0</v>
      </c>
      <c r="M2021" s="44" t="str">
        <f t="shared" si="465"/>
        <v/>
      </c>
      <c r="N2021" s="100">
        <f t="shared" si="466"/>
        <v>0</v>
      </c>
      <c r="O2021" s="101">
        <f t="shared" si="467"/>
        <v>0</v>
      </c>
      <c r="P2021" s="52">
        <f t="shared" si="468"/>
        <v>0</v>
      </c>
      <c r="Q2021" s="49">
        <v>116.88487613461319</v>
      </c>
      <c r="R2021">
        <v>2225</v>
      </c>
      <c r="S2021" s="50">
        <f t="shared" si="464"/>
        <v>71535.307499999995</v>
      </c>
      <c r="T2021" s="50">
        <f t="shared" si="469"/>
        <v>0</v>
      </c>
      <c r="U2021" s="58">
        <f t="shared" si="470"/>
        <v>0</v>
      </c>
      <c r="V2021" s="58">
        <f t="shared" si="471"/>
        <v>0</v>
      </c>
      <c r="W2021" s="58">
        <f t="shared" si="472"/>
        <v>0</v>
      </c>
      <c r="X2021" s="58">
        <f t="shared" si="473"/>
        <v>0</v>
      </c>
      <c r="Y2021" s="52">
        <f t="shared" si="474"/>
        <v>0</v>
      </c>
    </row>
    <row r="2022" spans="1:25" x14ac:dyDescent="0.25">
      <c r="A2022" s="1218" t="s">
        <v>180</v>
      </c>
      <c r="B2022" s="98">
        <v>45748</v>
      </c>
      <c r="C2022" s="117" t="str">
        <f t="shared" si="462"/>
        <v>7L</v>
      </c>
      <c r="F2022" s="99">
        <f t="shared" si="461"/>
        <v>0</v>
      </c>
      <c r="I2022" s="99">
        <f t="shared" si="460"/>
        <v>0</v>
      </c>
      <c r="L2022" s="99">
        <f t="shared" si="463"/>
        <v>0</v>
      </c>
      <c r="M2022" s="44" t="str">
        <f t="shared" si="465"/>
        <v/>
      </c>
      <c r="N2022" s="100">
        <f t="shared" si="466"/>
        <v>0</v>
      </c>
      <c r="O2022" s="101">
        <f t="shared" si="467"/>
        <v>0</v>
      </c>
      <c r="P2022" s="52">
        <f t="shared" si="468"/>
        <v>0</v>
      </c>
      <c r="Q2022" s="49">
        <v>116.88487613461319</v>
      </c>
      <c r="R2022">
        <v>2225</v>
      </c>
      <c r="S2022" s="50">
        <f t="shared" si="464"/>
        <v>71535.307499999995</v>
      </c>
      <c r="T2022" s="50">
        <f t="shared" si="469"/>
        <v>0</v>
      </c>
      <c r="U2022" s="58">
        <f t="shared" si="470"/>
        <v>0</v>
      </c>
      <c r="V2022" s="58">
        <f t="shared" si="471"/>
        <v>0</v>
      </c>
      <c r="W2022" s="58">
        <f t="shared" si="472"/>
        <v>0</v>
      </c>
      <c r="X2022" s="58">
        <f t="shared" si="473"/>
        <v>0</v>
      </c>
      <c r="Y2022" s="52">
        <f t="shared" si="474"/>
        <v>0</v>
      </c>
    </row>
    <row r="2023" spans="1:25" x14ac:dyDescent="0.25">
      <c r="A2023" s="1218" t="s">
        <v>181</v>
      </c>
      <c r="B2023" s="98">
        <v>45748</v>
      </c>
      <c r="C2023" s="117" t="str">
        <f t="shared" si="462"/>
        <v>7L</v>
      </c>
      <c r="F2023" s="99">
        <f t="shared" si="461"/>
        <v>0</v>
      </c>
      <c r="I2023" s="99">
        <f t="shared" si="460"/>
        <v>0</v>
      </c>
      <c r="L2023" s="99">
        <f t="shared" si="463"/>
        <v>0</v>
      </c>
      <c r="M2023" s="44" t="str">
        <f t="shared" si="465"/>
        <v/>
      </c>
      <c r="N2023" s="100">
        <f t="shared" si="466"/>
        <v>0</v>
      </c>
      <c r="O2023" s="101">
        <f t="shared" si="467"/>
        <v>0</v>
      </c>
      <c r="P2023" s="52">
        <f t="shared" si="468"/>
        <v>0</v>
      </c>
      <c r="Q2023" s="49">
        <v>116.88487613461319</v>
      </c>
      <c r="R2023">
        <v>2225</v>
      </c>
      <c r="S2023" s="50">
        <f t="shared" si="464"/>
        <v>71535.307499999995</v>
      </c>
      <c r="T2023" s="50">
        <f t="shared" si="469"/>
        <v>0</v>
      </c>
      <c r="U2023" s="58">
        <f t="shared" si="470"/>
        <v>0</v>
      </c>
      <c r="V2023" s="58">
        <f t="shared" si="471"/>
        <v>0</v>
      </c>
      <c r="W2023" s="58">
        <f t="shared" si="472"/>
        <v>0</v>
      </c>
      <c r="X2023" s="58">
        <f t="shared" si="473"/>
        <v>0</v>
      </c>
      <c r="Y2023" s="52">
        <f t="shared" si="474"/>
        <v>0</v>
      </c>
    </row>
    <row r="2024" spans="1:25" x14ac:dyDescent="0.25">
      <c r="A2024" s="1218" t="s">
        <v>182</v>
      </c>
      <c r="B2024" s="98">
        <v>45748</v>
      </c>
      <c r="C2024" s="117" t="str">
        <f t="shared" si="462"/>
        <v>7L</v>
      </c>
      <c r="F2024" s="99">
        <f t="shared" si="461"/>
        <v>0</v>
      </c>
      <c r="I2024" s="99">
        <f t="shared" si="460"/>
        <v>0</v>
      </c>
      <c r="L2024" s="99">
        <f t="shared" si="463"/>
        <v>0</v>
      </c>
      <c r="M2024" s="44" t="str">
        <f t="shared" si="465"/>
        <v/>
      </c>
      <c r="N2024" s="100">
        <f t="shared" si="466"/>
        <v>0</v>
      </c>
      <c r="O2024" s="101">
        <f t="shared" si="467"/>
        <v>0</v>
      </c>
      <c r="P2024" s="52">
        <f t="shared" si="468"/>
        <v>0</v>
      </c>
      <c r="Q2024" s="49">
        <v>116.88487613461319</v>
      </c>
      <c r="R2024">
        <v>2225</v>
      </c>
      <c r="S2024" s="50">
        <f t="shared" si="464"/>
        <v>71535.307499999995</v>
      </c>
      <c r="T2024" s="50">
        <f t="shared" si="469"/>
        <v>0</v>
      </c>
      <c r="U2024" s="58">
        <f t="shared" si="470"/>
        <v>0</v>
      </c>
      <c r="V2024" s="58">
        <f t="shared" si="471"/>
        <v>0</v>
      </c>
      <c r="W2024" s="58">
        <f t="shared" si="472"/>
        <v>0</v>
      </c>
      <c r="X2024" s="58">
        <f t="shared" si="473"/>
        <v>0</v>
      </c>
      <c r="Y2024" s="52">
        <f t="shared" si="474"/>
        <v>0</v>
      </c>
    </row>
    <row r="2025" spans="1:25" x14ac:dyDescent="0.25">
      <c r="A2025" s="1218" t="s">
        <v>183</v>
      </c>
      <c r="B2025" s="98">
        <v>45748</v>
      </c>
      <c r="C2025" s="117" t="str">
        <f t="shared" si="462"/>
        <v>7L</v>
      </c>
      <c r="F2025" s="99">
        <f t="shared" si="461"/>
        <v>0</v>
      </c>
      <c r="I2025" s="99">
        <f t="shared" si="460"/>
        <v>0</v>
      </c>
      <c r="L2025" s="99">
        <f t="shared" si="463"/>
        <v>0</v>
      </c>
      <c r="M2025" s="44" t="str">
        <f t="shared" si="465"/>
        <v/>
      </c>
      <c r="N2025" s="100">
        <f t="shared" si="466"/>
        <v>0</v>
      </c>
      <c r="O2025" s="101">
        <f t="shared" si="467"/>
        <v>0</v>
      </c>
      <c r="P2025" s="52">
        <f t="shared" si="468"/>
        <v>0</v>
      </c>
      <c r="Q2025" s="49">
        <v>116.88487613461319</v>
      </c>
      <c r="R2025">
        <v>2225</v>
      </c>
      <c r="S2025" s="50">
        <f t="shared" si="464"/>
        <v>71535.307499999995</v>
      </c>
      <c r="T2025" s="50">
        <f t="shared" si="469"/>
        <v>0</v>
      </c>
      <c r="U2025" s="58">
        <f t="shared" si="470"/>
        <v>0</v>
      </c>
      <c r="V2025" s="58">
        <f t="shared" si="471"/>
        <v>0</v>
      </c>
      <c r="W2025" s="58">
        <f t="shared" si="472"/>
        <v>0</v>
      </c>
      <c r="X2025" s="58">
        <f t="shared" si="473"/>
        <v>0</v>
      </c>
      <c r="Y2025" s="52">
        <f t="shared" si="474"/>
        <v>0</v>
      </c>
    </row>
    <row r="2026" spans="1:25" x14ac:dyDescent="0.25">
      <c r="A2026" s="1218" t="s">
        <v>184</v>
      </c>
      <c r="B2026" s="98">
        <v>45748</v>
      </c>
      <c r="C2026" s="117" t="str">
        <f t="shared" si="462"/>
        <v>7L</v>
      </c>
      <c r="F2026" s="99">
        <f t="shared" si="461"/>
        <v>0</v>
      </c>
      <c r="I2026" s="99">
        <f t="shared" si="460"/>
        <v>0</v>
      </c>
      <c r="L2026" s="99">
        <f t="shared" si="463"/>
        <v>0</v>
      </c>
      <c r="M2026" s="44" t="str">
        <f t="shared" si="465"/>
        <v/>
      </c>
      <c r="N2026" s="100">
        <f t="shared" si="466"/>
        <v>0</v>
      </c>
      <c r="O2026" s="101">
        <f t="shared" si="467"/>
        <v>0</v>
      </c>
      <c r="P2026" s="52">
        <f t="shared" si="468"/>
        <v>0</v>
      </c>
      <c r="Q2026" s="49">
        <v>116.88487613461319</v>
      </c>
      <c r="R2026">
        <v>2225</v>
      </c>
      <c r="S2026" s="50">
        <f t="shared" si="464"/>
        <v>71535.307499999995</v>
      </c>
      <c r="T2026" s="50">
        <f t="shared" si="469"/>
        <v>0</v>
      </c>
      <c r="U2026" s="58">
        <f t="shared" si="470"/>
        <v>0</v>
      </c>
      <c r="V2026" s="58">
        <f t="shared" si="471"/>
        <v>0</v>
      </c>
      <c r="W2026" s="58">
        <f t="shared" si="472"/>
        <v>0</v>
      </c>
      <c r="X2026" s="58">
        <f t="shared" si="473"/>
        <v>0</v>
      </c>
      <c r="Y2026" s="52">
        <f t="shared" si="474"/>
        <v>0</v>
      </c>
    </row>
    <row r="2027" spans="1:25" x14ac:dyDescent="0.25">
      <c r="A2027" s="1218" t="s">
        <v>185</v>
      </c>
      <c r="B2027" s="98">
        <v>45748</v>
      </c>
      <c r="C2027" s="117" t="str">
        <f t="shared" si="462"/>
        <v>7L</v>
      </c>
      <c r="F2027" s="99">
        <f t="shared" si="461"/>
        <v>0</v>
      </c>
      <c r="I2027" s="99">
        <f t="shared" si="460"/>
        <v>0</v>
      </c>
      <c r="L2027" s="99">
        <f t="shared" si="463"/>
        <v>0</v>
      </c>
      <c r="M2027" s="44" t="str">
        <f t="shared" si="465"/>
        <v/>
      </c>
      <c r="N2027" s="100">
        <f t="shared" si="466"/>
        <v>0</v>
      </c>
      <c r="O2027" s="101">
        <f t="shared" si="467"/>
        <v>0</v>
      </c>
      <c r="P2027" s="52">
        <f t="shared" si="468"/>
        <v>0</v>
      </c>
      <c r="Q2027" s="49">
        <v>116.88487613461319</v>
      </c>
      <c r="R2027">
        <v>2225</v>
      </c>
      <c r="S2027" s="50">
        <f t="shared" si="464"/>
        <v>71535.307499999995</v>
      </c>
      <c r="T2027" s="50">
        <f t="shared" si="469"/>
        <v>0</v>
      </c>
      <c r="U2027" s="58">
        <f t="shared" si="470"/>
        <v>0</v>
      </c>
      <c r="V2027" s="58">
        <f t="shared" si="471"/>
        <v>0</v>
      </c>
      <c r="W2027" s="58">
        <f t="shared" si="472"/>
        <v>0</v>
      </c>
      <c r="X2027" s="58">
        <f t="shared" si="473"/>
        <v>0</v>
      </c>
      <c r="Y2027" s="52">
        <f t="shared" si="474"/>
        <v>0</v>
      </c>
    </row>
    <row r="2028" spans="1:25" x14ac:dyDescent="0.25">
      <c r="A2028" s="1218" t="s">
        <v>186</v>
      </c>
      <c r="B2028" s="98">
        <v>45748</v>
      </c>
      <c r="C2028" s="117" t="str">
        <f t="shared" si="462"/>
        <v>7L</v>
      </c>
      <c r="F2028" s="99">
        <f t="shared" si="461"/>
        <v>0</v>
      </c>
      <c r="I2028" s="99">
        <f t="shared" si="460"/>
        <v>0</v>
      </c>
      <c r="L2028" s="99">
        <f t="shared" si="463"/>
        <v>0</v>
      </c>
      <c r="M2028" s="44" t="str">
        <f t="shared" si="465"/>
        <v/>
      </c>
      <c r="N2028" s="100">
        <f t="shared" si="466"/>
        <v>0</v>
      </c>
      <c r="O2028" s="101">
        <f t="shared" si="467"/>
        <v>0</v>
      </c>
      <c r="P2028" s="52">
        <f t="shared" si="468"/>
        <v>0</v>
      </c>
      <c r="Q2028" s="49">
        <v>116.88487613461319</v>
      </c>
      <c r="R2028">
        <v>2225</v>
      </c>
      <c r="S2028" s="50">
        <f t="shared" si="464"/>
        <v>71535.307499999995</v>
      </c>
      <c r="T2028" s="50">
        <f t="shared" si="469"/>
        <v>0</v>
      </c>
      <c r="U2028" s="58">
        <f t="shared" si="470"/>
        <v>0</v>
      </c>
      <c r="V2028" s="58">
        <f t="shared" si="471"/>
        <v>0</v>
      </c>
      <c r="W2028" s="58">
        <f t="shared" si="472"/>
        <v>0</v>
      </c>
      <c r="X2028" s="58">
        <f t="shared" si="473"/>
        <v>0</v>
      </c>
      <c r="Y2028" s="52">
        <f t="shared" si="474"/>
        <v>0</v>
      </c>
    </row>
    <row r="2029" spans="1:25" x14ac:dyDescent="0.25">
      <c r="A2029" s="1218" t="s">
        <v>187</v>
      </c>
      <c r="B2029" s="98">
        <v>45748</v>
      </c>
      <c r="C2029" s="117" t="str">
        <f t="shared" si="462"/>
        <v>7L</v>
      </c>
      <c r="F2029" s="99">
        <f t="shared" si="461"/>
        <v>0</v>
      </c>
      <c r="I2029" s="99">
        <f t="shared" si="460"/>
        <v>0</v>
      </c>
      <c r="L2029" s="99">
        <f t="shared" si="463"/>
        <v>0</v>
      </c>
      <c r="M2029" s="44" t="str">
        <f t="shared" si="465"/>
        <v/>
      </c>
      <c r="N2029" s="100">
        <f t="shared" si="466"/>
        <v>0</v>
      </c>
      <c r="O2029" s="101">
        <f t="shared" si="467"/>
        <v>0</v>
      </c>
      <c r="P2029" s="52">
        <f t="shared" si="468"/>
        <v>0</v>
      </c>
      <c r="Q2029" s="49">
        <v>116.88487613461319</v>
      </c>
      <c r="R2029">
        <v>2225</v>
      </c>
      <c r="S2029" s="50">
        <f t="shared" si="464"/>
        <v>71535.307499999995</v>
      </c>
      <c r="T2029" s="50">
        <f t="shared" si="469"/>
        <v>0</v>
      </c>
      <c r="U2029" s="58">
        <f t="shared" si="470"/>
        <v>0</v>
      </c>
      <c r="V2029" s="58">
        <f t="shared" si="471"/>
        <v>0</v>
      </c>
      <c r="W2029" s="58">
        <f t="shared" si="472"/>
        <v>0</v>
      </c>
      <c r="X2029" s="58">
        <f t="shared" si="473"/>
        <v>0</v>
      </c>
      <c r="Y2029" s="52">
        <f t="shared" si="474"/>
        <v>0</v>
      </c>
    </row>
    <row r="2030" spans="1:25" x14ac:dyDescent="0.25">
      <c r="A2030" s="1218" t="s">
        <v>188</v>
      </c>
      <c r="B2030" s="98">
        <v>45748</v>
      </c>
      <c r="C2030" s="117" t="str">
        <f t="shared" si="462"/>
        <v>7L</v>
      </c>
      <c r="F2030" s="99">
        <f t="shared" si="461"/>
        <v>0</v>
      </c>
      <c r="I2030" s="99">
        <f t="shared" si="460"/>
        <v>0</v>
      </c>
      <c r="L2030" s="99">
        <f t="shared" si="463"/>
        <v>0</v>
      </c>
      <c r="M2030" s="44" t="str">
        <f t="shared" si="465"/>
        <v/>
      </c>
      <c r="N2030" s="100">
        <f t="shared" si="466"/>
        <v>0</v>
      </c>
      <c r="O2030" s="101">
        <f t="shared" si="467"/>
        <v>0</v>
      </c>
      <c r="P2030" s="52">
        <f t="shared" si="468"/>
        <v>0</v>
      </c>
      <c r="Q2030" s="49">
        <v>116.88487613461319</v>
      </c>
      <c r="R2030">
        <v>2225</v>
      </c>
      <c r="S2030" s="50">
        <f t="shared" si="464"/>
        <v>71535.307499999995</v>
      </c>
      <c r="T2030" s="50">
        <f t="shared" si="469"/>
        <v>0</v>
      </c>
      <c r="U2030" s="58">
        <f t="shared" si="470"/>
        <v>0</v>
      </c>
      <c r="V2030" s="58">
        <f t="shared" si="471"/>
        <v>0</v>
      </c>
      <c r="W2030" s="58">
        <f t="shared" si="472"/>
        <v>0</v>
      </c>
      <c r="X2030" s="58">
        <f t="shared" si="473"/>
        <v>0</v>
      </c>
      <c r="Y2030" s="52">
        <f t="shared" si="474"/>
        <v>0</v>
      </c>
    </row>
    <row r="2031" spans="1:25" x14ac:dyDescent="0.25">
      <c r="A2031" s="1218" t="s">
        <v>189</v>
      </c>
      <c r="B2031" s="98">
        <v>45748</v>
      </c>
      <c r="C2031" s="117" t="str">
        <f t="shared" si="462"/>
        <v>7L</v>
      </c>
      <c r="F2031" s="99">
        <f t="shared" si="461"/>
        <v>0</v>
      </c>
      <c r="I2031" s="99">
        <f t="shared" si="460"/>
        <v>0</v>
      </c>
      <c r="L2031" s="99">
        <f t="shared" si="463"/>
        <v>0</v>
      </c>
      <c r="M2031" s="44" t="str">
        <f t="shared" si="465"/>
        <v/>
      </c>
      <c r="N2031" s="100">
        <f t="shared" si="466"/>
        <v>0</v>
      </c>
      <c r="O2031" s="101">
        <f t="shared" si="467"/>
        <v>0</v>
      </c>
      <c r="P2031" s="52">
        <f t="shared" si="468"/>
        <v>0</v>
      </c>
      <c r="Q2031" s="49">
        <v>116.88487613461319</v>
      </c>
      <c r="R2031">
        <v>2225</v>
      </c>
      <c r="S2031" s="50">
        <f t="shared" si="464"/>
        <v>71535.307499999995</v>
      </c>
      <c r="T2031" s="50">
        <f t="shared" si="469"/>
        <v>0</v>
      </c>
      <c r="U2031" s="58">
        <f t="shared" si="470"/>
        <v>0</v>
      </c>
      <c r="V2031" s="58">
        <f t="shared" si="471"/>
        <v>0</v>
      </c>
      <c r="W2031" s="58">
        <f t="shared" si="472"/>
        <v>0</v>
      </c>
      <c r="X2031" s="58">
        <f t="shared" si="473"/>
        <v>0</v>
      </c>
      <c r="Y2031" s="52">
        <f t="shared" si="474"/>
        <v>0</v>
      </c>
    </row>
    <row r="2032" spans="1:25" x14ac:dyDescent="0.25">
      <c r="A2032" s="1218" t="s">
        <v>190</v>
      </c>
      <c r="B2032" s="98">
        <v>45748</v>
      </c>
      <c r="C2032" s="117" t="str">
        <f t="shared" si="462"/>
        <v>8L</v>
      </c>
      <c r="F2032" s="99">
        <f t="shared" si="461"/>
        <v>0</v>
      </c>
      <c r="I2032" s="99">
        <f t="shared" si="460"/>
        <v>0</v>
      </c>
      <c r="L2032" s="99">
        <f t="shared" si="463"/>
        <v>0</v>
      </c>
      <c r="M2032" s="44" t="str">
        <f t="shared" si="465"/>
        <v/>
      </c>
      <c r="N2032" s="100">
        <f t="shared" si="466"/>
        <v>0</v>
      </c>
      <c r="O2032" s="101">
        <f t="shared" si="467"/>
        <v>0</v>
      </c>
      <c r="P2032" s="52">
        <f t="shared" si="468"/>
        <v>0</v>
      </c>
      <c r="Q2032" s="49">
        <v>116.88487613461319</v>
      </c>
      <c r="R2032">
        <v>2225</v>
      </c>
      <c r="S2032" s="50">
        <f t="shared" si="464"/>
        <v>71535.307499999995</v>
      </c>
      <c r="T2032" s="50">
        <f t="shared" si="469"/>
        <v>0</v>
      </c>
      <c r="U2032" s="58">
        <f t="shared" si="470"/>
        <v>0</v>
      </c>
      <c r="V2032" s="58">
        <f t="shared" si="471"/>
        <v>0</v>
      </c>
      <c r="W2032" s="58">
        <f t="shared" si="472"/>
        <v>0</v>
      </c>
      <c r="X2032" s="58">
        <f t="shared" si="473"/>
        <v>0</v>
      </c>
      <c r="Y2032" s="52">
        <f t="shared" si="474"/>
        <v>0</v>
      </c>
    </row>
    <row r="2033" spans="1:25" x14ac:dyDescent="0.25">
      <c r="A2033" s="1218" t="s">
        <v>191</v>
      </c>
      <c r="B2033" s="98">
        <v>45748</v>
      </c>
      <c r="C2033" s="117" t="str">
        <f t="shared" si="462"/>
        <v>8L</v>
      </c>
      <c r="F2033" s="99">
        <f t="shared" si="461"/>
        <v>0</v>
      </c>
      <c r="I2033" s="99">
        <f t="shared" si="460"/>
        <v>0</v>
      </c>
      <c r="L2033" s="99">
        <f t="shared" si="463"/>
        <v>0</v>
      </c>
      <c r="M2033" s="44" t="str">
        <f t="shared" si="465"/>
        <v/>
      </c>
      <c r="N2033" s="100">
        <f t="shared" si="466"/>
        <v>0</v>
      </c>
      <c r="O2033" s="101">
        <f t="shared" si="467"/>
        <v>0</v>
      </c>
      <c r="P2033" s="52">
        <f t="shared" si="468"/>
        <v>0</v>
      </c>
      <c r="Q2033" s="49">
        <v>116.88487613461319</v>
      </c>
      <c r="R2033">
        <v>2225</v>
      </c>
      <c r="S2033" s="50">
        <f t="shared" si="464"/>
        <v>71535.307499999995</v>
      </c>
      <c r="T2033" s="50">
        <f t="shared" si="469"/>
        <v>0</v>
      </c>
      <c r="U2033" s="58">
        <f t="shared" si="470"/>
        <v>0</v>
      </c>
      <c r="V2033" s="58">
        <f t="shared" si="471"/>
        <v>0</v>
      </c>
      <c r="W2033" s="58">
        <f t="shared" si="472"/>
        <v>0</v>
      </c>
      <c r="X2033" s="58">
        <f t="shared" si="473"/>
        <v>0</v>
      </c>
      <c r="Y2033" s="52">
        <f t="shared" si="474"/>
        <v>0</v>
      </c>
    </row>
    <row r="2034" spans="1:25" x14ac:dyDescent="0.25">
      <c r="A2034" s="1218" t="s">
        <v>192</v>
      </c>
      <c r="B2034" s="98">
        <v>45748</v>
      </c>
      <c r="C2034" s="117" t="str">
        <f t="shared" si="462"/>
        <v>8L</v>
      </c>
      <c r="F2034" s="99">
        <f t="shared" si="461"/>
        <v>0</v>
      </c>
      <c r="I2034" s="99">
        <f t="shared" si="460"/>
        <v>0</v>
      </c>
      <c r="L2034" s="99">
        <f t="shared" si="463"/>
        <v>0</v>
      </c>
      <c r="M2034" s="44" t="str">
        <f t="shared" si="465"/>
        <v/>
      </c>
      <c r="N2034" s="100">
        <f t="shared" si="466"/>
        <v>0</v>
      </c>
      <c r="O2034" s="101">
        <f t="shared" si="467"/>
        <v>0</v>
      </c>
      <c r="P2034" s="52">
        <f t="shared" si="468"/>
        <v>0</v>
      </c>
      <c r="Q2034" s="49">
        <v>116.88487613461319</v>
      </c>
      <c r="R2034">
        <v>2225</v>
      </c>
      <c r="S2034" s="50">
        <f t="shared" si="464"/>
        <v>71535.307499999995</v>
      </c>
      <c r="T2034" s="50">
        <f t="shared" si="469"/>
        <v>0</v>
      </c>
      <c r="U2034" s="58">
        <f t="shared" si="470"/>
        <v>0</v>
      </c>
      <c r="V2034" s="58">
        <f t="shared" si="471"/>
        <v>0</v>
      </c>
      <c r="W2034" s="58">
        <f t="shared" si="472"/>
        <v>0</v>
      </c>
      <c r="X2034" s="58">
        <f t="shared" si="473"/>
        <v>0</v>
      </c>
      <c r="Y2034" s="52">
        <f t="shared" si="474"/>
        <v>0</v>
      </c>
    </row>
    <row r="2035" spans="1:25" x14ac:dyDescent="0.25">
      <c r="A2035" s="1218" t="s">
        <v>193</v>
      </c>
      <c r="B2035" s="98">
        <v>45748</v>
      </c>
      <c r="C2035" s="117" t="str">
        <f t="shared" si="462"/>
        <v>8L</v>
      </c>
      <c r="F2035" s="99">
        <f t="shared" si="461"/>
        <v>0</v>
      </c>
      <c r="I2035" s="99">
        <f t="shared" si="460"/>
        <v>0</v>
      </c>
      <c r="L2035" s="99">
        <f t="shared" si="463"/>
        <v>0</v>
      </c>
      <c r="M2035" s="44" t="str">
        <f t="shared" si="465"/>
        <v/>
      </c>
      <c r="N2035" s="100">
        <f t="shared" si="466"/>
        <v>0</v>
      </c>
      <c r="O2035" s="101">
        <f t="shared" si="467"/>
        <v>0</v>
      </c>
      <c r="P2035" s="52">
        <f t="shared" si="468"/>
        <v>0</v>
      </c>
      <c r="Q2035" s="49">
        <v>116.88487613461319</v>
      </c>
      <c r="R2035">
        <v>2225</v>
      </c>
      <c r="S2035" s="50">
        <f t="shared" si="464"/>
        <v>71535.307499999995</v>
      </c>
      <c r="T2035" s="50">
        <f t="shared" si="469"/>
        <v>0</v>
      </c>
      <c r="U2035" s="58">
        <f t="shared" si="470"/>
        <v>0</v>
      </c>
      <c r="V2035" s="58">
        <f t="shared" si="471"/>
        <v>0</v>
      </c>
      <c r="W2035" s="58">
        <f t="shared" si="472"/>
        <v>0</v>
      </c>
      <c r="X2035" s="58">
        <f t="shared" si="473"/>
        <v>0</v>
      </c>
      <c r="Y2035" s="52">
        <f t="shared" si="474"/>
        <v>0</v>
      </c>
    </row>
    <row r="2036" spans="1:25" x14ac:dyDescent="0.25">
      <c r="A2036" s="1218" t="s">
        <v>194</v>
      </c>
      <c r="B2036" s="98">
        <v>45748</v>
      </c>
      <c r="C2036" s="117" t="str">
        <f t="shared" si="462"/>
        <v>8L</v>
      </c>
      <c r="F2036" s="99">
        <f t="shared" si="461"/>
        <v>0</v>
      </c>
      <c r="I2036" s="99">
        <f t="shared" si="460"/>
        <v>0</v>
      </c>
      <c r="L2036" s="99">
        <f t="shared" si="463"/>
        <v>0</v>
      </c>
      <c r="M2036" s="44" t="str">
        <f t="shared" si="465"/>
        <v/>
      </c>
      <c r="N2036" s="100">
        <f t="shared" si="466"/>
        <v>0</v>
      </c>
      <c r="O2036" s="101">
        <f t="shared" si="467"/>
        <v>0</v>
      </c>
      <c r="P2036" s="52">
        <f t="shared" si="468"/>
        <v>0</v>
      </c>
      <c r="Q2036" s="49">
        <v>116.88487613461319</v>
      </c>
      <c r="R2036">
        <v>2225</v>
      </c>
      <c r="S2036" s="50">
        <f t="shared" si="464"/>
        <v>71535.307499999995</v>
      </c>
      <c r="T2036" s="50">
        <f t="shared" si="469"/>
        <v>0</v>
      </c>
      <c r="U2036" s="58">
        <f t="shared" si="470"/>
        <v>0</v>
      </c>
      <c r="V2036" s="58">
        <f t="shared" si="471"/>
        <v>0</v>
      </c>
      <c r="W2036" s="58">
        <f t="shared" si="472"/>
        <v>0</v>
      </c>
      <c r="X2036" s="58">
        <f t="shared" si="473"/>
        <v>0</v>
      </c>
      <c r="Y2036" s="52">
        <f t="shared" si="474"/>
        <v>0</v>
      </c>
    </row>
    <row r="2037" spans="1:25" x14ac:dyDescent="0.25">
      <c r="A2037" s="1218" t="s">
        <v>195</v>
      </c>
      <c r="B2037" s="98">
        <v>45748</v>
      </c>
      <c r="C2037" s="117" t="str">
        <f t="shared" si="462"/>
        <v>8L</v>
      </c>
      <c r="F2037" s="99">
        <f t="shared" si="461"/>
        <v>0</v>
      </c>
      <c r="I2037" s="99">
        <f t="shared" si="460"/>
        <v>0</v>
      </c>
      <c r="L2037" s="99">
        <f t="shared" si="463"/>
        <v>0</v>
      </c>
      <c r="M2037" s="44" t="str">
        <f t="shared" si="465"/>
        <v/>
      </c>
      <c r="N2037" s="100">
        <f t="shared" si="466"/>
        <v>0</v>
      </c>
      <c r="O2037" s="101">
        <f t="shared" si="467"/>
        <v>0</v>
      </c>
      <c r="P2037" s="52">
        <f t="shared" si="468"/>
        <v>0</v>
      </c>
      <c r="Q2037" s="49">
        <v>116.88487613461319</v>
      </c>
      <c r="R2037">
        <v>2225</v>
      </c>
      <c r="S2037" s="50">
        <f t="shared" si="464"/>
        <v>71535.307499999995</v>
      </c>
      <c r="T2037" s="50">
        <f t="shared" si="469"/>
        <v>0</v>
      </c>
      <c r="U2037" s="58">
        <f t="shared" si="470"/>
        <v>0</v>
      </c>
      <c r="V2037" s="58">
        <f t="shared" si="471"/>
        <v>0</v>
      </c>
      <c r="W2037" s="58">
        <f t="shared" si="472"/>
        <v>0</v>
      </c>
      <c r="X2037" s="58">
        <f t="shared" si="473"/>
        <v>0</v>
      </c>
      <c r="Y2037" s="52">
        <f t="shared" si="474"/>
        <v>0</v>
      </c>
    </row>
    <row r="2038" spans="1:25" x14ac:dyDescent="0.25">
      <c r="A2038" s="1218" t="s">
        <v>196</v>
      </c>
      <c r="B2038" s="98">
        <v>45748</v>
      </c>
      <c r="C2038" s="117" t="str">
        <f t="shared" si="462"/>
        <v>8L</v>
      </c>
      <c r="F2038" s="99">
        <f t="shared" si="461"/>
        <v>0</v>
      </c>
      <c r="I2038" s="99">
        <f t="shared" si="460"/>
        <v>0</v>
      </c>
      <c r="L2038" s="99">
        <f t="shared" si="463"/>
        <v>0</v>
      </c>
      <c r="M2038" s="44" t="str">
        <f t="shared" si="465"/>
        <v/>
      </c>
      <c r="N2038" s="100">
        <f t="shared" si="466"/>
        <v>0</v>
      </c>
      <c r="O2038" s="101">
        <f t="shared" si="467"/>
        <v>0</v>
      </c>
      <c r="P2038" s="52">
        <f t="shared" si="468"/>
        <v>0</v>
      </c>
      <c r="Q2038" s="49">
        <v>116.88487613461319</v>
      </c>
      <c r="R2038">
        <v>2225</v>
      </c>
      <c r="S2038" s="50">
        <f t="shared" si="464"/>
        <v>71535.307499999995</v>
      </c>
      <c r="T2038" s="50">
        <f t="shared" si="469"/>
        <v>0</v>
      </c>
      <c r="U2038" s="58">
        <f t="shared" si="470"/>
        <v>0</v>
      </c>
      <c r="V2038" s="58">
        <f t="shared" si="471"/>
        <v>0</v>
      </c>
      <c r="W2038" s="58">
        <f t="shared" si="472"/>
        <v>0</v>
      </c>
      <c r="X2038" s="58">
        <f t="shared" si="473"/>
        <v>0</v>
      </c>
      <c r="Y2038" s="52">
        <f t="shared" si="474"/>
        <v>0</v>
      </c>
    </row>
    <row r="2039" spans="1:25" x14ac:dyDescent="0.25">
      <c r="A2039" s="1218" t="s">
        <v>197</v>
      </c>
      <c r="B2039" s="98">
        <v>45748</v>
      </c>
      <c r="C2039" s="117" t="str">
        <f t="shared" si="462"/>
        <v>8L</v>
      </c>
      <c r="F2039" s="99">
        <f t="shared" si="461"/>
        <v>0</v>
      </c>
      <c r="I2039" s="99">
        <f t="shared" si="460"/>
        <v>0</v>
      </c>
      <c r="L2039" s="99">
        <f t="shared" si="463"/>
        <v>0</v>
      </c>
      <c r="M2039" s="44" t="str">
        <f t="shared" si="465"/>
        <v/>
      </c>
      <c r="N2039" s="100">
        <f t="shared" si="466"/>
        <v>0</v>
      </c>
      <c r="O2039" s="101">
        <f t="shared" si="467"/>
        <v>0</v>
      </c>
      <c r="P2039" s="52">
        <f t="shared" si="468"/>
        <v>0</v>
      </c>
      <c r="Q2039" s="49">
        <v>116.88487613461319</v>
      </c>
      <c r="R2039">
        <v>2225</v>
      </c>
      <c r="S2039" s="50">
        <f t="shared" si="464"/>
        <v>71535.307499999995</v>
      </c>
      <c r="T2039" s="50">
        <f t="shared" si="469"/>
        <v>0</v>
      </c>
      <c r="U2039" s="58">
        <f t="shared" si="470"/>
        <v>0</v>
      </c>
      <c r="V2039" s="58">
        <f t="shared" si="471"/>
        <v>0</v>
      </c>
      <c r="W2039" s="58">
        <f t="shared" si="472"/>
        <v>0</v>
      </c>
      <c r="X2039" s="58">
        <f t="shared" si="473"/>
        <v>0</v>
      </c>
      <c r="Y2039" s="52">
        <f t="shared" si="474"/>
        <v>0</v>
      </c>
    </row>
    <row r="2040" spans="1:25" x14ac:dyDescent="0.25">
      <c r="A2040" s="1218" t="s">
        <v>198</v>
      </c>
      <c r="B2040" s="98">
        <v>45748</v>
      </c>
      <c r="C2040" s="117" t="str">
        <f t="shared" si="462"/>
        <v>8L</v>
      </c>
      <c r="F2040" s="99">
        <f t="shared" si="461"/>
        <v>0</v>
      </c>
      <c r="I2040" s="99">
        <f t="shared" si="460"/>
        <v>0</v>
      </c>
      <c r="L2040" s="99">
        <f t="shared" si="463"/>
        <v>0</v>
      </c>
      <c r="M2040" s="44" t="str">
        <f t="shared" si="465"/>
        <v/>
      </c>
      <c r="N2040" s="100">
        <f t="shared" si="466"/>
        <v>0</v>
      </c>
      <c r="O2040" s="101">
        <f t="shared" si="467"/>
        <v>0</v>
      </c>
      <c r="P2040" s="52">
        <f t="shared" si="468"/>
        <v>0</v>
      </c>
      <c r="Q2040" s="49">
        <v>116.88487613461319</v>
      </c>
      <c r="R2040">
        <v>2225</v>
      </c>
      <c r="S2040" s="50">
        <f t="shared" si="464"/>
        <v>71535.307499999995</v>
      </c>
      <c r="T2040" s="50">
        <f t="shared" si="469"/>
        <v>0</v>
      </c>
      <c r="U2040" s="58">
        <f t="shared" si="470"/>
        <v>0</v>
      </c>
      <c r="V2040" s="58">
        <f t="shared" si="471"/>
        <v>0</v>
      </c>
      <c r="W2040" s="58">
        <f t="shared" si="472"/>
        <v>0</v>
      </c>
      <c r="X2040" s="58">
        <f t="shared" si="473"/>
        <v>0</v>
      </c>
      <c r="Y2040" s="52">
        <f t="shared" si="474"/>
        <v>0</v>
      </c>
    </row>
    <row r="2041" spans="1:25" x14ac:dyDescent="0.25">
      <c r="A2041" s="1218" t="s">
        <v>199</v>
      </c>
      <c r="B2041" s="98">
        <v>45748</v>
      </c>
      <c r="C2041" s="117" t="str">
        <f t="shared" si="462"/>
        <v>8L</v>
      </c>
      <c r="F2041" s="99">
        <f t="shared" si="461"/>
        <v>0</v>
      </c>
      <c r="I2041" s="99">
        <f t="shared" si="460"/>
        <v>0</v>
      </c>
      <c r="L2041" s="99">
        <f t="shared" si="463"/>
        <v>0</v>
      </c>
      <c r="M2041" s="44" t="str">
        <f t="shared" si="465"/>
        <v/>
      </c>
      <c r="N2041" s="100">
        <f t="shared" si="466"/>
        <v>0</v>
      </c>
      <c r="O2041" s="101">
        <f t="shared" si="467"/>
        <v>0</v>
      </c>
      <c r="P2041" s="52">
        <f t="shared" si="468"/>
        <v>0</v>
      </c>
      <c r="Q2041" s="49">
        <v>116.88487613461319</v>
      </c>
      <c r="R2041">
        <v>2225</v>
      </c>
      <c r="S2041" s="50">
        <f t="shared" si="464"/>
        <v>71535.307499999995</v>
      </c>
      <c r="T2041" s="50">
        <f t="shared" si="469"/>
        <v>0</v>
      </c>
      <c r="U2041" s="58">
        <f t="shared" si="470"/>
        <v>0</v>
      </c>
      <c r="V2041" s="58">
        <f t="shared" si="471"/>
        <v>0</v>
      </c>
      <c r="W2041" s="58">
        <f t="shared" si="472"/>
        <v>0</v>
      </c>
      <c r="X2041" s="58">
        <f t="shared" si="473"/>
        <v>0</v>
      </c>
      <c r="Y2041" s="52">
        <f t="shared" si="474"/>
        <v>0</v>
      </c>
    </row>
    <row r="2042" spans="1:25" x14ac:dyDescent="0.25">
      <c r="A2042" s="1218" t="s">
        <v>200</v>
      </c>
      <c r="B2042" s="98">
        <v>45748</v>
      </c>
      <c r="C2042" s="117" t="str">
        <f t="shared" si="462"/>
        <v>8L</v>
      </c>
      <c r="F2042" s="99">
        <f t="shared" si="461"/>
        <v>0</v>
      </c>
      <c r="I2042" s="99">
        <f t="shared" si="460"/>
        <v>0</v>
      </c>
      <c r="L2042" s="99">
        <f t="shared" si="463"/>
        <v>0</v>
      </c>
      <c r="M2042" s="44" t="str">
        <f t="shared" si="465"/>
        <v/>
      </c>
      <c r="N2042" s="100">
        <f t="shared" si="466"/>
        <v>0</v>
      </c>
      <c r="O2042" s="101">
        <f t="shared" si="467"/>
        <v>0</v>
      </c>
      <c r="P2042" s="52">
        <f t="shared" si="468"/>
        <v>0</v>
      </c>
      <c r="Q2042" s="49">
        <v>116.88487613461319</v>
      </c>
      <c r="R2042">
        <v>2225</v>
      </c>
      <c r="S2042" s="50">
        <f t="shared" si="464"/>
        <v>71535.307499999995</v>
      </c>
      <c r="T2042" s="50">
        <f t="shared" si="469"/>
        <v>0</v>
      </c>
      <c r="U2042" s="58">
        <f t="shared" si="470"/>
        <v>0</v>
      </c>
      <c r="V2042" s="58">
        <f t="shared" si="471"/>
        <v>0</v>
      </c>
      <c r="W2042" s="58">
        <f t="shared" si="472"/>
        <v>0</v>
      </c>
      <c r="X2042" s="58">
        <f t="shared" si="473"/>
        <v>0</v>
      </c>
      <c r="Y2042" s="52">
        <f t="shared" si="474"/>
        <v>0</v>
      </c>
    </row>
    <row r="2043" spans="1:25" x14ac:dyDescent="0.25">
      <c r="A2043" s="1218" t="s">
        <v>201</v>
      </c>
      <c r="B2043" s="98">
        <v>45748</v>
      </c>
      <c r="C2043" s="117" t="str">
        <f t="shared" si="462"/>
        <v>8L</v>
      </c>
      <c r="F2043" s="99">
        <f t="shared" si="461"/>
        <v>0</v>
      </c>
      <c r="I2043" s="99">
        <f t="shared" si="460"/>
        <v>0</v>
      </c>
      <c r="L2043" s="99">
        <f t="shared" si="463"/>
        <v>0</v>
      </c>
      <c r="M2043" s="44" t="str">
        <f t="shared" si="465"/>
        <v/>
      </c>
      <c r="N2043" s="100">
        <f t="shared" si="466"/>
        <v>0</v>
      </c>
      <c r="O2043" s="101">
        <f t="shared" si="467"/>
        <v>0</v>
      </c>
      <c r="P2043" s="52">
        <f t="shared" si="468"/>
        <v>0</v>
      </c>
      <c r="Q2043" s="49">
        <v>116.88487613461319</v>
      </c>
      <c r="R2043">
        <v>2225</v>
      </c>
      <c r="S2043" s="50">
        <f t="shared" si="464"/>
        <v>71535.307499999995</v>
      </c>
      <c r="T2043" s="50">
        <f t="shared" si="469"/>
        <v>0</v>
      </c>
      <c r="U2043" s="58">
        <f t="shared" si="470"/>
        <v>0</v>
      </c>
      <c r="V2043" s="58">
        <f t="shared" si="471"/>
        <v>0</v>
      </c>
      <c r="W2043" s="58">
        <f t="shared" si="472"/>
        <v>0</v>
      </c>
      <c r="X2043" s="58">
        <f t="shared" si="473"/>
        <v>0</v>
      </c>
      <c r="Y2043" s="52">
        <f t="shared" si="474"/>
        <v>0</v>
      </c>
    </row>
    <row r="2044" spans="1:25" x14ac:dyDescent="0.25">
      <c r="A2044" s="1218" t="s">
        <v>202</v>
      </c>
      <c r="B2044" s="98">
        <v>45748</v>
      </c>
      <c r="C2044" s="117" t="str">
        <f t="shared" si="462"/>
        <v>8L</v>
      </c>
      <c r="F2044" s="99">
        <f t="shared" si="461"/>
        <v>0</v>
      </c>
      <c r="I2044" s="99">
        <f t="shared" si="460"/>
        <v>0</v>
      </c>
      <c r="L2044" s="99">
        <f t="shared" si="463"/>
        <v>0</v>
      </c>
      <c r="M2044" s="44" t="str">
        <f t="shared" si="465"/>
        <v/>
      </c>
      <c r="N2044" s="100">
        <f t="shared" si="466"/>
        <v>0</v>
      </c>
      <c r="O2044" s="101">
        <f t="shared" si="467"/>
        <v>0</v>
      </c>
      <c r="P2044" s="52">
        <f t="shared" si="468"/>
        <v>0</v>
      </c>
      <c r="Q2044" s="49">
        <v>116.88487613461319</v>
      </c>
      <c r="R2044">
        <v>2225</v>
      </c>
      <c r="S2044" s="50">
        <f t="shared" si="464"/>
        <v>71535.307499999995</v>
      </c>
      <c r="T2044" s="50">
        <f t="shared" si="469"/>
        <v>0</v>
      </c>
      <c r="U2044" s="58">
        <f t="shared" si="470"/>
        <v>0</v>
      </c>
      <c r="V2044" s="58">
        <f t="shared" si="471"/>
        <v>0</v>
      </c>
      <c r="W2044" s="58">
        <f t="shared" si="472"/>
        <v>0</v>
      </c>
      <c r="X2044" s="58">
        <f t="shared" si="473"/>
        <v>0</v>
      </c>
      <c r="Y2044" s="52">
        <f t="shared" si="474"/>
        <v>0</v>
      </c>
    </row>
    <row r="2045" spans="1:25" x14ac:dyDescent="0.25">
      <c r="A2045" s="1218" t="s">
        <v>203</v>
      </c>
      <c r="B2045" s="98">
        <v>45748</v>
      </c>
      <c r="C2045" s="117" t="str">
        <f t="shared" si="462"/>
        <v>8L</v>
      </c>
      <c r="F2045" s="99">
        <f t="shared" si="461"/>
        <v>0</v>
      </c>
      <c r="I2045" s="99">
        <f t="shared" si="460"/>
        <v>0</v>
      </c>
      <c r="L2045" s="99">
        <f t="shared" si="463"/>
        <v>0</v>
      </c>
      <c r="M2045" s="44" t="str">
        <f t="shared" si="465"/>
        <v/>
      </c>
      <c r="N2045" s="100">
        <f t="shared" si="466"/>
        <v>0</v>
      </c>
      <c r="O2045" s="101">
        <f t="shared" si="467"/>
        <v>0</v>
      </c>
      <c r="P2045" s="52">
        <f t="shared" si="468"/>
        <v>0</v>
      </c>
      <c r="Q2045" s="49">
        <v>116.88487613461319</v>
      </c>
      <c r="R2045">
        <v>2225</v>
      </c>
      <c r="S2045" s="50">
        <f t="shared" si="464"/>
        <v>71535.307499999995</v>
      </c>
      <c r="T2045" s="50">
        <f t="shared" si="469"/>
        <v>0</v>
      </c>
      <c r="U2045" s="58">
        <f t="shared" si="470"/>
        <v>0</v>
      </c>
      <c r="V2045" s="58">
        <f t="shared" si="471"/>
        <v>0</v>
      </c>
      <c r="W2045" s="58">
        <f t="shared" si="472"/>
        <v>0</v>
      </c>
      <c r="X2045" s="58">
        <f t="shared" si="473"/>
        <v>0</v>
      </c>
      <c r="Y2045" s="52">
        <f t="shared" si="474"/>
        <v>0</v>
      </c>
    </row>
    <row r="2046" spans="1:25" x14ac:dyDescent="0.25">
      <c r="A2046" s="1218" t="s">
        <v>204</v>
      </c>
      <c r="B2046" s="98">
        <v>45748</v>
      </c>
      <c r="C2046" s="117" t="str">
        <f t="shared" si="462"/>
        <v>8L</v>
      </c>
      <c r="F2046" s="99">
        <f t="shared" si="461"/>
        <v>0</v>
      </c>
      <c r="I2046" s="99">
        <f t="shared" ref="I2046:I2110" si="475">IFERROR(G2046*H2046/1000,"")</f>
        <v>0</v>
      </c>
      <c r="L2046" s="99">
        <f t="shared" si="463"/>
        <v>0</v>
      </c>
      <c r="M2046" s="44" t="str">
        <f t="shared" si="465"/>
        <v/>
      </c>
      <c r="N2046" s="100">
        <f t="shared" si="466"/>
        <v>0</v>
      </c>
      <c r="O2046" s="101">
        <f t="shared" si="467"/>
        <v>0</v>
      </c>
      <c r="P2046" s="52">
        <f t="shared" si="468"/>
        <v>0</v>
      </c>
      <c r="Q2046" s="49">
        <v>116.88487613461319</v>
      </c>
      <c r="R2046">
        <v>2225</v>
      </c>
      <c r="S2046" s="50">
        <f t="shared" si="464"/>
        <v>71535.307499999995</v>
      </c>
      <c r="T2046" s="50">
        <f t="shared" si="469"/>
        <v>0</v>
      </c>
      <c r="U2046" s="58">
        <f t="shared" si="470"/>
        <v>0</v>
      </c>
      <c r="V2046" s="58">
        <f t="shared" si="471"/>
        <v>0</v>
      </c>
      <c r="W2046" s="58">
        <f t="shared" si="472"/>
        <v>0</v>
      </c>
      <c r="X2046" s="58">
        <f t="shared" si="473"/>
        <v>0</v>
      </c>
      <c r="Y2046" s="52">
        <f t="shared" si="474"/>
        <v>0</v>
      </c>
    </row>
    <row r="2047" spans="1:25" x14ac:dyDescent="0.25">
      <c r="A2047" s="1218" t="s">
        <v>205</v>
      </c>
      <c r="B2047" s="98">
        <v>45748</v>
      </c>
      <c r="C2047" s="117" t="str">
        <f t="shared" si="462"/>
        <v>8L</v>
      </c>
      <c r="F2047" s="99">
        <f t="shared" si="461"/>
        <v>0</v>
      </c>
      <c r="I2047" s="99">
        <f t="shared" si="475"/>
        <v>0</v>
      </c>
      <c r="L2047" s="99">
        <f t="shared" si="463"/>
        <v>0</v>
      </c>
      <c r="M2047" s="44" t="str">
        <f t="shared" si="465"/>
        <v/>
      </c>
      <c r="N2047" s="100">
        <f t="shared" si="466"/>
        <v>0</v>
      </c>
      <c r="O2047" s="101">
        <f t="shared" si="467"/>
        <v>0</v>
      </c>
      <c r="P2047" s="52">
        <f t="shared" si="468"/>
        <v>0</v>
      </c>
      <c r="Q2047" s="49">
        <v>116.88487613461319</v>
      </c>
      <c r="R2047">
        <v>2225</v>
      </c>
      <c r="S2047" s="50">
        <f t="shared" si="464"/>
        <v>71535.307499999995</v>
      </c>
      <c r="T2047" s="50">
        <f t="shared" si="469"/>
        <v>0</v>
      </c>
      <c r="U2047" s="58">
        <f t="shared" si="470"/>
        <v>0</v>
      </c>
      <c r="V2047" s="58">
        <f t="shared" si="471"/>
        <v>0</v>
      </c>
      <c r="W2047" s="58">
        <f t="shared" si="472"/>
        <v>0</v>
      </c>
      <c r="X2047" s="58">
        <f t="shared" si="473"/>
        <v>0</v>
      </c>
      <c r="Y2047" s="52">
        <f t="shared" si="474"/>
        <v>0</v>
      </c>
    </row>
    <row r="2048" spans="1:25" x14ac:dyDescent="0.25">
      <c r="A2048" s="1218" t="s">
        <v>206</v>
      </c>
      <c r="B2048" s="98">
        <v>45748</v>
      </c>
      <c r="C2048" s="117" t="str">
        <f t="shared" si="462"/>
        <v>8L</v>
      </c>
      <c r="F2048" s="99">
        <f t="shared" si="461"/>
        <v>0</v>
      </c>
      <c r="I2048" s="99">
        <f t="shared" si="475"/>
        <v>0</v>
      </c>
      <c r="L2048" s="99">
        <f t="shared" si="463"/>
        <v>0</v>
      </c>
      <c r="M2048" s="44" t="str">
        <f t="shared" si="465"/>
        <v/>
      </c>
      <c r="N2048" s="100">
        <f t="shared" si="466"/>
        <v>0</v>
      </c>
      <c r="O2048" s="101">
        <f t="shared" si="467"/>
        <v>0</v>
      </c>
      <c r="P2048" s="52">
        <f t="shared" si="468"/>
        <v>0</v>
      </c>
      <c r="Q2048" s="49">
        <v>116.88487613461319</v>
      </c>
      <c r="R2048">
        <v>2225</v>
      </c>
      <c r="S2048" s="50">
        <f t="shared" si="464"/>
        <v>71535.307499999995</v>
      </c>
      <c r="T2048" s="50">
        <f t="shared" si="469"/>
        <v>0</v>
      </c>
      <c r="U2048" s="58">
        <f t="shared" si="470"/>
        <v>0</v>
      </c>
      <c r="V2048" s="58">
        <f t="shared" si="471"/>
        <v>0</v>
      </c>
      <c r="W2048" s="58">
        <f t="shared" si="472"/>
        <v>0</v>
      </c>
      <c r="X2048" s="58">
        <f t="shared" si="473"/>
        <v>0</v>
      </c>
      <c r="Y2048" s="52">
        <f t="shared" si="474"/>
        <v>0</v>
      </c>
    </row>
    <row r="2049" spans="1:25" ht="15.75" thickBot="1" x14ac:dyDescent="0.3">
      <c r="A2049" s="1219" t="s">
        <v>207</v>
      </c>
      <c r="B2049" s="98">
        <v>45748</v>
      </c>
      <c r="C2049" s="117" t="str">
        <f t="shared" si="462"/>
        <v>8L</v>
      </c>
      <c r="F2049" s="99">
        <f t="shared" si="461"/>
        <v>0</v>
      </c>
      <c r="I2049" s="99">
        <f t="shared" si="475"/>
        <v>0</v>
      </c>
      <c r="L2049" s="99">
        <f t="shared" si="463"/>
        <v>0</v>
      </c>
      <c r="M2049" s="44" t="str">
        <f t="shared" si="465"/>
        <v/>
      </c>
      <c r="N2049" s="100">
        <f t="shared" si="466"/>
        <v>0</v>
      </c>
      <c r="O2049" s="101">
        <f t="shared" si="467"/>
        <v>0</v>
      </c>
      <c r="P2049" s="52">
        <f t="shared" si="468"/>
        <v>0</v>
      </c>
      <c r="Q2049" s="49">
        <v>116.88487613461319</v>
      </c>
      <c r="R2049">
        <v>2225</v>
      </c>
      <c r="S2049" s="50">
        <f t="shared" si="464"/>
        <v>71535.307499999995</v>
      </c>
      <c r="T2049" s="50">
        <f t="shared" si="469"/>
        <v>0</v>
      </c>
      <c r="U2049" s="58">
        <f t="shared" si="470"/>
        <v>0</v>
      </c>
      <c r="V2049" s="58">
        <f t="shared" si="471"/>
        <v>0</v>
      </c>
      <c r="W2049" s="58">
        <f t="shared" si="472"/>
        <v>0</v>
      </c>
      <c r="X2049" s="58">
        <f t="shared" si="473"/>
        <v>0</v>
      </c>
      <c r="Y2049" s="52">
        <f t="shared" si="474"/>
        <v>0</v>
      </c>
    </row>
    <row r="2050" spans="1:25" x14ac:dyDescent="0.25">
      <c r="A2050" s="97" t="s">
        <v>80</v>
      </c>
      <c r="B2050" s="98">
        <v>45778</v>
      </c>
      <c r="C2050" s="117" t="str">
        <f t="shared" si="462"/>
        <v>1L</v>
      </c>
      <c r="F2050" s="99">
        <f t="shared" si="461"/>
        <v>0</v>
      </c>
      <c r="G2050">
        <v>2030</v>
      </c>
      <c r="H2050">
        <v>2.2999999999999998</v>
      </c>
      <c r="I2050" s="99">
        <f>IFERROR(G2050*H2050/1000,"")</f>
        <v>4.6689999999999996</v>
      </c>
      <c r="L2050" s="99">
        <f t="shared" si="463"/>
        <v>0</v>
      </c>
      <c r="M2050" s="44">
        <f t="shared" si="465"/>
        <v>-1</v>
      </c>
      <c r="N2050" s="100">
        <f t="shared" si="466"/>
        <v>-2030</v>
      </c>
      <c r="O2050" s="101">
        <f t="shared" si="467"/>
        <v>-4.6689999999999996</v>
      </c>
      <c r="P2050" s="52">
        <f t="shared" si="468"/>
        <v>0</v>
      </c>
      <c r="Q2050" s="49">
        <v>116.88487613461319</v>
      </c>
      <c r="R2050">
        <v>2225</v>
      </c>
      <c r="S2050" s="50">
        <f t="shared" si="464"/>
        <v>71535.307499999995</v>
      </c>
      <c r="T2050" s="50">
        <f t="shared" si="469"/>
        <v>333998.35071749997</v>
      </c>
      <c r="U2050" s="58">
        <f t="shared" si="470"/>
        <v>0</v>
      </c>
      <c r="V2050" s="58">
        <f t="shared" si="471"/>
        <v>237276.29855326479</v>
      </c>
      <c r="W2050" s="58">
        <f t="shared" si="472"/>
        <v>0</v>
      </c>
      <c r="X2050" s="58">
        <f t="shared" si="473"/>
        <v>96722.052164235181</v>
      </c>
      <c r="Y2050" s="52">
        <f t="shared" si="474"/>
        <v>0</v>
      </c>
    </row>
    <row r="2051" spans="1:25" x14ac:dyDescent="0.25">
      <c r="A2051" s="1218" t="s">
        <v>81</v>
      </c>
      <c r="B2051" s="98">
        <v>45778</v>
      </c>
      <c r="C2051" s="117" t="str">
        <f t="shared" si="462"/>
        <v>1L</v>
      </c>
      <c r="F2051" s="99">
        <f t="shared" si="461"/>
        <v>0</v>
      </c>
      <c r="I2051" s="99">
        <f t="shared" si="475"/>
        <v>0</v>
      </c>
      <c r="L2051" s="99">
        <f t="shared" si="463"/>
        <v>0</v>
      </c>
      <c r="M2051" s="44" t="str">
        <f t="shared" si="465"/>
        <v/>
      </c>
      <c r="N2051" s="100">
        <f t="shared" si="466"/>
        <v>0</v>
      </c>
      <c r="O2051" s="101">
        <f t="shared" si="467"/>
        <v>0</v>
      </c>
      <c r="P2051" s="52">
        <f t="shared" si="468"/>
        <v>0</v>
      </c>
      <c r="Q2051" s="49">
        <v>116.88487613461319</v>
      </c>
      <c r="R2051">
        <v>2225</v>
      </c>
      <c r="S2051" s="50">
        <f t="shared" si="464"/>
        <v>71535.307499999995</v>
      </c>
      <c r="T2051" s="50">
        <f t="shared" si="469"/>
        <v>0</v>
      </c>
      <c r="U2051" s="58">
        <f t="shared" si="470"/>
        <v>0</v>
      </c>
      <c r="V2051" s="58">
        <f t="shared" si="471"/>
        <v>0</v>
      </c>
      <c r="W2051" s="58">
        <f t="shared" si="472"/>
        <v>0</v>
      </c>
      <c r="X2051" s="58">
        <f t="shared" si="473"/>
        <v>0</v>
      </c>
      <c r="Y2051" s="52">
        <f t="shared" si="474"/>
        <v>0</v>
      </c>
    </row>
    <row r="2052" spans="1:25" x14ac:dyDescent="0.25">
      <c r="A2052" s="1218" t="s">
        <v>82</v>
      </c>
      <c r="B2052" s="98">
        <v>45778</v>
      </c>
      <c r="C2052" s="117" t="str">
        <f t="shared" si="462"/>
        <v>1L</v>
      </c>
      <c r="F2052" s="99">
        <f t="shared" si="461"/>
        <v>0</v>
      </c>
      <c r="I2052" s="99">
        <f t="shared" si="475"/>
        <v>0</v>
      </c>
      <c r="L2052" s="99">
        <f t="shared" si="463"/>
        <v>0</v>
      </c>
      <c r="M2052" s="44" t="str">
        <f t="shared" si="465"/>
        <v/>
      </c>
      <c r="N2052" s="100">
        <f t="shared" si="466"/>
        <v>0</v>
      </c>
      <c r="O2052" s="101">
        <f t="shared" si="467"/>
        <v>0</v>
      </c>
      <c r="P2052" s="52">
        <f t="shared" si="468"/>
        <v>0</v>
      </c>
      <c r="Q2052" s="49">
        <v>116.88487613461319</v>
      </c>
      <c r="R2052">
        <v>2225</v>
      </c>
      <c r="S2052" s="50">
        <f t="shared" si="464"/>
        <v>71535.307499999995</v>
      </c>
      <c r="T2052" s="50">
        <f t="shared" si="469"/>
        <v>0</v>
      </c>
      <c r="U2052" s="58">
        <f t="shared" si="470"/>
        <v>0</v>
      </c>
      <c r="V2052" s="58">
        <f t="shared" si="471"/>
        <v>0</v>
      </c>
      <c r="W2052" s="58">
        <f t="shared" si="472"/>
        <v>0</v>
      </c>
      <c r="X2052" s="58">
        <f t="shared" si="473"/>
        <v>0</v>
      </c>
      <c r="Y2052" s="52">
        <f t="shared" si="474"/>
        <v>0</v>
      </c>
    </row>
    <row r="2053" spans="1:25" x14ac:dyDescent="0.25">
      <c r="A2053" s="1218" t="s">
        <v>83</v>
      </c>
      <c r="B2053" s="98">
        <v>45778</v>
      </c>
      <c r="C2053" s="117" t="str">
        <f t="shared" si="462"/>
        <v>1L</v>
      </c>
      <c r="F2053" s="99">
        <f t="shared" si="461"/>
        <v>0</v>
      </c>
      <c r="I2053" s="99">
        <f t="shared" si="475"/>
        <v>0</v>
      </c>
      <c r="L2053" s="99">
        <f t="shared" si="463"/>
        <v>0</v>
      </c>
      <c r="M2053" s="44" t="str">
        <f t="shared" si="465"/>
        <v/>
      </c>
      <c r="N2053" s="100">
        <f t="shared" si="466"/>
        <v>0</v>
      </c>
      <c r="O2053" s="101">
        <f t="shared" si="467"/>
        <v>0</v>
      </c>
      <c r="P2053" s="52">
        <f t="shared" si="468"/>
        <v>0</v>
      </c>
      <c r="Q2053" s="49">
        <v>116.88487613461319</v>
      </c>
      <c r="R2053">
        <v>2225</v>
      </c>
      <c r="S2053" s="50">
        <f t="shared" si="464"/>
        <v>71535.307499999995</v>
      </c>
      <c r="T2053" s="50">
        <f t="shared" si="469"/>
        <v>0</v>
      </c>
      <c r="U2053" s="58">
        <f t="shared" si="470"/>
        <v>0</v>
      </c>
      <c r="V2053" s="58">
        <f t="shared" si="471"/>
        <v>0</v>
      </c>
      <c r="W2053" s="58">
        <f t="shared" si="472"/>
        <v>0</v>
      </c>
      <c r="X2053" s="58">
        <f t="shared" si="473"/>
        <v>0</v>
      </c>
      <c r="Y2053" s="52">
        <f t="shared" si="474"/>
        <v>0</v>
      </c>
    </row>
    <row r="2054" spans="1:25" x14ac:dyDescent="0.25">
      <c r="A2054" s="1218" t="s">
        <v>84</v>
      </c>
      <c r="B2054" s="98">
        <v>45778</v>
      </c>
      <c r="C2054" s="117" t="str">
        <f t="shared" si="462"/>
        <v>2L</v>
      </c>
      <c r="F2054" s="99">
        <f t="shared" si="461"/>
        <v>0</v>
      </c>
      <c r="I2054" s="99">
        <f t="shared" si="475"/>
        <v>0</v>
      </c>
      <c r="L2054" s="99">
        <f t="shared" si="463"/>
        <v>0</v>
      </c>
      <c r="M2054" s="44" t="str">
        <f t="shared" si="465"/>
        <v/>
      </c>
      <c r="N2054" s="100">
        <f t="shared" si="466"/>
        <v>0</v>
      </c>
      <c r="O2054" s="101">
        <f t="shared" si="467"/>
        <v>0</v>
      </c>
      <c r="P2054" s="52">
        <f t="shared" si="468"/>
        <v>0</v>
      </c>
      <c r="Q2054" s="49">
        <v>116.88487613461319</v>
      </c>
      <c r="R2054">
        <v>2225</v>
      </c>
      <c r="S2054" s="50">
        <f t="shared" si="464"/>
        <v>71535.307499999995</v>
      </c>
      <c r="T2054" s="50">
        <f t="shared" si="469"/>
        <v>0</v>
      </c>
      <c r="U2054" s="58">
        <f t="shared" si="470"/>
        <v>0</v>
      </c>
      <c r="V2054" s="58">
        <f t="shared" si="471"/>
        <v>0</v>
      </c>
      <c r="W2054" s="58">
        <f t="shared" si="472"/>
        <v>0</v>
      </c>
      <c r="X2054" s="58">
        <f t="shared" si="473"/>
        <v>0</v>
      </c>
      <c r="Y2054" s="52">
        <f t="shared" si="474"/>
        <v>0</v>
      </c>
    </row>
    <row r="2055" spans="1:25" x14ac:dyDescent="0.25">
      <c r="A2055" s="1218" t="s">
        <v>85</v>
      </c>
      <c r="B2055" s="98">
        <v>45778</v>
      </c>
      <c r="C2055" s="117" t="str">
        <f t="shared" si="462"/>
        <v>2L</v>
      </c>
      <c r="F2055" s="99">
        <f t="shared" si="461"/>
        <v>0</v>
      </c>
      <c r="I2055" s="99">
        <f t="shared" si="475"/>
        <v>0</v>
      </c>
      <c r="L2055" s="99">
        <f t="shared" si="463"/>
        <v>0</v>
      </c>
      <c r="M2055" s="44" t="str">
        <f t="shared" si="465"/>
        <v/>
      </c>
      <c r="N2055" s="100">
        <f t="shared" si="466"/>
        <v>0</v>
      </c>
      <c r="O2055" s="101">
        <f t="shared" si="467"/>
        <v>0</v>
      </c>
      <c r="P2055" s="52">
        <f t="shared" si="468"/>
        <v>0</v>
      </c>
      <c r="Q2055" s="49">
        <v>116.88487613461319</v>
      </c>
      <c r="R2055">
        <v>2225</v>
      </c>
      <c r="S2055" s="50">
        <f t="shared" si="464"/>
        <v>71535.307499999995</v>
      </c>
      <c r="T2055" s="50">
        <f t="shared" si="469"/>
        <v>0</v>
      </c>
      <c r="U2055" s="58">
        <f t="shared" si="470"/>
        <v>0</v>
      </c>
      <c r="V2055" s="58">
        <f t="shared" si="471"/>
        <v>0</v>
      </c>
      <c r="W2055" s="58">
        <f t="shared" si="472"/>
        <v>0</v>
      </c>
      <c r="X2055" s="58">
        <f t="shared" si="473"/>
        <v>0</v>
      </c>
      <c r="Y2055" s="52">
        <f t="shared" si="474"/>
        <v>0</v>
      </c>
    </row>
    <row r="2056" spans="1:25" x14ac:dyDescent="0.25">
      <c r="A2056" s="1218" t="s">
        <v>86</v>
      </c>
      <c r="B2056" s="98">
        <v>45778</v>
      </c>
      <c r="C2056" s="117" t="str">
        <f t="shared" si="462"/>
        <v>2L</v>
      </c>
      <c r="F2056" s="99">
        <f t="shared" ref="F2056:F2120" si="476">IFERROR(D2056*E2056/1000,"")</f>
        <v>0</v>
      </c>
      <c r="I2056" s="99">
        <f t="shared" si="475"/>
        <v>0</v>
      </c>
      <c r="L2056" s="99">
        <f t="shared" si="463"/>
        <v>0</v>
      </c>
      <c r="M2056" s="44" t="str">
        <f t="shared" si="465"/>
        <v/>
      </c>
      <c r="N2056" s="100">
        <f t="shared" si="466"/>
        <v>0</v>
      </c>
      <c r="O2056" s="101">
        <f t="shared" si="467"/>
        <v>0</v>
      </c>
      <c r="P2056" s="52">
        <f t="shared" si="468"/>
        <v>0</v>
      </c>
      <c r="Q2056" s="49">
        <v>116.88487613461319</v>
      </c>
      <c r="R2056">
        <v>2225</v>
      </c>
      <c r="S2056" s="50">
        <f t="shared" si="464"/>
        <v>71535.307499999995</v>
      </c>
      <c r="T2056" s="50">
        <f t="shared" si="469"/>
        <v>0</v>
      </c>
      <c r="U2056" s="58">
        <f t="shared" si="470"/>
        <v>0</v>
      </c>
      <c r="V2056" s="58">
        <f t="shared" si="471"/>
        <v>0</v>
      </c>
      <c r="W2056" s="58">
        <f t="shared" si="472"/>
        <v>0</v>
      </c>
      <c r="X2056" s="58">
        <f t="shared" si="473"/>
        <v>0</v>
      </c>
      <c r="Y2056" s="52">
        <f t="shared" si="474"/>
        <v>0</v>
      </c>
    </row>
    <row r="2057" spans="1:25" x14ac:dyDescent="0.25">
      <c r="A2057" s="1218" t="s">
        <v>87</v>
      </c>
      <c r="B2057" s="98">
        <v>45778</v>
      </c>
      <c r="C2057" s="117" t="str">
        <f t="shared" si="462"/>
        <v>3L</v>
      </c>
      <c r="F2057" s="99">
        <f t="shared" si="476"/>
        <v>0</v>
      </c>
      <c r="I2057" s="99">
        <f t="shared" si="475"/>
        <v>0</v>
      </c>
      <c r="L2057" s="99">
        <f t="shared" si="463"/>
        <v>0</v>
      </c>
      <c r="M2057" s="44" t="str">
        <f t="shared" si="465"/>
        <v/>
      </c>
      <c r="N2057" s="100">
        <f t="shared" si="466"/>
        <v>0</v>
      </c>
      <c r="O2057" s="101">
        <f t="shared" si="467"/>
        <v>0</v>
      </c>
      <c r="P2057" s="52">
        <f t="shared" si="468"/>
        <v>0</v>
      </c>
      <c r="Q2057" s="49">
        <v>116.88487613461319</v>
      </c>
      <c r="R2057">
        <v>2225</v>
      </c>
      <c r="S2057" s="50">
        <f t="shared" si="464"/>
        <v>71535.307499999995</v>
      </c>
      <c r="T2057" s="50">
        <f t="shared" si="469"/>
        <v>0</v>
      </c>
      <c r="U2057" s="58">
        <f t="shared" si="470"/>
        <v>0</v>
      </c>
      <c r="V2057" s="58">
        <f t="shared" si="471"/>
        <v>0</v>
      </c>
      <c r="W2057" s="58">
        <f t="shared" si="472"/>
        <v>0</v>
      </c>
      <c r="X2057" s="58">
        <f t="shared" si="473"/>
        <v>0</v>
      </c>
      <c r="Y2057" s="52">
        <f t="shared" si="474"/>
        <v>0</v>
      </c>
    </row>
    <row r="2058" spans="1:25" x14ac:dyDescent="0.25">
      <c r="A2058" s="1218" t="s">
        <v>88</v>
      </c>
      <c r="B2058" s="98">
        <v>45778</v>
      </c>
      <c r="C2058" s="117" t="str">
        <f t="shared" si="462"/>
        <v>3L</v>
      </c>
      <c r="F2058" s="99">
        <f t="shared" si="476"/>
        <v>0</v>
      </c>
      <c r="I2058" s="99">
        <f t="shared" si="475"/>
        <v>0</v>
      </c>
      <c r="L2058" s="99">
        <f t="shared" si="463"/>
        <v>0</v>
      </c>
      <c r="M2058" s="44" t="str">
        <f t="shared" si="465"/>
        <v/>
      </c>
      <c r="N2058" s="100">
        <f t="shared" si="466"/>
        <v>0</v>
      </c>
      <c r="O2058" s="101">
        <f t="shared" si="467"/>
        <v>0</v>
      </c>
      <c r="P2058" s="52">
        <f t="shared" si="468"/>
        <v>0</v>
      </c>
      <c r="Q2058" s="49">
        <v>116.88487613461319</v>
      </c>
      <c r="R2058">
        <v>2225</v>
      </c>
      <c r="S2058" s="50">
        <f t="shared" si="464"/>
        <v>71535.307499999995</v>
      </c>
      <c r="T2058" s="50">
        <f t="shared" si="469"/>
        <v>0</v>
      </c>
      <c r="U2058" s="58">
        <f t="shared" si="470"/>
        <v>0</v>
      </c>
      <c r="V2058" s="58">
        <f t="shared" si="471"/>
        <v>0</v>
      </c>
      <c r="W2058" s="58">
        <f t="shared" si="472"/>
        <v>0</v>
      </c>
      <c r="X2058" s="58">
        <f t="shared" si="473"/>
        <v>0</v>
      </c>
      <c r="Y2058" s="52">
        <f t="shared" si="474"/>
        <v>0</v>
      </c>
    </row>
    <row r="2059" spans="1:25" x14ac:dyDescent="0.25">
      <c r="A2059" s="1218" t="s">
        <v>89</v>
      </c>
      <c r="B2059" s="98">
        <v>45778</v>
      </c>
      <c r="C2059" s="117" t="str">
        <f t="shared" si="462"/>
        <v>3L</v>
      </c>
      <c r="F2059" s="99">
        <f t="shared" si="476"/>
        <v>0</v>
      </c>
      <c r="I2059" s="99">
        <f t="shared" si="475"/>
        <v>0</v>
      </c>
      <c r="L2059" s="99">
        <f t="shared" si="463"/>
        <v>0</v>
      </c>
      <c r="M2059" s="44" t="str">
        <f t="shared" si="465"/>
        <v/>
      </c>
      <c r="N2059" s="100">
        <f t="shared" si="466"/>
        <v>0</v>
      </c>
      <c r="O2059" s="101">
        <f t="shared" si="467"/>
        <v>0</v>
      </c>
      <c r="P2059" s="52">
        <f t="shared" si="468"/>
        <v>0</v>
      </c>
      <c r="Q2059" s="49">
        <v>116.88487613461319</v>
      </c>
      <c r="R2059">
        <v>2225</v>
      </c>
      <c r="S2059" s="50">
        <f t="shared" si="464"/>
        <v>71535.307499999995</v>
      </c>
      <c r="T2059" s="50">
        <f t="shared" si="469"/>
        <v>0</v>
      </c>
      <c r="U2059" s="58">
        <f t="shared" si="470"/>
        <v>0</v>
      </c>
      <c r="V2059" s="58">
        <f t="shared" si="471"/>
        <v>0</v>
      </c>
      <c r="W2059" s="58">
        <f t="shared" si="472"/>
        <v>0</v>
      </c>
      <c r="X2059" s="58">
        <f t="shared" si="473"/>
        <v>0</v>
      </c>
      <c r="Y2059" s="52">
        <f t="shared" si="474"/>
        <v>0</v>
      </c>
    </row>
    <row r="2060" spans="1:25" x14ac:dyDescent="0.25">
      <c r="A2060" s="1218" t="s">
        <v>90</v>
      </c>
      <c r="B2060" s="98">
        <v>45778</v>
      </c>
      <c r="C2060" s="117" t="str">
        <f t="shared" si="462"/>
        <v>3L</v>
      </c>
      <c r="D2060">
        <v>2341</v>
      </c>
      <c r="E2060">
        <v>2.5499999999999998</v>
      </c>
      <c r="F2060" s="99">
        <f t="shared" si="476"/>
        <v>5.969549999999999</v>
      </c>
      <c r="G2060">
        <v>2030</v>
      </c>
      <c r="H2060">
        <v>3.85</v>
      </c>
      <c r="I2060" s="99">
        <f t="shared" si="475"/>
        <v>7.8155000000000001</v>
      </c>
      <c r="L2060" s="99">
        <f t="shared" si="463"/>
        <v>0</v>
      </c>
      <c r="M2060" s="44">
        <f t="shared" si="465"/>
        <v>-1</v>
      </c>
      <c r="N2060" s="100">
        <f t="shared" si="466"/>
        <v>-2030</v>
      </c>
      <c r="O2060" s="101">
        <f t="shared" si="467"/>
        <v>-7.8155000000000001</v>
      </c>
      <c r="P2060" s="52">
        <f t="shared" si="468"/>
        <v>0</v>
      </c>
      <c r="Q2060" s="49">
        <v>116.88487613461319</v>
      </c>
      <c r="R2060">
        <v>2225</v>
      </c>
      <c r="S2060" s="50">
        <f t="shared" si="464"/>
        <v>71535.307499999995</v>
      </c>
      <c r="T2060" s="50">
        <f t="shared" si="469"/>
        <v>559084.19576625002</v>
      </c>
      <c r="U2060" s="58">
        <f t="shared" si="470"/>
        <v>0</v>
      </c>
      <c r="V2060" s="58">
        <f t="shared" si="471"/>
        <v>237276.29855326479</v>
      </c>
      <c r="W2060" s="58">
        <f t="shared" si="472"/>
        <v>0</v>
      </c>
      <c r="X2060" s="58">
        <f t="shared" si="473"/>
        <v>321807.8972129852</v>
      </c>
      <c r="Y2060" s="52">
        <f t="shared" si="474"/>
        <v>0</v>
      </c>
    </row>
    <row r="2061" spans="1:25" x14ac:dyDescent="0.25">
      <c r="A2061" s="1218" t="s">
        <v>91</v>
      </c>
      <c r="B2061" s="98">
        <v>45778</v>
      </c>
      <c r="C2061" s="117" t="str">
        <f t="shared" si="462"/>
        <v>3L</v>
      </c>
      <c r="F2061" s="99">
        <f t="shared" si="476"/>
        <v>0</v>
      </c>
      <c r="G2061">
        <v>1960</v>
      </c>
      <c r="H2061">
        <v>2.14</v>
      </c>
      <c r="I2061" s="99">
        <f t="shared" si="475"/>
        <v>4.1944000000000008</v>
      </c>
      <c r="L2061" s="99">
        <f t="shared" si="463"/>
        <v>0</v>
      </c>
      <c r="M2061" s="44">
        <f t="shared" si="465"/>
        <v>-1</v>
      </c>
      <c r="N2061" s="100">
        <f t="shared" si="466"/>
        <v>-1960</v>
      </c>
      <c r="O2061" s="101">
        <f t="shared" si="467"/>
        <v>-4.1944000000000008</v>
      </c>
      <c r="P2061" s="52">
        <f t="shared" si="468"/>
        <v>0</v>
      </c>
      <c r="Q2061" s="49">
        <v>116.88487613461319</v>
      </c>
      <c r="R2061">
        <v>2225</v>
      </c>
      <c r="S2061" s="50">
        <f t="shared" si="464"/>
        <v>71535.307499999995</v>
      </c>
      <c r="T2061" s="50">
        <f t="shared" si="469"/>
        <v>300047.69377800002</v>
      </c>
      <c r="U2061" s="58">
        <f t="shared" si="470"/>
        <v>0</v>
      </c>
      <c r="V2061" s="58">
        <f t="shared" si="471"/>
        <v>229094.35722384186</v>
      </c>
      <c r="W2061" s="58">
        <f t="shared" si="472"/>
        <v>0</v>
      </c>
      <c r="X2061" s="58">
        <f t="shared" si="473"/>
        <v>70953.336554158159</v>
      </c>
      <c r="Y2061" s="52">
        <f t="shared" si="474"/>
        <v>0</v>
      </c>
    </row>
    <row r="2062" spans="1:25" x14ac:dyDescent="0.25">
      <c r="A2062" s="1218" t="s">
        <v>92</v>
      </c>
      <c r="B2062" s="98">
        <v>45778</v>
      </c>
      <c r="C2062" s="117" t="str">
        <f t="shared" si="462"/>
        <v>3L</v>
      </c>
      <c r="D2062" s="118">
        <v>1798</v>
      </c>
      <c r="E2062">
        <v>1.72</v>
      </c>
      <c r="F2062" s="99">
        <f t="shared" si="476"/>
        <v>3.0925599999999998</v>
      </c>
      <c r="I2062" s="99">
        <f t="shared" si="475"/>
        <v>0</v>
      </c>
      <c r="L2062" s="99">
        <f t="shared" si="463"/>
        <v>0</v>
      </c>
      <c r="M2062" s="44" t="str">
        <f t="shared" si="465"/>
        <v/>
      </c>
      <c r="N2062" s="100">
        <f t="shared" si="466"/>
        <v>0</v>
      </c>
      <c r="O2062" s="101">
        <f t="shared" si="467"/>
        <v>0</v>
      </c>
      <c r="P2062" s="52">
        <f t="shared" si="468"/>
        <v>0</v>
      </c>
      <c r="Q2062" s="49">
        <v>116.88487613461319</v>
      </c>
      <c r="R2062">
        <v>2225</v>
      </c>
      <c r="S2062" s="50">
        <f t="shared" si="464"/>
        <v>71535.307499999995</v>
      </c>
      <c r="T2062" s="50">
        <f t="shared" si="469"/>
        <v>0</v>
      </c>
      <c r="U2062" s="58">
        <f t="shared" si="470"/>
        <v>0</v>
      </c>
      <c r="V2062" s="58">
        <f t="shared" si="471"/>
        <v>0</v>
      </c>
      <c r="W2062" s="58">
        <f t="shared" si="472"/>
        <v>0</v>
      </c>
      <c r="X2062" s="58">
        <f t="shared" si="473"/>
        <v>0</v>
      </c>
      <c r="Y2062" s="52">
        <f t="shared" si="474"/>
        <v>0</v>
      </c>
    </row>
    <row r="2063" spans="1:25" x14ac:dyDescent="0.25">
      <c r="A2063" s="1218" t="s">
        <v>93</v>
      </c>
      <c r="B2063" s="98">
        <v>45778</v>
      </c>
      <c r="C2063" s="117" t="str">
        <f t="shared" si="462"/>
        <v>3L</v>
      </c>
      <c r="F2063" s="99">
        <f t="shared" si="476"/>
        <v>0</v>
      </c>
      <c r="I2063" s="99">
        <f t="shared" si="475"/>
        <v>0</v>
      </c>
      <c r="L2063" s="99">
        <f t="shared" si="463"/>
        <v>0</v>
      </c>
      <c r="M2063" s="44" t="str">
        <f t="shared" si="465"/>
        <v/>
      </c>
      <c r="N2063" s="100">
        <f t="shared" si="466"/>
        <v>0</v>
      </c>
      <c r="O2063" s="101">
        <f t="shared" si="467"/>
        <v>0</v>
      </c>
      <c r="P2063" s="52">
        <f t="shared" si="468"/>
        <v>0</v>
      </c>
      <c r="Q2063" s="49">
        <v>116.88487613461319</v>
      </c>
      <c r="R2063">
        <v>2225</v>
      </c>
      <c r="S2063" s="50">
        <f t="shared" si="464"/>
        <v>71535.307499999995</v>
      </c>
      <c r="T2063" s="50">
        <f t="shared" si="469"/>
        <v>0</v>
      </c>
      <c r="U2063" s="58">
        <f t="shared" si="470"/>
        <v>0</v>
      </c>
      <c r="V2063" s="58">
        <f t="shared" si="471"/>
        <v>0</v>
      </c>
      <c r="W2063" s="58">
        <f t="shared" si="472"/>
        <v>0</v>
      </c>
      <c r="X2063" s="58">
        <f t="shared" si="473"/>
        <v>0</v>
      </c>
      <c r="Y2063" s="52">
        <f t="shared" si="474"/>
        <v>0</v>
      </c>
    </row>
    <row r="2064" spans="1:25" x14ac:dyDescent="0.25">
      <c r="A2064" s="1218" t="s">
        <v>94</v>
      </c>
      <c r="B2064" s="98">
        <v>45778</v>
      </c>
      <c r="C2064" s="117" t="str">
        <f t="shared" si="462"/>
        <v>3L</v>
      </c>
      <c r="F2064" s="99">
        <f t="shared" si="476"/>
        <v>0</v>
      </c>
      <c r="I2064" s="99">
        <f t="shared" si="475"/>
        <v>0</v>
      </c>
      <c r="L2064" s="99">
        <f t="shared" si="463"/>
        <v>0</v>
      </c>
      <c r="M2064" s="44" t="str">
        <f t="shared" si="465"/>
        <v/>
      </c>
      <c r="N2064" s="100">
        <f t="shared" si="466"/>
        <v>0</v>
      </c>
      <c r="O2064" s="101">
        <f t="shared" si="467"/>
        <v>0</v>
      </c>
      <c r="P2064" s="52">
        <f t="shared" si="468"/>
        <v>0</v>
      </c>
      <c r="Q2064" s="49">
        <v>116.88487613461319</v>
      </c>
      <c r="R2064">
        <v>2225</v>
      </c>
      <c r="S2064" s="50">
        <f t="shared" si="464"/>
        <v>71535.307499999995</v>
      </c>
      <c r="T2064" s="50">
        <f t="shared" si="469"/>
        <v>0</v>
      </c>
      <c r="U2064" s="58">
        <f t="shared" si="470"/>
        <v>0</v>
      </c>
      <c r="V2064" s="58">
        <f t="shared" si="471"/>
        <v>0</v>
      </c>
      <c r="W2064" s="58">
        <f t="shared" si="472"/>
        <v>0</v>
      </c>
      <c r="X2064" s="58">
        <f t="shared" si="473"/>
        <v>0</v>
      </c>
      <c r="Y2064" s="52">
        <f t="shared" si="474"/>
        <v>0</v>
      </c>
    </row>
    <row r="2065" spans="1:25" x14ac:dyDescent="0.25">
      <c r="A2065" s="1218" t="s">
        <v>95</v>
      </c>
      <c r="B2065" s="98">
        <v>45778</v>
      </c>
      <c r="C2065" s="117" t="str">
        <f t="shared" si="462"/>
        <v>3L</v>
      </c>
      <c r="F2065" s="99">
        <f t="shared" si="476"/>
        <v>0</v>
      </c>
      <c r="I2065" s="99">
        <f t="shared" si="475"/>
        <v>0</v>
      </c>
      <c r="L2065" s="99">
        <f t="shared" si="463"/>
        <v>0</v>
      </c>
      <c r="M2065" s="44" t="str">
        <f t="shared" si="465"/>
        <v/>
      </c>
      <c r="N2065" s="100">
        <f t="shared" si="466"/>
        <v>0</v>
      </c>
      <c r="O2065" s="101">
        <f t="shared" si="467"/>
        <v>0</v>
      </c>
      <c r="P2065" s="52">
        <f t="shared" si="468"/>
        <v>0</v>
      </c>
      <c r="Q2065" s="49">
        <v>116.88487613461319</v>
      </c>
      <c r="R2065">
        <v>2225</v>
      </c>
      <c r="S2065" s="50">
        <f t="shared" si="464"/>
        <v>71535.307499999995</v>
      </c>
      <c r="T2065" s="50">
        <f t="shared" si="469"/>
        <v>0</v>
      </c>
      <c r="U2065" s="58">
        <f t="shared" si="470"/>
        <v>0</v>
      </c>
      <c r="V2065" s="58">
        <f t="shared" si="471"/>
        <v>0</v>
      </c>
      <c r="W2065" s="58">
        <f t="shared" si="472"/>
        <v>0</v>
      </c>
      <c r="X2065" s="58">
        <f t="shared" si="473"/>
        <v>0</v>
      </c>
      <c r="Y2065" s="52">
        <f t="shared" si="474"/>
        <v>0</v>
      </c>
    </row>
    <row r="2066" spans="1:25" x14ac:dyDescent="0.25">
      <c r="A2066" s="1218" t="s">
        <v>96</v>
      </c>
      <c r="B2066" s="98">
        <v>45778</v>
      </c>
      <c r="C2066" s="117" t="str">
        <f t="shared" si="462"/>
        <v>3L</v>
      </c>
      <c r="F2066" s="99">
        <f t="shared" si="476"/>
        <v>0</v>
      </c>
      <c r="I2066" s="99">
        <f t="shared" si="475"/>
        <v>0</v>
      </c>
      <c r="L2066" s="99">
        <f t="shared" ref="L2066:L2136" si="477">IFERROR(J2066*K2066/1000,"")</f>
        <v>0</v>
      </c>
      <c r="M2066" s="44" t="str">
        <f t="shared" si="465"/>
        <v/>
      </c>
      <c r="N2066" s="100">
        <f t="shared" si="466"/>
        <v>0</v>
      </c>
      <c r="O2066" s="101">
        <f t="shared" si="467"/>
        <v>0</v>
      </c>
      <c r="P2066" s="52">
        <f t="shared" si="468"/>
        <v>0</v>
      </c>
      <c r="Q2066" s="49">
        <v>116.88487613461319</v>
      </c>
      <c r="R2066">
        <v>2225</v>
      </c>
      <c r="S2066" s="50">
        <f t="shared" ref="S2066:S2136" si="478">R2066*32.1507</f>
        <v>71535.307499999995</v>
      </c>
      <c r="T2066" s="50">
        <f t="shared" si="469"/>
        <v>0</v>
      </c>
      <c r="U2066" s="58">
        <f t="shared" si="470"/>
        <v>0</v>
      </c>
      <c r="V2066" s="58">
        <f t="shared" si="471"/>
        <v>0</v>
      </c>
      <c r="W2066" s="58">
        <f t="shared" si="472"/>
        <v>0</v>
      </c>
      <c r="X2066" s="58">
        <f t="shared" si="473"/>
        <v>0</v>
      </c>
      <c r="Y2066" s="52">
        <f t="shared" si="474"/>
        <v>0</v>
      </c>
    </row>
    <row r="2067" spans="1:25" x14ac:dyDescent="0.25">
      <c r="A2067" s="1218" t="s">
        <v>97</v>
      </c>
      <c r="B2067" s="98">
        <v>45778</v>
      </c>
      <c r="C2067" s="117" t="str">
        <f t="shared" ref="C2067:C2131" si="479">LEFT(A2067,2)</f>
        <v>4L</v>
      </c>
      <c r="F2067" s="99">
        <f t="shared" si="476"/>
        <v>0</v>
      </c>
      <c r="I2067" s="99">
        <f t="shared" si="475"/>
        <v>0</v>
      </c>
      <c r="L2067" s="99">
        <f t="shared" si="477"/>
        <v>0</v>
      </c>
      <c r="M2067" s="44" t="str">
        <f t="shared" si="465"/>
        <v/>
      </c>
      <c r="N2067" s="100">
        <f t="shared" si="466"/>
        <v>0</v>
      </c>
      <c r="O2067" s="101">
        <f t="shared" si="467"/>
        <v>0</v>
      </c>
      <c r="P2067" s="52">
        <f t="shared" si="468"/>
        <v>0</v>
      </c>
      <c r="Q2067" s="49">
        <v>116.88487613461319</v>
      </c>
      <c r="R2067">
        <v>2225</v>
      </c>
      <c r="S2067" s="50">
        <f t="shared" si="478"/>
        <v>71535.307499999995</v>
      </c>
      <c r="T2067" s="50">
        <f t="shared" si="469"/>
        <v>0</v>
      </c>
      <c r="U2067" s="58">
        <f t="shared" si="470"/>
        <v>0</v>
      </c>
      <c r="V2067" s="58">
        <f t="shared" si="471"/>
        <v>0</v>
      </c>
      <c r="W2067" s="58">
        <f t="shared" si="472"/>
        <v>0</v>
      </c>
      <c r="X2067" s="58">
        <f t="shared" si="473"/>
        <v>0</v>
      </c>
      <c r="Y2067" s="52">
        <f t="shared" si="474"/>
        <v>0</v>
      </c>
    </row>
    <row r="2068" spans="1:25" x14ac:dyDescent="0.25">
      <c r="A2068" s="1218" t="s">
        <v>98</v>
      </c>
      <c r="B2068" s="98">
        <v>45778</v>
      </c>
      <c r="C2068" s="117" t="str">
        <f t="shared" si="479"/>
        <v>4L</v>
      </c>
      <c r="F2068" s="99">
        <f t="shared" si="476"/>
        <v>0</v>
      </c>
      <c r="I2068" s="99">
        <f t="shared" si="475"/>
        <v>0</v>
      </c>
      <c r="L2068" s="99">
        <f t="shared" si="477"/>
        <v>0</v>
      </c>
      <c r="M2068" s="44" t="str">
        <f t="shared" ref="M2068:M2138" si="480">IFERROR((L2068-I2068)/I2068,"")</f>
        <v/>
      </c>
      <c r="N2068" s="100">
        <f t="shared" ref="N2068:N2138" si="481">J2068-G2068</f>
        <v>0</v>
      </c>
      <c r="O2068" s="101">
        <f t="shared" ref="O2068:O2138" si="482">L2068-I2068</f>
        <v>0</v>
      </c>
      <c r="P2068" s="52">
        <f t="shared" ref="P2068:P2138" si="483">U2068-W2068</f>
        <v>0</v>
      </c>
      <c r="Q2068" s="49">
        <v>116.88487613461319</v>
      </c>
      <c r="R2068">
        <v>2225</v>
      </c>
      <c r="S2068" s="50">
        <f t="shared" si="478"/>
        <v>71535.307499999995</v>
      </c>
      <c r="T2068" s="50">
        <f t="shared" ref="T2068:T2138" si="484">IFERROR(S2068*I2068,"")</f>
        <v>0</v>
      </c>
      <c r="U2068" s="58">
        <f t="shared" ref="U2068:U2138" si="485">IFERROR(S2068*L2068,"")</f>
        <v>0</v>
      </c>
      <c r="V2068" s="58">
        <f t="shared" ref="V2068:V2138" si="486">IFERROR(Q2068*G2068,"")</f>
        <v>0</v>
      </c>
      <c r="W2068" s="58">
        <f t="shared" ref="W2068:W2138" si="487">IFERROR(Q2068*J2068,"")</f>
        <v>0</v>
      </c>
      <c r="X2068" s="58">
        <f t="shared" ref="X2068:X2138" si="488">T2068-V2068</f>
        <v>0</v>
      </c>
      <c r="Y2068" s="52">
        <f t="shared" ref="Y2068:Y2138" si="489">U2068-W2068</f>
        <v>0</v>
      </c>
    </row>
    <row r="2069" spans="1:25" x14ac:dyDescent="0.25">
      <c r="A2069" s="1218" t="s">
        <v>99</v>
      </c>
      <c r="B2069" s="98">
        <v>45778</v>
      </c>
      <c r="C2069" s="117" t="str">
        <f t="shared" si="479"/>
        <v>4L</v>
      </c>
      <c r="F2069" s="99">
        <f t="shared" si="476"/>
        <v>0</v>
      </c>
      <c r="I2069" s="99">
        <f t="shared" si="475"/>
        <v>0</v>
      </c>
      <c r="L2069" s="99">
        <f t="shared" si="477"/>
        <v>0</v>
      </c>
      <c r="M2069" s="44" t="str">
        <f t="shared" si="480"/>
        <v/>
      </c>
      <c r="N2069" s="100">
        <f t="shared" si="481"/>
        <v>0</v>
      </c>
      <c r="O2069" s="101">
        <f t="shared" si="482"/>
        <v>0</v>
      </c>
      <c r="P2069" s="52">
        <f t="shared" si="483"/>
        <v>0</v>
      </c>
      <c r="Q2069" s="49">
        <v>116.88487613461319</v>
      </c>
      <c r="R2069">
        <v>2225</v>
      </c>
      <c r="S2069" s="50">
        <f t="shared" si="478"/>
        <v>71535.307499999995</v>
      </c>
      <c r="T2069" s="50">
        <f t="shared" si="484"/>
        <v>0</v>
      </c>
      <c r="U2069" s="58">
        <f t="shared" si="485"/>
        <v>0</v>
      </c>
      <c r="V2069" s="58">
        <f t="shared" si="486"/>
        <v>0</v>
      </c>
      <c r="W2069" s="58">
        <f t="shared" si="487"/>
        <v>0</v>
      </c>
      <c r="X2069" s="58">
        <f t="shared" si="488"/>
        <v>0</v>
      </c>
      <c r="Y2069" s="52">
        <f t="shared" si="489"/>
        <v>0</v>
      </c>
    </row>
    <row r="2070" spans="1:25" x14ac:dyDescent="0.25">
      <c r="A2070" s="1218" t="s">
        <v>100</v>
      </c>
      <c r="B2070" s="98">
        <v>45778</v>
      </c>
      <c r="C2070" s="117" t="str">
        <f t="shared" si="479"/>
        <v>4L</v>
      </c>
      <c r="F2070" s="99">
        <f t="shared" si="476"/>
        <v>0</v>
      </c>
      <c r="I2070" s="99">
        <f t="shared" si="475"/>
        <v>0</v>
      </c>
      <c r="L2070" s="99">
        <f t="shared" si="477"/>
        <v>0</v>
      </c>
      <c r="M2070" s="44" t="str">
        <f t="shared" si="480"/>
        <v/>
      </c>
      <c r="N2070" s="100">
        <f t="shared" si="481"/>
        <v>0</v>
      </c>
      <c r="O2070" s="101">
        <f t="shared" si="482"/>
        <v>0</v>
      </c>
      <c r="P2070" s="52">
        <f t="shared" si="483"/>
        <v>0</v>
      </c>
      <c r="Q2070" s="49">
        <v>116.88487613461319</v>
      </c>
      <c r="R2070">
        <v>2225</v>
      </c>
      <c r="S2070" s="50">
        <f t="shared" si="478"/>
        <v>71535.307499999995</v>
      </c>
      <c r="T2070" s="50">
        <f t="shared" si="484"/>
        <v>0</v>
      </c>
      <c r="U2070" s="58">
        <f t="shared" si="485"/>
        <v>0</v>
      </c>
      <c r="V2070" s="58">
        <f t="shared" si="486"/>
        <v>0</v>
      </c>
      <c r="W2070" s="58">
        <f t="shared" si="487"/>
        <v>0</v>
      </c>
      <c r="X2070" s="58">
        <f t="shared" si="488"/>
        <v>0</v>
      </c>
      <c r="Y2070" s="52">
        <f t="shared" si="489"/>
        <v>0</v>
      </c>
    </row>
    <row r="2071" spans="1:25" x14ac:dyDescent="0.25">
      <c r="A2071" s="1218" t="s">
        <v>101</v>
      </c>
      <c r="B2071" s="98">
        <v>45778</v>
      </c>
      <c r="C2071" s="117" t="str">
        <f t="shared" si="479"/>
        <v>4L</v>
      </c>
      <c r="F2071" s="99">
        <f t="shared" si="476"/>
        <v>0</v>
      </c>
      <c r="I2071" s="99">
        <f t="shared" si="475"/>
        <v>0</v>
      </c>
      <c r="L2071" s="99">
        <f t="shared" si="477"/>
        <v>0</v>
      </c>
      <c r="M2071" s="44" t="str">
        <f t="shared" si="480"/>
        <v/>
      </c>
      <c r="N2071" s="100">
        <f t="shared" si="481"/>
        <v>0</v>
      </c>
      <c r="O2071" s="101">
        <f t="shared" si="482"/>
        <v>0</v>
      </c>
      <c r="P2071" s="52">
        <f t="shared" si="483"/>
        <v>0</v>
      </c>
      <c r="Q2071" s="49">
        <v>116.88487613461319</v>
      </c>
      <c r="R2071">
        <v>2225</v>
      </c>
      <c r="S2071" s="50">
        <f t="shared" si="478"/>
        <v>71535.307499999995</v>
      </c>
      <c r="T2071" s="50">
        <f t="shared" si="484"/>
        <v>0</v>
      </c>
      <c r="U2071" s="58">
        <f t="shared" si="485"/>
        <v>0</v>
      </c>
      <c r="V2071" s="58">
        <f t="shared" si="486"/>
        <v>0</v>
      </c>
      <c r="W2071" s="58">
        <f t="shared" si="487"/>
        <v>0</v>
      </c>
      <c r="X2071" s="58">
        <f t="shared" si="488"/>
        <v>0</v>
      </c>
      <c r="Y2071" s="52">
        <f t="shared" si="489"/>
        <v>0</v>
      </c>
    </row>
    <row r="2072" spans="1:25" x14ac:dyDescent="0.25">
      <c r="A2072" s="1218" t="s">
        <v>102</v>
      </c>
      <c r="B2072" s="98">
        <v>45778</v>
      </c>
      <c r="C2072" s="117" t="str">
        <f t="shared" si="479"/>
        <v>4L</v>
      </c>
      <c r="F2072" s="99">
        <f t="shared" si="476"/>
        <v>0</v>
      </c>
      <c r="I2072" s="99">
        <f t="shared" si="475"/>
        <v>0</v>
      </c>
      <c r="L2072" s="99">
        <f t="shared" si="477"/>
        <v>0</v>
      </c>
      <c r="M2072" s="44" t="str">
        <f t="shared" si="480"/>
        <v/>
      </c>
      <c r="N2072" s="100">
        <f t="shared" si="481"/>
        <v>0</v>
      </c>
      <c r="O2072" s="101">
        <f t="shared" si="482"/>
        <v>0</v>
      </c>
      <c r="P2072" s="52">
        <f t="shared" si="483"/>
        <v>0</v>
      </c>
      <c r="Q2072" s="49">
        <v>116.88487613461319</v>
      </c>
      <c r="R2072">
        <v>2225</v>
      </c>
      <c r="S2072" s="50">
        <f t="shared" si="478"/>
        <v>71535.307499999995</v>
      </c>
      <c r="T2072" s="50">
        <f t="shared" si="484"/>
        <v>0</v>
      </c>
      <c r="U2072" s="58">
        <f t="shared" si="485"/>
        <v>0</v>
      </c>
      <c r="V2072" s="58">
        <f t="shared" si="486"/>
        <v>0</v>
      </c>
      <c r="W2072" s="58">
        <f t="shared" si="487"/>
        <v>0</v>
      </c>
      <c r="X2072" s="58">
        <f t="shared" si="488"/>
        <v>0</v>
      </c>
      <c r="Y2072" s="52">
        <f t="shared" si="489"/>
        <v>0</v>
      </c>
    </row>
    <row r="2073" spans="1:25" x14ac:dyDescent="0.25">
      <c r="A2073" s="1218" t="s">
        <v>103</v>
      </c>
      <c r="B2073" s="98">
        <v>45778</v>
      </c>
      <c r="C2073" s="117" t="str">
        <f t="shared" si="479"/>
        <v>4L</v>
      </c>
      <c r="F2073" s="99">
        <f t="shared" si="476"/>
        <v>0</v>
      </c>
      <c r="I2073" s="99">
        <f t="shared" si="475"/>
        <v>0</v>
      </c>
      <c r="L2073" s="99">
        <f t="shared" si="477"/>
        <v>0</v>
      </c>
      <c r="M2073" s="44" t="str">
        <f t="shared" si="480"/>
        <v/>
      </c>
      <c r="N2073" s="100">
        <f t="shared" si="481"/>
        <v>0</v>
      </c>
      <c r="O2073" s="101">
        <f t="shared" si="482"/>
        <v>0</v>
      </c>
      <c r="P2073" s="52">
        <f t="shared" si="483"/>
        <v>0</v>
      </c>
      <c r="Q2073" s="49">
        <v>116.88487613461319</v>
      </c>
      <c r="R2073">
        <v>2225</v>
      </c>
      <c r="S2073" s="50">
        <f t="shared" si="478"/>
        <v>71535.307499999995</v>
      </c>
      <c r="T2073" s="50">
        <f t="shared" si="484"/>
        <v>0</v>
      </c>
      <c r="U2073" s="58">
        <f t="shared" si="485"/>
        <v>0</v>
      </c>
      <c r="V2073" s="58">
        <f t="shared" si="486"/>
        <v>0</v>
      </c>
      <c r="W2073" s="58">
        <f t="shared" si="487"/>
        <v>0</v>
      </c>
      <c r="X2073" s="58">
        <f t="shared" si="488"/>
        <v>0</v>
      </c>
      <c r="Y2073" s="52">
        <f t="shared" si="489"/>
        <v>0</v>
      </c>
    </row>
    <row r="2074" spans="1:25" x14ac:dyDescent="0.25">
      <c r="A2074" s="1218" t="s">
        <v>104</v>
      </c>
      <c r="B2074" s="98">
        <v>45778</v>
      </c>
      <c r="C2074" s="117" t="str">
        <f t="shared" si="479"/>
        <v>4L</v>
      </c>
      <c r="F2074" s="99">
        <f t="shared" si="476"/>
        <v>0</v>
      </c>
      <c r="I2074" s="99">
        <f t="shared" si="475"/>
        <v>0</v>
      </c>
      <c r="L2074" s="99">
        <f t="shared" si="477"/>
        <v>0</v>
      </c>
      <c r="M2074" s="44" t="str">
        <f t="shared" si="480"/>
        <v/>
      </c>
      <c r="N2074" s="100">
        <f t="shared" si="481"/>
        <v>0</v>
      </c>
      <c r="O2074" s="101">
        <f t="shared" si="482"/>
        <v>0</v>
      </c>
      <c r="P2074" s="52">
        <f t="shared" si="483"/>
        <v>0</v>
      </c>
      <c r="Q2074" s="49">
        <v>116.88487613461319</v>
      </c>
      <c r="R2074">
        <v>2225</v>
      </c>
      <c r="S2074" s="50">
        <f t="shared" si="478"/>
        <v>71535.307499999995</v>
      </c>
      <c r="T2074" s="50">
        <f t="shared" si="484"/>
        <v>0</v>
      </c>
      <c r="U2074" s="58">
        <f t="shared" si="485"/>
        <v>0</v>
      </c>
      <c r="V2074" s="58">
        <f t="shared" si="486"/>
        <v>0</v>
      </c>
      <c r="W2074" s="58">
        <f t="shared" si="487"/>
        <v>0</v>
      </c>
      <c r="X2074" s="58">
        <f t="shared" si="488"/>
        <v>0</v>
      </c>
      <c r="Y2074" s="52">
        <f t="shared" si="489"/>
        <v>0</v>
      </c>
    </row>
    <row r="2075" spans="1:25" x14ac:dyDescent="0.25">
      <c r="A2075" s="1218" t="s">
        <v>105</v>
      </c>
      <c r="B2075" s="98">
        <v>45778</v>
      </c>
      <c r="C2075" s="117" t="str">
        <f t="shared" si="479"/>
        <v>4L</v>
      </c>
      <c r="F2075" s="99">
        <f t="shared" si="476"/>
        <v>0</v>
      </c>
      <c r="I2075" s="99">
        <f t="shared" si="475"/>
        <v>0</v>
      </c>
      <c r="L2075" s="99">
        <f t="shared" si="477"/>
        <v>0</v>
      </c>
      <c r="M2075" s="44" t="str">
        <f t="shared" si="480"/>
        <v/>
      </c>
      <c r="N2075" s="100">
        <f t="shared" si="481"/>
        <v>0</v>
      </c>
      <c r="O2075" s="101">
        <f t="shared" si="482"/>
        <v>0</v>
      </c>
      <c r="P2075" s="52">
        <f t="shared" si="483"/>
        <v>0</v>
      </c>
      <c r="Q2075" s="49">
        <v>116.88487613461319</v>
      </c>
      <c r="R2075">
        <v>2225</v>
      </c>
      <c r="S2075" s="50">
        <f t="shared" si="478"/>
        <v>71535.307499999995</v>
      </c>
      <c r="T2075" s="50">
        <f t="shared" si="484"/>
        <v>0</v>
      </c>
      <c r="U2075" s="58">
        <f t="shared" si="485"/>
        <v>0</v>
      </c>
      <c r="V2075" s="58">
        <f t="shared" si="486"/>
        <v>0</v>
      </c>
      <c r="W2075" s="58">
        <f t="shared" si="487"/>
        <v>0</v>
      </c>
      <c r="X2075" s="58">
        <f t="shared" si="488"/>
        <v>0</v>
      </c>
      <c r="Y2075" s="52">
        <f t="shared" si="489"/>
        <v>0</v>
      </c>
    </row>
    <row r="2076" spans="1:25" x14ac:dyDescent="0.25">
      <c r="A2076" s="1218" t="s">
        <v>106</v>
      </c>
      <c r="B2076" s="98">
        <v>45778</v>
      </c>
      <c r="C2076" s="117" t="str">
        <f t="shared" si="479"/>
        <v>4L</v>
      </c>
      <c r="F2076" s="99">
        <f t="shared" si="476"/>
        <v>0</v>
      </c>
      <c r="I2076" s="99">
        <f t="shared" si="475"/>
        <v>0</v>
      </c>
      <c r="L2076" s="99">
        <f t="shared" si="477"/>
        <v>0</v>
      </c>
      <c r="M2076" s="44" t="str">
        <f t="shared" si="480"/>
        <v/>
      </c>
      <c r="N2076" s="100">
        <f t="shared" si="481"/>
        <v>0</v>
      </c>
      <c r="O2076" s="101">
        <f t="shared" si="482"/>
        <v>0</v>
      </c>
      <c r="P2076" s="52">
        <f t="shared" si="483"/>
        <v>0</v>
      </c>
      <c r="Q2076" s="49">
        <v>116.88487613461319</v>
      </c>
      <c r="R2076">
        <v>2225</v>
      </c>
      <c r="S2076" s="50">
        <f t="shared" si="478"/>
        <v>71535.307499999995</v>
      </c>
      <c r="T2076" s="50">
        <f t="shared" si="484"/>
        <v>0</v>
      </c>
      <c r="U2076" s="58">
        <f t="shared" si="485"/>
        <v>0</v>
      </c>
      <c r="V2076" s="58">
        <f t="shared" si="486"/>
        <v>0</v>
      </c>
      <c r="W2076" s="58">
        <f t="shared" si="487"/>
        <v>0</v>
      </c>
      <c r="X2076" s="58">
        <f t="shared" si="488"/>
        <v>0</v>
      </c>
      <c r="Y2076" s="52">
        <f t="shared" si="489"/>
        <v>0</v>
      </c>
    </row>
    <row r="2077" spans="1:25" x14ac:dyDescent="0.25">
      <c r="A2077" s="1218" t="s">
        <v>107</v>
      </c>
      <c r="B2077" s="98">
        <v>45778</v>
      </c>
      <c r="C2077" s="117" t="str">
        <f t="shared" si="479"/>
        <v>4L</v>
      </c>
      <c r="F2077" s="99">
        <f t="shared" si="476"/>
        <v>0</v>
      </c>
      <c r="I2077" s="99">
        <f t="shared" si="475"/>
        <v>0</v>
      </c>
      <c r="L2077" s="99">
        <f t="shared" si="477"/>
        <v>0</v>
      </c>
      <c r="M2077" s="44" t="str">
        <f t="shared" si="480"/>
        <v/>
      </c>
      <c r="N2077" s="100">
        <f t="shared" si="481"/>
        <v>0</v>
      </c>
      <c r="O2077" s="101">
        <f t="shared" si="482"/>
        <v>0</v>
      </c>
      <c r="P2077" s="52">
        <f t="shared" si="483"/>
        <v>0</v>
      </c>
      <c r="Q2077" s="49">
        <v>116.88487613461319</v>
      </c>
      <c r="R2077">
        <v>2225</v>
      </c>
      <c r="S2077" s="50">
        <f t="shared" si="478"/>
        <v>71535.307499999995</v>
      </c>
      <c r="T2077" s="50">
        <f t="shared" si="484"/>
        <v>0</v>
      </c>
      <c r="U2077" s="58">
        <f t="shared" si="485"/>
        <v>0</v>
      </c>
      <c r="V2077" s="58">
        <f t="shared" si="486"/>
        <v>0</v>
      </c>
      <c r="W2077" s="58">
        <f t="shared" si="487"/>
        <v>0</v>
      </c>
      <c r="X2077" s="58">
        <f t="shared" si="488"/>
        <v>0</v>
      </c>
      <c r="Y2077" s="52">
        <f t="shared" si="489"/>
        <v>0</v>
      </c>
    </row>
    <row r="2078" spans="1:25" x14ac:dyDescent="0.25">
      <c r="A2078" s="1218" t="s">
        <v>108</v>
      </c>
      <c r="B2078" s="98">
        <v>45778</v>
      </c>
      <c r="C2078" s="117" t="str">
        <f t="shared" si="479"/>
        <v>4L</v>
      </c>
      <c r="F2078" s="99">
        <f t="shared" si="476"/>
        <v>0</v>
      </c>
      <c r="I2078" s="99">
        <f t="shared" si="475"/>
        <v>0</v>
      </c>
      <c r="L2078" s="99">
        <f t="shared" si="477"/>
        <v>0</v>
      </c>
      <c r="M2078" s="44" t="str">
        <f t="shared" si="480"/>
        <v/>
      </c>
      <c r="N2078" s="100">
        <f t="shared" si="481"/>
        <v>0</v>
      </c>
      <c r="O2078" s="101">
        <f t="shared" si="482"/>
        <v>0</v>
      </c>
      <c r="P2078" s="52">
        <f t="shared" si="483"/>
        <v>0</v>
      </c>
      <c r="Q2078" s="49">
        <v>116.88487613461319</v>
      </c>
      <c r="R2078">
        <v>2225</v>
      </c>
      <c r="S2078" s="50">
        <f t="shared" si="478"/>
        <v>71535.307499999995</v>
      </c>
      <c r="T2078" s="50">
        <f t="shared" si="484"/>
        <v>0</v>
      </c>
      <c r="U2078" s="58">
        <f t="shared" si="485"/>
        <v>0</v>
      </c>
      <c r="V2078" s="58">
        <f t="shared" si="486"/>
        <v>0</v>
      </c>
      <c r="W2078" s="58">
        <f t="shared" si="487"/>
        <v>0</v>
      </c>
      <c r="X2078" s="58">
        <f t="shared" si="488"/>
        <v>0</v>
      </c>
      <c r="Y2078" s="52">
        <f t="shared" si="489"/>
        <v>0</v>
      </c>
    </row>
    <row r="2079" spans="1:25" x14ac:dyDescent="0.25">
      <c r="A2079" s="1218" t="s">
        <v>109</v>
      </c>
      <c r="B2079" s="98">
        <v>45778</v>
      </c>
      <c r="C2079" s="117" t="str">
        <f t="shared" si="479"/>
        <v>4L</v>
      </c>
      <c r="F2079" s="99">
        <f t="shared" si="476"/>
        <v>0</v>
      </c>
      <c r="I2079" s="99">
        <f t="shared" si="475"/>
        <v>0</v>
      </c>
      <c r="L2079" s="99">
        <f t="shared" si="477"/>
        <v>0</v>
      </c>
      <c r="M2079" s="44" t="str">
        <f t="shared" si="480"/>
        <v/>
      </c>
      <c r="N2079" s="100">
        <f t="shared" si="481"/>
        <v>0</v>
      </c>
      <c r="O2079" s="101">
        <f t="shared" si="482"/>
        <v>0</v>
      </c>
      <c r="P2079" s="52">
        <f t="shared" si="483"/>
        <v>0</v>
      </c>
      <c r="Q2079" s="49">
        <v>116.88487613461319</v>
      </c>
      <c r="R2079">
        <v>2225</v>
      </c>
      <c r="S2079" s="50">
        <f t="shared" si="478"/>
        <v>71535.307499999995</v>
      </c>
      <c r="T2079" s="50">
        <f t="shared" si="484"/>
        <v>0</v>
      </c>
      <c r="U2079" s="58">
        <f t="shared" si="485"/>
        <v>0</v>
      </c>
      <c r="V2079" s="58">
        <f t="shared" si="486"/>
        <v>0</v>
      </c>
      <c r="W2079" s="58">
        <f t="shared" si="487"/>
        <v>0</v>
      </c>
      <c r="X2079" s="58">
        <f t="shared" si="488"/>
        <v>0</v>
      </c>
      <c r="Y2079" s="52">
        <f t="shared" si="489"/>
        <v>0</v>
      </c>
    </row>
    <row r="2080" spans="1:25" x14ac:dyDescent="0.25">
      <c r="A2080" s="1218" t="s">
        <v>110</v>
      </c>
      <c r="B2080" s="98">
        <v>45778</v>
      </c>
      <c r="C2080" s="117" t="str">
        <f t="shared" si="479"/>
        <v>4L</v>
      </c>
      <c r="F2080" s="99">
        <f t="shared" si="476"/>
        <v>0</v>
      </c>
      <c r="I2080" s="99">
        <f t="shared" si="475"/>
        <v>0</v>
      </c>
      <c r="L2080" s="99">
        <f t="shared" si="477"/>
        <v>0</v>
      </c>
      <c r="M2080" s="44" t="str">
        <f t="shared" si="480"/>
        <v/>
      </c>
      <c r="N2080" s="100">
        <f t="shared" si="481"/>
        <v>0</v>
      </c>
      <c r="O2080" s="101">
        <f t="shared" si="482"/>
        <v>0</v>
      </c>
      <c r="P2080" s="52">
        <f t="shared" si="483"/>
        <v>0</v>
      </c>
      <c r="Q2080" s="49">
        <v>116.88487613461319</v>
      </c>
      <c r="R2080">
        <v>2225</v>
      </c>
      <c r="S2080" s="50">
        <f t="shared" si="478"/>
        <v>71535.307499999995</v>
      </c>
      <c r="T2080" s="50">
        <f t="shared" si="484"/>
        <v>0</v>
      </c>
      <c r="U2080" s="58">
        <f t="shared" si="485"/>
        <v>0</v>
      </c>
      <c r="V2080" s="58">
        <f t="shared" si="486"/>
        <v>0</v>
      </c>
      <c r="W2080" s="58">
        <f t="shared" si="487"/>
        <v>0</v>
      </c>
      <c r="X2080" s="58">
        <f t="shared" si="488"/>
        <v>0</v>
      </c>
      <c r="Y2080" s="52">
        <f t="shared" si="489"/>
        <v>0</v>
      </c>
    </row>
    <row r="2081" spans="1:25" x14ac:dyDescent="0.25">
      <c r="A2081" s="1218" t="s">
        <v>111</v>
      </c>
      <c r="B2081" s="98">
        <v>45778</v>
      </c>
      <c r="C2081" s="117" t="str">
        <f t="shared" si="479"/>
        <v>4L</v>
      </c>
      <c r="F2081" s="99">
        <f t="shared" si="476"/>
        <v>0</v>
      </c>
      <c r="I2081" s="99">
        <f t="shared" si="475"/>
        <v>0</v>
      </c>
      <c r="L2081" s="99">
        <f t="shared" si="477"/>
        <v>0</v>
      </c>
      <c r="M2081" s="44" t="str">
        <f t="shared" si="480"/>
        <v/>
      </c>
      <c r="N2081" s="100">
        <f t="shared" si="481"/>
        <v>0</v>
      </c>
      <c r="O2081" s="101">
        <f t="shared" si="482"/>
        <v>0</v>
      </c>
      <c r="P2081" s="52">
        <f t="shared" si="483"/>
        <v>0</v>
      </c>
      <c r="Q2081" s="49">
        <v>116.88487613461319</v>
      </c>
      <c r="R2081">
        <v>2225</v>
      </c>
      <c r="S2081" s="50">
        <f t="shared" si="478"/>
        <v>71535.307499999995</v>
      </c>
      <c r="T2081" s="50">
        <f t="shared" si="484"/>
        <v>0</v>
      </c>
      <c r="U2081" s="58">
        <f t="shared" si="485"/>
        <v>0</v>
      </c>
      <c r="V2081" s="58">
        <f t="shared" si="486"/>
        <v>0</v>
      </c>
      <c r="W2081" s="58">
        <f t="shared" si="487"/>
        <v>0</v>
      </c>
      <c r="X2081" s="58">
        <f t="shared" si="488"/>
        <v>0</v>
      </c>
      <c r="Y2081" s="52">
        <f t="shared" si="489"/>
        <v>0</v>
      </c>
    </row>
    <row r="2082" spans="1:25" x14ac:dyDescent="0.25">
      <c r="A2082" s="1218" t="s">
        <v>112</v>
      </c>
      <c r="B2082" s="98">
        <v>45778</v>
      </c>
      <c r="C2082" s="117" t="str">
        <f t="shared" si="479"/>
        <v>4L</v>
      </c>
      <c r="F2082" s="99">
        <f t="shared" si="476"/>
        <v>0</v>
      </c>
      <c r="I2082" s="99">
        <f t="shared" si="475"/>
        <v>0</v>
      </c>
      <c r="L2082" s="99">
        <f t="shared" si="477"/>
        <v>0</v>
      </c>
      <c r="M2082" s="44" t="str">
        <f t="shared" si="480"/>
        <v/>
      </c>
      <c r="N2082" s="100">
        <f t="shared" si="481"/>
        <v>0</v>
      </c>
      <c r="O2082" s="101">
        <f t="shared" si="482"/>
        <v>0</v>
      </c>
      <c r="P2082" s="52">
        <f t="shared" si="483"/>
        <v>0</v>
      </c>
      <c r="Q2082" s="49">
        <v>116.88487613461319</v>
      </c>
      <c r="R2082">
        <v>2225</v>
      </c>
      <c r="S2082" s="50">
        <f t="shared" si="478"/>
        <v>71535.307499999995</v>
      </c>
      <c r="T2082" s="50">
        <f t="shared" si="484"/>
        <v>0</v>
      </c>
      <c r="U2082" s="58">
        <f t="shared" si="485"/>
        <v>0</v>
      </c>
      <c r="V2082" s="58">
        <f t="shared" si="486"/>
        <v>0</v>
      </c>
      <c r="W2082" s="58">
        <f t="shared" si="487"/>
        <v>0</v>
      </c>
      <c r="X2082" s="58">
        <f t="shared" si="488"/>
        <v>0</v>
      </c>
      <c r="Y2082" s="52">
        <f t="shared" si="489"/>
        <v>0</v>
      </c>
    </row>
    <row r="2083" spans="1:25" x14ac:dyDescent="0.25">
      <c r="A2083" s="1218" t="s">
        <v>113</v>
      </c>
      <c r="B2083" s="98">
        <v>45778</v>
      </c>
      <c r="C2083" s="117" t="str">
        <f t="shared" si="479"/>
        <v>4L</v>
      </c>
      <c r="F2083" s="99">
        <f t="shared" si="476"/>
        <v>0</v>
      </c>
      <c r="I2083" s="99">
        <f t="shared" si="475"/>
        <v>0</v>
      </c>
      <c r="L2083" s="99">
        <f t="shared" si="477"/>
        <v>0</v>
      </c>
      <c r="M2083" s="44" t="str">
        <f t="shared" si="480"/>
        <v/>
      </c>
      <c r="N2083" s="100">
        <f t="shared" si="481"/>
        <v>0</v>
      </c>
      <c r="O2083" s="101">
        <f t="shared" si="482"/>
        <v>0</v>
      </c>
      <c r="P2083" s="52">
        <f t="shared" si="483"/>
        <v>0</v>
      </c>
      <c r="Q2083" s="49">
        <v>116.88487613461319</v>
      </c>
      <c r="R2083">
        <v>2225</v>
      </c>
      <c r="S2083" s="50">
        <f t="shared" si="478"/>
        <v>71535.307499999995</v>
      </c>
      <c r="T2083" s="50">
        <f t="shared" si="484"/>
        <v>0</v>
      </c>
      <c r="U2083" s="58">
        <f t="shared" si="485"/>
        <v>0</v>
      </c>
      <c r="V2083" s="58">
        <f t="shared" si="486"/>
        <v>0</v>
      </c>
      <c r="W2083" s="58">
        <f t="shared" si="487"/>
        <v>0</v>
      </c>
      <c r="X2083" s="58">
        <f t="shared" si="488"/>
        <v>0</v>
      </c>
      <c r="Y2083" s="52">
        <f t="shared" si="489"/>
        <v>0</v>
      </c>
    </row>
    <row r="2084" spans="1:25" x14ac:dyDescent="0.25">
      <c r="A2084" s="1218" t="s">
        <v>114</v>
      </c>
      <c r="B2084" s="98">
        <v>45778</v>
      </c>
      <c r="C2084" s="117" t="str">
        <f t="shared" si="479"/>
        <v>4L</v>
      </c>
      <c r="D2084">
        <v>1947</v>
      </c>
      <c r="E2084">
        <v>1.4</v>
      </c>
      <c r="F2084" s="99">
        <f t="shared" si="476"/>
        <v>2.7257999999999996</v>
      </c>
      <c r="I2084" s="99">
        <f t="shared" si="475"/>
        <v>0</v>
      </c>
      <c r="L2084" s="99">
        <f t="shared" si="477"/>
        <v>0</v>
      </c>
      <c r="M2084" s="44" t="str">
        <f t="shared" si="480"/>
        <v/>
      </c>
      <c r="N2084" s="100">
        <f t="shared" si="481"/>
        <v>0</v>
      </c>
      <c r="O2084" s="101">
        <f t="shared" si="482"/>
        <v>0</v>
      </c>
      <c r="P2084" s="52">
        <f t="shared" si="483"/>
        <v>0</v>
      </c>
      <c r="Q2084" s="49">
        <v>116.88487613461319</v>
      </c>
      <c r="R2084">
        <v>2225</v>
      </c>
      <c r="S2084" s="50">
        <f t="shared" si="478"/>
        <v>71535.307499999995</v>
      </c>
      <c r="T2084" s="50">
        <f t="shared" si="484"/>
        <v>0</v>
      </c>
      <c r="U2084" s="58">
        <f t="shared" si="485"/>
        <v>0</v>
      </c>
      <c r="V2084" s="58">
        <f t="shared" si="486"/>
        <v>0</v>
      </c>
      <c r="W2084" s="58">
        <f t="shared" si="487"/>
        <v>0</v>
      </c>
      <c r="X2084" s="58">
        <f t="shared" si="488"/>
        <v>0</v>
      </c>
      <c r="Y2084" s="52">
        <f t="shared" si="489"/>
        <v>0</v>
      </c>
    </row>
    <row r="2085" spans="1:25" x14ac:dyDescent="0.25">
      <c r="A2085" s="1218" t="s">
        <v>115</v>
      </c>
      <c r="B2085" s="98">
        <v>45778</v>
      </c>
      <c r="C2085" s="117" t="str">
        <f t="shared" si="479"/>
        <v>4L</v>
      </c>
      <c r="F2085" s="99">
        <f t="shared" si="476"/>
        <v>0</v>
      </c>
      <c r="I2085" s="99">
        <f t="shared" si="475"/>
        <v>0</v>
      </c>
      <c r="L2085" s="99">
        <f t="shared" si="477"/>
        <v>0</v>
      </c>
      <c r="M2085" s="44" t="str">
        <f t="shared" si="480"/>
        <v/>
      </c>
      <c r="N2085" s="100">
        <f t="shared" si="481"/>
        <v>0</v>
      </c>
      <c r="O2085" s="101">
        <f t="shared" si="482"/>
        <v>0</v>
      </c>
      <c r="P2085" s="52">
        <f t="shared" si="483"/>
        <v>0</v>
      </c>
      <c r="Q2085" s="49">
        <v>116.88487613461319</v>
      </c>
      <c r="R2085">
        <v>2225</v>
      </c>
      <c r="S2085" s="50">
        <f t="shared" si="478"/>
        <v>71535.307499999995</v>
      </c>
      <c r="T2085" s="50">
        <f t="shared" si="484"/>
        <v>0</v>
      </c>
      <c r="U2085" s="58">
        <f t="shared" si="485"/>
        <v>0</v>
      </c>
      <c r="V2085" s="58">
        <f t="shared" si="486"/>
        <v>0</v>
      </c>
      <c r="W2085" s="58">
        <f t="shared" si="487"/>
        <v>0</v>
      </c>
      <c r="X2085" s="58">
        <f t="shared" si="488"/>
        <v>0</v>
      </c>
      <c r="Y2085" s="52">
        <f t="shared" si="489"/>
        <v>0</v>
      </c>
    </row>
    <row r="2086" spans="1:25" x14ac:dyDescent="0.25">
      <c r="A2086" s="1218" t="s">
        <v>116</v>
      </c>
      <c r="B2086" s="98">
        <v>45778</v>
      </c>
      <c r="C2086" s="117" t="str">
        <f t="shared" si="479"/>
        <v>4L</v>
      </c>
      <c r="F2086" s="99">
        <f t="shared" si="476"/>
        <v>0</v>
      </c>
      <c r="I2086" s="99">
        <f t="shared" si="475"/>
        <v>0</v>
      </c>
      <c r="L2086" s="99">
        <f t="shared" si="477"/>
        <v>0</v>
      </c>
      <c r="M2086" s="44" t="str">
        <f t="shared" si="480"/>
        <v/>
      </c>
      <c r="N2086" s="100">
        <f t="shared" si="481"/>
        <v>0</v>
      </c>
      <c r="O2086" s="101">
        <f t="shared" si="482"/>
        <v>0</v>
      </c>
      <c r="P2086" s="52">
        <f t="shared" si="483"/>
        <v>0</v>
      </c>
      <c r="Q2086" s="49">
        <v>116.88487613461319</v>
      </c>
      <c r="R2086">
        <v>2225</v>
      </c>
      <c r="S2086" s="50">
        <f t="shared" si="478"/>
        <v>71535.307499999995</v>
      </c>
      <c r="T2086" s="50">
        <f t="shared" si="484"/>
        <v>0</v>
      </c>
      <c r="U2086" s="58">
        <f t="shared" si="485"/>
        <v>0</v>
      </c>
      <c r="V2086" s="58">
        <f t="shared" si="486"/>
        <v>0</v>
      </c>
      <c r="W2086" s="58">
        <f t="shared" si="487"/>
        <v>0</v>
      </c>
      <c r="X2086" s="58">
        <f t="shared" si="488"/>
        <v>0</v>
      </c>
      <c r="Y2086" s="52">
        <f t="shared" si="489"/>
        <v>0</v>
      </c>
    </row>
    <row r="2087" spans="1:25" x14ac:dyDescent="0.25">
      <c r="A2087" s="1218" t="s">
        <v>117</v>
      </c>
      <c r="B2087" s="98">
        <v>45778</v>
      </c>
      <c r="C2087" s="117" t="str">
        <f t="shared" si="479"/>
        <v>4L</v>
      </c>
      <c r="F2087" s="99">
        <f t="shared" si="476"/>
        <v>0</v>
      </c>
      <c r="I2087" s="99">
        <f t="shared" si="475"/>
        <v>0</v>
      </c>
      <c r="L2087" s="99">
        <f t="shared" si="477"/>
        <v>0</v>
      </c>
      <c r="M2087" s="44" t="str">
        <f t="shared" si="480"/>
        <v/>
      </c>
      <c r="N2087" s="100">
        <f t="shared" si="481"/>
        <v>0</v>
      </c>
      <c r="O2087" s="101">
        <f t="shared" si="482"/>
        <v>0</v>
      </c>
      <c r="P2087" s="52">
        <f t="shared" si="483"/>
        <v>0</v>
      </c>
      <c r="Q2087" s="49">
        <v>116.88487613461319</v>
      </c>
      <c r="R2087">
        <v>2225</v>
      </c>
      <c r="S2087" s="50">
        <f t="shared" si="478"/>
        <v>71535.307499999995</v>
      </c>
      <c r="T2087" s="50">
        <f t="shared" si="484"/>
        <v>0</v>
      </c>
      <c r="U2087" s="58">
        <f t="shared" si="485"/>
        <v>0</v>
      </c>
      <c r="V2087" s="58">
        <f t="shared" si="486"/>
        <v>0</v>
      </c>
      <c r="W2087" s="58">
        <f t="shared" si="487"/>
        <v>0</v>
      </c>
      <c r="X2087" s="58">
        <f t="shared" si="488"/>
        <v>0</v>
      </c>
      <c r="Y2087" s="52">
        <f t="shared" si="489"/>
        <v>0</v>
      </c>
    </row>
    <row r="2088" spans="1:25" x14ac:dyDescent="0.25">
      <c r="A2088" s="1218" t="s">
        <v>118</v>
      </c>
      <c r="B2088" s="98">
        <v>45778</v>
      </c>
      <c r="C2088" s="117" t="str">
        <f t="shared" si="479"/>
        <v>4L</v>
      </c>
      <c r="F2088" s="99">
        <f t="shared" si="476"/>
        <v>0</v>
      </c>
      <c r="I2088" s="99">
        <f t="shared" si="475"/>
        <v>0</v>
      </c>
      <c r="L2088" s="99">
        <f t="shared" si="477"/>
        <v>0</v>
      </c>
      <c r="M2088" s="44" t="str">
        <f t="shared" si="480"/>
        <v/>
      </c>
      <c r="N2088" s="100">
        <f t="shared" si="481"/>
        <v>0</v>
      </c>
      <c r="O2088" s="101">
        <f t="shared" si="482"/>
        <v>0</v>
      </c>
      <c r="P2088" s="52">
        <f t="shared" si="483"/>
        <v>0</v>
      </c>
      <c r="Q2088" s="49">
        <v>116.88487613461319</v>
      </c>
      <c r="R2088">
        <v>2225</v>
      </c>
      <c r="S2088" s="50">
        <f t="shared" si="478"/>
        <v>71535.307499999995</v>
      </c>
      <c r="T2088" s="50">
        <f t="shared" si="484"/>
        <v>0</v>
      </c>
      <c r="U2088" s="58">
        <f t="shared" si="485"/>
        <v>0</v>
      </c>
      <c r="V2088" s="58">
        <f t="shared" si="486"/>
        <v>0</v>
      </c>
      <c r="W2088" s="58">
        <f t="shared" si="487"/>
        <v>0</v>
      </c>
      <c r="X2088" s="58">
        <f t="shared" si="488"/>
        <v>0</v>
      </c>
      <c r="Y2088" s="52">
        <f t="shared" si="489"/>
        <v>0</v>
      </c>
    </row>
    <row r="2089" spans="1:25" x14ac:dyDescent="0.25">
      <c r="A2089" s="1218" t="s">
        <v>119</v>
      </c>
      <c r="B2089" s="98">
        <v>45778</v>
      </c>
      <c r="C2089" s="117" t="str">
        <f t="shared" si="479"/>
        <v>4L</v>
      </c>
      <c r="F2089" s="99">
        <f t="shared" si="476"/>
        <v>0</v>
      </c>
      <c r="I2089" s="99">
        <f t="shared" si="475"/>
        <v>0</v>
      </c>
      <c r="L2089" s="99">
        <f t="shared" si="477"/>
        <v>0</v>
      </c>
      <c r="M2089" s="44" t="str">
        <f t="shared" si="480"/>
        <v/>
      </c>
      <c r="N2089" s="100">
        <f t="shared" si="481"/>
        <v>0</v>
      </c>
      <c r="O2089" s="101">
        <f t="shared" si="482"/>
        <v>0</v>
      </c>
      <c r="P2089" s="52">
        <f t="shared" si="483"/>
        <v>0</v>
      </c>
      <c r="Q2089" s="49">
        <v>116.88487613461319</v>
      </c>
      <c r="R2089">
        <v>2225</v>
      </c>
      <c r="S2089" s="50">
        <f t="shared" si="478"/>
        <v>71535.307499999995</v>
      </c>
      <c r="T2089" s="50">
        <f t="shared" si="484"/>
        <v>0</v>
      </c>
      <c r="U2089" s="58">
        <f t="shared" si="485"/>
        <v>0</v>
      </c>
      <c r="V2089" s="58">
        <f t="shared" si="486"/>
        <v>0</v>
      </c>
      <c r="W2089" s="58">
        <f t="shared" si="487"/>
        <v>0</v>
      </c>
      <c r="X2089" s="58">
        <f t="shared" si="488"/>
        <v>0</v>
      </c>
      <c r="Y2089" s="52">
        <f t="shared" si="489"/>
        <v>0</v>
      </c>
    </row>
    <row r="2090" spans="1:25" x14ac:dyDescent="0.25">
      <c r="A2090" s="1218" t="s">
        <v>120</v>
      </c>
      <c r="B2090" s="98">
        <v>45778</v>
      </c>
      <c r="C2090" s="117" t="str">
        <f t="shared" si="479"/>
        <v>4L</v>
      </c>
      <c r="F2090" s="99">
        <f t="shared" si="476"/>
        <v>0</v>
      </c>
      <c r="I2090" s="99">
        <f t="shared" si="475"/>
        <v>0</v>
      </c>
      <c r="L2090" s="99">
        <f t="shared" si="477"/>
        <v>0</v>
      </c>
      <c r="M2090" s="44" t="str">
        <f t="shared" si="480"/>
        <v/>
      </c>
      <c r="N2090" s="100">
        <f t="shared" si="481"/>
        <v>0</v>
      </c>
      <c r="O2090" s="101">
        <f t="shared" si="482"/>
        <v>0</v>
      </c>
      <c r="P2090" s="52">
        <f t="shared" si="483"/>
        <v>0</v>
      </c>
      <c r="Q2090" s="49">
        <v>116.88487613461319</v>
      </c>
      <c r="R2090">
        <v>2225</v>
      </c>
      <c r="S2090" s="50">
        <f t="shared" si="478"/>
        <v>71535.307499999995</v>
      </c>
      <c r="T2090" s="50">
        <f t="shared" si="484"/>
        <v>0</v>
      </c>
      <c r="U2090" s="58">
        <f t="shared" si="485"/>
        <v>0</v>
      </c>
      <c r="V2090" s="58">
        <f t="shared" si="486"/>
        <v>0</v>
      </c>
      <c r="W2090" s="58">
        <f t="shared" si="487"/>
        <v>0</v>
      </c>
      <c r="X2090" s="58">
        <f t="shared" si="488"/>
        <v>0</v>
      </c>
      <c r="Y2090" s="52">
        <f t="shared" si="489"/>
        <v>0</v>
      </c>
    </row>
    <row r="2091" spans="1:25" x14ac:dyDescent="0.25">
      <c r="A2091" s="1218" t="s">
        <v>121</v>
      </c>
      <c r="B2091" s="98">
        <v>45778</v>
      </c>
      <c r="C2091" s="117" t="str">
        <f t="shared" si="479"/>
        <v>4L</v>
      </c>
      <c r="F2091" s="99">
        <f t="shared" si="476"/>
        <v>0</v>
      </c>
      <c r="I2091" s="99">
        <f t="shared" si="475"/>
        <v>0</v>
      </c>
      <c r="L2091" s="99">
        <f t="shared" si="477"/>
        <v>0</v>
      </c>
      <c r="M2091" s="44" t="str">
        <f t="shared" si="480"/>
        <v/>
      </c>
      <c r="N2091" s="100">
        <f t="shared" si="481"/>
        <v>0</v>
      </c>
      <c r="O2091" s="101">
        <f t="shared" si="482"/>
        <v>0</v>
      </c>
      <c r="P2091" s="52">
        <f t="shared" si="483"/>
        <v>0</v>
      </c>
      <c r="Q2091" s="49">
        <v>116.88487613461319</v>
      </c>
      <c r="R2091">
        <v>2225</v>
      </c>
      <c r="S2091" s="50">
        <f t="shared" si="478"/>
        <v>71535.307499999995</v>
      </c>
      <c r="T2091" s="50">
        <f t="shared" si="484"/>
        <v>0</v>
      </c>
      <c r="U2091" s="58">
        <f t="shared" si="485"/>
        <v>0</v>
      </c>
      <c r="V2091" s="58">
        <f t="shared" si="486"/>
        <v>0</v>
      </c>
      <c r="W2091" s="58">
        <f t="shared" si="487"/>
        <v>0</v>
      </c>
      <c r="X2091" s="58">
        <f t="shared" si="488"/>
        <v>0</v>
      </c>
      <c r="Y2091" s="52">
        <f t="shared" si="489"/>
        <v>0</v>
      </c>
    </row>
    <row r="2092" spans="1:25" x14ac:dyDescent="0.25">
      <c r="A2092" s="1218" t="s">
        <v>122</v>
      </c>
      <c r="B2092" s="98">
        <v>45778</v>
      </c>
      <c r="C2092" s="117" t="str">
        <f t="shared" si="479"/>
        <v>4L</v>
      </c>
      <c r="F2092" s="99">
        <f t="shared" si="476"/>
        <v>0</v>
      </c>
      <c r="I2092" s="99">
        <f t="shared" si="475"/>
        <v>0</v>
      </c>
      <c r="L2092" s="99">
        <f t="shared" si="477"/>
        <v>0</v>
      </c>
      <c r="M2092" s="44" t="str">
        <f t="shared" si="480"/>
        <v/>
      </c>
      <c r="N2092" s="100">
        <f t="shared" si="481"/>
        <v>0</v>
      </c>
      <c r="O2092" s="101">
        <f t="shared" si="482"/>
        <v>0</v>
      </c>
      <c r="P2092" s="52">
        <f t="shared" si="483"/>
        <v>0</v>
      </c>
      <c r="Q2092" s="49">
        <v>116.88487613461319</v>
      </c>
      <c r="R2092">
        <v>2225</v>
      </c>
      <c r="S2092" s="50">
        <f t="shared" si="478"/>
        <v>71535.307499999995</v>
      </c>
      <c r="T2092" s="50">
        <f t="shared" si="484"/>
        <v>0</v>
      </c>
      <c r="U2092" s="58">
        <f t="shared" si="485"/>
        <v>0</v>
      </c>
      <c r="V2092" s="58">
        <f t="shared" si="486"/>
        <v>0</v>
      </c>
      <c r="W2092" s="58">
        <f t="shared" si="487"/>
        <v>0</v>
      </c>
      <c r="X2092" s="58">
        <f t="shared" si="488"/>
        <v>0</v>
      </c>
      <c r="Y2092" s="52">
        <f t="shared" si="489"/>
        <v>0</v>
      </c>
    </row>
    <row r="2093" spans="1:25" x14ac:dyDescent="0.25">
      <c r="A2093" s="1218" t="s">
        <v>123</v>
      </c>
      <c r="B2093" s="98">
        <v>45778</v>
      </c>
      <c r="C2093" s="117" t="str">
        <f t="shared" si="479"/>
        <v>4L</v>
      </c>
      <c r="F2093" s="99">
        <f t="shared" si="476"/>
        <v>0</v>
      </c>
      <c r="I2093" s="99">
        <f t="shared" si="475"/>
        <v>0</v>
      </c>
      <c r="L2093" s="99">
        <f t="shared" si="477"/>
        <v>0</v>
      </c>
      <c r="M2093" s="44" t="str">
        <f t="shared" si="480"/>
        <v/>
      </c>
      <c r="N2093" s="100">
        <f t="shared" si="481"/>
        <v>0</v>
      </c>
      <c r="O2093" s="101">
        <f t="shared" si="482"/>
        <v>0</v>
      </c>
      <c r="P2093" s="52">
        <f t="shared" si="483"/>
        <v>0</v>
      </c>
      <c r="Q2093" s="49">
        <v>116.88487613461319</v>
      </c>
      <c r="R2093">
        <v>2225</v>
      </c>
      <c r="S2093" s="50">
        <f t="shared" si="478"/>
        <v>71535.307499999995</v>
      </c>
      <c r="T2093" s="50">
        <f t="shared" si="484"/>
        <v>0</v>
      </c>
      <c r="U2093" s="58">
        <f t="shared" si="485"/>
        <v>0</v>
      </c>
      <c r="V2093" s="58">
        <f t="shared" si="486"/>
        <v>0</v>
      </c>
      <c r="W2093" s="58">
        <f t="shared" si="487"/>
        <v>0</v>
      </c>
      <c r="X2093" s="58">
        <f t="shared" si="488"/>
        <v>0</v>
      </c>
      <c r="Y2093" s="52">
        <f t="shared" si="489"/>
        <v>0</v>
      </c>
    </row>
    <row r="2094" spans="1:25" x14ac:dyDescent="0.25">
      <c r="A2094" s="1218" t="s">
        <v>124</v>
      </c>
      <c r="B2094" s="98">
        <v>45778</v>
      </c>
      <c r="C2094" s="117" t="str">
        <f t="shared" si="479"/>
        <v>4L</v>
      </c>
      <c r="F2094" s="99">
        <f t="shared" si="476"/>
        <v>0</v>
      </c>
      <c r="I2094" s="99">
        <f t="shared" si="475"/>
        <v>0</v>
      </c>
      <c r="L2094" s="99">
        <f t="shared" si="477"/>
        <v>0</v>
      </c>
      <c r="M2094" s="44" t="str">
        <f t="shared" si="480"/>
        <v/>
      </c>
      <c r="N2094" s="100">
        <f t="shared" si="481"/>
        <v>0</v>
      </c>
      <c r="O2094" s="101">
        <f t="shared" si="482"/>
        <v>0</v>
      </c>
      <c r="P2094" s="52">
        <f t="shared" si="483"/>
        <v>0</v>
      </c>
      <c r="Q2094" s="49">
        <v>116.88487613461319</v>
      </c>
      <c r="R2094">
        <v>2225</v>
      </c>
      <c r="S2094" s="50">
        <f t="shared" si="478"/>
        <v>71535.307499999995</v>
      </c>
      <c r="T2094" s="50">
        <f t="shared" si="484"/>
        <v>0</v>
      </c>
      <c r="U2094" s="58">
        <f t="shared" si="485"/>
        <v>0</v>
      </c>
      <c r="V2094" s="58">
        <f t="shared" si="486"/>
        <v>0</v>
      </c>
      <c r="W2094" s="58">
        <f t="shared" si="487"/>
        <v>0</v>
      </c>
      <c r="X2094" s="58">
        <f t="shared" si="488"/>
        <v>0</v>
      </c>
      <c r="Y2094" s="52">
        <f t="shared" si="489"/>
        <v>0</v>
      </c>
    </row>
    <row r="2095" spans="1:25" x14ac:dyDescent="0.25">
      <c r="A2095" s="1218" t="s">
        <v>125</v>
      </c>
      <c r="B2095" s="98">
        <v>45778</v>
      </c>
      <c r="C2095" s="117" t="str">
        <f t="shared" si="479"/>
        <v>4L</v>
      </c>
      <c r="F2095" s="99">
        <f t="shared" si="476"/>
        <v>0</v>
      </c>
      <c r="I2095" s="99">
        <f t="shared" si="475"/>
        <v>0</v>
      </c>
      <c r="L2095" s="99">
        <f t="shared" si="477"/>
        <v>0</v>
      </c>
      <c r="M2095" s="44" t="str">
        <f t="shared" si="480"/>
        <v/>
      </c>
      <c r="N2095" s="100">
        <f t="shared" si="481"/>
        <v>0</v>
      </c>
      <c r="O2095" s="101">
        <f t="shared" si="482"/>
        <v>0</v>
      </c>
      <c r="P2095" s="52">
        <f t="shared" si="483"/>
        <v>0</v>
      </c>
      <c r="Q2095" s="49">
        <v>116.88487613461319</v>
      </c>
      <c r="R2095">
        <v>2225</v>
      </c>
      <c r="S2095" s="50">
        <f t="shared" si="478"/>
        <v>71535.307499999995</v>
      </c>
      <c r="T2095" s="50">
        <f t="shared" si="484"/>
        <v>0</v>
      </c>
      <c r="U2095" s="58">
        <f t="shared" si="485"/>
        <v>0</v>
      </c>
      <c r="V2095" s="58">
        <f t="shared" si="486"/>
        <v>0</v>
      </c>
      <c r="W2095" s="58">
        <f t="shared" si="487"/>
        <v>0</v>
      </c>
      <c r="X2095" s="58">
        <f t="shared" si="488"/>
        <v>0</v>
      </c>
      <c r="Y2095" s="52">
        <f t="shared" si="489"/>
        <v>0</v>
      </c>
    </row>
    <row r="2096" spans="1:25" x14ac:dyDescent="0.25">
      <c r="A2096" s="1218" t="s">
        <v>126</v>
      </c>
      <c r="B2096" s="98">
        <v>45778</v>
      </c>
      <c r="C2096" s="117" t="str">
        <f t="shared" ref="C2096:C2097" si="490">LEFT(A2096,2)</f>
        <v>4L</v>
      </c>
      <c r="F2096" s="99">
        <f t="shared" si="476"/>
        <v>0</v>
      </c>
      <c r="G2096">
        <v>4060</v>
      </c>
      <c r="H2096">
        <v>3.85</v>
      </c>
      <c r="I2096" s="99">
        <f t="shared" si="475"/>
        <v>15.631</v>
      </c>
      <c r="L2096" s="99">
        <f t="shared" si="477"/>
        <v>0</v>
      </c>
      <c r="M2096" s="44"/>
      <c r="N2096" s="100"/>
      <c r="O2096" s="101"/>
      <c r="P2096" s="52"/>
      <c r="Q2096" s="49"/>
      <c r="S2096" s="50"/>
      <c r="T2096" s="50"/>
      <c r="U2096" s="58"/>
      <c r="V2096" s="58"/>
      <c r="W2096" s="58"/>
      <c r="X2096" s="58"/>
      <c r="Y2096" s="52"/>
    </row>
    <row r="2097" spans="1:25" x14ac:dyDescent="0.25">
      <c r="A2097" s="1218" t="s">
        <v>127</v>
      </c>
      <c r="B2097" s="98">
        <v>45778</v>
      </c>
      <c r="C2097" s="117" t="str">
        <f t="shared" si="490"/>
        <v>4L</v>
      </c>
      <c r="F2097" s="99">
        <f t="shared" si="476"/>
        <v>0</v>
      </c>
      <c r="I2097" s="99">
        <f t="shared" si="475"/>
        <v>0</v>
      </c>
      <c r="L2097" s="99">
        <f t="shared" si="477"/>
        <v>0</v>
      </c>
      <c r="M2097" s="44"/>
      <c r="N2097" s="100"/>
      <c r="O2097" s="101"/>
      <c r="P2097" s="52"/>
      <c r="Q2097" s="49"/>
      <c r="S2097" s="50"/>
      <c r="T2097" s="50"/>
      <c r="U2097" s="58"/>
      <c r="V2097" s="58"/>
      <c r="W2097" s="58"/>
      <c r="X2097" s="58"/>
      <c r="Y2097" s="52"/>
    </row>
    <row r="2098" spans="1:25" x14ac:dyDescent="0.25">
      <c r="A2098" s="1218" t="s">
        <v>128</v>
      </c>
      <c r="B2098" s="98">
        <v>45778</v>
      </c>
      <c r="C2098" s="117" t="str">
        <f t="shared" si="479"/>
        <v>4L</v>
      </c>
      <c r="F2098" s="99">
        <f t="shared" si="476"/>
        <v>0</v>
      </c>
      <c r="I2098" s="99">
        <f t="shared" si="475"/>
        <v>0</v>
      </c>
      <c r="L2098" s="99">
        <f t="shared" si="477"/>
        <v>0</v>
      </c>
      <c r="M2098" s="44"/>
      <c r="N2098" s="100"/>
      <c r="O2098" s="101"/>
      <c r="P2098" s="52"/>
      <c r="Q2098" s="49"/>
      <c r="S2098" s="50"/>
      <c r="T2098" s="50"/>
      <c r="U2098" s="58"/>
      <c r="V2098" s="58"/>
      <c r="W2098" s="58"/>
      <c r="X2098" s="58"/>
      <c r="Y2098" s="52"/>
    </row>
    <row r="2099" spans="1:25" x14ac:dyDescent="0.25">
      <c r="A2099" s="1218" t="s">
        <v>129</v>
      </c>
      <c r="B2099" s="98">
        <v>45778</v>
      </c>
      <c r="C2099" s="117" t="str">
        <f t="shared" si="479"/>
        <v>4L</v>
      </c>
      <c r="F2099" s="99">
        <f t="shared" si="476"/>
        <v>0</v>
      </c>
      <c r="G2099">
        <v>3045</v>
      </c>
      <c r="H2099">
        <v>2.12</v>
      </c>
      <c r="I2099" s="99">
        <f t="shared" si="475"/>
        <v>6.4554000000000009</v>
      </c>
      <c r="L2099" s="99">
        <f t="shared" si="477"/>
        <v>0</v>
      </c>
      <c r="M2099" s="44">
        <f t="shared" si="480"/>
        <v>-1</v>
      </c>
      <c r="N2099" s="100">
        <f t="shared" si="481"/>
        <v>-3045</v>
      </c>
      <c r="O2099" s="101">
        <f t="shared" si="482"/>
        <v>-6.4554000000000009</v>
      </c>
      <c r="P2099" s="52">
        <f t="shared" si="483"/>
        <v>0</v>
      </c>
      <c r="Q2099" s="49">
        <v>116.88487613461319</v>
      </c>
      <c r="R2099">
        <v>2225</v>
      </c>
      <c r="S2099" s="50">
        <f t="shared" si="478"/>
        <v>71535.307499999995</v>
      </c>
      <c r="T2099" s="50">
        <f t="shared" si="484"/>
        <v>461789.02403550001</v>
      </c>
      <c r="U2099" s="58">
        <f t="shared" si="485"/>
        <v>0</v>
      </c>
      <c r="V2099" s="58">
        <f t="shared" si="486"/>
        <v>355914.44782989717</v>
      </c>
      <c r="W2099" s="58">
        <f t="shared" si="487"/>
        <v>0</v>
      </c>
      <c r="X2099" s="58">
        <f t="shared" si="488"/>
        <v>105874.57620560285</v>
      </c>
      <c r="Y2099" s="52">
        <f t="shared" si="489"/>
        <v>0</v>
      </c>
    </row>
    <row r="2100" spans="1:25" x14ac:dyDescent="0.25">
      <c r="A2100" s="1218" t="s">
        <v>130</v>
      </c>
      <c r="B2100" s="98">
        <v>45778</v>
      </c>
      <c r="C2100" s="117" t="str">
        <f t="shared" si="479"/>
        <v>5L</v>
      </c>
      <c r="F2100" s="99">
        <f t="shared" si="476"/>
        <v>0</v>
      </c>
      <c r="I2100" s="99">
        <f t="shared" si="475"/>
        <v>0</v>
      </c>
      <c r="L2100" s="99">
        <f t="shared" si="477"/>
        <v>0</v>
      </c>
      <c r="M2100" s="44" t="str">
        <f t="shared" si="480"/>
        <v/>
      </c>
      <c r="N2100" s="100">
        <f t="shared" si="481"/>
        <v>0</v>
      </c>
      <c r="O2100" s="101">
        <f t="shared" si="482"/>
        <v>0</v>
      </c>
      <c r="P2100" s="52">
        <f t="shared" si="483"/>
        <v>0</v>
      </c>
      <c r="Q2100" s="49">
        <v>116.88487613461319</v>
      </c>
      <c r="R2100">
        <v>2225</v>
      </c>
      <c r="S2100" s="50">
        <f t="shared" si="478"/>
        <v>71535.307499999995</v>
      </c>
      <c r="T2100" s="50">
        <f t="shared" si="484"/>
        <v>0</v>
      </c>
      <c r="U2100" s="58">
        <f t="shared" si="485"/>
        <v>0</v>
      </c>
      <c r="V2100" s="58">
        <f t="shared" si="486"/>
        <v>0</v>
      </c>
      <c r="W2100" s="58">
        <f t="shared" si="487"/>
        <v>0</v>
      </c>
      <c r="X2100" s="58">
        <f t="shared" si="488"/>
        <v>0</v>
      </c>
      <c r="Y2100" s="52">
        <f t="shared" si="489"/>
        <v>0</v>
      </c>
    </row>
    <row r="2101" spans="1:25" x14ac:dyDescent="0.25">
      <c r="A2101" s="1218" t="s">
        <v>131</v>
      </c>
      <c r="B2101" s="98">
        <v>45778</v>
      </c>
      <c r="C2101" s="117" t="str">
        <f t="shared" si="479"/>
        <v>5L</v>
      </c>
      <c r="F2101" s="99">
        <f t="shared" si="476"/>
        <v>0</v>
      </c>
      <c r="I2101" s="99">
        <f t="shared" si="475"/>
        <v>0</v>
      </c>
      <c r="L2101" s="99">
        <f t="shared" si="477"/>
        <v>0</v>
      </c>
      <c r="M2101" s="44" t="str">
        <f t="shared" si="480"/>
        <v/>
      </c>
      <c r="N2101" s="100">
        <f t="shared" si="481"/>
        <v>0</v>
      </c>
      <c r="O2101" s="101">
        <f t="shared" si="482"/>
        <v>0</v>
      </c>
      <c r="P2101" s="52">
        <f t="shared" si="483"/>
        <v>0</v>
      </c>
      <c r="Q2101" s="49">
        <v>116.88487613461319</v>
      </c>
      <c r="R2101">
        <v>2225</v>
      </c>
      <c r="S2101" s="50">
        <f t="shared" si="478"/>
        <v>71535.307499999995</v>
      </c>
      <c r="T2101" s="50">
        <f t="shared" si="484"/>
        <v>0</v>
      </c>
      <c r="U2101" s="58">
        <f t="shared" si="485"/>
        <v>0</v>
      </c>
      <c r="V2101" s="58">
        <f t="shared" si="486"/>
        <v>0</v>
      </c>
      <c r="W2101" s="58">
        <f t="shared" si="487"/>
        <v>0</v>
      </c>
      <c r="X2101" s="58">
        <f t="shared" si="488"/>
        <v>0</v>
      </c>
      <c r="Y2101" s="52">
        <f t="shared" si="489"/>
        <v>0</v>
      </c>
    </row>
    <row r="2102" spans="1:25" x14ac:dyDescent="0.25">
      <c r="A2102" s="1218" t="s">
        <v>132</v>
      </c>
      <c r="B2102" s="98">
        <v>45778</v>
      </c>
      <c r="C2102" s="117" t="str">
        <f t="shared" si="479"/>
        <v>5L</v>
      </c>
      <c r="F2102" s="99">
        <f t="shared" si="476"/>
        <v>0</v>
      </c>
      <c r="I2102" s="99">
        <f t="shared" si="475"/>
        <v>0</v>
      </c>
      <c r="L2102" s="99">
        <f t="shared" si="477"/>
        <v>0</v>
      </c>
      <c r="M2102" s="44" t="str">
        <f t="shared" si="480"/>
        <v/>
      </c>
      <c r="N2102" s="100">
        <f t="shared" si="481"/>
        <v>0</v>
      </c>
      <c r="O2102" s="101">
        <f t="shared" si="482"/>
        <v>0</v>
      </c>
      <c r="P2102" s="52">
        <f t="shared" si="483"/>
        <v>0</v>
      </c>
      <c r="Q2102" s="49">
        <v>116.88487613461319</v>
      </c>
      <c r="R2102">
        <v>2225</v>
      </c>
      <c r="S2102" s="50">
        <f t="shared" si="478"/>
        <v>71535.307499999995</v>
      </c>
      <c r="T2102" s="50">
        <f t="shared" si="484"/>
        <v>0</v>
      </c>
      <c r="U2102" s="58">
        <f t="shared" si="485"/>
        <v>0</v>
      </c>
      <c r="V2102" s="58">
        <f t="shared" si="486"/>
        <v>0</v>
      </c>
      <c r="W2102" s="58">
        <f t="shared" si="487"/>
        <v>0</v>
      </c>
      <c r="X2102" s="58">
        <f t="shared" si="488"/>
        <v>0</v>
      </c>
      <c r="Y2102" s="52">
        <f t="shared" si="489"/>
        <v>0</v>
      </c>
    </row>
    <row r="2103" spans="1:25" x14ac:dyDescent="0.25">
      <c r="A2103" s="1218" t="s">
        <v>133</v>
      </c>
      <c r="B2103" s="98">
        <v>45778</v>
      </c>
      <c r="C2103" s="117" t="str">
        <f t="shared" si="479"/>
        <v>5L</v>
      </c>
      <c r="F2103" s="99">
        <f t="shared" si="476"/>
        <v>0</v>
      </c>
      <c r="I2103" s="99">
        <f t="shared" si="475"/>
        <v>0</v>
      </c>
      <c r="L2103" s="99">
        <f t="shared" si="477"/>
        <v>0</v>
      </c>
      <c r="M2103" s="44" t="str">
        <f t="shared" si="480"/>
        <v/>
      </c>
      <c r="N2103" s="100">
        <f t="shared" si="481"/>
        <v>0</v>
      </c>
      <c r="O2103" s="101">
        <f t="shared" si="482"/>
        <v>0</v>
      </c>
      <c r="P2103" s="52">
        <f t="shared" si="483"/>
        <v>0</v>
      </c>
      <c r="Q2103" s="49">
        <v>116.88487613461319</v>
      </c>
      <c r="R2103">
        <v>2225</v>
      </c>
      <c r="S2103" s="50">
        <f t="shared" si="478"/>
        <v>71535.307499999995</v>
      </c>
      <c r="T2103" s="50">
        <f t="shared" si="484"/>
        <v>0</v>
      </c>
      <c r="U2103" s="58">
        <f t="shared" si="485"/>
        <v>0</v>
      </c>
      <c r="V2103" s="58">
        <f t="shared" si="486"/>
        <v>0</v>
      </c>
      <c r="W2103" s="58">
        <f t="shared" si="487"/>
        <v>0</v>
      </c>
      <c r="X2103" s="58">
        <f t="shared" si="488"/>
        <v>0</v>
      </c>
      <c r="Y2103" s="52">
        <f t="shared" si="489"/>
        <v>0</v>
      </c>
    </row>
    <row r="2104" spans="1:25" x14ac:dyDescent="0.25">
      <c r="A2104" s="1218" t="s">
        <v>134</v>
      </c>
      <c r="B2104" s="98">
        <v>45778</v>
      </c>
      <c r="C2104" s="117" t="str">
        <f t="shared" si="479"/>
        <v>5L</v>
      </c>
      <c r="F2104" s="99">
        <f t="shared" si="476"/>
        <v>0</v>
      </c>
      <c r="I2104" s="99">
        <f t="shared" si="475"/>
        <v>0</v>
      </c>
      <c r="L2104" s="99">
        <f t="shared" si="477"/>
        <v>0</v>
      </c>
      <c r="M2104" s="44" t="str">
        <f t="shared" si="480"/>
        <v/>
      </c>
      <c r="N2104" s="100">
        <f t="shared" si="481"/>
        <v>0</v>
      </c>
      <c r="O2104" s="101">
        <f t="shared" si="482"/>
        <v>0</v>
      </c>
      <c r="P2104" s="52">
        <f t="shared" si="483"/>
        <v>0</v>
      </c>
      <c r="Q2104" s="49">
        <v>116.88487613461319</v>
      </c>
      <c r="R2104">
        <v>2225</v>
      </c>
      <c r="S2104" s="50">
        <f t="shared" si="478"/>
        <v>71535.307499999995</v>
      </c>
      <c r="T2104" s="50">
        <f t="shared" si="484"/>
        <v>0</v>
      </c>
      <c r="U2104" s="58">
        <f t="shared" si="485"/>
        <v>0</v>
      </c>
      <c r="V2104" s="58">
        <f t="shared" si="486"/>
        <v>0</v>
      </c>
      <c r="W2104" s="58">
        <f t="shared" si="487"/>
        <v>0</v>
      </c>
      <c r="X2104" s="58">
        <f t="shared" si="488"/>
        <v>0</v>
      </c>
      <c r="Y2104" s="52">
        <f t="shared" si="489"/>
        <v>0</v>
      </c>
    </row>
    <row r="2105" spans="1:25" x14ac:dyDescent="0.25">
      <c r="A2105" s="1218" t="s">
        <v>135</v>
      </c>
      <c r="B2105" s="98">
        <v>45778</v>
      </c>
      <c r="C2105" s="117" t="str">
        <f t="shared" si="479"/>
        <v>5L</v>
      </c>
      <c r="F2105" s="99">
        <f t="shared" si="476"/>
        <v>0</v>
      </c>
      <c r="I2105" s="99">
        <f t="shared" si="475"/>
        <v>0</v>
      </c>
      <c r="L2105" s="99">
        <f t="shared" si="477"/>
        <v>0</v>
      </c>
      <c r="M2105" s="44" t="str">
        <f t="shared" si="480"/>
        <v/>
      </c>
      <c r="N2105" s="100">
        <f t="shared" si="481"/>
        <v>0</v>
      </c>
      <c r="O2105" s="101">
        <f t="shared" si="482"/>
        <v>0</v>
      </c>
      <c r="P2105" s="52">
        <f t="shared" si="483"/>
        <v>0</v>
      </c>
      <c r="Q2105" s="49">
        <v>116.88487613461319</v>
      </c>
      <c r="R2105">
        <v>2225</v>
      </c>
      <c r="S2105" s="50">
        <f t="shared" si="478"/>
        <v>71535.307499999995</v>
      </c>
      <c r="T2105" s="50">
        <f t="shared" si="484"/>
        <v>0</v>
      </c>
      <c r="U2105" s="58">
        <f t="shared" si="485"/>
        <v>0</v>
      </c>
      <c r="V2105" s="58">
        <f t="shared" si="486"/>
        <v>0</v>
      </c>
      <c r="W2105" s="58">
        <f t="shared" si="487"/>
        <v>0</v>
      </c>
      <c r="X2105" s="58">
        <f t="shared" si="488"/>
        <v>0</v>
      </c>
      <c r="Y2105" s="52">
        <f t="shared" si="489"/>
        <v>0</v>
      </c>
    </row>
    <row r="2106" spans="1:25" x14ac:dyDescent="0.25">
      <c r="A2106" s="1218" t="s">
        <v>136</v>
      </c>
      <c r="B2106" s="98">
        <v>45778</v>
      </c>
      <c r="C2106" s="117" t="str">
        <f t="shared" si="479"/>
        <v>5L</v>
      </c>
      <c r="F2106" s="99">
        <f t="shared" si="476"/>
        <v>0</v>
      </c>
      <c r="I2106" s="99">
        <f t="shared" si="475"/>
        <v>0</v>
      </c>
      <c r="L2106" s="99">
        <f t="shared" si="477"/>
        <v>0</v>
      </c>
      <c r="M2106" s="44" t="str">
        <f t="shared" si="480"/>
        <v/>
      </c>
      <c r="N2106" s="100">
        <f t="shared" si="481"/>
        <v>0</v>
      </c>
      <c r="O2106" s="101">
        <f t="shared" si="482"/>
        <v>0</v>
      </c>
      <c r="P2106" s="52">
        <f t="shared" si="483"/>
        <v>0</v>
      </c>
      <c r="Q2106" s="49">
        <v>116.88487613461319</v>
      </c>
      <c r="R2106">
        <v>2225</v>
      </c>
      <c r="S2106" s="50">
        <f t="shared" si="478"/>
        <v>71535.307499999995</v>
      </c>
      <c r="T2106" s="50">
        <f t="shared" si="484"/>
        <v>0</v>
      </c>
      <c r="U2106" s="58">
        <f t="shared" si="485"/>
        <v>0</v>
      </c>
      <c r="V2106" s="58">
        <f t="shared" si="486"/>
        <v>0</v>
      </c>
      <c r="W2106" s="58">
        <f t="shared" si="487"/>
        <v>0</v>
      </c>
      <c r="X2106" s="58">
        <f t="shared" si="488"/>
        <v>0</v>
      </c>
      <c r="Y2106" s="52">
        <f t="shared" si="489"/>
        <v>0</v>
      </c>
    </row>
    <row r="2107" spans="1:25" x14ac:dyDescent="0.25">
      <c r="A2107" s="1218" t="s">
        <v>137</v>
      </c>
      <c r="B2107" s="98">
        <v>45778</v>
      </c>
      <c r="C2107" s="117" t="str">
        <f t="shared" si="479"/>
        <v>5L</v>
      </c>
      <c r="F2107" s="99">
        <f t="shared" si="476"/>
        <v>0</v>
      </c>
      <c r="I2107" s="99">
        <f t="shared" si="475"/>
        <v>0</v>
      </c>
      <c r="L2107" s="99">
        <f t="shared" si="477"/>
        <v>0</v>
      </c>
      <c r="M2107" s="44" t="str">
        <f t="shared" si="480"/>
        <v/>
      </c>
      <c r="N2107" s="100">
        <f t="shared" si="481"/>
        <v>0</v>
      </c>
      <c r="O2107" s="101">
        <f t="shared" si="482"/>
        <v>0</v>
      </c>
      <c r="P2107" s="52">
        <f t="shared" si="483"/>
        <v>0</v>
      </c>
      <c r="Q2107" s="49">
        <v>116.88487613461319</v>
      </c>
      <c r="R2107">
        <v>2225</v>
      </c>
      <c r="S2107" s="50">
        <f t="shared" si="478"/>
        <v>71535.307499999995</v>
      </c>
      <c r="T2107" s="50">
        <f t="shared" si="484"/>
        <v>0</v>
      </c>
      <c r="U2107" s="58">
        <f t="shared" si="485"/>
        <v>0</v>
      </c>
      <c r="V2107" s="58">
        <f t="shared" si="486"/>
        <v>0</v>
      </c>
      <c r="W2107" s="58">
        <f t="shared" si="487"/>
        <v>0</v>
      </c>
      <c r="X2107" s="58">
        <f t="shared" si="488"/>
        <v>0</v>
      </c>
      <c r="Y2107" s="52">
        <f t="shared" si="489"/>
        <v>0</v>
      </c>
    </row>
    <row r="2108" spans="1:25" x14ac:dyDescent="0.25">
      <c r="A2108" s="1218" t="s">
        <v>138</v>
      </c>
      <c r="B2108" s="98">
        <v>45778</v>
      </c>
      <c r="C2108" s="117" t="str">
        <f t="shared" si="479"/>
        <v>5L</v>
      </c>
      <c r="F2108" s="99">
        <f t="shared" si="476"/>
        <v>0</v>
      </c>
      <c r="I2108" s="99">
        <f t="shared" si="475"/>
        <v>0</v>
      </c>
      <c r="L2108" s="99">
        <f t="shared" si="477"/>
        <v>0</v>
      </c>
      <c r="M2108" s="44" t="str">
        <f t="shared" si="480"/>
        <v/>
      </c>
      <c r="N2108" s="100">
        <f t="shared" si="481"/>
        <v>0</v>
      </c>
      <c r="O2108" s="101">
        <f t="shared" si="482"/>
        <v>0</v>
      </c>
      <c r="P2108" s="52">
        <f t="shared" si="483"/>
        <v>0</v>
      </c>
      <c r="Q2108" s="49">
        <v>116.88487613461319</v>
      </c>
      <c r="R2108">
        <v>2225</v>
      </c>
      <c r="S2108" s="50">
        <f t="shared" si="478"/>
        <v>71535.307499999995</v>
      </c>
      <c r="T2108" s="50">
        <f t="shared" si="484"/>
        <v>0</v>
      </c>
      <c r="U2108" s="58">
        <f t="shared" si="485"/>
        <v>0</v>
      </c>
      <c r="V2108" s="58">
        <f t="shared" si="486"/>
        <v>0</v>
      </c>
      <c r="W2108" s="58">
        <f t="shared" si="487"/>
        <v>0</v>
      </c>
      <c r="X2108" s="58">
        <f t="shared" si="488"/>
        <v>0</v>
      </c>
      <c r="Y2108" s="52">
        <f t="shared" si="489"/>
        <v>0</v>
      </c>
    </row>
    <row r="2109" spans="1:25" x14ac:dyDescent="0.25">
      <c r="A2109" s="1218" t="s">
        <v>139</v>
      </c>
      <c r="B2109" s="98">
        <v>45778</v>
      </c>
      <c r="C2109" s="117" t="str">
        <f t="shared" si="479"/>
        <v>5L</v>
      </c>
      <c r="D2109">
        <v>371</v>
      </c>
      <c r="E2109">
        <v>3.3</v>
      </c>
      <c r="F2109" s="99">
        <f t="shared" si="476"/>
        <v>1.2242999999999999</v>
      </c>
      <c r="I2109" s="99">
        <f t="shared" si="475"/>
        <v>0</v>
      </c>
      <c r="L2109" s="99">
        <f t="shared" si="477"/>
        <v>0</v>
      </c>
      <c r="M2109" s="44" t="str">
        <f t="shared" si="480"/>
        <v/>
      </c>
      <c r="N2109" s="100">
        <f t="shared" si="481"/>
        <v>0</v>
      </c>
      <c r="O2109" s="101">
        <f t="shared" si="482"/>
        <v>0</v>
      </c>
      <c r="P2109" s="52">
        <f t="shared" si="483"/>
        <v>0</v>
      </c>
      <c r="Q2109" s="49">
        <v>116.88487613461319</v>
      </c>
      <c r="R2109">
        <v>2225</v>
      </c>
      <c r="S2109" s="50">
        <f t="shared" si="478"/>
        <v>71535.307499999995</v>
      </c>
      <c r="T2109" s="50">
        <f t="shared" si="484"/>
        <v>0</v>
      </c>
      <c r="U2109" s="58">
        <f t="shared" si="485"/>
        <v>0</v>
      </c>
      <c r="V2109" s="58">
        <f t="shared" si="486"/>
        <v>0</v>
      </c>
      <c r="W2109" s="58">
        <f t="shared" si="487"/>
        <v>0</v>
      </c>
      <c r="X2109" s="58">
        <f t="shared" si="488"/>
        <v>0</v>
      </c>
      <c r="Y2109" s="52">
        <f t="shared" si="489"/>
        <v>0</v>
      </c>
    </row>
    <row r="2110" spans="1:25" x14ac:dyDescent="0.25">
      <c r="A2110" s="1218" t="s">
        <v>140</v>
      </c>
      <c r="B2110" s="98">
        <v>45778</v>
      </c>
      <c r="C2110" s="117" t="str">
        <f t="shared" si="479"/>
        <v>5L</v>
      </c>
      <c r="D2110">
        <v>1947</v>
      </c>
      <c r="E2110">
        <v>3.97</v>
      </c>
      <c r="F2110" s="99">
        <f t="shared" si="476"/>
        <v>7.72959</v>
      </c>
      <c r="G2110">
        <v>1750</v>
      </c>
      <c r="H2110">
        <v>1.94</v>
      </c>
      <c r="I2110" s="99">
        <f t="shared" si="475"/>
        <v>3.395</v>
      </c>
      <c r="L2110" s="99">
        <f t="shared" si="477"/>
        <v>0</v>
      </c>
      <c r="M2110" s="44">
        <f t="shared" si="480"/>
        <v>-1</v>
      </c>
      <c r="N2110" s="100">
        <f t="shared" si="481"/>
        <v>-1750</v>
      </c>
      <c r="O2110" s="101">
        <f t="shared" si="482"/>
        <v>-3.395</v>
      </c>
      <c r="P2110" s="52">
        <f t="shared" si="483"/>
        <v>0</v>
      </c>
      <c r="Q2110" s="49">
        <v>116.88487613461319</v>
      </c>
      <c r="R2110">
        <v>2225</v>
      </c>
      <c r="S2110" s="50">
        <f t="shared" si="478"/>
        <v>71535.307499999995</v>
      </c>
      <c r="T2110" s="50">
        <f t="shared" si="484"/>
        <v>242862.36896249998</v>
      </c>
      <c r="U2110" s="58">
        <f t="shared" si="485"/>
        <v>0</v>
      </c>
      <c r="V2110" s="58">
        <f t="shared" si="486"/>
        <v>204548.53323557309</v>
      </c>
      <c r="W2110" s="58">
        <f t="shared" si="487"/>
        <v>0</v>
      </c>
      <c r="X2110" s="58">
        <f t="shared" si="488"/>
        <v>38313.835726926889</v>
      </c>
      <c r="Y2110" s="52">
        <f t="shared" si="489"/>
        <v>0</v>
      </c>
    </row>
    <row r="2111" spans="1:25" x14ac:dyDescent="0.25">
      <c r="A2111" s="1218" t="s">
        <v>141</v>
      </c>
      <c r="B2111" s="98">
        <v>45778</v>
      </c>
      <c r="C2111" s="117" t="str">
        <f t="shared" si="479"/>
        <v>5L</v>
      </c>
      <c r="D2111">
        <v>1947</v>
      </c>
      <c r="E2111">
        <v>3.33</v>
      </c>
      <c r="F2111" s="99">
        <f t="shared" si="476"/>
        <v>6.4835099999999999</v>
      </c>
      <c r="I2111" s="99">
        <f t="shared" ref="I2111:I2174" si="491">IFERROR(G2111*H2111/1000,"")</f>
        <v>0</v>
      </c>
      <c r="L2111" s="99">
        <f t="shared" si="477"/>
        <v>0</v>
      </c>
      <c r="M2111" s="44" t="str">
        <f t="shared" si="480"/>
        <v/>
      </c>
      <c r="N2111" s="100">
        <f t="shared" si="481"/>
        <v>0</v>
      </c>
      <c r="O2111" s="101">
        <f t="shared" si="482"/>
        <v>0</v>
      </c>
      <c r="P2111" s="52">
        <f t="shared" si="483"/>
        <v>0</v>
      </c>
      <c r="Q2111" s="49">
        <v>116.88487613461319</v>
      </c>
      <c r="R2111">
        <v>2225</v>
      </c>
      <c r="S2111" s="50">
        <f t="shared" si="478"/>
        <v>71535.307499999995</v>
      </c>
      <c r="T2111" s="50">
        <f t="shared" si="484"/>
        <v>0</v>
      </c>
      <c r="U2111" s="58">
        <f t="shared" si="485"/>
        <v>0</v>
      </c>
      <c r="V2111" s="58">
        <f t="shared" si="486"/>
        <v>0</v>
      </c>
      <c r="W2111" s="58">
        <f t="shared" si="487"/>
        <v>0</v>
      </c>
      <c r="X2111" s="58">
        <f t="shared" si="488"/>
        <v>0</v>
      </c>
      <c r="Y2111" s="52">
        <f t="shared" si="489"/>
        <v>0</v>
      </c>
    </row>
    <row r="2112" spans="1:25" x14ac:dyDescent="0.25">
      <c r="A2112" s="1218" t="s">
        <v>142</v>
      </c>
      <c r="B2112" s="98">
        <v>45778</v>
      </c>
      <c r="C2112" s="117" t="str">
        <f t="shared" si="479"/>
        <v>5L</v>
      </c>
      <c r="D2112">
        <v>512</v>
      </c>
      <c r="E2112">
        <v>2.94</v>
      </c>
      <c r="F2112" s="99">
        <f t="shared" si="476"/>
        <v>1.50528</v>
      </c>
      <c r="I2112" s="99">
        <f t="shared" si="491"/>
        <v>0</v>
      </c>
      <c r="L2112" s="99">
        <f t="shared" si="477"/>
        <v>0</v>
      </c>
      <c r="M2112" s="44" t="str">
        <f t="shared" si="480"/>
        <v/>
      </c>
      <c r="N2112" s="100">
        <f t="shared" si="481"/>
        <v>0</v>
      </c>
      <c r="O2112" s="101">
        <f t="shared" si="482"/>
        <v>0</v>
      </c>
      <c r="P2112" s="52">
        <f t="shared" si="483"/>
        <v>0</v>
      </c>
      <c r="Q2112" s="49">
        <v>116.88487613461319</v>
      </c>
      <c r="R2112">
        <v>2225</v>
      </c>
      <c r="S2112" s="50">
        <f t="shared" si="478"/>
        <v>71535.307499999995</v>
      </c>
      <c r="T2112" s="50">
        <f t="shared" si="484"/>
        <v>0</v>
      </c>
      <c r="U2112" s="58">
        <f t="shared" si="485"/>
        <v>0</v>
      </c>
      <c r="V2112" s="58">
        <f t="shared" si="486"/>
        <v>0</v>
      </c>
      <c r="W2112" s="58">
        <f t="shared" si="487"/>
        <v>0</v>
      </c>
      <c r="X2112" s="58">
        <f t="shared" si="488"/>
        <v>0</v>
      </c>
      <c r="Y2112" s="52">
        <f t="shared" si="489"/>
        <v>0</v>
      </c>
    </row>
    <row r="2113" spans="1:25" x14ac:dyDescent="0.25">
      <c r="A2113" s="1218" t="s">
        <v>143</v>
      </c>
      <c r="B2113" s="98">
        <v>45778</v>
      </c>
      <c r="C2113" s="117" t="str">
        <f t="shared" si="479"/>
        <v>5L</v>
      </c>
      <c r="D2113">
        <v>1435</v>
      </c>
      <c r="E2113">
        <v>1.89</v>
      </c>
      <c r="F2113" s="99">
        <f t="shared" si="476"/>
        <v>2.7121499999999998</v>
      </c>
      <c r="I2113" s="99">
        <f t="shared" si="491"/>
        <v>0</v>
      </c>
      <c r="L2113" s="99">
        <f t="shared" si="477"/>
        <v>0</v>
      </c>
      <c r="M2113" s="44" t="str">
        <f t="shared" si="480"/>
        <v/>
      </c>
      <c r="N2113" s="100">
        <f t="shared" si="481"/>
        <v>0</v>
      </c>
      <c r="O2113" s="101">
        <f t="shared" si="482"/>
        <v>0</v>
      </c>
      <c r="P2113" s="52">
        <f t="shared" si="483"/>
        <v>0</v>
      </c>
      <c r="Q2113" s="49">
        <v>116.88487613461319</v>
      </c>
      <c r="R2113">
        <v>2225</v>
      </c>
      <c r="S2113" s="50">
        <f t="shared" si="478"/>
        <v>71535.307499999995</v>
      </c>
      <c r="T2113" s="50">
        <f t="shared" si="484"/>
        <v>0</v>
      </c>
      <c r="U2113" s="58">
        <f t="shared" si="485"/>
        <v>0</v>
      </c>
      <c r="V2113" s="58">
        <f t="shared" si="486"/>
        <v>0</v>
      </c>
      <c r="W2113" s="58">
        <f t="shared" si="487"/>
        <v>0</v>
      </c>
      <c r="X2113" s="58">
        <f t="shared" si="488"/>
        <v>0</v>
      </c>
      <c r="Y2113" s="52">
        <f t="shared" si="489"/>
        <v>0</v>
      </c>
    </row>
    <row r="2114" spans="1:25" x14ac:dyDescent="0.25">
      <c r="A2114" s="1218" t="s">
        <v>144</v>
      </c>
      <c r="B2114" s="98">
        <v>45778</v>
      </c>
      <c r="C2114" s="117" t="str">
        <f t="shared" si="479"/>
        <v>5L</v>
      </c>
      <c r="F2114" s="99">
        <f t="shared" si="476"/>
        <v>0</v>
      </c>
      <c r="I2114" s="99">
        <f t="shared" si="491"/>
        <v>0</v>
      </c>
      <c r="L2114" s="99">
        <f t="shared" si="477"/>
        <v>0</v>
      </c>
      <c r="M2114" s="44" t="str">
        <f t="shared" si="480"/>
        <v/>
      </c>
      <c r="N2114" s="100">
        <f t="shared" si="481"/>
        <v>0</v>
      </c>
      <c r="O2114" s="101">
        <f t="shared" si="482"/>
        <v>0</v>
      </c>
      <c r="P2114" s="52">
        <f t="shared" si="483"/>
        <v>0</v>
      </c>
      <c r="Q2114" s="49">
        <v>116.88487613461319</v>
      </c>
      <c r="R2114">
        <v>2225</v>
      </c>
      <c r="S2114" s="50">
        <f t="shared" si="478"/>
        <v>71535.307499999995</v>
      </c>
      <c r="T2114" s="50">
        <f t="shared" si="484"/>
        <v>0</v>
      </c>
      <c r="U2114" s="58">
        <f t="shared" si="485"/>
        <v>0</v>
      </c>
      <c r="V2114" s="58">
        <f t="shared" si="486"/>
        <v>0</v>
      </c>
      <c r="W2114" s="58">
        <f t="shared" si="487"/>
        <v>0</v>
      </c>
      <c r="X2114" s="58">
        <f t="shared" si="488"/>
        <v>0</v>
      </c>
      <c r="Y2114" s="52">
        <f t="shared" si="489"/>
        <v>0</v>
      </c>
    </row>
    <row r="2115" spans="1:25" x14ac:dyDescent="0.25">
      <c r="A2115" s="1218" t="s">
        <v>145</v>
      </c>
      <c r="B2115" s="98">
        <v>45778</v>
      </c>
      <c r="C2115" s="117" t="str">
        <f t="shared" si="479"/>
        <v>5L</v>
      </c>
      <c r="F2115" s="99">
        <f t="shared" si="476"/>
        <v>0</v>
      </c>
      <c r="I2115" s="99">
        <f t="shared" si="491"/>
        <v>0</v>
      </c>
      <c r="L2115" s="99">
        <f t="shared" si="477"/>
        <v>0</v>
      </c>
      <c r="M2115" s="44" t="str">
        <f t="shared" si="480"/>
        <v/>
      </c>
      <c r="N2115" s="100">
        <f t="shared" si="481"/>
        <v>0</v>
      </c>
      <c r="O2115" s="101">
        <f t="shared" si="482"/>
        <v>0</v>
      </c>
      <c r="P2115" s="52">
        <f t="shared" si="483"/>
        <v>0</v>
      </c>
      <c r="Q2115" s="49">
        <v>116.88487613461319</v>
      </c>
      <c r="R2115">
        <v>2225</v>
      </c>
      <c r="S2115" s="50">
        <f t="shared" si="478"/>
        <v>71535.307499999995</v>
      </c>
      <c r="T2115" s="50">
        <f t="shared" si="484"/>
        <v>0</v>
      </c>
      <c r="U2115" s="58">
        <f t="shared" si="485"/>
        <v>0</v>
      </c>
      <c r="V2115" s="58">
        <f t="shared" si="486"/>
        <v>0</v>
      </c>
      <c r="W2115" s="58">
        <f t="shared" si="487"/>
        <v>0</v>
      </c>
      <c r="X2115" s="58">
        <f t="shared" si="488"/>
        <v>0</v>
      </c>
      <c r="Y2115" s="52">
        <f t="shared" si="489"/>
        <v>0</v>
      </c>
    </row>
    <row r="2116" spans="1:25" x14ac:dyDescent="0.25">
      <c r="A2116" s="1218" t="s">
        <v>146</v>
      </c>
      <c r="B2116" s="98">
        <v>45778</v>
      </c>
      <c r="C2116" s="117" t="str">
        <f t="shared" si="479"/>
        <v>5L</v>
      </c>
      <c r="F2116" s="99">
        <f t="shared" si="476"/>
        <v>0</v>
      </c>
      <c r="I2116" s="99">
        <f t="shared" si="491"/>
        <v>0</v>
      </c>
      <c r="L2116" s="99">
        <f t="shared" si="477"/>
        <v>0</v>
      </c>
      <c r="M2116" s="44" t="str">
        <f t="shared" si="480"/>
        <v/>
      </c>
      <c r="N2116" s="100">
        <f t="shared" si="481"/>
        <v>0</v>
      </c>
      <c r="O2116" s="101">
        <f t="shared" si="482"/>
        <v>0</v>
      </c>
      <c r="P2116" s="52">
        <f t="shared" si="483"/>
        <v>0</v>
      </c>
      <c r="Q2116" s="49">
        <v>116.88487613461319</v>
      </c>
      <c r="R2116">
        <v>2225</v>
      </c>
      <c r="S2116" s="50">
        <f t="shared" si="478"/>
        <v>71535.307499999995</v>
      </c>
      <c r="T2116" s="50">
        <f t="shared" si="484"/>
        <v>0</v>
      </c>
      <c r="U2116" s="58">
        <f t="shared" si="485"/>
        <v>0</v>
      </c>
      <c r="V2116" s="58">
        <f t="shared" si="486"/>
        <v>0</v>
      </c>
      <c r="W2116" s="58">
        <f t="shared" si="487"/>
        <v>0</v>
      </c>
      <c r="X2116" s="58">
        <f t="shared" si="488"/>
        <v>0</v>
      </c>
      <c r="Y2116" s="52">
        <f t="shared" si="489"/>
        <v>0</v>
      </c>
    </row>
    <row r="2117" spans="1:25" x14ac:dyDescent="0.25">
      <c r="A2117" s="1218" t="s">
        <v>147</v>
      </c>
      <c r="B2117" s="98">
        <v>45778</v>
      </c>
      <c r="C2117" s="117" t="str">
        <f t="shared" si="479"/>
        <v>5L</v>
      </c>
      <c r="F2117" s="99">
        <f t="shared" si="476"/>
        <v>0</v>
      </c>
      <c r="I2117" s="99">
        <f t="shared" si="491"/>
        <v>0</v>
      </c>
      <c r="L2117" s="99">
        <f t="shared" si="477"/>
        <v>0</v>
      </c>
      <c r="M2117" s="44" t="str">
        <f t="shared" si="480"/>
        <v/>
      </c>
      <c r="N2117" s="100">
        <f t="shared" si="481"/>
        <v>0</v>
      </c>
      <c r="O2117" s="101">
        <f t="shared" si="482"/>
        <v>0</v>
      </c>
      <c r="P2117" s="52">
        <f t="shared" si="483"/>
        <v>0</v>
      </c>
      <c r="Q2117" s="49">
        <v>116.88487613461319</v>
      </c>
      <c r="R2117">
        <v>2225</v>
      </c>
      <c r="S2117" s="50">
        <f t="shared" si="478"/>
        <v>71535.307499999995</v>
      </c>
      <c r="T2117" s="50">
        <f t="shared" si="484"/>
        <v>0</v>
      </c>
      <c r="U2117" s="58">
        <f t="shared" si="485"/>
        <v>0</v>
      </c>
      <c r="V2117" s="58">
        <f t="shared" si="486"/>
        <v>0</v>
      </c>
      <c r="W2117" s="58">
        <f t="shared" si="487"/>
        <v>0</v>
      </c>
      <c r="X2117" s="58">
        <f t="shared" si="488"/>
        <v>0</v>
      </c>
      <c r="Y2117" s="52">
        <f t="shared" si="489"/>
        <v>0</v>
      </c>
    </row>
    <row r="2118" spans="1:25" x14ac:dyDescent="0.25">
      <c r="A2118" s="1218" t="s">
        <v>148</v>
      </c>
      <c r="B2118" s="98">
        <v>45778</v>
      </c>
      <c r="C2118" s="117" t="str">
        <f t="shared" si="479"/>
        <v>5L</v>
      </c>
      <c r="F2118" s="99">
        <f t="shared" si="476"/>
        <v>0</v>
      </c>
      <c r="I2118" s="99">
        <f t="shared" si="491"/>
        <v>0</v>
      </c>
      <c r="L2118" s="99">
        <f t="shared" si="477"/>
        <v>0</v>
      </c>
      <c r="M2118" s="44" t="str">
        <f t="shared" si="480"/>
        <v/>
      </c>
      <c r="N2118" s="100">
        <f t="shared" si="481"/>
        <v>0</v>
      </c>
      <c r="O2118" s="101">
        <f t="shared" si="482"/>
        <v>0</v>
      </c>
      <c r="P2118" s="52">
        <f t="shared" si="483"/>
        <v>0</v>
      </c>
      <c r="Q2118" s="49">
        <v>116.88487613461319</v>
      </c>
      <c r="R2118">
        <v>2225</v>
      </c>
      <c r="S2118" s="50">
        <f t="shared" si="478"/>
        <v>71535.307499999995</v>
      </c>
      <c r="T2118" s="50">
        <f t="shared" si="484"/>
        <v>0</v>
      </c>
      <c r="U2118" s="58">
        <f t="shared" si="485"/>
        <v>0</v>
      </c>
      <c r="V2118" s="58">
        <f t="shared" si="486"/>
        <v>0</v>
      </c>
      <c r="W2118" s="58">
        <f t="shared" si="487"/>
        <v>0</v>
      </c>
      <c r="X2118" s="58">
        <f t="shared" si="488"/>
        <v>0</v>
      </c>
      <c r="Y2118" s="52">
        <f t="shared" si="489"/>
        <v>0</v>
      </c>
    </row>
    <row r="2119" spans="1:25" x14ac:dyDescent="0.25">
      <c r="A2119" s="1218" t="s">
        <v>149</v>
      </c>
      <c r="B2119" s="98">
        <v>45778</v>
      </c>
      <c r="C2119" s="117" t="str">
        <f t="shared" si="479"/>
        <v>5L</v>
      </c>
      <c r="F2119" s="99">
        <f t="shared" si="476"/>
        <v>0</v>
      </c>
      <c r="I2119" s="99">
        <f t="shared" si="491"/>
        <v>0</v>
      </c>
      <c r="L2119" s="99">
        <f t="shared" si="477"/>
        <v>0</v>
      </c>
      <c r="M2119" s="44" t="str">
        <f t="shared" si="480"/>
        <v/>
      </c>
      <c r="N2119" s="100">
        <f t="shared" si="481"/>
        <v>0</v>
      </c>
      <c r="O2119" s="101">
        <f t="shared" si="482"/>
        <v>0</v>
      </c>
      <c r="P2119" s="52">
        <f t="shared" si="483"/>
        <v>0</v>
      </c>
      <c r="Q2119" s="49">
        <v>116.88487613461319</v>
      </c>
      <c r="R2119">
        <v>2225</v>
      </c>
      <c r="S2119" s="50">
        <f t="shared" si="478"/>
        <v>71535.307499999995</v>
      </c>
      <c r="T2119" s="50">
        <f t="shared" si="484"/>
        <v>0</v>
      </c>
      <c r="U2119" s="58">
        <f t="shared" si="485"/>
        <v>0</v>
      </c>
      <c r="V2119" s="58">
        <f t="shared" si="486"/>
        <v>0</v>
      </c>
      <c r="W2119" s="58">
        <f t="shared" si="487"/>
        <v>0</v>
      </c>
      <c r="X2119" s="58">
        <f t="shared" si="488"/>
        <v>0</v>
      </c>
      <c r="Y2119" s="52">
        <f t="shared" si="489"/>
        <v>0</v>
      </c>
    </row>
    <row r="2120" spans="1:25" x14ac:dyDescent="0.25">
      <c r="A2120" s="1218" t="s">
        <v>150</v>
      </c>
      <c r="B2120" s="98">
        <v>45778</v>
      </c>
      <c r="C2120" s="117" t="str">
        <f t="shared" si="479"/>
        <v>6L</v>
      </c>
      <c r="D2120" s="118">
        <v>2921</v>
      </c>
      <c r="E2120">
        <v>2.83</v>
      </c>
      <c r="F2120" s="99">
        <f t="shared" si="476"/>
        <v>8.2664299999999997</v>
      </c>
      <c r="G2120">
        <v>2030</v>
      </c>
      <c r="H2120">
        <v>3.89</v>
      </c>
      <c r="I2120" s="99">
        <f t="shared" si="491"/>
        <v>7.8967000000000001</v>
      </c>
      <c r="L2120" s="99">
        <f t="shared" si="477"/>
        <v>0</v>
      </c>
      <c r="M2120" s="44">
        <f t="shared" si="480"/>
        <v>-1</v>
      </c>
      <c r="N2120" s="100">
        <f t="shared" si="481"/>
        <v>-2030</v>
      </c>
      <c r="O2120" s="101">
        <f t="shared" si="482"/>
        <v>-7.8967000000000001</v>
      </c>
      <c r="P2120" s="52">
        <f t="shared" si="483"/>
        <v>0</v>
      </c>
      <c r="Q2120" s="49">
        <v>116.88487613461319</v>
      </c>
      <c r="R2120">
        <v>2225</v>
      </c>
      <c r="S2120" s="50">
        <f t="shared" si="478"/>
        <v>71535.307499999995</v>
      </c>
      <c r="T2120" s="50">
        <f t="shared" si="484"/>
        <v>564892.86273524992</v>
      </c>
      <c r="U2120" s="58">
        <f t="shared" si="485"/>
        <v>0</v>
      </c>
      <c r="V2120" s="58">
        <f t="shared" si="486"/>
        <v>237276.29855326479</v>
      </c>
      <c r="W2120" s="58">
        <f t="shared" si="487"/>
        <v>0</v>
      </c>
      <c r="X2120" s="58">
        <f t="shared" si="488"/>
        <v>327616.5641819851</v>
      </c>
      <c r="Y2120" s="52">
        <f t="shared" si="489"/>
        <v>0</v>
      </c>
    </row>
    <row r="2121" spans="1:25" x14ac:dyDescent="0.25">
      <c r="A2121" s="1218" t="s">
        <v>151</v>
      </c>
      <c r="B2121" s="98">
        <v>45778</v>
      </c>
      <c r="C2121" s="117" t="str">
        <f t="shared" si="479"/>
        <v>6L</v>
      </c>
      <c r="F2121" s="99">
        <f t="shared" ref="F2121:F2184" si="492">IFERROR(D2121*E2121/1000,"")</f>
        <v>0</v>
      </c>
      <c r="I2121" s="99">
        <f t="shared" si="491"/>
        <v>0</v>
      </c>
      <c r="L2121" s="99">
        <f t="shared" si="477"/>
        <v>0</v>
      </c>
      <c r="M2121" s="44" t="str">
        <f t="shared" si="480"/>
        <v/>
      </c>
      <c r="N2121" s="100">
        <f t="shared" si="481"/>
        <v>0</v>
      </c>
      <c r="O2121" s="101">
        <f t="shared" si="482"/>
        <v>0</v>
      </c>
      <c r="P2121" s="52">
        <f t="shared" si="483"/>
        <v>0</v>
      </c>
      <c r="Q2121" s="49">
        <v>116.88487613461319</v>
      </c>
      <c r="R2121">
        <v>2225</v>
      </c>
      <c r="S2121" s="50">
        <f t="shared" si="478"/>
        <v>71535.307499999995</v>
      </c>
      <c r="T2121" s="50">
        <f t="shared" si="484"/>
        <v>0</v>
      </c>
      <c r="U2121" s="58">
        <f t="shared" si="485"/>
        <v>0</v>
      </c>
      <c r="V2121" s="58">
        <f t="shared" si="486"/>
        <v>0</v>
      </c>
      <c r="W2121" s="58">
        <f t="shared" si="487"/>
        <v>0</v>
      </c>
      <c r="X2121" s="58">
        <f t="shared" si="488"/>
        <v>0</v>
      </c>
      <c r="Y2121" s="52">
        <f t="shared" si="489"/>
        <v>0</v>
      </c>
    </row>
    <row r="2122" spans="1:25" x14ac:dyDescent="0.25">
      <c r="A2122" s="1218" t="s">
        <v>152</v>
      </c>
      <c r="B2122" s="98">
        <v>45778</v>
      </c>
      <c r="C2122" s="117" t="str">
        <f t="shared" si="479"/>
        <v>6L</v>
      </c>
      <c r="F2122" s="99">
        <f t="shared" si="492"/>
        <v>0</v>
      </c>
      <c r="G2122">
        <v>2030</v>
      </c>
      <c r="H2122">
        <v>3.89</v>
      </c>
      <c r="I2122" s="99">
        <f t="shared" si="491"/>
        <v>7.8967000000000001</v>
      </c>
      <c r="L2122" s="99"/>
      <c r="M2122" s="44"/>
      <c r="N2122" s="100"/>
      <c r="O2122" s="101"/>
      <c r="P2122" s="52"/>
      <c r="Q2122" s="49"/>
      <c r="S2122" s="50"/>
      <c r="T2122" s="50"/>
      <c r="U2122" s="58"/>
      <c r="V2122" s="58"/>
      <c r="W2122" s="58"/>
      <c r="X2122" s="58"/>
      <c r="Y2122" s="52"/>
    </row>
    <row r="2123" spans="1:25" x14ac:dyDescent="0.25">
      <c r="A2123" s="1218" t="s">
        <v>153</v>
      </c>
      <c r="B2123" s="98">
        <v>45778</v>
      </c>
      <c r="C2123" s="117" t="str">
        <f t="shared" si="479"/>
        <v>6L</v>
      </c>
      <c r="F2123" s="99">
        <f t="shared" si="492"/>
        <v>0</v>
      </c>
      <c r="G2123">
        <v>2030</v>
      </c>
      <c r="H2123">
        <v>2.91</v>
      </c>
      <c r="I2123" s="99">
        <f t="shared" si="491"/>
        <v>5.9073000000000002</v>
      </c>
      <c r="L2123" s="99"/>
      <c r="M2123" s="44"/>
      <c r="N2123" s="100"/>
      <c r="O2123" s="101"/>
      <c r="P2123" s="52"/>
      <c r="Q2123" s="49"/>
      <c r="S2123" s="50"/>
      <c r="T2123" s="50"/>
      <c r="U2123" s="58"/>
      <c r="V2123" s="58"/>
      <c r="W2123" s="58"/>
      <c r="X2123" s="58"/>
      <c r="Y2123" s="52"/>
    </row>
    <row r="2124" spans="1:25" x14ac:dyDescent="0.25">
      <c r="A2124" s="1218" t="s">
        <v>154</v>
      </c>
      <c r="B2124" s="98">
        <v>45778</v>
      </c>
      <c r="C2124" s="117" t="str">
        <f t="shared" si="479"/>
        <v>6L</v>
      </c>
      <c r="F2124" s="99">
        <f t="shared" si="492"/>
        <v>0</v>
      </c>
      <c r="I2124" s="99">
        <f t="shared" si="491"/>
        <v>0</v>
      </c>
      <c r="L2124" s="99"/>
      <c r="M2124" s="44"/>
      <c r="N2124" s="100"/>
      <c r="O2124" s="101"/>
      <c r="P2124" s="52"/>
      <c r="Q2124" s="49"/>
      <c r="S2124" s="50"/>
      <c r="T2124" s="50"/>
      <c r="U2124" s="58"/>
      <c r="V2124" s="58"/>
      <c r="W2124" s="58"/>
      <c r="X2124" s="58"/>
      <c r="Y2124" s="52"/>
    </row>
    <row r="2125" spans="1:25" x14ac:dyDescent="0.25">
      <c r="A2125" s="1218" t="s">
        <v>155</v>
      </c>
      <c r="B2125" s="98">
        <v>45778</v>
      </c>
      <c r="C2125" s="117" t="str">
        <f t="shared" si="479"/>
        <v>6L</v>
      </c>
      <c r="D2125">
        <v>2921</v>
      </c>
      <c r="E2125">
        <v>2.31</v>
      </c>
      <c r="F2125" s="99">
        <f t="shared" si="492"/>
        <v>6.7475100000000001</v>
      </c>
      <c r="I2125" s="99">
        <f t="shared" si="491"/>
        <v>0</v>
      </c>
      <c r="L2125" s="99">
        <f t="shared" si="477"/>
        <v>0</v>
      </c>
      <c r="M2125" s="44" t="str">
        <f t="shared" si="480"/>
        <v/>
      </c>
      <c r="N2125" s="100">
        <f t="shared" si="481"/>
        <v>0</v>
      </c>
      <c r="O2125" s="101">
        <f t="shared" si="482"/>
        <v>0</v>
      </c>
      <c r="P2125" s="52">
        <f t="shared" si="483"/>
        <v>0</v>
      </c>
      <c r="Q2125" s="49">
        <v>116.88487613461319</v>
      </c>
      <c r="R2125">
        <v>2225</v>
      </c>
      <c r="S2125" s="50">
        <f t="shared" si="478"/>
        <v>71535.307499999995</v>
      </c>
      <c r="T2125" s="50">
        <f t="shared" si="484"/>
        <v>0</v>
      </c>
      <c r="U2125" s="58">
        <f t="shared" si="485"/>
        <v>0</v>
      </c>
      <c r="V2125" s="58">
        <f t="shared" si="486"/>
        <v>0</v>
      </c>
      <c r="W2125" s="58">
        <f t="shared" si="487"/>
        <v>0</v>
      </c>
      <c r="X2125" s="58">
        <f t="shared" si="488"/>
        <v>0</v>
      </c>
      <c r="Y2125" s="52">
        <f t="shared" si="489"/>
        <v>0</v>
      </c>
    </row>
    <row r="2126" spans="1:25" x14ac:dyDescent="0.25">
      <c r="A2126" s="1218" t="s">
        <v>156</v>
      </c>
      <c r="B2126" s="98">
        <v>45778</v>
      </c>
      <c r="C2126" s="117" t="str">
        <f t="shared" si="479"/>
        <v>6L</v>
      </c>
      <c r="F2126" s="99">
        <f t="shared" si="492"/>
        <v>0</v>
      </c>
      <c r="I2126" s="99">
        <f t="shared" si="491"/>
        <v>0</v>
      </c>
      <c r="L2126" s="99"/>
      <c r="M2126" s="44"/>
      <c r="N2126" s="100"/>
      <c r="O2126" s="101"/>
      <c r="P2126" s="52"/>
      <c r="Q2126" s="49"/>
      <c r="S2126" s="50"/>
      <c r="T2126" s="50"/>
      <c r="U2126" s="58"/>
      <c r="V2126" s="58"/>
      <c r="W2126" s="58"/>
      <c r="X2126" s="58"/>
      <c r="Y2126" s="52"/>
    </row>
    <row r="2127" spans="1:25" x14ac:dyDescent="0.25">
      <c r="A2127" s="1218" t="s">
        <v>157</v>
      </c>
      <c r="B2127" s="98">
        <v>45778</v>
      </c>
      <c r="C2127" s="117" t="str">
        <f t="shared" si="479"/>
        <v>6L</v>
      </c>
      <c r="D2127" s="118">
        <v>1947</v>
      </c>
      <c r="E2127">
        <v>2.41</v>
      </c>
      <c r="F2127" s="99">
        <f t="shared" si="492"/>
        <v>4.6922700000000006</v>
      </c>
      <c r="G2127">
        <v>2030</v>
      </c>
      <c r="H2127">
        <v>2.91</v>
      </c>
      <c r="I2127" s="99">
        <f t="shared" si="491"/>
        <v>5.9073000000000002</v>
      </c>
      <c r="L2127" s="99">
        <f t="shared" si="477"/>
        <v>0</v>
      </c>
      <c r="M2127" s="44">
        <f t="shared" si="480"/>
        <v>-1</v>
      </c>
      <c r="N2127" s="100">
        <f t="shared" si="481"/>
        <v>-2030</v>
      </c>
      <c r="O2127" s="101">
        <f t="shared" si="482"/>
        <v>-5.9073000000000002</v>
      </c>
      <c r="P2127" s="52">
        <f t="shared" si="483"/>
        <v>0</v>
      </c>
      <c r="Q2127" s="49">
        <v>116.88487613461319</v>
      </c>
      <c r="R2127">
        <v>2225</v>
      </c>
      <c r="S2127" s="50">
        <f t="shared" si="478"/>
        <v>71535.307499999995</v>
      </c>
      <c r="T2127" s="50">
        <f t="shared" si="484"/>
        <v>422580.52199475002</v>
      </c>
      <c r="U2127" s="58">
        <f t="shared" si="485"/>
        <v>0</v>
      </c>
      <c r="V2127" s="58">
        <f t="shared" si="486"/>
        <v>237276.29855326479</v>
      </c>
      <c r="W2127" s="58">
        <f t="shared" si="487"/>
        <v>0</v>
      </c>
      <c r="X2127" s="58">
        <f t="shared" si="488"/>
        <v>185304.22344148523</v>
      </c>
      <c r="Y2127" s="52">
        <f t="shared" si="489"/>
        <v>0</v>
      </c>
    </row>
    <row r="2128" spans="1:25" x14ac:dyDescent="0.25">
      <c r="A2128" s="1218" t="s">
        <v>158</v>
      </c>
      <c r="B2128" s="98">
        <v>45778</v>
      </c>
      <c r="C2128" s="117" t="str">
        <f t="shared" si="479"/>
        <v>6L</v>
      </c>
      <c r="F2128" s="99">
        <f t="shared" si="492"/>
        <v>0</v>
      </c>
      <c r="I2128" s="99">
        <f t="shared" si="491"/>
        <v>0</v>
      </c>
      <c r="L2128" s="99">
        <f t="shared" si="477"/>
        <v>0</v>
      </c>
      <c r="M2128" s="44" t="str">
        <f t="shared" si="480"/>
        <v/>
      </c>
      <c r="N2128" s="100">
        <f t="shared" si="481"/>
        <v>0</v>
      </c>
      <c r="O2128" s="101">
        <f t="shared" si="482"/>
        <v>0</v>
      </c>
      <c r="P2128" s="52">
        <f t="shared" si="483"/>
        <v>0</v>
      </c>
      <c r="Q2128" s="49">
        <v>116.88487613461319</v>
      </c>
      <c r="R2128">
        <v>2225</v>
      </c>
      <c r="S2128" s="50">
        <f t="shared" si="478"/>
        <v>71535.307499999995</v>
      </c>
      <c r="T2128" s="50">
        <f t="shared" si="484"/>
        <v>0</v>
      </c>
      <c r="U2128" s="58">
        <f t="shared" si="485"/>
        <v>0</v>
      </c>
      <c r="V2128" s="58">
        <f t="shared" si="486"/>
        <v>0</v>
      </c>
      <c r="W2128" s="58">
        <f t="shared" si="487"/>
        <v>0</v>
      </c>
      <c r="X2128" s="58">
        <f t="shared" si="488"/>
        <v>0</v>
      </c>
      <c r="Y2128" s="52">
        <f t="shared" si="489"/>
        <v>0</v>
      </c>
    </row>
    <row r="2129" spans="1:25" x14ac:dyDescent="0.25">
      <c r="A2129" s="1218" t="s">
        <v>159</v>
      </c>
      <c r="B2129" s="98">
        <v>45778</v>
      </c>
      <c r="C2129" s="117" t="str">
        <f t="shared" si="479"/>
        <v>6L</v>
      </c>
      <c r="F2129" s="99">
        <f t="shared" si="492"/>
        <v>0</v>
      </c>
      <c r="I2129" s="99">
        <f t="shared" si="491"/>
        <v>0</v>
      </c>
      <c r="L2129" s="99">
        <f t="shared" si="477"/>
        <v>0</v>
      </c>
      <c r="M2129" s="44" t="str">
        <f t="shared" si="480"/>
        <v/>
      </c>
      <c r="N2129" s="100">
        <f t="shared" si="481"/>
        <v>0</v>
      </c>
      <c r="O2129" s="101">
        <f t="shared" si="482"/>
        <v>0</v>
      </c>
      <c r="P2129" s="52">
        <f t="shared" si="483"/>
        <v>0</v>
      </c>
      <c r="Q2129" s="49">
        <v>116.88487613461319</v>
      </c>
      <c r="R2129">
        <v>2225</v>
      </c>
      <c r="S2129" s="50">
        <f t="shared" si="478"/>
        <v>71535.307499999995</v>
      </c>
      <c r="T2129" s="50">
        <f t="shared" si="484"/>
        <v>0</v>
      </c>
      <c r="U2129" s="58">
        <f t="shared" si="485"/>
        <v>0</v>
      </c>
      <c r="V2129" s="58">
        <f t="shared" si="486"/>
        <v>0</v>
      </c>
      <c r="W2129" s="58">
        <f t="shared" si="487"/>
        <v>0</v>
      </c>
      <c r="X2129" s="58">
        <f t="shared" si="488"/>
        <v>0</v>
      </c>
      <c r="Y2129" s="52">
        <f t="shared" si="489"/>
        <v>0</v>
      </c>
    </row>
    <row r="2130" spans="1:25" x14ac:dyDescent="0.25">
      <c r="A2130" s="1218" t="s">
        <v>160</v>
      </c>
      <c r="B2130" s="98">
        <v>45778</v>
      </c>
      <c r="C2130" s="117" t="str">
        <f t="shared" si="479"/>
        <v>6L</v>
      </c>
      <c r="F2130" s="99">
        <f t="shared" si="492"/>
        <v>0</v>
      </c>
      <c r="I2130" s="99">
        <f t="shared" si="491"/>
        <v>0</v>
      </c>
      <c r="L2130" s="99">
        <f t="shared" si="477"/>
        <v>0</v>
      </c>
      <c r="M2130" s="44" t="str">
        <f t="shared" si="480"/>
        <v/>
      </c>
      <c r="N2130" s="100">
        <f t="shared" si="481"/>
        <v>0</v>
      </c>
      <c r="O2130" s="101">
        <f t="shared" si="482"/>
        <v>0</v>
      </c>
      <c r="P2130" s="52">
        <f t="shared" si="483"/>
        <v>0</v>
      </c>
      <c r="Q2130" s="49">
        <v>116.88487613461319</v>
      </c>
      <c r="R2130">
        <v>2225</v>
      </c>
      <c r="S2130" s="50">
        <f t="shared" si="478"/>
        <v>71535.307499999995</v>
      </c>
      <c r="T2130" s="50">
        <f t="shared" si="484"/>
        <v>0</v>
      </c>
      <c r="U2130" s="58">
        <f t="shared" si="485"/>
        <v>0</v>
      </c>
      <c r="V2130" s="58">
        <f t="shared" si="486"/>
        <v>0</v>
      </c>
      <c r="W2130" s="58">
        <f t="shared" si="487"/>
        <v>0</v>
      </c>
      <c r="X2130" s="58">
        <f t="shared" si="488"/>
        <v>0</v>
      </c>
      <c r="Y2130" s="52">
        <f t="shared" si="489"/>
        <v>0</v>
      </c>
    </row>
    <row r="2131" spans="1:25" x14ac:dyDescent="0.25">
      <c r="A2131" s="1218" t="s">
        <v>161</v>
      </c>
      <c r="B2131" s="98">
        <v>45778</v>
      </c>
      <c r="C2131" s="117" t="str">
        <f t="shared" si="479"/>
        <v>6L</v>
      </c>
      <c r="F2131" s="99">
        <f t="shared" si="492"/>
        <v>0</v>
      </c>
      <c r="G2131">
        <v>2030</v>
      </c>
      <c r="H2131">
        <v>2.84</v>
      </c>
      <c r="I2131" s="99">
        <f t="shared" si="491"/>
        <v>5.7652000000000001</v>
      </c>
      <c r="L2131" s="99">
        <f t="shared" si="477"/>
        <v>0</v>
      </c>
      <c r="M2131" s="44">
        <f t="shared" si="480"/>
        <v>-1</v>
      </c>
      <c r="N2131" s="100">
        <f t="shared" si="481"/>
        <v>-2030</v>
      </c>
      <c r="O2131" s="101">
        <f t="shared" si="482"/>
        <v>-5.7652000000000001</v>
      </c>
      <c r="P2131" s="52">
        <f t="shared" si="483"/>
        <v>0</v>
      </c>
      <c r="Q2131" s="49">
        <v>116.88487613461319</v>
      </c>
      <c r="R2131">
        <v>2225</v>
      </c>
      <c r="S2131" s="50">
        <f t="shared" si="478"/>
        <v>71535.307499999995</v>
      </c>
      <c r="T2131" s="50">
        <f t="shared" si="484"/>
        <v>412415.35479899996</v>
      </c>
      <c r="U2131" s="58">
        <f t="shared" si="485"/>
        <v>0</v>
      </c>
      <c r="V2131" s="58">
        <f t="shared" si="486"/>
        <v>237276.29855326479</v>
      </c>
      <c r="W2131" s="58">
        <f t="shared" si="487"/>
        <v>0</v>
      </c>
      <c r="X2131" s="58">
        <f t="shared" si="488"/>
        <v>175139.05624573518</v>
      </c>
      <c r="Y2131" s="52">
        <f t="shared" si="489"/>
        <v>0</v>
      </c>
    </row>
    <row r="2132" spans="1:25" x14ac:dyDescent="0.25">
      <c r="A2132" s="1218" t="s">
        <v>162</v>
      </c>
      <c r="B2132" s="98">
        <v>45778</v>
      </c>
      <c r="C2132" s="117" t="str">
        <f t="shared" ref="C2132:C2195" si="493">LEFT(A2132,2)</f>
        <v>6L</v>
      </c>
      <c r="F2132" s="99">
        <f t="shared" si="492"/>
        <v>0</v>
      </c>
      <c r="G2132">
        <v>2030</v>
      </c>
      <c r="H2132">
        <v>2.2000000000000002</v>
      </c>
      <c r="I2132" s="99">
        <f t="shared" si="491"/>
        <v>4.4660000000000002</v>
      </c>
      <c r="L2132" s="99">
        <f t="shared" si="477"/>
        <v>0</v>
      </c>
      <c r="M2132" s="44">
        <f t="shared" si="480"/>
        <v>-1</v>
      </c>
      <c r="N2132" s="100">
        <f t="shared" si="481"/>
        <v>-2030</v>
      </c>
      <c r="O2132" s="101">
        <f t="shared" si="482"/>
        <v>-4.4660000000000002</v>
      </c>
      <c r="P2132" s="52">
        <f t="shared" si="483"/>
        <v>0</v>
      </c>
      <c r="Q2132" s="49">
        <v>116.88487613461319</v>
      </c>
      <c r="R2132">
        <v>2225</v>
      </c>
      <c r="S2132" s="50">
        <f t="shared" si="478"/>
        <v>71535.307499999995</v>
      </c>
      <c r="T2132" s="50">
        <f t="shared" si="484"/>
        <v>319476.683295</v>
      </c>
      <c r="U2132" s="58">
        <f t="shared" si="485"/>
        <v>0</v>
      </c>
      <c r="V2132" s="58">
        <f t="shared" si="486"/>
        <v>237276.29855326479</v>
      </c>
      <c r="W2132" s="58">
        <f t="shared" si="487"/>
        <v>0</v>
      </c>
      <c r="X2132" s="58">
        <f t="shared" si="488"/>
        <v>82200.384741735208</v>
      </c>
      <c r="Y2132" s="52">
        <f t="shared" si="489"/>
        <v>0</v>
      </c>
    </row>
    <row r="2133" spans="1:25" x14ac:dyDescent="0.25">
      <c r="A2133" s="1218" t="s">
        <v>163</v>
      </c>
      <c r="B2133" s="98">
        <v>45778</v>
      </c>
      <c r="C2133" s="117" t="str">
        <f t="shared" si="493"/>
        <v>6L</v>
      </c>
      <c r="F2133" s="99">
        <f t="shared" si="492"/>
        <v>0</v>
      </c>
      <c r="I2133" s="99">
        <f t="shared" si="491"/>
        <v>0</v>
      </c>
      <c r="L2133" s="99">
        <f t="shared" si="477"/>
        <v>0</v>
      </c>
      <c r="M2133" s="44" t="str">
        <f t="shared" si="480"/>
        <v/>
      </c>
      <c r="N2133" s="100">
        <f t="shared" si="481"/>
        <v>0</v>
      </c>
      <c r="O2133" s="101">
        <f t="shared" si="482"/>
        <v>0</v>
      </c>
      <c r="P2133" s="52">
        <f t="shared" si="483"/>
        <v>0</v>
      </c>
      <c r="Q2133" s="49">
        <v>116.88487613461319</v>
      </c>
      <c r="R2133">
        <v>2225</v>
      </c>
      <c r="S2133" s="50">
        <f t="shared" si="478"/>
        <v>71535.307499999995</v>
      </c>
      <c r="T2133" s="50">
        <f t="shared" si="484"/>
        <v>0</v>
      </c>
      <c r="U2133" s="58">
        <f t="shared" si="485"/>
        <v>0</v>
      </c>
      <c r="V2133" s="58">
        <f t="shared" si="486"/>
        <v>0</v>
      </c>
      <c r="W2133" s="58">
        <f t="shared" si="487"/>
        <v>0</v>
      </c>
      <c r="X2133" s="58">
        <f t="shared" si="488"/>
        <v>0</v>
      </c>
      <c r="Y2133" s="52">
        <f t="shared" si="489"/>
        <v>0</v>
      </c>
    </row>
    <row r="2134" spans="1:25" x14ac:dyDescent="0.25">
      <c r="A2134" s="1218" t="s">
        <v>164</v>
      </c>
      <c r="B2134" s="98">
        <v>45778</v>
      </c>
      <c r="C2134" s="117" t="str">
        <f t="shared" si="493"/>
        <v>6L</v>
      </c>
      <c r="F2134" s="99">
        <f t="shared" si="492"/>
        <v>0</v>
      </c>
      <c r="I2134" s="99">
        <f t="shared" si="491"/>
        <v>0</v>
      </c>
      <c r="L2134" s="99">
        <f t="shared" si="477"/>
        <v>0</v>
      </c>
      <c r="M2134" s="44" t="str">
        <f t="shared" si="480"/>
        <v/>
      </c>
      <c r="N2134" s="100">
        <f t="shared" si="481"/>
        <v>0</v>
      </c>
      <c r="O2134" s="101">
        <f t="shared" si="482"/>
        <v>0</v>
      </c>
      <c r="P2134" s="52">
        <f t="shared" si="483"/>
        <v>0</v>
      </c>
      <c r="Q2134" s="49">
        <v>116.88487613461319</v>
      </c>
      <c r="R2134">
        <v>2225</v>
      </c>
      <c r="S2134" s="50">
        <f t="shared" si="478"/>
        <v>71535.307499999995</v>
      </c>
      <c r="T2134" s="50">
        <f t="shared" si="484"/>
        <v>0</v>
      </c>
      <c r="U2134" s="58">
        <f t="shared" si="485"/>
        <v>0</v>
      </c>
      <c r="V2134" s="58">
        <f t="shared" si="486"/>
        <v>0</v>
      </c>
      <c r="W2134" s="58">
        <f t="shared" si="487"/>
        <v>0</v>
      </c>
      <c r="X2134" s="58">
        <f t="shared" si="488"/>
        <v>0</v>
      </c>
      <c r="Y2134" s="52">
        <f t="shared" si="489"/>
        <v>0</v>
      </c>
    </row>
    <row r="2135" spans="1:25" x14ac:dyDescent="0.25">
      <c r="A2135" s="1218" t="s">
        <v>165</v>
      </c>
      <c r="B2135" s="98">
        <v>45778</v>
      </c>
      <c r="C2135" s="117" t="str">
        <f t="shared" si="493"/>
        <v>6L</v>
      </c>
      <c r="D2135">
        <v>1202</v>
      </c>
      <c r="E2135">
        <v>2.84</v>
      </c>
      <c r="F2135" s="99">
        <f t="shared" si="492"/>
        <v>3.4136799999999998</v>
      </c>
      <c r="I2135" s="99">
        <f t="shared" si="491"/>
        <v>0</v>
      </c>
      <c r="L2135" s="99">
        <f t="shared" si="477"/>
        <v>0</v>
      </c>
      <c r="M2135" s="44" t="str">
        <f t="shared" si="480"/>
        <v/>
      </c>
      <c r="N2135" s="100">
        <f t="shared" si="481"/>
        <v>0</v>
      </c>
      <c r="O2135" s="101">
        <f t="shared" si="482"/>
        <v>0</v>
      </c>
      <c r="P2135" s="52">
        <f t="shared" si="483"/>
        <v>0</v>
      </c>
      <c r="Q2135" s="49">
        <v>116.88487613461319</v>
      </c>
      <c r="R2135">
        <v>2225</v>
      </c>
      <c r="S2135" s="50">
        <f t="shared" si="478"/>
        <v>71535.307499999995</v>
      </c>
      <c r="T2135" s="50">
        <f t="shared" si="484"/>
        <v>0</v>
      </c>
      <c r="U2135" s="58">
        <f t="shared" si="485"/>
        <v>0</v>
      </c>
      <c r="V2135" s="58">
        <f t="shared" si="486"/>
        <v>0</v>
      </c>
      <c r="W2135" s="58">
        <f t="shared" si="487"/>
        <v>0</v>
      </c>
      <c r="X2135" s="58">
        <f t="shared" si="488"/>
        <v>0</v>
      </c>
      <c r="Y2135" s="52">
        <f t="shared" si="489"/>
        <v>0</v>
      </c>
    </row>
    <row r="2136" spans="1:25" x14ac:dyDescent="0.25">
      <c r="A2136" s="1218" t="s">
        <v>166</v>
      </c>
      <c r="B2136" s="98">
        <v>45778</v>
      </c>
      <c r="C2136" s="117" t="str">
        <f t="shared" si="493"/>
        <v>6L</v>
      </c>
      <c r="F2136" s="99">
        <f t="shared" si="492"/>
        <v>0</v>
      </c>
      <c r="I2136" s="99">
        <f t="shared" si="491"/>
        <v>0</v>
      </c>
      <c r="L2136" s="99">
        <f t="shared" si="477"/>
        <v>0</v>
      </c>
      <c r="M2136" s="44" t="str">
        <f t="shared" si="480"/>
        <v/>
      </c>
      <c r="N2136" s="100">
        <f t="shared" si="481"/>
        <v>0</v>
      </c>
      <c r="O2136" s="101">
        <f t="shared" si="482"/>
        <v>0</v>
      </c>
      <c r="P2136" s="52">
        <f t="shared" si="483"/>
        <v>0</v>
      </c>
      <c r="Q2136" s="49">
        <v>116.88487613461319</v>
      </c>
      <c r="R2136">
        <v>2225</v>
      </c>
      <c r="S2136" s="50">
        <f t="shared" si="478"/>
        <v>71535.307499999995</v>
      </c>
      <c r="T2136" s="50">
        <f t="shared" si="484"/>
        <v>0</v>
      </c>
      <c r="U2136" s="58">
        <f t="shared" si="485"/>
        <v>0</v>
      </c>
      <c r="V2136" s="58">
        <f t="shared" si="486"/>
        <v>0</v>
      </c>
      <c r="W2136" s="58">
        <f t="shared" si="487"/>
        <v>0</v>
      </c>
      <c r="X2136" s="58">
        <f t="shared" si="488"/>
        <v>0</v>
      </c>
      <c r="Y2136" s="52">
        <f t="shared" si="489"/>
        <v>0</v>
      </c>
    </row>
    <row r="2137" spans="1:25" x14ac:dyDescent="0.25">
      <c r="A2137" s="1218" t="s">
        <v>167</v>
      </c>
      <c r="B2137" s="98">
        <v>45778</v>
      </c>
      <c r="C2137" s="117" t="str">
        <f t="shared" si="493"/>
        <v>6L</v>
      </c>
      <c r="D2137" s="118">
        <v>18</v>
      </c>
      <c r="E2137">
        <v>3.97</v>
      </c>
      <c r="F2137" s="99">
        <f t="shared" si="492"/>
        <v>7.146000000000001E-2</v>
      </c>
      <c r="I2137" s="99">
        <f t="shared" si="491"/>
        <v>0</v>
      </c>
      <c r="L2137" s="99">
        <f t="shared" ref="L2137:L2198" si="494">IFERROR(J2137*K2137/1000,"")</f>
        <v>0</v>
      </c>
      <c r="M2137" s="44" t="str">
        <f t="shared" si="480"/>
        <v/>
      </c>
      <c r="N2137" s="100">
        <f t="shared" si="481"/>
        <v>0</v>
      </c>
      <c r="O2137" s="101">
        <f t="shared" si="482"/>
        <v>0</v>
      </c>
      <c r="P2137" s="52">
        <f t="shared" si="483"/>
        <v>0</v>
      </c>
      <c r="Q2137" s="49">
        <v>116.88487613461319</v>
      </c>
      <c r="R2137">
        <v>2225</v>
      </c>
      <c r="S2137" s="50">
        <f t="shared" ref="S2137:S2198" si="495">R2137*32.1507</f>
        <v>71535.307499999995</v>
      </c>
      <c r="T2137" s="50">
        <f t="shared" si="484"/>
        <v>0</v>
      </c>
      <c r="U2137" s="58">
        <f t="shared" si="485"/>
        <v>0</v>
      </c>
      <c r="V2137" s="58">
        <f t="shared" si="486"/>
        <v>0</v>
      </c>
      <c r="W2137" s="58">
        <f t="shared" si="487"/>
        <v>0</v>
      </c>
      <c r="X2137" s="58">
        <f t="shared" si="488"/>
        <v>0</v>
      </c>
      <c r="Y2137" s="52">
        <f t="shared" si="489"/>
        <v>0</v>
      </c>
    </row>
    <row r="2138" spans="1:25" x14ac:dyDescent="0.25">
      <c r="A2138" s="1218" t="s">
        <v>168</v>
      </c>
      <c r="B2138" s="98">
        <v>45778</v>
      </c>
      <c r="C2138" s="117" t="str">
        <f t="shared" si="493"/>
        <v>6L</v>
      </c>
      <c r="F2138" s="99">
        <f t="shared" si="492"/>
        <v>0</v>
      </c>
      <c r="I2138" s="99">
        <f t="shared" si="491"/>
        <v>0</v>
      </c>
      <c r="L2138" s="99">
        <f t="shared" si="494"/>
        <v>0</v>
      </c>
      <c r="M2138" s="44" t="str">
        <f t="shared" si="480"/>
        <v/>
      </c>
      <c r="N2138" s="100">
        <f t="shared" si="481"/>
        <v>0</v>
      </c>
      <c r="O2138" s="101">
        <f t="shared" si="482"/>
        <v>0</v>
      </c>
      <c r="P2138" s="52">
        <f t="shared" si="483"/>
        <v>0</v>
      </c>
      <c r="Q2138" s="49">
        <v>116.88487613461319</v>
      </c>
      <c r="R2138">
        <v>2225</v>
      </c>
      <c r="S2138" s="50">
        <f t="shared" si="495"/>
        <v>71535.307499999995</v>
      </c>
      <c r="T2138" s="50">
        <f t="shared" si="484"/>
        <v>0</v>
      </c>
      <c r="U2138" s="58">
        <f t="shared" si="485"/>
        <v>0</v>
      </c>
      <c r="V2138" s="58">
        <f t="shared" si="486"/>
        <v>0</v>
      </c>
      <c r="W2138" s="58">
        <f t="shared" si="487"/>
        <v>0</v>
      </c>
      <c r="X2138" s="58">
        <f t="shared" si="488"/>
        <v>0</v>
      </c>
      <c r="Y2138" s="52">
        <f t="shared" si="489"/>
        <v>0</v>
      </c>
    </row>
    <row r="2139" spans="1:25" x14ac:dyDescent="0.25">
      <c r="A2139" s="1218" t="s">
        <v>169</v>
      </c>
      <c r="B2139" s="98">
        <v>45778</v>
      </c>
      <c r="C2139" s="117" t="str">
        <f t="shared" si="493"/>
        <v>6L</v>
      </c>
      <c r="F2139" s="99">
        <f t="shared" si="492"/>
        <v>0</v>
      </c>
      <c r="I2139" s="99">
        <f t="shared" si="491"/>
        <v>0</v>
      </c>
      <c r="L2139" s="99">
        <f t="shared" si="494"/>
        <v>0</v>
      </c>
      <c r="M2139" s="44" t="str">
        <f t="shared" ref="M2139:M2200" si="496">IFERROR((L2139-I2139)/I2139,"")</f>
        <v/>
      </c>
      <c r="N2139" s="100">
        <f t="shared" ref="N2139:N2200" si="497">J2139-G2139</f>
        <v>0</v>
      </c>
      <c r="O2139" s="101">
        <f t="shared" ref="O2139:O2200" si="498">L2139-I2139</f>
        <v>0</v>
      </c>
      <c r="P2139" s="52">
        <f t="shared" ref="P2139:P2200" si="499">U2139-W2139</f>
        <v>0</v>
      </c>
      <c r="Q2139" s="49">
        <v>116.88487613461319</v>
      </c>
      <c r="R2139">
        <v>2225</v>
      </c>
      <c r="S2139" s="50">
        <f t="shared" si="495"/>
        <v>71535.307499999995</v>
      </c>
      <c r="T2139" s="50">
        <f t="shared" ref="T2139:T2200" si="500">IFERROR(S2139*I2139,"")</f>
        <v>0</v>
      </c>
      <c r="U2139" s="58">
        <f t="shared" ref="U2139:U2200" si="501">IFERROR(S2139*L2139,"")</f>
        <v>0</v>
      </c>
      <c r="V2139" s="58">
        <f t="shared" ref="V2139:V2200" si="502">IFERROR(Q2139*G2139,"")</f>
        <v>0</v>
      </c>
      <c r="W2139" s="58">
        <f t="shared" ref="W2139:W2200" si="503">IFERROR(Q2139*J2139,"")</f>
        <v>0</v>
      </c>
      <c r="X2139" s="58">
        <f t="shared" ref="X2139:X2200" si="504">T2139-V2139</f>
        <v>0</v>
      </c>
      <c r="Y2139" s="52">
        <f t="shared" ref="Y2139:Y2200" si="505">U2139-W2139</f>
        <v>0</v>
      </c>
    </row>
    <row r="2140" spans="1:25" x14ac:dyDescent="0.25">
      <c r="A2140" s="1218" t="s">
        <v>170</v>
      </c>
      <c r="B2140" s="98">
        <v>45778</v>
      </c>
      <c r="C2140" s="117" t="str">
        <f t="shared" si="493"/>
        <v>6L</v>
      </c>
      <c r="F2140" s="99">
        <f t="shared" si="492"/>
        <v>0</v>
      </c>
      <c r="I2140" s="99">
        <f t="shared" si="491"/>
        <v>0</v>
      </c>
      <c r="L2140" s="99">
        <f t="shared" si="494"/>
        <v>0</v>
      </c>
      <c r="M2140" s="44" t="str">
        <f t="shared" si="496"/>
        <v/>
      </c>
      <c r="N2140" s="100">
        <f t="shared" si="497"/>
        <v>0</v>
      </c>
      <c r="O2140" s="101">
        <f t="shared" si="498"/>
        <v>0</v>
      </c>
      <c r="P2140" s="52">
        <f t="shared" si="499"/>
        <v>0</v>
      </c>
      <c r="Q2140" s="49">
        <v>116.88487613461319</v>
      </c>
      <c r="R2140">
        <v>2225</v>
      </c>
      <c r="S2140" s="50">
        <f t="shared" si="495"/>
        <v>71535.307499999995</v>
      </c>
      <c r="T2140" s="50">
        <f t="shared" si="500"/>
        <v>0</v>
      </c>
      <c r="U2140" s="58">
        <f t="shared" si="501"/>
        <v>0</v>
      </c>
      <c r="V2140" s="58">
        <f t="shared" si="502"/>
        <v>0</v>
      </c>
      <c r="W2140" s="58">
        <f t="shared" si="503"/>
        <v>0</v>
      </c>
      <c r="X2140" s="58">
        <f t="shared" si="504"/>
        <v>0</v>
      </c>
      <c r="Y2140" s="52">
        <f t="shared" si="505"/>
        <v>0</v>
      </c>
    </row>
    <row r="2141" spans="1:25" x14ac:dyDescent="0.25">
      <c r="A2141" s="1218" t="s">
        <v>171</v>
      </c>
      <c r="B2141" s="98">
        <v>45778</v>
      </c>
      <c r="C2141" s="117" t="str">
        <f t="shared" si="493"/>
        <v>6L</v>
      </c>
      <c r="F2141" s="99">
        <f t="shared" si="492"/>
        <v>0</v>
      </c>
      <c r="I2141" s="99">
        <f t="shared" si="491"/>
        <v>0</v>
      </c>
      <c r="L2141" s="99">
        <f t="shared" si="494"/>
        <v>0</v>
      </c>
      <c r="M2141" s="44" t="str">
        <f t="shared" si="496"/>
        <v/>
      </c>
      <c r="N2141" s="100">
        <f t="shared" si="497"/>
        <v>0</v>
      </c>
      <c r="O2141" s="101">
        <f t="shared" si="498"/>
        <v>0</v>
      </c>
      <c r="P2141" s="52">
        <f t="shared" si="499"/>
        <v>0</v>
      </c>
      <c r="Q2141" s="49">
        <v>116.88487613461319</v>
      </c>
      <c r="R2141">
        <v>2225</v>
      </c>
      <c r="S2141" s="50">
        <f t="shared" si="495"/>
        <v>71535.307499999995</v>
      </c>
      <c r="T2141" s="50">
        <f t="shared" si="500"/>
        <v>0</v>
      </c>
      <c r="U2141" s="58">
        <f t="shared" si="501"/>
        <v>0</v>
      </c>
      <c r="V2141" s="58">
        <f t="shared" si="502"/>
        <v>0</v>
      </c>
      <c r="W2141" s="58">
        <f t="shared" si="503"/>
        <v>0</v>
      </c>
      <c r="X2141" s="58">
        <f t="shared" si="504"/>
        <v>0</v>
      </c>
      <c r="Y2141" s="52">
        <f t="shared" si="505"/>
        <v>0</v>
      </c>
    </row>
    <row r="2142" spans="1:25" x14ac:dyDescent="0.25">
      <c r="A2142" s="1218" t="s">
        <v>172</v>
      </c>
      <c r="B2142" s="98">
        <v>45778</v>
      </c>
      <c r="C2142" s="117" t="str">
        <f t="shared" si="493"/>
        <v>6L</v>
      </c>
      <c r="F2142" s="99">
        <f t="shared" si="492"/>
        <v>0</v>
      </c>
      <c r="I2142" s="99">
        <f t="shared" si="491"/>
        <v>0</v>
      </c>
      <c r="L2142" s="99">
        <f t="shared" si="494"/>
        <v>0</v>
      </c>
      <c r="M2142" s="44" t="str">
        <f t="shared" si="496"/>
        <v/>
      </c>
      <c r="N2142" s="100">
        <f t="shared" si="497"/>
        <v>0</v>
      </c>
      <c r="O2142" s="101">
        <f t="shared" si="498"/>
        <v>0</v>
      </c>
      <c r="P2142" s="52">
        <f t="shared" si="499"/>
        <v>0</v>
      </c>
      <c r="Q2142" s="49">
        <v>116.88487613461319</v>
      </c>
      <c r="R2142">
        <v>2225</v>
      </c>
      <c r="S2142" s="50">
        <f t="shared" si="495"/>
        <v>71535.307499999995</v>
      </c>
      <c r="T2142" s="50">
        <f t="shared" si="500"/>
        <v>0</v>
      </c>
      <c r="U2142" s="58">
        <f t="shared" si="501"/>
        <v>0</v>
      </c>
      <c r="V2142" s="58">
        <f t="shared" si="502"/>
        <v>0</v>
      </c>
      <c r="W2142" s="58">
        <f t="shared" si="503"/>
        <v>0</v>
      </c>
      <c r="X2142" s="58">
        <f t="shared" si="504"/>
        <v>0</v>
      </c>
      <c r="Y2142" s="52">
        <f t="shared" si="505"/>
        <v>0</v>
      </c>
    </row>
    <row r="2143" spans="1:25" x14ac:dyDescent="0.25">
      <c r="A2143" s="1218" t="s">
        <v>173</v>
      </c>
      <c r="B2143" s="98">
        <v>45778</v>
      </c>
      <c r="C2143" s="117" t="str">
        <f t="shared" si="493"/>
        <v>6L</v>
      </c>
      <c r="F2143" s="99">
        <f t="shared" si="492"/>
        <v>0</v>
      </c>
      <c r="I2143" s="99">
        <f t="shared" si="491"/>
        <v>0</v>
      </c>
      <c r="L2143" s="99">
        <f t="shared" si="494"/>
        <v>0</v>
      </c>
      <c r="M2143" s="44" t="str">
        <f t="shared" si="496"/>
        <v/>
      </c>
      <c r="N2143" s="100">
        <f t="shared" si="497"/>
        <v>0</v>
      </c>
      <c r="O2143" s="101">
        <f t="shared" si="498"/>
        <v>0</v>
      </c>
      <c r="P2143" s="52">
        <f t="shared" si="499"/>
        <v>0</v>
      </c>
      <c r="Q2143" s="49">
        <v>116.88487613461319</v>
      </c>
      <c r="R2143">
        <v>2225</v>
      </c>
      <c r="S2143" s="50">
        <f t="shared" si="495"/>
        <v>71535.307499999995</v>
      </c>
      <c r="T2143" s="50">
        <f t="shared" si="500"/>
        <v>0</v>
      </c>
      <c r="U2143" s="58">
        <f t="shared" si="501"/>
        <v>0</v>
      </c>
      <c r="V2143" s="58">
        <f t="shared" si="502"/>
        <v>0</v>
      </c>
      <c r="W2143" s="58">
        <f t="shared" si="503"/>
        <v>0</v>
      </c>
      <c r="X2143" s="58">
        <f t="shared" si="504"/>
        <v>0</v>
      </c>
      <c r="Y2143" s="52">
        <f t="shared" si="505"/>
        <v>0</v>
      </c>
    </row>
    <row r="2144" spans="1:25" x14ac:dyDescent="0.25">
      <c r="A2144" s="1218" t="s">
        <v>174</v>
      </c>
      <c r="B2144" s="98">
        <v>45778</v>
      </c>
      <c r="C2144" s="117" t="str">
        <f t="shared" si="493"/>
        <v>6L</v>
      </c>
      <c r="F2144" s="99">
        <f t="shared" si="492"/>
        <v>0</v>
      </c>
      <c r="I2144" s="99">
        <f t="shared" si="491"/>
        <v>0</v>
      </c>
      <c r="L2144" s="99">
        <f t="shared" si="494"/>
        <v>0</v>
      </c>
      <c r="M2144" s="44" t="str">
        <f t="shared" si="496"/>
        <v/>
      </c>
      <c r="N2144" s="100">
        <f t="shared" si="497"/>
        <v>0</v>
      </c>
      <c r="O2144" s="101">
        <f t="shared" si="498"/>
        <v>0</v>
      </c>
      <c r="P2144" s="52">
        <f t="shared" si="499"/>
        <v>0</v>
      </c>
      <c r="Q2144" s="49">
        <v>116.88487613461319</v>
      </c>
      <c r="R2144">
        <v>2225</v>
      </c>
      <c r="S2144" s="50">
        <f t="shared" si="495"/>
        <v>71535.307499999995</v>
      </c>
      <c r="T2144" s="50">
        <f t="shared" si="500"/>
        <v>0</v>
      </c>
      <c r="U2144" s="58">
        <f t="shared" si="501"/>
        <v>0</v>
      </c>
      <c r="V2144" s="58">
        <f t="shared" si="502"/>
        <v>0</v>
      </c>
      <c r="W2144" s="58">
        <f t="shared" si="503"/>
        <v>0</v>
      </c>
      <c r="X2144" s="58">
        <f t="shared" si="504"/>
        <v>0</v>
      </c>
      <c r="Y2144" s="52">
        <f t="shared" si="505"/>
        <v>0</v>
      </c>
    </row>
    <row r="2145" spans="1:25" x14ac:dyDescent="0.25">
      <c r="A2145" s="1218" t="s">
        <v>175</v>
      </c>
      <c r="B2145" s="98">
        <v>45778</v>
      </c>
      <c r="C2145" s="117" t="str">
        <f t="shared" si="493"/>
        <v>6L</v>
      </c>
      <c r="D2145" s="118">
        <v>1211</v>
      </c>
      <c r="E2145">
        <v>1.64</v>
      </c>
      <c r="F2145" s="99">
        <f t="shared" si="492"/>
        <v>1.98604</v>
      </c>
      <c r="I2145" s="99">
        <f t="shared" si="491"/>
        <v>0</v>
      </c>
      <c r="L2145" s="99">
        <f t="shared" si="494"/>
        <v>0</v>
      </c>
      <c r="M2145" s="44" t="str">
        <f t="shared" si="496"/>
        <v/>
      </c>
      <c r="N2145" s="100">
        <f t="shared" si="497"/>
        <v>0</v>
      </c>
      <c r="O2145" s="101">
        <f t="shared" si="498"/>
        <v>0</v>
      </c>
      <c r="P2145" s="52">
        <f t="shared" si="499"/>
        <v>0</v>
      </c>
      <c r="Q2145" s="49">
        <v>116.88487613461319</v>
      </c>
      <c r="R2145">
        <v>2225</v>
      </c>
      <c r="S2145" s="50">
        <f t="shared" si="495"/>
        <v>71535.307499999995</v>
      </c>
      <c r="T2145" s="50">
        <f t="shared" si="500"/>
        <v>0</v>
      </c>
      <c r="U2145" s="58">
        <f t="shared" si="501"/>
        <v>0</v>
      </c>
      <c r="V2145" s="58">
        <f t="shared" si="502"/>
        <v>0</v>
      </c>
      <c r="W2145" s="58">
        <f t="shared" si="503"/>
        <v>0</v>
      </c>
      <c r="X2145" s="58">
        <f t="shared" si="504"/>
        <v>0</v>
      </c>
      <c r="Y2145" s="52">
        <f t="shared" si="505"/>
        <v>0</v>
      </c>
    </row>
    <row r="2146" spans="1:25" x14ac:dyDescent="0.25">
      <c r="A2146" s="1218" t="s">
        <v>176</v>
      </c>
      <c r="B2146" s="98">
        <v>45778</v>
      </c>
      <c r="C2146" s="117" t="str">
        <f t="shared" si="493"/>
        <v>6L</v>
      </c>
      <c r="F2146" s="99">
        <f t="shared" si="492"/>
        <v>0</v>
      </c>
      <c r="I2146" s="99">
        <f t="shared" si="491"/>
        <v>0</v>
      </c>
      <c r="L2146" s="99">
        <f t="shared" si="494"/>
        <v>0</v>
      </c>
      <c r="M2146" s="44" t="str">
        <f t="shared" si="496"/>
        <v/>
      </c>
      <c r="N2146" s="100">
        <f t="shared" si="497"/>
        <v>0</v>
      </c>
      <c r="O2146" s="101">
        <f t="shared" si="498"/>
        <v>0</v>
      </c>
      <c r="P2146" s="52">
        <f t="shared" si="499"/>
        <v>0</v>
      </c>
      <c r="Q2146" s="49">
        <v>116.88487613461319</v>
      </c>
      <c r="R2146">
        <v>2225</v>
      </c>
      <c r="S2146" s="50">
        <f t="shared" si="495"/>
        <v>71535.307499999995</v>
      </c>
      <c r="T2146" s="50">
        <f t="shared" si="500"/>
        <v>0</v>
      </c>
      <c r="U2146" s="58">
        <f t="shared" si="501"/>
        <v>0</v>
      </c>
      <c r="V2146" s="58">
        <f t="shared" si="502"/>
        <v>0</v>
      </c>
      <c r="W2146" s="58">
        <f t="shared" si="503"/>
        <v>0</v>
      </c>
      <c r="X2146" s="58">
        <f t="shared" si="504"/>
        <v>0</v>
      </c>
      <c r="Y2146" s="52">
        <f t="shared" si="505"/>
        <v>0</v>
      </c>
    </row>
    <row r="2147" spans="1:25" x14ac:dyDescent="0.25">
      <c r="A2147" s="1218" t="s">
        <v>177</v>
      </c>
      <c r="B2147" s="98">
        <v>45778</v>
      </c>
      <c r="C2147" s="117" t="str">
        <f t="shared" si="493"/>
        <v>6L</v>
      </c>
      <c r="F2147" s="99">
        <f t="shared" si="492"/>
        <v>0</v>
      </c>
      <c r="I2147" s="99">
        <f t="shared" si="491"/>
        <v>0</v>
      </c>
      <c r="L2147" s="99">
        <f t="shared" si="494"/>
        <v>0</v>
      </c>
      <c r="M2147" s="44" t="str">
        <f t="shared" si="496"/>
        <v/>
      </c>
      <c r="N2147" s="100">
        <f t="shared" si="497"/>
        <v>0</v>
      </c>
      <c r="O2147" s="101">
        <f t="shared" si="498"/>
        <v>0</v>
      </c>
      <c r="P2147" s="52">
        <f t="shared" si="499"/>
        <v>0</v>
      </c>
      <c r="Q2147" s="49">
        <v>116.88487613461319</v>
      </c>
      <c r="R2147">
        <v>2225</v>
      </c>
      <c r="S2147" s="50">
        <f t="shared" si="495"/>
        <v>71535.307499999995</v>
      </c>
      <c r="T2147" s="50">
        <f t="shared" si="500"/>
        <v>0</v>
      </c>
      <c r="U2147" s="58">
        <f t="shared" si="501"/>
        <v>0</v>
      </c>
      <c r="V2147" s="58">
        <f t="shared" si="502"/>
        <v>0</v>
      </c>
      <c r="W2147" s="58">
        <f t="shared" si="503"/>
        <v>0</v>
      </c>
      <c r="X2147" s="58">
        <f t="shared" si="504"/>
        <v>0</v>
      </c>
      <c r="Y2147" s="52">
        <f t="shared" si="505"/>
        <v>0</v>
      </c>
    </row>
    <row r="2148" spans="1:25" x14ac:dyDescent="0.25">
      <c r="A2148" s="1218" t="s">
        <v>178</v>
      </c>
      <c r="B2148" s="98">
        <v>45778</v>
      </c>
      <c r="C2148" s="117" t="str">
        <f t="shared" si="493"/>
        <v>7L</v>
      </c>
      <c r="F2148" s="99">
        <f t="shared" si="492"/>
        <v>0</v>
      </c>
      <c r="I2148" s="99">
        <f t="shared" si="491"/>
        <v>0</v>
      </c>
      <c r="L2148" s="99">
        <f t="shared" si="494"/>
        <v>0</v>
      </c>
      <c r="M2148" s="44" t="str">
        <f t="shared" si="496"/>
        <v/>
      </c>
      <c r="N2148" s="100">
        <f t="shared" si="497"/>
        <v>0</v>
      </c>
      <c r="O2148" s="101">
        <f t="shared" si="498"/>
        <v>0</v>
      </c>
      <c r="P2148" s="52">
        <f t="shared" si="499"/>
        <v>0</v>
      </c>
      <c r="Q2148" s="49">
        <v>116.88487613461319</v>
      </c>
      <c r="R2148">
        <v>2225</v>
      </c>
      <c r="S2148" s="50">
        <f t="shared" si="495"/>
        <v>71535.307499999995</v>
      </c>
      <c r="T2148" s="50">
        <f t="shared" si="500"/>
        <v>0</v>
      </c>
      <c r="U2148" s="58">
        <f t="shared" si="501"/>
        <v>0</v>
      </c>
      <c r="V2148" s="58">
        <f t="shared" si="502"/>
        <v>0</v>
      </c>
      <c r="W2148" s="58">
        <f t="shared" si="503"/>
        <v>0</v>
      </c>
      <c r="X2148" s="58">
        <f t="shared" si="504"/>
        <v>0</v>
      </c>
      <c r="Y2148" s="52">
        <f t="shared" si="505"/>
        <v>0</v>
      </c>
    </row>
    <row r="2149" spans="1:25" x14ac:dyDescent="0.25">
      <c r="A2149" s="1218" t="s">
        <v>179</v>
      </c>
      <c r="B2149" s="98">
        <v>45778</v>
      </c>
      <c r="C2149" s="117" t="str">
        <f t="shared" si="493"/>
        <v>7L</v>
      </c>
      <c r="F2149" s="99">
        <f t="shared" si="492"/>
        <v>0</v>
      </c>
      <c r="I2149" s="99">
        <f t="shared" si="491"/>
        <v>0</v>
      </c>
      <c r="L2149" s="99">
        <f t="shared" si="494"/>
        <v>0</v>
      </c>
      <c r="M2149" s="44" t="str">
        <f t="shared" si="496"/>
        <v/>
      </c>
      <c r="N2149" s="100">
        <f t="shared" si="497"/>
        <v>0</v>
      </c>
      <c r="O2149" s="101">
        <f t="shared" si="498"/>
        <v>0</v>
      </c>
      <c r="P2149" s="52">
        <f t="shared" si="499"/>
        <v>0</v>
      </c>
      <c r="Q2149" s="49">
        <v>116.88487613461319</v>
      </c>
      <c r="R2149">
        <v>2225</v>
      </c>
      <c r="S2149" s="50">
        <f t="shared" si="495"/>
        <v>71535.307499999995</v>
      </c>
      <c r="T2149" s="50">
        <f t="shared" si="500"/>
        <v>0</v>
      </c>
      <c r="U2149" s="58">
        <f t="shared" si="501"/>
        <v>0</v>
      </c>
      <c r="V2149" s="58">
        <f t="shared" si="502"/>
        <v>0</v>
      </c>
      <c r="W2149" s="58">
        <f t="shared" si="503"/>
        <v>0</v>
      </c>
      <c r="X2149" s="58">
        <f t="shared" si="504"/>
        <v>0</v>
      </c>
      <c r="Y2149" s="52">
        <f t="shared" si="505"/>
        <v>0</v>
      </c>
    </row>
    <row r="2150" spans="1:25" x14ac:dyDescent="0.25">
      <c r="A2150" s="1218" t="s">
        <v>180</v>
      </c>
      <c r="B2150" s="98">
        <v>45778</v>
      </c>
      <c r="C2150" s="117" t="str">
        <f t="shared" si="493"/>
        <v>7L</v>
      </c>
      <c r="F2150" s="99">
        <f t="shared" si="492"/>
        <v>0</v>
      </c>
      <c r="I2150" s="99">
        <f t="shared" si="491"/>
        <v>0</v>
      </c>
      <c r="L2150" s="99">
        <f t="shared" si="494"/>
        <v>0</v>
      </c>
      <c r="M2150" s="44" t="str">
        <f t="shared" si="496"/>
        <v/>
      </c>
      <c r="N2150" s="100">
        <f t="shared" si="497"/>
        <v>0</v>
      </c>
      <c r="O2150" s="101">
        <f t="shared" si="498"/>
        <v>0</v>
      </c>
      <c r="P2150" s="52">
        <f t="shared" si="499"/>
        <v>0</v>
      </c>
      <c r="Q2150" s="49">
        <v>116.88487613461319</v>
      </c>
      <c r="R2150">
        <v>2225</v>
      </c>
      <c r="S2150" s="50">
        <f t="shared" si="495"/>
        <v>71535.307499999995</v>
      </c>
      <c r="T2150" s="50">
        <f t="shared" si="500"/>
        <v>0</v>
      </c>
      <c r="U2150" s="58">
        <f t="shared" si="501"/>
        <v>0</v>
      </c>
      <c r="V2150" s="58">
        <f t="shared" si="502"/>
        <v>0</v>
      </c>
      <c r="W2150" s="58">
        <f t="shared" si="503"/>
        <v>0</v>
      </c>
      <c r="X2150" s="58">
        <f t="shared" si="504"/>
        <v>0</v>
      </c>
      <c r="Y2150" s="52">
        <f t="shared" si="505"/>
        <v>0</v>
      </c>
    </row>
    <row r="2151" spans="1:25" x14ac:dyDescent="0.25">
      <c r="A2151" s="1218" t="s">
        <v>181</v>
      </c>
      <c r="B2151" s="98">
        <v>45778</v>
      </c>
      <c r="C2151" s="117" t="str">
        <f t="shared" si="493"/>
        <v>7L</v>
      </c>
      <c r="F2151" s="99">
        <f t="shared" si="492"/>
        <v>0</v>
      </c>
      <c r="I2151" s="99">
        <f t="shared" si="491"/>
        <v>0</v>
      </c>
      <c r="L2151" s="99">
        <f t="shared" si="494"/>
        <v>0</v>
      </c>
      <c r="M2151" s="44" t="str">
        <f t="shared" si="496"/>
        <v/>
      </c>
      <c r="N2151" s="100">
        <f t="shared" si="497"/>
        <v>0</v>
      </c>
      <c r="O2151" s="101">
        <f t="shared" si="498"/>
        <v>0</v>
      </c>
      <c r="P2151" s="52">
        <f t="shared" si="499"/>
        <v>0</v>
      </c>
      <c r="Q2151" s="49">
        <v>116.88487613461319</v>
      </c>
      <c r="R2151">
        <v>2225</v>
      </c>
      <c r="S2151" s="50">
        <f t="shared" si="495"/>
        <v>71535.307499999995</v>
      </c>
      <c r="T2151" s="50">
        <f t="shared" si="500"/>
        <v>0</v>
      </c>
      <c r="U2151" s="58">
        <f t="shared" si="501"/>
        <v>0</v>
      </c>
      <c r="V2151" s="58">
        <f t="shared" si="502"/>
        <v>0</v>
      </c>
      <c r="W2151" s="58">
        <f t="shared" si="503"/>
        <v>0</v>
      </c>
      <c r="X2151" s="58">
        <f t="shared" si="504"/>
        <v>0</v>
      </c>
      <c r="Y2151" s="52">
        <f t="shared" si="505"/>
        <v>0</v>
      </c>
    </row>
    <row r="2152" spans="1:25" x14ac:dyDescent="0.25">
      <c r="A2152" s="1218" t="s">
        <v>182</v>
      </c>
      <c r="B2152" s="98">
        <v>45778</v>
      </c>
      <c r="C2152" s="117" t="str">
        <f t="shared" si="493"/>
        <v>7L</v>
      </c>
      <c r="F2152" s="99">
        <f t="shared" si="492"/>
        <v>0</v>
      </c>
      <c r="I2152" s="99">
        <f t="shared" si="491"/>
        <v>0</v>
      </c>
      <c r="L2152" s="99">
        <f t="shared" si="494"/>
        <v>0</v>
      </c>
      <c r="M2152" s="44" t="str">
        <f t="shared" si="496"/>
        <v/>
      </c>
      <c r="N2152" s="100">
        <f t="shared" si="497"/>
        <v>0</v>
      </c>
      <c r="O2152" s="101">
        <f t="shared" si="498"/>
        <v>0</v>
      </c>
      <c r="P2152" s="52">
        <f t="shared" si="499"/>
        <v>0</v>
      </c>
      <c r="Q2152" s="49">
        <v>116.88487613461319</v>
      </c>
      <c r="R2152">
        <v>2225</v>
      </c>
      <c r="S2152" s="50">
        <f t="shared" si="495"/>
        <v>71535.307499999995</v>
      </c>
      <c r="T2152" s="50">
        <f t="shared" si="500"/>
        <v>0</v>
      </c>
      <c r="U2152" s="58">
        <f t="shared" si="501"/>
        <v>0</v>
      </c>
      <c r="V2152" s="58">
        <f t="shared" si="502"/>
        <v>0</v>
      </c>
      <c r="W2152" s="58">
        <f t="shared" si="503"/>
        <v>0</v>
      </c>
      <c r="X2152" s="58">
        <f t="shared" si="504"/>
        <v>0</v>
      </c>
      <c r="Y2152" s="52">
        <f t="shared" si="505"/>
        <v>0</v>
      </c>
    </row>
    <row r="2153" spans="1:25" x14ac:dyDescent="0.25">
      <c r="A2153" s="1218" t="s">
        <v>183</v>
      </c>
      <c r="B2153" s="98">
        <v>45778</v>
      </c>
      <c r="C2153" s="117" t="str">
        <f t="shared" si="493"/>
        <v>7L</v>
      </c>
      <c r="F2153" s="99">
        <f t="shared" si="492"/>
        <v>0</v>
      </c>
      <c r="I2153" s="99">
        <f t="shared" si="491"/>
        <v>0</v>
      </c>
      <c r="L2153" s="99">
        <f t="shared" si="494"/>
        <v>0</v>
      </c>
      <c r="M2153" s="44" t="str">
        <f t="shared" si="496"/>
        <v/>
      </c>
      <c r="N2153" s="100">
        <f t="shared" si="497"/>
        <v>0</v>
      </c>
      <c r="O2153" s="101">
        <f t="shared" si="498"/>
        <v>0</v>
      </c>
      <c r="P2153" s="52">
        <f t="shared" si="499"/>
        <v>0</v>
      </c>
      <c r="Q2153" s="49">
        <v>116.88487613461319</v>
      </c>
      <c r="R2153">
        <v>2225</v>
      </c>
      <c r="S2153" s="50">
        <f t="shared" si="495"/>
        <v>71535.307499999995</v>
      </c>
      <c r="T2153" s="50">
        <f t="shared" si="500"/>
        <v>0</v>
      </c>
      <c r="U2153" s="58">
        <f t="shared" si="501"/>
        <v>0</v>
      </c>
      <c r="V2153" s="58">
        <f t="shared" si="502"/>
        <v>0</v>
      </c>
      <c r="W2153" s="58">
        <f t="shared" si="503"/>
        <v>0</v>
      </c>
      <c r="X2153" s="58">
        <f t="shared" si="504"/>
        <v>0</v>
      </c>
      <c r="Y2153" s="52">
        <f t="shared" si="505"/>
        <v>0</v>
      </c>
    </row>
    <row r="2154" spans="1:25" x14ac:dyDescent="0.25">
      <c r="A2154" s="1218" t="s">
        <v>184</v>
      </c>
      <c r="B2154" s="98">
        <v>45778</v>
      </c>
      <c r="C2154" s="117" t="str">
        <f t="shared" si="493"/>
        <v>7L</v>
      </c>
      <c r="F2154" s="99">
        <f t="shared" si="492"/>
        <v>0</v>
      </c>
      <c r="I2154" s="99">
        <f t="shared" si="491"/>
        <v>0</v>
      </c>
      <c r="L2154" s="99">
        <f t="shared" si="494"/>
        <v>0</v>
      </c>
      <c r="M2154" s="44" t="str">
        <f t="shared" si="496"/>
        <v/>
      </c>
      <c r="N2154" s="100">
        <f t="shared" si="497"/>
        <v>0</v>
      </c>
      <c r="O2154" s="101">
        <f t="shared" si="498"/>
        <v>0</v>
      </c>
      <c r="P2154" s="52">
        <f t="shared" si="499"/>
        <v>0</v>
      </c>
      <c r="Q2154" s="49">
        <v>116.88487613461319</v>
      </c>
      <c r="R2154">
        <v>2225</v>
      </c>
      <c r="S2154" s="50">
        <f t="shared" si="495"/>
        <v>71535.307499999995</v>
      </c>
      <c r="T2154" s="50">
        <f t="shared" si="500"/>
        <v>0</v>
      </c>
      <c r="U2154" s="58">
        <f t="shared" si="501"/>
        <v>0</v>
      </c>
      <c r="V2154" s="58">
        <f t="shared" si="502"/>
        <v>0</v>
      </c>
      <c r="W2154" s="58">
        <f t="shared" si="503"/>
        <v>0</v>
      </c>
      <c r="X2154" s="58">
        <f t="shared" si="504"/>
        <v>0</v>
      </c>
      <c r="Y2154" s="52">
        <f t="shared" si="505"/>
        <v>0</v>
      </c>
    </row>
    <row r="2155" spans="1:25" x14ac:dyDescent="0.25">
      <c r="A2155" s="1218" t="s">
        <v>185</v>
      </c>
      <c r="B2155" s="98">
        <v>45778</v>
      </c>
      <c r="C2155" s="117" t="str">
        <f t="shared" si="493"/>
        <v>7L</v>
      </c>
      <c r="F2155" s="99">
        <f t="shared" si="492"/>
        <v>0</v>
      </c>
      <c r="I2155" s="99">
        <f t="shared" si="491"/>
        <v>0</v>
      </c>
      <c r="L2155" s="99">
        <f t="shared" si="494"/>
        <v>0</v>
      </c>
      <c r="M2155" s="44" t="str">
        <f t="shared" si="496"/>
        <v/>
      </c>
      <c r="N2155" s="100">
        <f t="shared" si="497"/>
        <v>0</v>
      </c>
      <c r="O2155" s="101">
        <f t="shared" si="498"/>
        <v>0</v>
      </c>
      <c r="P2155" s="52">
        <f t="shared" si="499"/>
        <v>0</v>
      </c>
      <c r="Q2155" s="49">
        <v>116.88487613461319</v>
      </c>
      <c r="R2155">
        <v>2225</v>
      </c>
      <c r="S2155" s="50">
        <f t="shared" si="495"/>
        <v>71535.307499999995</v>
      </c>
      <c r="T2155" s="50">
        <f t="shared" si="500"/>
        <v>0</v>
      </c>
      <c r="U2155" s="58">
        <f t="shared" si="501"/>
        <v>0</v>
      </c>
      <c r="V2155" s="58">
        <f t="shared" si="502"/>
        <v>0</v>
      </c>
      <c r="W2155" s="58">
        <f t="shared" si="503"/>
        <v>0</v>
      </c>
      <c r="X2155" s="58">
        <f t="shared" si="504"/>
        <v>0</v>
      </c>
      <c r="Y2155" s="52">
        <f t="shared" si="505"/>
        <v>0</v>
      </c>
    </row>
    <row r="2156" spans="1:25" x14ac:dyDescent="0.25">
      <c r="A2156" s="1218" t="s">
        <v>186</v>
      </c>
      <c r="B2156" s="98">
        <v>45778</v>
      </c>
      <c r="C2156" s="117" t="str">
        <f t="shared" si="493"/>
        <v>7L</v>
      </c>
      <c r="F2156" s="99">
        <f t="shared" si="492"/>
        <v>0</v>
      </c>
      <c r="I2156" s="99">
        <f t="shared" si="491"/>
        <v>0</v>
      </c>
      <c r="L2156" s="99">
        <f t="shared" si="494"/>
        <v>0</v>
      </c>
      <c r="M2156" s="44" t="str">
        <f t="shared" si="496"/>
        <v/>
      </c>
      <c r="N2156" s="100">
        <f t="shared" si="497"/>
        <v>0</v>
      </c>
      <c r="O2156" s="101">
        <f t="shared" si="498"/>
        <v>0</v>
      </c>
      <c r="P2156" s="52">
        <f t="shared" si="499"/>
        <v>0</v>
      </c>
      <c r="Q2156" s="49">
        <v>116.88487613461319</v>
      </c>
      <c r="R2156">
        <v>2225</v>
      </c>
      <c r="S2156" s="50">
        <f t="shared" si="495"/>
        <v>71535.307499999995</v>
      </c>
      <c r="T2156" s="50">
        <f t="shared" si="500"/>
        <v>0</v>
      </c>
      <c r="U2156" s="58">
        <f t="shared" si="501"/>
        <v>0</v>
      </c>
      <c r="V2156" s="58">
        <f t="shared" si="502"/>
        <v>0</v>
      </c>
      <c r="W2156" s="58">
        <f t="shared" si="503"/>
        <v>0</v>
      </c>
      <c r="X2156" s="58">
        <f t="shared" si="504"/>
        <v>0</v>
      </c>
      <c r="Y2156" s="52">
        <f t="shared" si="505"/>
        <v>0</v>
      </c>
    </row>
    <row r="2157" spans="1:25" x14ac:dyDescent="0.25">
      <c r="A2157" s="1218" t="s">
        <v>187</v>
      </c>
      <c r="B2157" s="98">
        <v>45778</v>
      </c>
      <c r="C2157" s="117" t="str">
        <f t="shared" si="493"/>
        <v>7L</v>
      </c>
      <c r="F2157" s="99">
        <f t="shared" si="492"/>
        <v>0</v>
      </c>
      <c r="I2157" s="99">
        <f t="shared" si="491"/>
        <v>0</v>
      </c>
      <c r="L2157" s="99">
        <f t="shared" si="494"/>
        <v>0</v>
      </c>
      <c r="M2157" s="44" t="str">
        <f t="shared" si="496"/>
        <v/>
      </c>
      <c r="N2157" s="100">
        <f t="shared" si="497"/>
        <v>0</v>
      </c>
      <c r="O2157" s="101">
        <f t="shared" si="498"/>
        <v>0</v>
      </c>
      <c r="P2157" s="52">
        <f t="shared" si="499"/>
        <v>0</v>
      </c>
      <c r="Q2157" s="49">
        <v>116.88487613461319</v>
      </c>
      <c r="R2157">
        <v>2225</v>
      </c>
      <c r="S2157" s="50">
        <f t="shared" si="495"/>
        <v>71535.307499999995</v>
      </c>
      <c r="T2157" s="50">
        <f t="shared" si="500"/>
        <v>0</v>
      </c>
      <c r="U2157" s="58">
        <f t="shared" si="501"/>
        <v>0</v>
      </c>
      <c r="V2157" s="58">
        <f t="shared" si="502"/>
        <v>0</v>
      </c>
      <c r="W2157" s="58">
        <f t="shared" si="503"/>
        <v>0</v>
      </c>
      <c r="X2157" s="58">
        <f t="shared" si="504"/>
        <v>0</v>
      </c>
      <c r="Y2157" s="52">
        <f t="shared" si="505"/>
        <v>0</v>
      </c>
    </row>
    <row r="2158" spans="1:25" x14ac:dyDescent="0.25">
      <c r="A2158" s="1218" t="s">
        <v>188</v>
      </c>
      <c r="B2158" s="98">
        <v>45778</v>
      </c>
      <c r="C2158" s="117" t="str">
        <f t="shared" si="493"/>
        <v>7L</v>
      </c>
      <c r="F2158" s="99">
        <f t="shared" si="492"/>
        <v>0</v>
      </c>
      <c r="I2158" s="99">
        <f t="shared" si="491"/>
        <v>0</v>
      </c>
      <c r="L2158" s="99">
        <f t="shared" si="494"/>
        <v>0</v>
      </c>
      <c r="M2158" s="44" t="str">
        <f t="shared" si="496"/>
        <v/>
      </c>
      <c r="N2158" s="100">
        <f t="shared" si="497"/>
        <v>0</v>
      </c>
      <c r="O2158" s="101">
        <f t="shared" si="498"/>
        <v>0</v>
      </c>
      <c r="P2158" s="52">
        <f t="shared" si="499"/>
        <v>0</v>
      </c>
      <c r="Q2158" s="49">
        <v>116.88487613461319</v>
      </c>
      <c r="R2158">
        <v>2225</v>
      </c>
      <c r="S2158" s="50">
        <f t="shared" si="495"/>
        <v>71535.307499999995</v>
      </c>
      <c r="T2158" s="50">
        <f t="shared" si="500"/>
        <v>0</v>
      </c>
      <c r="U2158" s="58">
        <f t="shared" si="501"/>
        <v>0</v>
      </c>
      <c r="V2158" s="58">
        <f t="shared" si="502"/>
        <v>0</v>
      </c>
      <c r="W2158" s="58">
        <f t="shared" si="503"/>
        <v>0</v>
      </c>
      <c r="X2158" s="58">
        <f t="shared" si="504"/>
        <v>0</v>
      </c>
      <c r="Y2158" s="52">
        <f t="shared" si="505"/>
        <v>0</v>
      </c>
    </row>
    <row r="2159" spans="1:25" x14ac:dyDescent="0.25">
      <c r="A2159" s="1218" t="s">
        <v>189</v>
      </c>
      <c r="B2159" s="98">
        <v>45778</v>
      </c>
      <c r="C2159" s="117" t="str">
        <f t="shared" si="493"/>
        <v>7L</v>
      </c>
      <c r="F2159" s="99">
        <f t="shared" si="492"/>
        <v>0</v>
      </c>
      <c r="I2159" s="99">
        <f t="shared" si="491"/>
        <v>0</v>
      </c>
      <c r="L2159" s="99">
        <f t="shared" si="494"/>
        <v>0</v>
      </c>
      <c r="M2159" s="44" t="str">
        <f t="shared" si="496"/>
        <v/>
      </c>
      <c r="N2159" s="100">
        <f t="shared" si="497"/>
        <v>0</v>
      </c>
      <c r="O2159" s="101">
        <f t="shared" si="498"/>
        <v>0</v>
      </c>
      <c r="P2159" s="52">
        <f t="shared" si="499"/>
        <v>0</v>
      </c>
      <c r="Q2159" s="49">
        <v>116.88487613461319</v>
      </c>
      <c r="R2159">
        <v>2225</v>
      </c>
      <c r="S2159" s="50">
        <f t="shared" si="495"/>
        <v>71535.307499999995</v>
      </c>
      <c r="T2159" s="50">
        <f t="shared" si="500"/>
        <v>0</v>
      </c>
      <c r="U2159" s="58">
        <f t="shared" si="501"/>
        <v>0</v>
      </c>
      <c r="V2159" s="58">
        <f t="shared" si="502"/>
        <v>0</v>
      </c>
      <c r="W2159" s="58">
        <f t="shared" si="503"/>
        <v>0</v>
      </c>
      <c r="X2159" s="58">
        <f t="shared" si="504"/>
        <v>0</v>
      </c>
      <c r="Y2159" s="52">
        <f t="shared" si="505"/>
        <v>0</v>
      </c>
    </row>
    <row r="2160" spans="1:25" x14ac:dyDescent="0.25">
      <c r="A2160" s="1218" t="s">
        <v>190</v>
      </c>
      <c r="B2160" s="98">
        <v>45778</v>
      </c>
      <c r="C2160" s="117" t="str">
        <f t="shared" si="493"/>
        <v>8L</v>
      </c>
      <c r="F2160" s="99">
        <f t="shared" si="492"/>
        <v>0</v>
      </c>
      <c r="I2160" s="99">
        <f t="shared" si="491"/>
        <v>0</v>
      </c>
      <c r="L2160" s="99">
        <f t="shared" si="494"/>
        <v>0</v>
      </c>
      <c r="M2160" s="44" t="str">
        <f t="shared" si="496"/>
        <v/>
      </c>
      <c r="N2160" s="100">
        <f t="shared" si="497"/>
        <v>0</v>
      </c>
      <c r="O2160" s="101">
        <f t="shared" si="498"/>
        <v>0</v>
      </c>
      <c r="P2160" s="52">
        <f t="shared" si="499"/>
        <v>0</v>
      </c>
      <c r="Q2160" s="49">
        <v>116.88487613461319</v>
      </c>
      <c r="R2160">
        <v>2225</v>
      </c>
      <c r="S2160" s="50">
        <f t="shared" si="495"/>
        <v>71535.307499999995</v>
      </c>
      <c r="T2160" s="50">
        <f t="shared" si="500"/>
        <v>0</v>
      </c>
      <c r="U2160" s="58">
        <f t="shared" si="501"/>
        <v>0</v>
      </c>
      <c r="V2160" s="58">
        <f t="shared" si="502"/>
        <v>0</v>
      </c>
      <c r="W2160" s="58">
        <f t="shared" si="503"/>
        <v>0</v>
      </c>
      <c r="X2160" s="58">
        <f t="shared" si="504"/>
        <v>0</v>
      </c>
      <c r="Y2160" s="52">
        <f t="shared" si="505"/>
        <v>0</v>
      </c>
    </row>
    <row r="2161" spans="1:25" x14ac:dyDescent="0.25">
      <c r="A2161" s="1218" t="s">
        <v>191</v>
      </c>
      <c r="B2161" s="98">
        <v>45778</v>
      </c>
      <c r="C2161" s="117" t="str">
        <f t="shared" si="493"/>
        <v>8L</v>
      </c>
      <c r="F2161" s="99">
        <f t="shared" si="492"/>
        <v>0</v>
      </c>
      <c r="I2161" s="99">
        <f t="shared" si="491"/>
        <v>0</v>
      </c>
      <c r="L2161" s="99">
        <f t="shared" si="494"/>
        <v>0</v>
      </c>
      <c r="M2161" s="44" t="str">
        <f t="shared" si="496"/>
        <v/>
      </c>
      <c r="N2161" s="100">
        <f t="shared" si="497"/>
        <v>0</v>
      </c>
      <c r="O2161" s="101">
        <f t="shared" si="498"/>
        <v>0</v>
      </c>
      <c r="P2161" s="52">
        <f t="shared" si="499"/>
        <v>0</v>
      </c>
      <c r="Q2161" s="49">
        <v>116.88487613461319</v>
      </c>
      <c r="R2161">
        <v>2225</v>
      </c>
      <c r="S2161" s="50">
        <f t="shared" si="495"/>
        <v>71535.307499999995</v>
      </c>
      <c r="T2161" s="50">
        <f t="shared" si="500"/>
        <v>0</v>
      </c>
      <c r="U2161" s="58">
        <f t="shared" si="501"/>
        <v>0</v>
      </c>
      <c r="V2161" s="58">
        <f t="shared" si="502"/>
        <v>0</v>
      </c>
      <c r="W2161" s="58">
        <f t="shared" si="503"/>
        <v>0</v>
      </c>
      <c r="X2161" s="58">
        <f t="shared" si="504"/>
        <v>0</v>
      </c>
      <c r="Y2161" s="52">
        <f t="shared" si="505"/>
        <v>0</v>
      </c>
    </row>
    <row r="2162" spans="1:25" x14ac:dyDescent="0.25">
      <c r="A2162" s="1218" t="s">
        <v>192</v>
      </c>
      <c r="B2162" s="98">
        <v>45778</v>
      </c>
      <c r="C2162" s="117" t="str">
        <f t="shared" si="493"/>
        <v>8L</v>
      </c>
      <c r="F2162" s="99">
        <f t="shared" si="492"/>
        <v>0</v>
      </c>
      <c r="I2162" s="99">
        <f t="shared" si="491"/>
        <v>0</v>
      </c>
      <c r="L2162" s="99">
        <f t="shared" si="494"/>
        <v>0</v>
      </c>
      <c r="M2162" s="44" t="str">
        <f t="shared" si="496"/>
        <v/>
      </c>
      <c r="N2162" s="100">
        <f t="shared" si="497"/>
        <v>0</v>
      </c>
      <c r="O2162" s="101">
        <f t="shared" si="498"/>
        <v>0</v>
      </c>
      <c r="P2162" s="52">
        <f t="shared" si="499"/>
        <v>0</v>
      </c>
      <c r="Q2162" s="49">
        <v>116.88487613461319</v>
      </c>
      <c r="R2162">
        <v>2225</v>
      </c>
      <c r="S2162" s="50">
        <f t="shared" si="495"/>
        <v>71535.307499999995</v>
      </c>
      <c r="T2162" s="50">
        <f t="shared" si="500"/>
        <v>0</v>
      </c>
      <c r="U2162" s="58">
        <f t="shared" si="501"/>
        <v>0</v>
      </c>
      <c r="V2162" s="58">
        <f t="shared" si="502"/>
        <v>0</v>
      </c>
      <c r="W2162" s="58">
        <f t="shared" si="503"/>
        <v>0</v>
      </c>
      <c r="X2162" s="58">
        <f t="shared" si="504"/>
        <v>0</v>
      </c>
      <c r="Y2162" s="52">
        <f t="shared" si="505"/>
        <v>0</v>
      </c>
    </row>
    <row r="2163" spans="1:25" x14ac:dyDescent="0.25">
      <c r="A2163" s="1218" t="s">
        <v>193</v>
      </c>
      <c r="B2163" s="98">
        <v>45778</v>
      </c>
      <c r="C2163" s="117" t="str">
        <f t="shared" si="493"/>
        <v>8L</v>
      </c>
      <c r="F2163" s="99">
        <f t="shared" si="492"/>
        <v>0</v>
      </c>
      <c r="I2163" s="99">
        <f t="shared" si="491"/>
        <v>0</v>
      </c>
      <c r="L2163" s="99">
        <f t="shared" si="494"/>
        <v>0</v>
      </c>
      <c r="M2163" s="44" t="str">
        <f t="shared" si="496"/>
        <v/>
      </c>
      <c r="N2163" s="100">
        <f t="shared" si="497"/>
        <v>0</v>
      </c>
      <c r="O2163" s="101">
        <f t="shared" si="498"/>
        <v>0</v>
      </c>
      <c r="P2163" s="52">
        <f t="shared" si="499"/>
        <v>0</v>
      </c>
      <c r="Q2163" s="49">
        <v>116.88487613461319</v>
      </c>
      <c r="R2163">
        <v>2225</v>
      </c>
      <c r="S2163" s="50">
        <f t="shared" si="495"/>
        <v>71535.307499999995</v>
      </c>
      <c r="T2163" s="50">
        <f t="shared" si="500"/>
        <v>0</v>
      </c>
      <c r="U2163" s="58">
        <f t="shared" si="501"/>
        <v>0</v>
      </c>
      <c r="V2163" s="58">
        <f t="shared" si="502"/>
        <v>0</v>
      </c>
      <c r="W2163" s="58">
        <f t="shared" si="503"/>
        <v>0</v>
      </c>
      <c r="X2163" s="58">
        <f t="shared" si="504"/>
        <v>0</v>
      </c>
      <c r="Y2163" s="52">
        <f t="shared" si="505"/>
        <v>0</v>
      </c>
    </row>
    <row r="2164" spans="1:25" x14ac:dyDescent="0.25">
      <c r="A2164" s="1218" t="s">
        <v>194</v>
      </c>
      <c r="B2164" s="98">
        <v>45778</v>
      </c>
      <c r="C2164" s="117" t="str">
        <f t="shared" si="493"/>
        <v>8L</v>
      </c>
      <c r="F2164" s="99">
        <f t="shared" si="492"/>
        <v>0</v>
      </c>
      <c r="I2164" s="99">
        <f t="shared" si="491"/>
        <v>0</v>
      </c>
      <c r="L2164" s="99">
        <f t="shared" si="494"/>
        <v>0</v>
      </c>
      <c r="M2164" s="44" t="str">
        <f t="shared" si="496"/>
        <v/>
      </c>
      <c r="N2164" s="100">
        <f t="shared" si="497"/>
        <v>0</v>
      </c>
      <c r="O2164" s="101">
        <f t="shared" si="498"/>
        <v>0</v>
      </c>
      <c r="P2164" s="52">
        <f t="shared" si="499"/>
        <v>0</v>
      </c>
      <c r="Q2164" s="49">
        <v>116.88487613461319</v>
      </c>
      <c r="R2164">
        <v>2225</v>
      </c>
      <c r="S2164" s="50">
        <f t="shared" si="495"/>
        <v>71535.307499999995</v>
      </c>
      <c r="T2164" s="50">
        <f t="shared" si="500"/>
        <v>0</v>
      </c>
      <c r="U2164" s="58">
        <f t="shared" si="501"/>
        <v>0</v>
      </c>
      <c r="V2164" s="58">
        <f t="shared" si="502"/>
        <v>0</v>
      </c>
      <c r="W2164" s="58">
        <f t="shared" si="503"/>
        <v>0</v>
      </c>
      <c r="X2164" s="58">
        <f t="shared" si="504"/>
        <v>0</v>
      </c>
      <c r="Y2164" s="52">
        <f t="shared" si="505"/>
        <v>0</v>
      </c>
    </row>
    <row r="2165" spans="1:25" x14ac:dyDescent="0.25">
      <c r="A2165" s="1218" t="s">
        <v>195</v>
      </c>
      <c r="B2165" s="98">
        <v>45778</v>
      </c>
      <c r="C2165" s="117" t="str">
        <f t="shared" si="493"/>
        <v>8L</v>
      </c>
      <c r="F2165" s="99">
        <f t="shared" si="492"/>
        <v>0</v>
      </c>
      <c r="I2165" s="99">
        <f t="shared" si="491"/>
        <v>0</v>
      </c>
      <c r="L2165" s="99">
        <f t="shared" si="494"/>
        <v>0</v>
      </c>
      <c r="M2165" s="44" t="str">
        <f t="shared" si="496"/>
        <v/>
      </c>
      <c r="N2165" s="100">
        <f t="shared" si="497"/>
        <v>0</v>
      </c>
      <c r="O2165" s="101">
        <f t="shared" si="498"/>
        <v>0</v>
      </c>
      <c r="P2165" s="52">
        <f t="shared" si="499"/>
        <v>0</v>
      </c>
      <c r="Q2165" s="49">
        <v>116.88487613461319</v>
      </c>
      <c r="R2165">
        <v>2225</v>
      </c>
      <c r="S2165" s="50">
        <f t="shared" si="495"/>
        <v>71535.307499999995</v>
      </c>
      <c r="T2165" s="50">
        <f t="shared" si="500"/>
        <v>0</v>
      </c>
      <c r="U2165" s="58">
        <f t="shared" si="501"/>
        <v>0</v>
      </c>
      <c r="V2165" s="58">
        <f t="shared" si="502"/>
        <v>0</v>
      </c>
      <c r="W2165" s="58">
        <f t="shared" si="503"/>
        <v>0</v>
      </c>
      <c r="X2165" s="58">
        <f t="shared" si="504"/>
        <v>0</v>
      </c>
      <c r="Y2165" s="52">
        <f t="shared" si="505"/>
        <v>0</v>
      </c>
    </row>
    <row r="2166" spans="1:25" x14ac:dyDescent="0.25">
      <c r="A2166" s="1218" t="s">
        <v>196</v>
      </c>
      <c r="B2166" s="98">
        <v>45778</v>
      </c>
      <c r="C2166" s="117" t="str">
        <f t="shared" si="493"/>
        <v>8L</v>
      </c>
      <c r="F2166" s="99">
        <f t="shared" si="492"/>
        <v>0</v>
      </c>
      <c r="I2166" s="99">
        <f t="shared" si="491"/>
        <v>0</v>
      </c>
      <c r="L2166" s="99">
        <f t="shared" si="494"/>
        <v>0</v>
      </c>
      <c r="M2166" s="44" t="str">
        <f t="shared" si="496"/>
        <v/>
      </c>
      <c r="N2166" s="100">
        <f t="shared" si="497"/>
        <v>0</v>
      </c>
      <c r="O2166" s="101">
        <f t="shared" si="498"/>
        <v>0</v>
      </c>
      <c r="P2166" s="52">
        <f t="shared" si="499"/>
        <v>0</v>
      </c>
      <c r="Q2166" s="49">
        <v>116.88487613461319</v>
      </c>
      <c r="R2166">
        <v>2225</v>
      </c>
      <c r="S2166" s="50">
        <f t="shared" si="495"/>
        <v>71535.307499999995</v>
      </c>
      <c r="T2166" s="50">
        <f t="shared" si="500"/>
        <v>0</v>
      </c>
      <c r="U2166" s="58">
        <f t="shared" si="501"/>
        <v>0</v>
      </c>
      <c r="V2166" s="58">
        <f t="shared" si="502"/>
        <v>0</v>
      </c>
      <c r="W2166" s="58">
        <f t="shared" si="503"/>
        <v>0</v>
      </c>
      <c r="X2166" s="58">
        <f t="shared" si="504"/>
        <v>0</v>
      </c>
      <c r="Y2166" s="52">
        <f t="shared" si="505"/>
        <v>0</v>
      </c>
    </row>
    <row r="2167" spans="1:25" x14ac:dyDescent="0.25">
      <c r="A2167" s="1218" t="s">
        <v>197</v>
      </c>
      <c r="B2167" s="98">
        <v>45778</v>
      </c>
      <c r="C2167" s="117" t="str">
        <f t="shared" si="493"/>
        <v>8L</v>
      </c>
      <c r="F2167" s="99">
        <f t="shared" si="492"/>
        <v>0</v>
      </c>
      <c r="I2167" s="99">
        <f t="shared" si="491"/>
        <v>0</v>
      </c>
      <c r="L2167" s="99">
        <f t="shared" si="494"/>
        <v>0</v>
      </c>
      <c r="M2167" s="44" t="str">
        <f t="shared" si="496"/>
        <v/>
      </c>
      <c r="N2167" s="100">
        <f t="shared" si="497"/>
        <v>0</v>
      </c>
      <c r="O2167" s="101">
        <f t="shared" si="498"/>
        <v>0</v>
      </c>
      <c r="P2167" s="52">
        <f t="shared" si="499"/>
        <v>0</v>
      </c>
      <c r="Q2167" s="49">
        <v>116.88487613461319</v>
      </c>
      <c r="R2167">
        <v>2225</v>
      </c>
      <c r="S2167" s="50">
        <f t="shared" si="495"/>
        <v>71535.307499999995</v>
      </c>
      <c r="T2167" s="50">
        <f t="shared" si="500"/>
        <v>0</v>
      </c>
      <c r="U2167" s="58">
        <f t="shared" si="501"/>
        <v>0</v>
      </c>
      <c r="V2167" s="58">
        <f t="shared" si="502"/>
        <v>0</v>
      </c>
      <c r="W2167" s="58">
        <f t="shared" si="503"/>
        <v>0</v>
      </c>
      <c r="X2167" s="58">
        <f t="shared" si="504"/>
        <v>0</v>
      </c>
      <c r="Y2167" s="52">
        <f t="shared" si="505"/>
        <v>0</v>
      </c>
    </row>
    <row r="2168" spans="1:25" x14ac:dyDescent="0.25">
      <c r="A2168" s="1218" t="s">
        <v>198</v>
      </c>
      <c r="B2168" s="98">
        <v>45778</v>
      </c>
      <c r="C2168" s="117" t="str">
        <f t="shared" si="493"/>
        <v>8L</v>
      </c>
      <c r="F2168" s="99">
        <f t="shared" si="492"/>
        <v>0</v>
      </c>
      <c r="I2168" s="99">
        <f t="shared" si="491"/>
        <v>0</v>
      </c>
      <c r="L2168" s="99">
        <f t="shared" si="494"/>
        <v>0</v>
      </c>
      <c r="M2168" s="44" t="str">
        <f t="shared" si="496"/>
        <v/>
      </c>
      <c r="N2168" s="100">
        <f t="shared" si="497"/>
        <v>0</v>
      </c>
      <c r="O2168" s="101">
        <f t="shared" si="498"/>
        <v>0</v>
      </c>
      <c r="P2168" s="52">
        <f t="shared" si="499"/>
        <v>0</v>
      </c>
      <c r="Q2168" s="49">
        <v>116.88487613461319</v>
      </c>
      <c r="R2168">
        <v>2225</v>
      </c>
      <c r="S2168" s="50">
        <f t="shared" si="495"/>
        <v>71535.307499999995</v>
      </c>
      <c r="T2168" s="50">
        <f t="shared" si="500"/>
        <v>0</v>
      </c>
      <c r="U2168" s="58">
        <f t="shared" si="501"/>
        <v>0</v>
      </c>
      <c r="V2168" s="58">
        <f t="shared" si="502"/>
        <v>0</v>
      </c>
      <c r="W2168" s="58">
        <f t="shared" si="503"/>
        <v>0</v>
      </c>
      <c r="X2168" s="58">
        <f t="shared" si="504"/>
        <v>0</v>
      </c>
      <c r="Y2168" s="52">
        <f t="shared" si="505"/>
        <v>0</v>
      </c>
    </row>
    <row r="2169" spans="1:25" x14ac:dyDescent="0.25">
      <c r="A2169" s="1218" t="s">
        <v>199</v>
      </c>
      <c r="B2169" s="98">
        <v>45778</v>
      </c>
      <c r="C2169" s="117" t="str">
        <f t="shared" si="493"/>
        <v>8L</v>
      </c>
      <c r="F2169" s="99">
        <f t="shared" si="492"/>
        <v>0</v>
      </c>
      <c r="I2169" s="99">
        <f t="shared" si="491"/>
        <v>0</v>
      </c>
      <c r="L2169" s="99">
        <f t="shared" si="494"/>
        <v>0</v>
      </c>
      <c r="M2169" s="44" t="str">
        <f t="shared" si="496"/>
        <v/>
      </c>
      <c r="N2169" s="100">
        <f t="shared" si="497"/>
        <v>0</v>
      </c>
      <c r="O2169" s="101">
        <f t="shared" si="498"/>
        <v>0</v>
      </c>
      <c r="P2169" s="52">
        <f t="shared" si="499"/>
        <v>0</v>
      </c>
      <c r="Q2169" s="49">
        <v>116.88487613461319</v>
      </c>
      <c r="R2169">
        <v>2225</v>
      </c>
      <c r="S2169" s="50">
        <f t="shared" si="495"/>
        <v>71535.307499999995</v>
      </c>
      <c r="T2169" s="50">
        <f t="shared" si="500"/>
        <v>0</v>
      </c>
      <c r="U2169" s="58">
        <f t="shared" si="501"/>
        <v>0</v>
      </c>
      <c r="V2169" s="58">
        <f t="shared" si="502"/>
        <v>0</v>
      </c>
      <c r="W2169" s="58">
        <f t="shared" si="503"/>
        <v>0</v>
      </c>
      <c r="X2169" s="58">
        <f t="shared" si="504"/>
        <v>0</v>
      </c>
      <c r="Y2169" s="52">
        <f t="shared" si="505"/>
        <v>0</v>
      </c>
    </row>
    <row r="2170" spans="1:25" x14ac:dyDescent="0.25">
      <c r="A2170" s="1218" t="s">
        <v>200</v>
      </c>
      <c r="B2170" s="98">
        <v>45778</v>
      </c>
      <c r="C2170" s="117" t="str">
        <f t="shared" si="493"/>
        <v>8L</v>
      </c>
      <c r="F2170" s="99">
        <f t="shared" si="492"/>
        <v>0</v>
      </c>
      <c r="I2170" s="99">
        <f t="shared" si="491"/>
        <v>0</v>
      </c>
      <c r="L2170" s="99">
        <f t="shared" si="494"/>
        <v>0</v>
      </c>
      <c r="M2170" s="44" t="str">
        <f t="shared" si="496"/>
        <v/>
      </c>
      <c r="N2170" s="100">
        <f t="shared" si="497"/>
        <v>0</v>
      </c>
      <c r="O2170" s="101">
        <f t="shared" si="498"/>
        <v>0</v>
      </c>
      <c r="P2170" s="52">
        <f t="shared" si="499"/>
        <v>0</v>
      </c>
      <c r="Q2170" s="49">
        <v>116.88487613461319</v>
      </c>
      <c r="R2170">
        <v>2225</v>
      </c>
      <c r="S2170" s="50">
        <f t="shared" si="495"/>
        <v>71535.307499999995</v>
      </c>
      <c r="T2170" s="50">
        <f t="shared" si="500"/>
        <v>0</v>
      </c>
      <c r="U2170" s="58">
        <f t="shared" si="501"/>
        <v>0</v>
      </c>
      <c r="V2170" s="58">
        <f t="shared" si="502"/>
        <v>0</v>
      </c>
      <c r="W2170" s="58">
        <f t="shared" si="503"/>
        <v>0</v>
      </c>
      <c r="X2170" s="58">
        <f t="shared" si="504"/>
        <v>0</v>
      </c>
      <c r="Y2170" s="52">
        <f t="shared" si="505"/>
        <v>0</v>
      </c>
    </row>
    <row r="2171" spans="1:25" x14ac:dyDescent="0.25">
      <c r="A2171" s="1218" t="s">
        <v>201</v>
      </c>
      <c r="B2171" s="98">
        <v>45778</v>
      </c>
      <c r="C2171" s="117" t="str">
        <f t="shared" si="493"/>
        <v>8L</v>
      </c>
      <c r="F2171" s="99">
        <f t="shared" si="492"/>
        <v>0</v>
      </c>
      <c r="I2171" s="99">
        <f t="shared" si="491"/>
        <v>0</v>
      </c>
      <c r="L2171" s="99">
        <f t="shared" si="494"/>
        <v>0</v>
      </c>
      <c r="M2171" s="44" t="str">
        <f t="shared" si="496"/>
        <v/>
      </c>
      <c r="N2171" s="100">
        <f t="shared" si="497"/>
        <v>0</v>
      </c>
      <c r="O2171" s="101">
        <f t="shared" si="498"/>
        <v>0</v>
      </c>
      <c r="P2171" s="52">
        <f t="shared" si="499"/>
        <v>0</v>
      </c>
      <c r="Q2171" s="49">
        <v>116.88487613461319</v>
      </c>
      <c r="R2171">
        <v>2225</v>
      </c>
      <c r="S2171" s="50">
        <f t="shared" si="495"/>
        <v>71535.307499999995</v>
      </c>
      <c r="T2171" s="50">
        <f t="shared" si="500"/>
        <v>0</v>
      </c>
      <c r="U2171" s="58">
        <f t="shared" si="501"/>
        <v>0</v>
      </c>
      <c r="V2171" s="58">
        <f t="shared" si="502"/>
        <v>0</v>
      </c>
      <c r="W2171" s="58">
        <f t="shared" si="503"/>
        <v>0</v>
      </c>
      <c r="X2171" s="58">
        <f t="shared" si="504"/>
        <v>0</v>
      </c>
      <c r="Y2171" s="52">
        <f t="shared" si="505"/>
        <v>0</v>
      </c>
    </row>
    <row r="2172" spans="1:25" x14ac:dyDescent="0.25">
      <c r="A2172" s="1218" t="s">
        <v>202</v>
      </c>
      <c r="B2172" s="98">
        <v>45778</v>
      </c>
      <c r="C2172" s="117" t="str">
        <f t="shared" si="493"/>
        <v>8L</v>
      </c>
      <c r="F2172" s="99">
        <f t="shared" si="492"/>
        <v>0</v>
      </c>
      <c r="I2172" s="99">
        <f t="shared" si="491"/>
        <v>0</v>
      </c>
      <c r="L2172" s="99">
        <f t="shared" si="494"/>
        <v>0</v>
      </c>
      <c r="M2172" s="44" t="str">
        <f t="shared" si="496"/>
        <v/>
      </c>
      <c r="N2172" s="100">
        <f t="shared" si="497"/>
        <v>0</v>
      </c>
      <c r="O2172" s="101">
        <f t="shared" si="498"/>
        <v>0</v>
      </c>
      <c r="P2172" s="52">
        <f t="shared" si="499"/>
        <v>0</v>
      </c>
      <c r="Q2172" s="49">
        <v>116.88487613461319</v>
      </c>
      <c r="R2172">
        <v>2225</v>
      </c>
      <c r="S2172" s="50">
        <f t="shared" si="495"/>
        <v>71535.307499999995</v>
      </c>
      <c r="T2172" s="50">
        <f t="shared" si="500"/>
        <v>0</v>
      </c>
      <c r="U2172" s="58">
        <f t="shared" si="501"/>
        <v>0</v>
      </c>
      <c r="V2172" s="58">
        <f t="shared" si="502"/>
        <v>0</v>
      </c>
      <c r="W2172" s="58">
        <f t="shared" si="503"/>
        <v>0</v>
      </c>
      <c r="X2172" s="58">
        <f t="shared" si="504"/>
        <v>0</v>
      </c>
      <c r="Y2172" s="52">
        <f t="shared" si="505"/>
        <v>0</v>
      </c>
    </row>
    <row r="2173" spans="1:25" x14ac:dyDescent="0.25">
      <c r="A2173" s="1218" t="s">
        <v>203</v>
      </c>
      <c r="B2173" s="98">
        <v>45778</v>
      </c>
      <c r="C2173" s="117" t="str">
        <f t="shared" si="493"/>
        <v>8L</v>
      </c>
      <c r="F2173" s="99">
        <f t="shared" si="492"/>
        <v>0</v>
      </c>
      <c r="I2173" s="99">
        <f t="shared" si="491"/>
        <v>0</v>
      </c>
      <c r="L2173" s="99">
        <f t="shared" si="494"/>
        <v>0</v>
      </c>
      <c r="M2173" s="44" t="str">
        <f t="shared" si="496"/>
        <v/>
      </c>
      <c r="N2173" s="100">
        <f t="shared" si="497"/>
        <v>0</v>
      </c>
      <c r="O2173" s="101">
        <f t="shared" si="498"/>
        <v>0</v>
      </c>
      <c r="P2173" s="52">
        <f t="shared" si="499"/>
        <v>0</v>
      </c>
      <c r="Q2173" s="49">
        <v>116.88487613461319</v>
      </c>
      <c r="R2173">
        <v>2225</v>
      </c>
      <c r="S2173" s="50">
        <f t="shared" si="495"/>
        <v>71535.307499999995</v>
      </c>
      <c r="T2173" s="50">
        <f t="shared" si="500"/>
        <v>0</v>
      </c>
      <c r="U2173" s="58">
        <f t="shared" si="501"/>
        <v>0</v>
      </c>
      <c r="V2173" s="58">
        <f t="shared" si="502"/>
        <v>0</v>
      </c>
      <c r="W2173" s="58">
        <f t="shared" si="503"/>
        <v>0</v>
      </c>
      <c r="X2173" s="58">
        <f t="shared" si="504"/>
        <v>0</v>
      </c>
      <c r="Y2173" s="52">
        <f t="shared" si="505"/>
        <v>0</v>
      </c>
    </row>
    <row r="2174" spans="1:25" x14ac:dyDescent="0.25">
      <c r="A2174" s="1218" t="s">
        <v>204</v>
      </c>
      <c r="B2174" s="98">
        <v>45778</v>
      </c>
      <c r="C2174" s="117" t="str">
        <f t="shared" si="493"/>
        <v>8L</v>
      </c>
      <c r="F2174" s="99">
        <f t="shared" si="492"/>
        <v>0</v>
      </c>
      <c r="I2174" s="99">
        <f t="shared" si="491"/>
        <v>0</v>
      </c>
      <c r="L2174" s="99">
        <f t="shared" si="494"/>
        <v>0</v>
      </c>
      <c r="M2174" s="44" t="str">
        <f t="shared" si="496"/>
        <v/>
      </c>
      <c r="N2174" s="100">
        <f t="shared" si="497"/>
        <v>0</v>
      </c>
      <c r="O2174" s="101">
        <f t="shared" si="498"/>
        <v>0</v>
      </c>
      <c r="P2174" s="52">
        <f t="shared" si="499"/>
        <v>0</v>
      </c>
      <c r="Q2174" s="49">
        <v>116.88487613461319</v>
      </c>
      <c r="R2174">
        <v>2225</v>
      </c>
      <c r="S2174" s="50">
        <f t="shared" si="495"/>
        <v>71535.307499999995</v>
      </c>
      <c r="T2174" s="50">
        <f t="shared" si="500"/>
        <v>0</v>
      </c>
      <c r="U2174" s="58">
        <f t="shared" si="501"/>
        <v>0</v>
      </c>
      <c r="V2174" s="58">
        <f t="shared" si="502"/>
        <v>0</v>
      </c>
      <c r="W2174" s="58">
        <f t="shared" si="503"/>
        <v>0</v>
      </c>
      <c r="X2174" s="58">
        <f t="shared" si="504"/>
        <v>0</v>
      </c>
      <c r="Y2174" s="52">
        <f t="shared" si="505"/>
        <v>0</v>
      </c>
    </row>
    <row r="2175" spans="1:25" x14ac:dyDescent="0.25">
      <c r="A2175" s="1218" t="s">
        <v>205</v>
      </c>
      <c r="B2175" s="98">
        <v>45778</v>
      </c>
      <c r="C2175" s="117" t="str">
        <f t="shared" si="493"/>
        <v>8L</v>
      </c>
      <c r="F2175" s="99">
        <f t="shared" si="492"/>
        <v>0</v>
      </c>
      <c r="I2175" s="99">
        <f t="shared" ref="I2175:I2239" si="506">IFERROR(G2175*H2175/1000,"")</f>
        <v>0</v>
      </c>
      <c r="L2175" s="99">
        <f t="shared" si="494"/>
        <v>0</v>
      </c>
      <c r="M2175" s="44" t="str">
        <f t="shared" si="496"/>
        <v/>
      </c>
      <c r="N2175" s="100">
        <f t="shared" si="497"/>
        <v>0</v>
      </c>
      <c r="O2175" s="101">
        <f t="shared" si="498"/>
        <v>0</v>
      </c>
      <c r="P2175" s="52">
        <f t="shared" si="499"/>
        <v>0</v>
      </c>
      <c r="Q2175" s="49">
        <v>116.88487613461319</v>
      </c>
      <c r="R2175">
        <v>2225</v>
      </c>
      <c r="S2175" s="50">
        <f t="shared" si="495"/>
        <v>71535.307499999995</v>
      </c>
      <c r="T2175" s="50">
        <f t="shared" si="500"/>
        <v>0</v>
      </c>
      <c r="U2175" s="58">
        <f t="shared" si="501"/>
        <v>0</v>
      </c>
      <c r="V2175" s="58">
        <f t="shared" si="502"/>
        <v>0</v>
      </c>
      <c r="W2175" s="58">
        <f t="shared" si="503"/>
        <v>0</v>
      </c>
      <c r="X2175" s="58">
        <f t="shared" si="504"/>
        <v>0</v>
      </c>
      <c r="Y2175" s="52">
        <f t="shared" si="505"/>
        <v>0</v>
      </c>
    </row>
    <row r="2176" spans="1:25" x14ac:dyDescent="0.25">
      <c r="A2176" s="1218" t="s">
        <v>206</v>
      </c>
      <c r="B2176" s="98">
        <v>45778</v>
      </c>
      <c r="C2176" s="117" t="str">
        <f t="shared" si="493"/>
        <v>8L</v>
      </c>
      <c r="F2176" s="99">
        <f t="shared" si="492"/>
        <v>0</v>
      </c>
      <c r="I2176" s="99">
        <f t="shared" si="506"/>
        <v>0</v>
      </c>
      <c r="L2176" s="99">
        <f t="shared" si="494"/>
        <v>0</v>
      </c>
      <c r="M2176" s="44" t="str">
        <f t="shared" si="496"/>
        <v/>
      </c>
      <c r="N2176" s="100">
        <f t="shared" si="497"/>
        <v>0</v>
      </c>
      <c r="O2176" s="101">
        <f t="shared" si="498"/>
        <v>0</v>
      </c>
      <c r="P2176" s="52">
        <f t="shared" si="499"/>
        <v>0</v>
      </c>
      <c r="Q2176" s="49">
        <v>116.88487613461319</v>
      </c>
      <c r="R2176">
        <v>2225</v>
      </c>
      <c r="S2176" s="50">
        <f t="shared" si="495"/>
        <v>71535.307499999995</v>
      </c>
      <c r="T2176" s="50">
        <f t="shared" si="500"/>
        <v>0</v>
      </c>
      <c r="U2176" s="58">
        <f t="shared" si="501"/>
        <v>0</v>
      </c>
      <c r="V2176" s="58">
        <f t="shared" si="502"/>
        <v>0</v>
      </c>
      <c r="W2176" s="58">
        <f t="shared" si="503"/>
        <v>0</v>
      </c>
      <c r="X2176" s="58">
        <f t="shared" si="504"/>
        <v>0</v>
      </c>
      <c r="Y2176" s="52">
        <f t="shared" si="505"/>
        <v>0</v>
      </c>
    </row>
    <row r="2177" spans="1:25" ht="15.75" thickBot="1" x14ac:dyDescent="0.3">
      <c r="A2177" s="1219" t="s">
        <v>207</v>
      </c>
      <c r="B2177" s="98">
        <v>45778</v>
      </c>
      <c r="C2177" s="117" t="str">
        <f t="shared" si="493"/>
        <v>8L</v>
      </c>
      <c r="F2177" s="99">
        <f t="shared" si="492"/>
        <v>0</v>
      </c>
      <c r="I2177" s="99">
        <f t="shared" si="506"/>
        <v>0</v>
      </c>
      <c r="L2177" s="99">
        <f t="shared" si="494"/>
        <v>0</v>
      </c>
      <c r="M2177" s="44" t="str">
        <f t="shared" si="496"/>
        <v/>
      </c>
      <c r="N2177" s="100">
        <f t="shared" si="497"/>
        <v>0</v>
      </c>
      <c r="O2177" s="101">
        <f t="shared" si="498"/>
        <v>0</v>
      </c>
      <c r="P2177" s="52">
        <f t="shared" si="499"/>
        <v>0</v>
      </c>
      <c r="Q2177" s="49">
        <v>116.88487613461319</v>
      </c>
      <c r="R2177">
        <v>2225</v>
      </c>
      <c r="S2177" s="50">
        <f t="shared" si="495"/>
        <v>71535.307499999995</v>
      </c>
      <c r="T2177" s="50">
        <f t="shared" si="500"/>
        <v>0</v>
      </c>
      <c r="U2177" s="58">
        <f t="shared" si="501"/>
        <v>0</v>
      </c>
      <c r="V2177" s="58">
        <f t="shared" si="502"/>
        <v>0</v>
      </c>
      <c r="W2177" s="58">
        <f t="shared" si="503"/>
        <v>0</v>
      </c>
      <c r="X2177" s="58">
        <f t="shared" si="504"/>
        <v>0</v>
      </c>
      <c r="Y2177" s="52">
        <f t="shared" si="505"/>
        <v>0</v>
      </c>
    </row>
    <row r="2178" spans="1:25" x14ac:dyDescent="0.25">
      <c r="A2178" s="97" t="s">
        <v>80</v>
      </c>
      <c r="B2178" s="98">
        <v>45809</v>
      </c>
      <c r="C2178" s="117" t="str">
        <f t="shared" si="493"/>
        <v>1L</v>
      </c>
      <c r="D2178">
        <v>1703</v>
      </c>
      <c r="E2178">
        <v>0.52</v>
      </c>
      <c r="F2178" s="99">
        <f t="shared" si="492"/>
        <v>0.88556000000000001</v>
      </c>
      <c r="I2178" s="99">
        <f t="shared" si="506"/>
        <v>0</v>
      </c>
      <c r="L2178" s="99">
        <f t="shared" si="494"/>
        <v>0</v>
      </c>
      <c r="M2178" s="44" t="str">
        <f t="shared" si="496"/>
        <v/>
      </c>
      <c r="N2178" s="100">
        <f t="shared" si="497"/>
        <v>0</v>
      </c>
      <c r="O2178" s="101">
        <f t="shared" si="498"/>
        <v>0</v>
      </c>
      <c r="P2178" s="52">
        <f t="shared" si="499"/>
        <v>0</v>
      </c>
      <c r="Q2178" s="49">
        <v>116.88487613461319</v>
      </c>
      <c r="R2178">
        <v>2225</v>
      </c>
      <c r="S2178" s="50">
        <f t="shared" si="495"/>
        <v>71535.307499999995</v>
      </c>
      <c r="T2178" s="50">
        <f t="shared" si="500"/>
        <v>0</v>
      </c>
      <c r="U2178" s="58">
        <f t="shared" si="501"/>
        <v>0</v>
      </c>
      <c r="V2178" s="58">
        <f t="shared" si="502"/>
        <v>0</v>
      </c>
      <c r="W2178" s="58">
        <f t="shared" si="503"/>
        <v>0</v>
      </c>
      <c r="X2178" s="58">
        <f t="shared" si="504"/>
        <v>0</v>
      </c>
      <c r="Y2178" s="52">
        <f t="shared" si="505"/>
        <v>0</v>
      </c>
    </row>
    <row r="2179" spans="1:25" x14ac:dyDescent="0.25">
      <c r="A2179" s="1218" t="s">
        <v>81</v>
      </c>
      <c r="B2179" s="98">
        <v>45809</v>
      </c>
      <c r="C2179" s="117" t="str">
        <f t="shared" si="493"/>
        <v>1L</v>
      </c>
      <c r="F2179" s="99">
        <f t="shared" si="492"/>
        <v>0</v>
      </c>
      <c r="I2179" s="99">
        <f t="shared" si="506"/>
        <v>0</v>
      </c>
      <c r="L2179" s="99">
        <f t="shared" si="494"/>
        <v>0</v>
      </c>
      <c r="M2179" s="44" t="str">
        <f t="shared" si="496"/>
        <v/>
      </c>
      <c r="N2179" s="100">
        <f t="shared" si="497"/>
        <v>0</v>
      </c>
      <c r="O2179" s="101">
        <f t="shared" si="498"/>
        <v>0</v>
      </c>
      <c r="P2179" s="52">
        <f t="shared" si="499"/>
        <v>0</v>
      </c>
      <c r="Q2179" s="49">
        <v>116.88487613461319</v>
      </c>
      <c r="R2179">
        <v>2225</v>
      </c>
      <c r="S2179" s="50">
        <f t="shared" si="495"/>
        <v>71535.307499999995</v>
      </c>
      <c r="T2179" s="50">
        <f t="shared" si="500"/>
        <v>0</v>
      </c>
      <c r="U2179" s="58">
        <f t="shared" si="501"/>
        <v>0</v>
      </c>
      <c r="V2179" s="58">
        <f t="shared" si="502"/>
        <v>0</v>
      </c>
      <c r="W2179" s="58">
        <f t="shared" si="503"/>
        <v>0</v>
      </c>
      <c r="X2179" s="58">
        <f t="shared" si="504"/>
        <v>0</v>
      </c>
      <c r="Y2179" s="52">
        <f t="shared" si="505"/>
        <v>0</v>
      </c>
    </row>
    <row r="2180" spans="1:25" x14ac:dyDescent="0.25">
      <c r="A2180" s="1218" t="s">
        <v>82</v>
      </c>
      <c r="B2180" s="98">
        <v>45809</v>
      </c>
      <c r="C2180" s="117" t="str">
        <f t="shared" si="493"/>
        <v>1L</v>
      </c>
      <c r="F2180" s="99">
        <f t="shared" si="492"/>
        <v>0</v>
      </c>
      <c r="I2180" s="99">
        <f t="shared" si="506"/>
        <v>0</v>
      </c>
      <c r="L2180" s="99">
        <f t="shared" si="494"/>
        <v>0</v>
      </c>
      <c r="M2180" s="44" t="str">
        <f t="shared" si="496"/>
        <v/>
      </c>
      <c r="N2180" s="100">
        <f t="shared" si="497"/>
        <v>0</v>
      </c>
      <c r="O2180" s="101">
        <f t="shared" si="498"/>
        <v>0</v>
      </c>
      <c r="P2180" s="52">
        <f t="shared" si="499"/>
        <v>0</v>
      </c>
      <c r="Q2180" s="49">
        <v>116.88487613461319</v>
      </c>
      <c r="R2180">
        <v>2225</v>
      </c>
      <c r="S2180" s="50">
        <f t="shared" si="495"/>
        <v>71535.307499999995</v>
      </c>
      <c r="T2180" s="50">
        <f t="shared" si="500"/>
        <v>0</v>
      </c>
      <c r="U2180" s="58">
        <f t="shared" si="501"/>
        <v>0</v>
      </c>
      <c r="V2180" s="58">
        <f t="shared" si="502"/>
        <v>0</v>
      </c>
      <c r="W2180" s="58">
        <f t="shared" si="503"/>
        <v>0</v>
      </c>
      <c r="X2180" s="58">
        <f t="shared" si="504"/>
        <v>0</v>
      </c>
      <c r="Y2180" s="52">
        <f t="shared" si="505"/>
        <v>0</v>
      </c>
    </row>
    <row r="2181" spans="1:25" x14ac:dyDescent="0.25">
      <c r="A2181" s="1218" t="s">
        <v>83</v>
      </c>
      <c r="B2181" s="98">
        <v>45809</v>
      </c>
      <c r="C2181" s="117" t="str">
        <f t="shared" si="493"/>
        <v>1L</v>
      </c>
      <c r="F2181" s="99">
        <f t="shared" si="492"/>
        <v>0</v>
      </c>
      <c r="I2181" s="99">
        <f t="shared" si="506"/>
        <v>0</v>
      </c>
      <c r="L2181" s="99">
        <f t="shared" si="494"/>
        <v>0</v>
      </c>
      <c r="M2181" s="44" t="str">
        <f t="shared" si="496"/>
        <v/>
      </c>
      <c r="N2181" s="100">
        <f t="shared" si="497"/>
        <v>0</v>
      </c>
      <c r="O2181" s="101">
        <f t="shared" si="498"/>
        <v>0</v>
      </c>
      <c r="P2181" s="52">
        <f t="shared" si="499"/>
        <v>0</v>
      </c>
      <c r="Q2181" s="49">
        <v>116.88487613461319</v>
      </c>
      <c r="R2181">
        <v>2225</v>
      </c>
      <c r="S2181" s="50">
        <f t="shared" si="495"/>
        <v>71535.307499999995</v>
      </c>
      <c r="T2181" s="50">
        <f t="shared" si="500"/>
        <v>0</v>
      </c>
      <c r="U2181" s="58">
        <f t="shared" si="501"/>
        <v>0</v>
      </c>
      <c r="V2181" s="58">
        <f t="shared" si="502"/>
        <v>0</v>
      </c>
      <c r="W2181" s="58">
        <f t="shared" si="503"/>
        <v>0</v>
      </c>
      <c r="X2181" s="58">
        <f t="shared" si="504"/>
        <v>0</v>
      </c>
      <c r="Y2181" s="52">
        <f t="shared" si="505"/>
        <v>0</v>
      </c>
    </row>
    <row r="2182" spans="1:25" x14ac:dyDescent="0.25">
      <c r="A2182" s="1218" t="s">
        <v>84</v>
      </c>
      <c r="B2182" s="98">
        <v>45809</v>
      </c>
      <c r="C2182" s="117" t="str">
        <f t="shared" si="493"/>
        <v>2L</v>
      </c>
      <c r="F2182" s="99">
        <f t="shared" si="492"/>
        <v>0</v>
      </c>
      <c r="I2182" s="99">
        <f t="shared" si="506"/>
        <v>0</v>
      </c>
      <c r="L2182" s="99">
        <f t="shared" si="494"/>
        <v>0</v>
      </c>
      <c r="M2182" s="44" t="str">
        <f t="shared" si="496"/>
        <v/>
      </c>
      <c r="N2182" s="100">
        <f t="shared" si="497"/>
        <v>0</v>
      </c>
      <c r="O2182" s="101">
        <f t="shared" si="498"/>
        <v>0</v>
      </c>
      <c r="P2182" s="52">
        <f t="shared" si="499"/>
        <v>0</v>
      </c>
      <c r="Q2182" s="49">
        <v>116.88487613461319</v>
      </c>
      <c r="R2182">
        <v>2225</v>
      </c>
      <c r="S2182" s="50">
        <f t="shared" si="495"/>
        <v>71535.307499999995</v>
      </c>
      <c r="T2182" s="50">
        <f t="shared" si="500"/>
        <v>0</v>
      </c>
      <c r="U2182" s="58">
        <f t="shared" si="501"/>
        <v>0</v>
      </c>
      <c r="V2182" s="58">
        <f t="shared" si="502"/>
        <v>0</v>
      </c>
      <c r="W2182" s="58">
        <f t="shared" si="503"/>
        <v>0</v>
      </c>
      <c r="X2182" s="58">
        <f t="shared" si="504"/>
        <v>0</v>
      </c>
      <c r="Y2182" s="52">
        <f t="shared" si="505"/>
        <v>0</v>
      </c>
    </row>
    <row r="2183" spans="1:25" x14ac:dyDescent="0.25">
      <c r="A2183" s="1218" t="s">
        <v>85</v>
      </c>
      <c r="B2183" s="98">
        <v>45809</v>
      </c>
      <c r="C2183" s="117" t="str">
        <f t="shared" si="493"/>
        <v>2L</v>
      </c>
      <c r="F2183" s="99">
        <f t="shared" si="492"/>
        <v>0</v>
      </c>
      <c r="I2183" s="99">
        <f t="shared" si="506"/>
        <v>0</v>
      </c>
      <c r="L2183" s="99">
        <f t="shared" si="494"/>
        <v>0</v>
      </c>
      <c r="M2183" s="44" t="str">
        <f t="shared" si="496"/>
        <v/>
      </c>
      <c r="N2183" s="100">
        <f t="shared" si="497"/>
        <v>0</v>
      </c>
      <c r="O2183" s="101">
        <f t="shared" si="498"/>
        <v>0</v>
      </c>
      <c r="P2183" s="52">
        <f t="shared" si="499"/>
        <v>0</v>
      </c>
      <c r="Q2183" s="49">
        <v>116.88487613461319</v>
      </c>
      <c r="R2183">
        <v>2225</v>
      </c>
      <c r="S2183" s="50">
        <f t="shared" si="495"/>
        <v>71535.307499999995</v>
      </c>
      <c r="T2183" s="50">
        <f t="shared" si="500"/>
        <v>0</v>
      </c>
      <c r="U2183" s="58">
        <f t="shared" si="501"/>
        <v>0</v>
      </c>
      <c r="V2183" s="58">
        <f t="shared" si="502"/>
        <v>0</v>
      </c>
      <c r="W2183" s="58">
        <f t="shared" si="503"/>
        <v>0</v>
      </c>
      <c r="X2183" s="58">
        <f t="shared" si="504"/>
        <v>0</v>
      </c>
      <c r="Y2183" s="52">
        <f t="shared" si="505"/>
        <v>0</v>
      </c>
    </row>
    <row r="2184" spans="1:25" x14ac:dyDescent="0.25">
      <c r="A2184" s="1218" t="s">
        <v>86</v>
      </c>
      <c r="B2184" s="98">
        <v>45809</v>
      </c>
      <c r="C2184" s="117" t="str">
        <f t="shared" si="493"/>
        <v>2L</v>
      </c>
      <c r="F2184" s="99">
        <f t="shared" si="492"/>
        <v>0</v>
      </c>
      <c r="I2184" s="99">
        <f t="shared" si="506"/>
        <v>0</v>
      </c>
      <c r="L2184" s="99">
        <f t="shared" si="494"/>
        <v>0</v>
      </c>
      <c r="M2184" s="44" t="str">
        <f t="shared" si="496"/>
        <v/>
      </c>
      <c r="N2184" s="100">
        <f t="shared" si="497"/>
        <v>0</v>
      </c>
      <c r="O2184" s="101">
        <f t="shared" si="498"/>
        <v>0</v>
      </c>
      <c r="P2184" s="52">
        <f t="shared" si="499"/>
        <v>0</v>
      </c>
      <c r="Q2184" s="49">
        <v>116.88487613461319</v>
      </c>
      <c r="R2184">
        <v>2225</v>
      </c>
      <c r="S2184" s="50">
        <f t="shared" si="495"/>
        <v>71535.307499999995</v>
      </c>
      <c r="T2184" s="50">
        <f t="shared" si="500"/>
        <v>0</v>
      </c>
      <c r="U2184" s="58">
        <f t="shared" si="501"/>
        <v>0</v>
      </c>
      <c r="V2184" s="58">
        <f t="shared" si="502"/>
        <v>0</v>
      </c>
      <c r="W2184" s="58">
        <f t="shared" si="503"/>
        <v>0</v>
      </c>
      <c r="X2184" s="58">
        <f t="shared" si="504"/>
        <v>0</v>
      </c>
      <c r="Y2184" s="52">
        <f t="shared" si="505"/>
        <v>0</v>
      </c>
    </row>
    <row r="2185" spans="1:25" x14ac:dyDescent="0.25">
      <c r="A2185" s="1218" t="s">
        <v>87</v>
      </c>
      <c r="B2185" s="98">
        <v>45809</v>
      </c>
      <c r="C2185" s="117" t="str">
        <f t="shared" si="493"/>
        <v>3L</v>
      </c>
      <c r="F2185" s="99">
        <f t="shared" ref="F2185:F2249" si="507">IFERROR(D2185*E2185/1000,"")</f>
        <v>0</v>
      </c>
      <c r="I2185" s="99">
        <f t="shared" si="506"/>
        <v>0</v>
      </c>
      <c r="L2185" s="99">
        <f t="shared" si="494"/>
        <v>0</v>
      </c>
      <c r="M2185" s="44" t="str">
        <f t="shared" si="496"/>
        <v/>
      </c>
      <c r="N2185" s="100">
        <f t="shared" si="497"/>
        <v>0</v>
      </c>
      <c r="O2185" s="101">
        <f t="shared" si="498"/>
        <v>0</v>
      </c>
      <c r="P2185" s="52">
        <f t="shared" si="499"/>
        <v>0</v>
      </c>
      <c r="Q2185" s="49">
        <v>116.88487613461319</v>
      </c>
      <c r="R2185">
        <v>2225</v>
      </c>
      <c r="S2185" s="50">
        <f t="shared" si="495"/>
        <v>71535.307499999995</v>
      </c>
      <c r="T2185" s="50">
        <f t="shared" si="500"/>
        <v>0</v>
      </c>
      <c r="U2185" s="58">
        <f t="shared" si="501"/>
        <v>0</v>
      </c>
      <c r="V2185" s="58">
        <f t="shared" si="502"/>
        <v>0</v>
      </c>
      <c r="W2185" s="58">
        <f t="shared" si="503"/>
        <v>0</v>
      </c>
      <c r="X2185" s="58">
        <f t="shared" si="504"/>
        <v>0</v>
      </c>
      <c r="Y2185" s="52">
        <f t="shared" si="505"/>
        <v>0</v>
      </c>
    </row>
    <row r="2186" spans="1:25" x14ac:dyDescent="0.25">
      <c r="A2186" s="1218" t="s">
        <v>88</v>
      </c>
      <c r="B2186" s="98">
        <v>45809</v>
      </c>
      <c r="C2186" s="117" t="str">
        <f t="shared" si="493"/>
        <v>3L</v>
      </c>
      <c r="F2186" s="99">
        <f t="shared" si="507"/>
        <v>0</v>
      </c>
      <c r="I2186" s="99">
        <f t="shared" si="506"/>
        <v>0</v>
      </c>
      <c r="L2186" s="99">
        <f t="shared" si="494"/>
        <v>0</v>
      </c>
      <c r="M2186" s="44" t="str">
        <f t="shared" si="496"/>
        <v/>
      </c>
      <c r="N2186" s="100">
        <f t="shared" si="497"/>
        <v>0</v>
      </c>
      <c r="O2186" s="101">
        <f t="shared" si="498"/>
        <v>0</v>
      </c>
      <c r="P2186" s="52">
        <f t="shared" si="499"/>
        <v>0</v>
      </c>
      <c r="Q2186" s="49">
        <v>116.88487613461319</v>
      </c>
      <c r="R2186">
        <v>2225</v>
      </c>
      <c r="S2186" s="50">
        <f t="shared" si="495"/>
        <v>71535.307499999995</v>
      </c>
      <c r="T2186" s="50">
        <f t="shared" si="500"/>
        <v>0</v>
      </c>
      <c r="U2186" s="58">
        <f t="shared" si="501"/>
        <v>0</v>
      </c>
      <c r="V2186" s="58">
        <f t="shared" si="502"/>
        <v>0</v>
      </c>
      <c r="W2186" s="58">
        <f t="shared" si="503"/>
        <v>0</v>
      </c>
      <c r="X2186" s="58">
        <f t="shared" si="504"/>
        <v>0</v>
      </c>
      <c r="Y2186" s="52">
        <f t="shared" si="505"/>
        <v>0</v>
      </c>
    </row>
    <row r="2187" spans="1:25" x14ac:dyDescent="0.25">
      <c r="A2187" s="1218" t="s">
        <v>89</v>
      </c>
      <c r="B2187" s="98">
        <v>45809</v>
      </c>
      <c r="C2187" s="117" t="str">
        <f t="shared" si="493"/>
        <v>3L</v>
      </c>
      <c r="F2187" s="99">
        <f t="shared" si="507"/>
        <v>0</v>
      </c>
      <c r="I2187" s="99">
        <f t="shared" si="506"/>
        <v>0</v>
      </c>
      <c r="L2187" s="99">
        <f t="shared" si="494"/>
        <v>0</v>
      </c>
      <c r="M2187" s="44" t="str">
        <f t="shared" si="496"/>
        <v/>
      </c>
      <c r="N2187" s="100">
        <f t="shared" si="497"/>
        <v>0</v>
      </c>
      <c r="O2187" s="101">
        <f t="shared" si="498"/>
        <v>0</v>
      </c>
      <c r="P2187" s="52">
        <f t="shared" si="499"/>
        <v>0</v>
      </c>
      <c r="Q2187" s="49">
        <v>116.88487613461319</v>
      </c>
      <c r="R2187">
        <v>2225</v>
      </c>
      <c r="S2187" s="50">
        <f t="shared" si="495"/>
        <v>71535.307499999995</v>
      </c>
      <c r="T2187" s="50">
        <f t="shared" si="500"/>
        <v>0</v>
      </c>
      <c r="U2187" s="58">
        <f t="shared" si="501"/>
        <v>0</v>
      </c>
      <c r="V2187" s="58">
        <f t="shared" si="502"/>
        <v>0</v>
      </c>
      <c r="W2187" s="58">
        <f t="shared" si="503"/>
        <v>0</v>
      </c>
      <c r="X2187" s="58">
        <f t="shared" si="504"/>
        <v>0</v>
      </c>
      <c r="Y2187" s="52">
        <f t="shared" si="505"/>
        <v>0</v>
      </c>
    </row>
    <row r="2188" spans="1:25" x14ac:dyDescent="0.25">
      <c r="A2188" s="1218" t="s">
        <v>90</v>
      </c>
      <c r="B2188" s="98">
        <v>45809</v>
      </c>
      <c r="C2188" s="117" t="str">
        <f t="shared" si="493"/>
        <v>3L</v>
      </c>
      <c r="F2188" s="99">
        <f t="shared" si="507"/>
        <v>0</v>
      </c>
      <c r="I2188" s="99">
        <f t="shared" si="506"/>
        <v>0</v>
      </c>
      <c r="L2188" s="99">
        <f t="shared" si="494"/>
        <v>0</v>
      </c>
      <c r="M2188" s="44" t="str">
        <f t="shared" si="496"/>
        <v/>
      </c>
      <c r="N2188" s="100">
        <f t="shared" si="497"/>
        <v>0</v>
      </c>
      <c r="O2188" s="101">
        <f t="shared" si="498"/>
        <v>0</v>
      </c>
      <c r="P2188" s="52">
        <f t="shared" si="499"/>
        <v>0</v>
      </c>
      <c r="Q2188" s="49">
        <v>116.88487613461319</v>
      </c>
      <c r="R2188">
        <v>2225</v>
      </c>
      <c r="S2188" s="50">
        <f t="shared" si="495"/>
        <v>71535.307499999995</v>
      </c>
      <c r="T2188" s="50">
        <f t="shared" si="500"/>
        <v>0</v>
      </c>
      <c r="U2188" s="58">
        <f t="shared" si="501"/>
        <v>0</v>
      </c>
      <c r="V2188" s="58">
        <f t="shared" si="502"/>
        <v>0</v>
      </c>
      <c r="W2188" s="58">
        <f t="shared" si="503"/>
        <v>0</v>
      </c>
      <c r="X2188" s="58">
        <f t="shared" si="504"/>
        <v>0</v>
      </c>
      <c r="Y2188" s="52">
        <f t="shared" si="505"/>
        <v>0</v>
      </c>
    </row>
    <row r="2189" spans="1:25" x14ac:dyDescent="0.25">
      <c r="A2189" s="1218" t="s">
        <v>91</v>
      </c>
      <c r="B2189" s="98">
        <v>45809</v>
      </c>
      <c r="C2189" s="117" t="str">
        <f t="shared" si="493"/>
        <v>3L</v>
      </c>
      <c r="F2189" s="99">
        <f t="shared" si="507"/>
        <v>0</v>
      </c>
      <c r="I2189" s="99">
        <f t="shared" si="506"/>
        <v>0</v>
      </c>
      <c r="L2189" s="99">
        <f t="shared" si="494"/>
        <v>0</v>
      </c>
      <c r="M2189" s="44" t="str">
        <f t="shared" si="496"/>
        <v/>
      </c>
      <c r="N2189" s="100">
        <f t="shared" si="497"/>
        <v>0</v>
      </c>
      <c r="O2189" s="101">
        <f t="shared" si="498"/>
        <v>0</v>
      </c>
      <c r="P2189" s="52">
        <f t="shared" si="499"/>
        <v>0</v>
      </c>
      <c r="Q2189" s="49">
        <v>116.88487613461319</v>
      </c>
      <c r="R2189">
        <v>2225</v>
      </c>
      <c r="S2189" s="50">
        <f t="shared" si="495"/>
        <v>71535.307499999995</v>
      </c>
      <c r="T2189" s="50">
        <f t="shared" si="500"/>
        <v>0</v>
      </c>
      <c r="U2189" s="58">
        <f t="shared" si="501"/>
        <v>0</v>
      </c>
      <c r="V2189" s="58">
        <f t="shared" si="502"/>
        <v>0</v>
      </c>
      <c r="W2189" s="58">
        <f t="shared" si="503"/>
        <v>0</v>
      </c>
      <c r="X2189" s="58">
        <f t="shared" si="504"/>
        <v>0</v>
      </c>
      <c r="Y2189" s="52">
        <f t="shared" si="505"/>
        <v>0</v>
      </c>
    </row>
    <row r="2190" spans="1:25" x14ac:dyDescent="0.25">
      <c r="A2190" s="1218" t="s">
        <v>92</v>
      </c>
      <c r="B2190" s="98">
        <v>45809</v>
      </c>
      <c r="C2190" s="117" t="str">
        <f t="shared" si="493"/>
        <v>3L</v>
      </c>
      <c r="D2190">
        <v>1872</v>
      </c>
      <c r="E2190">
        <v>1.72</v>
      </c>
      <c r="F2190" s="99">
        <f t="shared" si="507"/>
        <v>3.21984</v>
      </c>
      <c r="I2190" s="99">
        <f t="shared" si="506"/>
        <v>0</v>
      </c>
      <c r="L2190" s="99">
        <f t="shared" si="494"/>
        <v>0</v>
      </c>
      <c r="M2190" s="44" t="str">
        <f t="shared" si="496"/>
        <v/>
      </c>
      <c r="N2190" s="100">
        <f t="shared" si="497"/>
        <v>0</v>
      </c>
      <c r="O2190" s="101">
        <f t="shared" si="498"/>
        <v>0</v>
      </c>
      <c r="P2190" s="52">
        <f t="shared" si="499"/>
        <v>0</v>
      </c>
      <c r="Q2190" s="49">
        <v>116.88487613461319</v>
      </c>
      <c r="R2190">
        <v>2225</v>
      </c>
      <c r="S2190" s="50">
        <f t="shared" si="495"/>
        <v>71535.307499999995</v>
      </c>
      <c r="T2190" s="50">
        <f t="shared" si="500"/>
        <v>0</v>
      </c>
      <c r="U2190" s="58">
        <f t="shared" si="501"/>
        <v>0</v>
      </c>
      <c r="V2190" s="58">
        <f t="shared" si="502"/>
        <v>0</v>
      </c>
      <c r="W2190" s="58">
        <f t="shared" si="503"/>
        <v>0</v>
      </c>
      <c r="X2190" s="58">
        <f t="shared" si="504"/>
        <v>0</v>
      </c>
      <c r="Y2190" s="52">
        <f t="shared" si="505"/>
        <v>0</v>
      </c>
    </row>
    <row r="2191" spans="1:25" x14ac:dyDescent="0.25">
      <c r="A2191" s="1218" t="s">
        <v>93</v>
      </c>
      <c r="B2191" s="98">
        <v>45809</v>
      </c>
      <c r="C2191" s="117" t="str">
        <f t="shared" si="493"/>
        <v>3L</v>
      </c>
      <c r="F2191" s="99">
        <f t="shared" si="507"/>
        <v>0</v>
      </c>
      <c r="I2191" s="99">
        <f t="shared" si="506"/>
        <v>0</v>
      </c>
      <c r="L2191" s="99">
        <f t="shared" si="494"/>
        <v>0</v>
      </c>
      <c r="M2191" s="44" t="str">
        <f t="shared" si="496"/>
        <v/>
      </c>
      <c r="N2191" s="100">
        <f t="shared" si="497"/>
        <v>0</v>
      </c>
      <c r="O2191" s="101">
        <f t="shared" si="498"/>
        <v>0</v>
      </c>
      <c r="P2191" s="52">
        <f t="shared" si="499"/>
        <v>0</v>
      </c>
      <c r="Q2191" s="49">
        <v>116.88487613461319</v>
      </c>
      <c r="R2191">
        <v>2225</v>
      </c>
      <c r="S2191" s="50">
        <f t="shared" si="495"/>
        <v>71535.307499999995</v>
      </c>
      <c r="T2191" s="50">
        <f t="shared" si="500"/>
        <v>0</v>
      </c>
      <c r="U2191" s="58">
        <f t="shared" si="501"/>
        <v>0</v>
      </c>
      <c r="V2191" s="58">
        <f t="shared" si="502"/>
        <v>0</v>
      </c>
      <c r="W2191" s="58">
        <f t="shared" si="503"/>
        <v>0</v>
      </c>
      <c r="X2191" s="58">
        <f t="shared" si="504"/>
        <v>0</v>
      </c>
      <c r="Y2191" s="52">
        <f t="shared" si="505"/>
        <v>0</v>
      </c>
    </row>
    <row r="2192" spans="1:25" x14ac:dyDescent="0.25">
      <c r="A2192" s="1218" t="s">
        <v>94</v>
      </c>
      <c r="B2192" s="98">
        <v>45809</v>
      </c>
      <c r="C2192" s="117" t="str">
        <f t="shared" si="493"/>
        <v>3L</v>
      </c>
      <c r="F2192" s="99">
        <f t="shared" si="507"/>
        <v>0</v>
      </c>
      <c r="I2192" s="99">
        <f t="shared" si="506"/>
        <v>0</v>
      </c>
      <c r="L2192" s="99">
        <f t="shared" si="494"/>
        <v>0</v>
      </c>
      <c r="M2192" s="44" t="str">
        <f t="shared" si="496"/>
        <v/>
      </c>
      <c r="N2192" s="100">
        <f t="shared" si="497"/>
        <v>0</v>
      </c>
      <c r="O2192" s="101">
        <f t="shared" si="498"/>
        <v>0</v>
      </c>
      <c r="P2192" s="52">
        <f t="shared" si="499"/>
        <v>0</v>
      </c>
      <c r="Q2192" s="49">
        <v>116.88487613461319</v>
      </c>
      <c r="R2192">
        <v>2225</v>
      </c>
      <c r="S2192" s="50">
        <f t="shared" si="495"/>
        <v>71535.307499999995</v>
      </c>
      <c r="T2192" s="50">
        <f t="shared" si="500"/>
        <v>0</v>
      </c>
      <c r="U2192" s="58">
        <f t="shared" si="501"/>
        <v>0</v>
      </c>
      <c r="V2192" s="58">
        <f t="shared" si="502"/>
        <v>0</v>
      </c>
      <c r="W2192" s="58">
        <f t="shared" si="503"/>
        <v>0</v>
      </c>
      <c r="X2192" s="58">
        <f t="shared" si="504"/>
        <v>0</v>
      </c>
      <c r="Y2192" s="52">
        <f t="shared" si="505"/>
        <v>0</v>
      </c>
    </row>
    <row r="2193" spans="1:25" x14ac:dyDescent="0.25">
      <c r="A2193" s="1218" t="s">
        <v>95</v>
      </c>
      <c r="B2193" s="98">
        <v>45809</v>
      </c>
      <c r="C2193" s="117" t="str">
        <f t="shared" si="493"/>
        <v>3L</v>
      </c>
      <c r="F2193" s="99">
        <f t="shared" si="507"/>
        <v>0</v>
      </c>
      <c r="I2193" s="99">
        <f t="shared" si="506"/>
        <v>0</v>
      </c>
      <c r="L2193" s="99">
        <f t="shared" si="494"/>
        <v>0</v>
      </c>
      <c r="M2193" s="44" t="str">
        <f t="shared" si="496"/>
        <v/>
      </c>
      <c r="N2193" s="100">
        <f t="shared" si="497"/>
        <v>0</v>
      </c>
      <c r="O2193" s="101">
        <f t="shared" si="498"/>
        <v>0</v>
      </c>
      <c r="P2193" s="52">
        <f t="shared" si="499"/>
        <v>0</v>
      </c>
      <c r="Q2193" s="49">
        <v>116.88487613461319</v>
      </c>
      <c r="R2193">
        <v>2225</v>
      </c>
      <c r="S2193" s="50">
        <f t="shared" si="495"/>
        <v>71535.307499999995</v>
      </c>
      <c r="T2193" s="50">
        <f t="shared" si="500"/>
        <v>0</v>
      </c>
      <c r="U2193" s="58">
        <f t="shared" si="501"/>
        <v>0</v>
      </c>
      <c r="V2193" s="58">
        <f t="shared" si="502"/>
        <v>0</v>
      </c>
      <c r="W2193" s="58">
        <f t="shared" si="503"/>
        <v>0</v>
      </c>
      <c r="X2193" s="58">
        <f t="shared" si="504"/>
        <v>0</v>
      </c>
      <c r="Y2193" s="52">
        <f t="shared" si="505"/>
        <v>0</v>
      </c>
    </row>
    <row r="2194" spans="1:25" x14ac:dyDescent="0.25">
      <c r="A2194" s="1218" t="s">
        <v>96</v>
      </c>
      <c r="B2194" s="98">
        <v>45809</v>
      </c>
      <c r="C2194" s="117" t="str">
        <f t="shared" si="493"/>
        <v>3L</v>
      </c>
      <c r="F2194" s="99">
        <f t="shared" si="507"/>
        <v>0</v>
      </c>
      <c r="I2194" s="99">
        <f t="shared" si="506"/>
        <v>0</v>
      </c>
      <c r="L2194" s="99">
        <f t="shared" si="494"/>
        <v>0</v>
      </c>
      <c r="M2194" s="44" t="str">
        <f t="shared" si="496"/>
        <v/>
      </c>
      <c r="N2194" s="100">
        <f t="shared" si="497"/>
        <v>0</v>
      </c>
      <c r="O2194" s="101">
        <f t="shared" si="498"/>
        <v>0</v>
      </c>
      <c r="P2194" s="52">
        <f t="shared" si="499"/>
        <v>0</v>
      </c>
      <c r="Q2194" s="49">
        <v>116.88487613461319</v>
      </c>
      <c r="R2194">
        <v>2225</v>
      </c>
      <c r="S2194" s="50">
        <f t="shared" si="495"/>
        <v>71535.307499999995</v>
      </c>
      <c r="T2194" s="50">
        <f t="shared" si="500"/>
        <v>0</v>
      </c>
      <c r="U2194" s="58">
        <f t="shared" si="501"/>
        <v>0</v>
      </c>
      <c r="V2194" s="58">
        <f t="shared" si="502"/>
        <v>0</v>
      </c>
      <c r="W2194" s="58">
        <f t="shared" si="503"/>
        <v>0</v>
      </c>
      <c r="X2194" s="58">
        <f t="shared" si="504"/>
        <v>0</v>
      </c>
      <c r="Y2194" s="52">
        <f t="shared" si="505"/>
        <v>0</v>
      </c>
    </row>
    <row r="2195" spans="1:25" x14ac:dyDescent="0.25">
      <c r="A2195" s="1218" t="s">
        <v>97</v>
      </c>
      <c r="B2195" s="98">
        <v>45809</v>
      </c>
      <c r="C2195" s="117" t="str">
        <f t="shared" si="493"/>
        <v>4L</v>
      </c>
      <c r="F2195" s="99">
        <f t="shared" si="507"/>
        <v>0</v>
      </c>
      <c r="I2195" s="99">
        <f t="shared" si="506"/>
        <v>0</v>
      </c>
      <c r="L2195" s="99">
        <f t="shared" si="494"/>
        <v>0</v>
      </c>
      <c r="M2195" s="44" t="str">
        <f t="shared" si="496"/>
        <v/>
      </c>
      <c r="N2195" s="100">
        <f t="shared" si="497"/>
        <v>0</v>
      </c>
      <c r="O2195" s="101">
        <f t="shared" si="498"/>
        <v>0</v>
      </c>
      <c r="P2195" s="52">
        <f t="shared" si="499"/>
        <v>0</v>
      </c>
      <c r="Q2195" s="49">
        <v>116.88487613461319</v>
      </c>
      <c r="R2195">
        <v>2225</v>
      </c>
      <c r="S2195" s="50">
        <f t="shared" si="495"/>
        <v>71535.307499999995</v>
      </c>
      <c r="T2195" s="50">
        <f t="shared" si="500"/>
        <v>0</v>
      </c>
      <c r="U2195" s="58">
        <f t="shared" si="501"/>
        <v>0</v>
      </c>
      <c r="V2195" s="58">
        <f t="shared" si="502"/>
        <v>0</v>
      </c>
      <c r="W2195" s="58">
        <f t="shared" si="503"/>
        <v>0</v>
      </c>
      <c r="X2195" s="58">
        <f t="shared" si="504"/>
        <v>0</v>
      </c>
      <c r="Y2195" s="52">
        <f t="shared" si="505"/>
        <v>0</v>
      </c>
    </row>
    <row r="2196" spans="1:25" x14ac:dyDescent="0.25">
      <c r="A2196" s="1218" t="s">
        <v>98</v>
      </c>
      <c r="B2196" s="98">
        <v>45809</v>
      </c>
      <c r="C2196" s="117" t="str">
        <f t="shared" ref="C2196:C2260" si="508">LEFT(A2196,2)</f>
        <v>4L</v>
      </c>
      <c r="F2196" s="99">
        <f t="shared" si="507"/>
        <v>0</v>
      </c>
      <c r="I2196" s="99">
        <f t="shared" si="506"/>
        <v>0</v>
      </c>
      <c r="L2196" s="99">
        <f t="shared" si="494"/>
        <v>0</v>
      </c>
      <c r="M2196" s="44" t="str">
        <f t="shared" si="496"/>
        <v/>
      </c>
      <c r="N2196" s="100">
        <f t="shared" si="497"/>
        <v>0</v>
      </c>
      <c r="O2196" s="101">
        <f t="shared" si="498"/>
        <v>0</v>
      </c>
      <c r="P2196" s="52">
        <f t="shared" si="499"/>
        <v>0</v>
      </c>
      <c r="Q2196" s="49">
        <v>116.88487613461319</v>
      </c>
      <c r="R2196">
        <v>2225</v>
      </c>
      <c r="S2196" s="50">
        <f t="shared" si="495"/>
        <v>71535.307499999995</v>
      </c>
      <c r="T2196" s="50">
        <f t="shared" si="500"/>
        <v>0</v>
      </c>
      <c r="U2196" s="58">
        <f t="shared" si="501"/>
        <v>0</v>
      </c>
      <c r="V2196" s="58">
        <f t="shared" si="502"/>
        <v>0</v>
      </c>
      <c r="W2196" s="58">
        <f t="shared" si="503"/>
        <v>0</v>
      </c>
      <c r="X2196" s="58">
        <f t="shared" si="504"/>
        <v>0</v>
      </c>
      <c r="Y2196" s="52">
        <f t="shared" si="505"/>
        <v>0</v>
      </c>
    </row>
    <row r="2197" spans="1:25" x14ac:dyDescent="0.25">
      <c r="A2197" s="1218" t="s">
        <v>99</v>
      </c>
      <c r="B2197" s="98">
        <v>45809</v>
      </c>
      <c r="C2197" s="117" t="str">
        <f t="shared" si="508"/>
        <v>4L</v>
      </c>
      <c r="F2197" s="99">
        <f t="shared" si="507"/>
        <v>0</v>
      </c>
      <c r="I2197" s="99">
        <f t="shared" si="506"/>
        <v>0</v>
      </c>
      <c r="L2197" s="99">
        <f t="shared" si="494"/>
        <v>0</v>
      </c>
      <c r="M2197" s="44" t="str">
        <f t="shared" si="496"/>
        <v/>
      </c>
      <c r="N2197" s="100">
        <f t="shared" si="497"/>
        <v>0</v>
      </c>
      <c r="O2197" s="101">
        <f t="shared" si="498"/>
        <v>0</v>
      </c>
      <c r="P2197" s="52">
        <f t="shared" si="499"/>
        <v>0</v>
      </c>
      <c r="Q2197" s="49">
        <v>116.88487613461319</v>
      </c>
      <c r="R2197">
        <v>2225</v>
      </c>
      <c r="S2197" s="50">
        <f t="shared" si="495"/>
        <v>71535.307499999995</v>
      </c>
      <c r="T2197" s="50">
        <f t="shared" si="500"/>
        <v>0</v>
      </c>
      <c r="U2197" s="58">
        <f t="shared" si="501"/>
        <v>0</v>
      </c>
      <c r="V2197" s="58">
        <f t="shared" si="502"/>
        <v>0</v>
      </c>
      <c r="W2197" s="58">
        <f t="shared" si="503"/>
        <v>0</v>
      </c>
      <c r="X2197" s="58">
        <f t="shared" si="504"/>
        <v>0</v>
      </c>
      <c r="Y2197" s="52">
        <f t="shared" si="505"/>
        <v>0</v>
      </c>
    </row>
    <row r="2198" spans="1:25" x14ac:dyDescent="0.25">
      <c r="A2198" s="1218" t="s">
        <v>100</v>
      </c>
      <c r="B2198" s="98">
        <v>45809</v>
      </c>
      <c r="C2198" s="117" t="str">
        <f t="shared" si="508"/>
        <v>4L</v>
      </c>
      <c r="F2198" s="99">
        <f t="shared" si="507"/>
        <v>0</v>
      </c>
      <c r="I2198" s="99">
        <f t="shared" si="506"/>
        <v>0</v>
      </c>
      <c r="L2198" s="99">
        <f t="shared" si="494"/>
        <v>0</v>
      </c>
      <c r="M2198" s="44" t="str">
        <f t="shared" si="496"/>
        <v/>
      </c>
      <c r="N2198" s="100">
        <f t="shared" si="497"/>
        <v>0</v>
      </c>
      <c r="O2198" s="101">
        <f t="shared" si="498"/>
        <v>0</v>
      </c>
      <c r="P2198" s="52">
        <f t="shared" si="499"/>
        <v>0</v>
      </c>
      <c r="Q2198" s="49">
        <v>116.88487613461319</v>
      </c>
      <c r="R2198">
        <v>2225</v>
      </c>
      <c r="S2198" s="50">
        <f t="shared" si="495"/>
        <v>71535.307499999995</v>
      </c>
      <c r="T2198" s="50">
        <f t="shared" si="500"/>
        <v>0</v>
      </c>
      <c r="U2198" s="58">
        <f t="shared" si="501"/>
        <v>0</v>
      </c>
      <c r="V2198" s="58">
        <f t="shared" si="502"/>
        <v>0</v>
      </c>
      <c r="W2198" s="58">
        <f t="shared" si="503"/>
        <v>0</v>
      </c>
      <c r="X2198" s="58">
        <f t="shared" si="504"/>
        <v>0</v>
      </c>
      <c r="Y2198" s="52">
        <f t="shared" si="505"/>
        <v>0</v>
      </c>
    </row>
    <row r="2199" spans="1:25" x14ac:dyDescent="0.25">
      <c r="A2199" s="1218" t="s">
        <v>101</v>
      </c>
      <c r="B2199" s="98">
        <v>45809</v>
      </c>
      <c r="C2199" s="117" t="str">
        <f t="shared" si="508"/>
        <v>4L</v>
      </c>
      <c r="F2199" s="99">
        <f t="shared" si="507"/>
        <v>0</v>
      </c>
      <c r="I2199" s="99">
        <f t="shared" si="506"/>
        <v>0</v>
      </c>
      <c r="L2199" s="99">
        <f t="shared" ref="L2199:L2267" si="509">IFERROR(J2199*K2199/1000,"")</f>
        <v>0</v>
      </c>
      <c r="M2199" s="44" t="str">
        <f t="shared" si="496"/>
        <v/>
      </c>
      <c r="N2199" s="100">
        <f t="shared" si="497"/>
        <v>0</v>
      </c>
      <c r="O2199" s="101">
        <f t="shared" si="498"/>
        <v>0</v>
      </c>
      <c r="P2199" s="52">
        <f t="shared" si="499"/>
        <v>0</v>
      </c>
      <c r="Q2199" s="49">
        <v>116.88487613461319</v>
      </c>
      <c r="R2199">
        <v>2225</v>
      </c>
      <c r="S2199" s="50">
        <f t="shared" ref="S2199:S2267" si="510">R2199*32.1507</f>
        <v>71535.307499999995</v>
      </c>
      <c r="T2199" s="50">
        <f t="shared" si="500"/>
        <v>0</v>
      </c>
      <c r="U2199" s="58">
        <f t="shared" si="501"/>
        <v>0</v>
      </c>
      <c r="V2199" s="58">
        <f t="shared" si="502"/>
        <v>0</v>
      </c>
      <c r="W2199" s="58">
        <f t="shared" si="503"/>
        <v>0</v>
      </c>
      <c r="X2199" s="58">
        <f t="shared" si="504"/>
        <v>0</v>
      </c>
      <c r="Y2199" s="52">
        <f t="shared" si="505"/>
        <v>0</v>
      </c>
    </row>
    <row r="2200" spans="1:25" x14ac:dyDescent="0.25">
      <c r="A2200" s="1218" t="s">
        <v>102</v>
      </c>
      <c r="B2200" s="98">
        <v>45809</v>
      </c>
      <c r="C2200" s="117" t="str">
        <f t="shared" si="508"/>
        <v>4L</v>
      </c>
      <c r="F2200" s="99">
        <f t="shared" si="507"/>
        <v>0</v>
      </c>
      <c r="I2200" s="99">
        <f t="shared" si="506"/>
        <v>0</v>
      </c>
      <c r="L2200" s="99">
        <f t="shared" si="509"/>
        <v>0</v>
      </c>
      <c r="M2200" s="44" t="str">
        <f t="shared" si="496"/>
        <v/>
      </c>
      <c r="N2200" s="100">
        <f t="shared" si="497"/>
        <v>0</v>
      </c>
      <c r="O2200" s="101">
        <f t="shared" si="498"/>
        <v>0</v>
      </c>
      <c r="P2200" s="52">
        <f t="shared" si="499"/>
        <v>0</v>
      </c>
      <c r="Q2200" s="49">
        <v>116.88487613461319</v>
      </c>
      <c r="R2200">
        <v>2225</v>
      </c>
      <c r="S2200" s="50">
        <f t="shared" si="510"/>
        <v>71535.307499999995</v>
      </c>
      <c r="T2200" s="50">
        <f t="shared" si="500"/>
        <v>0</v>
      </c>
      <c r="U2200" s="58">
        <f t="shared" si="501"/>
        <v>0</v>
      </c>
      <c r="V2200" s="58">
        <f t="shared" si="502"/>
        <v>0</v>
      </c>
      <c r="W2200" s="58">
        <f t="shared" si="503"/>
        <v>0</v>
      </c>
      <c r="X2200" s="58">
        <f t="shared" si="504"/>
        <v>0</v>
      </c>
      <c r="Y2200" s="52">
        <f t="shared" si="505"/>
        <v>0</v>
      </c>
    </row>
    <row r="2201" spans="1:25" x14ac:dyDescent="0.25">
      <c r="A2201" s="1218" t="s">
        <v>103</v>
      </c>
      <c r="B2201" s="98">
        <v>45809</v>
      </c>
      <c r="C2201" s="117" t="str">
        <f t="shared" si="508"/>
        <v>4L</v>
      </c>
      <c r="F2201" s="99">
        <f t="shared" si="507"/>
        <v>0</v>
      </c>
      <c r="I2201" s="99">
        <f t="shared" si="506"/>
        <v>0</v>
      </c>
      <c r="L2201" s="99">
        <f t="shared" si="509"/>
        <v>0</v>
      </c>
      <c r="M2201" s="44" t="str">
        <f t="shared" ref="M2201:M2269" si="511">IFERROR((L2201-I2201)/I2201,"")</f>
        <v/>
      </c>
      <c r="N2201" s="100">
        <f t="shared" ref="N2201:N2269" si="512">J2201-G2201</f>
        <v>0</v>
      </c>
      <c r="O2201" s="101">
        <f t="shared" ref="O2201:O2269" si="513">L2201-I2201</f>
        <v>0</v>
      </c>
      <c r="P2201" s="52">
        <f t="shared" ref="P2201:P2269" si="514">U2201-W2201</f>
        <v>0</v>
      </c>
      <c r="Q2201" s="49">
        <v>116.88487613461319</v>
      </c>
      <c r="R2201">
        <v>2225</v>
      </c>
      <c r="S2201" s="50">
        <f t="shared" si="510"/>
        <v>71535.307499999995</v>
      </c>
      <c r="T2201" s="50">
        <f t="shared" ref="T2201:T2269" si="515">IFERROR(S2201*I2201,"")</f>
        <v>0</v>
      </c>
      <c r="U2201" s="58">
        <f t="shared" ref="U2201:U2269" si="516">IFERROR(S2201*L2201,"")</f>
        <v>0</v>
      </c>
      <c r="V2201" s="58">
        <f t="shared" ref="V2201:V2269" si="517">IFERROR(Q2201*G2201,"")</f>
        <v>0</v>
      </c>
      <c r="W2201" s="58">
        <f t="shared" ref="W2201:W2269" si="518">IFERROR(Q2201*J2201,"")</f>
        <v>0</v>
      </c>
      <c r="X2201" s="58">
        <f t="shared" ref="X2201:X2269" si="519">T2201-V2201</f>
        <v>0</v>
      </c>
      <c r="Y2201" s="52">
        <f t="shared" ref="Y2201:Y2269" si="520">U2201-W2201</f>
        <v>0</v>
      </c>
    </row>
    <row r="2202" spans="1:25" x14ac:dyDescent="0.25">
      <c r="A2202" s="1218" t="s">
        <v>104</v>
      </c>
      <c r="B2202" s="98">
        <v>45809</v>
      </c>
      <c r="C2202" s="117" t="str">
        <f t="shared" si="508"/>
        <v>4L</v>
      </c>
      <c r="F2202" s="99">
        <f t="shared" si="507"/>
        <v>0</v>
      </c>
      <c r="I2202" s="99">
        <f t="shared" si="506"/>
        <v>0</v>
      </c>
      <c r="L2202" s="99">
        <f t="shared" si="509"/>
        <v>0</v>
      </c>
      <c r="M2202" s="44" t="str">
        <f t="shared" si="511"/>
        <v/>
      </c>
      <c r="N2202" s="100">
        <f t="shared" si="512"/>
        <v>0</v>
      </c>
      <c r="O2202" s="101">
        <f t="shared" si="513"/>
        <v>0</v>
      </c>
      <c r="P2202" s="52">
        <f t="shared" si="514"/>
        <v>0</v>
      </c>
      <c r="Q2202" s="49">
        <v>116.88487613461319</v>
      </c>
      <c r="R2202">
        <v>2225</v>
      </c>
      <c r="S2202" s="50">
        <f t="shared" si="510"/>
        <v>71535.307499999995</v>
      </c>
      <c r="T2202" s="50">
        <f t="shared" si="515"/>
        <v>0</v>
      </c>
      <c r="U2202" s="58">
        <f t="shared" si="516"/>
        <v>0</v>
      </c>
      <c r="V2202" s="58">
        <f t="shared" si="517"/>
        <v>0</v>
      </c>
      <c r="W2202" s="58">
        <f t="shared" si="518"/>
        <v>0</v>
      </c>
      <c r="X2202" s="58">
        <f t="shared" si="519"/>
        <v>0</v>
      </c>
      <c r="Y2202" s="52">
        <f t="shared" si="520"/>
        <v>0</v>
      </c>
    </row>
    <row r="2203" spans="1:25" x14ac:dyDescent="0.25">
      <c r="A2203" s="1218" t="s">
        <v>105</v>
      </c>
      <c r="B2203" s="98">
        <v>45809</v>
      </c>
      <c r="C2203" s="117" t="str">
        <f t="shared" si="508"/>
        <v>4L</v>
      </c>
      <c r="F2203" s="99">
        <f t="shared" si="507"/>
        <v>0</v>
      </c>
      <c r="I2203" s="99">
        <f t="shared" si="506"/>
        <v>0</v>
      </c>
      <c r="L2203" s="99">
        <f t="shared" si="509"/>
        <v>0</v>
      </c>
      <c r="M2203" s="44" t="str">
        <f t="shared" si="511"/>
        <v/>
      </c>
      <c r="N2203" s="100">
        <f t="shared" si="512"/>
        <v>0</v>
      </c>
      <c r="O2203" s="101">
        <f t="shared" si="513"/>
        <v>0</v>
      </c>
      <c r="P2203" s="52">
        <f t="shared" si="514"/>
        <v>0</v>
      </c>
      <c r="Q2203" s="49">
        <v>116.88487613461319</v>
      </c>
      <c r="R2203">
        <v>2225</v>
      </c>
      <c r="S2203" s="50">
        <f t="shared" si="510"/>
        <v>71535.307499999995</v>
      </c>
      <c r="T2203" s="50">
        <f t="shared" si="515"/>
        <v>0</v>
      </c>
      <c r="U2203" s="58">
        <f t="shared" si="516"/>
        <v>0</v>
      </c>
      <c r="V2203" s="58">
        <f t="shared" si="517"/>
        <v>0</v>
      </c>
      <c r="W2203" s="58">
        <f t="shared" si="518"/>
        <v>0</v>
      </c>
      <c r="X2203" s="58">
        <f t="shared" si="519"/>
        <v>0</v>
      </c>
      <c r="Y2203" s="52">
        <f t="shared" si="520"/>
        <v>0</v>
      </c>
    </row>
    <row r="2204" spans="1:25" x14ac:dyDescent="0.25">
      <c r="A2204" s="1218" t="s">
        <v>106</v>
      </c>
      <c r="B2204" s="98">
        <v>45809</v>
      </c>
      <c r="C2204" s="117" t="str">
        <f t="shared" si="508"/>
        <v>4L</v>
      </c>
      <c r="F2204" s="99">
        <f t="shared" si="507"/>
        <v>0</v>
      </c>
      <c r="I2204" s="99">
        <f t="shared" si="506"/>
        <v>0</v>
      </c>
      <c r="L2204" s="99">
        <f t="shared" si="509"/>
        <v>0</v>
      </c>
      <c r="M2204" s="44" t="str">
        <f t="shared" si="511"/>
        <v/>
      </c>
      <c r="N2204" s="100">
        <f t="shared" si="512"/>
        <v>0</v>
      </c>
      <c r="O2204" s="101">
        <f t="shared" si="513"/>
        <v>0</v>
      </c>
      <c r="P2204" s="52">
        <f t="shared" si="514"/>
        <v>0</v>
      </c>
      <c r="Q2204" s="49">
        <v>116.88487613461319</v>
      </c>
      <c r="R2204">
        <v>2225</v>
      </c>
      <c r="S2204" s="50">
        <f t="shared" si="510"/>
        <v>71535.307499999995</v>
      </c>
      <c r="T2204" s="50">
        <f t="shared" si="515"/>
        <v>0</v>
      </c>
      <c r="U2204" s="58">
        <f t="shared" si="516"/>
        <v>0</v>
      </c>
      <c r="V2204" s="58">
        <f t="shared" si="517"/>
        <v>0</v>
      </c>
      <c r="W2204" s="58">
        <f t="shared" si="518"/>
        <v>0</v>
      </c>
      <c r="X2204" s="58">
        <f t="shared" si="519"/>
        <v>0</v>
      </c>
      <c r="Y2204" s="52">
        <f t="shared" si="520"/>
        <v>0</v>
      </c>
    </row>
    <row r="2205" spans="1:25" x14ac:dyDescent="0.25">
      <c r="A2205" s="1218" t="s">
        <v>107</v>
      </c>
      <c r="B2205" s="98">
        <v>45809</v>
      </c>
      <c r="C2205" s="117" t="str">
        <f t="shared" si="508"/>
        <v>4L</v>
      </c>
      <c r="F2205" s="99">
        <f t="shared" si="507"/>
        <v>0</v>
      </c>
      <c r="I2205" s="99">
        <f t="shared" si="506"/>
        <v>0</v>
      </c>
      <c r="L2205" s="99">
        <f t="shared" si="509"/>
        <v>0</v>
      </c>
      <c r="M2205" s="44" t="str">
        <f t="shared" si="511"/>
        <v/>
      </c>
      <c r="N2205" s="100">
        <f t="shared" si="512"/>
        <v>0</v>
      </c>
      <c r="O2205" s="101">
        <f t="shared" si="513"/>
        <v>0</v>
      </c>
      <c r="P2205" s="52">
        <f t="shared" si="514"/>
        <v>0</v>
      </c>
      <c r="Q2205" s="49">
        <v>116.88487613461319</v>
      </c>
      <c r="R2205">
        <v>2225</v>
      </c>
      <c r="S2205" s="50">
        <f t="shared" si="510"/>
        <v>71535.307499999995</v>
      </c>
      <c r="T2205" s="50">
        <f t="shared" si="515"/>
        <v>0</v>
      </c>
      <c r="U2205" s="58">
        <f t="shared" si="516"/>
        <v>0</v>
      </c>
      <c r="V2205" s="58">
        <f t="shared" si="517"/>
        <v>0</v>
      </c>
      <c r="W2205" s="58">
        <f t="shared" si="518"/>
        <v>0</v>
      </c>
      <c r="X2205" s="58">
        <f t="shared" si="519"/>
        <v>0</v>
      </c>
      <c r="Y2205" s="52">
        <f t="shared" si="520"/>
        <v>0</v>
      </c>
    </row>
    <row r="2206" spans="1:25" x14ac:dyDescent="0.25">
      <c r="A2206" s="1218" t="s">
        <v>108</v>
      </c>
      <c r="B2206" s="98">
        <v>45809</v>
      </c>
      <c r="C2206" s="117" t="str">
        <f t="shared" si="508"/>
        <v>4L</v>
      </c>
      <c r="F2206" s="99">
        <f t="shared" si="507"/>
        <v>0</v>
      </c>
      <c r="I2206" s="99">
        <f t="shared" si="506"/>
        <v>0</v>
      </c>
      <c r="L2206" s="99">
        <f t="shared" si="509"/>
        <v>0</v>
      </c>
      <c r="M2206" s="44" t="str">
        <f t="shared" si="511"/>
        <v/>
      </c>
      <c r="N2206" s="100">
        <f t="shared" si="512"/>
        <v>0</v>
      </c>
      <c r="O2206" s="101">
        <f t="shared" si="513"/>
        <v>0</v>
      </c>
      <c r="P2206" s="52">
        <f t="shared" si="514"/>
        <v>0</v>
      </c>
      <c r="Q2206" s="49">
        <v>116.88487613461319</v>
      </c>
      <c r="R2206">
        <v>2225</v>
      </c>
      <c r="S2206" s="50">
        <f t="shared" si="510"/>
        <v>71535.307499999995</v>
      </c>
      <c r="T2206" s="50">
        <f t="shared" si="515"/>
        <v>0</v>
      </c>
      <c r="U2206" s="58">
        <f t="shared" si="516"/>
        <v>0</v>
      </c>
      <c r="V2206" s="58">
        <f t="shared" si="517"/>
        <v>0</v>
      </c>
      <c r="W2206" s="58">
        <f t="shared" si="518"/>
        <v>0</v>
      </c>
      <c r="X2206" s="58">
        <f t="shared" si="519"/>
        <v>0</v>
      </c>
      <c r="Y2206" s="52">
        <f t="shared" si="520"/>
        <v>0</v>
      </c>
    </row>
    <row r="2207" spans="1:25" x14ac:dyDescent="0.25">
      <c r="A2207" s="1218" t="s">
        <v>109</v>
      </c>
      <c r="B2207" s="98">
        <v>45809</v>
      </c>
      <c r="C2207" s="117" t="str">
        <f t="shared" si="508"/>
        <v>4L</v>
      </c>
      <c r="F2207" s="99">
        <f t="shared" si="507"/>
        <v>0</v>
      </c>
      <c r="I2207" s="99">
        <f t="shared" si="506"/>
        <v>0</v>
      </c>
      <c r="L2207" s="99">
        <f t="shared" si="509"/>
        <v>0</v>
      </c>
      <c r="M2207" s="44" t="str">
        <f t="shared" si="511"/>
        <v/>
      </c>
      <c r="N2207" s="100">
        <f t="shared" si="512"/>
        <v>0</v>
      </c>
      <c r="O2207" s="101">
        <f t="shared" si="513"/>
        <v>0</v>
      </c>
      <c r="P2207" s="52">
        <f t="shared" si="514"/>
        <v>0</v>
      </c>
      <c r="Q2207" s="49">
        <v>116.88487613461319</v>
      </c>
      <c r="R2207">
        <v>2225</v>
      </c>
      <c r="S2207" s="50">
        <f t="shared" si="510"/>
        <v>71535.307499999995</v>
      </c>
      <c r="T2207" s="50">
        <f t="shared" si="515"/>
        <v>0</v>
      </c>
      <c r="U2207" s="58">
        <f t="shared" si="516"/>
        <v>0</v>
      </c>
      <c r="V2207" s="58">
        <f t="shared" si="517"/>
        <v>0</v>
      </c>
      <c r="W2207" s="58">
        <f t="shared" si="518"/>
        <v>0</v>
      </c>
      <c r="X2207" s="58">
        <f t="shared" si="519"/>
        <v>0</v>
      </c>
      <c r="Y2207" s="52">
        <f t="shared" si="520"/>
        <v>0</v>
      </c>
    </row>
    <row r="2208" spans="1:25" x14ac:dyDescent="0.25">
      <c r="A2208" s="1218" t="s">
        <v>110</v>
      </c>
      <c r="B2208" s="98">
        <v>45809</v>
      </c>
      <c r="C2208" s="117" t="str">
        <f t="shared" si="508"/>
        <v>4L</v>
      </c>
      <c r="F2208" s="99">
        <f t="shared" si="507"/>
        <v>0</v>
      </c>
      <c r="I2208" s="99">
        <f t="shared" si="506"/>
        <v>0</v>
      </c>
      <c r="L2208" s="99">
        <f t="shared" si="509"/>
        <v>0</v>
      </c>
      <c r="M2208" s="44" t="str">
        <f t="shared" si="511"/>
        <v/>
      </c>
      <c r="N2208" s="100">
        <f t="shared" si="512"/>
        <v>0</v>
      </c>
      <c r="O2208" s="101">
        <f t="shared" si="513"/>
        <v>0</v>
      </c>
      <c r="P2208" s="52">
        <f t="shared" si="514"/>
        <v>0</v>
      </c>
      <c r="Q2208" s="49">
        <v>116.88487613461319</v>
      </c>
      <c r="R2208">
        <v>2225</v>
      </c>
      <c r="S2208" s="50">
        <f t="shared" si="510"/>
        <v>71535.307499999995</v>
      </c>
      <c r="T2208" s="50">
        <f t="shared" si="515"/>
        <v>0</v>
      </c>
      <c r="U2208" s="58">
        <f t="shared" si="516"/>
        <v>0</v>
      </c>
      <c r="V2208" s="58">
        <f t="shared" si="517"/>
        <v>0</v>
      </c>
      <c r="W2208" s="58">
        <f t="shared" si="518"/>
        <v>0</v>
      </c>
      <c r="X2208" s="58">
        <f t="shared" si="519"/>
        <v>0</v>
      </c>
      <c r="Y2208" s="52">
        <f t="shared" si="520"/>
        <v>0</v>
      </c>
    </row>
    <row r="2209" spans="1:25" x14ac:dyDescent="0.25">
      <c r="A2209" s="1218" t="s">
        <v>111</v>
      </c>
      <c r="B2209" s="98">
        <v>45809</v>
      </c>
      <c r="C2209" s="117" t="str">
        <f t="shared" si="508"/>
        <v>4L</v>
      </c>
      <c r="F2209" s="99">
        <f t="shared" si="507"/>
        <v>0</v>
      </c>
      <c r="I2209" s="99">
        <f t="shared" si="506"/>
        <v>0</v>
      </c>
      <c r="L2209" s="99">
        <f t="shared" si="509"/>
        <v>0</v>
      </c>
      <c r="M2209" s="44" t="str">
        <f t="shared" si="511"/>
        <v/>
      </c>
      <c r="N2209" s="100">
        <f t="shared" si="512"/>
        <v>0</v>
      </c>
      <c r="O2209" s="101">
        <f t="shared" si="513"/>
        <v>0</v>
      </c>
      <c r="P2209" s="52">
        <f t="shared" si="514"/>
        <v>0</v>
      </c>
      <c r="Q2209" s="49">
        <v>116.88487613461319</v>
      </c>
      <c r="R2209">
        <v>2225</v>
      </c>
      <c r="S2209" s="50">
        <f t="shared" si="510"/>
        <v>71535.307499999995</v>
      </c>
      <c r="T2209" s="50">
        <f t="shared" si="515"/>
        <v>0</v>
      </c>
      <c r="U2209" s="58">
        <f t="shared" si="516"/>
        <v>0</v>
      </c>
      <c r="V2209" s="58">
        <f t="shared" si="517"/>
        <v>0</v>
      </c>
      <c r="W2209" s="58">
        <f t="shared" si="518"/>
        <v>0</v>
      </c>
      <c r="X2209" s="58">
        <f t="shared" si="519"/>
        <v>0</v>
      </c>
      <c r="Y2209" s="52">
        <f t="shared" si="520"/>
        <v>0</v>
      </c>
    </row>
    <row r="2210" spans="1:25" x14ac:dyDescent="0.25">
      <c r="A2210" s="1218" t="s">
        <v>112</v>
      </c>
      <c r="B2210" s="98">
        <v>45809</v>
      </c>
      <c r="C2210" s="117" t="str">
        <f t="shared" si="508"/>
        <v>4L</v>
      </c>
      <c r="F2210" s="99">
        <f t="shared" si="507"/>
        <v>0</v>
      </c>
      <c r="I2210" s="99">
        <f t="shared" si="506"/>
        <v>0</v>
      </c>
      <c r="L2210" s="99">
        <f t="shared" si="509"/>
        <v>0</v>
      </c>
      <c r="M2210" s="44" t="str">
        <f t="shared" si="511"/>
        <v/>
      </c>
      <c r="N2210" s="100">
        <f t="shared" si="512"/>
        <v>0</v>
      </c>
      <c r="O2210" s="101">
        <f t="shared" si="513"/>
        <v>0</v>
      </c>
      <c r="P2210" s="52">
        <f t="shared" si="514"/>
        <v>0</v>
      </c>
      <c r="Q2210" s="49">
        <v>116.88487613461319</v>
      </c>
      <c r="R2210">
        <v>2225</v>
      </c>
      <c r="S2210" s="50">
        <f t="shared" si="510"/>
        <v>71535.307499999995</v>
      </c>
      <c r="T2210" s="50">
        <f t="shared" si="515"/>
        <v>0</v>
      </c>
      <c r="U2210" s="58">
        <f t="shared" si="516"/>
        <v>0</v>
      </c>
      <c r="V2210" s="58">
        <f t="shared" si="517"/>
        <v>0</v>
      </c>
      <c r="W2210" s="58">
        <f t="shared" si="518"/>
        <v>0</v>
      </c>
      <c r="X2210" s="58">
        <f t="shared" si="519"/>
        <v>0</v>
      </c>
      <c r="Y2210" s="52">
        <f t="shared" si="520"/>
        <v>0</v>
      </c>
    </row>
    <row r="2211" spans="1:25" x14ac:dyDescent="0.25">
      <c r="A2211" s="1218" t="s">
        <v>113</v>
      </c>
      <c r="B2211" s="98">
        <v>45809</v>
      </c>
      <c r="C2211" s="117" t="str">
        <f t="shared" si="508"/>
        <v>4L</v>
      </c>
      <c r="F2211" s="99">
        <f t="shared" si="507"/>
        <v>0</v>
      </c>
      <c r="I2211" s="99">
        <f t="shared" si="506"/>
        <v>0</v>
      </c>
      <c r="L2211" s="99">
        <f t="shared" si="509"/>
        <v>0</v>
      </c>
      <c r="M2211" s="44" t="str">
        <f t="shared" si="511"/>
        <v/>
      </c>
      <c r="N2211" s="100">
        <f t="shared" si="512"/>
        <v>0</v>
      </c>
      <c r="O2211" s="101">
        <f t="shared" si="513"/>
        <v>0</v>
      </c>
      <c r="P2211" s="52">
        <f t="shared" si="514"/>
        <v>0</v>
      </c>
      <c r="Q2211" s="49">
        <v>116.88487613461319</v>
      </c>
      <c r="R2211">
        <v>2225</v>
      </c>
      <c r="S2211" s="50">
        <f t="shared" si="510"/>
        <v>71535.307499999995</v>
      </c>
      <c r="T2211" s="50">
        <f t="shared" si="515"/>
        <v>0</v>
      </c>
      <c r="U2211" s="58">
        <f t="shared" si="516"/>
        <v>0</v>
      </c>
      <c r="V2211" s="58">
        <f t="shared" si="517"/>
        <v>0</v>
      </c>
      <c r="W2211" s="58">
        <f t="shared" si="518"/>
        <v>0</v>
      </c>
      <c r="X2211" s="58">
        <f t="shared" si="519"/>
        <v>0</v>
      </c>
      <c r="Y2211" s="52">
        <f t="shared" si="520"/>
        <v>0</v>
      </c>
    </row>
    <row r="2212" spans="1:25" x14ac:dyDescent="0.25">
      <c r="A2212" s="1218" t="s">
        <v>114</v>
      </c>
      <c r="B2212" s="98">
        <v>45809</v>
      </c>
      <c r="C2212" s="117" t="str">
        <f t="shared" si="508"/>
        <v>4L</v>
      </c>
      <c r="D2212">
        <v>1873</v>
      </c>
      <c r="E2212">
        <v>1.4</v>
      </c>
      <c r="F2212" s="99">
        <f t="shared" si="507"/>
        <v>2.6221999999999999</v>
      </c>
      <c r="I2212" s="99">
        <f t="shared" si="506"/>
        <v>0</v>
      </c>
      <c r="L2212" s="99">
        <f t="shared" si="509"/>
        <v>0</v>
      </c>
      <c r="M2212" s="44" t="str">
        <f t="shared" si="511"/>
        <v/>
      </c>
      <c r="N2212" s="100">
        <f t="shared" si="512"/>
        <v>0</v>
      </c>
      <c r="O2212" s="101">
        <f t="shared" si="513"/>
        <v>0</v>
      </c>
      <c r="P2212" s="52">
        <f t="shared" si="514"/>
        <v>0</v>
      </c>
      <c r="Q2212" s="49">
        <v>116.88487613461319</v>
      </c>
      <c r="R2212">
        <v>2225</v>
      </c>
      <c r="S2212" s="50">
        <f t="shared" si="510"/>
        <v>71535.307499999995</v>
      </c>
      <c r="T2212" s="50">
        <f t="shared" si="515"/>
        <v>0</v>
      </c>
      <c r="U2212" s="58">
        <f t="shared" si="516"/>
        <v>0</v>
      </c>
      <c r="V2212" s="58">
        <f t="shared" si="517"/>
        <v>0</v>
      </c>
      <c r="W2212" s="58">
        <f t="shared" si="518"/>
        <v>0</v>
      </c>
      <c r="X2212" s="58">
        <f t="shared" si="519"/>
        <v>0</v>
      </c>
      <c r="Y2212" s="52">
        <f t="shared" si="520"/>
        <v>0</v>
      </c>
    </row>
    <row r="2213" spans="1:25" x14ac:dyDescent="0.25">
      <c r="A2213" s="1218" t="s">
        <v>115</v>
      </c>
      <c r="B2213" s="98">
        <v>45809</v>
      </c>
      <c r="C2213" s="117" t="str">
        <f t="shared" si="508"/>
        <v>4L</v>
      </c>
      <c r="F2213" s="99">
        <f t="shared" si="507"/>
        <v>0</v>
      </c>
      <c r="I2213" s="99">
        <f t="shared" si="506"/>
        <v>0</v>
      </c>
      <c r="L2213" s="99">
        <f t="shared" si="509"/>
        <v>0</v>
      </c>
      <c r="M2213" s="44" t="str">
        <f t="shared" si="511"/>
        <v/>
      </c>
      <c r="N2213" s="100">
        <f t="shared" si="512"/>
        <v>0</v>
      </c>
      <c r="O2213" s="101">
        <f t="shared" si="513"/>
        <v>0</v>
      </c>
      <c r="P2213" s="52">
        <f t="shared" si="514"/>
        <v>0</v>
      </c>
      <c r="Q2213" s="49">
        <v>116.88487613461319</v>
      </c>
      <c r="R2213">
        <v>2225</v>
      </c>
      <c r="S2213" s="50">
        <f t="shared" si="510"/>
        <v>71535.307499999995</v>
      </c>
      <c r="T2213" s="50">
        <f t="shared" si="515"/>
        <v>0</v>
      </c>
      <c r="U2213" s="58">
        <f t="shared" si="516"/>
        <v>0</v>
      </c>
      <c r="V2213" s="58">
        <f t="shared" si="517"/>
        <v>0</v>
      </c>
      <c r="W2213" s="58">
        <f t="shared" si="518"/>
        <v>0</v>
      </c>
      <c r="X2213" s="58">
        <f t="shared" si="519"/>
        <v>0</v>
      </c>
      <c r="Y2213" s="52">
        <f t="shared" si="520"/>
        <v>0</v>
      </c>
    </row>
    <row r="2214" spans="1:25" x14ac:dyDescent="0.25">
      <c r="A2214" s="1218" t="s">
        <v>116</v>
      </c>
      <c r="B2214" s="98">
        <v>45809</v>
      </c>
      <c r="C2214" s="117" t="str">
        <f t="shared" si="508"/>
        <v>4L</v>
      </c>
      <c r="F2214" s="99">
        <f t="shared" si="507"/>
        <v>0</v>
      </c>
      <c r="I2214" s="99">
        <f t="shared" si="506"/>
        <v>0</v>
      </c>
      <c r="L2214" s="99">
        <f t="shared" si="509"/>
        <v>0</v>
      </c>
      <c r="M2214" s="44" t="str">
        <f t="shared" si="511"/>
        <v/>
      </c>
      <c r="N2214" s="100">
        <f t="shared" si="512"/>
        <v>0</v>
      </c>
      <c r="O2214" s="101">
        <f t="shared" si="513"/>
        <v>0</v>
      </c>
      <c r="P2214" s="52">
        <f t="shared" si="514"/>
        <v>0</v>
      </c>
      <c r="Q2214" s="49">
        <v>116.88487613461319</v>
      </c>
      <c r="R2214">
        <v>2225</v>
      </c>
      <c r="S2214" s="50">
        <f t="shared" si="510"/>
        <v>71535.307499999995</v>
      </c>
      <c r="T2214" s="50">
        <f t="shared" si="515"/>
        <v>0</v>
      </c>
      <c r="U2214" s="58">
        <f t="shared" si="516"/>
        <v>0</v>
      </c>
      <c r="V2214" s="58">
        <f t="shared" si="517"/>
        <v>0</v>
      </c>
      <c r="W2214" s="58">
        <f t="shared" si="518"/>
        <v>0</v>
      </c>
      <c r="X2214" s="58">
        <f t="shared" si="519"/>
        <v>0</v>
      </c>
      <c r="Y2214" s="52">
        <f t="shared" si="520"/>
        <v>0</v>
      </c>
    </row>
    <row r="2215" spans="1:25" x14ac:dyDescent="0.25">
      <c r="A2215" s="1218" t="s">
        <v>117</v>
      </c>
      <c r="B2215" s="98">
        <v>45809</v>
      </c>
      <c r="C2215" s="117" t="str">
        <f t="shared" si="508"/>
        <v>4L</v>
      </c>
      <c r="F2215" s="99">
        <f t="shared" si="507"/>
        <v>0</v>
      </c>
      <c r="I2215" s="99">
        <f t="shared" si="506"/>
        <v>0</v>
      </c>
      <c r="L2215" s="99">
        <f t="shared" si="509"/>
        <v>0</v>
      </c>
      <c r="M2215" s="44" t="str">
        <f t="shared" si="511"/>
        <v/>
      </c>
      <c r="N2215" s="100">
        <f t="shared" si="512"/>
        <v>0</v>
      </c>
      <c r="O2215" s="101">
        <f t="shared" si="513"/>
        <v>0</v>
      </c>
      <c r="P2215" s="52">
        <f t="shared" si="514"/>
        <v>0</v>
      </c>
      <c r="Q2215" s="49">
        <v>116.88487613461319</v>
      </c>
      <c r="R2215">
        <v>2225</v>
      </c>
      <c r="S2215" s="50">
        <f t="shared" si="510"/>
        <v>71535.307499999995</v>
      </c>
      <c r="T2215" s="50">
        <f t="shared" si="515"/>
        <v>0</v>
      </c>
      <c r="U2215" s="58">
        <f t="shared" si="516"/>
        <v>0</v>
      </c>
      <c r="V2215" s="58">
        <f t="shared" si="517"/>
        <v>0</v>
      </c>
      <c r="W2215" s="58">
        <f t="shared" si="518"/>
        <v>0</v>
      </c>
      <c r="X2215" s="58">
        <f t="shared" si="519"/>
        <v>0</v>
      </c>
      <c r="Y2215" s="52">
        <f t="shared" si="520"/>
        <v>0</v>
      </c>
    </row>
    <row r="2216" spans="1:25" x14ac:dyDescent="0.25">
      <c r="A2216" s="1218" t="s">
        <v>118</v>
      </c>
      <c r="B2216" s="98">
        <v>45809</v>
      </c>
      <c r="C2216" s="117" t="str">
        <f t="shared" si="508"/>
        <v>4L</v>
      </c>
      <c r="F2216" s="99">
        <f t="shared" si="507"/>
        <v>0</v>
      </c>
      <c r="I2216" s="99">
        <f t="shared" si="506"/>
        <v>0</v>
      </c>
      <c r="L2216" s="99">
        <f t="shared" si="509"/>
        <v>0</v>
      </c>
      <c r="M2216" s="44" t="str">
        <f t="shared" si="511"/>
        <v/>
      </c>
      <c r="N2216" s="100">
        <f t="shared" si="512"/>
        <v>0</v>
      </c>
      <c r="O2216" s="101">
        <f t="shared" si="513"/>
        <v>0</v>
      </c>
      <c r="P2216" s="52">
        <f t="shared" si="514"/>
        <v>0</v>
      </c>
      <c r="Q2216" s="49">
        <v>116.88487613461319</v>
      </c>
      <c r="R2216">
        <v>2225</v>
      </c>
      <c r="S2216" s="50">
        <f t="shared" si="510"/>
        <v>71535.307499999995</v>
      </c>
      <c r="T2216" s="50">
        <f t="shared" si="515"/>
        <v>0</v>
      </c>
      <c r="U2216" s="58">
        <f t="shared" si="516"/>
        <v>0</v>
      </c>
      <c r="V2216" s="58">
        <f t="shared" si="517"/>
        <v>0</v>
      </c>
      <c r="W2216" s="58">
        <f t="shared" si="518"/>
        <v>0</v>
      </c>
      <c r="X2216" s="58">
        <f t="shared" si="519"/>
        <v>0</v>
      </c>
      <c r="Y2216" s="52">
        <f t="shared" si="520"/>
        <v>0</v>
      </c>
    </row>
    <row r="2217" spans="1:25" x14ac:dyDescent="0.25">
      <c r="A2217" s="1218" t="s">
        <v>119</v>
      </c>
      <c r="B2217" s="98">
        <v>45809</v>
      </c>
      <c r="C2217" s="117" t="str">
        <f t="shared" si="508"/>
        <v>4L</v>
      </c>
      <c r="F2217" s="99">
        <f t="shared" si="507"/>
        <v>0</v>
      </c>
      <c r="I2217" s="99">
        <f t="shared" si="506"/>
        <v>0</v>
      </c>
      <c r="L2217" s="99">
        <f t="shared" si="509"/>
        <v>0</v>
      </c>
      <c r="M2217" s="44" t="str">
        <f t="shared" si="511"/>
        <v/>
      </c>
      <c r="N2217" s="100">
        <f t="shared" si="512"/>
        <v>0</v>
      </c>
      <c r="O2217" s="101">
        <f t="shared" si="513"/>
        <v>0</v>
      </c>
      <c r="P2217" s="52">
        <f t="shared" si="514"/>
        <v>0</v>
      </c>
      <c r="Q2217" s="49">
        <v>116.88487613461319</v>
      </c>
      <c r="R2217">
        <v>2225</v>
      </c>
      <c r="S2217" s="50">
        <f t="shared" si="510"/>
        <v>71535.307499999995</v>
      </c>
      <c r="T2217" s="50">
        <f t="shared" si="515"/>
        <v>0</v>
      </c>
      <c r="U2217" s="58">
        <f t="shared" si="516"/>
        <v>0</v>
      </c>
      <c r="V2217" s="58">
        <f t="shared" si="517"/>
        <v>0</v>
      </c>
      <c r="W2217" s="58">
        <f t="shared" si="518"/>
        <v>0</v>
      </c>
      <c r="X2217" s="58">
        <f t="shared" si="519"/>
        <v>0</v>
      </c>
      <c r="Y2217" s="52">
        <f t="shared" si="520"/>
        <v>0</v>
      </c>
    </row>
    <row r="2218" spans="1:25" x14ac:dyDescent="0.25">
      <c r="A2218" s="1218" t="s">
        <v>120</v>
      </c>
      <c r="B2218" s="98">
        <v>45809</v>
      </c>
      <c r="C2218" s="117" t="str">
        <f t="shared" si="508"/>
        <v>4L</v>
      </c>
      <c r="F2218" s="99">
        <f t="shared" si="507"/>
        <v>0</v>
      </c>
      <c r="I2218" s="99">
        <f t="shared" si="506"/>
        <v>0</v>
      </c>
      <c r="L2218" s="99">
        <f t="shared" si="509"/>
        <v>0</v>
      </c>
      <c r="M2218" s="44" t="str">
        <f t="shared" si="511"/>
        <v/>
      </c>
      <c r="N2218" s="100">
        <f t="shared" si="512"/>
        <v>0</v>
      </c>
      <c r="O2218" s="101">
        <f t="shared" si="513"/>
        <v>0</v>
      </c>
      <c r="P2218" s="52">
        <f t="shared" si="514"/>
        <v>0</v>
      </c>
      <c r="Q2218" s="49">
        <v>116.88487613461319</v>
      </c>
      <c r="R2218">
        <v>2225</v>
      </c>
      <c r="S2218" s="50">
        <f t="shared" si="510"/>
        <v>71535.307499999995</v>
      </c>
      <c r="T2218" s="50">
        <f t="shared" si="515"/>
        <v>0</v>
      </c>
      <c r="U2218" s="58">
        <f t="shared" si="516"/>
        <v>0</v>
      </c>
      <c r="V2218" s="58">
        <f t="shared" si="517"/>
        <v>0</v>
      </c>
      <c r="W2218" s="58">
        <f t="shared" si="518"/>
        <v>0</v>
      </c>
      <c r="X2218" s="58">
        <f t="shared" si="519"/>
        <v>0</v>
      </c>
      <c r="Y2218" s="52">
        <f t="shared" si="520"/>
        <v>0</v>
      </c>
    </row>
    <row r="2219" spans="1:25" x14ac:dyDescent="0.25">
      <c r="A2219" s="1218" t="s">
        <v>121</v>
      </c>
      <c r="B2219" s="98">
        <v>45809</v>
      </c>
      <c r="C2219" s="117" t="str">
        <f t="shared" si="508"/>
        <v>4L</v>
      </c>
      <c r="F2219" s="99">
        <f t="shared" si="507"/>
        <v>0</v>
      </c>
      <c r="I2219" s="99">
        <f t="shared" si="506"/>
        <v>0</v>
      </c>
      <c r="L2219" s="99">
        <f t="shared" si="509"/>
        <v>0</v>
      </c>
      <c r="M2219" s="44" t="str">
        <f t="shared" si="511"/>
        <v/>
      </c>
      <c r="N2219" s="100">
        <f t="shared" si="512"/>
        <v>0</v>
      </c>
      <c r="O2219" s="101">
        <f t="shared" si="513"/>
        <v>0</v>
      </c>
      <c r="P2219" s="52">
        <f t="shared" si="514"/>
        <v>0</v>
      </c>
      <c r="Q2219" s="49">
        <v>116.88487613461319</v>
      </c>
      <c r="R2219">
        <v>2225</v>
      </c>
      <c r="S2219" s="50">
        <f t="shared" si="510"/>
        <v>71535.307499999995</v>
      </c>
      <c r="T2219" s="50">
        <f t="shared" si="515"/>
        <v>0</v>
      </c>
      <c r="U2219" s="58">
        <f t="shared" si="516"/>
        <v>0</v>
      </c>
      <c r="V2219" s="58">
        <f t="shared" si="517"/>
        <v>0</v>
      </c>
      <c r="W2219" s="58">
        <f t="shared" si="518"/>
        <v>0</v>
      </c>
      <c r="X2219" s="58">
        <f t="shared" si="519"/>
        <v>0</v>
      </c>
      <c r="Y2219" s="52">
        <f t="shared" si="520"/>
        <v>0</v>
      </c>
    </row>
    <row r="2220" spans="1:25" x14ac:dyDescent="0.25">
      <c r="A2220" s="1218" t="s">
        <v>122</v>
      </c>
      <c r="B2220" s="98">
        <v>45809</v>
      </c>
      <c r="C2220" s="117" t="str">
        <f t="shared" si="508"/>
        <v>4L</v>
      </c>
      <c r="F2220" s="99">
        <f t="shared" si="507"/>
        <v>0</v>
      </c>
      <c r="I2220" s="99">
        <f t="shared" si="506"/>
        <v>0</v>
      </c>
      <c r="L2220" s="99">
        <f t="shared" si="509"/>
        <v>0</v>
      </c>
      <c r="M2220" s="44" t="str">
        <f t="shared" si="511"/>
        <v/>
      </c>
      <c r="N2220" s="100">
        <f t="shared" si="512"/>
        <v>0</v>
      </c>
      <c r="O2220" s="101">
        <f t="shared" si="513"/>
        <v>0</v>
      </c>
      <c r="P2220" s="52">
        <f t="shared" si="514"/>
        <v>0</v>
      </c>
      <c r="Q2220" s="49">
        <v>116.88487613461319</v>
      </c>
      <c r="R2220">
        <v>2225</v>
      </c>
      <c r="S2220" s="50">
        <f t="shared" si="510"/>
        <v>71535.307499999995</v>
      </c>
      <c r="T2220" s="50">
        <f t="shared" si="515"/>
        <v>0</v>
      </c>
      <c r="U2220" s="58">
        <f t="shared" si="516"/>
        <v>0</v>
      </c>
      <c r="V2220" s="58">
        <f t="shared" si="517"/>
        <v>0</v>
      </c>
      <c r="W2220" s="58">
        <f t="shared" si="518"/>
        <v>0</v>
      </c>
      <c r="X2220" s="58">
        <f t="shared" si="519"/>
        <v>0</v>
      </c>
      <c r="Y2220" s="52">
        <f t="shared" si="520"/>
        <v>0</v>
      </c>
    </row>
    <row r="2221" spans="1:25" x14ac:dyDescent="0.25">
      <c r="A2221" s="1218" t="s">
        <v>123</v>
      </c>
      <c r="B2221" s="98">
        <v>45809</v>
      </c>
      <c r="C2221" s="117" t="str">
        <f t="shared" si="508"/>
        <v>4L</v>
      </c>
      <c r="F2221" s="99">
        <f t="shared" si="507"/>
        <v>0</v>
      </c>
      <c r="I2221" s="99">
        <f t="shared" si="506"/>
        <v>0</v>
      </c>
      <c r="L2221" s="99">
        <f t="shared" si="509"/>
        <v>0</v>
      </c>
      <c r="M2221" s="44" t="str">
        <f t="shared" si="511"/>
        <v/>
      </c>
      <c r="N2221" s="100">
        <f t="shared" si="512"/>
        <v>0</v>
      </c>
      <c r="O2221" s="101">
        <f t="shared" si="513"/>
        <v>0</v>
      </c>
      <c r="P2221" s="52">
        <f t="shared" si="514"/>
        <v>0</v>
      </c>
      <c r="Q2221" s="49">
        <v>116.88487613461319</v>
      </c>
      <c r="R2221">
        <v>2225</v>
      </c>
      <c r="S2221" s="50">
        <f t="shared" si="510"/>
        <v>71535.307499999995</v>
      </c>
      <c r="T2221" s="50">
        <f t="shared" si="515"/>
        <v>0</v>
      </c>
      <c r="U2221" s="58">
        <f t="shared" si="516"/>
        <v>0</v>
      </c>
      <c r="V2221" s="58">
        <f t="shared" si="517"/>
        <v>0</v>
      </c>
      <c r="W2221" s="58">
        <f t="shared" si="518"/>
        <v>0</v>
      </c>
      <c r="X2221" s="58">
        <f t="shared" si="519"/>
        <v>0</v>
      </c>
      <c r="Y2221" s="52">
        <f t="shared" si="520"/>
        <v>0</v>
      </c>
    </row>
    <row r="2222" spans="1:25" x14ac:dyDescent="0.25">
      <c r="A2222" s="1218" t="s">
        <v>124</v>
      </c>
      <c r="B2222" s="98">
        <v>45809</v>
      </c>
      <c r="C2222" s="117" t="str">
        <f t="shared" si="508"/>
        <v>4L</v>
      </c>
      <c r="F2222" s="99">
        <f t="shared" si="507"/>
        <v>0</v>
      </c>
      <c r="I2222" s="99">
        <f t="shared" si="506"/>
        <v>0</v>
      </c>
      <c r="L2222" s="99">
        <f t="shared" si="509"/>
        <v>0</v>
      </c>
      <c r="M2222" s="44" t="str">
        <f t="shared" si="511"/>
        <v/>
      </c>
      <c r="N2222" s="100">
        <f t="shared" si="512"/>
        <v>0</v>
      </c>
      <c r="O2222" s="101">
        <f t="shared" si="513"/>
        <v>0</v>
      </c>
      <c r="P2222" s="52">
        <f t="shared" si="514"/>
        <v>0</v>
      </c>
      <c r="Q2222" s="49">
        <v>116.88487613461319</v>
      </c>
      <c r="R2222">
        <v>2225</v>
      </c>
      <c r="S2222" s="50">
        <f t="shared" si="510"/>
        <v>71535.307499999995</v>
      </c>
      <c r="T2222" s="50">
        <f t="shared" si="515"/>
        <v>0</v>
      </c>
      <c r="U2222" s="58">
        <f t="shared" si="516"/>
        <v>0</v>
      </c>
      <c r="V2222" s="58">
        <f t="shared" si="517"/>
        <v>0</v>
      </c>
      <c r="W2222" s="58">
        <f t="shared" si="518"/>
        <v>0</v>
      </c>
      <c r="X2222" s="58">
        <f t="shared" si="519"/>
        <v>0</v>
      </c>
      <c r="Y2222" s="52">
        <f t="shared" si="520"/>
        <v>0</v>
      </c>
    </row>
    <row r="2223" spans="1:25" x14ac:dyDescent="0.25">
      <c r="A2223" s="1218" t="s">
        <v>125</v>
      </c>
      <c r="B2223" s="98">
        <v>45809</v>
      </c>
      <c r="C2223" s="117" t="str">
        <f t="shared" ref="C2223:C2225" si="521">LEFT(A2223,2)</f>
        <v>4L</v>
      </c>
      <c r="F2223" s="99">
        <f t="shared" si="507"/>
        <v>0</v>
      </c>
      <c r="I2223" s="99">
        <f t="shared" si="506"/>
        <v>0</v>
      </c>
      <c r="L2223" s="99">
        <f t="shared" si="509"/>
        <v>0</v>
      </c>
      <c r="M2223" s="44" t="str">
        <f t="shared" si="511"/>
        <v/>
      </c>
      <c r="N2223" s="100">
        <f t="shared" si="512"/>
        <v>0</v>
      </c>
      <c r="O2223" s="101">
        <f t="shared" si="513"/>
        <v>0</v>
      </c>
      <c r="P2223" s="52">
        <f t="shared" si="514"/>
        <v>0</v>
      </c>
      <c r="Q2223" s="49">
        <v>116.88487613461319</v>
      </c>
      <c r="R2223">
        <v>2225</v>
      </c>
      <c r="S2223" s="50">
        <f t="shared" si="510"/>
        <v>71535.307499999995</v>
      </c>
      <c r="T2223" s="50">
        <f t="shared" si="515"/>
        <v>0</v>
      </c>
      <c r="U2223" s="58">
        <f t="shared" si="516"/>
        <v>0</v>
      </c>
      <c r="V2223" s="58">
        <f t="shared" si="517"/>
        <v>0</v>
      </c>
      <c r="W2223" s="58">
        <f t="shared" si="518"/>
        <v>0</v>
      </c>
      <c r="X2223" s="58">
        <f t="shared" si="519"/>
        <v>0</v>
      </c>
      <c r="Y2223" s="52">
        <f t="shared" si="520"/>
        <v>0</v>
      </c>
    </row>
    <row r="2224" spans="1:25" x14ac:dyDescent="0.25">
      <c r="A2224" s="1218" t="s">
        <v>126</v>
      </c>
      <c r="B2224" s="98">
        <v>45809</v>
      </c>
      <c r="C2224" s="117" t="str">
        <f t="shared" si="521"/>
        <v>4L</v>
      </c>
      <c r="F2224" s="99"/>
      <c r="I2224" s="99"/>
      <c r="L2224" s="99"/>
      <c r="M2224" s="44"/>
      <c r="N2224" s="100"/>
      <c r="O2224" s="101"/>
      <c r="P2224" s="52"/>
      <c r="Q2224" s="49"/>
      <c r="S2224" s="50"/>
      <c r="T2224" s="50"/>
      <c r="U2224" s="58"/>
      <c r="V2224" s="58"/>
      <c r="W2224" s="58"/>
      <c r="X2224" s="58"/>
      <c r="Y2224" s="52"/>
    </row>
    <row r="2225" spans="1:25" x14ac:dyDescent="0.25">
      <c r="A2225" s="1218" t="s">
        <v>127</v>
      </c>
      <c r="B2225" s="98">
        <v>45809</v>
      </c>
      <c r="C2225" s="117" t="str">
        <f t="shared" si="521"/>
        <v>4L</v>
      </c>
      <c r="F2225" s="99">
        <f t="shared" si="507"/>
        <v>0</v>
      </c>
      <c r="I2225" s="99">
        <f t="shared" si="506"/>
        <v>0</v>
      </c>
      <c r="L2225" s="99"/>
      <c r="M2225" s="44"/>
      <c r="N2225" s="100"/>
      <c r="O2225" s="101"/>
      <c r="P2225" s="52"/>
      <c r="Q2225" s="49"/>
      <c r="S2225" s="50"/>
      <c r="T2225" s="50"/>
      <c r="U2225" s="58"/>
      <c r="V2225" s="58"/>
      <c r="W2225" s="58"/>
      <c r="X2225" s="58"/>
      <c r="Y2225" s="52"/>
    </row>
    <row r="2226" spans="1:25" x14ac:dyDescent="0.25">
      <c r="A2226" s="1218" t="s">
        <v>128</v>
      </c>
      <c r="B2226" s="98">
        <v>45809</v>
      </c>
      <c r="C2226" s="117" t="str">
        <f t="shared" si="508"/>
        <v>4L</v>
      </c>
      <c r="F2226" s="99">
        <f t="shared" si="507"/>
        <v>0</v>
      </c>
      <c r="I2226" s="99">
        <f t="shared" si="506"/>
        <v>0</v>
      </c>
      <c r="L2226" s="99"/>
      <c r="M2226" s="44"/>
      <c r="N2226" s="100"/>
      <c r="O2226" s="101"/>
      <c r="P2226" s="52"/>
      <c r="Q2226" s="49"/>
      <c r="S2226" s="50"/>
      <c r="T2226" s="50"/>
      <c r="U2226" s="58"/>
      <c r="V2226" s="58"/>
      <c r="W2226" s="58"/>
      <c r="X2226" s="58"/>
      <c r="Y2226" s="52"/>
    </row>
    <row r="2227" spans="1:25" x14ac:dyDescent="0.25">
      <c r="A2227" s="1218" t="s">
        <v>129</v>
      </c>
      <c r="B2227" s="98">
        <v>45809</v>
      </c>
      <c r="C2227" s="117" t="str">
        <f t="shared" si="508"/>
        <v>4L</v>
      </c>
      <c r="F2227" s="99">
        <f t="shared" si="507"/>
        <v>0</v>
      </c>
      <c r="I2227" s="99">
        <f t="shared" si="506"/>
        <v>0</v>
      </c>
      <c r="L2227" s="99">
        <f t="shared" si="509"/>
        <v>0</v>
      </c>
      <c r="M2227" s="44" t="str">
        <f t="shared" si="511"/>
        <v/>
      </c>
      <c r="N2227" s="100">
        <f t="shared" si="512"/>
        <v>0</v>
      </c>
      <c r="O2227" s="101">
        <f t="shared" si="513"/>
        <v>0</v>
      </c>
      <c r="P2227" s="52">
        <f t="shared" si="514"/>
        <v>0</v>
      </c>
      <c r="Q2227" s="49">
        <v>116.88487613461319</v>
      </c>
      <c r="R2227">
        <v>2225</v>
      </c>
      <c r="S2227" s="50">
        <f t="shared" si="510"/>
        <v>71535.307499999995</v>
      </c>
      <c r="T2227" s="50">
        <f t="shared" si="515"/>
        <v>0</v>
      </c>
      <c r="U2227" s="58">
        <f t="shared" si="516"/>
        <v>0</v>
      </c>
      <c r="V2227" s="58">
        <f t="shared" si="517"/>
        <v>0</v>
      </c>
      <c r="W2227" s="58">
        <f t="shared" si="518"/>
        <v>0</v>
      </c>
      <c r="X2227" s="58">
        <f t="shared" si="519"/>
        <v>0</v>
      </c>
      <c r="Y2227" s="52">
        <f t="shared" si="520"/>
        <v>0</v>
      </c>
    </row>
    <row r="2228" spans="1:25" x14ac:dyDescent="0.25">
      <c r="A2228" s="1218" t="s">
        <v>130</v>
      </c>
      <c r="B2228" s="98">
        <v>45809</v>
      </c>
      <c r="C2228" s="117" t="str">
        <f t="shared" si="508"/>
        <v>5L</v>
      </c>
      <c r="F2228" s="99">
        <f t="shared" si="507"/>
        <v>0</v>
      </c>
      <c r="I2228" s="99">
        <f t="shared" si="506"/>
        <v>0</v>
      </c>
      <c r="L2228" s="99">
        <f t="shared" si="509"/>
        <v>0</v>
      </c>
      <c r="M2228" s="44" t="str">
        <f t="shared" si="511"/>
        <v/>
      </c>
      <c r="N2228" s="100">
        <f t="shared" si="512"/>
        <v>0</v>
      </c>
      <c r="O2228" s="101">
        <f t="shared" si="513"/>
        <v>0</v>
      </c>
      <c r="P2228" s="52">
        <f t="shared" si="514"/>
        <v>0</v>
      </c>
      <c r="Q2228" s="49">
        <v>116.88487613461319</v>
      </c>
      <c r="R2228">
        <v>2225</v>
      </c>
      <c r="S2228" s="50">
        <f t="shared" si="510"/>
        <v>71535.307499999995</v>
      </c>
      <c r="T2228" s="50">
        <f t="shared" si="515"/>
        <v>0</v>
      </c>
      <c r="U2228" s="58">
        <f t="shared" si="516"/>
        <v>0</v>
      </c>
      <c r="V2228" s="58">
        <f t="shared" si="517"/>
        <v>0</v>
      </c>
      <c r="W2228" s="58">
        <f t="shared" si="518"/>
        <v>0</v>
      </c>
      <c r="X2228" s="58">
        <f t="shared" si="519"/>
        <v>0</v>
      </c>
      <c r="Y2228" s="52">
        <f t="shared" si="520"/>
        <v>0</v>
      </c>
    </row>
    <row r="2229" spans="1:25" x14ac:dyDescent="0.25">
      <c r="A2229" s="1218" t="s">
        <v>131</v>
      </c>
      <c r="B2229" s="98">
        <v>45809</v>
      </c>
      <c r="C2229" s="117" t="str">
        <f t="shared" si="508"/>
        <v>5L</v>
      </c>
      <c r="F2229" s="99">
        <f t="shared" si="507"/>
        <v>0</v>
      </c>
      <c r="I2229" s="99">
        <f t="shared" si="506"/>
        <v>0</v>
      </c>
      <c r="L2229" s="99">
        <f t="shared" si="509"/>
        <v>0</v>
      </c>
      <c r="M2229" s="44" t="str">
        <f t="shared" si="511"/>
        <v/>
      </c>
      <c r="N2229" s="100">
        <f t="shared" si="512"/>
        <v>0</v>
      </c>
      <c r="O2229" s="101">
        <f t="shared" si="513"/>
        <v>0</v>
      </c>
      <c r="P2229" s="52">
        <f t="shared" si="514"/>
        <v>0</v>
      </c>
      <c r="Q2229" s="49">
        <v>116.88487613461319</v>
      </c>
      <c r="R2229">
        <v>2225</v>
      </c>
      <c r="S2229" s="50">
        <f t="shared" si="510"/>
        <v>71535.307499999995</v>
      </c>
      <c r="T2229" s="50">
        <f t="shared" si="515"/>
        <v>0</v>
      </c>
      <c r="U2229" s="58">
        <f t="shared" si="516"/>
        <v>0</v>
      </c>
      <c r="V2229" s="58">
        <f t="shared" si="517"/>
        <v>0</v>
      </c>
      <c r="W2229" s="58">
        <f t="shared" si="518"/>
        <v>0</v>
      </c>
      <c r="X2229" s="58">
        <f t="shared" si="519"/>
        <v>0</v>
      </c>
      <c r="Y2229" s="52">
        <f t="shared" si="520"/>
        <v>0</v>
      </c>
    </row>
    <row r="2230" spans="1:25" x14ac:dyDescent="0.25">
      <c r="A2230" s="1218" t="s">
        <v>132</v>
      </c>
      <c r="B2230" s="98">
        <v>45809</v>
      </c>
      <c r="C2230" s="117" t="str">
        <f t="shared" si="508"/>
        <v>5L</v>
      </c>
      <c r="F2230" s="99">
        <f t="shared" si="507"/>
        <v>0</v>
      </c>
      <c r="I2230" s="99">
        <f t="shared" si="506"/>
        <v>0</v>
      </c>
      <c r="L2230" s="99">
        <f t="shared" si="509"/>
        <v>0</v>
      </c>
      <c r="M2230" s="44" t="str">
        <f t="shared" si="511"/>
        <v/>
      </c>
      <c r="N2230" s="100">
        <f t="shared" si="512"/>
        <v>0</v>
      </c>
      <c r="O2230" s="101">
        <f t="shared" si="513"/>
        <v>0</v>
      </c>
      <c r="P2230" s="52">
        <f t="shared" si="514"/>
        <v>0</v>
      </c>
      <c r="Q2230" s="49">
        <v>116.88487613461319</v>
      </c>
      <c r="R2230">
        <v>2225</v>
      </c>
      <c r="S2230" s="50">
        <f t="shared" si="510"/>
        <v>71535.307499999995</v>
      </c>
      <c r="T2230" s="50">
        <f t="shared" si="515"/>
        <v>0</v>
      </c>
      <c r="U2230" s="58">
        <f t="shared" si="516"/>
        <v>0</v>
      </c>
      <c r="V2230" s="58">
        <f t="shared" si="517"/>
        <v>0</v>
      </c>
      <c r="W2230" s="58">
        <f t="shared" si="518"/>
        <v>0</v>
      </c>
      <c r="X2230" s="58">
        <f t="shared" si="519"/>
        <v>0</v>
      </c>
      <c r="Y2230" s="52">
        <f t="shared" si="520"/>
        <v>0</v>
      </c>
    </row>
    <row r="2231" spans="1:25" x14ac:dyDescent="0.25">
      <c r="A2231" s="1218" t="s">
        <v>133</v>
      </c>
      <c r="B2231" s="98">
        <v>45809</v>
      </c>
      <c r="C2231" s="117" t="str">
        <f t="shared" si="508"/>
        <v>5L</v>
      </c>
      <c r="F2231" s="99">
        <f t="shared" si="507"/>
        <v>0</v>
      </c>
      <c r="I2231" s="99">
        <f t="shared" si="506"/>
        <v>0</v>
      </c>
      <c r="L2231" s="99">
        <f t="shared" si="509"/>
        <v>0</v>
      </c>
      <c r="M2231" s="44" t="str">
        <f t="shared" si="511"/>
        <v/>
      </c>
      <c r="N2231" s="100">
        <f t="shared" si="512"/>
        <v>0</v>
      </c>
      <c r="O2231" s="101">
        <f t="shared" si="513"/>
        <v>0</v>
      </c>
      <c r="P2231" s="52">
        <f t="shared" si="514"/>
        <v>0</v>
      </c>
      <c r="Q2231" s="49">
        <v>116.88487613461319</v>
      </c>
      <c r="R2231">
        <v>2225</v>
      </c>
      <c r="S2231" s="50">
        <f t="shared" si="510"/>
        <v>71535.307499999995</v>
      </c>
      <c r="T2231" s="50">
        <f t="shared" si="515"/>
        <v>0</v>
      </c>
      <c r="U2231" s="58">
        <f t="shared" si="516"/>
        <v>0</v>
      </c>
      <c r="V2231" s="58">
        <f t="shared" si="517"/>
        <v>0</v>
      </c>
      <c r="W2231" s="58">
        <f t="shared" si="518"/>
        <v>0</v>
      </c>
      <c r="X2231" s="58">
        <f t="shared" si="519"/>
        <v>0</v>
      </c>
      <c r="Y2231" s="52">
        <f t="shared" si="520"/>
        <v>0</v>
      </c>
    </row>
    <row r="2232" spans="1:25" x14ac:dyDescent="0.25">
      <c r="A2232" s="1218" t="s">
        <v>134</v>
      </c>
      <c r="B2232" s="98">
        <v>45809</v>
      </c>
      <c r="C2232" s="117" t="str">
        <f t="shared" si="508"/>
        <v>5L</v>
      </c>
      <c r="F2232" s="99">
        <f t="shared" si="507"/>
        <v>0</v>
      </c>
      <c r="I2232" s="99">
        <f t="shared" si="506"/>
        <v>0</v>
      </c>
      <c r="L2232" s="99">
        <f t="shared" si="509"/>
        <v>0</v>
      </c>
      <c r="M2232" s="44" t="str">
        <f t="shared" si="511"/>
        <v/>
      </c>
      <c r="N2232" s="100">
        <f t="shared" si="512"/>
        <v>0</v>
      </c>
      <c r="O2232" s="101">
        <f t="shared" si="513"/>
        <v>0</v>
      </c>
      <c r="P2232" s="52">
        <f t="shared" si="514"/>
        <v>0</v>
      </c>
      <c r="Q2232" s="49">
        <v>116.88487613461319</v>
      </c>
      <c r="R2232">
        <v>2225</v>
      </c>
      <c r="S2232" s="50">
        <f t="shared" si="510"/>
        <v>71535.307499999995</v>
      </c>
      <c r="T2232" s="50">
        <f t="shared" si="515"/>
        <v>0</v>
      </c>
      <c r="U2232" s="58">
        <f t="shared" si="516"/>
        <v>0</v>
      </c>
      <c r="V2232" s="58">
        <f t="shared" si="517"/>
        <v>0</v>
      </c>
      <c r="W2232" s="58">
        <f t="shared" si="518"/>
        <v>0</v>
      </c>
      <c r="X2232" s="58">
        <f t="shared" si="519"/>
        <v>0</v>
      </c>
      <c r="Y2232" s="52">
        <f t="shared" si="520"/>
        <v>0</v>
      </c>
    </row>
    <row r="2233" spans="1:25" x14ac:dyDescent="0.25">
      <c r="A2233" s="1218" t="s">
        <v>135</v>
      </c>
      <c r="B2233" s="98">
        <v>45809</v>
      </c>
      <c r="C2233" s="117" t="str">
        <f t="shared" si="508"/>
        <v>5L</v>
      </c>
      <c r="F2233" s="99">
        <f t="shared" si="507"/>
        <v>0</v>
      </c>
      <c r="I2233" s="99">
        <f t="shared" si="506"/>
        <v>0</v>
      </c>
      <c r="L2233" s="99">
        <f t="shared" si="509"/>
        <v>0</v>
      </c>
      <c r="M2233" s="44" t="str">
        <f t="shared" si="511"/>
        <v/>
      </c>
      <c r="N2233" s="100">
        <f t="shared" si="512"/>
        <v>0</v>
      </c>
      <c r="O2233" s="101">
        <f t="shared" si="513"/>
        <v>0</v>
      </c>
      <c r="P2233" s="52">
        <f t="shared" si="514"/>
        <v>0</v>
      </c>
      <c r="Q2233" s="49">
        <v>116.88487613461319</v>
      </c>
      <c r="R2233">
        <v>2225</v>
      </c>
      <c r="S2233" s="50">
        <f t="shared" si="510"/>
        <v>71535.307499999995</v>
      </c>
      <c r="T2233" s="50">
        <f t="shared" si="515"/>
        <v>0</v>
      </c>
      <c r="U2233" s="58">
        <f t="shared" si="516"/>
        <v>0</v>
      </c>
      <c r="V2233" s="58">
        <f t="shared" si="517"/>
        <v>0</v>
      </c>
      <c r="W2233" s="58">
        <f t="shared" si="518"/>
        <v>0</v>
      </c>
      <c r="X2233" s="58">
        <f t="shared" si="519"/>
        <v>0</v>
      </c>
      <c r="Y2233" s="52">
        <f t="shared" si="520"/>
        <v>0</v>
      </c>
    </row>
    <row r="2234" spans="1:25" x14ac:dyDescent="0.25">
      <c r="A2234" s="1218" t="s">
        <v>136</v>
      </c>
      <c r="B2234" s="98">
        <v>45809</v>
      </c>
      <c r="C2234" s="117" t="str">
        <f t="shared" si="508"/>
        <v>5L</v>
      </c>
      <c r="F2234" s="99">
        <f t="shared" si="507"/>
        <v>0</v>
      </c>
      <c r="I2234" s="99">
        <f t="shared" si="506"/>
        <v>0</v>
      </c>
      <c r="L2234" s="99">
        <f t="shared" si="509"/>
        <v>0</v>
      </c>
      <c r="M2234" s="44" t="str">
        <f t="shared" si="511"/>
        <v/>
      </c>
      <c r="N2234" s="100">
        <f t="shared" si="512"/>
        <v>0</v>
      </c>
      <c r="O2234" s="101">
        <f t="shared" si="513"/>
        <v>0</v>
      </c>
      <c r="P2234" s="52">
        <f t="shared" si="514"/>
        <v>0</v>
      </c>
      <c r="Q2234" s="49">
        <v>116.88487613461319</v>
      </c>
      <c r="R2234">
        <v>2225</v>
      </c>
      <c r="S2234" s="50">
        <f t="shared" si="510"/>
        <v>71535.307499999995</v>
      </c>
      <c r="T2234" s="50">
        <f t="shared" si="515"/>
        <v>0</v>
      </c>
      <c r="U2234" s="58">
        <f t="shared" si="516"/>
        <v>0</v>
      </c>
      <c r="V2234" s="58">
        <f t="shared" si="517"/>
        <v>0</v>
      </c>
      <c r="W2234" s="58">
        <f t="shared" si="518"/>
        <v>0</v>
      </c>
      <c r="X2234" s="58">
        <f t="shared" si="519"/>
        <v>0</v>
      </c>
      <c r="Y2234" s="52">
        <f t="shared" si="520"/>
        <v>0</v>
      </c>
    </row>
    <row r="2235" spans="1:25" x14ac:dyDescent="0.25">
      <c r="A2235" s="1218" t="s">
        <v>137</v>
      </c>
      <c r="B2235" s="98">
        <v>45809</v>
      </c>
      <c r="C2235" s="117" t="str">
        <f t="shared" si="508"/>
        <v>5L</v>
      </c>
      <c r="F2235" s="99">
        <f t="shared" si="507"/>
        <v>0</v>
      </c>
      <c r="I2235" s="99">
        <f t="shared" si="506"/>
        <v>0</v>
      </c>
      <c r="L2235" s="99">
        <f t="shared" si="509"/>
        <v>0</v>
      </c>
      <c r="M2235" s="44" t="str">
        <f t="shared" si="511"/>
        <v/>
      </c>
      <c r="N2235" s="100">
        <f t="shared" si="512"/>
        <v>0</v>
      </c>
      <c r="O2235" s="101">
        <f t="shared" si="513"/>
        <v>0</v>
      </c>
      <c r="P2235" s="52">
        <f t="shared" si="514"/>
        <v>0</v>
      </c>
      <c r="Q2235" s="49">
        <v>116.88487613461319</v>
      </c>
      <c r="R2235">
        <v>2225</v>
      </c>
      <c r="S2235" s="50">
        <f t="shared" si="510"/>
        <v>71535.307499999995</v>
      </c>
      <c r="T2235" s="50">
        <f t="shared" si="515"/>
        <v>0</v>
      </c>
      <c r="U2235" s="58">
        <f t="shared" si="516"/>
        <v>0</v>
      </c>
      <c r="V2235" s="58">
        <f t="shared" si="517"/>
        <v>0</v>
      </c>
      <c r="W2235" s="58">
        <f t="shared" si="518"/>
        <v>0</v>
      </c>
      <c r="X2235" s="58">
        <f t="shared" si="519"/>
        <v>0</v>
      </c>
      <c r="Y2235" s="52">
        <f t="shared" si="520"/>
        <v>0</v>
      </c>
    </row>
    <row r="2236" spans="1:25" x14ac:dyDescent="0.25">
      <c r="A2236" s="1218" t="s">
        <v>138</v>
      </c>
      <c r="B2236" s="98">
        <v>45809</v>
      </c>
      <c r="C2236" s="117" t="str">
        <f t="shared" si="508"/>
        <v>5L</v>
      </c>
      <c r="F2236" s="99">
        <f t="shared" si="507"/>
        <v>0</v>
      </c>
      <c r="I2236" s="99">
        <f t="shared" si="506"/>
        <v>0</v>
      </c>
      <c r="L2236" s="99">
        <f t="shared" si="509"/>
        <v>0</v>
      </c>
      <c r="M2236" s="44" t="str">
        <f t="shared" si="511"/>
        <v/>
      </c>
      <c r="N2236" s="100">
        <f t="shared" si="512"/>
        <v>0</v>
      </c>
      <c r="O2236" s="101">
        <f t="shared" si="513"/>
        <v>0</v>
      </c>
      <c r="P2236" s="52">
        <f t="shared" si="514"/>
        <v>0</v>
      </c>
      <c r="Q2236" s="49">
        <v>116.88487613461319</v>
      </c>
      <c r="R2236">
        <v>2225</v>
      </c>
      <c r="S2236" s="50">
        <f t="shared" si="510"/>
        <v>71535.307499999995</v>
      </c>
      <c r="T2236" s="50">
        <f t="shared" si="515"/>
        <v>0</v>
      </c>
      <c r="U2236" s="58">
        <f t="shared" si="516"/>
        <v>0</v>
      </c>
      <c r="V2236" s="58">
        <f t="shared" si="517"/>
        <v>0</v>
      </c>
      <c r="W2236" s="58">
        <f t="shared" si="518"/>
        <v>0</v>
      </c>
      <c r="X2236" s="58">
        <f t="shared" si="519"/>
        <v>0</v>
      </c>
      <c r="Y2236" s="52">
        <f t="shared" si="520"/>
        <v>0</v>
      </c>
    </row>
    <row r="2237" spans="1:25" x14ac:dyDescent="0.25">
      <c r="A2237" s="1218" t="s">
        <v>139</v>
      </c>
      <c r="B2237" s="98">
        <v>45809</v>
      </c>
      <c r="C2237" s="117" t="str">
        <f t="shared" si="508"/>
        <v>5L</v>
      </c>
      <c r="F2237" s="99">
        <f t="shared" si="507"/>
        <v>0</v>
      </c>
      <c r="I2237" s="99">
        <f t="shared" si="506"/>
        <v>0</v>
      </c>
      <c r="L2237" s="99">
        <f t="shared" si="509"/>
        <v>0</v>
      </c>
      <c r="M2237" s="44" t="str">
        <f t="shared" si="511"/>
        <v/>
      </c>
      <c r="N2237" s="100">
        <f t="shared" si="512"/>
        <v>0</v>
      </c>
      <c r="O2237" s="101">
        <f t="shared" si="513"/>
        <v>0</v>
      </c>
      <c r="P2237" s="52">
        <f t="shared" si="514"/>
        <v>0</v>
      </c>
      <c r="Q2237" s="49">
        <v>116.88487613461319</v>
      </c>
      <c r="R2237">
        <v>2225</v>
      </c>
      <c r="S2237" s="50">
        <f t="shared" si="510"/>
        <v>71535.307499999995</v>
      </c>
      <c r="T2237" s="50">
        <f t="shared" si="515"/>
        <v>0</v>
      </c>
      <c r="U2237" s="58">
        <f t="shared" si="516"/>
        <v>0</v>
      </c>
      <c r="V2237" s="58">
        <f t="shared" si="517"/>
        <v>0</v>
      </c>
      <c r="W2237" s="58">
        <f t="shared" si="518"/>
        <v>0</v>
      </c>
      <c r="X2237" s="58">
        <f t="shared" si="519"/>
        <v>0</v>
      </c>
      <c r="Y2237" s="52">
        <f t="shared" si="520"/>
        <v>0</v>
      </c>
    </row>
    <row r="2238" spans="1:25" x14ac:dyDescent="0.25">
      <c r="A2238" s="1218" t="s">
        <v>140</v>
      </c>
      <c r="B2238" s="98">
        <v>45809</v>
      </c>
      <c r="C2238" s="117" t="str">
        <f t="shared" si="508"/>
        <v>5L</v>
      </c>
      <c r="D2238">
        <v>1823</v>
      </c>
      <c r="E2238">
        <v>3.97</v>
      </c>
      <c r="F2238" s="99">
        <f t="shared" si="507"/>
        <v>7.2373100000000008</v>
      </c>
      <c r="I2238" s="99">
        <f t="shared" si="506"/>
        <v>0</v>
      </c>
      <c r="L2238" s="99">
        <f t="shared" si="509"/>
        <v>0</v>
      </c>
      <c r="M2238" s="44" t="str">
        <f t="shared" si="511"/>
        <v/>
      </c>
      <c r="N2238" s="100">
        <f t="shared" si="512"/>
        <v>0</v>
      </c>
      <c r="O2238" s="101">
        <f t="shared" si="513"/>
        <v>0</v>
      </c>
      <c r="P2238" s="52">
        <f t="shared" si="514"/>
        <v>0</v>
      </c>
      <c r="Q2238" s="49">
        <v>116.88487613461319</v>
      </c>
      <c r="R2238">
        <v>2225</v>
      </c>
      <c r="S2238" s="50">
        <f t="shared" si="510"/>
        <v>71535.307499999995</v>
      </c>
      <c r="T2238" s="50">
        <f t="shared" si="515"/>
        <v>0</v>
      </c>
      <c r="U2238" s="58">
        <f t="shared" si="516"/>
        <v>0</v>
      </c>
      <c r="V2238" s="58">
        <f t="shared" si="517"/>
        <v>0</v>
      </c>
      <c r="W2238" s="58">
        <f t="shared" si="518"/>
        <v>0</v>
      </c>
      <c r="X2238" s="58">
        <f t="shared" si="519"/>
        <v>0</v>
      </c>
      <c r="Y2238" s="52">
        <f t="shared" si="520"/>
        <v>0</v>
      </c>
    </row>
    <row r="2239" spans="1:25" x14ac:dyDescent="0.25">
      <c r="A2239" s="1218" t="s">
        <v>141</v>
      </c>
      <c r="B2239" s="98">
        <v>45809</v>
      </c>
      <c r="C2239" s="117" t="str">
        <f t="shared" si="508"/>
        <v>5L</v>
      </c>
      <c r="D2239">
        <v>110</v>
      </c>
      <c r="E2239">
        <v>3.33</v>
      </c>
      <c r="F2239" s="99">
        <f t="shared" si="507"/>
        <v>0.36630000000000001</v>
      </c>
      <c r="I2239" s="99">
        <f t="shared" si="506"/>
        <v>0</v>
      </c>
      <c r="L2239" s="99">
        <f t="shared" si="509"/>
        <v>0</v>
      </c>
      <c r="M2239" s="44" t="str">
        <f t="shared" si="511"/>
        <v/>
      </c>
      <c r="N2239" s="100">
        <f t="shared" si="512"/>
        <v>0</v>
      </c>
      <c r="O2239" s="101">
        <f t="shared" si="513"/>
        <v>0</v>
      </c>
      <c r="P2239" s="52">
        <f t="shared" si="514"/>
        <v>0</v>
      </c>
      <c r="Q2239" s="49">
        <v>116.88487613461319</v>
      </c>
      <c r="R2239">
        <v>2225</v>
      </c>
      <c r="S2239" s="50">
        <f t="shared" si="510"/>
        <v>71535.307499999995</v>
      </c>
      <c r="T2239" s="50">
        <f t="shared" si="515"/>
        <v>0</v>
      </c>
      <c r="U2239" s="58">
        <f t="shared" si="516"/>
        <v>0</v>
      </c>
      <c r="V2239" s="58">
        <f t="shared" si="517"/>
        <v>0</v>
      </c>
      <c r="W2239" s="58">
        <f t="shared" si="518"/>
        <v>0</v>
      </c>
      <c r="X2239" s="58">
        <f t="shared" si="519"/>
        <v>0</v>
      </c>
      <c r="Y2239" s="52">
        <f t="shared" si="520"/>
        <v>0</v>
      </c>
    </row>
    <row r="2240" spans="1:25" x14ac:dyDescent="0.25">
      <c r="A2240" s="1218" t="s">
        <v>142</v>
      </c>
      <c r="B2240" s="98">
        <v>45809</v>
      </c>
      <c r="C2240" s="117" t="str">
        <f t="shared" si="508"/>
        <v>5L</v>
      </c>
      <c r="F2240" s="99">
        <f t="shared" si="507"/>
        <v>0</v>
      </c>
      <c r="I2240" s="99">
        <f t="shared" ref="I2240:I2303" si="522">IFERROR(G2240*H2240/1000,"")</f>
        <v>0</v>
      </c>
      <c r="L2240" s="99">
        <f t="shared" si="509"/>
        <v>0</v>
      </c>
      <c r="M2240" s="44" t="str">
        <f t="shared" si="511"/>
        <v/>
      </c>
      <c r="N2240" s="100">
        <f t="shared" si="512"/>
        <v>0</v>
      </c>
      <c r="O2240" s="101">
        <f t="shared" si="513"/>
        <v>0</v>
      </c>
      <c r="P2240" s="52">
        <f t="shared" si="514"/>
        <v>0</v>
      </c>
      <c r="Q2240" s="49">
        <v>116.88487613461319</v>
      </c>
      <c r="R2240">
        <v>2225</v>
      </c>
      <c r="S2240" s="50">
        <f t="shared" si="510"/>
        <v>71535.307499999995</v>
      </c>
      <c r="T2240" s="50">
        <f t="shared" si="515"/>
        <v>0</v>
      </c>
      <c r="U2240" s="58">
        <f t="shared" si="516"/>
        <v>0</v>
      </c>
      <c r="V2240" s="58">
        <f t="shared" si="517"/>
        <v>0</v>
      </c>
      <c r="W2240" s="58">
        <f t="shared" si="518"/>
        <v>0</v>
      </c>
      <c r="X2240" s="58">
        <f t="shared" si="519"/>
        <v>0</v>
      </c>
      <c r="Y2240" s="52">
        <f t="shared" si="520"/>
        <v>0</v>
      </c>
    </row>
    <row r="2241" spans="1:25" x14ac:dyDescent="0.25">
      <c r="A2241" s="1218" t="s">
        <v>143</v>
      </c>
      <c r="B2241" s="98">
        <v>45809</v>
      </c>
      <c r="C2241" s="117" t="str">
        <f t="shared" si="508"/>
        <v>5L</v>
      </c>
      <c r="D2241">
        <v>1210</v>
      </c>
      <c r="E2241">
        <v>1.89</v>
      </c>
      <c r="F2241" s="99">
        <f t="shared" si="507"/>
        <v>2.2869000000000002</v>
      </c>
      <c r="I2241" s="99">
        <f t="shared" si="522"/>
        <v>0</v>
      </c>
      <c r="L2241" s="99">
        <f t="shared" si="509"/>
        <v>0</v>
      </c>
      <c r="M2241" s="44" t="str">
        <f t="shared" si="511"/>
        <v/>
      </c>
      <c r="N2241" s="100">
        <f t="shared" si="512"/>
        <v>0</v>
      </c>
      <c r="O2241" s="101">
        <f t="shared" si="513"/>
        <v>0</v>
      </c>
      <c r="P2241" s="52">
        <f t="shared" si="514"/>
        <v>0</v>
      </c>
      <c r="Q2241" s="49">
        <v>116.88487613461319</v>
      </c>
      <c r="R2241">
        <v>2225</v>
      </c>
      <c r="S2241" s="50">
        <f t="shared" si="510"/>
        <v>71535.307499999995</v>
      </c>
      <c r="T2241" s="50">
        <f t="shared" si="515"/>
        <v>0</v>
      </c>
      <c r="U2241" s="58">
        <f t="shared" si="516"/>
        <v>0</v>
      </c>
      <c r="V2241" s="58">
        <f t="shared" si="517"/>
        <v>0</v>
      </c>
      <c r="W2241" s="58">
        <f t="shared" si="518"/>
        <v>0</v>
      </c>
      <c r="X2241" s="58">
        <f t="shared" si="519"/>
        <v>0</v>
      </c>
      <c r="Y2241" s="52">
        <f t="shared" si="520"/>
        <v>0</v>
      </c>
    </row>
    <row r="2242" spans="1:25" x14ac:dyDescent="0.25">
      <c r="A2242" s="1218" t="s">
        <v>144</v>
      </c>
      <c r="B2242" s="98">
        <v>45809</v>
      </c>
      <c r="C2242" s="117" t="str">
        <f t="shared" si="508"/>
        <v>5L</v>
      </c>
      <c r="F2242" s="99">
        <f t="shared" si="507"/>
        <v>0</v>
      </c>
      <c r="I2242" s="99">
        <f t="shared" si="522"/>
        <v>0</v>
      </c>
      <c r="L2242" s="99">
        <f t="shared" si="509"/>
        <v>0</v>
      </c>
      <c r="M2242" s="44" t="str">
        <f t="shared" si="511"/>
        <v/>
      </c>
      <c r="N2242" s="100">
        <f t="shared" si="512"/>
        <v>0</v>
      </c>
      <c r="O2242" s="101">
        <f t="shared" si="513"/>
        <v>0</v>
      </c>
      <c r="P2242" s="52">
        <f t="shared" si="514"/>
        <v>0</v>
      </c>
      <c r="Q2242" s="49">
        <v>116.88487613461319</v>
      </c>
      <c r="R2242">
        <v>2225</v>
      </c>
      <c r="S2242" s="50">
        <f t="shared" si="510"/>
        <v>71535.307499999995</v>
      </c>
      <c r="T2242" s="50">
        <f t="shared" si="515"/>
        <v>0</v>
      </c>
      <c r="U2242" s="58">
        <f t="shared" si="516"/>
        <v>0</v>
      </c>
      <c r="V2242" s="58">
        <f t="shared" si="517"/>
        <v>0</v>
      </c>
      <c r="W2242" s="58">
        <f t="shared" si="518"/>
        <v>0</v>
      </c>
      <c r="X2242" s="58">
        <f t="shared" si="519"/>
        <v>0</v>
      </c>
      <c r="Y2242" s="52">
        <f t="shared" si="520"/>
        <v>0</v>
      </c>
    </row>
    <row r="2243" spans="1:25" x14ac:dyDescent="0.25">
      <c r="A2243" s="1218" t="s">
        <v>145</v>
      </c>
      <c r="B2243" s="98">
        <v>45809</v>
      </c>
      <c r="C2243" s="117" t="str">
        <f t="shared" si="508"/>
        <v>5L</v>
      </c>
      <c r="F2243" s="99">
        <f t="shared" si="507"/>
        <v>0</v>
      </c>
      <c r="I2243" s="99">
        <f t="shared" si="522"/>
        <v>0</v>
      </c>
      <c r="L2243" s="99">
        <f t="shared" si="509"/>
        <v>0</v>
      </c>
      <c r="M2243" s="44" t="str">
        <f t="shared" si="511"/>
        <v/>
      </c>
      <c r="N2243" s="100">
        <f t="shared" si="512"/>
        <v>0</v>
      </c>
      <c r="O2243" s="101">
        <f t="shared" si="513"/>
        <v>0</v>
      </c>
      <c r="P2243" s="52">
        <f t="shared" si="514"/>
        <v>0</v>
      </c>
      <c r="Q2243" s="49">
        <v>116.88487613461319</v>
      </c>
      <c r="R2243">
        <v>2225</v>
      </c>
      <c r="S2243" s="50">
        <f t="shared" si="510"/>
        <v>71535.307499999995</v>
      </c>
      <c r="T2243" s="50">
        <f t="shared" si="515"/>
        <v>0</v>
      </c>
      <c r="U2243" s="58">
        <f t="shared" si="516"/>
        <v>0</v>
      </c>
      <c r="V2243" s="58">
        <f t="shared" si="517"/>
        <v>0</v>
      </c>
      <c r="W2243" s="58">
        <f t="shared" si="518"/>
        <v>0</v>
      </c>
      <c r="X2243" s="58">
        <f t="shared" si="519"/>
        <v>0</v>
      </c>
      <c r="Y2243" s="52">
        <f t="shared" si="520"/>
        <v>0</v>
      </c>
    </row>
    <row r="2244" spans="1:25" x14ac:dyDescent="0.25">
      <c r="A2244" s="1218" t="s">
        <v>146</v>
      </c>
      <c r="B2244" s="98">
        <v>45809</v>
      </c>
      <c r="C2244" s="117" t="str">
        <f t="shared" si="508"/>
        <v>5L</v>
      </c>
      <c r="F2244" s="99">
        <f t="shared" si="507"/>
        <v>0</v>
      </c>
      <c r="I2244" s="99">
        <f t="shared" si="522"/>
        <v>0</v>
      </c>
      <c r="L2244" s="99">
        <f t="shared" si="509"/>
        <v>0</v>
      </c>
      <c r="M2244" s="44" t="str">
        <f t="shared" si="511"/>
        <v/>
      </c>
      <c r="N2244" s="100">
        <f t="shared" si="512"/>
        <v>0</v>
      </c>
      <c r="O2244" s="101">
        <f t="shared" si="513"/>
        <v>0</v>
      </c>
      <c r="P2244" s="52">
        <f t="shared" si="514"/>
        <v>0</v>
      </c>
      <c r="Q2244" s="49">
        <v>116.88487613461319</v>
      </c>
      <c r="R2244">
        <v>2225</v>
      </c>
      <c r="S2244" s="50">
        <f t="shared" si="510"/>
        <v>71535.307499999995</v>
      </c>
      <c r="T2244" s="50">
        <f t="shared" si="515"/>
        <v>0</v>
      </c>
      <c r="U2244" s="58">
        <f t="shared" si="516"/>
        <v>0</v>
      </c>
      <c r="V2244" s="58">
        <f t="shared" si="517"/>
        <v>0</v>
      </c>
      <c r="W2244" s="58">
        <f t="shared" si="518"/>
        <v>0</v>
      </c>
      <c r="X2244" s="58">
        <f t="shared" si="519"/>
        <v>0</v>
      </c>
      <c r="Y2244" s="52">
        <f t="shared" si="520"/>
        <v>0</v>
      </c>
    </row>
    <row r="2245" spans="1:25" x14ac:dyDescent="0.25">
      <c r="A2245" s="1218" t="s">
        <v>147</v>
      </c>
      <c r="B2245" s="98">
        <v>45809</v>
      </c>
      <c r="C2245" s="117" t="str">
        <f t="shared" si="508"/>
        <v>5L</v>
      </c>
      <c r="F2245" s="99">
        <f t="shared" si="507"/>
        <v>0</v>
      </c>
      <c r="I2245" s="99">
        <f t="shared" si="522"/>
        <v>0</v>
      </c>
      <c r="L2245" s="99">
        <f t="shared" si="509"/>
        <v>0</v>
      </c>
      <c r="M2245" s="44" t="str">
        <f t="shared" si="511"/>
        <v/>
      </c>
      <c r="N2245" s="100">
        <f t="shared" si="512"/>
        <v>0</v>
      </c>
      <c r="O2245" s="101">
        <f t="shared" si="513"/>
        <v>0</v>
      </c>
      <c r="P2245" s="52">
        <f t="shared" si="514"/>
        <v>0</v>
      </c>
      <c r="Q2245" s="49">
        <v>116.88487613461319</v>
      </c>
      <c r="R2245">
        <v>2225</v>
      </c>
      <c r="S2245" s="50">
        <f t="shared" si="510"/>
        <v>71535.307499999995</v>
      </c>
      <c r="T2245" s="50">
        <f t="shared" si="515"/>
        <v>0</v>
      </c>
      <c r="U2245" s="58">
        <f t="shared" si="516"/>
        <v>0</v>
      </c>
      <c r="V2245" s="58">
        <f t="shared" si="517"/>
        <v>0</v>
      </c>
      <c r="W2245" s="58">
        <f t="shared" si="518"/>
        <v>0</v>
      </c>
      <c r="X2245" s="58">
        <f t="shared" si="519"/>
        <v>0</v>
      </c>
      <c r="Y2245" s="52">
        <f t="shared" si="520"/>
        <v>0</v>
      </c>
    </row>
    <row r="2246" spans="1:25" x14ac:dyDescent="0.25">
      <c r="A2246" s="1218" t="s">
        <v>148</v>
      </c>
      <c r="B2246" s="98">
        <v>45809</v>
      </c>
      <c r="C2246" s="117" t="str">
        <f t="shared" si="508"/>
        <v>5L</v>
      </c>
      <c r="F2246" s="99">
        <f t="shared" si="507"/>
        <v>0</v>
      </c>
      <c r="I2246" s="99">
        <f t="shared" si="522"/>
        <v>0</v>
      </c>
      <c r="L2246" s="99">
        <f t="shared" si="509"/>
        <v>0</v>
      </c>
      <c r="M2246" s="44" t="str">
        <f t="shared" si="511"/>
        <v/>
      </c>
      <c r="N2246" s="100">
        <f t="shared" si="512"/>
        <v>0</v>
      </c>
      <c r="O2246" s="101">
        <f t="shared" si="513"/>
        <v>0</v>
      </c>
      <c r="P2246" s="52">
        <f t="shared" si="514"/>
        <v>0</v>
      </c>
      <c r="Q2246" s="49">
        <v>116.88487613461319</v>
      </c>
      <c r="R2246">
        <v>2225</v>
      </c>
      <c r="S2246" s="50">
        <f t="shared" si="510"/>
        <v>71535.307499999995</v>
      </c>
      <c r="T2246" s="50">
        <f t="shared" si="515"/>
        <v>0</v>
      </c>
      <c r="U2246" s="58">
        <f t="shared" si="516"/>
        <v>0</v>
      </c>
      <c r="V2246" s="58">
        <f t="shared" si="517"/>
        <v>0</v>
      </c>
      <c r="W2246" s="58">
        <f t="shared" si="518"/>
        <v>0</v>
      </c>
      <c r="X2246" s="58">
        <f t="shared" si="519"/>
        <v>0</v>
      </c>
      <c r="Y2246" s="52">
        <f t="shared" si="520"/>
        <v>0</v>
      </c>
    </row>
    <row r="2247" spans="1:25" x14ac:dyDescent="0.25">
      <c r="A2247" s="1218" t="s">
        <v>149</v>
      </c>
      <c r="B2247" s="98">
        <v>45809</v>
      </c>
      <c r="C2247" s="117" t="str">
        <f t="shared" si="508"/>
        <v>5L</v>
      </c>
      <c r="F2247" s="99">
        <f t="shared" si="507"/>
        <v>0</v>
      </c>
      <c r="I2247" s="99">
        <f t="shared" si="522"/>
        <v>0</v>
      </c>
      <c r="L2247" s="99">
        <f t="shared" si="509"/>
        <v>0</v>
      </c>
      <c r="M2247" s="44" t="str">
        <f t="shared" si="511"/>
        <v/>
      </c>
      <c r="N2247" s="100">
        <f t="shared" si="512"/>
        <v>0</v>
      </c>
      <c r="O2247" s="101">
        <f t="shared" si="513"/>
        <v>0</v>
      </c>
      <c r="P2247" s="52">
        <f t="shared" si="514"/>
        <v>0</v>
      </c>
      <c r="Q2247" s="49">
        <v>116.88487613461319</v>
      </c>
      <c r="R2247">
        <v>2225</v>
      </c>
      <c r="S2247" s="50">
        <f t="shared" si="510"/>
        <v>71535.307499999995</v>
      </c>
      <c r="T2247" s="50">
        <f t="shared" si="515"/>
        <v>0</v>
      </c>
      <c r="U2247" s="58">
        <f t="shared" si="516"/>
        <v>0</v>
      </c>
      <c r="V2247" s="58">
        <f t="shared" si="517"/>
        <v>0</v>
      </c>
      <c r="W2247" s="58">
        <f t="shared" si="518"/>
        <v>0</v>
      </c>
      <c r="X2247" s="58">
        <f t="shared" si="519"/>
        <v>0</v>
      </c>
      <c r="Y2247" s="52">
        <f t="shared" si="520"/>
        <v>0</v>
      </c>
    </row>
    <row r="2248" spans="1:25" x14ac:dyDescent="0.25">
      <c r="A2248" s="1218" t="s">
        <v>150</v>
      </c>
      <c r="B2248" s="98">
        <v>45809</v>
      </c>
      <c r="C2248" s="117" t="str">
        <f t="shared" si="508"/>
        <v>6L</v>
      </c>
      <c r="F2248" s="99">
        <f t="shared" si="507"/>
        <v>0</v>
      </c>
      <c r="I2248" s="99">
        <f t="shared" si="522"/>
        <v>0</v>
      </c>
      <c r="L2248" s="99">
        <f t="shared" si="509"/>
        <v>0</v>
      </c>
      <c r="M2248" s="44" t="str">
        <f t="shared" si="511"/>
        <v/>
      </c>
      <c r="N2248" s="100">
        <f t="shared" si="512"/>
        <v>0</v>
      </c>
      <c r="O2248" s="101">
        <f t="shared" si="513"/>
        <v>0</v>
      </c>
      <c r="P2248" s="52">
        <f t="shared" si="514"/>
        <v>0</v>
      </c>
      <c r="Q2248" s="49">
        <v>116.88487613461319</v>
      </c>
      <c r="R2248">
        <v>2225</v>
      </c>
      <c r="S2248" s="50">
        <f t="shared" si="510"/>
        <v>71535.307499999995</v>
      </c>
      <c r="T2248" s="50">
        <f t="shared" si="515"/>
        <v>0</v>
      </c>
      <c r="U2248" s="58">
        <f t="shared" si="516"/>
        <v>0</v>
      </c>
      <c r="V2248" s="58">
        <f t="shared" si="517"/>
        <v>0</v>
      </c>
      <c r="W2248" s="58">
        <f t="shared" si="518"/>
        <v>0</v>
      </c>
      <c r="X2248" s="58">
        <f t="shared" si="519"/>
        <v>0</v>
      </c>
      <c r="Y2248" s="52">
        <f t="shared" si="520"/>
        <v>0</v>
      </c>
    </row>
    <row r="2249" spans="1:25" x14ac:dyDescent="0.25">
      <c r="A2249" s="1218" t="s">
        <v>151</v>
      </c>
      <c r="B2249" s="98">
        <v>45809</v>
      </c>
      <c r="C2249" s="117" t="str">
        <f t="shared" si="508"/>
        <v>6L</v>
      </c>
      <c r="F2249" s="99">
        <f t="shared" si="507"/>
        <v>0</v>
      </c>
      <c r="I2249" s="99">
        <f t="shared" si="522"/>
        <v>0</v>
      </c>
      <c r="L2249" s="99">
        <f t="shared" si="509"/>
        <v>0</v>
      </c>
      <c r="M2249" s="44" t="str">
        <f t="shared" si="511"/>
        <v/>
      </c>
      <c r="N2249" s="100">
        <f t="shared" si="512"/>
        <v>0</v>
      </c>
      <c r="O2249" s="101">
        <f t="shared" si="513"/>
        <v>0</v>
      </c>
      <c r="P2249" s="52">
        <f t="shared" si="514"/>
        <v>0</v>
      </c>
      <c r="Q2249" s="49">
        <v>116.88487613461319</v>
      </c>
      <c r="R2249">
        <v>2225</v>
      </c>
      <c r="S2249" s="50">
        <f t="shared" si="510"/>
        <v>71535.307499999995</v>
      </c>
      <c r="T2249" s="50">
        <f t="shared" si="515"/>
        <v>0</v>
      </c>
      <c r="U2249" s="58">
        <f t="shared" si="516"/>
        <v>0</v>
      </c>
      <c r="V2249" s="58">
        <f t="shared" si="517"/>
        <v>0</v>
      </c>
      <c r="W2249" s="58">
        <f t="shared" si="518"/>
        <v>0</v>
      </c>
      <c r="X2249" s="58">
        <f t="shared" si="519"/>
        <v>0</v>
      </c>
      <c r="Y2249" s="52">
        <f t="shared" si="520"/>
        <v>0</v>
      </c>
    </row>
    <row r="2250" spans="1:25" x14ac:dyDescent="0.25">
      <c r="A2250" s="1218" t="s">
        <v>152</v>
      </c>
      <c r="B2250" s="98">
        <v>45809</v>
      </c>
      <c r="C2250" s="117" t="str">
        <f t="shared" si="508"/>
        <v>6L</v>
      </c>
      <c r="F2250" s="99">
        <f t="shared" ref="F2250:F2313" si="523">IFERROR(D2250*E2250/1000,"")</f>
        <v>0</v>
      </c>
      <c r="I2250" s="99">
        <f t="shared" si="522"/>
        <v>0</v>
      </c>
      <c r="L2250" s="99"/>
      <c r="M2250" s="44"/>
      <c r="N2250" s="100"/>
      <c r="O2250" s="101"/>
      <c r="P2250" s="52"/>
      <c r="Q2250" s="49"/>
      <c r="S2250" s="50"/>
      <c r="T2250" s="50"/>
      <c r="U2250" s="58"/>
      <c r="V2250" s="58"/>
      <c r="W2250" s="58"/>
      <c r="X2250" s="58"/>
      <c r="Y2250" s="52"/>
    </row>
    <row r="2251" spans="1:25" x14ac:dyDescent="0.25">
      <c r="A2251" s="1218" t="s">
        <v>153</v>
      </c>
      <c r="B2251" s="98">
        <v>45809</v>
      </c>
      <c r="C2251" s="117" t="str">
        <f t="shared" si="508"/>
        <v>6L</v>
      </c>
      <c r="F2251" s="99">
        <f t="shared" si="523"/>
        <v>0</v>
      </c>
      <c r="I2251" s="99">
        <f t="shared" si="522"/>
        <v>0</v>
      </c>
      <c r="L2251" s="99"/>
      <c r="M2251" s="44"/>
      <c r="N2251" s="100"/>
      <c r="O2251" s="101"/>
      <c r="P2251" s="52"/>
      <c r="Q2251" s="49"/>
      <c r="S2251" s="50"/>
      <c r="T2251" s="50"/>
      <c r="U2251" s="58"/>
      <c r="V2251" s="58"/>
      <c r="W2251" s="58"/>
      <c r="X2251" s="58"/>
      <c r="Y2251" s="52"/>
    </row>
    <row r="2252" spans="1:25" x14ac:dyDescent="0.25">
      <c r="A2252" s="1218" t="s">
        <v>154</v>
      </c>
      <c r="B2252" s="98">
        <v>45809</v>
      </c>
      <c r="C2252" s="117" t="str">
        <f t="shared" si="508"/>
        <v>6L</v>
      </c>
      <c r="F2252" s="99">
        <f t="shared" si="523"/>
        <v>0</v>
      </c>
      <c r="I2252" s="99">
        <f t="shared" si="522"/>
        <v>0</v>
      </c>
      <c r="L2252" s="99"/>
      <c r="M2252" s="44"/>
      <c r="N2252" s="100"/>
      <c r="O2252" s="101"/>
      <c r="P2252" s="52"/>
      <c r="Q2252" s="49"/>
      <c r="S2252" s="50"/>
      <c r="T2252" s="50"/>
      <c r="U2252" s="58"/>
      <c r="V2252" s="58"/>
      <c r="W2252" s="58"/>
      <c r="X2252" s="58"/>
      <c r="Y2252" s="52"/>
    </row>
    <row r="2253" spans="1:25" x14ac:dyDescent="0.25">
      <c r="A2253" s="1218" t="s">
        <v>155</v>
      </c>
      <c r="B2253" s="98">
        <v>45809</v>
      </c>
      <c r="C2253" s="117" t="str">
        <f t="shared" si="508"/>
        <v>6L</v>
      </c>
      <c r="D2253">
        <v>2809</v>
      </c>
      <c r="E2253">
        <v>2.31</v>
      </c>
      <c r="F2253" s="99">
        <f t="shared" si="523"/>
        <v>6.4887899999999998</v>
      </c>
      <c r="I2253" s="99">
        <f t="shared" si="522"/>
        <v>0</v>
      </c>
      <c r="L2253" s="99">
        <f t="shared" si="509"/>
        <v>0</v>
      </c>
      <c r="M2253" s="44" t="str">
        <f t="shared" si="511"/>
        <v/>
      </c>
      <c r="N2253" s="100">
        <f t="shared" si="512"/>
        <v>0</v>
      </c>
      <c r="O2253" s="101">
        <f t="shared" si="513"/>
        <v>0</v>
      </c>
      <c r="P2253" s="52">
        <f t="shared" si="514"/>
        <v>0</v>
      </c>
      <c r="Q2253" s="49">
        <v>116.88487613461319</v>
      </c>
      <c r="R2253">
        <v>2225</v>
      </c>
      <c r="S2253" s="50">
        <f t="shared" si="510"/>
        <v>71535.307499999995</v>
      </c>
      <c r="T2253" s="50">
        <f t="shared" si="515"/>
        <v>0</v>
      </c>
      <c r="U2253" s="58">
        <f t="shared" si="516"/>
        <v>0</v>
      </c>
      <c r="V2253" s="58">
        <f t="shared" si="517"/>
        <v>0</v>
      </c>
      <c r="W2253" s="58">
        <f t="shared" si="518"/>
        <v>0</v>
      </c>
      <c r="X2253" s="58">
        <f t="shared" si="519"/>
        <v>0</v>
      </c>
      <c r="Y2253" s="52">
        <f t="shared" si="520"/>
        <v>0</v>
      </c>
    </row>
    <row r="2254" spans="1:25" x14ac:dyDescent="0.25">
      <c r="A2254" s="1218" t="s">
        <v>156</v>
      </c>
      <c r="B2254" s="98">
        <v>45809</v>
      </c>
      <c r="C2254" s="117" t="str">
        <f t="shared" si="508"/>
        <v>6L</v>
      </c>
      <c r="F2254" s="99">
        <f t="shared" si="523"/>
        <v>0</v>
      </c>
      <c r="I2254" s="99">
        <f t="shared" si="522"/>
        <v>0</v>
      </c>
      <c r="L2254" s="99"/>
      <c r="M2254" s="44"/>
      <c r="N2254" s="100"/>
      <c r="O2254" s="101"/>
      <c r="P2254" s="52"/>
      <c r="Q2254" s="49"/>
      <c r="S2254" s="50"/>
      <c r="T2254" s="50"/>
      <c r="U2254" s="58"/>
      <c r="V2254" s="58"/>
      <c r="W2254" s="58"/>
      <c r="X2254" s="58"/>
      <c r="Y2254" s="52"/>
    </row>
    <row r="2255" spans="1:25" x14ac:dyDescent="0.25">
      <c r="A2255" s="1218" t="s">
        <v>157</v>
      </c>
      <c r="B2255" s="98">
        <v>45809</v>
      </c>
      <c r="C2255" s="117" t="str">
        <f t="shared" si="508"/>
        <v>6L</v>
      </c>
      <c r="D2255" s="118">
        <v>1873</v>
      </c>
      <c r="E2255">
        <v>2.41</v>
      </c>
      <c r="F2255" s="99">
        <f t="shared" si="523"/>
        <v>4.5139300000000002</v>
      </c>
      <c r="I2255" s="99">
        <f t="shared" si="522"/>
        <v>0</v>
      </c>
      <c r="L2255" s="99">
        <f t="shared" si="509"/>
        <v>0</v>
      </c>
      <c r="M2255" s="44" t="str">
        <f t="shared" si="511"/>
        <v/>
      </c>
      <c r="N2255" s="100">
        <f t="shared" si="512"/>
        <v>0</v>
      </c>
      <c r="O2255" s="101">
        <f t="shared" si="513"/>
        <v>0</v>
      </c>
      <c r="P2255" s="52">
        <f t="shared" si="514"/>
        <v>0</v>
      </c>
      <c r="Q2255" s="49">
        <v>116.88487613461319</v>
      </c>
      <c r="R2255">
        <v>2225</v>
      </c>
      <c r="S2255" s="50">
        <f t="shared" si="510"/>
        <v>71535.307499999995</v>
      </c>
      <c r="T2255" s="50">
        <f t="shared" si="515"/>
        <v>0</v>
      </c>
      <c r="U2255" s="58">
        <f t="shared" si="516"/>
        <v>0</v>
      </c>
      <c r="V2255" s="58">
        <f t="shared" si="517"/>
        <v>0</v>
      </c>
      <c r="W2255" s="58">
        <f t="shared" si="518"/>
        <v>0</v>
      </c>
      <c r="X2255" s="58">
        <f t="shared" si="519"/>
        <v>0</v>
      </c>
      <c r="Y2255" s="52">
        <f t="shared" si="520"/>
        <v>0</v>
      </c>
    </row>
    <row r="2256" spans="1:25" x14ac:dyDescent="0.25">
      <c r="A2256" s="1218" t="s">
        <v>158</v>
      </c>
      <c r="B2256" s="98">
        <v>45809</v>
      </c>
      <c r="C2256" s="117" t="str">
        <f t="shared" si="508"/>
        <v>6L</v>
      </c>
      <c r="F2256" s="99">
        <f t="shared" si="523"/>
        <v>0</v>
      </c>
      <c r="I2256" s="99">
        <f t="shared" si="522"/>
        <v>0</v>
      </c>
      <c r="L2256" s="99">
        <f t="shared" si="509"/>
        <v>0</v>
      </c>
      <c r="M2256" s="44" t="str">
        <f t="shared" si="511"/>
        <v/>
      </c>
      <c r="N2256" s="100">
        <f t="shared" si="512"/>
        <v>0</v>
      </c>
      <c r="O2256" s="101">
        <f t="shared" si="513"/>
        <v>0</v>
      </c>
      <c r="P2256" s="52">
        <f t="shared" si="514"/>
        <v>0</v>
      </c>
      <c r="Q2256" s="49">
        <v>116.88487613461319</v>
      </c>
      <c r="R2256">
        <v>2225</v>
      </c>
      <c r="S2256" s="50">
        <f t="shared" si="510"/>
        <v>71535.307499999995</v>
      </c>
      <c r="T2256" s="50">
        <f t="shared" si="515"/>
        <v>0</v>
      </c>
      <c r="U2256" s="58">
        <f t="shared" si="516"/>
        <v>0</v>
      </c>
      <c r="V2256" s="58">
        <f t="shared" si="517"/>
        <v>0</v>
      </c>
      <c r="W2256" s="58">
        <f t="shared" si="518"/>
        <v>0</v>
      </c>
      <c r="X2256" s="58">
        <f t="shared" si="519"/>
        <v>0</v>
      </c>
      <c r="Y2256" s="52">
        <f t="shared" si="520"/>
        <v>0</v>
      </c>
    </row>
    <row r="2257" spans="1:25" x14ac:dyDescent="0.25">
      <c r="A2257" s="1218" t="s">
        <v>159</v>
      </c>
      <c r="B2257" s="98">
        <v>45809</v>
      </c>
      <c r="C2257" s="117" t="str">
        <f t="shared" si="508"/>
        <v>6L</v>
      </c>
      <c r="F2257" s="99">
        <f t="shared" si="523"/>
        <v>0</v>
      </c>
      <c r="I2257" s="99">
        <f t="shared" si="522"/>
        <v>0</v>
      </c>
      <c r="L2257" s="99">
        <f t="shared" si="509"/>
        <v>0</v>
      </c>
      <c r="M2257" s="44" t="str">
        <f t="shared" si="511"/>
        <v/>
      </c>
      <c r="N2257" s="100">
        <f t="shared" si="512"/>
        <v>0</v>
      </c>
      <c r="O2257" s="101">
        <f t="shared" si="513"/>
        <v>0</v>
      </c>
      <c r="P2257" s="52">
        <f t="shared" si="514"/>
        <v>0</v>
      </c>
      <c r="Q2257" s="49">
        <v>116.88487613461319</v>
      </c>
      <c r="R2257">
        <v>2225</v>
      </c>
      <c r="S2257" s="50">
        <f t="shared" si="510"/>
        <v>71535.307499999995</v>
      </c>
      <c r="T2257" s="50">
        <f t="shared" si="515"/>
        <v>0</v>
      </c>
      <c r="U2257" s="58">
        <f t="shared" si="516"/>
        <v>0</v>
      </c>
      <c r="V2257" s="58">
        <f t="shared" si="517"/>
        <v>0</v>
      </c>
      <c r="W2257" s="58">
        <f t="shared" si="518"/>
        <v>0</v>
      </c>
      <c r="X2257" s="58">
        <f t="shared" si="519"/>
        <v>0</v>
      </c>
      <c r="Y2257" s="52">
        <f t="shared" si="520"/>
        <v>0</v>
      </c>
    </row>
    <row r="2258" spans="1:25" x14ac:dyDescent="0.25">
      <c r="A2258" s="1218" t="s">
        <v>160</v>
      </c>
      <c r="B2258" s="98">
        <v>45809</v>
      </c>
      <c r="C2258" s="117" t="str">
        <f t="shared" si="508"/>
        <v>6L</v>
      </c>
      <c r="F2258" s="99">
        <f t="shared" si="523"/>
        <v>0</v>
      </c>
      <c r="I2258" s="99">
        <f t="shared" si="522"/>
        <v>0</v>
      </c>
      <c r="L2258" s="99">
        <f t="shared" si="509"/>
        <v>0</v>
      </c>
      <c r="M2258" s="44" t="str">
        <f t="shared" si="511"/>
        <v/>
      </c>
      <c r="N2258" s="100">
        <f t="shared" si="512"/>
        <v>0</v>
      </c>
      <c r="O2258" s="101">
        <f t="shared" si="513"/>
        <v>0</v>
      </c>
      <c r="P2258" s="52">
        <f t="shared" si="514"/>
        <v>0</v>
      </c>
      <c r="Q2258" s="49">
        <v>116.88487613461319</v>
      </c>
      <c r="R2258">
        <v>2225</v>
      </c>
      <c r="S2258" s="50">
        <f t="shared" si="510"/>
        <v>71535.307499999995</v>
      </c>
      <c r="T2258" s="50">
        <f t="shared" si="515"/>
        <v>0</v>
      </c>
      <c r="U2258" s="58">
        <f t="shared" si="516"/>
        <v>0</v>
      </c>
      <c r="V2258" s="58">
        <f t="shared" si="517"/>
        <v>0</v>
      </c>
      <c r="W2258" s="58">
        <f t="shared" si="518"/>
        <v>0</v>
      </c>
      <c r="X2258" s="58">
        <f t="shared" si="519"/>
        <v>0</v>
      </c>
      <c r="Y2258" s="52">
        <f t="shared" si="520"/>
        <v>0</v>
      </c>
    </row>
    <row r="2259" spans="1:25" x14ac:dyDescent="0.25">
      <c r="A2259" s="1218" t="s">
        <v>161</v>
      </c>
      <c r="B2259" s="98">
        <v>45809</v>
      </c>
      <c r="C2259" s="117" t="str">
        <f t="shared" si="508"/>
        <v>6L</v>
      </c>
      <c r="F2259" s="99">
        <f t="shared" si="523"/>
        <v>0</v>
      </c>
      <c r="I2259" s="99">
        <f t="shared" si="522"/>
        <v>0</v>
      </c>
      <c r="L2259" s="99">
        <f t="shared" si="509"/>
        <v>0</v>
      </c>
      <c r="M2259" s="44" t="str">
        <f t="shared" si="511"/>
        <v/>
      </c>
      <c r="N2259" s="100">
        <f t="shared" si="512"/>
        <v>0</v>
      </c>
      <c r="O2259" s="101">
        <f t="shared" si="513"/>
        <v>0</v>
      </c>
      <c r="P2259" s="52">
        <f t="shared" si="514"/>
        <v>0</v>
      </c>
      <c r="Q2259" s="49">
        <v>116.88487613461319</v>
      </c>
      <c r="R2259">
        <v>2225</v>
      </c>
      <c r="S2259" s="50">
        <f t="shared" si="510"/>
        <v>71535.307499999995</v>
      </c>
      <c r="T2259" s="50">
        <f t="shared" si="515"/>
        <v>0</v>
      </c>
      <c r="U2259" s="58">
        <f t="shared" si="516"/>
        <v>0</v>
      </c>
      <c r="V2259" s="58">
        <f t="shared" si="517"/>
        <v>0</v>
      </c>
      <c r="W2259" s="58">
        <f t="shared" si="518"/>
        <v>0</v>
      </c>
      <c r="X2259" s="58">
        <f t="shared" si="519"/>
        <v>0</v>
      </c>
      <c r="Y2259" s="52">
        <f t="shared" si="520"/>
        <v>0</v>
      </c>
    </row>
    <row r="2260" spans="1:25" x14ac:dyDescent="0.25">
      <c r="A2260" s="1218" t="s">
        <v>162</v>
      </c>
      <c r="B2260" s="98">
        <v>45809</v>
      </c>
      <c r="C2260" s="117" t="str">
        <f t="shared" si="508"/>
        <v>6L</v>
      </c>
      <c r="F2260" s="99">
        <f t="shared" si="523"/>
        <v>0</v>
      </c>
      <c r="I2260" s="99">
        <f t="shared" si="522"/>
        <v>0</v>
      </c>
      <c r="L2260" s="99">
        <f t="shared" si="509"/>
        <v>0</v>
      </c>
      <c r="M2260" s="44" t="str">
        <f t="shared" si="511"/>
        <v/>
      </c>
      <c r="N2260" s="100">
        <f t="shared" si="512"/>
        <v>0</v>
      </c>
      <c r="O2260" s="101">
        <f t="shared" si="513"/>
        <v>0</v>
      </c>
      <c r="P2260" s="52">
        <f t="shared" si="514"/>
        <v>0</v>
      </c>
      <c r="Q2260" s="49">
        <v>116.88487613461319</v>
      </c>
      <c r="R2260">
        <v>2225</v>
      </c>
      <c r="S2260" s="50">
        <f t="shared" si="510"/>
        <v>71535.307499999995</v>
      </c>
      <c r="T2260" s="50">
        <f t="shared" si="515"/>
        <v>0</v>
      </c>
      <c r="U2260" s="58">
        <f t="shared" si="516"/>
        <v>0</v>
      </c>
      <c r="V2260" s="58">
        <f t="shared" si="517"/>
        <v>0</v>
      </c>
      <c r="W2260" s="58">
        <f t="shared" si="518"/>
        <v>0</v>
      </c>
      <c r="X2260" s="58">
        <f t="shared" si="519"/>
        <v>0</v>
      </c>
      <c r="Y2260" s="52">
        <f t="shared" si="520"/>
        <v>0</v>
      </c>
    </row>
    <row r="2261" spans="1:25" x14ac:dyDescent="0.25">
      <c r="A2261" s="1218" t="s">
        <v>163</v>
      </c>
      <c r="B2261" s="98">
        <v>45809</v>
      </c>
      <c r="C2261" s="117" t="str">
        <f t="shared" ref="C2261:C2324" si="524">LEFT(A2261,2)</f>
        <v>6L</v>
      </c>
      <c r="F2261" s="99">
        <f t="shared" si="523"/>
        <v>0</v>
      </c>
      <c r="I2261" s="99">
        <f t="shared" si="522"/>
        <v>0</v>
      </c>
      <c r="L2261" s="99">
        <f t="shared" si="509"/>
        <v>0</v>
      </c>
      <c r="M2261" s="44" t="str">
        <f t="shared" si="511"/>
        <v/>
      </c>
      <c r="N2261" s="100">
        <f t="shared" si="512"/>
        <v>0</v>
      </c>
      <c r="O2261" s="101">
        <f t="shared" si="513"/>
        <v>0</v>
      </c>
      <c r="P2261" s="52">
        <f t="shared" si="514"/>
        <v>0</v>
      </c>
      <c r="Q2261" s="49">
        <v>116.88487613461319</v>
      </c>
      <c r="R2261">
        <v>2225</v>
      </c>
      <c r="S2261" s="50">
        <f t="shared" si="510"/>
        <v>71535.307499999995</v>
      </c>
      <c r="T2261" s="50">
        <f t="shared" si="515"/>
        <v>0</v>
      </c>
      <c r="U2261" s="58">
        <f t="shared" si="516"/>
        <v>0</v>
      </c>
      <c r="V2261" s="58">
        <f t="shared" si="517"/>
        <v>0</v>
      </c>
      <c r="W2261" s="58">
        <f t="shared" si="518"/>
        <v>0</v>
      </c>
      <c r="X2261" s="58">
        <f t="shared" si="519"/>
        <v>0</v>
      </c>
      <c r="Y2261" s="52">
        <f t="shared" si="520"/>
        <v>0</v>
      </c>
    </row>
    <row r="2262" spans="1:25" x14ac:dyDescent="0.25">
      <c r="A2262" s="1218" t="s">
        <v>164</v>
      </c>
      <c r="B2262" s="98">
        <v>45809</v>
      </c>
      <c r="C2262" s="117" t="str">
        <f t="shared" si="524"/>
        <v>6L</v>
      </c>
      <c r="F2262" s="99">
        <f t="shared" si="523"/>
        <v>0</v>
      </c>
      <c r="I2262" s="99">
        <f t="shared" si="522"/>
        <v>0</v>
      </c>
      <c r="L2262" s="99">
        <f t="shared" si="509"/>
        <v>0</v>
      </c>
      <c r="M2262" s="44" t="str">
        <f t="shared" si="511"/>
        <v/>
      </c>
      <c r="N2262" s="100">
        <f t="shared" si="512"/>
        <v>0</v>
      </c>
      <c r="O2262" s="101">
        <f t="shared" si="513"/>
        <v>0</v>
      </c>
      <c r="P2262" s="52">
        <f t="shared" si="514"/>
        <v>0</v>
      </c>
      <c r="Q2262" s="49">
        <v>116.88487613461319</v>
      </c>
      <c r="R2262">
        <v>2225</v>
      </c>
      <c r="S2262" s="50">
        <f t="shared" si="510"/>
        <v>71535.307499999995</v>
      </c>
      <c r="T2262" s="50">
        <f t="shared" si="515"/>
        <v>0</v>
      </c>
      <c r="U2262" s="58">
        <f t="shared" si="516"/>
        <v>0</v>
      </c>
      <c r="V2262" s="58">
        <f t="shared" si="517"/>
        <v>0</v>
      </c>
      <c r="W2262" s="58">
        <f t="shared" si="518"/>
        <v>0</v>
      </c>
      <c r="X2262" s="58">
        <f t="shared" si="519"/>
        <v>0</v>
      </c>
      <c r="Y2262" s="52">
        <f t="shared" si="520"/>
        <v>0</v>
      </c>
    </row>
    <row r="2263" spans="1:25" x14ac:dyDescent="0.25">
      <c r="A2263" s="1218" t="s">
        <v>165</v>
      </c>
      <c r="B2263" s="98">
        <v>45809</v>
      </c>
      <c r="C2263" s="117" t="str">
        <f t="shared" si="524"/>
        <v>6L</v>
      </c>
      <c r="D2263">
        <v>1873</v>
      </c>
      <c r="E2263">
        <v>2.84</v>
      </c>
      <c r="F2263" s="99">
        <f t="shared" si="523"/>
        <v>5.3193199999999994</v>
      </c>
      <c r="I2263" s="99">
        <f t="shared" si="522"/>
        <v>0</v>
      </c>
      <c r="L2263" s="99">
        <f t="shared" si="509"/>
        <v>0</v>
      </c>
      <c r="M2263" s="44" t="str">
        <f t="shared" si="511"/>
        <v/>
      </c>
      <c r="N2263" s="100">
        <f t="shared" si="512"/>
        <v>0</v>
      </c>
      <c r="O2263" s="101">
        <f t="shared" si="513"/>
        <v>0</v>
      </c>
      <c r="P2263" s="52">
        <f t="shared" si="514"/>
        <v>0</v>
      </c>
      <c r="Q2263" s="49">
        <v>116.88487613461319</v>
      </c>
      <c r="R2263">
        <v>2225</v>
      </c>
      <c r="S2263" s="50">
        <f t="shared" si="510"/>
        <v>71535.307499999995</v>
      </c>
      <c r="T2263" s="50">
        <f t="shared" si="515"/>
        <v>0</v>
      </c>
      <c r="U2263" s="58">
        <f t="shared" si="516"/>
        <v>0</v>
      </c>
      <c r="V2263" s="58">
        <f t="shared" si="517"/>
        <v>0</v>
      </c>
      <c r="W2263" s="58">
        <f t="shared" si="518"/>
        <v>0</v>
      </c>
      <c r="X2263" s="58">
        <f t="shared" si="519"/>
        <v>0</v>
      </c>
      <c r="Y2263" s="52">
        <f t="shared" si="520"/>
        <v>0</v>
      </c>
    </row>
    <row r="2264" spans="1:25" x14ac:dyDescent="0.25">
      <c r="A2264" s="1218" t="s">
        <v>166</v>
      </c>
      <c r="B2264" s="98">
        <v>45809</v>
      </c>
      <c r="C2264" s="117" t="str">
        <f t="shared" si="524"/>
        <v>6L</v>
      </c>
      <c r="D2264">
        <v>1813</v>
      </c>
      <c r="E2264">
        <v>3.2</v>
      </c>
      <c r="F2264" s="99">
        <f t="shared" si="523"/>
        <v>5.8016000000000005</v>
      </c>
      <c r="I2264" s="99">
        <f t="shared" si="522"/>
        <v>0</v>
      </c>
      <c r="L2264" s="99">
        <f t="shared" si="509"/>
        <v>0</v>
      </c>
      <c r="M2264" s="44" t="str">
        <f t="shared" si="511"/>
        <v/>
      </c>
      <c r="N2264" s="100">
        <f t="shared" si="512"/>
        <v>0</v>
      </c>
      <c r="O2264" s="101">
        <f t="shared" si="513"/>
        <v>0</v>
      </c>
      <c r="P2264" s="52">
        <f t="shared" si="514"/>
        <v>0</v>
      </c>
      <c r="Q2264" s="49">
        <v>116.88487613461319</v>
      </c>
      <c r="R2264">
        <v>2225</v>
      </c>
      <c r="S2264" s="50">
        <f t="shared" si="510"/>
        <v>71535.307499999995</v>
      </c>
      <c r="T2264" s="50">
        <f t="shared" si="515"/>
        <v>0</v>
      </c>
      <c r="U2264" s="58">
        <f t="shared" si="516"/>
        <v>0</v>
      </c>
      <c r="V2264" s="58">
        <f t="shared" si="517"/>
        <v>0</v>
      </c>
      <c r="W2264" s="58">
        <f t="shared" si="518"/>
        <v>0</v>
      </c>
      <c r="X2264" s="58">
        <f t="shared" si="519"/>
        <v>0</v>
      </c>
      <c r="Y2264" s="52">
        <f t="shared" si="520"/>
        <v>0</v>
      </c>
    </row>
    <row r="2265" spans="1:25" x14ac:dyDescent="0.25">
      <c r="A2265" s="1218" t="s">
        <v>167</v>
      </c>
      <c r="B2265" s="98">
        <v>45809</v>
      </c>
      <c r="C2265" s="117" t="str">
        <f t="shared" si="524"/>
        <v>6L</v>
      </c>
      <c r="D2265" s="118">
        <v>1148</v>
      </c>
      <c r="E2265">
        <v>3.97</v>
      </c>
      <c r="F2265" s="99">
        <f t="shared" si="523"/>
        <v>4.5575600000000005</v>
      </c>
      <c r="I2265" s="99">
        <f t="shared" si="522"/>
        <v>0</v>
      </c>
      <c r="L2265" s="99">
        <f t="shared" si="509"/>
        <v>0</v>
      </c>
      <c r="M2265" s="44" t="str">
        <f t="shared" si="511"/>
        <v/>
      </c>
      <c r="N2265" s="100">
        <f t="shared" si="512"/>
        <v>0</v>
      </c>
      <c r="O2265" s="101">
        <f t="shared" si="513"/>
        <v>0</v>
      </c>
      <c r="P2265" s="52">
        <f t="shared" si="514"/>
        <v>0</v>
      </c>
      <c r="Q2265" s="49">
        <v>116.88487613461319</v>
      </c>
      <c r="R2265">
        <v>2225</v>
      </c>
      <c r="S2265" s="50">
        <f t="shared" si="510"/>
        <v>71535.307499999995</v>
      </c>
      <c r="T2265" s="50">
        <f t="shared" si="515"/>
        <v>0</v>
      </c>
      <c r="U2265" s="58">
        <f t="shared" si="516"/>
        <v>0</v>
      </c>
      <c r="V2265" s="58">
        <f t="shared" si="517"/>
        <v>0</v>
      </c>
      <c r="W2265" s="58">
        <f t="shared" si="518"/>
        <v>0</v>
      </c>
      <c r="X2265" s="58">
        <f t="shared" si="519"/>
        <v>0</v>
      </c>
      <c r="Y2265" s="52">
        <f t="shared" si="520"/>
        <v>0</v>
      </c>
    </row>
    <row r="2266" spans="1:25" x14ac:dyDescent="0.25">
      <c r="A2266" s="1218" t="s">
        <v>168</v>
      </c>
      <c r="B2266" s="98">
        <v>45809</v>
      </c>
      <c r="C2266" s="117" t="str">
        <f t="shared" si="524"/>
        <v>6L</v>
      </c>
      <c r="F2266" s="99">
        <f t="shared" si="523"/>
        <v>0</v>
      </c>
      <c r="I2266" s="99">
        <f t="shared" si="522"/>
        <v>0</v>
      </c>
      <c r="L2266" s="99">
        <f t="shared" si="509"/>
        <v>0</v>
      </c>
      <c r="M2266" s="44" t="str">
        <f t="shared" si="511"/>
        <v/>
      </c>
      <c r="N2266" s="100">
        <f t="shared" si="512"/>
        <v>0</v>
      </c>
      <c r="O2266" s="101">
        <f t="shared" si="513"/>
        <v>0</v>
      </c>
      <c r="P2266" s="52">
        <f t="shared" si="514"/>
        <v>0</v>
      </c>
      <c r="Q2266" s="49">
        <v>116.88487613461319</v>
      </c>
      <c r="R2266">
        <v>2225</v>
      </c>
      <c r="S2266" s="50">
        <f t="shared" si="510"/>
        <v>71535.307499999995</v>
      </c>
      <c r="T2266" s="50">
        <f t="shared" si="515"/>
        <v>0</v>
      </c>
      <c r="U2266" s="58">
        <f t="shared" si="516"/>
        <v>0</v>
      </c>
      <c r="V2266" s="58">
        <f t="shared" si="517"/>
        <v>0</v>
      </c>
      <c r="W2266" s="58">
        <f t="shared" si="518"/>
        <v>0</v>
      </c>
      <c r="X2266" s="58">
        <f t="shared" si="519"/>
        <v>0</v>
      </c>
      <c r="Y2266" s="52">
        <f t="shared" si="520"/>
        <v>0</v>
      </c>
    </row>
    <row r="2267" spans="1:25" x14ac:dyDescent="0.25">
      <c r="A2267" s="1218" t="s">
        <v>169</v>
      </c>
      <c r="B2267" s="98">
        <v>45809</v>
      </c>
      <c r="C2267" s="117" t="str">
        <f t="shared" si="524"/>
        <v>6L</v>
      </c>
      <c r="F2267" s="99">
        <f t="shared" si="523"/>
        <v>0</v>
      </c>
      <c r="I2267" s="99">
        <f t="shared" si="522"/>
        <v>0</v>
      </c>
      <c r="L2267" s="99">
        <f t="shared" si="509"/>
        <v>0</v>
      </c>
      <c r="M2267" s="44" t="str">
        <f t="shared" si="511"/>
        <v/>
      </c>
      <c r="N2267" s="100">
        <f t="shared" si="512"/>
        <v>0</v>
      </c>
      <c r="O2267" s="101">
        <f t="shared" si="513"/>
        <v>0</v>
      </c>
      <c r="P2267" s="52">
        <f t="shared" si="514"/>
        <v>0</v>
      </c>
      <c r="Q2267" s="49">
        <v>116.88487613461319</v>
      </c>
      <c r="R2267">
        <v>2225</v>
      </c>
      <c r="S2267" s="50">
        <f t="shared" si="510"/>
        <v>71535.307499999995</v>
      </c>
      <c r="T2267" s="50">
        <f t="shared" si="515"/>
        <v>0</v>
      </c>
      <c r="U2267" s="58">
        <f t="shared" si="516"/>
        <v>0</v>
      </c>
      <c r="V2267" s="58">
        <f t="shared" si="517"/>
        <v>0</v>
      </c>
      <c r="W2267" s="58">
        <f t="shared" si="518"/>
        <v>0</v>
      </c>
      <c r="X2267" s="58">
        <f t="shared" si="519"/>
        <v>0</v>
      </c>
      <c r="Y2267" s="52">
        <f t="shared" si="520"/>
        <v>0</v>
      </c>
    </row>
    <row r="2268" spans="1:25" x14ac:dyDescent="0.25">
      <c r="A2268" s="1218" t="s">
        <v>170</v>
      </c>
      <c r="B2268" s="98">
        <v>45809</v>
      </c>
      <c r="C2268" s="117" t="str">
        <f t="shared" si="524"/>
        <v>6L</v>
      </c>
      <c r="F2268" s="99">
        <f t="shared" si="523"/>
        <v>0</v>
      </c>
      <c r="I2268" s="99">
        <f t="shared" si="522"/>
        <v>0</v>
      </c>
      <c r="L2268" s="99">
        <f t="shared" ref="L2268:L2331" si="525">IFERROR(J2268*K2268/1000,"")</f>
        <v>0</v>
      </c>
      <c r="M2268" s="44" t="str">
        <f t="shared" si="511"/>
        <v/>
      </c>
      <c r="N2268" s="100">
        <f t="shared" si="512"/>
        <v>0</v>
      </c>
      <c r="O2268" s="101">
        <f t="shared" si="513"/>
        <v>0</v>
      </c>
      <c r="P2268" s="52">
        <f t="shared" si="514"/>
        <v>0</v>
      </c>
      <c r="Q2268" s="49">
        <v>116.88487613461319</v>
      </c>
      <c r="R2268">
        <v>2225</v>
      </c>
      <c r="S2268" s="50">
        <f t="shared" ref="S2268:S2331" si="526">R2268*32.1507</f>
        <v>71535.307499999995</v>
      </c>
      <c r="T2268" s="50">
        <f t="shared" si="515"/>
        <v>0</v>
      </c>
      <c r="U2268" s="58">
        <f t="shared" si="516"/>
        <v>0</v>
      </c>
      <c r="V2268" s="58">
        <f t="shared" si="517"/>
        <v>0</v>
      </c>
      <c r="W2268" s="58">
        <f t="shared" si="518"/>
        <v>0</v>
      </c>
      <c r="X2268" s="58">
        <f t="shared" si="519"/>
        <v>0</v>
      </c>
      <c r="Y2268" s="52">
        <f t="shared" si="520"/>
        <v>0</v>
      </c>
    </row>
    <row r="2269" spans="1:25" x14ac:dyDescent="0.25">
      <c r="A2269" s="1218" t="s">
        <v>171</v>
      </c>
      <c r="B2269" s="98">
        <v>45809</v>
      </c>
      <c r="C2269" s="117" t="str">
        <f t="shared" si="524"/>
        <v>6L</v>
      </c>
      <c r="F2269" s="99">
        <f t="shared" si="523"/>
        <v>0</v>
      </c>
      <c r="I2269" s="99">
        <f t="shared" si="522"/>
        <v>0</v>
      </c>
      <c r="L2269" s="99">
        <f t="shared" si="525"/>
        <v>0</v>
      </c>
      <c r="M2269" s="44" t="str">
        <f t="shared" si="511"/>
        <v/>
      </c>
      <c r="N2269" s="100">
        <f t="shared" si="512"/>
        <v>0</v>
      </c>
      <c r="O2269" s="101">
        <f t="shared" si="513"/>
        <v>0</v>
      </c>
      <c r="P2269" s="52">
        <f t="shared" si="514"/>
        <v>0</v>
      </c>
      <c r="Q2269" s="49">
        <v>116.88487613461319</v>
      </c>
      <c r="R2269">
        <v>2225</v>
      </c>
      <c r="S2269" s="50">
        <f t="shared" si="526"/>
        <v>71535.307499999995</v>
      </c>
      <c r="T2269" s="50">
        <f t="shared" si="515"/>
        <v>0</v>
      </c>
      <c r="U2269" s="58">
        <f t="shared" si="516"/>
        <v>0</v>
      </c>
      <c r="V2269" s="58">
        <f t="shared" si="517"/>
        <v>0</v>
      </c>
      <c r="W2269" s="58">
        <f t="shared" si="518"/>
        <v>0</v>
      </c>
      <c r="X2269" s="58">
        <f t="shared" si="519"/>
        <v>0</v>
      </c>
      <c r="Y2269" s="52">
        <f t="shared" si="520"/>
        <v>0</v>
      </c>
    </row>
    <row r="2270" spans="1:25" x14ac:dyDescent="0.25">
      <c r="A2270" s="1218" t="s">
        <v>172</v>
      </c>
      <c r="B2270" s="98">
        <v>45809</v>
      </c>
      <c r="C2270" s="117" t="str">
        <f t="shared" si="524"/>
        <v>6L</v>
      </c>
      <c r="F2270" s="99">
        <f t="shared" si="523"/>
        <v>0</v>
      </c>
      <c r="I2270" s="99">
        <f t="shared" si="522"/>
        <v>0</v>
      </c>
      <c r="L2270" s="99">
        <f t="shared" si="525"/>
        <v>0</v>
      </c>
      <c r="M2270" s="44" t="str">
        <f t="shared" ref="M2270:M2333" si="527">IFERROR((L2270-I2270)/I2270,"")</f>
        <v/>
      </c>
      <c r="N2270" s="100">
        <f t="shared" ref="N2270:N2333" si="528">J2270-G2270</f>
        <v>0</v>
      </c>
      <c r="O2270" s="101">
        <f t="shared" ref="O2270:O2333" si="529">L2270-I2270</f>
        <v>0</v>
      </c>
      <c r="P2270" s="52">
        <f t="shared" ref="P2270:P2333" si="530">U2270-W2270</f>
        <v>0</v>
      </c>
      <c r="Q2270" s="49">
        <v>116.88487613461319</v>
      </c>
      <c r="R2270">
        <v>2225</v>
      </c>
      <c r="S2270" s="50">
        <f t="shared" si="526"/>
        <v>71535.307499999995</v>
      </c>
      <c r="T2270" s="50">
        <f t="shared" ref="T2270:T2333" si="531">IFERROR(S2270*I2270,"")</f>
        <v>0</v>
      </c>
      <c r="U2270" s="58">
        <f t="shared" ref="U2270:U2333" si="532">IFERROR(S2270*L2270,"")</f>
        <v>0</v>
      </c>
      <c r="V2270" s="58">
        <f t="shared" ref="V2270:V2333" si="533">IFERROR(Q2270*G2270,"")</f>
        <v>0</v>
      </c>
      <c r="W2270" s="58">
        <f t="shared" ref="W2270:W2333" si="534">IFERROR(Q2270*J2270,"")</f>
        <v>0</v>
      </c>
      <c r="X2270" s="58">
        <f t="shared" ref="X2270:X2333" si="535">T2270-V2270</f>
        <v>0</v>
      </c>
      <c r="Y2270" s="52">
        <f t="shared" ref="Y2270:Y2333" si="536">U2270-W2270</f>
        <v>0</v>
      </c>
    </row>
    <row r="2271" spans="1:25" x14ac:dyDescent="0.25">
      <c r="A2271" s="1218" t="s">
        <v>173</v>
      </c>
      <c r="B2271" s="98">
        <v>45809</v>
      </c>
      <c r="C2271" s="117" t="str">
        <f t="shared" si="524"/>
        <v>6L</v>
      </c>
      <c r="D2271" s="118">
        <v>625</v>
      </c>
      <c r="E2271">
        <v>3.05</v>
      </c>
      <c r="F2271" s="99">
        <f t="shared" si="523"/>
        <v>1.90625</v>
      </c>
      <c r="I2271" s="99">
        <f t="shared" si="522"/>
        <v>0</v>
      </c>
      <c r="L2271" s="99">
        <f t="shared" si="525"/>
        <v>0</v>
      </c>
      <c r="M2271" s="44" t="str">
        <f t="shared" si="527"/>
        <v/>
      </c>
      <c r="N2271" s="100">
        <f t="shared" si="528"/>
        <v>0</v>
      </c>
      <c r="O2271" s="101">
        <f t="shared" si="529"/>
        <v>0</v>
      </c>
      <c r="P2271" s="52">
        <f t="shared" si="530"/>
        <v>0</v>
      </c>
      <c r="Q2271" s="49">
        <v>116.88487613461319</v>
      </c>
      <c r="R2271">
        <v>2225</v>
      </c>
      <c r="S2271" s="50">
        <f t="shared" si="526"/>
        <v>71535.307499999995</v>
      </c>
      <c r="T2271" s="50">
        <f t="shared" si="531"/>
        <v>0</v>
      </c>
      <c r="U2271" s="58">
        <f t="shared" si="532"/>
        <v>0</v>
      </c>
      <c r="V2271" s="58">
        <f t="shared" si="533"/>
        <v>0</v>
      </c>
      <c r="W2271" s="58">
        <f t="shared" si="534"/>
        <v>0</v>
      </c>
      <c r="X2271" s="58">
        <f t="shared" si="535"/>
        <v>0</v>
      </c>
      <c r="Y2271" s="52">
        <f t="shared" si="536"/>
        <v>0</v>
      </c>
    </row>
    <row r="2272" spans="1:25" x14ac:dyDescent="0.25">
      <c r="A2272" s="1218" t="s">
        <v>174</v>
      </c>
      <c r="B2272" s="98">
        <v>45809</v>
      </c>
      <c r="C2272" s="117" t="str">
        <f t="shared" si="524"/>
        <v>6L</v>
      </c>
      <c r="F2272" s="99">
        <f t="shared" si="523"/>
        <v>0</v>
      </c>
      <c r="I2272" s="99">
        <f t="shared" si="522"/>
        <v>0</v>
      </c>
      <c r="L2272" s="99">
        <f t="shared" si="525"/>
        <v>0</v>
      </c>
      <c r="M2272" s="44" t="str">
        <f t="shared" si="527"/>
        <v/>
      </c>
      <c r="N2272" s="100">
        <f t="shared" si="528"/>
        <v>0</v>
      </c>
      <c r="O2272" s="101">
        <f t="shared" si="529"/>
        <v>0</v>
      </c>
      <c r="P2272" s="52">
        <f t="shared" si="530"/>
        <v>0</v>
      </c>
      <c r="Q2272" s="49">
        <v>116.88487613461319</v>
      </c>
      <c r="R2272">
        <v>2225</v>
      </c>
      <c r="S2272" s="50">
        <f t="shared" si="526"/>
        <v>71535.307499999995</v>
      </c>
      <c r="T2272" s="50">
        <f t="shared" si="531"/>
        <v>0</v>
      </c>
      <c r="U2272" s="58">
        <f t="shared" si="532"/>
        <v>0</v>
      </c>
      <c r="V2272" s="58">
        <f t="shared" si="533"/>
        <v>0</v>
      </c>
      <c r="W2272" s="58">
        <f t="shared" si="534"/>
        <v>0</v>
      </c>
      <c r="X2272" s="58">
        <f t="shared" si="535"/>
        <v>0</v>
      </c>
      <c r="Y2272" s="52">
        <f t="shared" si="536"/>
        <v>0</v>
      </c>
    </row>
    <row r="2273" spans="1:25" x14ac:dyDescent="0.25">
      <c r="A2273" s="1218" t="s">
        <v>175</v>
      </c>
      <c r="B2273" s="98">
        <v>45809</v>
      </c>
      <c r="C2273" s="117" t="str">
        <f t="shared" si="524"/>
        <v>6L</v>
      </c>
      <c r="D2273" s="118">
        <v>959</v>
      </c>
      <c r="E2273">
        <v>1.64</v>
      </c>
      <c r="F2273" s="99">
        <f t="shared" si="523"/>
        <v>1.5727599999999999</v>
      </c>
      <c r="I2273" s="99">
        <f t="shared" si="522"/>
        <v>0</v>
      </c>
      <c r="L2273" s="99">
        <f t="shared" si="525"/>
        <v>0</v>
      </c>
      <c r="M2273" s="44" t="str">
        <f t="shared" si="527"/>
        <v/>
      </c>
      <c r="N2273" s="100">
        <f t="shared" si="528"/>
        <v>0</v>
      </c>
      <c r="O2273" s="101">
        <f t="shared" si="529"/>
        <v>0</v>
      </c>
      <c r="P2273" s="52">
        <f t="shared" si="530"/>
        <v>0</v>
      </c>
      <c r="Q2273" s="49">
        <v>116.88487613461319</v>
      </c>
      <c r="R2273">
        <v>2225</v>
      </c>
      <c r="S2273" s="50">
        <f t="shared" si="526"/>
        <v>71535.307499999995</v>
      </c>
      <c r="T2273" s="50">
        <f t="shared" si="531"/>
        <v>0</v>
      </c>
      <c r="U2273" s="58">
        <f t="shared" si="532"/>
        <v>0</v>
      </c>
      <c r="V2273" s="58">
        <f t="shared" si="533"/>
        <v>0</v>
      </c>
      <c r="W2273" s="58">
        <f t="shared" si="534"/>
        <v>0</v>
      </c>
      <c r="X2273" s="58">
        <f t="shared" si="535"/>
        <v>0</v>
      </c>
      <c r="Y2273" s="52">
        <f t="shared" si="536"/>
        <v>0</v>
      </c>
    </row>
    <row r="2274" spans="1:25" x14ac:dyDescent="0.25">
      <c r="A2274" s="1218" t="s">
        <v>176</v>
      </c>
      <c r="B2274" s="98">
        <v>45809</v>
      </c>
      <c r="C2274" s="117" t="str">
        <f t="shared" si="524"/>
        <v>6L</v>
      </c>
      <c r="D2274">
        <v>913</v>
      </c>
      <c r="E2274">
        <v>3.97</v>
      </c>
      <c r="F2274" s="99">
        <f t="shared" si="523"/>
        <v>3.6246100000000001</v>
      </c>
      <c r="I2274" s="99">
        <f t="shared" si="522"/>
        <v>0</v>
      </c>
      <c r="L2274" s="99">
        <f t="shared" si="525"/>
        <v>0</v>
      </c>
      <c r="M2274" s="44" t="str">
        <f t="shared" si="527"/>
        <v/>
      </c>
      <c r="N2274" s="100">
        <f t="shared" si="528"/>
        <v>0</v>
      </c>
      <c r="O2274" s="101">
        <f t="shared" si="529"/>
        <v>0</v>
      </c>
      <c r="P2274" s="52">
        <f t="shared" si="530"/>
        <v>0</v>
      </c>
      <c r="Q2274" s="49">
        <v>116.88487613461319</v>
      </c>
      <c r="R2274">
        <v>2225</v>
      </c>
      <c r="S2274" s="50">
        <f t="shared" si="526"/>
        <v>71535.307499999995</v>
      </c>
      <c r="T2274" s="50">
        <f t="shared" si="531"/>
        <v>0</v>
      </c>
      <c r="U2274" s="58">
        <f t="shared" si="532"/>
        <v>0</v>
      </c>
      <c r="V2274" s="58">
        <f t="shared" si="533"/>
        <v>0</v>
      </c>
      <c r="W2274" s="58">
        <f t="shared" si="534"/>
        <v>0</v>
      </c>
      <c r="X2274" s="58">
        <f t="shared" si="535"/>
        <v>0</v>
      </c>
      <c r="Y2274" s="52">
        <f t="shared" si="536"/>
        <v>0</v>
      </c>
    </row>
    <row r="2275" spans="1:25" x14ac:dyDescent="0.25">
      <c r="A2275" s="1218" t="s">
        <v>177</v>
      </c>
      <c r="B2275" s="98">
        <v>45809</v>
      </c>
      <c r="C2275" s="117" t="str">
        <f t="shared" si="524"/>
        <v>6L</v>
      </c>
      <c r="F2275" s="99">
        <f t="shared" si="523"/>
        <v>0</v>
      </c>
      <c r="I2275" s="99">
        <f t="shared" si="522"/>
        <v>0</v>
      </c>
      <c r="L2275" s="99">
        <f t="shared" si="525"/>
        <v>0</v>
      </c>
      <c r="M2275" s="44" t="str">
        <f t="shared" si="527"/>
        <v/>
      </c>
      <c r="N2275" s="100">
        <f t="shared" si="528"/>
        <v>0</v>
      </c>
      <c r="O2275" s="101">
        <f t="shared" si="529"/>
        <v>0</v>
      </c>
      <c r="P2275" s="52">
        <f t="shared" si="530"/>
        <v>0</v>
      </c>
      <c r="Q2275" s="49">
        <v>116.88487613461319</v>
      </c>
      <c r="R2275">
        <v>2225</v>
      </c>
      <c r="S2275" s="50">
        <f t="shared" si="526"/>
        <v>71535.307499999995</v>
      </c>
      <c r="T2275" s="50">
        <f t="shared" si="531"/>
        <v>0</v>
      </c>
      <c r="U2275" s="58">
        <f t="shared" si="532"/>
        <v>0</v>
      </c>
      <c r="V2275" s="58">
        <f t="shared" si="533"/>
        <v>0</v>
      </c>
      <c r="W2275" s="58">
        <f t="shared" si="534"/>
        <v>0</v>
      </c>
      <c r="X2275" s="58">
        <f t="shared" si="535"/>
        <v>0</v>
      </c>
      <c r="Y2275" s="52">
        <f t="shared" si="536"/>
        <v>0</v>
      </c>
    </row>
    <row r="2276" spans="1:25" x14ac:dyDescent="0.25">
      <c r="A2276" s="1218" t="s">
        <v>178</v>
      </c>
      <c r="B2276" s="98">
        <v>45809</v>
      </c>
      <c r="C2276" s="117" t="str">
        <f t="shared" si="524"/>
        <v>7L</v>
      </c>
      <c r="F2276" s="99">
        <f t="shared" si="523"/>
        <v>0</v>
      </c>
      <c r="I2276" s="99">
        <f t="shared" si="522"/>
        <v>0</v>
      </c>
      <c r="L2276" s="99">
        <f t="shared" si="525"/>
        <v>0</v>
      </c>
      <c r="M2276" s="44" t="str">
        <f t="shared" si="527"/>
        <v/>
      </c>
      <c r="N2276" s="100">
        <f t="shared" si="528"/>
        <v>0</v>
      </c>
      <c r="O2276" s="101">
        <f t="shared" si="529"/>
        <v>0</v>
      </c>
      <c r="P2276" s="52">
        <f t="shared" si="530"/>
        <v>0</v>
      </c>
      <c r="Q2276" s="49">
        <v>116.88487613461319</v>
      </c>
      <c r="R2276">
        <v>2225</v>
      </c>
      <c r="S2276" s="50">
        <f t="shared" si="526"/>
        <v>71535.307499999995</v>
      </c>
      <c r="T2276" s="50">
        <f t="shared" si="531"/>
        <v>0</v>
      </c>
      <c r="U2276" s="58">
        <f t="shared" si="532"/>
        <v>0</v>
      </c>
      <c r="V2276" s="58">
        <f t="shared" si="533"/>
        <v>0</v>
      </c>
      <c r="W2276" s="58">
        <f t="shared" si="534"/>
        <v>0</v>
      </c>
      <c r="X2276" s="58">
        <f t="shared" si="535"/>
        <v>0</v>
      </c>
      <c r="Y2276" s="52">
        <f t="shared" si="536"/>
        <v>0</v>
      </c>
    </row>
    <row r="2277" spans="1:25" x14ac:dyDescent="0.25">
      <c r="A2277" s="1218" t="s">
        <v>179</v>
      </c>
      <c r="B2277" s="98">
        <v>45809</v>
      </c>
      <c r="C2277" s="117" t="str">
        <f t="shared" si="524"/>
        <v>7L</v>
      </c>
      <c r="F2277" s="99">
        <f t="shared" si="523"/>
        <v>0</v>
      </c>
      <c r="I2277" s="99">
        <f t="shared" si="522"/>
        <v>0</v>
      </c>
      <c r="L2277" s="99">
        <f t="shared" si="525"/>
        <v>0</v>
      </c>
      <c r="M2277" s="44" t="str">
        <f t="shared" si="527"/>
        <v/>
      </c>
      <c r="N2277" s="100">
        <f t="shared" si="528"/>
        <v>0</v>
      </c>
      <c r="O2277" s="101">
        <f t="shared" si="529"/>
        <v>0</v>
      </c>
      <c r="P2277" s="52">
        <f t="shared" si="530"/>
        <v>0</v>
      </c>
      <c r="Q2277" s="49">
        <v>116.88487613461319</v>
      </c>
      <c r="R2277">
        <v>2225</v>
      </c>
      <c r="S2277" s="50">
        <f t="shared" si="526"/>
        <v>71535.307499999995</v>
      </c>
      <c r="T2277" s="50">
        <f t="shared" si="531"/>
        <v>0</v>
      </c>
      <c r="U2277" s="58">
        <f t="shared" si="532"/>
        <v>0</v>
      </c>
      <c r="V2277" s="58">
        <f t="shared" si="533"/>
        <v>0</v>
      </c>
      <c r="W2277" s="58">
        <f t="shared" si="534"/>
        <v>0</v>
      </c>
      <c r="X2277" s="58">
        <f t="shared" si="535"/>
        <v>0</v>
      </c>
      <c r="Y2277" s="52">
        <f t="shared" si="536"/>
        <v>0</v>
      </c>
    </row>
    <row r="2278" spans="1:25" x14ac:dyDescent="0.25">
      <c r="A2278" s="1218" t="s">
        <v>180</v>
      </c>
      <c r="B2278" s="98">
        <v>45809</v>
      </c>
      <c r="C2278" s="117" t="str">
        <f t="shared" si="524"/>
        <v>7L</v>
      </c>
      <c r="F2278" s="99">
        <f t="shared" si="523"/>
        <v>0</v>
      </c>
      <c r="I2278" s="99">
        <f t="shared" si="522"/>
        <v>0</v>
      </c>
      <c r="L2278" s="99">
        <f t="shared" si="525"/>
        <v>0</v>
      </c>
      <c r="M2278" s="44" t="str">
        <f t="shared" si="527"/>
        <v/>
      </c>
      <c r="N2278" s="100">
        <f t="shared" si="528"/>
        <v>0</v>
      </c>
      <c r="O2278" s="101">
        <f t="shared" si="529"/>
        <v>0</v>
      </c>
      <c r="P2278" s="52">
        <f t="shared" si="530"/>
        <v>0</v>
      </c>
      <c r="Q2278" s="49">
        <v>116.88487613461319</v>
      </c>
      <c r="R2278">
        <v>2225</v>
      </c>
      <c r="S2278" s="50">
        <f t="shared" si="526"/>
        <v>71535.307499999995</v>
      </c>
      <c r="T2278" s="50">
        <f t="shared" si="531"/>
        <v>0</v>
      </c>
      <c r="U2278" s="58">
        <f t="shared" si="532"/>
        <v>0</v>
      </c>
      <c r="V2278" s="58">
        <f t="shared" si="533"/>
        <v>0</v>
      </c>
      <c r="W2278" s="58">
        <f t="shared" si="534"/>
        <v>0</v>
      </c>
      <c r="X2278" s="58">
        <f t="shared" si="535"/>
        <v>0</v>
      </c>
      <c r="Y2278" s="52">
        <f t="shared" si="536"/>
        <v>0</v>
      </c>
    </row>
    <row r="2279" spans="1:25" x14ac:dyDescent="0.25">
      <c r="A2279" s="1218" t="s">
        <v>181</v>
      </c>
      <c r="B2279" s="98">
        <v>45809</v>
      </c>
      <c r="C2279" s="117" t="str">
        <f t="shared" si="524"/>
        <v>7L</v>
      </c>
      <c r="F2279" s="99">
        <f t="shared" si="523"/>
        <v>0</v>
      </c>
      <c r="I2279" s="99">
        <f t="shared" si="522"/>
        <v>0</v>
      </c>
      <c r="L2279" s="99">
        <f t="shared" si="525"/>
        <v>0</v>
      </c>
      <c r="M2279" s="44" t="str">
        <f t="shared" si="527"/>
        <v/>
      </c>
      <c r="N2279" s="100">
        <f t="shared" si="528"/>
        <v>0</v>
      </c>
      <c r="O2279" s="101">
        <f t="shared" si="529"/>
        <v>0</v>
      </c>
      <c r="P2279" s="52">
        <f t="shared" si="530"/>
        <v>0</v>
      </c>
      <c r="Q2279" s="49">
        <v>116.88487613461319</v>
      </c>
      <c r="R2279">
        <v>2225</v>
      </c>
      <c r="S2279" s="50">
        <f t="shared" si="526"/>
        <v>71535.307499999995</v>
      </c>
      <c r="T2279" s="50">
        <f t="shared" si="531"/>
        <v>0</v>
      </c>
      <c r="U2279" s="58">
        <f t="shared" si="532"/>
        <v>0</v>
      </c>
      <c r="V2279" s="58">
        <f t="shared" si="533"/>
        <v>0</v>
      </c>
      <c r="W2279" s="58">
        <f t="shared" si="534"/>
        <v>0</v>
      </c>
      <c r="X2279" s="58">
        <f t="shared" si="535"/>
        <v>0</v>
      </c>
      <c r="Y2279" s="52">
        <f t="shared" si="536"/>
        <v>0</v>
      </c>
    </row>
    <row r="2280" spans="1:25" x14ac:dyDescent="0.25">
      <c r="A2280" s="1218" t="s">
        <v>182</v>
      </c>
      <c r="B2280" s="98">
        <v>45809</v>
      </c>
      <c r="C2280" s="117" t="str">
        <f t="shared" si="524"/>
        <v>7L</v>
      </c>
      <c r="F2280" s="99">
        <f t="shared" si="523"/>
        <v>0</v>
      </c>
      <c r="I2280" s="99">
        <f t="shared" si="522"/>
        <v>0</v>
      </c>
      <c r="L2280" s="99">
        <f t="shared" si="525"/>
        <v>0</v>
      </c>
      <c r="M2280" s="44" t="str">
        <f t="shared" si="527"/>
        <v/>
      </c>
      <c r="N2280" s="100">
        <f t="shared" si="528"/>
        <v>0</v>
      </c>
      <c r="O2280" s="101">
        <f t="shared" si="529"/>
        <v>0</v>
      </c>
      <c r="P2280" s="52">
        <f t="shared" si="530"/>
        <v>0</v>
      </c>
      <c r="Q2280" s="49">
        <v>116.88487613461319</v>
      </c>
      <c r="R2280">
        <v>2225</v>
      </c>
      <c r="S2280" s="50">
        <f t="shared" si="526"/>
        <v>71535.307499999995</v>
      </c>
      <c r="T2280" s="50">
        <f t="shared" si="531"/>
        <v>0</v>
      </c>
      <c r="U2280" s="58">
        <f t="shared" si="532"/>
        <v>0</v>
      </c>
      <c r="V2280" s="58">
        <f t="shared" si="533"/>
        <v>0</v>
      </c>
      <c r="W2280" s="58">
        <f t="shared" si="534"/>
        <v>0</v>
      </c>
      <c r="X2280" s="58">
        <f t="shared" si="535"/>
        <v>0</v>
      </c>
      <c r="Y2280" s="52">
        <f t="shared" si="536"/>
        <v>0</v>
      </c>
    </row>
    <row r="2281" spans="1:25" x14ac:dyDescent="0.25">
      <c r="A2281" s="1218" t="s">
        <v>183</v>
      </c>
      <c r="B2281" s="98">
        <v>45809</v>
      </c>
      <c r="C2281" s="117" t="str">
        <f t="shared" si="524"/>
        <v>7L</v>
      </c>
      <c r="F2281" s="99">
        <f t="shared" si="523"/>
        <v>0</v>
      </c>
      <c r="I2281" s="99">
        <f t="shared" si="522"/>
        <v>0</v>
      </c>
      <c r="L2281" s="99">
        <f t="shared" si="525"/>
        <v>0</v>
      </c>
      <c r="M2281" s="44" t="str">
        <f t="shared" si="527"/>
        <v/>
      </c>
      <c r="N2281" s="100">
        <f t="shared" si="528"/>
        <v>0</v>
      </c>
      <c r="O2281" s="101">
        <f t="shared" si="529"/>
        <v>0</v>
      </c>
      <c r="P2281" s="52">
        <f t="shared" si="530"/>
        <v>0</v>
      </c>
      <c r="Q2281" s="49">
        <v>116.88487613461319</v>
      </c>
      <c r="R2281">
        <v>2225</v>
      </c>
      <c r="S2281" s="50">
        <f t="shared" si="526"/>
        <v>71535.307499999995</v>
      </c>
      <c r="T2281" s="50">
        <f t="shared" si="531"/>
        <v>0</v>
      </c>
      <c r="U2281" s="58">
        <f t="shared" si="532"/>
        <v>0</v>
      </c>
      <c r="V2281" s="58">
        <f t="shared" si="533"/>
        <v>0</v>
      </c>
      <c r="W2281" s="58">
        <f t="shared" si="534"/>
        <v>0</v>
      </c>
      <c r="X2281" s="58">
        <f t="shared" si="535"/>
        <v>0</v>
      </c>
      <c r="Y2281" s="52">
        <f t="shared" si="536"/>
        <v>0</v>
      </c>
    </row>
    <row r="2282" spans="1:25" x14ac:dyDescent="0.25">
      <c r="A2282" s="1218" t="s">
        <v>184</v>
      </c>
      <c r="B2282" s="98">
        <v>45809</v>
      </c>
      <c r="C2282" s="117" t="str">
        <f t="shared" si="524"/>
        <v>7L</v>
      </c>
      <c r="F2282" s="99">
        <f t="shared" si="523"/>
        <v>0</v>
      </c>
      <c r="I2282" s="99">
        <f t="shared" si="522"/>
        <v>0</v>
      </c>
      <c r="L2282" s="99">
        <f t="shared" si="525"/>
        <v>0</v>
      </c>
      <c r="M2282" s="44" t="str">
        <f t="shared" si="527"/>
        <v/>
      </c>
      <c r="N2282" s="100">
        <f t="shared" si="528"/>
        <v>0</v>
      </c>
      <c r="O2282" s="101">
        <f t="shared" si="529"/>
        <v>0</v>
      </c>
      <c r="P2282" s="52">
        <f t="shared" si="530"/>
        <v>0</v>
      </c>
      <c r="Q2282" s="49">
        <v>116.88487613461319</v>
      </c>
      <c r="R2282">
        <v>2225</v>
      </c>
      <c r="S2282" s="50">
        <f t="shared" si="526"/>
        <v>71535.307499999995</v>
      </c>
      <c r="T2282" s="50">
        <f t="shared" si="531"/>
        <v>0</v>
      </c>
      <c r="U2282" s="58">
        <f t="shared" si="532"/>
        <v>0</v>
      </c>
      <c r="V2282" s="58">
        <f t="shared" si="533"/>
        <v>0</v>
      </c>
      <c r="W2282" s="58">
        <f t="shared" si="534"/>
        <v>0</v>
      </c>
      <c r="X2282" s="58">
        <f t="shared" si="535"/>
        <v>0</v>
      </c>
      <c r="Y2282" s="52">
        <f t="shared" si="536"/>
        <v>0</v>
      </c>
    </row>
    <row r="2283" spans="1:25" x14ac:dyDescent="0.25">
      <c r="A2283" s="1218" t="s">
        <v>185</v>
      </c>
      <c r="B2283" s="98">
        <v>45809</v>
      </c>
      <c r="C2283" s="117" t="str">
        <f t="shared" si="524"/>
        <v>7L</v>
      </c>
      <c r="F2283" s="99">
        <f t="shared" si="523"/>
        <v>0</v>
      </c>
      <c r="I2283" s="99">
        <f t="shared" si="522"/>
        <v>0</v>
      </c>
      <c r="L2283" s="99">
        <f t="shared" si="525"/>
        <v>0</v>
      </c>
      <c r="M2283" s="44" t="str">
        <f t="shared" si="527"/>
        <v/>
      </c>
      <c r="N2283" s="100">
        <f t="shared" si="528"/>
        <v>0</v>
      </c>
      <c r="O2283" s="101">
        <f t="shared" si="529"/>
        <v>0</v>
      </c>
      <c r="P2283" s="52">
        <f t="shared" si="530"/>
        <v>0</v>
      </c>
      <c r="Q2283" s="49">
        <v>116.88487613461319</v>
      </c>
      <c r="R2283">
        <v>2225</v>
      </c>
      <c r="S2283" s="50">
        <f t="shared" si="526"/>
        <v>71535.307499999995</v>
      </c>
      <c r="T2283" s="50">
        <f t="shared" si="531"/>
        <v>0</v>
      </c>
      <c r="U2283" s="58">
        <f t="shared" si="532"/>
        <v>0</v>
      </c>
      <c r="V2283" s="58">
        <f t="shared" si="533"/>
        <v>0</v>
      </c>
      <c r="W2283" s="58">
        <f t="shared" si="534"/>
        <v>0</v>
      </c>
      <c r="X2283" s="58">
        <f t="shared" si="535"/>
        <v>0</v>
      </c>
      <c r="Y2283" s="52">
        <f t="shared" si="536"/>
        <v>0</v>
      </c>
    </row>
    <row r="2284" spans="1:25" x14ac:dyDescent="0.25">
      <c r="A2284" s="1218" t="s">
        <v>186</v>
      </c>
      <c r="B2284" s="98">
        <v>45809</v>
      </c>
      <c r="C2284" s="117" t="str">
        <f t="shared" si="524"/>
        <v>7L</v>
      </c>
      <c r="F2284" s="99">
        <f t="shared" si="523"/>
        <v>0</v>
      </c>
      <c r="I2284" s="99">
        <f t="shared" si="522"/>
        <v>0</v>
      </c>
      <c r="L2284" s="99">
        <f t="shared" si="525"/>
        <v>0</v>
      </c>
      <c r="M2284" s="44" t="str">
        <f t="shared" si="527"/>
        <v/>
      </c>
      <c r="N2284" s="100">
        <f t="shared" si="528"/>
        <v>0</v>
      </c>
      <c r="O2284" s="101">
        <f t="shared" si="529"/>
        <v>0</v>
      </c>
      <c r="P2284" s="52">
        <f t="shared" si="530"/>
        <v>0</v>
      </c>
      <c r="Q2284" s="49">
        <v>116.88487613461319</v>
      </c>
      <c r="R2284">
        <v>2225</v>
      </c>
      <c r="S2284" s="50">
        <f t="shared" si="526"/>
        <v>71535.307499999995</v>
      </c>
      <c r="T2284" s="50">
        <f t="shared" si="531"/>
        <v>0</v>
      </c>
      <c r="U2284" s="58">
        <f t="shared" si="532"/>
        <v>0</v>
      </c>
      <c r="V2284" s="58">
        <f t="shared" si="533"/>
        <v>0</v>
      </c>
      <c r="W2284" s="58">
        <f t="shared" si="534"/>
        <v>0</v>
      </c>
      <c r="X2284" s="58">
        <f t="shared" si="535"/>
        <v>0</v>
      </c>
      <c r="Y2284" s="52">
        <f t="shared" si="536"/>
        <v>0</v>
      </c>
    </row>
    <row r="2285" spans="1:25" x14ac:dyDescent="0.25">
      <c r="A2285" s="1218" t="s">
        <v>187</v>
      </c>
      <c r="B2285" s="98">
        <v>45809</v>
      </c>
      <c r="C2285" s="117" t="str">
        <f t="shared" si="524"/>
        <v>7L</v>
      </c>
      <c r="F2285" s="99">
        <f t="shared" si="523"/>
        <v>0</v>
      </c>
      <c r="I2285" s="99">
        <f t="shared" si="522"/>
        <v>0</v>
      </c>
      <c r="L2285" s="99">
        <f t="shared" si="525"/>
        <v>0</v>
      </c>
      <c r="M2285" s="44" t="str">
        <f t="shared" si="527"/>
        <v/>
      </c>
      <c r="N2285" s="100">
        <f t="shared" si="528"/>
        <v>0</v>
      </c>
      <c r="O2285" s="101">
        <f t="shared" si="529"/>
        <v>0</v>
      </c>
      <c r="P2285" s="52">
        <f t="shared" si="530"/>
        <v>0</v>
      </c>
      <c r="Q2285" s="49">
        <v>116.88487613461319</v>
      </c>
      <c r="R2285">
        <v>2225</v>
      </c>
      <c r="S2285" s="50">
        <f t="shared" si="526"/>
        <v>71535.307499999995</v>
      </c>
      <c r="T2285" s="50">
        <f t="shared" si="531"/>
        <v>0</v>
      </c>
      <c r="U2285" s="58">
        <f t="shared" si="532"/>
        <v>0</v>
      </c>
      <c r="V2285" s="58">
        <f t="shared" si="533"/>
        <v>0</v>
      </c>
      <c r="W2285" s="58">
        <f t="shared" si="534"/>
        <v>0</v>
      </c>
      <c r="X2285" s="58">
        <f t="shared" si="535"/>
        <v>0</v>
      </c>
      <c r="Y2285" s="52">
        <f t="shared" si="536"/>
        <v>0</v>
      </c>
    </row>
    <row r="2286" spans="1:25" x14ac:dyDescent="0.25">
      <c r="A2286" s="1218" t="s">
        <v>188</v>
      </c>
      <c r="B2286" s="98">
        <v>45809</v>
      </c>
      <c r="C2286" s="117" t="str">
        <f t="shared" si="524"/>
        <v>7L</v>
      </c>
      <c r="F2286" s="99">
        <f t="shared" si="523"/>
        <v>0</v>
      </c>
      <c r="I2286" s="99">
        <f t="shared" si="522"/>
        <v>0</v>
      </c>
      <c r="L2286" s="99">
        <f t="shared" si="525"/>
        <v>0</v>
      </c>
      <c r="M2286" s="44" t="str">
        <f t="shared" si="527"/>
        <v/>
      </c>
      <c r="N2286" s="100">
        <f t="shared" si="528"/>
        <v>0</v>
      </c>
      <c r="O2286" s="101">
        <f t="shared" si="529"/>
        <v>0</v>
      </c>
      <c r="P2286" s="52">
        <f t="shared" si="530"/>
        <v>0</v>
      </c>
      <c r="Q2286" s="49">
        <v>116.88487613461319</v>
      </c>
      <c r="R2286">
        <v>2225</v>
      </c>
      <c r="S2286" s="50">
        <f t="shared" si="526"/>
        <v>71535.307499999995</v>
      </c>
      <c r="T2286" s="50">
        <f t="shared" si="531"/>
        <v>0</v>
      </c>
      <c r="U2286" s="58">
        <f t="shared" si="532"/>
        <v>0</v>
      </c>
      <c r="V2286" s="58">
        <f t="shared" si="533"/>
        <v>0</v>
      </c>
      <c r="W2286" s="58">
        <f t="shared" si="534"/>
        <v>0</v>
      </c>
      <c r="X2286" s="58">
        <f t="shared" si="535"/>
        <v>0</v>
      </c>
      <c r="Y2286" s="52">
        <f t="shared" si="536"/>
        <v>0</v>
      </c>
    </row>
    <row r="2287" spans="1:25" x14ac:dyDescent="0.25">
      <c r="A2287" s="1218" t="s">
        <v>189</v>
      </c>
      <c r="B2287" s="98">
        <v>45809</v>
      </c>
      <c r="C2287" s="117" t="str">
        <f t="shared" si="524"/>
        <v>7L</v>
      </c>
      <c r="F2287" s="99">
        <f t="shared" si="523"/>
        <v>0</v>
      </c>
      <c r="I2287" s="99">
        <f t="shared" si="522"/>
        <v>0</v>
      </c>
      <c r="L2287" s="99">
        <f t="shared" si="525"/>
        <v>0</v>
      </c>
      <c r="M2287" s="44" t="str">
        <f t="shared" si="527"/>
        <v/>
      </c>
      <c r="N2287" s="100">
        <f t="shared" si="528"/>
        <v>0</v>
      </c>
      <c r="O2287" s="101">
        <f t="shared" si="529"/>
        <v>0</v>
      </c>
      <c r="P2287" s="52">
        <f t="shared" si="530"/>
        <v>0</v>
      </c>
      <c r="Q2287" s="49">
        <v>116.88487613461319</v>
      </c>
      <c r="R2287">
        <v>2225</v>
      </c>
      <c r="S2287" s="50">
        <f t="shared" si="526"/>
        <v>71535.307499999995</v>
      </c>
      <c r="T2287" s="50">
        <f t="shared" si="531"/>
        <v>0</v>
      </c>
      <c r="U2287" s="58">
        <f t="shared" si="532"/>
        <v>0</v>
      </c>
      <c r="V2287" s="58">
        <f t="shared" si="533"/>
        <v>0</v>
      </c>
      <c r="W2287" s="58">
        <f t="shared" si="534"/>
        <v>0</v>
      </c>
      <c r="X2287" s="58">
        <f t="shared" si="535"/>
        <v>0</v>
      </c>
      <c r="Y2287" s="52">
        <f t="shared" si="536"/>
        <v>0</v>
      </c>
    </row>
    <row r="2288" spans="1:25" x14ac:dyDescent="0.25">
      <c r="A2288" s="1218" t="s">
        <v>190</v>
      </c>
      <c r="B2288" s="98">
        <v>45809</v>
      </c>
      <c r="C2288" s="117" t="str">
        <f t="shared" si="524"/>
        <v>8L</v>
      </c>
      <c r="F2288" s="99">
        <f t="shared" si="523"/>
        <v>0</v>
      </c>
      <c r="I2288" s="99">
        <f t="shared" si="522"/>
        <v>0</v>
      </c>
      <c r="L2288" s="99">
        <f t="shared" si="525"/>
        <v>0</v>
      </c>
      <c r="M2288" s="44" t="str">
        <f t="shared" si="527"/>
        <v/>
      </c>
      <c r="N2288" s="100">
        <f t="shared" si="528"/>
        <v>0</v>
      </c>
      <c r="O2288" s="101">
        <f t="shared" si="529"/>
        <v>0</v>
      </c>
      <c r="P2288" s="52">
        <f t="shared" si="530"/>
        <v>0</v>
      </c>
      <c r="Q2288" s="49">
        <v>116.88487613461319</v>
      </c>
      <c r="R2288">
        <v>2225</v>
      </c>
      <c r="S2288" s="50">
        <f t="shared" si="526"/>
        <v>71535.307499999995</v>
      </c>
      <c r="T2288" s="50">
        <f t="shared" si="531"/>
        <v>0</v>
      </c>
      <c r="U2288" s="58">
        <f t="shared" si="532"/>
        <v>0</v>
      </c>
      <c r="V2288" s="58">
        <f t="shared" si="533"/>
        <v>0</v>
      </c>
      <c r="W2288" s="58">
        <f t="shared" si="534"/>
        <v>0</v>
      </c>
      <c r="X2288" s="58">
        <f t="shared" si="535"/>
        <v>0</v>
      </c>
      <c r="Y2288" s="52">
        <f t="shared" si="536"/>
        <v>0</v>
      </c>
    </row>
    <row r="2289" spans="1:25" x14ac:dyDescent="0.25">
      <c r="A2289" s="1218" t="s">
        <v>191</v>
      </c>
      <c r="B2289" s="98">
        <v>45809</v>
      </c>
      <c r="C2289" s="117" t="str">
        <f t="shared" si="524"/>
        <v>8L</v>
      </c>
      <c r="F2289" s="99">
        <f t="shared" si="523"/>
        <v>0</v>
      </c>
      <c r="I2289" s="99">
        <f t="shared" si="522"/>
        <v>0</v>
      </c>
      <c r="L2289" s="99">
        <f t="shared" si="525"/>
        <v>0</v>
      </c>
      <c r="M2289" s="44" t="str">
        <f t="shared" si="527"/>
        <v/>
      </c>
      <c r="N2289" s="100">
        <f t="shared" si="528"/>
        <v>0</v>
      </c>
      <c r="O2289" s="101">
        <f t="shared" si="529"/>
        <v>0</v>
      </c>
      <c r="P2289" s="52">
        <f t="shared" si="530"/>
        <v>0</v>
      </c>
      <c r="Q2289" s="49">
        <v>116.88487613461319</v>
      </c>
      <c r="R2289">
        <v>2225</v>
      </c>
      <c r="S2289" s="50">
        <f t="shared" si="526"/>
        <v>71535.307499999995</v>
      </c>
      <c r="T2289" s="50">
        <f t="shared" si="531"/>
        <v>0</v>
      </c>
      <c r="U2289" s="58">
        <f t="shared" si="532"/>
        <v>0</v>
      </c>
      <c r="V2289" s="58">
        <f t="shared" si="533"/>
        <v>0</v>
      </c>
      <c r="W2289" s="58">
        <f t="shared" si="534"/>
        <v>0</v>
      </c>
      <c r="X2289" s="58">
        <f t="shared" si="535"/>
        <v>0</v>
      </c>
      <c r="Y2289" s="52">
        <f t="shared" si="536"/>
        <v>0</v>
      </c>
    </row>
    <row r="2290" spans="1:25" x14ac:dyDescent="0.25">
      <c r="A2290" s="1218" t="s">
        <v>192</v>
      </c>
      <c r="B2290" s="98">
        <v>45809</v>
      </c>
      <c r="C2290" s="117" t="str">
        <f t="shared" si="524"/>
        <v>8L</v>
      </c>
      <c r="F2290" s="99">
        <f t="shared" si="523"/>
        <v>0</v>
      </c>
      <c r="I2290" s="99">
        <f t="shared" si="522"/>
        <v>0</v>
      </c>
      <c r="L2290" s="99">
        <f t="shared" si="525"/>
        <v>0</v>
      </c>
      <c r="M2290" s="44" t="str">
        <f t="shared" si="527"/>
        <v/>
      </c>
      <c r="N2290" s="100">
        <f t="shared" si="528"/>
        <v>0</v>
      </c>
      <c r="O2290" s="101">
        <f t="shared" si="529"/>
        <v>0</v>
      </c>
      <c r="P2290" s="52">
        <f t="shared" si="530"/>
        <v>0</v>
      </c>
      <c r="Q2290" s="49">
        <v>116.88487613461319</v>
      </c>
      <c r="R2290">
        <v>2225</v>
      </c>
      <c r="S2290" s="50">
        <f t="shared" si="526"/>
        <v>71535.307499999995</v>
      </c>
      <c r="T2290" s="50">
        <f t="shared" si="531"/>
        <v>0</v>
      </c>
      <c r="U2290" s="58">
        <f t="shared" si="532"/>
        <v>0</v>
      </c>
      <c r="V2290" s="58">
        <f t="shared" si="533"/>
        <v>0</v>
      </c>
      <c r="W2290" s="58">
        <f t="shared" si="534"/>
        <v>0</v>
      </c>
      <c r="X2290" s="58">
        <f t="shared" si="535"/>
        <v>0</v>
      </c>
      <c r="Y2290" s="52">
        <f t="shared" si="536"/>
        <v>0</v>
      </c>
    </row>
    <row r="2291" spans="1:25" x14ac:dyDescent="0.25">
      <c r="A2291" s="1218" t="s">
        <v>193</v>
      </c>
      <c r="B2291" s="98">
        <v>45809</v>
      </c>
      <c r="C2291" s="117" t="str">
        <f t="shared" si="524"/>
        <v>8L</v>
      </c>
      <c r="F2291" s="99">
        <f t="shared" si="523"/>
        <v>0</v>
      </c>
      <c r="I2291" s="99">
        <f t="shared" si="522"/>
        <v>0</v>
      </c>
      <c r="L2291" s="99">
        <f t="shared" si="525"/>
        <v>0</v>
      </c>
      <c r="M2291" s="44" t="str">
        <f t="shared" si="527"/>
        <v/>
      </c>
      <c r="N2291" s="100">
        <f t="shared" si="528"/>
        <v>0</v>
      </c>
      <c r="O2291" s="101">
        <f t="shared" si="529"/>
        <v>0</v>
      </c>
      <c r="P2291" s="52">
        <f t="shared" si="530"/>
        <v>0</v>
      </c>
      <c r="Q2291" s="49">
        <v>116.88487613461319</v>
      </c>
      <c r="R2291">
        <v>2225</v>
      </c>
      <c r="S2291" s="50">
        <f t="shared" si="526"/>
        <v>71535.307499999995</v>
      </c>
      <c r="T2291" s="50">
        <f t="shared" si="531"/>
        <v>0</v>
      </c>
      <c r="U2291" s="58">
        <f t="shared" si="532"/>
        <v>0</v>
      </c>
      <c r="V2291" s="58">
        <f t="shared" si="533"/>
        <v>0</v>
      </c>
      <c r="W2291" s="58">
        <f t="shared" si="534"/>
        <v>0</v>
      </c>
      <c r="X2291" s="58">
        <f t="shared" si="535"/>
        <v>0</v>
      </c>
      <c r="Y2291" s="52">
        <f t="shared" si="536"/>
        <v>0</v>
      </c>
    </row>
    <row r="2292" spans="1:25" x14ac:dyDescent="0.25">
      <c r="A2292" s="1218" t="s">
        <v>194</v>
      </c>
      <c r="B2292" s="98">
        <v>45809</v>
      </c>
      <c r="C2292" s="117" t="str">
        <f t="shared" si="524"/>
        <v>8L</v>
      </c>
      <c r="F2292" s="99">
        <f t="shared" si="523"/>
        <v>0</v>
      </c>
      <c r="I2292" s="99">
        <f t="shared" si="522"/>
        <v>0</v>
      </c>
      <c r="L2292" s="99">
        <f t="shared" si="525"/>
        <v>0</v>
      </c>
      <c r="M2292" s="44" t="str">
        <f t="shared" si="527"/>
        <v/>
      </c>
      <c r="N2292" s="100">
        <f t="shared" si="528"/>
        <v>0</v>
      </c>
      <c r="O2292" s="101">
        <f t="shared" si="529"/>
        <v>0</v>
      </c>
      <c r="P2292" s="52">
        <f t="shared" si="530"/>
        <v>0</v>
      </c>
      <c r="Q2292" s="49">
        <v>116.88487613461319</v>
      </c>
      <c r="R2292">
        <v>2225</v>
      </c>
      <c r="S2292" s="50">
        <f t="shared" si="526"/>
        <v>71535.307499999995</v>
      </c>
      <c r="T2292" s="50">
        <f t="shared" si="531"/>
        <v>0</v>
      </c>
      <c r="U2292" s="58">
        <f t="shared" si="532"/>
        <v>0</v>
      </c>
      <c r="V2292" s="58">
        <f t="shared" si="533"/>
        <v>0</v>
      </c>
      <c r="W2292" s="58">
        <f t="shared" si="534"/>
        <v>0</v>
      </c>
      <c r="X2292" s="58">
        <f t="shared" si="535"/>
        <v>0</v>
      </c>
      <c r="Y2292" s="52">
        <f t="shared" si="536"/>
        <v>0</v>
      </c>
    </row>
    <row r="2293" spans="1:25" x14ac:dyDescent="0.25">
      <c r="A2293" s="1218" t="s">
        <v>195</v>
      </c>
      <c r="B2293" s="98">
        <v>45809</v>
      </c>
      <c r="C2293" s="117" t="str">
        <f t="shared" si="524"/>
        <v>8L</v>
      </c>
      <c r="F2293" s="99">
        <f t="shared" si="523"/>
        <v>0</v>
      </c>
      <c r="I2293" s="99">
        <f t="shared" si="522"/>
        <v>0</v>
      </c>
      <c r="L2293" s="99">
        <f t="shared" si="525"/>
        <v>0</v>
      </c>
      <c r="M2293" s="44" t="str">
        <f t="shared" si="527"/>
        <v/>
      </c>
      <c r="N2293" s="100">
        <f t="shared" si="528"/>
        <v>0</v>
      </c>
      <c r="O2293" s="101">
        <f t="shared" si="529"/>
        <v>0</v>
      </c>
      <c r="P2293" s="52">
        <f t="shared" si="530"/>
        <v>0</v>
      </c>
      <c r="Q2293" s="49">
        <v>116.88487613461319</v>
      </c>
      <c r="R2293">
        <v>2225</v>
      </c>
      <c r="S2293" s="50">
        <f t="shared" si="526"/>
        <v>71535.307499999995</v>
      </c>
      <c r="T2293" s="50">
        <f t="shared" si="531"/>
        <v>0</v>
      </c>
      <c r="U2293" s="58">
        <f t="shared" si="532"/>
        <v>0</v>
      </c>
      <c r="V2293" s="58">
        <f t="shared" si="533"/>
        <v>0</v>
      </c>
      <c r="W2293" s="58">
        <f t="shared" si="534"/>
        <v>0</v>
      </c>
      <c r="X2293" s="58">
        <f t="shared" si="535"/>
        <v>0</v>
      </c>
      <c r="Y2293" s="52">
        <f t="shared" si="536"/>
        <v>0</v>
      </c>
    </row>
    <row r="2294" spans="1:25" x14ac:dyDescent="0.25">
      <c r="A2294" s="1218" t="s">
        <v>196</v>
      </c>
      <c r="B2294" s="98">
        <v>45809</v>
      </c>
      <c r="C2294" s="117" t="str">
        <f t="shared" si="524"/>
        <v>8L</v>
      </c>
      <c r="F2294" s="99">
        <f t="shared" si="523"/>
        <v>0</v>
      </c>
      <c r="I2294" s="99">
        <f t="shared" si="522"/>
        <v>0</v>
      </c>
      <c r="L2294" s="99">
        <f t="shared" si="525"/>
        <v>0</v>
      </c>
      <c r="M2294" s="44" t="str">
        <f t="shared" si="527"/>
        <v/>
      </c>
      <c r="N2294" s="100">
        <f t="shared" si="528"/>
        <v>0</v>
      </c>
      <c r="O2294" s="101">
        <f t="shared" si="529"/>
        <v>0</v>
      </c>
      <c r="P2294" s="52">
        <f t="shared" si="530"/>
        <v>0</v>
      </c>
      <c r="Q2294" s="49">
        <v>116.88487613461319</v>
      </c>
      <c r="R2294">
        <v>2225</v>
      </c>
      <c r="S2294" s="50">
        <f t="shared" si="526"/>
        <v>71535.307499999995</v>
      </c>
      <c r="T2294" s="50">
        <f t="shared" si="531"/>
        <v>0</v>
      </c>
      <c r="U2294" s="58">
        <f t="shared" si="532"/>
        <v>0</v>
      </c>
      <c r="V2294" s="58">
        <f t="shared" si="533"/>
        <v>0</v>
      </c>
      <c r="W2294" s="58">
        <f t="shared" si="534"/>
        <v>0</v>
      </c>
      <c r="X2294" s="58">
        <f t="shared" si="535"/>
        <v>0</v>
      </c>
      <c r="Y2294" s="52">
        <f t="shared" si="536"/>
        <v>0</v>
      </c>
    </row>
    <row r="2295" spans="1:25" x14ac:dyDescent="0.25">
      <c r="A2295" s="1218" t="s">
        <v>197</v>
      </c>
      <c r="B2295" s="98">
        <v>45809</v>
      </c>
      <c r="C2295" s="117" t="str">
        <f t="shared" si="524"/>
        <v>8L</v>
      </c>
      <c r="F2295" s="99">
        <f t="shared" si="523"/>
        <v>0</v>
      </c>
      <c r="I2295" s="99">
        <f t="shared" si="522"/>
        <v>0</v>
      </c>
      <c r="L2295" s="99">
        <f t="shared" si="525"/>
        <v>0</v>
      </c>
      <c r="M2295" s="44" t="str">
        <f t="shared" si="527"/>
        <v/>
      </c>
      <c r="N2295" s="100">
        <f t="shared" si="528"/>
        <v>0</v>
      </c>
      <c r="O2295" s="101">
        <f t="shared" si="529"/>
        <v>0</v>
      </c>
      <c r="P2295" s="52">
        <f t="shared" si="530"/>
        <v>0</v>
      </c>
      <c r="Q2295" s="49">
        <v>116.88487613461319</v>
      </c>
      <c r="R2295">
        <v>2225</v>
      </c>
      <c r="S2295" s="50">
        <f t="shared" si="526"/>
        <v>71535.307499999995</v>
      </c>
      <c r="T2295" s="50">
        <f t="shared" si="531"/>
        <v>0</v>
      </c>
      <c r="U2295" s="58">
        <f t="shared" si="532"/>
        <v>0</v>
      </c>
      <c r="V2295" s="58">
        <f t="shared" si="533"/>
        <v>0</v>
      </c>
      <c r="W2295" s="58">
        <f t="shared" si="534"/>
        <v>0</v>
      </c>
      <c r="X2295" s="58">
        <f t="shared" si="535"/>
        <v>0</v>
      </c>
      <c r="Y2295" s="52">
        <f t="shared" si="536"/>
        <v>0</v>
      </c>
    </row>
    <row r="2296" spans="1:25" x14ac:dyDescent="0.25">
      <c r="A2296" s="1218" t="s">
        <v>198</v>
      </c>
      <c r="B2296" s="98">
        <v>45809</v>
      </c>
      <c r="C2296" s="117" t="str">
        <f t="shared" si="524"/>
        <v>8L</v>
      </c>
      <c r="F2296" s="99">
        <f t="shared" si="523"/>
        <v>0</v>
      </c>
      <c r="I2296" s="99">
        <f t="shared" si="522"/>
        <v>0</v>
      </c>
      <c r="L2296" s="99">
        <f t="shared" si="525"/>
        <v>0</v>
      </c>
      <c r="M2296" s="44" t="str">
        <f t="shared" si="527"/>
        <v/>
      </c>
      <c r="N2296" s="100">
        <f t="shared" si="528"/>
        <v>0</v>
      </c>
      <c r="O2296" s="101">
        <f t="shared" si="529"/>
        <v>0</v>
      </c>
      <c r="P2296" s="52">
        <f t="shared" si="530"/>
        <v>0</v>
      </c>
      <c r="Q2296" s="49">
        <v>116.88487613461319</v>
      </c>
      <c r="R2296">
        <v>2225</v>
      </c>
      <c r="S2296" s="50">
        <f t="shared" si="526"/>
        <v>71535.307499999995</v>
      </c>
      <c r="T2296" s="50">
        <f t="shared" si="531"/>
        <v>0</v>
      </c>
      <c r="U2296" s="58">
        <f t="shared" si="532"/>
        <v>0</v>
      </c>
      <c r="V2296" s="58">
        <f t="shared" si="533"/>
        <v>0</v>
      </c>
      <c r="W2296" s="58">
        <f t="shared" si="534"/>
        <v>0</v>
      </c>
      <c r="X2296" s="58">
        <f t="shared" si="535"/>
        <v>0</v>
      </c>
      <c r="Y2296" s="52">
        <f t="shared" si="536"/>
        <v>0</v>
      </c>
    </row>
    <row r="2297" spans="1:25" x14ac:dyDescent="0.25">
      <c r="A2297" s="1218" t="s">
        <v>199</v>
      </c>
      <c r="B2297" s="98">
        <v>45809</v>
      </c>
      <c r="C2297" s="117" t="str">
        <f t="shared" si="524"/>
        <v>8L</v>
      </c>
      <c r="F2297" s="99">
        <f t="shared" si="523"/>
        <v>0</v>
      </c>
      <c r="I2297" s="99">
        <f t="shared" si="522"/>
        <v>0</v>
      </c>
      <c r="L2297" s="99">
        <f t="shared" si="525"/>
        <v>0</v>
      </c>
      <c r="M2297" s="44" t="str">
        <f t="shared" si="527"/>
        <v/>
      </c>
      <c r="N2297" s="100">
        <f t="shared" si="528"/>
        <v>0</v>
      </c>
      <c r="O2297" s="101">
        <f t="shared" si="529"/>
        <v>0</v>
      </c>
      <c r="P2297" s="52">
        <f t="shared" si="530"/>
        <v>0</v>
      </c>
      <c r="Q2297" s="49">
        <v>116.88487613461319</v>
      </c>
      <c r="R2297">
        <v>2225</v>
      </c>
      <c r="S2297" s="50">
        <f t="shared" si="526"/>
        <v>71535.307499999995</v>
      </c>
      <c r="T2297" s="50">
        <f t="shared" si="531"/>
        <v>0</v>
      </c>
      <c r="U2297" s="58">
        <f t="shared" si="532"/>
        <v>0</v>
      </c>
      <c r="V2297" s="58">
        <f t="shared" si="533"/>
        <v>0</v>
      </c>
      <c r="W2297" s="58">
        <f t="shared" si="534"/>
        <v>0</v>
      </c>
      <c r="X2297" s="58">
        <f t="shared" si="535"/>
        <v>0</v>
      </c>
      <c r="Y2297" s="52">
        <f t="shared" si="536"/>
        <v>0</v>
      </c>
    </row>
    <row r="2298" spans="1:25" x14ac:dyDescent="0.25">
      <c r="A2298" s="1218" t="s">
        <v>200</v>
      </c>
      <c r="B2298" s="98">
        <v>45809</v>
      </c>
      <c r="C2298" s="117" t="str">
        <f t="shared" si="524"/>
        <v>8L</v>
      </c>
      <c r="F2298" s="99">
        <f t="shared" si="523"/>
        <v>0</v>
      </c>
      <c r="I2298" s="99">
        <f t="shared" si="522"/>
        <v>0</v>
      </c>
      <c r="L2298" s="99">
        <f t="shared" si="525"/>
        <v>0</v>
      </c>
      <c r="M2298" s="44" t="str">
        <f t="shared" si="527"/>
        <v/>
      </c>
      <c r="N2298" s="100">
        <f t="shared" si="528"/>
        <v>0</v>
      </c>
      <c r="O2298" s="101">
        <f t="shared" si="529"/>
        <v>0</v>
      </c>
      <c r="P2298" s="52">
        <f t="shared" si="530"/>
        <v>0</v>
      </c>
      <c r="Q2298" s="49">
        <v>116.88487613461319</v>
      </c>
      <c r="R2298">
        <v>2225</v>
      </c>
      <c r="S2298" s="50">
        <f t="shared" si="526"/>
        <v>71535.307499999995</v>
      </c>
      <c r="T2298" s="50">
        <f t="shared" si="531"/>
        <v>0</v>
      </c>
      <c r="U2298" s="58">
        <f t="shared" si="532"/>
        <v>0</v>
      </c>
      <c r="V2298" s="58">
        <f t="shared" si="533"/>
        <v>0</v>
      </c>
      <c r="W2298" s="58">
        <f t="shared" si="534"/>
        <v>0</v>
      </c>
      <c r="X2298" s="58">
        <f t="shared" si="535"/>
        <v>0</v>
      </c>
      <c r="Y2298" s="52">
        <f t="shared" si="536"/>
        <v>0</v>
      </c>
    </row>
    <row r="2299" spans="1:25" x14ac:dyDescent="0.25">
      <c r="A2299" s="1218" t="s">
        <v>201</v>
      </c>
      <c r="B2299" s="98">
        <v>45809</v>
      </c>
      <c r="C2299" s="117" t="str">
        <f t="shared" si="524"/>
        <v>8L</v>
      </c>
      <c r="F2299" s="99">
        <f t="shared" si="523"/>
        <v>0</v>
      </c>
      <c r="I2299" s="99">
        <f t="shared" si="522"/>
        <v>0</v>
      </c>
      <c r="L2299" s="99">
        <f t="shared" si="525"/>
        <v>0</v>
      </c>
      <c r="M2299" s="44" t="str">
        <f t="shared" si="527"/>
        <v/>
      </c>
      <c r="N2299" s="100">
        <f t="shared" si="528"/>
        <v>0</v>
      </c>
      <c r="O2299" s="101">
        <f t="shared" si="529"/>
        <v>0</v>
      </c>
      <c r="P2299" s="52">
        <f t="shared" si="530"/>
        <v>0</v>
      </c>
      <c r="Q2299" s="49">
        <v>116.88487613461319</v>
      </c>
      <c r="R2299">
        <v>2225</v>
      </c>
      <c r="S2299" s="50">
        <f t="shared" si="526"/>
        <v>71535.307499999995</v>
      </c>
      <c r="T2299" s="50">
        <f t="shared" si="531"/>
        <v>0</v>
      </c>
      <c r="U2299" s="58">
        <f t="shared" si="532"/>
        <v>0</v>
      </c>
      <c r="V2299" s="58">
        <f t="shared" si="533"/>
        <v>0</v>
      </c>
      <c r="W2299" s="58">
        <f t="shared" si="534"/>
        <v>0</v>
      </c>
      <c r="X2299" s="58">
        <f t="shared" si="535"/>
        <v>0</v>
      </c>
      <c r="Y2299" s="52">
        <f t="shared" si="536"/>
        <v>0</v>
      </c>
    </row>
    <row r="2300" spans="1:25" x14ac:dyDescent="0.25">
      <c r="A2300" s="1218" t="s">
        <v>202</v>
      </c>
      <c r="B2300" s="98">
        <v>45809</v>
      </c>
      <c r="C2300" s="117" t="str">
        <f t="shared" si="524"/>
        <v>8L</v>
      </c>
      <c r="F2300" s="99">
        <f t="shared" si="523"/>
        <v>0</v>
      </c>
      <c r="I2300" s="99">
        <f t="shared" si="522"/>
        <v>0</v>
      </c>
      <c r="L2300" s="99">
        <f t="shared" si="525"/>
        <v>0</v>
      </c>
      <c r="M2300" s="44" t="str">
        <f t="shared" si="527"/>
        <v/>
      </c>
      <c r="N2300" s="100">
        <f t="shared" si="528"/>
        <v>0</v>
      </c>
      <c r="O2300" s="101">
        <f t="shared" si="529"/>
        <v>0</v>
      </c>
      <c r="P2300" s="52">
        <f t="shared" si="530"/>
        <v>0</v>
      </c>
      <c r="Q2300" s="49">
        <v>116.88487613461319</v>
      </c>
      <c r="R2300">
        <v>2225</v>
      </c>
      <c r="S2300" s="50">
        <f t="shared" si="526"/>
        <v>71535.307499999995</v>
      </c>
      <c r="T2300" s="50">
        <f t="shared" si="531"/>
        <v>0</v>
      </c>
      <c r="U2300" s="58">
        <f t="shared" si="532"/>
        <v>0</v>
      </c>
      <c r="V2300" s="58">
        <f t="shared" si="533"/>
        <v>0</v>
      </c>
      <c r="W2300" s="58">
        <f t="shared" si="534"/>
        <v>0</v>
      </c>
      <c r="X2300" s="58">
        <f t="shared" si="535"/>
        <v>0</v>
      </c>
      <c r="Y2300" s="52">
        <f t="shared" si="536"/>
        <v>0</v>
      </c>
    </row>
    <row r="2301" spans="1:25" x14ac:dyDescent="0.25">
      <c r="A2301" s="1218" t="s">
        <v>203</v>
      </c>
      <c r="B2301" s="98">
        <v>45809</v>
      </c>
      <c r="C2301" s="117" t="str">
        <f t="shared" si="524"/>
        <v>8L</v>
      </c>
      <c r="F2301" s="99">
        <f t="shared" si="523"/>
        <v>0</v>
      </c>
      <c r="I2301" s="99">
        <f t="shared" si="522"/>
        <v>0</v>
      </c>
      <c r="L2301" s="99">
        <f t="shared" si="525"/>
        <v>0</v>
      </c>
      <c r="M2301" s="44" t="str">
        <f t="shared" si="527"/>
        <v/>
      </c>
      <c r="N2301" s="100">
        <f t="shared" si="528"/>
        <v>0</v>
      </c>
      <c r="O2301" s="101">
        <f t="shared" si="529"/>
        <v>0</v>
      </c>
      <c r="P2301" s="52">
        <f t="shared" si="530"/>
        <v>0</v>
      </c>
      <c r="Q2301" s="49">
        <v>116.88487613461319</v>
      </c>
      <c r="R2301">
        <v>2225</v>
      </c>
      <c r="S2301" s="50">
        <f t="shared" si="526"/>
        <v>71535.307499999995</v>
      </c>
      <c r="T2301" s="50">
        <f t="shared" si="531"/>
        <v>0</v>
      </c>
      <c r="U2301" s="58">
        <f t="shared" si="532"/>
        <v>0</v>
      </c>
      <c r="V2301" s="58">
        <f t="shared" si="533"/>
        <v>0</v>
      </c>
      <c r="W2301" s="58">
        <f t="shared" si="534"/>
        <v>0</v>
      </c>
      <c r="X2301" s="58">
        <f t="shared" si="535"/>
        <v>0</v>
      </c>
      <c r="Y2301" s="52">
        <f t="shared" si="536"/>
        <v>0</v>
      </c>
    </row>
    <row r="2302" spans="1:25" x14ac:dyDescent="0.25">
      <c r="A2302" s="1218" t="s">
        <v>204</v>
      </c>
      <c r="B2302" s="98">
        <v>45809</v>
      </c>
      <c r="C2302" s="117" t="str">
        <f t="shared" si="524"/>
        <v>8L</v>
      </c>
      <c r="F2302" s="99">
        <f t="shared" si="523"/>
        <v>0</v>
      </c>
      <c r="I2302" s="99">
        <f t="shared" si="522"/>
        <v>0</v>
      </c>
      <c r="L2302" s="99">
        <f t="shared" si="525"/>
        <v>0</v>
      </c>
      <c r="M2302" s="44" t="str">
        <f t="shared" si="527"/>
        <v/>
      </c>
      <c r="N2302" s="100">
        <f t="shared" si="528"/>
        <v>0</v>
      </c>
      <c r="O2302" s="101">
        <f t="shared" si="529"/>
        <v>0</v>
      </c>
      <c r="P2302" s="52">
        <f t="shared" si="530"/>
        <v>0</v>
      </c>
      <c r="Q2302" s="49">
        <v>116.88487613461319</v>
      </c>
      <c r="R2302">
        <v>2225</v>
      </c>
      <c r="S2302" s="50">
        <f t="shared" si="526"/>
        <v>71535.307499999995</v>
      </c>
      <c r="T2302" s="50">
        <f t="shared" si="531"/>
        <v>0</v>
      </c>
      <c r="U2302" s="58">
        <f t="shared" si="532"/>
        <v>0</v>
      </c>
      <c r="V2302" s="58">
        <f t="shared" si="533"/>
        <v>0</v>
      </c>
      <c r="W2302" s="58">
        <f t="shared" si="534"/>
        <v>0</v>
      </c>
      <c r="X2302" s="58">
        <f t="shared" si="535"/>
        <v>0</v>
      </c>
      <c r="Y2302" s="52">
        <f t="shared" si="536"/>
        <v>0</v>
      </c>
    </row>
    <row r="2303" spans="1:25" x14ac:dyDescent="0.25">
      <c r="A2303" s="1218" t="s">
        <v>205</v>
      </c>
      <c r="B2303" s="98">
        <v>45809</v>
      </c>
      <c r="C2303" s="117" t="str">
        <f t="shared" si="524"/>
        <v>8L</v>
      </c>
      <c r="F2303" s="99">
        <f t="shared" si="523"/>
        <v>0</v>
      </c>
      <c r="I2303" s="99">
        <f t="shared" si="522"/>
        <v>0</v>
      </c>
      <c r="L2303" s="99">
        <f t="shared" si="525"/>
        <v>0</v>
      </c>
      <c r="M2303" s="44" t="str">
        <f t="shared" si="527"/>
        <v/>
      </c>
      <c r="N2303" s="100">
        <f t="shared" si="528"/>
        <v>0</v>
      </c>
      <c r="O2303" s="101">
        <f t="shared" si="529"/>
        <v>0</v>
      </c>
      <c r="P2303" s="52">
        <f t="shared" si="530"/>
        <v>0</v>
      </c>
      <c r="Q2303" s="49">
        <v>116.88487613461319</v>
      </c>
      <c r="R2303">
        <v>2225</v>
      </c>
      <c r="S2303" s="50">
        <f t="shared" si="526"/>
        <v>71535.307499999995</v>
      </c>
      <c r="T2303" s="50">
        <f t="shared" si="531"/>
        <v>0</v>
      </c>
      <c r="U2303" s="58">
        <f t="shared" si="532"/>
        <v>0</v>
      </c>
      <c r="V2303" s="58">
        <f t="shared" si="533"/>
        <v>0</v>
      </c>
      <c r="W2303" s="58">
        <f t="shared" si="534"/>
        <v>0</v>
      </c>
      <c r="X2303" s="58">
        <f t="shared" si="535"/>
        <v>0</v>
      </c>
      <c r="Y2303" s="52">
        <f t="shared" si="536"/>
        <v>0</v>
      </c>
    </row>
    <row r="2304" spans="1:25" x14ac:dyDescent="0.25">
      <c r="A2304" s="1218" t="s">
        <v>206</v>
      </c>
      <c r="B2304" s="98">
        <v>45809</v>
      </c>
      <c r="C2304" s="117" t="str">
        <f t="shared" si="524"/>
        <v>8L</v>
      </c>
      <c r="F2304" s="99">
        <f t="shared" si="523"/>
        <v>0</v>
      </c>
      <c r="I2304" s="99">
        <f t="shared" ref="I2304:I2368" si="537">IFERROR(G2304*H2304/1000,"")</f>
        <v>0</v>
      </c>
      <c r="L2304" s="99">
        <f t="shared" si="525"/>
        <v>0</v>
      </c>
      <c r="M2304" s="44" t="str">
        <f t="shared" si="527"/>
        <v/>
      </c>
      <c r="N2304" s="100">
        <f t="shared" si="528"/>
        <v>0</v>
      </c>
      <c r="O2304" s="101">
        <f t="shared" si="529"/>
        <v>0</v>
      </c>
      <c r="P2304" s="52">
        <f t="shared" si="530"/>
        <v>0</v>
      </c>
      <c r="Q2304" s="49">
        <v>116.88487613461319</v>
      </c>
      <c r="R2304">
        <v>2225</v>
      </c>
      <c r="S2304" s="50">
        <f t="shared" si="526"/>
        <v>71535.307499999995</v>
      </c>
      <c r="T2304" s="50">
        <f t="shared" si="531"/>
        <v>0</v>
      </c>
      <c r="U2304" s="58">
        <f t="shared" si="532"/>
        <v>0</v>
      </c>
      <c r="V2304" s="58">
        <f t="shared" si="533"/>
        <v>0</v>
      </c>
      <c r="W2304" s="58">
        <f t="shared" si="534"/>
        <v>0</v>
      </c>
      <c r="X2304" s="58">
        <f t="shared" si="535"/>
        <v>0</v>
      </c>
      <c r="Y2304" s="52">
        <f t="shared" si="536"/>
        <v>0</v>
      </c>
    </row>
    <row r="2305" spans="1:25" ht="15.75" thickBot="1" x14ac:dyDescent="0.3">
      <c r="A2305" s="1219" t="s">
        <v>207</v>
      </c>
      <c r="B2305" s="98">
        <v>45809</v>
      </c>
      <c r="C2305" s="117" t="str">
        <f t="shared" si="524"/>
        <v>8L</v>
      </c>
      <c r="F2305" s="99">
        <f t="shared" si="523"/>
        <v>0</v>
      </c>
      <c r="I2305" s="99">
        <f t="shared" si="537"/>
        <v>0</v>
      </c>
      <c r="L2305" s="99">
        <f t="shared" si="525"/>
        <v>0</v>
      </c>
      <c r="M2305" s="44" t="str">
        <f t="shared" si="527"/>
        <v/>
      </c>
      <c r="N2305" s="100">
        <f t="shared" si="528"/>
        <v>0</v>
      </c>
      <c r="O2305" s="101">
        <f t="shared" si="529"/>
        <v>0</v>
      </c>
      <c r="P2305" s="52">
        <f t="shared" si="530"/>
        <v>0</v>
      </c>
      <c r="Q2305" s="49">
        <v>116.88487613461319</v>
      </c>
      <c r="R2305">
        <v>2225</v>
      </c>
      <c r="S2305" s="50">
        <f t="shared" si="526"/>
        <v>71535.307499999995</v>
      </c>
      <c r="T2305" s="50">
        <f t="shared" si="531"/>
        <v>0</v>
      </c>
      <c r="U2305" s="58">
        <f t="shared" si="532"/>
        <v>0</v>
      </c>
      <c r="V2305" s="58">
        <f t="shared" si="533"/>
        <v>0</v>
      </c>
      <c r="W2305" s="58">
        <f t="shared" si="534"/>
        <v>0</v>
      </c>
      <c r="X2305" s="58">
        <f t="shared" si="535"/>
        <v>0</v>
      </c>
      <c r="Y2305" s="52">
        <f t="shared" si="536"/>
        <v>0</v>
      </c>
    </row>
    <row r="2306" spans="1:25" x14ac:dyDescent="0.25">
      <c r="A2306" s="97" t="s">
        <v>80</v>
      </c>
      <c r="B2306" s="98">
        <v>45839</v>
      </c>
      <c r="C2306" s="117" t="str">
        <f t="shared" si="524"/>
        <v>1L</v>
      </c>
      <c r="D2306">
        <v>2022</v>
      </c>
      <c r="E2306">
        <v>0.52</v>
      </c>
      <c r="F2306" s="99">
        <f t="shared" si="523"/>
        <v>1.0514400000000002</v>
      </c>
      <c r="I2306" s="99">
        <f t="shared" si="537"/>
        <v>0</v>
      </c>
      <c r="L2306" s="99">
        <f t="shared" si="525"/>
        <v>0</v>
      </c>
      <c r="M2306" s="44" t="str">
        <f t="shared" si="527"/>
        <v/>
      </c>
      <c r="N2306" s="100">
        <f t="shared" si="528"/>
        <v>0</v>
      </c>
      <c r="O2306" s="101">
        <f t="shared" si="529"/>
        <v>0</v>
      </c>
      <c r="P2306" s="52">
        <f t="shared" si="530"/>
        <v>0</v>
      </c>
      <c r="Q2306" s="49">
        <v>116.88487613461319</v>
      </c>
      <c r="R2306">
        <v>2225</v>
      </c>
      <c r="S2306" s="50">
        <f t="shared" si="526"/>
        <v>71535.307499999995</v>
      </c>
      <c r="T2306" s="50">
        <f t="shared" si="531"/>
        <v>0</v>
      </c>
      <c r="U2306" s="58">
        <f t="shared" si="532"/>
        <v>0</v>
      </c>
      <c r="V2306" s="58">
        <f t="shared" si="533"/>
        <v>0</v>
      </c>
      <c r="W2306" s="58">
        <f t="shared" si="534"/>
        <v>0</v>
      </c>
      <c r="X2306" s="58">
        <f t="shared" si="535"/>
        <v>0</v>
      </c>
      <c r="Y2306" s="52">
        <f t="shared" si="536"/>
        <v>0</v>
      </c>
    </row>
    <row r="2307" spans="1:25" x14ac:dyDescent="0.25">
      <c r="A2307" s="1218" t="s">
        <v>81</v>
      </c>
      <c r="B2307" s="98">
        <v>45839</v>
      </c>
      <c r="C2307" s="117" t="str">
        <f t="shared" si="524"/>
        <v>1L</v>
      </c>
      <c r="F2307" s="99">
        <f t="shared" si="523"/>
        <v>0</v>
      </c>
      <c r="I2307" s="99">
        <f t="shared" si="537"/>
        <v>0</v>
      </c>
      <c r="L2307" s="99">
        <f t="shared" si="525"/>
        <v>0</v>
      </c>
      <c r="M2307" s="44" t="str">
        <f t="shared" si="527"/>
        <v/>
      </c>
      <c r="N2307" s="100">
        <f t="shared" si="528"/>
        <v>0</v>
      </c>
      <c r="O2307" s="101">
        <f t="shared" si="529"/>
        <v>0</v>
      </c>
      <c r="P2307" s="52">
        <f t="shared" si="530"/>
        <v>0</v>
      </c>
      <c r="Q2307" s="49">
        <v>116.88487613461319</v>
      </c>
      <c r="R2307">
        <v>2225</v>
      </c>
      <c r="S2307" s="50">
        <f t="shared" si="526"/>
        <v>71535.307499999995</v>
      </c>
      <c r="T2307" s="50">
        <f t="shared" si="531"/>
        <v>0</v>
      </c>
      <c r="U2307" s="58">
        <f t="shared" si="532"/>
        <v>0</v>
      </c>
      <c r="V2307" s="58">
        <f t="shared" si="533"/>
        <v>0</v>
      </c>
      <c r="W2307" s="58">
        <f t="shared" si="534"/>
        <v>0</v>
      </c>
      <c r="X2307" s="58">
        <f t="shared" si="535"/>
        <v>0</v>
      </c>
      <c r="Y2307" s="52">
        <f t="shared" si="536"/>
        <v>0</v>
      </c>
    </row>
    <row r="2308" spans="1:25" x14ac:dyDescent="0.25">
      <c r="A2308" s="1218" t="s">
        <v>82</v>
      </c>
      <c r="B2308" s="98">
        <v>45839</v>
      </c>
      <c r="C2308" s="117" t="str">
        <f t="shared" si="524"/>
        <v>1L</v>
      </c>
      <c r="F2308" s="99">
        <f t="shared" si="523"/>
        <v>0</v>
      </c>
      <c r="I2308" s="99">
        <f t="shared" si="537"/>
        <v>0</v>
      </c>
      <c r="L2308" s="99">
        <f t="shared" si="525"/>
        <v>0</v>
      </c>
      <c r="M2308" s="44" t="str">
        <f t="shared" si="527"/>
        <v/>
      </c>
      <c r="N2308" s="100">
        <f t="shared" si="528"/>
        <v>0</v>
      </c>
      <c r="O2308" s="101">
        <f t="shared" si="529"/>
        <v>0</v>
      </c>
      <c r="P2308" s="52">
        <f t="shared" si="530"/>
        <v>0</v>
      </c>
      <c r="Q2308" s="49">
        <v>116.88487613461319</v>
      </c>
      <c r="R2308">
        <v>2225</v>
      </c>
      <c r="S2308" s="50">
        <f t="shared" si="526"/>
        <v>71535.307499999995</v>
      </c>
      <c r="T2308" s="50">
        <f t="shared" si="531"/>
        <v>0</v>
      </c>
      <c r="U2308" s="58">
        <f t="shared" si="532"/>
        <v>0</v>
      </c>
      <c r="V2308" s="58">
        <f t="shared" si="533"/>
        <v>0</v>
      </c>
      <c r="W2308" s="58">
        <f t="shared" si="534"/>
        <v>0</v>
      </c>
      <c r="X2308" s="58">
        <f t="shared" si="535"/>
        <v>0</v>
      </c>
      <c r="Y2308" s="52">
        <f t="shared" si="536"/>
        <v>0</v>
      </c>
    </row>
    <row r="2309" spans="1:25" x14ac:dyDescent="0.25">
      <c r="A2309" s="1218" t="s">
        <v>83</v>
      </c>
      <c r="B2309" s="98">
        <v>45839</v>
      </c>
      <c r="C2309" s="117" t="str">
        <f t="shared" si="524"/>
        <v>1L</v>
      </c>
      <c r="F2309" s="99">
        <f t="shared" si="523"/>
        <v>0</v>
      </c>
      <c r="I2309" s="99">
        <f t="shared" si="537"/>
        <v>0</v>
      </c>
      <c r="L2309" s="99">
        <f t="shared" si="525"/>
        <v>0</v>
      </c>
      <c r="M2309" s="44" t="str">
        <f t="shared" si="527"/>
        <v/>
      </c>
      <c r="N2309" s="100">
        <f t="shared" si="528"/>
        <v>0</v>
      </c>
      <c r="O2309" s="101">
        <f t="shared" si="529"/>
        <v>0</v>
      </c>
      <c r="P2309" s="52">
        <f t="shared" si="530"/>
        <v>0</v>
      </c>
      <c r="Q2309" s="49">
        <v>116.88487613461319</v>
      </c>
      <c r="R2309">
        <v>2225</v>
      </c>
      <c r="S2309" s="50">
        <f t="shared" si="526"/>
        <v>71535.307499999995</v>
      </c>
      <c r="T2309" s="50">
        <f t="shared" si="531"/>
        <v>0</v>
      </c>
      <c r="U2309" s="58">
        <f t="shared" si="532"/>
        <v>0</v>
      </c>
      <c r="V2309" s="58">
        <f t="shared" si="533"/>
        <v>0</v>
      </c>
      <c r="W2309" s="58">
        <f t="shared" si="534"/>
        <v>0</v>
      </c>
      <c r="X2309" s="58">
        <f t="shared" si="535"/>
        <v>0</v>
      </c>
      <c r="Y2309" s="52">
        <f t="shared" si="536"/>
        <v>0</v>
      </c>
    </row>
    <row r="2310" spans="1:25" x14ac:dyDescent="0.25">
      <c r="A2310" s="1218" t="s">
        <v>84</v>
      </c>
      <c r="B2310" s="98">
        <v>45839</v>
      </c>
      <c r="C2310" s="117" t="str">
        <f t="shared" si="524"/>
        <v>2L</v>
      </c>
      <c r="F2310" s="99">
        <f t="shared" si="523"/>
        <v>0</v>
      </c>
      <c r="I2310" s="99">
        <f t="shared" si="537"/>
        <v>0</v>
      </c>
      <c r="L2310" s="99">
        <f t="shared" si="525"/>
        <v>0</v>
      </c>
      <c r="M2310" s="44" t="str">
        <f t="shared" si="527"/>
        <v/>
      </c>
      <c r="N2310" s="100">
        <f t="shared" si="528"/>
        <v>0</v>
      </c>
      <c r="O2310" s="101">
        <f t="shared" si="529"/>
        <v>0</v>
      </c>
      <c r="P2310" s="52">
        <f t="shared" si="530"/>
        <v>0</v>
      </c>
      <c r="Q2310" s="49">
        <v>116.88487613461319</v>
      </c>
      <c r="R2310">
        <v>2225</v>
      </c>
      <c r="S2310" s="50">
        <f t="shared" si="526"/>
        <v>71535.307499999995</v>
      </c>
      <c r="T2310" s="50">
        <f t="shared" si="531"/>
        <v>0</v>
      </c>
      <c r="U2310" s="58">
        <f t="shared" si="532"/>
        <v>0</v>
      </c>
      <c r="V2310" s="58">
        <f t="shared" si="533"/>
        <v>0</v>
      </c>
      <c r="W2310" s="58">
        <f t="shared" si="534"/>
        <v>0</v>
      </c>
      <c r="X2310" s="58">
        <f t="shared" si="535"/>
        <v>0</v>
      </c>
      <c r="Y2310" s="52">
        <f t="shared" si="536"/>
        <v>0</v>
      </c>
    </row>
    <row r="2311" spans="1:25" x14ac:dyDescent="0.25">
      <c r="A2311" s="1218" t="s">
        <v>85</v>
      </c>
      <c r="B2311" s="98">
        <v>45839</v>
      </c>
      <c r="C2311" s="117" t="str">
        <f t="shared" si="524"/>
        <v>2L</v>
      </c>
      <c r="F2311" s="99">
        <f t="shared" si="523"/>
        <v>0</v>
      </c>
      <c r="I2311" s="99">
        <f t="shared" si="537"/>
        <v>0</v>
      </c>
      <c r="L2311" s="99">
        <f t="shared" si="525"/>
        <v>0</v>
      </c>
      <c r="M2311" s="44" t="str">
        <f t="shared" si="527"/>
        <v/>
      </c>
      <c r="N2311" s="100">
        <f t="shared" si="528"/>
        <v>0</v>
      </c>
      <c r="O2311" s="101">
        <f t="shared" si="529"/>
        <v>0</v>
      </c>
      <c r="P2311" s="52">
        <f t="shared" si="530"/>
        <v>0</v>
      </c>
      <c r="Q2311" s="49">
        <v>116.88487613461319</v>
      </c>
      <c r="R2311">
        <v>2225</v>
      </c>
      <c r="S2311" s="50">
        <f t="shared" si="526"/>
        <v>71535.307499999995</v>
      </c>
      <c r="T2311" s="50">
        <f t="shared" si="531"/>
        <v>0</v>
      </c>
      <c r="U2311" s="58">
        <f t="shared" si="532"/>
        <v>0</v>
      </c>
      <c r="V2311" s="58">
        <f t="shared" si="533"/>
        <v>0</v>
      </c>
      <c r="W2311" s="58">
        <f t="shared" si="534"/>
        <v>0</v>
      </c>
      <c r="X2311" s="58">
        <f t="shared" si="535"/>
        <v>0</v>
      </c>
      <c r="Y2311" s="52">
        <f t="shared" si="536"/>
        <v>0</v>
      </c>
    </row>
    <row r="2312" spans="1:25" x14ac:dyDescent="0.25">
      <c r="A2312" s="1218" t="s">
        <v>86</v>
      </c>
      <c r="B2312" s="98">
        <v>45839</v>
      </c>
      <c r="C2312" s="117" t="str">
        <f t="shared" si="524"/>
        <v>2L</v>
      </c>
      <c r="F2312" s="99">
        <f t="shared" si="523"/>
        <v>0</v>
      </c>
      <c r="I2312" s="99">
        <f t="shared" si="537"/>
        <v>0</v>
      </c>
      <c r="L2312" s="99">
        <f t="shared" si="525"/>
        <v>0</v>
      </c>
      <c r="M2312" s="44" t="str">
        <f t="shared" si="527"/>
        <v/>
      </c>
      <c r="N2312" s="100">
        <f t="shared" si="528"/>
        <v>0</v>
      </c>
      <c r="O2312" s="101">
        <f t="shared" si="529"/>
        <v>0</v>
      </c>
      <c r="P2312" s="52">
        <f t="shared" si="530"/>
        <v>0</v>
      </c>
      <c r="Q2312" s="49">
        <v>116.88487613461319</v>
      </c>
      <c r="R2312">
        <v>2225</v>
      </c>
      <c r="S2312" s="50">
        <f t="shared" si="526"/>
        <v>71535.307499999995</v>
      </c>
      <c r="T2312" s="50">
        <f t="shared" si="531"/>
        <v>0</v>
      </c>
      <c r="U2312" s="58">
        <f t="shared" si="532"/>
        <v>0</v>
      </c>
      <c r="V2312" s="58">
        <f t="shared" si="533"/>
        <v>0</v>
      </c>
      <c r="W2312" s="58">
        <f t="shared" si="534"/>
        <v>0</v>
      </c>
      <c r="X2312" s="58">
        <f t="shared" si="535"/>
        <v>0</v>
      </c>
      <c r="Y2312" s="52">
        <f t="shared" si="536"/>
        <v>0</v>
      </c>
    </row>
    <row r="2313" spans="1:25" x14ac:dyDescent="0.25">
      <c r="A2313" s="1218" t="s">
        <v>87</v>
      </c>
      <c r="B2313" s="98">
        <v>45839</v>
      </c>
      <c r="C2313" s="117" t="str">
        <f t="shared" si="524"/>
        <v>3L</v>
      </c>
      <c r="F2313" s="99">
        <f t="shared" si="523"/>
        <v>0</v>
      </c>
      <c r="I2313" s="99">
        <f t="shared" si="537"/>
        <v>0</v>
      </c>
      <c r="L2313" s="99">
        <f t="shared" si="525"/>
        <v>0</v>
      </c>
      <c r="M2313" s="44" t="str">
        <f t="shared" si="527"/>
        <v/>
      </c>
      <c r="N2313" s="100">
        <f t="shared" si="528"/>
        <v>0</v>
      </c>
      <c r="O2313" s="101">
        <f t="shared" si="529"/>
        <v>0</v>
      </c>
      <c r="P2313" s="52">
        <f t="shared" si="530"/>
        <v>0</v>
      </c>
      <c r="Q2313" s="49">
        <v>116.88487613461319</v>
      </c>
      <c r="R2313">
        <v>2225</v>
      </c>
      <c r="S2313" s="50">
        <f t="shared" si="526"/>
        <v>71535.307499999995</v>
      </c>
      <c r="T2313" s="50">
        <f t="shared" si="531"/>
        <v>0</v>
      </c>
      <c r="U2313" s="58">
        <f t="shared" si="532"/>
        <v>0</v>
      </c>
      <c r="V2313" s="58">
        <f t="shared" si="533"/>
        <v>0</v>
      </c>
      <c r="W2313" s="58">
        <f t="shared" si="534"/>
        <v>0</v>
      </c>
      <c r="X2313" s="58">
        <f t="shared" si="535"/>
        <v>0</v>
      </c>
      <c r="Y2313" s="52">
        <f t="shared" si="536"/>
        <v>0</v>
      </c>
    </row>
    <row r="2314" spans="1:25" x14ac:dyDescent="0.25">
      <c r="A2314" s="1218" t="s">
        <v>88</v>
      </c>
      <c r="B2314" s="98">
        <v>45839</v>
      </c>
      <c r="C2314" s="117" t="str">
        <f t="shared" si="524"/>
        <v>3L</v>
      </c>
      <c r="F2314" s="99">
        <f t="shared" ref="F2314:F2378" si="538">IFERROR(D2314*E2314/1000,"")</f>
        <v>0</v>
      </c>
      <c r="I2314" s="99">
        <f t="shared" si="537"/>
        <v>0</v>
      </c>
      <c r="L2314" s="99">
        <f t="shared" si="525"/>
        <v>0</v>
      </c>
      <c r="M2314" s="44" t="str">
        <f t="shared" si="527"/>
        <v/>
      </c>
      <c r="N2314" s="100">
        <f t="shared" si="528"/>
        <v>0</v>
      </c>
      <c r="O2314" s="101">
        <f t="shared" si="529"/>
        <v>0</v>
      </c>
      <c r="P2314" s="52">
        <f t="shared" si="530"/>
        <v>0</v>
      </c>
      <c r="Q2314" s="49">
        <v>116.88487613461319</v>
      </c>
      <c r="R2314">
        <v>2225</v>
      </c>
      <c r="S2314" s="50">
        <f t="shared" si="526"/>
        <v>71535.307499999995</v>
      </c>
      <c r="T2314" s="50">
        <f t="shared" si="531"/>
        <v>0</v>
      </c>
      <c r="U2314" s="58">
        <f t="shared" si="532"/>
        <v>0</v>
      </c>
      <c r="V2314" s="58">
        <f t="shared" si="533"/>
        <v>0</v>
      </c>
      <c r="W2314" s="58">
        <f t="shared" si="534"/>
        <v>0</v>
      </c>
      <c r="X2314" s="58">
        <f t="shared" si="535"/>
        <v>0</v>
      </c>
      <c r="Y2314" s="52">
        <f t="shared" si="536"/>
        <v>0</v>
      </c>
    </row>
    <row r="2315" spans="1:25" x14ac:dyDescent="0.25">
      <c r="A2315" s="1218" t="s">
        <v>89</v>
      </c>
      <c r="B2315" s="98">
        <v>45839</v>
      </c>
      <c r="C2315" s="117" t="str">
        <f t="shared" si="524"/>
        <v>3L</v>
      </c>
      <c r="F2315" s="99">
        <f t="shared" si="538"/>
        <v>0</v>
      </c>
      <c r="I2315" s="99">
        <f t="shared" si="537"/>
        <v>0</v>
      </c>
      <c r="L2315" s="99">
        <f t="shared" si="525"/>
        <v>0</v>
      </c>
      <c r="M2315" s="44" t="str">
        <f t="shared" si="527"/>
        <v/>
      </c>
      <c r="N2315" s="100">
        <f t="shared" si="528"/>
        <v>0</v>
      </c>
      <c r="O2315" s="101">
        <f t="shared" si="529"/>
        <v>0</v>
      </c>
      <c r="P2315" s="52">
        <f t="shared" si="530"/>
        <v>0</v>
      </c>
      <c r="Q2315" s="49">
        <v>116.88487613461319</v>
      </c>
      <c r="R2315">
        <v>2225</v>
      </c>
      <c r="S2315" s="50">
        <f t="shared" si="526"/>
        <v>71535.307499999995</v>
      </c>
      <c r="T2315" s="50">
        <f t="shared" si="531"/>
        <v>0</v>
      </c>
      <c r="U2315" s="58">
        <f t="shared" si="532"/>
        <v>0</v>
      </c>
      <c r="V2315" s="58">
        <f t="shared" si="533"/>
        <v>0</v>
      </c>
      <c r="W2315" s="58">
        <f t="shared" si="534"/>
        <v>0</v>
      </c>
      <c r="X2315" s="58">
        <f t="shared" si="535"/>
        <v>0</v>
      </c>
      <c r="Y2315" s="52">
        <f t="shared" si="536"/>
        <v>0</v>
      </c>
    </row>
    <row r="2316" spans="1:25" x14ac:dyDescent="0.25">
      <c r="A2316" s="1218" t="s">
        <v>90</v>
      </c>
      <c r="B2316" s="98">
        <v>45839</v>
      </c>
      <c r="C2316" s="117" t="str">
        <f t="shared" si="524"/>
        <v>3L</v>
      </c>
      <c r="F2316" s="99">
        <f t="shared" si="538"/>
        <v>0</v>
      </c>
      <c r="I2316" s="99">
        <f t="shared" si="537"/>
        <v>0</v>
      </c>
      <c r="L2316" s="99">
        <f t="shared" si="525"/>
        <v>0</v>
      </c>
      <c r="M2316" s="44" t="str">
        <f t="shared" si="527"/>
        <v/>
      </c>
      <c r="N2316" s="100">
        <f t="shared" si="528"/>
        <v>0</v>
      </c>
      <c r="O2316" s="101">
        <f t="shared" si="529"/>
        <v>0</v>
      </c>
      <c r="P2316" s="52">
        <f t="shared" si="530"/>
        <v>0</v>
      </c>
      <c r="Q2316" s="49">
        <v>116.88487613461319</v>
      </c>
      <c r="R2316">
        <v>2225</v>
      </c>
      <c r="S2316" s="50">
        <f t="shared" si="526"/>
        <v>71535.307499999995</v>
      </c>
      <c r="T2316" s="50">
        <f t="shared" si="531"/>
        <v>0</v>
      </c>
      <c r="U2316" s="58">
        <f t="shared" si="532"/>
        <v>0</v>
      </c>
      <c r="V2316" s="58">
        <f t="shared" si="533"/>
        <v>0</v>
      </c>
      <c r="W2316" s="58">
        <f t="shared" si="534"/>
        <v>0</v>
      </c>
      <c r="X2316" s="58">
        <f t="shared" si="535"/>
        <v>0</v>
      </c>
      <c r="Y2316" s="52">
        <f t="shared" si="536"/>
        <v>0</v>
      </c>
    </row>
    <row r="2317" spans="1:25" x14ac:dyDescent="0.25">
      <c r="A2317" s="1218" t="s">
        <v>91</v>
      </c>
      <c r="B2317" s="98">
        <v>45839</v>
      </c>
      <c r="C2317" s="117" t="str">
        <f t="shared" si="524"/>
        <v>3L</v>
      </c>
      <c r="F2317" s="99">
        <f t="shared" si="538"/>
        <v>0</v>
      </c>
      <c r="I2317" s="99">
        <f t="shared" si="537"/>
        <v>0</v>
      </c>
      <c r="L2317" s="99">
        <f t="shared" si="525"/>
        <v>0</v>
      </c>
      <c r="M2317" s="44" t="str">
        <f t="shared" si="527"/>
        <v/>
      </c>
      <c r="N2317" s="100">
        <f t="shared" si="528"/>
        <v>0</v>
      </c>
      <c r="O2317" s="101">
        <f t="shared" si="529"/>
        <v>0</v>
      </c>
      <c r="P2317" s="52">
        <f t="shared" si="530"/>
        <v>0</v>
      </c>
      <c r="Q2317" s="49">
        <v>116.88487613461319</v>
      </c>
      <c r="R2317">
        <v>2225</v>
      </c>
      <c r="S2317" s="50">
        <f t="shared" si="526"/>
        <v>71535.307499999995</v>
      </c>
      <c r="T2317" s="50">
        <f t="shared" si="531"/>
        <v>0</v>
      </c>
      <c r="U2317" s="58">
        <f t="shared" si="532"/>
        <v>0</v>
      </c>
      <c r="V2317" s="58">
        <f t="shared" si="533"/>
        <v>0</v>
      </c>
      <c r="W2317" s="58">
        <f t="shared" si="534"/>
        <v>0</v>
      </c>
      <c r="X2317" s="58">
        <f t="shared" si="535"/>
        <v>0</v>
      </c>
      <c r="Y2317" s="52">
        <f t="shared" si="536"/>
        <v>0</v>
      </c>
    </row>
    <row r="2318" spans="1:25" x14ac:dyDescent="0.25">
      <c r="A2318" s="1218" t="s">
        <v>92</v>
      </c>
      <c r="B2318" s="98">
        <v>45839</v>
      </c>
      <c r="C2318" s="117" t="str">
        <f t="shared" si="524"/>
        <v>3L</v>
      </c>
      <c r="D2318">
        <v>119</v>
      </c>
      <c r="E2318">
        <v>1.72</v>
      </c>
      <c r="F2318" s="99">
        <f t="shared" si="538"/>
        <v>0.20468</v>
      </c>
      <c r="I2318" s="99">
        <f t="shared" si="537"/>
        <v>0</v>
      </c>
      <c r="L2318" s="99">
        <f t="shared" si="525"/>
        <v>0</v>
      </c>
      <c r="M2318" s="44" t="str">
        <f t="shared" si="527"/>
        <v/>
      </c>
      <c r="N2318" s="100">
        <f t="shared" si="528"/>
        <v>0</v>
      </c>
      <c r="O2318" s="101">
        <f t="shared" si="529"/>
        <v>0</v>
      </c>
      <c r="P2318" s="52">
        <f t="shared" si="530"/>
        <v>0</v>
      </c>
      <c r="Q2318" s="49">
        <v>116.88487613461319</v>
      </c>
      <c r="R2318">
        <v>2225</v>
      </c>
      <c r="S2318" s="50">
        <f t="shared" si="526"/>
        <v>71535.307499999995</v>
      </c>
      <c r="T2318" s="50">
        <f t="shared" si="531"/>
        <v>0</v>
      </c>
      <c r="U2318" s="58">
        <f t="shared" si="532"/>
        <v>0</v>
      </c>
      <c r="V2318" s="58">
        <f t="shared" si="533"/>
        <v>0</v>
      </c>
      <c r="W2318" s="58">
        <f t="shared" si="534"/>
        <v>0</v>
      </c>
      <c r="X2318" s="58">
        <f t="shared" si="535"/>
        <v>0</v>
      </c>
      <c r="Y2318" s="52">
        <f t="shared" si="536"/>
        <v>0</v>
      </c>
    </row>
    <row r="2319" spans="1:25" x14ac:dyDescent="0.25">
      <c r="A2319" s="1218" t="s">
        <v>93</v>
      </c>
      <c r="B2319" s="98">
        <v>45839</v>
      </c>
      <c r="C2319" s="117" t="str">
        <f t="shared" si="524"/>
        <v>3L</v>
      </c>
      <c r="F2319" s="99">
        <f t="shared" si="538"/>
        <v>0</v>
      </c>
      <c r="I2319" s="99">
        <f t="shared" si="537"/>
        <v>0</v>
      </c>
      <c r="L2319" s="99">
        <f t="shared" si="525"/>
        <v>0</v>
      </c>
      <c r="M2319" s="44" t="str">
        <f t="shared" si="527"/>
        <v/>
      </c>
      <c r="N2319" s="100">
        <f t="shared" si="528"/>
        <v>0</v>
      </c>
      <c r="O2319" s="101">
        <f t="shared" si="529"/>
        <v>0</v>
      </c>
      <c r="P2319" s="52">
        <f t="shared" si="530"/>
        <v>0</v>
      </c>
      <c r="Q2319" s="49">
        <v>116.88487613461319</v>
      </c>
      <c r="R2319">
        <v>2225</v>
      </c>
      <c r="S2319" s="50">
        <f t="shared" si="526"/>
        <v>71535.307499999995</v>
      </c>
      <c r="T2319" s="50">
        <f t="shared" si="531"/>
        <v>0</v>
      </c>
      <c r="U2319" s="58">
        <f t="shared" si="532"/>
        <v>0</v>
      </c>
      <c r="V2319" s="58">
        <f t="shared" si="533"/>
        <v>0</v>
      </c>
      <c r="W2319" s="58">
        <f t="shared" si="534"/>
        <v>0</v>
      </c>
      <c r="X2319" s="58">
        <f t="shared" si="535"/>
        <v>0</v>
      </c>
      <c r="Y2319" s="52">
        <f t="shared" si="536"/>
        <v>0</v>
      </c>
    </row>
    <row r="2320" spans="1:25" x14ac:dyDescent="0.25">
      <c r="A2320" s="1218" t="s">
        <v>94</v>
      </c>
      <c r="B2320" s="98">
        <v>45839</v>
      </c>
      <c r="C2320" s="117" t="str">
        <f t="shared" si="524"/>
        <v>3L</v>
      </c>
      <c r="F2320" s="99">
        <f t="shared" si="538"/>
        <v>0</v>
      </c>
      <c r="I2320" s="99">
        <f t="shared" si="537"/>
        <v>0</v>
      </c>
      <c r="L2320" s="99">
        <f t="shared" si="525"/>
        <v>0</v>
      </c>
      <c r="M2320" s="44" t="str">
        <f t="shared" si="527"/>
        <v/>
      </c>
      <c r="N2320" s="100">
        <f t="shared" si="528"/>
        <v>0</v>
      </c>
      <c r="O2320" s="101">
        <f t="shared" si="529"/>
        <v>0</v>
      </c>
      <c r="P2320" s="52">
        <f t="shared" si="530"/>
        <v>0</v>
      </c>
      <c r="Q2320" s="49">
        <v>116.88487613461319</v>
      </c>
      <c r="R2320">
        <v>2225</v>
      </c>
      <c r="S2320" s="50">
        <f t="shared" si="526"/>
        <v>71535.307499999995</v>
      </c>
      <c r="T2320" s="50">
        <f t="shared" si="531"/>
        <v>0</v>
      </c>
      <c r="U2320" s="58">
        <f t="shared" si="532"/>
        <v>0</v>
      </c>
      <c r="V2320" s="58">
        <f t="shared" si="533"/>
        <v>0</v>
      </c>
      <c r="W2320" s="58">
        <f t="shared" si="534"/>
        <v>0</v>
      </c>
      <c r="X2320" s="58">
        <f t="shared" si="535"/>
        <v>0</v>
      </c>
      <c r="Y2320" s="52">
        <f t="shared" si="536"/>
        <v>0</v>
      </c>
    </row>
    <row r="2321" spans="1:25" x14ac:dyDescent="0.25">
      <c r="A2321" s="1218" t="s">
        <v>95</v>
      </c>
      <c r="B2321" s="98">
        <v>45839</v>
      </c>
      <c r="C2321" s="117" t="str">
        <f t="shared" si="524"/>
        <v>3L</v>
      </c>
      <c r="F2321" s="99">
        <f t="shared" si="538"/>
        <v>0</v>
      </c>
      <c r="I2321" s="99">
        <f t="shared" si="537"/>
        <v>0</v>
      </c>
      <c r="L2321" s="99">
        <f t="shared" si="525"/>
        <v>0</v>
      </c>
      <c r="M2321" s="44" t="str">
        <f t="shared" si="527"/>
        <v/>
      </c>
      <c r="N2321" s="100">
        <f t="shared" si="528"/>
        <v>0</v>
      </c>
      <c r="O2321" s="101">
        <f t="shared" si="529"/>
        <v>0</v>
      </c>
      <c r="P2321" s="52">
        <f t="shared" si="530"/>
        <v>0</v>
      </c>
      <c r="Q2321" s="49">
        <v>116.88487613461319</v>
      </c>
      <c r="R2321">
        <v>2225</v>
      </c>
      <c r="S2321" s="50">
        <f t="shared" si="526"/>
        <v>71535.307499999995</v>
      </c>
      <c r="T2321" s="50">
        <f t="shared" si="531"/>
        <v>0</v>
      </c>
      <c r="U2321" s="58">
        <f t="shared" si="532"/>
        <v>0</v>
      </c>
      <c r="V2321" s="58">
        <f t="shared" si="533"/>
        <v>0</v>
      </c>
      <c r="W2321" s="58">
        <f t="shared" si="534"/>
        <v>0</v>
      </c>
      <c r="X2321" s="58">
        <f t="shared" si="535"/>
        <v>0</v>
      </c>
      <c r="Y2321" s="52">
        <f t="shared" si="536"/>
        <v>0</v>
      </c>
    </row>
    <row r="2322" spans="1:25" x14ac:dyDescent="0.25">
      <c r="A2322" s="1218" t="s">
        <v>96</v>
      </c>
      <c r="B2322" s="98">
        <v>45839</v>
      </c>
      <c r="C2322" s="117" t="str">
        <f t="shared" si="524"/>
        <v>3L</v>
      </c>
      <c r="F2322" s="99">
        <f t="shared" si="538"/>
        <v>0</v>
      </c>
      <c r="I2322" s="99">
        <f t="shared" si="537"/>
        <v>0</v>
      </c>
      <c r="L2322" s="99">
        <f t="shared" si="525"/>
        <v>0</v>
      </c>
      <c r="M2322" s="44" t="str">
        <f t="shared" si="527"/>
        <v/>
      </c>
      <c r="N2322" s="100">
        <f t="shared" si="528"/>
        <v>0</v>
      </c>
      <c r="O2322" s="101">
        <f t="shared" si="529"/>
        <v>0</v>
      </c>
      <c r="P2322" s="52">
        <f t="shared" si="530"/>
        <v>0</v>
      </c>
      <c r="Q2322" s="49">
        <v>116.88487613461319</v>
      </c>
      <c r="R2322">
        <v>2225</v>
      </c>
      <c r="S2322" s="50">
        <f t="shared" si="526"/>
        <v>71535.307499999995</v>
      </c>
      <c r="T2322" s="50">
        <f t="shared" si="531"/>
        <v>0</v>
      </c>
      <c r="U2322" s="58">
        <f t="shared" si="532"/>
        <v>0</v>
      </c>
      <c r="V2322" s="58">
        <f t="shared" si="533"/>
        <v>0</v>
      </c>
      <c r="W2322" s="58">
        <f t="shared" si="534"/>
        <v>0</v>
      </c>
      <c r="X2322" s="58">
        <f t="shared" si="535"/>
        <v>0</v>
      </c>
      <c r="Y2322" s="52">
        <f t="shared" si="536"/>
        <v>0</v>
      </c>
    </row>
    <row r="2323" spans="1:25" x14ac:dyDescent="0.25">
      <c r="A2323" s="1218" t="s">
        <v>97</v>
      </c>
      <c r="B2323" s="98">
        <v>45839</v>
      </c>
      <c r="C2323" s="117" t="str">
        <f t="shared" si="524"/>
        <v>4L</v>
      </c>
      <c r="F2323" s="99">
        <f t="shared" si="538"/>
        <v>0</v>
      </c>
      <c r="I2323" s="99">
        <f t="shared" si="537"/>
        <v>0</v>
      </c>
      <c r="L2323" s="99">
        <f t="shared" si="525"/>
        <v>0</v>
      </c>
      <c r="M2323" s="44" t="str">
        <f t="shared" si="527"/>
        <v/>
      </c>
      <c r="N2323" s="100">
        <f t="shared" si="528"/>
        <v>0</v>
      </c>
      <c r="O2323" s="101">
        <f t="shared" si="529"/>
        <v>0</v>
      </c>
      <c r="P2323" s="52">
        <f t="shared" si="530"/>
        <v>0</v>
      </c>
      <c r="Q2323" s="49">
        <v>116.88487613461319</v>
      </c>
      <c r="R2323">
        <v>2225</v>
      </c>
      <c r="S2323" s="50">
        <f t="shared" si="526"/>
        <v>71535.307499999995</v>
      </c>
      <c r="T2323" s="50">
        <f t="shared" si="531"/>
        <v>0</v>
      </c>
      <c r="U2323" s="58">
        <f t="shared" si="532"/>
        <v>0</v>
      </c>
      <c r="V2323" s="58">
        <f t="shared" si="533"/>
        <v>0</v>
      </c>
      <c r="W2323" s="58">
        <f t="shared" si="534"/>
        <v>0</v>
      </c>
      <c r="X2323" s="58">
        <f t="shared" si="535"/>
        <v>0</v>
      </c>
      <c r="Y2323" s="52">
        <f t="shared" si="536"/>
        <v>0</v>
      </c>
    </row>
    <row r="2324" spans="1:25" x14ac:dyDescent="0.25">
      <c r="A2324" s="1218" t="s">
        <v>98</v>
      </c>
      <c r="B2324" s="98">
        <v>45839</v>
      </c>
      <c r="C2324" s="117" t="str">
        <f t="shared" si="524"/>
        <v>4L</v>
      </c>
      <c r="F2324" s="99">
        <f t="shared" si="538"/>
        <v>0</v>
      </c>
      <c r="I2324" s="99">
        <f t="shared" si="537"/>
        <v>0</v>
      </c>
      <c r="L2324" s="99">
        <f t="shared" si="525"/>
        <v>0</v>
      </c>
      <c r="M2324" s="44" t="str">
        <f t="shared" si="527"/>
        <v/>
      </c>
      <c r="N2324" s="100">
        <f t="shared" si="528"/>
        <v>0</v>
      </c>
      <c r="O2324" s="101">
        <f t="shared" si="529"/>
        <v>0</v>
      </c>
      <c r="P2324" s="52">
        <f t="shared" si="530"/>
        <v>0</v>
      </c>
      <c r="Q2324" s="49">
        <v>116.88487613461319</v>
      </c>
      <c r="R2324">
        <v>2225</v>
      </c>
      <c r="S2324" s="50">
        <f t="shared" si="526"/>
        <v>71535.307499999995</v>
      </c>
      <c r="T2324" s="50">
        <f t="shared" si="531"/>
        <v>0</v>
      </c>
      <c r="U2324" s="58">
        <f t="shared" si="532"/>
        <v>0</v>
      </c>
      <c r="V2324" s="58">
        <f t="shared" si="533"/>
        <v>0</v>
      </c>
      <c r="W2324" s="58">
        <f t="shared" si="534"/>
        <v>0</v>
      </c>
      <c r="X2324" s="58">
        <f t="shared" si="535"/>
        <v>0</v>
      </c>
      <c r="Y2324" s="52">
        <f t="shared" si="536"/>
        <v>0</v>
      </c>
    </row>
    <row r="2325" spans="1:25" x14ac:dyDescent="0.25">
      <c r="A2325" s="1218" t="s">
        <v>99</v>
      </c>
      <c r="B2325" s="98">
        <v>45839</v>
      </c>
      <c r="C2325" s="117" t="str">
        <f t="shared" ref="C2325:C2389" si="539">LEFT(A2325,2)</f>
        <v>4L</v>
      </c>
      <c r="F2325" s="99">
        <f t="shared" si="538"/>
        <v>0</v>
      </c>
      <c r="I2325" s="99">
        <f t="shared" si="537"/>
        <v>0</v>
      </c>
      <c r="L2325" s="99">
        <f t="shared" si="525"/>
        <v>0</v>
      </c>
      <c r="M2325" s="44" t="str">
        <f t="shared" si="527"/>
        <v/>
      </c>
      <c r="N2325" s="100">
        <f t="shared" si="528"/>
        <v>0</v>
      </c>
      <c r="O2325" s="101">
        <f t="shared" si="529"/>
        <v>0</v>
      </c>
      <c r="P2325" s="52">
        <f t="shared" si="530"/>
        <v>0</v>
      </c>
      <c r="Q2325" s="49">
        <v>116.88487613461319</v>
      </c>
      <c r="R2325">
        <v>2225</v>
      </c>
      <c r="S2325" s="50">
        <f t="shared" si="526"/>
        <v>71535.307499999995</v>
      </c>
      <c r="T2325" s="50">
        <f t="shared" si="531"/>
        <v>0</v>
      </c>
      <c r="U2325" s="58">
        <f t="shared" si="532"/>
        <v>0</v>
      </c>
      <c r="V2325" s="58">
        <f t="shared" si="533"/>
        <v>0</v>
      </c>
      <c r="W2325" s="58">
        <f t="shared" si="534"/>
        <v>0</v>
      </c>
      <c r="X2325" s="58">
        <f t="shared" si="535"/>
        <v>0</v>
      </c>
      <c r="Y2325" s="52">
        <f t="shared" si="536"/>
        <v>0</v>
      </c>
    </row>
    <row r="2326" spans="1:25" x14ac:dyDescent="0.25">
      <c r="A2326" s="1218" t="s">
        <v>100</v>
      </c>
      <c r="B2326" s="98">
        <v>45839</v>
      </c>
      <c r="C2326" s="117" t="str">
        <f t="shared" si="539"/>
        <v>4L</v>
      </c>
      <c r="F2326" s="99">
        <f t="shared" si="538"/>
        <v>0</v>
      </c>
      <c r="I2326" s="99">
        <f t="shared" si="537"/>
        <v>0</v>
      </c>
      <c r="L2326" s="99">
        <f t="shared" si="525"/>
        <v>0</v>
      </c>
      <c r="M2326" s="44" t="str">
        <f t="shared" si="527"/>
        <v/>
      </c>
      <c r="N2326" s="100">
        <f t="shared" si="528"/>
        <v>0</v>
      </c>
      <c r="O2326" s="101">
        <f t="shared" si="529"/>
        <v>0</v>
      </c>
      <c r="P2326" s="52">
        <f t="shared" si="530"/>
        <v>0</v>
      </c>
      <c r="Q2326" s="49">
        <v>116.88487613461319</v>
      </c>
      <c r="R2326">
        <v>2225</v>
      </c>
      <c r="S2326" s="50">
        <f t="shared" si="526"/>
        <v>71535.307499999995</v>
      </c>
      <c r="T2326" s="50">
        <f t="shared" si="531"/>
        <v>0</v>
      </c>
      <c r="U2326" s="58">
        <f t="shared" si="532"/>
        <v>0</v>
      </c>
      <c r="V2326" s="58">
        <f t="shared" si="533"/>
        <v>0</v>
      </c>
      <c r="W2326" s="58">
        <f t="shared" si="534"/>
        <v>0</v>
      </c>
      <c r="X2326" s="58">
        <f t="shared" si="535"/>
        <v>0</v>
      </c>
      <c r="Y2326" s="52">
        <f t="shared" si="536"/>
        <v>0</v>
      </c>
    </row>
    <row r="2327" spans="1:25" x14ac:dyDescent="0.25">
      <c r="A2327" s="1218" t="s">
        <v>101</v>
      </c>
      <c r="B2327" s="98">
        <v>45839</v>
      </c>
      <c r="C2327" s="117" t="str">
        <f t="shared" si="539"/>
        <v>4L</v>
      </c>
      <c r="F2327" s="99">
        <f t="shared" si="538"/>
        <v>0</v>
      </c>
      <c r="I2327" s="99">
        <f t="shared" si="537"/>
        <v>0</v>
      </c>
      <c r="L2327" s="99">
        <f t="shared" si="525"/>
        <v>0</v>
      </c>
      <c r="M2327" s="44" t="str">
        <f t="shared" si="527"/>
        <v/>
      </c>
      <c r="N2327" s="100">
        <f t="shared" si="528"/>
        <v>0</v>
      </c>
      <c r="O2327" s="101">
        <f t="shared" si="529"/>
        <v>0</v>
      </c>
      <c r="P2327" s="52">
        <f t="shared" si="530"/>
        <v>0</v>
      </c>
      <c r="Q2327" s="49">
        <v>116.88487613461319</v>
      </c>
      <c r="R2327">
        <v>2225</v>
      </c>
      <c r="S2327" s="50">
        <f t="shared" si="526"/>
        <v>71535.307499999995</v>
      </c>
      <c r="T2327" s="50">
        <f t="shared" si="531"/>
        <v>0</v>
      </c>
      <c r="U2327" s="58">
        <f t="shared" si="532"/>
        <v>0</v>
      </c>
      <c r="V2327" s="58">
        <f t="shared" si="533"/>
        <v>0</v>
      </c>
      <c r="W2327" s="58">
        <f t="shared" si="534"/>
        <v>0</v>
      </c>
      <c r="X2327" s="58">
        <f t="shared" si="535"/>
        <v>0</v>
      </c>
      <c r="Y2327" s="52">
        <f t="shared" si="536"/>
        <v>0</v>
      </c>
    </row>
    <row r="2328" spans="1:25" x14ac:dyDescent="0.25">
      <c r="A2328" s="1218" t="s">
        <v>102</v>
      </c>
      <c r="B2328" s="98">
        <v>45839</v>
      </c>
      <c r="C2328" s="117" t="str">
        <f t="shared" si="539"/>
        <v>4L</v>
      </c>
      <c r="F2328" s="99">
        <f t="shared" si="538"/>
        <v>0</v>
      </c>
      <c r="I2328" s="99">
        <f t="shared" si="537"/>
        <v>0</v>
      </c>
      <c r="L2328" s="99">
        <f t="shared" si="525"/>
        <v>0</v>
      </c>
      <c r="M2328" s="44" t="str">
        <f t="shared" si="527"/>
        <v/>
      </c>
      <c r="N2328" s="100">
        <f t="shared" si="528"/>
        <v>0</v>
      </c>
      <c r="O2328" s="101">
        <f t="shared" si="529"/>
        <v>0</v>
      </c>
      <c r="P2328" s="52">
        <f t="shared" si="530"/>
        <v>0</v>
      </c>
      <c r="Q2328" s="49">
        <v>116.88487613461319</v>
      </c>
      <c r="R2328">
        <v>2225</v>
      </c>
      <c r="S2328" s="50">
        <f t="shared" si="526"/>
        <v>71535.307499999995</v>
      </c>
      <c r="T2328" s="50">
        <f t="shared" si="531"/>
        <v>0</v>
      </c>
      <c r="U2328" s="58">
        <f t="shared" si="532"/>
        <v>0</v>
      </c>
      <c r="V2328" s="58">
        <f t="shared" si="533"/>
        <v>0</v>
      </c>
      <c r="W2328" s="58">
        <f t="shared" si="534"/>
        <v>0</v>
      </c>
      <c r="X2328" s="58">
        <f t="shared" si="535"/>
        <v>0</v>
      </c>
      <c r="Y2328" s="52">
        <f t="shared" si="536"/>
        <v>0</v>
      </c>
    </row>
    <row r="2329" spans="1:25" x14ac:dyDescent="0.25">
      <c r="A2329" s="1218" t="s">
        <v>103</v>
      </c>
      <c r="B2329" s="98">
        <v>45839</v>
      </c>
      <c r="C2329" s="117" t="str">
        <f t="shared" si="539"/>
        <v>4L</v>
      </c>
      <c r="F2329" s="99">
        <f t="shared" si="538"/>
        <v>0</v>
      </c>
      <c r="I2329" s="99">
        <f t="shared" si="537"/>
        <v>0</v>
      </c>
      <c r="L2329" s="99">
        <f t="shared" si="525"/>
        <v>0</v>
      </c>
      <c r="M2329" s="44" t="str">
        <f t="shared" si="527"/>
        <v/>
      </c>
      <c r="N2329" s="100">
        <f t="shared" si="528"/>
        <v>0</v>
      </c>
      <c r="O2329" s="101">
        <f t="shared" si="529"/>
        <v>0</v>
      </c>
      <c r="P2329" s="52">
        <f t="shared" si="530"/>
        <v>0</v>
      </c>
      <c r="Q2329" s="49">
        <v>116.88487613461319</v>
      </c>
      <c r="R2329">
        <v>2225</v>
      </c>
      <c r="S2329" s="50">
        <f t="shared" si="526"/>
        <v>71535.307499999995</v>
      </c>
      <c r="T2329" s="50">
        <f t="shared" si="531"/>
        <v>0</v>
      </c>
      <c r="U2329" s="58">
        <f t="shared" si="532"/>
        <v>0</v>
      </c>
      <c r="V2329" s="58">
        <f t="shared" si="533"/>
        <v>0</v>
      </c>
      <c r="W2329" s="58">
        <f t="shared" si="534"/>
        <v>0</v>
      </c>
      <c r="X2329" s="58">
        <f t="shared" si="535"/>
        <v>0</v>
      </c>
      <c r="Y2329" s="52">
        <f t="shared" si="536"/>
        <v>0</v>
      </c>
    </row>
    <row r="2330" spans="1:25" x14ac:dyDescent="0.25">
      <c r="A2330" s="1218" t="s">
        <v>104</v>
      </c>
      <c r="B2330" s="98">
        <v>45839</v>
      </c>
      <c r="C2330" s="117" t="str">
        <f t="shared" si="539"/>
        <v>4L</v>
      </c>
      <c r="F2330" s="99">
        <f t="shared" si="538"/>
        <v>0</v>
      </c>
      <c r="I2330" s="99">
        <f t="shared" si="537"/>
        <v>0</v>
      </c>
      <c r="L2330" s="99">
        <f t="shared" si="525"/>
        <v>0</v>
      </c>
      <c r="M2330" s="44" t="str">
        <f t="shared" si="527"/>
        <v/>
      </c>
      <c r="N2330" s="100">
        <f t="shared" si="528"/>
        <v>0</v>
      </c>
      <c r="O2330" s="101">
        <f t="shared" si="529"/>
        <v>0</v>
      </c>
      <c r="P2330" s="52">
        <f t="shared" si="530"/>
        <v>0</v>
      </c>
      <c r="Q2330" s="49">
        <v>116.88487613461319</v>
      </c>
      <c r="R2330">
        <v>2225</v>
      </c>
      <c r="S2330" s="50">
        <f t="shared" si="526"/>
        <v>71535.307499999995</v>
      </c>
      <c r="T2330" s="50">
        <f t="shared" si="531"/>
        <v>0</v>
      </c>
      <c r="U2330" s="58">
        <f t="shared" si="532"/>
        <v>0</v>
      </c>
      <c r="V2330" s="58">
        <f t="shared" si="533"/>
        <v>0</v>
      </c>
      <c r="W2330" s="58">
        <f t="shared" si="534"/>
        <v>0</v>
      </c>
      <c r="X2330" s="58">
        <f t="shared" si="535"/>
        <v>0</v>
      </c>
      <c r="Y2330" s="52">
        <f t="shared" si="536"/>
        <v>0</v>
      </c>
    </row>
    <row r="2331" spans="1:25" x14ac:dyDescent="0.25">
      <c r="A2331" s="1218" t="s">
        <v>105</v>
      </c>
      <c r="B2331" s="98">
        <v>45839</v>
      </c>
      <c r="C2331" s="117" t="str">
        <f t="shared" si="539"/>
        <v>4L</v>
      </c>
      <c r="F2331" s="99">
        <f t="shared" si="538"/>
        <v>0</v>
      </c>
      <c r="I2331" s="99">
        <f t="shared" si="537"/>
        <v>0</v>
      </c>
      <c r="L2331" s="99">
        <f t="shared" si="525"/>
        <v>0</v>
      </c>
      <c r="M2331" s="44" t="str">
        <f t="shared" si="527"/>
        <v/>
      </c>
      <c r="N2331" s="100">
        <f t="shared" si="528"/>
        <v>0</v>
      </c>
      <c r="O2331" s="101">
        <f t="shared" si="529"/>
        <v>0</v>
      </c>
      <c r="P2331" s="52">
        <f t="shared" si="530"/>
        <v>0</v>
      </c>
      <c r="Q2331" s="49">
        <v>116.88487613461319</v>
      </c>
      <c r="R2331">
        <v>2225</v>
      </c>
      <c r="S2331" s="50">
        <f t="shared" si="526"/>
        <v>71535.307499999995</v>
      </c>
      <c r="T2331" s="50">
        <f t="shared" si="531"/>
        <v>0</v>
      </c>
      <c r="U2331" s="58">
        <f t="shared" si="532"/>
        <v>0</v>
      </c>
      <c r="V2331" s="58">
        <f t="shared" si="533"/>
        <v>0</v>
      </c>
      <c r="W2331" s="58">
        <f t="shared" si="534"/>
        <v>0</v>
      </c>
      <c r="X2331" s="58">
        <f t="shared" si="535"/>
        <v>0</v>
      </c>
      <c r="Y2331" s="52">
        <f t="shared" si="536"/>
        <v>0</v>
      </c>
    </row>
    <row r="2332" spans="1:25" x14ac:dyDescent="0.25">
      <c r="A2332" s="1218" t="s">
        <v>106</v>
      </c>
      <c r="B2332" s="98">
        <v>45839</v>
      </c>
      <c r="C2332" s="117" t="str">
        <f t="shared" si="539"/>
        <v>4L</v>
      </c>
      <c r="F2332" s="99">
        <f t="shared" si="538"/>
        <v>0</v>
      </c>
      <c r="I2332" s="99">
        <f t="shared" si="537"/>
        <v>0</v>
      </c>
      <c r="L2332" s="99">
        <f t="shared" ref="L2332:L2400" si="540">IFERROR(J2332*K2332/1000,"")</f>
        <v>0</v>
      </c>
      <c r="M2332" s="44" t="str">
        <f t="shared" si="527"/>
        <v/>
      </c>
      <c r="N2332" s="100">
        <f t="shared" si="528"/>
        <v>0</v>
      </c>
      <c r="O2332" s="101">
        <f t="shared" si="529"/>
        <v>0</v>
      </c>
      <c r="P2332" s="52">
        <f t="shared" si="530"/>
        <v>0</v>
      </c>
      <c r="Q2332" s="49">
        <v>116.88487613461319</v>
      </c>
      <c r="R2332">
        <v>2225</v>
      </c>
      <c r="S2332" s="50">
        <f t="shared" ref="S2332:S2400" si="541">R2332*32.1507</f>
        <v>71535.307499999995</v>
      </c>
      <c r="T2332" s="50">
        <f t="shared" si="531"/>
        <v>0</v>
      </c>
      <c r="U2332" s="58">
        <f t="shared" si="532"/>
        <v>0</v>
      </c>
      <c r="V2332" s="58">
        <f t="shared" si="533"/>
        <v>0</v>
      </c>
      <c r="W2332" s="58">
        <f t="shared" si="534"/>
        <v>0</v>
      </c>
      <c r="X2332" s="58">
        <f t="shared" si="535"/>
        <v>0</v>
      </c>
      <c r="Y2332" s="52">
        <f t="shared" si="536"/>
        <v>0</v>
      </c>
    </row>
    <row r="2333" spans="1:25" x14ac:dyDescent="0.25">
      <c r="A2333" s="1218" t="s">
        <v>107</v>
      </c>
      <c r="B2333" s="98">
        <v>45839</v>
      </c>
      <c r="C2333" s="117" t="str">
        <f t="shared" si="539"/>
        <v>4L</v>
      </c>
      <c r="F2333" s="99">
        <f t="shared" si="538"/>
        <v>0</v>
      </c>
      <c r="I2333" s="99">
        <f t="shared" si="537"/>
        <v>0</v>
      </c>
      <c r="L2333" s="99">
        <f t="shared" si="540"/>
        <v>0</v>
      </c>
      <c r="M2333" s="44" t="str">
        <f t="shared" si="527"/>
        <v/>
      </c>
      <c r="N2333" s="100">
        <f t="shared" si="528"/>
        <v>0</v>
      </c>
      <c r="O2333" s="101">
        <f t="shared" si="529"/>
        <v>0</v>
      </c>
      <c r="P2333" s="52">
        <f t="shared" si="530"/>
        <v>0</v>
      </c>
      <c r="Q2333" s="49">
        <v>116.88487613461319</v>
      </c>
      <c r="R2333">
        <v>2225</v>
      </c>
      <c r="S2333" s="50">
        <f t="shared" si="541"/>
        <v>71535.307499999995</v>
      </c>
      <c r="T2333" s="50">
        <f t="shared" si="531"/>
        <v>0</v>
      </c>
      <c r="U2333" s="58">
        <f t="shared" si="532"/>
        <v>0</v>
      </c>
      <c r="V2333" s="58">
        <f t="shared" si="533"/>
        <v>0</v>
      </c>
      <c r="W2333" s="58">
        <f t="shared" si="534"/>
        <v>0</v>
      </c>
      <c r="X2333" s="58">
        <f t="shared" si="535"/>
        <v>0</v>
      </c>
      <c r="Y2333" s="52">
        <f t="shared" si="536"/>
        <v>0</v>
      </c>
    </row>
    <row r="2334" spans="1:25" x14ac:dyDescent="0.25">
      <c r="A2334" s="1218" t="s">
        <v>108</v>
      </c>
      <c r="B2334" s="98">
        <v>45839</v>
      </c>
      <c r="C2334" s="117" t="str">
        <f t="shared" si="539"/>
        <v>4L</v>
      </c>
      <c r="F2334" s="99">
        <f t="shared" si="538"/>
        <v>0</v>
      </c>
      <c r="I2334" s="99">
        <f t="shared" si="537"/>
        <v>0</v>
      </c>
      <c r="L2334" s="99">
        <f t="shared" si="540"/>
        <v>0</v>
      </c>
      <c r="M2334" s="44" t="str">
        <f t="shared" ref="M2334:M2402" si="542">IFERROR((L2334-I2334)/I2334,"")</f>
        <v/>
      </c>
      <c r="N2334" s="100">
        <f t="shared" ref="N2334:N2402" si="543">J2334-G2334</f>
        <v>0</v>
      </c>
      <c r="O2334" s="101">
        <f t="shared" ref="O2334:O2402" si="544">L2334-I2334</f>
        <v>0</v>
      </c>
      <c r="P2334" s="52">
        <f t="shared" ref="P2334:P2402" si="545">U2334-W2334</f>
        <v>0</v>
      </c>
      <c r="Q2334" s="49">
        <v>116.88487613461319</v>
      </c>
      <c r="R2334">
        <v>2225</v>
      </c>
      <c r="S2334" s="50">
        <f t="shared" si="541"/>
        <v>71535.307499999995</v>
      </c>
      <c r="T2334" s="50">
        <f t="shared" ref="T2334:T2402" si="546">IFERROR(S2334*I2334,"")</f>
        <v>0</v>
      </c>
      <c r="U2334" s="58">
        <f t="shared" ref="U2334:U2402" si="547">IFERROR(S2334*L2334,"")</f>
        <v>0</v>
      </c>
      <c r="V2334" s="58">
        <f t="shared" ref="V2334:V2402" si="548">IFERROR(Q2334*G2334,"")</f>
        <v>0</v>
      </c>
      <c r="W2334" s="58">
        <f t="shared" ref="W2334:W2402" si="549">IFERROR(Q2334*J2334,"")</f>
        <v>0</v>
      </c>
      <c r="X2334" s="58">
        <f t="shared" ref="X2334:X2402" si="550">T2334-V2334</f>
        <v>0</v>
      </c>
      <c r="Y2334" s="52">
        <f t="shared" ref="Y2334:Y2402" si="551">U2334-W2334</f>
        <v>0</v>
      </c>
    </row>
    <row r="2335" spans="1:25" x14ac:dyDescent="0.25">
      <c r="A2335" s="1218" t="s">
        <v>109</v>
      </c>
      <c r="B2335" s="98">
        <v>45839</v>
      </c>
      <c r="C2335" s="117" t="str">
        <f t="shared" si="539"/>
        <v>4L</v>
      </c>
      <c r="F2335" s="99">
        <f t="shared" si="538"/>
        <v>0</v>
      </c>
      <c r="I2335" s="99">
        <f t="shared" si="537"/>
        <v>0</v>
      </c>
      <c r="L2335" s="99">
        <f t="shared" si="540"/>
        <v>0</v>
      </c>
      <c r="M2335" s="44" t="str">
        <f t="shared" si="542"/>
        <v/>
      </c>
      <c r="N2335" s="100">
        <f t="shared" si="543"/>
        <v>0</v>
      </c>
      <c r="O2335" s="101">
        <f t="shared" si="544"/>
        <v>0</v>
      </c>
      <c r="P2335" s="52">
        <f t="shared" si="545"/>
        <v>0</v>
      </c>
      <c r="Q2335" s="49">
        <v>116.88487613461319</v>
      </c>
      <c r="R2335">
        <v>2225</v>
      </c>
      <c r="S2335" s="50">
        <f t="shared" si="541"/>
        <v>71535.307499999995</v>
      </c>
      <c r="T2335" s="50">
        <f t="shared" si="546"/>
        <v>0</v>
      </c>
      <c r="U2335" s="58">
        <f t="shared" si="547"/>
        <v>0</v>
      </c>
      <c r="V2335" s="58">
        <f t="shared" si="548"/>
        <v>0</v>
      </c>
      <c r="W2335" s="58">
        <f t="shared" si="549"/>
        <v>0</v>
      </c>
      <c r="X2335" s="58">
        <f t="shared" si="550"/>
        <v>0</v>
      </c>
      <c r="Y2335" s="52">
        <f t="shared" si="551"/>
        <v>0</v>
      </c>
    </row>
    <row r="2336" spans="1:25" x14ac:dyDescent="0.25">
      <c r="A2336" s="1218" t="s">
        <v>110</v>
      </c>
      <c r="B2336" s="98">
        <v>45839</v>
      </c>
      <c r="C2336" s="117" t="str">
        <f t="shared" si="539"/>
        <v>4L</v>
      </c>
      <c r="F2336" s="99">
        <f t="shared" si="538"/>
        <v>0</v>
      </c>
      <c r="I2336" s="99">
        <f t="shared" si="537"/>
        <v>0</v>
      </c>
      <c r="L2336" s="99">
        <f t="shared" si="540"/>
        <v>0</v>
      </c>
      <c r="M2336" s="44" t="str">
        <f t="shared" si="542"/>
        <v/>
      </c>
      <c r="N2336" s="100">
        <f t="shared" si="543"/>
        <v>0</v>
      </c>
      <c r="O2336" s="101">
        <f t="shared" si="544"/>
        <v>0</v>
      </c>
      <c r="P2336" s="52">
        <f t="shared" si="545"/>
        <v>0</v>
      </c>
      <c r="Q2336" s="49">
        <v>116.88487613461319</v>
      </c>
      <c r="R2336">
        <v>2225</v>
      </c>
      <c r="S2336" s="50">
        <f t="shared" si="541"/>
        <v>71535.307499999995</v>
      </c>
      <c r="T2336" s="50">
        <f t="shared" si="546"/>
        <v>0</v>
      </c>
      <c r="U2336" s="58">
        <f t="shared" si="547"/>
        <v>0</v>
      </c>
      <c r="V2336" s="58">
        <f t="shared" si="548"/>
        <v>0</v>
      </c>
      <c r="W2336" s="58">
        <f t="shared" si="549"/>
        <v>0</v>
      </c>
      <c r="X2336" s="58">
        <f t="shared" si="550"/>
        <v>0</v>
      </c>
      <c r="Y2336" s="52">
        <f t="shared" si="551"/>
        <v>0</v>
      </c>
    </row>
    <row r="2337" spans="1:25" x14ac:dyDescent="0.25">
      <c r="A2337" s="1218" t="s">
        <v>111</v>
      </c>
      <c r="B2337" s="98">
        <v>45839</v>
      </c>
      <c r="C2337" s="117" t="str">
        <f t="shared" si="539"/>
        <v>4L</v>
      </c>
      <c r="F2337" s="99">
        <f t="shared" si="538"/>
        <v>0</v>
      </c>
      <c r="I2337" s="99">
        <f t="shared" si="537"/>
        <v>0</v>
      </c>
      <c r="L2337" s="99">
        <f t="shared" si="540"/>
        <v>0</v>
      </c>
      <c r="M2337" s="44" t="str">
        <f t="shared" si="542"/>
        <v/>
      </c>
      <c r="N2337" s="100">
        <f t="shared" si="543"/>
        <v>0</v>
      </c>
      <c r="O2337" s="101">
        <f t="shared" si="544"/>
        <v>0</v>
      </c>
      <c r="P2337" s="52">
        <f t="shared" si="545"/>
        <v>0</v>
      </c>
      <c r="Q2337" s="49">
        <v>116.88487613461319</v>
      </c>
      <c r="R2337">
        <v>2225</v>
      </c>
      <c r="S2337" s="50">
        <f t="shared" si="541"/>
        <v>71535.307499999995</v>
      </c>
      <c r="T2337" s="50">
        <f t="shared" si="546"/>
        <v>0</v>
      </c>
      <c r="U2337" s="58">
        <f t="shared" si="547"/>
        <v>0</v>
      </c>
      <c r="V2337" s="58">
        <f t="shared" si="548"/>
        <v>0</v>
      </c>
      <c r="W2337" s="58">
        <f t="shared" si="549"/>
        <v>0</v>
      </c>
      <c r="X2337" s="58">
        <f t="shared" si="550"/>
        <v>0</v>
      </c>
      <c r="Y2337" s="52">
        <f t="shared" si="551"/>
        <v>0</v>
      </c>
    </row>
    <row r="2338" spans="1:25" x14ac:dyDescent="0.25">
      <c r="A2338" s="1218" t="s">
        <v>112</v>
      </c>
      <c r="B2338" s="98">
        <v>45839</v>
      </c>
      <c r="C2338" s="117" t="str">
        <f t="shared" si="539"/>
        <v>4L</v>
      </c>
      <c r="F2338" s="99">
        <f t="shared" si="538"/>
        <v>0</v>
      </c>
      <c r="I2338" s="99">
        <f t="shared" si="537"/>
        <v>0</v>
      </c>
      <c r="L2338" s="99">
        <f t="shared" si="540"/>
        <v>0</v>
      </c>
      <c r="M2338" s="44" t="str">
        <f t="shared" si="542"/>
        <v/>
      </c>
      <c r="N2338" s="100">
        <f t="shared" si="543"/>
        <v>0</v>
      </c>
      <c r="O2338" s="101">
        <f t="shared" si="544"/>
        <v>0</v>
      </c>
      <c r="P2338" s="52">
        <f t="shared" si="545"/>
        <v>0</v>
      </c>
      <c r="Q2338" s="49">
        <v>116.88487613461319</v>
      </c>
      <c r="R2338">
        <v>2225</v>
      </c>
      <c r="S2338" s="50">
        <f t="shared" si="541"/>
        <v>71535.307499999995</v>
      </c>
      <c r="T2338" s="50">
        <f t="shared" si="546"/>
        <v>0</v>
      </c>
      <c r="U2338" s="58">
        <f t="shared" si="547"/>
        <v>0</v>
      </c>
      <c r="V2338" s="58">
        <f t="shared" si="548"/>
        <v>0</v>
      </c>
      <c r="W2338" s="58">
        <f t="shared" si="549"/>
        <v>0</v>
      </c>
      <c r="X2338" s="58">
        <f t="shared" si="550"/>
        <v>0</v>
      </c>
      <c r="Y2338" s="52">
        <f t="shared" si="551"/>
        <v>0</v>
      </c>
    </row>
    <row r="2339" spans="1:25" x14ac:dyDescent="0.25">
      <c r="A2339" s="1218" t="s">
        <v>113</v>
      </c>
      <c r="B2339" s="98">
        <v>45839</v>
      </c>
      <c r="C2339" s="117" t="str">
        <f t="shared" si="539"/>
        <v>4L</v>
      </c>
      <c r="F2339" s="99">
        <f t="shared" si="538"/>
        <v>0</v>
      </c>
      <c r="I2339" s="99">
        <f t="shared" si="537"/>
        <v>0</v>
      </c>
      <c r="L2339" s="99">
        <f t="shared" si="540"/>
        <v>0</v>
      </c>
      <c r="M2339" s="44" t="str">
        <f t="shared" si="542"/>
        <v/>
      </c>
      <c r="N2339" s="100">
        <f t="shared" si="543"/>
        <v>0</v>
      </c>
      <c r="O2339" s="101">
        <f t="shared" si="544"/>
        <v>0</v>
      </c>
      <c r="P2339" s="52">
        <f t="shared" si="545"/>
        <v>0</v>
      </c>
      <c r="Q2339" s="49">
        <v>116.88487613461319</v>
      </c>
      <c r="R2339">
        <v>2225</v>
      </c>
      <c r="S2339" s="50">
        <f t="shared" si="541"/>
        <v>71535.307499999995</v>
      </c>
      <c r="T2339" s="50">
        <f t="shared" si="546"/>
        <v>0</v>
      </c>
      <c r="U2339" s="58">
        <f t="shared" si="547"/>
        <v>0</v>
      </c>
      <c r="V2339" s="58">
        <f t="shared" si="548"/>
        <v>0</v>
      </c>
      <c r="W2339" s="58">
        <f t="shared" si="549"/>
        <v>0</v>
      </c>
      <c r="X2339" s="58">
        <f t="shared" si="550"/>
        <v>0</v>
      </c>
      <c r="Y2339" s="52">
        <f t="shared" si="551"/>
        <v>0</v>
      </c>
    </row>
    <row r="2340" spans="1:25" x14ac:dyDescent="0.25">
      <c r="A2340" s="1218" t="s">
        <v>114</v>
      </c>
      <c r="B2340" s="98">
        <v>45839</v>
      </c>
      <c r="C2340" s="117" t="str">
        <f t="shared" si="539"/>
        <v>4L</v>
      </c>
      <c r="D2340">
        <v>1534</v>
      </c>
      <c r="E2340">
        <v>1.4</v>
      </c>
      <c r="F2340" s="99">
        <f t="shared" si="538"/>
        <v>2.1475999999999997</v>
      </c>
      <c r="I2340" s="99">
        <f t="shared" si="537"/>
        <v>0</v>
      </c>
      <c r="L2340" s="99">
        <f t="shared" si="540"/>
        <v>0</v>
      </c>
      <c r="M2340" s="44" t="str">
        <f t="shared" si="542"/>
        <v/>
      </c>
      <c r="N2340" s="100">
        <f t="shared" si="543"/>
        <v>0</v>
      </c>
      <c r="O2340" s="101">
        <f t="shared" si="544"/>
        <v>0</v>
      </c>
      <c r="P2340" s="52">
        <f t="shared" si="545"/>
        <v>0</v>
      </c>
      <c r="Q2340" s="49">
        <v>116.88487613461319</v>
      </c>
      <c r="R2340">
        <v>2225</v>
      </c>
      <c r="S2340" s="50">
        <f t="shared" si="541"/>
        <v>71535.307499999995</v>
      </c>
      <c r="T2340" s="50">
        <f t="shared" si="546"/>
        <v>0</v>
      </c>
      <c r="U2340" s="58">
        <f t="shared" si="547"/>
        <v>0</v>
      </c>
      <c r="V2340" s="58">
        <f t="shared" si="548"/>
        <v>0</v>
      </c>
      <c r="W2340" s="58">
        <f t="shared" si="549"/>
        <v>0</v>
      </c>
      <c r="X2340" s="58">
        <f t="shared" si="550"/>
        <v>0</v>
      </c>
      <c r="Y2340" s="52">
        <f t="shared" si="551"/>
        <v>0</v>
      </c>
    </row>
    <row r="2341" spans="1:25" x14ac:dyDescent="0.25">
      <c r="A2341" s="1218" t="s">
        <v>115</v>
      </c>
      <c r="B2341" s="98">
        <v>45839</v>
      </c>
      <c r="C2341" s="117" t="str">
        <f t="shared" si="539"/>
        <v>4L</v>
      </c>
      <c r="F2341" s="99">
        <f t="shared" si="538"/>
        <v>0</v>
      </c>
      <c r="I2341" s="99">
        <f t="shared" si="537"/>
        <v>0</v>
      </c>
      <c r="L2341" s="99">
        <f t="shared" si="540"/>
        <v>0</v>
      </c>
      <c r="M2341" s="44" t="str">
        <f t="shared" si="542"/>
        <v/>
      </c>
      <c r="N2341" s="100">
        <f t="shared" si="543"/>
        <v>0</v>
      </c>
      <c r="O2341" s="101">
        <f t="shared" si="544"/>
        <v>0</v>
      </c>
      <c r="P2341" s="52">
        <f t="shared" si="545"/>
        <v>0</v>
      </c>
      <c r="Q2341" s="49">
        <v>116.88487613461319</v>
      </c>
      <c r="R2341">
        <v>2225</v>
      </c>
      <c r="S2341" s="50">
        <f t="shared" si="541"/>
        <v>71535.307499999995</v>
      </c>
      <c r="T2341" s="50">
        <f t="shared" si="546"/>
        <v>0</v>
      </c>
      <c r="U2341" s="58">
        <f t="shared" si="547"/>
        <v>0</v>
      </c>
      <c r="V2341" s="58">
        <f t="shared" si="548"/>
        <v>0</v>
      </c>
      <c r="W2341" s="58">
        <f t="shared" si="549"/>
        <v>0</v>
      </c>
      <c r="X2341" s="58">
        <f t="shared" si="550"/>
        <v>0</v>
      </c>
      <c r="Y2341" s="52">
        <f t="shared" si="551"/>
        <v>0</v>
      </c>
    </row>
    <row r="2342" spans="1:25" x14ac:dyDescent="0.25">
      <c r="A2342" s="1218" t="s">
        <v>116</v>
      </c>
      <c r="B2342" s="98">
        <v>45839</v>
      </c>
      <c r="C2342" s="117" t="str">
        <f t="shared" si="539"/>
        <v>4L</v>
      </c>
      <c r="F2342" s="99">
        <f t="shared" si="538"/>
        <v>0</v>
      </c>
      <c r="I2342" s="99">
        <f t="shared" si="537"/>
        <v>0</v>
      </c>
      <c r="L2342" s="99">
        <f t="shared" si="540"/>
        <v>0</v>
      </c>
      <c r="M2342" s="44" t="str">
        <f t="shared" si="542"/>
        <v/>
      </c>
      <c r="N2342" s="100">
        <f t="shared" si="543"/>
        <v>0</v>
      </c>
      <c r="O2342" s="101">
        <f t="shared" si="544"/>
        <v>0</v>
      </c>
      <c r="P2342" s="52">
        <f t="shared" si="545"/>
        <v>0</v>
      </c>
      <c r="Q2342" s="49">
        <v>116.88487613461319</v>
      </c>
      <c r="R2342">
        <v>2225</v>
      </c>
      <c r="S2342" s="50">
        <f t="shared" si="541"/>
        <v>71535.307499999995</v>
      </c>
      <c r="T2342" s="50">
        <f t="shared" si="546"/>
        <v>0</v>
      </c>
      <c r="U2342" s="58">
        <f t="shared" si="547"/>
        <v>0</v>
      </c>
      <c r="V2342" s="58">
        <f t="shared" si="548"/>
        <v>0</v>
      </c>
      <c r="W2342" s="58">
        <f t="shared" si="549"/>
        <v>0</v>
      </c>
      <c r="X2342" s="58">
        <f t="shared" si="550"/>
        <v>0</v>
      </c>
      <c r="Y2342" s="52">
        <f t="shared" si="551"/>
        <v>0</v>
      </c>
    </row>
    <row r="2343" spans="1:25" x14ac:dyDescent="0.25">
      <c r="A2343" s="1218" t="s">
        <v>117</v>
      </c>
      <c r="B2343" s="98">
        <v>45839</v>
      </c>
      <c r="C2343" s="117" t="str">
        <f t="shared" si="539"/>
        <v>4L</v>
      </c>
      <c r="F2343" s="99">
        <f t="shared" si="538"/>
        <v>0</v>
      </c>
      <c r="I2343" s="99">
        <f t="shared" si="537"/>
        <v>0</v>
      </c>
      <c r="L2343" s="99">
        <f t="shared" si="540"/>
        <v>0</v>
      </c>
      <c r="M2343" s="44" t="str">
        <f t="shared" si="542"/>
        <v/>
      </c>
      <c r="N2343" s="100">
        <f t="shared" si="543"/>
        <v>0</v>
      </c>
      <c r="O2343" s="101">
        <f t="shared" si="544"/>
        <v>0</v>
      </c>
      <c r="P2343" s="52">
        <f t="shared" si="545"/>
        <v>0</v>
      </c>
      <c r="Q2343" s="49">
        <v>116.88487613461319</v>
      </c>
      <c r="R2343">
        <v>2225</v>
      </c>
      <c r="S2343" s="50">
        <f t="shared" si="541"/>
        <v>71535.307499999995</v>
      </c>
      <c r="T2343" s="50">
        <f t="shared" si="546"/>
        <v>0</v>
      </c>
      <c r="U2343" s="58">
        <f t="shared" si="547"/>
        <v>0</v>
      </c>
      <c r="V2343" s="58">
        <f t="shared" si="548"/>
        <v>0</v>
      </c>
      <c r="W2343" s="58">
        <f t="shared" si="549"/>
        <v>0</v>
      </c>
      <c r="X2343" s="58">
        <f t="shared" si="550"/>
        <v>0</v>
      </c>
      <c r="Y2343" s="52">
        <f t="shared" si="551"/>
        <v>0</v>
      </c>
    </row>
    <row r="2344" spans="1:25" x14ac:dyDescent="0.25">
      <c r="A2344" s="1218" t="s">
        <v>118</v>
      </c>
      <c r="B2344" s="98">
        <v>45839</v>
      </c>
      <c r="C2344" s="117" t="str">
        <f t="shared" si="539"/>
        <v>4L</v>
      </c>
      <c r="F2344" s="99">
        <f t="shared" si="538"/>
        <v>0</v>
      </c>
      <c r="I2344" s="99">
        <f t="shared" si="537"/>
        <v>0</v>
      </c>
      <c r="L2344" s="99">
        <f t="shared" si="540"/>
        <v>0</v>
      </c>
      <c r="M2344" s="44" t="str">
        <f t="shared" si="542"/>
        <v/>
      </c>
      <c r="N2344" s="100">
        <f t="shared" si="543"/>
        <v>0</v>
      </c>
      <c r="O2344" s="101">
        <f t="shared" si="544"/>
        <v>0</v>
      </c>
      <c r="P2344" s="52">
        <f t="shared" si="545"/>
        <v>0</v>
      </c>
      <c r="Q2344" s="49">
        <v>116.88487613461319</v>
      </c>
      <c r="R2344">
        <v>2225</v>
      </c>
      <c r="S2344" s="50">
        <f t="shared" si="541"/>
        <v>71535.307499999995</v>
      </c>
      <c r="T2344" s="50">
        <f t="shared" si="546"/>
        <v>0</v>
      </c>
      <c r="U2344" s="58">
        <f t="shared" si="547"/>
        <v>0</v>
      </c>
      <c r="V2344" s="58">
        <f t="shared" si="548"/>
        <v>0</v>
      </c>
      <c r="W2344" s="58">
        <f t="shared" si="549"/>
        <v>0</v>
      </c>
      <c r="X2344" s="58">
        <f t="shared" si="550"/>
        <v>0</v>
      </c>
      <c r="Y2344" s="52">
        <f t="shared" si="551"/>
        <v>0</v>
      </c>
    </row>
    <row r="2345" spans="1:25" x14ac:dyDescent="0.25">
      <c r="A2345" s="1218" t="s">
        <v>119</v>
      </c>
      <c r="B2345" s="98">
        <v>45839</v>
      </c>
      <c r="C2345" s="117" t="str">
        <f t="shared" si="539"/>
        <v>4L</v>
      </c>
      <c r="F2345" s="99">
        <f t="shared" si="538"/>
        <v>0</v>
      </c>
      <c r="I2345" s="99">
        <f t="shared" si="537"/>
        <v>0</v>
      </c>
      <c r="L2345" s="99">
        <f t="shared" si="540"/>
        <v>0</v>
      </c>
      <c r="M2345" s="44" t="str">
        <f t="shared" si="542"/>
        <v/>
      </c>
      <c r="N2345" s="100">
        <f t="shared" si="543"/>
        <v>0</v>
      </c>
      <c r="O2345" s="101">
        <f t="shared" si="544"/>
        <v>0</v>
      </c>
      <c r="P2345" s="52">
        <f t="shared" si="545"/>
        <v>0</v>
      </c>
      <c r="Q2345" s="49">
        <v>116.88487613461319</v>
      </c>
      <c r="R2345">
        <v>2225</v>
      </c>
      <c r="S2345" s="50">
        <f t="shared" si="541"/>
        <v>71535.307499999995</v>
      </c>
      <c r="T2345" s="50">
        <f t="shared" si="546"/>
        <v>0</v>
      </c>
      <c r="U2345" s="58">
        <f t="shared" si="547"/>
        <v>0</v>
      </c>
      <c r="V2345" s="58">
        <f t="shared" si="548"/>
        <v>0</v>
      </c>
      <c r="W2345" s="58">
        <f t="shared" si="549"/>
        <v>0</v>
      </c>
      <c r="X2345" s="58">
        <f t="shared" si="550"/>
        <v>0</v>
      </c>
      <c r="Y2345" s="52">
        <f t="shared" si="551"/>
        <v>0</v>
      </c>
    </row>
    <row r="2346" spans="1:25" x14ac:dyDescent="0.25">
      <c r="A2346" s="1218" t="s">
        <v>120</v>
      </c>
      <c r="B2346" s="98">
        <v>45839</v>
      </c>
      <c r="C2346" s="117" t="str">
        <f t="shared" si="539"/>
        <v>4L</v>
      </c>
      <c r="F2346" s="99">
        <f t="shared" si="538"/>
        <v>0</v>
      </c>
      <c r="I2346" s="99">
        <f t="shared" si="537"/>
        <v>0</v>
      </c>
      <c r="L2346" s="99">
        <f t="shared" si="540"/>
        <v>0</v>
      </c>
      <c r="M2346" s="44" t="str">
        <f t="shared" si="542"/>
        <v/>
      </c>
      <c r="N2346" s="100">
        <f t="shared" si="543"/>
        <v>0</v>
      </c>
      <c r="O2346" s="101">
        <f t="shared" si="544"/>
        <v>0</v>
      </c>
      <c r="P2346" s="52">
        <f t="shared" si="545"/>
        <v>0</v>
      </c>
      <c r="Q2346" s="49">
        <v>116.88487613461319</v>
      </c>
      <c r="R2346">
        <v>2225</v>
      </c>
      <c r="S2346" s="50">
        <f t="shared" si="541"/>
        <v>71535.307499999995</v>
      </c>
      <c r="T2346" s="50">
        <f t="shared" si="546"/>
        <v>0</v>
      </c>
      <c r="U2346" s="58">
        <f t="shared" si="547"/>
        <v>0</v>
      </c>
      <c r="V2346" s="58">
        <f t="shared" si="548"/>
        <v>0</v>
      </c>
      <c r="W2346" s="58">
        <f t="shared" si="549"/>
        <v>0</v>
      </c>
      <c r="X2346" s="58">
        <f t="shared" si="550"/>
        <v>0</v>
      </c>
      <c r="Y2346" s="52">
        <f t="shared" si="551"/>
        <v>0</v>
      </c>
    </row>
    <row r="2347" spans="1:25" x14ac:dyDescent="0.25">
      <c r="A2347" s="1218" t="s">
        <v>121</v>
      </c>
      <c r="B2347" s="98">
        <v>45839</v>
      </c>
      <c r="C2347" s="117" t="str">
        <f t="shared" si="539"/>
        <v>4L</v>
      </c>
      <c r="F2347" s="99">
        <f t="shared" si="538"/>
        <v>0</v>
      </c>
      <c r="I2347" s="99">
        <f t="shared" si="537"/>
        <v>0</v>
      </c>
      <c r="L2347" s="99">
        <f t="shared" si="540"/>
        <v>0</v>
      </c>
      <c r="M2347" s="44" t="str">
        <f t="shared" si="542"/>
        <v/>
      </c>
      <c r="N2347" s="100">
        <f t="shared" si="543"/>
        <v>0</v>
      </c>
      <c r="O2347" s="101">
        <f t="shared" si="544"/>
        <v>0</v>
      </c>
      <c r="P2347" s="52">
        <f t="shared" si="545"/>
        <v>0</v>
      </c>
      <c r="Q2347" s="49">
        <v>116.88487613461319</v>
      </c>
      <c r="R2347">
        <v>2225</v>
      </c>
      <c r="S2347" s="50">
        <f t="shared" si="541"/>
        <v>71535.307499999995</v>
      </c>
      <c r="T2347" s="50">
        <f t="shared" si="546"/>
        <v>0</v>
      </c>
      <c r="U2347" s="58">
        <f t="shared" si="547"/>
        <v>0</v>
      </c>
      <c r="V2347" s="58">
        <f t="shared" si="548"/>
        <v>0</v>
      </c>
      <c r="W2347" s="58">
        <f t="shared" si="549"/>
        <v>0</v>
      </c>
      <c r="X2347" s="58">
        <f t="shared" si="550"/>
        <v>0</v>
      </c>
      <c r="Y2347" s="52">
        <f t="shared" si="551"/>
        <v>0</v>
      </c>
    </row>
    <row r="2348" spans="1:25" x14ac:dyDescent="0.25">
      <c r="A2348" s="1218" t="s">
        <v>122</v>
      </c>
      <c r="B2348" s="98">
        <v>45839</v>
      </c>
      <c r="C2348" s="117" t="str">
        <f t="shared" si="539"/>
        <v>4L</v>
      </c>
      <c r="F2348" s="99">
        <f t="shared" si="538"/>
        <v>0</v>
      </c>
      <c r="I2348" s="99">
        <f t="shared" si="537"/>
        <v>0</v>
      </c>
      <c r="L2348" s="99">
        <f t="shared" si="540"/>
        <v>0</v>
      </c>
      <c r="M2348" s="44" t="str">
        <f t="shared" si="542"/>
        <v/>
      </c>
      <c r="N2348" s="100">
        <f t="shared" si="543"/>
        <v>0</v>
      </c>
      <c r="O2348" s="101">
        <f t="shared" si="544"/>
        <v>0</v>
      </c>
      <c r="P2348" s="52">
        <f t="shared" si="545"/>
        <v>0</v>
      </c>
      <c r="Q2348" s="49">
        <v>116.88487613461319</v>
      </c>
      <c r="R2348">
        <v>2225</v>
      </c>
      <c r="S2348" s="50">
        <f t="shared" si="541"/>
        <v>71535.307499999995</v>
      </c>
      <c r="T2348" s="50">
        <f t="shared" si="546"/>
        <v>0</v>
      </c>
      <c r="U2348" s="58">
        <f t="shared" si="547"/>
        <v>0</v>
      </c>
      <c r="V2348" s="58">
        <f t="shared" si="548"/>
        <v>0</v>
      </c>
      <c r="W2348" s="58">
        <f t="shared" si="549"/>
        <v>0</v>
      </c>
      <c r="X2348" s="58">
        <f t="shared" si="550"/>
        <v>0</v>
      </c>
      <c r="Y2348" s="52">
        <f t="shared" si="551"/>
        <v>0</v>
      </c>
    </row>
    <row r="2349" spans="1:25" x14ac:dyDescent="0.25">
      <c r="A2349" s="1218" t="s">
        <v>123</v>
      </c>
      <c r="B2349" s="98">
        <v>45839</v>
      </c>
      <c r="C2349" s="117" t="str">
        <f t="shared" si="539"/>
        <v>4L</v>
      </c>
      <c r="F2349" s="99">
        <f t="shared" si="538"/>
        <v>0</v>
      </c>
      <c r="I2349" s="99">
        <f t="shared" si="537"/>
        <v>0</v>
      </c>
      <c r="L2349" s="99">
        <f t="shared" si="540"/>
        <v>0</v>
      </c>
      <c r="M2349" s="44" t="str">
        <f t="shared" si="542"/>
        <v/>
      </c>
      <c r="N2349" s="100">
        <f t="shared" si="543"/>
        <v>0</v>
      </c>
      <c r="O2349" s="101">
        <f t="shared" si="544"/>
        <v>0</v>
      </c>
      <c r="P2349" s="52">
        <f t="shared" si="545"/>
        <v>0</v>
      </c>
      <c r="Q2349" s="49">
        <v>116.88487613461319</v>
      </c>
      <c r="R2349">
        <v>2225</v>
      </c>
      <c r="S2349" s="50">
        <f t="shared" si="541"/>
        <v>71535.307499999995</v>
      </c>
      <c r="T2349" s="50">
        <f t="shared" si="546"/>
        <v>0</v>
      </c>
      <c r="U2349" s="58">
        <f t="shared" si="547"/>
        <v>0</v>
      </c>
      <c r="V2349" s="58">
        <f t="shared" si="548"/>
        <v>0</v>
      </c>
      <c r="W2349" s="58">
        <f t="shared" si="549"/>
        <v>0</v>
      </c>
      <c r="X2349" s="58">
        <f t="shared" si="550"/>
        <v>0</v>
      </c>
      <c r="Y2349" s="52">
        <f t="shared" si="551"/>
        <v>0</v>
      </c>
    </row>
    <row r="2350" spans="1:25" x14ac:dyDescent="0.25">
      <c r="A2350" s="1218" t="s">
        <v>124</v>
      </c>
      <c r="B2350" s="98">
        <v>45839</v>
      </c>
      <c r="C2350" s="117" t="str">
        <f t="shared" si="539"/>
        <v>4L</v>
      </c>
      <c r="F2350" s="99">
        <f t="shared" si="538"/>
        <v>0</v>
      </c>
      <c r="I2350" s="99">
        <f t="shared" si="537"/>
        <v>0</v>
      </c>
      <c r="L2350" s="99">
        <f t="shared" si="540"/>
        <v>0</v>
      </c>
      <c r="M2350" s="44" t="str">
        <f t="shared" si="542"/>
        <v/>
      </c>
      <c r="N2350" s="100">
        <f t="shared" si="543"/>
        <v>0</v>
      </c>
      <c r="O2350" s="101">
        <f t="shared" si="544"/>
        <v>0</v>
      </c>
      <c r="P2350" s="52">
        <f t="shared" si="545"/>
        <v>0</v>
      </c>
      <c r="Q2350" s="49">
        <v>116.88487613461319</v>
      </c>
      <c r="R2350">
        <v>2225</v>
      </c>
      <c r="S2350" s="50">
        <f t="shared" si="541"/>
        <v>71535.307499999995</v>
      </c>
      <c r="T2350" s="50">
        <f t="shared" si="546"/>
        <v>0</v>
      </c>
      <c r="U2350" s="58">
        <f t="shared" si="547"/>
        <v>0</v>
      </c>
      <c r="V2350" s="58">
        <f t="shared" si="548"/>
        <v>0</v>
      </c>
      <c r="W2350" s="58">
        <f t="shared" si="549"/>
        <v>0</v>
      </c>
      <c r="X2350" s="58">
        <f t="shared" si="550"/>
        <v>0</v>
      </c>
      <c r="Y2350" s="52">
        <f t="shared" si="551"/>
        <v>0</v>
      </c>
    </row>
    <row r="2351" spans="1:25" x14ac:dyDescent="0.25">
      <c r="A2351" s="1218" t="s">
        <v>125</v>
      </c>
      <c r="B2351" s="98">
        <v>45839</v>
      </c>
      <c r="C2351" s="117" t="str">
        <f t="shared" si="539"/>
        <v>4L</v>
      </c>
      <c r="F2351" s="99">
        <f t="shared" si="538"/>
        <v>0</v>
      </c>
      <c r="I2351" s="99">
        <f t="shared" si="537"/>
        <v>0</v>
      </c>
      <c r="L2351" s="99">
        <f t="shared" si="540"/>
        <v>0</v>
      </c>
      <c r="M2351" s="44" t="str">
        <f t="shared" si="542"/>
        <v/>
      </c>
      <c r="N2351" s="100">
        <f t="shared" si="543"/>
        <v>0</v>
      </c>
      <c r="O2351" s="101">
        <f t="shared" si="544"/>
        <v>0</v>
      </c>
      <c r="P2351" s="52">
        <f t="shared" si="545"/>
        <v>0</v>
      </c>
      <c r="Q2351" s="49">
        <v>116.88487613461319</v>
      </c>
      <c r="R2351">
        <v>2225</v>
      </c>
      <c r="S2351" s="50">
        <f t="shared" si="541"/>
        <v>71535.307499999995</v>
      </c>
      <c r="T2351" s="50">
        <f t="shared" si="546"/>
        <v>0</v>
      </c>
      <c r="U2351" s="58">
        <f t="shared" si="547"/>
        <v>0</v>
      </c>
      <c r="V2351" s="58">
        <f t="shared" si="548"/>
        <v>0</v>
      </c>
      <c r="W2351" s="58">
        <f t="shared" si="549"/>
        <v>0</v>
      </c>
      <c r="X2351" s="58">
        <f t="shared" si="550"/>
        <v>0</v>
      </c>
      <c r="Y2351" s="52">
        <f t="shared" si="551"/>
        <v>0</v>
      </c>
    </row>
    <row r="2352" spans="1:25" x14ac:dyDescent="0.25">
      <c r="A2352" s="1218" t="s">
        <v>126</v>
      </c>
      <c r="B2352" s="98">
        <v>45839</v>
      </c>
      <c r="C2352" s="117" t="str">
        <f t="shared" ref="C2352:C2353" si="552">LEFT(A2352,2)</f>
        <v>4L</v>
      </c>
      <c r="F2352" s="99"/>
      <c r="I2352" s="99"/>
      <c r="L2352" s="99"/>
      <c r="M2352" s="44"/>
      <c r="N2352" s="100"/>
      <c r="O2352" s="101"/>
      <c r="P2352" s="52"/>
      <c r="Q2352" s="49"/>
      <c r="S2352" s="50"/>
      <c r="T2352" s="50"/>
      <c r="U2352" s="58"/>
      <c r="V2352" s="58"/>
      <c r="W2352" s="58"/>
      <c r="X2352" s="58"/>
      <c r="Y2352" s="52"/>
    </row>
    <row r="2353" spans="1:25" x14ac:dyDescent="0.25">
      <c r="A2353" s="1218" t="s">
        <v>127</v>
      </c>
      <c r="B2353" s="98">
        <v>45839</v>
      </c>
      <c r="C2353" s="117" t="str">
        <f t="shared" si="552"/>
        <v>4L</v>
      </c>
      <c r="F2353" s="99">
        <f t="shared" si="538"/>
        <v>0</v>
      </c>
      <c r="I2353" s="99">
        <f t="shared" si="537"/>
        <v>0</v>
      </c>
      <c r="L2353" s="99"/>
      <c r="M2353" s="44"/>
      <c r="N2353" s="100"/>
      <c r="O2353" s="101"/>
      <c r="P2353" s="52"/>
      <c r="Q2353" s="49"/>
      <c r="S2353" s="50"/>
      <c r="T2353" s="50"/>
      <c r="U2353" s="58"/>
      <c r="V2353" s="58"/>
      <c r="W2353" s="58"/>
      <c r="X2353" s="58"/>
      <c r="Y2353" s="52"/>
    </row>
    <row r="2354" spans="1:25" x14ac:dyDescent="0.25">
      <c r="A2354" s="1218" t="s">
        <v>128</v>
      </c>
      <c r="B2354" s="98">
        <v>45839</v>
      </c>
      <c r="C2354" s="117" t="str">
        <f t="shared" si="539"/>
        <v>4L</v>
      </c>
      <c r="F2354" s="99">
        <f t="shared" si="538"/>
        <v>0</v>
      </c>
      <c r="I2354" s="99">
        <f t="shared" si="537"/>
        <v>0</v>
      </c>
      <c r="L2354" s="99"/>
      <c r="M2354" s="44"/>
      <c r="N2354" s="100"/>
      <c r="O2354" s="101"/>
      <c r="P2354" s="52"/>
      <c r="Q2354" s="49"/>
      <c r="S2354" s="50"/>
      <c r="T2354" s="50"/>
      <c r="U2354" s="58"/>
      <c r="V2354" s="58"/>
      <c r="W2354" s="58"/>
      <c r="X2354" s="58"/>
      <c r="Y2354" s="52"/>
    </row>
    <row r="2355" spans="1:25" x14ac:dyDescent="0.25">
      <c r="A2355" s="1218" t="s">
        <v>129</v>
      </c>
      <c r="B2355" s="98">
        <v>45839</v>
      </c>
      <c r="C2355" s="117" t="str">
        <f t="shared" si="539"/>
        <v>4L</v>
      </c>
      <c r="F2355" s="99">
        <f t="shared" si="538"/>
        <v>0</v>
      </c>
      <c r="I2355" s="99">
        <f t="shared" si="537"/>
        <v>0</v>
      </c>
      <c r="L2355" s="99">
        <f t="shared" si="540"/>
        <v>0</v>
      </c>
      <c r="M2355" s="44" t="str">
        <f t="shared" si="542"/>
        <v/>
      </c>
      <c r="N2355" s="100">
        <f t="shared" si="543"/>
        <v>0</v>
      </c>
      <c r="O2355" s="101">
        <f t="shared" si="544"/>
        <v>0</v>
      </c>
      <c r="P2355" s="52">
        <f t="shared" si="545"/>
        <v>0</v>
      </c>
      <c r="Q2355" s="49">
        <v>116.88487613461319</v>
      </c>
      <c r="R2355">
        <v>2225</v>
      </c>
      <c r="S2355" s="50">
        <f t="shared" si="541"/>
        <v>71535.307499999995</v>
      </c>
      <c r="T2355" s="50">
        <f t="shared" si="546"/>
        <v>0</v>
      </c>
      <c r="U2355" s="58">
        <f t="shared" si="547"/>
        <v>0</v>
      </c>
      <c r="V2355" s="58">
        <f t="shared" si="548"/>
        <v>0</v>
      </c>
      <c r="W2355" s="58">
        <f t="shared" si="549"/>
        <v>0</v>
      </c>
      <c r="X2355" s="58">
        <f t="shared" si="550"/>
        <v>0</v>
      </c>
      <c r="Y2355" s="52">
        <f t="shared" si="551"/>
        <v>0</v>
      </c>
    </row>
    <row r="2356" spans="1:25" x14ac:dyDescent="0.25">
      <c r="A2356" s="1218" t="s">
        <v>130</v>
      </c>
      <c r="B2356" s="98">
        <v>45839</v>
      </c>
      <c r="C2356" s="117" t="str">
        <f t="shared" si="539"/>
        <v>5L</v>
      </c>
      <c r="F2356" s="99">
        <f t="shared" si="538"/>
        <v>0</v>
      </c>
      <c r="I2356" s="99">
        <f t="shared" si="537"/>
        <v>0</v>
      </c>
      <c r="L2356" s="99">
        <f t="shared" si="540"/>
        <v>0</v>
      </c>
      <c r="M2356" s="44" t="str">
        <f t="shared" si="542"/>
        <v/>
      </c>
      <c r="N2356" s="100">
        <f t="shared" si="543"/>
        <v>0</v>
      </c>
      <c r="O2356" s="101">
        <f t="shared" si="544"/>
        <v>0</v>
      </c>
      <c r="P2356" s="52">
        <f t="shared" si="545"/>
        <v>0</v>
      </c>
      <c r="Q2356" s="49">
        <v>116.88487613461319</v>
      </c>
      <c r="R2356">
        <v>2225</v>
      </c>
      <c r="S2356" s="50">
        <f t="shared" si="541"/>
        <v>71535.307499999995</v>
      </c>
      <c r="T2356" s="50">
        <f t="shared" si="546"/>
        <v>0</v>
      </c>
      <c r="U2356" s="58">
        <f t="shared" si="547"/>
        <v>0</v>
      </c>
      <c r="V2356" s="58">
        <f t="shared" si="548"/>
        <v>0</v>
      </c>
      <c r="W2356" s="58">
        <f t="shared" si="549"/>
        <v>0</v>
      </c>
      <c r="X2356" s="58">
        <f t="shared" si="550"/>
        <v>0</v>
      </c>
      <c r="Y2356" s="52">
        <f t="shared" si="551"/>
        <v>0</v>
      </c>
    </row>
    <row r="2357" spans="1:25" x14ac:dyDescent="0.25">
      <c r="A2357" s="1218" t="s">
        <v>131</v>
      </c>
      <c r="B2357" s="98">
        <v>45839</v>
      </c>
      <c r="C2357" s="117" t="str">
        <f t="shared" si="539"/>
        <v>5L</v>
      </c>
      <c r="F2357" s="99">
        <f t="shared" si="538"/>
        <v>0</v>
      </c>
      <c r="I2357" s="99">
        <f t="shared" si="537"/>
        <v>0</v>
      </c>
      <c r="L2357" s="99">
        <f t="shared" si="540"/>
        <v>0</v>
      </c>
      <c r="M2357" s="44" t="str">
        <f t="shared" si="542"/>
        <v/>
      </c>
      <c r="N2357" s="100">
        <f t="shared" si="543"/>
        <v>0</v>
      </c>
      <c r="O2357" s="101">
        <f t="shared" si="544"/>
        <v>0</v>
      </c>
      <c r="P2357" s="52">
        <f t="shared" si="545"/>
        <v>0</v>
      </c>
      <c r="Q2357" s="49">
        <v>116.88487613461319</v>
      </c>
      <c r="R2357">
        <v>2225</v>
      </c>
      <c r="S2357" s="50">
        <f t="shared" si="541"/>
        <v>71535.307499999995</v>
      </c>
      <c r="T2357" s="50">
        <f t="shared" si="546"/>
        <v>0</v>
      </c>
      <c r="U2357" s="58">
        <f t="shared" si="547"/>
        <v>0</v>
      </c>
      <c r="V2357" s="58">
        <f t="shared" si="548"/>
        <v>0</v>
      </c>
      <c r="W2357" s="58">
        <f t="shared" si="549"/>
        <v>0</v>
      </c>
      <c r="X2357" s="58">
        <f t="shared" si="550"/>
        <v>0</v>
      </c>
      <c r="Y2357" s="52">
        <f t="shared" si="551"/>
        <v>0</v>
      </c>
    </row>
    <row r="2358" spans="1:25" x14ac:dyDescent="0.25">
      <c r="A2358" s="1218" t="s">
        <v>132</v>
      </c>
      <c r="B2358" s="98">
        <v>45839</v>
      </c>
      <c r="C2358" s="117" t="str">
        <f t="shared" si="539"/>
        <v>5L</v>
      </c>
      <c r="F2358" s="99">
        <f t="shared" si="538"/>
        <v>0</v>
      </c>
      <c r="I2358" s="99">
        <f t="shared" si="537"/>
        <v>0</v>
      </c>
      <c r="L2358" s="99">
        <f t="shared" si="540"/>
        <v>0</v>
      </c>
      <c r="M2358" s="44" t="str">
        <f t="shared" si="542"/>
        <v/>
      </c>
      <c r="N2358" s="100">
        <f t="shared" si="543"/>
        <v>0</v>
      </c>
      <c r="O2358" s="101">
        <f t="shared" si="544"/>
        <v>0</v>
      </c>
      <c r="P2358" s="52">
        <f t="shared" si="545"/>
        <v>0</v>
      </c>
      <c r="Q2358" s="49">
        <v>116.88487613461319</v>
      </c>
      <c r="R2358">
        <v>2225</v>
      </c>
      <c r="S2358" s="50">
        <f t="shared" si="541"/>
        <v>71535.307499999995</v>
      </c>
      <c r="T2358" s="50">
        <f t="shared" si="546"/>
        <v>0</v>
      </c>
      <c r="U2358" s="58">
        <f t="shared" si="547"/>
        <v>0</v>
      </c>
      <c r="V2358" s="58">
        <f t="shared" si="548"/>
        <v>0</v>
      </c>
      <c r="W2358" s="58">
        <f t="shared" si="549"/>
        <v>0</v>
      </c>
      <c r="X2358" s="58">
        <f t="shared" si="550"/>
        <v>0</v>
      </c>
      <c r="Y2358" s="52">
        <f t="shared" si="551"/>
        <v>0</v>
      </c>
    </row>
    <row r="2359" spans="1:25" x14ac:dyDescent="0.25">
      <c r="A2359" s="1218" t="s">
        <v>133</v>
      </c>
      <c r="B2359" s="98">
        <v>45839</v>
      </c>
      <c r="C2359" s="117" t="str">
        <f t="shared" si="539"/>
        <v>5L</v>
      </c>
      <c r="F2359" s="99">
        <f t="shared" si="538"/>
        <v>0</v>
      </c>
      <c r="I2359" s="99">
        <f t="shared" si="537"/>
        <v>0</v>
      </c>
      <c r="L2359" s="99">
        <f t="shared" si="540"/>
        <v>0</v>
      </c>
      <c r="M2359" s="44" t="str">
        <f t="shared" si="542"/>
        <v/>
      </c>
      <c r="N2359" s="100">
        <f t="shared" si="543"/>
        <v>0</v>
      </c>
      <c r="O2359" s="101">
        <f t="shared" si="544"/>
        <v>0</v>
      </c>
      <c r="P2359" s="52">
        <f t="shared" si="545"/>
        <v>0</v>
      </c>
      <c r="Q2359" s="49">
        <v>116.88487613461319</v>
      </c>
      <c r="R2359">
        <v>2225</v>
      </c>
      <c r="S2359" s="50">
        <f t="shared" si="541"/>
        <v>71535.307499999995</v>
      </c>
      <c r="T2359" s="50">
        <f t="shared" si="546"/>
        <v>0</v>
      </c>
      <c r="U2359" s="58">
        <f t="shared" si="547"/>
        <v>0</v>
      </c>
      <c r="V2359" s="58">
        <f t="shared" si="548"/>
        <v>0</v>
      </c>
      <c r="W2359" s="58">
        <f t="shared" si="549"/>
        <v>0</v>
      </c>
      <c r="X2359" s="58">
        <f t="shared" si="550"/>
        <v>0</v>
      </c>
      <c r="Y2359" s="52">
        <f t="shared" si="551"/>
        <v>0</v>
      </c>
    </row>
    <row r="2360" spans="1:25" x14ac:dyDescent="0.25">
      <c r="A2360" s="1218" t="s">
        <v>134</v>
      </c>
      <c r="B2360" s="98">
        <v>45839</v>
      </c>
      <c r="C2360" s="117" t="str">
        <f t="shared" si="539"/>
        <v>5L</v>
      </c>
      <c r="F2360" s="99">
        <f t="shared" si="538"/>
        <v>0</v>
      </c>
      <c r="I2360" s="99">
        <f t="shared" si="537"/>
        <v>0</v>
      </c>
      <c r="L2360" s="99">
        <f t="shared" si="540"/>
        <v>0</v>
      </c>
      <c r="M2360" s="44" t="str">
        <f t="shared" si="542"/>
        <v/>
      </c>
      <c r="N2360" s="100">
        <f t="shared" si="543"/>
        <v>0</v>
      </c>
      <c r="O2360" s="101">
        <f t="shared" si="544"/>
        <v>0</v>
      </c>
      <c r="P2360" s="52">
        <f t="shared" si="545"/>
        <v>0</v>
      </c>
      <c r="Q2360" s="49">
        <v>116.88487613461319</v>
      </c>
      <c r="R2360">
        <v>2225</v>
      </c>
      <c r="S2360" s="50">
        <f t="shared" si="541"/>
        <v>71535.307499999995</v>
      </c>
      <c r="T2360" s="50">
        <f t="shared" si="546"/>
        <v>0</v>
      </c>
      <c r="U2360" s="58">
        <f t="shared" si="547"/>
        <v>0</v>
      </c>
      <c r="V2360" s="58">
        <f t="shared" si="548"/>
        <v>0</v>
      </c>
      <c r="W2360" s="58">
        <f t="shared" si="549"/>
        <v>0</v>
      </c>
      <c r="X2360" s="58">
        <f t="shared" si="550"/>
        <v>0</v>
      </c>
      <c r="Y2360" s="52">
        <f t="shared" si="551"/>
        <v>0</v>
      </c>
    </row>
    <row r="2361" spans="1:25" x14ac:dyDescent="0.25">
      <c r="A2361" s="1218" t="s">
        <v>135</v>
      </c>
      <c r="B2361" s="98">
        <v>45839</v>
      </c>
      <c r="C2361" s="117" t="str">
        <f t="shared" si="539"/>
        <v>5L</v>
      </c>
      <c r="F2361" s="99">
        <f t="shared" si="538"/>
        <v>0</v>
      </c>
      <c r="I2361" s="99">
        <f t="shared" si="537"/>
        <v>0</v>
      </c>
      <c r="L2361" s="99">
        <f t="shared" si="540"/>
        <v>0</v>
      </c>
      <c r="M2361" s="44" t="str">
        <f t="shared" si="542"/>
        <v/>
      </c>
      <c r="N2361" s="100">
        <f t="shared" si="543"/>
        <v>0</v>
      </c>
      <c r="O2361" s="101">
        <f t="shared" si="544"/>
        <v>0</v>
      </c>
      <c r="P2361" s="52">
        <f t="shared" si="545"/>
        <v>0</v>
      </c>
      <c r="Q2361" s="49">
        <v>116.88487613461319</v>
      </c>
      <c r="R2361">
        <v>2225</v>
      </c>
      <c r="S2361" s="50">
        <f t="shared" si="541"/>
        <v>71535.307499999995</v>
      </c>
      <c r="T2361" s="50">
        <f t="shared" si="546"/>
        <v>0</v>
      </c>
      <c r="U2361" s="58">
        <f t="shared" si="547"/>
        <v>0</v>
      </c>
      <c r="V2361" s="58">
        <f t="shared" si="548"/>
        <v>0</v>
      </c>
      <c r="W2361" s="58">
        <f t="shared" si="549"/>
        <v>0</v>
      </c>
      <c r="X2361" s="58">
        <f t="shared" si="550"/>
        <v>0</v>
      </c>
      <c r="Y2361" s="52">
        <f t="shared" si="551"/>
        <v>0</v>
      </c>
    </row>
    <row r="2362" spans="1:25" x14ac:dyDescent="0.25">
      <c r="A2362" s="1218" t="s">
        <v>136</v>
      </c>
      <c r="B2362" s="98">
        <v>45839</v>
      </c>
      <c r="C2362" s="117" t="str">
        <f t="shared" si="539"/>
        <v>5L</v>
      </c>
      <c r="F2362" s="99">
        <f t="shared" si="538"/>
        <v>0</v>
      </c>
      <c r="I2362" s="99">
        <f t="shared" si="537"/>
        <v>0</v>
      </c>
      <c r="L2362" s="99">
        <f t="shared" si="540"/>
        <v>0</v>
      </c>
      <c r="M2362" s="44" t="str">
        <f t="shared" si="542"/>
        <v/>
      </c>
      <c r="N2362" s="100">
        <f t="shared" si="543"/>
        <v>0</v>
      </c>
      <c r="O2362" s="101">
        <f t="shared" si="544"/>
        <v>0</v>
      </c>
      <c r="P2362" s="52">
        <f t="shared" si="545"/>
        <v>0</v>
      </c>
      <c r="Q2362" s="49">
        <v>116.88487613461319</v>
      </c>
      <c r="R2362">
        <v>2225</v>
      </c>
      <c r="S2362" s="50">
        <f t="shared" si="541"/>
        <v>71535.307499999995</v>
      </c>
      <c r="T2362" s="50">
        <f t="shared" si="546"/>
        <v>0</v>
      </c>
      <c r="U2362" s="58">
        <f t="shared" si="547"/>
        <v>0</v>
      </c>
      <c r="V2362" s="58">
        <f t="shared" si="548"/>
        <v>0</v>
      </c>
      <c r="W2362" s="58">
        <f t="shared" si="549"/>
        <v>0</v>
      </c>
      <c r="X2362" s="58">
        <f t="shared" si="550"/>
        <v>0</v>
      </c>
      <c r="Y2362" s="52">
        <f t="shared" si="551"/>
        <v>0</v>
      </c>
    </row>
    <row r="2363" spans="1:25" x14ac:dyDescent="0.25">
      <c r="A2363" s="1218" t="s">
        <v>137</v>
      </c>
      <c r="B2363" s="98">
        <v>45839</v>
      </c>
      <c r="C2363" s="117" t="str">
        <f t="shared" si="539"/>
        <v>5L</v>
      </c>
      <c r="F2363" s="99">
        <f t="shared" si="538"/>
        <v>0</v>
      </c>
      <c r="I2363" s="99">
        <f t="shared" si="537"/>
        <v>0</v>
      </c>
      <c r="L2363" s="99">
        <f t="shared" si="540"/>
        <v>0</v>
      </c>
      <c r="M2363" s="44" t="str">
        <f t="shared" si="542"/>
        <v/>
      </c>
      <c r="N2363" s="100">
        <f t="shared" si="543"/>
        <v>0</v>
      </c>
      <c r="O2363" s="101">
        <f t="shared" si="544"/>
        <v>0</v>
      </c>
      <c r="P2363" s="52">
        <f t="shared" si="545"/>
        <v>0</v>
      </c>
      <c r="Q2363" s="49">
        <v>116.88487613461319</v>
      </c>
      <c r="R2363">
        <v>2225</v>
      </c>
      <c r="S2363" s="50">
        <f t="shared" si="541"/>
        <v>71535.307499999995</v>
      </c>
      <c r="T2363" s="50">
        <f t="shared" si="546"/>
        <v>0</v>
      </c>
      <c r="U2363" s="58">
        <f t="shared" si="547"/>
        <v>0</v>
      </c>
      <c r="V2363" s="58">
        <f t="shared" si="548"/>
        <v>0</v>
      </c>
      <c r="W2363" s="58">
        <f t="shared" si="549"/>
        <v>0</v>
      </c>
      <c r="X2363" s="58">
        <f t="shared" si="550"/>
        <v>0</v>
      </c>
      <c r="Y2363" s="52">
        <f t="shared" si="551"/>
        <v>0</v>
      </c>
    </row>
    <row r="2364" spans="1:25" x14ac:dyDescent="0.25">
      <c r="A2364" s="1218" t="s">
        <v>138</v>
      </c>
      <c r="B2364" s="98">
        <v>45839</v>
      </c>
      <c r="C2364" s="117" t="str">
        <f t="shared" si="539"/>
        <v>5L</v>
      </c>
      <c r="F2364" s="99">
        <f t="shared" si="538"/>
        <v>0</v>
      </c>
      <c r="I2364" s="99">
        <f t="shared" si="537"/>
        <v>0</v>
      </c>
      <c r="L2364" s="99">
        <f t="shared" si="540"/>
        <v>0</v>
      </c>
      <c r="M2364" s="44" t="str">
        <f t="shared" si="542"/>
        <v/>
      </c>
      <c r="N2364" s="100">
        <f t="shared" si="543"/>
        <v>0</v>
      </c>
      <c r="O2364" s="101">
        <f t="shared" si="544"/>
        <v>0</v>
      </c>
      <c r="P2364" s="52">
        <f t="shared" si="545"/>
        <v>0</v>
      </c>
      <c r="Q2364" s="49">
        <v>116.88487613461319</v>
      </c>
      <c r="R2364">
        <v>2225</v>
      </c>
      <c r="S2364" s="50">
        <f t="shared" si="541"/>
        <v>71535.307499999995</v>
      </c>
      <c r="T2364" s="50">
        <f t="shared" si="546"/>
        <v>0</v>
      </c>
      <c r="U2364" s="58">
        <f t="shared" si="547"/>
        <v>0</v>
      </c>
      <c r="V2364" s="58">
        <f t="shared" si="548"/>
        <v>0</v>
      </c>
      <c r="W2364" s="58">
        <f t="shared" si="549"/>
        <v>0</v>
      </c>
      <c r="X2364" s="58">
        <f t="shared" si="550"/>
        <v>0</v>
      </c>
      <c r="Y2364" s="52">
        <f t="shared" si="551"/>
        <v>0</v>
      </c>
    </row>
    <row r="2365" spans="1:25" x14ac:dyDescent="0.25">
      <c r="A2365" s="1218" t="s">
        <v>139</v>
      </c>
      <c r="B2365" s="98">
        <v>45839</v>
      </c>
      <c r="C2365" s="117" t="str">
        <f t="shared" si="539"/>
        <v>5L</v>
      </c>
      <c r="F2365" s="99">
        <f t="shared" si="538"/>
        <v>0</v>
      </c>
      <c r="I2365" s="99">
        <f t="shared" si="537"/>
        <v>0</v>
      </c>
      <c r="L2365" s="99">
        <f t="shared" si="540"/>
        <v>0</v>
      </c>
      <c r="M2365" s="44" t="str">
        <f t="shared" si="542"/>
        <v/>
      </c>
      <c r="N2365" s="100">
        <f t="shared" si="543"/>
        <v>0</v>
      </c>
      <c r="O2365" s="101">
        <f t="shared" si="544"/>
        <v>0</v>
      </c>
      <c r="P2365" s="52">
        <f t="shared" si="545"/>
        <v>0</v>
      </c>
      <c r="Q2365" s="49">
        <v>116.88487613461319</v>
      </c>
      <c r="R2365">
        <v>2225</v>
      </c>
      <c r="S2365" s="50">
        <f t="shared" si="541"/>
        <v>71535.307499999995</v>
      </c>
      <c r="T2365" s="50">
        <f t="shared" si="546"/>
        <v>0</v>
      </c>
      <c r="U2365" s="58">
        <f t="shared" si="547"/>
        <v>0</v>
      </c>
      <c r="V2365" s="58">
        <f t="shared" si="548"/>
        <v>0</v>
      </c>
      <c r="W2365" s="58">
        <f t="shared" si="549"/>
        <v>0</v>
      </c>
      <c r="X2365" s="58">
        <f t="shared" si="550"/>
        <v>0</v>
      </c>
      <c r="Y2365" s="52">
        <f t="shared" si="551"/>
        <v>0</v>
      </c>
    </row>
    <row r="2366" spans="1:25" x14ac:dyDescent="0.25">
      <c r="A2366" s="1218" t="s">
        <v>140</v>
      </c>
      <c r="B2366" s="98">
        <v>45839</v>
      </c>
      <c r="C2366" s="117" t="str">
        <f t="shared" si="539"/>
        <v>5L</v>
      </c>
      <c r="F2366" s="99">
        <f t="shared" si="538"/>
        <v>0</v>
      </c>
      <c r="I2366" s="99">
        <f t="shared" si="537"/>
        <v>0</v>
      </c>
      <c r="L2366" s="99">
        <f t="shared" si="540"/>
        <v>0</v>
      </c>
      <c r="M2366" s="44" t="str">
        <f t="shared" si="542"/>
        <v/>
      </c>
      <c r="N2366" s="100">
        <f t="shared" si="543"/>
        <v>0</v>
      </c>
      <c r="O2366" s="101">
        <f t="shared" si="544"/>
        <v>0</v>
      </c>
      <c r="P2366" s="52">
        <f t="shared" si="545"/>
        <v>0</v>
      </c>
      <c r="Q2366" s="49">
        <v>116.88487613461319</v>
      </c>
      <c r="R2366">
        <v>2225</v>
      </c>
      <c r="S2366" s="50">
        <f t="shared" si="541"/>
        <v>71535.307499999995</v>
      </c>
      <c r="T2366" s="50">
        <f t="shared" si="546"/>
        <v>0</v>
      </c>
      <c r="U2366" s="58">
        <f t="shared" si="547"/>
        <v>0</v>
      </c>
      <c r="V2366" s="58">
        <f t="shared" si="548"/>
        <v>0</v>
      </c>
      <c r="W2366" s="58">
        <f t="shared" si="549"/>
        <v>0</v>
      </c>
      <c r="X2366" s="58">
        <f t="shared" si="550"/>
        <v>0</v>
      </c>
      <c r="Y2366" s="52">
        <f t="shared" si="551"/>
        <v>0</v>
      </c>
    </row>
    <row r="2367" spans="1:25" x14ac:dyDescent="0.25">
      <c r="A2367" s="1218" t="s">
        <v>141</v>
      </c>
      <c r="B2367" s="98">
        <v>45839</v>
      </c>
      <c r="C2367" s="117" t="str">
        <f t="shared" si="539"/>
        <v>5L</v>
      </c>
      <c r="F2367" s="99">
        <f t="shared" si="538"/>
        <v>0</v>
      </c>
      <c r="I2367" s="99">
        <f t="shared" si="537"/>
        <v>0</v>
      </c>
      <c r="L2367" s="99">
        <f t="shared" si="540"/>
        <v>0</v>
      </c>
      <c r="M2367" s="44" t="str">
        <f t="shared" si="542"/>
        <v/>
      </c>
      <c r="N2367" s="100">
        <f t="shared" si="543"/>
        <v>0</v>
      </c>
      <c r="O2367" s="101">
        <f t="shared" si="544"/>
        <v>0</v>
      </c>
      <c r="P2367" s="52">
        <f t="shared" si="545"/>
        <v>0</v>
      </c>
      <c r="Q2367" s="49">
        <v>116.88487613461319</v>
      </c>
      <c r="R2367">
        <v>2225</v>
      </c>
      <c r="S2367" s="50">
        <f t="shared" si="541"/>
        <v>71535.307499999995</v>
      </c>
      <c r="T2367" s="50">
        <f t="shared" si="546"/>
        <v>0</v>
      </c>
      <c r="U2367" s="58">
        <f t="shared" si="547"/>
        <v>0</v>
      </c>
      <c r="V2367" s="58">
        <f t="shared" si="548"/>
        <v>0</v>
      </c>
      <c r="W2367" s="58">
        <f t="shared" si="549"/>
        <v>0</v>
      </c>
      <c r="X2367" s="58">
        <f t="shared" si="550"/>
        <v>0</v>
      </c>
      <c r="Y2367" s="52">
        <f t="shared" si="551"/>
        <v>0</v>
      </c>
    </row>
    <row r="2368" spans="1:25" x14ac:dyDescent="0.25">
      <c r="A2368" s="1218" t="s">
        <v>142</v>
      </c>
      <c r="B2368" s="98">
        <v>45839</v>
      </c>
      <c r="C2368" s="117" t="str">
        <f t="shared" si="539"/>
        <v>5L</v>
      </c>
      <c r="F2368" s="99">
        <f t="shared" si="538"/>
        <v>0</v>
      </c>
      <c r="I2368" s="99">
        <f t="shared" si="537"/>
        <v>0</v>
      </c>
      <c r="L2368" s="99">
        <f t="shared" si="540"/>
        <v>0</v>
      </c>
      <c r="M2368" s="44" t="str">
        <f t="shared" si="542"/>
        <v/>
      </c>
      <c r="N2368" s="100">
        <f t="shared" si="543"/>
        <v>0</v>
      </c>
      <c r="O2368" s="101">
        <f t="shared" si="544"/>
        <v>0</v>
      </c>
      <c r="P2368" s="52">
        <f t="shared" si="545"/>
        <v>0</v>
      </c>
      <c r="Q2368" s="49">
        <v>116.88487613461319</v>
      </c>
      <c r="R2368">
        <v>2225</v>
      </c>
      <c r="S2368" s="50">
        <f t="shared" si="541"/>
        <v>71535.307499999995</v>
      </c>
      <c r="T2368" s="50">
        <f t="shared" si="546"/>
        <v>0</v>
      </c>
      <c r="U2368" s="58">
        <f t="shared" si="547"/>
        <v>0</v>
      </c>
      <c r="V2368" s="58">
        <f t="shared" si="548"/>
        <v>0</v>
      </c>
      <c r="W2368" s="58">
        <f t="shared" si="549"/>
        <v>0</v>
      </c>
      <c r="X2368" s="58">
        <f t="shared" si="550"/>
        <v>0</v>
      </c>
      <c r="Y2368" s="52">
        <f t="shared" si="551"/>
        <v>0</v>
      </c>
    </row>
    <row r="2369" spans="1:25" x14ac:dyDescent="0.25">
      <c r="A2369" s="1218" t="s">
        <v>143</v>
      </c>
      <c r="B2369" s="98">
        <v>45839</v>
      </c>
      <c r="C2369" s="117" t="str">
        <f t="shared" si="539"/>
        <v>5L</v>
      </c>
      <c r="F2369" s="99">
        <f t="shared" si="538"/>
        <v>0</v>
      </c>
      <c r="I2369" s="99">
        <f t="shared" ref="I2369:I2432" si="553">IFERROR(G2369*H2369/1000,"")</f>
        <v>0</v>
      </c>
      <c r="L2369" s="99">
        <f t="shared" si="540"/>
        <v>0</v>
      </c>
      <c r="M2369" s="44" t="str">
        <f t="shared" si="542"/>
        <v/>
      </c>
      <c r="N2369" s="100">
        <f t="shared" si="543"/>
        <v>0</v>
      </c>
      <c r="O2369" s="101">
        <f t="shared" si="544"/>
        <v>0</v>
      </c>
      <c r="P2369" s="52">
        <f t="shared" si="545"/>
        <v>0</v>
      </c>
      <c r="Q2369" s="49">
        <v>116.88487613461319</v>
      </c>
      <c r="R2369">
        <v>2225</v>
      </c>
      <c r="S2369" s="50">
        <f t="shared" si="541"/>
        <v>71535.307499999995</v>
      </c>
      <c r="T2369" s="50">
        <f t="shared" si="546"/>
        <v>0</v>
      </c>
      <c r="U2369" s="58">
        <f t="shared" si="547"/>
        <v>0</v>
      </c>
      <c r="V2369" s="58">
        <f t="shared" si="548"/>
        <v>0</v>
      </c>
      <c r="W2369" s="58">
        <f t="shared" si="549"/>
        <v>0</v>
      </c>
      <c r="X2369" s="58">
        <f t="shared" si="550"/>
        <v>0</v>
      </c>
      <c r="Y2369" s="52">
        <f t="shared" si="551"/>
        <v>0</v>
      </c>
    </row>
    <row r="2370" spans="1:25" x14ac:dyDescent="0.25">
      <c r="A2370" s="1218" t="s">
        <v>144</v>
      </c>
      <c r="B2370" s="98">
        <v>45839</v>
      </c>
      <c r="C2370" s="117" t="str">
        <f t="shared" si="539"/>
        <v>5L</v>
      </c>
      <c r="F2370" s="99">
        <f t="shared" si="538"/>
        <v>0</v>
      </c>
      <c r="I2370" s="99">
        <f t="shared" si="553"/>
        <v>0</v>
      </c>
      <c r="L2370" s="99">
        <f t="shared" si="540"/>
        <v>0</v>
      </c>
      <c r="M2370" s="44" t="str">
        <f t="shared" si="542"/>
        <v/>
      </c>
      <c r="N2370" s="100">
        <f t="shared" si="543"/>
        <v>0</v>
      </c>
      <c r="O2370" s="101">
        <f t="shared" si="544"/>
        <v>0</v>
      </c>
      <c r="P2370" s="52">
        <f t="shared" si="545"/>
        <v>0</v>
      </c>
      <c r="Q2370" s="49">
        <v>116.88487613461319</v>
      </c>
      <c r="R2370">
        <v>2225</v>
      </c>
      <c r="S2370" s="50">
        <f t="shared" si="541"/>
        <v>71535.307499999995</v>
      </c>
      <c r="T2370" s="50">
        <f t="shared" si="546"/>
        <v>0</v>
      </c>
      <c r="U2370" s="58">
        <f t="shared" si="547"/>
        <v>0</v>
      </c>
      <c r="V2370" s="58">
        <f t="shared" si="548"/>
        <v>0</v>
      </c>
      <c r="W2370" s="58">
        <f t="shared" si="549"/>
        <v>0</v>
      </c>
      <c r="X2370" s="58">
        <f t="shared" si="550"/>
        <v>0</v>
      </c>
      <c r="Y2370" s="52">
        <f t="shared" si="551"/>
        <v>0</v>
      </c>
    </row>
    <row r="2371" spans="1:25" x14ac:dyDescent="0.25">
      <c r="A2371" s="1218" t="s">
        <v>145</v>
      </c>
      <c r="B2371" s="98">
        <v>45839</v>
      </c>
      <c r="C2371" s="117" t="str">
        <f t="shared" si="539"/>
        <v>5L</v>
      </c>
      <c r="F2371" s="99">
        <f t="shared" si="538"/>
        <v>0</v>
      </c>
      <c r="I2371" s="99">
        <f t="shared" si="553"/>
        <v>0</v>
      </c>
      <c r="L2371" s="99">
        <f t="shared" si="540"/>
        <v>0</v>
      </c>
      <c r="M2371" s="44" t="str">
        <f t="shared" si="542"/>
        <v/>
      </c>
      <c r="N2371" s="100">
        <f t="shared" si="543"/>
        <v>0</v>
      </c>
      <c r="O2371" s="101">
        <f t="shared" si="544"/>
        <v>0</v>
      </c>
      <c r="P2371" s="52">
        <f t="shared" si="545"/>
        <v>0</v>
      </c>
      <c r="Q2371" s="49">
        <v>116.88487613461319</v>
      </c>
      <c r="R2371">
        <v>2225</v>
      </c>
      <c r="S2371" s="50">
        <f t="shared" si="541"/>
        <v>71535.307499999995</v>
      </c>
      <c r="T2371" s="50">
        <f t="shared" si="546"/>
        <v>0</v>
      </c>
      <c r="U2371" s="58">
        <f t="shared" si="547"/>
        <v>0</v>
      </c>
      <c r="V2371" s="58">
        <f t="shared" si="548"/>
        <v>0</v>
      </c>
      <c r="W2371" s="58">
        <f t="shared" si="549"/>
        <v>0</v>
      </c>
      <c r="X2371" s="58">
        <f t="shared" si="550"/>
        <v>0</v>
      </c>
      <c r="Y2371" s="52">
        <f t="shared" si="551"/>
        <v>0</v>
      </c>
    </row>
    <row r="2372" spans="1:25" x14ac:dyDescent="0.25">
      <c r="A2372" s="1218" t="s">
        <v>146</v>
      </c>
      <c r="B2372" s="98">
        <v>45839</v>
      </c>
      <c r="C2372" s="117" t="str">
        <f t="shared" si="539"/>
        <v>5L</v>
      </c>
      <c r="F2372" s="99">
        <f t="shared" si="538"/>
        <v>0</v>
      </c>
      <c r="I2372" s="99">
        <f t="shared" si="553"/>
        <v>0</v>
      </c>
      <c r="L2372" s="99">
        <f t="shared" si="540"/>
        <v>0</v>
      </c>
      <c r="M2372" s="44" t="str">
        <f t="shared" si="542"/>
        <v/>
      </c>
      <c r="N2372" s="100">
        <f t="shared" si="543"/>
        <v>0</v>
      </c>
      <c r="O2372" s="101">
        <f t="shared" si="544"/>
        <v>0</v>
      </c>
      <c r="P2372" s="52">
        <f t="shared" si="545"/>
        <v>0</v>
      </c>
      <c r="Q2372" s="49">
        <v>116.88487613461319</v>
      </c>
      <c r="R2372">
        <v>2225</v>
      </c>
      <c r="S2372" s="50">
        <f t="shared" si="541"/>
        <v>71535.307499999995</v>
      </c>
      <c r="T2372" s="50">
        <f t="shared" si="546"/>
        <v>0</v>
      </c>
      <c r="U2372" s="58">
        <f t="shared" si="547"/>
        <v>0</v>
      </c>
      <c r="V2372" s="58">
        <f t="shared" si="548"/>
        <v>0</v>
      </c>
      <c r="W2372" s="58">
        <f t="shared" si="549"/>
        <v>0</v>
      </c>
      <c r="X2372" s="58">
        <f t="shared" si="550"/>
        <v>0</v>
      </c>
      <c r="Y2372" s="52">
        <f t="shared" si="551"/>
        <v>0</v>
      </c>
    </row>
    <row r="2373" spans="1:25" x14ac:dyDescent="0.25">
      <c r="A2373" s="1218" t="s">
        <v>147</v>
      </c>
      <c r="B2373" s="98">
        <v>45839</v>
      </c>
      <c r="C2373" s="117" t="str">
        <f t="shared" si="539"/>
        <v>5L</v>
      </c>
      <c r="F2373" s="99">
        <f t="shared" si="538"/>
        <v>0</v>
      </c>
      <c r="I2373" s="99">
        <f t="shared" si="553"/>
        <v>0</v>
      </c>
      <c r="L2373" s="99">
        <f t="shared" si="540"/>
        <v>0</v>
      </c>
      <c r="M2373" s="44" t="str">
        <f t="shared" si="542"/>
        <v/>
      </c>
      <c r="N2373" s="100">
        <f t="shared" si="543"/>
        <v>0</v>
      </c>
      <c r="O2373" s="101">
        <f t="shared" si="544"/>
        <v>0</v>
      </c>
      <c r="P2373" s="52">
        <f t="shared" si="545"/>
        <v>0</v>
      </c>
      <c r="Q2373" s="49">
        <v>116.88487613461319</v>
      </c>
      <c r="R2373">
        <v>2225</v>
      </c>
      <c r="S2373" s="50">
        <f t="shared" si="541"/>
        <v>71535.307499999995</v>
      </c>
      <c r="T2373" s="50">
        <f t="shared" si="546"/>
        <v>0</v>
      </c>
      <c r="U2373" s="58">
        <f t="shared" si="547"/>
        <v>0</v>
      </c>
      <c r="V2373" s="58">
        <f t="shared" si="548"/>
        <v>0</v>
      </c>
      <c r="W2373" s="58">
        <f t="shared" si="549"/>
        <v>0</v>
      </c>
      <c r="X2373" s="58">
        <f t="shared" si="550"/>
        <v>0</v>
      </c>
      <c r="Y2373" s="52">
        <f t="shared" si="551"/>
        <v>0</v>
      </c>
    </row>
    <row r="2374" spans="1:25" x14ac:dyDescent="0.25">
      <c r="A2374" s="1218" t="s">
        <v>148</v>
      </c>
      <c r="B2374" s="98">
        <v>45839</v>
      </c>
      <c r="C2374" s="117" t="str">
        <f t="shared" si="539"/>
        <v>5L</v>
      </c>
      <c r="D2374">
        <v>1610</v>
      </c>
      <c r="E2374">
        <v>3.23</v>
      </c>
      <c r="F2374" s="99">
        <f t="shared" si="538"/>
        <v>5.2003000000000004</v>
      </c>
      <c r="I2374" s="99">
        <f t="shared" si="553"/>
        <v>0</v>
      </c>
      <c r="L2374" s="99">
        <f t="shared" si="540"/>
        <v>0</v>
      </c>
      <c r="M2374" s="44" t="str">
        <f t="shared" si="542"/>
        <v/>
      </c>
      <c r="N2374" s="100">
        <f t="shared" si="543"/>
        <v>0</v>
      </c>
      <c r="O2374" s="101">
        <f t="shared" si="544"/>
        <v>0</v>
      </c>
      <c r="P2374" s="52">
        <f t="shared" si="545"/>
        <v>0</v>
      </c>
      <c r="Q2374" s="49">
        <v>116.88487613461319</v>
      </c>
      <c r="R2374">
        <v>2225</v>
      </c>
      <c r="S2374" s="50">
        <f t="shared" si="541"/>
        <v>71535.307499999995</v>
      </c>
      <c r="T2374" s="50">
        <f t="shared" si="546"/>
        <v>0</v>
      </c>
      <c r="U2374" s="58">
        <f t="shared" si="547"/>
        <v>0</v>
      </c>
      <c r="V2374" s="58">
        <f t="shared" si="548"/>
        <v>0</v>
      </c>
      <c r="W2374" s="58">
        <f t="shared" si="549"/>
        <v>0</v>
      </c>
      <c r="X2374" s="58">
        <f t="shared" si="550"/>
        <v>0</v>
      </c>
      <c r="Y2374" s="52">
        <f t="shared" si="551"/>
        <v>0</v>
      </c>
    </row>
    <row r="2375" spans="1:25" x14ac:dyDescent="0.25">
      <c r="A2375" s="1218" t="s">
        <v>149</v>
      </c>
      <c r="B2375" s="98">
        <v>45839</v>
      </c>
      <c r="C2375" s="117" t="str">
        <f t="shared" si="539"/>
        <v>5L</v>
      </c>
      <c r="F2375" s="99">
        <f t="shared" si="538"/>
        <v>0</v>
      </c>
      <c r="I2375" s="99">
        <f t="shared" si="553"/>
        <v>0</v>
      </c>
      <c r="L2375" s="99">
        <f t="shared" si="540"/>
        <v>0</v>
      </c>
      <c r="M2375" s="44" t="str">
        <f t="shared" si="542"/>
        <v/>
      </c>
      <c r="N2375" s="100">
        <f t="shared" si="543"/>
        <v>0</v>
      </c>
      <c r="O2375" s="101">
        <f t="shared" si="544"/>
        <v>0</v>
      </c>
      <c r="P2375" s="52">
        <f t="shared" si="545"/>
        <v>0</v>
      </c>
      <c r="Q2375" s="49">
        <v>116.88487613461319</v>
      </c>
      <c r="R2375">
        <v>2225</v>
      </c>
      <c r="S2375" s="50">
        <f t="shared" si="541"/>
        <v>71535.307499999995</v>
      </c>
      <c r="T2375" s="50">
        <f t="shared" si="546"/>
        <v>0</v>
      </c>
      <c r="U2375" s="58">
        <f t="shared" si="547"/>
        <v>0</v>
      </c>
      <c r="V2375" s="58">
        <f t="shared" si="548"/>
        <v>0</v>
      </c>
      <c r="W2375" s="58">
        <f t="shared" si="549"/>
        <v>0</v>
      </c>
      <c r="X2375" s="58">
        <f t="shared" si="550"/>
        <v>0</v>
      </c>
      <c r="Y2375" s="52">
        <f t="shared" si="551"/>
        <v>0</v>
      </c>
    </row>
    <row r="2376" spans="1:25" x14ac:dyDescent="0.25">
      <c r="A2376" s="1218" t="s">
        <v>150</v>
      </c>
      <c r="B2376" s="98">
        <v>45839</v>
      </c>
      <c r="C2376" s="117" t="str">
        <f t="shared" si="539"/>
        <v>6L</v>
      </c>
      <c r="D2376" s="118">
        <v>3033</v>
      </c>
      <c r="E2376">
        <v>2.83</v>
      </c>
      <c r="F2376" s="99">
        <f t="shared" si="538"/>
        <v>8.5833899999999996</v>
      </c>
      <c r="I2376" s="99">
        <f t="shared" si="553"/>
        <v>0</v>
      </c>
      <c r="L2376" s="99">
        <f t="shared" si="540"/>
        <v>0</v>
      </c>
      <c r="M2376" s="44" t="str">
        <f t="shared" si="542"/>
        <v/>
      </c>
      <c r="N2376" s="100">
        <f t="shared" si="543"/>
        <v>0</v>
      </c>
      <c r="O2376" s="101">
        <f t="shared" si="544"/>
        <v>0</v>
      </c>
      <c r="P2376" s="52">
        <f t="shared" si="545"/>
        <v>0</v>
      </c>
      <c r="Q2376" s="49">
        <v>116.88487613461319</v>
      </c>
      <c r="R2376">
        <v>2225</v>
      </c>
      <c r="S2376" s="50">
        <f t="shared" si="541"/>
        <v>71535.307499999995</v>
      </c>
      <c r="T2376" s="50">
        <f t="shared" si="546"/>
        <v>0</v>
      </c>
      <c r="U2376" s="58">
        <f t="shared" si="547"/>
        <v>0</v>
      </c>
      <c r="V2376" s="58">
        <f t="shared" si="548"/>
        <v>0</v>
      </c>
      <c r="W2376" s="58">
        <f t="shared" si="549"/>
        <v>0</v>
      </c>
      <c r="X2376" s="58">
        <f t="shared" si="550"/>
        <v>0</v>
      </c>
      <c r="Y2376" s="52">
        <f t="shared" si="551"/>
        <v>0</v>
      </c>
    </row>
    <row r="2377" spans="1:25" x14ac:dyDescent="0.25">
      <c r="A2377" s="1218" t="s">
        <v>151</v>
      </c>
      <c r="B2377" s="98">
        <v>45839</v>
      </c>
      <c r="C2377" s="117" t="str">
        <f t="shared" si="539"/>
        <v>6L</v>
      </c>
      <c r="F2377" s="99">
        <f t="shared" si="538"/>
        <v>0</v>
      </c>
      <c r="I2377" s="99">
        <f t="shared" si="553"/>
        <v>0</v>
      </c>
      <c r="L2377" s="99">
        <f t="shared" si="540"/>
        <v>0</v>
      </c>
      <c r="M2377" s="44" t="str">
        <f t="shared" si="542"/>
        <v/>
      </c>
      <c r="N2377" s="100">
        <f t="shared" si="543"/>
        <v>0</v>
      </c>
      <c r="O2377" s="101">
        <f t="shared" si="544"/>
        <v>0</v>
      </c>
      <c r="P2377" s="52">
        <f t="shared" si="545"/>
        <v>0</v>
      </c>
      <c r="Q2377" s="49">
        <v>116.88487613461319</v>
      </c>
      <c r="R2377">
        <v>2225</v>
      </c>
      <c r="S2377" s="50">
        <f t="shared" si="541"/>
        <v>71535.307499999995</v>
      </c>
      <c r="T2377" s="50">
        <f t="shared" si="546"/>
        <v>0</v>
      </c>
      <c r="U2377" s="58">
        <f t="shared" si="547"/>
        <v>0</v>
      </c>
      <c r="V2377" s="58">
        <f t="shared" si="548"/>
        <v>0</v>
      </c>
      <c r="W2377" s="58">
        <f t="shared" si="549"/>
        <v>0</v>
      </c>
      <c r="X2377" s="58">
        <f t="shared" si="550"/>
        <v>0</v>
      </c>
      <c r="Y2377" s="52">
        <f t="shared" si="551"/>
        <v>0</v>
      </c>
    </row>
    <row r="2378" spans="1:25" x14ac:dyDescent="0.25">
      <c r="A2378" s="1218" t="s">
        <v>152</v>
      </c>
      <c r="B2378" s="98">
        <v>45839</v>
      </c>
      <c r="C2378" s="117" t="str">
        <f t="shared" si="539"/>
        <v>6L</v>
      </c>
      <c r="F2378" s="99">
        <f t="shared" si="538"/>
        <v>0</v>
      </c>
      <c r="I2378" s="99">
        <f t="shared" si="553"/>
        <v>0</v>
      </c>
      <c r="L2378" s="99"/>
      <c r="M2378" s="44"/>
      <c r="N2378" s="100"/>
      <c r="O2378" s="101"/>
      <c r="P2378" s="52"/>
      <c r="Q2378" s="49"/>
      <c r="S2378" s="50"/>
      <c r="T2378" s="50"/>
      <c r="U2378" s="58"/>
      <c r="V2378" s="58"/>
      <c r="W2378" s="58"/>
      <c r="X2378" s="58"/>
      <c r="Y2378" s="52"/>
    </row>
    <row r="2379" spans="1:25" x14ac:dyDescent="0.25">
      <c r="A2379" s="1218" t="s">
        <v>153</v>
      </c>
      <c r="B2379" s="98">
        <v>45839</v>
      </c>
      <c r="C2379" s="117" t="str">
        <f t="shared" si="539"/>
        <v>6L</v>
      </c>
      <c r="F2379" s="99">
        <f t="shared" ref="F2379:F2442" si="554">IFERROR(D2379*E2379/1000,"")</f>
        <v>0</v>
      </c>
      <c r="I2379" s="99">
        <f t="shared" si="553"/>
        <v>0</v>
      </c>
      <c r="L2379" s="99"/>
      <c r="M2379" s="44"/>
      <c r="N2379" s="100"/>
      <c r="O2379" s="101"/>
      <c r="P2379" s="52"/>
      <c r="Q2379" s="49"/>
      <c r="S2379" s="50"/>
      <c r="T2379" s="50"/>
      <c r="U2379" s="58"/>
      <c r="V2379" s="58"/>
      <c r="W2379" s="58"/>
      <c r="X2379" s="58"/>
      <c r="Y2379" s="52"/>
    </row>
    <row r="2380" spans="1:25" x14ac:dyDescent="0.25">
      <c r="A2380" s="1218" t="s">
        <v>154</v>
      </c>
      <c r="B2380" s="98">
        <v>45839</v>
      </c>
      <c r="C2380" s="117" t="str">
        <f t="shared" si="539"/>
        <v>6L</v>
      </c>
      <c r="F2380" s="99">
        <f t="shared" si="554"/>
        <v>0</v>
      </c>
      <c r="I2380" s="99">
        <f t="shared" si="553"/>
        <v>0</v>
      </c>
      <c r="L2380" s="99"/>
      <c r="M2380" s="44"/>
      <c r="N2380" s="100"/>
      <c r="O2380" s="101"/>
      <c r="P2380" s="52"/>
      <c r="Q2380" s="49"/>
      <c r="S2380" s="50"/>
      <c r="T2380" s="50"/>
      <c r="U2380" s="58"/>
      <c r="V2380" s="58"/>
      <c r="W2380" s="58"/>
      <c r="X2380" s="58"/>
      <c r="Y2380" s="52"/>
    </row>
    <row r="2381" spans="1:25" x14ac:dyDescent="0.25">
      <c r="A2381" s="1218" t="s">
        <v>155</v>
      </c>
      <c r="B2381" s="98">
        <v>45839</v>
      </c>
      <c r="C2381" s="117" t="str">
        <f t="shared" si="539"/>
        <v>6L</v>
      </c>
      <c r="D2381">
        <v>3033</v>
      </c>
      <c r="E2381">
        <v>2.31</v>
      </c>
      <c r="F2381" s="99">
        <f t="shared" si="554"/>
        <v>7.0062300000000004</v>
      </c>
      <c r="I2381" s="99">
        <f t="shared" si="553"/>
        <v>0</v>
      </c>
      <c r="L2381" s="99">
        <f t="shared" si="540"/>
        <v>0</v>
      </c>
      <c r="M2381" s="44" t="str">
        <f t="shared" si="542"/>
        <v/>
      </c>
      <c r="N2381" s="100">
        <f t="shared" si="543"/>
        <v>0</v>
      </c>
      <c r="O2381" s="101">
        <f t="shared" si="544"/>
        <v>0</v>
      </c>
      <c r="P2381" s="52">
        <f t="shared" si="545"/>
        <v>0</v>
      </c>
      <c r="Q2381" s="49">
        <v>116.88487613461319</v>
      </c>
      <c r="R2381">
        <v>2225</v>
      </c>
      <c r="S2381" s="50">
        <f t="shared" si="541"/>
        <v>71535.307499999995</v>
      </c>
      <c r="T2381" s="50">
        <f t="shared" si="546"/>
        <v>0</v>
      </c>
      <c r="U2381" s="58">
        <f t="shared" si="547"/>
        <v>0</v>
      </c>
      <c r="V2381" s="58">
        <f t="shared" si="548"/>
        <v>0</v>
      </c>
      <c r="W2381" s="58">
        <f t="shared" si="549"/>
        <v>0</v>
      </c>
      <c r="X2381" s="58">
        <f t="shared" si="550"/>
        <v>0</v>
      </c>
      <c r="Y2381" s="52">
        <f t="shared" si="551"/>
        <v>0</v>
      </c>
    </row>
    <row r="2382" spans="1:25" x14ac:dyDescent="0.25">
      <c r="A2382" s="1218" t="s">
        <v>156</v>
      </c>
      <c r="B2382" s="98">
        <v>45839</v>
      </c>
      <c r="C2382" s="117" t="str">
        <f t="shared" si="539"/>
        <v>6L</v>
      </c>
      <c r="F2382" s="99">
        <f t="shared" si="554"/>
        <v>0</v>
      </c>
      <c r="I2382" s="99">
        <f t="shared" si="553"/>
        <v>0</v>
      </c>
      <c r="L2382" s="99"/>
      <c r="M2382" s="44"/>
      <c r="N2382" s="100"/>
      <c r="O2382" s="101"/>
      <c r="P2382" s="52"/>
      <c r="Q2382" s="49"/>
      <c r="S2382" s="50"/>
      <c r="T2382" s="50"/>
      <c r="U2382" s="58"/>
      <c r="V2382" s="58"/>
      <c r="W2382" s="58"/>
      <c r="X2382" s="58"/>
      <c r="Y2382" s="52"/>
    </row>
    <row r="2383" spans="1:25" x14ac:dyDescent="0.25">
      <c r="A2383" s="1218" t="s">
        <v>157</v>
      </c>
      <c r="B2383" s="98">
        <v>45839</v>
      </c>
      <c r="C2383" s="117" t="str">
        <f t="shared" si="539"/>
        <v>6L</v>
      </c>
      <c r="D2383" s="118">
        <v>2022</v>
      </c>
      <c r="E2383">
        <v>2.41</v>
      </c>
      <c r="F2383" s="99">
        <f t="shared" si="554"/>
        <v>4.8730200000000004</v>
      </c>
      <c r="I2383" s="99">
        <f t="shared" si="553"/>
        <v>0</v>
      </c>
      <c r="L2383" s="99">
        <f t="shared" si="540"/>
        <v>0</v>
      </c>
      <c r="M2383" s="44" t="str">
        <f t="shared" si="542"/>
        <v/>
      </c>
      <c r="N2383" s="100">
        <f t="shared" si="543"/>
        <v>0</v>
      </c>
      <c r="O2383" s="101">
        <f t="shared" si="544"/>
        <v>0</v>
      </c>
      <c r="P2383" s="52">
        <f t="shared" si="545"/>
        <v>0</v>
      </c>
      <c r="Q2383" s="49">
        <v>116.88487613461319</v>
      </c>
      <c r="R2383">
        <v>2225</v>
      </c>
      <c r="S2383" s="50">
        <f t="shared" si="541"/>
        <v>71535.307499999995</v>
      </c>
      <c r="T2383" s="50">
        <f t="shared" si="546"/>
        <v>0</v>
      </c>
      <c r="U2383" s="58">
        <f t="shared" si="547"/>
        <v>0</v>
      </c>
      <c r="V2383" s="58">
        <f t="shared" si="548"/>
        <v>0</v>
      </c>
      <c r="W2383" s="58">
        <f t="shared" si="549"/>
        <v>0</v>
      </c>
      <c r="X2383" s="58">
        <f t="shared" si="550"/>
        <v>0</v>
      </c>
      <c r="Y2383" s="52">
        <f t="shared" si="551"/>
        <v>0</v>
      </c>
    </row>
    <row r="2384" spans="1:25" x14ac:dyDescent="0.25">
      <c r="A2384" s="1218" t="s">
        <v>158</v>
      </c>
      <c r="B2384" s="98">
        <v>45839</v>
      </c>
      <c r="C2384" s="117" t="str">
        <f t="shared" si="539"/>
        <v>6L</v>
      </c>
      <c r="F2384" s="99">
        <f t="shared" si="554"/>
        <v>0</v>
      </c>
      <c r="I2384" s="99">
        <f t="shared" si="553"/>
        <v>0</v>
      </c>
      <c r="L2384" s="99">
        <f t="shared" si="540"/>
        <v>0</v>
      </c>
      <c r="M2384" s="44" t="str">
        <f t="shared" si="542"/>
        <v/>
      </c>
      <c r="N2384" s="100">
        <f t="shared" si="543"/>
        <v>0</v>
      </c>
      <c r="O2384" s="101">
        <f t="shared" si="544"/>
        <v>0</v>
      </c>
      <c r="P2384" s="52">
        <f t="shared" si="545"/>
        <v>0</v>
      </c>
      <c r="Q2384" s="49">
        <v>116.88487613461319</v>
      </c>
      <c r="R2384">
        <v>2225</v>
      </c>
      <c r="S2384" s="50">
        <f t="shared" si="541"/>
        <v>71535.307499999995</v>
      </c>
      <c r="T2384" s="50">
        <f t="shared" si="546"/>
        <v>0</v>
      </c>
      <c r="U2384" s="58">
        <f t="shared" si="547"/>
        <v>0</v>
      </c>
      <c r="V2384" s="58">
        <f t="shared" si="548"/>
        <v>0</v>
      </c>
      <c r="W2384" s="58">
        <f t="shared" si="549"/>
        <v>0</v>
      </c>
      <c r="X2384" s="58">
        <f t="shared" si="550"/>
        <v>0</v>
      </c>
      <c r="Y2384" s="52">
        <f t="shared" si="551"/>
        <v>0</v>
      </c>
    </row>
    <row r="2385" spans="1:25" x14ac:dyDescent="0.25">
      <c r="A2385" s="1218" t="s">
        <v>159</v>
      </c>
      <c r="B2385" s="98">
        <v>45839</v>
      </c>
      <c r="C2385" s="117" t="str">
        <f t="shared" si="539"/>
        <v>6L</v>
      </c>
      <c r="F2385" s="99">
        <f t="shared" si="554"/>
        <v>0</v>
      </c>
      <c r="I2385" s="99">
        <f t="shared" si="553"/>
        <v>0</v>
      </c>
      <c r="L2385" s="99">
        <f t="shared" si="540"/>
        <v>0</v>
      </c>
      <c r="M2385" s="44" t="str">
        <f t="shared" si="542"/>
        <v/>
      </c>
      <c r="N2385" s="100">
        <f t="shared" si="543"/>
        <v>0</v>
      </c>
      <c r="O2385" s="101">
        <f t="shared" si="544"/>
        <v>0</v>
      </c>
      <c r="P2385" s="52">
        <f t="shared" si="545"/>
        <v>0</v>
      </c>
      <c r="Q2385" s="49">
        <v>116.88487613461319</v>
      </c>
      <c r="R2385">
        <v>2225</v>
      </c>
      <c r="S2385" s="50">
        <f t="shared" si="541"/>
        <v>71535.307499999995</v>
      </c>
      <c r="T2385" s="50">
        <f t="shared" si="546"/>
        <v>0</v>
      </c>
      <c r="U2385" s="58">
        <f t="shared" si="547"/>
        <v>0</v>
      </c>
      <c r="V2385" s="58">
        <f t="shared" si="548"/>
        <v>0</v>
      </c>
      <c r="W2385" s="58">
        <f t="shared" si="549"/>
        <v>0</v>
      </c>
      <c r="X2385" s="58">
        <f t="shared" si="550"/>
        <v>0</v>
      </c>
      <c r="Y2385" s="52">
        <f t="shared" si="551"/>
        <v>0</v>
      </c>
    </row>
    <row r="2386" spans="1:25" x14ac:dyDescent="0.25">
      <c r="A2386" s="1218" t="s">
        <v>160</v>
      </c>
      <c r="B2386" s="98">
        <v>45839</v>
      </c>
      <c r="C2386" s="117" t="str">
        <f t="shared" si="539"/>
        <v>6L</v>
      </c>
      <c r="F2386" s="99">
        <f t="shared" si="554"/>
        <v>0</v>
      </c>
      <c r="I2386" s="99">
        <f t="shared" si="553"/>
        <v>0</v>
      </c>
      <c r="L2386" s="99">
        <f t="shared" si="540"/>
        <v>0</v>
      </c>
      <c r="M2386" s="44" t="str">
        <f t="shared" si="542"/>
        <v/>
      </c>
      <c r="N2386" s="100">
        <f t="shared" si="543"/>
        <v>0</v>
      </c>
      <c r="O2386" s="101">
        <f t="shared" si="544"/>
        <v>0</v>
      </c>
      <c r="P2386" s="52">
        <f t="shared" si="545"/>
        <v>0</v>
      </c>
      <c r="Q2386" s="49">
        <v>116.88487613461319</v>
      </c>
      <c r="R2386">
        <v>2225</v>
      </c>
      <c r="S2386" s="50">
        <f t="shared" si="541"/>
        <v>71535.307499999995</v>
      </c>
      <c r="T2386" s="50">
        <f t="shared" si="546"/>
        <v>0</v>
      </c>
      <c r="U2386" s="58">
        <f t="shared" si="547"/>
        <v>0</v>
      </c>
      <c r="V2386" s="58">
        <f t="shared" si="548"/>
        <v>0</v>
      </c>
      <c r="W2386" s="58">
        <f t="shared" si="549"/>
        <v>0</v>
      </c>
      <c r="X2386" s="58">
        <f t="shared" si="550"/>
        <v>0</v>
      </c>
      <c r="Y2386" s="52">
        <f t="shared" si="551"/>
        <v>0</v>
      </c>
    </row>
    <row r="2387" spans="1:25" x14ac:dyDescent="0.25">
      <c r="A2387" s="1218" t="s">
        <v>161</v>
      </c>
      <c r="B2387" s="98">
        <v>45839</v>
      </c>
      <c r="C2387" s="117" t="str">
        <f t="shared" si="539"/>
        <v>6L</v>
      </c>
      <c r="F2387" s="99">
        <f t="shared" si="554"/>
        <v>0</v>
      </c>
      <c r="I2387" s="99">
        <f t="shared" si="553"/>
        <v>0</v>
      </c>
      <c r="L2387" s="99">
        <f t="shared" si="540"/>
        <v>0</v>
      </c>
      <c r="M2387" s="44" t="str">
        <f t="shared" si="542"/>
        <v/>
      </c>
      <c r="N2387" s="100">
        <f t="shared" si="543"/>
        <v>0</v>
      </c>
      <c r="O2387" s="101">
        <f t="shared" si="544"/>
        <v>0</v>
      </c>
      <c r="P2387" s="52">
        <f t="shared" si="545"/>
        <v>0</v>
      </c>
      <c r="Q2387" s="49">
        <v>116.88487613461319</v>
      </c>
      <c r="R2387">
        <v>2225</v>
      </c>
      <c r="S2387" s="50">
        <f t="shared" si="541"/>
        <v>71535.307499999995</v>
      </c>
      <c r="T2387" s="50">
        <f t="shared" si="546"/>
        <v>0</v>
      </c>
      <c r="U2387" s="58">
        <f t="shared" si="547"/>
        <v>0</v>
      </c>
      <c r="V2387" s="58">
        <f t="shared" si="548"/>
        <v>0</v>
      </c>
      <c r="W2387" s="58">
        <f t="shared" si="549"/>
        <v>0</v>
      </c>
      <c r="X2387" s="58">
        <f t="shared" si="550"/>
        <v>0</v>
      </c>
      <c r="Y2387" s="52">
        <f t="shared" si="551"/>
        <v>0</v>
      </c>
    </row>
    <row r="2388" spans="1:25" x14ac:dyDescent="0.25">
      <c r="A2388" s="1218" t="s">
        <v>162</v>
      </c>
      <c r="B2388" s="98">
        <v>45839</v>
      </c>
      <c r="C2388" s="117" t="str">
        <f t="shared" si="539"/>
        <v>6L</v>
      </c>
      <c r="F2388" s="99">
        <f t="shared" si="554"/>
        <v>0</v>
      </c>
      <c r="I2388" s="99">
        <f t="shared" si="553"/>
        <v>0</v>
      </c>
      <c r="L2388" s="99">
        <f t="shared" si="540"/>
        <v>0</v>
      </c>
      <c r="M2388" s="44" t="str">
        <f t="shared" si="542"/>
        <v/>
      </c>
      <c r="N2388" s="100">
        <f t="shared" si="543"/>
        <v>0</v>
      </c>
      <c r="O2388" s="101">
        <f t="shared" si="544"/>
        <v>0</v>
      </c>
      <c r="P2388" s="52">
        <f t="shared" si="545"/>
        <v>0</v>
      </c>
      <c r="Q2388" s="49">
        <v>116.88487613461319</v>
      </c>
      <c r="R2388">
        <v>2225</v>
      </c>
      <c r="S2388" s="50">
        <f t="shared" si="541"/>
        <v>71535.307499999995</v>
      </c>
      <c r="T2388" s="50">
        <f t="shared" si="546"/>
        <v>0</v>
      </c>
      <c r="U2388" s="58">
        <f t="shared" si="547"/>
        <v>0</v>
      </c>
      <c r="V2388" s="58">
        <f t="shared" si="548"/>
        <v>0</v>
      </c>
      <c r="W2388" s="58">
        <f t="shared" si="549"/>
        <v>0</v>
      </c>
      <c r="X2388" s="58">
        <f t="shared" si="550"/>
        <v>0</v>
      </c>
      <c r="Y2388" s="52">
        <f t="shared" si="551"/>
        <v>0</v>
      </c>
    </row>
    <row r="2389" spans="1:25" x14ac:dyDescent="0.25">
      <c r="A2389" s="1218" t="s">
        <v>163</v>
      </c>
      <c r="B2389" s="98">
        <v>45839</v>
      </c>
      <c r="C2389" s="117" t="str">
        <f t="shared" si="539"/>
        <v>6L</v>
      </c>
      <c r="F2389" s="99">
        <f t="shared" si="554"/>
        <v>0</v>
      </c>
      <c r="I2389" s="99">
        <f t="shared" si="553"/>
        <v>0</v>
      </c>
      <c r="L2389" s="99">
        <f t="shared" si="540"/>
        <v>0</v>
      </c>
      <c r="M2389" s="44" t="str">
        <f t="shared" si="542"/>
        <v/>
      </c>
      <c r="N2389" s="100">
        <f t="shared" si="543"/>
        <v>0</v>
      </c>
      <c r="O2389" s="101">
        <f t="shared" si="544"/>
        <v>0</v>
      </c>
      <c r="P2389" s="52">
        <f t="shared" si="545"/>
        <v>0</v>
      </c>
      <c r="Q2389" s="49">
        <v>116.88487613461319</v>
      </c>
      <c r="R2389">
        <v>2225</v>
      </c>
      <c r="S2389" s="50">
        <f t="shared" si="541"/>
        <v>71535.307499999995</v>
      </c>
      <c r="T2389" s="50">
        <f t="shared" si="546"/>
        <v>0</v>
      </c>
      <c r="U2389" s="58">
        <f t="shared" si="547"/>
        <v>0</v>
      </c>
      <c r="V2389" s="58">
        <f t="shared" si="548"/>
        <v>0</v>
      </c>
      <c r="W2389" s="58">
        <f t="shared" si="549"/>
        <v>0</v>
      </c>
      <c r="X2389" s="58">
        <f t="shared" si="550"/>
        <v>0</v>
      </c>
      <c r="Y2389" s="52">
        <f t="shared" si="551"/>
        <v>0</v>
      </c>
    </row>
    <row r="2390" spans="1:25" x14ac:dyDescent="0.25">
      <c r="A2390" s="1218" t="s">
        <v>164</v>
      </c>
      <c r="B2390" s="98">
        <v>45839</v>
      </c>
      <c r="C2390" s="117" t="str">
        <f t="shared" ref="C2390:C2453" si="555">LEFT(A2390,2)</f>
        <v>6L</v>
      </c>
      <c r="F2390" s="99">
        <f t="shared" si="554"/>
        <v>0</v>
      </c>
      <c r="I2390" s="99">
        <f t="shared" si="553"/>
        <v>0</v>
      </c>
      <c r="L2390" s="99">
        <f t="shared" si="540"/>
        <v>0</v>
      </c>
      <c r="M2390" s="44" t="str">
        <f t="shared" si="542"/>
        <v/>
      </c>
      <c r="N2390" s="100">
        <f t="shared" si="543"/>
        <v>0</v>
      </c>
      <c r="O2390" s="101">
        <f t="shared" si="544"/>
        <v>0</v>
      </c>
      <c r="P2390" s="52">
        <f t="shared" si="545"/>
        <v>0</v>
      </c>
      <c r="Q2390" s="49">
        <v>116.88487613461319</v>
      </c>
      <c r="R2390">
        <v>2225</v>
      </c>
      <c r="S2390" s="50">
        <f t="shared" si="541"/>
        <v>71535.307499999995</v>
      </c>
      <c r="T2390" s="50">
        <f t="shared" si="546"/>
        <v>0</v>
      </c>
      <c r="U2390" s="58">
        <f t="shared" si="547"/>
        <v>0</v>
      </c>
      <c r="V2390" s="58">
        <f t="shared" si="548"/>
        <v>0</v>
      </c>
      <c r="W2390" s="58">
        <f t="shared" si="549"/>
        <v>0</v>
      </c>
      <c r="X2390" s="58">
        <f t="shared" si="550"/>
        <v>0</v>
      </c>
      <c r="Y2390" s="52">
        <f t="shared" si="551"/>
        <v>0</v>
      </c>
    </row>
    <row r="2391" spans="1:25" x14ac:dyDescent="0.25">
      <c r="A2391" s="1218" t="s">
        <v>165</v>
      </c>
      <c r="B2391" s="98">
        <v>45839</v>
      </c>
      <c r="C2391" s="117" t="str">
        <f t="shared" si="555"/>
        <v>6L</v>
      </c>
      <c r="D2391">
        <v>1680</v>
      </c>
      <c r="E2391">
        <v>2.84</v>
      </c>
      <c r="F2391" s="99">
        <f t="shared" si="554"/>
        <v>4.7711999999999994</v>
      </c>
      <c r="I2391" s="99">
        <f t="shared" si="553"/>
        <v>0</v>
      </c>
      <c r="L2391" s="99">
        <f t="shared" si="540"/>
        <v>0</v>
      </c>
      <c r="M2391" s="44" t="str">
        <f t="shared" si="542"/>
        <v/>
      </c>
      <c r="N2391" s="100">
        <f t="shared" si="543"/>
        <v>0</v>
      </c>
      <c r="O2391" s="101">
        <f t="shared" si="544"/>
        <v>0</v>
      </c>
      <c r="P2391" s="52">
        <f t="shared" si="545"/>
        <v>0</v>
      </c>
      <c r="Q2391" s="49">
        <v>116.88487613461319</v>
      </c>
      <c r="R2391">
        <v>2225</v>
      </c>
      <c r="S2391" s="50">
        <f t="shared" si="541"/>
        <v>71535.307499999995</v>
      </c>
      <c r="T2391" s="50">
        <f t="shared" si="546"/>
        <v>0</v>
      </c>
      <c r="U2391" s="58">
        <f t="shared" si="547"/>
        <v>0</v>
      </c>
      <c r="V2391" s="58">
        <f t="shared" si="548"/>
        <v>0</v>
      </c>
      <c r="W2391" s="58">
        <f t="shared" si="549"/>
        <v>0</v>
      </c>
      <c r="X2391" s="58">
        <f t="shared" si="550"/>
        <v>0</v>
      </c>
      <c r="Y2391" s="52">
        <f t="shared" si="551"/>
        <v>0</v>
      </c>
    </row>
    <row r="2392" spans="1:25" x14ac:dyDescent="0.25">
      <c r="A2392" s="1218" t="s">
        <v>166</v>
      </c>
      <c r="B2392" s="98">
        <v>45839</v>
      </c>
      <c r="C2392" s="117" t="str">
        <f t="shared" si="555"/>
        <v>6L</v>
      </c>
      <c r="D2392">
        <v>2022</v>
      </c>
      <c r="E2392">
        <v>3.2</v>
      </c>
      <c r="F2392" s="99">
        <f t="shared" si="554"/>
        <v>6.4704000000000006</v>
      </c>
      <c r="I2392" s="99">
        <f t="shared" si="553"/>
        <v>0</v>
      </c>
      <c r="L2392" s="99">
        <f t="shared" si="540"/>
        <v>0</v>
      </c>
      <c r="M2392" s="44" t="str">
        <f t="shared" si="542"/>
        <v/>
      </c>
      <c r="N2392" s="100">
        <f t="shared" si="543"/>
        <v>0</v>
      </c>
      <c r="O2392" s="101">
        <f t="shared" si="544"/>
        <v>0</v>
      </c>
      <c r="P2392" s="52">
        <f t="shared" si="545"/>
        <v>0</v>
      </c>
      <c r="Q2392" s="49">
        <v>116.88487613461319</v>
      </c>
      <c r="R2392">
        <v>2225</v>
      </c>
      <c r="S2392" s="50">
        <f t="shared" si="541"/>
        <v>71535.307499999995</v>
      </c>
      <c r="T2392" s="50">
        <f t="shared" si="546"/>
        <v>0</v>
      </c>
      <c r="U2392" s="58">
        <f t="shared" si="547"/>
        <v>0</v>
      </c>
      <c r="V2392" s="58">
        <f t="shared" si="548"/>
        <v>0</v>
      </c>
      <c r="W2392" s="58">
        <f t="shared" si="549"/>
        <v>0</v>
      </c>
      <c r="X2392" s="58">
        <f t="shared" si="550"/>
        <v>0</v>
      </c>
      <c r="Y2392" s="52">
        <f t="shared" si="551"/>
        <v>0</v>
      </c>
    </row>
    <row r="2393" spans="1:25" x14ac:dyDescent="0.25">
      <c r="A2393" s="1218" t="s">
        <v>167</v>
      </c>
      <c r="B2393" s="98">
        <v>45839</v>
      </c>
      <c r="C2393" s="117" t="str">
        <f t="shared" si="555"/>
        <v>6L</v>
      </c>
      <c r="F2393" s="99">
        <f t="shared" si="554"/>
        <v>0</v>
      </c>
      <c r="I2393" s="99">
        <f t="shared" si="553"/>
        <v>0</v>
      </c>
      <c r="L2393" s="99">
        <f t="shared" si="540"/>
        <v>0</v>
      </c>
      <c r="M2393" s="44" t="str">
        <f t="shared" si="542"/>
        <v/>
      </c>
      <c r="N2393" s="100">
        <f t="shared" si="543"/>
        <v>0</v>
      </c>
      <c r="O2393" s="101">
        <f t="shared" si="544"/>
        <v>0</v>
      </c>
      <c r="P2393" s="52">
        <f t="shared" si="545"/>
        <v>0</v>
      </c>
      <c r="Q2393" s="49">
        <v>116.88487613461319</v>
      </c>
      <c r="R2393">
        <v>2225</v>
      </c>
      <c r="S2393" s="50">
        <f t="shared" si="541"/>
        <v>71535.307499999995</v>
      </c>
      <c r="T2393" s="50">
        <f t="shared" si="546"/>
        <v>0</v>
      </c>
      <c r="U2393" s="58">
        <f t="shared" si="547"/>
        <v>0</v>
      </c>
      <c r="V2393" s="58">
        <f t="shared" si="548"/>
        <v>0</v>
      </c>
      <c r="W2393" s="58">
        <f t="shared" si="549"/>
        <v>0</v>
      </c>
      <c r="X2393" s="58">
        <f t="shared" si="550"/>
        <v>0</v>
      </c>
      <c r="Y2393" s="52">
        <f t="shared" si="551"/>
        <v>0</v>
      </c>
    </row>
    <row r="2394" spans="1:25" x14ac:dyDescent="0.25">
      <c r="A2394" s="1218" t="s">
        <v>168</v>
      </c>
      <c r="B2394" s="98">
        <v>45839</v>
      </c>
      <c r="C2394" s="117" t="str">
        <f t="shared" si="555"/>
        <v>6L</v>
      </c>
      <c r="F2394" s="99">
        <f t="shared" si="554"/>
        <v>0</v>
      </c>
      <c r="I2394" s="99">
        <f t="shared" si="553"/>
        <v>0</v>
      </c>
      <c r="L2394" s="99">
        <f t="shared" si="540"/>
        <v>0</v>
      </c>
      <c r="M2394" s="44" t="str">
        <f t="shared" si="542"/>
        <v/>
      </c>
      <c r="N2394" s="100">
        <f t="shared" si="543"/>
        <v>0</v>
      </c>
      <c r="O2394" s="101">
        <f t="shared" si="544"/>
        <v>0</v>
      </c>
      <c r="P2394" s="52">
        <f t="shared" si="545"/>
        <v>0</v>
      </c>
      <c r="Q2394" s="49">
        <v>116.88487613461319</v>
      </c>
      <c r="R2394">
        <v>2225</v>
      </c>
      <c r="S2394" s="50">
        <f t="shared" si="541"/>
        <v>71535.307499999995</v>
      </c>
      <c r="T2394" s="50">
        <f t="shared" si="546"/>
        <v>0</v>
      </c>
      <c r="U2394" s="58">
        <f t="shared" si="547"/>
        <v>0</v>
      </c>
      <c r="V2394" s="58">
        <f t="shared" si="548"/>
        <v>0</v>
      </c>
      <c r="W2394" s="58">
        <f t="shared" si="549"/>
        <v>0</v>
      </c>
      <c r="X2394" s="58">
        <f t="shared" si="550"/>
        <v>0</v>
      </c>
      <c r="Y2394" s="52">
        <f t="shared" si="551"/>
        <v>0</v>
      </c>
    </row>
    <row r="2395" spans="1:25" x14ac:dyDescent="0.25">
      <c r="A2395" s="1218" t="s">
        <v>169</v>
      </c>
      <c r="B2395" s="98">
        <v>45839</v>
      </c>
      <c r="C2395" s="117" t="str">
        <f t="shared" si="555"/>
        <v>6L</v>
      </c>
      <c r="F2395" s="99">
        <f t="shared" si="554"/>
        <v>0</v>
      </c>
      <c r="I2395" s="99">
        <f t="shared" si="553"/>
        <v>0</v>
      </c>
      <c r="L2395" s="99">
        <f t="shared" si="540"/>
        <v>0</v>
      </c>
      <c r="M2395" s="44" t="str">
        <f t="shared" si="542"/>
        <v/>
      </c>
      <c r="N2395" s="100">
        <f t="shared" si="543"/>
        <v>0</v>
      </c>
      <c r="O2395" s="101">
        <f t="shared" si="544"/>
        <v>0</v>
      </c>
      <c r="P2395" s="52">
        <f t="shared" si="545"/>
        <v>0</v>
      </c>
      <c r="Q2395" s="49">
        <v>116.88487613461319</v>
      </c>
      <c r="R2395">
        <v>2225</v>
      </c>
      <c r="S2395" s="50">
        <f t="shared" si="541"/>
        <v>71535.307499999995</v>
      </c>
      <c r="T2395" s="50">
        <f t="shared" si="546"/>
        <v>0</v>
      </c>
      <c r="U2395" s="58">
        <f t="shared" si="547"/>
        <v>0</v>
      </c>
      <c r="V2395" s="58">
        <f t="shared" si="548"/>
        <v>0</v>
      </c>
      <c r="W2395" s="58">
        <f t="shared" si="549"/>
        <v>0</v>
      </c>
      <c r="X2395" s="58">
        <f t="shared" si="550"/>
        <v>0</v>
      </c>
      <c r="Y2395" s="52">
        <f t="shared" si="551"/>
        <v>0</v>
      </c>
    </row>
    <row r="2396" spans="1:25" x14ac:dyDescent="0.25">
      <c r="A2396" s="1218" t="s">
        <v>170</v>
      </c>
      <c r="B2396" s="98">
        <v>45839</v>
      </c>
      <c r="C2396" s="117" t="str">
        <f t="shared" si="555"/>
        <v>6L</v>
      </c>
      <c r="D2396">
        <v>229</v>
      </c>
      <c r="E2396">
        <v>3.49</v>
      </c>
      <c r="F2396" s="99">
        <f t="shared" si="554"/>
        <v>0.79921000000000009</v>
      </c>
      <c r="I2396" s="99">
        <f t="shared" si="553"/>
        <v>0</v>
      </c>
      <c r="L2396" s="99">
        <f t="shared" si="540"/>
        <v>0</v>
      </c>
      <c r="M2396" s="44" t="str">
        <f t="shared" si="542"/>
        <v/>
      </c>
      <c r="N2396" s="100">
        <f t="shared" si="543"/>
        <v>0</v>
      </c>
      <c r="O2396" s="101">
        <f t="shared" si="544"/>
        <v>0</v>
      </c>
      <c r="P2396" s="52">
        <f t="shared" si="545"/>
        <v>0</v>
      </c>
      <c r="Q2396" s="49">
        <v>116.88487613461319</v>
      </c>
      <c r="R2396">
        <v>2225</v>
      </c>
      <c r="S2396" s="50">
        <f t="shared" si="541"/>
        <v>71535.307499999995</v>
      </c>
      <c r="T2396" s="50">
        <f t="shared" si="546"/>
        <v>0</v>
      </c>
      <c r="U2396" s="58">
        <f t="shared" si="547"/>
        <v>0</v>
      </c>
      <c r="V2396" s="58">
        <f t="shared" si="548"/>
        <v>0</v>
      </c>
      <c r="W2396" s="58">
        <f t="shared" si="549"/>
        <v>0</v>
      </c>
      <c r="X2396" s="58">
        <f t="shared" si="550"/>
        <v>0</v>
      </c>
      <c r="Y2396" s="52">
        <f t="shared" si="551"/>
        <v>0</v>
      </c>
    </row>
    <row r="2397" spans="1:25" x14ac:dyDescent="0.25">
      <c r="A2397" s="1218" t="s">
        <v>171</v>
      </c>
      <c r="B2397" s="98">
        <v>45839</v>
      </c>
      <c r="C2397" s="117" t="str">
        <f t="shared" si="555"/>
        <v>6L</v>
      </c>
      <c r="D2397">
        <v>877</v>
      </c>
      <c r="E2397">
        <v>1.03</v>
      </c>
      <c r="F2397" s="99">
        <f t="shared" si="554"/>
        <v>0.90331000000000006</v>
      </c>
      <c r="I2397" s="99">
        <f t="shared" si="553"/>
        <v>0</v>
      </c>
      <c r="L2397" s="99">
        <f t="shared" si="540"/>
        <v>0</v>
      </c>
      <c r="M2397" s="44" t="str">
        <f t="shared" si="542"/>
        <v/>
      </c>
      <c r="N2397" s="100">
        <f t="shared" si="543"/>
        <v>0</v>
      </c>
      <c r="O2397" s="101">
        <f t="shared" si="544"/>
        <v>0</v>
      </c>
      <c r="P2397" s="52">
        <f t="shared" si="545"/>
        <v>0</v>
      </c>
      <c r="Q2397" s="49">
        <v>116.88487613461319</v>
      </c>
      <c r="R2397">
        <v>2225</v>
      </c>
      <c r="S2397" s="50">
        <f t="shared" si="541"/>
        <v>71535.307499999995</v>
      </c>
      <c r="T2397" s="50">
        <f t="shared" si="546"/>
        <v>0</v>
      </c>
      <c r="U2397" s="58">
        <f t="shared" si="547"/>
        <v>0</v>
      </c>
      <c r="V2397" s="58">
        <f t="shared" si="548"/>
        <v>0</v>
      </c>
      <c r="W2397" s="58">
        <f t="shared" si="549"/>
        <v>0</v>
      </c>
      <c r="X2397" s="58">
        <f t="shared" si="550"/>
        <v>0</v>
      </c>
      <c r="Y2397" s="52">
        <f t="shared" si="551"/>
        <v>0</v>
      </c>
    </row>
    <row r="2398" spans="1:25" x14ac:dyDescent="0.25">
      <c r="A2398" s="1218" t="s">
        <v>172</v>
      </c>
      <c r="B2398" s="98">
        <v>45839</v>
      </c>
      <c r="C2398" s="117" t="str">
        <f t="shared" si="555"/>
        <v>6L</v>
      </c>
      <c r="F2398" s="99">
        <f t="shared" si="554"/>
        <v>0</v>
      </c>
      <c r="I2398" s="99">
        <f t="shared" si="553"/>
        <v>0</v>
      </c>
      <c r="L2398" s="99">
        <f t="shared" si="540"/>
        <v>0</v>
      </c>
      <c r="M2398" s="44" t="str">
        <f t="shared" si="542"/>
        <v/>
      </c>
      <c r="N2398" s="100">
        <f t="shared" si="543"/>
        <v>0</v>
      </c>
      <c r="O2398" s="101">
        <f t="shared" si="544"/>
        <v>0</v>
      </c>
      <c r="P2398" s="52">
        <f t="shared" si="545"/>
        <v>0</v>
      </c>
      <c r="Q2398" s="49">
        <v>116.88487613461319</v>
      </c>
      <c r="R2398">
        <v>2225</v>
      </c>
      <c r="S2398" s="50">
        <f t="shared" si="541"/>
        <v>71535.307499999995</v>
      </c>
      <c r="T2398" s="50">
        <f t="shared" si="546"/>
        <v>0</v>
      </c>
      <c r="U2398" s="58">
        <f t="shared" si="547"/>
        <v>0</v>
      </c>
      <c r="V2398" s="58">
        <f t="shared" si="548"/>
        <v>0</v>
      </c>
      <c r="W2398" s="58">
        <f t="shared" si="549"/>
        <v>0</v>
      </c>
      <c r="X2398" s="58">
        <f t="shared" si="550"/>
        <v>0</v>
      </c>
      <c r="Y2398" s="52">
        <f t="shared" si="551"/>
        <v>0</v>
      </c>
    </row>
    <row r="2399" spans="1:25" x14ac:dyDescent="0.25">
      <c r="A2399" s="1218" t="s">
        <v>173</v>
      </c>
      <c r="B2399" s="98">
        <v>45839</v>
      </c>
      <c r="C2399" s="117" t="str">
        <f t="shared" si="555"/>
        <v>6L</v>
      </c>
      <c r="D2399">
        <v>269</v>
      </c>
      <c r="E2399">
        <v>3.05</v>
      </c>
      <c r="F2399" s="99">
        <f t="shared" si="554"/>
        <v>0.8204499999999999</v>
      </c>
      <c r="I2399" s="99">
        <f t="shared" si="553"/>
        <v>0</v>
      </c>
      <c r="L2399" s="99">
        <f t="shared" si="540"/>
        <v>0</v>
      </c>
      <c r="M2399" s="44" t="str">
        <f t="shared" si="542"/>
        <v/>
      </c>
      <c r="N2399" s="100">
        <f t="shared" si="543"/>
        <v>0</v>
      </c>
      <c r="O2399" s="101">
        <f t="shared" si="544"/>
        <v>0</v>
      </c>
      <c r="P2399" s="52">
        <f t="shared" si="545"/>
        <v>0</v>
      </c>
      <c r="Q2399" s="49">
        <v>116.88487613461319</v>
      </c>
      <c r="R2399">
        <v>2225</v>
      </c>
      <c r="S2399" s="50">
        <f t="shared" si="541"/>
        <v>71535.307499999995</v>
      </c>
      <c r="T2399" s="50">
        <f t="shared" si="546"/>
        <v>0</v>
      </c>
      <c r="U2399" s="58">
        <f t="shared" si="547"/>
        <v>0</v>
      </c>
      <c r="V2399" s="58">
        <f t="shared" si="548"/>
        <v>0</v>
      </c>
      <c r="W2399" s="58">
        <f t="shared" si="549"/>
        <v>0</v>
      </c>
      <c r="X2399" s="58">
        <f t="shared" si="550"/>
        <v>0</v>
      </c>
      <c r="Y2399" s="52">
        <f t="shared" si="551"/>
        <v>0</v>
      </c>
    </row>
    <row r="2400" spans="1:25" x14ac:dyDescent="0.25">
      <c r="A2400" s="1218" t="s">
        <v>174</v>
      </c>
      <c r="B2400" s="98">
        <v>45839</v>
      </c>
      <c r="C2400" s="117" t="str">
        <f t="shared" si="555"/>
        <v>6L</v>
      </c>
      <c r="F2400" s="99">
        <f t="shared" si="554"/>
        <v>0</v>
      </c>
      <c r="I2400" s="99">
        <f t="shared" si="553"/>
        <v>0</v>
      </c>
      <c r="L2400" s="99">
        <f t="shared" si="540"/>
        <v>0</v>
      </c>
      <c r="M2400" s="44" t="str">
        <f t="shared" si="542"/>
        <v/>
      </c>
      <c r="N2400" s="100">
        <f t="shared" si="543"/>
        <v>0</v>
      </c>
      <c r="O2400" s="101">
        <f t="shared" si="544"/>
        <v>0</v>
      </c>
      <c r="P2400" s="52">
        <f t="shared" si="545"/>
        <v>0</v>
      </c>
      <c r="Q2400" s="49">
        <v>116.88487613461319</v>
      </c>
      <c r="R2400">
        <v>2225</v>
      </c>
      <c r="S2400" s="50">
        <f t="shared" si="541"/>
        <v>71535.307499999995</v>
      </c>
      <c r="T2400" s="50">
        <f t="shared" si="546"/>
        <v>0</v>
      </c>
      <c r="U2400" s="58">
        <f t="shared" si="547"/>
        <v>0</v>
      </c>
      <c r="V2400" s="58">
        <f t="shared" si="548"/>
        <v>0</v>
      </c>
      <c r="W2400" s="58">
        <f t="shared" si="549"/>
        <v>0</v>
      </c>
      <c r="X2400" s="58">
        <f t="shared" si="550"/>
        <v>0</v>
      </c>
      <c r="Y2400" s="52">
        <f t="shared" si="551"/>
        <v>0</v>
      </c>
    </row>
    <row r="2401" spans="1:25" x14ac:dyDescent="0.25">
      <c r="A2401" s="1218" t="s">
        <v>175</v>
      </c>
      <c r="B2401" s="98">
        <v>45839</v>
      </c>
      <c r="C2401" s="117" t="str">
        <f t="shared" si="555"/>
        <v>6L</v>
      </c>
      <c r="F2401" s="99">
        <f t="shared" si="554"/>
        <v>0</v>
      </c>
      <c r="I2401" s="99">
        <f t="shared" si="553"/>
        <v>0</v>
      </c>
      <c r="L2401" s="99">
        <f t="shared" ref="L2401:L2464" si="556">IFERROR(J2401*K2401/1000,"")</f>
        <v>0</v>
      </c>
      <c r="M2401" s="44" t="str">
        <f t="shared" si="542"/>
        <v/>
      </c>
      <c r="N2401" s="100">
        <f t="shared" si="543"/>
        <v>0</v>
      </c>
      <c r="O2401" s="101">
        <f t="shared" si="544"/>
        <v>0</v>
      </c>
      <c r="P2401" s="52">
        <f t="shared" si="545"/>
        <v>0</v>
      </c>
      <c r="Q2401" s="49">
        <v>116.88487613461319</v>
      </c>
      <c r="R2401">
        <v>2225</v>
      </c>
      <c r="S2401" s="50">
        <f t="shared" ref="S2401:S2464" si="557">R2401*32.1507</f>
        <v>71535.307499999995</v>
      </c>
      <c r="T2401" s="50">
        <f t="shared" si="546"/>
        <v>0</v>
      </c>
      <c r="U2401" s="58">
        <f t="shared" si="547"/>
        <v>0</v>
      </c>
      <c r="V2401" s="58">
        <f t="shared" si="548"/>
        <v>0</v>
      </c>
      <c r="W2401" s="58">
        <f t="shared" si="549"/>
        <v>0</v>
      </c>
      <c r="X2401" s="58">
        <f t="shared" si="550"/>
        <v>0</v>
      </c>
      <c r="Y2401" s="52">
        <f t="shared" si="551"/>
        <v>0</v>
      </c>
    </row>
    <row r="2402" spans="1:25" x14ac:dyDescent="0.25">
      <c r="A2402" s="1218" t="s">
        <v>176</v>
      </c>
      <c r="B2402" s="98">
        <v>45839</v>
      </c>
      <c r="C2402" s="117" t="str">
        <f t="shared" si="555"/>
        <v>6L</v>
      </c>
      <c r="D2402">
        <v>2022</v>
      </c>
      <c r="E2402">
        <v>3.97</v>
      </c>
      <c r="F2402" s="99">
        <f t="shared" si="554"/>
        <v>8.0273400000000006</v>
      </c>
      <c r="I2402" s="99">
        <f t="shared" si="553"/>
        <v>0</v>
      </c>
      <c r="L2402" s="99">
        <f t="shared" si="556"/>
        <v>0</v>
      </c>
      <c r="M2402" s="44" t="str">
        <f t="shared" si="542"/>
        <v/>
      </c>
      <c r="N2402" s="100">
        <f t="shared" si="543"/>
        <v>0</v>
      </c>
      <c r="O2402" s="101">
        <f t="shared" si="544"/>
        <v>0</v>
      </c>
      <c r="P2402" s="52">
        <f t="shared" si="545"/>
        <v>0</v>
      </c>
      <c r="Q2402" s="49">
        <v>116.88487613461319</v>
      </c>
      <c r="R2402">
        <v>2225</v>
      </c>
      <c r="S2402" s="50">
        <f t="shared" si="557"/>
        <v>71535.307499999995</v>
      </c>
      <c r="T2402" s="50">
        <f t="shared" si="546"/>
        <v>0</v>
      </c>
      <c r="U2402" s="58">
        <f t="shared" si="547"/>
        <v>0</v>
      </c>
      <c r="V2402" s="58">
        <f t="shared" si="548"/>
        <v>0</v>
      </c>
      <c r="W2402" s="58">
        <f t="shared" si="549"/>
        <v>0</v>
      </c>
      <c r="X2402" s="58">
        <f t="shared" si="550"/>
        <v>0</v>
      </c>
      <c r="Y2402" s="52">
        <f t="shared" si="551"/>
        <v>0</v>
      </c>
    </row>
    <row r="2403" spans="1:25" x14ac:dyDescent="0.25">
      <c r="A2403" s="1218" t="s">
        <v>177</v>
      </c>
      <c r="B2403" s="98">
        <v>45839</v>
      </c>
      <c r="C2403" s="117" t="str">
        <f t="shared" si="555"/>
        <v>6L</v>
      </c>
      <c r="D2403" s="118">
        <v>87</v>
      </c>
      <c r="E2403">
        <v>1.55</v>
      </c>
      <c r="F2403" s="99">
        <f t="shared" si="554"/>
        <v>0.13485</v>
      </c>
      <c r="I2403" s="99">
        <f t="shared" si="553"/>
        <v>0</v>
      </c>
      <c r="L2403" s="99">
        <f t="shared" si="556"/>
        <v>0</v>
      </c>
      <c r="M2403" s="44" t="str">
        <f t="shared" ref="M2403:M2466" si="558">IFERROR((L2403-I2403)/I2403,"")</f>
        <v/>
      </c>
      <c r="N2403" s="100">
        <f t="shared" ref="N2403:N2466" si="559">J2403-G2403</f>
        <v>0</v>
      </c>
      <c r="O2403" s="101">
        <f t="shared" ref="O2403:O2466" si="560">L2403-I2403</f>
        <v>0</v>
      </c>
      <c r="P2403" s="52">
        <f t="shared" ref="P2403:P2466" si="561">U2403-W2403</f>
        <v>0</v>
      </c>
      <c r="Q2403" s="49">
        <v>116.88487613461319</v>
      </c>
      <c r="R2403">
        <v>2225</v>
      </c>
      <c r="S2403" s="50">
        <f t="shared" si="557"/>
        <v>71535.307499999995</v>
      </c>
      <c r="T2403" s="50">
        <f t="shared" ref="T2403:T2466" si="562">IFERROR(S2403*I2403,"")</f>
        <v>0</v>
      </c>
      <c r="U2403" s="58">
        <f t="shared" ref="U2403:U2466" si="563">IFERROR(S2403*L2403,"")</f>
        <v>0</v>
      </c>
      <c r="V2403" s="58">
        <f t="shared" ref="V2403:V2466" si="564">IFERROR(Q2403*G2403,"")</f>
        <v>0</v>
      </c>
      <c r="W2403" s="58">
        <f t="shared" ref="W2403:W2466" si="565">IFERROR(Q2403*J2403,"")</f>
        <v>0</v>
      </c>
      <c r="X2403" s="58">
        <f t="shared" ref="X2403:X2466" si="566">T2403-V2403</f>
        <v>0</v>
      </c>
      <c r="Y2403" s="52">
        <f t="shared" ref="Y2403:Y2466" si="567">U2403-W2403</f>
        <v>0</v>
      </c>
    </row>
    <row r="2404" spans="1:25" x14ac:dyDescent="0.25">
      <c r="A2404" s="1218" t="s">
        <v>178</v>
      </c>
      <c r="B2404" s="98">
        <v>45839</v>
      </c>
      <c r="C2404" s="117" t="str">
        <f t="shared" si="555"/>
        <v>7L</v>
      </c>
      <c r="F2404" s="99">
        <f t="shared" si="554"/>
        <v>0</v>
      </c>
      <c r="I2404" s="99">
        <f t="shared" si="553"/>
        <v>0</v>
      </c>
      <c r="L2404" s="99">
        <f t="shared" si="556"/>
        <v>0</v>
      </c>
      <c r="M2404" s="44" t="str">
        <f t="shared" si="558"/>
        <v/>
      </c>
      <c r="N2404" s="100">
        <f t="shared" si="559"/>
        <v>0</v>
      </c>
      <c r="O2404" s="101">
        <f t="shared" si="560"/>
        <v>0</v>
      </c>
      <c r="P2404" s="52">
        <f t="shared" si="561"/>
        <v>0</v>
      </c>
      <c r="Q2404" s="49">
        <v>116.88487613461319</v>
      </c>
      <c r="R2404">
        <v>2225</v>
      </c>
      <c r="S2404" s="50">
        <f t="shared" si="557"/>
        <v>71535.307499999995</v>
      </c>
      <c r="T2404" s="50">
        <f t="shared" si="562"/>
        <v>0</v>
      </c>
      <c r="U2404" s="58">
        <f t="shared" si="563"/>
        <v>0</v>
      </c>
      <c r="V2404" s="58">
        <f t="shared" si="564"/>
        <v>0</v>
      </c>
      <c r="W2404" s="58">
        <f t="shared" si="565"/>
        <v>0</v>
      </c>
      <c r="X2404" s="58">
        <f t="shared" si="566"/>
        <v>0</v>
      </c>
      <c r="Y2404" s="52">
        <f t="shared" si="567"/>
        <v>0</v>
      </c>
    </row>
    <row r="2405" spans="1:25" x14ac:dyDescent="0.25">
      <c r="A2405" s="1218" t="s">
        <v>179</v>
      </c>
      <c r="B2405" s="98">
        <v>45839</v>
      </c>
      <c r="C2405" s="117" t="str">
        <f t="shared" si="555"/>
        <v>7L</v>
      </c>
      <c r="F2405" s="99">
        <f t="shared" si="554"/>
        <v>0</v>
      </c>
      <c r="I2405" s="99">
        <f t="shared" si="553"/>
        <v>0</v>
      </c>
      <c r="L2405" s="99">
        <f t="shared" si="556"/>
        <v>0</v>
      </c>
      <c r="M2405" s="44" t="str">
        <f t="shared" si="558"/>
        <v/>
      </c>
      <c r="N2405" s="100">
        <f t="shared" si="559"/>
        <v>0</v>
      </c>
      <c r="O2405" s="101">
        <f t="shared" si="560"/>
        <v>0</v>
      </c>
      <c r="P2405" s="52">
        <f t="shared" si="561"/>
        <v>0</v>
      </c>
      <c r="Q2405" s="49">
        <v>116.88487613461319</v>
      </c>
      <c r="R2405">
        <v>2225</v>
      </c>
      <c r="S2405" s="50">
        <f t="shared" si="557"/>
        <v>71535.307499999995</v>
      </c>
      <c r="T2405" s="50">
        <f t="shared" si="562"/>
        <v>0</v>
      </c>
      <c r="U2405" s="58">
        <f t="shared" si="563"/>
        <v>0</v>
      </c>
      <c r="V2405" s="58">
        <f t="shared" si="564"/>
        <v>0</v>
      </c>
      <c r="W2405" s="58">
        <f t="shared" si="565"/>
        <v>0</v>
      </c>
      <c r="X2405" s="58">
        <f t="shared" si="566"/>
        <v>0</v>
      </c>
      <c r="Y2405" s="52">
        <f t="shared" si="567"/>
        <v>0</v>
      </c>
    </row>
    <row r="2406" spans="1:25" x14ac:dyDescent="0.25">
      <c r="A2406" s="1218" t="s">
        <v>180</v>
      </c>
      <c r="B2406" s="98">
        <v>45839</v>
      </c>
      <c r="C2406" s="117" t="str">
        <f t="shared" si="555"/>
        <v>7L</v>
      </c>
      <c r="F2406" s="99">
        <f t="shared" si="554"/>
        <v>0</v>
      </c>
      <c r="I2406" s="99">
        <f t="shared" si="553"/>
        <v>0</v>
      </c>
      <c r="L2406" s="99">
        <f t="shared" si="556"/>
        <v>0</v>
      </c>
      <c r="M2406" s="44" t="str">
        <f t="shared" si="558"/>
        <v/>
      </c>
      <c r="N2406" s="100">
        <f t="shared" si="559"/>
        <v>0</v>
      </c>
      <c r="O2406" s="101">
        <f t="shared" si="560"/>
        <v>0</v>
      </c>
      <c r="P2406" s="52">
        <f t="shared" si="561"/>
        <v>0</v>
      </c>
      <c r="Q2406" s="49">
        <v>116.88487613461319</v>
      </c>
      <c r="R2406">
        <v>2225</v>
      </c>
      <c r="S2406" s="50">
        <f t="shared" si="557"/>
        <v>71535.307499999995</v>
      </c>
      <c r="T2406" s="50">
        <f t="shared" si="562"/>
        <v>0</v>
      </c>
      <c r="U2406" s="58">
        <f t="shared" si="563"/>
        <v>0</v>
      </c>
      <c r="V2406" s="58">
        <f t="shared" si="564"/>
        <v>0</v>
      </c>
      <c r="W2406" s="58">
        <f t="shared" si="565"/>
        <v>0</v>
      </c>
      <c r="X2406" s="58">
        <f t="shared" si="566"/>
        <v>0</v>
      </c>
      <c r="Y2406" s="52">
        <f t="shared" si="567"/>
        <v>0</v>
      </c>
    </row>
    <row r="2407" spans="1:25" x14ac:dyDescent="0.25">
      <c r="A2407" s="1218" t="s">
        <v>181</v>
      </c>
      <c r="B2407" s="98">
        <v>45839</v>
      </c>
      <c r="C2407" s="117" t="str">
        <f t="shared" si="555"/>
        <v>7L</v>
      </c>
      <c r="F2407" s="99">
        <f t="shared" si="554"/>
        <v>0</v>
      </c>
      <c r="I2407" s="99">
        <f t="shared" si="553"/>
        <v>0</v>
      </c>
      <c r="L2407" s="99">
        <f t="shared" si="556"/>
        <v>0</v>
      </c>
      <c r="M2407" s="44" t="str">
        <f t="shared" si="558"/>
        <v/>
      </c>
      <c r="N2407" s="100">
        <f t="shared" si="559"/>
        <v>0</v>
      </c>
      <c r="O2407" s="101">
        <f t="shared" si="560"/>
        <v>0</v>
      </c>
      <c r="P2407" s="52">
        <f t="shared" si="561"/>
        <v>0</v>
      </c>
      <c r="Q2407" s="49">
        <v>116.88487613461319</v>
      </c>
      <c r="R2407">
        <v>2225</v>
      </c>
      <c r="S2407" s="50">
        <f t="shared" si="557"/>
        <v>71535.307499999995</v>
      </c>
      <c r="T2407" s="50">
        <f t="shared" si="562"/>
        <v>0</v>
      </c>
      <c r="U2407" s="58">
        <f t="shared" si="563"/>
        <v>0</v>
      </c>
      <c r="V2407" s="58">
        <f t="shared" si="564"/>
        <v>0</v>
      </c>
      <c r="W2407" s="58">
        <f t="shared" si="565"/>
        <v>0</v>
      </c>
      <c r="X2407" s="58">
        <f t="shared" si="566"/>
        <v>0</v>
      </c>
      <c r="Y2407" s="52">
        <f t="shared" si="567"/>
        <v>0</v>
      </c>
    </row>
    <row r="2408" spans="1:25" x14ac:dyDescent="0.25">
      <c r="A2408" s="1218" t="s">
        <v>182</v>
      </c>
      <c r="B2408" s="98">
        <v>45839</v>
      </c>
      <c r="C2408" s="117" t="str">
        <f t="shared" si="555"/>
        <v>7L</v>
      </c>
      <c r="F2408" s="99">
        <f t="shared" si="554"/>
        <v>0</v>
      </c>
      <c r="I2408" s="99">
        <f t="shared" si="553"/>
        <v>0</v>
      </c>
      <c r="L2408" s="99">
        <f t="shared" si="556"/>
        <v>0</v>
      </c>
      <c r="M2408" s="44" t="str">
        <f t="shared" si="558"/>
        <v/>
      </c>
      <c r="N2408" s="100">
        <f t="shared" si="559"/>
        <v>0</v>
      </c>
      <c r="O2408" s="101">
        <f t="shared" si="560"/>
        <v>0</v>
      </c>
      <c r="P2408" s="52">
        <f t="shared" si="561"/>
        <v>0</v>
      </c>
      <c r="Q2408" s="49">
        <v>116.88487613461319</v>
      </c>
      <c r="R2408">
        <v>2225</v>
      </c>
      <c r="S2408" s="50">
        <f t="shared" si="557"/>
        <v>71535.307499999995</v>
      </c>
      <c r="T2408" s="50">
        <f t="shared" si="562"/>
        <v>0</v>
      </c>
      <c r="U2408" s="58">
        <f t="shared" si="563"/>
        <v>0</v>
      </c>
      <c r="V2408" s="58">
        <f t="shared" si="564"/>
        <v>0</v>
      </c>
      <c r="W2408" s="58">
        <f t="shared" si="565"/>
        <v>0</v>
      </c>
      <c r="X2408" s="58">
        <f t="shared" si="566"/>
        <v>0</v>
      </c>
      <c r="Y2408" s="52">
        <f t="shared" si="567"/>
        <v>0</v>
      </c>
    </row>
    <row r="2409" spans="1:25" x14ac:dyDescent="0.25">
      <c r="A2409" s="1218" t="s">
        <v>183</v>
      </c>
      <c r="B2409" s="98">
        <v>45839</v>
      </c>
      <c r="C2409" s="117" t="str">
        <f t="shared" si="555"/>
        <v>7L</v>
      </c>
      <c r="F2409" s="99">
        <f t="shared" si="554"/>
        <v>0</v>
      </c>
      <c r="I2409" s="99">
        <f t="shared" si="553"/>
        <v>0</v>
      </c>
      <c r="L2409" s="99">
        <f t="shared" si="556"/>
        <v>0</v>
      </c>
      <c r="M2409" s="44" t="str">
        <f t="shared" si="558"/>
        <v/>
      </c>
      <c r="N2409" s="100">
        <f t="shared" si="559"/>
        <v>0</v>
      </c>
      <c r="O2409" s="101">
        <f t="shared" si="560"/>
        <v>0</v>
      </c>
      <c r="P2409" s="52">
        <f t="shared" si="561"/>
        <v>0</v>
      </c>
      <c r="Q2409" s="49">
        <v>116.88487613461319</v>
      </c>
      <c r="R2409">
        <v>2225</v>
      </c>
      <c r="S2409" s="50">
        <f t="shared" si="557"/>
        <v>71535.307499999995</v>
      </c>
      <c r="T2409" s="50">
        <f t="shared" si="562"/>
        <v>0</v>
      </c>
      <c r="U2409" s="58">
        <f t="shared" si="563"/>
        <v>0</v>
      </c>
      <c r="V2409" s="58">
        <f t="shared" si="564"/>
        <v>0</v>
      </c>
      <c r="W2409" s="58">
        <f t="shared" si="565"/>
        <v>0</v>
      </c>
      <c r="X2409" s="58">
        <f t="shared" si="566"/>
        <v>0</v>
      </c>
      <c r="Y2409" s="52">
        <f t="shared" si="567"/>
        <v>0</v>
      </c>
    </row>
    <row r="2410" spans="1:25" x14ac:dyDescent="0.25">
      <c r="A2410" s="1218" t="s">
        <v>184</v>
      </c>
      <c r="B2410" s="98">
        <v>45839</v>
      </c>
      <c r="C2410" s="117" t="str">
        <f t="shared" si="555"/>
        <v>7L</v>
      </c>
      <c r="F2410" s="99">
        <f t="shared" si="554"/>
        <v>0</v>
      </c>
      <c r="I2410" s="99">
        <f t="shared" si="553"/>
        <v>0</v>
      </c>
      <c r="L2410" s="99">
        <f t="shared" si="556"/>
        <v>0</v>
      </c>
      <c r="M2410" s="44" t="str">
        <f t="shared" si="558"/>
        <v/>
      </c>
      <c r="N2410" s="100">
        <f t="shared" si="559"/>
        <v>0</v>
      </c>
      <c r="O2410" s="101">
        <f t="shared" si="560"/>
        <v>0</v>
      </c>
      <c r="P2410" s="52">
        <f t="shared" si="561"/>
        <v>0</v>
      </c>
      <c r="Q2410" s="49">
        <v>116.88487613461319</v>
      </c>
      <c r="R2410">
        <v>2225</v>
      </c>
      <c r="S2410" s="50">
        <f t="shared" si="557"/>
        <v>71535.307499999995</v>
      </c>
      <c r="T2410" s="50">
        <f t="shared" si="562"/>
        <v>0</v>
      </c>
      <c r="U2410" s="58">
        <f t="shared" si="563"/>
        <v>0</v>
      </c>
      <c r="V2410" s="58">
        <f t="shared" si="564"/>
        <v>0</v>
      </c>
      <c r="W2410" s="58">
        <f t="shared" si="565"/>
        <v>0</v>
      </c>
      <c r="X2410" s="58">
        <f t="shared" si="566"/>
        <v>0</v>
      </c>
      <c r="Y2410" s="52">
        <f t="shared" si="567"/>
        <v>0</v>
      </c>
    </row>
    <row r="2411" spans="1:25" x14ac:dyDescent="0.25">
      <c r="A2411" s="1218" t="s">
        <v>185</v>
      </c>
      <c r="B2411" s="98">
        <v>45839</v>
      </c>
      <c r="C2411" s="117" t="str">
        <f t="shared" si="555"/>
        <v>7L</v>
      </c>
      <c r="F2411" s="99">
        <f t="shared" si="554"/>
        <v>0</v>
      </c>
      <c r="I2411" s="99">
        <f t="shared" si="553"/>
        <v>0</v>
      </c>
      <c r="L2411" s="99">
        <f t="shared" si="556"/>
        <v>0</v>
      </c>
      <c r="M2411" s="44" t="str">
        <f t="shared" si="558"/>
        <v/>
      </c>
      <c r="N2411" s="100">
        <f t="shared" si="559"/>
        <v>0</v>
      </c>
      <c r="O2411" s="101">
        <f t="shared" si="560"/>
        <v>0</v>
      </c>
      <c r="P2411" s="52">
        <f t="shared" si="561"/>
        <v>0</v>
      </c>
      <c r="Q2411" s="49">
        <v>116.88487613461319</v>
      </c>
      <c r="R2411">
        <v>2225</v>
      </c>
      <c r="S2411" s="50">
        <f t="shared" si="557"/>
        <v>71535.307499999995</v>
      </c>
      <c r="T2411" s="50">
        <f t="shared" si="562"/>
        <v>0</v>
      </c>
      <c r="U2411" s="58">
        <f t="shared" si="563"/>
        <v>0</v>
      </c>
      <c r="V2411" s="58">
        <f t="shared" si="564"/>
        <v>0</v>
      </c>
      <c r="W2411" s="58">
        <f t="shared" si="565"/>
        <v>0</v>
      </c>
      <c r="X2411" s="58">
        <f t="shared" si="566"/>
        <v>0</v>
      </c>
      <c r="Y2411" s="52">
        <f t="shared" si="567"/>
        <v>0</v>
      </c>
    </row>
    <row r="2412" spans="1:25" x14ac:dyDescent="0.25">
      <c r="A2412" s="1218" t="s">
        <v>186</v>
      </c>
      <c r="B2412" s="98">
        <v>45839</v>
      </c>
      <c r="C2412" s="117" t="str">
        <f t="shared" si="555"/>
        <v>7L</v>
      </c>
      <c r="F2412" s="99">
        <f t="shared" si="554"/>
        <v>0</v>
      </c>
      <c r="I2412" s="99">
        <f t="shared" si="553"/>
        <v>0</v>
      </c>
      <c r="L2412" s="99">
        <f t="shared" si="556"/>
        <v>0</v>
      </c>
      <c r="M2412" s="44" t="str">
        <f t="shared" si="558"/>
        <v/>
      </c>
      <c r="N2412" s="100">
        <f t="shared" si="559"/>
        <v>0</v>
      </c>
      <c r="O2412" s="101">
        <f t="shared" si="560"/>
        <v>0</v>
      </c>
      <c r="P2412" s="52">
        <f t="shared" si="561"/>
        <v>0</v>
      </c>
      <c r="Q2412" s="49">
        <v>116.88487613461319</v>
      </c>
      <c r="R2412">
        <v>2225</v>
      </c>
      <c r="S2412" s="50">
        <f t="shared" si="557"/>
        <v>71535.307499999995</v>
      </c>
      <c r="T2412" s="50">
        <f t="shared" si="562"/>
        <v>0</v>
      </c>
      <c r="U2412" s="58">
        <f t="shared" si="563"/>
        <v>0</v>
      </c>
      <c r="V2412" s="58">
        <f t="shared" si="564"/>
        <v>0</v>
      </c>
      <c r="W2412" s="58">
        <f t="shared" si="565"/>
        <v>0</v>
      </c>
      <c r="X2412" s="58">
        <f t="shared" si="566"/>
        <v>0</v>
      </c>
      <c r="Y2412" s="52">
        <f t="shared" si="567"/>
        <v>0</v>
      </c>
    </row>
    <row r="2413" spans="1:25" x14ac:dyDescent="0.25">
      <c r="A2413" s="1218" t="s">
        <v>187</v>
      </c>
      <c r="B2413" s="98">
        <v>45839</v>
      </c>
      <c r="C2413" s="117" t="str">
        <f t="shared" si="555"/>
        <v>7L</v>
      </c>
      <c r="F2413" s="99">
        <f t="shared" si="554"/>
        <v>0</v>
      </c>
      <c r="I2413" s="99">
        <f t="shared" si="553"/>
        <v>0</v>
      </c>
      <c r="L2413" s="99">
        <f t="shared" si="556"/>
        <v>0</v>
      </c>
      <c r="M2413" s="44" t="str">
        <f t="shared" si="558"/>
        <v/>
      </c>
      <c r="N2413" s="100">
        <f t="shared" si="559"/>
        <v>0</v>
      </c>
      <c r="O2413" s="101">
        <f t="shared" si="560"/>
        <v>0</v>
      </c>
      <c r="P2413" s="52">
        <f t="shared" si="561"/>
        <v>0</v>
      </c>
      <c r="Q2413" s="49">
        <v>116.88487613461319</v>
      </c>
      <c r="R2413">
        <v>2225</v>
      </c>
      <c r="S2413" s="50">
        <f t="shared" si="557"/>
        <v>71535.307499999995</v>
      </c>
      <c r="T2413" s="50">
        <f t="shared" si="562"/>
        <v>0</v>
      </c>
      <c r="U2413" s="58">
        <f t="shared" si="563"/>
        <v>0</v>
      </c>
      <c r="V2413" s="58">
        <f t="shared" si="564"/>
        <v>0</v>
      </c>
      <c r="W2413" s="58">
        <f t="shared" si="565"/>
        <v>0</v>
      </c>
      <c r="X2413" s="58">
        <f t="shared" si="566"/>
        <v>0</v>
      </c>
      <c r="Y2413" s="52">
        <f t="shared" si="567"/>
        <v>0</v>
      </c>
    </row>
    <row r="2414" spans="1:25" x14ac:dyDescent="0.25">
      <c r="A2414" s="1218" t="s">
        <v>188</v>
      </c>
      <c r="B2414" s="98">
        <v>45839</v>
      </c>
      <c r="C2414" s="117" t="str">
        <f t="shared" si="555"/>
        <v>7L</v>
      </c>
      <c r="F2414" s="99">
        <f t="shared" si="554"/>
        <v>0</v>
      </c>
      <c r="I2414" s="99">
        <f t="shared" si="553"/>
        <v>0</v>
      </c>
      <c r="L2414" s="99">
        <f t="shared" si="556"/>
        <v>0</v>
      </c>
      <c r="M2414" s="44" t="str">
        <f t="shared" si="558"/>
        <v/>
      </c>
      <c r="N2414" s="100">
        <f t="shared" si="559"/>
        <v>0</v>
      </c>
      <c r="O2414" s="101">
        <f t="shared" si="560"/>
        <v>0</v>
      </c>
      <c r="P2414" s="52">
        <f t="shared" si="561"/>
        <v>0</v>
      </c>
      <c r="Q2414" s="49">
        <v>116.88487613461319</v>
      </c>
      <c r="R2414">
        <v>2225</v>
      </c>
      <c r="S2414" s="50">
        <f t="shared" si="557"/>
        <v>71535.307499999995</v>
      </c>
      <c r="T2414" s="50">
        <f t="shared" si="562"/>
        <v>0</v>
      </c>
      <c r="U2414" s="58">
        <f t="shared" si="563"/>
        <v>0</v>
      </c>
      <c r="V2414" s="58">
        <f t="shared" si="564"/>
        <v>0</v>
      </c>
      <c r="W2414" s="58">
        <f t="shared" si="565"/>
        <v>0</v>
      </c>
      <c r="X2414" s="58">
        <f t="shared" si="566"/>
        <v>0</v>
      </c>
      <c r="Y2414" s="52">
        <f t="shared" si="567"/>
        <v>0</v>
      </c>
    </row>
    <row r="2415" spans="1:25" x14ac:dyDescent="0.25">
      <c r="A2415" s="1218" t="s">
        <v>189</v>
      </c>
      <c r="B2415" s="98">
        <v>45839</v>
      </c>
      <c r="C2415" s="117" t="str">
        <f t="shared" si="555"/>
        <v>7L</v>
      </c>
      <c r="F2415" s="99">
        <f t="shared" si="554"/>
        <v>0</v>
      </c>
      <c r="I2415" s="99">
        <f t="shared" si="553"/>
        <v>0</v>
      </c>
      <c r="L2415" s="99">
        <f t="shared" si="556"/>
        <v>0</v>
      </c>
      <c r="M2415" s="44" t="str">
        <f t="shared" si="558"/>
        <v/>
      </c>
      <c r="N2415" s="100">
        <f t="shared" si="559"/>
        <v>0</v>
      </c>
      <c r="O2415" s="101">
        <f t="shared" si="560"/>
        <v>0</v>
      </c>
      <c r="P2415" s="52">
        <f t="shared" si="561"/>
        <v>0</v>
      </c>
      <c r="Q2415" s="49">
        <v>116.88487613461319</v>
      </c>
      <c r="R2415">
        <v>2225</v>
      </c>
      <c r="S2415" s="50">
        <f t="shared" si="557"/>
        <v>71535.307499999995</v>
      </c>
      <c r="T2415" s="50">
        <f t="shared" si="562"/>
        <v>0</v>
      </c>
      <c r="U2415" s="58">
        <f t="shared" si="563"/>
        <v>0</v>
      </c>
      <c r="V2415" s="58">
        <f t="shared" si="564"/>
        <v>0</v>
      </c>
      <c r="W2415" s="58">
        <f t="shared" si="565"/>
        <v>0</v>
      </c>
      <c r="X2415" s="58">
        <f t="shared" si="566"/>
        <v>0</v>
      </c>
      <c r="Y2415" s="52">
        <f t="shared" si="567"/>
        <v>0</v>
      </c>
    </row>
    <row r="2416" spans="1:25" x14ac:dyDescent="0.25">
      <c r="A2416" s="1218" t="s">
        <v>190</v>
      </c>
      <c r="B2416" s="98">
        <v>45839</v>
      </c>
      <c r="C2416" s="117" t="str">
        <f t="shared" si="555"/>
        <v>8L</v>
      </c>
      <c r="F2416" s="99">
        <f t="shared" si="554"/>
        <v>0</v>
      </c>
      <c r="I2416" s="99">
        <f t="shared" si="553"/>
        <v>0</v>
      </c>
      <c r="L2416" s="99">
        <f t="shared" si="556"/>
        <v>0</v>
      </c>
      <c r="M2416" s="44" t="str">
        <f t="shared" si="558"/>
        <v/>
      </c>
      <c r="N2416" s="100">
        <f t="shared" si="559"/>
        <v>0</v>
      </c>
      <c r="O2416" s="101">
        <f t="shared" si="560"/>
        <v>0</v>
      </c>
      <c r="P2416" s="52">
        <f t="shared" si="561"/>
        <v>0</v>
      </c>
      <c r="Q2416" s="49">
        <v>116.88487613461319</v>
      </c>
      <c r="R2416">
        <v>2225</v>
      </c>
      <c r="S2416" s="50">
        <f t="shared" si="557"/>
        <v>71535.307499999995</v>
      </c>
      <c r="T2416" s="50">
        <f t="shared" si="562"/>
        <v>0</v>
      </c>
      <c r="U2416" s="58">
        <f t="shared" si="563"/>
        <v>0</v>
      </c>
      <c r="V2416" s="58">
        <f t="shared" si="564"/>
        <v>0</v>
      </c>
      <c r="W2416" s="58">
        <f t="shared" si="565"/>
        <v>0</v>
      </c>
      <c r="X2416" s="58">
        <f t="shared" si="566"/>
        <v>0</v>
      </c>
      <c r="Y2416" s="52">
        <f t="shared" si="567"/>
        <v>0</v>
      </c>
    </row>
    <row r="2417" spans="1:25" x14ac:dyDescent="0.25">
      <c r="A2417" s="1218" t="s">
        <v>191</v>
      </c>
      <c r="B2417" s="98">
        <v>45839</v>
      </c>
      <c r="C2417" s="117" t="str">
        <f t="shared" si="555"/>
        <v>8L</v>
      </c>
      <c r="F2417" s="99">
        <f t="shared" si="554"/>
        <v>0</v>
      </c>
      <c r="I2417" s="99">
        <f t="shared" si="553"/>
        <v>0</v>
      </c>
      <c r="L2417" s="99">
        <f t="shared" si="556"/>
        <v>0</v>
      </c>
      <c r="M2417" s="44" t="str">
        <f t="shared" si="558"/>
        <v/>
      </c>
      <c r="N2417" s="100">
        <f t="shared" si="559"/>
        <v>0</v>
      </c>
      <c r="O2417" s="101">
        <f t="shared" si="560"/>
        <v>0</v>
      </c>
      <c r="P2417" s="52">
        <f t="shared" si="561"/>
        <v>0</v>
      </c>
      <c r="Q2417" s="49">
        <v>116.88487613461319</v>
      </c>
      <c r="R2417">
        <v>2225</v>
      </c>
      <c r="S2417" s="50">
        <f t="shared" si="557"/>
        <v>71535.307499999995</v>
      </c>
      <c r="T2417" s="50">
        <f t="shared" si="562"/>
        <v>0</v>
      </c>
      <c r="U2417" s="58">
        <f t="shared" si="563"/>
        <v>0</v>
      </c>
      <c r="V2417" s="58">
        <f t="shared" si="564"/>
        <v>0</v>
      </c>
      <c r="W2417" s="58">
        <f t="shared" si="565"/>
        <v>0</v>
      </c>
      <c r="X2417" s="58">
        <f t="shared" si="566"/>
        <v>0</v>
      </c>
      <c r="Y2417" s="52">
        <f t="shared" si="567"/>
        <v>0</v>
      </c>
    </row>
    <row r="2418" spans="1:25" x14ac:dyDescent="0.25">
      <c r="A2418" s="1218" t="s">
        <v>192</v>
      </c>
      <c r="B2418" s="98">
        <v>45839</v>
      </c>
      <c r="C2418" s="117" t="str">
        <f t="shared" si="555"/>
        <v>8L</v>
      </c>
      <c r="F2418" s="99">
        <f t="shared" si="554"/>
        <v>0</v>
      </c>
      <c r="I2418" s="99">
        <f t="shared" si="553"/>
        <v>0</v>
      </c>
      <c r="L2418" s="99">
        <f t="shared" si="556"/>
        <v>0</v>
      </c>
      <c r="M2418" s="44" t="str">
        <f t="shared" si="558"/>
        <v/>
      </c>
      <c r="N2418" s="100">
        <f t="shared" si="559"/>
        <v>0</v>
      </c>
      <c r="O2418" s="101">
        <f t="shared" si="560"/>
        <v>0</v>
      </c>
      <c r="P2418" s="52">
        <f t="shared" si="561"/>
        <v>0</v>
      </c>
      <c r="Q2418" s="49">
        <v>116.88487613461319</v>
      </c>
      <c r="R2418">
        <v>2225</v>
      </c>
      <c r="S2418" s="50">
        <f t="shared" si="557"/>
        <v>71535.307499999995</v>
      </c>
      <c r="T2418" s="50">
        <f t="shared" si="562"/>
        <v>0</v>
      </c>
      <c r="U2418" s="58">
        <f t="shared" si="563"/>
        <v>0</v>
      </c>
      <c r="V2418" s="58">
        <f t="shared" si="564"/>
        <v>0</v>
      </c>
      <c r="W2418" s="58">
        <f t="shared" si="565"/>
        <v>0</v>
      </c>
      <c r="X2418" s="58">
        <f t="shared" si="566"/>
        <v>0</v>
      </c>
      <c r="Y2418" s="52">
        <f t="shared" si="567"/>
        <v>0</v>
      </c>
    </row>
    <row r="2419" spans="1:25" x14ac:dyDescent="0.25">
      <c r="A2419" s="1218" t="s">
        <v>193</v>
      </c>
      <c r="B2419" s="98">
        <v>45839</v>
      </c>
      <c r="C2419" s="117" t="str">
        <f t="shared" si="555"/>
        <v>8L</v>
      </c>
      <c r="F2419" s="99">
        <f t="shared" si="554"/>
        <v>0</v>
      </c>
      <c r="I2419" s="99">
        <f t="shared" si="553"/>
        <v>0</v>
      </c>
      <c r="L2419" s="99">
        <f t="shared" si="556"/>
        <v>0</v>
      </c>
      <c r="M2419" s="44" t="str">
        <f t="shared" si="558"/>
        <v/>
      </c>
      <c r="N2419" s="100">
        <f t="shared" si="559"/>
        <v>0</v>
      </c>
      <c r="O2419" s="101">
        <f t="shared" si="560"/>
        <v>0</v>
      </c>
      <c r="P2419" s="52">
        <f t="shared" si="561"/>
        <v>0</v>
      </c>
      <c r="Q2419" s="49">
        <v>116.88487613461319</v>
      </c>
      <c r="R2419">
        <v>2225</v>
      </c>
      <c r="S2419" s="50">
        <f t="shared" si="557"/>
        <v>71535.307499999995</v>
      </c>
      <c r="T2419" s="50">
        <f t="shared" si="562"/>
        <v>0</v>
      </c>
      <c r="U2419" s="58">
        <f t="shared" si="563"/>
        <v>0</v>
      </c>
      <c r="V2419" s="58">
        <f t="shared" si="564"/>
        <v>0</v>
      </c>
      <c r="W2419" s="58">
        <f t="shared" si="565"/>
        <v>0</v>
      </c>
      <c r="X2419" s="58">
        <f t="shared" si="566"/>
        <v>0</v>
      </c>
      <c r="Y2419" s="52">
        <f t="shared" si="567"/>
        <v>0</v>
      </c>
    </row>
    <row r="2420" spans="1:25" x14ac:dyDescent="0.25">
      <c r="A2420" s="1218" t="s">
        <v>194</v>
      </c>
      <c r="B2420" s="98">
        <v>45839</v>
      </c>
      <c r="C2420" s="117" t="str">
        <f t="shared" si="555"/>
        <v>8L</v>
      </c>
      <c r="F2420" s="99">
        <f t="shared" si="554"/>
        <v>0</v>
      </c>
      <c r="I2420" s="99">
        <f t="shared" si="553"/>
        <v>0</v>
      </c>
      <c r="L2420" s="99">
        <f t="shared" si="556"/>
        <v>0</v>
      </c>
      <c r="M2420" s="44" t="str">
        <f t="shared" si="558"/>
        <v/>
      </c>
      <c r="N2420" s="100">
        <f t="shared" si="559"/>
        <v>0</v>
      </c>
      <c r="O2420" s="101">
        <f t="shared" si="560"/>
        <v>0</v>
      </c>
      <c r="P2420" s="52">
        <f t="shared" si="561"/>
        <v>0</v>
      </c>
      <c r="Q2420" s="49">
        <v>116.88487613461319</v>
      </c>
      <c r="R2420">
        <v>2225</v>
      </c>
      <c r="S2420" s="50">
        <f t="shared" si="557"/>
        <v>71535.307499999995</v>
      </c>
      <c r="T2420" s="50">
        <f t="shared" si="562"/>
        <v>0</v>
      </c>
      <c r="U2420" s="58">
        <f t="shared" si="563"/>
        <v>0</v>
      </c>
      <c r="V2420" s="58">
        <f t="shared" si="564"/>
        <v>0</v>
      </c>
      <c r="W2420" s="58">
        <f t="shared" si="565"/>
        <v>0</v>
      </c>
      <c r="X2420" s="58">
        <f t="shared" si="566"/>
        <v>0</v>
      </c>
      <c r="Y2420" s="52">
        <f t="shared" si="567"/>
        <v>0</v>
      </c>
    </row>
    <row r="2421" spans="1:25" x14ac:dyDescent="0.25">
      <c r="A2421" s="1218" t="s">
        <v>195</v>
      </c>
      <c r="B2421" s="98">
        <v>45839</v>
      </c>
      <c r="C2421" s="117" t="str">
        <f t="shared" si="555"/>
        <v>8L</v>
      </c>
      <c r="F2421" s="99">
        <f t="shared" si="554"/>
        <v>0</v>
      </c>
      <c r="I2421" s="99">
        <f t="shared" si="553"/>
        <v>0</v>
      </c>
      <c r="L2421" s="99">
        <f t="shared" si="556"/>
        <v>0</v>
      </c>
      <c r="M2421" s="44" t="str">
        <f t="shared" si="558"/>
        <v/>
      </c>
      <c r="N2421" s="100">
        <f t="shared" si="559"/>
        <v>0</v>
      </c>
      <c r="O2421" s="101">
        <f t="shared" si="560"/>
        <v>0</v>
      </c>
      <c r="P2421" s="52">
        <f t="shared" si="561"/>
        <v>0</v>
      </c>
      <c r="Q2421" s="49">
        <v>116.88487613461319</v>
      </c>
      <c r="R2421">
        <v>2225</v>
      </c>
      <c r="S2421" s="50">
        <f t="shared" si="557"/>
        <v>71535.307499999995</v>
      </c>
      <c r="T2421" s="50">
        <f t="shared" si="562"/>
        <v>0</v>
      </c>
      <c r="U2421" s="58">
        <f t="shared" si="563"/>
        <v>0</v>
      </c>
      <c r="V2421" s="58">
        <f t="shared" si="564"/>
        <v>0</v>
      </c>
      <c r="W2421" s="58">
        <f t="shared" si="565"/>
        <v>0</v>
      </c>
      <c r="X2421" s="58">
        <f t="shared" si="566"/>
        <v>0</v>
      </c>
      <c r="Y2421" s="52">
        <f t="shared" si="567"/>
        <v>0</v>
      </c>
    </row>
    <row r="2422" spans="1:25" x14ac:dyDescent="0.25">
      <c r="A2422" s="1218" t="s">
        <v>196</v>
      </c>
      <c r="B2422" s="98">
        <v>45839</v>
      </c>
      <c r="C2422" s="117" t="str">
        <f t="shared" si="555"/>
        <v>8L</v>
      </c>
      <c r="F2422" s="99">
        <f t="shared" si="554"/>
        <v>0</v>
      </c>
      <c r="I2422" s="99">
        <f t="shared" si="553"/>
        <v>0</v>
      </c>
      <c r="L2422" s="99">
        <f t="shared" si="556"/>
        <v>0</v>
      </c>
      <c r="M2422" s="44" t="str">
        <f t="shared" si="558"/>
        <v/>
      </c>
      <c r="N2422" s="100">
        <f t="shared" si="559"/>
        <v>0</v>
      </c>
      <c r="O2422" s="101">
        <f t="shared" si="560"/>
        <v>0</v>
      </c>
      <c r="P2422" s="52">
        <f t="shared" si="561"/>
        <v>0</v>
      </c>
      <c r="Q2422" s="49">
        <v>116.88487613461319</v>
      </c>
      <c r="R2422">
        <v>2225</v>
      </c>
      <c r="S2422" s="50">
        <f t="shared" si="557"/>
        <v>71535.307499999995</v>
      </c>
      <c r="T2422" s="50">
        <f t="shared" si="562"/>
        <v>0</v>
      </c>
      <c r="U2422" s="58">
        <f t="shared" si="563"/>
        <v>0</v>
      </c>
      <c r="V2422" s="58">
        <f t="shared" si="564"/>
        <v>0</v>
      </c>
      <c r="W2422" s="58">
        <f t="shared" si="565"/>
        <v>0</v>
      </c>
      <c r="X2422" s="58">
        <f t="shared" si="566"/>
        <v>0</v>
      </c>
      <c r="Y2422" s="52">
        <f t="shared" si="567"/>
        <v>0</v>
      </c>
    </row>
    <row r="2423" spans="1:25" x14ac:dyDescent="0.25">
      <c r="A2423" s="1218" t="s">
        <v>197</v>
      </c>
      <c r="B2423" s="98">
        <v>45839</v>
      </c>
      <c r="C2423" s="117" t="str">
        <f t="shared" si="555"/>
        <v>8L</v>
      </c>
      <c r="F2423" s="99">
        <f t="shared" si="554"/>
        <v>0</v>
      </c>
      <c r="I2423" s="99">
        <f t="shared" si="553"/>
        <v>0</v>
      </c>
      <c r="L2423" s="99">
        <f t="shared" si="556"/>
        <v>0</v>
      </c>
      <c r="M2423" s="44" t="str">
        <f t="shared" si="558"/>
        <v/>
      </c>
      <c r="N2423" s="100">
        <f t="shared" si="559"/>
        <v>0</v>
      </c>
      <c r="O2423" s="101">
        <f t="shared" si="560"/>
        <v>0</v>
      </c>
      <c r="P2423" s="52">
        <f t="shared" si="561"/>
        <v>0</v>
      </c>
      <c r="Q2423" s="49">
        <v>116.88487613461319</v>
      </c>
      <c r="R2423">
        <v>2225</v>
      </c>
      <c r="S2423" s="50">
        <f t="shared" si="557"/>
        <v>71535.307499999995</v>
      </c>
      <c r="T2423" s="50">
        <f t="shared" si="562"/>
        <v>0</v>
      </c>
      <c r="U2423" s="58">
        <f t="shared" si="563"/>
        <v>0</v>
      </c>
      <c r="V2423" s="58">
        <f t="shared" si="564"/>
        <v>0</v>
      </c>
      <c r="W2423" s="58">
        <f t="shared" si="565"/>
        <v>0</v>
      </c>
      <c r="X2423" s="58">
        <f t="shared" si="566"/>
        <v>0</v>
      </c>
      <c r="Y2423" s="52">
        <f t="shared" si="567"/>
        <v>0</v>
      </c>
    </row>
    <row r="2424" spans="1:25" x14ac:dyDescent="0.25">
      <c r="A2424" s="1218" t="s">
        <v>198</v>
      </c>
      <c r="B2424" s="98">
        <v>45839</v>
      </c>
      <c r="C2424" s="117" t="str">
        <f t="shared" si="555"/>
        <v>8L</v>
      </c>
      <c r="F2424" s="99">
        <f t="shared" si="554"/>
        <v>0</v>
      </c>
      <c r="I2424" s="99">
        <f t="shared" si="553"/>
        <v>0</v>
      </c>
      <c r="L2424" s="99">
        <f t="shared" si="556"/>
        <v>0</v>
      </c>
      <c r="M2424" s="44" t="str">
        <f t="shared" si="558"/>
        <v/>
      </c>
      <c r="N2424" s="100">
        <f t="shared" si="559"/>
        <v>0</v>
      </c>
      <c r="O2424" s="101">
        <f t="shared" si="560"/>
        <v>0</v>
      </c>
      <c r="P2424" s="52">
        <f t="shared" si="561"/>
        <v>0</v>
      </c>
      <c r="Q2424" s="49">
        <v>116.88487613461319</v>
      </c>
      <c r="R2424">
        <v>2225</v>
      </c>
      <c r="S2424" s="50">
        <f t="shared" si="557"/>
        <v>71535.307499999995</v>
      </c>
      <c r="T2424" s="50">
        <f t="shared" si="562"/>
        <v>0</v>
      </c>
      <c r="U2424" s="58">
        <f t="shared" si="563"/>
        <v>0</v>
      </c>
      <c r="V2424" s="58">
        <f t="shared" si="564"/>
        <v>0</v>
      </c>
      <c r="W2424" s="58">
        <f t="shared" si="565"/>
        <v>0</v>
      </c>
      <c r="X2424" s="58">
        <f t="shared" si="566"/>
        <v>0</v>
      </c>
      <c r="Y2424" s="52">
        <f t="shared" si="567"/>
        <v>0</v>
      </c>
    </row>
    <row r="2425" spans="1:25" x14ac:dyDescent="0.25">
      <c r="A2425" s="1218" t="s">
        <v>199</v>
      </c>
      <c r="B2425" s="98">
        <v>45839</v>
      </c>
      <c r="C2425" s="117" t="str">
        <f t="shared" si="555"/>
        <v>8L</v>
      </c>
      <c r="F2425" s="99">
        <f t="shared" si="554"/>
        <v>0</v>
      </c>
      <c r="I2425" s="99">
        <f t="shared" si="553"/>
        <v>0</v>
      </c>
      <c r="L2425" s="99">
        <f t="shared" si="556"/>
        <v>0</v>
      </c>
      <c r="M2425" s="44" t="str">
        <f t="shared" si="558"/>
        <v/>
      </c>
      <c r="N2425" s="100">
        <f t="shared" si="559"/>
        <v>0</v>
      </c>
      <c r="O2425" s="101">
        <f t="shared" si="560"/>
        <v>0</v>
      </c>
      <c r="P2425" s="52">
        <f t="shared" si="561"/>
        <v>0</v>
      </c>
      <c r="Q2425" s="49">
        <v>116.88487613461319</v>
      </c>
      <c r="R2425">
        <v>2225</v>
      </c>
      <c r="S2425" s="50">
        <f t="shared" si="557"/>
        <v>71535.307499999995</v>
      </c>
      <c r="T2425" s="50">
        <f t="shared" si="562"/>
        <v>0</v>
      </c>
      <c r="U2425" s="58">
        <f t="shared" si="563"/>
        <v>0</v>
      </c>
      <c r="V2425" s="58">
        <f t="shared" si="564"/>
        <v>0</v>
      </c>
      <c r="W2425" s="58">
        <f t="shared" si="565"/>
        <v>0</v>
      </c>
      <c r="X2425" s="58">
        <f t="shared" si="566"/>
        <v>0</v>
      </c>
      <c r="Y2425" s="52">
        <f t="shared" si="567"/>
        <v>0</v>
      </c>
    </row>
    <row r="2426" spans="1:25" x14ac:dyDescent="0.25">
      <c r="A2426" s="1218" t="s">
        <v>200</v>
      </c>
      <c r="B2426" s="98">
        <v>45839</v>
      </c>
      <c r="C2426" s="117" t="str">
        <f t="shared" si="555"/>
        <v>8L</v>
      </c>
      <c r="F2426" s="99">
        <f t="shared" si="554"/>
        <v>0</v>
      </c>
      <c r="I2426" s="99">
        <f t="shared" si="553"/>
        <v>0</v>
      </c>
      <c r="L2426" s="99">
        <f t="shared" si="556"/>
        <v>0</v>
      </c>
      <c r="M2426" s="44" t="str">
        <f t="shared" si="558"/>
        <v/>
      </c>
      <c r="N2426" s="100">
        <f t="shared" si="559"/>
        <v>0</v>
      </c>
      <c r="O2426" s="101">
        <f t="shared" si="560"/>
        <v>0</v>
      </c>
      <c r="P2426" s="52">
        <f t="shared" si="561"/>
        <v>0</v>
      </c>
      <c r="Q2426" s="49">
        <v>116.88487613461319</v>
      </c>
      <c r="R2426">
        <v>2225</v>
      </c>
      <c r="S2426" s="50">
        <f t="shared" si="557"/>
        <v>71535.307499999995</v>
      </c>
      <c r="T2426" s="50">
        <f t="shared" si="562"/>
        <v>0</v>
      </c>
      <c r="U2426" s="58">
        <f t="shared" si="563"/>
        <v>0</v>
      </c>
      <c r="V2426" s="58">
        <f t="shared" si="564"/>
        <v>0</v>
      </c>
      <c r="W2426" s="58">
        <f t="shared" si="565"/>
        <v>0</v>
      </c>
      <c r="X2426" s="58">
        <f t="shared" si="566"/>
        <v>0</v>
      </c>
      <c r="Y2426" s="52">
        <f t="shared" si="567"/>
        <v>0</v>
      </c>
    </row>
    <row r="2427" spans="1:25" x14ac:dyDescent="0.25">
      <c r="A2427" s="1218" t="s">
        <v>201</v>
      </c>
      <c r="B2427" s="98">
        <v>45839</v>
      </c>
      <c r="C2427" s="117" t="str">
        <f t="shared" si="555"/>
        <v>8L</v>
      </c>
      <c r="F2427" s="99">
        <f t="shared" si="554"/>
        <v>0</v>
      </c>
      <c r="I2427" s="99">
        <f t="shared" si="553"/>
        <v>0</v>
      </c>
      <c r="L2427" s="99">
        <f t="shared" si="556"/>
        <v>0</v>
      </c>
      <c r="M2427" s="44" t="str">
        <f t="shared" si="558"/>
        <v/>
      </c>
      <c r="N2427" s="100">
        <f t="shared" si="559"/>
        <v>0</v>
      </c>
      <c r="O2427" s="101">
        <f t="shared" si="560"/>
        <v>0</v>
      </c>
      <c r="P2427" s="52">
        <f t="shared" si="561"/>
        <v>0</v>
      </c>
      <c r="Q2427" s="49">
        <v>116.88487613461319</v>
      </c>
      <c r="R2427">
        <v>2225</v>
      </c>
      <c r="S2427" s="50">
        <f t="shared" si="557"/>
        <v>71535.307499999995</v>
      </c>
      <c r="T2427" s="50">
        <f t="shared" si="562"/>
        <v>0</v>
      </c>
      <c r="U2427" s="58">
        <f t="shared" si="563"/>
        <v>0</v>
      </c>
      <c r="V2427" s="58">
        <f t="shared" si="564"/>
        <v>0</v>
      </c>
      <c r="W2427" s="58">
        <f t="shared" si="565"/>
        <v>0</v>
      </c>
      <c r="X2427" s="58">
        <f t="shared" si="566"/>
        <v>0</v>
      </c>
      <c r="Y2427" s="52">
        <f t="shared" si="567"/>
        <v>0</v>
      </c>
    </row>
    <row r="2428" spans="1:25" x14ac:dyDescent="0.25">
      <c r="A2428" s="1218" t="s">
        <v>202</v>
      </c>
      <c r="B2428" s="98">
        <v>45839</v>
      </c>
      <c r="C2428" s="117" t="str">
        <f t="shared" si="555"/>
        <v>8L</v>
      </c>
      <c r="F2428" s="99">
        <f t="shared" si="554"/>
        <v>0</v>
      </c>
      <c r="I2428" s="99">
        <f t="shared" si="553"/>
        <v>0</v>
      </c>
      <c r="L2428" s="99">
        <f t="shared" si="556"/>
        <v>0</v>
      </c>
      <c r="M2428" s="44" t="str">
        <f t="shared" si="558"/>
        <v/>
      </c>
      <c r="N2428" s="100">
        <f t="shared" si="559"/>
        <v>0</v>
      </c>
      <c r="O2428" s="101">
        <f t="shared" si="560"/>
        <v>0</v>
      </c>
      <c r="P2428" s="52">
        <f t="shared" si="561"/>
        <v>0</v>
      </c>
      <c r="Q2428" s="49">
        <v>116.88487613461319</v>
      </c>
      <c r="R2428">
        <v>2225</v>
      </c>
      <c r="S2428" s="50">
        <f t="shared" si="557"/>
        <v>71535.307499999995</v>
      </c>
      <c r="T2428" s="50">
        <f t="shared" si="562"/>
        <v>0</v>
      </c>
      <c r="U2428" s="58">
        <f t="shared" si="563"/>
        <v>0</v>
      </c>
      <c r="V2428" s="58">
        <f t="shared" si="564"/>
        <v>0</v>
      </c>
      <c r="W2428" s="58">
        <f t="shared" si="565"/>
        <v>0</v>
      </c>
      <c r="X2428" s="58">
        <f t="shared" si="566"/>
        <v>0</v>
      </c>
      <c r="Y2428" s="52">
        <f t="shared" si="567"/>
        <v>0</v>
      </c>
    </row>
    <row r="2429" spans="1:25" x14ac:dyDescent="0.25">
      <c r="A2429" s="1218" t="s">
        <v>203</v>
      </c>
      <c r="B2429" s="98">
        <v>45839</v>
      </c>
      <c r="C2429" s="117" t="str">
        <f t="shared" si="555"/>
        <v>8L</v>
      </c>
      <c r="F2429" s="99">
        <f t="shared" si="554"/>
        <v>0</v>
      </c>
      <c r="I2429" s="99">
        <f t="shared" si="553"/>
        <v>0</v>
      </c>
      <c r="L2429" s="99">
        <f t="shared" si="556"/>
        <v>0</v>
      </c>
      <c r="M2429" s="44" t="str">
        <f t="shared" si="558"/>
        <v/>
      </c>
      <c r="N2429" s="100">
        <f t="shared" si="559"/>
        <v>0</v>
      </c>
      <c r="O2429" s="101">
        <f t="shared" si="560"/>
        <v>0</v>
      </c>
      <c r="P2429" s="52">
        <f t="shared" si="561"/>
        <v>0</v>
      </c>
      <c r="Q2429" s="49">
        <v>116.88487613461319</v>
      </c>
      <c r="R2429">
        <v>2225</v>
      </c>
      <c r="S2429" s="50">
        <f t="shared" si="557"/>
        <v>71535.307499999995</v>
      </c>
      <c r="T2429" s="50">
        <f t="shared" si="562"/>
        <v>0</v>
      </c>
      <c r="U2429" s="58">
        <f t="shared" si="563"/>
        <v>0</v>
      </c>
      <c r="V2429" s="58">
        <f t="shared" si="564"/>
        <v>0</v>
      </c>
      <c r="W2429" s="58">
        <f t="shared" si="565"/>
        <v>0</v>
      </c>
      <c r="X2429" s="58">
        <f t="shared" si="566"/>
        <v>0</v>
      </c>
      <c r="Y2429" s="52">
        <f t="shared" si="567"/>
        <v>0</v>
      </c>
    </row>
    <row r="2430" spans="1:25" x14ac:dyDescent="0.25">
      <c r="A2430" s="1218" t="s">
        <v>204</v>
      </c>
      <c r="B2430" s="98">
        <v>45839</v>
      </c>
      <c r="C2430" s="117" t="str">
        <f t="shared" si="555"/>
        <v>8L</v>
      </c>
      <c r="F2430" s="99">
        <f t="shared" si="554"/>
        <v>0</v>
      </c>
      <c r="I2430" s="99">
        <f t="shared" si="553"/>
        <v>0</v>
      </c>
      <c r="L2430" s="99">
        <f t="shared" si="556"/>
        <v>0</v>
      </c>
      <c r="M2430" s="44" t="str">
        <f t="shared" si="558"/>
        <v/>
      </c>
      <c r="N2430" s="100">
        <f t="shared" si="559"/>
        <v>0</v>
      </c>
      <c r="O2430" s="101">
        <f t="shared" si="560"/>
        <v>0</v>
      </c>
      <c r="P2430" s="52">
        <f t="shared" si="561"/>
        <v>0</v>
      </c>
      <c r="Q2430" s="49">
        <v>116.88487613461319</v>
      </c>
      <c r="R2430">
        <v>2225</v>
      </c>
      <c r="S2430" s="50">
        <f t="shared" si="557"/>
        <v>71535.307499999995</v>
      </c>
      <c r="T2430" s="50">
        <f t="shared" si="562"/>
        <v>0</v>
      </c>
      <c r="U2430" s="58">
        <f t="shared" si="563"/>
        <v>0</v>
      </c>
      <c r="V2430" s="58">
        <f t="shared" si="564"/>
        <v>0</v>
      </c>
      <c r="W2430" s="58">
        <f t="shared" si="565"/>
        <v>0</v>
      </c>
      <c r="X2430" s="58">
        <f t="shared" si="566"/>
        <v>0</v>
      </c>
      <c r="Y2430" s="52">
        <f t="shared" si="567"/>
        <v>0</v>
      </c>
    </row>
    <row r="2431" spans="1:25" x14ac:dyDescent="0.25">
      <c r="A2431" s="1218" t="s">
        <v>205</v>
      </c>
      <c r="B2431" s="98">
        <v>45839</v>
      </c>
      <c r="C2431" s="117" t="str">
        <f t="shared" si="555"/>
        <v>8L</v>
      </c>
      <c r="F2431" s="99">
        <f t="shared" si="554"/>
        <v>0</v>
      </c>
      <c r="I2431" s="99">
        <f t="shared" si="553"/>
        <v>0</v>
      </c>
      <c r="L2431" s="99">
        <f t="shared" si="556"/>
        <v>0</v>
      </c>
      <c r="M2431" s="44" t="str">
        <f t="shared" si="558"/>
        <v/>
      </c>
      <c r="N2431" s="100">
        <f t="shared" si="559"/>
        <v>0</v>
      </c>
      <c r="O2431" s="101">
        <f t="shared" si="560"/>
        <v>0</v>
      </c>
      <c r="P2431" s="52">
        <f t="shared" si="561"/>
        <v>0</v>
      </c>
      <c r="Q2431" s="49">
        <v>116.88487613461319</v>
      </c>
      <c r="R2431">
        <v>2225</v>
      </c>
      <c r="S2431" s="50">
        <f t="shared" si="557"/>
        <v>71535.307499999995</v>
      </c>
      <c r="T2431" s="50">
        <f t="shared" si="562"/>
        <v>0</v>
      </c>
      <c r="U2431" s="58">
        <f t="shared" si="563"/>
        <v>0</v>
      </c>
      <c r="V2431" s="58">
        <f t="shared" si="564"/>
        <v>0</v>
      </c>
      <c r="W2431" s="58">
        <f t="shared" si="565"/>
        <v>0</v>
      </c>
      <c r="X2431" s="58">
        <f t="shared" si="566"/>
        <v>0</v>
      </c>
      <c r="Y2431" s="52">
        <f t="shared" si="567"/>
        <v>0</v>
      </c>
    </row>
    <row r="2432" spans="1:25" x14ac:dyDescent="0.25">
      <c r="A2432" s="1218" t="s">
        <v>206</v>
      </c>
      <c r="B2432" s="98">
        <v>45839</v>
      </c>
      <c r="C2432" s="117" t="str">
        <f t="shared" si="555"/>
        <v>8L</v>
      </c>
      <c r="F2432" s="99">
        <f t="shared" si="554"/>
        <v>0</v>
      </c>
      <c r="I2432" s="99">
        <f t="shared" si="553"/>
        <v>0</v>
      </c>
      <c r="L2432" s="99">
        <f t="shared" si="556"/>
        <v>0</v>
      </c>
      <c r="M2432" s="44" t="str">
        <f t="shared" si="558"/>
        <v/>
      </c>
      <c r="N2432" s="100">
        <f t="shared" si="559"/>
        <v>0</v>
      </c>
      <c r="O2432" s="101">
        <f t="shared" si="560"/>
        <v>0</v>
      </c>
      <c r="P2432" s="52">
        <f t="shared" si="561"/>
        <v>0</v>
      </c>
      <c r="Q2432" s="49">
        <v>116.88487613461319</v>
      </c>
      <c r="R2432">
        <v>2225</v>
      </c>
      <c r="S2432" s="50">
        <f t="shared" si="557"/>
        <v>71535.307499999995</v>
      </c>
      <c r="T2432" s="50">
        <f t="shared" si="562"/>
        <v>0</v>
      </c>
      <c r="U2432" s="58">
        <f t="shared" si="563"/>
        <v>0</v>
      </c>
      <c r="V2432" s="58">
        <f t="shared" si="564"/>
        <v>0</v>
      </c>
      <c r="W2432" s="58">
        <f t="shared" si="565"/>
        <v>0</v>
      </c>
      <c r="X2432" s="58">
        <f t="shared" si="566"/>
        <v>0</v>
      </c>
      <c r="Y2432" s="52">
        <f t="shared" si="567"/>
        <v>0</v>
      </c>
    </row>
    <row r="2433" spans="1:25" ht="15.75" thickBot="1" x14ac:dyDescent="0.3">
      <c r="A2433" s="1219" t="s">
        <v>207</v>
      </c>
      <c r="B2433" s="98">
        <v>45839</v>
      </c>
      <c r="C2433" s="117" t="str">
        <f t="shared" si="555"/>
        <v>8L</v>
      </c>
      <c r="F2433" s="99">
        <f t="shared" si="554"/>
        <v>0</v>
      </c>
      <c r="I2433" s="99">
        <f t="shared" ref="I2433:I2497" si="568">IFERROR(G2433*H2433/1000,"")</f>
        <v>0</v>
      </c>
      <c r="L2433" s="99">
        <f t="shared" si="556"/>
        <v>0</v>
      </c>
      <c r="M2433" s="44" t="str">
        <f t="shared" si="558"/>
        <v/>
      </c>
      <c r="N2433" s="100">
        <f t="shared" si="559"/>
        <v>0</v>
      </c>
      <c r="O2433" s="101">
        <f t="shared" si="560"/>
        <v>0</v>
      </c>
      <c r="P2433" s="52">
        <f t="shared" si="561"/>
        <v>0</v>
      </c>
      <c r="Q2433" s="49">
        <v>116.88487613461319</v>
      </c>
      <c r="R2433">
        <v>2225</v>
      </c>
      <c r="S2433" s="50">
        <f t="shared" si="557"/>
        <v>71535.307499999995</v>
      </c>
      <c r="T2433" s="50">
        <f t="shared" si="562"/>
        <v>0</v>
      </c>
      <c r="U2433" s="58">
        <f t="shared" si="563"/>
        <v>0</v>
      </c>
      <c r="V2433" s="58">
        <f t="shared" si="564"/>
        <v>0</v>
      </c>
      <c r="W2433" s="58">
        <f t="shared" si="565"/>
        <v>0</v>
      </c>
      <c r="X2433" s="58">
        <f t="shared" si="566"/>
        <v>0</v>
      </c>
      <c r="Y2433" s="52">
        <f t="shared" si="567"/>
        <v>0</v>
      </c>
    </row>
    <row r="2434" spans="1:25" x14ac:dyDescent="0.25">
      <c r="A2434" s="97" t="s">
        <v>80</v>
      </c>
      <c r="B2434" s="98">
        <v>45870</v>
      </c>
      <c r="C2434" s="117" t="str">
        <f t="shared" si="555"/>
        <v>1L</v>
      </c>
      <c r="D2434">
        <v>1050</v>
      </c>
      <c r="E2434">
        <v>0.52</v>
      </c>
      <c r="F2434" s="99">
        <f t="shared" si="554"/>
        <v>0.54600000000000004</v>
      </c>
      <c r="I2434" s="99">
        <f t="shared" si="568"/>
        <v>0</v>
      </c>
      <c r="L2434" s="99">
        <f t="shared" si="556"/>
        <v>0</v>
      </c>
      <c r="M2434" s="44" t="str">
        <f t="shared" si="558"/>
        <v/>
      </c>
      <c r="N2434" s="100">
        <f t="shared" si="559"/>
        <v>0</v>
      </c>
      <c r="O2434" s="101">
        <f t="shared" si="560"/>
        <v>0</v>
      </c>
      <c r="P2434" s="52">
        <f t="shared" si="561"/>
        <v>0</v>
      </c>
      <c r="Q2434" s="49">
        <v>116.88487613461319</v>
      </c>
      <c r="R2434">
        <v>2225</v>
      </c>
      <c r="S2434" s="50">
        <f t="shared" si="557"/>
        <v>71535.307499999995</v>
      </c>
      <c r="T2434" s="50">
        <f t="shared" si="562"/>
        <v>0</v>
      </c>
      <c r="U2434" s="58">
        <f t="shared" si="563"/>
        <v>0</v>
      </c>
      <c r="V2434" s="58">
        <f t="shared" si="564"/>
        <v>0</v>
      </c>
      <c r="W2434" s="58">
        <f t="shared" si="565"/>
        <v>0</v>
      </c>
      <c r="X2434" s="58">
        <f t="shared" si="566"/>
        <v>0</v>
      </c>
      <c r="Y2434" s="52">
        <f t="shared" si="567"/>
        <v>0</v>
      </c>
    </row>
    <row r="2435" spans="1:25" x14ac:dyDescent="0.25">
      <c r="A2435" s="1218" t="s">
        <v>81</v>
      </c>
      <c r="B2435" s="98">
        <v>45870</v>
      </c>
      <c r="C2435" s="117" t="str">
        <f t="shared" si="555"/>
        <v>1L</v>
      </c>
      <c r="F2435" s="99">
        <f t="shared" si="554"/>
        <v>0</v>
      </c>
      <c r="I2435" s="99">
        <f t="shared" si="568"/>
        <v>0</v>
      </c>
      <c r="L2435" s="99">
        <f t="shared" si="556"/>
        <v>0</v>
      </c>
      <c r="M2435" s="44" t="str">
        <f t="shared" si="558"/>
        <v/>
      </c>
      <c r="N2435" s="100">
        <f t="shared" si="559"/>
        <v>0</v>
      </c>
      <c r="O2435" s="101">
        <f t="shared" si="560"/>
        <v>0</v>
      </c>
      <c r="P2435" s="52">
        <f t="shared" si="561"/>
        <v>0</v>
      </c>
      <c r="Q2435" s="49">
        <v>116.88487613461319</v>
      </c>
      <c r="R2435">
        <v>2225</v>
      </c>
      <c r="S2435" s="50">
        <f t="shared" si="557"/>
        <v>71535.307499999995</v>
      </c>
      <c r="T2435" s="50">
        <f t="shared" si="562"/>
        <v>0</v>
      </c>
      <c r="U2435" s="58">
        <f t="shared" si="563"/>
        <v>0</v>
      </c>
      <c r="V2435" s="58">
        <f t="shared" si="564"/>
        <v>0</v>
      </c>
      <c r="W2435" s="58">
        <f t="shared" si="565"/>
        <v>0</v>
      </c>
      <c r="X2435" s="58">
        <f t="shared" si="566"/>
        <v>0</v>
      </c>
      <c r="Y2435" s="52">
        <f t="shared" si="567"/>
        <v>0</v>
      </c>
    </row>
    <row r="2436" spans="1:25" x14ac:dyDescent="0.25">
      <c r="A2436" s="1218" t="s">
        <v>82</v>
      </c>
      <c r="B2436" s="98">
        <v>45870</v>
      </c>
      <c r="C2436" s="117" t="str">
        <f t="shared" si="555"/>
        <v>1L</v>
      </c>
      <c r="F2436" s="99">
        <f t="shared" si="554"/>
        <v>0</v>
      </c>
      <c r="I2436" s="99">
        <f t="shared" si="568"/>
        <v>0</v>
      </c>
      <c r="L2436" s="99">
        <f t="shared" si="556"/>
        <v>0</v>
      </c>
      <c r="M2436" s="44" t="str">
        <f t="shared" si="558"/>
        <v/>
      </c>
      <c r="N2436" s="100">
        <f t="shared" si="559"/>
        <v>0</v>
      </c>
      <c r="O2436" s="101">
        <f t="shared" si="560"/>
        <v>0</v>
      </c>
      <c r="P2436" s="52">
        <f t="shared" si="561"/>
        <v>0</v>
      </c>
      <c r="Q2436" s="49">
        <v>116.88487613461319</v>
      </c>
      <c r="R2436">
        <v>2225</v>
      </c>
      <c r="S2436" s="50">
        <f t="shared" si="557"/>
        <v>71535.307499999995</v>
      </c>
      <c r="T2436" s="50">
        <f t="shared" si="562"/>
        <v>0</v>
      </c>
      <c r="U2436" s="58">
        <f t="shared" si="563"/>
        <v>0</v>
      </c>
      <c r="V2436" s="58">
        <f t="shared" si="564"/>
        <v>0</v>
      </c>
      <c r="W2436" s="58">
        <f t="shared" si="565"/>
        <v>0</v>
      </c>
      <c r="X2436" s="58">
        <f t="shared" si="566"/>
        <v>0</v>
      </c>
      <c r="Y2436" s="52">
        <f t="shared" si="567"/>
        <v>0</v>
      </c>
    </row>
    <row r="2437" spans="1:25" x14ac:dyDescent="0.25">
      <c r="A2437" s="1218" t="s">
        <v>83</v>
      </c>
      <c r="B2437" s="98">
        <v>45870</v>
      </c>
      <c r="C2437" s="117" t="str">
        <f t="shared" si="555"/>
        <v>1L</v>
      </c>
      <c r="F2437" s="99">
        <f t="shared" si="554"/>
        <v>0</v>
      </c>
      <c r="I2437" s="99">
        <f t="shared" si="568"/>
        <v>0</v>
      </c>
      <c r="L2437" s="99">
        <f t="shared" si="556"/>
        <v>0</v>
      </c>
      <c r="M2437" s="44" t="str">
        <f t="shared" si="558"/>
        <v/>
      </c>
      <c r="N2437" s="100">
        <f t="shared" si="559"/>
        <v>0</v>
      </c>
      <c r="O2437" s="101">
        <f t="shared" si="560"/>
        <v>0</v>
      </c>
      <c r="P2437" s="52">
        <f t="shared" si="561"/>
        <v>0</v>
      </c>
      <c r="Q2437" s="49">
        <v>116.88487613461319</v>
      </c>
      <c r="R2437">
        <v>2225</v>
      </c>
      <c r="S2437" s="50">
        <f t="shared" si="557"/>
        <v>71535.307499999995</v>
      </c>
      <c r="T2437" s="50">
        <f t="shared" si="562"/>
        <v>0</v>
      </c>
      <c r="U2437" s="58">
        <f t="shared" si="563"/>
        <v>0</v>
      </c>
      <c r="V2437" s="58">
        <f t="shared" si="564"/>
        <v>0</v>
      </c>
      <c r="W2437" s="58">
        <f t="shared" si="565"/>
        <v>0</v>
      </c>
      <c r="X2437" s="58">
        <f t="shared" si="566"/>
        <v>0</v>
      </c>
      <c r="Y2437" s="52">
        <f t="shared" si="567"/>
        <v>0</v>
      </c>
    </row>
    <row r="2438" spans="1:25" x14ac:dyDescent="0.25">
      <c r="A2438" s="1218" t="s">
        <v>84</v>
      </c>
      <c r="B2438" s="98">
        <v>45870</v>
      </c>
      <c r="C2438" s="117" t="str">
        <f t="shared" si="555"/>
        <v>2L</v>
      </c>
      <c r="F2438" s="99">
        <f t="shared" si="554"/>
        <v>0</v>
      </c>
      <c r="I2438" s="99">
        <f t="shared" si="568"/>
        <v>0</v>
      </c>
      <c r="L2438" s="99">
        <f t="shared" si="556"/>
        <v>0</v>
      </c>
      <c r="M2438" s="44" t="str">
        <f t="shared" si="558"/>
        <v/>
      </c>
      <c r="N2438" s="100">
        <f t="shared" si="559"/>
        <v>0</v>
      </c>
      <c r="O2438" s="101">
        <f t="shared" si="560"/>
        <v>0</v>
      </c>
      <c r="P2438" s="52">
        <f t="shared" si="561"/>
        <v>0</v>
      </c>
      <c r="Q2438" s="49">
        <v>116.88487613461319</v>
      </c>
      <c r="R2438">
        <v>2225</v>
      </c>
      <c r="S2438" s="50">
        <f t="shared" si="557"/>
        <v>71535.307499999995</v>
      </c>
      <c r="T2438" s="50">
        <f t="shared" si="562"/>
        <v>0</v>
      </c>
      <c r="U2438" s="58">
        <f t="shared" si="563"/>
        <v>0</v>
      </c>
      <c r="V2438" s="58">
        <f t="shared" si="564"/>
        <v>0</v>
      </c>
      <c r="W2438" s="58">
        <f t="shared" si="565"/>
        <v>0</v>
      </c>
      <c r="X2438" s="58">
        <f t="shared" si="566"/>
        <v>0</v>
      </c>
      <c r="Y2438" s="52">
        <f t="shared" si="567"/>
        <v>0</v>
      </c>
    </row>
    <row r="2439" spans="1:25" x14ac:dyDescent="0.25">
      <c r="A2439" s="1218" t="s">
        <v>85</v>
      </c>
      <c r="B2439" s="98">
        <v>45870</v>
      </c>
      <c r="C2439" s="117" t="str">
        <f t="shared" si="555"/>
        <v>2L</v>
      </c>
      <c r="F2439" s="99">
        <f t="shared" si="554"/>
        <v>0</v>
      </c>
      <c r="I2439" s="99">
        <f t="shared" si="568"/>
        <v>0</v>
      </c>
      <c r="L2439" s="99">
        <f t="shared" si="556"/>
        <v>0</v>
      </c>
      <c r="M2439" s="44" t="str">
        <f t="shared" si="558"/>
        <v/>
      </c>
      <c r="N2439" s="100">
        <f t="shared" si="559"/>
        <v>0</v>
      </c>
      <c r="O2439" s="101">
        <f t="shared" si="560"/>
        <v>0</v>
      </c>
      <c r="P2439" s="52">
        <f t="shared" si="561"/>
        <v>0</v>
      </c>
      <c r="Q2439" s="49">
        <v>116.88487613461319</v>
      </c>
      <c r="R2439">
        <v>2225</v>
      </c>
      <c r="S2439" s="50">
        <f t="shared" si="557"/>
        <v>71535.307499999995</v>
      </c>
      <c r="T2439" s="50">
        <f t="shared" si="562"/>
        <v>0</v>
      </c>
      <c r="U2439" s="58">
        <f t="shared" si="563"/>
        <v>0</v>
      </c>
      <c r="V2439" s="58">
        <f t="shared" si="564"/>
        <v>0</v>
      </c>
      <c r="W2439" s="58">
        <f t="shared" si="565"/>
        <v>0</v>
      </c>
      <c r="X2439" s="58">
        <f t="shared" si="566"/>
        <v>0</v>
      </c>
      <c r="Y2439" s="52">
        <f t="shared" si="567"/>
        <v>0</v>
      </c>
    </row>
    <row r="2440" spans="1:25" x14ac:dyDescent="0.25">
      <c r="A2440" s="1218" t="s">
        <v>86</v>
      </c>
      <c r="B2440" s="98">
        <v>45870</v>
      </c>
      <c r="C2440" s="117" t="str">
        <f t="shared" si="555"/>
        <v>2L</v>
      </c>
      <c r="F2440" s="99">
        <f t="shared" si="554"/>
        <v>0</v>
      </c>
      <c r="I2440" s="99">
        <f t="shared" si="568"/>
        <v>0</v>
      </c>
      <c r="L2440" s="99">
        <f t="shared" si="556"/>
        <v>0</v>
      </c>
      <c r="M2440" s="44" t="str">
        <f t="shared" si="558"/>
        <v/>
      </c>
      <c r="N2440" s="100">
        <f t="shared" si="559"/>
        <v>0</v>
      </c>
      <c r="O2440" s="101">
        <f t="shared" si="560"/>
        <v>0</v>
      </c>
      <c r="P2440" s="52">
        <f t="shared" si="561"/>
        <v>0</v>
      </c>
      <c r="Q2440" s="49">
        <v>116.88487613461319</v>
      </c>
      <c r="R2440">
        <v>2225</v>
      </c>
      <c r="S2440" s="50">
        <f t="shared" si="557"/>
        <v>71535.307499999995</v>
      </c>
      <c r="T2440" s="50">
        <f t="shared" si="562"/>
        <v>0</v>
      </c>
      <c r="U2440" s="58">
        <f t="shared" si="563"/>
        <v>0</v>
      </c>
      <c r="V2440" s="58">
        <f t="shared" si="564"/>
        <v>0</v>
      </c>
      <c r="W2440" s="58">
        <f t="shared" si="565"/>
        <v>0</v>
      </c>
      <c r="X2440" s="58">
        <f t="shared" si="566"/>
        <v>0</v>
      </c>
      <c r="Y2440" s="52">
        <f t="shared" si="567"/>
        <v>0</v>
      </c>
    </row>
    <row r="2441" spans="1:25" x14ac:dyDescent="0.25">
      <c r="A2441" s="1218" t="s">
        <v>87</v>
      </c>
      <c r="B2441" s="98">
        <v>45870</v>
      </c>
      <c r="C2441" s="117" t="str">
        <f t="shared" si="555"/>
        <v>3L</v>
      </c>
      <c r="F2441" s="99">
        <f t="shared" si="554"/>
        <v>0</v>
      </c>
      <c r="I2441" s="99">
        <f t="shared" si="568"/>
        <v>0</v>
      </c>
      <c r="L2441" s="99">
        <f t="shared" si="556"/>
        <v>0</v>
      </c>
      <c r="M2441" s="44" t="str">
        <f t="shared" si="558"/>
        <v/>
      </c>
      <c r="N2441" s="100">
        <f t="shared" si="559"/>
        <v>0</v>
      </c>
      <c r="O2441" s="101">
        <f t="shared" si="560"/>
        <v>0</v>
      </c>
      <c r="P2441" s="52">
        <f t="shared" si="561"/>
        <v>0</v>
      </c>
      <c r="Q2441" s="49">
        <v>116.88487613461319</v>
      </c>
      <c r="R2441">
        <v>2225</v>
      </c>
      <c r="S2441" s="50">
        <f t="shared" si="557"/>
        <v>71535.307499999995</v>
      </c>
      <c r="T2441" s="50">
        <f t="shared" si="562"/>
        <v>0</v>
      </c>
      <c r="U2441" s="58">
        <f t="shared" si="563"/>
        <v>0</v>
      </c>
      <c r="V2441" s="58">
        <f t="shared" si="564"/>
        <v>0</v>
      </c>
      <c r="W2441" s="58">
        <f t="shared" si="565"/>
        <v>0</v>
      </c>
      <c r="X2441" s="58">
        <f t="shared" si="566"/>
        <v>0</v>
      </c>
      <c r="Y2441" s="52">
        <f t="shared" si="567"/>
        <v>0</v>
      </c>
    </row>
    <row r="2442" spans="1:25" x14ac:dyDescent="0.25">
      <c r="A2442" s="1218" t="s">
        <v>88</v>
      </c>
      <c r="B2442" s="98">
        <v>45870</v>
      </c>
      <c r="C2442" s="117" t="str">
        <f t="shared" si="555"/>
        <v>3L</v>
      </c>
      <c r="F2442" s="99">
        <f t="shared" si="554"/>
        <v>0</v>
      </c>
      <c r="I2442" s="99">
        <f t="shared" si="568"/>
        <v>0</v>
      </c>
      <c r="L2442" s="99">
        <f t="shared" si="556"/>
        <v>0</v>
      </c>
      <c r="M2442" s="44" t="str">
        <f t="shared" si="558"/>
        <v/>
      </c>
      <c r="N2442" s="100">
        <f t="shared" si="559"/>
        <v>0</v>
      </c>
      <c r="O2442" s="101">
        <f t="shared" si="560"/>
        <v>0</v>
      </c>
      <c r="P2442" s="52">
        <f t="shared" si="561"/>
        <v>0</v>
      </c>
      <c r="Q2442" s="49">
        <v>116.88487613461319</v>
      </c>
      <c r="R2442">
        <v>2225</v>
      </c>
      <c r="S2442" s="50">
        <f t="shared" si="557"/>
        <v>71535.307499999995</v>
      </c>
      <c r="T2442" s="50">
        <f t="shared" si="562"/>
        <v>0</v>
      </c>
      <c r="U2442" s="58">
        <f t="shared" si="563"/>
        <v>0</v>
      </c>
      <c r="V2442" s="58">
        <f t="shared" si="564"/>
        <v>0</v>
      </c>
      <c r="W2442" s="58">
        <f t="shared" si="565"/>
        <v>0</v>
      </c>
      <c r="X2442" s="58">
        <f t="shared" si="566"/>
        <v>0</v>
      </c>
      <c r="Y2442" s="52">
        <f t="shared" si="567"/>
        <v>0</v>
      </c>
    </row>
    <row r="2443" spans="1:25" x14ac:dyDescent="0.25">
      <c r="A2443" s="1218" t="s">
        <v>89</v>
      </c>
      <c r="B2443" s="98">
        <v>45870</v>
      </c>
      <c r="C2443" s="117" t="str">
        <f t="shared" si="555"/>
        <v>3L</v>
      </c>
      <c r="F2443" s="99">
        <f t="shared" ref="F2443:F2507" si="569">IFERROR(D2443*E2443/1000,"")</f>
        <v>0</v>
      </c>
      <c r="I2443" s="99">
        <f t="shared" si="568"/>
        <v>0</v>
      </c>
      <c r="L2443" s="99">
        <f t="shared" si="556"/>
        <v>0</v>
      </c>
      <c r="M2443" s="44" t="str">
        <f t="shared" si="558"/>
        <v/>
      </c>
      <c r="N2443" s="100">
        <f t="shared" si="559"/>
        <v>0</v>
      </c>
      <c r="O2443" s="101">
        <f t="shared" si="560"/>
        <v>0</v>
      </c>
      <c r="P2443" s="52">
        <f t="shared" si="561"/>
        <v>0</v>
      </c>
      <c r="Q2443" s="49">
        <v>116.88487613461319</v>
      </c>
      <c r="R2443">
        <v>2225</v>
      </c>
      <c r="S2443" s="50">
        <f t="shared" si="557"/>
        <v>71535.307499999995</v>
      </c>
      <c r="T2443" s="50">
        <f t="shared" si="562"/>
        <v>0</v>
      </c>
      <c r="U2443" s="58">
        <f t="shared" si="563"/>
        <v>0</v>
      </c>
      <c r="V2443" s="58">
        <f t="shared" si="564"/>
        <v>0</v>
      </c>
      <c r="W2443" s="58">
        <f t="shared" si="565"/>
        <v>0</v>
      </c>
      <c r="X2443" s="58">
        <f t="shared" si="566"/>
        <v>0</v>
      </c>
      <c r="Y2443" s="52">
        <f t="shared" si="567"/>
        <v>0</v>
      </c>
    </row>
    <row r="2444" spans="1:25" x14ac:dyDescent="0.25">
      <c r="A2444" s="1218" t="s">
        <v>90</v>
      </c>
      <c r="B2444" s="98">
        <v>45870</v>
      </c>
      <c r="C2444" s="117" t="str">
        <f t="shared" si="555"/>
        <v>3L</v>
      </c>
      <c r="F2444" s="99">
        <f t="shared" si="569"/>
        <v>0</v>
      </c>
      <c r="I2444" s="99">
        <f t="shared" si="568"/>
        <v>0</v>
      </c>
      <c r="L2444" s="99">
        <f t="shared" si="556"/>
        <v>0</v>
      </c>
      <c r="M2444" s="44" t="str">
        <f t="shared" si="558"/>
        <v/>
      </c>
      <c r="N2444" s="100">
        <f t="shared" si="559"/>
        <v>0</v>
      </c>
      <c r="O2444" s="101">
        <f t="shared" si="560"/>
        <v>0</v>
      </c>
      <c r="P2444" s="52">
        <f t="shared" si="561"/>
        <v>0</v>
      </c>
      <c r="Q2444" s="49">
        <v>116.88487613461319</v>
      </c>
      <c r="R2444">
        <v>2225</v>
      </c>
      <c r="S2444" s="50">
        <f t="shared" si="557"/>
        <v>71535.307499999995</v>
      </c>
      <c r="T2444" s="50">
        <f t="shared" si="562"/>
        <v>0</v>
      </c>
      <c r="U2444" s="58">
        <f t="shared" si="563"/>
        <v>0</v>
      </c>
      <c r="V2444" s="58">
        <f t="shared" si="564"/>
        <v>0</v>
      </c>
      <c r="W2444" s="58">
        <f t="shared" si="565"/>
        <v>0</v>
      </c>
      <c r="X2444" s="58">
        <f t="shared" si="566"/>
        <v>0</v>
      </c>
      <c r="Y2444" s="52">
        <f t="shared" si="567"/>
        <v>0</v>
      </c>
    </row>
    <row r="2445" spans="1:25" x14ac:dyDescent="0.25">
      <c r="A2445" s="1218" t="s">
        <v>91</v>
      </c>
      <c r="B2445" s="98">
        <v>45870</v>
      </c>
      <c r="C2445" s="117" t="str">
        <f t="shared" si="555"/>
        <v>3L</v>
      </c>
      <c r="F2445" s="99">
        <f t="shared" si="569"/>
        <v>0</v>
      </c>
      <c r="I2445" s="99">
        <f t="shared" si="568"/>
        <v>0</v>
      </c>
      <c r="L2445" s="99">
        <f t="shared" si="556"/>
        <v>0</v>
      </c>
      <c r="M2445" s="44" t="str">
        <f t="shared" si="558"/>
        <v/>
      </c>
      <c r="N2445" s="100">
        <f t="shared" si="559"/>
        <v>0</v>
      </c>
      <c r="O2445" s="101">
        <f t="shared" si="560"/>
        <v>0</v>
      </c>
      <c r="P2445" s="52">
        <f t="shared" si="561"/>
        <v>0</v>
      </c>
      <c r="Q2445" s="49">
        <v>116.88487613461319</v>
      </c>
      <c r="R2445">
        <v>2225</v>
      </c>
      <c r="S2445" s="50">
        <f t="shared" si="557"/>
        <v>71535.307499999995</v>
      </c>
      <c r="T2445" s="50">
        <f t="shared" si="562"/>
        <v>0</v>
      </c>
      <c r="U2445" s="58">
        <f t="shared" si="563"/>
        <v>0</v>
      </c>
      <c r="V2445" s="58">
        <f t="shared" si="564"/>
        <v>0</v>
      </c>
      <c r="W2445" s="58">
        <f t="shared" si="565"/>
        <v>0</v>
      </c>
      <c r="X2445" s="58">
        <f t="shared" si="566"/>
        <v>0</v>
      </c>
      <c r="Y2445" s="52">
        <f t="shared" si="567"/>
        <v>0</v>
      </c>
    </row>
    <row r="2446" spans="1:25" x14ac:dyDescent="0.25">
      <c r="A2446" s="1218" t="s">
        <v>92</v>
      </c>
      <c r="B2446" s="98">
        <v>45870</v>
      </c>
      <c r="C2446" s="117" t="str">
        <f t="shared" si="555"/>
        <v>3L</v>
      </c>
      <c r="F2446" s="99">
        <f t="shared" si="569"/>
        <v>0</v>
      </c>
      <c r="I2446" s="99">
        <f t="shared" si="568"/>
        <v>0</v>
      </c>
      <c r="L2446" s="99">
        <f t="shared" si="556"/>
        <v>0</v>
      </c>
      <c r="M2446" s="44" t="str">
        <f t="shared" si="558"/>
        <v/>
      </c>
      <c r="N2446" s="100">
        <f t="shared" si="559"/>
        <v>0</v>
      </c>
      <c r="O2446" s="101">
        <f t="shared" si="560"/>
        <v>0</v>
      </c>
      <c r="P2446" s="52">
        <f t="shared" si="561"/>
        <v>0</v>
      </c>
      <c r="Q2446" s="49">
        <v>116.88487613461319</v>
      </c>
      <c r="R2446">
        <v>2225</v>
      </c>
      <c r="S2446" s="50">
        <f t="shared" si="557"/>
        <v>71535.307499999995</v>
      </c>
      <c r="T2446" s="50">
        <f t="shared" si="562"/>
        <v>0</v>
      </c>
      <c r="U2446" s="58">
        <f t="shared" si="563"/>
        <v>0</v>
      </c>
      <c r="V2446" s="58">
        <f t="shared" si="564"/>
        <v>0</v>
      </c>
      <c r="W2446" s="58">
        <f t="shared" si="565"/>
        <v>0</v>
      </c>
      <c r="X2446" s="58">
        <f t="shared" si="566"/>
        <v>0</v>
      </c>
      <c r="Y2446" s="52">
        <f t="shared" si="567"/>
        <v>0</v>
      </c>
    </row>
    <row r="2447" spans="1:25" x14ac:dyDescent="0.25">
      <c r="A2447" s="1218" t="s">
        <v>93</v>
      </c>
      <c r="B2447" s="98">
        <v>45870</v>
      </c>
      <c r="C2447" s="117" t="str">
        <f t="shared" si="555"/>
        <v>3L</v>
      </c>
      <c r="D2447">
        <v>168</v>
      </c>
      <c r="E2447">
        <v>1.58</v>
      </c>
      <c r="F2447" s="99">
        <f t="shared" si="569"/>
        <v>0.26544000000000001</v>
      </c>
      <c r="I2447" s="99">
        <f t="shared" si="568"/>
        <v>0</v>
      </c>
      <c r="L2447" s="99">
        <f t="shared" si="556"/>
        <v>0</v>
      </c>
      <c r="M2447" s="44" t="str">
        <f t="shared" si="558"/>
        <v/>
      </c>
      <c r="N2447" s="100">
        <f t="shared" si="559"/>
        <v>0</v>
      </c>
      <c r="O2447" s="101">
        <f t="shared" si="560"/>
        <v>0</v>
      </c>
      <c r="P2447" s="52">
        <f t="shared" si="561"/>
        <v>0</v>
      </c>
      <c r="Q2447" s="49">
        <v>116.88487613461319</v>
      </c>
      <c r="R2447">
        <v>2225</v>
      </c>
      <c r="S2447" s="50">
        <f t="shared" si="557"/>
        <v>71535.307499999995</v>
      </c>
      <c r="T2447" s="50">
        <f t="shared" si="562"/>
        <v>0</v>
      </c>
      <c r="U2447" s="58">
        <f t="shared" si="563"/>
        <v>0</v>
      </c>
      <c r="V2447" s="58">
        <f t="shared" si="564"/>
        <v>0</v>
      </c>
      <c r="W2447" s="58">
        <f t="shared" si="565"/>
        <v>0</v>
      </c>
      <c r="X2447" s="58">
        <f t="shared" si="566"/>
        <v>0</v>
      </c>
      <c r="Y2447" s="52">
        <f t="shared" si="567"/>
        <v>0</v>
      </c>
    </row>
    <row r="2448" spans="1:25" x14ac:dyDescent="0.25">
      <c r="A2448" s="1218" t="s">
        <v>94</v>
      </c>
      <c r="B2448" s="98">
        <v>45870</v>
      </c>
      <c r="C2448" s="117" t="str">
        <f t="shared" si="555"/>
        <v>3L</v>
      </c>
      <c r="F2448" s="99">
        <f t="shared" si="569"/>
        <v>0</v>
      </c>
      <c r="I2448" s="99">
        <f t="shared" si="568"/>
        <v>0</v>
      </c>
      <c r="L2448" s="99">
        <f t="shared" si="556"/>
        <v>0</v>
      </c>
      <c r="M2448" s="44" t="str">
        <f t="shared" si="558"/>
        <v/>
      </c>
      <c r="N2448" s="100">
        <f t="shared" si="559"/>
        <v>0</v>
      </c>
      <c r="O2448" s="101">
        <f t="shared" si="560"/>
        <v>0</v>
      </c>
      <c r="P2448" s="52">
        <f t="shared" si="561"/>
        <v>0</v>
      </c>
      <c r="Q2448" s="49">
        <v>116.88487613461319</v>
      </c>
      <c r="R2448">
        <v>2225</v>
      </c>
      <c r="S2448" s="50">
        <f t="shared" si="557"/>
        <v>71535.307499999995</v>
      </c>
      <c r="T2448" s="50">
        <f t="shared" si="562"/>
        <v>0</v>
      </c>
      <c r="U2448" s="58">
        <f t="shared" si="563"/>
        <v>0</v>
      </c>
      <c r="V2448" s="58">
        <f t="shared" si="564"/>
        <v>0</v>
      </c>
      <c r="W2448" s="58">
        <f t="shared" si="565"/>
        <v>0</v>
      </c>
      <c r="X2448" s="58">
        <f t="shared" si="566"/>
        <v>0</v>
      </c>
      <c r="Y2448" s="52">
        <f t="shared" si="567"/>
        <v>0</v>
      </c>
    </row>
    <row r="2449" spans="1:25" x14ac:dyDescent="0.25">
      <c r="A2449" s="1218" t="s">
        <v>95</v>
      </c>
      <c r="B2449" s="98">
        <v>45870</v>
      </c>
      <c r="C2449" s="117" t="str">
        <f t="shared" si="555"/>
        <v>3L</v>
      </c>
      <c r="F2449" s="99">
        <f t="shared" si="569"/>
        <v>0</v>
      </c>
      <c r="I2449" s="99">
        <f t="shared" si="568"/>
        <v>0</v>
      </c>
      <c r="L2449" s="99">
        <f t="shared" si="556"/>
        <v>0</v>
      </c>
      <c r="M2449" s="44" t="str">
        <f t="shared" si="558"/>
        <v/>
      </c>
      <c r="N2449" s="100">
        <f t="shared" si="559"/>
        <v>0</v>
      </c>
      <c r="O2449" s="101">
        <f t="shared" si="560"/>
        <v>0</v>
      </c>
      <c r="P2449" s="52">
        <f t="shared" si="561"/>
        <v>0</v>
      </c>
      <c r="Q2449" s="49">
        <v>116.88487613461319</v>
      </c>
      <c r="R2449">
        <v>2225</v>
      </c>
      <c r="S2449" s="50">
        <f t="shared" si="557"/>
        <v>71535.307499999995</v>
      </c>
      <c r="T2449" s="50">
        <f t="shared" si="562"/>
        <v>0</v>
      </c>
      <c r="U2449" s="58">
        <f t="shared" si="563"/>
        <v>0</v>
      </c>
      <c r="V2449" s="58">
        <f t="shared" si="564"/>
        <v>0</v>
      </c>
      <c r="W2449" s="58">
        <f t="shared" si="565"/>
        <v>0</v>
      </c>
      <c r="X2449" s="58">
        <f t="shared" si="566"/>
        <v>0</v>
      </c>
      <c r="Y2449" s="52">
        <f t="shared" si="567"/>
        <v>0</v>
      </c>
    </row>
    <row r="2450" spans="1:25" x14ac:dyDescent="0.25">
      <c r="A2450" s="1218" t="s">
        <v>96</v>
      </c>
      <c r="B2450" s="98">
        <v>45870</v>
      </c>
      <c r="C2450" s="117" t="str">
        <f t="shared" si="555"/>
        <v>3L</v>
      </c>
      <c r="F2450" s="99">
        <f t="shared" si="569"/>
        <v>0</v>
      </c>
      <c r="I2450" s="99">
        <f t="shared" si="568"/>
        <v>0</v>
      </c>
      <c r="L2450" s="99">
        <f t="shared" si="556"/>
        <v>0</v>
      </c>
      <c r="M2450" s="44" t="str">
        <f t="shared" si="558"/>
        <v/>
      </c>
      <c r="N2450" s="100">
        <f t="shared" si="559"/>
        <v>0</v>
      </c>
      <c r="O2450" s="101">
        <f t="shared" si="560"/>
        <v>0</v>
      </c>
      <c r="P2450" s="52">
        <f t="shared" si="561"/>
        <v>0</v>
      </c>
      <c r="Q2450" s="49">
        <v>116.88487613461319</v>
      </c>
      <c r="R2450">
        <v>2225</v>
      </c>
      <c r="S2450" s="50">
        <f t="shared" si="557"/>
        <v>71535.307499999995</v>
      </c>
      <c r="T2450" s="50">
        <f t="shared" si="562"/>
        <v>0</v>
      </c>
      <c r="U2450" s="58">
        <f t="shared" si="563"/>
        <v>0</v>
      </c>
      <c r="V2450" s="58">
        <f t="shared" si="564"/>
        <v>0</v>
      </c>
      <c r="W2450" s="58">
        <f t="shared" si="565"/>
        <v>0</v>
      </c>
      <c r="X2450" s="58">
        <f t="shared" si="566"/>
        <v>0</v>
      </c>
      <c r="Y2450" s="52">
        <f t="shared" si="567"/>
        <v>0</v>
      </c>
    </row>
    <row r="2451" spans="1:25" x14ac:dyDescent="0.25">
      <c r="A2451" s="1218" t="s">
        <v>97</v>
      </c>
      <c r="B2451" s="98">
        <v>45870</v>
      </c>
      <c r="C2451" s="117" t="str">
        <f t="shared" si="555"/>
        <v>4L</v>
      </c>
      <c r="F2451" s="99">
        <f t="shared" si="569"/>
        <v>0</v>
      </c>
      <c r="I2451" s="99">
        <f t="shared" si="568"/>
        <v>0</v>
      </c>
      <c r="L2451" s="99">
        <f t="shared" si="556"/>
        <v>0</v>
      </c>
      <c r="M2451" s="44" t="str">
        <f t="shared" si="558"/>
        <v/>
      </c>
      <c r="N2451" s="100">
        <f t="shared" si="559"/>
        <v>0</v>
      </c>
      <c r="O2451" s="101">
        <f t="shared" si="560"/>
        <v>0</v>
      </c>
      <c r="P2451" s="52">
        <f t="shared" si="561"/>
        <v>0</v>
      </c>
      <c r="Q2451" s="49">
        <v>116.88487613461319</v>
      </c>
      <c r="R2451">
        <v>2225</v>
      </c>
      <c r="S2451" s="50">
        <f t="shared" si="557"/>
        <v>71535.307499999995</v>
      </c>
      <c r="T2451" s="50">
        <f t="shared" si="562"/>
        <v>0</v>
      </c>
      <c r="U2451" s="58">
        <f t="shared" si="563"/>
        <v>0</v>
      </c>
      <c r="V2451" s="58">
        <f t="shared" si="564"/>
        <v>0</v>
      </c>
      <c r="W2451" s="58">
        <f t="shared" si="565"/>
        <v>0</v>
      </c>
      <c r="X2451" s="58">
        <f t="shared" si="566"/>
        <v>0</v>
      </c>
      <c r="Y2451" s="52">
        <f t="shared" si="567"/>
        <v>0</v>
      </c>
    </row>
    <row r="2452" spans="1:25" x14ac:dyDescent="0.25">
      <c r="A2452" s="1218" t="s">
        <v>98</v>
      </c>
      <c r="B2452" s="98">
        <v>45870</v>
      </c>
      <c r="C2452" s="117" t="str">
        <f t="shared" si="555"/>
        <v>4L</v>
      </c>
      <c r="F2452" s="99">
        <f t="shared" si="569"/>
        <v>0</v>
      </c>
      <c r="I2452" s="99">
        <f t="shared" si="568"/>
        <v>0</v>
      </c>
      <c r="L2452" s="99">
        <f t="shared" si="556"/>
        <v>0</v>
      </c>
      <c r="M2452" s="44" t="str">
        <f t="shared" si="558"/>
        <v/>
      </c>
      <c r="N2452" s="100">
        <f t="shared" si="559"/>
        <v>0</v>
      </c>
      <c r="O2452" s="101">
        <f t="shared" si="560"/>
        <v>0</v>
      </c>
      <c r="P2452" s="52">
        <f t="shared" si="561"/>
        <v>0</v>
      </c>
      <c r="Q2452" s="49">
        <v>116.88487613461319</v>
      </c>
      <c r="R2452">
        <v>2225</v>
      </c>
      <c r="S2452" s="50">
        <f t="shared" si="557"/>
        <v>71535.307499999995</v>
      </c>
      <c r="T2452" s="50">
        <f t="shared" si="562"/>
        <v>0</v>
      </c>
      <c r="U2452" s="58">
        <f t="shared" si="563"/>
        <v>0</v>
      </c>
      <c r="V2452" s="58">
        <f t="shared" si="564"/>
        <v>0</v>
      </c>
      <c r="W2452" s="58">
        <f t="shared" si="565"/>
        <v>0</v>
      </c>
      <c r="X2452" s="58">
        <f t="shared" si="566"/>
        <v>0</v>
      </c>
      <c r="Y2452" s="52">
        <f t="shared" si="567"/>
        <v>0</v>
      </c>
    </row>
    <row r="2453" spans="1:25" x14ac:dyDescent="0.25">
      <c r="A2453" s="1218" t="s">
        <v>99</v>
      </c>
      <c r="B2453" s="98">
        <v>45870</v>
      </c>
      <c r="C2453" s="117" t="str">
        <f t="shared" si="555"/>
        <v>4L</v>
      </c>
      <c r="F2453" s="99">
        <f t="shared" si="569"/>
        <v>0</v>
      </c>
      <c r="I2453" s="99">
        <f t="shared" si="568"/>
        <v>0</v>
      </c>
      <c r="L2453" s="99">
        <f t="shared" si="556"/>
        <v>0</v>
      </c>
      <c r="M2453" s="44" t="str">
        <f t="shared" si="558"/>
        <v/>
      </c>
      <c r="N2453" s="100">
        <f t="shared" si="559"/>
        <v>0</v>
      </c>
      <c r="O2453" s="101">
        <f t="shared" si="560"/>
        <v>0</v>
      </c>
      <c r="P2453" s="52">
        <f t="shared" si="561"/>
        <v>0</v>
      </c>
      <c r="Q2453" s="49">
        <v>116.88487613461319</v>
      </c>
      <c r="R2453">
        <v>2225</v>
      </c>
      <c r="S2453" s="50">
        <f t="shared" si="557"/>
        <v>71535.307499999995</v>
      </c>
      <c r="T2453" s="50">
        <f t="shared" si="562"/>
        <v>0</v>
      </c>
      <c r="U2453" s="58">
        <f t="shared" si="563"/>
        <v>0</v>
      </c>
      <c r="V2453" s="58">
        <f t="shared" si="564"/>
        <v>0</v>
      </c>
      <c r="W2453" s="58">
        <f t="shared" si="565"/>
        <v>0</v>
      </c>
      <c r="X2453" s="58">
        <f t="shared" si="566"/>
        <v>0</v>
      </c>
      <c r="Y2453" s="52">
        <f t="shared" si="567"/>
        <v>0</v>
      </c>
    </row>
    <row r="2454" spans="1:25" x14ac:dyDescent="0.25">
      <c r="A2454" s="1218" t="s">
        <v>100</v>
      </c>
      <c r="B2454" s="98">
        <v>45870</v>
      </c>
      <c r="C2454" s="117" t="str">
        <f t="shared" ref="C2454:C2518" si="570">LEFT(A2454,2)</f>
        <v>4L</v>
      </c>
      <c r="F2454" s="99">
        <f t="shared" si="569"/>
        <v>0</v>
      </c>
      <c r="I2454" s="99">
        <f t="shared" si="568"/>
        <v>0</v>
      </c>
      <c r="L2454" s="99">
        <f t="shared" si="556"/>
        <v>0</v>
      </c>
      <c r="M2454" s="44" t="str">
        <f t="shared" si="558"/>
        <v/>
      </c>
      <c r="N2454" s="100">
        <f t="shared" si="559"/>
        <v>0</v>
      </c>
      <c r="O2454" s="101">
        <f t="shared" si="560"/>
        <v>0</v>
      </c>
      <c r="P2454" s="52">
        <f t="shared" si="561"/>
        <v>0</v>
      </c>
      <c r="Q2454" s="49">
        <v>116.88487613461319</v>
      </c>
      <c r="R2454">
        <v>2225</v>
      </c>
      <c r="S2454" s="50">
        <f t="shared" si="557"/>
        <v>71535.307499999995</v>
      </c>
      <c r="T2454" s="50">
        <f t="shared" si="562"/>
        <v>0</v>
      </c>
      <c r="U2454" s="58">
        <f t="shared" si="563"/>
        <v>0</v>
      </c>
      <c r="V2454" s="58">
        <f t="shared" si="564"/>
        <v>0</v>
      </c>
      <c r="W2454" s="58">
        <f t="shared" si="565"/>
        <v>0</v>
      </c>
      <c r="X2454" s="58">
        <f t="shared" si="566"/>
        <v>0</v>
      </c>
      <c r="Y2454" s="52">
        <f t="shared" si="567"/>
        <v>0</v>
      </c>
    </row>
    <row r="2455" spans="1:25" x14ac:dyDescent="0.25">
      <c r="A2455" s="1218" t="s">
        <v>101</v>
      </c>
      <c r="B2455" s="98">
        <v>45870</v>
      </c>
      <c r="C2455" s="117" t="str">
        <f t="shared" si="570"/>
        <v>4L</v>
      </c>
      <c r="F2455" s="99">
        <f t="shared" si="569"/>
        <v>0</v>
      </c>
      <c r="I2455" s="99">
        <f t="shared" si="568"/>
        <v>0</v>
      </c>
      <c r="L2455" s="99">
        <f t="shared" si="556"/>
        <v>0</v>
      </c>
      <c r="M2455" s="44" t="str">
        <f t="shared" si="558"/>
        <v/>
      </c>
      <c r="N2455" s="100">
        <f t="shared" si="559"/>
        <v>0</v>
      </c>
      <c r="O2455" s="101">
        <f t="shared" si="560"/>
        <v>0</v>
      </c>
      <c r="P2455" s="52">
        <f t="shared" si="561"/>
        <v>0</v>
      </c>
      <c r="Q2455" s="49">
        <v>116.88487613461319</v>
      </c>
      <c r="R2455">
        <v>2225</v>
      </c>
      <c r="S2455" s="50">
        <f t="shared" si="557"/>
        <v>71535.307499999995</v>
      </c>
      <c r="T2455" s="50">
        <f t="shared" si="562"/>
        <v>0</v>
      </c>
      <c r="U2455" s="58">
        <f t="shared" si="563"/>
        <v>0</v>
      </c>
      <c r="V2455" s="58">
        <f t="shared" si="564"/>
        <v>0</v>
      </c>
      <c r="W2455" s="58">
        <f t="shared" si="565"/>
        <v>0</v>
      </c>
      <c r="X2455" s="58">
        <f t="shared" si="566"/>
        <v>0</v>
      </c>
      <c r="Y2455" s="52">
        <f t="shared" si="567"/>
        <v>0</v>
      </c>
    </row>
    <row r="2456" spans="1:25" x14ac:dyDescent="0.25">
      <c r="A2456" s="1218" t="s">
        <v>102</v>
      </c>
      <c r="B2456" s="98">
        <v>45870</v>
      </c>
      <c r="C2456" s="117" t="str">
        <f t="shared" si="570"/>
        <v>4L</v>
      </c>
      <c r="F2456" s="99">
        <f t="shared" si="569"/>
        <v>0</v>
      </c>
      <c r="I2456" s="99">
        <f t="shared" si="568"/>
        <v>0</v>
      </c>
      <c r="L2456" s="99">
        <f t="shared" si="556"/>
        <v>0</v>
      </c>
      <c r="M2456" s="44" t="str">
        <f t="shared" si="558"/>
        <v/>
      </c>
      <c r="N2456" s="100">
        <f t="shared" si="559"/>
        <v>0</v>
      </c>
      <c r="O2456" s="101">
        <f t="shared" si="560"/>
        <v>0</v>
      </c>
      <c r="P2456" s="52">
        <f t="shared" si="561"/>
        <v>0</v>
      </c>
      <c r="Q2456" s="49">
        <v>116.88487613461319</v>
      </c>
      <c r="R2456">
        <v>2225</v>
      </c>
      <c r="S2456" s="50">
        <f t="shared" si="557"/>
        <v>71535.307499999995</v>
      </c>
      <c r="T2456" s="50">
        <f t="shared" si="562"/>
        <v>0</v>
      </c>
      <c r="U2456" s="58">
        <f t="shared" si="563"/>
        <v>0</v>
      </c>
      <c r="V2456" s="58">
        <f t="shared" si="564"/>
        <v>0</v>
      </c>
      <c r="W2456" s="58">
        <f t="shared" si="565"/>
        <v>0</v>
      </c>
      <c r="X2456" s="58">
        <f t="shared" si="566"/>
        <v>0</v>
      </c>
      <c r="Y2456" s="52">
        <f t="shared" si="567"/>
        <v>0</v>
      </c>
    </row>
    <row r="2457" spans="1:25" x14ac:dyDescent="0.25">
      <c r="A2457" s="1218" t="s">
        <v>103</v>
      </c>
      <c r="B2457" s="98">
        <v>45870</v>
      </c>
      <c r="C2457" s="117" t="str">
        <f t="shared" si="570"/>
        <v>4L</v>
      </c>
      <c r="F2457" s="99">
        <f t="shared" si="569"/>
        <v>0</v>
      </c>
      <c r="I2457" s="99">
        <f t="shared" si="568"/>
        <v>0</v>
      </c>
      <c r="L2457" s="99">
        <f t="shared" si="556"/>
        <v>0</v>
      </c>
      <c r="M2457" s="44" t="str">
        <f t="shared" si="558"/>
        <v/>
      </c>
      <c r="N2457" s="100">
        <f t="shared" si="559"/>
        <v>0</v>
      </c>
      <c r="O2457" s="101">
        <f t="shared" si="560"/>
        <v>0</v>
      </c>
      <c r="P2457" s="52">
        <f t="shared" si="561"/>
        <v>0</v>
      </c>
      <c r="Q2457" s="49">
        <v>116.88487613461319</v>
      </c>
      <c r="R2457">
        <v>2225</v>
      </c>
      <c r="S2457" s="50">
        <f t="shared" si="557"/>
        <v>71535.307499999995</v>
      </c>
      <c r="T2457" s="50">
        <f t="shared" si="562"/>
        <v>0</v>
      </c>
      <c r="U2457" s="58">
        <f t="shared" si="563"/>
        <v>0</v>
      </c>
      <c r="V2457" s="58">
        <f t="shared" si="564"/>
        <v>0</v>
      </c>
      <c r="W2457" s="58">
        <f t="shared" si="565"/>
        <v>0</v>
      </c>
      <c r="X2457" s="58">
        <f t="shared" si="566"/>
        <v>0</v>
      </c>
      <c r="Y2457" s="52">
        <f t="shared" si="567"/>
        <v>0</v>
      </c>
    </row>
    <row r="2458" spans="1:25" x14ac:dyDescent="0.25">
      <c r="A2458" s="1218" t="s">
        <v>104</v>
      </c>
      <c r="B2458" s="98">
        <v>45870</v>
      </c>
      <c r="C2458" s="117" t="str">
        <f t="shared" si="570"/>
        <v>4L</v>
      </c>
      <c r="F2458" s="99">
        <f t="shared" si="569"/>
        <v>0</v>
      </c>
      <c r="I2458" s="99">
        <f t="shared" si="568"/>
        <v>0</v>
      </c>
      <c r="L2458" s="99">
        <f t="shared" si="556"/>
        <v>0</v>
      </c>
      <c r="M2458" s="44" t="str">
        <f t="shared" si="558"/>
        <v/>
      </c>
      <c r="N2458" s="100">
        <f t="shared" si="559"/>
        <v>0</v>
      </c>
      <c r="O2458" s="101">
        <f t="shared" si="560"/>
        <v>0</v>
      </c>
      <c r="P2458" s="52">
        <f t="shared" si="561"/>
        <v>0</v>
      </c>
      <c r="Q2458" s="49">
        <v>116.88487613461319</v>
      </c>
      <c r="R2458">
        <v>2225</v>
      </c>
      <c r="S2458" s="50">
        <f t="shared" si="557"/>
        <v>71535.307499999995</v>
      </c>
      <c r="T2458" s="50">
        <f t="shared" si="562"/>
        <v>0</v>
      </c>
      <c r="U2458" s="58">
        <f t="shared" si="563"/>
        <v>0</v>
      </c>
      <c r="V2458" s="58">
        <f t="shared" si="564"/>
        <v>0</v>
      </c>
      <c r="W2458" s="58">
        <f t="shared" si="565"/>
        <v>0</v>
      </c>
      <c r="X2458" s="58">
        <f t="shared" si="566"/>
        <v>0</v>
      </c>
      <c r="Y2458" s="52">
        <f t="shared" si="567"/>
        <v>0</v>
      </c>
    </row>
    <row r="2459" spans="1:25" x14ac:dyDescent="0.25">
      <c r="A2459" s="1218" t="s">
        <v>105</v>
      </c>
      <c r="B2459" s="98">
        <v>45870</v>
      </c>
      <c r="C2459" s="117" t="str">
        <f t="shared" si="570"/>
        <v>4L</v>
      </c>
      <c r="F2459" s="99">
        <f t="shared" si="569"/>
        <v>0</v>
      </c>
      <c r="I2459" s="99">
        <f t="shared" si="568"/>
        <v>0</v>
      </c>
      <c r="L2459" s="99">
        <f t="shared" si="556"/>
        <v>0</v>
      </c>
      <c r="M2459" s="44" t="str">
        <f t="shared" si="558"/>
        <v/>
      </c>
      <c r="N2459" s="100">
        <f t="shared" si="559"/>
        <v>0</v>
      </c>
      <c r="O2459" s="101">
        <f t="shared" si="560"/>
        <v>0</v>
      </c>
      <c r="P2459" s="52">
        <f t="shared" si="561"/>
        <v>0</v>
      </c>
      <c r="Q2459" s="49">
        <v>116.88487613461319</v>
      </c>
      <c r="R2459">
        <v>2225</v>
      </c>
      <c r="S2459" s="50">
        <f t="shared" si="557"/>
        <v>71535.307499999995</v>
      </c>
      <c r="T2459" s="50">
        <f t="shared" si="562"/>
        <v>0</v>
      </c>
      <c r="U2459" s="58">
        <f t="shared" si="563"/>
        <v>0</v>
      </c>
      <c r="V2459" s="58">
        <f t="shared" si="564"/>
        <v>0</v>
      </c>
      <c r="W2459" s="58">
        <f t="shared" si="565"/>
        <v>0</v>
      </c>
      <c r="X2459" s="58">
        <f t="shared" si="566"/>
        <v>0</v>
      </c>
      <c r="Y2459" s="52">
        <f t="shared" si="567"/>
        <v>0</v>
      </c>
    </row>
    <row r="2460" spans="1:25" x14ac:dyDescent="0.25">
      <c r="A2460" s="1218" t="s">
        <v>106</v>
      </c>
      <c r="B2460" s="98">
        <v>45870</v>
      </c>
      <c r="C2460" s="117" t="str">
        <f t="shared" si="570"/>
        <v>4L</v>
      </c>
      <c r="F2460" s="99">
        <f t="shared" si="569"/>
        <v>0</v>
      </c>
      <c r="I2460" s="99">
        <f t="shared" si="568"/>
        <v>0</v>
      </c>
      <c r="L2460" s="99">
        <f t="shared" si="556"/>
        <v>0</v>
      </c>
      <c r="M2460" s="44" t="str">
        <f t="shared" si="558"/>
        <v/>
      </c>
      <c r="N2460" s="100">
        <f t="shared" si="559"/>
        <v>0</v>
      </c>
      <c r="O2460" s="101">
        <f t="shared" si="560"/>
        <v>0</v>
      </c>
      <c r="P2460" s="52">
        <f t="shared" si="561"/>
        <v>0</v>
      </c>
      <c r="Q2460" s="49">
        <v>116.88487613461319</v>
      </c>
      <c r="R2460">
        <v>2225</v>
      </c>
      <c r="S2460" s="50">
        <f t="shared" si="557"/>
        <v>71535.307499999995</v>
      </c>
      <c r="T2460" s="50">
        <f t="shared" si="562"/>
        <v>0</v>
      </c>
      <c r="U2460" s="58">
        <f t="shared" si="563"/>
        <v>0</v>
      </c>
      <c r="V2460" s="58">
        <f t="shared" si="564"/>
        <v>0</v>
      </c>
      <c r="W2460" s="58">
        <f t="shared" si="565"/>
        <v>0</v>
      </c>
      <c r="X2460" s="58">
        <f t="shared" si="566"/>
        <v>0</v>
      </c>
      <c r="Y2460" s="52">
        <f t="shared" si="567"/>
        <v>0</v>
      </c>
    </row>
    <row r="2461" spans="1:25" x14ac:dyDescent="0.25">
      <c r="A2461" s="1218" t="s">
        <v>107</v>
      </c>
      <c r="B2461" s="98">
        <v>45870</v>
      </c>
      <c r="C2461" s="117" t="str">
        <f t="shared" si="570"/>
        <v>4L</v>
      </c>
      <c r="F2461" s="99">
        <f t="shared" si="569"/>
        <v>0</v>
      </c>
      <c r="I2461" s="99">
        <f t="shared" si="568"/>
        <v>0</v>
      </c>
      <c r="L2461" s="99">
        <f t="shared" si="556"/>
        <v>0</v>
      </c>
      <c r="M2461" s="44" t="str">
        <f t="shared" si="558"/>
        <v/>
      </c>
      <c r="N2461" s="100">
        <f t="shared" si="559"/>
        <v>0</v>
      </c>
      <c r="O2461" s="101">
        <f t="shared" si="560"/>
        <v>0</v>
      </c>
      <c r="P2461" s="52">
        <f t="shared" si="561"/>
        <v>0</v>
      </c>
      <c r="Q2461" s="49">
        <v>116.88487613461319</v>
      </c>
      <c r="R2461">
        <v>2225</v>
      </c>
      <c r="S2461" s="50">
        <f t="shared" si="557"/>
        <v>71535.307499999995</v>
      </c>
      <c r="T2461" s="50">
        <f t="shared" si="562"/>
        <v>0</v>
      </c>
      <c r="U2461" s="58">
        <f t="shared" si="563"/>
        <v>0</v>
      </c>
      <c r="V2461" s="58">
        <f t="shared" si="564"/>
        <v>0</v>
      </c>
      <c r="W2461" s="58">
        <f t="shared" si="565"/>
        <v>0</v>
      </c>
      <c r="X2461" s="58">
        <f t="shared" si="566"/>
        <v>0</v>
      </c>
      <c r="Y2461" s="52">
        <f t="shared" si="567"/>
        <v>0</v>
      </c>
    </row>
    <row r="2462" spans="1:25" x14ac:dyDescent="0.25">
      <c r="A2462" s="1218" t="s">
        <v>108</v>
      </c>
      <c r="B2462" s="98">
        <v>45870</v>
      </c>
      <c r="C2462" s="117" t="str">
        <f t="shared" si="570"/>
        <v>4L</v>
      </c>
      <c r="F2462" s="99">
        <f t="shared" si="569"/>
        <v>0</v>
      </c>
      <c r="I2462" s="99">
        <f t="shared" si="568"/>
        <v>0</v>
      </c>
      <c r="L2462" s="99">
        <f t="shared" si="556"/>
        <v>0</v>
      </c>
      <c r="M2462" s="44" t="str">
        <f t="shared" si="558"/>
        <v/>
      </c>
      <c r="N2462" s="100">
        <f t="shared" si="559"/>
        <v>0</v>
      </c>
      <c r="O2462" s="101">
        <f t="shared" si="560"/>
        <v>0</v>
      </c>
      <c r="P2462" s="52">
        <f t="shared" si="561"/>
        <v>0</v>
      </c>
      <c r="Q2462" s="49">
        <v>116.88487613461319</v>
      </c>
      <c r="R2462">
        <v>2225</v>
      </c>
      <c r="S2462" s="50">
        <f t="shared" si="557"/>
        <v>71535.307499999995</v>
      </c>
      <c r="T2462" s="50">
        <f t="shared" si="562"/>
        <v>0</v>
      </c>
      <c r="U2462" s="58">
        <f t="shared" si="563"/>
        <v>0</v>
      </c>
      <c r="V2462" s="58">
        <f t="shared" si="564"/>
        <v>0</v>
      </c>
      <c r="W2462" s="58">
        <f t="shared" si="565"/>
        <v>0</v>
      </c>
      <c r="X2462" s="58">
        <f t="shared" si="566"/>
        <v>0</v>
      </c>
      <c r="Y2462" s="52">
        <f t="shared" si="567"/>
        <v>0</v>
      </c>
    </row>
    <row r="2463" spans="1:25" x14ac:dyDescent="0.25">
      <c r="A2463" s="1218" t="s">
        <v>109</v>
      </c>
      <c r="B2463" s="98">
        <v>45870</v>
      </c>
      <c r="C2463" s="117" t="str">
        <f t="shared" si="570"/>
        <v>4L</v>
      </c>
      <c r="F2463" s="99">
        <f t="shared" si="569"/>
        <v>0</v>
      </c>
      <c r="I2463" s="99">
        <f t="shared" si="568"/>
        <v>0</v>
      </c>
      <c r="L2463" s="99">
        <f t="shared" si="556"/>
        <v>0</v>
      </c>
      <c r="M2463" s="44" t="str">
        <f t="shared" si="558"/>
        <v/>
      </c>
      <c r="N2463" s="100">
        <f t="shared" si="559"/>
        <v>0</v>
      </c>
      <c r="O2463" s="101">
        <f t="shared" si="560"/>
        <v>0</v>
      </c>
      <c r="P2463" s="52">
        <f t="shared" si="561"/>
        <v>0</v>
      </c>
      <c r="Q2463" s="49">
        <v>116.88487613461319</v>
      </c>
      <c r="R2463">
        <v>2225</v>
      </c>
      <c r="S2463" s="50">
        <f t="shared" si="557"/>
        <v>71535.307499999995</v>
      </c>
      <c r="T2463" s="50">
        <f t="shared" si="562"/>
        <v>0</v>
      </c>
      <c r="U2463" s="58">
        <f t="shared" si="563"/>
        <v>0</v>
      </c>
      <c r="V2463" s="58">
        <f t="shared" si="564"/>
        <v>0</v>
      </c>
      <c r="W2463" s="58">
        <f t="shared" si="565"/>
        <v>0</v>
      </c>
      <c r="X2463" s="58">
        <f t="shared" si="566"/>
        <v>0</v>
      </c>
      <c r="Y2463" s="52">
        <f t="shared" si="567"/>
        <v>0</v>
      </c>
    </row>
    <row r="2464" spans="1:25" x14ac:dyDescent="0.25">
      <c r="A2464" s="1218" t="s">
        <v>110</v>
      </c>
      <c r="B2464" s="98">
        <v>45870</v>
      </c>
      <c r="C2464" s="117" t="str">
        <f t="shared" si="570"/>
        <v>4L</v>
      </c>
      <c r="F2464" s="99">
        <f t="shared" si="569"/>
        <v>0</v>
      </c>
      <c r="I2464" s="99">
        <f t="shared" si="568"/>
        <v>0</v>
      </c>
      <c r="L2464" s="99">
        <f t="shared" si="556"/>
        <v>0</v>
      </c>
      <c r="M2464" s="44" t="str">
        <f t="shared" si="558"/>
        <v/>
      </c>
      <c r="N2464" s="100">
        <f t="shared" si="559"/>
        <v>0</v>
      </c>
      <c r="O2464" s="101">
        <f t="shared" si="560"/>
        <v>0</v>
      </c>
      <c r="P2464" s="52">
        <f t="shared" si="561"/>
        <v>0</v>
      </c>
      <c r="Q2464" s="49">
        <v>116.88487613461319</v>
      </c>
      <c r="R2464">
        <v>2225</v>
      </c>
      <c r="S2464" s="50">
        <f t="shared" si="557"/>
        <v>71535.307499999995</v>
      </c>
      <c r="T2464" s="50">
        <f t="shared" si="562"/>
        <v>0</v>
      </c>
      <c r="U2464" s="58">
        <f t="shared" si="563"/>
        <v>0</v>
      </c>
      <c r="V2464" s="58">
        <f t="shared" si="564"/>
        <v>0</v>
      </c>
      <c r="W2464" s="58">
        <f t="shared" si="565"/>
        <v>0</v>
      </c>
      <c r="X2464" s="58">
        <f t="shared" si="566"/>
        <v>0</v>
      </c>
      <c r="Y2464" s="52">
        <f t="shared" si="567"/>
        <v>0</v>
      </c>
    </row>
    <row r="2465" spans="1:25" x14ac:dyDescent="0.25">
      <c r="A2465" s="1218" t="s">
        <v>111</v>
      </c>
      <c r="B2465" s="98">
        <v>45870</v>
      </c>
      <c r="C2465" s="117" t="str">
        <f t="shared" si="570"/>
        <v>4L</v>
      </c>
      <c r="F2465" s="99">
        <f t="shared" si="569"/>
        <v>0</v>
      </c>
      <c r="I2465" s="99">
        <f t="shared" si="568"/>
        <v>0</v>
      </c>
      <c r="L2465" s="99">
        <f t="shared" ref="L2465:L2533" si="571">IFERROR(J2465*K2465/1000,"")</f>
        <v>0</v>
      </c>
      <c r="M2465" s="44" t="str">
        <f t="shared" si="558"/>
        <v/>
      </c>
      <c r="N2465" s="100">
        <f t="shared" si="559"/>
        <v>0</v>
      </c>
      <c r="O2465" s="101">
        <f t="shared" si="560"/>
        <v>0</v>
      </c>
      <c r="P2465" s="52">
        <f t="shared" si="561"/>
        <v>0</v>
      </c>
      <c r="Q2465" s="49">
        <v>116.88487613461319</v>
      </c>
      <c r="R2465">
        <v>2225</v>
      </c>
      <c r="S2465" s="50">
        <f t="shared" ref="S2465:S2533" si="572">R2465*32.1507</f>
        <v>71535.307499999995</v>
      </c>
      <c r="T2465" s="50">
        <f t="shared" si="562"/>
        <v>0</v>
      </c>
      <c r="U2465" s="58">
        <f t="shared" si="563"/>
        <v>0</v>
      </c>
      <c r="V2465" s="58">
        <f t="shared" si="564"/>
        <v>0</v>
      </c>
      <c r="W2465" s="58">
        <f t="shared" si="565"/>
        <v>0</v>
      </c>
      <c r="X2465" s="58">
        <f t="shared" si="566"/>
        <v>0</v>
      </c>
      <c r="Y2465" s="52">
        <f t="shared" si="567"/>
        <v>0</v>
      </c>
    </row>
    <row r="2466" spans="1:25" x14ac:dyDescent="0.25">
      <c r="A2466" s="1218" t="s">
        <v>112</v>
      </c>
      <c r="B2466" s="98">
        <v>45870</v>
      </c>
      <c r="C2466" s="117" t="str">
        <f t="shared" si="570"/>
        <v>4L</v>
      </c>
      <c r="F2466" s="99">
        <f t="shared" si="569"/>
        <v>0</v>
      </c>
      <c r="I2466" s="99">
        <f t="shared" si="568"/>
        <v>0</v>
      </c>
      <c r="L2466" s="99">
        <f t="shared" si="571"/>
        <v>0</v>
      </c>
      <c r="M2466" s="44" t="str">
        <f t="shared" si="558"/>
        <v/>
      </c>
      <c r="N2466" s="100">
        <f t="shared" si="559"/>
        <v>0</v>
      </c>
      <c r="O2466" s="101">
        <f t="shared" si="560"/>
        <v>0</v>
      </c>
      <c r="P2466" s="52">
        <f t="shared" si="561"/>
        <v>0</v>
      </c>
      <c r="Q2466" s="49">
        <v>116.88487613461319</v>
      </c>
      <c r="R2466">
        <v>2225</v>
      </c>
      <c r="S2466" s="50">
        <f t="shared" si="572"/>
        <v>71535.307499999995</v>
      </c>
      <c r="T2466" s="50">
        <f t="shared" si="562"/>
        <v>0</v>
      </c>
      <c r="U2466" s="58">
        <f t="shared" si="563"/>
        <v>0</v>
      </c>
      <c r="V2466" s="58">
        <f t="shared" si="564"/>
        <v>0</v>
      </c>
      <c r="W2466" s="58">
        <f t="shared" si="565"/>
        <v>0</v>
      </c>
      <c r="X2466" s="58">
        <f t="shared" si="566"/>
        <v>0</v>
      </c>
      <c r="Y2466" s="52">
        <f t="shared" si="567"/>
        <v>0</v>
      </c>
    </row>
    <row r="2467" spans="1:25" x14ac:dyDescent="0.25">
      <c r="A2467" s="1218" t="s">
        <v>113</v>
      </c>
      <c r="B2467" s="98">
        <v>45870</v>
      </c>
      <c r="C2467" s="117" t="str">
        <f t="shared" si="570"/>
        <v>4L</v>
      </c>
      <c r="F2467" s="99">
        <f t="shared" si="569"/>
        <v>0</v>
      </c>
      <c r="I2467" s="99">
        <f t="shared" si="568"/>
        <v>0</v>
      </c>
      <c r="L2467" s="99">
        <f t="shared" si="571"/>
        <v>0</v>
      </c>
      <c r="M2467" s="44" t="str">
        <f t="shared" ref="M2467:M2535" si="573">IFERROR((L2467-I2467)/I2467,"")</f>
        <v/>
      </c>
      <c r="N2467" s="100">
        <f t="shared" ref="N2467:N2535" si="574">J2467-G2467</f>
        <v>0</v>
      </c>
      <c r="O2467" s="101">
        <f t="shared" ref="O2467:O2535" si="575">L2467-I2467</f>
        <v>0</v>
      </c>
      <c r="P2467" s="52">
        <f t="shared" ref="P2467:P2535" si="576">U2467-W2467</f>
        <v>0</v>
      </c>
      <c r="Q2467" s="49">
        <v>116.88487613461319</v>
      </c>
      <c r="R2467">
        <v>2225</v>
      </c>
      <c r="S2467" s="50">
        <f t="shared" si="572"/>
        <v>71535.307499999995</v>
      </c>
      <c r="T2467" s="50">
        <f t="shared" ref="T2467:T2535" si="577">IFERROR(S2467*I2467,"")</f>
        <v>0</v>
      </c>
      <c r="U2467" s="58">
        <f t="shared" ref="U2467:U2535" si="578">IFERROR(S2467*L2467,"")</f>
        <v>0</v>
      </c>
      <c r="V2467" s="58">
        <f t="shared" ref="V2467:V2535" si="579">IFERROR(Q2467*G2467,"")</f>
        <v>0</v>
      </c>
      <c r="W2467" s="58">
        <f t="shared" ref="W2467:W2535" si="580">IFERROR(Q2467*J2467,"")</f>
        <v>0</v>
      </c>
      <c r="X2467" s="58">
        <f t="shared" ref="X2467:X2535" si="581">T2467-V2467</f>
        <v>0</v>
      </c>
      <c r="Y2467" s="52">
        <f t="shared" ref="Y2467:Y2535" si="582">U2467-W2467</f>
        <v>0</v>
      </c>
    </row>
    <row r="2468" spans="1:25" x14ac:dyDescent="0.25">
      <c r="A2468" s="1218" t="s">
        <v>114</v>
      </c>
      <c r="B2468" s="98">
        <v>45870</v>
      </c>
      <c r="C2468" s="117" t="str">
        <f t="shared" si="570"/>
        <v>4L</v>
      </c>
      <c r="F2468" s="99">
        <f t="shared" si="569"/>
        <v>0</v>
      </c>
      <c r="I2468" s="99">
        <f t="shared" si="568"/>
        <v>0</v>
      </c>
      <c r="L2468" s="99">
        <f t="shared" si="571"/>
        <v>0</v>
      </c>
      <c r="M2468" s="44" t="str">
        <f t="shared" si="573"/>
        <v/>
      </c>
      <c r="N2468" s="100">
        <f t="shared" si="574"/>
        <v>0</v>
      </c>
      <c r="O2468" s="101">
        <f t="shared" si="575"/>
        <v>0</v>
      </c>
      <c r="P2468" s="52">
        <f t="shared" si="576"/>
        <v>0</v>
      </c>
      <c r="Q2468" s="49">
        <v>116.88487613461319</v>
      </c>
      <c r="R2468">
        <v>2225</v>
      </c>
      <c r="S2468" s="50">
        <f t="shared" si="572"/>
        <v>71535.307499999995</v>
      </c>
      <c r="T2468" s="50">
        <f t="shared" si="577"/>
        <v>0</v>
      </c>
      <c r="U2468" s="58">
        <f t="shared" si="578"/>
        <v>0</v>
      </c>
      <c r="V2468" s="58">
        <f t="shared" si="579"/>
        <v>0</v>
      </c>
      <c r="W2468" s="58">
        <f t="shared" si="580"/>
        <v>0</v>
      </c>
      <c r="X2468" s="58">
        <f t="shared" si="581"/>
        <v>0</v>
      </c>
      <c r="Y2468" s="52">
        <f t="shared" si="582"/>
        <v>0</v>
      </c>
    </row>
    <row r="2469" spans="1:25" x14ac:dyDescent="0.25">
      <c r="A2469" s="1218" t="s">
        <v>115</v>
      </c>
      <c r="B2469" s="98">
        <v>45870</v>
      </c>
      <c r="C2469" s="117" t="str">
        <f t="shared" si="570"/>
        <v>4L</v>
      </c>
      <c r="F2469" s="99">
        <f t="shared" si="569"/>
        <v>0</v>
      </c>
      <c r="I2469" s="99">
        <f t="shared" si="568"/>
        <v>0</v>
      </c>
      <c r="L2469" s="99">
        <f t="shared" si="571"/>
        <v>0</v>
      </c>
      <c r="M2469" s="44" t="str">
        <f t="shared" si="573"/>
        <v/>
      </c>
      <c r="N2469" s="100">
        <f t="shared" si="574"/>
        <v>0</v>
      </c>
      <c r="O2469" s="101">
        <f t="shared" si="575"/>
        <v>0</v>
      </c>
      <c r="P2469" s="52">
        <f t="shared" si="576"/>
        <v>0</v>
      </c>
      <c r="Q2469" s="49">
        <v>116.88487613461319</v>
      </c>
      <c r="R2469">
        <v>2225</v>
      </c>
      <c r="S2469" s="50">
        <f t="shared" si="572"/>
        <v>71535.307499999995</v>
      </c>
      <c r="T2469" s="50">
        <f t="shared" si="577"/>
        <v>0</v>
      </c>
      <c r="U2469" s="58">
        <f t="shared" si="578"/>
        <v>0</v>
      </c>
      <c r="V2469" s="58">
        <f t="shared" si="579"/>
        <v>0</v>
      </c>
      <c r="W2469" s="58">
        <f t="shared" si="580"/>
        <v>0</v>
      </c>
      <c r="X2469" s="58">
        <f t="shared" si="581"/>
        <v>0</v>
      </c>
      <c r="Y2469" s="52">
        <f t="shared" si="582"/>
        <v>0</v>
      </c>
    </row>
    <row r="2470" spans="1:25" x14ac:dyDescent="0.25">
      <c r="A2470" s="1218" t="s">
        <v>116</v>
      </c>
      <c r="B2470" s="98">
        <v>45870</v>
      </c>
      <c r="C2470" s="117" t="str">
        <f t="shared" si="570"/>
        <v>4L</v>
      </c>
      <c r="F2470" s="99">
        <f t="shared" si="569"/>
        <v>0</v>
      </c>
      <c r="I2470" s="99">
        <f t="shared" si="568"/>
        <v>0</v>
      </c>
      <c r="L2470" s="99">
        <f t="shared" si="571"/>
        <v>0</v>
      </c>
      <c r="M2470" s="44" t="str">
        <f t="shared" si="573"/>
        <v/>
      </c>
      <c r="N2470" s="100">
        <f t="shared" si="574"/>
        <v>0</v>
      </c>
      <c r="O2470" s="101">
        <f t="shared" si="575"/>
        <v>0</v>
      </c>
      <c r="P2470" s="52">
        <f t="shared" si="576"/>
        <v>0</v>
      </c>
      <c r="Q2470" s="49">
        <v>116.88487613461319</v>
      </c>
      <c r="R2470">
        <v>2225</v>
      </c>
      <c r="S2470" s="50">
        <f t="shared" si="572"/>
        <v>71535.307499999995</v>
      </c>
      <c r="T2470" s="50">
        <f t="shared" si="577"/>
        <v>0</v>
      </c>
      <c r="U2470" s="58">
        <f t="shared" si="578"/>
        <v>0</v>
      </c>
      <c r="V2470" s="58">
        <f t="shared" si="579"/>
        <v>0</v>
      </c>
      <c r="W2470" s="58">
        <f t="shared" si="580"/>
        <v>0</v>
      </c>
      <c r="X2470" s="58">
        <f t="shared" si="581"/>
        <v>0</v>
      </c>
      <c r="Y2470" s="52">
        <f t="shared" si="582"/>
        <v>0</v>
      </c>
    </row>
    <row r="2471" spans="1:25" x14ac:dyDescent="0.25">
      <c r="A2471" s="1218" t="s">
        <v>117</v>
      </c>
      <c r="B2471" s="98">
        <v>45870</v>
      </c>
      <c r="C2471" s="117" t="str">
        <f t="shared" si="570"/>
        <v>4L</v>
      </c>
      <c r="F2471" s="99">
        <f t="shared" si="569"/>
        <v>0</v>
      </c>
      <c r="I2471" s="99">
        <f t="shared" si="568"/>
        <v>0</v>
      </c>
      <c r="L2471" s="99">
        <f t="shared" si="571"/>
        <v>0</v>
      </c>
      <c r="M2471" s="44" t="str">
        <f t="shared" si="573"/>
        <v/>
      </c>
      <c r="N2471" s="100">
        <f t="shared" si="574"/>
        <v>0</v>
      </c>
      <c r="O2471" s="101">
        <f t="shared" si="575"/>
        <v>0</v>
      </c>
      <c r="P2471" s="52">
        <f t="shared" si="576"/>
        <v>0</v>
      </c>
      <c r="Q2471" s="49">
        <v>116.88487613461319</v>
      </c>
      <c r="R2471">
        <v>2225</v>
      </c>
      <c r="S2471" s="50">
        <f t="shared" si="572"/>
        <v>71535.307499999995</v>
      </c>
      <c r="T2471" s="50">
        <f t="shared" si="577"/>
        <v>0</v>
      </c>
      <c r="U2471" s="58">
        <f t="shared" si="578"/>
        <v>0</v>
      </c>
      <c r="V2471" s="58">
        <f t="shared" si="579"/>
        <v>0</v>
      </c>
      <c r="W2471" s="58">
        <f t="shared" si="580"/>
        <v>0</v>
      </c>
      <c r="X2471" s="58">
        <f t="shared" si="581"/>
        <v>0</v>
      </c>
      <c r="Y2471" s="52">
        <f t="shared" si="582"/>
        <v>0</v>
      </c>
    </row>
    <row r="2472" spans="1:25" x14ac:dyDescent="0.25">
      <c r="A2472" s="1218" t="s">
        <v>118</v>
      </c>
      <c r="B2472" s="98">
        <v>45870</v>
      </c>
      <c r="C2472" s="117" t="str">
        <f t="shared" si="570"/>
        <v>4L</v>
      </c>
      <c r="F2472" s="99">
        <f t="shared" si="569"/>
        <v>0</v>
      </c>
      <c r="I2472" s="99">
        <f t="shared" si="568"/>
        <v>0</v>
      </c>
      <c r="L2472" s="99">
        <f t="shared" si="571"/>
        <v>0</v>
      </c>
      <c r="M2472" s="44" t="str">
        <f t="shared" si="573"/>
        <v/>
      </c>
      <c r="N2472" s="100">
        <f t="shared" si="574"/>
        <v>0</v>
      </c>
      <c r="O2472" s="101">
        <f t="shared" si="575"/>
        <v>0</v>
      </c>
      <c r="P2472" s="52">
        <f t="shared" si="576"/>
        <v>0</v>
      </c>
      <c r="Q2472" s="49">
        <v>116.88487613461319</v>
      </c>
      <c r="R2472">
        <v>2225</v>
      </c>
      <c r="S2472" s="50">
        <f t="shared" si="572"/>
        <v>71535.307499999995</v>
      </c>
      <c r="T2472" s="50">
        <f t="shared" si="577"/>
        <v>0</v>
      </c>
      <c r="U2472" s="58">
        <f t="shared" si="578"/>
        <v>0</v>
      </c>
      <c r="V2472" s="58">
        <f t="shared" si="579"/>
        <v>0</v>
      </c>
      <c r="W2472" s="58">
        <f t="shared" si="580"/>
        <v>0</v>
      </c>
      <c r="X2472" s="58">
        <f t="shared" si="581"/>
        <v>0</v>
      </c>
      <c r="Y2472" s="52">
        <f t="shared" si="582"/>
        <v>0</v>
      </c>
    </row>
    <row r="2473" spans="1:25" x14ac:dyDescent="0.25">
      <c r="A2473" s="1218" t="s">
        <v>119</v>
      </c>
      <c r="B2473" s="98">
        <v>45870</v>
      </c>
      <c r="C2473" s="117" t="str">
        <f t="shared" si="570"/>
        <v>4L</v>
      </c>
      <c r="F2473" s="99">
        <f t="shared" si="569"/>
        <v>0</v>
      </c>
      <c r="I2473" s="99">
        <f t="shared" si="568"/>
        <v>0</v>
      </c>
      <c r="L2473" s="99">
        <f t="shared" si="571"/>
        <v>0</v>
      </c>
      <c r="M2473" s="44" t="str">
        <f t="shared" si="573"/>
        <v/>
      </c>
      <c r="N2473" s="100">
        <f t="shared" si="574"/>
        <v>0</v>
      </c>
      <c r="O2473" s="101">
        <f t="shared" si="575"/>
        <v>0</v>
      </c>
      <c r="P2473" s="52">
        <f t="shared" si="576"/>
        <v>0</v>
      </c>
      <c r="Q2473" s="49">
        <v>116.88487613461319</v>
      </c>
      <c r="R2473">
        <v>2225</v>
      </c>
      <c r="S2473" s="50">
        <f t="shared" si="572"/>
        <v>71535.307499999995</v>
      </c>
      <c r="T2473" s="50">
        <f t="shared" si="577"/>
        <v>0</v>
      </c>
      <c r="U2473" s="58">
        <f t="shared" si="578"/>
        <v>0</v>
      </c>
      <c r="V2473" s="58">
        <f t="shared" si="579"/>
        <v>0</v>
      </c>
      <c r="W2473" s="58">
        <f t="shared" si="580"/>
        <v>0</v>
      </c>
      <c r="X2473" s="58">
        <f t="shared" si="581"/>
        <v>0</v>
      </c>
      <c r="Y2473" s="52">
        <f t="shared" si="582"/>
        <v>0</v>
      </c>
    </row>
    <row r="2474" spans="1:25" x14ac:dyDescent="0.25">
      <c r="A2474" s="1218" t="s">
        <v>120</v>
      </c>
      <c r="B2474" s="98">
        <v>45870</v>
      </c>
      <c r="C2474" s="117" t="str">
        <f t="shared" si="570"/>
        <v>4L</v>
      </c>
      <c r="F2474" s="99">
        <f t="shared" si="569"/>
        <v>0</v>
      </c>
      <c r="I2474" s="99">
        <f t="shared" si="568"/>
        <v>0</v>
      </c>
      <c r="L2474" s="99">
        <f t="shared" si="571"/>
        <v>0</v>
      </c>
      <c r="M2474" s="44" t="str">
        <f t="shared" si="573"/>
        <v/>
      </c>
      <c r="N2474" s="100">
        <f t="shared" si="574"/>
        <v>0</v>
      </c>
      <c r="O2474" s="101">
        <f t="shared" si="575"/>
        <v>0</v>
      </c>
      <c r="P2474" s="52">
        <f t="shared" si="576"/>
        <v>0</v>
      </c>
      <c r="Q2474" s="49">
        <v>116.88487613461319</v>
      </c>
      <c r="R2474">
        <v>2225</v>
      </c>
      <c r="S2474" s="50">
        <f t="shared" si="572"/>
        <v>71535.307499999995</v>
      </c>
      <c r="T2474" s="50">
        <f t="shared" si="577"/>
        <v>0</v>
      </c>
      <c r="U2474" s="58">
        <f t="shared" si="578"/>
        <v>0</v>
      </c>
      <c r="V2474" s="58">
        <f t="shared" si="579"/>
        <v>0</v>
      </c>
      <c r="W2474" s="58">
        <f t="shared" si="580"/>
        <v>0</v>
      </c>
      <c r="X2474" s="58">
        <f t="shared" si="581"/>
        <v>0</v>
      </c>
      <c r="Y2474" s="52">
        <f t="shared" si="582"/>
        <v>0</v>
      </c>
    </row>
    <row r="2475" spans="1:25" x14ac:dyDescent="0.25">
      <c r="A2475" s="1218" t="s">
        <v>121</v>
      </c>
      <c r="B2475" s="98">
        <v>45870</v>
      </c>
      <c r="C2475" s="117" t="str">
        <f t="shared" si="570"/>
        <v>4L</v>
      </c>
      <c r="F2475" s="99">
        <f t="shared" si="569"/>
        <v>0</v>
      </c>
      <c r="I2475" s="99">
        <f t="shared" si="568"/>
        <v>0</v>
      </c>
      <c r="L2475" s="99">
        <f t="shared" si="571"/>
        <v>0</v>
      </c>
      <c r="M2475" s="44" t="str">
        <f t="shared" si="573"/>
        <v/>
      </c>
      <c r="N2475" s="100">
        <f t="shared" si="574"/>
        <v>0</v>
      </c>
      <c r="O2475" s="101">
        <f t="shared" si="575"/>
        <v>0</v>
      </c>
      <c r="P2475" s="52">
        <f t="shared" si="576"/>
        <v>0</v>
      </c>
      <c r="Q2475" s="49">
        <v>116.88487613461319</v>
      </c>
      <c r="R2475">
        <v>2225</v>
      </c>
      <c r="S2475" s="50">
        <f t="shared" si="572"/>
        <v>71535.307499999995</v>
      </c>
      <c r="T2475" s="50">
        <f t="shared" si="577"/>
        <v>0</v>
      </c>
      <c r="U2475" s="58">
        <f t="shared" si="578"/>
        <v>0</v>
      </c>
      <c r="V2475" s="58">
        <f t="shared" si="579"/>
        <v>0</v>
      </c>
      <c r="W2475" s="58">
        <f t="shared" si="580"/>
        <v>0</v>
      </c>
      <c r="X2475" s="58">
        <f t="shared" si="581"/>
        <v>0</v>
      </c>
      <c r="Y2475" s="52">
        <f t="shared" si="582"/>
        <v>0</v>
      </c>
    </row>
    <row r="2476" spans="1:25" x14ac:dyDescent="0.25">
      <c r="A2476" s="1218" t="s">
        <v>122</v>
      </c>
      <c r="B2476" s="98">
        <v>45870</v>
      </c>
      <c r="C2476" s="117" t="str">
        <f t="shared" si="570"/>
        <v>4L</v>
      </c>
      <c r="F2476" s="99">
        <f t="shared" si="569"/>
        <v>0</v>
      </c>
      <c r="I2476" s="99">
        <f t="shared" si="568"/>
        <v>0</v>
      </c>
      <c r="L2476" s="99">
        <f t="shared" si="571"/>
        <v>0</v>
      </c>
      <c r="M2476" s="44" t="str">
        <f t="shared" si="573"/>
        <v/>
      </c>
      <c r="N2476" s="100">
        <f t="shared" si="574"/>
        <v>0</v>
      </c>
      <c r="O2476" s="101">
        <f t="shared" si="575"/>
        <v>0</v>
      </c>
      <c r="P2476" s="52">
        <f t="shared" si="576"/>
        <v>0</v>
      </c>
      <c r="Q2476" s="49">
        <v>116.88487613461319</v>
      </c>
      <c r="R2476">
        <v>2225</v>
      </c>
      <c r="S2476" s="50">
        <f t="shared" si="572"/>
        <v>71535.307499999995</v>
      </c>
      <c r="T2476" s="50">
        <f t="shared" si="577"/>
        <v>0</v>
      </c>
      <c r="U2476" s="58">
        <f t="shared" si="578"/>
        <v>0</v>
      </c>
      <c r="V2476" s="58">
        <f t="shared" si="579"/>
        <v>0</v>
      </c>
      <c r="W2476" s="58">
        <f t="shared" si="580"/>
        <v>0</v>
      </c>
      <c r="X2476" s="58">
        <f t="shared" si="581"/>
        <v>0</v>
      </c>
      <c r="Y2476" s="52">
        <f t="shared" si="582"/>
        <v>0</v>
      </c>
    </row>
    <row r="2477" spans="1:25" x14ac:dyDescent="0.25">
      <c r="A2477" s="1218" t="s">
        <v>123</v>
      </c>
      <c r="B2477" s="98">
        <v>45870</v>
      </c>
      <c r="C2477" s="117" t="str">
        <f t="shared" si="570"/>
        <v>4L</v>
      </c>
      <c r="F2477" s="99">
        <f t="shared" si="569"/>
        <v>0</v>
      </c>
      <c r="I2477" s="99">
        <f t="shared" si="568"/>
        <v>0</v>
      </c>
      <c r="L2477" s="99">
        <f t="shared" si="571"/>
        <v>0</v>
      </c>
      <c r="M2477" s="44" t="str">
        <f t="shared" si="573"/>
        <v/>
      </c>
      <c r="N2477" s="100">
        <f t="shared" si="574"/>
        <v>0</v>
      </c>
      <c r="O2477" s="101">
        <f t="shared" si="575"/>
        <v>0</v>
      </c>
      <c r="P2477" s="52">
        <f t="shared" si="576"/>
        <v>0</v>
      </c>
      <c r="Q2477" s="49">
        <v>116.88487613461319</v>
      </c>
      <c r="R2477">
        <v>2225</v>
      </c>
      <c r="S2477" s="50">
        <f t="shared" si="572"/>
        <v>71535.307499999995</v>
      </c>
      <c r="T2477" s="50">
        <f t="shared" si="577"/>
        <v>0</v>
      </c>
      <c r="U2477" s="58">
        <f t="shared" si="578"/>
        <v>0</v>
      </c>
      <c r="V2477" s="58">
        <f t="shared" si="579"/>
        <v>0</v>
      </c>
      <c r="W2477" s="58">
        <f t="shared" si="580"/>
        <v>0</v>
      </c>
      <c r="X2477" s="58">
        <f t="shared" si="581"/>
        <v>0</v>
      </c>
      <c r="Y2477" s="52">
        <f t="shared" si="582"/>
        <v>0</v>
      </c>
    </row>
    <row r="2478" spans="1:25" x14ac:dyDescent="0.25">
      <c r="A2478" s="1218" t="s">
        <v>124</v>
      </c>
      <c r="B2478" s="98">
        <v>45870</v>
      </c>
      <c r="C2478" s="117" t="str">
        <f t="shared" si="570"/>
        <v>4L</v>
      </c>
      <c r="F2478" s="99">
        <f t="shared" si="569"/>
        <v>0</v>
      </c>
      <c r="I2478" s="99">
        <f t="shared" si="568"/>
        <v>0</v>
      </c>
      <c r="L2478" s="99">
        <f t="shared" si="571"/>
        <v>0</v>
      </c>
      <c r="M2478" s="44" t="str">
        <f t="shared" si="573"/>
        <v/>
      </c>
      <c r="N2478" s="100">
        <f t="shared" si="574"/>
        <v>0</v>
      </c>
      <c r="O2478" s="101">
        <f t="shared" si="575"/>
        <v>0</v>
      </c>
      <c r="P2478" s="52">
        <f t="shared" si="576"/>
        <v>0</v>
      </c>
      <c r="Q2478" s="49">
        <v>116.88487613461319</v>
      </c>
      <c r="R2478">
        <v>2225</v>
      </c>
      <c r="S2478" s="50">
        <f t="shared" si="572"/>
        <v>71535.307499999995</v>
      </c>
      <c r="T2478" s="50">
        <f t="shared" si="577"/>
        <v>0</v>
      </c>
      <c r="U2478" s="58">
        <f t="shared" si="578"/>
        <v>0</v>
      </c>
      <c r="V2478" s="58">
        <f t="shared" si="579"/>
        <v>0</v>
      </c>
      <c r="W2478" s="58">
        <f t="shared" si="580"/>
        <v>0</v>
      </c>
      <c r="X2478" s="58">
        <f t="shared" si="581"/>
        <v>0</v>
      </c>
      <c r="Y2478" s="52">
        <f t="shared" si="582"/>
        <v>0</v>
      </c>
    </row>
    <row r="2479" spans="1:25" x14ac:dyDescent="0.25">
      <c r="A2479" s="1218" t="s">
        <v>125</v>
      </c>
      <c r="B2479" s="98">
        <v>45870</v>
      </c>
      <c r="C2479" s="117" t="str">
        <f t="shared" si="570"/>
        <v>4L</v>
      </c>
      <c r="F2479" s="99">
        <f t="shared" si="569"/>
        <v>0</v>
      </c>
      <c r="I2479" s="99">
        <f t="shared" si="568"/>
        <v>0</v>
      </c>
      <c r="L2479" s="99">
        <f t="shared" si="571"/>
        <v>0</v>
      </c>
      <c r="M2479" s="44" t="str">
        <f t="shared" si="573"/>
        <v/>
      </c>
      <c r="N2479" s="100">
        <f t="shared" si="574"/>
        <v>0</v>
      </c>
      <c r="O2479" s="101">
        <f t="shared" si="575"/>
        <v>0</v>
      </c>
      <c r="P2479" s="52">
        <f t="shared" si="576"/>
        <v>0</v>
      </c>
      <c r="Q2479" s="49">
        <v>116.88487613461319</v>
      </c>
      <c r="R2479">
        <v>2225</v>
      </c>
      <c r="S2479" s="50">
        <f t="shared" si="572"/>
        <v>71535.307499999995</v>
      </c>
      <c r="T2479" s="50">
        <f t="shared" si="577"/>
        <v>0</v>
      </c>
      <c r="U2479" s="58">
        <f t="shared" si="578"/>
        <v>0</v>
      </c>
      <c r="V2479" s="58">
        <f t="shared" si="579"/>
        <v>0</v>
      </c>
      <c r="W2479" s="58">
        <f t="shared" si="580"/>
        <v>0</v>
      </c>
      <c r="X2479" s="58">
        <f t="shared" si="581"/>
        <v>0</v>
      </c>
      <c r="Y2479" s="52">
        <f t="shared" si="582"/>
        <v>0</v>
      </c>
    </row>
    <row r="2480" spans="1:25" x14ac:dyDescent="0.25">
      <c r="A2480" s="1218" t="s">
        <v>126</v>
      </c>
      <c r="B2480" s="98">
        <v>45870</v>
      </c>
      <c r="C2480" s="117" t="str">
        <f t="shared" ref="C2480:C2481" si="583">LEFT(A2480,2)</f>
        <v>4L</v>
      </c>
      <c r="F2480" s="99"/>
      <c r="I2480" s="99"/>
      <c r="L2480" s="99"/>
      <c r="M2480" s="44"/>
      <c r="N2480" s="100"/>
      <c r="O2480" s="101"/>
      <c r="P2480" s="52"/>
      <c r="Q2480" s="49"/>
      <c r="S2480" s="50"/>
      <c r="T2480" s="50"/>
      <c r="U2480" s="58"/>
      <c r="V2480" s="58"/>
      <c r="W2480" s="58"/>
      <c r="X2480" s="58"/>
      <c r="Y2480" s="52"/>
    </row>
    <row r="2481" spans="1:25" x14ac:dyDescent="0.25">
      <c r="A2481" s="1218" t="s">
        <v>127</v>
      </c>
      <c r="B2481" s="98">
        <v>45870</v>
      </c>
      <c r="C2481" s="117" t="str">
        <f t="shared" si="583"/>
        <v>4L</v>
      </c>
      <c r="F2481" s="99">
        <f t="shared" si="569"/>
        <v>0</v>
      </c>
      <c r="I2481" s="99">
        <f t="shared" si="568"/>
        <v>0</v>
      </c>
      <c r="L2481" s="99"/>
      <c r="M2481" s="44"/>
      <c r="N2481" s="100"/>
      <c r="O2481" s="101"/>
      <c r="P2481" s="52"/>
      <c r="Q2481" s="49"/>
      <c r="S2481" s="50"/>
      <c r="T2481" s="50"/>
      <c r="U2481" s="58"/>
      <c r="V2481" s="58"/>
      <c r="W2481" s="58"/>
      <c r="X2481" s="58"/>
      <c r="Y2481" s="52"/>
    </row>
    <row r="2482" spans="1:25" x14ac:dyDescent="0.25">
      <c r="A2482" s="1218" t="s">
        <v>128</v>
      </c>
      <c r="B2482" s="98">
        <v>45870</v>
      </c>
      <c r="C2482" s="117" t="str">
        <f t="shared" si="570"/>
        <v>4L</v>
      </c>
      <c r="F2482" s="99">
        <f t="shared" si="569"/>
        <v>0</v>
      </c>
      <c r="I2482" s="99">
        <f t="shared" si="568"/>
        <v>0</v>
      </c>
      <c r="L2482" s="99"/>
      <c r="M2482" s="44"/>
      <c r="N2482" s="100"/>
      <c r="O2482" s="101"/>
      <c r="P2482" s="52"/>
      <c r="Q2482" s="49"/>
      <c r="S2482" s="50"/>
      <c r="T2482" s="50"/>
      <c r="U2482" s="58"/>
      <c r="V2482" s="58"/>
      <c r="W2482" s="58"/>
      <c r="X2482" s="58"/>
      <c r="Y2482" s="52"/>
    </row>
    <row r="2483" spans="1:25" x14ac:dyDescent="0.25">
      <c r="A2483" s="1218" t="s">
        <v>129</v>
      </c>
      <c r="B2483" s="98">
        <v>45870</v>
      </c>
      <c r="C2483" s="117" t="str">
        <f t="shared" si="570"/>
        <v>4L</v>
      </c>
      <c r="F2483" s="99">
        <f t="shared" si="569"/>
        <v>0</v>
      </c>
      <c r="I2483" s="99">
        <f t="shared" si="568"/>
        <v>0</v>
      </c>
      <c r="L2483" s="99">
        <f t="shared" si="571"/>
        <v>0</v>
      </c>
      <c r="M2483" s="44" t="str">
        <f t="shared" si="573"/>
        <v/>
      </c>
      <c r="N2483" s="100">
        <f t="shared" si="574"/>
        <v>0</v>
      </c>
      <c r="O2483" s="101">
        <f t="shared" si="575"/>
        <v>0</v>
      </c>
      <c r="P2483" s="52">
        <f t="shared" si="576"/>
        <v>0</v>
      </c>
      <c r="Q2483" s="49">
        <v>116.88487613461319</v>
      </c>
      <c r="R2483">
        <v>2225</v>
      </c>
      <c r="S2483" s="50">
        <f t="shared" si="572"/>
        <v>71535.307499999995</v>
      </c>
      <c r="T2483" s="50">
        <f t="shared" si="577"/>
        <v>0</v>
      </c>
      <c r="U2483" s="58">
        <f t="shared" si="578"/>
        <v>0</v>
      </c>
      <c r="V2483" s="58">
        <f t="shared" si="579"/>
        <v>0</v>
      </c>
      <c r="W2483" s="58">
        <f t="shared" si="580"/>
        <v>0</v>
      </c>
      <c r="X2483" s="58">
        <f t="shared" si="581"/>
        <v>0</v>
      </c>
      <c r="Y2483" s="52">
        <f t="shared" si="582"/>
        <v>0</v>
      </c>
    </row>
    <row r="2484" spans="1:25" x14ac:dyDescent="0.25">
      <c r="A2484" s="1218" t="s">
        <v>130</v>
      </c>
      <c r="B2484" s="98">
        <v>45870</v>
      </c>
      <c r="C2484" s="117" t="str">
        <f t="shared" si="570"/>
        <v>5L</v>
      </c>
      <c r="F2484" s="99">
        <f t="shared" si="569"/>
        <v>0</v>
      </c>
      <c r="I2484" s="99">
        <f t="shared" si="568"/>
        <v>0</v>
      </c>
      <c r="L2484" s="99">
        <f t="shared" si="571"/>
        <v>0</v>
      </c>
      <c r="M2484" s="44" t="str">
        <f t="shared" si="573"/>
        <v/>
      </c>
      <c r="N2484" s="100">
        <f t="shared" si="574"/>
        <v>0</v>
      </c>
      <c r="O2484" s="101">
        <f t="shared" si="575"/>
        <v>0</v>
      </c>
      <c r="P2484" s="52">
        <f t="shared" si="576"/>
        <v>0</v>
      </c>
      <c r="Q2484" s="49">
        <v>116.88487613461319</v>
      </c>
      <c r="R2484">
        <v>2225</v>
      </c>
      <c r="S2484" s="50">
        <f t="shared" si="572"/>
        <v>71535.307499999995</v>
      </c>
      <c r="T2484" s="50">
        <f t="shared" si="577"/>
        <v>0</v>
      </c>
      <c r="U2484" s="58">
        <f t="shared" si="578"/>
        <v>0</v>
      </c>
      <c r="V2484" s="58">
        <f t="shared" si="579"/>
        <v>0</v>
      </c>
      <c r="W2484" s="58">
        <f t="shared" si="580"/>
        <v>0</v>
      </c>
      <c r="X2484" s="58">
        <f t="shared" si="581"/>
        <v>0</v>
      </c>
      <c r="Y2484" s="52">
        <f t="shared" si="582"/>
        <v>0</v>
      </c>
    </row>
    <row r="2485" spans="1:25" x14ac:dyDescent="0.25">
      <c r="A2485" s="1218" t="s">
        <v>131</v>
      </c>
      <c r="B2485" s="98">
        <v>45870</v>
      </c>
      <c r="C2485" s="117" t="str">
        <f t="shared" si="570"/>
        <v>5L</v>
      </c>
      <c r="F2485" s="99">
        <f t="shared" si="569"/>
        <v>0</v>
      </c>
      <c r="I2485" s="99">
        <f t="shared" si="568"/>
        <v>0</v>
      </c>
      <c r="L2485" s="99">
        <f t="shared" si="571"/>
        <v>0</v>
      </c>
      <c r="M2485" s="44" t="str">
        <f t="shared" si="573"/>
        <v/>
      </c>
      <c r="N2485" s="100">
        <f t="shared" si="574"/>
        <v>0</v>
      </c>
      <c r="O2485" s="101">
        <f t="shared" si="575"/>
        <v>0</v>
      </c>
      <c r="P2485" s="52">
        <f t="shared" si="576"/>
        <v>0</v>
      </c>
      <c r="Q2485" s="49">
        <v>116.88487613461319</v>
      </c>
      <c r="R2485">
        <v>2225</v>
      </c>
      <c r="S2485" s="50">
        <f t="shared" si="572"/>
        <v>71535.307499999995</v>
      </c>
      <c r="T2485" s="50">
        <f t="shared" si="577"/>
        <v>0</v>
      </c>
      <c r="U2485" s="58">
        <f t="shared" si="578"/>
        <v>0</v>
      </c>
      <c r="V2485" s="58">
        <f t="shared" si="579"/>
        <v>0</v>
      </c>
      <c r="W2485" s="58">
        <f t="shared" si="580"/>
        <v>0</v>
      </c>
      <c r="X2485" s="58">
        <f t="shared" si="581"/>
        <v>0</v>
      </c>
      <c r="Y2485" s="52">
        <f t="shared" si="582"/>
        <v>0</v>
      </c>
    </row>
    <row r="2486" spans="1:25" x14ac:dyDescent="0.25">
      <c r="A2486" s="1218" t="s">
        <v>132</v>
      </c>
      <c r="B2486" s="98">
        <v>45870</v>
      </c>
      <c r="C2486" s="117" t="str">
        <f t="shared" si="570"/>
        <v>5L</v>
      </c>
      <c r="F2486" s="99">
        <f t="shared" si="569"/>
        <v>0</v>
      </c>
      <c r="I2486" s="99">
        <f t="shared" si="568"/>
        <v>0</v>
      </c>
      <c r="L2486" s="99">
        <f t="shared" si="571"/>
        <v>0</v>
      </c>
      <c r="M2486" s="44" t="str">
        <f t="shared" si="573"/>
        <v/>
      </c>
      <c r="N2486" s="100">
        <f t="shared" si="574"/>
        <v>0</v>
      </c>
      <c r="O2486" s="101">
        <f t="shared" si="575"/>
        <v>0</v>
      </c>
      <c r="P2486" s="52">
        <f t="shared" si="576"/>
        <v>0</v>
      </c>
      <c r="Q2486" s="49">
        <v>116.88487613461319</v>
      </c>
      <c r="R2486">
        <v>2225</v>
      </c>
      <c r="S2486" s="50">
        <f t="shared" si="572"/>
        <v>71535.307499999995</v>
      </c>
      <c r="T2486" s="50">
        <f t="shared" si="577"/>
        <v>0</v>
      </c>
      <c r="U2486" s="58">
        <f t="shared" si="578"/>
        <v>0</v>
      </c>
      <c r="V2486" s="58">
        <f t="shared" si="579"/>
        <v>0</v>
      </c>
      <c r="W2486" s="58">
        <f t="shared" si="580"/>
        <v>0</v>
      </c>
      <c r="X2486" s="58">
        <f t="shared" si="581"/>
        <v>0</v>
      </c>
      <c r="Y2486" s="52">
        <f t="shared" si="582"/>
        <v>0</v>
      </c>
    </row>
    <row r="2487" spans="1:25" x14ac:dyDescent="0.25">
      <c r="A2487" s="1218" t="s">
        <v>133</v>
      </c>
      <c r="B2487" s="98">
        <v>45870</v>
      </c>
      <c r="C2487" s="117" t="str">
        <f t="shared" si="570"/>
        <v>5L</v>
      </c>
      <c r="F2487" s="99">
        <f t="shared" si="569"/>
        <v>0</v>
      </c>
      <c r="I2487" s="99">
        <f t="shared" si="568"/>
        <v>0</v>
      </c>
      <c r="L2487" s="99">
        <f t="shared" si="571"/>
        <v>0</v>
      </c>
      <c r="M2487" s="44" t="str">
        <f t="shared" si="573"/>
        <v/>
      </c>
      <c r="N2487" s="100">
        <f t="shared" si="574"/>
        <v>0</v>
      </c>
      <c r="O2487" s="101">
        <f t="shared" si="575"/>
        <v>0</v>
      </c>
      <c r="P2487" s="52">
        <f t="shared" si="576"/>
        <v>0</v>
      </c>
      <c r="Q2487" s="49">
        <v>116.88487613461319</v>
      </c>
      <c r="R2487">
        <v>2225</v>
      </c>
      <c r="S2487" s="50">
        <f t="shared" si="572"/>
        <v>71535.307499999995</v>
      </c>
      <c r="T2487" s="50">
        <f t="shared" si="577"/>
        <v>0</v>
      </c>
      <c r="U2487" s="58">
        <f t="shared" si="578"/>
        <v>0</v>
      </c>
      <c r="V2487" s="58">
        <f t="shared" si="579"/>
        <v>0</v>
      </c>
      <c r="W2487" s="58">
        <f t="shared" si="580"/>
        <v>0</v>
      </c>
      <c r="X2487" s="58">
        <f t="shared" si="581"/>
        <v>0</v>
      </c>
      <c r="Y2487" s="52">
        <f t="shared" si="582"/>
        <v>0</v>
      </c>
    </row>
    <row r="2488" spans="1:25" x14ac:dyDescent="0.25">
      <c r="A2488" s="1218" t="s">
        <v>134</v>
      </c>
      <c r="B2488" s="98">
        <v>45870</v>
      </c>
      <c r="C2488" s="117" t="str">
        <f t="shared" si="570"/>
        <v>5L</v>
      </c>
      <c r="F2488" s="99">
        <f t="shared" si="569"/>
        <v>0</v>
      </c>
      <c r="I2488" s="99">
        <f t="shared" si="568"/>
        <v>0</v>
      </c>
      <c r="L2488" s="99">
        <f t="shared" si="571"/>
        <v>0</v>
      </c>
      <c r="M2488" s="44" t="str">
        <f t="shared" si="573"/>
        <v/>
      </c>
      <c r="N2488" s="100">
        <f t="shared" si="574"/>
        <v>0</v>
      </c>
      <c r="O2488" s="101">
        <f t="shared" si="575"/>
        <v>0</v>
      </c>
      <c r="P2488" s="52">
        <f t="shared" si="576"/>
        <v>0</v>
      </c>
      <c r="Q2488" s="49">
        <v>116.88487613461319</v>
      </c>
      <c r="R2488">
        <v>2225</v>
      </c>
      <c r="S2488" s="50">
        <f t="shared" si="572"/>
        <v>71535.307499999995</v>
      </c>
      <c r="T2488" s="50">
        <f t="shared" si="577"/>
        <v>0</v>
      </c>
      <c r="U2488" s="58">
        <f t="shared" si="578"/>
        <v>0</v>
      </c>
      <c r="V2488" s="58">
        <f t="shared" si="579"/>
        <v>0</v>
      </c>
      <c r="W2488" s="58">
        <f t="shared" si="580"/>
        <v>0</v>
      </c>
      <c r="X2488" s="58">
        <f t="shared" si="581"/>
        <v>0</v>
      </c>
      <c r="Y2488" s="52">
        <f t="shared" si="582"/>
        <v>0</v>
      </c>
    </row>
    <row r="2489" spans="1:25" x14ac:dyDescent="0.25">
      <c r="A2489" s="1218" t="s">
        <v>135</v>
      </c>
      <c r="B2489" s="98">
        <v>45870</v>
      </c>
      <c r="C2489" s="117" t="str">
        <f t="shared" si="570"/>
        <v>5L</v>
      </c>
      <c r="F2489" s="99">
        <f t="shared" si="569"/>
        <v>0</v>
      </c>
      <c r="I2489" s="99">
        <f t="shared" si="568"/>
        <v>0</v>
      </c>
      <c r="L2489" s="99">
        <f t="shared" si="571"/>
        <v>0</v>
      </c>
      <c r="M2489" s="44" t="str">
        <f t="shared" si="573"/>
        <v/>
      </c>
      <c r="N2489" s="100">
        <f t="shared" si="574"/>
        <v>0</v>
      </c>
      <c r="O2489" s="101">
        <f t="shared" si="575"/>
        <v>0</v>
      </c>
      <c r="P2489" s="52">
        <f t="shared" si="576"/>
        <v>0</v>
      </c>
      <c r="Q2489" s="49">
        <v>116.88487613461319</v>
      </c>
      <c r="R2489">
        <v>2225</v>
      </c>
      <c r="S2489" s="50">
        <f t="shared" si="572"/>
        <v>71535.307499999995</v>
      </c>
      <c r="T2489" s="50">
        <f t="shared" si="577"/>
        <v>0</v>
      </c>
      <c r="U2489" s="58">
        <f t="shared" si="578"/>
        <v>0</v>
      </c>
      <c r="V2489" s="58">
        <f t="shared" si="579"/>
        <v>0</v>
      </c>
      <c r="W2489" s="58">
        <f t="shared" si="580"/>
        <v>0</v>
      </c>
      <c r="X2489" s="58">
        <f t="shared" si="581"/>
        <v>0</v>
      </c>
      <c r="Y2489" s="52">
        <f t="shared" si="582"/>
        <v>0</v>
      </c>
    </row>
    <row r="2490" spans="1:25" x14ac:dyDescent="0.25">
      <c r="A2490" s="1218" t="s">
        <v>136</v>
      </c>
      <c r="B2490" s="98">
        <v>45870</v>
      </c>
      <c r="C2490" s="117" t="str">
        <f t="shared" si="570"/>
        <v>5L</v>
      </c>
      <c r="F2490" s="99">
        <f t="shared" si="569"/>
        <v>0</v>
      </c>
      <c r="I2490" s="99">
        <f t="shared" si="568"/>
        <v>0</v>
      </c>
      <c r="L2490" s="99">
        <f t="shared" si="571"/>
        <v>0</v>
      </c>
      <c r="M2490" s="44" t="str">
        <f t="shared" si="573"/>
        <v/>
      </c>
      <c r="N2490" s="100">
        <f t="shared" si="574"/>
        <v>0</v>
      </c>
      <c r="O2490" s="101">
        <f t="shared" si="575"/>
        <v>0</v>
      </c>
      <c r="P2490" s="52">
        <f t="shared" si="576"/>
        <v>0</v>
      </c>
      <c r="Q2490" s="49">
        <v>116.88487613461319</v>
      </c>
      <c r="R2490">
        <v>2225</v>
      </c>
      <c r="S2490" s="50">
        <f t="shared" si="572"/>
        <v>71535.307499999995</v>
      </c>
      <c r="T2490" s="50">
        <f t="shared" si="577"/>
        <v>0</v>
      </c>
      <c r="U2490" s="58">
        <f t="shared" si="578"/>
        <v>0</v>
      </c>
      <c r="V2490" s="58">
        <f t="shared" si="579"/>
        <v>0</v>
      </c>
      <c r="W2490" s="58">
        <f t="shared" si="580"/>
        <v>0</v>
      </c>
      <c r="X2490" s="58">
        <f t="shared" si="581"/>
        <v>0</v>
      </c>
      <c r="Y2490" s="52">
        <f t="shared" si="582"/>
        <v>0</v>
      </c>
    </row>
    <row r="2491" spans="1:25" x14ac:dyDescent="0.25">
      <c r="A2491" s="1218" t="s">
        <v>137</v>
      </c>
      <c r="B2491" s="98">
        <v>45870</v>
      </c>
      <c r="C2491" s="117" t="str">
        <f t="shared" si="570"/>
        <v>5L</v>
      </c>
      <c r="F2491" s="99">
        <f t="shared" si="569"/>
        <v>0</v>
      </c>
      <c r="I2491" s="99">
        <f t="shared" si="568"/>
        <v>0</v>
      </c>
      <c r="L2491" s="99">
        <f t="shared" si="571"/>
        <v>0</v>
      </c>
      <c r="M2491" s="44" t="str">
        <f t="shared" si="573"/>
        <v/>
      </c>
      <c r="N2491" s="100">
        <f t="shared" si="574"/>
        <v>0</v>
      </c>
      <c r="O2491" s="101">
        <f t="shared" si="575"/>
        <v>0</v>
      </c>
      <c r="P2491" s="52">
        <f t="shared" si="576"/>
        <v>0</v>
      </c>
      <c r="Q2491" s="49">
        <v>116.88487613461319</v>
      </c>
      <c r="R2491">
        <v>2225</v>
      </c>
      <c r="S2491" s="50">
        <f t="shared" si="572"/>
        <v>71535.307499999995</v>
      </c>
      <c r="T2491" s="50">
        <f t="shared" si="577"/>
        <v>0</v>
      </c>
      <c r="U2491" s="58">
        <f t="shared" si="578"/>
        <v>0</v>
      </c>
      <c r="V2491" s="58">
        <f t="shared" si="579"/>
        <v>0</v>
      </c>
      <c r="W2491" s="58">
        <f t="shared" si="580"/>
        <v>0</v>
      </c>
      <c r="X2491" s="58">
        <f t="shared" si="581"/>
        <v>0</v>
      </c>
      <c r="Y2491" s="52">
        <f t="shared" si="582"/>
        <v>0</v>
      </c>
    </row>
    <row r="2492" spans="1:25" x14ac:dyDescent="0.25">
      <c r="A2492" s="1218" t="s">
        <v>138</v>
      </c>
      <c r="B2492" s="98">
        <v>45870</v>
      </c>
      <c r="C2492" s="117" t="str">
        <f t="shared" si="570"/>
        <v>5L</v>
      </c>
      <c r="F2492" s="99">
        <f t="shared" si="569"/>
        <v>0</v>
      </c>
      <c r="I2492" s="99">
        <f t="shared" si="568"/>
        <v>0</v>
      </c>
      <c r="L2492" s="99">
        <f t="shared" si="571"/>
        <v>0</v>
      </c>
      <c r="M2492" s="44" t="str">
        <f t="shared" si="573"/>
        <v/>
      </c>
      <c r="N2492" s="100">
        <f t="shared" si="574"/>
        <v>0</v>
      </c>
      <c r="O2492" s="101">
        <f t="shared" si="575"/>
        <v>0</v>
      </c>
      <c r="P2492" s="52">
        <f t="shared" si="576"/>
        <v>0</v>
      </c>
      <c r="Q2492" s="49">
        <v>116.88487613461319</v>
      </c>
      <c r="R2492">
        <v>2225</v>
      </c>
      <c r="S2492" s="50">
        <f t="shared" si="572"/>
        <v>71535.307499999995</v>
      </c>
      <c r="T2492" s="50">
        <f t="shared" si="577"/>
        <v>0</v>
      </c>
      <c r="U2492" s="58">
        <f t="shared" si="578"/>
        <v>0</v>
      </c>
      <c r="V2492" s="58">
        <f t="shared" si="579"/>
        <v>0</v>
      </c>
      <c r="W2492" s="58">
        <f t="shared" si="580"/>
        <v>0</v>
      </c>
      <c r="X2492" s="58">
        <f t="shared" si="581"/>
        <v>0</v>
      </c>
      <c r="Y2492" s="52">
        <f t="shared" si="582"/>
        <v>0</v>
      </c>
    </row>
    <row r="2493" spans="1:25" x14ac:dyDescent="0.25">
      <c r="A2493" s="1218" t="s">
        <v>139</v>
      </c>
      <c r="B2493" s="98">
        <v>45870</v>
      </c>
      <c r="C2493" s="117" t="str">
        <f t="shared" si="570"/>
        <v>5L</v>
      </c>
      <c r="F2493" s="99">
        <f t="shared" si="569"/>
        <v>0</v>
      </c>
      <c r="I2493" s="99">
        <f t="shared" si="568"/>
        <v>0</v>
      </c>
      <c r="L2493" s="99">
        <f t="shared" si="571"/>
        <v>0</v>
      </c>
      <c r="M2493" s="44" t="str">
        <f t="shared" si="573"/>
        <v/>
      </c>
      <c r="N2493" s="100">
        <f t="shared" si="574"/>
        <v>0</v>
      </c>
      <c r="O2493" s="101">
        <f t="shared" si="575"/>
        <v>0</v>
      </c>
      <c r="P2493" s="52">
        <f t="shared" si="576"/>
        <v>0</v>
      </c>
      <c r="Q2493" s="49">
        <v>116.88487613461319</v>
      </c>
      <c r="R2493">
        <v>2225</v>
      </c>
      <c r="S2493" s="50">
        <f t="shared" si="572"/>
        <v>71535.307499999995</v>
      </c>
      <c r="T2493" s="50">
        <f t="shared" si="577"/>
        <v>0</v>
      </c>
      <c r="U2493" s="58">
        <f t="shared" si="578"/>
        <v>0</v>
      </c>
      <c r="V2493" s="58">
        <f t="shared" si="579"/>
        <v>0</v>
      </c>
      <c r="W2493" s="58">
        <f t="shared" si="580"/>
        <v>0</v>
      </c>
      <c r="X2493" s="58">
        <f t="shared" si="581"/>
        <v>0</v>
      </c>
      <c r="Y2493" s="52">
        <f t="shared" si="582"/>
        <v>0</v>
      </c>
    </row>
    <row r="2494" spans="1:25" x14ac:dyDescent="0.25">
      <c r="A2494" s="1218" t="s">
        <v>140</v>
      </c>
      <c r="B2494" s="98">
        <v>45870</v>
      </c>
      <c r="C2494" s="117" t="str">
        <f t="shared" si="570"/>
        <v>5L</v>
      </c>
      <c r="F2494" s="99">
        <f t="shared" si="569"/>
        <v>0</v>
      </c>
      <c r="I2494" s="99">
        <f t="shared" si="568"/>
        <v>0</v>
      </c>
      <c r="L2494" s="99">
        <f t="shared" si="571"/>
        <v>0</v>
      </c>
      <c r="M2494" s="44" t="str">
        <f t="shared" si="573"/>
        <v/>
      </c>
      <c r="N2494" s="100">
        <f t="shared" si="574"/>
        <v>0</v>
      </c>
      <c r="O2494" s="101">
        <f t="shared" si="575"/>
        <v>0</v>
      </c>
      <c r="P2494" s="52">
        <f t="shared" si="576"/>
        <v>0</v>
      </c>
      <c r="Q2494" s="49">
        <v>116.88487613461319</v>
      </c>
      <c r="R2494">
        <v>2225</v>
      </c>
      <c r="S2494" s="50">
        <f t="shared" si="572"/>
        <v>71535.307499999995</v>
      </c>
      <c r="T2494" s="50">
        <f t="shared" si="577"/>
        <v>0</v>
      </c>
      <c r="U2494" s="58">
        <f t="shared" si="578"/>
        <v>0</v>
      </c>
      <c r="V2494" s="58">
        <f t="shared" si="579"/>
        <v>0</v>
      </c>
      <c r="W2494" s="58">
        <f t="shared" si="580"/>
        <v>0</v>
      </c>
      <c r="X2494" s="58">
        <f t="shared" si="581"/>
        <v>0</v>
      </c>
      <c r="Y2494" s="52">
        <f t="shared" si="582"/>
        <v>0</v>
      </c>
    </row>
    <row r="2495" spans="1:25" x14ac:dyDescent="0.25">
      <c r="A2495" s="1218" t="s">
        <v>141</v>
      </c>
      <c r="B2495" s="98">
        <v>45870</v>
      </c>
      <c r="C2495" s="117" t="str">
        <f t="shared" si="570"/>
        <v>5L</v>
      </c>
      <c r="F2495" s="99">
        <f t="shared" si="569"/>
        <v>0</v>
      </c>
      <c r="I2495" s="99">
        <f t="shared" si="568"/>
        <v>0</v>
      </c>
      <c r="L2495" s="99">
        <f t="shared" si="571"/>
        <v>0</v>
      </c>
      <c r="M2495" s="44" t="str">
        <f t="shared" si="573"/>
        <v/>
      </c>
      <c r="N2495" s="100">
        <f t="shared" si="574"/>
        <v>0</v>
      </c>
      <c r="O2495" s="101">
        <f t="shared" si="575"/>
        <v>0</v>
      </c>
      <c r="P2495" s="52">
        <f t="shared" si="576"/>
        <v>0</v>
      </c>
      <c r="Q2495" s="49">
        <v>116.88487613461319</v>
      </c>
      <c r="R2495">
        <v>2225</v>
      </c>
      <c r="S2495" s="50">
        <f t="shared" si="572"/>
        <v>71535.307499999995</v>
      </c>
      <c r="T2495" s="50">
        <f t="shared" si="577"/>
        <v>0</v>
      </c>
      <c r="U2495" s="58">
        <f t="shared" si="578"/>
        <v>0</v>
      </c>
      <c r="V2495" s="58">
        <f t="shared" si="579"/>
        <v>0</v>
      </c>
      <c r="W2495" s="58">
        <f t="shared" si="580"/>
        <v>0</v>
      </c>
      <c r="X2495" s="58">
        <f t="shared" si="581"/>
        <v>0</v>
      </c>
      <c r="Y2495" s="52">
        <f t="shared" si="582"/>
        <v>0</v>
      </c>
    </row>
    <row r="2496" spans="1:25" x14ac:dyDescent="0.25">
      <c r="A2496" s="1218" t="s">
        <v>142</v>
      </c>
      <c r="B2496" s="98">
        <v>45870</v>
      </c>
      <c r="C2496" s="117" t="str">
        <f t="shared" si="570"/>
        <v>5L</v>
      </c>
      <c r="F2496" s="99">
        <f t="shared" si="569"/>
        <v>0</v>
      </c>
      <c r="I2496" s="99">
        <f t="shared" si="568"/>
        <v>0</v>
      </c>
      <c r="L2496" s="99">
        <f t="shared" si="571"/>
        <v>0</v>
      </c>
      <c r="M2496" s="44" t="str">
        <f t="shared" si="573"/>
        <v/>
      </c>
      <c r="N2496" s="100">
        <f t="shared" si="574"/>
        <v>0</v>
      </c>
      <c r="O2496" s="101">
        <f t="shared" si="575"/>
        <v>0</v>
      </c>
      <c r="P2496" s="52">
        <f t="shared" si="576"/>
        <v>0</v>
      </c>
      <c r="Q2496" s="49">
        <v>116.88487613461319</v>
      </c>
      <c r="R2496">
        <v>2225</v>
      </c>
      <c r="S2496" s="50">
        <f t="shared" si="572"/>
        <v>71535.307499999995</v>
      </c>
      <c r="T2496" s="50">
        <f t="shared" si="577"/>
        <v>0</v>
      </c>
      <c r="U2496" s="58">
        <f t="shared" si="578"/>
        <v>0</v>
      </c>
      <c r="V2496" s="58">
        <f t="shared" si="579"/>
        <v>0</v>
      </c>
      <c r="W2496" s="58">
        <f t="shared" si="580"/>
        <v>0</v>
      </c>
      <c r="X2496" s="58">
        <f t="shared" si="581"/>
        <v>0</v>
      </c>
      <c r="Y2496" s="52">
        <f t="shared" si="582"/>
        <v>0</v>
      </c>
    </row>
    <row r="2497" spans="1:25" x14ac:dyDescent="0.25">
      <c r="A2497" s="1218" t="s">
        <v>143</v>
      </c>
      <c r="B2497" s="98">
        <v>45870</v>
      </c>
      <c r="C2497" s="117" t="str">
        <f t="shared" si="570"/>
        <v>5L</v>
      </c>
      <c r="F2497" s="99">
        <f t="shared" si="569"/>
        <v>0</v>
      </c>
      <c r="I2497" s="99">
        <f t="shared" si="568"/>
        <v>0</v>
      </c>
      <c r="L2497" s="99">
        <f t="shared" si="571"/>
        <v>0</v>
      </c>
      <c r="M2497" s="44" t="str">
        <f t="shared" si="573"/>
        <v/>
      </c>
      <c r="N2497" s="100">
        <f t="shared" si="574"/>
        <v>0</v>
      </c>
      <c r="O2497" s="101">
        <f t="shared" si="575"/>
        <v>0</v>
      </c>
      <c r="P2497" s="52">
        <f t="shared" si="576"/>
        <v>0</v>
      </c>
      <c r="Q2497" s="49">
        <v>116.88487613461319</v>
      </c>
      <c r="R2497">
        <v>2225</v>
      </c>
      <c r="S2497" s="50">
        <f t="shared" si="572"/>
        <v>71535.307499999995</v>
      </c>
      <c r="T2497" s="50">
        <f t="shared" si="577"/>
        <v>0</v>
      </c>
      <c r="U2497" s="58">
        <f t="shared" si="578"/>
        <v>0</v>
      </c>
      <c r="V2497" s="58">
        <f t="shared" si="579"/>
        <v>0</v>
      </c>
      <c r="W2497" s="58">
        <f t="shared" si="580"/>
        <v>0</v>
      </c>
      <c r="X2497" s="58">
        <f t="shared" si="581"/>
        <v>0</v>
      </c>
      <c r="Y2497" s="52">
        <f t="shared" si="582"/>
        <v>0</v>
      </c>
    </row>
    <row r="2498" spans="1:25" x14ac:dyDescent="0.25">
      <c r="A2498" s="1218" t="s">
        <v>144</v>
      </c>
      <c r="B2498" s="98">
        <v>45870</v>
      </c>
      <c r="C2498" s="117" t="str">
        <f t="shared" si="570"/>
        <v>5L</v>
      </c>
      <c r="F2498" s="99">
        <f t="shared" si="569"/>
        <v>0</v>
      </c>
      <c r="I2498" s="99">
        <f t="shared" ref="I2498:I2561" si="584">IFERROR(G2498*H2498/1000,"")</f>
        <v>0</v>
      </c>
      <c r="L2498" s="99">
        <f t="shared" si="571"/>
        <v>0</v>
      </c>
      <c r="M2498" s="44" t="str">
        <f t="shared" si="573"/>
        <v/>
      </c>
      <c r="N2498" s="100">
        <f t="shared" si="574"/>
        <v>0</v>
      </c>
      <c r="O2498" s="101">
        <f t="shared" si="575"/>
        <v>0</v>
      </c>
      <c r="P2498" s="52">
        <f t="shared" si="576"/>
        <v>0</v>
      </c>
      <c r="Q2498" s="49">
        <v>116.88487613461319</v>
      </c>
      <c r="R2498">
        <v>2225</v>
      </c>
      <c r="S2498" s="50">
        <f t="shared" si="572"/>
        <v>71535.307499999995</v>
      </c>
      <c r="T2498" s="50">
        <f t="shared" si="577"/>
        <v>0</v>
      </c>
      <c r="U2498" s="58">
        <f t="shared" si="578"/>
        <v>0</v>
      </c>
      <c r="V2498" s="58">
        <f t="shared" si="579"/>
        <v>0</v>
      </c>
      <c r="W2498" s="58">
        <f t="shared" si="580"/>
        <v>0</v>
      </c>
      <c r="X2498" s="58">
        <f t="shared" si="581"/>
        <v>0</v>
      </c>
      <c r="Y2498" s="52">
        <f t="shared" si="582"/>
        <v>0</v>
      </c>
    </row>
    <row r="2499" spans="1:25" x14ac:dyDescent="0.25">
      <c r="A2499" s="1218" t="s">
        <v>145</v>
      </c>
      <c r="B2499" s="98">
        <v>45870</v>
      </c>
      <c r="C2499" s="117" t="str">
        <f t="shared" si="570"/>
        <v>5L</v>
      </c>
      <c r="F2499" s="99">
        <f t="shared" si="569"/>
        <v>0</v>
      </c>
      <c r="I2499" s="99">
        <f t="shared" si="584"/>
        <v>0</v>
      </c>
      <c r="L2499" s="99">
        <f t="shared" si="571"/>
        <v>0</v>
      </c>
      <c r="M2499" s="44" t="str">
        <f t="shared" si="573"/>
        <v/>
      </c>
      <c r="N2499" s="100">
        <f t="shared" si="574"/>
        <v>0</v>
      </c>
      <c r="O2499" s="101">
        <f t="shared" si="575"/>
        <v>0</v>
      </c>
      <c r="P2499" s="52">
        <f t="shared" si="576"/>
        <v>0</v>
      </c>
      <c r="Q2499" s="49">
        <v>116.88487613461319</v>
      </c>
      <c r="R2499">
        <v>2225</v>
      </c>
      <c r="S2499" s="50">
        <f t="shared" si="572"/>
        <v>71535.307499999995</v>
      </c>
      <c r="T2499" s="50">
        <f t="shared" si="577"/>
        <v>0</v>
      </c>
      <c r="U2499" s="58">
        <f t="shared" si="578"/>
        <v>0</v>
      </c>
      <c r="V2499" s="58">
        <f t="shared" si="579"/>
        <v>0</v>
      </c>
      <c r="W2499" s="58">
        <f t="shared" si="580"/>
        <v>0</v>
      </c>
      <c r="X2499" s="58">
        <f t="shared" si="581"/>
        <v>0</v>
      </c>
      <c r="Y2499" s="52">
        <f t="shared" si="582"/>
        <v>0</v>
      </c>
    </row>
    <row r="2500" spans="1:25" x14ac:dyDescent="0.25">
      <c r="A2500" s="1218" t="s">
        <v>146</v>
      </c>
      <c r="B2500" s="98">
        <v>45870</v>
      </c>
      <c r="C2500" s="117" t="str">
        <f t="shared" si="570"/>
        <v>5L</v>
      </c>
      <c r="F2500" s="99">
        <f t="shared" si="569"/>
        <v>0</v>
      </c>
      <c r="I2500" s="99">
        <f t="shared" si="584"/>
        <v>0</v>
      </c>
      <c r="L2500" s="99">
        <f t="shared" si="571"/>
        <v>0</v>
      </c>
      <c r="M2500" s="44" t="str">
        <f t="shared" si="573"/>
        <v/>
      </c>
      <c r="N2500" s="100">
        <f t="shared" si="574"/>
        <v>0</v>
      </c>
      <c r="O2500" s="101">
        <f t="shared" si="575"/>
        <v>0</v>
      </c>
      <c r="P2500" s="52">
        <f t="shared" si="576"/>
        <v>0</v>
      </c>
      <c r="Q2500" s="49">
        <v>116.88487613461319</v>
      </c>
      <c r="R2500">
        <v>2225</v>
      </c>
      <c r="S2500" s="50">
        <f t="shared" si="572"/>
        <v>71535.307499999995</v>
      </c>
      <c r="T2500" s="50">
        <f t="shared" si="577"/>
        <v>0</v>
      </c>
      <c r="U2500" s="58">
        <f t="shared" si="578"/>
        <v>0</v>
      </c>
      <c r="V2500" s="58">
        <f t="shared" si="579"/>
        <v>0</v>
      </c>
      <c r="W2500" s="58">
        <f t="shared" si="580"/>
        <v>0</v>
      </c>
      <c r="X2500" s="58">
        <f t="shared" si="581"/>
        <v>0</v>
      </c>
      <c r="Y2500" s="52">
        <f t="shared" si="582"/>
        <v>0</v>
      </c>
    </row>
    <row r="2501" spans="1:25" x14ac:dyDescent="0.25">
      <c r="A2501" s="1218" t="s">
        <v>147</v>
      </c>
      <c r="B2501" s="98">
        <v>45870</v>
      </c>
      <c r="C2501" s="117" t="str">
        <f t="shared" si="570"/>
        <v>5L</v>
      </c>
      <c r="F2501" s="99">
        <f t="shared" si="569"/>
        <v>0</v>
      </c>
      <c r="I2501" s="99">
        <f t="shared" si="584"/>
        <v>0</v>
      </c>
      <c r="L2501" s="99">
        <f t="shared" si="571"/>
        <v>0</v>
      </c>
      <c r="M2501" s="44" t="str">
        <f t="shared" si="573"/>
        <v/>
      </c>
      <c r="N2501" s="100">
        <f t="shared" si="574"/>
        <v>0</v>
      </c>
      <c r="O2501" s="101">
        <f t="shared" si="575"/>
        <v>0</v>
      </c>
      <c r="P2501" s="52">
        <f t="shared" si="576"/>
        <v>0</v>
      </c>
      <c r="Q2501" s="49">
        <v>116.88487613461319</v>
      </c>
      <c r="R2501">
        <v>2225</v>
      </c>
      <c r="S2501" s="50">
        <f t="shared" si="572"/>
        <v>71535.307499999995</v>
      </c>
      <c r="T2501" s="50">
        <f t="shared" si="577"/>
        <v>0</v>
      </c>
      <c r="U2501" s="58">
        <f t="shared" si="578"/>
        <v>0</v>
      </c>
      <c r="V2501" s="58">
        <f t="shared" si="579"/>
        <v>0</v>
      </c>
      <c r="W2501" s="58">
        <f t="shared" si="580"/>
        <v>0</v>
      </c>
      <c r="X2501" s="58">
        <f t="shared" si="581"/>
        <v>0</v>
      </c>
      <c r="Y2501" s="52">
        <f t="shared" si="582"/>
        <v>0</v>
      </c>
    </row>
    <row r="2502" spans="1:25" x14ac:dyDescent="0.25">
      <c r="A2502" s="1218" t="s">
        <v>148</v>
      </c>
      <c r="B2502" s="98">
        <v>45870</v>
      </c>
      <c r="C2502" s="117" t="str">
        <f t="shared" si="570"/>
        <v>5L</v>
      </c>
      <c r="D2502">
        <v>1798</v>
      </c>
      <c r="E2502">
        <v>3.23</v>
      </c>
      <c r="F2502" s="99">
        <f t="shared" si="569"/>
        <v>5.8075400000000004</v>
      </c>
      <c r="I2502" s="99">
        <f t="shared" si="584"/>
        <v>0</v>
      </c>
      <c r="L2502" s="99">
        <f t="shared" si="571"/>
        <v>0</v>
      </c>
      <c r="M2502" s="44" t="str">
        <f t="shared" si="573"/>
        <v/>
      </c>
      <c r="N2502" s="100">
        <f t="shared" si="574"/>
        <v>0</v>
      </c>
      <c r="O2502" s="101">
        <f t="shared" si="575"/>
        <v>0</v>
      </c>
      <c r="P2502" s="52">
        <f t="shared" si="576"/>
        <v>0</v>
      </c>
      <c r="Q2502" s="49">
        <v>116.88487613461319</v>
      </c>
      <c r="R2502">
        <v>2225</v>
      </c>
      <c r="S2502" s="50">
        <f t="shared" si="572"/>
        <v>71535.307499999995</v>
      </c>
      <c r="T2502" s="50">
        <f t="shared" si="577"/>
        <v>0</v>
      </c>
      <c r="U2502" s="58">
        <f t="shared" si="578"/>
        <v>0</v>
      </c>
      <c r="V2502" s="58">
        <f t="shared" si="579"/>
        <v>0</v>
      </c>
      <c r="W2502" s="58">
        <f t="shared" si="580"/>
        <v>0</v>
      </c>
      <c r="X2502" s="58">
        <f t="shared" si="581"/>
        <v>0</v>
      </c>
      <c r="Y2502" s="52">
        <f t="shared" si="582"/>
        <v>0</v>
      </c>
    </row>
    <row r="2503" spans="1:25" x14ac:dyDescent="0.25">
      <c r="A2503" s="1218" t="s">
        <v>149</v>
      </c>
      <c r="B2503" s="98">
        <v>45870</v>
      </c>
      <c r="C2503" s="117" t="str">
        <f t="shared" si="570"/>
        <v>5L</v>
      </c>
      <c r="D2503">
        <v>1036</v>
      </c>
      <c r="E2503">
        <v>3.97</v>
      </c>
      <c r="F2503" s="99">
        <f t="shared" si="569"/>
        <v>4.1129199999999999</v>
      </c>
      <c r="I2503" s="99">
        <f t="shared" si="584"/>
        <v>0</v>
      </c>
      <c r="L2503" s="99">
        <f t="shared" si="571"/>
        <v>0</v>
      </c>
      <c r="M2503" s="44" t="str">
        <f t="shared" si="573"/>
        <v/>
      </c>
      <c r="N2503" s="100">
        <f t="shared" si="574"/>
        <v>0</v>
      </c>
      <c r="O2503" s="101">
        <f t="shared" si="575"/>
        <v>0</v>
      </c>
      <c r="P2503" s="52">
        <f t="shared" si="576"/>
        <v>0</v>
      </c>
      <c r="Q2503" s="49">
        <v>116.88487613461319</v>
      </c>
      <c r="R2503">
        <v>2225</v>
      </c>
      <c r="S2503" s="50">
        <f t="shared" si="572"/>
        <v>71535.307499999995</v>
      </c>
      <c r="T2503" s="50">
        <f t="shared" si="577"/>
        <v>0</v>
      </c>
      <c r="U2503" s="58">
        <f t="shared" si="578"/>
        <v>0</v>
      </c>
      <c r="V2503" s="58">
        <f t="shared" si="579"/>
        <v>0</v>
      </c>
      <c r="W2503" s="58">
        <f t="shared" si="580"/>
        <v>0</v>
      </c>
      <c r="X2503" s="58">
        <f t="shared" si="581"/>
        <v>0</v>
      </c>
      <c r="Y2503" s="52">
        <f t="shared" si="582"/>
        <v>0</v>
      </c>
    </row>
    <row r="2504" spans="1:25" x14ac:dyDescent="0.25">
      <c r="A2504" s="1218" t="s">
        <v>150</v>
      </c>
      <c r="B2504" s="98">
        <v>45870</v>
      </c>
      <c r="C2504" s="117" t="str">
        <f t="shared" si="570"/>
        <v>6L</v>
      </c>
      <c r="D2504" s="118">
        <v>2696</v>
      </c>
      <c r="E2504">
        <v>2.83</v>
      </c>
      <c r="F2504" s="99">
        <f t="shared" si="569"/>
        <v>7.6296800000000005</v>
      </c>
      <c r="I2504" s="99">
        <f t="shared" si="584"/>
        <v>0</v>
      </c>
      <c r="L2504" s="99">
        <f t="shared" si="571"/>
        <v>0</v>
      </c>
      <c r="M2504" s="44" t="str">
        <f t="shared" si="573"/>
        <v/>
      </c>
      <c r="N2504" s="100">
        <f t="shared" si="574"/>
        <v>0</v>
      </c>
      <c r="O2504" s="101">
        <f t="shared" si="575"/>
        <v>0</v>
      </c>
      <c r="P2504" s="52">
        <f t="shared" si="576"/>
        <v>0</v>
      </c>
      <c r="Q2504" s="49">
        <v>116.88487613461319</v>
      </c>
      <c r="R2504">
        <v>2225</v>
      </c>
      <c r="S2504" s="50">
        <f t="shared" si="572"/>
        <v>71535.307499999995</v>
      </c>
      <c r="T2504" s="50">
        <f t="shared" si="577"/>
        <v>0</v>
      </c>
      <c r="U2504" s="58">
        <f t="shared" si="578"/>
        <v>0</v>
      </c>
      <c r="V2504" s="58">
        <f t="shared" si="579"/>
        <v>0</v>
      </c>
      <c r="W2504" s="58">
        <f t="shared" si="580"/>
        <v>0</v>
      </c>
      <c r="X2504" s="58">
        <f t="shared" si="581"/>
        <v>0</v>
      </c>
      <c r="Y2504" s="52">
        <f t="shared" si="582"/>
        <v>0</v>
      </c>
    </row>
    <row r="2505" spans="1:25" x14ac:dyDescent="0.25">
      <c r="A2505" s="1218" t="s">
        <v>151</v>
      </c>
      <c r="B2505" s="98">
        <v>45870</v>
      </c>
      <c r="C2505" s="117" t="str">
        <f t="shared" si="570"/>
        <v>6L</v>
      </c>
      <c r="F2505" s="99">
        <f t="shared" si="569"/>
        <v>0</v>
      </c>
      <c r="I2505" s="99">
        <f t="shared" si="584"/>
        <v>0</v>
      </c>
      <c r="L2505" s="99">
        <f t="shared" si="571"/>
        <v>0</v>
      </c>
      <c r="M2505" s="44" t="str">
        <f t="shared" si="573"/>
        <v/>
      </c>
      <c r="N2505" s="100">
        <f t="shared" si="574"/>
        <v>0</v>
      </c>
      <c r="O2505" s="101">
        <f t="shared" si="575"/>
        <v>0</v>
      </c>
      <c r="P2505" s="52">
        <f t="shared" si="576"/>
        <v>0</v>
      </c>
      <c r="Q2505" s="49">
        <v>116.88487613461319</v>
      </c>
      <c r="R2505">
        <v>2225</v>
      </c>
      <c r="S2505" s="50">
        <f t="shared" si="572"/>
        <v>71535.307499999995</v>
      </c>
      <c r="T2505" s="50">
        <f t="shared" si="577"/>
        <v>0</v>
      </c>
      <c r="U2505" s="58">
        <f t="shared" si="578"/>
        <v>0</v>
      </c>
      <c r="V2505" s="58">
        <f t="shared" si="579"/>
        <v>0</v>
      </c>
      <c r="W2505" s="58">
        <f t="shared" si="580"/>
        <v>0</v>
      </c>
      <c r="X2505" s="58">
        <f t="shared" si="581"/>
        <v>0</v>
      </c>
      <c r="Y2505" s="52">
        <f t="shared" si="582"/>
        <v>0</v>
      </c>
    </row>
    <row r="2506" spans="1:25" x14ac:dyDescent="0.25">
      <c r="A2506" s="1218" t="s">
        <v>152</v>
      </c>
      <c r="B2506" s="98">
        <v>45870</v>
      </c>
      <c r="C2506" s="117" t="str">
        <f t="shared" si="570"/>
        <v>6L</v>
      </c>
      <c r="F2506" s="99">
        <f t="shared" si="569"/>
        <v>0</v>
      </c>
      <c r="I2506" s="99">
        <f t="shared" si="584"/>
        <v>0</v>
      </c>
      <c r="L2506" s="99"/>
      <c r="M2506" s="44"/>
      <c r="N2506" s="100"/>
      <c r="O2506" s="101"/>
      <c r="P2506" s="52"/>
      <c r="Q2506" s="49"/>
      <c r="S2506" s="50"/>
      <c r="T2506" s="50"/>
      <c r="U2506" s="58"/>
      <c r="V2506" s="58"/>
      <c r="W2506" s="58"/>
      <c r="X2506" s="58"/>
      <c r="Y2506" s="52"/>
    </row>
    <row r="2507" spans="1:25" x14ac:dyDescent="0.25">
      <c r="A2507" s="1218" t="s">
        <v>153</v>
      </c>
      <c r="B2507" s="98">
        <v>45870</v>
      </c>
      <c r="C2507" s="117" t="str">
        <f t="shared" si="570"/>
        <v>6L</v>
      </c>
      <c r="F2507" s="99">
        <f t="shared" si="569"/>
        <v>0</v>
      </c>
      <c r="I2507" s="99">
        <f t="shared" si="584"/>
        <v>0</v>
      </c>
      <c r="L2507" s="99"/>
      <c r="M2507" s="44"/>
      <c r="N2507" s="100"/>
      <c r="O2507" s="101"/>
      <c r="P2507" s="52"/>
      <c r="Q2507" s="49"/>
      <c r="S2507" s="50"/>
      <c r="T2507" s="50"/>
      <c r="U2507" s="58"/>
      <c r="V2507" s="58"/>
      <c r="W2507" s="58"/>
      <c r="X2507" s="58"/>
      <c r="Y2507" s="52"/>
    </row>
    <row r="2508" spans="1:25" x14ac:dyDescent="0.25">
      <c r="A2508" s="1218" t="s">
        <v>154</v>
      </c>
      <c r="B2508" s="98">
        <v>45870</v>
      </c>
      <c r="C2508" s="117" t="str">
        <f t="shared" si="570"/>
        <v>6L</v>
      </c>
      <c r="F2508" s="99">
        <f t="shared" ref="F2508:F2571" si="585">IFERROR(D2508*E2508/1000,"")</f>
        <v>0</v>
      </c>
      <c r="I2508" s="99">
        <f t="shared" si="584"/>
        <v>0</v>
      </c>
      <c r="L2508" s="99"/>
      <c r="M2508" s="44"/>
      <c r="N2508" s="100"/>
      <c r="O2508" s="101"/>
      <c r="P2508" s="52"/>
      <c r="Q2508" s="49"/>
      <c r="S2508" s="50"/>
      <c r="T2508" s="50"/>
      <c r="U2508" s="58"/>
      <c r="V2508" s="58"/>
      <c r="W2508" s="58"/>
      <c r="X2508" s="58"/>
      <c r="Y2508" s="52"/>
    </row>
    <row r="2509" spans="1:25" x14ac:dyDescent="0.25">
      <c r="A2509" s="1218" t="s">
        <v>155</v>
      </c>
      <c r="B2509" s="98">
        <v>45870</v>
      </c>
      <c r="C2509" s="117" t="str">
        <f t="shared" si="570"/>
        <v>6L</v>
      </c>
      <c r="D2509">
        <v>2696</v>
      </c>
      <c r="E2509">
        <v>2.31</v>
      </c>
      <c r="F2509" s="99">
        <f t="shared" si="585"/>
        <v>6.22776</v>
      </c>
      <c r="I2509" s="99">
        <f t="shared" si="584"/>
        <v>0</v>
      </c>
      <c r="L2509" s="99">
        <f t="shared" si="571"/>
        <v>0</v>
      </c>
      <c r="M2509" s="44" t="str">
        <f t="shared" si="573"/>
        <v/>
      </c>
      <c r="N2509" s="100">
        <f t="shared" si="574"/>
        <v>0</v>
      </c>
      <c r="O2509" s="101">
        <f t="shared" si="575"/>
        <v>0</v>
      </c>
      <c r="P2509" s="52">
        <f t="shared" si="576"/>
        <v>0</v>
      </c>
      <c r="Q2509" s="49">
        <v>116.88487613461319</v>
      </c>
      <c r="R2509">
        <v>2225</v>
      </c>
      <c r="S2509" s="50">
        <f t="shared" si="572"/>
        <v>71535.307499999995</v>
      </c>
      <c r="T2509" s="50">
        <f t="shared" si="577"/>
        <v>0</v>
      </c>
      <c r="U2509" s="58">
        <f t="shared" si="578"/>
        <v>0</v>
      </c>
      <c r="V2509" s="58">
        <f t="shared" si="579"/>
        <v>0</v>
      </c>
      <c r="W2509" s="58">
        <f t="shared" si="580"/>
        <v>0</v>
      </c>
      <c r="X2509" s="58">
        <f t="shared" si="581"/>
        <v>0</v>
      </c>
      <c r="Y2509" s="52">
        <f t="shared" si="582"/>
        <v>0</v>
      </c>
    </row>
    <row r="2510" spans="1:25" x14ac:dyDescent="0.25">
      <c r="A2510" s="1218" t="s">
        <v>156</v>
      </c>
      <c r="B2510" s="98">
        <v>45870</v>
      </c>
      <c r="C2510" s="117" t="str">
        <f t="shared" si="570"/>
        <v>6L</v>
      </c>
      <c r="F2510" s="99">
        <f t="shared" si="585"/>
        <v>0</v>
      </c>
      <c r="I2510" s="99">
        <f t="shared" si="584"/>
        <v>0</v>
      </c>
      <c r="L2510" s="99"/>
      <c r="M2510" s="44"/>
      <c r="N2510" s="100"/>
      <c r="O2510" s="101"/>
      <c r="P2510" s="52"/>
      <c r="Q2510" s="49"/>
      <c r="S2510" s="50"/>
      <c r="T2510" s="50"/>
      <c r="U2510" s="58"/>
      <c r="V2510" s="58"/>
      <c r="W2510" s="58"/>
      <c r="X2510" s="58"/>
      <c r="Y2510" s="52"/>
    </row>
    <row r="2511" spans="1:25" x14ac:dyDescent="0.25">
      <c r="A2511" s="1218" t="s">
        <v>157</v>
      </c>
      <c r="B2511" s="98">
        <v>45870</v>
      </c>
      <c r="C2511" s="117" t="str">
        <f t="shared" si="570"/>
        <v>6L</v>
      </c>
      <c r="D2511" s="118">
        <v>1481</v>
      </c>
      <c r="E2511">
        <v>2.41</v>
      </c>
      <c r="F2511" s="99">
        <f t="shared" si="585"/>
        <v>3.56921</v>
      </c>
      <c r="I2511" s="99">
        <f t="shared" si="584"/>
        <v>0</v>
      </c>
      <c r="L2511" s="99">
        <f t="shared" si="571"/>
        <v>0</v>
      </c>
      <c r="M2511" s="44" t="str">
        <f t="shared" si="573"/>
        <v/>
      </c>
      <c r="N2511" s="100">
        <f t="shared" si="574"/>
        <v>0</v>
      </c>
      <c r="O2511" s="101">
        <f t="shared" si="575"/>
        <v>0</v>
      </c>
      <c r="P2511" s="52">
        <f t="shared" si="576"/>
        <v>0</v>
      </c>
      <c r="Q2511" s="49">
        <v>116.88487613461319</v>
      </c>
      <c r="R2511">
        <v>2225</v>
      </c>
      <c r="S2511" s="50">
        <f t="shared" si="572"/>
        <v>71535.307499999995</v>
      </c>
      <c r="T2511" s="50">
        <f t="shared" si="577"/>
        <v>0</v>
      </c>
      <c r="U2511" s="58">
        <f t="shared" si="578"/>
        <v>0</v>
      </c>
      <c r="V2511" s="58">
        <f t="shared" si="579"/>
        <v>0</v>
      </c>
      <c r="W2511" s="58">
        <f t="shared" si="580"/>
        <v>0</v>
      </c>
      <c r="X2511" s="58">
        <f t="shared" si="581"/>
        <v>0</v>
      </c>
      <c r="Y2511" s="52">
        <f t="shared" si="582"/>
        <v>0</v>
      </c>
    </row>
    <row r="2512" spans="1:25" x14ac:dyDescent="0.25">
      <c r="A2512" s="1218" t="s">
        <v>158</v>
      </c>
      <c r="B2512" s="98">
        <v>45870</v>
      </c>
      <c r="C2512" s="117" t="str">
        <f t="shared" si="570"/>
        <v>6L</v>
      </c>
      <c r="F2512" s="99">
        <f t="shared" si="585"/>
        <v>0</v>
      </c>
      <c r="I2512" s="99">
        <f t="shared" si="584"/>
        <v>0</v>
      </c>
      <c r="L2512" s="99">
        <f t="shared" si="571"/>
        <v>0</v>
      </c>
      <c r="M2512" s="44" t="str">
        <f t="shared" si="573"/>
        <v/>
      </c>
      <c r="N2512" s="100">
        <f t="shared" si="574"/>
        <v>0</v>
      </c>
      <c r="O2512" s="101">
        <f t="shared" si="575"/>
        <v>0</v>
      </c>
      <c r="P2512" s="52">
        <f t="shared" si="576"/>
        <v>0</v>
      </c>
      <c r="Q2512" s="49">
        <v>116.88487613461319</v>
      </c>
      <c r="R2512">
        <v>2225</v>
      </c>
      <c r="S2512" s="50">
        <f t="shared" si="572"/>
        <v>71535.307499999995</v>
      </c>
      <c r="T2512" s="50">
        <f t="shared" si="577"/>
        <v>0</v>
      </c>
      <c r="U2512" s="58">
        <f t="shared" si="578"/>
        <v>0</v>
      </c>
      <c r="V2512" s="58">
        <f t="shared" si="579"/>
        <v>0</v>
      </c>
      <c r="W2512" s="58">
        <f t="shared" si="580"/>
        <v>0</v>
      </c>
      <c r="X2512" s="58">
        <f t="shared" si="581"/>
        <v>0</v>
      </c>
      <c r="Y2512" s="52">
        <f t="shared" si="582"/>
        <v>0</v>
      </c>
    </row>
    <row r="2513" spans="1:25" x14ac:dyDescent="0.25">
      <c r="A2513" s="1218" t="s">
        <v>159</v>
      </c>
      <c r="B2513" s="98">
        <v>45870</v>
      </c>
      <c r="C2513" s="117" t="str">
        <f t="shared" si="570"/>
        <v>6L</v>
      </c>
      <c r="F2513" s="99">
        <f t="shared" si="585"/>
        <v>0</v>
      </c>
      <c r="I2513" s="99">
        <f t="shared" si="584"/>
        <v>0</v>
      </c>
      <c r="L2513" s="99">
        <f t="shared" si="571"/>
        <v>0</v>
      </c>
      <c r="M2513" s="44" t="str">
        <f t="shared" si="573"/>
        <v/>
      </c>
      <c r="N2513" s="100">
        <f t="shared" si="574"/>
        <v>0</v>
      </c>
      <c r="O2513" s="101">
        <f t="shared" si="575"/>
        <v>0</v>
      </c>
      <c r="P2513" s="52">
        <f t="shared" si="576"/>
        <v>0</v>
      </c>
      <c r="Q2513" s="49">
        <v>116.88487613461319</v>
      </c>
      <c r="R2513">
        <v>2225</v>
      </c>
      <c r="S2513" s="50">
        <f t="shared" si="572"/>
        <v>71535.307499999995</v>
      </c>
      <c r="T2513" s="50">
        <f t="shared" si="577"/>
        <v>0</v>
      </c>
      <c r="U2513" s="58">
        <f t="shared" si="578"/>
        <v>0</v>
      </c>
      <c r="V2513" s="58">
        <f t="shared" si="579"/>
        <v>0</v>
      </c>
      <c r="W2513" s="58">
        <f t="shared" si="580"/>
        <v>0</v>
      </c>
      <c r="X2513" s="58">
        <f t="shared" si="581"/>
        <v>0</v>
      </c>
      <c r="Y2513" s="52">
        <f t="shared" si="582"/>
        <v>0</v>
      </c>
    </row>
    <row r="2514" spans="1:25" x14ac:dyDescent="0.25">
      <c r="A2514" s="1218" t="s">
        <v>160</v>
      </c>
      <c r="B2514" s="98">
        <v>45870</v>
      </c>
      <c r="C2514" s="117" t="str">
        <f t="shared" si="570"/>
        <v>6L</v>
      </c>
      <c r="F2514" s="99">
        <f t="shared" si="585"/>
        <v>0</v>
      </c>
      <c r="I2514" s="99">
        <f t="shared" si="584"/>
        <v>0</v>
      </c>
      <c r="L2514" s="99">
        <f t="shared" si="571"/>
        <v>0</v>
      </c>
      <c r="M2514" s="44" t="str">
        <f t="shared" si="573"/>
        <v/>
      </c>
      <c r="N2514" s="100">
        <f t="shared" si="574"/>
        <v>0</v>
      </c>
      <c r="O2514" s="101">
        <f t="shared" si="575"/>
        <v>0</v>
      </c>
      <c r="P2514" s="52">
        <f t="shared" si="576"/>
        <v>0</v>
      </c>
      <c r="Q2514" s="49">
        <v>116.88487613461319</v>
      </c>
      <c r="R2514">
        <v>2225</v>
      </c>
      <c r="S2514" s="50">
        <f t="shared" si="572"/>
        <v>71535.307499999995</v>
      </c>
      <c r="T2514" s="50">
        <f t="shared" si="577"/>
        <v>0</v>
      </c>
      <c r="U2514" s="58">
        <f t="shared" si="578"/>
        <v>0</v>
      </c>
      <c r="V2514" s="58">
        <f t="shared" si="579"/>
        <v>0</v>
      </c>
      <c r="W2514" s="58">
        <f t="shared" si="580"/>
        <v>0</v>
      </c>
      <c r="X2514" s="58">
        <f t="shared" si="581"/>
        <v>0</v>
      </c>
      <c r="Y2514" s="52">
        <f t="shared" si="582"/>
        <v>0</v>
      </c>
    </row>
    <row r="2515" spans="1:25" x14ac:dyDescent="0.25">
      <c r="A2515" s="1218" t="s">
        <v>161</v>
      </c>
      <c r="B2515" s="98">
        <v>45870</v>
      </c>
      <c r="C2515" s="117" t="str">
        <f t="shared" si="570"/>
        <v>6L</v>
      </c>
      <c r="F2515" s="99">
        <f t="shared" si="585"/>
        <v>0</v>
      </c>
      <c r="I2515" s="99">
        <f t="shared" si="584"/>
        <v>0</v>
      </c>
      <c r="L2515" s="99">
        <f t="shared" si="571"/>
        <v>0</v>
      </c>
      <c r="M2515" s="44" t="str">
        <f t="shared" si="573"/>
        <v/>
      </c>
      <c r="N2515" s="100">
        <f t="shared" si="574"/>
        <v>0</v>
      </c>
      <c r="O2515" s="101">
        <f t="shared" si="575"/>
        <v>0</v>
      </c>
      <c r="P2515" s="52">
        <f t="shared" si="576"/>
        <v>0</v>
      </c>
      <c r="Q2515" s="49">
        <v>116.88487613461319</v>
      </c>
      <c r="R2515">
        <v>2225</v>
      </c>
      <c r="S2515" s="50">
        <f t="shared" si="572"/>
        <v>71535.307499999995</v>
      </c>
      <c r="T2515" s="50">
        <f t="shared" si="577"/>
        <v>0</v>
      </c>
      <c r="U2515" s="58">
        <f t="shared" si="578"/>
        <v>0</v>
      </c>
      <c r="V2515" s="58">
        <f t="shared" si="579"/>
        <v>0</v>
      </c>
      <c r="W2515" s="58">
        <f t="shared" si="580"/>
        <v>0</v>
      </c>
      <c r="X2515" s="58">
        <f t="shared" si="581"/>
        <v>0</v>
      </c>
      <c r="Y2515" s="52">
        <f t="shared" si="582"/>
        <v>0</v>
      </c>
    </row>
    <row r="2516" spans="1:25" x14ac:dyDescent="0.25">
      <c r="A2516" s="1218" t="s">
        <v>162</v>
      </c>
      <c r="B2516" s="98">
        <v>45870</v>
      </c>
      <c r="C2516" s="117" t="str">
        <f t="shared" si="570"/>
        <v>6L</v>
      </c>
      <c r="F2516" s="99">
        <f t="shared" si="585"/>
        <v>0</v>
      </c>
      <c r="I2516" s="99">
        <f t="shared" si="584"/>
        <v>0</v>
      </c>
      <c r="L2516" s="99">
        <f t="shared" si="571"/>
        <v>0</v>
      </c>
      <c r="M2516" s="44" t="str">
        <f t="shared" si="573"/>
        <v/>
      </c>
      <c r="N2516" s="100">
        <f t="shared" si="574"/>
        <v>0</v>
      </c>
      <c r="O2516" s="101">
        <f t="shared" si="575"/>
        <v>0</v>
      </c>
      <c r="P2516" s="52">
        <f t="shared" si="576"/>
        <v>0</v>
      </c>
      <c r="Q2516" s="49">
        <v>116.88487613461319</v>
      </c>
      <c r="R2516">
        <v>2225</v>
      </c>
      <c r="S2516" s="50">
        <f t="shared" si="572"/>
        <v>71535.307499999995</v>
      </c>
      <c r="T2516" s="50">
        <f t="shared" si="577"/>
        <v>0</v>
      </c>
      <c r="U2516" s="58">
        <f t="shared" si="578"/>
        <v>0</v>
      </c>
      <c r="V2516" s="58">
        <f t="shared" si="579"/>
        <v>0</v>
      </c>
      <c r="W2516" s="58">
        <f t="shared" si="580"/>
        <v>0</v>
      </c>
      <c r="X2516" s="58">
        <f t="shared" si="581"/>
        <v>0</v>
      </c>
      <c r="Y2516" s="52">
        <f t="shared" si="582"/>
        <v>0</v>
      </c>
    </row>
    <row r="2517" spans="1:25" x14ac:dyDescent="0.25">
      <c r="A2517" s="1218" t="s">
        <v>163</v>
      </c>
      <c r="B2517" s="98">
        <v>45870</v>
      </c>
      <c r="C2517" s="117" t="str">
        <f t="shared" si="570"/>
        <v>6L</v>
      </c>
      <c r="F2517" s="99">
        <f t="shared" si="585"/>
        <v>0</v>
      </c>
      <c r="I2517" s="99">
        <f t="shared" si="584"/>
        <v>0</v>
      </c>
      <c r="L2517" s="99">
        <f t="shared" si="571"/>
        <v>0</v>
      </c>
      <c r="M2517" s="44" t="str">
        <f t="shared" si="573"/>
        <v/>
      </c>
      <c r="N2517" s="100">
        <f t="shared" si="574"/>
        <v>0</v>
      </c>
      <c r="O2517" s="101">
        <f t="shared" si="575"/>
        <v>0</v>
      </c>
      <c r="P2517" s="52">
        <f t="shared" si="576"/>
        <v>0</v>
      </c>
      <c r="Q2517" s="49">
        <v>116.88487613461319</v>
      </c>
      <c r="R2517">
        <v>2225</v>
      </c>
      <c r="S2517" s="50">
        <f t="shared" si="572"/>
        <v>71535.307499999995</v>
      </c>
      <c r="T2517" s="50">
        <f t="shared" si="577"/>
        <v>0</v>
      </c>
      <c r="U2517" s="58">
        <f t="shared" si="578"/>
        <v>0</v>
      </c>
      <c r="V2517" s="58">
        <f t="shared" si="579"/>
        <v>0</v>
      </c>
      <c r="W2517" s="58">
        <f t="shared" si="580"/>
        <v>0</v>
      </c>
      <c r="X2517" s="58">
        <f t="shared" si="581"/>
        <v>0</v>
      </c>
      <c r="Y2517" s="52">
        <f t="shared" si="582"/>
        <v>0</v>
      </c>
    </row>
    <row r="2518" spans="1:25" x14ac:dyDescent="0.25">
      <c r="A2518" s="1218" t="s">
        <v>164</v>
      </c>
      <c r="B2518" s="98">
        <v>45870</v>
      </c>
      <c r="C2518" s="117" t="str">
        <f t="shared" si="570"/>
        <v>6L</v>
      </c>
      <c r="F2518" s="99">
        <f t="shared" si="585"/>
        <v>0</v>
      </c>
      <c r="I2518" s="99">
        <f t="shared" si="584"/>
        <v>0</v>
      </c>
      <c r="L2518" s="99">
        <f t="shared" si="571"/>
        <v>0</v>
      </c>
      <c r="M2518" s="44" t="str">
        <f t="shared" si="573"/>
        <v/>
      </c>
      <c r="N2518" s="100">
        <f t="shared" si="574"/>
        <v>0</v>
      </c>
      <c r="O2518" s="101">
        <f t="shared" si="575"/>
        <v>0</v>
      </c>
      <c r="P2518" s="52">
        <f t="shared" si="576"/>
        <v>0</v>
      </c>
      <c r="Q2518" s="49">
        <v>116.88487613461319</v>
      </c>
      <c r="R2518">
        <v>2225</v>
      </c>
      <c r="S2518" s="50">
        <f t="shared" si="572"/>
        <v>71535.307499999995</v>
      </c>
      <c r="T2518" s="50">
        <f t="shared" si="577"/>
        <v>0</v>
      </c>
      <c r="U2518" s="58">
        <f t="shared" si="578"/>
        <v>0</v>
      </c>
      <c r="V2518" s="58">
        <f t="shared" si="579"/>
        <v>0</v>
      </c>
      <c r="W2518" s="58">
        <f t="shared" si="580"/>
        <v>0</v>
      </c>
      <c r="X2518" s="58">
        <f t="shared" si="581"/>
        <v>0</v>
      </c>
      <c r="Y2518" s="52">
        <f t="shared" si="582"/>
        <v>0</v>
      </c>
    </row>
    <row r="2519" spans="1:25" x14ac:dyDescent="0.25">
      <c r="A2519" s="1218" t="s">
        <v>165</v>
      </c>
      <c r="B2519" s="98">
        <v>45870</v>
      </c>
      <c r="C2519" s="117" t="str">
        <f t="shared" ref="C2519:C2582" si="586">LEFT(A2519,2)</f>
        <v>6L</v>
      </c>
      <c r="F2519" s="99">
        <f t="shared" si="585"/>
        <v>0</v>
      </c>
      <c r="I2519" s="99">
        <f t="shared" si="584"/>
        <v>0</v>
      </c>
      <c r="L2519" s="99">
        <f t="shared" si="571"/>
        <v>0</v>
      </c>
      <c r="M2519" s="44" t="str">
        <f t="shared" si="573"/>
        <v/>
      </c>
      <c r="N2519" s="100">
        <f t="shared" si="574"/>
        <v>0</v>
      </c>
      <c r="O2519" s="101">
        <f t="shared" si="575"/>
        <v>0</v>
      </c>
      <c r="P2519" s="52">
        <f t="shared" si="576"/>
        <v>0</v>
      </c>
      <c r="Q2519" s="49">
        <v>116.88487613461319</v>
      </c>
      <c r="R2519">
        <v>2225</v>
      </c>
      <c r="S2519" s="50">
        <f t="shared" si="572"/>
        <v>71535.307499999995</v>
      </c>
      <c r="T2519" s="50">
        <f t="shared" si="577"/>
        <v>0</v>
      </c>
      <c r="U2519" s="58">
        <f t="shared" si="578"/>
        <v>0</v>
      </c>
      <c r="V2519" s="58">
        <f t="shared" si="579"/>
        <v>0</v>
      </c>
      <c r="W2519" s="58">
        <f t="shared" si="580"/>
        <v>0</v>
      </c>
      <c r="X2519" s="58">
        <f t="shared" si="581"/>
        <v>0</v>
      </c>
      <c r="Y2519" s="52">
        <f t="shared" si="582"/>
        <v>0</v>
      </c>
    </row>
    <row r="2520" spans="1:25" x14ac:dyDescent="0.25">
      <c r="A2520" s="1218" t="s">
        <v>166</v>
      </c>
      <c r="B2520" s="98">
        <v>45870</v>
      </c>
      <c r="C2520" s="117" t="str">
        <f t="shared" si="586"/>
        <v>6L</v>
      </c>
      <c r="D2520">
        <v>1798</v>
      </c>
      <c r="E2520">
        <v>3.2</v>
      </c>
      <c r="F2520" s="99">
        <f t="shared" si="585"/>
        <v>5.7536000000000005</v>
      </c>
      <c r="I2520" s="99">
        <f t="shared" si="584"/>
        <v>0</v>
      </c>
      <c r="L2520" s="99">
        <f t="shared" si="571"/>
        <v>0</v>
      </c>
      <c r="M2520" s="44" t="str">
        <f t="shared" si="573"/>
        <v/>
      </c>
      <c r="N2520" s="100">
        <f t="shared" si="574"/>
        <v>0</v>
      </c>
      <c r="O2520" s="101">
        <f t="shared" si="575"/>
        <v>0</v>
      </c>
      <c r="P2520" s="52">
        <f t="shared" si="576"/>
        <v>0</v>
      </c>
      <c r="Q2520" s="49">
        <v>116.88487613461319</v>
      </c>
      <c r="R2520">
        <v>2225</v>
      </c>
      <c r="S2520" s="50">
        <f t="shared" si="572"/>
        <v>71535.307499999995</v>
      </c>
      <c r="T2520" s="50">
        <f t="shared" si="577"/>
        <v>0</v>
      </c>
      <c r="U2520" s="58">
        <f t="shared" si="578"/>
        <v>0</v>
      </c>
      <c r="V2520" s="58">
        <f t="shared" si="579"/>
        <v>0</v>
      </c>
      <c r="W2520" s="58">
        <f t="shared" si="580"/>
        <v>0</v>
      </c>
      <c r="X2520" s="58">
        <f t="shared" si="581"/>
        <v>0</v>
      </c>
      <c r="Y2520" s="52">
        <f t="shared" si="582"/>
        <v>0</v>
      </c>
    </row>
    <row r="2521" spans="1:25" x14ac:dyDescent="0.25">
      <c r="A2521" s="1218" t="s">
        <v>167</v>
      </c>
      <c r="B2521" s="98">
        <v>45870</v>
      </c>
      <c r="C2521" s="117" t="str">
        <f t="shared" si="586"/>
        <v>6L</v>
      </c>
      <c r="F2521" s="99">
        <f t="shared" si="585"/>
        <v>0</v>
      </c>
      <c r="I2521" s="99">
        <f t="shared" si="584"/>
        <v>0</v>
      </c>
      <c r="L2521" s="99">
        <f t="shared" si="571"/>
        <v>0</v>
      </c>
      <c r="M2521" s="44" t="str">
        <f t="shared" si="573"/>
        <v/>
      </c>
      <c r="N2521" s="100">
        <f t="shared" si="574"/>
        <v>0</v>
      </c>
      <c r="O2521" s="101">
        <f t="shared" si="575"/>
        <v>0</v>
      </c>
      <c r="P2521" s="52">
        <f t="shared" si="576"/>
        <v>0</v>
      </c>
      <c r="Q2521" s="49">
        <v>116.88487613461319</v>
      </c>
      <c r="R2521">
        <v>2225</v>
      </c>
      <c r="S2521" s="50">
        <f t="shared" si="572"/>
        <v>71535.307499999995</v>
      </c>
      <c r="T2521" s="50">
        <f t="shared" si="577"/>
        <v>0</v>
      </c>
      <c r="U2521" s="58">
        <f t="shared" si="578"/>
        <v>0</v>
      </c>
      <c r="V2521" s="58">
        <f t="shared" si="579"/>
        <v>0</v>
      </c>
      <c r="W2521" s="58">
        <f t="shared" si="580"/>
        <v>0</v>
      </c>
      <c r="X2521" s="58">
        <f t="shared" si="581"/>
        <v>0</v>
      </c>
      <c r="Y2521" s="52">
        <f t="shared" si="582"/>
        <v>0</v>
      </c>
    </row>
    <row r="2522" spans="1:25" x14ac:dyDescent="0.25">
      <c r="A2522" s="1218" t="s">
        <v>168</v>
      </c>
      <c r="B2522" s="98">
        <v>45870</v>
      </c>
      <c r="C2522" s="117" t="str">
        <f t="shared" si="586"/>
        <v>6L</v>
      </c>
      <c r="F2522" s="99">
        <f t="shared" si="585"/>
        <v>0</v>
      </c>
      <c r="I2522" s="99">
        <f t="shared" si="584"/>
        <v>0</v>
      </c>
      <c r="L2522" s="99">
        <f t="shared" si="571"/>
        <v>0</v>
      </c>
      <c r="M2522" s="44" t="str">
        <f t="shared" si="573"/>
        <v/>
      </c>
      <c r="N2522" s="100">
        <f t="shared" si="574"/>
        <v>0</v>
      </c>
      <c r="O2522" s="101">
        <f t="shared" si="575"/>
        <v>0</v>
      </c>
      <c r="P2522" s="52">
        <f t="shared" si="576"/>
        <v>0</v>
      </c>
      <c r="Q2522" s="49">
        <v>116.88487613461319</v>
      </c>
      <c r="R2522">
        <v>2225</v>
      </c>
      <c r="S2522" s="50">
        <f t="shared" si="572"/>
        <v>71535.307499999995</v>
      </c>
      <c r="T2522" s="50">
        <f t="shared" si="577"/>
        <v>0</v>
      </c>
      <c r="U2522" s="58">
        <f t="shared" si="578"/>
        <v>0</v>
      </c>
      <c r="V2522" s="58">
        <f t="shared" si="579"/>
        <v>0</v>
      </c>
      <c r="W2522" s="58">
        <f t="shared" si="580"/>
        <v>0</v>
      </c>
      <c r="X2522" s="58">
        <f t="shared" si="581"/>
        <v>0</v>
      </c>
      <c r="Y2522" s="52">
        <f t="shared" si="582"/>
        <v>0</v>
      </c>
    </row>
    <row r="2523" spans="1:25" x14ac:dyDescent="0.25">
      <c r="A2523" s="1218" t="s">
        <v>169</v>
      </c>
      <c r="B2523" s="98">
        <v>45870</v>
      </c>
      <c r="C2523" s="117" t="str">
        <f t="shared" si="586"/>
        <v>6L</v>
      </c>
      <c r="F2523" s="99">
        <f t="shared" si="585"/>
        <v>0</v>
      </c>
      <c r="I2523" s="99">
        <f t="shared" si="584"/>
        <v>0</v>
      </c>
      <c r="L2523" s="99">
        <f t="shared" si="571"/>
        <v>0</v>
      </c>
      <c r="M2523" s="44" t="str">
        <f t="shared" si="573"/>
        <v/>
      </c>
      <c r="N2523" s="100">
        <f t="shared" si="574"/>
        <v>0</v>
      </c>
      <c r="O2523" s="101">
        <f t="shared" si="575"/>
        <v>0</v>
      </c>
      <c r="P2523" s="52">
        <f t="shared" si="576"/>
        <v>0</v>
      </c>
      <c r="Q2523" s="49">
        <v>116.88487613461319</v>
      </c>
      <c r="R2523">
        <v>2225</v>
      </c>
      <c r="S2523" s="50">
        <f t="shared" si="572"/>
        <v>71535.307499999995</v>
      </c>
      <c r="T2523" s="50">
        <f t="shared" si="577"/>
        <v>0</v>
      </c>
      <c r="U2523" s="58">
        <f t="shared" si="578"/>
        <v>0</v>
      </c>
      <c r="V2523" s="58">
        <f t="shared" si="579"/>
        <v>0</v>
      </c>
      <c r="W2523" s="58">
        <f t="shared" si="580"/>
        <v>0</v>
      </c>
      <c r="X2523" s="58">
        <f t="shared" si="581"/>
        <v>0</v>
      </c>
      <c r="Y2523" s="52">
        <f t="shared" si="582"/>
        <v>0</v>
      </c>
    </row>
    <row r="2524" spans="1:25" x14ac:dyDescent="0.25">
      <c r="A2524" s="1218" t="s">
        <v>170</v>
      </c>
      <c r="B2524" s="98">
        <v>45870</v>
      </c>
      <c r="C2524" s="117" t="str">
        <f t="shared" si="586"/>
        <v>6L</v>
      </c>
      <c r="D2524">
        <v>899</v>
      </c>
      <c r="E2524">
        <v>3.49</v>
      </c>
      <c r="F2524" s="99">
        <f t="shared" si="585"/>
        <v>3.1375100000000002</v>
      </c>
      <c r="I2524" s="99">
        <f t="shared" si="584"/>
        <v>0</v>
      </c>
      <c r="L2524" s="99">
        <f t="shared" si="571"/>
        <v>0</v>
      </c>
      <c r="M2524" s="44" t="str">
        <f t="shared" si="573"/>
        <v/>
      </c>
      <c r="N2524" s="100">
        <f t="shared" si="574"/>
        <v>0</v>
      </c>
      <c r="O2524" s="101">
        <f t="shared" si="575"/>
        <v>0</v>
      </c>
      <c r="P2524" s="52">
        <f t="shared" si="576"/>
        <v>0</v>
      </c>
      <c r="Q2524" s="49">
        <v>116.88487613461319</v>
      </c>
      <c r="R2524">
        <v>2225</v>
      </c>
      <c r="S2524" s="50">
        <f t="shared" si="572"/>
        <v>71535.307499999995</v>
      </c>
      <c r="T2524" s="50">
        <f t="shared" si="577"/>
        <v>0</v>
      </c>
      <c r="U2524" s="58">
        <f t="shared" si="578"/>
        <v>0</v>
      </c>
      <c r="V2524" s="58">
        <f t="shared" si="579"/>
        <v>0</v>
      </c>
      <c r="W2524" s="58">
        <f t="shared" si="580"/>
        <v>0</v>
      </c>
      <c r="X2524" s="58">
        <f t="shared" si="581"/>
        <v>0</v>
      </c>
      <c r="Y2524" s="52">
        <f t="shared" si="582"/>
        <v>0</v>
      </c>
    </row>
    <row r="2525" spans="1:25" x14ac:dyDescent="0.25">
      <c r="A2525" s="1218" t="s">
        <v>171</v>
      </c>
      <c r="B2525" s="98">
        <v>45870</v>
      </c>
      <c r="C2525" s="117" t="str">
        <f t="shared" si="586"/>
        <v>6L</v>
      </c>
      <c r="D2525">
        <v>899</v>
      </c>
      <c r="E2525">
        <v>1.03</v>
      </c>
      <c r="F2525" s="99">
        <f t="shared" si="585"/>
        <v>0.92597000000000007</v>
      </c>
      <c r="I2525" s="99">
        <f t="shared" si="584"/>
        <v>0</v>
      </c>
      <c r="L2525" s="99">
        <f t="shared" si="571"/>
        <v>0</v>
      </c>
      <c r="M2525" s="44" t="str">
        <f t="shared" si="573"/>
        <v/>
      </c>
      <c r="N2525" s="100">
        <f t="shared" si="574"/>
        <v>0</v>
      </c>
      <c r="O2525" s="101">
        <f t="shared" si="575"/>
        <v>0</v>
      </c>
      <c r="P2525" s="52">
        <f t="shared" si="576"/>
        <v>0</v>
      </c>
      <c r="Q2525" s="49">
        <v>116.88487613461319</v>
      </c>
      <c r="R2525">
        <v>2225</v>
      </c>
      <c r="S2525" s="50">
        <f t="shared" si="572"/>
        <v>71535.307499999995</v>
      </c>
      <c r="T2525" s="50">
        <f t="shared" si="577"/>
        <v>0</v>
      </c>
      <c r="U2525" s="58">
        <f t="shared" si="578"/>
        <v>0</v>
      </c>
      <c r="V2525" s="58">
        <f t="shared" si="579"/>
        <v>0</v>
      </c>
      <c r="W2525" s="58">
        <f t="shared" si="580"/>
        <v>0</v>
      </c>
      <c r="X2525" s="58">
        <f t="shared" si="581"/>
        <v>0</v>
      </c>
      <c r="Y2525" s="52">
        <f t="shared" si="582"/>
        <v>0</v>
      </c>
    </row>
    <row r="2526" spans="1:25" x14ac:dyDescent="0.25">
      <c r="A2526" s="1218" t="s">
        <v>172</v>
      </c>
      <c r="B2526" s="98">
        <v>45870</v>
      </c>
      <c r="C2526" s="117" t="str">
        <f t="shared" si="586"/>
        <v>6L</v>
      </c>
      <c r="D2526">
        <v>1621</v>
      </c>
      <c r="E2526">
        <v>2.4500000000000002</v>
      </c>
      <c r="F2526" s="99">
        <f t="shared" si="585"/>
        <v>3.9714500000000004</v>
      </c>
      <c r="I2526" s="99">
        <f t="shared" si="584"/>
        <v>0</v>
      </c>
      <c r="L2526" s="99">
        <f t="shared" si="571"/>
        <v>0</v>
      </c>
      <c r="M2526" s="44" t="str">
        <f t="shared" si="573"/>
        <v/>
      </c>
      <c r="N2526" s="100">
        <f t="shared" si="574"/>
        <v>0</v>
      </c>
      <c r="O2526" s="101">
        <f t="shared" si="575"/>
        <v>0</v>
      </c>
      <c r="P2526" s="52">
        <f t="shared" si="576"/>
        <v>0</v>
      </c>
      <c r="Q2526" s="49">
        <v>116.88487613461319</v>
      </c>
      <c r="R2526">
        <v>2225</v>
      </c>
      <c r="S2526" s="50">
        <f t="shared" si="572"/>
        <v>71535.307499999995</v>
      </c>
      <c r="T2526" s="50">
        <f t="shared" si="577"/>
        <v>0</v>
      </c>
      <c r="U2526" s="58">
        <f t="shared" si="578"/>
        <v>0</v>
      </c>
      <c r="V2526" s="58">
        <f t="shared" si="579"/>
        <v>0</v>
      </c>
      <c r="W2526" s="58">
        <f t="shared" si="580"/>
        <v>0</v>
      </c>
      <c r="X2526" s="58">
        <f t="shared" si="581"/>
        <v>0</v>
      </c>
      <c r="Y2526" s="52">
        <f t="shared" si="582"/>
        <v>0</v>
      </c>
    </row>
    <row r="2527" spans="1:25" x14ac:dyDescent="0.25">
      <c r="A2527" s="1218" t="s">
        <v>173</v>
      </c>
      <c r="B2527" s="98">
        <v>45870</v>
      </c>
      <c r="C2527" s="117" t="str">
        <f t="shared" si="586"/>
        <v>6L</v>
      </c>
      <c r="F2527" s="99">
        <f t="shared" si="585"/>
        <v>0</v>
      </c>
      <c r="I2527" s="99">
        <f t="shared" si="584"/>
        <v>0</v>
      </c>
      <c r="L2527" s="99">
        <f t="shared" si="571"/>
        <v>0</v>
      </c>
      <c r="M2527" s="44" t="str">
        <f t="shared" si="573"/>
        <v/>
      </c>
      <c r="N2527" s="100">
        <f t="shared" si="574"/>
        <v>0</v>
      </c>
      <c r="O2527" s="101">
        <f t="shared" si="575"/>
        <v>0</v>
      </c>
      <c r="P2527" s="52">
        <f t="shared" si="576"/>
        <v>0</v>
      </c>
      <c r="Q2527" s="49">
        <v>116.88487613461319</v>
      </c>
      <c r="R2527">
        <v>2225</v>
      </c>
      <c r="S2527" s="50">
        <f t="shared" si="572"/>
        <v>71535.307499999995</v>
      </c>
      <c r="T2527" s="50">
        <f t="shared" si="577"/>
        <v>0</v>
      </c>
      <c r="U2527" s="58">
        <f t="shared" si="578"/>
        <v>0</v>
      </c>
      <c r="V2527" s="58">
        <f t="shared" si="579"/>
        <v>0</v>
      </c>
      <c r="W2527" s="58">
        <f t="shared" si="580"/>
        <v>0</v>
      </c>
      <c r="X2527" s="58">
        <f t="shared" si="581"/>
        <v>0</v>
      </c>
      <c r="Y2527" s="52">
        <f t="shared" si="582"/>
        <v>0</v>
      </c>
    </row>
    <row r="2528" spans="1:25" x14ac:dyDescent="0.25">
      <c r="A2528" s="1218" t="s">
        <v>174</v>
      </c>
      <c r="B2528" s="98">
        <v>45870</v>
      </c>
      <c r="C2528" s="117" t="str">
        <f t="shared" si="586"/>
        <v>6L</v>
      </c>
      <c r="F2528" s="99">
        <f t="shared" si="585"/>
        <v>0</v>
      </c>
      <c r="I2528" s="99">
        <f t="shared" si="584"/>
        <v>0</v>
      </c>
      <c r="L2528" s="99">
        <f t="shared" si="571"/>
        <v>0</v>
      </c>
      <c r="M2528" s="44" t="str">
        <f t="shared" si="573"/>
        <v/>
      </c>
      <c r="N2528" s="100">
        <f t="shared" si="574"/>
        <v>0</v>
      </c>
      <c r="O2528" s="101">
        <f t="shared" si="575"/>
        <v>0</v>
      </c>
      <c r="P2528" s="52">
        <f t="shared" si="576"/>
        <v>0</v>
      </c>
      <c r="Q2528" s="49">
        <v>116.88487613461319</v>
      </c>
      <c r="R2528">
        <v>2225</v>
      </c>
      <c r="S2528" s="50">
        <f t="shared" si="572"/>
        <v>71535.307499999995</v>
      </c>
      <c r="T2528" s="50">
        <f t="shared" si="577"/>
        <v>0</v>
      </c>
      <c r="U2528" s="58">
        <f t="shared" si="578"/>
        <v>0</v>
      </c>
      <c r="V2528" s="58">
        <f t="shared" si="579"/>
        <v>0</v>
      </c>
      <c r="W2528" s="58">
        <f t="shared" si="580"/>
        <v>0</v>
      </c>
      <c r="X2528" s="58">
        <f t="shared" si="581"/>
        <v>0</v>
      </c>
      <c r="Y2528" s="52">
        <f t="shared" si="582"/>
        <v>0</v>
      </c>
    </row>
    <row r="2529" spans="1:25" x14ac:dyDescent="0.25">
      <c r="A2529" s="1218" t="s">
        <v>175</v>
      </c>
      <c r="B2529" s="98">
        <v>45870</v>
      </c>
      <c r="C2529" s="117" t="str">
        <f t="shared" si="586"/>
        <v>6L</v>
      </c>
      <c r="F2529" s="99">
        <f t="shared" si="585"/>
        <v>0</v>
      </c>
      <c r="I2529" s="99">
        <f t="shared" si="584"/>
        <v>0</v>
      </c>
      <c r="L2529" s="99">
        <f t="shared" si="571"/>
        <v>0</v>
      </c>
      <c r="M2529" s="44" t="str">
        <f t="shared" si="573"/>
        <v/>
      </c>
      <c r="N2529" s="100">
        <f t="shared" si="574"/>
        <v>0</v>
      </c>
      <c r="O2529" s="101">
        <f t="shared" si="575"/>
        <v>0</v>
      </c>
      <c r="P2529" s="52">
        <f t="shared" si="576"/>
        <v>0</v>
      </c>
      <c r="Q2529" s="49">
        <v>116.88487613461319</v>
      </c>
      <c r="R2529">
        <v>2225</v>
      </c>
      <c r="S2529" s="50">
        <f t="shared" si="572"/>
        <v>71535.307499999995</v>
      </c>
      <c r="T2529" s="50">
        <f t="shared" si="577"/>
        <v>0</v>
      </c>
      <c r="U2529" s="58">
        <f t="shared" si="578"/>
        <v>0</v>
      </c>
      <c r="V2529" s="58">
        <f t="shared" si="579"/>
        <v>0</v>
      </c>
      <c r="W2529" s="58">
        <f t="shared" si="580"/>
        <v>0</v>
      </c>
      <c r="X2529" s="58">
        <f t="shared" si="581"/>
        <v>0</v>
      </c>
      <c r="Y2529" s="52">
        <f t="shared" si="582"/>
        <v>0</v>
      </c>
    </row>
    <row r="2530" spans="1:25" x14ac:dyDescent="0.25">
      <c r="A2530" s="1218" t="s">
        <v>176</v>
      </c>
      <c r="B2530" s="98">
        <v>45870</v>
      </c>
      <c r="C2530" s="117" t="str">
        <f t="shared" si="586"/>
        <v>6L</v>
      </c>
      <c r="D2530" s="118">
        <v>176</v>
      </c>
      <c r="E2530">
        <v>3.97</v>
      </c>
      <c r="F2530" s="99">
        <f t="shared" si="585"/>
        <v>0.69872000000000001</v>
      </c>
      <c r="I2530" s="99">
        <f t="shared" si="584"/>
        <v>0</v>
      </c>
      <c r="L2530" s="99">
        <f t="shared" si="571"/>
        <v>0</v>
      </c>
      <c r="M2530" s="44" t="str">
        <f t="shared" si="573"/>
        <v/>
      </c>
      <c r="N2530" s="100">
        <f t="shared" si="574"/>
        <v>0</v>
      </c>
      <c r="O2530" s="101">
        <f t="shared" si="575"/>
        <v>0</v>
      </c>
      <c r="P2530" s="52">
        <f t="shared" si="576"/>
        <v>0</v>
      </c>
      <c r="Q2530" s="49">
        <v>116.88487613461319</v>
      </c>
      <c r="R2530">
        <v>2225</v>
      </c>
      <c r="S2530" s="50">
        <f t="shared" si="572"/>
        <v>71535.307499999995</v>
      </c>
      <c r="T2530" s="50">
        <f t="shared" si="577"/>
        <v>0</v>
      </c>
      <c r="U2530" s="58">
        <f t="shared" si="578"/>
        <v>0</v>
      </c>
      <c r="V2530" s="58">
        <f t="shared" si="579"/>
        <v>0</v>
      </c>
      <c r="W2530" s="58">
        <f t="shared" si="580"/>
        <v>0</v>
      </c>
      <c r="X2530" s="58">
        <f t="shared" si="581"/>
        <v>0</v>
      </c>
      <c r="Y2530" s="52">
        <f t="shared" si="582"/>
        <v>0</v>
      </c>
    </row>
    <row r="2531" spans="1:25" x14ac:dyDescent="0.25">
      <c r="A2531" s="1218" t="s">
        <v>177</v>
      </c>
      <c r="B2531" s="98">
        <v>45870</v>
      </c>
      <c r="C2531" s="117" t="str">
        <f t="shared" si="586"/>
        <v>6L</v>
      </c>
      <c r="D2531" s="118">
        <v>899</v>
      </c>
      <c r="E2531">
        <v>1.55</v>
      </c>
      <c r="F2531" s="99">
        <f t="shared" si="585"/>
        <v>1.3934500000000001</v>
      </c>
      <c r="I2531" s="99">
        <f t="shared" si="584"/>
        <v>0</v>
      </c>
      <c r="L2531" s="99">
        <f t="shared" si="571"/>
        <v>0</v>
      </c>
      <c r="M2531" s="44" t="str">
        <f t="shared" si="573"/>
        <v/>
      </c>
      <c r="N2531" s="100">
        <f t="shared" si="574"/>
        <v>0</v>
      </c>
      <c r="O2531" s="101">
        <f t="shared" si="575"/>
        <v>0</v>
      </c>
      <c r="P2531" s="52">
        <f t="shared" si="576"/>
        <v>0</v>
      </c>
      <c r="Q2531" s="49">
        <v>116.88487613461319</v>
      </c>
      <c r="R2531">
        <v>2225</v>
      </c>
      <c r="S2531" s="50">
        <f t="shared" si="572"/>
        <v>71535.307499999995</v>
      </c>
      <c r="T2531" s="50">
        <f t="shared" si="577"/>
        <v>0</v>
      </c>
      <c r="U2531" s="58">
        <f t="shared" si="578"/>
        <v>0</v>
      </c>
      <c r="V2531" s="58">
        <f t="shared" si="579"/>
        <v>0</v>
      </c>
      <c r="W2531" s="58">
        <f t="shared" si="580"/>
        <v>0</v>
      </c>
      <c r="X2531" s="58">
        <f t="shared" si="581"/>
        <v>0</v>
      </c>
      <c r="Y2531" s="52">
        <f t="shared" si="582"/>
        <v>0</v>
      </c>
    </row>
    <row r="2532" spans="1:25" x14ac:dyDescent="0.25">
      <c r="A2532" s="1218" t="s">
        <v>178</v>
      </c>
      <c r="B2532" s="98">
        <v>45870</v>
      </c>
      <c r="C2532" s="117" t="str">
        <f t="shared" si="586"/>
        <v>7L</v>
      </c>
      <c r="F2532" s="99">
        <f t="shared" si="585"/>
        <v>0</v>
      </c>
      <c r="I2532" s="99">
        <f t="shared" si="584"/>
        <v>0</v>
      </c>
      <c r="L2532" s="99">
        <f t="shared" si="571"/>
        <v>0</v>
      </c>
      <c r="M2532" s="44" t="str">
        <f t="shared" si="573"/>
        <v/>
      </c>
      <c r="N2532" s="100">
        <f t="shared" si="574"/>
        <v>0</v>
      </c>
      <c r="O2532" s="101">
        <f t="shared" si="575"/>
        <v>0</v>
      </c>
      <c r="P2532" s="52">
        <f t="shared" si="576"/>
        <v>0</v>
      </c>
      <c r="Q2532" s="49">
        <v>116.88487613461319</v>
      </c>
      <c r="R2532">
        <v>2225</v>
      </c>
      <c r="S2532" s="50">
        <f t="shared" si="572"/>
        <v>71535.307499999995</v>
      </c>
      <c r="T2532" s="50">
        <f t="shared" si="577"/>
        <v>0</v>
      </c>
      <c r="U2532" s="58">
        <f t="shared" si="578"/>
        <v>0</v>
      </c>
      <c r="V2532" s="58">
        <f t="shared" si="579"/>
        <v>0</v>
      </c>
      <c r="W2532" s="58">
        <f t="shared" si="580"/>
        <v>0</v>
      </c>
      <c r="X2532" s="58">
        <f t="shared" si="581"/>
        <v>0</v>
      </c>
      <c r="Y2532" s="52">
        <f t="shared" si="582"/>
        <v>0</v>
      </c>
    </row>
    <row r="2533" spans="1:25" x14ac:dyDescent="0.25">
      <c r="A2533" s="1218" t="s">
        <v>179</v>
      </c>
      <c r="B2533" s="98">
        <v>45870</v>
      </c>
      <c r="C2533" s="117" t="str">
        <f t="shared" si="586"/>
        <v>7L</v>
      </c>
      <c r="F2533" s="99">
        <f t="shared" si="585"/>
        <v>0</v>
      </c>
      <c r="I2533" s="99">
        <f t="shared" si="584"/>
        <v>0</v>
      </c>
      <c r="L2533" s="99">
        <f t="shared" si="571"/>
        <v>0</v>
      </c>
      <c r="M2533" s="44" t="str">
        <f t="shared" si="573"/>
        <v/>
      </c>
      <c r="N2533" s="100">
        <f t="shared" si="574"/>
        <v>0</v>
      </c>
      <c r="O2533" s="101">
        <f t="shared" si="575"/>
        <v>0</v>
      </c>
      <c r="P2533" s="52">
        <f t="shared" si="576"/>
        <v>0</v>
      </c>
      <c r="Q2533" s="49">
        <v>116.88487613461319</v>
      </c>
      <c r="R2533">
        <v>2225</v>
      </c>
      <c r="S2533" s="50">
        <f t="shared" si="572"/>
        <v>71535.307499999995</v>
      </c>
      <c r="T2533" s="50">
        <f t="shared" si="577"/>
        <v>0</v>
      </c>
      <c r="U2533" s="58">
        <f t="shared" si="578"/>
        <v>0</v>
      </c>
      <c r="V2533" s="58">
        <f t="shared" si="579"/>
        <v>0</v>
      </c>
      <c r="W2533" s="58">
        <f t="shared" si="580"/>
        <v>0</v>
      </c>
      <c r="X2533" s="58">
        <f t="shared" si="581"/>
        <v>0</v>
      </c>
      <c r="Y2533" s="52">
        <f t="shared" si="582"/>
        <v>0</v>
      </c>
    </row>
    <row r="2534" spans="1:25" x14ac:dyDescent="0.25">
      <c r="A2534" s="1218" t="s">
        <v>180</v>
      </c>
      <c r="B2534" s="98">
        <v>45870</v>
      </c>
      <c r="C2534" s="117" t="str">
        <f t="shared" si="586"/>
        <v>7L</v>
      </c>
      <c r="F2534" s="99">
        <f t="shared" si="585"/>
        <v>0</v>
      </c>
      <c r="I2534" s="99">
        <f t="shared" si="584"/>
        <v>0</v>
      </c>
      <c r="L2534" s="99">
        <f t="shared" ref="L2534:L2597" si="587">IFERROR(J2534*K2534/1000,"")</f>
        <v>0</v>
      </c>
      <c r="M2534" s="44" t="str">
        <f t="shared" si="573"/>
        <v/>
      </c>
      <c r="N2534" s="100">
        <f t="shared" si="574"/>
        <v>0</v>
      </c>
      <c r="O2534" s="101">
        <f t="shared" si="575"/>
        <v>0</v>
      </c>
      <c r="P2534" s="52">
        <f t="shared" si="576"/>
        <v>0</v>
      </c>
      <c r="Q2534" s="49">
        <v>116.88487613461319</v>
      </c>
      <c r="R2534">
        <v>2225</v>
      </c>
      <c r="S2534" s="50">
        <f t="shared" ref="S2534:S2597" si="588">R2534*32.1507</f>
        <v>71535.307499999995</v>
      </c>
      <c r="T2534" s="50">
        <f t="shared" si="577"/>
        <v>0</v>
      </c>
      <c r="U2534" s="58">
        <f t="shared" si="578"/>
        <v>0</v>
      </c>
      <c r="V2534" s="58">
        <f t="shared" si="579"/>
        <v>0</v>
      </c>
      <c r="W2534" s="58">
        <f t="shared" si="580"/>
        <v>0</v>
      </c>
      <c r="X2534" s="58">
        <f t="shared" si="581"/>
        <v>0</v>
      </c>
      <c r="Y2534" s="52">
        <f t="shared" si="582"/>
        <v>0</v>
      </c>
    </row>
    <row r="2535" spans="1:25" x14ac:dyDescent="0.25">
      <c r="A2535" s="1218" t="s">
        <v>181</v>
      </c>
      <c r="B2535" s="98">
        <v>45870</v>
      </c>
      <c r="C2535" s="117" t="str">
        <f t="shared" si="586"/>
        <v>7L</v>
      </c>
      <c r="F2535" s="99">
        <f t="shared" si="585"/>
        <v>0</v>
      </c>
      <c r="I2535" s="99">
        <f t="shared" si="584"/>
        <v>0</v>
      </c>
      <c r="L2535" s="99">
        <f t="shared" si="587"/>
        <v>0</v>
      </c>
      <c r="M2535" s="44" t="str">
        <f t="shared" si="573"/>
        <v/>
      </c>
      <c r="N2535" s="100">
        <f t="shared" si="574"/>
        <v>0</v>
      </c>
      <c r="O2535" s="101">
        <f t="shared" si="575"/>
        <v>0</v>
      </c>
      <c r="P2535" s="52">
        <f t="shared" si="576"/>
        <v>0</v>
      </c>
      <c r="Q2535" s="49">
        <v>116.88487613461319</v>
      </c>
      <c r="R2535">
        <v>2225</v>
      </c>
      <c r="S2535" s="50">
        <f t="shared" si="588"/>
        <v>71535.307499999995</v>
      </c>
      <c r="T2535" s="50">
        <f t="shared" si="577"/>
        <v>0</v>
      </c>
      <c r="U2535" s="58">
        <f t="shared" si="578"/>
        <v>0</v>
      </c>
      <c r="V2535" s="58">
        <f t="shared" si="579"/>
        <v>0</v>
      </c>
      <c r="W2535" s="58">
        <f t="shared" si="580"/>
        <v>0</v>
      </c>
      <c r="X2535" s="58">
        <f t="shared" si="581"/>
        <v>0</v>
      </c>
      <c r="Y2535" s="52">
        <f t="shared" si="582"/>
        <v>0</v>
      </c>
    </row>
    <row r="2536" spans="1:25" x14ac:dyDescent="0.25">
      <c r="A2536" s="1218" t="s">
        <v>182</v>
      </c>
      <c r="B2536" s="98">
        <v>45870</v>
      </c>
      <c r="C2536" s="117" t="str">
        <f t="shared" si="586"/>
        <v>7L</v>
      </c>
      <c r="F2536" s="99">
        <f t="shared" si="585"/>
        <v>0</v>
      </c>
      <c r="I2536" s="99">
        <f t="shared" si="584"/>
        <v>0</v>
      </c>
      <c r="L2536" s="99">
        <f t="shared" si="587"/>
        <v>0</v>
      </c>
      <c r="M2536" s="44" t="str">
        <f t="shared" ref="M2536:M2599" si="589">IFERROR((L2536-I2536)/I2536,"")</f>
        <v/>
      </c>
      <c r="N2536" s="100">
        <f t="shared" ref="N2536:N2599" si="590">J2536-G2536</f>
        <v>0</v>
      </c>
      <c r="O2536" s="101">
        <f t="shared" ref="O2536:O2599" si="591">L2536-I2536</f>
        <v>0</v>
      </c>
      <c r="P2536" s="52">
        <f t="shared" ref="P2536:P2599" si="592">U2536-W2536</f>
        <v>0</v>
      </c>
      <c r="Q2536" s="49">
        <v>116.88487613461319</v>
      </c>
      <c r="R2536">
        <v>2225</v>
      </c>
      <c r="S2536" s="50">
        <f t="shared" si="588"/>
        <v>71535.307499999995</v>
      </c>
      <c r="T2536" s="50">
        <f t="shared" ref="T2536:T2599" si="593">IFERROR(S2536*I2536,"")</f>
        <v>0</v>
      </c>
      <c r="U2536" s="58">
        <f t="shared" ref="U2536:U2599" si="594">IFERROR(S2536*L2536,"")</f>
        <v>0</v>
      </c>
      <c r="V2536" s="58">
        <f t="shared" ref="V2536:V2599" si="595">IFERROR(Q2536*G2536,"")</f>
        <v>0</v>
      </c>
      <c r="W2536" s="58">
        <f t="shared" ref="W2536:W2599" si="596">IFERROR(Q2536*J2536,"")</f>
        <v>0</v>
      </c>
      <c r="X2536" s="58">
        <f t="shared" ref="X2536:X2599" si="597">T2536-V2536</f>
        <v>0</v>
      </c>
      <c r="Y2536" s="52">
        <f t="shared" ref="Y2536:Y2599" si="598">U2536-W2536</f>
        <v>0</v>
      </c>
    </row>
    <row r="2537" spans="1:25" x14ac:dyDescent="0.25">
      <c r="A2537" s="1218" t="s">
        <v>183</v>
      </c>
      <c r="B2537" s="98">
        <v>45870</v>
      </c>
      <c r="C2537" s="117" t="str">
        <f t="shared" si="586"/>
        <v>7L</v>
      </c>
      <c r="F2537" s="99">
        <f t="shared" si="585"/>
        <v>0</v>
      </c>
      <c r="I2537" s="99">
        <f t="shared" si="584"/>
        <v>0</v>
      </c>
      <c r="L2537" s="99">
        <f t="shared" si="587"/>
        <v>0</v>
      </c>
      <c r="M2537" s="44" t="str">
        <f t="shared" si="589"/>
        <v/>
      </c>
      <c r="N2537" s="100">
        <f t="shared" si="590"/>
        <v>0</v>
      </c>
      <c r="O2537" s="101">
        <f t="shared" si="591"/>
        <v>0</v>
      </c>
      <c r="P2537" s="52">
        <f t="shared" si="592"/>
        <v>0</v>
      </c>
      <c r="Q2537" s="49">
        <v>116.88487613461319</v>
      </c>
      <c r="R2537">
        <v>2225</v>
      </c>
      <c r="S2537" s="50">
        <f t="shared" si="588"/>
        <v>71535.307499999995</v>
      </c>
      <c r="T2537" s="50">
        <f t="shared" si="593"/>
        <v>0</v>
      </c>
      <c r="U2537" s="58">
        <f t="shared" si="594"/>
        <v>0</v>
      </c>
      <c r="V2537" s="58">
        <f t="shared" si="595"/>
        <v>0</v>
      </c>
      <c r="W2537" s="58">
        <f t="shared" si="596"/>
        <v>0</v>
      </c>
      <c r="X2537" s="58">
        <f t="shared" si="597"/>
        <v>0</v>
      </c>
      <c r="Y2537" s="52">
        <f t="shared" si="598"/>
        <v>0</v>
      </c>
    </row>
    <row r="2538" spans="1:25" x14ac:dyDescent="0.25">
      <c r="A2538" s="1218" t="s">
        <v>184</v>
      </c>
      <c r="B2538" s="98">
        <v>45870</v>
      </c>
      <c r="C2538" s="117" t="str">
        <f t="shared" si="586"/>
        <v>7L</v>
      </c>
      <c r="F2538" s="99">
        <f t="shared" si="585"/>
        <v>0</v>
      </c>
      <c r="I2538" s="99">
        <f t="shared" si="584"/>
        <v>0</v>
      </c>
      <c r="L2538" s="99">
        <f t="shared" si="587"/>
        <v>0</v>
      </c>
      <c r="M2538" s="44" t="str">
        <f t="shared" si="589"/>
        <v/>
      </c>
      <c r="N2538" s="100">
        <f t="shared" si="590"/>
        <v>0</v>
      </c>
      <c r="O2538" s="101">
        <f t="shared" si="591"/>
        <v>0</v>
      </c>
      <c r="P2538" s="52">
        <f t="shared" si="592"/>
        <v>0</v>
      </c>
      <c r="Q2538" s="49">
        <v>116.88487613461319</v>
      </c>
      <c r="R2538">
        <v>2225</v>
      </c>
      <c r="S2538" s="50">
        <f t="shared" si="588"/>
        <v>71535.307499999995</v>
      </c>
      <c r="T2538" s="50">
        <f t="shared" si="593"/>
        <v>0</v>
      </c>
      <c r="U2538" s="58">
        <f t="shared" si="594"/>
        <v>0</v>
      </c>
      <c r="V2538" s="58">
        <f t="shared" si="595"/>
        <v>0</v>
      </c>
      <c r="W2538" s="58">
        <f t="shared" si="596"/>
        <v>0</v>
      </c>
      <c r="X2538" s="58">
        <f t="shared" si="597"/>
        <v>0</v>
      </c>
      <c r="Y2538" s="52">
        <f t="shared" si="598"/>
        <v>0</v>
      </c>
    </row>
    <row r="2539" spans="1:25" x14ac:dyDescent="0.25">
      <c r="A2539" s="1218" t="s">
        <v>185</v>
      </c>
      <c r="B2539" s="98">
        <v>45870</v>
      </c>
      <c r="C2539" s="117" t="str">
        <f t="shared" si="586"/>
        <v>7L</v>
      </c>
      <c r="F2539" s="99">
        <f t="shared" si="585"/>
        <v>0</v>
      </c>
      <c r="I2539" s="99">
        <f t="shared" si="584"/>
        <v>0</v>
      </c>
      <c r="L2539" s="99">
        <f t="shared" si="587"/>
        <v>0</v>
      </c>
      <c r="M2539" s="44" t="str">
        <f t="shared" si="589"/>
        <v/>
      </c>
      <c r="N2539" s="100">
        <f t="shared" si="590"/>
        <v>0</v>
      </c>
      <c r="O2539" s="101">
        <f t="shared" si="591"/>
        <v>0</v>
      </c>
      <c r="P2539" s="52">
        <f t="shared" si="592"/>
        <v>0</v>
      </c>
      <c r="Q2539" s="49">
        <v>116.88487613461319</v>
      </c>
      <c r="R2539">
        <v>2225</v>
      </c>
      <c r="S2539" s="50">
        <f t="shared" si="588"/>
        <v>71535.307499999995</v>
      </c>
      <c r="T2539" s="50">
        <f t="shared" si="593"/>
        <v>0</v>
      </c>
      <c r="U2539" s="58">
        <f t="shared" si="594"/>
        <v>0</v>
      </c>
      <c r="V2539" s="58">
        <f t="shared" si="595"/>
        <v>0</v>
      </c>
      <c r="W2539" s="58">
        <f t="shared" si="596"/>
        <v>0</v>
      </c>
      <c r="X2539" s="58">
        <f t="shared" si="597"/>
        <v>0</v>
      </c>
      <c r="Y2539" s="52">
        <f t="shared" si="598"/>
        <v>0</v>
      </c>
    </row>
    <row r="2540" spans="1:25" x14ac:dyDescent="0.25">
      <c r="A2540" s="1218" t="s">
        <v>186</v>
      </c>
      <c r="B2540" s="98">
        <v>45870</v>
      </c>
      <c r="C2540" s="117" t="str">
        <f t="shared" si="586"/>
        <v>7L</v>
      </c>
      <c r="F2540" s="99">
        <f t="shared" si="585"/>
        <v>0</v>
      </c>
      <c r="I2540" s="99">
        <f t="shared" si="584"/>
        <v>0</v>
      </c>
      <c r="L2540" s="99">
        <f t="shared" si="587"/>
        <v>0</v>
      </c>
      <c r="M2540" s="44" t="str">
        <f t="shared" si="589"/>
        <v/>
      </c>
      <c r="N2540" s="100">
        <f t="shared" si="590"/>
        <v>0</v>
      </c>
      <c r="O2540" s="101">
        <f t="shared" si="591"/>
        <v>0</v>
      </c>
      <c r="P2540" s="52">
        <f t="shared" si="592"/>
        <v>0</v>
      </c>
      <c r="Q2540" s="49">
        <v>116.88487613461319</v>
      </c>
      <c r="R2540">
        <v>2225</v>
      </c>
      <c r="S2540" s="50">
        <f t="shared" si="588"/>
        <v>71535.307499999995</v>
      </c>
      <c r="T2540" s="50">
        <f t="shared" si="593"/>
        <v>0</v>
      </c>
      <c r="U2540" s="58">
        <f t="shared" si="594"/>
        <v>0</v>
      </c>
      <c r="V2540" s="58">
        <f t="shared" si="595"/>
        <v>0</v>
      </c>
      <c r="W2540" s="58">
        <f t="shared" si="596"/>
        <v>0</v>
      </c>
      <c r="X2540" s="58">
        <f t="shared" si="597"/>
        <v>0</v>
      </c>
      <c r="Y2540" s="52">
        <f t="shared" si="598"/>
        <v>0</v>
      </c>
    </row>
    <row r="2541" spans="1:25" x14ac:dyDescent="0.25">
      <c r="A2541" s="1218" t="s">
        <v>187</v>
      </c>
      <c r="B2541" s="98">
        <v>45870</v>
      </c>
      <c r="C2541" s="117" t="str">
        <f t="shared" si="586"/>
        <v>7L</v>
      </c>
      <c r="F2541" s="99">
        <f t="shared" si="585"/>
        <v>0</v>
      </c>
      <c r="I2541" s="99">
        <f t="shared" si="584"/>
        <v>0</v>
      </c>
      <c r="L2541" s="99">
        <f t="shared" si="587"/>
        <v>0</v>
      </c>
      <c r="M2541" s="44" t="str">
        <f t="shared" si="589"/>
        <v/>
      </c>
      <c r="N2541" s="100">
        <f t="shared" si="590"/>
        <v>0</v>
      </c>
      <c r="O2541" s="101">
        <f t="shared" si="591"/>
        <v>0</v>
      </c>
      <c r="P2541" s="52">
        <f t="shared" si="592"/>
        <v>0</v>
      </c>
      <c r="Q2541" s="49">
        <v>116.88487613461319</v>
      </c>
      <c r="R2541">
        <v>2225</v>
      </c>
      <c r="S2541" s="50">
        <f t="shared" si="588"/>
        <v>71535.307499999995</v>
      </c>
      <c r="T2541" s="50">
        <f t="shared" si="593"/>
        <v>0</v>
      </c>
      <c r="U2541" s="58">
        <f t="shared" si="594"/>
        <v>0</v>
      </c>
      <c r="V2541" s="58">
        <f t="shared" si="595"/>
        <v>0</v>
      </c>
      <c r="W2541" s="58">
        <f t="shared" si="596"/>
        <v>0</v>
      </c>
      <c r="X2541" s="58">
        <f t="shared" si="597"/>
        <v>0</v>
      </c>
      <c r="Y2541" s="52">
        <f t="shared" si="598"/>
        <v>0</v>
      </c>
    </row>
    <row r="2542" spans="1:25" x14ac:dyDescent="0.25">
      <c r="A2542" s="1218" t="s">
        <v>188</v>
      </c>
      <c r="B2542" s="98">
        <v>45870</v>
      </c>
      <c r="C2542" s="117" t="str">
        <f t="shared" si="586"/>
        <v>7L</v>
      </c>
      <c r="F2542" s="99">
        <f t="shared" si="585"/>
        <v>0</v>
      </c>
      <c r="I2542" s="99">
        <f t="shared" si="584"/>
        <v>0</v>
      </c>
      <c r="L2542" s="99">
        <f t="shared" si="587"/>
        <v>0</v>
      </c>
      <c r="M2542" s="44" t="str">
        <f t="shared" si="589"/>
        <v/>
      </c>
      <c r="N2542" s="100">
        <f t="shared" si="590"/>
        <v>0</v>
      </c>
      <c r="O2542" s="101">
        <f t="shared" si="591"/>
        <v>0</v>
      </c>
      <c r="P2542" s="52">
        <f t="shared" si="592"/>
        <v>0</v>
      </c>
      <c r="Q2542" s="49">
        <v>116.88487613461319</v>
      </c>
      <c r="R2542">
        <v>2225</v>
      </c>
      <c r="S2542" s="50">
        <f t="shared" si="588"/>
        <v>71535.307499999995</v>
      </c>
      <c r="T2542" s="50">
        <f t="shared" si="593"/>
        <v>0</v>
      </c>
      <c r="U2542" s="58">
        <f t="shared" si="594"/>
        <v>0</v>
      </c>
      <c r="V2542" s="58">
        <f t="shared" si="595"/>
        <v>0</v>
      </c>
      <c r="W2542" s="58">
        <f t="shared" si="596"/>
        <v>0</v>
      </c>
      <c r="X2542" s="58">
        <f t="shared" si="597"/>
        <v>0</v>
      </c>
      <c r="Y2542" s="52">
        <f t="shared" si="598"/>
        <v>0</v>
      </c>
    </row>
    <row r="2543" spans="1:25" x14ac:dyDescent="0.25">
      <c r="A2543" s="1218" t="s">
        <v>189</v>
      </c>
      <c r="B2543" s="98">
        <v>45870</v>
      </c>
      <c r="C2543" s="117" t="str">
        <f t="shared" si="586"/>
        <v>7L</v>
      </c>
      <c r="F2543" s="99">
        <f t="shared" si="585"/>
        <v>0</v>
      </c>
      <c r="I2543" s="99">
        <f t="shared" si="584"/>
        <v>0</v>
      </c>
      <c r="L2543" s="99">
        <f t="shared" si="587"/>
        <v>0</v>
      </c>
      <c r="M2543" s="44" t="str">
        <f t="shared" si="589"/>
        <v/>
      </c>
      <c r="N2543" s="100">
        <f t="shared" si="590"/>
        <v>0</v>
      </c>
      <c r="O2543" s="101">
        <f t="shared" si="591"/>
        <v>0</v>
      </c>
      <c r="P2543" s="52">
        <f t="shared" si="592"/>
        <v>0</v>
      </c>
      <c r="Q2543" s="49">
        <v>116.88487613461319</v>
      </c>
      <c r="R2543">
        <v>2225</v>
      </c>
      <c r="S2543" s="50">
        <f t="shared" si="588"/>
        <v>71535.307499999995</v>
      </c>
      <c r="T2543" s="50">
        <f t="shared" si="593"/>
        <v>0</v>
      </c>
      <c r="U2543" s="58">
        <f t="shared" si="594"/>
        <v>0</v>
      </c>
      <c r="V2543" s="58">
        <f t="shared" si="595"/>
        <v>0</v>
      </c>
      <c r="W2543" s="58">
        <f t="shared" si="596"/>
        <v>0</v>
      </c>
      <c r="X2543" s="58">
        <f t="shared" si="597"/>
        <v>0</v>
      </c>
      <c r="Y2543" s="52">
        <f t="shared" si="598"/>
        <v>0</v>
      </c>
    </row>
    <row r="2544" spans="1:25" x14ac:dyDescent="0.25">
      <c r="A2544" s="1218" t="s">
        <v>190</v>
      </c>
      <c r="B2544" s="98">
        <v>45870</v>
      </c>
      <c r="C2544" s="117" t="str">
        <f t="shared" si="586"/>
        <v>8L</v>
      </c>
      <c r="F2544" s="99">
        <f t="shared" si="585"/>
        <v>0</v>
      </c>
      <c r="I2544" s="99">
        <f t="shared" si="584"/>
        <v>0</v>
      </c>
      <c r="L2544" s="99">
        <f t="shared" si="587"/>
        <v>0</v>
      </c>
      <c r="M2544" s="44" t="str">
        <f t="shared" si="589"/>
        <v/>
      </c>
      <c r="N2544" s="100">
        <f t="shared" si="590"/>
        <v>0</v>
      </c>
      <c r="O2544" s="101">
        <f t="shared" si="591"/>
        <v>0</v>
      </c>
      <c r="P2544" s="52">
        <f t="shared" si="592"/>
        <v>0</v>
      </c>
      <c r="Q2544" s="49">
        <v>116.88487613461319</v>
      </c>
      <c r="R2544">
        <v>2225</v>
      </c>
      <c r="S2544" s="50">
        <f t="shared" si="588"/>
        <v>71535.307499999995</v>
      </c>
      <c r="T2544" s="50">
        <f t="shared" si="593"/>
        <v>0</v>
      </c>
      <c r="U2544" s="58">
        <f t="shared" si="594"/>
        <v>0</v>
      </c>
      <c r="V2544" s="58">
        <f t="shared" si="595"/>
        <v>0</v>
      </c>
      <c r="W2544" s="58">
        <f t="shared" si="596"/>
        <v>0</v>
      </c>
      <c r="X2544" s="58">
        <f t="shared" si="597"/>
        <v>0</v>
      </c>
      <c r="Y2544" s="52">
        <f t="shared" si="598"/>
        <v>0</v>
      </c>
    </row>
    <row r="2545" spans="1:25" x14ac:dyDescent="0.25">
      <c r="A2545" s="1218" t="s">
        <v>191</v>
      </c>
      <c r="B2545" s="98">
        <v>45870</v>
      </c>
      <c r="C2545" s="117" t="str">
        <f t="shared" si="586"/>
        <v>8L</v>
      </c>
      <c r="F2545" s="99">
        <f t="shared" si="585"/>
        <v>0</v>
      </c>
      <c r="I2545" s="99">
        <f t="shared" si="584"/>
        <v>0</v>
      </c>
      <c r="L2545" s="99">
        <f t="shared" si="587"/>
        <v>0</v>
      </c>
      <c r="M2545" s="44" t="str">
        <f t="shared" si="589"/>
        <v/>
      </c>
      <c r="N2545" s="100">
        <f t="shared" si="590"/>
        <v>0</v>
      </c>
      <c r="O2545" s="101">
        <f t="shared" si="591"/>
        <v>0</v>
      </c>
      <c r="P2545" s="52">
        <f t="shared" si="592"/>
        <v>0</v>
      </c>
      <c r="Q2545" s="49">
        <v>116.88487613461319</v>
      </c>
      <c r="R2545">
        <v>2225</v>
      </c>
      <c r="S2545" s="50">
        <f t="shared" si="588"/>
        <v>71535.307499999995</v>
      </c>
      <c r="T2545" s="50">
        <f t="shared" si="593"/>
        <v>0</v>
      </c>
      <c r="U2545" s="58">
        <f t="shared" si="594"/>
        <v>0</v>
      </c>
      <c r="V2545" s="58">
        <f t="shared" si="595"/>
        <v>0</v>
      </c>
      <c r="W2545" s="58">
        <f t="shared" si="596"/>
        <v>0</v>
      </c>
      <c r="X2545" s="58">
        <f t="shared" si="597"/>
        <v>0</v>
      </c>
      <c r="Y2545" s="52">
        <f t="shared" si="598"/>
        <v>0</v>
      </c>
    </row>
    <row r="2546" spans="1:25" x14ac:dyDescent="0.25">
      <c r="A2546" s="1218" t="s">
        <v>192</v>
      </c>
      <c r="B2546" s="98">
        <v>45870</v>
      </c>
      <c r="C2546" s="117" t="str">
        <f t="shared" si="586"/>
        <v>8L</v>
      </c>
      <c r="F2546" s="99">
        <f t="shared" si="585"/>
        <v>0</v>
      </c>
      <c r="I2546" s="99">
        <f t="shared" si="584"/>
        <v>0</v>
      </c>
      <c r="L2546" s="99">
        <f t="shared" si="587"/>
        <v>0</v>
      </c>
      <c r="M2546" s="44" t="str">
        <f t="shared" si="589"/>
        <v/>
      </c>
      <c r="N2546" s="100">
        <f t="shared" si="590"/>
        <v>0</v>
      </c>
      <c r="O2546" s="101">
        <f t="shared" si="591"/>
        <v>0</v>
      </c>
      <c r="P2546" s="52">
        <f t="shared" si="592"/>
        <v>0</v>
      </c>
      <c r="Q2546" s="49">
        <v>116.88487613461319</v>
      </c>
      <c r="R2546">
        <v>2225</v>
      </c>
      <c r="S2546" s="50">
        <f t="shared" si="588"/>
        <v>71535.307499999995</v>
      </c>
      <c r="T2546" s="50">
        <f t="shared" si="593"/>
        <v>0</v>
      </c>
      <c r="U2546" s="58">
        <f t="shared" si="594"/>
        <v>0</v>
      </c>
      <c r="V2546" s="58">
        <f t="shared" si="595"/>
        <v>0</v>
      </c>
      <c r="W2546" s="58">
        <f t="shared" si="596"/>
        <v>0</v>
      </c>
      <c r="X2546" s="58">
        <f t="shared" si="597"/>
        <v>0</v>
      </c>
      <c r="Y2546" s="52">
        <f t="shared" si="598"/>
        <v>0</v>
      </c>
    </row>
    <row r="2547" spans="1:25" x14ac:dyDescent="0.25">
      <c r="A2547" s="1218" t="s">
        <v>193</v>
      </c>
      <c r="B2547" s="98">
        <v>45870</v>
      </c>
      <c r="C2547" s="117" t="str">
        <f t="shared" si="586"/>
        <v>8L</v>
      </c>
      <c r="F2547" s="99">
        <f t="shared" si="585"/>
        <v>0</v>
      </c>
      <c r="I2547" s="99">
        <f t="shared" si="584"/>
        <v>0</v>
      </c>
      <c r="L2547" s="99">
        <f t="shared" si="587"/>
        <v>0</v>
      </c>
      <c r="M2547" s="44" t="str">
        <f t="shared" si="589"/>
        <v/>
      </c>
      <c r="N2547" s="100">
        <f t="shared" si="590"/>
        <v>0</v>
      </c>
      <c r="O2547" s="101">
        <f t="shared" si="591"/>
        <v>0</v>
      </c>
      <c r="P2547" s="52">
        <f t="shared" si="592"/>
        <v>0</v>
      </c>
      <c r="Q2547" s="49">
        <v>116.88487613461319</v>
      </c>
      <c r="R2547">
        <v>2225</v>
      </c>
      <c r="S2547" s="50">
        <f t="shared" si="588"/>
        <v>71535.307499999995</v>
      </c>
      <c r="T2547" s="50">
        <f t="shared" si="593"/>
        <v>0</v>
      </c>
      <c r="U2547" s="58">
        <f t="shared" si="594"/>
        <v>0</v>
      </c>
      <c r="V2547" s="58">
        <f t="shared" si="595"/>
        <v>0</v>
      </c>
      <c r="W2547" s="58">
        <f t="shared" si="596"/>
        <v>0</v>
      </c>
      <c r="X2547" s="58">
        <f t="shared" si="597"/>
        <v>0</v>
      </c>
      <c r="Y2547" s="52">
        <f t="shared" si="598"/>
        <v>0</v>
      </c>
    </row>
    <row r="2548" spans="1:25" x14ac:dyDescent="0.25">
      <c r="A2548" s="1218" t="s">
        <v>194</v>
      </c>
      <c r="B2548" s="98">
        <v>45870</v>
      </c>
      <c r="C2548" s="117" t="str">
        <f t="shared" si="586"/>
        <v>8L</v>
      </c>
      <c r="F2548" s="99">
        <f t="shared" si="585"/>
        <v>0</v>
      </c>
      <c r="I2548" s="99">
        <f t="shared" si="584"/>
        <v>0</v>
      </c>
      <c r="L2548" s="99">
        <f t="shared" si="587"/>
        <v>0</v>
      </c>
      <c r="M2548" s="44" t="str">
        <f t="shared" si="589"/>
        <v/>
      </c>
      <c r="N2548" s="100">
        <f t="shared" si="590"/>
        <v>0</v>
      </c>
      <c r="O2548" s="101">
        <f t="shared" si="591"/>
        <v>0</v>
      </c>
      <c r="P2548" s="52">
        <f t="shared" si="592"/>
        <v>0</v>
      </c>
      <c r="Q2548" s="49">
        <v>116.88487613461319</v>
      </c>
      <c r="R2548">
        <v>2225</v>
      </c>
      <c r="S2548" s="50">
        <f t="shared" si="588"/>
        <v>71535.307499999995</v>
      </c>
      <c r="T2548" s="50">
        <f t="shared" si="593"/>
        <v>0</v>
      </c>
      <c r="U2548" s="58">
        <f t="shared" si="594"/>
        <v>0</v>
      </c>
      <c r="V2548" s="58">
        <f t="shared" si="595"/>
        <v>0</v>
      </c>
      <c r="W2548" s="58">
        <f t="shared" si="596"/>
        <v>0</v>
      </c>
      <c r="X2548" s="58">
        <f t="shared" si="597"/>
        <v>0</v>
      </c>
      <c r="Y2548" s="52">
        <f t="shared" si="598"/>
        <v>0</v>
      </c>
    </row>
    <row r="2549" spans="1:25" x14ac:dyDescent="0.25">
      <c r="A2549" s="1218" t="s">
        <v>195</v>
      </c>
      <c r="B2549" s="98">
        <v>45870</v>
      </c>
      <c r="C2549" s="117" t="str">
        <f t="shared" si="586"/>
        <v>8L</v>
      </c>
      <c r="F2549" s="99">
        <f t="shared" si="585"/>
        <v>0</v>
      </c>
      <c r="I2549" s="99">
        <f t="shared" si="584"/>
        <v>0</v>
      </c>
      <c r="L2549" s="99">
        <f t="shared" si="587"/>
        <v>0</v>
      </c>
      <c r="M2549" s="44" t="str">
        <f t="shared" si="589"/>
        <v/>
      </c>
      <c r="N2549" s="100">
        <f t="shared" si="590"/>
        <v>0</v>
      </c>
      <c r="O2549" s="101">
        <f t="shared" si="591"/>
        <v>0</v>
      </c>
      <c r="P2549" s="52">
        <f t="shared" si="592"/>
        <v>0</v>
      </c>
      <c r="Q2549" s="49">
        <v>116.88487613461319</v>
      </c>
      <c r="R2549">
        <v>2225</v>
      </c>
      <c r="S2549" s="50">
        <f t="shared" si="588"/>
        <v>71535.307499999995</v>
      </c>
      <c r="T2549" s="50">
        <f t="shared" si="593"/>
        <v>0</v>
      </c>
      <c r="U2549" s="58">
        <f t="shared" si="594"/>
        <v>0</v>
      </c>
      <c r="V2549" s="58">
        <f t="shared" si="595"/>
        <v>0</v>
      </c>
      <c r="W2549" s="58">
        <f t="shared" si="596"/>
        <v>0</v>
      </c>
      <c r="X2549" s="58">
        <f t="shared" si="597"/>
        <v>0</v>
      </c>
      <c r="Y2549" s="52">
        <f t="shared" si="598"/>
        <v>0</v>
      </c>
    </row>
    <row r="2550" spans="1:25" x14ac:dyDescent="0.25">
      <c r="A2550" s="1218" t="s">
        <v>196</v>
      </c>
      <c r="B2550" s="98">
        <v>45870</v>
      </c>
      <c r="C2550" s="117" t="str">
        <f t="shared" si="586"/>
        <v>8L</v>
      </c>
      <c r="F2550" s="99">
        <f t="shared" si="585"/>
        <v>0</v>
      </c>
      <c r="I2550" s="99">
        <f t="shared" si="584"/>
        <v>0</v>
      </c>
      <c r="L2550" s="99">
        <f t="shared" si="587"/>
        <v>0</v>
      </c>
      <c r="M2550" s="44" t="str">
        <f t="shared" si="589"/>
        <v/>
      </c>
      <c r="N2550" s="100">
        <f t="shared" si="590"/>
        <v>0</v>
      </c>
      <c r="O2550" s="101">
        <f t="shared" si="591"/>
        <v>0</v>
      </c>
      <c r="P2550" s="52">
        <f t="shared" si="592"/>
        <v>0</v>
      </c>
      <c r="Q2550" s="49">
        <v>116.88487613461319</v>
      </c>
      <c r="R2550">
        <v>2225</v>
      </c>
      <c r="S2550" s="50">
        <f t="shared" si="588"/>
        <v>71535.307499999995</v>
      </c>
      <c r="T2550" s="50">
        <f t="shared" si="593"/>
        <v>0</v>
      </c>
      <c r="U2550" s="58">
        <f t="shared" si="594"/>
        <v>0</v>
      </c>
      <c r="V2550" s="58">
        <f t="shared" si="595"/>
        <v>0</v>
      </c>
      <c r="W2550" s="58">
        <f t="shared" si="596"/>
        <v>0</v>
      </c>
      <c r="X2550" s="58">
        <f t="shared" si="597"/>
        <v>0</v>
      </c>
      <c r="Y2550" s="52">
        <f t="shared" si="598"/>
        <v>0</v>
      </c>
    </row>
    <row r="2551" spans="1:25" x14ac:dyDescent="0.25">
      <c r="A2551" s="1218" t="s">
        <v>197</v>
      </c>
      <c r="B2551" s="98">
        <v>45870</v>
      </c>
      <c r="C2551" s="117" t="str">
        <f t="shared" si="586"/>
        <v>8L</v>
      </c>
      <c r="F2551" s="99">
        <f t="shared" si="585"/>
        <v>0</v>
      </c>
      <c r="I2551" s="99">
        <f t="shared" si="584"/>
        <v>0</v>
      </c>
      <c r="L2551" s="99">
        <f t="shared" si="587"/>
        <v>0</v>
      </c>
      <c r="M2551" s="44" t="str">
        <f t="shared" si="589"/>
        <v/>
      </c>
      <c r="N2551" s="100">
        <f t="shared" si="590"/>
        <v>0</v>
      </c>
      <c r="O2551" s="101">
        <f t="shared" si="591"/>
        <v>0</v>
      </c>
      <c r="P2551" s="52">
        <f t="shared" si="592"/>
        <v>0</v>
      </c>
      <c r="Q2551" s="49">
        <v>116.88487613461319</v>
      </c>
      <c r="R2551">
        <v>2225</v>
      </c>
      <c r="S2551" s="50">
        <f t="shared" si="588"/>
        <v>71535.307499999995</v>
      </c>
      <c r="T2551" s="50">
        <f t="shared" si="593"/>
        <v>0</v>
      </c>
      <c r="U2551" s="58">
        <f t="shared" si="594"/>
        <v>0</v>
      </c>
      <c r="V2551" s="58">
        <f t="shared" si="595"/>
        <v>0</v>
      </c>
      <c r="W2551" s="58">
        <f t="shared" si="596"/>
        <v>0</v>
      </c>
      <c r="X2551" s="58">
        <f t="shared" si="597"/>
        <v>0</v>
      </c>
      <c r="Y2551" s="52">
        <f t="shared" si="598"/>
        <v>0</v>
      </c>
    </row>
    <row r="2552" spans="1:25" x14ac:dyDescent="0.25">
      <c r="A2552" s="1218" t="s">
        <v>198</v>
      </c>
      <c r="B2552" s="98">
        <v>45870</v>
      </c>
      <c r="C2552" s="117" t="str">
        <f t="shared" si="586"/>
        <v>8L</v>
      </c>
      <c r="F2552" s="99">
        <f t="shared" si="585"/>
        <v>0</v>
      </c>
      <c r="I2552" s="99">
        <f t="shared" si="584"/>
        <v>0</v>
      </c>
      <c r="L2552" s="99">
        <f t="shared" si="587"/>
        <v>0</v>
      </c>
      <c r="M2552" s="44" t="str">
        <f t="shared" si="589"/>
        <v/>
      </c>
      <c r="N2552" s="100">
        <f t="shared" si="590"/>
        <v>0</v>
      </c>
      <c r="O2552" s="101">
        <f t="shared" si="591"/>
        <v>0</v>
      </c>
      <c r="P2552" s="52">
        <f t="shared" si="592"/>
        <v>0</v>
      </c>
      <c r="Q2552" s="49">
        <v>116.88487613461319</v>
      </c>
      <c r="R2552">
        <v>2225</v>
      </c>
      <c r="S2552" s="50">
        <f t="shared" si="588"/>
        <v>71535.307499999995</v>
      </c>
      <c r="T2552" s="50">
        <f t="shared" si="593"/>
        <v>0</v>
      </c>
      <c r="U2552" s="58">
        <f t="shared" si="594"/>
        <v>0</v>
      </c>
      <c r="V2552" s="58">
        <f t="shared" si="595"/>
        <v>0</v>
      </c>
      <c r="W2552" s="58">
        <f t="shared" si="596"/>
        <v>0</v>
      </c>
      <c r="X2552" s="58">
        <f t="shared" si="597"/>
        <v>0</v>
      </c>
      <c r="Y2552" s="52">
        <f t="shared" si="598"/>
        <v>0</v>
      </c>
    </row>
    <row r="2553" spans="1:25" x14ac:dyDescent="0.25">
      <c r="A2553" s="1218" t="s">
        <v>199</v>
      </c>
      <c r="B2553" s="98">
        <v>45870</v>
      </c>
      <c r="C2553" s="117" t="str">
        <f t="shared" si="586"/>
        <v>8L</v>
      </c>
      <c r="F2553" s="99">
        <f t="shared" si="585"/>
        <v>0</v>
      </c>
      <c r="I2553" s="99">
        <f t="shared" si="584"/>
        <v>0</v>
      </c>
      <c r="L2553" s="99">
        <f t="shared" si="587"/>
        <v>0</v>
      </c>
      <c r="M2553" s="44" t="str">
        <f t="shared" si="589"/>
        <v/>
      </c>
      <c r="N2553" s="100">
        <f t="shared" si="590"/>
        <v>0</v>
      </c>
      <c r="O2553" s="101">
        <f t="shared" si="591"/>
        <v>0</v>
      </c>
      <c r="P2553" s="52">
        <f t="shared" si="592"/>
        <v>0</v>
      </c>
      <c r="Q2553" s="49">
        <v>116.88487613461319</v>
      </c>
      <c r="R2553">
        <v>2225</v>
      </c>
      <c r="S2553" s="50">
        <f t="shared" si="588"/>
        <v>71535.307499999995</v>
      </c>
      <c r="T2553" s="50">
        <f t="shared" si="593"/>
        <v>0</v>
      </c>
      <c r="U2553" s="58">
        <f t="shared" si="594"/>
        <v>0</v>
      </c>
      <c r="V2553" s="58">
        <f t="shared" si="595"/>
        <v>0</v>
      </c>
      <c r="W2553" s="58">
        <f t="shared" si="596"/>
        <v>0</v>
      </c>
      <c r="X2553" s="58">
        <f t="shared" si="597"/>
        <v>0</v>
      </c>
      <c r="Y2553" s="52">
        <f t="shared" si="598"/>
        <v>0</v>
      </c>
    </row>
    <row r="2554" spans="1:25" x14ac:dyDescent="0.25">
      <c r="A2554" s="1218" t="s">
        <v>200</v>
      </c>
      <c r="B2554" s="98">
        <v>45870</v>
      </c>
      <c r="C2554" s="117" t="str">
        <f t="shared" si="586"/>
        <v>8L</v>
      </c>
      <c r="F2554" s="99">
        <f t="shared" si="585"/>
        <v>0</v>
      </c>
      <c r="I2554" s="99">
        <f t="shared" si="584"/>
        <v>0</v>
      </c>
      <c r="L2554" s="99">
        <f t="shared" si="587"/>
        <v>0</v>
      </c>
      <c r="M2554" s="44" t="str">
        <f t="shared" si="589"/>
        <v/>
      </c>
      <c r="N2554" s="100">
        <f t="shared" si="590"/>
        <v>0</v>
      </c>
      <c r="O2554" s="101">
        <f t="shared" si="591"/>
        <v>0</v>
      </c>
      <c r="P2554" s="52">
        <f t="shared" si="592"/>
        <v>0</v>
      </c>
      <c r="Q2554" s="49">
        <v>116.88487613461319</v>
      </c>
      <c r="R2554">
        <v>2225</v>
      </c>
      <c r="S2554" s="50">
        <f t="shared" si="588"/>
        <v>71535.307499999995</v>
      </c>
      <c r="T2554" s="50">
        <f t="shared" si="593"/>
        <v>0</v>
      </c>
      <c r="U2554" s="58">
        <f t="shared" si="594"/>
        <v>0</v>
      </c>
      <c r="V2554" s="58">
        <f t="shared" si="595"/>
        <v>0</v>
      </c>
      <c r="W2554" s="58">
        <f t="shared" si="596"/>
        <v>0</v>
      </c>
      <c r="X2554" s="58">
        <f t="shared" si="597"/>
        <v>0</v>
      </c>
      <c r="Y2554" s="52">
        <f t="shared" si="598"/>
        <v>0</v>
      </c>
    </row>
    <row r="2555" spans="1:25" x14ac:dyDescent="0.25">
      <c r="A2555" s="1218" t="s">
        <v>201</v>
      </c>
      <c r="B2555" s="98">
        <v>45870</v>
      </c>
      <c r="C2555" s="117" t="str">
        <f t="shared" si="586"/>
        <v>8L</v>
      </c>
      <c r="F2555" s="99">
        <f t="shared" si="585"/>
        <v>0</v>
      </c>
      <c r="I2555" s="99">
        <f t="shared" si="584"/>
        <v>0</v>
      </c>
      <c r="L2555" s="99">
        <f t="shared" si="587"/>
        <v>0</v>
      </c>
      <c r="M2555" s="44" t="str">
        <f t="shared" si="589"/>
        <v/>
      </c>
      <c r="N2555" s="100">
        <f t="shared" si="590"/>
        <v>0</v>
      </c>
      <c r="O2555" s="101">
        <f t="shared" si="591"/>
        <v>0</v>
      </c>
      <c r="P2555" s="52">
        <f t="shared" si="592"/>
        <v>0</v>
      </c>
      <c r="Q2555" s="49">
        <v>116.88487613461319</v>
      </c>
      <c r="R2555">
        <v>2225</v>
      </c>
      <c r="S2555" s="50">
        <f t="shared" si="588"/>
        <v>71535.307499999995</v>
      </c>
      <c r="T2555" s="50">
        <f t="shared" si="593"/>
        <v>0</v>
      </c>
      <c r="U2555" s="58">
        <f t="shared" si="594"/>
        <v>0</v>
      </c>
      <c r="V2555" s="58">
        <f t="shared" si="595"/>
        <v>0</v>
      </c>
      <c r="W2555" s="58">
        <f t="shared" si="596"/>
        <v>0</v>
      </c>
      <c r="X2555" s="58">
        <f t="shared" si="597"/>
        <v>0</v>
      </c>
      <c r="Y2555" s="52">
        <f t="shared" si="598"/>
        <v>0</v>
      </c>
    </row>
    <row r="2556" spans="1:25" x14ac:dyDescent="0.25">
      <c r="A2556" s="1218" t="s">
        <v>202</v>
      </c>
      <c r="B2556" s="98">
        <v>45870</v>
      </c>
      <c r="C2556" s="117" t="str">
        <f t="shared" si="586"/>
        <v>8L</v>
      </c>
      <c r="F2556" s="99">
        <f t="shared" si="585"/>
        <v>0</v>
      </c>
      <c r="I2556" s="99">
        <f t="shared" si="584"/>
        <v>0</v>
      </c>
      <c r="L2556" s="99">
        <f t="shared" si="587"/>
        <v>0</v>
      </c>
      <c r="M2556" s="44" t="str">
        <f t="shared" si="589"/>
        <v/>
      </c>
      <c r="N2556" s="100">
        <f t="shared" si="590"/>
        <v>0</v>
      </c>
      <c r="O2556" s="101">
        <f t="shared" si="591"/>
        <v>0</v>
      </c>
      <c r="P2556" s="52">
        <f t="shared" si="592"/>
        <v>0</v>
      </c>
      <c r="Q2556" s="49">
        <v>116.88487613461319</v>
      </c>
      <c r="R2556">
        <v>2225</v>
      </c>
      <c r="S2556" s="50">
        <f t="shared" si="588"/>
        <v>71535.307499999995</v>
      </c>
      <c r="T2556" s="50">
        <f t="shared" si="593"/>
        <v>0</v>
      </c>
      <c r="U2556" s="58">
        <f t="shared" si="594"/>
        <v>0</v>
      </c>
      <c r="V2556" s="58">
        <f t="shared" si="595"/>
        <v>0</v>
      </c>
      <c r="W2556" s="58">
        <f t="shared" si="596"/>
        <v>0</v>
      </c>
      <c r="X2556" s="58">
        <f t="shared" si="597"/>
        <v>0</v>
      </c>
      <c r="Y2556" s="52">
        <f t="shared" si="598"/>
        <v>0</v>
      </c>
    </row>
    <row r="2557" spans="1:25" x14ac:dyDescent="0.25">
      <c r="A2557" s="1218" t="s">
        <v>203</v>
      </c>
      <c r="B2557" s="98">
        <v>45870</v>
      </c>
      <c r="C2557" s="117" t="str">
        <f t="shared" si="586"/>
        <v>8L</v>
      </c>
      <c r="F2557" s="99">
        <f t="shared" si="585"/>
        <v>0</v>
      </c>
      <c r="I2557" s="99">
        <f t="shared" si="584"/>
        <v>0</v>
      </c>
      <c r="L2557" s="99">
        <f t="shared" si="587"/>
        <v>0</v>
      </c>
      <c r="M2557" s="44" t="str">
        <f t="shared" si="589"/>
        <v/>
      </c>
      <c r="N2557" s="100">
        <f t="shared" si="590"/>
        <v>0</v>
      </c>
      <c r="O2557" s="101">
        <f t="shared" si="591"/>
        <v>0</v>
      </c>
      <c r="P2557" s="52">
        <f t="shared" si="592"/>
        <v>0</v>
      </c>
      <c r="Q2557" s="49">
        <v>116.88487613461319</v>
      </c>
      <c r="R2557">
        <v>2225</v>
      </c>
      <c r="S2557" s="50">
        <f t="shared" si="588"/>
        <v>71535.307499999995</v>
      </c>
      <c r="T2557" s="50">
        <f t="shared" si="593"/>
        <v>0</v>
      </c>
      <c r="U2557" s="58">
        <f t="shared" si="594"/>
        <v>0</v>
      </c>
      <c r="V2557" s="58">
        <f t="shared" si="595"/>
        <v>0</v>
      </c>
      <c r="W2557" s="58">
        <f t="shared" si="596"/>
        <v>0</v>
      </c>
      <c r="X2557" s="58">
        <f t="shared" si="597"/>
        <v>0</v>
      </c>
      <c r="Y2557" s="52">
        <f t="shared" si="598"/>
        <v>0</v>
      </c>
    </row>
    <row r="2558" spans="1:25" x14ac:dyDescent="0.25">
      <c r="A2558" s="1218" t="s">
        <v>204</v>
      </c>
      <c r="B2558" s="98">
        <v>45870</v>
      </c>
      <c r="C2558" s="117" t="str">
        <f t="shared" si="586"/>
        <v>8L</v>
      </c>
      <c r="F2558" s="99">
        <f t="shared" si="585"/>
        <v>0</v>
      </c>
      <c r="I2558" s="99">
        <f t="shared" si="584"/>
        <v>0</v>
      </c>
      <c r="L2558" s="99">
        <f t="shared" si="587"/>
        <v>0</v>
      </c>
      <c r="M2558" s="44" t="str">
        <f t="shared" si="589"/>
        <v/>
      </c>
      <c r="N2558" s="100">
        <f t="shared" si="590"/>
        <v>0</v>
      </c>
      <c r="O2558" s="101">
        <f t="shared" si="591"/>
        <v>0</v>
      </c>
      <c r="P2558" s="52">
        <f t="shared" si="592"/>
        <v>0</v>
      </c>
      <c r="Q2558" s="49">
        <v>116.88487613461319</v>
      </c>
      <c r="R2558">
        <v>2225</v>
      </c>
      <c r="S2558" s="50">
        <f t="shared" si="588"/>
        <v>71535.307499999995</v>
      </c>
      <c r="T2558" s="50">
        <f t="shared" si="593"/>
        <v>0</v>
      </c>
      <c r="U2558" s="58">
        <f t="shared" si="594"/>
        <v>0</v>
      </c>
      <c r="V2558" s="58">
        <f t="shared" si="595"/>
        <v>0</v>
      </c>
      <c r="W2558" s="58">
        <f t="shared" si="596"/>
        <v>0</v>
      </c>
      <c r="X2558" s="58">
        <f t="shared" si="597"/>
        <v>0</v>
      </c>
      <c r="Y2558" s="52">
        <f t="shared" si="598"/>
        <v>0</v>
      </c>
    </row>
    <row r="2559" spans="1:25" x14ac:dyDescent="0.25">
      <c r="A2559" s="1218" t="s">
        <v>205</v>
      </c>
      <c r="B2559" s="98">
        <v>45870</v>
      </c>
      <c r="C2559" s="117" t="str">
        <f t="shared" si="586"/>
        <v>8L</v>
      </c>
      <c r="F2559" s="99">
        <f t="shared" si="585"/>
        <v>0</v>
      </c>
      <c r="I2559" s="99">
        <f t="shared" si="584"/>
        <v>0</v>
      </c>
      <c r="L2559" s="99">
        <f t="shared" si="587"/>
        <v>0</v>
      </c>
      <c r="M2559" s="44" t="str">
        <f t="shared" si="589"/>
        <v/>
      </c>
      <c r="N2559" s="100">
        <f t="shared" si="590"/>
        <v>0</v>
      </c>
      <c r="O2559" s="101">
        <f t="shared" si="591"/>
        <v>0</v>
      </c>
      <c r="P2559" s="52">
        <f t="shared" si="592"/>
        <v>0</v>
      </c>
      <c r="Q2559" s="49">
        <v>116.88487613461319</v>
      </c>
      <c r="R2559">
        <v>2225</v>
      </c>
      <c r="S2559" s="50">
        <f t="shared" si="588"/>
        <v>71535.307499999995</v>
      </c>
      <c r="T2559" s="50">
        <f t="shared" si="593"/>
        <v>0</v>
      </c>
      <c r="U2559" s="58">
        <f t="shared" si="594"/>
        <v>0</v>
      </c>
      <c r="V2559" s="58">
        <f t="shared" si="595"/>
        <v>0</v>
      </c>
      <c r="W2559" s="58">
        <f t="shared" si="596"/>
        <v>0</v>
      </c>
      <c r="X2559" s="58">
        <f t="shared" si="597"/>
        <v>0</v>
      </c>
      <c r="Y2559" s="52">
        <f t="shared" si="598"/>
        <v>0</v>
      </c>
    </row>
    <row r="2560" spans="1:25" x14ac:dyDescent="0.25">
      <c r="A2560" s="1218" t="s">
        <v>206</v>
      </c>
      <c r="B2560" s="98">
        <v>45870</v>
      </c>
      <c r="C2560" s="117" t="str">
        <f t="shared" si="586"/>
        <v>8L</v>
      </c>
      <c r="F2560" s="99">
        <f t="shared" si="585"/>
        <v>0</v>
      </c>
      <c r="I2560" s="99">
        <f t="shared" si="584"/>
        <v>0</v>
      </c>
      <c r="L2560" s="99">
        <f t="shared" si="587"/>
        <v>0</v>
      </c>
      <c r="M2560" s="44" t="str">
        <f t="shared" si="589"/>
        <v/>
      </c>
      <c r="N2560" s="100">
        <f t="shared" si="590"/>
        <v>0</v>
      </c>
      <c r="O2560" s="101">
        <f t="shared" si="591"/>
        <v>0</v>
      </c>
      <c r="P2560" s="52">
        <f t="shared" si="592"/>
        <v>0</v>
      </c>
      <c r="Q2560" s="49">
        <v>116.88487613461319</v>
      </c>
      <c r="R2560">
        <v>2225</v>
      </c>
      <c r="S2560" s="50">
        <f t="shared" si="588"/>
        <v>71535.307499999995</v>
      </c>
      <c r="T2560" s="50">
        <f t="shared" si="593"/>
        <v>0</v>
      </c>
      <c r="U2560" s="58">
        <f t="shared" si="594"/>
        <v>0</v>
      </c>
      <c r="V2560" s="58">
        <f t="shared" si="595"/>
        <v>0</v>
      </c>
      <c r="W2560" s="58">
        <f t="shared" si="596"/>
        <v>0</v>
      </c>
      <c r="X2560" s="58">
        <f t="shared" si="597"/>
        <v>0</v>
      </c>
      <c r="Y2560" s="52">
        <f t="shared" si="598"/>
        <v>0</v>
      </c>
    </row>
    <row r="2561" spans="1:25" ht="15.75" thickBot="1" x14ac:dyDescent="0.3">
      <c r="A2561" s="1219" t="s">
        <v>207</v>
      </c>
      <c r="B2561" s="98">
        <v>45870</v>
      </c>
      <c r="C2561" s="117" t="str">
        <f t="shared" si="586"/>
        <v>8L</v>
      </c>
      <c r="F2561" s="99">
        <f t="shared" si="585"/>
        <v>0</v>
      </c>
      <c r="I2561" s="99">
        <f t="shared" si="584"/>
        <v>0</v>
      </c>
      <c r="L2561" s="99">
        <f t="shared" si="587"/>
        <v>0</v>
      </c>
      <c r="M2561" s="44" t="str">
        <f t="shared" si="589"/>
        <v/>
      </c>
      <c r="N2561" s="100">
        <f t="shared" si="590"/>
        <v>0</v>
      </c>
      <c r="O2561" s="101">
        <f t="shared" si="591"/>
        <v>0</v>
      </c>
      <c r="P2561" s="52">
        <f t="shared" si="592"/>
        <v>0</v>
      </c>
      <c r="Q2561" s="49">
        <v>116.88487613461319</v>
      </c>
      <c r="R2561">
        <v>2225</v>
      </c>
      <c r="S2561" s="50">
        <f t="shared" si="588"/>
        <v>71535.307499999995</v>
      </c>
      <c r="T2561" s="50">
        <f t="shared" si="593"/>
        <v>0</v>
      </c>
      <c r="U2561" s="58">
        <f t="shared" si="594"/>
        <v>0</v>
      </c>
      <c r="V2561" s="58">
        <f t="shared" si="595"/>
        <v>0</v>
      </c>
      <c r="W2561" s="58">
        <f t="shared" si="596"/>
        <v>0</v>
      </c>
      <c r="X2561" s="58">
        <f t="shared" si="597"/>
        <v>0</v>
      </c>
      <c r="Y2561" s="52">
        <f t="shared" si="598"/>
        <v>0</v>
      </c>
    </row>
    <row r="2562" spans="1:25" x14ac:dyDescent="0.25">
      <c r="A2562" s="97" t="s">
        <v>80</v>
      </c>
      <c r="B2562" s="98">
        <v>45901</v>
      </c>
      <c r="C2562" s="117" t="str">
        <f t="shared" si="586"/>
        <v>1L</v>
      </c>
      <c r="F2562" s="99">
        <f t="shared" si="585"/>
        <v>0</v>
      </c>
      <c r="I2562" s="99">
        <f t="shared" ref="I2562:I2626" si="599">IFERROR(G2562*H2562/1000,"")</f>
        <v>0</v>
      </c>
      <c r="L2562" s="99">
        <f t="shared" si="587"/>
        <v>0</v>
      </c>
      <c r="M2562" s="44" t="str">
        <f t="shared" si="589"/>
        <v/>
      </c>
      <c r="N2562" s="100">
        <f t="shared" si="590"/>
        <v>0</v>
      </c>
      <c r="O2562" s="101">
        <f t="shared" si="591"/>
        <v>0</v>
      </c>
      <c r="P2562" s="52">
        <f t="shared" si="592"/>
        <v>0</v>
      </c>
      <c r="Q2562" s="49">
        <v>116.88487613461319</v>
      </c>
      <c r="R2562">
        <v>2225</v>
      </c>
      <c r="S2562" s="50">
        <f t="shared" si="588"/>
        <v>71535.307499999995</v>
      </c>
      <c r="T2562" s="50">
        <f t="shared" si="593"/>
        <v>0</v>
      </c>
      <c r="U2562" s="58">
        <f t="shared" si="594"/>
        <v>0</v>
      </c>
      <c r="V2562" s="58">
        <f t="shared" si="595"/>
        <v>0</v>
      </c>
      <c r="W2562" s="58">
        <f t="shared" si="596"/>
        <v>0</v>
      </c>
      <c r="X2562" s="58">
        <f t="shared" si="597"/>
        <v>0</v>
      </c>
      <c r="Y2562" s="52">
        <f t="shared" si="598"/>
        <v>0</v>
      </c>
    </row>
    <row r="2563" spans="1:25" x14ac:dyDescent="0.25">
      <c r="A2563" s="1218" t="s">
        <v>81</v>
      </c>
      <c r="B2563" s="98">
        <v>45901</v>
      </c>
      <c r="C2563" s="117" t="str">
        <f t="shared" si="586"/>
        <v>1L</v>
      </c>
      <c r="F2563" s="99">
        <f t="shared" si="585"/>
        <v>0</v>
      </c>
      <c r="I2563" s="99">
        <f t="shared" si="599"/>
        <v>0</v>
      </c>
      <c r="L2563" s="99">
        <f t="shared" si="587"/>
        <v>0</v>
      </c>
      <c r="M2563" s="44" t="str">
        <f t="shared" si="589"/>
        <v/>
      </c>
      <c r="N2563" s="100">
        <f t="shared" si="590"/>
        <v>0</v>
      </c>
      <c r="O2563" s="101">
        <f t="shared" si="591"/>
        <v>0</v>
      </c>
      <c r="P2563" s="52">
        <f t="shared" si="592"/>
        <v>0</v>
      </c>
      <c r="Q2563" s="49">
        <v>116.88487613461319</v>
      </c>
      <c r="R2563">
        <v>2225</v>
      </c>
      <c r="S2563" s="50">
        <f t="shared" si="588"/>
        <v>71535.307499999995</v>
      </c>
      <c r="T2563" s="50">
        <f t="shared" si="593"/>
        <v>0</v>
      </c>
      <c r="U2563" s="58">
        <f t="shared" si="594"/>
        <v>0</v>
      </c>
      <c r="V2563" s="58">
        <f t="shared" si="595"/>
        <v>0</v>
      </c>
      <c r="W2563" s="58">
        <f t="shared" si="596"/>
        <v>0</v>
      </c>
      <c r="X2563" s="58">
        <f t="shared" si="597"/>
        <v>0</v>
      </c>
      <c r="Y2563" s="52">
        <f t="shared" si="598"/>
        <v>0</v>
      </c>
    </row>
    <row r="2564" spans="1:25" x14ac:dyDescent="0.25">
      <c r="A2564" s="1218" t="s">
        <v>82</v>
      </c>
      <c r="B2564" s="98">
        <v>45901</v>
      </c>
      <c r="C2564" s="117" t="str">
        <f t="shared" si="586"/>
        <v>1L</v>
      </c>
      <c r="F2564" s="99">
        <f t="shared" si="585"/>
        <v>0</v>
      </c>
      <c r="I2564" s="99">
        <f t="shared" si="599"/>
        <v>0</v>
      </c>
      <c r="L2564" s="99">
        <f t="shared" si="587"/>
        <v>0</v>
      </c>
      <c r="M2564" s="44" t="str">
        <f t="shared" si="589"/>
        <v/>
      </c>
      <c r="N2564" s="100">
        <f t="shared" si="590"/>
        <v>0</v>
      </c>
      <c r="O2564" s="101">
        <f t="shared" si="591"/>
        <v>0</v>
      </c>
      <c r="P2564" s="52">
        <f t="shared" si="592"/>
        <v>0</v>
      </c>
      <c r="Q2564" s="49">
        <v>116.88487613461319</v>
      </c>
      <c r="R2564">
        <v>2225</v>
      </c>
      <c r="S2564" s="50">
        <f t="shared" si="588"/>
        <v>71535.307499999995</v>
      </c>
      <c r="T2564" s="50">
        <f t="shared" si="593"/>
        <v>0</v>
      </c>
      <c r="U2564" s="58">
        <f t="shared" si="594"/>
        <v>0</v>
      </c>
      <c r="V2564" s="58">
        <f t="shared" si="595"/>
        <v>0</v>
      </c>
      <c r="W2564" s="58">
        <f t="shared" si="596"/>
        <v>0</v>
      </c>
      <c r="X2564" s="58">
        <f t="shared" si="597"/>
        <v>0</v>
      </c>
      <c r="Y2564" s="52">
        <f t="shared" si="598"/>
        <v>0</v>
      </c>
    </row>
    <row r="2565" spans="1:25" x14ac:dyDescent="0.25">
      <c r="A2565" s="1218" t="s">
        <v>83</v>
      </c>
      <c r="B2565" s="98">
        <v>45901</v>
      </c>
      <c r="C2565" s="117" t="str">
        <f t="shared" si="586"/>
        <v>1L</v>
      </c>
      <c r="F2565" s="99">
        <f t="shared" si="585"/>
        <v>0</v>
      </c>
      <c r="I2565" s="99">
        <f t="shared" si="599"/>
        <v>0</v>
      </c>
      <c r="L2565" s="99">
        <f t="shared" si="587"/>
        <v>0</v>
      </c>
      <c r="M2565" s="44" t="str">
        <f t="shared" si="589"/>
        <v/>
      </c>
      <c r="N2565" s="100">
        <f t="shared" si="590"/>
        <v>0</v>
      </c>
      <c r="O2565" s="101">
        <f t="shared" si="591"/>
        <v>0</v>
      </c>
      <c r="P2565" s="52">
        <f t="shared" si="592"/>
        <v>0</v>
      </c>
      <c r="Q2565" s="49">
        <v>116.88487613461319</v>
      </c>
      <c r="R2565">
        <v>2225</v>
      </c>
      <c r="S2565" s="50">
        <f t="shared" si="588"/>
        <v>71535.307499999995</v>
      </c>
      <c r="T2565" s="50">
        <f t="shared" si="593"/>
        <v>0</v>
      </c>
      <c r="U2565" s="58">
        <f t="shared" si="594"/>
        <v>0</v>
      </c>
      <c r="V2565" s="58">
        <f t="shared" si="595"/>
        <v>0</v>
      </c>
      <c r="W2565" s="58">
        <f t="shared" si="596"/>
        <v>0</v>
      </c>
      <c r="X2565" s="58">
        <f t="shared" si="597"/>
        <v>0</v>
      </c>
      <c r="Y2565" s="52">
        <f t="shared" si="598"/>
        <v>0</v>
      </c>
    </row>
    <row r="2566" spans="1:25" x14ac:dyDescent="0.25">
      <c r="A2566" s="1218" t="s">
        <v>84</v>
      </c>
      <c r="B2566" s="98">
        <v>45901</v>
      </c>
      <c r="C2566" s="117" t="str">
        <f t="shared" si="586"/>
        <v>2L</v>
      </c>
      <c r="F2566" s="99">
        <f t="shared" si="585"/>
        <v>0</v>
      </c>
      <c r="I2566" s="99">
        <f t="shared" si="599"/>
        <v>0</v>
      </c>
      <c r="L2566" s="99">
        <f t="shared" si="587"/>
        <v>0</v>
      </c>
      <c r="M2566" s="44" t="str">
        <f t="shared" si="589"/>
        <v/>
      </c>
      <c r="N2566" s="100">
        <f t="shared" si="590"/>
        <v>0</v>
      </c>
      <c r="O2566" s="101">
        <f t="shared" si="591"/>
        <v>0</v>
      </c>
      <c r="P2566" s="52">
        <f t="shared" si="592"/>
        <v>0</v>
      </c>
      <c r="Q2566" s="49">
        <v>116.88487613461319</v>
      </c>
      <c r="R2566">
        <v>2225</v>
      </c>
      <c r="S2566" s="50">
        <f t="shared" si="588"/>
        <v>71535.307499999995</v>
      </c>
      <c r="T2566" s="50">
        <f t="shared" si="593"/>
        <v>0</v>
      </c>
      <c r="U2566" s="58">
        <f t="shared" si="594"/>
        <v>0</v>
      </c>
      <c r="V2566" s="58">
        <f t="shared" si="595"/>
        <v>0</v>
      </c>
      <c r="W2566" s="58">
        <f t="shared" si="596"/>
        <v>0</v>
      </c>
      <c r="X2566" s="58">
        <f t="shared" si="597"/>
        <v>0</v>
      </c>
      <c r="Y2566" s="52">
        <f t="shared" si="598"/>
        <v>0</v>
      </c>
    </row>
    <row r="2567" spans="1:25" x14ac:dyDescent="0.25">
      <c r="A2567" s="1218" t="s">
        <v>85</v>
      </c>
      <c r="B2567" s="98">
        <v>45901</v>
      </c>
      <c r="C2567" s="117" t="str">
        <f t="shared" si="586"/>
        <v>2L</v>
      </c>
      <c r="F2567" s="99">
        <f t="shared" si="585"/>
        <v>0</v>
      </c>
      <c r="I2567" s="99">
        <f t="shared" si="599"/>
        <v>0</v>
      </c>
      <c r="L2567" s="99">
        <f t="shared" si="587"/>
        <v>0</v>
      </c>
      <c r="M2567" s="44" t="str">
        <f t="shared" si="589"/>
        <v/>
      </c>
      <c r="N2567" s="100">
        <f t="shared" si="590"/>
        <v>0</v>
      </c>
      <c r="O2567" s="101">
        <f t="shared" si="591"/>
        <v>0</v>
      </c>
      <c r="P2567" s="52">
        <f t="shared" si="592"/>
        <v>0</v>
      </c>
      <c r="Q2567" s="49">
        <v>116.88487613461319</v>
      </c>
      <c r="R2567">
        <v>2225</v>
      </c>
      <c r="S2567" s="50">
        <f t="shared" si="588"/>
        <v>71535.307499999995</v>
      </c>
      <c r="T2567" s="50">
        <f t="shared" si="593"/>
        <v>0</v>
      </c>
      <c r="U2567" s="58">
        <f t="shared" si="594"/>
        <v>0</v>
      </c>
      <c r="V2567" s="58">
        <f t="shared" si="595"/>
        <v>0</v>
      </c>
      <c r="W2567" s="58">
        <f t="shared" si="596"/>
        <v>0</v>
      </c>
      <c r="X2567" s="58">
        <f t="shared" si="597"/>
        <v>0</v>
      </c>
      <c r="Y2567" s="52">
        <f t="shared" si="598"/>
        <v>0</v>
      </c>
    </row>
    <row r="2568" spans="1:25" x14ac:dyDescent="0.25">
      <c r="A2568" s="1218" t="s">
        <v>86</v>
      </c>
      <c r="B2568" s="98">
        <v>45901</v>
      </c>
      <c r="C2568" s="117" t="str">
        <f t="shared" si="586"/>
        <v>2L</v>
      </c>
      <c r="F2568" s="99">
        <f t="shared" si="585"/>
        <v>0</v>
      </c>
      <c r="I2568" s="99">
        <f t="shared" si="599"/>
        <v>0</v>
      </c>
      <c r="L2568" s="99">
        <f t="shared" si="587"/>
        <v>0</v>
      </c>
      <c r="M2568" s="44" t="str">
        <f t="shared" si="589"/>
        <v/>
      </c>
      <c r="N2568" s="100">
        <f t="shared" si="590"/>
        <v>0</v>
      </c>
      <c r="O2568" s="101">
        <f t="shared" si="591"/>
        <v>0</v>
      </c>
      <c r="P2568" s="52">
        <f t="shared" si="592"/>
        <v>0</v>
      </c>
      <c r="Q2568" s="49">
        <v>116.88487613461319</v>
      </c>
      <c r="R2568">
        <v>2225</v>
      </c>
      <c r="S2568" s="50">
        <f t="shared" si="588"/>
        <v>71535.307499999995</v>
      </c>
      <c r="T2568" s="50">
        <f t="shared" si="593"/>
        <v>0</v>
      </c>
      <c r="U2568" s="58">
        <f t="shared" si="594"/>
        <v>0</v>
      </c>
      <c r="V2568" s="58">
        <f t="shared" si="595"/>
        <v>0</v>
      </c>
      <c r="W2568" s="58">
        <f t="shared" si="596"/>
        <v>0</v>
      </c>
      <c r="X2568" s="58">
        <f t="shared" si="597"/>
        <v>0</v>
      </c>
      <c r="Y2568" s="52">
        <f t="shared" si="598"/>
        <v>0</v>
      </c>
    </row>
    <row r="2569" spans="1:25" x14ac:dyDescent="0.25">
      <c r="A2569" s="1218" t="s">
        <v>87</v>
      </c>
      <c r="B2569" s="98">
        <v>45901</v>
      </c>
      <c r="C2569" s="117" t="str">
        <f t="shared" si="586"/>
        <v>3L</v>
      </c>
      <c r="F2569" s="99">
        <f t="shared" si="585"/>
        <v>0</v>
      </c>
      <c r="I2569" s="99">
        <f t="shared" si="599"/>
        <v>0</v>
      </c>
      <c r="L2569" s="99">
        <f t="shared" si="587"/>
        <v>0</v>
      </c>
      <c r="M2569" s="44" t="str">
        <f t="shared" si="589"/>
        <v/>
      </c>
      <c r="N2569" s="100">
        <f t="shared" si="590"/>
        <v>0</v>
      </c>
      <c r="O2569" s="101">
        <f t="shared" si="591"/>
        <v>0</v>
      </c>
      <c r="P2569" s="52">
        <f t="shared" si="592"/>
        <v>0</v>
      </c>
      <c r="Q2569" s="49">
        <v>116.88487613461319</v>
      </c>
      <c r="R2569">
        <v>2225</v>
      </c>
      <c r="S2569" s="50">
        <f t="shared" si="588"/>
        <v>71535.307499999995</v>
      </c>
      <c r="T2569" s="50">
        <f t="shared" si="593"/>
        <v>0</v>
      </c>
      <c r="U2569" s="58">
        <f t="shared" si="594"/>
        <v>0</v>
      </c>
      <c r="V2569" s="58">
        <f t="shared" si="595"/>
        <v>0</v>
      </c>
      <c r="W2569" s="58">
        <f t="shared" si="596"/>
        <v>0</v>
      </c>
      <c r="X2569" s="58">
        <f t="shared" si="597"/>
        <v>0</v>
      </c>
      <c r="Y2569" s="52">
        <f t="shared" si="598"/>
        <v>0</v>
      </c>
    </row>
    <row r="2570" spans="1:25" x14ac:dyDescent="0.25">
      <c r="A2570" s="1218" t="s">
        <v>88</v>
      </c>
      <c r="B2570" s="98">
        <v>45901</v>
      </c>
      <c r="C2570" s="117" t="str">
        <f t="shared" si="586"/>
        <v>3L</v>
      </c>
      <c r="F2570" s="99">
        <f t="shared" si="585"/>
        <v>0</v>
      </c>
      <c r="I2570" s="99">
        <f t="shared" si="599"/>
        <v>0</v>
      </c>
      <c r="L2570" s="99">
        <f t="shared" si="587"/>
        <v>0</v>
      </c>
      <c r="M2570" s="44" t="str">
        <f t="shared" si="589"/>
        <v/>
      </c>
      <c r="N2570" s="100">
        <f t="shared" si="590"/>
        <v>0</v>
      </c>
      <c r="O2570" s="101">
        <f t="shared" si="591"/>
        <v>0</v>
      </c>
      <c r="P2570" s="52">
        <f t="shared" si="592"/>
        <v>0</v>
      </c>
      <c r="Q2570" s="49">
        <v>116.88487613461319</v>
      </c>
      <c r="R2570">
        <v>2225</v>
      </c>
      <c r="S2570" s="50">
        <f t="shared" si="588"/>
        <v>71535.307499999995</v>
      </c>
      <c r="T2570" s="50">
        <f t="shared" si="593"/>
        <v>0</v>
      </c>
      <c r="U2570" s="58">
        <f t="shared" si="594"/>
        <v>0</v>
      </c>
      <c r="V2570" s="58">
        <f t="shared" si="595"/>
        <v>0</v>
      </c>
      <c r="W2570" s="58">
        <f t="shared" si="596"/>
        <v>0</v>
      </c>
      <c r="X2570" s="58">
        <f t="shared" si="597"/>
        <v>0</v>
      </c>
      <c r="Y2570" s="52">
        <f t="shared" si="598"/>
        <v>0</v>
      </c>
    </row>
    <row r="2571" spans="1:25" x14ac:dyDescent="0.25">
      <c r="A2571" s="1218" t="s">
        <v>89</v>
      </c>
      <c r="B2571" s="98">
        <v>45901</v>
      </c>
      <c r="C2571" s="117" t="str">
        <f t="shared" si="586"/>
        <v>3L</v>
      </c>
      <c r="F2571" s="99">
        <f t="shared" si="585"/>
        <v>0</v>
      </c>
      <c r="I2571" s="99">
        <f t="shared" si="599"/>
        <v>0</v>
      </c>
      <c r="L2571" s="99">
        <f t="shared" si="587"/>
        <v>0</v>
      </c>
      <c r="M2571" s="44" t="str">
        <f t="shared" si="589"/>
        <v/>
      </c>
      <c r="N2571" s="100">
        <f t="shared" si="590"/>
        <v>0</v>
      </c>
      <c r="O2571" s="101">
        <f t="shared" si="591"/>
        <v>0</v>
      </c>
      <c r="P2571" s="52">
        <f t="shared" si="592"/>
        <v>0</v>
      </c>
      <c r="Q2571" s="49">
        <v>116.88487613461319</v>
      </c>
      <c r="R2571">
        <v>2225</v>
      </c>
      <c r="S2571" s="50">
        <f t="shared" si="588"/>
        <v>71535.307499999995</v>
      </c>
      <c r="T2571" s="50">
        <f t="shared" si="593"/>
        <v>0</v>
      </c>
      <c r="U2571" s="58">
        <f t="shared" si="594"/>
        <v>0</v>
      </c>
      <c r="V2571" s="58">
        <f t="shared" si="595"/>
        <v>0</v>
      </c>
      <c r="W2571" s="58">
        <f t="shared" si="596"/>
        <v>0</v>
      </c>
      <c r="X2571" s="58">
        <f t="shared" si="597"/>
        <v>0</v>
      </c>
      <c r="Y2571" s="52">
        <f t="shared" si="598"/>
        <v>0</v>
      </c>
    </row>
    <row r="2572" spans="1:25" x14ac:dyDescent="0.25">
      <c r="A2572" s="1218" t="s">
        <v>90</v>
      </c>
      <c r="B2572" s="98">
        <v>45901</v>
      </c>
      <c r="C2572" s="117" t="str">
        <f t="shared" si="586"/>
        <v>3L</v>
      </c>
      <c r="F2572" s="99">
        <f t="shared" ref="F2572:F2636" si="600">IFERROR(D2572*E2572/1000,"")</f>
        <v>0</v>
      </c>
      <c r="I2572" s="99">
        <f t="shared" si="599"/>
        <v>0</v>
      </c>
      <c r="L2572" s="99">
        <f t="shared" si="587"/>
        <v>0</v>
      </c>
      <c r="M2572" s="44" t="str">
        <f t="shared" si="589"/>
        <v/>
      </c>
      <c r="N2572" s="100">
        <f t="shared" si="590"/>
        <v>0</v>
      </c>
      <c r="O2572" s="101">
        <f t="shared" si="591"/>
        <v>0</v>
      </c>
      <c r="P2572" s="52">
        <f t="shared" si="592"/>
        <v>0</v>
      </c>
      <c r="Q2572" s="49">
        <v>116.88487613461319</v>
      </c>
      <c r="R2572">
        <v>2225</v>
      </c>
      <c r="S2572" s="50">
        <f t="shared" si="588"/>
        <v>71535.307499999995</v>
      </c>
      <c r="T2572" s="50">
        <f t="shared" si="593"/>
        <v>0</v>
      </c>
      <c r="U2572" s="58">
        <f t="shared" si="594"/>
        <v>0</v>
      </c>
      <c r="V2572" s="58">
        <f t="shared" si="595"/>
        <v>0</v>
      </c>
      <c r="W2572" s="58">
        <f t="shared" si="596"/>
        <v>0</v>
      </c>
      <c r="X2572" s="58">
        <f t="shared" si="597"/>
        <v>0</v>
      </c>
      <c r="Y2572" s="52">
        <f t="shared" si="598"/>
        <v>0</v>
      </c>
    </row>
    <row r="2573" spans="1:25" x14ac:dyDescent="0.25">
      <c r="A2573" s="1218" t="s">
        <v>91</v>
      </c>
      <c r="B2573" s="98">
        <v>45901</v>
      </c>
      <c r="C2573" s="117" t="str">
        <f t="shared" si="586"/>
        <v>3L</v>
      </c>
      <c r="F2573" s="99">
        <f t="shared" si="600"/>
        <v>0</v>
      </c>
      <c r="I2573" s="99">
        <f t="shared" si="599"/>
        <v>0</v>
      </c>
      <c r="L2573" s="99">
        <f t="shared" si="587"/>
        <v>0</v>
      </c>
      <c r="M2573" s="44" t="str">
        <f t="shared" si="589"/>
        <v/>
      </c>
      <c r="N2573" s="100">
        <f t="shared" si="590"/>
        <v>0</v>
      </c>
      <c r="O2573" s="101">
        <f t="shared" si="591"/>
        <v>0</v>
      </c>
      <c r="P2573" s="52">
        <f t="shared" si="592"/>
        <v>0</v>
      </c>
      <c r="Q2573" s="49">
        <v>116.88487613461319</v>
      </c>
      <c r="R2573">
        <v>2225</v>
      </c>
      <c r="S2573" s="50">
        <f t="shared" si="588"/>
        <v>71535.307499999995</v>
      </c>
      <c r="T2573" s="50">
        <f t="shared" si="593"/>
        <v>0</v>
      </c>
      <c r="U2573" s="58">
        <f t="shared" si="594"/>
        <v>0</v>
      </c>
      <c r="V2573" s="58">
        <f t="shared" si="595"/>
        <v>0</v>
      </c>
      <c r="W2573" s="58">
        <f t="shared" si="596"/>
        <v>0</v>
      </c>
      <c r="X2573" s="58">
        <f t="shared" si="597"/>
        <v>0</v>
      </c>
      <c r="Y2573" s="52">
        <f t="shared" si="598"/>
        <v>0</v>
      </c>
    </row>
    <row r="2574" spans="1:25" x14ac:dyDescent="0.25">
      <c r="A2574" s="1218" t="s">
        <v>92</v>
      </c>
      <c r="B2574" s="98">
        <v>45901</v>
      </c>
      <c r="C2574" s="117" t="str">
        <f t="shared" si="586"/>
        <v>3L</v>
      </c>
      <c r="F2574" s="99">
        <f t="shared" si="600"/>
        <v>0</v>
      </c>
      <c r="I2574" s="99">
        <f t="shared" si="599"/>
        <v>0</v>
      </c>
      <c r="L2574" s="99">
        <f t="shared" si="587"/>
        <v>0</v>
      </c>
      <c r="M2574" s="44" t="str">
        <f t="shared" si="589"/>
        <v/>
      </c>
      <c r="N2574" s="100">
        <f t="shared" si="590"/>
        <v>0</v>
      </c>
      <c r="O2574" s="101">
        <f t="shared" si="591"/>
        <v>0</v>
      </c>
      <c r="P2574" s="52">
        <f t="shared" si="592"/>
        <v>0</v>
      </c>
      <c r="Q2574" s="49">
        <v>116.88487613461319</v>
      </c>
      <c r="R2574">
        <v>2225</v>
      </c>
      <c r="S2574" s="50">
        <f t="shared" si="588"/>
        <v>71535.307499999995</v>
      </c>
      <c r="T2574" s="50">
        <f t="shared" si="593"/>
        <v>0</v>
      </c>
      <c r="U2574" s="58">
        <f t="shared" si="594"/>
        <v>0</v>
      </c>
      <c r="V2574" s="58">
        <f t="shared" si="595"/>
        <v>0</v>
      </c>
      <c r="W2574" s="58">
        <f t="shared" si="596"/>
        <v>0</v>
      </c>
      <c r="X2574" s="58">
        <f t="shared" si="597"/>
        <v>0</v>
      </c>
      <c r="Y2574" s="52">
        <f t="shared" si="598"/>
        <v>0</v>
      </c>
    </row>
    <row r="2575" spans="1:25" x14ac:dyDescent="0.25">
      <c r="A2575" s="1218" t="s">
        <v>93</v>
      </c>
      <c r="B2575" s="98">
        <v>45901</v>
      </c>
      <c r="C2575" s="117" t="str">
        <f t="shared" si="586"/>
        <v>3L</v>
      </c>
      <c r="D2575">
        <v>2022</v>
      </c>
      <c r="E2575">
        <v>1.58</v>
      </c>
      <c r="F2575" s="99">
        <f t="shared" si="600"/>
        <v>3.19476</v>
      </c>
      <c r="I2575" s="99">
        <f t="shared" si="599"/>
        <v>0</v>
      </c>
      <c r="L2575" s="99">
        <f t="shared" si="587"/>
        <v>0</v>
      </c>
      <c r="M2575" s="44" t="str">
        <f t="shared" si="589"/>
        <v/>
      </c>
      <c r="N2575" s="100">
        <f t="shared" si="590"/>
        <v>0</v>
      </c>
      <c r="O2575" s="101">
        <f t="shared" si="591"/>
        <v>0</v>
      </c>
      <c r="P2575" s="52">
        <f t="shared" si="592"/>
        <v>0</v>
      </c>
      <c r="Q2575" s="49">
        <v>116.88487613461319</v>
      </c>
      <c r="R2575">
        <v>2225</v>
      </c>
      <c r="S2575" s="50">
        <f t="shared" si="588"/>
        <v>71535.307499999995</v>
      </c>
      <c r="T2575" s="50">
        <f t="shared" si="593"/>
        <v>0</v>
      </c>
      <c r="U2575" s="58">
        <f t="shared" si="594"/>
        <v>0</v>
      </c>
      <c r="V2575" s="58">
        <f t="shared" si="595"/>
        <v>0</v>
      </c>
      <c r="W2575" s="58">
        <f t="shared" si="596"/>
        <v>0</v>
      </c>
      <c r="X2575" s="58">
        <f t="shared" si="597"/>
        <v>0</v>
      </c>
      <c r="Y2575" s="52">
        <f t="shared" si="598"/>
        <v>0</v>
      </c>
    </row>
    <row r="2576" spans="1:25" x14ac:dyDescent="0.25">
      <c r="A2576" s="1218" t="s">
        <v>94</v>
      </c>
      <c r="B2576" s="98">
        <v>45901</v>
      </c>
      <c r="C2576" s="117" t="str">
        <f t="shared" si="586"/>
        <v>3L</v>
      </c>
      <c r="D2576">
        <v>258</v>
      </c>
      <c r="E2576">
        <v>2.2000000000000002</v>
      </c>
      <c r="F2576" s="99">
        <f t="shared" si="600"/>
        <v>0.56759999999999999</v>
      </c>
      <c r="I2576" s="99">
        <f t="shared" si="599"/>
        <v>0</v>
      </c>
      <c r="L2576" s="99">
        <f t="shared" si="587"/>
        <v>0</v>
      </c>
      <c r="M2576" s="44" t="str">
        <f t="shared" si="589"/>
        <v/>
      </c>
      <c r="N2576" s="100">
        <f t="shared" si="590"/>
        <v>0</v>
      </c>
      <c r="O2576" s="101">
        <f t="shared" si="591"/>
        <v>0</v>
      </c>
      <c r="P2576" s="52">
        <f t="shared" si="592"/>
        <v>0</v>
      </c>
      <c r="Q2576" s="49">
        <v>116.88487613461319</v>
      </c>
      <c r="R2576">
        <v>2225</v>
      </c>
      <c r="S2576" s="50">
        <f t="shared" si="588"/>
        <v>71535.307499999995</v>
      </c>
      <c r="T2576" s="50">
        <f t="shared" si="593"/>
        <v>0</v>
      </c>
      <c r="U2576" s="58">
        <f t="shared" si="594"/>
        <v>0</v>
      </c>
      <c r="V2576" s="58">
        <f t="shared" si="595"/>
        <v>0</v>
      </c>
      <c r="W2576" s="58">
        <f t="shared" si="596"/>
        <v>0</v>
      </c>
      <c r="X2576" s="58">
        <f t="shared" si="597"/>
        <v>0</v>
      </c>
      <c r="Y2576" s="52">
        <f t="shared" si="598"/>
        <v>0</v>
      </c>
    </row>
    <row r="2577" spans="1:25" x14ac:dyDescent="0.25">
      <c r="A2577" s="1218" t="s">
        <v>95</v>
      </c>
      <c r="B2577" s="98">
        <v>45901</v>
      </c>
      <c r="C2577" s="117" t="str">
        <f t="shared" si="586"/>
        <v>3L</v>
      </c>
      <c r="F2577" s="99">
        <f t="shared" si="600"/>
        <v>0</v>
      </c>
      <c r="I2577" s="99">
        <f t="shared" si="599"/>
        <v>0</v>
      </c>
      <c r="L2577" s="99">
        <f t="shared" si="587"/>
        <v>0</v>
      </c>
      <c r="M2577" s="44" t="str">
        <f t="shared" si="589"/>
        <v/>
      </c>
      <c r="N2577" s="100">
        <f t="shared" si="590"/>
        <v>0</v>
      </c>
      <c r="O2577" s="101">
        <f t="shared" si="591"/>
        <v>0</v>
      </c>
      <c r="P2577" s="52">
        <f t="shared" si="592"/>
        <v>0</v>
      </c>
      <c r="Q2577" s="49">
        <v>116.88487613461319</v>
      </c>
      <c r="R2577">
        <v>2225</v>
      </c>
      <c r="S2577" s="50">
        <f t="shared" si="588"/>
        <v>71535.307499999995</v>
      </c>
      <c r="T2577" s="50">
        <f t="shared" si="593"/>
        <v>0</v>
      </c>
      <c r="U2577" s="58">
        <f t="shared" si="594"/>
        <v>0</v>
      </c>
      <c r="V2577" s="58">
        <f t="shared" si="595"/>
        <v>0</v>
      </c>
      <c r="W2577" s="58">
        <f t="shared" si="596"/>
        <v>0</v>
      </c>
      <c r="X2577" s="58">
        <f t="shared" si="597"/>
        <v>0</v>
      </c>
      <c r="Y2577" s="52">
        <f t="shared" si="598"/>
        <v>0</v>
      </c>
    </row>
    <row r="2578" spans="1:25" x14ac:dyDescent="0.25">
      <c r="A2578" s="1218" t="s">
        <v>96</v>
      </c>
      <c r="B2578" s="98">
        <v>45901</v>
      </c>
      <c r="C2578" s="117" t="str">
        <f t="shared" si="586"/>
        <v>3L</v>
      </c>
      <c r="F2578" s="99">
        <f t="shared" si="600"/>
        <v>0</v>
      </c>
      <c r="I2578" s="99">
        <f t="shared" si="599"/>
        <v>0</v>
      </c>
      <c r="L2578" s="99">
        <f t="shared" si="587"/>
        <v>0</v>
      </c>
      <c r="M2578" s="44" t="str">
        <f t="shared" si="589"/>
        <v/>
      </c>
      <c r="N2578" s="100">
        <f t="shared" si="590"/>
        <v>0</v>
      </c>
      <c r="O2578" s="101">
        <f t="shared" si="591"/>
        <v>0</v>
      </c>
      <c r="P2578" s="52">
        <f t="shared" si="592"/>
        <v>0</v>
      </c>
      <c r="Q2578" s="49">
        <v>116.88487613461319</v>
      </c>
      <c r="R2578">
        <v>2225</v>
      </c>
      <c r="S2578" s="50">
        <f t="shared" si="588"/>
        <v>71535.307499999995</v>
      </c>
      <c r="T2578" s="50">
        <f t="shared" si="593"/>
        <v>0</v>
      </c>
      <c r="U2578" s="58">
        <f t="shared" si="594"/>
        <v>0</v>
      </c>
      <c r="V2578" s="58">
        <f t="shared" si="595"/>
        <v>0</v>
      </c>
      <c r="W2578" s="58">
        <f t="shared" si="596"/>
        <v>0</v>
      </c>
      <c r="X2578" s="58">
        <f t="shared" si="597"/>
        <v>0</v>
      </c>
      <c r="Y2578" s="52">
        <f t="shared" si="598"/>
        <v>0</v>
      </c>
    </row>
    <row r="2579" spans="1:25" x14ac:dyDescent="0.25">
      <c r="A2579" s="1218" t="s">
        <v>97</v>
      </c>
      <c r="B2579" s="98">
        <v>45901</v>
      </c>
      <c r="C2579" s="117" t="str">
        <f t="shared" si="586"/>
        <v>4L</v>
      </c>
      <c r="F2579" s="99">
        <f t="shared" si="600"/>
        <v>0</v>
      </c>
      <c r="I2579" s="99">
        <f t="shared" si="599"/>
        <v>0</v>
      </c>
      <c r="L2579" s="99">
        <f t="shared" si="587"/>
        <v>0</v>
      </c>
      <c r="M2579" s="44" t="str">
        <f t="shared" si="589"/>
        <v/>
      </c>
      <c r="N2579" s="100">
        <f t="shared" si="590"/>
        <v>0</v>
      </c>
      <c r="O2579" s="101">
        <f t="shared" si="591"/>
        <v>0</v>
      </c>
      <c r="P2579" s="52">
        <f t="shared" si="592"/>
        <v>0</v>
      </c>
      <c r="Q2579" s="49">
        <v>116.88487613461319</v>
      </c>
      <c r="R2579">
        <v>2225</v>
      </c>
      <c r="S2579" s="50">
        <f t="shared" si="588"/>
        <v>71535.307499999995</v>
      </c>
      <c r="T2579" s="50">
        <f t="shared" si="593"/>
        <v>0</v>
      </c>
      <c r="U2579" s="58">
        <f t="shared" si="594"/>
        <v>0</v>
      </c>
      <c r="V2579" s="58">
        <f t="shared" si="595"/>
        <v>0</v>
      </c>
      <c r="W2579" s="58">
        <f t="shared" si="596"/>
        <v>0</v>
      </c>
      <c r="X2579" s="58">
        <f t="shared" si="597"/>
        <v>0</v>
      </c>
      <c r="Y2579" s="52">
        <f t="shared" si="598"/>
        <v>0</v>
      </c>
    </row>
    <row r="2580" spans="1:25" x14ac:dyDescent="0.25">
      <c r="A2580" s="1218" t="s">
        <v>98</v>
      </c>
      <c r="B2580" s="98">
        <v>45901</v>
      </c>
      <c r="C2580" s="117" t="str">
        <f t="shared" si="586"/>
        <v>4L</v>
      </c>
      <c r="F2580" s="99">
        <f t="shared" si="600"/>
        <v>0</v>
      </c>
      <c r="I2580" s="99">
        <f t="shared" si="599"/>
        <v>0</v>
      </c>
      <c r="L2580" s="99">
        <f t="shared" si="587"/>
        <v>0</v>
      </c>
      <c r="M2580" s="44" t="str">
        <f t="shared" si="589"/>
        <v/>
      </c>
      <c r="N2580" s="100">
        <f t="shared" si="590"/>
        <v>0</v>
      </c>
      <c r="O2580" s="101">
        <f t="shared" si="591"/>
        <v>0</v>
      </c>
      <c r="P2580" s="52">
        <f t="shared" si="592"/>
        <v>0</v>
      </c>
      <c r="Q2580" s="49">
        <v>116.88487613461319</v>
      </c>
      <c r="R2580">
        <v>2225</v>
      </c>
      <c r="S2580" s="50">
        <f t="shared" si="588"/>
        <v>71535.307499999995</v>
      </c>
      <c r="T2580" s="50">
        <f t="shared" si="593"/>
        <v>0</v>
      </c>
      <c r="U2580" s="58">
        <f t="shared" si="594"/>
        <v>0</v>
      </c>
      <c r="V2580" s="58">
        <f t="shared" si="595"/>
        <v>0</v>
      </c>
      <c r="W2580" s="58">
        <f t="shared" si="596"/>
        <v>0</v>
      </c>
      <c r="X2580" s="58">
        <f t="shared" si="597"/>
        <v>0</v>
      </c>
      <c r="Y2580" s="52">
        <f t="shared" si="598"/>
        <v>0</v>
      </c>
    </row>
    <row r="2581" spans="1:25" x14ac:dyDescent="0.25">
      <c r="A2581" s="1218" t="s">
        <v>99</v>
      </c>
      <c r="B2581" s="98">
        <v>45901</v>
      </c>
      <c r="C2581" s="117" t="str">
        <f t="shared" si="586"/>
        <v>4L</v>
      </c>
      <c r="F2581" s="99">
        <f t="shared" si="600"/>
        <v>0</v>
      </c>
      <c r="I2581" s="99">
        <f t="shared" si="599"/>
        <v>0</v>
      </c>
      <c r="L2581" s="99">
        <f t="shared" si="587"/>
        <v>0</v>
      </c>
      <c r="M2581" s="44" t="str">
        <f t="shared" si="589"/>
        <v/>
      </c>
      <c r="N2581" s="100">
        <f t="shared" si="590"/>
        <v>0</v>
      </c>
      <c r="O2581" s="101">
        <f t="shared" si="591"/>
        <v>0</v>
      </c>
      <c r="P2581" s="52">
        <f t="shared" si="592"/>
        <v>0</v>
      </c>
      <c r="Q2581" s="49">
        <v>116.88487613461319</v>
      </c>
      <c r="R2581">
        <v>2225</v>
      </c>
      <c r="S2581" s="50">
        <f t="shared" si="588"/>
        <v>71535.307499999995</v>
      </c>
      <c r="T2581" s="50">
        <f t="shared" si="593"/>
        <v>0</v>
      </c>
      <c r="U2581" s="58">
        <f t="shared" si="594"/>
        <v>0</v>
      </c>
      <c r="V2581" s="58">
        <f t="shared" si="595"/>
        <v>0</v>
      </c>
      <c r="W2581" s="58">
        <f t="shared" si="596"/>
        <v>0</v>
      </c>
      <c r="X2581" s="58">
        <f t="shared" si="597"/>
        <v>0</v>
      </c>
      <c r="Y2581" s="52">
        <f t="shared" si="598"/>
        <v>0</v>
      </c>
    </row>
    <row r="2582" spans="1:25" x14ac:dyDescent="0.25">
      <c r="A2582" s="1218" t="s">
        <v>100</v>
      </c>
      <c r="B2582" s="98">
        <v>45901</v>
      </c>
      <c r="C2582" s="117" t="str">
        <f t="shared" si="586"/>
        <v>4L</v>
      </c>
      <c r="F2582" s="99">
        <f t="shared" si="600"/>
        <v>0</v>
      </c>
      <c r="I2582" s="99">
        <f t="shared" si="599"/>
        <v>0</v>
      </c>
      <c r="L2582" s="99">
        <f t="shared" si="587"/>
        <v>0</v>
      </c>
      <c r="M2582" s="44" t="str">
        <f t="shared" si="589"/>
        <v/>
      </c>
      <c r="N2582" s="100">
        <f t="shared" si="590"/>
        <v>0</v>
      </c>
      <c r="O2582" s="101">
        <f t="shared" si="591"/>
        <v>0</v>
      </c>
      <c r="P2582" s="52">
        <f t="shared" si="592"/>
        <v>0</v>
      </c>
      <c r="Q2582" s="49">
        <v>116.88487613461319</v>
      </c>
      <c r="R2582">
        <v>2225</v>
      </c>
      <c r="S2582" s="50">
        <f t="shared" si="588"/>
        <v>71535.307499999995</v>
      </c>
      <c r="T2582" s="50">
        <f t="shared" si="593"/>
        <v>0</v>
      </c>
      <c r="U2582" s="58">
        <f t="shared" si="594"/>
        <v>0</v>
      </c>
      <c r="V2582" s="58">
        <f t="shared" si="595"/>
        <v>0</v>
      </c>
      <c r="W2582" s="58">
        <f t="shared" si="596"/>
        <v>0</v>
      </c>
      <c r="X2582" s="58">
        <f t="shared" si="597"/>
        <v>0</v>
      </c>
      <c r="Y2582" s="52">
        <f t="shared" si="598"/>
        <v>0</v>
      </c>
    </row>
    <row r="2583" spans="1:25" x14ac:dyDescent="0.25">
      <c r="A2583" s="1218" t="s">
        <v>101</v>
      </c>
      <c r="B2583" s="98">
        <v>45901</v>
      </c>
      <c r="C2583" s="117" t="str">
        <f t="shared" ref="C2583:C2647" si="601">LEFT(A2583,2)</f>
        <v>4L</v>
      </c>
      <c r="F2583" s="99">
        <f t="shared" si="600"/>
        <v>0</v>
      </c>
      <c r="I2583" s="99">
        <f t="shared" si="599"/>
        <v>0</v>
      </c>
      <c r="L2583" s="99">
        <f t="shared" si="587"/>
        <v>0</v>
      </c>
      <c r="M2583" s="44" t="str">
        <f t="shared" si="589"/>
        <v/>
      </c>
      <c r="N2583" s="100">
        <f t="shared" si="590"/>
        <v>0</v>
      </c>
      <c r="O2583" s="101">
        <f t="shared" si="591"/>
        <v>0</v>
      </c>
      <c r="P2583" s="52">
        <f t="shared" si="592"/>
        <v>0</v>
      </c>
      <c r="Q2583" s="49">
        <v>116.88487613461319</v>
      </c>
      <c r="R2583">
        <v>2225</v>
      </c>
      <c r="S2583" s="50">
        <f t="shared" si="588"/>
        <v>71535.307499999995</v>
      </c>
      <c r="T2583" s="50">
        <f t="shared" si="593"/>
        <v>0</v>
      </c>
      <c r="U2583" s="58">
        <f t="shared" si="594"/>
        <v>0</v>
      </c>
      <c r="V2583" s="58">
        <f t="shared" si="595"/>
        <v>0</v>
      </c>
      <c r="W2583" s="58">
        <f t="shared" si="596"/>
        <v>0</v>
      </c>
      <c r="X2583" s="58">
        <f t="shared" si="597"/>
        <v>0</v>
      </c>
      <c r="Y2583" s="52">
        <f t="shared" si="598"/>
        <v>0</v>
      </c>
    </row>
    <row r="2584" spans="1:25" x14ac:dyDescent="0.25">
      <c r="A2584" s="1218" t="s">
        <v>102</v>
      </c>
      <c r="B2584" s="98">
        <v>45901</v>
      </c>
      <c r="C2584" s="117" t="str">
        <f t="shared" si="601"/>
        <v>4L</v>
      </c>
      <c r="F2584" s="99">
        <f t="shared" si="600"/>
        <v>0</v>
      </c>
      <c r="I2584" s="99">
        <f t="shared" si="599"/>
        <v>0</v>
      </c>
      <c r="L2584" s="99">
        <f t="shared" si="587"/>
        <v>0</v>
      </c>
      <c r="M2584" s="44" t="str">
        <f t="shared" si="589"/>
        <v/>
      </c>
      <c r="N2584" s="100">
        <f t="shared" si="590"/>
        <v>0</v>
      </c>
      <c r="O2584" s="101">
        <f t="shared" si="591"/>
        <v>0</v>
      </c>
      <c r="P2584" s="52">
        <f t="shared" si="592"/>
        <v>0</v>
      </c>
      <c r="Q2584" s="49">
        <v>116.88487613461319</v>
      </c>
      <c r="R2584">
        <v>2225</v>
      </c>
      <c r="S2584" s="50">
        <f t="shared" si="588"/>
        <v>71535.307499999995</v>
      </c>
      <c r="T2584" s="50">
        <f t="shared" si="593"/>
        <v>0</v>
      </c>
      <c r="U2584" s="58">
        <f t="shared" si="594"/>
        <v>0</v>
      </c>
      <c r="V2584" s="58">
        <f t="shared" si="595"/>
        <v>0</v>
      </c>
      <c r="W2584" s="58">
        <f t="shared" si="596"/>
        <v>0</v>
      </c>
      <c r="X2584" s="58">
        <f t="shared" si="597"/>
        <v>0</v>
      </c>
      <c r="Y2584" s="52">
        <f t="shared" si="598"/>
        <v>0</v>
      </c>
    </row>
    <row r="2585" spans="1:25" x14ac:dyDescent="0.25">
      <c r="A2585" s="1218" t="s">
        <v>103</v>
      </c>
      <c r="B2585" s="98">
        <v>45901</v>
      </c>
      <c r="C2585" s="117" t="str">
        <f t="shared" si="601"/>
        <v>4L</v>
      </c>
      <c r="F2585" s="99">
        <f t="shared" si="600"/>
        <v>0</v>
      </c>
      <c r="I2585" s="99">
        <f t="shared" si="599"/>
        <v>0</v>
      </c>
      <c r="L2585" s="99">
        <f t="shared" si="587"/>
        <v>0</v>
      </c>
      <c r="M2585" s="44" t="str">
        <f t="shared" si="589"/>
        <v/>
      </c>
      <c r="N2585" s="100">
        <f t="shared" si="590"/>
        <v>0</v>
      </c>
      <c r="O2585" s="101">
        <f t="shared" si="591"/>
        <v>0</v>
      </c>
      <c r="P2585" s="52">
        <f t="shared" si="592"/>
        <v>0</v>
      </c>
      <c r="Q2585" s="49">
        <v>116.88487613461319</v>
      </c>
      <c r="R2585">
        <v>2225</v>
      </c>
      <c r="S2585" s="50">
        <f t="shared" si="588"/>
        <v>71535.307499999995</v>
      </c>
      <c r="T2585" s="50">
        <f t="shared" si="593"/>
        <v>0</v>
      </c>
      <c r="U2585" s="58">
        <f t="shared" si="594"/>
        <v>0</v>
      </c>
      <c r="V2585" s="58">
        <f t="shared" si="595"/>
        <v>0</v>
      </c>
      <c r="W2585" s="58">
        <f t="shared" si="596"/>
        <v>0</v>
      </c>
      <c r="X2585" s="58">
        <f t="shared" si="597"/>
        <v>0</v>
      </c>
      <c r="Y2585" s="52">
        <f t="shared" si="598"/>
        <v>0</v>
      </c>
    </row>
    <row r="2586" spans="1:25" x14ac:dyDescent="0.25">
      <c r="A2586" s="1218" t="s">
        <v>104</v>
      </c>
      <c r="B2586" s="98">
        <v>45901</v>
      </c>
      <c r="C2586" s="117" t="str">
        <f t="shared" si="601"/>
        <v>4L</v>
      </c>
      <c r="F2586" s="99">
        <f t="shared" si="600"/>
        <v>0</v>
      </c>
      <c r="I2586" s="99">
        <f t="shared" si="599"/>
        <v>0</v>
      </c>
      <c r="L2586" s="99">
        <f t="shared" si="587"/>
        <v>0</v>
      </c>
      <c r="M2586" s="44" t="str">
        <f t="shared" si="589"/>
        <v/>
      </c>
      <c r="N2586" s="100">
        <f t="shared" si="590"/>
        <v>0</v>
      </c>
      <c r="O2586" s="101">
        <f t="shared" si="591"/>
        <v>0</v>
      </c>
      <c r="P2586" s="52">
        <f t="shared" si="592"/>
        <v>0</v>
      </c>
      <c r="Q2586" s="49">
        <v>116.88487613461319</v>
      </c>
      <c r="R2586">
        <v>2225</v>
      </c>
      <c r="S2586" s="50">
        <f t="shared" si="588"/>
        <v>71535.307499999995</v>
      </c>
      <c r="T2586" s="50">
        <f t="shared" si="593"/>
        <v>0</v>
      </c>
      <c r="U2586" s="58">
        <f t="shared" si="594"/>
        <v>0</v>
      </c>
      <c r="V2586" s="58">
        <f t="shared" si="595"/>
        <v>0</v>
      </c>
      <c r="W2586" s="58">
        <f t="shared" si="596"/>
        <v>0</v>
      </c>
      <c r="X2586" s="58">
        <f t="shared" si="597"/>
        <v>0</v>
      </c>
      <c r="Y2586" s="52">
        <f t="shared" si="598"/>
        <v>0</v>
      </c>
    </row>
    <row r="2587" spans="1:25" x14ac:dyDescent="0.25">
      <c r="A2587" s="1218" t="s">
        <v>105</v>
      </c>
      <c r="B2587" s="98">
        <v>45901</v>
      </c>
      <c r="C2587" s="117" t="str">
        <f t="shared" si="601"/>
        <v>4L</v>
      </c>
      <c r="F2587" s="99">
        <f t="shared" si="600"/>
        <v>0</v>
      </c>
      <c r="I2587" s="99">
        <f t="shared" si="599"/>
        <v>0</v>
      </c>
      <c r="L2587" s="99">
        <f t="shared" si="587"/>
        <v>0</v>
      </c>
      <c r="M2587" s="44" t="str">
        <f t="shared" si="589"/>
        <v/>
      </c>
      <c r="N2587" s="100">
        <f t="shared" si="590"/>
        <v>0</v>
      </c>
      <c r="O2587" s="101">
        <f t="shared" si="591"/>
        <v>0</v>
      </c>
      <c r="P2587" s="52">
        <f t="shared" si="592"/>
        <v>0</v>
      </c>
      <c r="Q2587" s="49">
        <v>116.88487613461319</v>
      </c>
      <c r="R2587">
        <v>2225</v>
      </c>
      <c r="S2587" s="50">
        <f t="shared" si="588"/>
        <v>71535.307499999995</v>
      </c>
      <c r="T2587" s="50">
        <f t="shared" si="593"/>
        <v>0</v>
      </c>
      <c r="U2587" s="58">
        <f t="shared" si="594"/>
        <v>0</v>
      </c>
      <c r="V2587" s="58">
        <f t="shared" si="595"/>
        <v>0</v>
      </c>
      <c r="W2587" s="58">
        <f t="shared" si="596"/>
        <v>0</v>
      </c>
      <c r="X2587" s="58">
        <f t="shared" si="597"/>
        <v>0</v>
      </c>
      <c r="Y2587" s="52">
        <f t="shared" si="598"/>
        <v>0</v>
      </c>
    </row>
    <row r="2588" spans="1:25" x14ac:dyDescent="0.25">
      <c r="A2588" s="1218" t="s">
        <v>106</v>
      </c>
      <c r="B2588" s="98">
        <v>45901</v>
      </c>
      <c r="C2588" s="117" t="str">
        <f t="shared" si="601"/>
        <v>4L</v>
      </c>
      <c r="F2588" s="99">
        <f t="shared" si="600"/>
        <v>0</v>
      </c>
      <c r="I2588" s="99">
        <f t="shared" si="599"/>
        <v>0</v>
      </c>
      <c r="L2588" s="99">
        <f t="shared" si="587"/>
        <v>0</v>
      </c>
      <c r="M2588" s="44" t="str">
        <f t="shared" si="589"/>
        <v/>
      </c>
      <c r="N2588" s="100">
        <f t="shared" si="590"/>
        <v>0</v>
      </c>
      <c r="O2588" s="101">
        <f t="shared" si="591"/>
        <v>0</v>
      </c>
      <c r="P2588" s="52">
        <f t="shared" si="592"/>
        <v>0</v>
      </c>
      <c r="Q2588" s="49">
        <v>116.88487613461319</v>
      </c>
      <c r="R2588">
        <v>2225</v>
      </c>
      <c r="S2588" s="50">
        <f t="shared" si="588"/>
        <v>71535.307499999995</v>
      </c>
      <c r="T2588" s="50">
        <f t="shared" si="593"/>
        <v>0</v>
      </c>
      <c r="U2588" s="58">
        <f t="shared" si="594"/>
        <v>0</v>
      </c>
      <c r="V2588" s="58">
        <f t="shared" si="595"/>
        <v>0</v>
      </c>
      <c r="W2588" s="58">
        <f t="shared" si="596"/>
        <v>0</v>
      </c>
      <c r="X2588" s="58">
        <f t="shared" si="597"/>
        <v>0</v>
      </c>
      <c r="Y2588" s="52">
        <f t="shared" si="598"/>
        <v>0</v>
      </c>
    </row>
    <row r="2589" spans="1:25" x14ac:dyDescent="0.25">
      <c r="A2589" s="1218" t="s">
        <v>107</v>
      </c>
      <c r="B2589" s="98">
        <v>45901</v>
      </c>
      <c r="C2589" s="117" t="str">
        <f t="shared" si="601"/>
        <v>4L</v>
      </c>
      <c r="F2589" s="99">
        <f t="shared" si="600"/>
        <v>0</v>
      </c>
      <c r="I2589" s="99">
        <f t="shared" si="599"/>
        <v>0</v>
      </c>
      <c r="L2589" s="99">
        <f t="shared" si="587"/>
        <v>0</v>
      </c>
      <c r="M2589" s="44" t="str">
        <f t="shared" si="589"/>
        <v/>
      </c>
      <c r="N2589" s="100">
        <f t="shared" si="590"/>
        <v>0</v>
      </c>
      <c r="O2589" s="101">
        <f t="shared" si="591"/>
        <v>0</v>
      </c>
      <c r="P2589" s="52">
        <f t="shared" si="592"/>
        <v>0</v>
      </c>
      <c r="Q2589" s="49">
        <v>116.88487613461319</v>
      </c>
      <c r="R2589">
        <v>2225</v>
      </c>
      <c r="S2589" s="50">
        <f t="shared" si="588"/>
        <v>71535.307499999995</v>
      </c>
      <c r="T2589" s="50">
        <f t="shared" si="593"/>
        <v>0</v>
      </c>
      <c r="U2589" s="58">
        <f t="shared" si="594"/>
        <v>0</v>
      </c>
      <c r="V2589" s="58">
        <f t="shared" si="595"/>
        <v>0</v>
      </c>
      <c r="W2589" s="58">
        <f t="shared" si="596"/>
        <v>0</v>
      </c>
      <c r="X2589" s="58">
        <f t="shared" si="597"/>
        <v>0</v>
      </c>
      <c r="Y2589" s="52">
        <f t="shared" si="598"/>
        <v>0</v>
      </c>
    </row>
    <row r="2590" spans="1:25" x14ac:dyDescent="0.25">
      <c r="A2590" s="1218" t="s">
        <v>108</v>
      </c>
      <c r="B2590" s="98">
        <v>45901</v>
      </c>
      <c r="C2590" s="117" t="str">
        <f t="shared" si="601"/>
        <v>4L</v>
      </c>
      <c r="F2590" s="99">
        <f t="shared" si="600"/>
        <v>0</v>
      </c>
      <c r="I2590" s="99">
        <f t="shared" si="599"/>
        <v>0</v>
      </c>
      <c r="L2590" s="99">
        <f t="shared" si="587"/>
        <v>0</v>
      </c>
      <c r="M2590" s="44" t="str">
        <f t="shared" si="589"/>
        <v/>
      </c>
      <c r="N2590" s="100">
        <f t="shared" si="590"/>
        <v>0</v>
      </c>
      <c r="O2590" s="101">
        <f t="shared" si="591"/>
        <v>0</v>
      </c>
      <c r="P2590" s="52">
        <f t="shared" si="592"/>
        <v>0</v>
      </c>
      <c r="Q2590" s="49">
        <v>116.88487613461319</v>
      </c>
      <c r="R2590">
        <v>2225</v>
      </c>
      <c r="S2590" s="50">
        <f t="shared" si="588"/>
        <v>71535.307499999995</v>
      </c>
      <c r="T2590" s="50">
        <f t="shared" si="593"/>
        <v>0</v>
      </c>
      <c r="U2590" s="58">
        <f t="shared" si="594"/>
        <v>0</v>
      </c>
      <c r="V2590" s="58">
        <f t="shared" si="595"/>
        <v>0</v>
      </c>
      <c r="W2590" s="58">
        <f t="shared" si="596"/>
        <v>0</v>
      </c>
      <c r="X2590" s="58">
        <f t="shared" si="597"/>
        <v>0</v>
      </c>
      <c r="Y2590" s="52">
        <f t="shared" si="598"/>
        <v>0</v>
      </c>
    </row>
    <row r="2591" spans="1:25" x14ac:dyDescent="0.25">
      <c r="A2591" s="1218" t="s">
        <v>109</v>
      </c>
      <c r="B2591" s="98">
        <v>45901</v>
      </c>
      <c r="C2591" s="117" t="str">
        <f t="shared" si="601"/>
        <v>4L</v>
      </c>
      <c r="F2591" s="99">
        <f t="shared" si="600"/>
        <v>0</v>
      </c>
      <c r="I2591" s="99">
        <f t="shared" si="599"/>
        <v>0</v>
      </c>
      <c r="L2591" s="99">
        <f t="shared" si="587"/>
        <v>0</v>
      </c>
      <c r="M2591" s="44" t="str">
        <f t="shared" si="589"/>
        <v/>
      </c>
      <c r="N2591" s="100">
        <f t="shared" si="590"/>
        <v>0</v>
      </c>
      <c r="O2591" s="101">
        <f t="shared" si="591"/>
        <v>0</v>
      </c>
      <c r="P2591" s="52">
        <f t="shared" si="592"/>
        <v>0</v>
      </c>
      <c r="Q2591" s="49">
        <v>116.88487613461319</v>
      </c>
      <c r="R2591">
        <v>2225</v>
      </c>
      <c r="S2591" s="50">
        <f t="shared" si="588"/>
        <v>71535.307499999995</v>
      </c>
      <c r="T2591" s="50">
        <f t="shared" si="593"/>
        <v>0</v>
      </c>
      <c r="U2591" s="58">
        <f t="shared" si="594"/>
        <v>0</v>
      </c>
      <c r="V2591" s="58">
        <f t="shared" si="595"/>
        <v>0</v>
      </c>
      <c r="W2591" s="58">
        <f t="shared" si="596"/>
        <v>0</v>
      </c>
      <c r="X2591" s="58">
        <f t="shared" si="597"/>
        <v>0</v>
      </c>
      <c r="Y2591" s="52">
        <f t="shared" si="598"/>
        <v>0</v>
      </c>
    </row>
    <row r="2592" spans="1:25" x14ac:dyDescent="0.25">
      <c r="A2592" s="1218" t="s">
        <v>110</v>
      </c>
      <c r="B2592" s="98">
        <v>45901</v>
      </c>
      <c r="C2592" s="117" t="str">
        <f t="shared" si="601"/>
        <v>4L</v>
      </c>
      <c r="F2592" s="99">
        <f t="shared" si="600"/>
        <v>0</v>
      </c>
      <c r="I2592" s="99">
        <f t="shared" si="599"/>
        <v>0</v>
      </c>
      <c r="L2592" s="99">
        <f t="shared" si="587"/>
        <v>0</v>
      </c>
      <c r="M2592" s="44" t="str">
        <f t="shared" si="589"/>
        <v/>
      </c>
      <c r="N2592" s="100">
        <f t="shared" si="590"/>
        <v>0</v>
      </c>
      <c r="O2592" s="101">
        <f t="shared" si="591"/>
        <v>0</v>
      </c>
      <c r="P2592" s="52">
        <f t="shared" si="592"/>
        <v>0</v>
      </c>
      <c r="Q2592" s="49">
        <v>116.88487613461319</v>
      </c>
      <c r="R2592">
        <v>2225</v>
      </c>
      <c r="S2592" s="50">
        <f t="shared" si="588"/>
        <v>71535.307499999995</v>
      </c>
      <c r="T2592" s="50">
        <f t="shared" si="593"/>
        <v>0</v>
      </c>
      <c r="U2592" s="58">
        <f t="shared" si="594"/>
        <v>0</v>
      </c>
      <c r="V2592" s="58">
        <f t="shared" si="595"/>
        <v>0</v>
      </c>
      <c r="W2592" s="58">
        <f t="shared" si="596"/>
        <v>0</v>
      </c>
      <c r="X2592" s="58">
        <f t="shared" si="597"/>
        <v>0</v>
      </c>
      <c r="Y2592" s="52">
        <f t="shared" si="598"/>
        <v>0</v>
      </c>
    </row>
    <row r="2593" spans="1:25" x14ac:dyDescent="0.25">
      <c r="A2593" s="1218" t="s">
        <v>111</v>
      </c>
      <c r="B2593" s="98">
        <v>45901</v>
      </c>
      <c r="C2593" s="117" t="str">
        <f t="shared" si="601"/>
        <v>4L</v>
      </c>
      <c r="F2593" s="99">
        <f t="shared" si="600"/>
        <v>0</v>
      </c>
      <c r="I2593" s="99">
        <f t="shared" si="599"/>
        <v>0</v>
      </c>
      <c r="L2593" s="99">
        <f t="shared" si="587"/>
        <v>0</v>
      </c>
      <c r="M2593" s="44" t="str">
        <f t="shared" si="589"/>
        <v/>
      </c>
      <c r="N2593" s="100">
        <f t="shared" si="590"/>
        <v>0</v>
      </c>
      <c r="O2593" s="101">
        <f t="shared" si="591"/>
        <v>0</v>
      </c>
      <c r="P2593" s="52">
        <f t="shared" si="592"/>
        <v>0</v>
      </c>
      <c r="Q2593" s="49">
        <v>116.88487613461319</v>
      </c>
      <c r="R2593">
        <v>2225</v>
      </c>
      <c r="S2593" s="50">
        <f t="shared" si="588"/>
        <v>71535.307499999995</v>
      </c>
      <c r="T2593" s="50">
        <f t="shared" si="593"/>
        <v>0</v>
      </c>
      <c r="U2593" s="58">
        <f t="shared" si="594"/>
        <v>0</v>
      </c>
      <c r="V2593" s="58">
        <f t="shared" si="595"/>
        <v>0</v>
      </c>
      <c r="W2593" s="58">
        <f t="shared" si="596"/>
        <v>0</v>
      </c>
      <c r="X2593" s="58">
        <f t="shared" si="597"/>
        <v>0</v>
      </c>
      <c r="Y2593" s="52">
        <f t="shared" si="598"/>
        <v>0</v>
      </c>
    </row>
    <row r="2594" spans="1:25" x14ac:dyDescent="0.25">
      <c r="A2594" s="1218" t="s">
        <v>112</v>
      </c>
      <c r="B2594" s="98">
        <v>45901</v>
      </c>
      <c r="C2594" s="117" t="str">
        <f t="shared" si="601"/>
        <v>4L</v>
      </c>
      <c r="F2594" s="99">
        <f t="shared" si="600"/>
        <v>0</v>
      </c>
      <c r="I2594" s="99">
        <f t="shared" si="599"/>
        <v>0</v>
      </c>
      <c r="L2594" s="99">
        <f t="shared" si="587"/>
        <v>0</v>
      </c>
      <c r="M2594" s="44" t="str">
        <f t="shared" si="589"/>
        <v/>
      </c>
      <c r="N2594" s="100">
        <f t="shared" si="590"/>
        <v>0</v>
      </c>
      <c r="O2594" s="101">
        <f t="shared" si="591"/>
        <v>0</v>
      </c>
      <c r="P2594" s="52">
        <f t="shared" si="592"/>
        <v>0</v>
      </c>
      <c r="Q2594" s="49">
        <v>116.88487613461319</v>
      </c>
      <c r="R2594">
        <v>2225</v>
      </c>
      <c r="S2594" s="50">
        <f t="shared" si="588"/>
        <v>71535.307499999995</v>
      </c>
      <c r="T2594" s="50">
        <f t="shared" si="593"/>
        <v>0</v>
      </c>
      <c r="U2594" s="58">
        <f t="shared" si="594"/>
        <v>0</v>
      </c>
      <c r="V2594" s="58">
        <f t="shared" si="595"/>
        <v>0</v>
      </c>
      <c r="W2594" s="58">
        <f t="shared" si="596"/>
        <v>0</v>
      </c>
      <c r="X2594" s="58">
        <f t="shared" si="597"/>
        <v>0</v>
      </c>
      <c r="Y2594" s="52">
        <f t="shared" si="598"/>
        <v>0</v>
      </c>
    </row>
    <row r="2595" spans="1:25" x14ac:dyDescent="0.25">
      <c r="A2595" s="1218" t="s">
        <v>113</v>
      </c>
      <c r="B2595" s="98">
        <v>45901</v>
      </c>
      <c r="C2595" s="117" t="str">
        <f t="shared" si="601"/>
        <v>4L</v>
      </c>
      <c r="F2595" s="99">
        <f t="shared" si="600"/>
        <v>0</v>
      </c>
      <c r="I2595" s="99">
        <f t="shared" si="599"/>
        <v>0</v>
      </c>
      <c r="L2595" s="99">
        <f t="shared" si="587"/>
        <v>0</v>
      </c>
      <c r="M2595" s="44" t="str">
        <f t="shared" si="589"/>
        <v/>
      </c>
      <c r="N2595" s="100">
        <f t="shared" si="590"/>
        <v>0</v>
      </c>
      <c r="O2595" s="101">
        <f t="shared" si="591"/>
        <v>0</v>
      </c>
      <c r="P2595" s="52">
        <f t="shared" si="592"/>
        <v>0</v>
      </c>
      <c r="Q2595" s="49">
        <v>116.88487613461319</v>
      </c>
      <c r="R2595">
        <v>2225</v>
      </c>
      <c r="S2595" s="50">
        <f t="shared" si="588"/>
        <v>71535.307499999995</v>
      </c>
      <c r="T2595" s="50">
        <f t="shared" si="593"/>
        <v>0</v>
      </c>
      <c r="U2595" s="58">
        <f t="shared" si="594"/>
        <v>0</v>
      </c>
      <c r="V2595" s="58">
        <f t="shared" si="595"/>
        <v>0</v>
      </c>
      <c r="W2595" s="58">
        <f t="shared" si="596"/>
        <v>0</v>
      </c>
      <c r="X2595" s="58">
        <f t="shared" si="597"/>
        <v>0</v>
      </c>
      <c r="Y2595" s="52">
        <f t="shared" si="598"/>
        <v>0</v>
      </c>
    </row>
    <row r="2596" spans="1:25" x14ac:dyDescent="0.25">
      <c r="A2596" s="1218" t="s">
        <v>114</v>
      </c>
      <c r="B2596" s="98">
        <v>45901</v>
      </c>
      <c r="C2596" s="117" t="str">
        <f t="shared" si="601"/>
        <v>4L</v>
      </c>
      <c r="F2596" s="99">
        <f t="shared" si="600"/>
        <v>0</v>
      </c>
      <c r="I2596" s="99">
        <f t="shared" si="599"/>
        <v>0</v>
      </c>
      <c r="L2596" s="99">
        <f t="shared" si="587"/>
        <v>0</v>
      </c>
      <c r="M2596" s="44" t="str">
        <f t="shared" si="589"/>
        <v/>
      </c>
      <c r="N2596" s="100">
        <f t="shared" si="590"/>
        <v>0</v>
      </c>
      <c r="O2596" s="101">
        <f t="shared" si="591"/>
        <v>0</v>
      </c>
      <c r="P2596" s="52">
        <f t="shared" si="592"/>
        <v>0</v>
      </c>
      <c r="Q2596" s="49">
        <v>116.88487613461319</v>
      </c>
      <c r="R2596">
        <v>2225</v>
      </c>
      <c r="S2596" s="50">
        <f t="shared" si="588"/>
        <v>71535.307499999995</v>
      </c>
      <c r="T2596" s="50">
        <f t="shared" si="593"/>
        <v>0</v>
      </c>
      <c r="U2596" s="58">
        <f t="shared" si="594"/>
        <v>0</v>
      </c>
      <c r="V2596" s="58">
        <f t="shared" si="595"/>
        <v>0</v>
      </c>
      <c r="W2596" s="58">
        <f t="shared" si="596"/>
        <v>0</v>
      </c>
      <c r="X2596" s="58">
        <f t="shared" si="597"/>
        <v>0</v>
      </c>
      <c r="Y2596" s="52">
        <f t="shared" si="598"/>
        <v>0</v>
      </c>
    </row>
    <row r="2597" spans="1:25" x14ac:dyDescent="0.25">
      <c r="A2597" s="1218" t="s">
        <v>115</v>
      </c>
      <c r="B2597" s="98">
        <v>45901</v>
      </c>
      <c r="C2597" s="117" t="str">
        <f t="shared" si="601"/>
        <v>4L</v>
      </c>
      <c r="F2597" s="99">
        <f t="shared" si="600"/>
        <v>0</v>
      </c>
      <c r="I2597" s="99">
        <f t="shared" si="599"/>
        <v>0</v>
      </c>
      <c r="L2597" s="99">
        <f t="shared" si="587"/>
        <v>0</v>
      </c>
      <c r="M2597" s="44" t="str">
        <f t="shared" si="589"/>
        <v/>
      </c>
      <c r="N2597" s="100">
        <f t="shared" si="590"/>
        <v>0</v>
      </c>
      <c r="O2597" s="101">
        <f t="shared" si="591"/>
        <v>0</v>
      </c>
      <c r="P2597" s="52">
        <f t="shared" si="592"/>
        <v>0</v>
      </c>
      <c r="Q2597" s="49">
        <v>116.88487613461319</v>
      </c>
      <c r="R2597">
        <v>2225</v>
      </c>
      <c r="S2597" s="50">
        <f t="shared" si="588"/>
        <v>71535.307499999995</v>
      </c>
      <c r="T2597" s="50">
        <f t="shared" si="593"/>
        <v>0</v>
      </c>
      <c r="U2597" s="58">
        <f t="shared" si="594"/>
        <v>0</v>
      </c>
      <c r="V2597" s="58">
        <f t="shared" si="595"/>
        <v>0</v>
      </c>
      <c r="W2597" s="58">
        <f t="shared" si="596"/>
        <v>0</v>
      </c>
      <c r="X2597" s="58">
        <f t="shared" si="597"/>
        <v>0</v>
      </c>
      <c r="Y2597" s="52">
        <f t="shared" si="598"/>
        <v>0</v>
      </c>
    </row>
    <row r="2598" spans="1:25" x14ac:dyDescent="0.25">
      <c r="A2598" s="1218" t="s">
        <v>116</v>
      </c>
      <c r="B2598" s="98">
        <v>45901</v>
      </c>
      <c r="C2598" s="117" t="str">
        <f t="shared" si="601"/>
        <v>4L</v>
      </c>
      <c r="F2598" s="99">
        <f t="shared" si="600"/>
        <v>0</v>
      </c>
      <c r="I2598" s="99">
        <f t="shared" si="599"/>
        <v>0</v>
      </c>
      <c r="L2598" s="99">
        <f t="shared" ref="L2598:L2666" si="602">IFERROR(J2598*K2598/1000,"")</f>
        <v>0</v>
      </c>
      <c r="M2598" s="44" t="str">
        <f t="shared" si="589"/>
        <v/>
      </c>
      <c r="N2598" s="100">
        <f t="shared" si="590"/>
        <v>0</v>
      </c>
      <c r="O2598" s="101">
        <f t="shared" si="591"/>
        <v>0</v>
      </c>
      <c r="P2598" s="52">
        <f t="shared" si="592"/>
        <v>0</v>
      </c>
      <c r="Q2598" s="49">
        <v>116.88487613461319</v>
      </c>
      <c r="R2598">
        <v>2225</v>
      </c>
      <c r="S2598" s="50">
        <f t="shared" ref="S2598:S2666" si="603">R2598*32.1507</f>
        <v>71535.307499999995</v>
      </c>
      <c r="T2598" s="50">
        <f t="shared" si="593"/>
        <v>0</v>
      </c>
      <c r="U2598" s="58">
        <f t="shared" si="594"/>
        <v>0</v>
      </c>
      <c r="V2598" s="58">
        <f t="shared" si="595"/>
        <v>0</v>
      </c>
      <c r="W2598" s="58">
        <f t="shared" si="596"/>
        <v>0</v>
      </c>
      <c r="X2598" s="58">
        <f t="shared" si="597"/>
        <v>0</v>
      </c>
      <c r="Y2598" s="52">
        <f t="shared" si="598"/>
        <v>0</v>
      </c>
    </row>
    <row r="2599" spans="1:25" x14ac:dyDescent="0.25">
      <c r="A2599" s="1218" t="s">
        <v>117</v>
      </c>
      <c r="B2599" s="98">
        <v>45901</v>
      </c>
      <c r="C2599" s="117" t="str">
        <f t="shared" si="601"/>
        <v>4L</v>
      </c>
      <c r="F2599" s="99">
        <f t="shared" si="600"/>
        <v>0</v>
      </c>
      <c r="I2599" s="99">
        <f t="shared" si="599"/>
        <v>0</v>
      </c>
      <c r="L2599" s="99">
        <f t="shared" si="602"/>
        <v>0</v>
      </c>
      <c r="M2599" s="44" t="str">
        <f t="shared" si="589"/>
        <v/>
      </c>
      <c r="N2599" s="100">
        <f t="shared" si="590"/>
        <v>0</v>
      </c>
      <c r="O2599" s="101">
        <f t="shared" si="591"/>
        <v>0</v>
      </c>
      <c r="P2599" s="52">
        <f t="shared" si="592"/>
        <v>0</v>
      </c>
      <c r="Q2599" s="49">
        <v>116.88487613461319</v>
      </c>
      <c r="R2599">
        <v>2225</v>
      </c>
      <c r="S2599" s="50">
        <f t="shared" si="603"/>
        <v>71535.307499999995</v>
      </c>
      <c r="T2599" s="50">
        <f t="shared" si="593"/>
        <v>0</v>
      </c>
      <c r="U2599" s="58">
        <f t="shared" si="594"/>
        <v>0</v>
      </c>
      <c r="V2599" s="58">
        <f t="shared" si="595"/>
        <v>0</v>
      </c>
      <c r="W2599" s="58">
        <f t="shared" si="596"/>
        <v>0</v>
      </c>
      <c r="X2599" s="58">
        <f t="shared" si="597"/>
        <v>0</v>
      </c>
      <c r="Y2599" s="52">
        <f t="shared" si="598"/>
        <v>0</v>
      </c>
    </row>
    <row r="2600" spans="1:25" x14ac:dyDescent="0.25">
      <c r="A2600" s="1218" t="s">
        <v>118</v>
      </c>
      <c r="B2600" s="98">
        <v>45901</v>
      </c>
      <c r="C2600" s="117" t="str">
        <f t="shared" si="601"/>
        <v>4L</v>
      </c>
      <c r="F2600" s="99">
        <f t="shared" si="600"/>
        <v>0</v>
      </c>
      <c r="I2600" s="99">
        <f t="shared" si="599"/>
        <v>0</v>
      </c>
      <c r="L2600" s="99">
        <f t="shared" si="602"/>
        <v>0</v>
      </c>
      <c r="M2600" s="44" t="str">
        <f t="shared" ref="M2600:M2668" si="604">IFERROR((L2600-I2600)/I2600,"")</f>
        <v/>
      </c>
      <c r="N2600" s="100">
        <f t="shared" ref="N2600:N2668" si="605">J2600-G2600</f>
        <v>0</v>
      </c>
      <c r="O2600" s="101">
        <f t="shared" ref="O2600:O2668" si="606">L2600-I2600</f>
        <v>0</v>
      </c>
      <c r="P2600" s="52">
        <f t="shared" ref="P2600:P2668" si="607">U2600-W2600</f>
        <v>0</v>
      </c>
      <c r="Q2600" s="49">
        <v>116.88487613461319</v>
      </c>
      <c r="R2600">
        <v>2225</v>
      </c>
      <c r="S2600" s="50">
        <f t="shared" si="603"/>
        <v>71535.307499999995</v>
      </c>
      <c r="T2600" s="50">
        <f t="shared" ref="T2600:T2668" si="608">IFERROR(S2600*I2600,"")</f>
        <v>0</v>
      </c>
      <c r="U2600" s="58">
        <f t="shared" ref="U2600:U2668" si="609">IFERROR(S2600*L2600,"")</f>
        <v>0</v>
      </c>
      <c r="V2600" s="58">
        <f t="shared" ref="V2600:V2668" si="610">IFERROR(Q2600*G2600,"")</f>
        <v>0</v>
      </c>
      <c r="W2600" s="58">
        <f t="shared" ref="W2600:W2668" si="611">IFERROR(Q2600*J2600,"")</f>
        <v>0</v>
      </c>
      <c r="X2600" s="58">
        <f t="shared" ref="X2600:X2668" si="612">T2600-V2600</f>
        <v>0</v>
      </c>
      <c r="Y2600" s="52">
        <f t="shared" ref="Y2600:Y2668" si="613">U2600-W2600</f>
        <v>0</v>
      </c>
    </row>
    <row r="2601" spans="1:25" x14ac:dyDescent="0.25">
      <c r="A2601" s="1218" t="s">
        <v>119</v>
      </c>
      <c r="B2601" s="98">
        <v>45901</v>
      </c>
      <c r="C2601" s="117" t="str">
        <f t="shared" si="601"/>
        <v>4L</v>
      </c>
      <c r="F2601" s="99">
        <f t="shared" si="600"/>
        <v>0</v>
      </c>
      <c r="I2601" s="99">
        <f t="shared" si="599"/>
        <v>0</v>
      </c>
      <c r="L2601" s="99">
        <f t="shared" si="602"/>
        <v>0</v>
      </c>
      <c r="M2601" s="44" t="str">
        <f t="shared" si="604"/>
        <v/>
      </c>
      <c r="N2601" s="100">
        <f t="shared" si="605"/>
        <v>0</v>
      </c>
      <c r="O2601" s="101">
        <f t="shared" si="606"/>
        <v>0</v>
      </c>
      <c r="P2601" s="52">
        <f t="shared" si="607"/>
        <v>0</v>
      </c>
      <c r="Q2601" s="49">
        <v>116.88487613461319</v>
      </c>
      <c r="R2601">
        <v>2225</v>
      </c>
      <c r="S2601" s="50">
        <f t="shared" si="603"/>
        <v>71535.307499999995</v>
      </c>
      <c r="T2601" s="50">
        <f t="shared" si="608"/>
        <v>0</v>
      </c>
      <c r="U2601" s="58">
        <f t="shared" si="609"/>
        <v>0</v>
      </c>
      <c r="V2601" s="58">
        <f t="shared" si="610"/>
        <v>0</v>
      </c>
      <c r="W2601" s="58">
        <f t="shared" si="611"/>
        <v>0</v>
      </c>
      <c r="X2601" s="58">
        <f t="shared" si="612"/>
        <v>0</v>
      </c>
      <c r="Y2601" s="52">
        <f t="shared" si="613"/>
        <v>0</v>
      </c>
    </row>
    <row r="2602" spans="1:25" x14ac:dyDescent="0.25">
      <c r="A2602" s="1218" t="s">
        <v>120</v>
      </c>
      <c r="B2602" s="98">
        <v>45901</v>
      </c>
      <c r="C2602" s="117" t="str">
        <f t="shared" si="601"/>
        <v>4L</v>
      </c>
      <c r="F2602" s="99">
        <f t="shared" si="600"/>
        <v>0</v>
      </c>
      <c r="I2602" s="99">
        <f t="shared" si="599"/>
        <v>0</v>
      </c>
      <c r="L2602" s="99">
        <f t="shared" si="602"/>
        <v>0</v>
      </c>
      <c r="M2602" s="44" t="str">
        <f t="shared" si="604"/>
        <v/>
      </c>
      <c r="N2602" s="100">
        <f t="shared" si="605"/>
        <v>0</v>
      </c>
      <c r="O2602" s="101">
        <f t="shared" si="606"/>
        <v>0</v>
      </c>
      <c r="P2602" s="52">
        <f t="shared" si="607"/>
        <v>0</v>
      </c>
      <c r="Q2602" s="49">
        <v>116.88487613461319</v>
      </c>
      <c r="R2602">
        <v>2225</v>
      </c>
      <c r="S2602" s="50">
        <f t="shared" si="603"/>
        <v>71535.307499999995</v>
      </c>
      <c r="T2602" s="50">
        <f t="shared" si="608"/>
        <v>0</v>
      </c>
      <c r="U2602" s="58">
        <f t="shared" si="609"/>
        <v>0</v>
      </c>
      <c r="V2602" s="58">
        <f t="shared" si="610"/>
        <v>0</v>
      </c>
      <c r="W2602" s="58">
        <f t="shared" si="611"/>
        <v>0</v>
      </c>
      <c r="X2602" s="58">
        <f t="shared" si="612"/>
        <v>0</v>
      </c>
      <c r="Y2602" s="52">
        <f t="shared" si="613"/>
        <v>0</v>
      </c>
    </row>
    <row r="2603" spans="1:25" x14ac:dyDescent="0.25">
      <c r="A2603" s="1218" t="s">
        <v>121</v>
      </c>
      <c r="B2603" s="98">
        <v>45901</v>
      </c>
      <c r="C2603" s="117" t="str">
        <f t="shared" si="601"/>
        <v>4L</v>
      </c>
      <c r="F2603" s="99">
        <f t="shared" si="600"/>
        <v>0</v>
      </c>
      <c r="I2603" s="99">
        <f t="shared" si="599"/>
        <v>0</v>
      </c>
      <c r="L2603" s="99">
        <f t="shared" si="602"/>
        <v>0</v>
      </c>
      <c r="M2603" s="44" t="str">
        <f t="shared" si="604"/>
        <v/>
      </c>
      <c r="N2603" s="100">
        <f t="shared" si="605"/>
        <v>0</v>
      </c>
      <c r="O2603" s="101">
        <f t="shared" si="606"/>
        <v>0</v>
      </c>
      <c r="P2603" s="52">
        <f t="shared" si="607"/>
        <v>0</v>
      </c>
      <c r="Q2603" s="49">
        <v>116.88487613461319</v>
      </c>
      <c r="R2603">
        <v>2225</v>
      </c>
      <c r="S2603" s="50">
        <f t="shared" si="603"/>
        <v>71535.307499999995</v>
      </c>
      <c r="T2603" s="50">
        <f t="shared" si="608"/>
        <v>0</v>
      </c>
      <c r="U2603" s="58">
        <f t="shared" si="609"/>
        <v>0</v>
      </c>
      <c r="V2603" s="58">
        <f t="shared" si="610"/>
        <v>0</v>
      </c>
      <c r="W2603" s="58">
        <f t="shared" si="611"/>
        <v>0</v>
      </c>
      <c r="X2603" s="58">
        <f t="shared" si="612"/>
        <v>0</v>
      </c>
      <c r="Y2603" s="52">
        <f t="shared" si="613"/>
        <v>0</v>
      </c>
    </row>
    <row r="2604" spans="1:25" x14ac:dyDescent="0.25">
      <c r="A2604" s="1218" t="s">
        <v>122</v>
      </c>
      <c r="B2604" s="98">
        <v>45901</v>
      </c>
      <c r="C2604" s="117" t="str">
        <f t="shared" si="601"/>
        <v>4L</v>
      </c>
      <c r="F2604" s="99">
        <f t="shared" si="600"/>
        <v>0</v>
      </c>
      <c r="I2604" s="99">
        <f t="shared" si="599"/>
        <v>0</v>
      </c>
      <c r="L2604" s="99">
        <f t="shared" si="602"/>
        <v>0</v>
      </c>
      <c r="M2604" s="44" t="str">
        <f t="shared" si="604"/>
        <v/>
      </c>
      <c r="N2604" s="100">
        <f t="shared" si="605"/>
        <v>0</v>
      </c>
      <c r="O2604" s="101">
        <f t="shared" si="606"/>
        <v>0</v>
      </c>
      <c r="P2604" s="52">
        <f t="shared" si="607"/>
        <v>0</v>
      </c>
      <c r="Q2604" s="49">
        <v>116.88487613461319</v>
      </c>
      <c r="R2604">
        <v>2225</v>
      </c>
      <c r="S2604" s="50">
        <f t="shared" si="603"/>
        <v>71535.307499999995</v>
      </c>
      <c r="T2604" s="50">
        <f t="shared" si="608"/>
        <v>0</v>
      </c>
      <c r="U2604" s="58">
        <f t="shared" si="609"/>
        <v>0</v>
      </c>
      <c r="V2604" s="58">
        <f t="shared" si="610"/>
        <v>0</v>
      </c>
      <c r="W2604" s="58">
        <f t="shared" si="611"/>
        <v>0</v>
      </c>
      <c r="X2604" s="58">
        <f t="shared" si="612"/>
        <v>0</v>
      </c>
      <c r="Y2604" s="52">
        <f t="shared" si="613"/>
        <v>0</v>
      </c>
    </row>
    <row r="2605" spans="1:25" x14ac:dyDescent="0.25">
      <c r="A2605" s="1218" t="s">
        <v>123</v>
      </c>
      <c r="B2605" s="98">
        <v>45901</v>
      </c>
      <c r="C2605" s="117" t="str">
        <f t="shared" si="601"/>
        <v>4L</v>
      </c>
      <c r="F2605" s="99">
        <f t="shared" si="600"/>
        <v>0</v>
      </c>
      <c r="I2605" s="99">
        <f t="shared" si="599"/>
        <v>0</v>
      </c>
      <c r="L2605" s="99">
        <f t="shared" si="602"/>
        <v>0</v>
      </c>
      <c r="M2605" s="44" t="str">
        <f t="shared" si="604"/>
        <v/>
      </c>
      <c r="N2605" s="100">
        <f t="shared" si="605"/>
        <v>0</v>
      </c>
      <c r="O2605" s="101">
        <f t="shared" si="606"/>
        <v>0</v>
      </c>
      <c r="P2605" s="52">
        <f t="shared" si="607"/>
        <v>0</v>
      </c>
      <c r="Q2605" s="49">
        <v>116.88487613461319</v>
      </c>
      <c r="R2605">
        <v>2225</v>
      </c>
      <c r="S2605" s="50">
        <f t="shared" si="603"/>
        <v>71535.307499999995</v>
      </c>
      <c r="T2605" s="50">
        <f t="shared" si="608"/>
        <v>0</v>
      </c>
      <c r="U2605" s="58">
        <f t="shared" si="609"/>
        <v>0</v>
      </c>
      <c r="V2605" s="58">
        <f t="shared" si="610"/>
        <v>0</v>
      </c>
      <c r="W2605" s="58">
        <f t="shared" si="611"/>
        <v>0</v>
      </c>
      <c r="X2605" s="58">
        <f t="shared" si="612"/>
        <v>0</v>
      </c>
      <c r="Y2605" s="52">
        <f t="shared" si="613"/>
        <v>0</v>
      </c>
    </row>
    <row r="2606" spans="1:25" x14ac:dyDescent="0.25">
      <c r="A2606" s="1218" t="s">
        <v>124</v>
      </c>
      <c r="B2606" s="98">
        <v>45901</v>
      </c>
      <c r="C2606" s="117" t="str">
        <f t="shared" si="601"/>
        <v>4L</v>
      </c>
      <c r="F2606" s="99">
        <f t="shared" si="600"/>
        <v>0</v>
      </c>
      <c r="I2606" s="99">
        <f t="shared" si="599"/>
        <v>0</v>
      </c>
      <c r="L2606" s="99">
        <f t="shared" si="602"/>
        <v>0</v>
      </c>
      <c r="M2606" s="44" t="str">
        <f t="shared" si="604"/>
        <v/>
      </c>
      <c r="N2606" s="100">
        <f t="shared" si="605"/>
        <v>0</v>
      </c>
      <c r="O2606" s="101">
        <f t="shared" si="606"/>
        <v>0</v>
      </c>
      <c r="P2606" s="52">
        <f t="shared" si="607"/>
        <v>0</v>
      </c>
      <c r="Q2606" s="49">
        <v>116.88487613461319</v>
      </c>
      <c r="R2606">
        <v>2225</v>
      </c>
      <c r="S2606" s="50">
        <f t="shared" si="603"/>
        <v>71535.307499999995</v>
      </c>
      <c r="T2606" s="50">
        <f t="shared" si="608"/>
        <v>0</v>
      </c>
      <c r="U2606" s="58">
        <f t="shared" si="609"/>
        <v>0</v>
      </c>
      <c r="V2606" s="58">
        <f t="shared" si="610"/>
        <v>0</v>
      </c>
      <c r="W2606" s="58">
        <f t="shared" si="611"/>
        <v>0</v>
      </c>
      <c r="X2606" s="58">
        <f t="shared" si="612"/>
        <v>0</v>
      </c>
      <c r="Y2606" s="52">
        <f t="shared" si="613"/>
        <v>0</v>
      </c>
    </row>
    <row r="2607" spans="1:25" x14ac:dyDescent="0.25">
      <c r="A2607" s="1218" t="s">
        <v>125</v>
      </c>
      <c r="B2607" s="98">
        <v>45901</v>
      </c>
      <c r="C2607" s="117" t="str">
        <f t="shared" si="601"/>
        <v>4L</v>
      </c>
      <c r="F2607" s="99">
        <f t="shared" si="600"/>
        <v>0</v>
      </c>
      <c r="I2607" s="99">
        <f t="shared" si="599"/>
        <v>0</v>
      </c>
      <c r="L2607" s="99">
        <f t="shared" si="602"/>
        <v>0</v>
      </c>
      <c r="M2607" s="44" t="str">
        <f t="shared" si="604"/>
        <v/>
      </c>
      <c r="N2607" s="100">
        <f t="shared" si="605"/>
        <v>0</v>
      </c>
      <c r="O2607" s="101">
        <f t="shared" si="606"/>
        <v>0</v>
      </c>
      <c r="P2607" s="52">
        <f t="shared" si="607"/>
        <v>0</v>
      </c>
      <c r="Q2607" s="49">
        <v>116.88487613461319</v>
      </c>
      <c r="R2607">
        <v>2225</v>
      </c>
      <c r="S2607" s="50">
        <f t="shared" si="603"/>
        <v>71535.307499999995</v>
      </c>
      <c r="T2607" s="50">
        <f t="shared" si="608"/>
        <v>0</v>
      </c>
      <c r="U2607" s="58">
        <f t="shared" si="609"/>
        <v>0</v>
      </c>
      <c r="V2607" s="58">
        <f t="shared" si="610"/>
        <v>0</v>
      </c>
      <c r="W2607" s="58">
        <f t="shared" si="611"/>
        <v>0</v>
      </c>
      <c r="X2607" s="58">
        <f t="shared" si="612"/>
        <v>0</v>
      </c>
      <c r="Y2607" s="52">
        <f t="shared" si="613"/>
        <v>0</v>
      </c>
    </row>
    <row r="2608" spans="1:25" x14ac:dyDescent="0.25">
      <c r="A2608" s="1218" t="s">
        <v>126</v>
      </c>
      <c r="B2608" s="98">
        <v>45901</v>
      </c>
      <c r="C2608" s="117" t="str">
        <f t="shared" ref="C2608:C2609" si="614">LEFT(A2608,2)</f>
        <v>4L</v>
      </c>
      <c r="F2608" s="99"/>
      <c r="I2608" s="99"/>
      <c r="L2608" s="99"/>
      <c r="M2608" s="44"/>
      <c r="N2608" s="100"/>
      <c r="O2608" s="101"/>
      <c r="P2608" s="52"/>
      <c r="Q2608" s="49"/>
      <c r="S2608" s="50"/>
      <c r="T2608" s="50"/>
      <c r="U2608" s="58"/>
      <c r="V2608" s="58"/>
      <c r="W2608" s="58"/>
      <c r="X2608" s="58"/>
      <c r="Y2608" s="52"/>
    </row>
    <row r="2609" spans="1:25" x14ac:dyDescent="0.25">
      <c r="A2609" s="1218" t="s">
        <v>127</v>
      </c>
      <c r="B2609" s="98">
        <v>45901</v>
      </c>
      <c r="C2609" s="117" t="str">
        <f t="shared" si="614"/>
        <v>4L</v>
      </c>
      <c r="F2609" s="99">
        <f t="shared" si="600"/>
        <v>0</v>
      </c>
      <c r="I2609" s="99">
        <f t="shared" si="599"/>
        <v>0</v>
      </c>
      <c r="L2609" s="99"/>
      <c r="M2609" s="44"/>
      <c r="N2609" s="100"/>
      <c r="O2609" s="101"/>
      <c r="P2609" s="52"/>
      <c r="Q2609" s="49"/>
      <c r="S2609" s="50"/>
      <c r="T2609" s="50"/>
      <c r="U2609" s="58"/>
      <c r="V2609" s="58"/>
      <c r="W2609" s="58"/>
      <c r="X2609" s="58"/>
      <c r="Y2609" s="52"/>
    </row>
    <row r="2610" spans="1:25" x14ac:dyDescent="0.25">
      <c r="A2610" s="1218" t="s">
        <v>128</v>
      </c>
      <c r="B2610" s="98">
        <v>45901</v>
      </c>
      <c r="C2610" s="117" t="str">
        <f t="shared" si="601"/>
        <v>4L</v>
      </c>
      <c r="F2610" s="99">
        <f t="shared" si="600"/>
        <v>0</v>
      </c>
      <c r="I2610" s="99">
        <f t="shared" si="599"/>
        <v>0</v>
      </c>
      <c r="L2610" s="99"/>
      <c r="M2610" s="44"/>
      <c r="N2610" s="100"/>
      <c r="O2610" s="101"/>
      <c r="P2610" s="52"/>
      <c r="Q2610" s="49"/>
      <c r="S2610" s="50"/>
      <c r="T2610" s="50"/>
      <c r="U2610" s="58"/>
      <c r="V2610" s="58"/>
      <c r="W2610" s="58"/>
      <c r="X2610" s="58"/>
      <c r="Y2610" s="52"/>
    </row>
    <row r="2611" spans="1:25" x14ac:dyDescent="0.25">
      <c r="A2611" s="1218" t="s">
        <v>129</v>
      </c>
      <c r="B2611" s="98">
        <v>45901</v>
      </c>
      <c r="C2611" s="117" t="str">
        <f t="shared" si="601"/>
        <v>4L</v>
      </c>
      <c r="F2611" s="99">
        <f t="shared" si="600"/>
        <v>0</v>
      </c>
      <c r="I2611" s="99">
        <f t="shared" si="599"/>
        <v>0</v>
      </c>
      <c r="L2611" s="99">
        <f t="shared" si="602"/>
        <v>0</v>
      </c>
      <c r="M2611" s="44" t="str">
        <f t="shared" si="604"/>
        <v/>
      </c>
      <c r="N2611" s="100">
        <f t="shared" si="605"/>
        <v>0</v>
      </c>
      <c r="O2611" s="101">
        <f t="shared" si="606"/>
        <v>0</v>
      </c>
      <c r="P2611" s="52">
        <f t="shared" si="607"/>
        <v>0</v>
      </c>
      <c r="Q2611" s="49">
        <v>116.88487613461319</v>
      </c>
      <c r="R2611">
        <v>2225</v>
      </c>
      <c r="S2611" s="50">
        <f t="shared" si="603"/>
        <v>71535.307499999995</v>
      </c>
      <c r="T2611" s="50">
        <f t="shared" si="608"/>
        <v>0</v>
      </c>
      <c r="U2611" s="58">
        <f t="shared" si="609"/>
        <v>0</v>
      </c>
      <c r="V2611" s="58">
        <f t="shared" si="610"/>
        <v>0</v>
      </c>
      <c r="W2611" s="58">
        <f t="shared" si="611"/>
        <v>0</v>
      </c>
      <c r="X2611" s="58">
        <f t="shared" si="612"/>
        <v>0</v>
      </c>
      <c r="Y2611" s="52">
        <f t="shared" si="613"/>
        <v>0</v>
      </c>
    </row>
    <row r="2612" spans="1:25" x14ac:dyDescent="0.25">
      <c r="A2612" s="1218" t="s">
        <v>130</v>
      </c>
      <c r="B2612" s="98">
        <v>45901</v>
      </c>
      <c r="C2612" s="117" t="str">
        <f t="shared" si="601"/>
        <v>5L</v>
      </c>
      <c r="F2612" s="99">
        <f t="shared" si="600"/>
        <v>0</v>
      </c>
      <c r="I2612" s="99">
        <f t="shared" si="599"/>
        <v>0</v>
      </c>
      <c r="L2612" s="99">
        <f t="shared" si="602"/>
        <v>0</v>
      </c>
      <c r="M2612" s="44" t="str">
        <f t="shared" si="604"/>
        <v/>
      </c>
      <c r="N2612" s="100">
        <f t="shared" si="605"/>
        <v>0</v>
      </c>
      <c r="O2612" s="101">
        <f t="shared" si="606"/>
        <v>0</v>
      </c>
      <c r="P2612" s="52">
        <f t="shared" si="607"/>
        <v>0</v>
      </c>
      <c r="Q2612" s="49">
        <v>116.88487613461319</v>
      </c>
      <c r="R2612">
        <v>2225</v>
      </c>
      <c r="S2612" s="50">
        <f t="shared" si="603"/>
        <v>71535.307499999995</v>
      </c>
      <c r="T2612" s="50">
        <f t="shared" si="608"/>
        <v>0</v>
      </c>
      <c r="U2612" s="58">
        <f t="shared" si="609"/>
        <v>0</v>
      </c>
      <c r="V2612" s="58">
        <f t="shared" si="610"/>
        <v>0</v>
      </c>
      <c r="W2612" s="58">
        <f t="shared" si="611"/>
        <v>0</v>
      </c>
      <c r="X2612" s="58">
        <f t="shared" si="612"/>
        <v>0</v>
      </c>
      <c r="Y2612" s="52">
        <f t="shared" si="613"/>
        <v>0</v>
      </c>
    </row>
    <row r="2613" spans="1:25" x14ac:dyDescent="0.25">
      <c r="A2613" s="1218" t="s">
        <v>131</v>
      </c>
      <c r="B2613" s="98">
        <v>45901</v>
      </c>
      <c r="C2613" s="117" t="str">
        <f t="shared" si="601"/>
        <v>5L</v>
      </c>
      <c r="F2613" s="99">
        <f t="shared" si="600"/>
        <v>0</v>
      </c>
      <c r="I2613" s="99">
        <f t="shared" si="599"/>
        <v>0</v>
      </c>
      <c r="L2613" s="99">
        <f t="shared" si="602"/>
        <v>0</v>
      </c>
      <c r="M2613" s="44" t="str">
        <f t="shared" si="604"/>
        <v/>
      </c>
      <c r="N2613" s="100">
        <f t="shared" si="605"/>
        <v>0</v>
      </c>
      <c r="O2613" s="101">
        <f t="shared" si="606"/>
        <v>0</v>
      </c>
      <c r="P2613" s="52">
        <f t="shared" si="607"/>
        <v>0</v>
      </c>
      <c r="Q2613" s="49">
        <v>116.88487613461319</v>
      </c>
      <c r="R2613">
        <v>2225</v>
      </c>
      <c r="S2613" s="50">
        <f t="shared" si="603"/>
        <v>71535.307499999995</v>
      </c>
      <c r="T2613" s="50">
        <f t="shared" si="608"/>
        <v>0</v>
      </c>
      <c r="U2613" s="58">
        <f t="shared" si="609"/>
        <v>0</v>
      </c>
      <c r="V2613" s="58">
        <f t="shared" si="610"/>
        <v>0</v>
      </c>
      <c r="W2613" s="58">
        <f t="shared" si="611"/>
        <v>0</v>
      </c>
      <c r="X2613" s="58">
        <f t="shared" si="612"/>
        <v>0</v>
      </c>
      <c r="Y2613" s="52">
        <f t="shared" si="613"/>
        <v>0</v>
      </c>
    </row>
    <row r="2614" spans="1:25" x14ac:dyDescent="0.25">
      <c r="A2614" s="1218" t="s">
        <v>132</v>
      </c>
      <c r="B2614" s="98">
        <v>45901</v>
      </c>
      <c r="C2614" s="117" t="str">
        <f t="shared" si="601"/>
        <v>5L</v>
      </c>
      <c r="F2614" s="99">
        <f t="shared" si="600"/>
        <v>0</v>
      </c>
      <c r="I2614" s="99">
        <f t="shared" si="599"/>
        <v>0</v>
      </c>
      <c r="L2614" s="99">
        <f t="shared" si="602"/>
        <v>0</v>
      </c>
      <c r="M2614" s="44" t="str">
        <f t="shared" si="604"/>
        <v/>
      </c>
      <c r="N2614" s="100">
        <f t="shared" si="605"/>
        <v>0</v>
      </c>
      <c r="O2614" s="101">
        <f t="shared" si="606"/>
        <v>0</v>
      </c>
      <c r="P2614" s="52">
        <f t="shared" si="607"/>
        <v>0</v>
      </c>
      <c r="Q2614" s="49">
        <v>116.88487613461319</v>
      </c>
      <c r="R2614">
        <v>2225</v>
      </c>
      <c r="S2614" s="50">
        <f t="shared" si="603"/>
        <v>71535.307499999995</v>
      </c>
      <c r="T2614" s="50">
        <f t="shared" si="608"/>
        <v>0</v>
      </c>
      <c r="U2614" s="58">
        <f t="shared" si="609"/>
        <v>0</v>
      </c>
      <c r="V2614" s="58">
        <f t="shared" si="610"/>
        <v>0</v>
      </c>
      <c r="W2614" s="58">
        <f t="shared" si="611"/>
        <v>0</v>
      </c>
      <c r="X2614" s="58">
        <f t="shared" si="612"/>
        <v>0</v>
      </c>
      <c r="Y2614" s="52">
        <f t="shared" si="613"/>
        <v>0</v>
      </c>
    </row>
    <row r="2615" spans="1:25" x14ac:dyDescent="0.25">
      <c r="A2615" s="1218" t="s">
        <v>133</v>
      </c>
      <c r="B2615" s="98">
        <v>45901</v>
      </c>
      <c r="C2615" s="117" t="str">
        <f t="shared" si="601"/>
        <v>5L</v>
      </c>
      <c r="F2615" s="99">
        <f t="shared" si="600"/>
        <v>0</v>
      </c>
      <c r="I2615" s="99">
        <f t="shared" si="599"/>
        <v>0</v>
      </c>
      <c r="L2615" s="99">
        <f t="shared" si="602"/>
        <v>0</v>
      </c>
      <c r="M2615" s="44" t="str">
        <f t="shared" si="604"/>
        <v/>
      </c>
      <c r="N2615" s="100">
        <f t="shared" si="605"/>
        <v>0</v>
      </c>
      <c r="O2615" s="101">
        <f t="shared" si="606"/>
        <v>0</v>
      </c>
      <c r="P2615" s="52">
        <f t="shared" si="607"/>
        <v>0</v>
      </c>
      <c r="Q2615" s="49">
        <v>116.88487613461319</v>
      </c>
      <c r="R2615">
        <v>2225</v>
      </c>
      <c r="S2615" s="50">
        <f t="shared" si="603"/>
        <v>71535.307499999995</v>
      </c>
      <c r="T2615" s="50">
        <f t="shared" si="608"/>
        <v>0</v>
      </c>
      <c r="U2615" s="58">
        <f t="shared" si="609"/>
        <v>0</v>
      </c>
      <c r="V2615" s="58">
        <f t="shared" si="610"/>
        <v>0</v>
      </c>
      <c r="W2615" s="58">
        <f t="shared" si="611"/>
        <v>0</v>
      </c>
      <c r="X2615" s="58">
        <f t="shared" si="612"/>
        <v>0</v>
      </c>
      <c r="Y2615" s="52">
        <f t="shared" si="613"/>
        <v>0</v>
      </c>
    </row>
    <row r="2616" spans="1:25" x14ac:dyDescent="0.25">
      <c r="A2616" s="1218" t="s">
        <v>134</v>
      </c>
      <c r="B2616" s="98">
        <v>45901</v>
      </c>
      <c r="C2616" s="117" t="str">
        <f t="shared" si="601"/>
        <v>5L</v>
      </c>
      <c r="F2616" s="99">
        <f t="shared" si="600"/>
        <v>0</v>
      </c>
      <c r="I2616" s="99">
        <f t="shared" si="599"/>
        <v>0</v>
      </c>
      <c r="L2616" s="99">
        <f t="shared" si="602"/>
        <v>0</v>
      </c>
      <c r="M2616" s="44" t="str">
        <f t="shared" si="604"/>
        <v/>
      </c>
      <c r="N2616" s="100">
        <f t="shared" si="605"/>
        <v>0</v>
      </c>
      <c r="O2616" s="101">
        <f t="shared" si="606"/>
        <v>0</v>
      </c>
      <c r="P2616" s="52">
        <f t="shared" si="607"/>
        <v>0</v>
      </c>
      <c r="Q2616" s="49">
        <v>116.88487613461319</v>
      </c>
      <c r="R2616">
        <v>2225</v>
      </c>
      <c r="S2616" s="50">
        <f t="shared" si="603"/>
        <v>71535.307499999995</v>
      </c>
      <c r="T2616" s="50">
        <f t="shared" si="608"/>
        <v>0</v>
      </c>
      <c r="U2616" s="58">
        <f t="shared" si="609"/>
        <v>0</v>
      </c>
      <c r="V2616" s="58">
        <f t="shared" si="610"/>
        <v>0</v>
      </c>
      <c r="W2616" s="58">
        <f t="shared" si="611"/>
        <v>0</v>
      </c>
      <c r="X2616" s="58">
        <f t="shared" si="612"/>
        <v>0</v>
      </c>
      <c r="Y2616" s="52">
        <f t="shared" si="613"/>
        <v>0</v>
      </c>
    </row>
    <row r="2617" spans="1:25" x14ac:dyDescent="0.25">
      <c r="A2617" s="1218" t="s">
        <v>135</v>
      </c>
      <c r="B2617" s="98">
        <v>45901</v>
      </c>
      <c r="C2617" s="117" t="str">
        <f t="shared" si="601"/>
        <v>5L</v>
      </c>
      <c r="F2617" s="99">
        <f t="shared" si="600"/>
        <v>0</v>
      </c>
      <c r="I2617" s="99">
        <f t="shared" si="599"/>
        <v>0</v>
      </c>
      <c r="L2617" s="99">
        <f t="shared" si="602"/>
        <v>0</v>
      </c>
      <c r="M2617" s="44" t="str">
        <f t="shared" si="604"/>
        <v/>
      </c>
      <c r="N2617" s="100">
        <f t="shared" si="605"/>
        <v>0</v>
      </c>
      <c r="O2617" s="101">
        <f t="shared" si="606"/>
        <v>0</v>
      </c>
      <c r="P2617" s="52">
        <f t="shared" si="607"/>
        <v>0</v>
      </c>
      <c r="Q2617" s="49">
        <v>116.88487613461319</v>
      </c>
      <c r="R2617">
        <v>2225</v>
      </c>
      <c r="S2617" s="50">
        <f t="shared" si="603"/>
        <v>71535.307499999995</v>
      </c>
      <c r="T2617" s="50">
        <f t="shared" si="608"/>
        <v>0</v>
      </c>
      <c r="U2617" s="58">
        <f t="shared" si="609"/>
        <v>0</v>
      </c>
      <c r="V2617" s="58">
        <f t="shared" si="610"/>
        <v>0</v>
      </c>
      <c r="W2617" s="58">
        <f t="shared" si="611"/>
        <v>0</v>
      </c>
      <c r="X2617" s="58">
        <f t="shared" si="612"/>
        <v>0</v>
      </c>
      <c r="Y2617" s="52">
        <f t="shared" si="613"/>
        <v>0</v>
      </c>
    </row>
    <row r="2618" spans="1:25" x14ac:dyDescent="0.25">
      <c r="A2618" s="1218" t="s">
        <v>136</v>
      </c>
      <c r="B2618" s="98">
        <v>45901</v>
      </c>
      <c r="C2618" s="117" t="str">
        <f t="shared" si="601"/>
        <v>5L</v>
      </c>
      <c r="F2618" s="99">
        <f t="shared" si="600"/>
        <v>0</v>
      </c>
      <c r="I2618" s="99">
        <f t="shared" si="599"/>
        <v>0</v>
      </c>
      <c r="L2618" s="99">
        <f t="shared" si="602"/>
        <v>0</v>
      </c>
      <c r="M2618" s="44" t="str">
        <f t="shared" si="604"/>
        <v/>
      </c>
      <c r="N2618" s="100">
        <f t="shared" si="605"/>
        <v>0</v>
      </c>
      <c r="O2618" s="101">
        <f t="shared" si="606"/>
        <v>0</v>
      </c>
      <c r="P2618" s="52">
        <f t="shared" si="607"/>
        <v>0</v>
      </c>
      <c r="Q2618" s="49">
        <v>116.88487613461319</v>
      </c>
      <c r="R2618">
        <v>2225</v>
      </c>
      <c r="S2618" s="50">
        <f t="shared" si="603"/>
        <v>71535.307499999995</v>
      </c>
      <c r="T2618" s="50">
        <f t="shared" si="608"/>
        <v>0</v>
      </c>
      <c r="U2618" s="58">
        <f t="shared" si="609"/>
        <v>0</v>
      </c>
      <c r="V2618" s="58">
        <f t="shared" si="610"/>
        <v>0</v>
      </c>
      <c r="W2618" s="58">
        <f t="shared" si="611"/>
        <v>0</v>
      </c>
      <c r="X2618" s="58">
        <f t="shared" si="612"/>
        <v>0</v>
      </c>
      <c r="Y2618" s="52">
        <f t="shared" si="613"/>
        <v>0</v>
      </c>
    </row>
    <row r="2619" spans="1:25" x14ac:dyDescent="0.25">
      <c r="A2619" s="1218" t="s">
        <v>137</v>
      </c>
      <c r="B2619" s="98">
        <v>45901</v>
      </c>
      <c r="C2619" s="117" t="str">
        <f t="shared" si="601"/>
        <v>5L</v>
      </c>
      <c r="F2619" s="99">
        <f t="shared" si="600"/>
        <v>0</v>
      </c>
      <c r="I2619" s="99">
        <f t="shared" si="599"/>
        <v>0</v>
      </c>
      <c r="L2619" s="99">
        <f t="shared" si="602"/>
        <v>0</v>
      </c>
      <c r="M2619" s="44" t="str">
        <f t="shared" si="604"/>
        <v/>
      </c>
      <c r="N2619" s="100">
        <f t="shared" si="605"/>
        <v>0</v>
      </c>
      <c r="O2619" s="101">
        <f t="shared" si="606"/>
        <v>0</v>
      </c>
      <c r="P2619" s="52">
        <f t="shared" si="607"/>
        <v>0</v>
      </c>
      <c r="Q2619" s="49">
        <v>116.88487613461319</v>
      </c>
      <c r="R2619">
        <v>2225</v>
      </c>
      <c r="S2619" s="50">
        <f t="shared" si="603"/>
        <v>71535.307499999995</v>
      </c>
      <c r="T2619" s="50">
        <f t="shared" si="608"/>
        <v>0</v>
      </c>
      <c r="U2619" s="58">
        <f t="shared" si="609"/>
        <v>0</v>
      </c>
      <c r="V2619" s="58">
        <f t="shared" si="610"/>
        <v>0</v>
      </c>
      <c r="W2619" s="58">
        <f t="shared" si="611"/>
        <v>0</v>
      </c>
      <c r="X2619" s="58">
        <f t="shared" si="612"/>
        <v>0</v>
      </c>
      <c r="Y2619" s="52">
        <f t="shared" si="613"/>
        <v>0</v>
      </c>
    </row>
    <row r="2620" spans="1:25" x14ac:dyDescent="0.25">
      <c r="A2620" s="1218" t="s">
        <v>138</v>
      </c>
      <c r="B2620" s="98">
        <v>45901</v>
      </c>
      <c r="C2620" s="117" t="str">
        <f t="shared" si="601"/>
        <v>5L</v>
      </c>
      <c r="F2620" s="99">
        <f t="shared" si="600"/>
        <v>0</v>
      </c>
      <c r="I2620" s="99">
        <f t="shared" si="599"/>
        <v>0</v>
      </c>
      <c r="L2620" s="99">
        <f t="shared" si="602"/>
        <v>0</v>
      </c>
      <c r="M2620" s="44" t="str">
        <f t="shared" si="604"/>
        <v/>
      </c>
      <c r="N2620" s="100">
        <f t="shared" si="605"/>
        <v>0</v>
      </c>
      <c r="O2620" s="101">
        <f t="shared" si="606"/>
        <v>0</v>
      </c>
      <c r="P2620" s="52">
        <f t="shared" si="607"/>
        <v>0</v>
      </c>
      <c r="Q2620" s="49">
        <v>116.88487613461319</v>
      </c>
      <c r="R2620">
        <v>2225</v>
      </c>
      <c r="S2620" s="50">
        <f t="shared" si="603"/>
        <v>71535.307499999995</v>
      </c>
      <c r="T2620" s="50">
        <f t="shared" si="608"/>
        <v>0</v>
      </c>
      <c r="U2620" s="58">
        <f t="shared" si="609"/>
        <v>0</v>
      </c>
      <c r="V2620" s="58">
        <f t="shared" si="610"/>
        <v>0</v>
      </c>
      <c r="W2620" s="58">
        <f t="shared" si="611"/>
        <v>0</v>
      </c>
      <c r="X2620" s="58">
        <f t="shared" si="612"/>
        <v>0</v>
      </c>
      <c r="Y2620" s="52">
        <f t="shared" si="613"/>
        <v>0</v>
      </c>
    </row>
    <row r="2621" spans="1:25" x14ac:dyDescent="0.25">
      <c r="A2621" s="1218" t="s">
        <v>139</v>
      </c>
      <c r="B2621" s="98">
        <v>45901</v>
      </c>
      <c r="C2621" s="117" t="str">
        <f t="shared" si="601"/>
        <v>5L</v>
      </c>
      <c r="F2621" s="99">
        <f t="shared" si="600"/>
        <v>0</v>
      </c>
      <c r="I2621" s="99">
        <f t="shared" si="599"/>
        <v>0</v>
      </c>
      <c r="L2621" s="99">
        <f t="shared" si="602"/>
        <v>0</v>
      </c>
      <c r="M2621" s="44" t="str">
        <f t="shared" si="604"/>
        <v/>
      </c>
      <c r="N2621" s="100">
        <f t="shared" si="605"/>
        <v>0</v>
      </c>
      <c r="O2621" s="101">
        <f t="shared" si="606"/>
        <v>0</v>
      </c>
      <c r="P2621" s="52">
        <f t="shared" si="607"/>
        <v>0</v>
      </c>
      <c r="Q2621" s="49">
        <v>116.88487613461319</v>
      </c>
      <c r="R2621">
        <v>2225</v>
      </c>
      <c r="S2621" s="50">
        <f t="shared" si="603"/>
        <v>71535.307499999995</v>
      </c>
      <c r="T2621" s="50">
        <f t="shared" si="608"/>
        <v>0</v>
      </c>
      <c r="U2621" s="58">
        <f t="shared" si="609"/>
        <v>0</v>
      </c>
      <c r="V2621" s="58">
        <f t="shared" si="610"/>
        <v>0</v>
      </c>
      <c r="W2621" s="58">
        <f t="shared" si="611"/>
        <v>0</v>
      </c>
      <c r="X2621" s="58">
        <f t="shared" si="612"/>
        <v>0</v>
      </c>
      <c r="Y2621" s="52">
        <f t="shared" si="613"/>
        <v>0</v>
      </c>
    </row>
    <row r="2622" spans="1:25" x14ac:dyDescent="0.25">
      <c r="A2622" s="1218" t="s">
        <v>140</v>
      </c>
      <c r="B2622" s="98">
        <v>45901</v>
      </c>
      <c r="C2622" s="117" t="str">
        <f t="shared" si="601"/>
        <v>5L</v>
      </c>
      <c r="F2622" s="99">
        <f t="shared" si="600"/>
        <v>0</v>
      </c>
      <c r="I2622" s="99">
        <f t="shared" si="599"/>
        <v>0</v>
      </c>
      <c r="L2622" s="99">
        <f t="shared" si="602"/>
        <v>0</v>
      </c>
      <c r="M2622" s="44" t="str">
        <f t="shared" si="604"/>
        <v/>
      </c>
      <c r="N2622" s="100">
        <f t="shared" si="605"/>
        <v>0</v>
      </c>
      <c r="O2622" s="101">
        <f t="shared" si="606"/>
        <v>0</v>
      </c>
      <c r="P2622" s="52">
        <f t="shared" si="607"/>
        <v>0</v>
      </c>
      <c r="Q2622" s="49">
        <v>116.88487613461319</v>
      </c>
      <c r="R2622">
        <v>2225</v>
      </c>
      <c r="S2622" s="50">
        <f t="shared" si="603"/>
        <v>71535.307499999995</v>
      </c>
      <c r="T2622" s="50">
        <f t="shared" si="608"/>
        <v>0</v>
      </c>
      <c r="U2622" s="58">
        <f t="shared" si="609"/>
        <v>0</v>
      </c>
      <c r="V2622" s="58">
        <f t="shared" si="610"/>
        <v>0</v>
      </c>
      <c r="W2622" s="58">
        <f t="shared" si="611"/>
        <v>0</v>
      </c>
      <c r="X2622" s="58">
        <f t="shared" si="612"/>
        <v>0</v>
      </c>
      <c r="Y2622" s="52">
        <f t="shared" si="613"/>
        <v>0</v>
      </c>
    </row>
    <row r="2623" spans="1:25" x14ac:dyDescent="0.25">
      <c r="A2623" s="1218" t="s">
        <v>141</v>
      </c>
      <c r="B2623" s="98">
        <v>45901</v>
      </c>
      <c r="C2623" s="117" t="str">
        <f t="shared" si="601"/>
        <v>5L</v>
      </c>
      <c r="F2623" s="99">
        <f t="shared" si="600"/>
        <v>0</v>
      </c>
      <c r="I2623" s="99">
        <f t="shared" si="599"/>
        <v>0</v>
      </c>
      <c r="L2623" s="99">
        <f t="shared" si="602"/>
        <v>0</v>
      </c>
      <c r="M2623" s="44" t="str">
        <f t="shared" si="604"/>
        <v/>
      </c>
      <c r="N2623" s="100">
        <f t="shared" si="605"/>
        <v>0</v>
      </c>
      <c r="O2623" s="101">
        <f t="shared" si="606"/>
        <v>0</v>
      </c>
      <c r="P2623" s="52">
        <f t="shared" si="607"/>
        <v>0</v>
      </c>
      <c r="Q2623" s="49">
        <v>116.88487613461319</v>
      </c>
      <c r="R2623">
        <v>2225</v>
      </c>
      <c r="S2623" s="50">
        <f t="shared" si="603"/>
        <v>71535.307499999995</v>
      </c>
      <c r="T2623" s="50">
        <f t="shared" si="608"/>
        <v>0</v>
      </c>
      <c r="U2623" s="58">
        <f t="shared" si="609"/>
        <v>0</v>
      </c>
      <c r="V2623" s="58">
        <f t="shared" si="610"/>
        <v>0</v>
      </c>
      <c r="W2623" s="58">
        <f t="shared" si="611"/>
        <v>0</v>
      </c>
      <c r="X2623" s="58">
        <f t="shared" si="612"/>
        <v>0</v>
      </c>
      <c r="Y2623" s="52">
        <f t="shared" si="613"/>
        <v>0</v>
      </c>
    </row>
    <row r="2624" spans="1:25" x14ac:dyDescent="0.25">
      <c r="A2624" s="1218" t="s">
        <v>142</v>
      </c>
      <c r="B2624" s="98">
        <v>45901</v>
      </c>
      <c r="C2624" s="117" t="str">
        <f t="shared" si="601"/>
        <v>5L</v>
      </c>
      <c r="F2624" s="99">
        <f t="shared" si="600"/>
        <v>0</v>
      </c>
      <c r="I2624" s="99">
        <f t="shared" si="599"/>
        <v>0</v>
      </c>
      <c r="L2624" s="99">
        <f t="shared" si="602"/>
        <v>0</v>
      </c>
      <c r="M2624" s="44" t="str">
        <f t="shared" si="604"/>
        <v/>
      </c>
      <c r="N2624" s="100">
        <f t="shared" si="605"/>
        <v>0</v>
      </c>
      <c r="O2624" s="101">
        <f t="shared" si="606"/>
        <v>0</v>
      </c>
      <c r="P2624" s="52">
        <f t="shared" si="607"/>
        <v>0</v>
      </c>
      <c r="Q2624" s="49">
        <v>116.88487613461319</v>
      </c>
      <c r="R2624">
        <v>2225</v>
      </c>
      <c r="S2624" s="50">
        <f t="shared" si="603"/>
        <v>71535.307499999995</v>
      </c>
      <c r="T2624" s="50">
        <f t="shared" si="608"/>
        <v>0</v>
      </c>
      <c r="U2624" s="58">
        <f t="shared" si="609"/>
        <v>0</v>
      </c>
      <c r="V2624" s="58">
        <f t="shared" si="610"/>
        <v>0</v>
      </c>
      <c r="W2624" s="58">
        <f t="shared" si="611"/>
        <v>0</v>
      </c>
      <c r="X2624" s="58">
        <f t="shared" si="612"/>
        <v>0</v>
      </c>
      <c r="Y2624" s="52">
        <f t="shared" si="613"/>
        <v>0</v>
      </c>
    </row>
    <row r="2625" spans="1:25" x14ac:dyDescent="0.25">
      <c r="A2625" s="1218" t="s">
        <v>143</v>
      </c>
      <c r="B2625" s="98">
        <v>45901</v>
      </c>
      <c r="C2625" s="117" t="str">
        <f t="shared" si="601"/>
        <v>5L</v>
      </c>
      <c r="F2625" s="99">
        <f t="shared" si="600"/>
        <v>0</v>
      </c>
      <c r="I2625" s="99">
        <f t="shared" si="599"/>
        <v>0</v>
      </c>
      <c r="L2625" s="99">
        <f t="shared" si="602"/>
        <v>0</v>
      </c>
      <c r="M2625" s="44" t="str">
        <f t="shared" si="604"/>
        <v/>
      </c>
      <c r="N2625" s="100">
        <f t="shared" si="605"/>
        <v>0</v>
      </c>
      <c r="O2625" s="101">
        <f t="shared" si="606"/>
        <v>0</v>
      </c>
      <c r="P2625" s="52">
        <f t="shared" si="607"/>
        <v>0</v>
      </c>
      <c r="Q2625" s="49">
        <v>116.88487613461319</v>
      </c>
      <c r="R2625">
        <v>2225</v>
      </c>
      <c r="S2625" s="50">
        <f t="shared" si="603"/>
        <v>71535.307499999995</v>
      </c>
      <c r="T2625" s="50">
        <f t="shared" si="608"/>
        <v>0</v>
      </c>
      <c r="U2625" s="58">
        <f t="shared" si="609"/>
        <v>0</v>
      </c>
      <c r="V2625" s="58">
        <f t="shared" si="610"/>
        <v>0</v>
      </c>
      <c r="W2625" s="58">
        <f t="shared" si="611"/>
        <v>0</v>
      </c>
      <c r="X2625" s="58">
        <f t="shared" si="612"/>
        <v>0</v>
      </c>
      <c r="Y2625" s="52">
        <f t="shared" si="613"/>
        <v>0</v>
      </c>
    </row>
    <row r="2626" spans="1:25" x14ac:dyDescent="0.25">
      <c r="A2626" s="1218" t="s">
        <v>144</v>
      </c>
      <c r="B2626" s="98">
        <v>45901</v>
      </c>
      <c r="C2626" s="117" t="str">
        <f t="shared" si="601"/>
        <v>5L</v>
      </c>
      <c r="F2626" s="99">
        <f t="shared" si="600"/>
        <v>0</v>
      </c>
      <c r="I2626" s="99">
        <f t="shared" si="599"/>
        <v>0</v>
      </c>
      <c r="L2626" s="99">
        <f t="shared" si="602"/>
        <v>0</v>
      </c>
      <c r="M2626" s="44" t="str">
        <f t="shared" si="604"/>
        <v/>
      </c>
      <c r="N2626" s="100">
        <f t="shared" si="605"/>
        <v>0</v>
      </c>
      <c r="O2626" s="101">
        <f t="shared" si="606"/>
        <v>0</v>
      </c>
      <c r="P2626" s="52">
        <f t="shared" si="607"/>
        <v>0</v>
      </c>
      <c r="Q2626" s="49">
        <v>116.88487613461319</v>
      </c>
      <c r="R2626">
        <v>2225</v>
      </c>
      <c r="S2626" s="50">
        <f t="shared" si="603"/>
        <v>71535.307499999995</v>
      </c>
      <c r="T2626" s="50">
        <f t="shared" si="608"/>
        <v>0</v>
      </c>
      <c r="U2626" s="58">
        <f t="shared" si="609"/>
        <v>0</v>
      </c>
      <c r="V2626" s="58">
        <f t="shared" si="610"/>
        <v>0</v>
      </c>
      <c r="W2626" s="58">
        <f t="shared" si="611"/>
        <v>0</v>
      </c>
      <c r="X2626" s="58">
        <f t="shared" si="612"/>
        <v>0</v>
      </c>
      <c r="Y2626" s="52">
        <f t="shared" si="613"/>
        <v>0</v>
      </c>
    </row>
    <row r="2627" spans="1:25" x14ac:dyDescent="0.25">
      <c r="A2627" s="1218" t="s">
        <v>145</v>
      </c>
      <c r="B2627" s="98">
        <v>45901</v>
      </c>
      <c r="C2627" s="117" t="str">
        <f t="shared" si="601"/>
        <v>5L</v>
      </c>
      <c r="F2627" s="99">
        <f t="shared" si="600"/>
        <v>0</v>
      </c>
      <c r="I2627" s="99">
        <f t="shared" ref="I2627:I2690" si="615">IFERROR(G2627*H2627/1000,"")</f>
        <v>0</v>
      </c>
      <c r="L2627" s="99">
        <f t="shared" si="602"/>
        <v>0</v>
      </c>
      <c r="M2627" s="44" t="str">
        <f t="shared" si="604"/>
        <v/>
      </c>
      <c r="N2627" s="100">
        <f t="shared" si="605"/>
        <v>0</v>
      </c>
      <c r="O2627" s="101">
        <f t="shared" si="606"/>
        <v>0</v>
      </c>
      <c r="P2627" s="52">
        <f t="shared" si="607"/>
        <v>0</v>
      </c>
      <c r="Q2627" s="49">
        <v>116.88487613461319</v>
      </c>
      <c r="R2627">
        <v>2225</v>
      </c>
      <c r="S2627" s="50">
        <f t="shared" si="603"/>
        <v>71535.307499999995</v>
      </c>
      <c r="T2627" s="50">
        <f t="shared" si="608"/>
        <v>0</v>
      </c>
      <c r="U2627" s="58">
        <f t="shared" si="609"/>
        <v>0</v>
      </c>
      <c r="V2627" s="58">
        <f t="shared" si="610"/>
        <v>0</v>
      </c>
      <c r="W2627" s="58">
        <f t="shared" si="611"/>
        <v>0</v>
      </c>
      <c r="X2627" s="58">
        <f t="shared" si="612"/>
        <v>0</v>
      </c>
      <c r="Y2627" s="52">
        <f t="shared" si="613"/>
        <v>0</v>
      </c>
    </row>
    <row r="2628" spans="1:25" x14ac:dyDescent="0.25">
      <c r="A2628" s="1218" t="s">
        <v>146</v>
      </c>
      <c r="B2628" s="98">
        <v>45901</v>
      </c>
      <c r="C2628" s="117" t="str">
        <f t="shared" si="601"/>
        <v>5L</v>
      </c>
      <c r="F2628" s="99">
        <f t="shared" si="600"/>
        <v>0</v>
      </c>
      <c r="I2628" s="99">
        <f t="shared" si="615"/>
        <v>0</v>
      </c>
      <c r="L2628" s="99">
        <f t="shared" si="602"/>
        <v>0</v>
      </c>
      <c r="M2628" s="44" t="str">
        <f t="shared" si="604"/>
        <v/>
      </c>
      <c r="N2628" s="100">
        <f t="shared" si="605"/>
        <v>0</v>
      </c>
      <c r="O2628" s="101">
        <f t="shared" si="606"/>
        <v>0</v>
      </c>
      <c r="P2628" s="52">
        <f t="shared" si="607"/>
        <v>0</v>
      </c>
      <c r="Q2628" s="49">
        <v>116.88487613461319</v>
      </c>
      <c r="R2628">
        <v>2225</v>
      </c>
      <c r="S2628" s="50">
        <f t="shared" si="603"/>
        <v>71535.307499999995</v>
      </c>
      <c r="T2628" s="50">
        <f t="shared" si="608"/>
        <v>0</v>
      </c>
      <c r="U2628" s="58">
        <f t="shared" si="609"/>
        <v>0</v>
      </c>
      <c r="V2628" s="58">
        <f t="shared" si="610"/>
        <v>0</v>
      </c>
      <c r="W2628" s="58">
        <f t="shared" si="611"/>
        <v>0</v>
      </c>
      <c r="X2628" s="58">
        <f t="shared" si="612"/>
        <v>0</v>
      </c>
      <c r="Y2628" s="52">
        <f t="shared" si="613"/>
        <v>0</v>
      </c>
    </row>
    <row r="2629" spans="1:25" x14ac:dyDescent="0.25">
      <c r="A2629" s="1218" t="s">
        <v>147</v>
      </c>
      <c r="B2629" s="98">
        <v>45901</v>
      </c>
      <c r="C2629" s="117" t="str">
        <f t="shared" si="601"/>
        <v>5L</v>
      </c>
      <c r="F2629" s="99">
        <f t="shared" si="600"/>
        <v>0</v>
      </c>
      <c r="I2629" s="99">
        <f t="shared" si="615"/>
        <v>0</v>
      </c>
      <c r="L2629" s="99">
        <f t="shared" si="602"/>
        <v>0</v>
      </c>
      <c r="M2629" s="44" t="str">
        <f t="shared" si="604"/>
        <v/>
      </c>
      <c r="N2629" s="100">
        <f t="shared" si="605"/>
        <v>0</v>
      </c>
      <c r="O2629" s="101">
        <f t="shared" si="606"/>
        <v>0</v>
      </c>
      <c r="P2629" s="52">
        <f t="shared" si="607"/>
        <v>0</v>
      </c>
      <c r="Q2629" s="49">
        <v>116.88487613461319</v>
      </c>
      <c r="R2629">
        <v>2225</v>
      </c>
      <c r="S2629" s="50">
        <f t="shared" si="603"/>
        <v>71535.307499999995</v>
      </c>
      <c r="T2629" s="50">
        <f t="shared" si="608"/>
        <v>0</v>
      </c>
      <c r="U2629" s="58">
        <f t="shared" si="609"/>
        <v>0</v>
      </c>
      <c r="V2629" s="58">
        <f t="shared" si="610"/>
        <v>0</v>
      </c>
      <c r="W2629" s="58">
        <f t="shared" si="611"/>
        <v>0</v>
      </c>
      <c r="X2629" s="58">
        <f t="shared" si="612"/>
        <v>0</v>
      </c>
      <c r="Y2629" s="52">
        <f t="shared" si="613"/>
        <v>0</v>
      </c>
    </row>
    <row r="2630" spans="1:25" x14ac:dyDescent="0.25">
      <c r="A2630" s="1218" t="s">
        <v>148</v>
      </c>
      <c r="B2630" s="98">
        <v>45901</v>
      </c>
      <c r="C2630" s="117" t="str">
        <f t="shared" si="601"/>
        <v>5L</v>
      </c>
      <c r="D2630">
        <v>1469</v>
      </c>
      <c r="E2630">
        <v>3.23</v>
      </c>
      <c r="F2630" s="99">
        <f t="shared" si="600"/>
        <v>4.7448699999999997</v>
      </c>
      <c r="I2630" s="99">
        <f t="shared" si="615"/>
        <v>0</v>
      </c>
      <c r="L2630" s="99">
        <f t="shared" si="602"/>
        <v>0</v>
      </c>
      <c r="M2630" s="44" t="str">
        <f t="shared" si="604"/>
        <v/>
      </c>
      <c r="N2630" s="100">
        <f t="shared" si="605"/>
        <v>0</v>
      </c>
      <c r="O2630" s="101">
        <f t="shared" si="606"/>
        <v>0</v>
      </c>
      <c r="P2630" s="52">
        <f t="shared" si="607"/>
        <v>0</v>
      </c>
      <c r="Q2630" s="49">
        <v>116.88487613461319</v>
      </c>
      <c r="R2630">
        <v>2225</v>
      </c>
      <c r="S2630" s="50">
        <f t="shared" si="603"/>
        <v>71535.307499999995</v>
      </c>
      <c r="T2630" s="50">
        <f t="shared" si="608"/>
        <v>0</v>
      </c>
      <c r="U2630" s="58">
        <f t="shared" si="609"/>
        <v>0</v>
      </c>
      <c r="V2630" s="58">
        <f t="shared" si="610"/>
        <v>0</v>
      </c>
      <c r="W2630" s="58">
        <f t="shared" si="611"/>
        <v>0</v>
      </c>
      <c r="X2630" s="58">
        <f t="shared" si="612"/>
        <v>0</v>
      </c>
      <c r="Y2630" s="52">
        <f t="shared" si="613"/>
        <v>0</v>
      </c>
    </row>
    <row r="2631" spans="1:25" x14ac:dyDescent="0.25">
      <c r="A2631" s="1218" t="s">
        <v>149</v>
      </c>
      <c r="B2631" s="98">
        <v>45901</v>
      </c>
      <c r="C2631" s="117" t="str">
        <f t="shared" si="601"/>
        <v>5L</v>
      </c>
      <c r="D2631">
        <v>1947</v>
      </c>
      <c r="E2631">
        <v>3.97</v>
      </c>
      <c r="F2631" s="99">
        <f t="shared" si="600"/>
        <v>7.72959</v>
      </c>
      <c r="I2631" s="99">
        <f t="shared" si="615"/>
        <v>0</v>
      </c>
      <c r="L2631" s="99">
        <f t="shared" si="602"/>
        <v>0</v>
      </c>
      <c r="M2631" s="44" t="str">
        <f t="shared" si="604"/>
        <v/>
      </c>
      <c r="N2631" s="100">
        <f t="shared" si="605"/>
        <v>0</v>
      </c>
      <c r="O2631" s="101">
        <f t="shared" si="606"/>
        <v>0</v>
      </c>
      <c r="P2631" s="52">
        <f t="shared" si="607"/>
        <v>0</v>
      </c>
      <c r="Q2631" s="49">
        <v>116.88487613461319</v>
      </c>
      <c r="R2631">
        <v>2225</v>
      </c>
      <c r="S2631" s="50">
        <f t="shared" si="603"/>
        <v>71535.307499999995</v>
      </c>
      <c r="T2631" s="50">
        <f t="shared" si="608"/>
        <v>0</v>
      </c>
      <c r="U2631" s="58">
        <f t="shared" si="609"/>
        <v>0</v>
      </c>
      <c r="V2631" s="58">
        <f t="shared" si="610"/>
        <v>0</v>
      </c>
      <c r="W2631" s="58">
        <f t="shared" si="611"/>
        <v>0</v>
      </c>
      <c r="X2631" s="58">
        <f t="shared" si="612"/>
        <v>0</v>
      </c>
      <c r="Y2631" s="52">
        <f t="shared" si="613"/>
        <v>0</v>
      </c>
    </row>
    <row r="2632" spans="1:25" x14ac:dyDescent="0.25">
      <c r="A2632" s="1218" t="s">
        <v>150</v>
      </c>
      <c r="B2632" s="98">
        <v>45901</v>
      </c>
      <c r="C2632" s="117" t="str">
        <f t="shared" si="601"/>
        <v>6L</v>
      </c>
      <c r="D2632">
        <v>2921</v>
      </c>
      <c r="E2632">
        <v>2.83</v>
      </c>
      <c r="F2632" s="99">
        <f t="shared" si="600"/>
        <v>8.2664299999999997</v>
      </c>
      <c r="I2632" s="99">
        <f t="shared" si="615"/>
        <v>0</v>
      </c>
      <c r="L2632" s="99">
        <f t="shared" si="602"/>
        <v>0</v>
      </c>
      <c r="M2632" s="44" t="str">
        <f t="shared" si="604"/>
        <v/>
      </c>
      <c r="N2632" s="100">
        <f t="shared" si="605"/>
        <v>0</v>
      </c>
      <c r="O2632" s="101">
        <f t="shared" si="606"/>
        <v>0</v>
      </c>
      <c r="P2632" s="52">
        <f t="shared" si="607"/>
        <v>0</v>
      </c>
      <c r="Q2632" s="49">
        <v>116.88487613461319</v>
      </c>
      <c r="R2632">
        <v>2225</v>
      </c>
      <c r="S2632" s="50">
        <f t="shared" si="603"/>
        <v>71535.307499999995</v>
      </c>
      <c r="T2632" s="50">
        <f t="shared" si="608"/>
        <v>0</v>
      </c>
      <c r="U2632" s="58">
        <f t="shared" si="609"/>
        <v>0</v>
      </c>
      <c r="V2632" s="58">
        <f t="shared" si="610"/>
        <v>0</v>
      </c>
      <c r="W2632" s="58">
        <f t="shared" si="611"/>
        <v>0</v>
      </c>
      <c r="X2632" s="58">
        <f t="shared" si="612"/>
        <v>0</v>
      </c>
      <c r="Y2632" s="52">
        <f t="shared" si="613"/>
        <v>0</v>
      </c>
    </row>
    <row r="2633" spans="1:25" x14ac:dyDescent="0.25">
      <c r="A2633" s="1218" t="s">
        <v>151</v>
      </c>
      <c r="B2633" s="98">
        <v>45901</v>
      </c>
      <c r="C2633" s="117" t="str">
        <f t="shared" si="601"/>
        <v>6L</v>
      </c>
      <c r="F2633" s="99">
        <f t="shared" si="600"/>
        <v>0</v>
      </c>
      <c r="I2633" s="99">
        <f t="shared" si="615"/>
        <v>0</v>
      </c>
      <c r="L2633" s="99">
        <f t="shared" si="602"/>
        <v>0</v>
      </c>
      <c r="M2633" s="44" t="str">
        <f t="shared" si="604"/>
        <v/>
      </c>
      <c r="N2633" s="100">
        <f t="shared" si="605"/>
        <v>0</v>
      </c>
      <c r="O2633" s="101">
        <f t="shared" si="606"/>
        <v>0</v>
      </c>
      <c r="P2633" s="52">
        <f t="shared" si="607"/>
        <v>0</v>
      </c>
      <c r="Q2633" s="49">
        <v>116.88487613461319</v>
      </c>
      <c r="R2633">
        <v>2225</v>
      </c>
      <c r="S2633" s="50">
        <f t="shared" si="603"/>
        <v>71535.307499999995</v>
      </c>
      <c r="T2633" s="50">
        <f t="shared" si="608"/>
        <v>0</v>
      </c>
      <c r="U2633" s="58">
        <f t="shared" si="609"/>
        <v>0</v>
      </c>
      <c r="V2633" s="58">
        <f t="shared" si="610"/>
        <v>0</v>
      </c>
      <c r="W2633" s="58">
        <f t="shared" si="611"/>
        <v>0</v>
      </c>
      <c r="X2633" s="58">
        <f t="shared" si="612"/>
        <v>0</v>
      </c>
      <c r="Y2633" s="52">
        <f t="shared" si="613"/>
        <v>0</v>
      </c>
    </row>
    <row r="2634" spans="1:25" x14ac:dyDescent="0.25">
      <c r="A2634" s="1218" t="s">
        <v>152</v>
      </c>
      <c r="B2634" s="98">
        <v>45901</v>
      </c>
      <c r="C2634" s="117" t="str">
        <f t="shared" si="601"/>
        <v>6L</v>
      </c>
      <c r="F2634" s="99">
        <f t="shared" si="600"/>
        <v>0</v>
      </c>
      <c r="I2634" s="99">
        <f t="shared" si="615"/>
        <v>0</v>
      </c>
      <c r="L2634" s="99"/>
      <c r="M2634" s="44"/>
      <c r="N2634" s="100"/>
      <c r="O2634" s="101"/>
      <c r="P2634" s="52"/>
      <c r="Q2634" s="49"/>
      <c r="S2634" s="50"/>
      <c r="T2634" s="50"/>
      <c r="U2634" s="58"/>
      <c r="V2634" s="58"/>
      <c r="W2634" s="58"/>
      <c r="X2634" s="58"/>
      <c r="Y2634" s="52"/>
    </row>
    <row r="2635" spans="1:25" x14ac:dyDescent="0.25">
      <c r="A2635" s="1218" t="s">
        <v>153</v>
      </c>
      <c r="B2635" s="98">
        <v>45901</v>
      </c>
      <c r="C2635" s="117" t="str">
        <f t="shared" si="601"/>
        <v>6L</v>
      </c>
      <c r="F2635" s="99">
        <f t="shared" si="600"/>
        <v>0</v>
      </c>
      <c r="I2635" s="99">
        <f t="shared" si="615"/>
        <v>0</v>
      </c>
      <c r="L2635" s="99"/>
      <c r="M2635" s="44"/>
      <c r="N2635" s="100"/>
      <c r="O2635" s="101"/>
      <c r="P2635" s="52"/>
      <c r="Q2635" s="49"/>
      <c r="S2635" s="50"/>
      <c r="T2635" s="50"/>
      <c r="U2635" s="58"/>
      <c r="V2635" s="58"/>
      <c r="W2635" s="58"/>
      <c r="X2635" s="58"/>
      <c r="Y2635" s="52"/>
    </row>
    <row r="2636" spans="1:25" x14ac:dyDescent="0.25">
      <c r="A2636" s="1218" t="s">
        <v>154</v>
      </c>
      <c r="B2636" s="98">
        <v>45901</v>
      </c>
      <c r="C2636" s="117" t="str">
        <f t="shared" si="601"/>
        <v>6L</v>
      </c>
      <c r="F2636" s="99">
        <f t="shared" si="600"/>
        <v>0</v>
      </c>
      <c r="I2636" s="99">
        <f t="shared" si="615"/>
        <v>0</v>
      </c>
      <c r="L2636" s="99"/>
      <c r="M2636" s="44"/>
      <c r="N2636" s="100"/>
      <c r="O2636" s="101"/>
      <c r="P2636" s="52"/>
      <c r="Q2636" s="49"/>
      <c r="S2636" s="50"/>
      <c r="T2636" s="50"/>
      <c r="U2636" s="58"/>
      <c r="V2636" s="58"/>
      <c r="W2636" s="58"/>
      <c r="X2636" s="58"/>
      <c r="Y2636" s="52"/>
    </row>
    <row r="2637" spans="1:25" x14ac:dyDescent="0.25">
      <c r="A2637" s="1218" t="s">
        <v>155</v>
      </c>
      <c r="B2637" s="98">
        <v>45901</v>
      </c>
      <c r="C2637" s="117" t="str">
        <f t="shared" si="601"/>
        <v>6L</v>
      </c>
      <c r="D2637">
        <v>2921</v>
      </c>
      <c r="E2637">
        <v>2.31</v>
      </c>
      <c r="F2637" s="99">
        <f t="shared" ref="F2637:F2700" si="616">IFERROR(D2637*E2637/1000,"")</f>
        <v>6.7475100000000001</v>
      </c>
      <c r="I2637" s="99">
        <f t="shared" si="615"/>
        <v>0</v>
      </c>
      <c r="L2637" s="99">
        <f t="shared" si="602"/>
        <v>0</v>
      </c>
      <c r="M2637" s="44" t="str">
        <f t="shared" si="604"/>
        <v/>
      </c>
      <c r="N2637" s="100">
        <f t="shared" si="605"/>
        <v>0</v>
      </c>
      <c r="O2637" s="101">
        <f t="shared" si="606"/>
        <v>0</v>
      </c>
      <c r="P2637" s="52">
        <f t="shared" si="607"/>
        <v>0</v>
      </c>
      <c r="Q2637" s="49">
        <v>116.88487613461319</v>
      </c>
      <c r="R2637">
        <v>2225</v>
      </c>
      <c r="S2637" s="50">
        <f t="shared" si="603"/>
        <v>71535.307499999995</v>
      </c>
      <c r="T2637" s="50">
        <f t="shared" si="608"/>
        <v>0</v>
      </c>
      <c r="U2637" s="58">
        <f t="shared" si="609"/>
        <v>0</v>
      </c>
      <c r="V2637" s="58">
        <f t="shared" si="610"/>
        <v>0</v>
      </c>
      <c r="W2637" s="58">
        <f t="shared" si="611"/>
        <v>0</v>
      </c>
      <c r="X2637" s="58">
        <f t="shared" si="612"/>
        <v>0</v>
      </c>
      <c r="Y2637" s="52">
        <f t="shared" si="613"/>
        <v>0</v>
      </c>
    </row>
    <row r="2638" spans="1:25" x14ac:dyDescent="0.25">
      <c r="A2638" s="1218" t="s">
        <v>156</v>
      </c>
      <c r="B2638" s="98">
        <v>45901</v>
      </c>
      <c r="C2638" s="117" t="str">
        <f t="shared" si="601"/>
        <v>6L</v>
      </c>
      <c r="F2638" s="99">
        <f t="shared" si="616"/>
        <v>0</v>
      </c>
      <c r="I2638" s="99">
        <f t="shared" si="615"/>
        <v>0</v>
      </c>
      <c r="L2638" s="99"/>
      <c r="M2638" s="44"/>
      <c r="N2638" s="100"/>
      <c r="O2638" s="101"/>
      <c r="P2638" s="52"/>
      <c r="Q2638" s="49"/>
      <c r="S2638" s="50"/>
      <c r="T2638" s="50"/>
      <c r="U2638" s="58"/>
      <c r="V2638" s="58"/>
      <c r="W2638" s="58"/>
      <c r="X2638" s="58"/>
      <c r="Y2638" s="52"/>
    </row>
    <row r="2639" spans="1:25" x14ac:dyDescent="0.25">
      <c r="A2639" s="1218" t="s">
        <v>157</v>
      </c>
      <c r="B2639" s="98">
        <v>45901</v>
      </c>
      <c r="C2639" s="117" t="str">
        <f t="shared" si="601"/>
        <v>6L</v>
      </c>
      <c r="F2639" s="99">
        <f t="shared" si="616"/>
        <v>0</v>
      </c>
      <c r="I2639" s="99">
        <f t="shared" si="615"/>
        <v>0</v>
      </c>
      <c r="L2639" s="99">
        <f t="shared" si="602"/>
        <v>0</v>
      </c>
      <c r="M2639" s="44" t="str">
        <f t="shared" si="604"/>
        <v/>
      </c>
      <c r="N2639" s="100">
        <f t="shared" si="605"/>
        <v>0</v>
      </c>
      <c r="O2639" s="101">
        <f t="shared" si="606"/>
        <v>0</v>
      </c>
      <c r="P2639" s="52">
        <f t="shared" si="607"/>
        <v>0</v>
      </c>
      <c r="Q2639" s="49">
        <v>116.88487613461319</v>
      </c>
      <c r="R2639">
        <v>2225</v>
      </c>
      <c r="S2639" s="50">
        <f t="shared" si="603"/>
        <v>71535.307499999995</v>
      </c>
      <c r="T2639" s="50">
        <f t="shared" si="608"/>
        <v>0</v>
      </c>
      <c r="U2639" s="58">
        <f t="shared" si="609"/>
        <v>0</v>
      </c>
      <c r="V2639" s="58">
        <f t="shared" si="610"/>
        <v>0</v>
      </c>
      <c r="W2639" s="58">
        <f t="shared" si="611"/>
        <v>0</v>
      </c>
      <c r="X2639" s="58">
        <f t="shared" si="612"/>
        <v>0</v>
      </c>
      <c r="Y2639" s="52">
        <f t="shared" si="613"/>
        <v>0</v>
      </c>
    </row>
    <row r="2640" spans="1:25" x14ac:dyDescent="0.25">
      <c r="A2640" s="1218" t="s">
        <v>158</v>
      </c>
      <c r="B2640" s="98">
        <v>45901</v>
      </c>
      <c r="C2640" s="117" t="str">
        <f t="shared" si="601"/>
        <v>6L</v>
      </c>
      <c r="F2640" s="99">
        <f t="shared" si="616"/>
        <v>0</v>
      </c>
      <c r="I2640" s="99">
        <f t="shared" si="615"/>
        <v>0</v>
      </c>
      <c r="L2640" s="99">
        <f t="shared" si="602"/>
        <v>0</v>
      </c>
      <c r="M2640" s="44" t="str">
        <f t="shared" si="604"/>
        <v/>
      </c>
      <c r="N2640" s="100">
        <f t="shared" si="605"/>
        <v>0</v>
      </c>
      <c r="O2640" s="101">
        <f t="shared" si="606"/>
        <v>0</v>
      </c>
      <c r="P2640" s="52">
        <f t="shared" si="607"/>
        <v>0</v>
      </c>
      <c r="Q2640" s="49">
        <v>116.88487613461319</v>
      </c>
      <c r="R2640">
        <v>2225</v>
      </c>
      <c r="S2640" s="50">
        <f t="shared" si="603"/>
        <v>71535.307499999995</v>
      </c>
      <c r="T2640" s="50">
        <f t="shared" si="608"/>
        <v>0</v>
      </c>
      <c r="U2640" s="58">
        <f t="shared" si="609"/>
        <v>0</v>
      </c>
      <c r="V2640" s="58">
        <f t="shared" si="610"/>
        <v>0</v>
      </c>
      <c r="W2640" s="58">
        <f t="shared" si="611"/>
        <v>0</v>
      </c>
      <c r="X2640" s="58">
        <f t="shared" si="612"/>
        <v>0</v>
      </c>
      <c r="Y2640" s="52">
        <f t="shared" si="613"/>
        <v>0</v>
      </c>
    </row>
    <row r="2641" spans="1:25" x14ac:dyDescent="0.25">
      <c r="A2641" s="1218" t="s">
        <v>159</v>
      </c>
      <c r="B2641" s="98">
        <v>45901</v>
      </c>
      <c r="C2641" s="117" t="str">
        <f t="shared" si="601"/>
        <v>6L</v>
      </c>
      <c r="F2641" s="99">
        <f t="shared" si="616"/>
        <v>0</v>
      </c>
      <c r="I2641" s="99">
        <f t="shared" si="615"/>
        <v>0</v>
      </c>
      <c r="L2641" s="99">
        <f t="shared" si="602"/>
        <v>0</v>
      </c>
      <c r="M2641" s="44" t="str">
        <f t="shared" si="604"/>
        <v/>
      </c>
      <c r="N2641" s="100">
        <f t="shared" si="605"/>
        <v>0</v>
      </c>
      <c r="O2641" s="101">
        <f t="shared" si="606"/>
        <v>0</v>
      </c>
      <c r="P2641" s="52">
        <f t="shared" si="607"/>
        <v>0</v>
      </c>
      <c r="Q2641" s="49">
        <v>116.88487613461319</v>
      </c>
      <c r="R2641">
        <v>2225</v>
      </c>
      <c r="S2641" s="50">
        <f t="shared" si="603"/>
        <v>71535.307499999995</v>
      </c>
      <c r="T2641" s="50">
        <f t="shared" si="608"/>
        <v>0</v>
      </c>
      <c r="U2641" s="58">
        <f t="shared" si="609"/>
        <v>0</v>
      </c>
      <c r="V2641" s="58">
        <f t="shared" si="610"/>
        <v>0</v>
      </c>
      <c r="W2641" s="58">
        <f t="shared" si="611"/>
        <v>0</v>
      </c>
      <c r="X2641" s="58">
        <f t="shared" si="612"/>
        <v>0</v>
      </c>
      <c r="Y2641" s="52">
        <f t="shared" si="613"/>
        <v>0</v>
      </c>
    </row>
    <row r="2642" spans="1:25" x14ac:dyDescent="0.25">
      <c r="A2642" s="1218" t="s">
        <v>160</v>
      </c>
      <c r="B2642" s="98">
        <v>45901</v>
      </c>
      <c r="C2642" s="117" t="str">
        <f t="shared" si="601"/>
        <v>6L</v>
      </c>
      <c r="F2642" s="99">
        <f t="shared" si="616"/>
        <v>0</v>
      </c>
      <c r="I2642" s="99">
        <f t="shared" si="615"/>
        <v>0</v>
      </c>
      <c r="L2642" s="99">
        <f t="shared" si="602"/>
        <v>0</v>
      </c>
      <c r="M2642" s="44" t="str">
        <f t="shared" si="604"/>
        <v/>
      </c>
      <c r="N2642" s="100">
        <f t="shared" si="605"/>
        <v>0</v>
      </c>
      <c r="O2642" s="101">
        <f t="shared" si="606"/>
        <v>0</v>
      </c>
      <c r="P2642" s="52">
        <f t="shared" si="607"/>
        <v>0</v>
      </c>
      <c r="Q2642" s="49">
        <v>116.88487613461319</v>
      </c>
      <c r="R2642">
        <v>2225</v>
      </c>
      <c r="S2642" s="50">
        <f t="shared" si="603"/>
        <v>71535.307499999995</v>
      </c>
      <c r="T2642" s="50">
        <f t="shared" si="608"/>
        <v>0</v>
      </c>
      <c r="U2642" s="58">
        <f t="shared" si="609"/>
        <v>0</v>
      </c>
      <c r="V2642" s="58">
        <f t="shared" si="610"/>
        <v>0</v>
      </c>
      <c r="W2642" s="58">
        <f t="shared" si="611"/>
        <v>0</v>
      </c>
      <c r="X2642" s="58">
        <f t="shared" si="612"/>
        <v>0</v>
      </c>
      <c r="Y2642" s="52">
        <f t="shared" si="613"/>
        <v>0</v>
      </c>
    </row>
    <row r="2643" spans="1:25" x14ac:dyDescent="0.25">
      <c r="A2643" s="1218" t="s">
        <v>161</v>
      </c>
      <c r="B2643" s="98">
        <v>45901</v>
      </c>
      <c r="C2643" s="117" t="str">
        <f t="shared" si="601"/>
        <v>6L</v>
      </c>
      <c r="F2643" s="99">
        <f t="shared" si="616"/>
        <v>0</v>
      </c>
      <c r="I2643" s="99">
        <f t="shared" si="615"/>
        <v>0</v>
      </c>
      <c r="L2643" s="99">
        <f t="shared" si="602"/>
        <v>0</v>
      </c>
      <c r="M2643" s="44" t="str">
        <f t="shared" si="604"/>
        <v/>
      </c>
      <c r="N2643" s="100">
        <f t="shared" si="605"/>
        <v>0</v>
      </c>
      <c r="O2643" s="101">
        <f t="shared" si="606"/>
        <v>0</v>
      </c>
      <c r="P2643" s="52">
        <f t="shared" si="607"/>
        <v>0</v>
      </c>
      <c r="Q2643" s="49">
        <v>116.88487613461319</v>
      </c>
      <c r="R2643">
        <v>2225</v>
      </c>
      <c r="S2643" s="50">
        <f t="shared" si="603"/>
        <v>71535.307499999995</v>
      </c>
      <c r="T2643" s="50">
        <f t="shared" si="608"/>
        <v>0</v>
      </c>
      <c r="U2643" s="58">
        <f t="shared" si="609"/>
        <v>0</v>
      </c>
      <c r="V2643" s="58">
        <f t="shared" si="610"/>
        <v>0</v>
      </c>
      <c r="W2643" s="58">
        <f t="shared" si="611"/>
        <v>0</v>
      </c>
      <c r="X2643" s="58">
        <f t="shared" si="612"/>
        <v>0</v>
      </c>
      <c r="Y2643" s="52">
        <f t="shared" si="613"/>
        <v>0</v>
      </c>
    </row>
    <row r="2644" spans="1:25" x14ac:dyDescent="0.25">
      <c r="A2644" s="1218" t="s">
        <v>162</v>
      </c>
      <c r="B2644" s="98">
        <v>45901</v>
      </c>
      <c r="C2644" s="117" t="str">
        <f t="shared" si="601"/>
        <v>6L</v>
      </c>
      <c r="F2644" s="99">
        <f t="shared" si="616"/>
        <v>0</v>
      </c>
      <c r="I2644" s="99">
        <f t="shared" si="615"/>
        <v>0</v>
      </c>
      <c r="L2644" s="99">
        <f t="shared" si="602"/>
        <v>0</v>
      </c>
      <c r="M2644" s="44" t="str">
        <f t="shared" si="604"/>
        <v/>
      </c>
      <c r="N2644" s="100">
        <f t="shared" si="605"/>
        <v>0</v>
      </c>
      <c r="O2644" s="101">
        <f t="shared" si="606"/>
        <v>0</v>
      </c>
      <c r="P2644" s="52">
        <f t="shared" si="607"/>
        <v>0</v>
      </c>
      <c r="Q2644" s="49">
        <v>116.88487613461319</v>
      </c>
      <c r="R2644">
        <v>2225</v>
      </c>
      <c r="S2644" s="50">
        <f t="shared" si="603"/>
        <v>71535.307499999995</v>
      </c>
      <c r="T2644" s="50">
        <f t="shared" si="608"/>
        <v>0</v>
      </c>
      <c r="U2644" s="58">
        <f t="shared" si="609"/>
        <v>0</v>
      </c>
      <c r="V2644" s="58">
        <f t="shared" si="610"/>
        <v>0</v>
      </c>
      <c r="W2644" s="58">
        <f t="shared" si="611"/>
        <v>0</v>
      </c>
      <c r="X2644" s="58">
        <f t="shared" si="612"/>
        <v>0</v>
      </c>
      <c r="Y2644" s="52">
        <f t="shared" si="613"/>
        <v>0</v>
      </c>
    </row>
    <row r="2645" spans="1:25" x14ac:dyDescent="0.25">
      <c r="A2645" s="1218" t="s">
        <v>163</v>
      </c>
      <c r="B2645" s="98">
        <v>45901</v>
      </c>
      <c r="C2645" s="117" t="str">
        <f t="shared" si="601"/>
        <v>6L</v>
      </c>
      <c r="F2645" s="99">
        <f t="shared" si="616"/>
        <v>0</v>
      </c>
      <c r="I2645" s="99">
        <f t="shared" si="615"/>
        <v>0</v>
      </c>
      <c r="L2645" s="99">
        <f t="shared" si="602"/>
        <v>0</v>
      </c>
      <c r="M2645" s="44" t="str">
        <f t="shared" si="604"/>
        <v/>
      </c>
      <c r="N2645" s="100">
        <f t="shared" si="605"/>
        <v>0</v>
      </c>
      <c r="O2645" s="101">
        <f t="shared" si="606"/>
        <v>0</v>
      </c>
      <c r="P2645" s="52">
        <f t="shared" si="607"/>
        <v>0</v>
      </c>
      <c r="Q2645" s="49">
        <v>116.88487613461319</v>
      </c>
      <c r="R2645">
        <v>2225</v>
      </c>
      <c r="S2645" s="50">
        <f t="shared" si="603"/>
        <v>71535.307499999995</v>
      </c>
      <c r="T2645" s="50">
        <f t="shared" si="608"/>
        <v>0</v>
      </c>
      <c r="U2645" s="58">
        <f t="shared" si="609"/>
        <v>0</v>
      </c>
      <c r="V2645" s="58">
        <f t="shared" si="610"/>
        <v>0</v>
      </c>
      <c r="W2645" s="58">
        <f t="shared" si="611"/>
        <v>0</v>
      </c>
      <c r="X2645" s="58">
        <f t="shared" si="612"/>
        <v>0</v>
      </c>
      <c r="Y2645" s="52">
        <f t="shared" si="613"/>
        <v>0</v>
      </c>
    </row>
    <row r="2646" spans="1:25" x14ac:dyDescent="0.25">
      <c r="A2646" s="1218" t="s">
        <v>164</v>
      </c>
      <c r="B2646" s="98">
        <v>45901</v>
      </c>
      <c r="C2646" s="117" t="str">
        <f t="shared" si="601"/>
        <v>6L</v>
      </c>
      <c r="F2646" s="99">
        <f t="shared" si="616"/>
        <v>0</v>
      </c>
      <c r="I2646" s="99">
        <f t="shared" si="615"/>
        <v>0</v>
      </c>
      <c r="L2646" s="99">
        <f t="shared" si="602"/>
        <v>0</v>
      </c>
      <c r="M2646" s="44" t="str">
        <f t="shared" si="604"/>
        <v/>
      </c>
      <c r="N2646" s="100">
        <f t="shared" si="605"/>
        <v>0</v>
      </c>
      <c r="O2646" s="101">
        <f t="shared" si="606"/>
        <v>0</v>
      </c>
      <c r="P2646" s="52">
        <f t="shared" si="607"/>
        <v>0</v>
      </c>
      <c r="Q2646" s="49">
        <v>116.88487613461319</v>
      </c>
      <c r="R2646">
        <v>2225</v>
      </c>
      <c r="S2646" s="50">
        <f t="shared" si="603"/>
        <v>71535.307499999995</v>
      </c>
      <c r="T2646" s="50">
        <f t="shared" si="608"/>
        <v>0</v>
      </c>
      <c r="U2646" s="58">
        <f t="shared" si="609"/>
        <v>0</v>
      </c>
      <c r="V2646" s="58">
        <f t="shared" si="610"/>
        <v>0</v>
      </c>
      <c r="W2646" s="58">
        <f t="shared" si="611"/>
        <v>0</v>
      </c>
      <c r="X2646" s="58">
        <f t="shared" si="612"/>
        <v>0</v>
      </c>
      <c r="Y2646" s="52">
        <f t="shared" si="613"/>
        <v>0</v>
      </c>
    </row>
    <row r="2647" spans="1:25" x14ac:dyDescent="0.25">
      <c r="A2647" s="1218" t="s">
        <v>165</v>
      </c>
      <c r="B2647" s="98">
        <v>45901</v>
      </c>
      <c r="C2647" s="117" t="str">
        <f t="shared" si="601"/>
        <v>6L</v>
      </c>
      <c r="F2647" s="99">
        <f t="shared" si="616"/>
        <v>0</v>
      </c>
      <c r="I2647" s="99">
        <f t="shared" si="615"/>
        <v>0</v>
      </c>
      <c r="L2647" s="99">
        <f t="shared" si="602"/>
        <v>0</v>
      </c>
      <c r="M2647" s="44" t="str">
        <f t="shared" si="604"/>
        <v/>
      </c>
      <c r="N2647" s="100">
        <f t="shared" si="605"/>
        <v>0</v>
      </c>
      <c r="O2647" s="101">
        <f t="shared" si="606"/>
        <v>0</v>
      </c>
      <c r="P2647" s="52">
        <f t="shared" si="607"/>
        <v>0</v>
      </c>
      <c r="Q2647" s="49">
        <v>116.88487613461319</v>
      </c>
      <c r="R2647">
        <v>2225</v>
      </c>
      <c r="S2647" s="50">
        <f t="shared" si="603"/>
        <v>71535.307499999995</v>
      </c>
      <c r="T2647" s="50">
        <f t="shared" si="608"/>
        <v>0</v>
      </c>
      <c r="U2647" s="58">
        <f t="shared" si="609"/>
        <v>0</v>
      </c>
      <c r="V2647" s="58">
        <f t="shared" si="610"/>
        <v>0</v>
      </c>
      <c r="W2647" s="58">
        <f t="shared" si="611"/>
        <v>0</v>
      </c>
      <c r="X2647" s="58">
        <f t="shared" si="612"/>
        <v>0</v>
      </c>
      <c r="Y2647" s="52">
        <f t="shared" si="613"/>
        <v>0</v>
      </c>
    </row>
    <row r="2648" spans="1:25" x14ac:dyDescent="0.25">
      <c r="A2648" s="1218" t="s">
        <v>166</v>
      </c>
      <c r="B2648" s="98">
        <v>45901</v>
      </c>
      <c r="C2648" s="117" t="str">
        <f t="shared" ref="C2648:C2711" si="617">LEFT(A2648,2)</f>
        <v>6L</v>
      </c>
      <c r="D2648">
        <v>233</v>
      </c>
      <c r="E2648">
        <v>3.2</v>
      </c>
      <c r="F2648" s="99">
        <f t="shared" si="616"/>
        <v>0.74560000000000004</v>
      </c>
      <c r="I2648" s="99">
        <f t="shared" si="615"/>
        <v>0</v>
      </c>
      <c r="L2648" s="99">
        <f t="shared" si="602"/>
        <v>0</v>
      </c>
      <c r="M2648" s="44" t="str">
        <f t="shared" si="604"/>
        <v/>
      </c>
      <c r="N2648" s="100">
        <f t="shared" si="605"/>
        <v>0</v>
      </c>
      <c r="O2648" s="101">
        <f t="shared" si="606"/>
        <v>0</v>
      </c>
      <c r="P2648" s="52">
        <f t="shared" si="607"/>
        <v>0</v>
      </c>
      <c r="Q2648" s="49">
        <v>116.88487613461319</v>
      </c>
      <c r="R2648">
        <v>2225</v>
      </c>
      <c r="S2648" s="50">
        <f t="shared" si="603"/>
        <v>71535.307499999995</v>
      </c>
      <c r="T2648" s="50">
        <f t="shared" si="608"/>
        <v>0</v>
      </c>
      <c r="U2648" s="58">
        <f t="shared" si="609"/>
        <v>0</v>
      </c>
      <c r="V2648" s="58">
        <f t="shared" si="610"/>
        <v>0</v>
      </c>
      <c r="W2648" s="58">
        <f t="shared" si="611"/>
        <v>0</v>
      </c>
      <c r="X2648" s="58">
        <f t="shared" si="612"/>
        <v>0</v>
      </c>
      <c r="Y2648" s="52">
        <f t="shared" si="613"/>
        <v>0</v>
      </c>
    </row>
    <row r="2649" spans="1:25" x14ac:dyDescent="0.25">
      <c r="A2649" s="1218" t="s">
        <v>167</v>
      </c>
      <c r="B2649" s="98">
        <v>45901</v>
      </c>
      <c r="C2649" s="117" t="str">
        <f t="shared" si="617"/>
        <v>6L</v>
      </c>
      <c r="F2649" s="99">
        <f t="shared" si="616"/>
        <v>0</v>
      </c>
      <c r="I2649" s="99">
        <f t="shared" si="615"/>
        <v>0</v>
      </c>
      <c r="L2649" s="99">
        <f t="shared" si="602"/>
        <v>0</v>
      </c>
      <c r="M2649" s="44" t="str">
        <f t="shared" si="604"/>
        <v/>
      </c>
      <c r="N2649" s="100">
        <f t="shared" si="605"/>
        <v>0</v>
      </c>
      <c r="O2649" s="101">
        <f t="shared" si="606"/>
        <v>0</v>
      </c>
      <c r="P2649" s="52">
        <f t="shared" si="607"/>
        <v>0</v>
      </c>
      <c r="Q2649" s="49">
        <v>116.88487613461319</v>
      </c>
      <c r="R2649">
        <v>2225</v>
      </c>
      <c r="S2649" s="50">
        <f t="shared" si="603"/>
        <v>71535.307499999995</v>
      </c>
      <c r="T2649" s="50">
        <f t="shared" si="608"/>
        <v>0</v>
      </c>
      <c r="U2649" s="58">
        <f t="shared" si="609"/>
        <v>0</v>
      </c>
      <c r="V2649" s="58">
        <f t="shared" si="610"/>
        <v>0</v>
      </c>
      <c r="W2649" s="58">
        <f t="shared" si="611"/>
        <v>0</v>
      </c>
      <c r="X2649" s="58">
        <f t="shared" si="612"/>
        <v>0</v>
      </c>
      <c r="Y2649" s="52">
        <f t="shared" si="613"/>
        <v>0</v>
      </c>
    </row>
    <row r="2650" spans="1:25" x14ac:dyDescent="0.25">
      <c r="A2650" s="1218" t="s">
        <v>168</v>
      </c>
      <c r="B2650" s="98">
        <v>45901</v>
      </c>
      <c r="C2650" s="117" t="str">
        <f t="shared" si="617"/>
        <v>6L</v>
      </c>
      <c r="F2650" s="99">
        <f t="shared" si="616"/>
        <v>0</v>
      </c>
      <c r="I2650" s="99">
        <f t="shared" si="615"/>
        <v>0</v>
      </c>
      <c r="L2650" s="99">
        <f t="shared" si="602"/>
        <v>0</v>
      </c>
      <c r="M2650" s="44" t="str">
        <f t="shared" si="604"/>
        <v/>
      </c>
      <c r="N2650" s="100">
        <f t="shared" si="605"/>
        <v>0</v>
      </c>
      <c r="O2650" s="101">
        <f t="shared" si="606"/>
        <v>0</v>
      </c>
      <c r="P2650" s="52">
        <f t="shared" si="607"/>
        <v>0</v>
      </c>
      <c r="Q2650" s="49">
        <v>116.88487613461319</v>
      </c>
      <c r="R2650">
        <v>2225</v>
      </c>
      <c r="S2650" s="50">
        <f t="shared" si="603"/>
        <v>71535.307499999995</v>
      </c>
      <c r="T2650" s="50">
        <f t="shared" si="608"/>
        <v>0</v>
      </c>
      <c r="U2650" s="58">
        <f t="shared" si="609"/>
        <v>0</v>
      </c>
      <c r="V2650" s="58">
        <f t="shared" si="610"/>
        <v>0</v>
      </c>
      <c r="W2650" s="58">
        <f t="shared" si="611"/>
        <v>0</v>
      </c>
      <c r="X2650" s="58">
        <f t="shared" si="612"/>
        <v>0</v>
      </c>
      <c r="Y2650" s="52">
        <f t="shared" si="613"/>
        <v>0</v>
      </c>
    </row>
    <row r="2651" spans="1:25" x14ac:dyDescent="0.25">
      <c r="A2651" s="1218" t="s">
        <v>169</v>
      </c>
      <c r="B2651" s="98">
        <v>45901</v>
      </c>
      <c r="C2651" s="117" t="str">
        <f t="shared" si="617"/>
        <v>6L</v>
      </c>
      <c r="F2651" s="99">
        <f t="shared" si="616"/>
        <v>0</v>
      </c>
      <c r="I2651" s="99">
        <f t="shared" si="615"/>
        <v>0</v>
      </c>
      <c r="L2651" s="99">
        <f t="shared" si="602"/>
        <v>0</v>
      </c>
      <c r="M2651" s="44" t="str">
        <f t="shared" si="604"/>
        <v/>
      </c>
      <c r="N2651" s="100">
        <f t="shared" si="605"/>
        <v>0</v>
      </c>
      <c r="O2651" s="101">
        <f t="shared" si="606"/>
        <v>0</v>
      </c>
      <c r="P2651" s="52">
        <f t="shared" si="607"/>
        <v>0</v>
      </c>
      <c r="Q2651" s="49">
        <v>116.88487613461319</v>
      </c>
      <c r="R2651">
        <v>2225</v>
      </c>
      <c r="S2651" s="50">
        <f t="shared" si="603"/>
        <v>71535.307499999995</v>
      </c>
      <c r="T2651" s="50">
        <f t="shared" si="608"/>
        <v>0</v>
      </c>
      <c r="U2651" s="58">
        <f t="shared" si="609"/>
        <v>0</v>
      </c>
      <c r="V2651" s="58">
        <f t="shared" si="610"/>
        <v>0</v>
      </c>
      <c r="W2651" s="58">
        <f t="shared" si="611"/>
        <v>0</v>
      </c>
      <c r="X2651" s="58">
        <f t="shared" si="612"/>
        <v>0</v>
      </c>
      <c r="Y2651" s="52">
        <f t="shared" si="613"/>
        <v>0</v>
      </c>
    </row>
    <row r="2652" spans="1:25" x14ac:dyDescent="0.25">
      <c r="A2652" s="1218" t="s">
        <v>170</v>
      </c>
      <c r="B2652" s="98">
        <v>45901</v>
      </c>
      <c r="C2652" s="117" t="str">
        <f t="shared" si="617"/>
        <v>6L</v>
      </c>
      <c r="D2652">
        <v>974</v>
      </c>
      <c r="E2652">
        <v>3.49</v>
      </c>
      <c r="F2652" s="99">
        <f t="shared" si="616"/>
        <v>3.3992600000000004</v>
      </c>
      <c r="I2652" s="99">
        <f t="shared" si="615"/>
        <v>0</v>
      </c>
      <c r="L2652" s="99">
        <f t="shared" si="602"/>
        <v>0</v>
      </c>
      <c r="M2652" s="44" t="str">
        <f t="shared" si="604"/>
        <v/>
      </c>
      <c r="N2652" s="100">
        <f t="shared" si="605"/>
        <v>0</v>
      </c>
      <c r="O2652" s="101">
        <f t="shared" si="606"/>
        <v>0</v>
      </c>
      <c r="P2652" s="52">
        <f t="shared" si="607"/>
        <v>0</v>
      </c>
      <c r="Q2652" s="49">
        <v>116.88487613461319</v>
      </c>
      <c r="R2652">
        <v>2225</v>
      </c>
      <c r="S2652" s="50">
        <f t="shared" si="603"/>
        <v>71535.307499999995</v>
      </c>
      <c r="T2652" s="50">
        <f t="shared" si="608"/>
        <v>0</v>
      </c>
      <c r="U2652" s="58">
        <f t="shared" si="609"/>
        <v>0</v>
      </c>
      <c r="V2652" s="58">
        <f t="shared" si="610"/>
        <v>0</v>
      </c>
      <c r="W2652" s="58">
        <f t="shared" si="611"/>
        <v>0</v>
      </c>
      <c r="X2652" s="58">
        <f t="shared" si="612"/>
        <v>0</v>
      </c>
      <c r="Y2652" s="52">
        <f t="shared" si="613"/>
        <v>0</v>
      </c>
    </row>
    <row r="2653" spans="1:25" x14ac:dyDescent="0.25">
      <c r="A2653" s="1218" t="s">
        <v>171</v>
      </c>
      <c r="B2653" s="98">
        <v>45901</v>
      </c>
      <c r="C2653" s="117" t="str">
        <f t="shared" si="617"/>
        <v>6L</v>
      </c>
      <c r="D2653">
        <v>509</v>
      </c>
      <c r="E2653">
        <v>1.03</v>
      </c>
      <c r="F2653" s="99">
        <f t="shared" si="616"/>
        <v>0.52427000000000001</v>
      </c>
      <c r="I2653" s="99">
        <f t="shared" si="615"/>
        <v>0</v>
      </c>
      <c r="L2653" s="99">
        <f t="shared" si="602"/>
        <v>0</v>
      </c>
      <c r="M2653" s="44" t="str">
        <f t="shared" si="604"/>
        <v/>
      </c>
      <c r="N2653" s="100">
        <f t="shared" si="605"/>
        <v>0</v>
      </c>
      <c r="O2653" s="101">
        <f t="shared" si="606"/>
        <v>0</v>
      </c>
      <c r="P2653" s="52">
        <f t="shared" si="607"/>
        <v>0</v>
      </c>
      <c r="Q2653" s="49">
        <v>116.88487613461319</v>
      </c>
      <c r="R2653">
        <v>2225</v>
      </c>
      <c r="S2653" s="50">
        <f t="shared" si="603"/>
        <v>71535.307499999995</v>
      </c>
      <c r="T2653" s="50">
        <f t="shared" si="608"/>
        <v>0</v>
      </c>
      <c r="U2653" s="58">
        <f t="shared" si="609"/>
        <v>0</v>
      </c>
      <c r="V2653" s="58">
        <f t="shared" si="610"/>
        <v>0</v>
      </c>
      <c r="W2653" s="58">
        <f t="shared" si="611"/>
        <v>0</v>
      </c>
      <c r="X2653" s="58">
        <f t="shared" si="612"/>
        <v>0</v>
      </c>
      <c r="Y2653" s="52">
        <f t="shared" si="613"/>
        <v>0</v>
      </c>
    </row>
    <row r="2654" spans="1:25" x14ac:dyDescent="0.25">
      <c r="A2654" s="1218" t="s">
        <v>172</v>
      </c>
      <c r="B2654" s="98">
        <v>45901</v>
      </c>
      <c r="C2654" s="117" t="str">
        <f t="shared" si="617"/>
        <v>6L</v>
      </c>
      <c r="D2654">
        <v>1947</v>
      </c>
      <c r="E2654">
        <v>2.4500000000000002</v>
      </c>
      <c r="F2654" s="99">
        <f t="shared" si="616"/>
        <v>4.7701500000000001</v>
      </c>
      <c r="I2654" s="99">
        <f t="shared" si="615"/>
        <v>0</v>
      </c>
      <c r="L2654" s="99">
        <f t="shared" si="602"/>
        <v>0</v>
      </c>
      <c r="M2654" s="44" t="str">
        <f t="shared" si="604"/>
        <v/>
      </c>
      <c r="N2654" s="100">
        <f t="shared" si="605"/>
        <v>0</v>
      </c>
      <c r="O2654" s="101">
        <f t="shared" si="606"/>
        <v>0</v>
      </c>
      <c r="P2654" s="52">
        <f t="shared" si="607"/>
        <v>0</v>
      </c>
      <c r="Q2654" s="49">
        <v>116.88487613461319</v>
      </c>
      <c r="R2654">
        <v>2225</v>
      </c>
      <c r="S2654" s="50">
        <f t="shared" si="603"/>
        <v>71535.307499999995</v>
      </c>
      <c r="T2654" s="50">
        <f t="shared" si="608"/>
        <v>0</v>
      </c>
      <c r="U2654" s="58">
        <f t="shared" si="609"/>
        <v>0</v>
      </c>
      <c r="V2654" s="58">
        <f t="shared" si="610"/>
        <v>0</v>
      </c>
      <c r="W2654" s="58">
        <f t="shared" si="611"/>
        <v>0</v>
      </c>
      <c r="X2654" s="58">
        <f t="shared" si="612"/>
        <v>0</v>
      </c>
      <c r="Y2654" s="52">
        <f t="shared" si="613"/>
        <v>0</v>
      </c>
    </row>
    <row r="2655" spans="1:25" x14ac:dyDescent="0.25">
      <c r="A2655" s="1218" t="s">
        <v>173</v>
      </c>
      <c r="B2655" s="98">
        <v>45901</v>
      </c>
      <c r="C2655" s="117" t="str">
        <f t="shared" si="617"/>
        <v>6L</v>
      </c>
      <c r="F2655" s="99">
        <f t="shared" si="616"/>
        <v>0</v>
      </c>
      <c r="I2655" s="99">
        <f t="shared" si="615"/>
        <v>0</v>
      </c>
      <c r="L2655" s="99">
        <f t="shared" si="602"/>
        <v>0</v>
      </c>
      <c r="M2655" s="44" t="str">
        <f t="shared" si="604"/>
        <v/>
      </c>
      <c r="N2655" s="100">
        <f t="shared" si="605"/>
        <v>0</v>
      </c>
      <c r="O2655" s="101">
        <f t="shared" si="606"/>
        <v>0</v>
      </c>
      <c r="P2655" s="52">
        <f t="shared" si="607"/>
        <v>0</v>
      </c>
      <c r="Q2655" s="49">
        <v>116.88487613461319</v>
      </c>
      <c r="R2655">
        <v>2225</v>
      </c>
      <c r="S2655" s="50">
        <f t="shared" si="603"/>
        <v>71535.307499999995</v>
      </c>
      <c r="T2655" s="50">
        <f t="shared" si="608"/>
        <v>0</v>
      </c>
      <c r="U2655" s="58">
        <f t="shared" si="609"/>
        <v>0</v>
      </c>
      <c r="V2655" s="58">
        <f t="shared" si="610"/>
        <v>0</v>
      </c>
      <c r="W2655" s="58">
        <f t="shared" si="611"/>
        <v>0</v>
      </c>
      <c r="X2655" s="58">
        <f t="shared" si="612"/>
        <v>0</v>
      </c>
      <c r="Y2655" s="52">
        <f t="shared" si="613"/>
        <v>0</v>
      </c>
    </row>
    <row r="2656" spans="1:25" x14ac:dyDescent="0.25">
      <c r="A2656" s="1218" t="s">
        <v>174</v>
      </c>
      <c r="B2656" s="98">
        <v>45901</v>
      </c>
      <c r="C2656" s="117" t="str">
        <f t="shared" si="617"/>
        <v>6L</v>
      </c>
      <c r="F2656" s="99">
        <f t="shared" si="616"/>
        <v>0</v>
      </c>
      <c r="I2656" s="99">
        <f t="shared" si="615"/>
        <v>0</v>
      </c>
      <c r="L2656" s="99">
        <f t="shared" si="602"/>
        <v>0</v>
      </c>
      <c r="M2656" s="44" t="str">
        <f t="shared" si="604"/>
        <v/>
      </c>
      <c r="N2656" s="100">
        <f t="shared" si="605"/>
        <v>0</v>
      </c>
      <c r="O2656" s="101">
        <f t="shared" si="606"/>
        <v>0</v>
      </c>
      <c r="P2656" s="52">
        <f t="shared" si="607"/>
        <v>0</v>
      </c>
      <c r="Q2656" s="49">
        <v>116.88487613461319</v>
      </c>
      <c r="R2656">
        <v>2225</v>
      </c>
      <c r="S2656" s="50">
        <f t="shared" si="603"/>
        <v>71535.307499999995</v>
      </c>
      <c r="T2656" s="50">
        <f t="shared" si="608"/>
        <v>0</v>
      </c>
      <c r="U2656" s="58">
        <f t="shared" si="609"/>
        <v>0</v>
      </c>
      <c r="V2656" s="58">
        <f t="shared" si="610"/>
        <v>0</v>
      </c>
      <c r="W2656" s="58">
        <f t="shared" si="611"/>
        <v>0</v>
      </c>
      <c r="X2656" s="58">
        <f t="shared" si="612"/>
        <v>0</v>
      </c>
      <c r="Y2656" s="52">
        <f t="shared" si="613"/>
        <v>0</v>
      </c>
    </row>
    <row r="2657" spans="1:25" x14ac:dyDescent="0.25">
      <c r="A2657" s="1218" t="s">
        <v>175</v>
      </c>
      <c r="B2657" s="98">
        <v>45901</v>
      </c>
      <c r="C2657" s="117" t="str">
        <f t="shared" si="617"/>
        <v>6L</v>
      </c>
      <c r="F2657" s="99">
        <f t="shared" si="616"/>
        <v>0</v>
      </c>
      <c r="I2657" s="99">
        <f t="shared" si="615"/>
        <v>0</v>
      </c>
      <c r="L2657" s="99">
        <f t="shared" si="602"/>
        <v>0</v>
      </c>
      <c r="M2657" s="44" t="str">
        <f t="shared" si="604"/>
        <v/>
      </c>
      <c r="N2657" s="100">
        <f t="shared" si="605"/>
        <v>0</v>
      </c>
      <c r="O2657" s="101">
        <f t="shared" si="606"/>
        <v>0</v>
      </c>
      <c r="P2657" s="52">
        <f t="shared" si="607"/>
        <v>0</v>
      </c>
      <c r="Q2657" s="49">
        <v>116.88487613461319</v>
      </c>
      <c r="R2657">
        <v>2225</v>
      </c>
      <c r="S2657" s="50">
        <f t="shared" si="603"/>
        <v>71535.307499999995</v>
      </c>
      <c r="T2657" s="50">
        <f t="shared" si="608"/>
        <v>0</v>
      </c>
      <c r="U2657" s="58">
        <f t="shared" si="609"/>
        <v>0</v>
      </c>
      <c r="V2657" s="58">
        <f t="shared" si="610"/>
        <v>0</v>
      </c>
      <c r="W2657" s="58">
        <f t="shared" si="611"/>
        <v>0</v>
      </c>
      <c r="X2657" s="58">
        <f t="shared" si="612"/>
        <v>0</v>
      </c>
      <c r="Y2657" s="52">
        <f t="shared" si="613"/>
        <v>0</v>
      </c>
    </row>
    <row r="2658" spans="1:25" x14ac:dyDescent="0.25">
      <c r="A2658" s="1218" t="s">
        <v>176</v>
      </c>
      <c r="B2658" s="98">
        <v>45901</v>
      </c>
      <c r="C2658" s="117" t="str">
        <f t="shared" si="617"/>
        <v>6L</v>
      </c>
      <c r="F2658" s="99">
        <f t="shared" si="616"/>
        <v>0</v>
      </c>
      <c r="I2658" s="99">
        <f t="shared" si="615"/>
        <v>0</v>
      </c>
      <c r="L2658" s="99">
        <f t="shared" si="602"/>
        <v>0</v>
      </c>
      <c r="M2658" s="44" t="str">
        <f t="shared" si="604"/>
        <v/>
      </c>
      <c r="N2658" s="100">
        <f t="shared" si="605"/>
        <v>0</v>
      </c>
      <c r="O2658" s="101">
        <f t="shared" si="606"/>
        <v>0</v>
      </c>
      <c r="P2658" s="52">
        <f t="shared" si="607"/>
        <v>0</v>
      </c>
      <c r="Q2658" s="49">
        <v>116.88487613461319</v>
      </c>
      <c r="R2658">
        <v>2225</v>
      </c>
      <c r="S2658" s="50">
        <f t="shared" si="603"/>
        <v>71535.307499999995</v>
      </c>
      <c r="T2658" s="50">
        <f t="shared" si="608"/>
        <v>0</v>
      </c>
      <c r="U2658" s="58">
        <f t="shared" si="609"/>
        <v>0</v>
      </c>
      <c r="V2658" s="58">
        <f t="shared" si="610"/>
        <v>0</v>
      </c>
      <c r="W2658" s="58">
        <f t="shared" si="611"/>
        <v>0</v>
      </c>
      <c r="X2658" s="58">
        <f t="shared" si="612"/>
        <v>0</v>
      </c>
      <c r="Y2658" s="52">
        <f t="shared" si="613"/>
        <v>0</v>
      </c>
    </row>
    <row r="2659" spans="1:25" x14ac:dyDescent="0.25">
      <c r="A2659" s="1218" t="s">
        <v>177</v>
      </c>
      <c r="B2659" s="98">
        <v>45901</v>
      </c>
      <c r="C2659" s="117" t="str">
        <f t="shared" si="617"/>
        <v>6L</v>
      </c>
      <c r="D2659" s="118">
        <v>974</v>
      </c>
      <c r="E2659">
        <v>1.55</v>
      </c>
      <c r="F2659" s="99">
        <f t="shared" si="616"/>
        <v>1.5097</v>
      </c>
      <c r="I2659" s="99">
        <f t="shared" si="615"/>
        <v>0</v>
      </c>
      <c r="L2659" s="99">
        <f t="shared" si="602"/>
        <v>0</v>
      </c>
      <c r="M2659" s="44" t="str">
        <f t="shared" si="604"/>
        <v/>
      </c>
      <c r="N2659" s="100">
        <f t="shared" si="605"/>
        <v>0</v>
      </c>
      <c r="O2659" s="101">
        <f t="shared" si="606"/>
        <v>0</v>
      </c>
      <c r="P2659" s="52">
        <f t="shared" si="607"/>
        <v>0</v>
      </c>
      <c r="Q2659" s="49">
        <v>116.88487613461319</v>
      </c>
      <c r="R2659">
        <v>2225</v>
      </c>
      <c r="S2659" s="50">
        <f t="shared" si="603"/>
        <v>71535.307499999995</v>
      </c>
      <c r="T2659" s="50">
        <f t="shared" si="608"/>
        <v>0</v>
      </c>
      <c r="U2659" s="58">
        <f t="shared" si="609"/>
        <v>0</v>
      </c>
      <c r="V2659" s="58">
        <f t="shared" si="610"/>
        <v>0</v>
      </c>
      <c r="W2659" s="58">
        <f t="shared" si="611"/>
        <v>0</v>
      </c>
      <c r="X2659" s="58">
        <f t="shared" si="612"/>
        <v>0</v>
      </c>
      <c r="Y2659" s="52">
        <f t="shared" si="613"/>
        <v>0</v>
      </c>
    </row>
    <row r="2660" spans="1:25" x14ac:dyDescent="0.25">
      <c r="A2660" s="1218" t="s">
        <v>178</v>
      </c>
      <c r="B2660" s="98">
        <v>45901</v>
      </c>
      <c r="C2660" s="117" t="str">
        <f t="shared" si="617"/>
        <v>7L</v>
      </c>
      <c r="F2660" s="99">
        <f t="shared" si="616"/>
        <v>0</v>
      </c>
      <c r="I2660" s="99">
        <f t="shared" si="615"/>
        <v>0</v>
      </c>
      <c r="L2660" s="99">
        <f t="shared" si="602"/>
        <v>0</v>
      </c>
      <c r="M2660" s="44" t="str">
        <f t="shared" si="604"/>
        <v/>
      </c>
      <c r="N2660" s="100">
        <f t="shared" si="605"/>
        <v>0</v>
      </c>
      <c r="O2660" s="101">
        <f t="shared" si="606"/>
        <v>0</v>
      </c>
      <c r="P2660" s="52">
        <f t="shared" si="607"/>
        <v>0</v>
      </c>
      <c r="Q2660" s="49">
        <v>116.88487613461319</v>
      </c>
      <c r="R2660">
        <v>2225</v>
      </c>
      <c r="S2660" s="50">
        <f t="shared" si="603"/>
        <v>71535.307499999995</v>
      </c>
      <c r="T2660" s="50">
        <f t="shared" si="608"/>
        <v>0</v>
      </c>
      <c r="U2660" s="58">
        <f t="shared" si="609"/>
        <v>0</v>
      </c>
      <c r="V2660" s="58">
        <f t="shared" si="610"/>
        <v>0</v>
      </c>
      <c r="W2660" s="58">
        <f t="shared" si="611"/>
        <v>0</v>
      </c>
      <c r="X2660" s="58">
        <f t="shared" si="612"/>
        <v>0</v>
      </c>
      <c r="Y2660" s="52">
        <f t="shared" si="613"/>
        <v>0</v>
      </c>
    </row>
    <row r="2661" spans="1:25" x14ac:dyDescent="0.25">
      <c r="A2661" s="1218" t="s">
        <v>179</v>
      </c>
      <c r="B2661" s="98">
        <v>45901</v>
      </c>
      <c r="C2661" s="117" t="str">
        <f t="shared" si="617"/>
        <v>7L</v>
      </c>
      <c r="F2661" s="99">
        <f t="shared" si="616"/>
        <v>0</v>
      </c>
      <c r="I2661" s="99">
        <f t="shared" si="615"/>
        <v>0</v>
      </c>
      <c r="L2661" s="99">
        <f t="shared" si="602"/>
        <v>0</v>
      </c>
      <c r="M2661" s="44" t="str">
        <f t="shared" si="604"/>
        <v/>
      </c>
      <c r="N2661" s="100">
        <f t="shared" si="605"/>
        <v>0</v>
      </c>
      <c r="O2661" s="101">
        <f t="shared" si="606"/>
        <v>0</v>
      </c>
      <c r="P2661" s="52">
        <f t="shared" si="607"/>
        <v>0</v>
      </c>
      <c r="Q2661" s="49">
        <v>116.88487613461319</v>
      </c>
      <c r="R2661">
        <v>2225</v>
      </c>
      <c r="S2661" s="50">
        <f t="shared" si="603"/>
        <v>71535.307499999995</v>
      </c>
      <c r="T2661" s="50">
        <f t="shared" si="608"/>
        <v>0</v>
      </c>
      <c r="U2661" s="58">
        <f t="shared" si="609"/>
        <v>0</v>
      </c>
      <c r="V2661" s="58">
        <f t="shared" si="610"/>
        <v>0</v>
      </c>
      <c r="W2661" s="58">
        <f t="shared" si="611"/>
        <v>0</v>
      </c>
      <c r="X2661" s="58">
        <f t="shared" si="612"/>
        <v>0</v>
      </c>
      <c r="Y2661" s="52">
        <f t="shared" si="613"/>
        <v>0</v>
      </c>
    </row>
    <row r="2662" spans="1:25" x14ac:dyDescent="0.25">
      <c r="A2662" s="1218" t="s">
        <v>180</v>
      </c>
      <c r="B2662" s="98">
        <v>45901</v>
      </c>
      <c r="C2662" s="117" t="str">
        <f t="shared" si="617"/>
        <v>7L</v>
      </c>
      <c r="F2662" s="99">
        <f t="shared" si="616"/>
        <v>0</v>
      </c>
      <c r="I2662" s="99">
        <f t="shared" si="615"/>
        <v>0</v>
      </c>
      <c r="L2662" s="99">
        <f t="shared" si="602"/>
        <v>0</v>
      </c>
      <c r="M2662" s="44" t="str">
        <f t="shared" si="604"/>
        <v/>
      </c>
      <c r="N2662" s="100">
        <f t="shared" si="605"/>
        <v>0</v>
      </c>
      <c r="O2662" s="101">
        <f t="shared" si="606"/>
        <v>0</v>
      </c>
      <c r="P2662" s="52">
        <f t="shared" si="607"/>
        <v>0</v>
      </c>
      <c r="Q2662" s="49">
        <v>116.88487613461319</v>
      </c>
      <c r="R2662">
        <v>2225</v>
      </c>
      <c r="S2662" s="50">
        <f t="shared" si="603"/>
        <v>71535.307499999995</v>
      </c>
      <c r="T2662" s="50">
        <f t="shared" si="608"/>
        <v>0</v>
      </c>
      <c r="U2662" s="58">
        <f t="shared" si="609"/>
        <v>0</v>
      </c>
      <c r="V2662" s="58">
        <f t="shared" si="610"/>
        <v>0</v>
      </c>
      <c r="W2662" s="58">
        <f t="shared" si="611"/>
        <v>0</v>
      </c>
      <c r="X2662" s="58">
        <f t="shared" si="612"/>
        <v>0</v>
      </c>
      <c r="Y2662" s="52">
        <f t="shared" si="613"/>
        <v>0</v>
      </c>
    </row>
    <row r="2663" spans="1:25" x14ac:dyDescent="0.25">
      <c r="A2663" s="1218" t="s">
        <v>181</v>
      </c>
      <c r="B2663" s="98">
        <v>45901</v>
      </c>
      <c r="C2663" s="117" t="str">
        <f t="shared" si="617"/>
        <v>7L</v>
      </c>
      <c r="F2663" s="99">
        <f t="shared" si="616"/>
        <v>0</v>
      </c>
      <c r="I2663" s="99">
        <f t="shared" si="615"/>
        <v>0</v>
      </c>
      <c r="L2663" s="99">
        <f t="shared" si="602"/>
        <v>0</v>
      </c>
      <c r="M2663" s="44" t="str">
        <f t="shared" si="604"/>
        <v/>
      </c>
      <c r="N2663" s="100">
        <f t="shared" si="605"/>
        <v>0</v>
      </c>
      <c r="O2663" s="101">
        <f t="shared" si="606"/>
        <v>0</v>
      </c>
      <c r="P2663" s="52">
        <f t="shared" si="607"/>
        <v>0</v>
      </c>
      <c r="Q2663" s="49">
        <v>116.88487613461319</v>
      </c>
      <c r="R2663">
        <v>2225</v>
      </c>
      <c r="S2663" s="50">
        <f t="shared" si="603"/>
        <v>71535.307499999995</v>
      </c>
      <c r="T2663" s="50">
        <f t="shared" si="608"/>
        <v>0</v>
      </c>
      <c r="U2663" s="58">
        <f t="shared" si="609"/>
        <v>0</v>
      </c>
      <c r="V2663" s="58">
        <f t="shared" si="610"/>
        <v>0</v>
      </c>
      <c r="W2663" s="58">
        <f t="shared" si="611"/>
        <v>0</v>
      </c>
      <c r="X2663" s="58">
        <f t="shared" si="612"/>
        <v>0</v>
      </c>
      <c r="Y2663" s="52">
        <f t="shared" si="613"/>
        <v>0</v>
      </c>
    </row>
    <row r="2664" spans="1:25" x14ac:dyDescent="0.25">
      <c r="A2664" s="1218" t="s">
        <v>182</v>
      </c>
      <c r="B2664" s="98">
        <v>45901</v>
      </c>
      <c r="C2664" s="117" t="str">
        <f t="shared" si="617"/>
        <v>7L</v>
      </c>
      <c r="D2664" s="118">
        <v>128</v>
      </c>
      <c r="E2664">
        <v>3.61</v>
      </c>
      <c r="F2664" s="99">
        <f t="shared" si="616"/>
        <v>0.46207999999999999</v>
      </c>
      <c r="I2664" s="99">
        <f t="shared" si="615"/>
        <v>0</v>
      </c>
      <c r="L2664" s="99">
        <f t="shared" si="602"/>
        <v>0</v>
      </c>
      <c r="M2664" s="44" t="str">
        <f t="shared" si="604"/>
        <v/>
      </c>
      <c r="N2664" s="100">
        <f t="shared" si="605"/>
        <v>0</v>
      </c>
      <c r="O2664" s="101">
        <f t="shared" si="606"/>
        <v>0</v>
      </c>
      <c r="P2664" s="52">
        <f t="shared" si="607"/>
        <v>0</v>
      </c>
      <c r="Q2664" s="49">
        <v>116.88487613461319</v>
      </c>
      <c r="R2664">
        <v>2225</v>
      </c>
      <c r="S2664" s="50">
        <f t="shared" si="603"/>
        <v>71535.307499999995</v>
      </c>
      <c r="T2664" s="50">
        <f t="shared" si="608"/>
        <v>0</v>
      </c>
      <c r="U2664" s="58">
        <f t="shared" si="609"/>
        <v>0</v>
      </c>
      <c r="V2664" s="58">
        <f t="shared" si="610"/>
        <v>0</v>
      </c>
      <c r="W2664" s="58">
        <f t="shared" si="611"/>
        <v>0</v>
      </c>
      <c r="X2664" s="58">
        <f t="shared" si="612"/>
        <v>0</v>
      </c>
      <c r="Y2664" s="52">
        <f t="shared" si="613"/>
        <v>0</v>
      </c>
    </row>
    <row r="2665" spans="1:25" x14ac:dyDescent="0.25">
      <c r="A2665" s="1218" t="s">
        <v>183</v>
      </c>
      <c r="B2665" s="98">
        <v>45901</v>
      </c>
      <c r="C2665" s="117" t="str">
        <f t="shared" si="617"/>
        <v>7L</v>
      </c>
      <c r="F2665" s="99">
        <f t="shared" si="616"/>
        <v>0</v>
      </c>
      <c r="I2665" s="99">
        <f t="shared" si="615"/>
        <v>0</v>
      </c>
      <c r="L2665" s="99">
        <f t="shared" si="602"/>
        <v>0</v>
      </c>
      <c r="M2665" s="44" t="str">
        <f t="shared" si="604"/>
        <v/>
      </c>
      <c r="N2665" s="100">
        <f t="shared" si="605"/>
        <v>0</v>
      </c>
      <c r="O2665" s="101">
        <f t="shared" si="606"/>
        <v>0</v>
      </c>
      <c r="P2665" s="52">
        <f t="shared" si="607"/>
        <v>0</v>
      </c>
      <c r="Q2665" s="49">
        <v>116.88487613461319</v>
      </c>
      <c r="R2665">
        <v>2225</v>
      </c>
      <c r="S2665" s="50">
        <f t="shared" si="603"/>
        <v>71535.307499999995</v>
      </c>
      <c r="T2665" s="50">
        <f t="shared" si="608"/>
        <v>0</v>
      </c>
      <c r="U2665" s="58">
        <f t="shared" si="609"/>
        <v>0</v>
      </c>
      <c r="V2665" s="58">
        <f t="shared" si="610"/>
        <v>0</v>
      </c>
      <c r="W2665" s="58">
        <f t="shared" si="611"/>
        <v>0</v>
      </c>
      <c r="X2665" s="58">
        <f t="shared" si="612"/>
        <v>0</v>
      </c>
      <c r="Y2665" s="52">
        <f t="shared" si="613"/>
        <v>0</v>
      </c>
    </row>
    <row r="2666" spans="1:25" x14ac:dyDescent="0.25">
      <c r="A2666" s="1218" t="s">
        <v>184</v>
      </c>
      <c r="B2666" s="98">
        <v>45901</v>
      </c>
      <c r="C2666" s="117" t="str">
        <f t="shared" si="617"/>
        <v>7L</v>
      </c>
      <c r="D2666">
        <v>2921</v>
      </c>
      <c r="E2666">
        <v>2.4300000000000002</v>
      </c>
      <c r="F2666" s="99">
        <f t="shared" si="616"/>
        <v>7.0980300000000005</v>
      </c>
      <c r="I2666" s="99">
        <f t="shared" si="615"/>
        <v>0</v>
      </c>
      <c r="L2666" s="99">
        <f t="shared" si="602"/>
        <v>0</v>
      </c>
      <c r="M2666" s="44" t="str">
        <f t="shared" si="604"/>
        <v/>
      </c>
      <c r="N2666" s="100">
        <f t="shared" si="605"/>
        <v>0</v>
      </c>
      <c r="O2666" s="101">
        <f t="shared" si="606"/>
        <v>0</v>
      </c>
      <c r="P2666" s="52">
        <f t="shared" si="607"/>
        <v>0</v>
      </c>
      <c r="Q2666" s="49">
        <v>116.88487613461319</v>
      </c>
      <c r="R2666">
        <v>2225</v>
      </c>
      <c r="S2666" s="50">
        <f t="shared" si="603"/>
        <v>71535.307499999995</v>
      </c>
      <c r="T2666" s="50">
        <f t="shared" si="608"/>
        <v>0</v>
      </c>
      <c r="U2666" s="58">
        <f t="shared" si="609"/>
        <v>0</v>
      </c>
      <c r="V2666" s="58">
        <f t="shared" si="610"/>
        <v>0</v>
      </c>
      <c r="W2666" s="58">
        <f t="shared" si="611"/>
        <v>0</v>
      </c>
      <c r="X2666" s="58">
        <f t="shared" si="612"/>
        <v>0</v>
      </c>
      <c r="Y2666" s="52">
        <f t="shared" si="613"/>
        <v>0</v>
      </c>
    </row>
    <row r="2667" spans="1:25" x14ac:dyDescent="0.25">
      <c r="A2667" s="1218" t="s">
        <v>185</v>
      </c>
      <c r="B2667" s="98">
        <v>45901</v>
      </c>
      <c r="C2667" s="117" t="str">
        <f t="shared" si="617"/>
        <v>7L</v>
      </c>
      <c r="F2667" s="99">
        <f t="shared" si="616"/>
        <v>0</v>
      </c>
      <c r="I2667" s="99">
        <f t="shared" si="615"/>
        <v>0</v>
      </c>
      <c r="L2667" s="99">
        <f t="shared" ref="L2667:L2730" si="618">IFERROR(J2667*K2667/1000,"")</f>
        <v>0</v>
      </c>
      <c r="M2667" s="44" t="str">
        <f t="shared" si="604"/>
        <v/>
      </c>
      <c r="N2667" s="100">
        <f t="shared" si="605"/>
        <v>0</v>
      </c>
      <c r="O2667" s="101">
        <f t="shared" si="606"/>
        <v>0</v>
      </c>
      <c r="P2667" s="52">
        <f t="shared" si="607"/>
        <v>0</v>
      </c>
      <c r="Q2667" s="49">
        <v>116.88487613461319</v>
      </c>
      <c r="R2667">
        <v>2225</v>
      </c>
      <c r="S2667" s="50">
        <f t="shared" ref="S2667:S2730" si="619">R2667*32.1507</f>
        <v>71535.307499999995</v>
      </c>
      <c r="T2667" s="50">
        <f t="shared" si="608"/>
        <v>0</v>
      </c>
      <c r="U2667" s="58">
        <f t="shared" si="609"/>
        <v>0</v>
      </c>
      <c r="V2667" s="58">
        <f t="shared" si="610"/>
        <v>0</v>
      </c>
      <c r="W2667" s="58">
        <f t="shared" si="611"/>
        <v>0</v>
      </c>
      <c r="X2667" s="58">
        <f t="shared" si="612"/>
        <v>0</v>
      </c>
      <c r="Y2667" s="52">
        <f t="shared" si="613"/>
        <v>0</v>
      </c>
    </row>
    <row r="2668" spans="1:25" x14ac:dyDescent="0.25">
      <c r="A2668" s="1218" t="s">
        <v>186</v>
      </c>
      <c r="B2668" s="98">
        <v>45901</v>
      </c>
      <c r="C2668" s="117" t="str">
        <f t="shared" si="617"/>
        <v>7L</v>
      </c>
      <c r="F2668" s="99">
        <f t="shared" si="616"/>
        <v>0</v>
      </c>
      <c r="I2668" s="99">
        <f t="shared" si="615"/>
        <v>0</v>
      </c>
      <c r="L2668" s="99">
        <f t="shared" si="618"/>
        <v>0</v>
      </c>
      <c r="M2668" s="44" t="str">
        <f t="shared" si="604"/>
        <v/>
      </c>
      <c r="N2668" s="100">
        <f t="shared" si="605"/>
        <v>0</v>
      </c>
      <c r="O2668" s="101">
        <f t="shared" si="606"/>
        <v>0</v>
      </c>
      <c r="P2668" s="52">
        <f t="shared" si="607"/>
        <v>0</v>
      </c>
      <c r="Q2668" s="49">
        <v>116.88487613461319</v>
      </c>
      <c r="R2668">
        <v>2225</v>
      </c>
      <c r="S2668" s="50">
        <f t="shared" si="619"/>
        <v>71535.307499999995</v>
      </c>
      <c r="T2668" s="50">
        <f t="shared" si="608"/>
        <v>0</v>
      </c>
      <c r="U2668" s="58">
        <f t="shared" si="609"/>
        <v>0</v>
      </c>
      <c r="V2668" s="58">
        <f t="shared" si="610"/>
        <v>0</v>
      </c>
      <c r="W2668" s="58">
        <f t="shared" si="611"/>
        <v>0</v>
      </c>
      <c r="X2668" s="58">
        <f t="shared" si="612"/>
        <v>0</v>
      </c>
      <c r="Y2668" s="52">
        <f t="shared" si="613"/>
        <v>0</v>
      </c>
    </row>
    <row r="2669" spans="1:25" x14ac:dyDescent="0.25">
      <c r="A2669" s="1218" t="s">
        <v>187</v>
      </c>
      <c r="B2669" s="98">
        <v>45901</v>
      </c>
      <c r="C2669" s="117" t="str">
        <f t="shared" si="617"/>
        <v>7L</v>
      </c>
      <c r="F2669" s="99">
        <f t="shared" si="616"/>
        <v>0</v>
      </c>
      <c r="I2669" s="99">
        <f t="shared" si="615"/>
        <v>0</v>
      </c>
      <c r="L2669" s="99">
        <f t="shared" si="618"/>
        <v>0</v>
      </c>
      <c r="M2669" s="44" t="str">
        <f t="shared" ref="M2669:M2732" si="620">IFERROR((L2669-I2669)/I2669,"")</f>
        <v/>
      </c>
      <c r="N2669" s="100">
        <f t="shared" ref="N2669:N2732" si="621">J2669-G2669</f>
        <v>0</v>
      </c>
      <c r="O2669" s="101">
        <f t="shared" ref="O2669:O2732" si="622">L2669-I2669</f>
        <v>0</v>
      </c>
      <c r="P2669" s="52">
        <f t="shared" ref="P2669:P2732" si="623">U2669-W2669</f>
        <v>0</v>
      </c>
      <c r="Q2669" s="49">
        <v>116.88487613461319</v>
      </c>
      <c r="R2669">
        <v>2225</v>
      </c>
      <c r="S2669" s="50">
        <f t="shared" si="619"/>
        <v>71535.307499999995</v>
      </c>
      <c r="T2669" s="50">
        <f t="shared" ref="T2669:T2732" si="624">IFERROR(S2669*I2669,"")</f>
        <v>0</v>
      </c>
      <c r="U2669" s="58">
        <f t="shared" ref="U2669:U2732" si="625">IFERROR(S2669*L2669,"")</f>
        <v>0</v>
      </c>
      <c r="V2669" s="58">
        <f t="shared" ref="V2669:V2732" si="626">IFERROR(Q2669*G2669,"")</f>
        <v>0</v>
      </c>
      <c r="W2669" s="58">
        <f t="shared" ref="W2669:W2732" si="627">IFERROR(Q2669*J2669,"")</f>
        <v>0</v>
      </c>
      <c r="X2669" s="58">
        <f t="shared" ref="X2669:X2732" si="628">T2669-V2669</f>
        <v>0</v>
      </c>
      <c r="Y2669" s="52">
        <f t="shared" ref="Y2669:Y2732" si="629">U2669-W2669</f>
        <v>0</v>
      </c>
    </row>
    <row r="2670" spans="1:25" x14ac:dyDescent="0.25">
      <c r="A2670" s="1218" t="s">
        <v>188</v>
      </c>
      <c r="B2670" s="98">
        <v>45901</v>
      </c>
      <c r="C2670" s="117" t="str">
        <f t="shared" si="617"/>
        <v>7L</v>
      </c>
      <c r="F2670" s="99">
        <f t="shared" si="616"/>
        <v>0</v>
      </c>
      <c r="I2670" s="99">
        <f t="shared" si="615"/>
        <v>0</v>
      </c>
      <c r="L2670" s="99">
        <f t="shared" si="618"/>
        <v>0</v>
      </c>
      <c r="M2670" s="44" t="str">
        <f t="shared" si="620"/>
        <v/>
      </c>
      <c r="N2670" s="100">
        <f t="shared" si="621"/>
        <v>0</v>
      </c>
      <c r="O2670" s="101">
        <f t="shared" si="622"/>
        <v>0</v>
      </c>
      <c r="P2670" s="52">
        <f t="shared" si="623"/>
        <v>0</v>
      </c>
      <c r="Q2670" s="49">
        <v>116.88487613461319</v>
      </c>
      <c r="R2670">
        <v>2225</v>
      </c>
      <c r="S2670" s="50">
        <f t="shared" si="619"/>
        <v>71535.307499999995</v>
      </c>
      <c r="T2670" s="50">
        <f t="shared" si="624"/>
        <v>0</v>
      </c>
      <c r="U2670" s="58">
        <f t="shared" si="625"/>
        <v>0</v>
      </c>
      <c r="V2670" s="58">
        <f t="shared" si="626"/>
        <v>0</v>
      </c>
      <c r="W2670" s="58">
        <f t="shared" si="627"/>
        <v>0</v>
      </c>
      <c r="X2670" s="58">
        <f t="shared" si="628"/>
        <v>0</v>
      </c>
      <c r="Y2670" s="52">
        <f t="shared" si="629"/>
        <v>0</v>
      </c>
    </row>
    <row r="2671" spans="1:25" x14ac:dyDescent="0.25">
      <c r="A2671" s="1218" t="s">
        <v>189</v>
      </c>
      <c r="B2671" s="98">
        <v>45901</v>
      </c>
      <c r="C2671" s="117" t="str">
        <f t="shared" si="617"/>
        <v>7L</v>
      </c>
      <c r="F2671" s="99">
        <f t="shared" si="616"/>
        <v>0</v>
      </c>
      <c r="I2671" s="99">
        <f t="shared" si="615"/>
        <v>0</v>
      </c>
      <c r="L2671" s="99">
        <f t="shared" si="618"/>
        <v>0</v>
      </c>
      <c r="M2671" s="44" t="str">
        <f t="shared" si="620"/>
        <v/>
      </c>
      <c r="N2671" s="100">
        <f t="shared" si="621"/>
        <v>0</v>
      </c>
      <c r="O2671" s="101">
        <f t="shared" si="622"/>
        <v>0</v>
      </c>
      <c r="P2671" s="52">
        <f t="shared" si="623"/>
        <v>0</v>
      </c>
      <c r="Q2671" s="49">
        <v>116.88487613461319</v>
      </c>
      <c r="R2671">
        <v>2225</v>
      </c>
      <c r="S2671" s="50">
        <f t="shared" si="619"/>
        <v>71535.307499999995</v>
      </c>
      <c r="T2671" s="50">
        <f t="shared" si="624"/>
        <v>0</v>
      </c>
      <c r="U2671" s="58">
        <f t="shared" si="625"/>
        <v>0</v>
      </c>
      <c r="V2671" s="58">
        <f t="shared" si="626"/>
        <v>0</v>
      </c>
      <c r="W2671" s="58">
        <f t="shared" si="627"/>
        <v>0</v>
      </c>
      <c r="X2671" s="58">
        <f t="shared" si="628"/>
        <v>0</v>
      </c>
      <c r="Y2671" s="52">
        <f t="shared" si="629"/>
        <v>0</v>
      </c>
    </row>
    <row r="2672" spans="1:25" x14ac:dyDescent="0.25">
      <c r="A2672" s="1218" t="s">
        <v>190</v>
      </c>
      <c r="B2672" s="98">
        <v>45901</v>
      </c>
      <c r="C2672" s="117" t="str">
        <f t="shared" si="617"/>
        <v>8L</v>
      </c>
      <c r="F2672" s="99">
        <f t="shared" si="616"/>
        <v>0</v>
      </c>
      <c r="I2672" s="99">
        <f t="shared" si="615"/>
        <v>0</v>
      </c>
      <c r="L2672" s="99">
        <f t="shared" si="618"/>
        <v>0</v>
      </c>
      <c r="M2672" s="44" t="str">
        <f t="shared" si="620"/>
        <v/>
      </c>
      <c r="N2672" s="100">
        <f t="shared" si="621"/>
        <v>0</v>
      </c>
      <c r="O2672" s="101">
        <f t="shared" si="622"/>
        <v>0</v>
      </c>
      <c r="P2672" s="52">
        <f t="shared" si="623"/>
        <v>0</v>
      </c>
      <c r="Q2672" s="49">
        <v>116.88487613461319</v>
      </c>
      <c r="R2672">
        <v>2225</v>
      </c>
      <c r="S2672" s="50">
        <f t="shared" si="619"/>
        <v>71535.307499999995</v>
      </c>
      <c r="T2672" s="50">
        <f t="shared" si="624"/>
        <v>0</v>
      </c>
      <c r="U2672" s="58">
        <f t="shared" si="625"/>
        <v>0</v>
      </c>
      <c r="V2672" s="58">
        <f t="shared" si="626"/>
        <v>0</v>
      </c>
      <c r="W2672" s="58">
        <f t="shared" si="627"/>
        <v>0</v>
      </c>
      <c r="X2672" s="58">
        <f t="shared" si="628"/>
        <v>0</v>
      </c>
      <c r="Y2672" s="52">
        <f t="shared" si="629"/>
        <v>0</v>
      </c>
    </row>
    <row r="2673" spans="1:25" x14ac:dyDescent="0.25">
      <c r="A2673" s="1218" t="s">
        <v>191</v>
      </c>
      <c r="B2673" s="98">
        <v>45901</v>
      </c>
      <c r="C2673" s="117" t="str">
        <f t="shared" si="617"/>
        <v>8L</v>
      </c>
      <c r="D2673">
        <v>1947</v>
      </c>
      <c r="E2673">
        <v>2.64</v>
      </c>
      <c r="F2673" s="99">
        <f t="shared" si="616"/>
        <v>5.1400800000000002</v>
      </c>
      <c r="I2673" s="99">
        <f t="shared" si="615"/>
        <v>0</v>
      </c>
      <c r="L2673" s="99">
        <f t="shared" si="618"/>
        <v>0</v>
      </c>
      <c r="M2673" s="44" t="str">
        <f t="shared" si="620"/>
        <v/>
      </c>
      <c r="N2673" s="100">
        <f t="shared" si="621"/>
        <v>0</v>
      </c>
      <c r="O2673" s="101">
        <f t="shared" si="622"/>
        <v>0</v>
      </c>
      <c r="P2673" s="52">
        <f t="shared" si="623"/>
        <v>0</v>
      </c>
      <c r="Q2673" s="49">
        <v>116.88487613461319</v>
      </c>
      <c r="R2673">
        <v>2225</v>
      </c>
      <c r="S2673" s="50">
        <f t="shared" si="619"/>
        <v>71535.307499999995</v>
      </c>
      <c r="T2673" s="50">
        <f t="shared" si="624"/>
        <v>0</v>
      </c>
      <c r="U2673" s="58">
        <f t="shared" si="625"/>
        <v>0</v>
      </c>
      <c r="V2673" s="58">
        <f t="shared" si="626"/>
        <v>0</v>
      </c>
      <c r="W2673" s="58">
        <f t="shared" si="627"/>
        <v>0</v>
      </c>
      <c r="X2673" s="58">
        <f t="shared" si="628"/>
        <v>0</v>
      </c>
      <c r="Y2673" s="52">
        <f t="shared" si="629"/>
        <v>0</v>
      </c>
    </row>
    <row r="2674" spans="1:25" x14ac:dyDescent="0.25">
      <c r="A2674" s="1218" t="s">
        <v>192</v>
      </c>
      <c r="B2674" s="98">
        <v>45901</v>
      </c>
      <c r="C2674" s="117" t="str">
        <f t="shared" si="617"/>
        <v>8L</v>
      </c>
      <c r="F2674" s="99">
        <f t="shared" si="616"/>
        <v>0</v>
      </c>
      <c r="I2674" s="99">
        <f t="shared" si="615"/>
        <v>0</v>
      </c>
      <c r="L2674" s="99">
        <f t="shared" si="618"/>
        <v>0</v>
      </c>
      <c r="M2674" s="44" t="str">
        <f t="shared" si="620"/>
        <v/>
      </c>
      <c r="N2674" s="100">
        <f t="shared" si="621"/>
        <v>0</v>
      </c>
      <c r="O2674" s="101">
        <f t="shared" si="622"/>
        <v>0</v>
      </c>
      <c r="P2674" s="52">
        <f t="shared" si="623"/>
        <v>0</v>
      </c>
      <c r="Q2674" s="49">
        <v>116.88487613461319</v>
      </c>
      <c r="R2674">
        <v>2225</v>
      </c>
      <c r="S2674" s="50">
        <f t="shared" si="619"/>
        <v>71535.307499999995</v>
      </c>
      <c r="T2674" s="50">
        <f t="shared" si="624"/>
        <v>0</v>
      </c>
      <c r="U2674" s="58">
        <f t="shared" si="625"/>
        <v>0</v>
      </c>
      <c r="V2674" s="58">
        <f t="shared" si="626"/>
        <v>0</v>
      </c>
      <c r="W2674" s="58">
        <f t="shared" si="627"/>
        <v>0</v>
      </c>
      <c r="X2674" s="58">
        <f t="shared" si="628"/>
        <v>0</v>
      </c>
      <c r="Y2674" s="52">
        <f t="shared" si="629"/>
        <v>0</v>
      </c>
    </row>
    <row r="2675" spans="1:25" x14ac:dyDescent="0.25">
      <c r="A2675" s="1218" t="s">
        <v>193</v>
      </c>
      <c r="B2675" s="98">
        <v>45901</v>
      </c>
      <c r="C2675" s="117" t="str">
        <f t="shared" si="617"/>
        <v>8L</v>
      </c>
      <c r="F2675" s="99">
        <f t="shared" si="616"/>
        <v>0</v>
      </c>
      <c r="I2675" s="99">
        <f t="shared" si="615"/>
        <v>0</v>
      </c>
      <c r="L2675" s="99">
        <f t="shared" si="618"/>
        <v>0</v>
      </c>
      <c r="M2675" s="44" t="str">
        <f t="shared" si="620"/>
        <v/>
      </c>
      <c r="N2675" s="100">
        <f t="shared" si="621"/>
        <v>0</v>
      </c>
      <c r="O2675" s="101">
        <f t="shared" si="622"/>
        <v>0</v>
      </c>
      <c r="P2675" s="52">
        <f t="shared" si="623"/>
        <v>0</v>
      </c>
      <c r="Q2675" s="49">
        <v>116.88487613461319</v>
      </c>
      <c r="R2675">
        <v>2225</v>
      </c>
      <c r="S2675" s="50">
        <f t="shared" si="619"/>
        <v>71535.307499999995</v>
      </c>
      <c r="T2675" s="50">
        <f t="shared" si="624"/>
        <v>0</v>
      </c>
      <c r="U2675" s="58">
        <f t="shared" si="625"/>
        <v>0</v>
      </c>
      <c r="V2675" s="58">
        <f t="shared" si="626"/>
        <v>0</v>
      </c>
      <c r="W2675" s="58">
        <f t="shared" si="627"/>
        <v>0</v>
      </c>
      <c r="X2675" s="58">
        <f t="shared" si="628"/>
        <v>0</v>
      </c>
      <c r="Y2675" s="52">
        <f t="shared" si="629"/>
        <v>0</v>
      </c>
    </row>
    <row r="2676" spans="1:25" x14ac:dyDescent="0.25">
      <c r="A2676" s="1218" t="s">
        <v>194</v>
      </c>
      <c r="B2676" s="98">
        <v>45901</v>
      </c>
      <c r="C2676" s="117" t="str">
        <f t="shared" si="617"/>
        <v>8L</v>
      </c>
      <c r="F2676" s="99">
        <f t="shared" si="616"/>
        <v>0</v>
      </c>
      <c r="I2676" s="99">
        <f t="shared" si="615"/>
        <v>0</v>
      </c>
      <c r="L2676" s="99">
        <f t="shared" si="618"/>
        <v>0</v>
      </c>
      <c r="M2676" s="44" t="str">
        <f t="shared" si="620"/>
        <v/>
      </c>
      <c r="N2676" s="100">
        <f t="shared" si="621"/>
        <v>0</v>
      </c>
      <c r="O2676" s="101">
        <f t="shared" si="622"/>
        <v>0</v>
      </c>
      <c r="P2676" s="52">
        <f t="shared" si="623"/>
        <v>0</v>
      </c>
      <c r="Q2676" s="49">
        <v>116.88487613461319</v>
      </c>
      <c r="R2676">
        <v>2225</v>
      </c>
      <c r="S2676" s="50">
        <f t="shared" si="619"/>
        <v>71535.307499999995</v>
      </c>
      <c r="T2676" s="50">
        <f t="shared" si="624"/>
        <v>0</v>
      </c>
      <c r="U2676" s="58">
        <f t="shared" si="625"/>
        <v>0</v>
      </c>
      <c r="V2676" s="58">
        <f t="shared" si="626"/>
        <v>0</v>
      </c>
      <c r="W2676" s="58">
        <f t="shared" si="627"/>
        <v>0</v>
      </c>
      <c r="X2676" s="58">
        <f t="shared" si="628"/>
        <v>0</v>
      </c>
      <c r="Y2676" s="52">
        <f t="shared" si="629"/>
        <v>0</v>
      </c>
    </row>
    <row r="2677" spans="1:25" x14ac:dyDescent="0.25">
      <c r="A2677" s="1218" t="s">
        <v>195</v>
      </c>
      <c r="B2677" s="98">
        <v>45901</v>
      </c>
      <c r="C2677" s="117" t="str">
        <f t="shared" si="617"/>
        <v>8L</v>
      </c>
      <c r="F2677" s="99">
        <f t="shared" si="616"/>
        <v>0</v>
      </c>
      <c r="I2677" s="99">
        <f t="shared" si="615"/>
        <v>0</v>
      </c>
      <c r="L2677" s="99">
        <f t="shared" si="618"/>
        <v>0</v>
      </c>
      <c r="M2677" s="44" t="str">
        <f t="shared" si="620"/>
        <v/>
      </c>
      <c r="N2677" s="100">
        <f t="shared" si="621"/>
        <v>0</v>
      </c>
      <c r="O2677" s="101">
        <f t="shared" si="622"/>
        <v>0</v>
      </c>
      <c r="P2677" s="52">
        <f t="shared" si="623"/>
        <v>0</v>
      </c>
      <c r="Q2677" s="49">
        <v>116.88487613461319</v>
      </c>
      <c r="R2677">
        <v>2225</v>
      </c>
      <c r="S2677" s="50">
        <f t="shared" si="619"/>
        <v>71535.307499999995</v>
      </c>
      <c r="T2677" s="50">
        <f t="shared" si="624"/>
        <v>0</v>
      </c>
      <c r="U2677" s="58">
        <f t="shared" si="625"/>
        <v>0</v>
      </c>
      <c r="V2677" s="58">
        <f t="shared" si="626"/>
        <v>0</v>
      </c>
      <c r="W2677" s="58">
        <f t="shared" si="627"/>
        <v>0</v>
      </c>
      <c r="X2677" s="58">
        <f t="shared" si="628"/>
        <v>0</v>
      </c>
      <c r="Y2677" s="52">
        <f t="shared" si="629"/>
        <v>0</v>
      </c>
    </row>
    <row r="2678" spans="1:25" x14ac:dyDescent="0.25">
      <c r="A2678" s="1218" t="s">
        <v>196</v>
      </c>
      <c r="B2678" s="98">
        <v>45901</v>
      </c>
      <c r="C2678" s="117" t="str">
        <f t="shared" si="617"/>
        <v>8L</v>
      </c>
      <c r="F2678" s="99">
        <f t="shared" si="616"/>
        <v>0</v>
      </c>
      <c r="I2678" s="99">
        <f t="shared" si="615"/>
        <v>0</v>
      </c>
      <c r="L2678" s="99">
        <f t="shared" si="618"/>
        <v>0</v>
      </c>
      <c r="M2678" s="44" t="str">
        <f t="shared" si="620"/>
        <v/>
      </c>
      <c r="N2678" s="100">
        <f t="shared" si="621"/>
        <v>0</v>
      </c>
      <c r="O2678" s="101">
        <f t="shared" si="622"/>
        <v>0</v>
      </c>
      <c r="P2678" s="52">
        <f t="shared" si="623"/>
        <v>0</v>
      </c>
      <c r="Q2678" s="49">
        <v>116.88487613461319</v>
      </c>
      <c r="R2678">
        <v>2225</v>
      </c>
      <c r="S2678" s="50">
        <f t="shared" si="619"/>
        <v>71535.307499999995</v>
      </c>
      <c r="T2678" s="50">
        <f t="shared" si="624"/>
        <v>0</v>
      </c>
      <c r="U2678" s="58">
        <f t="shared" si="625"/>
        <v>0</v>
      </c>
      <c r="V2678" s="58">
        <f t="shared" si="626"/>
        <v>0</v>
      </c>
      <c r="W2678" s="58">
        <f t="shared" si="627"/>
        <v>0</v>
      </c>
      <c r="X2678" s="58">
        <f t="shared" si="628"/>
        <v>0</v>
      </c>
      <c r="Y2678" s="52">
        <f t="shared" si="629"/>
        <v>0</v>
      </c>
    </row>
    <row r="2679" spans="1:25" x14ac:dyDescent="0.25">
      <c r="A2679" s="1218" t="s">
        <v>197</v>
      </c>
      <c r="B2679" s="98">
        <v>45901</v>
      </c>
      <c r="C2679" s="117" t="str">
        <f t="shared" si="617"/>
        <v>8L</v>
      </c>
      <c r="F2679" s="99">
        <f t="shared" si="616"/>
        <v>0</v>
      </c>
      <c r="I2679" s="99">
        <f t="shared" si="615"/>
        <v>0</v>
      </c>
      <c r="L2679" s="99">
        <f t="shared" si="618"/>
        <v>0</v>
      </c>
      <c r="M2679" s="44" t="str">
        <f t="shared" si="620"/>
        <v/>
      </c>
      <c r="N2679" s="100">
        <f t="shared" si="621"/>
        <v>0</v>
      </c>
      <c r="O2679" s="101">
        <f t="shared" si="622"/>
        <v>0</v>
      </c>
      <c r="P2679" s="52">
        <f t="shared" si="623"/>
        <v>0</v>
      </c>
      <c r="Q2679" s="49">
        <v>116.88487613461319</v>
      </c>
      <c r="R2679">
        <v>2225</v>
      </c>
      <c r="S2679" s="50">
        <f t="shared" si="619"/>
        <v>71535.307499999995</v>
      </c>
      <c r="T2679" s="50">
        <f t="shared" si="624"/>
        <v>0</v>
      </c>
      <c r="U2679" s="58">
        <f t="shared" si="625"/>
        <v>0</v>
      </c>
      <c r="V2679" s="58">
        <f t="shared" si="626"/>
        <v>0</v>
      </c>
      <c r="W2679" s="58">
        <f t="shared" si="627"/>
        <v>0</v>
      </c>
      <c r="X2679" s="58">
        <f t="shared" si="628"/>
        <v>0</v>
      </c>
      <c r="Y2679" s="52">
        <f t="shared" si="629"/>
        <v>0</v>
      </c>
    </row>
    <row r="2680" spans="1:25" x14ac:dyDescent="0.25">
      <c r="A2680" s="1218" t="s">
        <v>198</v>
      </c>
      <c r="B2680" s="98">
        <v>45901</v>
      </c>
      <c r="C2680" s="117" t="str">
        <f t="shared" si="617"/>
        <v>8L</v>
      </c>
      <c r="F2680" s="99">
        <f t="shared" si="616"/>
        <v>0</v>
      </c>
      <c r="I2680" s="99">
        <f t="shared" si="615"/>
        <v>0</v>
      </c>
      <c r="L2680" s="99">
        <f t="shared" si="618"/>
        <v>0</v>
      </c>
      <c r="M2680" s="44" t="str">
        <f t="shared" si="620"/>
        <v/>
      </c>
      <c r="N2680" s="100">
        <f t="shared" si="621"/>
        <v>0</v>
      </c>
      <c r="O2680" s="101">
        <f t="shared" si="622"/>
        <v>0</v>
      </c>
      <c r="P2680" s="52">
        <f t="shared" si="623"/>
        <v>0</v>
      </c>
      <c r="Q2680" s="49">
        <v>116.88487613461319</v>
      </c>
      <c r="R2680">
        <v>2225</v>
      </c>
      <c r="S2680" s="50">
        <f t="shared" si="619"/>
        <v>71535.307499999995</v>
      </c>
      <c r="T2680" s="50">
        <f t="shared" si="624"/>
        <v>0</v>
      </c>
      <c r="U2680" s="58">
        <f t="shared" si="625"/>
        <v>0</v>
      </c>
      <c r="V2680" s="58">
        <f t="shared" si="626"/>
        <v>0</v>
      </c>
      <c r="W2680" s="58">
        <f t="shared" si="627"/>
        <v>0</v>
      </c>
      <c r="X2680" s="58">
        <f t="shared" si="628"/>
        <v>0</v>
      </c>
      <c r="Y2680" s="52">
        <f t="shared" si="629"/>
        <v>0</v>
      </c>
    </row>
    <row r="2681" spans="1:25" x14ac:dyDescent="0.25">
      <c r="A2681" s="1218" t="s">
        <v>199</v>
      </c>
      <c r="B2681" s="98">
        <v>45901</v>
      </c>
      <c r="C2681" s="117" t="str">
        <f t="shared" si="617"/>
        <v>8L</v>
      </c>
      <c r="F2681" s="99">
        <f t="shared" si="616"/>
        <v>0</v>
      </c>
      <c r="I2681" s="99">
        <f t="shared" si="615"/>
        <v>0</v>
      </c>
      <c r="L2681" s="99">
        <f t="shared" si="618"/>
        <v>0</v>
      </c>
      <c r="M2681" s="44" t="str">
        <f t="shared" si="620"/>
        <v/>
      </c>
      <c r="N2681" s="100">
        <f t="shared" si="621"/>
        <v>0</v>
      </c>
      <c r="O2681" s="101">
        <f t="shared" si="622"/>
        <v>0</v>
      </c>
      <c r="P2681" s="52">
        <f t="shared" si="623"/>
        <v>0</v>
      </c>
      <c r="Q2681" s="49">
        <v>116.88487613461319</v>
      </c>
      <c r="R2681">
        <v>2225</v>
      </c>
      <c r="S2681" s="50">
        <f t="shared" si="619"/>
        <v>71535.307499999995</v>
      </c>
      <c r="T2681" s="50">
        <f t="shared" si="624"/>
        <v>0</v>
      </c>
      <c r="U2681" s="58">
        <f t="shared" si="625"/>
        <v>0</v>
      </c>
      <c r="V2681" s="58">
        <f t="shared" si="626"/>
        <v>0</v>
      </c>
      <c r="W2681" s="58">
        <f t="shared" si="627"/>
        <v>0</v>
      </c>
      <c r="X2681" s="58">
        <f t="shared" si="628"/>
        <v>0</v>
      </c>
      <c r="Y2681" s="52">
        <f t="shared" si="629"/>
        <v>0</v>
      </c>
    </row>
    <row r="2682" spans="1:25" x14ac:dyDescent="0.25">
      <c r="A2682" s="1218" t="s">
        <v>200</v>
      </c>
      <c r="B2682" s="98">
        <v>45901</v>
      </c>
      <c r="C2682" s="117" t="str">
        <f t="shared" si="617"/>
        <v>8L</v>
      </c>
      <c r="F2682" s="99">
        <f t="shared" si="616"/>
        <v>0</v>
      </c>
      <c r="I2682" s="99">
        <f t="shared" si="615"/>
        <v>0</v>
      </c>
      <c r="L2682" s="99">
        <f t="shared" si="618"/>
        <v>0</v>
      </c>
      <c r="M2682" s="44" t="str">
        <f t="shared" si="620"/>
        <v/>
      </c>
      <c r="N2682" s="100">
        <f t="shared" si="621"/>
        <v>0</v>
      </c>
      <c r="O2682" s="101">
        <f t="shared" si="622"/>
        <v>0</v>
      </c>
      <c r="P2682" s="52">
        <f t="shared" si="623"/>
        <v>0</v>
      </c>
      <c r="Q2682" s="49">
        <v>116.88487613461319</v>
      </c>
      <c r="R2682">
        <v>2225</v>
      </c>
      <c r="S2682" s="50">
        <f t="shared" si="619"/>
        <v>71535.307499999995</v>
      </c>
      <c r="T2682" s="50">
        <f t="shared" si="624"/>
        <v>0</v>
      </c>
      <c r="U2682" s="58">
        <f t="shared" si="625"/>
        <v>0</v>
      </c>
      <c r="V2682" s="58">
        <f t="shared" si="626"/>
        <v>0</v>
      </c>
      <c r="W2682" s="58">
        <f t="shared" si="627"/>
        <v>0</v>
      </c>
      <c r="X2682" s="58">
        <f t="shared" si="628"/>
        <v>0</v>
      </c>
      <c r="Y2682" s="52">
        <f t="shared" si="629"/>
        <v>0</v>
      </c>
    </row>
    <row r="2683" spans="1:25" x14ac:dyDescent="0.25">
      <c r="A2683" s="1218" t="s">
        <v>201</v>
      </c>
      <c r="B2683" s="98">
        <v>45901</v>
      </c>
      <c r="C2683" s="117" t="str">
        <f t="shared" si="617"/>
        <v>8L</v>
      </c>
      <c r="F2683" s="99">
        <f t="shared" si="616"/>
        <v>0</v>
      </c>
      <c r="I2683" s="99">
        <f t="shared" si="615"/>
        <v>0</v>
      </c>
      <c r="L2683" s="99">
        <f t="shared" si="618"/>
        <v>0</v>
      </c>
      <c r="M2683" s="44" t="str">
        <f t="shared" si="620"/>
        <v/>
      </c>
      <c r="N2683" s="100">
        <f t="shared" si="621"/>
        <v>0</v>
      </c>
      <c r="O2683" s="101">
        <f t="shared" si="622"/>
        <v>0</v>
      </c>
      <c r="P2683" s="52">
        <f t="shared" si="623"/>
        <v>0</v>
      </c>
      <c r="Q2683" s="49">
        <v>116.88487613461319</v>
      </c>
      <c r="R2683">
        <v>2225</v>
      </c>
      <c r="S2683" s="50">
        <f t="shared" si="619"/>
        <v>71535.307499999995</v>
      </c>
      <c r="T2683" s="50">
        <f t="shared" si="624"/>
        <v>0</v>
      </c>
      <c r="U2683" s="58">
        <f t="shared" si="625"/>
        <v>0</v>
      </c>
      <c r="V2683" s="58">
        <f t="shared" si="626"/>
        <v>0</v>
      </c>
      <c r="W2683" s="58">
        <f t="shared" si="627"/>
        <v>0</v>
      </c>
      <c r="X2683" s="58">
        <f t="shared" si="628"/>
        <v>0</v>
      </c>
      <c r="Y2683" s="52">
        <f t="shared" si="629"/>
        <v>0</v>
      </c>
    </row>
    <row r="2684" spans="1:25" x14ac:dyDescent="0.25">
      <c r="A2684" s="1218" t="s">
        <v>202</v>
      </c>
      <c r="B2684" s="98">
        <v>45901</v>
      </c>
      <c r="C2684" s="117" t="str">
        <f t="shared" si="617"/>
        <v>8L</v>
      </c>
      <c r="F2684" s="99">
        <f t="shared" si="616"/>
        <v>0</v>
      </c>
      <c r="I2684" s="99">
        <f t="shared" si="615"/>
        <v>0</v>
      </c>
      <c r="L2684" s="99">
        <f t="shared" si="618"/>
        <v>0</v>
      </c>
      <c r="M2684" s="44" t="str">
        <f t="shared" si="620"/>
        <v/>
      </c>
      <c r="N2684" s="100">
        <f t="shared" si="621"/>
        <v>0</v>
      </c>
      <c r="O2684" s="101">
        <f t="shared" si="622"/>
        <v>0</v>
      </c>
      <c r="P2684" s="52">
        <f t="shared" si="623"/>
        <v>0</v>
      </c>
      <c r="Q2684" s="49">
        <v>116.88487613461319</v>
      </c>
      <c r="R2684">
        <v>2225</v>
      </c>
      <c r="S2684" s="50">
        <f t="shared" si="619"/>
        <v>71535.307499999995</v>
      </c>
      <c r="T2684" s="50">
        <f t="shared" si="624"/>
        <v>0</v>
      </c>
      <c r="U2684" s="58">
        <f t="shared" si="625"/>
        <v>0</v>
      </c>
      <c r="V2684" s="58">
        <f t="shared" si="626"/>
        <v>0</v>
      </c>
      <c r="W2684" s="58">
        <f t="shared" si="627"/>
        <v>0</v>
      </c>
      <c r="X2684" s="58">
        <f t="shared" si="628"/>
        <v>0</v>
      </c>
      <c r="Y2684" s="52">
        <f t="shared" si="629"/>
        <v>0</v>
      </c>
    </row>
    <row r="2685" spans="1:25" x14ac:dyDescent="0.25">
      <c r="A2685" s="1218" t="s">
        <v>203</v>
      </c>
      <c r="B2685" s="98">
        <v>45901</v>
      </c>
      <c r="C2685" s="117" t="str">
        <f t="shared" si="617"/>
        <v>8L</v>
      </c>
      <c r="F2685" s="99">
        <f t="shared" si="616"/>
        <v>0</v>
      </c>
      <c r="I2685" s="99">
        <f t="shared" si="615"/>
        <v>0</v>
      </c>
      <c r="L2685" s="99">
        <f t="shared" si="618"/>
        <v>0</v>
      </c>
      <c r="M2685" s="44" t="str">
        <f t="shared" si="620"/>
        <v/>
      </c>
      <c r="N2685" s="100">
        <f t="shared" si="621"/>
        <v>0</v>
      </c>
      <c r="O2685" s="101">
        <f t="shared" si="622"/>
        <v>0</v>
      </c>
      <c r="P2685" s="52">
        <f t="shared" si="623"/>
        <v>0</v>
      </c>
      <c r="Q2685" s="49">
        <v>116.88487613461319</v>
      </c>
      <c r="R2685">
        <v>2225</v>
      </c>
      <c r="S2685" s="50">
        <f t="shared" si="619"/>
        <v>71535.307499999995</v>
      </c>
      <c r="T2685" s="50">
        <f t="shared" si="624"/>
        <v>0</v>
      </c>
      <c r="U2685" s="58">
        <f t="shared" si="625"/>
        <v>0</v>
      </c>
      <c r="V2685" s="58">
        <f t="shared" si="626"/>
        <v>0</v>
      </c>
      <c r="W2685" s="58">
        <f t="shared" si="627"/>
        <v>0</v>
      </c>
      <c r="X2685" s="58">
        <f t="shared" si="628"/>
        <v>0</v>
      </c>
      <c r="Y2685" s="52">
        <f t="shared" si="629"/>
        <v>0</v>
      </c>
    </row>
    <row r="2686" spans="1:25" x14ac:dyDescent="0.25">
      <c r="A2686" s="1218" t="s">
        <v>204</v>
      </c>
      <c r="B2686" s="98">
        <v>45901</v>
      </c>
      <c r="C2686" s="117" t="str">
        <f t="shared" si="617"/>
        <v>8L</v>
      </c>
      <c r="F2686" s="99">
        <f t="shared" si="616"/>
        <v>0</v>
      </c>
      <c r="I2686" s="99">
        <f t="shared" si="615"/>
        <v>0</v>
      </c>
      <c r="L2686" s="99">
        <f t="shared" si="618"/>
        <v>0</v>
      </c>
      <c r="M2686" s="44" t="str">
        <f t="shared" si="620"/>
        <v/>
      </c>
      <c r="N2686" s="100">
        <f t="shared" si="621"/>
        <v>0</v>
      </c>
      <c r="O2686" s="101">
        <f t="shared" si="622"/>
        <v>0</v>
      </c>
      <c r="P2686" s="52">
        <f t="shared" si="623"/>
        <v>0</v>
      </c>
      <c r="Q2686" s="49">
        <v>116.88487613461319</v>
      </c>
      <c r="R2686">
        <v>2225</v>
      </c>
      <c r="S2686" s="50">
        <f t="shared" si="619"/>
        <v>71535.307499999995</v>
      </c>
      <c r="T2686" s="50">
        <f t="shared" si="624"/>
        <v>0</v>
      </c>
      <c r="U2686" s="58">
        <f t="shared" si="625"/>
        <v>0</v>
      </c>
      <c r="V2686" s="58">
        <f t="shared" si="626"/>
        <v>0</v>
      </c>
      <c r="W2686" s="58">
        <f t="shared" si="627"/>
        <v>0</v>
      </c>
      <c r="X2686" s="58">
        <f t="shared" si="628"/>
        <v>0</v>
      </c>
      <c r="Y2686" s="52">
        <f t="shared" si="629"/>
        <v>0</v>
      </c>
    </row>
    <row r="2687" spans="1:25" x14ac:dyDescent="0.25">
      <c r="A2687" s="1218" t="s">
        <v>205</v>
      </c>
      <c r="B2687" s="98">
        <v>45901</v>
      </c>
      <c r="C2687" s="117" t="str">
        <f t="shared" si="617"/>
        <v>8L</v>
      </c>
      <c r="F2687" s="99">
        <f t="shared" si="616"/>
        <v>0</v>
      </c>
      <c r="I2687" s="99">
        <f t="shared" si="615"/>
        <v>0</v>
      </c>
      <c r="L2687" s="99">
        <f t="shared" si="618"/>
        <v>0</v>
      </c>
      <c r="M2687" s="44" t="str">
        <f t="shared" si="620"/>
        <v/>
      </c>
      <c r="N2687" s="100">
        <f t="shared" si="621"/>
        <v>0</v>
      </c>
      <c r="O2687" s="101">
        <f t="shared" si="622"/>
        <v>0</v>
      </c>
      <c r="P2687" s="52">
        <f t="shared" si="623"/>
        <v>0</v>
      </c>
      <c r="Q2687" s="49">
        <v>116.88487613461319</v>
      </c>
      <c r="R2687">
        <v>2225</v>
      </c>
      <c r="S2687" s="50">
        <f t="shared" si="619"/>
        <v>71535.307499999995</v>
      </c>
      <c r="T2687" s="50">
        <f t="shared" si="624"/>
        <v>0</v>
      </c>
      <c r="U2687" s="58">
        <f t="shared" si="625"/>
        <v>0</v>
      </c>
      <c r="V2687" s="58">
        <f t="shared" si="626"/>
        <v>0</v>
      </c>
      <c r="W2687" s="58">
        <f t="shared" si="627"/>
        <v>0</v>
      </c>
      <c r="X2687" s="58">
        <f t="shared" si="628"/>
        <v>0</v>
      </c>
      <c r="Y2687" s="52">
        <f t="shared" si="629"/>
        <v>0</v>
      </c>
    </row>
    <row r="2688" spans="1:25" x14ac:dyDescent="0.25">
      <c r="A2688" s="1218" t="s">
        <v>206</v>
      </c>
      <c r="B2688" s="98">
        <v>45901</v>
      </c>
      <c r="C2688" s="117" t="str">
        <f t="shared" si="617"/>
        <v>8L</v>
      </c>
      <c r="F2688" s="99">
        <f t="shared" si="616"/>
        <v>0</v>
      </c>
      <c r="I2688" s="99">
        <f t="shared" si="615"/>
        <v>0</v>
      </c>
      <c r="L2688" s="99">
        <f t="shared" si="618"/>
        <v>0</v>
      </c>
      <c r="M2688" s="44" t="str">
        <f t="shared" si="620"/>
        <v/>
      </c>
      <c r="N2688" s="100">
        <f t="shared" si="621"/>
        <v>0</v>
      </c>
      <c r="O2688" s="101">
        <f t="shared" si="622"/>
        <v>0</v>
      </c>
      <c r="P2688" s="52">
        <f t="shared" si="623"/>
        <v>0</v>
      </c>
      <c r="Q2688" s="49">
        <v>116.88487613461319</v>
      </c>
      <c r="R2688">
        <v>2225</v>
      </c>
      <c r="S2688" s="50">
        <f t="shared" si="619"/>
        <v>71535.307499999995</v>
      </c>
      <c r="T2688" s="50">
        <f t="shared" si="624"/>
        <v>0</v>
      </c>
      <c r="U2688" s="58">
        <f t="shared" si="625"/>
        <v>0</v>
      </c>
      <c r="V2688" s="58">
        <f t="shared" si="626"/>
        <v>0</v>
      </c>
      <c r="W2688" s="58">
        <f t="shared" si="627"/>
        <v>0</v>
      </c>
      <c r="X2688" s="58">
        <f t="shared" si="628"/>
        <v>0</v>
      </c>
      <c r="Y2688" s="52">
        <f t="shared" si="629"/>
        <v>0</v>
      </c>
    </row>
    <row r="2689" spans="1:25" ht="15.75" thickBot="1" x14ac:dyDescent="0.3">
      <c r="A2689" s="1219" t="s">
        <v>207</v>
      </c>
      <c r="B2689" s="98">
        <v>45901</v>
      </c>
      <c r="C2689" s="117" t="str">
        <f t="shared" si="617"/>
        <v>8L</v>
      </c>
      <c r="F2689" s="99">
        <f t="shared" si="616"/>
        <v>0</v>
      </c>
      <c r="I2689" s="99">
        <f t="shared" si="615"/>
        <v>0</v>
      </c>
      <c r="L2689" s="99">
        <f t="shared" si="618"/>
        <v>0</v>
      </c>
      <c r="M2689" s="44" t="str">
        <f t="shared" si="620"/>
        <v/>
      </c>
      <c r="N2689" s="100">
        <f t="shared" si="621"/>
        <v>0</v>
      </c>
      <c r="O2689" s="101">
        <f t="shared" si="622"/>
        <v>0</v>
      </c>
      <c r="P2689" s="52">
        <f t="shared" si="623"/>
        <v>0</v>
      </c>
      <c r="Q2689" s="49">
        <v>116.88487613461319</v>
      </c>
      <c r="R2689">
        <v>2225</v>
      </c>
      <c r="S2689" s="50">
        <f t="shared" si="619"/>
        <v>71535.307499999995</v>
      </c>
      <c r="T2689" s="50">
        <f t="shared" si="624"/>
        <v>0</v>
      </c>
      <c r="U2689" s="58">
        <f t="shared" si="625"/>
        <v>0</v>
      </c>
      <c r="V2689" s="58">
        <f t="shared" si="626"/>
        <v>0</v>
      </c>
      <c r="W2689" s="58">
        <f t="shared" si="627"/>
        <v>0</v>
      </c>
      <c r="X2689" s="58">
        <f t="shared" si="628"/>
        <v>0</v>
      </c>
      <c r="Y2689" s="52">
        <f t="shared" si="629"/>
        <v>0</v>
      </c>
    </row>
    <row r="2690" spans="1:25" x14ac:dyDescent="0.25">
      <c r="A2690" s="97" t="s">
        <v>80</v>
      </c>
      <c r="B2690" s="98">
        <v>45931</v>
      </c>
      <c r="C2690" s="117" t="str">
        <f t="shared" si="617"/>
        <v>1L</v>
      </c>
      <c r="F2690" s="99">
        <f t="shared" si="616"/>
        <v>0</v>
      </c>
      <c r="I2690" s="99">
        <f t="shared" si="615"/>
        <v>0</v>
      </c>
      <c r="L2690" s="99">
        <f t="shared" si="618"/>
        <v>0</v>
      </c>
      <c r="M2690" s="44" t="str">
        <f t="shared" si="620"/>
        <v/>
      </c>
      <c r="N2690" s="100">
        <f t="shared" si="621"/>
        <v>0</v>
      </c>
      <c r="O2690" s="101">
        <f t="shared" si="622"/>
        <v>0</v>
      </c>
      <c r="P2690" s="52">
        <f t="shared" si="623"/>
        <v>0</v>
      </c>
      <c r="Q2690" s="49">
        <v>116.88487613461319</v>
      </c>
      <c r="R2690">
        <v>2225</v>
      </c>
      <c r="S2690" s="50">
        <f t="shared" si="619"/>
        <v>71535.307499999995</v>
      </c>
      <c r="T2690" s="50">
        <f t="shared" si="624"/>
        <v>0</v>
      </c>
      <c r="U2690" s="58">
        <f t="shared" si="625"/>
        <v>0</v>
      </c>
      <c r="V2690" s="58">
        <f t="shared" si="626"/>
        <v>0</v>
      </c>
      <c r="W2690" s="58">
        <f t="shared" si="627"/>
        <v>0</v>
      </c>
      <c r="X2690" s="58">
        <f t="shared" si="628"/>
        <v>0</v>
      </c>
      <c r="Y2690" s="52">
        <f t="shared" si="629"/>
        <v>0</v>
      </c>
    </row>
    <row r="2691" spans="1:25" x14ac:dyDescent="0.25">
      <c r="A2691" s="1218" t="s">
        <v>81</v>
      </c>
      <c r="B2691" s="98">
        <v>45931</v>
      </c>
      <c r="C2691" s="117" t="str">
        <f t="shared" si="617"/>
        <v>1L</v>
      </c>
      <c r="F2691" s="99">
        <f t="shared" si="616"/>
        <v>0</v>
      </c>
      <c r="I2691" s="99">
        <f t="shared" ref="I2691:I2755" si="630">IFERROR(G2691*H2691/1000,"")</f>
        <v>0</v>
      </c>
      <c r="L2691" s="99">
        <f t="shared" si="618"/>
        <v>0</v>
      </c>
      <c r="M2691" s="44" t="str">
        <f t="shared" si="620"/>
        <v/>
      </c>
      <c r="N2691" s="100">
        <f t="shared" si="621"/>
        <v>0</v>
      </c>
      <c r="O2691" s="101">
        <f t="shared" si="622"/>
        <v>0</v>
      </c>
      <c r="P2691" s="52">
        <f t="shared" si="623"/>
        <v>0</v>
      </c>
      <c r="Q2691" s="49">
        <v>116.88487613461319</v>
      </c>
      <c r="R2691">
        <v>2225</v>
      </c>
      <c r="S2691" s="50">
        <f t="shared" si="619"/>
        <v>71535.307499999995</v>
      </c>
      <c r="T2691" s="50">
        <f t="shared" si="624"/>
        <v>0</v>
      </c>
      <c r="U2691" s="58">
        <f t="shared" si="625"/>
        <v>0</v>
      </c>
      <c r="V2691" s="58">
        <f t="shared" si="626"/>
        <v>0</v>
      </c>
      <c r="W2691" s="58">
        <f t="shared" si="627"/>
        <v>0</v>
      </c>
      <c r="X2691" s="58">
        <f t="shared" si="628"/>
        <v>0</v>
      </c>
      <c r="Y2691" s="52">
        <f t="shared" si="629"/>
        <v>0</v>
      </c>
    </row>
    <row r="2692" spans="1:25" x14ac:dyDescent="0.25">
      <c r="A2692" s="1218" t="s">
        <v>82</v>
      </c>
      <c r="B2692" s="98">
        <v>45931</v>
      </c>
      <c r="C2692" s="117" t="str">
        <f t="shared" si="617"/>
        <v>1L</v>
      </c>
      <c r="F2692" s="99">
        <f t="shared" si="616"/>
        <v>0</v>
      </c>
      <c r="I2692" s="99">
        <f t="shared" si="630"/>
        <v>0</v>
      </c>
      <c r="L2692" s="99">
        <f t="shared" si="618"/>
        <v>0</v>
      </c>
      <c r="M2692" s="44" t="str">
        <f t="shared" si="620"/>
        <v/>
      </c>
      <c r="N2692" s="100">
        <f t="shared" si="621"/>
        <v>0</v>
      </c>
      <c r="O2692" s="101">
        <f t="shared" si="622"/>
        <v>0</v>
      </c>
      <c r="P2692" s="52">
        <f t="shared" si="623"/>
        <v>0</v>
      </c>
      <c r="Q2692" s="49">
        <v>116.88487613461319</v>
      </c>
      <c r="R2692">
        <v>2225</v>
      </c>
      <c r="S2692" s="50">
        <f t="shared" si="619"/>
        <v>71535.307499999995</v>
      </c>
      <c r="T2692" s="50">
        <f t="shared" si="624"/>
        <v>0</v>
      </c>
      <c r="U2692" s="58">
        <f t="shared" si="625"/>
        <v>0</v>
      </c>
      <c r="V2692" s="58">
        <f t="shared" si="626"/>
        <v>0</v>
      </c>
      <c r="W2692" s="58">
        <f t="shared" si="627"/>
        <v>0</v>
      </c>
      <c r="X2692" s="58">
        <f t="shared" si="628"/>
        <v>0</v>
      </c>
      <c r="Y2692" s="52">
        <f t="shared" si="629"/>
        <v>0</v>
      </c>
    </row>
    <row r="2693" spans="1:25" x14ac:dyDescent="0.25">
      <c r="A2693" s="1218" t="s">
        <v>83</v>
      </c>
      <c r="B2693" s="98">
        <v>45931</v>
      </c>
      <c r="C2693" s="117" t="str">
        <f t="shared" si="617"/>
        <v>1L</v>
      </c>
      <c r="F2693" s="99">
        <f t="shared" si="616"/>
        <v>0</v>
      </c>
      <c r="I2693" s="99">
        <f t="shared" si="630"/>
        <v>0</v>
      </c>
      <c r="L2693" s="99">
        <f t="shared" si="618"/>
        <v>0</v>
      </c>
      <c r="M2693" s="44" t="str">
        <f t="shared" si="620"/>
        <v/>
      </c>
      <c r="N2693" s="100">
        <f t="shared" si="621"/>
        <v>0</v>
      </c>
      <c r="O2693" s="101">
        <f t="shared" si="622"/>
        <v>0</v>
      </c>
      <c r="P2693" s="52">
        <f t="shared" si="623"/>
        <v>0</v>
      </c>
      <c r="Q2693" s="49">
        <v>116.88487613461319</v>
      </c>
      <c r="R2693">
        <v>2225</v>
      </c>
      <c r="S2693" s="50">
        <f t="shared" si="619"/>
        <v>71535.307499999995</v>
      </c>
      <c r="T2693" s="50">
        <f t="shared" si="624"/>
        <v>0</v>
      </c>
      <c r="U2693" s="58">
        <f t="shared" si="625"/>
        <v>0</v>
      </c>
      <c r="V2693" s="58">
        <f t="shared" si="626"/>
        <v>0</v>
      </c>
      <c r="W2693" s="58">
        <f t="shared" si="627"/>
        <v>0</v>
      </c>
      <c r="X2693" s="58">
        <f t="shared" si="628"/>
        <v>0</v>
      </c>
      <c r="Y2693" s="52">
        <f t="shared" si="629"/>
        <v>0</v>
      </c>
    </row>
    <row r="2694" spans="1:25" x14ac:dyDescent="0.25">
      <c r="A2694" s="1218" t="s">
        <v>84</v>
      </c>
      <c r="B2694" s="98">
        <v>45931</v>
      </c>
      <c r="C2694" s="117" t="str">
        <f t="shared" si="617"/>
        <v>2L</v>
      </c>
      <c r="F2694" s="99">
        <f t="shared" si="616"/>
        <v>0</v>
      </c>
      <c r="I2694" s="99">
        <f t="shared" si="630"/>
        <v>0</v>
      </c>
      <c r="L2694" s="99">
        <f t="shared" si="618"/>
        <v>0</v>
      </c>
      <c r="M2694" s="44" t="str">
        <f t="shared" si="620"/>
        <v/>
      </c>
      <c r="N2694" s="100">
        <f t="shared" si="621"/>
        <v>0</v>
      </c>
      <c r="O2694" s="101">
        <f t="shared" si="622"/>
        <v>0</v>
      </c>
      <c r="P2694" s="52">
        <f t="shared" si="623"/>
        <v>0</v>
      </c>
      <c r="Q2694" s="49">
        <v>116.88487613461319</v>
      </c>
      <c r="R2694">
        <v>2225</v>
      </c>
      <c r="S2694" s="50">
        <f t="shared" si="619"/>
        <v>71535.307499999995</v>
      </c>
      <c r="T2694" s="50">
        <f t="shared" si="624"/>
        <v>0</v>
      </c>
      <c r="U2694" s="58">
        <f t="shared" si="625"/>
        <v>0</v>
      </c>
      <c r="V2694" s="58">
        <f t="shared" si="626"/>
        <v>0</v>
      </c>
      <c r="W2694" s="58">
        <f t="shared" si="627"/>
        <v>0</v>
      </c>
      <c r="X2694" s="58">
        <f t="shared" si="628"/>
        <v>0</v>
      </c>
      <c r="Y2694" s="52">
        <f t="shared" si="629"/>
        <v>0</v>
      </c>
    </row>
    <row r="2695" spans="1:25" x14ac:dyDescent="0.25">
      <c r="A2695" s="1218" t="s">
        <v>85</v>
      </c>
      <c r="B2695" s="98">
        <v>45931</v>
      </c>
      <c r="C2695" s="117" t="str">
        <f t="shared" si="617"/>
        <v>2L</v>
      </c>
      <c r="F2695" s="99">
        <f t="shared" si="616"/>
        <v>0</v>
      </c>
      <c r="I2695" s="99">
        <f t="shared" si="630"/>
        <v>0</v>
      </c>
      <c r="L2695" s="99">
        <f t="shared" si="618"/>
        <v>0</v>
      </c>
      <c r="M2695" s="44" t="str">
        <f t="shared" si="620"/>
        <v/>
      </c>
      <c r="N2695" s="100">
        <f t="shared" si="621"/>
        <v>0</v>
      </c>
      <c r="O2695" s="101">
        <f t="shared" si="622"/>
        <v>0</v>
      </c>
      <c r="P2695" s="52">
        <f t="shared" si="623"/>
        <v>0</v>
      </c>
      <c r="Q2695" s="49">
        <v>116.88487613461319</v>
      </c>
      <c r="R2695">
        <v>2225</v>
      </c>
      <c r="S2695" s="50">
        <f t="shared" si="619"/>
        <v>71535.307499999995</v>
      </c>
      <c r="T2695" s="50">
        <f t="shared" si="624"/>
        <v>0</v>
      </c>
      <c r="U2695" s="58">
        <f t="shared" si="625"/>
        <v>0</v>
      </c>
      <c r="V2695" s="58">
        <f t="shared" si="626"/>
        <v>0</v>
      </c>
      <c r="W2695" s="58">
        <f t="shared" si="627"/>
        <v>0</v>
      </c>
      <c r="X2695" s="58">
        <f t="shared" si="628"/>
        <v>0</v>
      </c>
      <c r="Y2695" s="52">
        <f t="shared" si="629"/>
        <v>0</v>
      </c>
    </row>
    <row r="2696" spans="1:25" x14ac:dyDescent="0.25">
      <c r="A2696" s="1218" t="s">
        <v>86</v>
      </c>
      <c r="B2696" s="98">
        <v>45931</v>
      </c>
      <c r="C2696" s="117" t="str">
        <f t="shared" si="617"/>
        <v>2L</v>
      </c>
      <c r="F2696" s="99">
        <f t="shared" si="616"/>
        <v>0</v>
      </c>
      <c r="I2696" s="99">
        <f t="shared" si="630"/>
        <v>0</v>
      </c>
      <c r="L2696" s="99">
        <f t="shared" si="618"/>
        <v>0</v>
      </c>
      <c r="M2696" s="44" t="str">
        <f t="shared" si="620"/>
        <v/>
      </c>
      <c r="N2696" s="100">
        <f t="shared" si="621"/>
        <v>0</v>
      </c>
      <c r="O2696" s="101">
        <f t="shared" si="622"/>
        <v>0</v>
      </c>
      <c r="P2696" s="52">
        <f t="shared" si="623"/>
        <v>0</v>
      </c>
      <c r="Q2696" s="49">
        <v>116.88487613461319</v>
      </c>
      <c r="R2696">
        <v>2225</v>
      </c>
      <c r="S2696" s="50">
        <f t="shared" si="619"/>
        <v>71535.307499999995</v>
      </c>
      <c r="T2696" s="50">
        <f t="shared" si="624"/>
        <v>0</v>
      </c>
      <c r="U2696" s="58">
        <f t="shared" si="625"/>
        <v>0</v>
      </c>
      <c r="V2696" s="58">
        <f t="shared" si="626"/>
        <v>0</v>
      </c>
      <c r="W2696" s="58">
        <f t="shared" si="627"/>
        <v>0</v>
      </c>
      <c r="X2696" s="58">
        <f t="shared" si="628"/>
        <v>0</v>
      </c>
      <c r="Y2696" s="52">
        <f t="shared" si="629"/>
        <v>0</v>
      </c>
    </row>
    <row r="2697" spans="1:25" x14ac:dyDescent="0.25">
      <c r="A2697" s="1218" t="s">
        <v>87</v>
      </c>
      <c r="B2697" s="98">
        <v>45931</v>
      </c>
      <c r="C2697" s="117" t="str">
        <f t="shared" si="617"/>
        <v>3L</v>
      </c>
      <c r="F2697" s="99">
        <f t="shared" si="616"/>
        <v>0</v>
      </c>
      <c r="I2697" s="99">
        <f t="shared" si="630"/>
        <v>0</v>
      </c>
      <c r="L2697" s="99">
        <f t="shared" si="618"/>
        <v>0</v>
      </c>
      <c r="M2697" s="44" t="str">
        <f t="shared" si="620"/>
        <v/>
      </c>
      <c r="N2697" s="100">
        <f t="shared" si="621"/>
        <v>0</v>
      </c>
      <c r="O2697" s="101">
        <f t="shared" si="622"/>
        <v>0</v>
      </c>
      <c r="P2697" s="52">
        <f t="shared" si="623"/>
        <v>0</v>
      </c>
      <c r="Q2697" s="49">
        <v>116.88487613461319</v>
      </c>
      <c r="R2697">
        <v>2225</v>
      </c>
      <c r="S2697" s="50">
        <f t="shared" si="619"/>
        <v>71535.307499999995</v>
      </c>
      <c r="T2697" s="50">
        <f t="shared" si="624"/>
        <v>0</v>
      </c>
      <c r="U2697" s="58">
        <f t="shared" si="625"/>
        <v>0</v>
      </c>
      <c r="V2697" s="58">
        <f t="shared" si="626"/>
        <v>0</v>
      </c>
      <c r="W2697" s="58">
        <f t="shared" si="627"/>
        <v>0</v>
      </c>
      <c r="X2697" s="58">
        <f t="shared" si="628"/>
        <v>0</v>
      </c>
      <c r="Y2697" s="52">
        <f t="shared" si="629"/>
        <v>0</v>
      </c>
    </row>
    <row r="2698" spans="1:25" x14ac:dyDescent="0.25">
      <c r="A2698" s="1218" t="s">
        <v>88</v>
      </c>
      <c r="B2698" s="98">
        <v>45931</v>
      </c>
      <c r="C2698" s="117" t="str">
        <f t="shared" si="617"/>
        <v>3L</v>
      </c>
      <c r="F2698" s="99">
        <f t="shared" si="616"/>
        <v>0</v>
      </c>
      <c r="I2698" s="99">
        <f t="shared" si="630"/>
        <v>0</v>
      </c>
      <c r="L2698" s="99">
        <f t="shared" si="618"/>
        <v>0</v>
      </c>
      <c r="M2698" s="44" t="str">
        <f t="shared" si="620"/>
        <v/>
      </c>
      <c r="N2698" s="100">
        <f t="shared" si="621"/>
        <v>0</v>
      </c>
      <c r="O2698" s="101">
        <f t="shared" si="622"/>
        <v>0</v>
      </c>
      <c r="P2698" s="52">
        <f t="shared" si="623"/>
        <v>0</v>
      </c>
      <c r="Q2698" s="49">
        <v>116.88487613461319</v>
      </c>
      <c r="R2698">
        <v>2225</v>
      </c>
      <c r="S2698" s="50">
        <f t="shared" si="619"/>
        <v>71535.307499999995</v>
      </c>
      <c r="T2698" s="50">
        <f t="shared" si="624"/>
        <v>0</v>
      </c>
      <c r="U2698" s="58">
        <f t="shared" si="625"/>
        <v>0</v>
      </c>
      <c r="V2698" s="58">
        <f t="shared" si="626"/>
        <v>0</v>
      </c>
      <c r="W2698" s="58">
        <f t="shared" si="627"/>
        <v>0</v>
      </c>
      <c r="X2698" s="58">
        <f t="shared" si="628"/>
        <v>0</v>
      </c>
      <c r="Y2698" s="52">
        <f t="shared" si="629"/>
        <v>0</v>
      </c>
    </row>
    <row r="2699" spans="1:25" x14ac:dyDescent="0.25">
      <c r="A2699" s="1218" t="s">
        <v>89</v>
      </c>
      <c r="B2699" s="98">
        <v>45931</v>
      </c>
      <c r="C2699" s="117" t="str">
        <f t="shared" si="617"/>
        <v>3L</v>
      </c>
      <c r="F2699" s="99">
        <f t="shared" si="616"/>
        <v>0</v>
      </c>
      <c r="I2699" s="99">
        <f t="shared" si="630"/>
        <v>0</v>
      </c>
      <c r="L2699" s="99">
        <f t="shared" si="618"/>
        <v>0</v>
      </c>
      <c r="M2699" s="44" t="str">
        <f t="shared" si="620"/>
        <v/>
      </c>
      <c r="N2699" s="100">
        <f t="shared" si="621"/>
        <v>0</v>
      </c>
      <c r="O2699" s="101">
        <f t="shared" si="622"/>
        <v>0</v>
      </c>
      <c r="P2699" s="52">
        <f t="shared" si="623"/>
        <v>0</v>
      </c>
      <c r="Q2699" s="49">
        <v>116.88487613461319</v>
      </c>
      <c r="R2699">
        <v>2225</v>
      </c>
      <c r="S2699" s="50">
        <f t="shared" si="619"/>
        <v>71535.307499999995</v>
      </c>
      <c r="T2699" s="50">
        <f t="shared" si="624"/>
        <v>0</v>
      </c>
      <c r="U2699" s="58">
        <f t="shared" si="625"/>
        <v>0</v>
      </c>
      <c r="V2699" s="58">
        <f t="shared" si="626"/>
        <v>0</v>
      </c>
      <c r="W2699" s="58">
        <f t="shared" si="627"/>
        <v>0</v>
      </c>
      <c r="X2699" s="58">
        <f t="shared" si="628"/>
        <v>0</v>
      </c>
      <c r="Y2699" s="52">
        <f t="shared" si="629"/>
        <v>0</v>
      </c>
    </row>
    <row r="2700" spans="1:25" x14ac:dyDescent="0.25">
      <c r="A2700" s="1218" t="s">
        <v>90</v>
      </c>
      <c r="B2700" s="98">
        <v>45931</v>
      </c>
      <c r="C2700" s="117" t="str">
        <f t="shared" si="617"/>
        <v>3L</v>
      </c>
      <c r="F2700" s="99">
        <f t="shared" si="616"/>
        <v>0</v>
      </c>
      <c r="I2700" s="99">
        <f t="shared" si="630"/>
        <v>0</v>
      </c>
      <c r="L2700" s="99">
        <f t="shared" si="618"/>
        <v>0</v>
      </c>
      <c r="M2700" s="44" t="str">
        <f t="shared" si="620"/>
        <v/>
      </c>
      <c r="N2700" s="100">
        <f t="shared" si="621"/>
        <v>0</v>
      </c>
      <c r="O2700" s="101">
        <f t="shared" si="622"/>
        <v>0</v>
      </c>
      <c r="P2700" s="52">
        <f t="shared" si="623"/>
        <v>0</v>
      </c>
      <c r="Q2700" s="49">
        <v>116.88487613461319</v>
      </c>
      <c r="R2700">
        <v>2225</v>
      </c>
      <c r="S2700" s="50">
        <f t="shared" si="619"/>
        <v>71535.307499999995</v>
      </c>
      <c r="T2700" s="50">
        <f t="shared" si="624"/>
        <v>0</v>
      </c>
      <c r="U2700" s="58">
        <f t="shared" si="625"/>
        <v>0</v>
      </c>
      <c r="V2700" s="58">
        <f t="shared" si="626"/>
        <v>0</v>
      </c>
      <c r="W2700" s="58">
        <f t="shared" si="627"/>
        <v>0</v>
      </c>
      <c r="X2700" s="58">
        <f t="shared" si="628"/>
        <v>0</v>
      </c>
      <c r="Y2700" s="52">
        <f t="shared" si="629"/>
        <v>0</v>
      </c>
    </row>
    <row r="2701" spans="1:25" x14ac:dyDescent="0.25">
      <c r="A2701" s="1218" t="s">
        <v>91</v>
      </c>
      <c r="B2701" s="98">
        <v>45931</v>
      </c>
      <c r="C2701" s="117" t="str">
        <f t="shared" si="617"/>
        <v>3L</v>
      </c>
      <c r="F2701" s="99">
        <f t="shared" ref="F2701:F2765" si="631">IFERROR(D2701*E2701/1000,"")</f>
        <v>0</v>
      </c>
      <c r="I2701" s="99">
        <f t="shared" si="630"/>
        <v>0</v>
      </c>
      <c r="L2701" s="99">
        <f t="shared" si="618"/>
        <v>0</v>
      </c>
      <c r="M2701" s="44" t="str">
        <f t="shared" si="620"/>
        <v/>
      </c>
      <c r="N2701" s="100">
        <f t="shared" si="621"/>
        <v>0</v>
      </c>
      <c r="O2701" s="101">
        <f t="shared" si="622"/>
        <v>0</v>
      </c>
      <c r="P2701" s="52">
        <f t="shared" si="623"/>
        <v>0</v>
      </c>
      <c r="Q2701" s="49">
        <v>116.88487613461319</v>
      </c>
      <c r="R2701">
        <v>2225</v>
      </c>
      <c r="S2701" s="50">
        <f t="shared" si="619"/>
        <v>71535.307499999995</v>
      </c>
      <c r="T2701" s="50">
        <f t="shared" si="624"/>
        <v>0</v>
      </c>
      <c r="U2701" s="58">
        <f t="shared" si="625"/>
        <v>0</v>
      </c>
      <c r="V2701" s="58">
        <f t="shared" si="626"/>
        <v>0</v>
      </c>
      <c r="W2701" s="58">
        <f t="shared" si="627"/>
        <v>0</v>
      </c>
      <c r="X2701" s="58">
        <f t="shared" si="628"/>
        <v>0</v>
      </c>
      <c r="Y2701" s="52">
        <f t="shared" si="629"/>
        <v>0</v>
      </c>
    </row>
    <row r="2702" spans="1:25" x14ac:dyDescent="0.25">
      <c r="A2702" s="1218" t="s">
        <v>92</v>
      </c>
      <c r="B2702" s="98">
        <v>45931</v>
      </c>
      <c r="C2702" s="117" t="str">
        <f t="shared" si="617"/>
        <v>3L</v>
      </c>
      <c r="F2702" s="99">
        <f t="shared" si="631"/>
        <v>0</v>
      </c>
      <c r="I2702" s="99">
        <f t="shared" si="630"/>
        <v>0</v>
      </c>
      <c r="L2702" s="99">
        <f t="shared" si="618"/>
        <v>0</v>
      </c>
      <c r="M2702" s="44" t="str">
        <f t="shared" si="620"/>
        <v/>
      </c>
      <c r="N2702" s="100">
        <f t="shared" si="621"/>
        <v>0</v>
      </c>
      <c r="O2702" s="101">
        <f t="shared" si="622"/>
        <v>0</v>
      </c>
      <c r="P2702" s="52">
        <f t="shared" si="623"/>
        <v>0</v>
      </c>
      <c r="Q2702" s="49">
        <v>116.88487613461319</v>
      </c>
      <c r="R2702">
        <v>2225</v>
      </c>
      <c r="S2702" s="50">
        <f t="shared" si="619"/>
        <v>71535.307499999995</v>
      </c>
      <c r="T2702" s="50">
        <f t="shared" si="624"/>
        <v>0</v>
      </c>
      <c r="U2702" s="58">
        <f t="shared" si="625"/>
        <v>0</v>
      </c>
      <c r="V2702" s="58">
        <f t="shared" si="626"/>
        <v>0</v>
      </c>
      <c r="W2702" s="58">
        <f t="shared" si="627"/>
        <v>0</v>
      </c>
      <c r="X2702" s="58">
        <f t="shared" si="628"/>
        <v>0</v>
      </c>
      <c r="Y2702" s="52">
        <f t="shared" si="629"/>
        <v>0</v>
      </c>
    </row>
    <row r="2703" spans="1:25" x14ac:dyDescent="0.25">
      <c r="A2703" s="1218" t="s">
        <v>93</v>
      </c>
      <c r="B2703" s="98">
        <v>45931</v>
      </c>
      <c r="C2703" s="117" t="str">
        <f t="shared" si="617"/>
        <v>3L</v>
      </c>
      <c r="D2703">
        <v>1053</v>
      </c>
      <c r="E2703">
        <v>1.58</v>
      </c>
      <c r="F2703" s="99">
        <f t="shared" si="631"/>
        <v>1.66374</v>
      </c>
      <c r="I2703" s="99">
        <f t="shared" si="630"/>
        <v>0</v>
      </c>
      <c r="L2703" s="99">
        <f t="shared" si="618"/>
        <v>0</v>
      </c>
      <c r="M2703" s="44" t="str">
        <f t="shared" si="620"/>
        <v/>
      </c>
      <c r="N2703" s="100">
        <f t="shared" si="621"/>
        <v>0</v>
      </c>
      <c r="O2703" s="101">
        <f t="shared" si="622"/>
        <v>0</v>
      </c>
      <c r="P2703" s="52">
        <f t="shared" si="623"/>
        <v>0</v>
      </c>
      <c r="Q2703" s="49">
        <v>116.88487613461319</v>
      </c>
      <c r="R2703">
        <v>2225</v>
      </c>
      <c r="S2703" s="50">
        <f t="shared" si="619"/>
        <v>71535.307499999995</v>
      </c>
      <c r="T2703" s="50">
        <f t="shared" si="624"/>
        <v>0</v>
      </c>
      <c r="U2703" s="58">
        <f t="shared" si="625"/>
        <v>0</v>
      </c>
      <c r="V2703" s="58">
        <f t="shared" si="626"/>
        <v>0</v>
      </c>
      <c r="W2703" s="58">
        <f t="shared" si="627"/>
        <v>0</v>
      </c>
      <c r="X2703" s="58">
        <f t="shared" si="628"/>
        <v>0</v>
      </c>
      <c r="Y2703" s="52">
        <f t="shared" si="629"/>
        <v>0</v>
      </c>
    </row>
    <row r="2704" spans="1:25" x14ac:dyDescent="0.25">
      <c r="A2704" s="1218" t="s">
        <v>94</v>
      </c>
      <c r="B2704" s="98">
        <v>45931</v>
      </c>
      <c r="C2704" s="117" t="str">
        <f t="shared" si="617"/>
        <v>3L</v>
      </c>
      <c r="D2704">
        <v>1798</v>
      </c>
      <c r="E2704">
        <v>2.2000000000000002</v>
      </c>
      <c r="F2704" s="99">
        <f t="shared" si="631"/>
        <v>3.9556000000000004</v>
      </c>
      <c r="I2704" s="99">
        <f t="shared" si="630"/>
        <v>0</v>
      </c>
      <c r="L2704" s="99">
        <f t="shared" si="618"/>
        <v>0</v>
      </c>
      <c r="M2704" s="44" t="str">
        <f t="shared" si="620"/>
        <v/>
      </c>
      <c r="N2704" s="100">
        <f t="shared" si="621"/>
        <v>0</v>
      </c>
      <c r="O2704" s="101">
        <f t="shared" si="622"/>
        <v>0</v>
      </c>
      <c r="P2704" s="52">
        <f t="shared" si="623"/>
        <v>0</v>
      </c>
      <c r="Q2704" s="49">
        <v>116.88487613461319</v>
      </c>
      <c r="R2704">
        <v>2225</v>
      </c>
      <c r="S2704" s="50">
        <f t="shared" si="619"/>
        <v>71535.307499999995</v>
      </c>
      <c r="T2704" s="50">
        <f t="shared" si="624"/>
        <v>0</v>
      </c>
      <c r="U2704" s="58">
        <f t="shared" si="625"/>
        <v>0</v>
      </c>
      <c r="V2704" s="58">
        <f t="shared" si="626"/>
        <v>0</v>
      </c>
      <c r="W2704" s="58">
        <f t="shared" si="627"/>
        <v>0</v>
      </c>
      <c r="X2704" s="58">
        <f t="shared" si="628"/>
        <v>0</v>
      </c>
      <c r="Y2704" s="52">
        <f t="shared" si="629"/>
        <v>0</v>
      </c>
    </row>
    <row r="2705" spans="1:25" x14ac:dyDescent="0.25">
      <c r="A2705" s="1218" t="s">
        <v>95</v>
      </c>
      <c r="B2705" s="98">
        <v>45931</v>
      </c>
      <c r="C2705" s="117" t="str">
        <f t="shared" si="617"/>
        <v>3L</v>
      </c>
      <c r="D2705" s="118">
        <v>1346</v>
      </c>
      <c r="E2705">
        <v>2.5299999999999998</v>
      </c>
      <c r="F2705" s="99">
        <f t="shared" si="631"/>
        <v>3.4053799999999996</v>
      </c>
      <c r="I2705" s="99">
        <f t="shared" si="630"/>
        <v>0</v>
      </c>
      <c r="L2705" s="99">
        <f t="shared" si="618"/>
        <v>0</v>
      </c>
      <c r="M2705" s="44" t="str">
        <f t="shared" si="620"/>
        <v/>
      </c>
      <c r="N2705" s="100">
        <f t="shared" si="621"/>
        <v>0</v>
      </c>
      <c r="O2705" s="101">
        <f t="shared" si="622"/>
        <v>0</v>
      </c>
      <c r="P2705" s="52">
        <f t="shared" si="623"/>
        <v>0</v>
      </c>
      <c r="Q2705" s="49">
        <v>116.88487613461319</v>
      </c>
      <c r="R2705">
        <v>2225</v>
      </c>
      <c r="S2705" s="50">
        <f t="shared" si="619"/>
        <v>71535.307499999995</v>
      </c>
      <c r="T2705" s="50">
        <f t="shared" si="624"/>
        <v>0</v>
      </c>
      <c r="U2705" s="58">
        <f t="shared" si="625"/>
        <v>0</v>
      </c>
      <c r="V2705" s="58">
        <f t="shared" si="626"/>
        <v>0</v>
      </c>
      <c r="W2705" s="58">
        <f t="shared" si="627"/>
        <v>0</v>
      </c>
      <c r="X2705" s="58">
        <f t="shared" si="628"/>
        <v>0</v>
      </c>
      <c r="Y2705" s="52">
        <f t="shared" si="629"/>
        <v>0</v>
      </c>
    </row>
    <row r="2706" spans="1:25" x14ac:dyDescent="0.25">
      <c r="A2706" s="1218" t="s">
        <v>96</v>
      </c>
      <c r="B2706" s="98">
        <v>45931</v>
      </c>
      <c r="C2706" s="117" t="str">
        <f t="shared" si="617"/>
        <v>3L</v>
      </c>
      <c r="F2706" s="99">
        <f t="shared" si="631"/>
        <v>0</v>
      </c>
      <c r="I2706" s="99">
        <f t="shared" si="630"/>
        <v>0</v>
      </c>
      <c r="L2706" s="99">
        <f t="shared" si="618"/>
        <v>0</v>
      </c>
      <c r="M2706" s="44" t="str">
        <f t="shared" si="620"/>
        <v/>
      </c>
      <c r="N2706" s="100">
        <f t="shared" si="621"/>
        <v>0</v>
      </c>
      <c r="O2706" s="101">
        <f t="shared" si="622"/>
        <v>0</v>
      </c>
      <c r="P2706" s="52">
        <f t="shared" si="623"/>
        <v>0</v>
      </c>
      <c r="Q2706" s="49">
        <v>116.88487613461319</v>
      </c>
      <c r="R2706">
        <v>2225</v>
      </c>
      <c r="S2706" s="50">
        <f t="shared" si="619"/>
        <v>71535.307499999995</v>
      </c>
      <c r="T2706" s="50">
        <f t="shared" si="624"/>
        <v>0</v>
      </c>
      <c r="U2706" s="58">
        <f t="shared" si="625"/>
        <v>0</v>
      </c>
      <c r="V2706" s="58">
        <f t="shared" si="626"/>
        <v>0</v>
      </c>
      <c r="W2706" s="58">
        <f t="shared" si="627"/>
        <v>0</v>
      </c>
      <c r="X2706" s="58">
        <f t="shared" si="628"/>
        <v>0</v>
      </c>
      <c r="Y2706" s="52">
        <f t="shared" si="629"/>
        <v>0</v>
      </c>
    </row>
    <row r="2707" spans="1:25" x14ac:dyDescent="0.25">
      <c r="A2707" s="1218" t="s">
        <v>97</v>
      </c>
      <c r="B2707" s="98">
        <v>45931</v>
      </c>
      <c r="C2707" s="117" t="str">
        <f t="shared" si="617"/>
        <v>4L</v>
      </c>
      <c r="F2707" s="99">
        <f t="shared" si="631"/>
        <v>0</v>
      </c>
      <c r="I2707" s="99">
        <f t="shared" si="630"/>
        <v>0</v>
      </c>
      <c r="L2707" s="99">
        <f t="shared" si="618"/>
        <v>0</v>
      </c>
      <c r="M2707" s="44" t="str">
        <f t="shared" si="620"/>
        <v/>
      </c>
      <c r="N2707" s="100">
        <f t="shared" si="621"/>
        <v>0</v>
      </c>
      <c r="O2707" s="101">
        <f t="shared" si="622"/>
        <v>0</v>
      </c>
      <c r="P2707" s="52">
        <f t="shared" si="623"/>
        <v>0</v>
      </c>
      <c r="Q2707" s="49">
        <v>116.88487613461319</v>
      </c>
      <c r="R2707">
        <v>2225</v>
      </c>
      <c r="S2707" s="50">
        <f t="shared" si="619"/>
        <v>71535.307499999995</v>
      </c>
      <c r="T2707" s="50">
        <f t="shared" si="624"/>
        <v>0</v>
      </c>
      <c r="U2707" s="58">
        <f t="shared" si="625"/>
        <v>0</v>
      </c>
      <c r="V2707" s="58">
        <f t="shared" si="626"/>
        <v>0</v>
      </c>
      <c r="W2707" s="58">
        <f t="shared" si="627"/>
        <v>0</v>
      </c>
      <c r="X2707" s="58">
        <f t="shared" si="628"/>
        <v>0</v>
      </c>
      <c r="Y2707" s="52">
        <f t="shared" si="629"/>
        <v>0</v>
      </c>
    </row>
    <row r="2708" spans="1:25" x14ac:dyDescent="0.25">
      <c r="A2708" s="1218" t="s">
        <v>98</v>
      </c>
      <c r="B2708" s="98">
        <v>45931</v>
      </c>
      <c r="C2708" s="117" t="str">
        <f t="shared" si="617"/>
        <v>4L</v>
      </c>
      <c r="F2708" s="99">
        <f t="shared" si="631"/>
        <v>0</v>
      </c>
      <c r="I2708" s="99">
        <f t="shared" si="630"/>
        <v>0</v>
      </c>
      <c r="L2708" s="99">
        <f t="shared" si="618"/>
        <v>0</v>
      </c>
      <c r="M2708" s="44" t="str">
        <f t="shared" si="620"/>
        <v/>
      </c>
      <c r="N2708" s="100">
        <f t="shared" si="621"/>
        <v>0</v>
      </c>
      <c r="O2708" s="101">
        <f t="shared" si="622"/>
        <v>0</v>
      </c>
      <c r="P2708" s="52">
        <f t="shared" si="623"/>
        <v>0</v>
      </c>
      <c r="Q2708" s="49">
        <v>116.88487613461319</v>
      </c>
      <c r="R2708">
        <v>2225</v>
      </c>
      <c r="S2708" s="50">
        <f t="shared" si="619"/>
        <v>71535.307499999995</v>
      </c>
      <c r="T2708" s="50">
        <f t="shared" si="624"/>
        <v>0</v>
      </c>
      <c r="U2708" s="58">
        <f t="shared" si="625"/>
        <v>0</v>
      </c>
      <c r="V2708" s="58">
        <f t="shared" si="626"/>
        <v>0</v>
      </c>
      <c r="W2708" s="58">
        <f t="shared" si="627"/>
        <v>0</v>
      </c>
      <c r="X2708" s="58">
        <f t="shared" si="628"/>
        <v>0</v>
      </c>
      <c r="Y2708" s="52">
        <f t="shared" si="629"/>
        <v>0</v>
      </c>
    </row>
    <row r="2709" spans="1:25" x14ac:dyDescent="0.25">
      <c r="A2709" s="1218" t="s">
        <v>99</v>
      </c>
      <c r="B2709" s="98">
        <v>45931</v>
      </c>
      <c r="C2709" s="117" t="str">
        <f t="shared" si="617"/>
        <v>4L</v>
      </c>
      <c r="F2709" s="99">
        <f t="shared" si="631"/>
        <v>0</v>
      </c>
      <c r="I2709" s="99">
        <f t="shared" si="630"/>
        <v>0</v>
      </c>
      <c r="L2709" s="99">
        <f t="shared" si="618"/>
        <v>0</v>
      </c>
      <c r="M2709" s="44" t="str">
        <f t="shared" si="620"/>
        <v/>
      </c>
      <c r="N2709" s="100">
        <f t="shared" si="621"/>
        <v>0</v>
      </c>
      <c r="O2709" s="101">
        <f t="shared" si="622"/>
        <v>0</v>
      </c>
      <c r="P2709" s="52">
        <f t="shared" si="623"/>
        <v>0</v>
      </c>
      <c r="Q2709" s="49">
        <v>116.88487613461319</v>
      </c>
      <c r="R2709">
        <v>2225</v>
      </c>
      <c r="S2709" s="50">
        <f t="shared" si="619"/>
        <v>71535.307499999995</v>
      </c>
      <c r="T2709" s="50">
        <f t="shared" si="624"/>
        <v>0</v>
      </c>
      <c r="U2709" s="58">
        <f t="shared" si="625"/>
        <v>0</v>
      </c>
      <c r="V2709" s="58">
        <f t="shared" si="626"/>
        <v>0</v>
      </c>
      <c r="W2709" s="58">
        <f t="shared" si="627"/>
        <v>0</v>
      </c>
      <c r="X2709" s="58">
        <f t="shared" si="628"/>
        <v>0</v>
      </c>
      <c r="Y2709" s="52">
        <f t="shared" si="629"/>
        <v>0</v>
      </c>
    </row>
    <row r="2710" spans="1:25" x14ac:dyDescent="0.25">
      <c r="A2710" s="1218" t="s">
        <v>100</v>
      </c>
      <c r="B2710" s="98">
        <v>45931</v>
      </c>
      <c r="C2710" s="117" t="str">
        <f t="shared" si="617"/>
        <v>4L</v>
      </c>
      <c r="F2710" s="99">
        <f t="shared" si="631"/>
        <v>0</v>
      </c>
      <c r="I2710" s="99">
        <f t="shared" si="630"/>
        <v>0</v>
      </c>
      <c r="L2710" s="99">
        <f t="shared" si="618"/>
        <v>0</v>
      </c>
      <c r="M2710" s="44" t="str">
        <f t="shared" si="620"/>
        <v/>
      </c>
      <c r="N2710" s="100">
        <f t="shared" si="621"/>
        <v>0</v>
      </c>
      <c r="O2710" s="101">
        <f t="shared" si="622"/>
        <v>0</v>
      </c>
      <c r="P2710" s="52">
        <f t="shared" si="623"/>
        <v>0</v>
      </c>
      <c r="Q2710" s="49">
        <v>116.88487613461319</v>
      </c>
      <c r="R2710">
        <v>2225</v>
      </c>
      <c r="S2710" s="50">
        <f t="shared" si="619"/>
        <v>71535.307499999995</v>
      </c>
      <c r="T2710" s="50">
        <f t="shared" si="624"/>
        <v>0</v>
      </c>
      <c r="U2710" s="58">
        <f t="shared" si="625"/>
        <v>0</v>
      </c>
      <c r="V2710" s="58">
        <f t="shared" si="626"/>
        <v>0</v>
      </c>
      <c r="W2710" s="58">
        <f t="shared" si="627"/>
        <v>0</v>
      </c>
      <c r="X2710" s="58">
        <f t="shared" si="628"/>
        <v>0</v>
      </c>
      <c r="Y2710" s="52">
        <f t="shared" si="629"/>
        <v>0</v>
      </c>
    </row>
    <row r="2711" spans="1:25" x14ac:dyDescent="0.25">
      <c r="A2711" s="1218" t="s">
        <v>101</v>
      </c>
      <c r="B2711" s="98">
        <v>45931</v>
      </c>
      <c r="C2711" s="117" t="str">
        <f t="shared" si="617"/>
        <v>4L</v>
      </c>
      <c r="F2711" s="99">
        <f t="shared" si="631"/>
        <v>0</v>
      </c>
      <c r="I2711" s="99">
        <f t="shared" si="630"/>
        <v>0</v>
      </c>
      <c r="L2711" s="99">
        <f t="shared" si="618"/>
        <v>0</v>
      </c>
      <c r="M2711" s="44" t="str">
        <f t="shared" si="620"/>
        <v/>
      </c>
      <c r="N2711" s="100">
        <f t="shared" si="621"/>
        <v>0</v>
      </c>
      <c r="O2711" s="101">
        <f t="shared" si="622"/>
        <v>0</v>
      </c>
      <c r="P2711" s="52">
        <f t="shared" si="623"/>
        <v>0</v>
      </c>
      <c r="Q2711" s="49">
        <v>116.88487613461319</v>
      </c>
      <c r="R2711">
        <v>2225</v>
      </c>
      <c r="S2711" s="50">
        <f t="shared" si="619"/>
        <v>71535.307499999995</v>
      </c>
      <c r="T2711" s="50">
        <f t="shared" si="624"/>
        <v>0</v>
      </c>
      <c r="U2711" s="58">
        <f t="shared" si="625"/>
        <v>0</v>
      </c>
      <c r="V2711" s="58">
        <f t="shared" si="626"/>
        <v>0</v>
      </c>
      <c r="W2711" s="58">
        <f t="shared" si="627"/>
        <v>0</v>
      </c>
      <c r="X2711" s="58">
        <f t="shared" si="628"/>
        <v>0</v>
      </c>
      <c r="Y2711" s="52">
        <f t="shared" si="629"/>
        <v>0</v>
      </c>
    </row>
    <row r="2712" spans="1:25" x14ac:dyDescent="0.25">
      <c r="A2712" s="1218" t="s">
        <v>102</v>
      </c>
      <c r="B2712" s="98">
        <v>45931</v>
      </c>
      <c r="C2712" s="117" t="str">
        <f t="shared" ref="C2712:C2776" si="632">LEFT(A2712,2)</f>
        <v>4L</v>
      </c>
      <c r="F2712" s="99">
        <f t="shared" si="631"/>
        <v>0</v>
      </c>
      <c r="I2712" s="99">
        <f t="shared" si="630"/>
        <v>0</v>
      </c>
      <c r="L2712" s="99">
        <f t="shared" si="618"/>
        <v>0</v>
      </c>
      <c r="M2712" s="44" t="str">
        <f t="shared" si="620"/>
        <v/>
      </c>
      <c r="N2712" s="100">
        <f t="shared" si="621"/>
        <v>0</v>
      </c>
      <c r="O2712" s="101">
        <f t="shared" si="622"/>
        <v>0</v>
      </c>
      <c r="P2712" s="52">
        <f t="shared" si="623"/>
        <v>0</v>
      </c>
      <c r="Q2712" s="49">
        <v>116.88487613461319</v>
      </c>
      <c r="R2712">
        <v>2225</v>
      </c>
      <c r="S2712" s="50">
        <f t="shared" si="619"/>
        <v>71535.307499999995</v>
      </c>
      <c r="T2712" s="50">
        <f t="shared" si="624"/>
        <v>0</v>
      </c>
      <c r="U2712" s="58">
        <f t="shared" si="625"/>
        <v>0</v>
      </c>
      <c r="V2712" s="58">
        <f t="shared" si="626"/>
        <v>0</v>
      </c>
      <c r="W2712" s="58">
        <f t="shared" si="627"/>
        <v>0</v>
      </c>
      <c r="X2712" s="58">
        <f t="shared" si="628"/>
        <v>0</v>
      </c>
      <c r="Y2712" s="52">
        <f t="shared" si="629"/>
        <v>0</v>
      </c>
    </row>
    <row r="2713" spans="1:25" x14ac:dyDescent="0.25">
      <c r="A2713" s="1218" t="s">
        <v>103</v>
      </c>
      <c r="B2713" s="98">
        <v>45931</v>
      </c>
      <c r="C2713" s="117" t="str">
        <f t="shared" si="632"/>
        <v>4L</v>
      </c>
      <c r="F2713" s="99">
        <f t="shared" si="631"/>
        <v>0</v>
      </c>
      <c r="I2713" s="99">
        <f t="shared" si="630"/>
        <v>0</v>
      </c>
      <c r="L2713" s="99">
        <f t="shared" si="618"/>
        <v>0</v>
      </c>
      <c r="M2713" s="44" t="str">
        <f t="shared" si="620"/>
        <v/>
      </c>
      <c r="N2713" s="100">
        <f t="shared" si="621"/>
        <v>0</v>
      </c>
      <c r="O2713" s="101">
        <f t="shared" si="622"/>
        <v>0</v>
      </c>
      <c r="P2713" s="52">
        <f t="shared" si="623"/>
        <v>0</v>
      </c>
      <c r="Q2713" s="49">
        <v>116.88487613461319</v>
      </c>
      <c r="R2713">
        <v>2225</v>
      </c>
      <c r="S2713" s="50">
        <f t="shared" si="619"/>
        <v>71535.307499999995</v>
      </c>
      <c r="T2713" s="50">
        <f t="shared" si="624"/>
        <v>0</v>
      </c>
      <c r="U2713" s="58">
        <f t="shared" si="625"/>
        <v>0</v>
      </c>
      <c r="V2713" s="58">
        <f t="shared" si="626"/>
        <v>0</v>
      </c>
      <c r="W2713" s="58">
        <f t="shared" si="627"/>
        <v>0</v>
      </c>
      <c r="X2713" s="58">
        <f t="shared" si="628"/>
        <v>0</v>
      </c>
      <c r="Y2713" s="52">
        <f t="shared" si="629"/>
        <v>0</v>
      </c>
    </row>
    <row r="2714" spans="1:25" x14ac:dyDescent="0.25">
      <c r="A2714" s="1218" t="s">
        <v>104</v>
      </c>
      <c r="B2714" s="98">
        <v>45931</v>
      </c>
      <c r="C2714" s="117" t="str">
        <f t="shared" si="632"/>
        <v>4L</v>
      </c>
      <c r="F2714" s="99">
        <f t="shared" si="631"/>
        <v>0</v>
      </c>
      <c r="I2714" s="99">
        <f t="shared" si="630"/>
        <v>0</v>
      </c>
      <c r="L2714" s="99">
        <f t="shared" si="618"/>
        <v>0</v>
      </c>
      <c r="M2714" s="44" t="str">
        <f t="shared" si="620"/>
        <v/>
      </c>
      <c r="N2714" s="100">
        <f t="shared" si="621"/>
        <v>0</v>
      </c>
      <c r="O2714" s="101">
        <f t="shared" si="622"/>
        <v>0</v>
      </c>
      <c r="P2714" s="52">
        <f t="shared" si="623"/>
        <v>0</v>
      </c>
      <c r="Q2714" s="49">
        <v>116.88487613461319</v>
      </c>
      <c r="R2714">
        <v>2225</v>
      </c>
      <c r="S2714" s="50">
        <f t="shared" si="619"/>
        <v>71535.307499999995</v>
      </c>
      <c r="T2714" s="50">
        <f t="shared" si="624"/>
        <v>0</v>
      </c>
      <c r="U2714" s="58">
        <f t="shared" si="625"/>
        <v>0</v>
      </c>
      <c r="V2714" s="58">
        <f t="shared" si="626"/>
        <v>0</v>
      </c>
      <c r="W2714" s="58">
        <f t="shared" si="627"/>
        <v>0</v>
      </c>
      <c r="X2714" s="58">
        <f t="shared" si="628"/>
        <v>0</v>
      </c>
      <c r="Y2714" s="52">
        <f t="shared" si="629"/>
        <v>0</v>
      </c>
    </row>
    <row r="2715" spans="1:25" x14ac:dyDescent="0.25">
      <c r="A2715" s="1218" t="s">
        <v>105</v>
      </c>
      <c r="B2715" s="98">
        <v>45931</v>
      </c>
      <c r="C2715" s="117" t="str">
        <f t="shared" si="632"/>
        <v>4L</v>
      </c>
      <c r="F2715" s="99">
        <f t="shared" si="631"/>
        <v>0</v>
      </c>
      <c r="I2715" s="99">
        <f t="shared" si="630"/>
        <v>0</v>
      </c>
      <c r="L2715" s="99">
        <f t="shared" si="618"/>
        <v>0</v>
      </c>
      <c r="M2715" s="44" t="str">
        <f t="shared" si="620"/>
        <v/>
      </c>
      <c r="N2715" s="100">
        <f t="shared" si="621"/>
        <v>0</v>
      </c>
      <c r="O2715" s="101">
        <f t="shared" si="622"/>
        <v>0</v>
      </c>
      <c r="P2715" s="52">
        <f t="shared" si="623"/>
        <v>0</v>
      </c>
      <c r="Q2715" s="49">
        <v>116.88487613461319</v>
      </c>
      <c r="R2715">
        <v>2225</v>
      </c>
      <c r="S2715" s="50">
        <f t="shared" si="619"/>
        <v>71535.307499999995</v>
      </c>
      <c r="T2715" s="50">
        <f t="shared" si="624"/>
        <v>0</v>
      </c>
      <c r="U2715" s="58">
        <f t="shared" si="625"/>
        <v>0</v>
      </c>
      <c r="V2715" s="58">
        <f t="shared" si="626"/>
        <v>0</v>
      </c>
      <c r="W2715" s="58">
        <f t="shared" si="627"/>
        <v>0</v>
      </c>
      <c r="X2715" s="58">
        <f t="shared" si="628"/>
        <v>0</v>
      </c>
      <c r="Y2715" s="52">
        <f t="shared" si="629"/>
        <v>0</v>
      </c>
    </row>
    <row r="2716" spans="1:25" x14ac:dyDescent="0.25">
      <c r="A2716" s="1218" t="s">
        <v>106</v>
      </c>
      <c r="B2716" s="98">
        <v>45931</v>
      </c>
      <c r="C2716" s="117" t="str">
        <f t="shared" si="632"/>
        <v>4L</v>
      </c>
      <c r="F2716" s="99">
        <f t="shared" si="631"/>
        <v>0</v>
      </c>
      <c r="I2716" s="99">
        <f t="shared" si="630"/>
        <v>0</v>
      </c>
      <c r="L2716" s="99">
        <f t="shared" si="618"/>
        <v>0</v>
      </c>
      <c r="M2716" s="44" t="str">
        <f t="shared" si="620"/>
        <v/>
      </c>
      <c r="N2716" s="100">
        <f t="shared" si="621"/>
        <v>0</v>
      </c>
      <c r="O2716" s="101">
        <f t="shared" si="622"/>
        <v>0</v>
      </c>
      <c r="P2716" s="52">
        <f t="shared" si="623"/>
        <v>0</v>
      </c>
      <c r="Q2716" s="49">
        <v>116.88487613461319</v>
      </c>
      <c r="R2716">
        <v>2225</v>
      </c>
      <c r="S2716" s="50">
        <f t="shared" si="619"/>
        <v>71535.307499999995</v>
      </c>
      <c r="T2716" s="50">
        <f t="shared" si="624"/>
        <v>0</v>
      </c>
      <c r="U2716" s="58">
        <f t="shared" si="625"/>
        <v>0</v>
      </c>
      <c r="V2716" s="58">
        <f t="shared" si="626"/>
        <v>0</v>
      </c>
      <c r="W2716" s="58">
        <f t="shared" si="627"/>
        <v>0</v>
      </c>
      <c r="X2716" s="58">
        <f t="shared" si="628"/>
        <v>0</v>
      </c>
      <c r="Y2716" s="52">
        <f t="shared" si="629"/>
        <v>0</v>
      </c>
    </row>
    <row r="2717" spans="1:25" x14ac:dyDescent="0.25">
      <c r="A2717" s="1218" t="s">
        <v>107</v>
      </c>
      <c r="B2717" s="98">
        <v>45931</v>
      </c>
      <c r="C2717" s="117" t="str">
        <f t="shared" si="632"/>
        <v>4L</v>
      </c>
      <c r="F2717" s="99">
        <f t="shared" si="631"/>
        <v>0</v>
      </c>
      <c r="I2717" s="99">
        <f t="shared" si="630"/>
        <v>0</v>
      </c>
      <c r="L2717" s="99">
        <f t="shared" si="618"/>
        <v>0</v>
      </c>
      <c r="M2717" s="44" t="str">
        <f t="shared" si="620"/>
        <v/>
      </c>
      <c r="N2717" s="100">
        <f t="shared" si="621"/>
        <v>0</v>
      </c>
      <c r="O2717" s="101">
        <f t="shared" si="622"/>
        <v>0</v>
      </c>
      <c r="P2717" s="52">
        <f t="shared" si="623"/>
        <v>0</v>
      </c>
      <c r="Q2717" s="49">
        <v>116.88487613461319</v>
      </c>
      <c r="R2717">
        <v>2225</v>
      </c>
      <c r="S2717" s="50">
        <f t="shared" si="619"/>
        <v>71535.307499999995</v>
      </c>
      <c r="T2717" s="50">
        <f t="shared" si="624"/>
        <v>0</v>
      </c>
      <c r="U2717" s="58">
        <f t="shared" si="625"/>
        <v>0</v>
      </c>
      <c r="V2717" s="58">
        <f t="shared" si="626"/>
        <v>0</v>
      </c>
      <c r="W2717" s="58">
        <f t="shared" si="627"/>
        <v>0</v>
      </c>
      <c r="X2717" s="58">
        <f t="shared" si="628"/>
        <v>0</v>
      </c>
      <c r="Y2717" s="52">
        <f t="shared" si="629"/>
        <v>0</v>
      </c>
    </row>
    <row r="2718" spans="1:25" x14ac:dyDescent="0.25">
      <c r="A2718" s="1218" t="s">
        <v>108</v>
      </c>
      <c r="B2718" s="98">
        <v>45931</v>
      </c>
      <c r="C2718" s="117" t="str">
        <f t="shared" si="632"/>
        <v>4L</v>
      </c>
      <c r="F2718" s="99">
        <f t="shared" si="631"/>
        <v>0</v>
      </c>
      <c r="I2718" s="99">
        <f t="shared" si="630"/>
        <v>0</v>
      </c>
      <c r="L2718" s="99">
        <f t="shared" si="618"/>
        <v>0</v>
      </c>
      <c r="M2718" s="44" t="str">
        <f t="shared" si="620"/>
        <v/>
      </c>
      <c r="N2718" s="100">
        <f t="shared" si="621"/>
        <v>0</v>
      </c>
      <c r="O2718" s="101">
        <f t="shared" si="622"/>
        <v>0</v>
      </c>
      <c r="P2718" s="52">
        <f t="shared" si="623"/>
        <v>0</v>
      </c>
      <c r="Q2718" s="49">
        <v>116.88487613461319</v>
      </c>
      <c r="R2718">
        <v>2225</v>
      </c>
      <c r="S2718" s="50">
        <f t="shared" si="619"/>
        <v>71535.307499999995</v>
      </c>
      <c r="T2718" s="50">
        <f t="shared" si="624"/>
        <v>0</v>
      </c>
      <c r="U2718" s="58">
        <f t="shared" si="625"/>
        <v>0</v>
      </c>
      <c r="V2718" s="58">
        <f t="shared" si="626"/>
        <v>0</v>
      </c>
      <c r="W2718" s="58">
        <f t="shared" si="627"/>
        <v>0</v>
      </c>
      <c r="X2718" s="58">
        <f t="shared" si="628"/>
        <v>0</v>
      </c>
      <c r="Y2718" s="52">
        <f t="shared" si="629"/>
        <v>0</v>
      </c>
    </row>
    <row r="2719" spans="1:25" x14ac:dyDescent="0.25">
      <c r="A2719" s="1218" t="s">
        <v>109</v>
      </c>
      <c r="B2719" s="98">
        <v>45931</v>
      </c>
      <c r="C2719" s="117" t="str">
        <f t="shared" si="632"/>
        <v>4L</v>
      </c>
      <c r="F2719" s="99">
        <f t="shared" si="631"/>
        <v>0</v>
      </c>
      <c r="I2719" s="99">
        <f t="shared" si="630"/>
        <v>0</v>
      </c>
      <c r="L2719" s="99">
        <f t="shared" si="618"/>
        <v>0</v>
      </c>
      <c r="M2719" s="44" t="str">
        <f t="shared" si="620"/>
        <v/>
      </c>
      <c r="N2719" s="100">
        <f t="shared" si="621"/>
        <v>0</v>
      </c>
      <c r="O2719" s="101">
        <f t="shared" si="622"/>
        <v>0</v>
      </c>
      <c r="P2719" s="52">
        <f t="shared" si="623"/>
        <v>0</v>
      </c>
      <c r="Q2719" s="49">
        <v>116.88487613461319</v>
      </c>
      <c r="R2719">
        <v>2225</v>
      </c>
      <c r="S2719" s="50">
        <f t="shared" si="619"/>
        <v>71535.307499999995</v>
      </c>
      <c r="T2719" s="50">
        <f t="shared" si="624"/>
        <v>0</v>
      </c>
      <c r="U2719" s="58">
        <f t="shared" si="625"/>
        <v>0</v>
      </c>
      <c r="V2719" s="58">
        <f t="shared" si="626"/>
        <v>0</v>
      </c>
      <c r="W2719" s="58">
        <f t="shared" si="627"/>
        <v>0</v>
      </c>
      <c r="X2719" s="58">
        <f t="shared" si="628"/>
        <v>0</v>
      </c>
      <c r="Y2719" s="52">
        <f t="shared" si="629"/>
        <v>0</v>
      </c>
    </row>
    <row r="2720" spans="1:25" x14ac:dyDescent="0.25">
      <c r="A2720" s="1218" t="s">
        <v>110</v>
      </c>
      <c r="B2720" s="98">
        <v>45931</v>
      </c>
      <c r="C2720" s="117" t="str">
        <f t="shared" si="632"/>
        <v>4L</v>
      </c>
      <c r="F2720" s="99">
        <f t="shared" si="631"/>
        <v>0</v>
      </c>
      <c r="I2720" s="99">
        <f t="shared" si="630"/>
        <v>0</v>
      </c>
      <c r="L2720" s="99">
        <f t="shared" si="618"/>
        <v>0</v>
      </c>
      <c r="M2720" s="44" t="str">
        <f t="shared" si="620"/>
        <v/>
      </c>
      <c r="N2720" s="100">
        <f t="shared" si="621"/>
        <v>0</v>
      </c>
      <c r="O2720" s="101">
        <f t="shared" si="622"/>
        <v>0</v>
      </c>
      <c r="P2720" s="52">
        <f t="shared" si="623"/>
        <v>0</v>
      </c>
      <c r="Q2720" s="49">
        <v>116.88487613461319</v>
      </c>
      <c r="R2720">
        <v>2225</v>
      </c>
      <c r="S2720" s="50">
        <f t="shared" si="619"/>
        <v>71535.307499999995</v>
      </c>
      <c r="T2720" s="50">
        <f t="shared" si="624"/>
        <v>0</v>
      </c>
      <c r="U2720" s="58">
        <f t="shared" si="625"/>
        <v>0</v>
      </c>
      <c r="V2720" s="58">
        <f t="shared" si="626"/>
        <v>0</v>
      </c>
      <c r="W2720" s="58">
        <f t="shared" si="627"/>
        <v>0</v>
      </c>
      <c r="X2720" s="58">
        <f t="shared" si="628"/>
        <v>0</v>
      </c>
      <c r="Y2720" s="52">
        <f t="shared" si="629"/>
        <v>0</v>
      </c>
    </row>
    <row r="2721" spans="1:25" x14ac:dyDescent="0.25">
      <c r="A2721" s="1218" t="s">
        <v>111</v>
      </c>
      <c r="B2721" s="98">
        <v>45931</v>
      </c>
      <c r="C2721" s="117" t="str">
        <f t="shared" si="632"/>
        <v>4L</v>
      </c>
      <c r="F2721" s="99">
        <f t="shared" si="631"/>
        <v>0</v>
      </c>
      <c r="I2721" s="99">
        <f t="shared" si="630"/>
        <v>0</v>
      </c>
      <c r="L2721" s="99">
        <f t="shared" si="618"/>
        <v>0</v>
      </c>
      <c r="M2721" s="44" t="str">
        <f t="shared" si="620"/>
        <v/>
      </c>
      <c r="N2721" s="100">
        <f t="shared" si="621"/>
        <v>0</v>
      </c>
      <c r="O2721" s="101">
        <f t="shared" si="622"/>
        <v>0</v>
      </c>
      <c r="P2721" s="52">
        <f t="shared" si="623"/>
        <v>0</v>
      </c>
      <c r="Q2721" s="49">
        <v>116.88487613461319</v>
      </c>
      <c r="R2721">
        <v>2225</v>
      </c>
      <c r="S2721" s="50">
        <f t="shared" si="619"/>
        <v>71535.307499999995</v>
      </c>
      <c r="T2721" s="50">
        <f t="shared" si="624"/>
        <v>0</v>
      </c>
      <c r="U2721" s="58">
        <f t="shared" si="625"/>
        <v>0</v>
      </c>
      <c r="V2721" s="58">
        <f t="shared" si="626"/>
        <v>0</v>
      </c>
      <c r="W2721" s="58">
        <f t="shared" si="627"/>
        <v>0</v>
      </c>
      <c r="X2721" s="58">
        <f t="shared" si="628"/>
        <v>0</v>
      </c>
      <c r="Y2721" s="52">
        <f t="shared" si="629"/>
        <v>0</v>
      </c>
    </row>
    <row r="2722" spans="1:25" x14ac:dyDescent="0.25">
      <c r="A2722" s="1218" t="s">
        <v>112</v>
      </c>
      <c r="B2722" s="98">
        <v>45931</v>
      </c>
      <c r="C2722" s="117" t="str">
        <f t="shared" si="632"/>
        <v>4L</v>
      </c>
      <c r="F2722" s="99">
        <f t="shared" si="631"/>
        <v>0</v>
      </c>
      <c r="I2722" s="99">
        <f t="shared" si="630"/>
        <v>0</v>
      </c>
      <c r="L2722" s="99">
        <f t="shared" si="618"/>
        <v>0</v>
      </c>
      <c r="M2722" s="44" t="str">
        <f t="shared" si="620"/>
        <v/>
      </c>
      <c r="N2722" s="100">
        <f t="shared" si="621"/>
        <v>0</v>
      </c>
      <c r="O2722" s="101">
        <f t="shared" si="622"/>
        <v>0</v>
      </c>
      <c r="P2722" s="52">
        <f t="shared" si="623"/>
        <v>0</v>
      </c>
      <c r="Q2722" s="49">
        <v>116.88487613461319</v>
      </c>
      <c r="R2722">
        <v>2225</v>
      </c>
      <c r="S2722" s="50">
        <f t="shared" si="619"/>
        <v>71535.307499999995</v>
      </c>
      <c r="T2722" s="50">
        <f t="shared" si="624"/>
        <v>0</v>
      </c>
      <c r="U2722" s="58">
        <f t="shared" si="625"/>
        <v>0</v>
      </c>
      <c r="V2722" s="58">
        <f t="shared" si="626"/>
        <v>0</v>
      </c>
      <c r="W2722" s="58">
        <f t="shared" si="627"/>
        <v>0</v>
      </c>
      <c r="X2722" s="58">
        <f t="shared" si="628"/>
        <v>0</v>
      </c>
      <c r="Y2722" s="52">
        <f t="shared" si="629"/>
        <v>0</v>
      </c>
    </row>
    <row r="2723" spans="1:25" x14ac:dyDescent="0.25">
      <c r="A2723" s="1218" t="s">
        <v>113</v>
      </c>
      <c r="B2723" s="98">
        <v>45931</v>
      </c>
      <c r="C2723" s="117" t="str">
        <f t="shared" si="632"/>
        <v>4L</v>
      </c>
      <c r="F2723" s="99">
        <f t="shared" si="631"/>
        <v>0</v>
      </c>
      <c r="I2723" s="99">
        <f t="shared" si="630"/>
        <v>0</v>
      </c>
      <c r="L2723" s="99">
        <f t="shared" si="618"/>
        <v>0</v>
      </c>
      <c r="M2723" s="44" t="str">
        <f t="shared" si="620"/>
        <v/>
      </c>
      <c r="N2723" s="100">
        <f t="shared" si="621"/>
        <v>0</v>
      </c>
      <c r="O2723" s="101">
        <f t="shared" si="622"/>
        <v>0</v>
      </c>
      <c r="P2723" s="52">
        <f t="shared" si="623"/>
        <v>0</v>
      </c>
      <c r="Q2723" s="49">
        <v>116.88487613461319</v>
      </c>
      <c r="R2723">
        <v>2225</v>
      </c>
      <c r="S2723" s="50">
        <f t="shared" si="619"/>
        <v>71535.307499999995</v>
      </c>
      <c r="T2723" s="50">
        <f t="shared" si="624"/>
        <v>0</v>
      </c>
      <c r="U2723" s="58">
        <f t="shared" si="625"/>
        <v>0</v>
      </c>
      <c r="V2723" s="58">
        <f t="shared" si="626"/>
        <v>0</v>
      </c>
      <c r="W2723" s="58">
        <f t="shared" si="627"/>
        <v>0</v>
      </c>
      <c r="X2723" s="58">
        <f t="shared" si="628"/>
        <v>0</v>
      </c>
      <c r="Y2723" s="52">
        <f t="shared" si="629"/>
        <v>0</v>
      </c>
    </row>
    <row r="2724" spans="1:25" x14ac:dyDescent="0.25">
      <c r="A2724" s="1218" t="s">
        <v>114</v>
      </c>
      <c r="B2724" s="98">
        <v>45931</v>
      </c>
      <c r="C2724" s="117" t="str">
        <f t="shared" si="632"/>
        <v>4L</v>
      </c>
      <c r="F2724" s="99">
        <f t="shared" si="631"/>
        <v>0</v>
      </c>
      <c r="I2724" s="99">
        <f t="shared" si="630"/>
        <v>0</v>
      </c>
      <c r="L2724" s="99">
        <f t="shared" si="618"/>
        <v>0</v>
      </c>
      <c r="M2724" s="44" t="str">
        <f t="shared" si="620"/>
        <v/>
      </c>
      <c r="N2724" s="100">
        <f t="shared" si="621"/>
        <v>0</v>
      </c>
      <c r="O2724" s="101">
        <f t="shared" si="622"/>
        <v>0</v>
      </c>
      <c r="P2724" s="52">
        <f t="shared" si="623"/>
        <v>0</v>
      </c>
      <c r="Q2724" s="49">
        <v>116.88487613461319</v>
      </c>
      <c r="R2724">
        <v>2225</v>
      </c>
      <c r="S2724" s="50">
        <f t="shared" si="619"/>
        <v>71535.307499999995</v>
      </c>
      <c r="T2724" s="50">
        <f t="shared" si="624"/>
        <v>0</v>
      </c>
      <c r="U2724" s="58">
        <f t="shared" si="625"/>
        <v>0</v>
      </c>
      <c r="V2724" s="58">
        <f t="shared" si="626"/>
        <v>0</v>
      </c>
      <c r="W2724" s="58">
        <f t="shared" si="627"/>
        <v>0</v>
      </c>
      <c r="X2724" s="58">
        <f t="shared" si="628"/>
        <v>0</v>
      </c>
      <c r="Y2724" s="52">
        <f t="shared" si="629"/>
        <v>0</v>
      </c>
    </row>
    <row r="2725" spans="1:25" x14ac:dyDescent="0.25">
      <c r="A2725" s="1218" t="s">
        <v>115</v>
      </c>
      <c r="B2725" s="98">
        <v>45931</v>
      </c>
      <c r="C2725" s="117" t="str">
        <f t="shared" si="632"/>
        <v>4L</v>
      </c>
      <c r="F2725" s="99">
        <f t="shared" si="631"/>
        <v>0</v>
      </c>
      <c r="I2725" s="99">
        <f t="shared" si="630"/>
        <v>0</v>
      </c>
      <c r="L2725" s="99">
        <f t="shared" si="618"/>
        <v>0</v>
      </c>
      <c r="M2725" s="44" t="str">
        <f t="shared" si="620"/>
        <v/>
      </c>
      <c r="N2725" s="100">
        <f t="shared" si="621"/>
        <v>0</v>
      </c>
      <c r="O2725" s="101">
        <f t="shared" si="622"/>
        <v>0</v>
      </c>
      <c r="P2725" s="52">
        <f t="shared" si="623"/>
        <v>0</v>
      </c>
      <c r="Q2725" s="49">
        <v>116.88487613461319</v>
      </c>
      <c r="R2725">
        <v>2225</v>
      </c>
      <c r="S2725" s="50">
        <f t="shared" si="619"/>
        <v>71535.307499999995</v>
      </c>
      <c r="T2725" s="50">
        <f t="shared" si="624"/>
        <v>0</v>
      </c>
      <c r="U2725" s="58">
        <f t="shared" si="625"/>
        <v>0</v>
      </c>
      <c r="V2725" s="58">
        <f t="shared" si="626"/>
        <v>0</v>
      </c>
      <c r="W2725" s="58">
        <f t="shared" si="627"/>
        <v>0</v>
      </c>
      <c r="X2725" s="58">
        <f t="shared" si="628"/>
        <v>0</v>
      </c>
      <c r="Y2725" s="52">
        <f t="shared" si="629"/>
        <v>0</v>
      </c>
    </row>
    <row r="2726" spans="1:25" x14ac:dyDescent="0.25">
      <c r="A2726" s="1218" t="s">
        <v>116</v>
      </c>
      <c r="B2726" s="98">
        <v>45931</v>
      </c>
      <c r="C2726" s="117" t="str">
        <f t="shared" si="632"/>
        <v>4L</v>
      </c>
      <c r="F2726" s="99">
        <f t="shared" si="631"/>
        <v>0</v>
      </c>
      <c r="I2726" s="99">
        <f t="shared" si="630"/>
        <v>0</v>
      </c>
      <c r="L2726" s="99">
        <f t="shared" si="618"/>
        <v>0</v>
      </c>
      <c r="M2726" s="44" t="str">
        <f t="shared" si="620"/>
        <v/>
      </c>
      <c r="N2726" s="100">
        <f t="shared" si="621"/>
        <v>0</v>
      </c>
      <c r="O2726" s="101">
        <f t="shared" si="622"/>
        <v>0</v>
      </c>
      <c r="P2726" s="52">
        <f t="shared" si="623"/>
        <v>0</v>
      </c>
      <c r="Q2726" s="49">
        <v>116.88487613461319</v>
      </c>
      <c r="R2726">
        <v>2225</v>
      </c>
      <c r="S2726" s="50">
        <f t="shared" si="619"/>
        <v>71535.307499999995</v>
      </c>
      <c r="T2726" s="50">
        <f t="shared" si="624"/>
        <v>0</v>
      </c>
      <c r="U2726" s="58">
        <f t="shared" si="625"/>
        <v>0</v>
      </c>
      <c r="V2726" s="58">
        <f t="shared" si="626"/>
        <v>0</v>
      </c>
      <c r="W2726" s="58">
        <f t="shared" si="627"/>
        <v>0</v>
      </c>
      <c r="X2726" s="58">
        <f t="shared" si="628"/>
        <v>0</v>
      </c>
      <c r="Y2726" s="52">
        <f t="shared" si="629"/>
        <v>0</v>
      </c>
    </row>
    <row r="2727" spans="1:25" x14ac:dyDescent="0.25">
      <c r="A2727" s="1218" t="s">
        <v>117</v>
      </c>
      <c r="B2727" s="98">
        <v>45931</v>
      </c>
      <c r="C2727" s="117" t="str">
        <f t="shared" si="632"/>
        <v>4L</v>
      </c>
      <c r="F2727" s="99">
        <f t="shared" si="631"/>
        <v>0</v>
      </c>
      <c r="I2727" s="99">
        <f t="shared" si="630"/>
        <v>0</v>
      </c>
      <c r="L2727" s="99">
        <f t="shared" si="618"/>
        <v>0</v>
      </c>
      <c r="M2727" s="44" t="str">
        <f t="shared" si="620"/>
        <v/>
      </c>
      <c r="N2727" s="100">
        <f t="shared" si="621"/>
        <v>0</v>
      </c>
      <c r="O2727" s="101">
        <f t="shared" si="622"/>
        <v>0</v>
      </c>
      <c r="P2727" s="52">
        <f t="shared" si="623"/>
        <v>0</v>
      </c>
      <c r="Q2727" s="49">
        <v>116.88487613461319</v>
      </c>
      <c r="R2727">
        <v>2225</v>
      </c>
      <c r="S2727" s="50">
        <f t="shared" si="619"/>
        <v>71535.307499999995</v>
      </c>
      <c r="T2727" s="50">
        <f t="shared" si="624"/>
        <v>0</v>
      </c>
      <c r="U2727" s="58">
        <f t="shared" si="625"/>
        <v>0</v>
      </c>
      <c r="V2727" s="58">
        <f t="shared" si="626"/>
        <v>0</v>
      </c>
      <c r="W2727" s="58">
        <f t="shared" si="627"/>
        <v>0</v>
      </c>
      <c r="X2727" s="58">
        <f t="shared" si="628"/>
        <v>0</v>
      </c>
      <c r="Y2727" s="52">
        <f t="shared" si="629"/>
        <v>0</v>
      </c>
    </row>
    <row r="2728" spans="1:25" x14ac:dyDescent="0.25">
      <c r="A2728" s="1218" t="s">
        <v>118</v>
      </c>
      <c r="B2728" s="98">
        <v>45931</v>
      </c>
      <c r="C2728" s="117" t="str">
        <f t="shared" si="632"/>
        <v>4L</v>
      </c>
      <c r="F2728" s="99">
        <f t="shared" si="631"/>
        <v>0</v>
      </c>
      <c r="I2728" s="99">
        <f t="shared" si="630"/>
        <v>0</v>
      </c>
      <c r="L2728" s="99">
        <f t="shared" si="618"/>
        <v>0</v>
      </c>
      <c r="M2728" s="44" t="str">
        <f t="shared" si="620"/>
        <v/>
      </c>
      <c r="N2728" s="100">
        <f t="shared" si="621"/>
        <v>0</v>
      </c>
      <c r="O2728" s="101">
        <f t="shared" si="622"/>
        <v>0</v>
      </c>
      <c r="P2728" s="52">
        <f t="shared" si="623"/>
        <v>0</v>
      </c>
      <c r="Q2728" s="49">
        <v>116.88487613461319</v>
      </c>
      <c r="R2728">
        <v>2225</v>
      </c>
      <c r="S2728" s="50">
        <f t="shared" si="619"/>
        <v>71535.307499999995</v>
      </c>
      <c r="T2728" s="50">
        <f t="shared" si="624"/>
        <v>0</v>
      </c>
      <c r="U2728" s="58">
        <f t="shared" si="625"/>
        <v>0</v>
      </c>
      <c r="V2728" s="58">
        <f t="shared" si="626"/>
        <v>0</v>
      </c>
      <c r="W2728" s="58">
        <f t="shared" si="627"/>
        <v>0</v>
      </c>
      <c r="X2728" s="58">
        <f t="shared" si="628"/>
        <v>0</v>
      </c>
      <c r="Y2728" s="52">
        <f t="shared" si="629"/>
        <v>0</v>
      </c>
    </row>
    <row r="2729" spans="1:25" x14ac:dyDescent="0.25">
      <c r="A2729" s="1218" t="s">
        <v>119</v>
      </c>
      <c r="B2729" s="98">
        <v>45931</v>
      </c>
      <c r="C2729" s="117" t="str">
        <f t="shared" si="632"/>
        <v>4L</v>
      </c>
      <c r="F2729" s="99">
        <f t="shared" si="631"/>
        <v>0</v>
      </c>
      <c r="I2729" s="99">
        <f t="shared" si="630"/>
        <v>0</v>
      </c>
      <c r="L2729" s="99">
        <f t="shared" si="618"/>
        <v>0</v>
      </c>
      <c r="M2729" s="44" t="str">
        <f t="shared" si="620"/>
        <v/>
      </c>
      <c r="N2729" s="100">
        <f t="shared" si="621"/>
        <v>0</v>
      </c>
      <c r="O2729" s="101">
        <f t="shared" si="622"/>
        <v>0</v>
      </c>
      <c r="P2729" s="52">
        <f t="shared" si="623"/>
        <v>0</v>
      </c>
      <c r="Q2729" s="49">
        <v>116.88487613461319</v>
      </c>
      <c r="R2729">
        <v>2225</v>
      </c>
      <c r="S2729" s="50">
        <f t="shared" si="619"/>
        <v>71535.307499999995</v>
      </c>
      <c r="T2729" s="50">
        <f t="shared" si="624"/>
        <v>0</v>
      </c>
      <c r="U2729" s="58">
        <f t="shared" si="625"/>
        <v>0</v>
      </c>
      <c r="V2729" s="58">
        <f t="shared" si="626"/>
        <v>0</v>
      </c>
      <c r="W2729" s="58">
        <f t="shared" si="627"/>
        <v>0</v>
      </c>
      <c r="X2729" s="58">
        <f t="shared" si="628"/>
        <v>0</v>
      </c>
      <c r="Y2729" s="52">
        <f t="shared" si="629"/>
        <v>0</v>
      </c>
    </row>
    <row r="2730" spans="1:25" x14ac:dyDescent="0.25">
      <c r="A2730" s="1218" t="s">
        <v>120</v>
      </c>
      <c r="B2730" s="98">
        <v>45931</v>
      </c>
      <c r="C2730" s="117" t="str">
        <f t="shared" si="632"/>
        <v>4L</v>
      </c>
      <c r="F2730" s="99">
        <f t="shared" si="631"/>
        <v>0</v>
      </c>
      <c r="I2730" s="99">
        <f t="shared" si="630"/>
        <v>0</v>
      </c>
      <c r="L2730" s="99">
        <f t="shared" si="618"/>
        <v>0</v>
      </c>
      <c r="M2730" s="44" t="str">
        <f t="shared" si="620"/>
        <v/>
      </c>
      <c r="N2730" s="100">
        <f t="shared" si="621"/>
        <v>0</v>
      </c>
      <c r="O2730" s="101">
        <f t="shared" si="622"/>
        <v>0</v>
      </c>
      <c r="P2730" s="52">
        <f t="shared" si="623"/>
        <v>0</v>
      </c>
      <c r="Q2730" s="49">
        <v>116.88487613461319</v>
      </c>
      <c r="R2730">
        <v>2225</v>
      </c>
      <c r="S2730" s="50">
        <f t="shared" si="619"/>
        <v>71535.307499999995</v>
      </c>
      <c r="T2730" s="50">
        <f t="shared" si="624"/>
        <v>0</v>
      </c>
      <c r="U2730" s="58">
        <f t="shared" si="625"/>
        <v>0</v>
      </c>
      <c r="V2730" s="58">
        <f t="shared" si="626"/>
        <v>0</v>
      </c>
      <c r="W2730" s="58">
        <f t="shared" si="627"/>
        <v>0</v>
      </c>
      <c r="X2730" s="58">
        <f t="shared" si="628"/>
        <v>0</v>
      </c>
      <c r="Y2730" s="52">
        <f t="shared" si="629"/>
        <v>0</v>
      </c>
    </row>
    <row r="2731" spans="1:25" x14ac:dyDescent="0.25">
      <c r="A2731" s="1218" t="s">
        <v>121</v>
      </c>
      <c r="B2731" s="98">
        <v>45931</v>
      </c>
      <c r="C2731" s="117" t="str">
        <f t="shared" si="632"/>
        <v>4L</v>
      </c>
      <c r="F2731" s="99">
        <f t="shared" si="631"/>
        <v>0</v>
      </c>
      <c r="I2731" s="99">
        <f t="shared" si="630"/>
        <v>0</v>
      </c>
      <c r="L2731" s="99">
        <f t="shared" ref="L2731:L2799" si="633">IFERROR(J2731*K2731/1000,"")</f>
        <v>0</v>
      </c>
      <c r="M2731" s="44" t="str">
        <f t="shared" si="620"/>
        <v/>
      </c>
      <c r="N2731" s="100">
        <f t="shared" si="621"/>
        <v>0</v>
      </c>
      <c r="O2731" s="101">
        <f t="shared" si="622"/>
        <v>0</v>
      </c>
      <c r="P2731" s="52">
        <f t="shared" si="623"/>
        <v>0</v>
      </c>
      <c r="Q2731" s="49">
        <v>116.88487613461319</v>
      </c>
      <c r="R2731">
        <v>2225</v>
      </c>
      <c r="S2731" s="50">
        <f t="shared" ref="S2731:S2799" si="634">R2731*32.1507</f>
        <v>71535.307499999995</v>
      </c>
      <c r="T2731" s="50">
        <f t="shared" si="624"/>
        <v>0</v>
      </c>
      <c r="U2731" s="58">
        <f t="shared" si="625"/>
        <v>0</v>
      </c>
      <c r="V2731" s="58">
        <f t="shared" si="626"/>
        <v>0</v>
      </c>
      <c r="W2731" s="58">
        <f t="shared" si="627"/>
        <v>0</v>
      </c>
      <c r="X2731" s="58">
        <f t="shared" si="628"/>
        <v>0</v>
      </c>
      <c r="Y2731" s="52">
        <f t="shared" si="629"/>
        <v>0</v>
      </c>
    </row>
    <row r="2732" spans="1:25" x14ac:dyDescent="0.25">
      <c r="A2732" s="1218" t="s">
        <v>122</v>
      </c>
      <c r="B2732" s="98">
        <v>45931</v>
      </c>
      <c r="C2732" s="117" t="str">
        <f t="shared" si="632"/>
        <v>4L</v>
      </c>
      <c r="F2732" s="99">
        <f t="shared" si="631"/>
        <v>0</v>
      </c>
      <c r="I2732" s="99">
        <f t="shared" si="630"/>
        <v>0</v>
      </c>
      <c r="L2732" s="99">
        <f t="shared" si="633"/>
        <v>0</v>
      </c>
      <c r="M2732" s="44" t="str">
        <f t="shared" si="620"/>
        <v/>
      </c>
      <c r="N2732" s="100">
        <f t="shared" si="621"/>
        <v>0</v>
      </c>
      <c r="O2732" s="101">
        <f t="shared" si="622"/>
        <v>0</v>
      </c>
      <c r="P2732" s="52">
        <f t="shared" si="623"/>
        <v>0</v>
      </c>
      <c r="Q2732" s="49">
        <v>116.88487613461319</v>
      </c>
      <c r="R2732">
        <v>2225</v>
      </c>
      <c r="S2732" s="50">
        <f t="shared" si="634"/>
        <v>71535.307499999995</v>
      </c>
      <c r="T2732" s="50">
        <f t="shared" si="624"/>
        <v>0</v>
      </c>
      <c r="U2732" s="58">
        <f t="shared" si="625"/>
        <v>0</v>
      </c>
      <c r="V2732" s="58">
        <f t="shared" si="626"/>
        <v>0</v>
      </c>
      <c r="W2732" s="58">
        <f t="shared" si="627"/>
        <v>0</v>
      </c>
      <c r="X2732" s="58">
        <f t="shared" si="628"/>
        <v>0</v>
      </c>
      <c r="Y2732" s="52">
        <f t="shared" si="629"/>
        <v>0</v>
      </c>
    </row>
    <row r="2733" spans="1:25" x14ac:dyDescent="0.25">
      <c r="A2733" s="1218" t="s">
        <v>123</v>
      </c>
      <c r="B2733" s="98">
        <v>45931</v>
      </c>
      <c r="C2733" s="117" t="str">
        <f t="shared" si="632"/>
        <v>4L</v>
      </c>
      <c r="F2733" s="99">
        <f t="shared" si="631"/>
        <v>0</v>
      </c>
      <c r="I2733" s="99">
        <f t="shared" si="630"/>
        <v>0</v>
      </c>
      <c r="L2733" s="99">
        <f t="shared" si="633"/>
        <v>0</v>
      </c>
      <c r="M2733" s="44" t="str">
        <f t="shared" ref="M2733:M2801" si="635">IFERROR((L2733-I2733)/I2733,"")</f>
        <v/>
      </c>
      <c r="N2733" s="100">
        <f t="shared" ref="N2733:N2801" si="636">J2733-G2733</f>
        <v>0</v>
      </c>
      <c r="O2733" s="101">
        <f t="shared" ref="O2733:O2801" si="637">L2733-I2733</f>
        <v>0</v>
      </c>
      <c r="P2733" s="52">
        <f t="shared" ref="P2733:P2801" si="638">U2733-W2733</f>
        <v>0</v>
      </c>
      <c r="Q2733" s="49">
        <v>116.88487613461319</v>
      </c>
      <c r="R2733">
        <v>2225</v>
      </c>
      <c r="S2733" s="50">
        <f t="shared" si="634"/>
        <v>71535.307499999995</v>
      </c>
      <c r="T2733" s="50">
        <f t="shared" ref="T2733:T2801" si="639">IFERROR(S2733*I2733,"")</f>
        <v>0</v>
      </c>
      <c r="U2733" s="58">
        <f t="shared" ref="U2733:U2801" si="640">IFERROR(S2733*L2733,"")</f>
        <v>0</v>
      </c>
      <c r="V2733" s="58">
        <f t="shared" ref="V2733:V2801" si="641">IFERROR(Q2733*G2733,"")</f>
        <v>0</v>
      </c>
      <c r="W2733" s="58">
        <f t="shared" ref="W2733:W2801" si="642">IFERROR(Q2733*J2733,"")</f>
        <v>0</v>
      </c>
      <c r="X2733" s="58">
        <f t="shared" ref="X2733:X2801" si="643">T2733-V2733</f>
        <v>0</v>
      </c>
      <c r="Y2733" s="52">
        <f t="shared" ref="Y2733:Y2801" si="644">U2733-W2733</f>
        <v>0</v>
      </c>
    </row>
    <row r="2734" spans="1:25" x14ac:dyDescent="0.25">
      <c r="A2734" s="1218" t="s">
        <v>124</v>
      </c>
      <c r="B2734" s="98">
        <v>45931</v>
      </c>
      <c r="C2734" s="117" t="str">
        <f t="shared" si="632"/>
        <v>4L</v>
      </c>
      <c r="F2734" s="99">
        <f t="shared" si="631"/>
        <v>0</v>
      </c>
      <c r="I2734" s="99">
        <f t="shared" si="630"/>
        <v>0</v>
      </c>
      <c r="L2734" s="99">
        <f t="shared" si="633"/>
        <v>0</v>
      </c>
      <c r="M2734" s="44" t="str">
        <f t="shared" si="635"/>
        <v/>
      </c>
      <c r="N2734" s="100">
        <f t="shared" si="636"/>
        <v>0</v>
      </c>
      <c r="O2734" s="101">
        <f t="shared" si="637"/>
        <v>0</v>
      </c>
      <c r="P2734" s="52">
        <f t="shared" si="638"/>
        <v>0</v>
      </c>
      <c r="Q2734" s="49">
        <v>116.88487613461319</v>
      </c>
      <c r="R2734">
        <v>2225</v>
      </c>
      <c r="S2734" s="50">
        <f t="shared" si="634"/>
        <v>71535.307499999995</v>
      </c>
      <c r="T2734" s="50">
        <f t="shared" si="639"/>
        <v>0</v>
      </c>
      <c r="U2734" s="58">
        <f t="shared" si="640"/>
        <v>0</v>
      </c>
      <c r="V2734" s="58">
        <f t="shared" si="641"/>
        <v>0</v>
      </c>
      <c r="W2734" s="58">
        <f t="shared" si="642"/>
        <v>0</v>
      </c>
      <c r="X2734" s="58">
        <f t="shared" si="643"/>
        <v>0</v>
      </c>
      <c r="Y2734" s="52">
        <f t="shared" si="644"/>
        <v>0</v>
      </c>
    </row>
    <row r="2735" spans="1:25" x14ac:dyDescent="0.25">
      <c r="A2735" s="1218" t="s">
        <v>125</v>
      </c>
      <c r="B2735" s="98">
        <v>45931</v>
      </c>
      <c r="C2735" s="117" t="str">
        <f t="shared" si="632"/>
        <v>4L</v>
      </c>
      <c r="F2735" s="99">
        <f t="shared" si="631"/>
        <v>0</v>
      </c>
      <c r="I2735" s="99">
        <f t="shared" si="630"/>
        <v>0</v>
      </c>
      <c r="L2735" s="99">
        <f t="shared" si="633"/>
        <v>0</v>
      </c>
      <c r="M2735" s="44" t="str">
        <f t="shared" si="635"/>
        <v/>
      </c>
      <c r="N2735" s="100">
        <f t="shared" si="636"/>
        <v>0</v>
      </c>
      <c r="O2735" s="101">
        <f t="shared" si="637"/>
        <v>0</v>
      </c>
      <c r="P2735" s="52">
        <f t="shared" si="638"/>
        <v>0</v>
      </c>
      <c r="Q2735" s="49">
        <v>116.88487613461319</v>
      </c>
      <c r="R2735">
        <v>2225</v>
      </c>
      <c r="S2735" s="50">
        <f t="shared" si="634"/>
        <v>71535.307499999995</v>
      </c>
      <c r="T2735" s="50">
        <f t="shared" si="639"/>
        <v>0</v>
      </c>
      <c r="U2735" s="58">
        <f t="shared" si="640"/>
        <v>0</v>
      </c>
      <c r="V2735" s="58">
        <f t="shared" si="641"/>
        <v>0</v>
      </c>
      <c r="W2735" s="58">
        <f t="shared" si="642"/>
        <v>0</v>
      </c>
      <c r="X2735" s="58">
        <f t="shared" si="643"/>
        <v>0</v>
      </c>
      <c r="Y2735" s="52">
        <f t="shared" si="644"/>
        <v>0</v>
      </c>
    </row>
    <row r="2736" spans="1:25" x14ac:dyDescent="0.25">
      <c r="A2736" s="1218" t="s">
        <v>126</v>
      </c>
      <c r="B2736" s="98">
        <v>45931</v>
      </c>
      <c r="C2736" s="117" t="str">
        <f t="shared" ref="C2736:C2737" si="645">LEFT(A2736,2)</f>
        <v>4L</v>
      </c>
      <c r="F2736" s="99"/>
      <c r="I2736" s="99"/>
      <c r="L2736" s="99"/>
      <c r="M2736" s="44"/>
      <c r="N2736" s="100"/>
      <c r="O2736" s="101"/>
      <c r="P2736" s="52"/>
      <c r="Q2736" s="49"/>
      <c r="S2736" s="50"/>
      <c r="T2736" s="50"/>
      <c r="U2736" s="58"/>
      <c r="V2736" s="58"/>
      <c r="W2736" s="58"/>
      <c r="X2736" s="58"/>
      <c r="Y2736" s="52"/>
    </row>
    <row r="2737" spans="1:25" x14ac:dyDescent="0.25">
      <c r="A2737" s="1218" t="s">
        <v>127</v>
      </c>
      <c r="B2737" s="98">
        <v>45931</v>
      </c>
      <c r="C2737" s="117" t="str">
        <f t="shared" si="645"/>
        <v>4L</v>
      </c>
      <c r="F2737" s="99">
        <f t="shared" si="631"/>
        <v>0</v>
      </c>
      <c r="I2737" s="99">
        <f t="shared" si="630"/>
        <v>0</v>
      </c>
      <c r="L2737" s="99"/>
      <c r="M2737" s="44"/>
      <c r="N2737" s="100"/>
      <c r="O2737" s="101"/>
      <c r="P2737" s="52"/>
      <c r="Q2737" s="49"/>
      <c r="S2737" s="50"/>
      <c r="T2737" s="50"/>
      <c r="U2737" s="58"/>
      <c r="V2737" s="58"/>
      <c r="W2737" s="58"/>
      <c r="X2737" s="58"/>
      <c r="Y2737" s="52"/>
    </row>
    <row r="2738" spans="1:25" x14ac:dyDescent="0.25">
      <c r="A2738" s="1218" t="s">
        <v>128</v>
      </c>
      <c r="B2738" s="98">
        <v>45931</v>
      </c>
      <c r="C2738" s="117" t="str">
        <f t="shared" si="632"/>
        <v>4L</v>
      </c>
      <c r="F2738" s="99">
        <f t="shared" si="631"/>
        <v>0</v>
      </c>
      <c r="I2738" s="99">
        <f t="shared" si="630"/>
        <v>0</v>
      </c>
      <c r="L2738" s="99"/>
      <c r="M2738" s="44"/>
      <c r="N2738" s="100"/>
      <c r="O2738" s="101"/>
      <c r="P2738" s="52"/>
      <c r="Q2738" s="49"/>
      <c r="S2738" s="50"/>
      <c r="T2738" s="50"/>
      <c r="U2738" s="58"/>
      <c r="V2738" s="58"/>
      <c r="W2738" s="58"/>
      <c r="X2738" s="58"/>
      <c r="Y2738" s="52"/>
    </row>
    <row r="2739" spans="1:25" x14ac:dyDescent="0.25">
      <c r="A2739" s="1218" t="s">
        <v>129</v>
      </c>
      <c r="B2739" s="98">
        <v>45931</v>
      </c>
      <c r="C2739" s="117" t="str">
        <f t="shared" si="632"/>
        <v>4L</v>
      </c>
      <c r="F2739" s="99">
        <f t="shared" si="631"/>
        <v>0</v>
      </c>
      <c r="I2739" s="99">
        <f t="shared" si="630"/>
        <v>0</v>
      </c>
      <c r="L2739" s="99">
        <f t="shared" si="633"/>
        <v>0</v>
      </c>
      <c r="M2739" s="44" t="str">
        <f t="shared" si="635"/>
        <v/>
      </c>
      <c r="N2739" s="100">
        <f t="shared" si="636"/>
        <v>0</v>
      </c>
      <c r="O2739" s="101">
        <f t="shared" si="637"/>
        <v>0</v>
      </c>
      <c r="P2739" s="52">
        <f t="shared" si="638"/>
        <v>0</v>
      </c>
      <c r="Q2739" s="49">
        <v>116.88487613461319</v>
      </c>
      <c r="R2739">
        <v>2225</v>
      </c>
      <c r="S2739" s="50">
        <f t="shared" si="634"/>
        <v>71535.307499999995</v>
      </c>
      <c r="T2739" s="50">
        <f t="shared" si="639"/>
        <v>0</v>
      </c>
      <c r="U2739" s="58">
        <f t="shared" si="640"/>
        <v>0</v>
      </c>
      <c r="V2739" s="58">
        <f t="shared" si="641"/>
        <v>0</v>
      </c>
      <c r="W2739" s="58">
        <f t="shared" si="642"/>
        <v>0</v>
      </c>
      <c r="X2739" s="58">
        <f t="shared" si="643"/>
        <v>0</v>
      </c>
      <c r="Y2739" s="52">
        <f t="shared" si="644"/>
        <v>0</v>
      </c>
    </row>
    <row r="2740" spans="1:25" x14ac:dyDescent="0.25">
      <c r="A2740" s="1218" t="s">
        <v>130</v>
      </c>
      <c r="B2740" s="98">
        <v>45931</v>
      </c>
      <c r="C2740" s="117" t="str">
        <f t="shared" si="632"/>
        <v>5L</v>
      </c>
      <c r="F2740" s="99">
        <f t="shared" si="631"/>
        <v>0</v>
      </c>
      <c r="I2740" s="99">
        <f t="shared" si="630"/>
        <v>0</v>
      </c>
      <c r="L2740" s="99">
        <f t="shared" si="633"/>
        <v>0</v>
      </c>
      <c r="M2740" s="44" t="str">
        <f t="shared" si="635"/>
        <v/>
      </c>
      <c r="N2740" s="100">
        <f t="shared" si="636"/>
        <v>0</v>
      </c>
      <c r="O2740" s="101">
        <f t="shared" si="637"/>
        <v>0</v>
      </c>
      <c r="P2740" s="52">
        <f t="shared" si="638"/>
        <v>0</v>
      </c>
      <c r="Q2740" s="49">
        <v>116.88487613461319</v>
      </c>
      <c r="R2740">
        <v>2225</v>
      </c>
      <c r="S2740" s="50">
        <f t="shared" si="634"/>
        <v>71535.307499999995</v>
      </c>
      <c r="T2740" s="50">
        <f t="shared" si="639"/>
        <v>0</v>
      </c>
      <c r="U2740" s="58">
        <f t="shared" si="640"/>
        <v>0</v>
      </c>
      <c r="V2740" s="58">
        <f t="shared" si="641"/>
        <v>0</v>
      </c>
      <c r="W2740" s="58">
        <f t="shared" si="642"/>
        <v>0</v>
      </c>
      <c r="X2740" s="58">
        <f t="shared" si="643"/>
        <v>0</v>
      </c>
      <c r="Y2740" s="52">
        <f t="shared" si="644"/>
        <v>0</v>
      </c>
    </row>
    <row r="2741" spans="1:25" x14ac:dyDescent="0.25">
      <c r="A2741" s="1218" t="s">
        <v>131</v>
      </c>
      <c r="B2741" s="98">
        <v>45931</v>
      </c>
      <c r="C2741" s="117" t="str">
        <f t="shared" si="632"/>
        <v>5L</v>
      </c>
      <c r="F2741" s="99">
        <f t="shared" si="631"/>
        <v>0</v>
      </c>
      <c r="I2741" s="99">
        <f t="shared" si="630"/>
        <v>0</v>
      </c>
      <c r="L2741" s="99">
        <f t="shared" si="633"/>
        <v>0</v>
      </c>
      <c r="M2741" s="44" t="str">
        <f t="shared" si="635"/>
        <v/>
      </c>
      <c r="N2741" s="100">
        <f t="shared" si="636"/>
        <v>0</v>
      </c>
      <c r="O2741" s="101">
        <f t="shared" si="637"/>
        <v>0</v>
      </c>
      <c r="P2741" s="52">
        <f t="shared" si="638"/>
        <v>0</v>
      </c>
      <c r="Q2741" s="49">
        <v>116.88487613461319</v>
      </c>
      <c r="R2741">
        <v>2225</v>
      </c>
      <c r="S2741" s="50">
        <f t="shared" si="634"/>
        <v>71535.307499999995</v>
      </c>
      <c r="T2741" s="50">
        <f t="shared" si="639"/>
        <v>0</v>
      </c>
      <c r="U2741" s="58">
        <f t="shared" si="640"/>
        <v>0</v>
      </c>
      <c r="V2741" s="58">
        <f t="shared" si="641"/>
        <v>0</v>
      </c>
      <c r="W2741" s="58">
        <f t="shared" si="642"/>
        <v>0</v>
      </c>
      <c r="X2741" s="58">
        <f t="shared" si="643"/>
        <v>0</v>
      </c>
      <c r="Y2741" s="52">
        <f t="shared" si="644"/>
        <v>0</v>
      </c>
    </row>
    <row r="2742" spans="1:25" x14ac:dyDescent="0.25">
      <c r="A2742" s="1218" t="s">
        <v>132</v>
      </c>
      <c r="B2742" s="98">
        <v>45931</v>
      </c>
      <c r="C2742" s="117" t="str">
        <f t="shared" si="632"/>
        <v>5L</v>
      </c>
      <c r="F2742" s="99">
        <f t="shared" si="631"/>
        <v>0</v>
      </c>
      <c r="I2742" s="99">
        <f t="shared" si="630"/>
        <v>0</v>
      </c>
      <c r="L2742" s="99">
        <f t="shared" si="633"/>
        <v>0</v>
      </c>
      <c r="M2742" s="44" t="str">
        <f t="shared" si="635"/>
        <v/>
      </c>
      <c r="N2742" s="100">
        <f t="shared" si="636"/>
        <v>0</v>
      </c>
      <c r="O2742" s="101">
        <f t="shared" si="637"/>
        <v>0</v>
      </c>
      <c r="P2742" s="52">
        <f t="shared" si="638"/>
        <v>0</v>
      </c>
      <c r="Q2742" s="49">
        <v>116.88487613461319</v>
      </c>
      <c r="R2742">
        <v>2225</v>
      </c>
      <c r="S2742" s="50">
        <f t="shared" si="634"/>
        <v>71535.307499999995</v>
      </c>
      <c r="T2742" s="50">
        <f t="shared" si="639"/>
        <v>0</v>
      </c>
      <c r="U2742" s="58">
        <f t="shared" si="640"/>
        <v>0</v>
      </c>
      <c r="V2742" s="58">
        <f t="shared" si="641"/>
        <v>0</v>
      </c>
      <c r="W2742" s="58">
        <f t="shared" si="642"/>
        <v>0</v>
      </c>
      <c r="X2742" s="58">
        <f t="shared" si="643"/>
        <v>0</v>
      </c>
      <c r="Y2742" s="52">
        <f t="shared" si="644"/>
        <v>0</v>
      </c>
    </row>
    <row r="2743" spans="1:25" x14ac:dyDescent="0.25">
      <c r="A2743" s="1218" t="s">
        <v>133</v>
      </c>
      <c r="B2743" s="98">
        <v>45931</v>
      </c>
      <c r="C2743" s="117" t="str">
        <f t="shared" si="632"/>
        <v>5L</v>
      </c>
      <c r="F2743" s="99">
        <f t="shared" si="631"/>
        <v>0</v>
      </c>
      <c r="I2743" s="99">
        <f t="shared" si="630"/>
        <v>0</v>
      </c>
      <c r="L2743" s="99">
        <f t="shared" si="633"/>
        <v>0</v>
      </c>
      <c r="M2743" s="44" t="str">
        <f t="shared" si="635"/>
        <v/>
      </c>
      <c r="N2743" s="100">
        <f t="shared" si="636"/>
        <v>0</v>
      </c>
      <c r="O2743" s="101">
        <f t="shared" si="637"/>
        <v>0</v>
      </c>
      <c r="P2743" s="52">
        <f t="shared" si="638"/>
        <v>0</v>
      </c>
      <c r="Q2743" s="49">
        <v>116.88487613461319</v>
      </c>
      <c r="R2743">
        <v>2225</v>
      </c>
      <c r="S2743" s="50">
        <f t="shared" si="634"/>
        <v>71535.307499999995</v>
      </c>
      <c r="T2743" s="50">
        <f t="shared" si="639"/>
        <v>0</v>
      </c>
      <c r="U2743" s="58">
        <f t="shared" si="640"/>
        <v>0</v>
      </c>
      <c r="V2743" s="58">
        <f t="shared" si="641"/>
        <v>0</v>
      </c>
      <c r="W2743" s="58">
        <f t="shared" si="642"/>
        <v>0</v>
      </c>
      <c r="X2743" s="58">
        <f t="shared" si="643"/>
        <v>0</v>
      </c>
      <c r="Y2743" s="52">
        <f t="shared" si="644"/>
        <v>0</v>
      </c>
    </row>
    <row r="2744" spans="1:25" x14ac:dyDescent="0.25">
      <c r="A2744" s="1218" t="s">
        <v>134</v>
      </c>
      <c r="B2744" s="98">
        <v>45931</v>
      </c>
      <c r="C2744" s="117" t="str">
        <f t="shared" si="632"/>
        <v>5L</v>
      </c>
      <c r="F2744" s="99">
        <f t="shared" si="631"/>
        <v>0</v>
      </c>
      <c r="I2744" s="99">
        <f t="shared" si="630"/>
        <v>0</v>
      </c>
      <c r="L2744" s="99">
        <f t="shared" si="633"/>
        <v>0</v>
      </c>
      <c r="M2744" s="44" t="str">
        <f t="shared" si="635"/>
        <v/>
      </c>
      <c r="N2744" s="100">
        <f t="shared" si="636"/>
        <v>0</v>
      </c>
      <c r="O2744" s="101">
        <f t="shared" si="637"/>
        <v>0</v>
      </c>
      <c r="P2744" s="52">
        <f t="shared" si="638"/>
        <v>0</v>
      </c>
      <c r="Q2744" s="49">
        <v>116.88487613461319</v>
      </c>
      <c r="R2744">
        <v>2225</v>
      </c>
      <c r="S2744" s="50">
        <f t="shared" si="634"/>
        <v>71535.307499999995</v>
      </c>
      <c r="T2744" s="50">
        <f t="shared" si="639"/>
        <v>0</v>
      </c>
      <c r="U2744" s="58">
        <f t="shared" si="640"/>
        <v>0</v>
      </c>
      <c r="V2744" s="58">
        <f t="shared" si="641"/>
        <v>0</v>
      </c>
      <c r="W2744" s="58">
        <f t="shared" si="642"/>
        <v>0</v>
      </c>
      <c r="X2744" s="58">
        <f t="shared" si="643"/>
        <v>0</v>
      </c>
      <c r="Y2744" s="52">
        <f t="shared" si="644"/>
        <v>0</v>
      </c>
    </row>
    <row r="2745" spans="1:25" x14ac:dyDescent="0.25">
      <c r="A2745" s="1218" t="s">
        <v>135</v>
      </c>
      <c r="B2745" s="98">
        <v>45931</v>
      </c>
      <c r="C2745" s="117" t="str">
        <f t="shared" si="632"/>
        <v>5L</v>
      </c>
      <c r="F2745" s="99">
        <f t="shared" si="631"/>
        <v>0</v>
      </c>
      <c r="I2745" s="99">
        <f t="shared" si="630"/>
        <v>0</v>
      </c>
      <c r="L2745" s="99">
        <f t="shared" si="633"/>
        <v>0</v>
      </c>
      <c r="M2745" s="44" t="str">
        <f t="shared" si="635"/>
        <v/>
      </c>
      <c r="N2745" s="100">
        <f t="shared" si="636"/>
        <v>0</v>
      </c>
      <c r="O2745" s="101">
        <f t="shared" si="637"/>
        <v>0</v>
      </c>
      <c r="P2745" s="52">
        <f t="shared" si="638"/>
        <v>0</v>
      </c>
      <c r="Q2745" s="49">
        <v>116.88487613461319</v>
      </c>
      <c r="R2745">
        <v>2225</v>
      </c>
      <c r="S2745" s="50">
        <f t="shared" si="634"/>
        <v>71535.307499999995</v>
      </c>
      <c r="T2745" s="50">
        <f t="shared" si="639"/>
        <v>0</v>
      </c>
      <c r="U2745" s="58">
        <f t="shared" si="640"/>
        <v>0</v>
      </c>
      <c r="V2745" s="58">
        <f t="shared" si="641"/>
        <v>0</v>
      </c>
      <c r="W2745" s="58">
        <f t="shared" si="642"/>
        <v>0</v>
      </c>
      <c r="X2745" s="58">
        <f t="shared" si="643"/>
        <v>0</v>
      </c>
      <c r="Y2745" s="52">
        <f t="shared" si="644"/>
        <v>0</v>
      </c>
    </row>
    <row r="2746" spans="1:25" x14ac:dyDescent="0.25">
      <c r="A2746" s="1218" t="s">
        <v>136</v>
      </c>
      <c r="B2746" s="98">
        <v>45931</v>
      </c>
      <c r="C2746" s="117" t="str">
        <f t="shared" si="632"/>
        <v>5L</v>
      </c>
      <c r="F2746" s="99">
        <f t="shared" si="631"/>
        <v>0</v>
      </c>
      <c r="I2746" s="99">
        <f t="shared" si="630"/>
        <v>0</v>
      </c>
      <c r="L2746" s="99">
        <f t="shared" si="633"/>
        <v>0</v>
      </c>
      <c r="M2746" s="44" t="str">
        <f t="shared" si="635"/>
        <v/>
      </c>
      <c r="N2746" s="100">
        <f t="shared" si="636"/>
        <v>0</v>
      </c>
      <c r="O2746" s="101">
        <f t="shared" si="637"/>
        <v>0</v>
      </c>
      <c r="P2746" s="52">
        <f t="shared" si="638"/>
        <v>0</v>
      </c>
      <c r="Q2746" s="49">
        <v>116.88487613461319</v>
      </c>
      <c r="R2746">
        <v>2225</v>
      </c>
      <c r="S2746" s="50">
        <f t="shared" si="634"/>
        <v>71535.307499999995</v>
      </c>
      <c r="T2746" s="50">
        <f t="shared" si="639"/>
        <v>0</v>
      </c>
      <c r="U2746" s="58">
        <f t="shared" si="640"/>
        <v>0</v>
      </c>
      <c r="V2746" s="58">
        <f t="shared" si="641"/>
        <v>0</v>
      </c>
      <c r="W2746" s="58">
        <f t="shared" si="642"/>
        <v>0</v>
      </c>
      <c r="X2746" s="58">
        <f t="shared" si="643"/>
        <v>0</v>
      </c>
      <c r="Y2746" s="52">
        <f t="shared" si="644"/>
        <v>0</v>
      </c>
    </row>
    <row r="2747" spans="1:25" x14ac:dyDescent="0.25">
      <c r="A2747" s="1218" t="s">
        <v>137</v>
      </c>
      <c r="B2747" s="98">
        <v>45931</v>
      </c>
      <c r="C2747" s="117" t="str">
        <f t="shared" si="632"/>
        <v>5L</v>
      </c>
      <c r="F2747" s="99">
        <f t="shared" si="631"/>
        <v>0</v>
      </c>
      <c r="I2747" s="99">
        <f t="shared" si="630"/>
        <v>0</v>
      </c>
      <c r="L2747" s="99">
        <f t="shared" si="633"/>
        <v>0</v>
      </c>
      <c r="M2747" s="44" t="str">
        <f t="shared" si="635"/>
        <v/>
      </c>
      <c r="N2747" s="100">
        <f t="shared" si="636"/>
        <v>0</v>
      </c>
      <c r="O2747" s="101">
        <f t="shared" si="637"/>
        <v>0</v>
      </c>
      <c r="P2747" s="52">
        <f t="shared" si="638"/>
        <v>0</v>
      </c>
      <c r="Q2747" s="49">
        <v>116.88487613461319</v>
      </c>
      <c r="R2747">
        <v>2225</v>
      </c>
      <c r="S2747" s="50">
        <f t="shared" si="634"/>
        <v>71535.307499999995</v>
      </c>
      <c r="T2747" s="50">
        <f t="shared" si="639"/>
        <v>0</v>
      </c>
      <c r="U2747" s="58">
        <f t="shared" si="640"/>
        <v>0</v>
      </c>
      <c r="V2747" s="58">
        <f t="shared" si="641"/>
        <v>0</v>
      </c>
      <c r="W2747" s="58">
        <f t="shared" si="642"/>
        <v>0</v>
      </c>
      <c r="X2747" s="58">
        <f t="shared" si="643"/>
        <v>0</v>
      </c>
      <c r="Y2747" s="52">
        <f t="shared" si="644"/>
        <v>0</v>
      </c>
    </row>
    <row r="2748" spans="1:25" x14ac:dyDescent="0.25">
      <c r="A2748" s="1218" t="s">
        <v>138</v>
      </c>
      <c r="B2748" s="98">
        <v>45931</v>
      </c>
      <c r="C2748" s="117" t="str">
        <f t="shared" si="632"/>
        <v>5L</v>
      </c>
      <c r="F2748" s="99">
        <f t="shared" si="631"/>
        <v>0</v>
      </c>
      <c r="I2748" s="99">
        <f t="shared" si="630"/>
        <v>0</v>
      </c>
      <c r="L2748" s="99">
        <f t="shared" si="633"/>
        <v>0</v>
      </c>
      <c r="M2748" s="44" t="str">
        <f t="shared" si="635"/>
        <v/>
      </c>
      <c r="N2748" s="100">
        <f t="shared" si="636"/>
        <v>0</v>
      </c>
      <c r="O2748" s="101">
        <f t="shared" si="637"/>
        <v>0</v>
      </c>
      <c r="P2748" s="52">
        <f t="shared" si="638"/>
        <v>0</v>
      </c>
      <c r="Q2748" s="49">
        <v>116.88487613461319</v>
      </c>
      <c r="R2748">
        <v>2225</v>
      </c>
      <c r="S2748" s="50">
        <f t="shared" si="634"/>
        <v>71535.307499999995</v>
      </c>
      <c r="T2748" s="50">
        <f t="shared" si="639"/>
        <v>0</v>
      </c>
      <c r="U2748" s="58">
        <f t="shared" si="640"/>
        <v>0</v>
      </c>
      <c r="V2748" s="58">
        <f t="shared" si="641"/>
        <v>0</v>
      </c>
      <c r="W2748" s="58">
        <f t="shared" si="642"/>
        <v>0</v>
      </c>
      <c r="X2748" s="58">
        <f t="shared" si="643"/>
        <v>0</v>
      </c>
      <c r="Y2748" s="52">
        <f t="shared" si="644"/>
        <v>0</v>
      </c>
    </row>
    <row r="2749" spans="1:25" x14ac:dyDescent="0.25">
      <c r="A2749" s="1218" t="s">
        <v>139</v>
      </c>
      <c r="B2749" s="98">
        <v>45931</v>
      </c>
      <c r="C2749" s="117" t="str">
        <f t="shared" si="632"/>
        <v>5L</v>
      </c>
      <c r="F2749" s="99">
        <f t="shared" si="631"/>
        <v>0</v>
      </c>
      <c r="I2749" s="99">
        <f t="shared" si="630"/>
        <v>0</v>
      </c>
      <c r="L2749" s="99">
        <f t="shared" si="633"/>
        <v>0</v>
      </c>
      <c r="M2749" s="44" t="str">
        <f t="shared" si="635"/>
        <v/>
      </c>
      <c r="N2749" s="100">
        <f t="shared" si="636"/>
        <v>0</v>
      </c>
      <c r="O2749" s="101">
        <f t="shared" si="637"/>
        <v>0</v>
      </c>
      <c r="P2749" s="52">
        <f t="shared" si="638"/>
        <v>0</v>
      </c>
      <c r="Q2749" s="49">
        <v>116.88487613461319</v>
      </c>
      <c r="R2749">
        <v>2225</v>
      </c>
      <c r="S2749" s="50">
        <f t="shared" si="634"/>
        <v>71535.307499999995</v>
      </c>
      <c r="T2749" s="50">
        <f t="shared" si="639"/>
        <v>0</v>
      </c>
      <c r="U2749" s="58">
        <f t="shared" si="640"/>
        <v>0</v>
      </c>
      <c r="V2749" s="58">
        <f t="shared" si="641"/>
        <v>0</v>
      </c>
      <c r="W2749" s="58">
        <f t="shared" si="642"/>
        <v>0</v>
      </c>
      <c r="X2749" s="58">
        <f t="shared" si="643"/>
        <v>0</v>
      </c>
      <c r="Y2749" s="52">
        <f t="shared" si="644"/>
        <v>0</v>
      </c>
    </row>
    <row r="2750" spans="1:25" x14ac:dyDescent="0.25">
      <c r="A2750" s="1218" t="s">
        <v>140</v>
      </c>
      <c r="B2750" s="98">
        <v>45931</v>
      </c>
      <c r="C2750" s="117" t="str">
        <f t="shared" si="632"/>
        <v>5L</v>
      </c>
      <c r="F2750" s="99">
        <f t="shared" si="631"/>
        <v>0</v>
      </c>
      <c r="I2750" s="99">
        <f t="shared" si="630"/>
        <v>0</v>
      </c>
      <c r="L2750" s="99">
        <f t="shared" si="633"/>
        <v>0</v>
      </c>
      <c r="M2750" s="44" t="str">
        <f t="shared" si="635"/>
        <v/>
      </c>
      <c r="N2750" s="100">
        <f t="shared" si="636"/>
        <v>0</v>
      </c>
      <c r="O2750" s="101">
        <f t="shared" si="637"/>
        <v>0</v>
      </c>
      <c r="P2750" s="52">
        <f t="shared" si="638"/>
        <v>0</v>
      </c>
      <c r="Q2750" s="49">
        <v>116.88487613461319</v>
      </c>
      <c r="R2750">
        <v>2225</v>
      </c>
      <c r="S2750" s="50">
        <f t="shared" si="634"/>
        <v>71535.307499999995</v>
      </c>
      <c r="T2750" s="50">
        <f t="shared" si="639"/>
        <v>0</v>
      </c>
      <c r="U2750" s="58">
        <f t="shared" si="640"/>
        <v>0</v>
      </c>
      <c r="V2750" s="58">
        <f t="shared" si="641"/>
        <v>0</v>
      </c>
      <c r="W2750" s="58">
        <f t="shared" si="642"/>
        <v>0</v>
      </c>
      <c r="X2750" s="58">
        <f t="shared" si="643"/>
        <v>0</v>
      </c>
      <c r="Y2750" s="52">
        <f t="shared" si="644"/>
        <v>0</v>
      </c>
    </row>
    <row r="2751" spans="1:25" x14ac:dyDescent="0.25">
      <c r="A2751" s="1218" t="s">
        <v>141</v>
      </c>
      <c r="B2751" s="98">
        <v>45931</v>
      </c>
      <c r="C2751" s="117" t="str">
        <f t="shared" si="632"/>
        <v>5L</v>
      </c>
      <c r="F2751" s="99">
        <f t="shared" si="631"/>
        <v>0</v>
      </c>
      <c r="I2751" s="99">
        <f t="shared" si="630"/>
        <v>0</v>
      </c>
      <c r="L2751" s="99">
        <f t="shared" si="633"/>
        <v>0</v>
      </c>
      <c r="M2751" s="44" t="str">
        <f t="shared" si="635"/>
        <v/>
      </c>
      <c r="N2751" s="100">
        <f t="shared" si="636"/>
        <v>0</v>
      </c>
      <c r="O2751" s="101">
        <f t="shared" si="637"/>
        <v>0</v>
      </c>
      <c r="P2751" s="52">
        <f t="shared" si="638"/>
        <v>0</v>
      </c>
      <c r="Q2751" s="49">
        <v>116.88487613461319</v>
      </c>
      <c r="R2751">
        <v>2225</v>
      </c>
      <c r="S2751" s="50">
        <f t="shared" si="634"/>
        <v>71535.307499999995</v>
      </c>
      <c r="T2751" s="50">
        <f t="shared" si="639"/>
        <v>0</v>
      </c>
      <c r="U2751" s="58">
        <f t="shared" si="640"/>
        <v>0</v>
      </c>
      <c r="V2751" s="58">
        <f t="shared" si="641"/>
        <v>0</v>
      </c>
      <c r="W2751" s="58">
        <f t="shared" si="642"/>
        <v>0</v>
      </c>
      <c r="X2751" s="58">
        <f t="shared" si="643"/>
        <v>0</v>
      </c>
      <c r="Y2751" s="52">
        <f t="shared" si="644"/>
        <v>0</v>
      </c>
    </row>
    <row r="2752" spans="1:25" x14ac:dyDescent="0.25">
      <c r="A2752" s="1218" t="s">
        <v>142</v>
      </c>
      <c r="B2752" s="98">
        <v>45931</v>
      </c>
      <c r="C2752" s="117" t="str">
        <f t="shared" si="632"/>
        <v>5L</v>
      </c>
      <c r="F2752" s="99">
        <f t="shared" si="631"/>
        <v>0</v>
      </c>
      <c r="I2752" s="99">
        <f t="shared" si="630"/>
        <v>0</v>
      </c>
      <c r="L2752" s="99">
        <f t="shared" si="633"/>
        <v>0</v>
      </c>
      <c r="M2752" s="44" t="str">
        <f t="shared" si="635"/>
        <v/>
      </c>
      <c r="N2752" s="100">
        <f t="shared" si="636"/>
        <v>0</v>
      </c>
      <c r="O2752" s="101">
        <f t="shared" si="637"/>
        <v>0</v>
      </c>
      <c r="P2752" s="52">
        <f t="shared" si="638"/>
        <v>0</v>
      </c>
      <c r="Q2752" s="49">
        <v>116.88487613461319</v>
      </c>
      <c r="R2752">
        <v>2225</v>
      </c>
      <c r="S2752" s="50">
        <f t="shared" si="634"/>
        <v>71535.307499999995</v>
      </c>
      <c r="T2752" s="50">
        <f t="shared" si="639"/>
        <v>0</v>
      </c>
      <c r="U2752" s="58">
        <f t="shared" si="640"/>
        <v>0</v>
      </c>
      <c r="V2752" s="58">
        <f t="shared" si="641"/>
        <v>0</v>
      </c>
      <c r="W2752" s="58">
        <f t="shared" si="642"/>
        <v>0</v>
      </c>
      <c r="X2752" s="58">
        <f t="shared" si="643"/>
        <v>0</v>
      </c>
      <c r="Y2752" s="52">
        <f t="shared" si="644"/>
        <v>0</v>
      </c>
    </row>
    <row r="2753" spans="1:25" x14ac:dyDescent="0.25">
      <c r="A2753" s="1218" t="s">
        <v>143</v>
      </c>
      <c r="B2753" s="98">
        <v>45931</v>
      </c>
      <c r="C2753" s="117" t="str">
        <f t="shared" si="632"/>
        <v>5L</v>
      </c>
      <c r="F2753" s="99">
        <f t="shared" si="631"/>
        <v>0</v>
      </c>
      <c r="I2753" s="99">
        <f t="shared" si="630"/>
        <v>0</v>
      </c>
      <c r="L2753" s="99">
        <f t="shared" si="633"/>
        <v>0</v>
      </c>
      <c r="M2753" s="44" t="str">
        <f t="shared" si="635"/>
        <v/>
      </c>
      <c r="N2753" s="100">
        <f t="shared" si="636"/>
        <v>0</v>
      </c>
      <c r="O2753" s="101">
        <f t="shared" si="637"/>
        <v>0</v>
      </c>
      <c r="P2753" s="52">
        <f t="shared" si="638"/>
        <v>0</v>
      </c>
      <c r="Q2753" s="49">
        <v>116.88487613461319</v>
      </c>
      <c r="R2753">
        <v>2225</v>
      </c>
      <c r="S2753" s="50">
        <f t="shared" si="634"/>
        <v>71535.307499999995</v>
      </c>
      <c r="T2753" s="50">
        <f t="shared" si="639"/>
        <v>0</v>
      </c>
      <c r="U2753" s="58">
        <f t="shared" si="640"/>
        <v>0</v>
      </c>
      <c r="V2753" s="58">
        <f t="shared" si="641"/>
        <v>0</v>
      </c>
      <c r="W2753" s="58">
        <f t="shared" si="642"/>
        <v>0</v>
      </c>
      <c r="X2753" s="58">
        <f t="shared" si="643"/>
        <v>0</v>
      </c>
      <c r="Y2753" s="52">
        <f t="shared" si="644"/>
        <v>0</v>
      </c>
    </row>
    <row r="2754" spans="1:25" x14ac:dyDescent="0.25">
      <c r="A2754" s="1218" t="s">
        <v>144</v>
      </c>
      <c r="B2754" s="98">
        <v>45931</v>
      </c>
      <c r="C2754" s="117" t="str">
        <f t="shared" si="632"/>
        <v>5L</v>
      </c>
      <c r="D2754">
        <v>93</v>
      </c>
      <c r="E2754">
        <v>1.6</v>
      </c>
      <c r="F2754" s="99">
        <f t="shared" si="631"/>
        <v>0.14880000000000002</v>
      </c>
      <c r="I2754" s="99">
        <f t="shared" si="630"/>
        <v>0</v>
      </c>
      <c r="L2754" s="99">
        <f t="shared" si="633"/>
        <v>0</v>
      </c>
      <c r="M2754" s="44" t="str">
        <f t="shared" si="635"/>
        <v/>
      </c>
      <c r="N2754" s="100">
        <f t="shared" si="636"/>
        <v>0</v>
      </c>
      <c r="O2754" s="101">
        <f t="shared" si="637"/>
        <v>0</v>
      </c>
      <c r="P2754" s="52">
        <f t="shared" si="638"/>
        <v>0</v>
      </c>
      <c r="Q2754" s="49">
        <v>116.88487613461319</v>
      </c>
      <c r="R2754">
        <v>2225</v>
      </c>
      <c r="S2754" s="50">
        <f t="shared" si="634"/>
        <v>71535.307499999995</v>
      </c>
      <c r="T2754" s="50">
        <f t="shared" si="639"/>
        <v>0</v>
      </c>
      <c r="U2754" s="58">
        <f t="shared" si="640"/>
        <v>0</v>
      </c>
      <c r="V2754" s="58">
        <f t="shared" si="641"/>
        <v>0</v>
      </c>
      <c r="W2754" s="58">
        <f t="shared" si="642"/>
        <v>0</v>
      </c>
      <c r="X2754" s="58">
        <f t="shared" si="643"/>
        <v>0</v>
      </c>
      <c r="Y2754" s="52">
        <f t="shared" si="644"/>
        <v>0</v>
      </c>
    </row>
    <row r="2755" spans="1:25" x14ac:dyDescent="0.25">
      <c r="A2755" s="1218" t="s">
        <v>145</v>
      </c>
      <c r="B2755" s="98">
        <v>45931</v>
      </c>
      <c r="C2755" s="117" t="str">
        <f t="shared" si="632"/>
        <v>5L</v>
      </c>
      <c r="F2755" s="99">
        <f t="shared" si="631"/>
        <v>0</v>
      </c>
      <c r="I2755" s="99">
        <f t="shared" si="630"/>
        <v>0</v>
      </c>
      <c r="L2755" s="99">
        <f t="shared" si="633"/>
        <v>0</v>
      </c>
      <c r="M2755" s="44" t="str">
        <f t="shared" si="635"/>
        <v/>
      </c>
      <c r="N2755" s="100">
        <f t="shared" si="636"/>
        <v>0</v>
      </c>
      <c r="O2755" s="101">
        <f t="shared" si="637"/>
        <v>0</v>
      </c>
      <c r="P2755" s="52">
        <f t="shared" si="638"/>
        <v>0</v>
      </c>
      <c r="Q2755" s="49">
        <v>116.88487613461319</v>
      </c>
      <c r="R2755">
        <v>2225</v>
      </c>
      <c r="S2755" s="50">
        <f t="shared" si="634"/>
        <v>71535.307499999995</v>
      </c>
      <c r="T2755" s="50">
        <f t="shared" si="639"/>
        <v>0</v>
      </c>
      <c r="U2755" s="58">
        <f t="shared" si="640"/>
        <v>0</v>
      </c>
      <c r="V2755" s="58">
        <f t="shared" si="641"/>
        <v>0</v>
      </c>
      <c r="W2755" s="58">
        <f t="shared" si="642"/>
        <v>0</v>
      </c>
      <c r="X2755" s="58">
        <f t="shared" si="643"/>
        <v>0</v>
      </c>
      <c r="Y2755" s="52">
        <f t="shared" si="644"/>
        <v>0</v>
      </c>
    </row>
    <row r="2756" spans="1:25" x14ac:dyDescent="0.25">
      <c r="A2756" s="1218" t="s">
        <v>146</v>
      </c>
      <c r="B2756" s="98">
        <v>45931</v>
      </c>
      <c r="C2756" s="117" t="str">
        <f t="shared" si="632"/>
        <v>5L</v>
      </c>
      <c r="F2756" s="99">
        <f t="shared" si="631"/>
        <v>0</v>
      </c>
      <c r="I2756" s="99">
        <f t="shared" ref="I2756:I2819" si="646">IFERROR(G2756*H2756/1000,"")</f>
        <v>0</v>
      </c>
      <c r="L2756" s="99">
        <f t="shared" si="633"/>
        <v>0</v>
      </c>
      <c r="M2756" s="44" t="str">
        <f t="shared" si="635"/>
        <v/>
      </c>
      <c r="N2756" s="100">
        <f t="shared" si="636"/>
        <v>0</v>
      </c>
      <c r="O2756" s="101">
        <f t="shared" si="637"/>
        <v>0</v>
      </c>
      <c r="P2756" s="52">
        <f t="shared" si="638"/>
        <v>0</v>
      </c>
      <c r="Q2756" s="49">
        <v>116.88487613461319</v>
      </c>
      <c r="R2756">
        <v>2225</v>
      </c>
      <c r="S2756" s="50">
        <f t="shared" si="634"/>
        <v>71535.307499999995</v>
      </c>
      <c r="T2756" s="50">
        <f t="shared" si="639"/>
        <v>0</v>
      </c>
      <c r="U2756" s="58">
        <f t="shared" si="640"/>
        <v>0</v>
      </c>
      <c r="V2756" s="58">
        <f t="shared" si="641"/>
        <v>0</v>
      </c>
      <c r="W2756" s="58">
        <f t="shared" si="642"/>
        <v>0</v>
      </c>
      <c r="X2756" s="58">
        <f t="shared" si="643"/>
        <v>0</v>
      </c>
      <c r="Y2756" s="52">
        <f t="shared" si="644"/>
        <v>0</v>
      </c>
    </row>
    <row r="2757" spans="1:25" x14ac:dyDescent="0.25">
      <c r="A2757" s="1218" t="s">
        <v>147</v>
      </c>
      <c r="B2757" s="98">
        <v>45931</v>
      </c>
      <c r="C2757" s="117" t="str">
        <f t="shared" si="632"/>
        <v>5L</v>
      </c>
      <c r="F2757" s="99">
        <f t="shared" si="631"/>
        <v>0</v>
      </c>
      <c r="I2757" s="99">
        <f t="shared" si="646"/>
        <v>0</v>
      </c>
      <c r="L2757" s="99">
        <f t="shared" si="633"/>
        <v>0</v>
      </c>
      <c r="M2757" s="44" t="str">
        <f t="shared" si="635"/>
        <v/>
      </c>
      <c r="N2757" s="100">
        <f t="shared" si="636"/>
        <v>0</v>
      </c>
      <c r="O2757" s="101">
        <f t="shared" si="637"/>
        <v>0</v>
      </c>
      <c r="P2757" s="52">
        <f t="shared" si="638"/>
        <v>0</v>
      </c>
      <c r="Q2757" s="49">
        <v>116.88487613461319</v>
      </c>
      <c r="R2757">
        <v>2225</v>
      </c>
      <c r="S2757" s="50">
        <f t="shared" si="634"/>
        <v>71535.307499999995</v>
      </c>
      <c r="T2757" s="50">
        <f t="shared" si="639"/>
        <v>0</v>
      </c>
      <c r="U2757" s="58">
        <f t="shared" si="640"/>
        <v>0</v>
      </c>
      <c r="V2757" s="58">
        <f t="shared" si="641"/>
        <v>0</v>
      </c>
      <c r="W2757" s="58">
        <f t="shared" si="642"/>
        <v>0</v>
      </c>
      <c r="X2757" s="58">
        <f t="shared" si="643"/>
        <v>0</v>
      </c>
      <c r="Y2757" s="52">
        <f t="shared" si="644"/>
        <v>0</v>
      </c>
    </row>
    <row r="2758" spans="1:25" x14ac:dyDescent="0.25">
      <c r="A2758" s="1218" t="s">
        <v>148</v>
      </c>
      <c r="B2758" s="98">
        <v>45931</v>
      </c>
      <c r="C2758" s="117" t="str">
        <f t="shared" si="632"/>
        <v>5L</v>
      </c>
      <c r="F2758" s="99">
        <f t="shared" si="631"/>
        <v>0</v>
      </c>
      <c r="I2758" s="99">
        <f t="shared" si="646"/>
        <v>0</v>
      </c>
      <c r="L2758" s="99">
        <f t="shared" si="633"/>
        <v>0</v>
      </c>
      <c r="M2758" s="44" t="str">
        <f t="shared" si="635"/>
        <v/>
      </c>
      <c r="N2758" s="100">
        <f t="shared" si="636"/>
        <v>0</v>
      </c>
      <c r="O2758" s="101">
        <f t="shared" si="637"/>
        <v>0</v>
      </c>
      <c r="P2758" s="52">
        <f t="shared" si="638"/>
        <v>0</v>
      </c>
      <c r="Q2758" s="49">
        <v>116.88487613461319</v>
      </c>
      <c r="R2758">
        <v>2225</v>
      </c>
      <c r="S2758" s="50">
        <f t="shared" si="634"/>
        <v>71535.307499999995</v>
      </c>
      <c r="T2758" s="50">
        <f t="shared" si="639"/>
        <v>0</v>
      </c>
      <c r="U2758" s="58">
        <f t="shared" si="640"/>
        <v>0</v>
      </c>
      <c r="V2758" s="58">
        <f t="shared" si="641"/>
        <v>0</v>
      </c>
      <c r="W2758" s="58">
        <f t="shared" si="642"/>
        <v>0</v>
      </c>
      <c r="X2758" s="58">
        <f t="shared" si="643"/>
        <v>0</v>
      </c>
      <c r="Y2758" s="52">
        <f t="shared" si="644"/>
        <v>0</v>
      </c>
    </row>
    <row r="2759" spans="1:25" x14ac:dyDescent="0.25">
      <c r="A2759" s="1218" t="s">
        <v>149</v>
      </c>
      <c r="B2759" s="98">
        <v>45931</v>
      </c>
      <c r="C2759" s="117" t="str">
        <f t="shared" si="632"/>
        <v>5L</v>
      </c>
      <c r="D2759">
        <v>2022</v>
      </c>
      <c r="E2759">
        <v>3.97</v>
      </c>
      <c r="F2759" s="99">
        <f t="shared" si="631"/>
        <v>8.0273400000000006</v>
      </c>
      <c r="I2759" s="99">
        <f t="shared" si="646"/>
        <v>0</v>
      </c>
      <c r="L2759" s="99">
        <f t="shared" si="633"/>
        <v>0</v>
      </c>
      <c r="M2759" s="44" t="str">
        <f t="shared" si="635"/>
        <v/>
      </c>
      <c r="N2759" s="100">
        <f t="shared" si="636"/>
        <v>0</v>
      </c>
      <c r="O2759" s="101">
        <f t="shared" si="637"/>
        <v>0</v>
      </c>
      <c r="P2759" s="52">
        <f t="shared" si="638"/>
        <v>0</v>
      </c>
      <c r="Q2759" s="49">
        <v>116.88487613461319</v>
      </c>
      <c r="R2759">
        <v>2225</v>
      </c>
      <c r="S2759" s="50">
        <f t="shared" si="634"/>
        <v>71535.307499999995</v>
      </c>
      <c r="T2759" s="50">
        <f t="shared" si="639"/>
        <v>0</v>
      </c>
      <c r="U2759" s="58">
        <f t="shared" si="640"/>
        <v>0</v>
      </c>
      <c r="V2759" s="58">
        <f t="shared" si="641"/>
        <v>0</v>
      </c>
      <c r="W2759" s="58">
        <f t="shared" si="642"/>
        <v>0</v>
      </c>
      <c r="X2759" s="58">
        <f t="shared" si="643"/>
        <v>0</v>
      </c>
      <c r="Y2759" s="52">
        <f t="shared" si="644"/>
        <v>0</v>
      </c>
    </row>
    <row r="2760" spans="1:25" x14ac:dyDescent="0.25">
      <c r="A2760" s="1218" t="s">
        <v>150</v>
      </c>
      <c r="B2760" s="98">
        <v>45931</v>
      </c>
      <c r="C2760" s="117" t="str">
        <f t="shared" si="632"/>
        <v>6L</v>
      </c>
      <c r="D2760" s="118">
        <v>3033</v>
      </c>
      <c r="E2760">
        <v>2.83</v>
      </c>
      <c r="F2760" s="99">
        <f t="shared" si="631"/>
        <v>8.5833899999999996</v>
      </c>
      <c r="I2760" s="99">
        <f t="shared" si="646"/>
        <v>0</v>
      </c>
      <c r="L2760" s="99">
        <f t="shared" si="633"/>
        <v>0</v>
      </c>
      <c r="M2760" s="44" t="str">
        <f t="shared" si="635"/>
        <v/>
      </c>
      <c r="N2760" s="100">
        <f t="shared" si="636"/>
        <v>0</v>
      </c>
      <c r="O2760" s="101">
        <f t="shared" si="637"/>
        <v>0</v>
      </c>
      <c r="P2760" s="52">
        <f t="shared" si="638"/>
        <v>0</v>
      </c>
      <c r="Q2760" s="49">
        <v>116.88487613461319</v>
      </c>
      <c r="R2760">
        <v>2225</v>
      </c>
      <c r="S2760" s="50">
        <f t="shared" si="634"/>
        <v>71535.307499999995</v>
      </c>
      <c r="T2760" s="50">
        <f t="shared" si="639"/>
        <v>0</v>
      </c>
      <c r="U2760" s="58">
        <f t="shared" si="640"/>
        <v>0</v>
      </c>
      <c r="V2760" s="58">
        <f t="shared" si="641"/>
        <v>0</v>
      </c>
      <c r="W2760" s="58">
        <f t="shared" si="642"/>
        <v>0</v>
      </c>
      <c r="X2760" s="58">
        <f t="shared" si="643"/>
        <v>0</v>
      </c>
      <c r="Y2760" s="52">
        <f t="shared" si="644"/>
        <v>0</v>
      </c>
    </row>
    <row r="2761" spans="1:25" x14ac:dyDescent="0.25">
      <c r="A2761" s="1218" t="s">
        <v>151</v>
      </c>
      <c r="B2761" s="98">
        <v>45931</v>
      </c>
      <c r="C2761" s="117" t="str">
        <f t="shared" si="632"/>
        <v>6L</v>
      </c>
      <c r="F2761" s="99">
        <f t="shared" si="631"/>
        <v>0</v>
      </c>
      <c r="I2761" s="99">
        <f t="shared" si="646"/>
        <v>0</v>
      </c>
      <c r="L2761" s="99">
        <f t="shared" si="633"/>
        <v>0</v>
      </c>
      <c r="M2761" s="44" t="str">
        <f t="shared" si="635"/>
        <v/>
      </c>
      <c r="N2761" s="100">
        <f t="shared" si="636"/>
        <v>0</v>
      </c>
      <c r="O2761" s="101">
        <f t="shared" si="637"/>
        <v>0</v>
      </c>
      <c r="P2761" s="52">
        <f t="shared" si="638"/>
        <v>0</v>
      </c>
      <c r="Q2761" s="49">
        <v>116.88487613461319</v>
      </c>
      <c r="R2761">
        <v>2225</v>
      </c>
      <c r="S2761" s="50">
        <f t="shared" si="634"/>
        <v>71535.307499999995</v>
      </c>
      <c r="T2761" s="50">
        <f t="shared" si="639"/>
        <v>0</v>
      </c>
      <c r="U2761" s="58">
        <f t="shared" si="640"/>
        <v>0</v>
      </c>
      <c r="V2761" s="58">
        <f t="shared" si="641"/>
        <v>0</v>
      </c>
      <c r="W2761" s="58">
        <f t="shared" si="642"/>
        <v>0</v>
      </c>
      <c r="X2761" s="58">
        <f t="shared" si="643"/>
        <v>0</v>
      </c>
      <c r="Y2761" s="52">
        <f t="shared" si="644"/>
        <v>0</v>
      </c>
    </row>
    <row r="2762" spans="1:25" x14ac:dyDescent="0.25">
      <c r="A2762" s="1218" t="s">
        <v>152</v>
      </c>
      <c r="B2762" s="98">
        <v>45931</v>
      </c>
      <c r="C2762" s="117" t="str">
        <f t="shared" si="632"/>
        <v>6L</v>
      </c>
      <c r="F2762" s="99">
        <f t="shared" si="631"/>
        <v>0</v>
      </c>
      <c r="I2762" s="99">
        <f t="shared" si="646"/>
        <v>0</v>
      </c>
      <c r="L2762" s="99"/>
      <c r="M2762" s="44"/>
      <c r="N2762" s="100"/>
      <c r="O2762" s="101"/>
      <c r="P2762" s="52"/>
      <c r="Q2762" s="49"/>
      <c r="S2762" s="50"/>
      <c r="T2762" s="50"/>
      <c r="U2762" s="58"/>
      <c r="V2762" s="58"/>
      <c r="W2762" s="58"/>
      <c r="X2762" s="58"/>
      <c r="Y2762" s="52"/>
    </row>
    <row r="2763" spans="1:25" x14ac:dyDescent="0.25">
      <c r="A2763" s="1218" t="s">
        <v>153</v>
      </c>
      <c r="B2763" s="98">
        <v>45931</v>
      </c>
      <c r="C2763" s="117" t="str">
        <f t="shared" si="632"/>
        <v>6L</v>
      </c>
      <c r="F2763" s="99">
        <f t="shared" si="631"/>
        <v>0</v>
      </c>
      <c r="I2763" s="99">
        <f t="shared" si="646"/>
        <v>0</v>
      </c>
      <c r="L2763" s="99"/>
      <c r="M2763" s="44"/>
      <c r="N2763" s="100"/>
      <c r="O2763" s="101"/>
      <c r="P2763" s="52"/>
      <c r="Q2763" s="49"/>
      <c r="S2763" s="50"/>
      <c r="T2763" s="50"/>
      <c r="U2763" s="58"/>
      <c r="V2763" s="58"/>
      <c r="W2763" s="58"/>
      <c r="X2763" s="58"/>
      <c r="Y2763" s="52"/>
    </row>
    <row r="2764" spans="1:25" x14ac:dyDescent="0.25">
      <c r="A2764" s="1218" t="s">
        <v>154</v>
      </c>
      <c r="B2764" s="98">
        <v>45931</v>
      </c>
      <c r="C2764" s="117" t="str">
        <f t="shared" si="632"/>
        <v>6L</v>
      </c>
      <c r="F2764" s="99">
        <f t="shared" si="631"/>
        <v>0</v>
      </c>
      <c r="I2764" s="99">
        <f t="shared" si="646"/>
        <v>0</v>
      </c>
      <c r="L2764" s="99"/>
      <c r="M2764" s="44"/>
      <c r="N2764" s="100"/>
      <c r="O2764" s="101"/>
      <c r="P2764" s="52"/>
      <c r="Q2764" s="49"/>
      <c r="S2764" s="50"/>
      <c r="T2764" s="50"/>
      <c r="U2764" s="58"/>
      <c r="V2764" s="58"/>
      <c r="W2764" s="58"/>
      <c r="X2764" s="58"/>
      <c r="Y2764" s="52"/>
    </row>
    <row r="2765" spans="1:25" x14ac:dyDescent="0.25">
      <c r="A2765" s="1218" t="s">
        <v>155</v>
      </c>
      <c r="B2765" s="98">
        <v>45931</v>
      </c>
      <c r="C2765" s="117" t="str">
        <f t="shared" si="632"/>
        <v>6L</v>
      </c>
      <c r="D2765">
        <v>3033</v>
      </c>
      <c r="E2765">
        <v>2.31</v>
      </c>
      <c r="F2765" s="99">
        <f t="shared" si="631"/>
        <v>7.0062300000000004</v>
      </c>
      <c r="I2765" s="99">
        <f t="shared" si="646"/>
        <v>0</v>
      </c>
      <c r="L2765" s="99">
        <f t="shared" si="633"/>
        <v>0</v>
      </c>
      <c r="M2765" s="44" t="str">
        <f t="shared" si="635"/>
        <v/>
      </c>
      <c r="N2765" s="100">
        <f t="shared" si="636"/>
        <v>0</v>
      </c>
      <c r="O2765" s="101">
        <f t="shared" si="637"/>
        <v>0</v>
      </c>
      <c r="P2765" s="52">
        <f t="shared" si="638"/>
        <v>0</v>
      </c>
      <c r="Q2765" s="49">
        <v>116.88487613461319</v>
      </c>
      <c r="R2765">
        <v>2225</v>
      </c>
      <c r="S2765" s="50">
        <f t="shared" si="634"/>
        <v>71535.307499999995</v>
      </c>
      <c r="T2765" s="50">
        <f t="shared" si="639"/>
        <v>0</v>
      </c>
      <c r="U2765" s="58">
        <f t="shared" si="640"/>
        <v>0</v>
      </c>
      <c r="V2765" s="58">
        <f t="shared" si="641"/>
        <v>0</v>
      </c>
      <c r="W2765" s="58">
        <f t="shared" si="642"/>
        <v>0</v>
      </c>
      <c r="X2765" s="58">
        <f t="shared" si="643"/>
        <v>0</v>
      </c>
      <c r="Y2765" s="52">
        <f t="shared" si="644"/>
        <v>0</v>
      </c>
    </row>
    <row r="2766" spans="1:25" x14ac:dyDescent="0.25">
      <c r="A2766" s="1218" t="s">
        <v>156</v>
      </c>
      <c r="B2766" s="98">
        <v>45931</v>
      </c>
      <c r="C2766" s="117" t="str">
        <f t="shared" si="632"/>
        <v>6L</v>
      </c>
      <c r="F2766" s="99">
        <f t="shared" ref="F2766:F2829" si="647">IFERROR(D2766*E2766/1000,"")</f>
        <v>0</v>
      </c>
      <c r="I2766" s="99">
        <f t="shared" si="646"/>
        <v>0</v>
      </c>
      <c r="L2766" s="99"/>
      <c r="M2766" s="44"/>
      <c r="N2766" s="100"/>
      <c r="O2766" s="101"/>
      <c r="P2766" s="52"/>
      <c r="Q2766" s="49"/>
      <c r="S2766" s="50"/>
      <c r="T2766" s="50"/>
      <c r="U2766" s="58"/>
      <c r="V2766" s="58"/>
      <c r="W2766" s="58"/>
      <c r="X2766" s="58"/>
      <c r="Y2766" s="52"/>
    </row>
    <row r="2767" spans="1:25" x14ac:dyDescent="0.25">
      <c r="A2767" s="1218" t="s">
        <v>157</v>
      </c>
      <c r="B2767" s="98">
        <v>45931</v>
      </c>
      <c r="C2767" s="117" t="str">
        <f t="shared" si="632"/>
        <v>6L</v>
      </c>
      <c r="F2767" s="99">
        <f t="shared" si="647"/>
        <v>0</v>
      </c>
      <c r="I2767" s="99">
        <f t="shared" si="646"/>
        <v>0</v>
      </c>
      <c r="L2767" s="99">
        <f t="shared" si="633"/>
        <v>0</v>
      </c>
      <c r="M2767" s="44" t="str">
        <f t="shared" si="635"/>
        <v/>
      </c>
      <c r="N2767" s="100">
        <f t="shared" si="636"/>
        <v>0</v>
      </c>
      <c r="O2767" s="101">
        <f t="shared" si="637"/>
        <v>0</v>
      </c>
      <c r="P2767" s="52">
        <f t="shared" si="638"/>
        <v>0</v>
      </c>
      <c r="Q2767" s="49">
        <v>116.88487613461319</v>
      </c>
      <c r="R2767">
        <v>2225</v>
      </c>
      <c r="S2767" s="50">
        <f t="shared" si="634"/>
        <v>71535.307499999995</v>
      </c>
      <c r="T2767" s="50">
        <f t="shared" si="639"/>
        <v>0</v>
      </c>
      <c r="U2767" s="58">
        <f t="shared" si="640"/>
        <v>0</v>
      </c>
      <c r="V2767" s="58">
        <f t="shared" si="641"/>
        <v>0</v>
      </c>
      <c r="W2767" s="58">
        <f t="shared" si="642"/>
        <v>0</v>
      </c>
      <c r="X2767" s="58">
        <f t="shared" si="643"/>
        <v>0</v>
      </c>
      <c r="Y2767" s="52">
        <f t="shared" si="644"/>
        <v>0</v>
      </c>
    </row>
    <row r="2768" spans="1:25" x14ac:dyDescent="0.25">
      <c r="A2768" s="1218" t="s">
        <v>158</v>
      </c>
      <c r="B2768" s="98">
        <v>45931</v>
      </c>
      <c r="C2768" s="117" t="str">
        <f t="shared" si="632"/>
        <v>6L</v>
      </c>
      <c r="F2768" s="99">
        <f t="shared" si="647"/>
        <v>0</v>
      </c>
      <c r="I2768" s="99">
        <f t="shared" si="646"/>
        <v>0</v>
      </c>
      <c r="L2768" s="99">
        <f t="shared" si="633"/>
        <v>0</v>
      </c>
      <c r="M2768" s="44" t="str">
        <f t="shared" si="635"/>
        <v/>
      </c>
      <c r="N2768" s="100">
        <f t="shared" si="636"/>
        <v>0</v>
      </c>
      <c r="O2768" s="101">
        <f t="shared" si="637"/>
        <v>0</v>
      </c>
      <c r="P2768" s="52">
        <f t="shared" si="638"/>
        <v>0</v>
      </c>
      <c r="Q2768" s="49">
        <v>116.88487613461319</v>
      </c>
      <c r="R2768">
        <v>2225</v>
      </c>
      <c r="S2768" s="50">
        <f t="shared" si="634"/>
        <v>71535.307499999995</v>
      </c>
      <c r="T2768" s="50">
        <f t="shared" si="639"/>
        <v>0</v>
      </c>
      <c r="U2768" s="58">
        <f t="shared" si="640"/>
        <v>0</v>
      </c>
      <c r="V2768" s="58">
        <f t="shared" si="641"/>
        <v>0</v>
      </c>
      <c r="W2768" s="58">
        <f t="shared" si="642"/>
        <v>0</v>
      </c>
      <c r="X2768" s="58">
        <f t="shared" si="643"/>
        <v>0</v>
      </c>
      <c r="Y2768" s="52">
        <f t="shared" si="644"/>
        <v>0</v>
      </c>
    </row>
    <row r="2769" spans="1:25" x14ac:dyDescent="0.25">
      <c r="A2769" s="1218" t="s">
        <v>159</v>
      </c>
      <c r="B2769" s="98">
        <v>45931</v>
      </c>
      <c r="C2769" s="117" t="str">
        <f t="shared" si="632"/>
        <v>6L</v>
      </c>
      <c r="F2769" s="99">
        <f t="shared" si="647"/>
        <v>0</v>
      </c>
      <c r="I2769" s="99">
        <f t="shared" si="646"/>
        <v>0</v>
      </c>
      <c r="L2769" s="99">
        <f t="shared" si="633"/>
        <v>0</v>
      </c>
      <c r="M2769" s="44" t="str">
        <f t="shared" si="635"/>
        <v/>
      </c>
      <c r="N2769" s="100">
        <f t="shared" si="636"/>
        <v>0</v>
      </c>
      <c r="O2769" s="101">
        <f t="shared" si="637"/>
        <v>0</v>
      </c>
      <c r="P2769" s="52">
        <f t="shared" si="638"/>
        <v>0</v>
      </c>
      <c r="Q2769" s="49">
        <v>116.88487613461319</v>
      </c>
      <c r="R2769">
        <v>2225</v>
      </c>
      <c r="S2769" s="50">
        <f t="shared" si="634"/>
        <v>71535.307499999995</v>
      </c>
      <c r="T2769" s="50">
        <f t="shared" si="639"/>
        <v>0</v>
      </c>
      <c r="U2769" s="58">
        <f t="shared" si="640"/>
        <v>0</v>
      </c>
      <c r="V2769" s="58">
        <f t="shared" si="641"/>
        <v>0</v>
      </c>
      <c r="W2769" s="58">
        <f t="shared" si="642"/>
        <v>0</v>
      </c>
      <c r="X2769" s="58">
        <f t="shared" si="643"/>
        <v>0</v>
      </c>
      <c r="Y2769" s="52">
        <f t="shared" si="644"/>
        <v>0</v>
      </c>
    </row>
    <row r="2770" spans="1:25" x14ac:dyDescent="0.25">
      <c r="A2770" s="1218" t="s">
        <v>160</v>
      </c>
      <c r="B2770" s="98">
        <v>45931</v>
      </c>
      <c r="C2770" s="117" t="str">
        <f t="shared" si="632"/>
        <v>6L</v>
      </c>
      <c r="F2770" s="99">
        <f t="shared" si="647"/>
        <v>0</v>
      </c>
      <c r="I2770" s="99">
        <f t="shared" si="646"/>
        <v>0</v>
      </c>
      <c r="L2770" s="99">
        <f t="shared" si="633"/>
        <v>0</v>
      </c>
      <c r="M2770" s="44" t="str">
        <f t="shared" si="635"/>
        <v/>
      </c>
      <c r="N2770" s="100">
        <f t="shared" si="636"/>
        <v>0</v>
      </c>
      <c r="O2770" s="101">
        <f t="shared" si="637"/>
        <v>0</v>
      </c>
      <c r="P2770" s="52">
        <f t="shared" si="638"/>
        <v>0</v>
      </c>
      <c r="Q2770" s="49">
        <v>116.88487613461319</v>
      </c>
      <c r="R2770">
        <v>2225</v>
      </c>
      <c r="S2770" s="50">
        <f t="shared" si="634"/>
        <v>71535.307499999995</v>
      </c>
      <c r="T2770" s="50">
        <f t="shared" si="639"/>
        <v>0</v>
      </c>
      <c r="U2770" s="58">
        <f t="shared" si="640"/>
        <v>0</v>
      </c>
      <c r="V2770" s="58">
        <f t="shared" si="641"/>
        <v>0</v>
      </c>
      <c r="W2770" s="58">
        <f t="shared" si="642"/>
        <v>0</v>
      </c>
      <c r="X2770" s="58">
        <f t="shared" si="643"/>
        <v>0</v>
      </c>
      <c r="Y2770" s="52">
        <f t="shared" si="644"/>
        <v>0</v>
      </c>
    </row>
    <row r="2771" spans="1:25" x14ac:dyDescent="0.25">
      <c r="A2771" s="1218" t="s">
        <v>161</v>
      </c>
      <c r="B2771" s="98">
        <v>45931</v>
      </c>
      <c r="C2771" s="117" t="str">
        <f t="shared" si="632"/>
        <v>6L</v>
      </c>
      <c r="F2771" s="99">
        <f t="shared" si="647"/>
        <v>0</v>
      </c>
      <c r="I2771" s="99">
        <f t="shared" si="646"/>
        <v>0</v>
      </c>
      <c r="L2771" s="99">
        <f t="shared" si="633"/>
        <v>0</v>
      </c>
      <c r="M2771" s="44" t="str">
        <f t="shared" si="635"/>
        <v/>
      </c>
      <c r="N2771" s="100">
        <f t="shared" si="636"/>
        <v>0</v>
      </c>
      <c r="O2771" s="101">
        <f t="shared" si="637"/>
        <v>0</v>
      </c>
      <c r="P2771" s="52">
        <f t="shared" si="638"/>
        <v>0</v>
      </c>
      <c r="Q2771" s="49">
        <v>116.88487613461319</v>
      </c>
      <c r="R2771">
        <v>2225</v>
      </c>
      <c r="S2771" s="50">
        <f t="shared" si="634"/>
        <v>71535.307499999995</v>
      </c>
      <c r="T2771" s="50">
        <f t="shared" si="639"/>
        <v>0</v>
      </c>
      <c r="U2771" s="58">
        <f t="shared" si="640"/>
        <v>0</v>
      </c>
      <c r="V2771" s="58">
        <f t="shared" si="641"/>
        <v>0</v>
      </c>
      <c r="W2771" s="58">
        <f t="shared" si="642"/>
        <v>0</v>
      </c>
      <c r="X2771" s="58">
        <f t="shared" si="643"/>
        <v>0</v>
      </c>
      <c r="Y2771" s="52">
        <f t="shared" si="644"/>
        <v>0</v>
      </c>
    </row>
    <row r="2772" spans="1:25" x14ac:dyDescent="0.25">
      <c r="A2772" s="1218" t="s">
        <v>162</v>
      </c>
      <c r="B2772" s="98">
        <v>45931</v>
      </c>
      <c r="C2772" s="117" t="str">
        <f t="shared" si="632"/>
        <v>6L</v>
      </c>
      <c r="F2772" s="99">
        <f t="shared" si="647"/>
        <v>0</v>
      </c>
      <c r="I2772" s="99">
        <f t="shared" si="646"/>
        <v>0</v>
      </c>
      <c r="L2772" s="99">
        <f t="shared" si="633"/>
        <v>0</v>
      </c>
      <c r="M2772" s="44" t="str">
        <f t="shared" si="635"/>
        <v/>
      </c>
      <c r="N2772" s="100">
        <f t="shared" si="636"/>
        <v>0</v>
      </c>
      <c r="O2772" s="101">
        <f t="shared" si="637"/>
        <v>0</v>
      </c>
      <c r="P2772" s="52">
        <f t="shared" si="638"/>
        <v>0</v>
      </c>
      <c r="Q2772" s="49">
        <v>116.88487613461319</v>
      </c>
      <c r="R2772">
        <v>2225</v>
      </c>
      <c r="S2772" s="50">
        <f t="shared" si="634"/>
        <v>71535.307499999995</v>
      </c>
      <c r="T2772" s="50">
        <f t="shared" si="639"/>
        <v>0</v>
      </c>
      <c r="U2772" s="58">
        <f t="shared" si="640"/>
        <v>0</v>
      </c>
      <c r="V2772" s="58">
        <f t="shared" si="641"/>
        <v>0</v>
      </c>
      <c r="W2772" s="58">
        <f t="shared" si="642"/>
        <v>0</v>
      </c>
      <c r="X2772" s="58">
        <f t="shared" si="643"/>
        <v>0</v>
      </c>
      <c r="Y2772" s="52">
        <f t="shared" si="644"/>
        <v>0</v>
      </c>
    </row>
    <row r="2773" spans="1:25" x14ac:dyDescent="0.25">
      <c r="A2773" s="1218" t="s">
        <v>163</v>
      </c>
      <c r="B2773" s="98">
        <v>45931</v>
      </c>
      <c r="C2773" s="117" t="str">
        <f t="shared" si="632"/>
        <v>6L</v>
      </c>
      <c r="F2773" s="99">
        <f t="shared" si="647"/>
        <v>0</v>
      </c>
      <c r="I2773" s="99">
        <f t="shared" si="646"/>
        <v>0</v>
      </c>
      <c r="L2773" s="99">
        <f t="shared" si="633"/>
        <v>0</v>
      </c>
      <c r="M2773" s="44" t="str">
        <f t="shared" si="635"/>
        <v/>
      </c>
      <c r="N2773" s="100">
        <f t="shared" si="636"/>
        <v>0</v>
      </c>
      <c r="O2773" s="101">
        <f t="shared" si="637"/>
        <v>0</v>
      </c>
      <c r="P2773" s="52">
        <f t="shared" si="638"/>
        <v>0</v>
      </c>
      <c r="Q2773" s="49">
        <v>116.88487613461319</v>
      </c>
      <c r="R2773">
        <v>2225</v>
      </c>
      <c r="S2773" s="50">
        <f t="shared" si="634"/>
        <v>71535.307499999995</v>
      </c>
      <c r="T2773" s="50">
        <f t="shared" si="639"/>
        <v>0</v>
      </c>
      <c r="U2773" s="58">
        <f t="shared" si="640"/>
        <v>0</v>
      </c>
      <c r="V2773" s="58">
        <f t="shared" si="641"/>
        <v>0</v>
      </c>
      <c r="W2773" s="58">
        <f t="shared" si="642"/>
        <v>0</v>
      </c>
      <c r="X2773" s="58">
        <f t="shared" si="643"/>
        <v>0</v>
      </c>
      <c r="Y2773" s="52">
        <f t="shared" si="644"/>
        <v>0</v>
      </c>
    </row>
    <row r="2774" spans="1:25" x14ac:dyDescent="0.25">
      <c r="A2774" s="1218" t="s">
        <v>164</v>
      </c>
      <c r="B2774" s="98">
        <v>45931</v>
      </c>
      <c r="C2774" s="117" t="str">
        <f t="shared" si="632"/>
        <v>6L</v>
      </c>
      <c r="F2774" s="99">
        <f t="shared" si="647"/>
        <v>0</v>
      </c>
      <c r="I2774" s="99">
        <f t="shared" si="646"/>
        <v>0</v>
      </c>
      <c r="L2774" s="99">
        <f t="shared" si="633"/>
        <v>0</v>
      </c>
      <c r="M2774" s="44" t="str">
        <f t="shared" si="635"/>
        <v/>
      </c>
      <c r="N2774" s="100">
        <f t="shared" si="636"/>
        <v>0</v>
      </c>
      <c r="O2774" s="101">
        <f t="shared" si="637"/>
        <v>0</v>
      </c>
      <c r="P2774" s="52">
        <f t="shared" si="638"/>
        <v>0</v>
      </c>
      <c r="Q2774" s="49">
        <v>116.88487613461319</v>
      </c>
      <c r="R2774">
        <v>2225</v>
      </c>
      <c r="S2774" s="50">
        <f t="shared" si="634"/>
        <v>71535.307499999995</v>
      </c>
      <c r="T2774" s="50">
        <f t="shared" si="639"/>
        <v>0</v>
      </c>
      <c r="U2774" s="58">
        <f t="shared" si="640"/>
        <v>0</v>
      </c>
      <c r="V2774" s="58">
        <f t="shared" si="641"/>
        <v>0</v>
      </c>
      <c r="W2774" s="58">
        <f t="shared" si="642"/>
        <v>0</v>
      </c>
      <c r="X2774" s="58">
        <f t="shared" si="643"/>
        <v>0</v>
      </c>
      <c r="Y2774" s="52">
        <f t="shared" si="644"/>
        <v>0</v>
      </c>
    </row>
    <row r="2775" spans="1:25" x14ac:dyDescent="0.25">
      <c r="A2775" s="1218" t="s">
        <v>165</v>
      </c>
      <c r="B2775" s="98">
        <v>45931</v>
      </c>
      <c r="C2775" s="117" t="str">
        <f t="shared" si="632"/>
        <v>6L</v>
      </c>
      <c r="F2775" s="99">
        <f t="shared" si="647"/>
        <v>0</v>
      </c>
      <c r="I2775" s="99">
        <f t="shared" si="646"/>
        <v>0</v>
      </c>
      <c r="L2775" s="99">
        <f t="shared" si="633"/>
        <v>0</v>
      </c>
      <c r="M2775" s="44" t="str">
        <f t="shared" si="635"/>
        <v/>
      </c>
      <c r="N2775" s="100">
        <f t="shared" si="636"/>
        <v>0</v>
      </c>
      <c r="O2775" s="101">
        <f t="shared" si="637"/>
        <v>0</v>
      </c>
      <c r="P2775" s="52">
        <f t="shared" si="638"/>
        <v>0</v>
      </c>
      <c r="Q2775" s="49">
        <v>116.88487613461319</v>
      </c>
      <c r="R2775">
        <v>2225</v>
      </c>
      <c r="S2775" s="50">
        <f t="shared" si="634"/>
        <v>71535.307499999995</v>
      </c>
      <c r="T2775" s="50">
        <f t="shared" si="639"/>
        <v>0</v>
      </c>
      <c r="U2775" s="58">
        <f t="shared" si="640"/>
        <v>0</v>
      </c>
      <c r="V2775" s="58">
        <f t="shared" si="641"/>
        <v>0</v>
      </c>
      <c r="W2775" s="58">
        <f t="shared" si="642"/>
        <v>0</v>
      </c>
      <c r="X2775" s="58">
        <f t="shared" si="643"/>
        <v>0</v>
      </c>
      <c r="Y2775" s="52">
        <f t="shared" si="644"/>
        <v>0</v>
      </c>
    </row>
    <row r="2776" spans="1:25" x14ac:dyDescent="0.25">
      <c r="A2776" s="1218" t="s">
        <v>166</v>
      </c>
      <c r="B2776" s="98">
        <v>45931</v>
      </c>
      <c r="C2776" s="117" t="str">
        <f t="shared" si="632"/>
        <v>6L</v>
      </c>
      <c r="F2776" s="99">
        <f t="shared" si="647"/>
        <v>0</v>
      </c>
      <c r="I2776" s="99">
        <f t="shared" si="646"/>
        <v>0</v>
      </c>
      <c r="L2776" s="99">
        <f t="shared" si="633"/>
        <v>0</v>
      </c>
      <c r="M2776" s="44" t="str">
        <f t="shared" si="635"/>
        <v/>
      </c>
      <c r="N2776" s="100">
        <f t="shared" si="636"/>
        <v>0</v>
      </c>
      <c r="O2776" s="101">
        <f t="shared" si="637"/>
        <v>0</v>
      </c>
      <c r="P2776" s="52">
        <f t="shared" si="638"/>
        <v>0</v>
      </c>
      <c r="Q2776" s="49">
        <v>116.88487613461319</v>
      </c>
      <c r="R2776">
        <v>2225</v>
      </c>
      <c r="S2776" s="50">
        <f t="shared" si="634"/>
        <v>71535.307499999995</v>
      </c>
      <c r="T2776" s="50">
        <f t="shared" si="639"/>
        <v>0</v>
      </c>
      <c r="U2776" s="58">
        <f t="shared" si="640"/>
        <v>0</v>
      </c>
      <c r="V2776" s="58">
        <f t="shared" si="641"/>
        <v>0</v>
      </c>
      <c r="W2776" s="58">
        <f t="shared" si="642"/>
        <v>0</v>
      </c>
      <c r="X2776" s="58">
        <f t="shared" si="643"/>
        <v>0</v>
      </c>
      <c r="Y2776" s="52">
        <f t="shared" si="644"/>
        <v>0</v>
      </c>
    </row>
    <row r="2777" spans="1:25" x14ac:dyDescent="0.25">
      <c r="A2777" s="1218" t="s">
        <v>167</v>
      </c>
      <c r="B2777" s="98">
        <v>45931</v>
      </c>
      <c r="C2777" s="117" t="str">
        <f t="shared" ref="C2777:C2840" si="648">LEFT(A2777,2)</f>
        <v>6L</v>
      </c>
      <c r="F2777" s="99">
        <f t="shared" si="647"/>
        <v>0</v>
      </c>
      <c r="I2777" s="99">
        <f t="shared" si="646"/>
        <v>0</v>
      </c>
      <c r="L2777" s="99">
        <f t="shared" si="633"/>
        <v>0</v>
      </c>
      <c r="M2777" s="44" t="str">
        <f t="shared" si="635"/>
        <v/>
      </c>
      <c r="N2777" s="100">
        <f t="shared" si="636"/>
        <v>0</v>
      </c>
      <c r="O2777" s="101">
        <f t="shared" si="637"/>
        <v>0</v>
      </c>
      <c r="P2777" s="52">
        <f t="shared" si="638"/>
        <v>0</v>
      </c>
      <c r="Q2777" s="49">
        <v>116.88487613461319</v>
      </c>
      <c r="R2777">
        <v>2225</v>
      </c>
      <c r="S2777" s="50">
        <f t="shared" si="634"/>
        <v>71535.307499999995</v>
      </c>
      <c r="T2777" s="50">
        <f t="shared" si="639"/>
        <v>0</v>
      </c>
      <c r="U2777" s="58">
        <f t="shared" si="640"/>
        <v>0</v>
      </c>
      <c r="V2777" s="58">
        <f t="shared" si="641"/>
        <v>0</v>
      </c>
      <c r="W2777" s="58">
        <f t="shared" si="642"/>
        <v>0</v>
      </c>
      <c r="X2777" s="58">
        <f t="shared" si="643"/>
        <v>0</v>
      </c>
      <c r="Y2777" s="52">
        <f t="shared" si="644"/>
        <v>0</v>
      </c>
    </row>
    <row r="2778" spans="1:25" x14ac:dyDescent="0.25">
      <c r="A2778" s="1218" t="s">
        <v>168</v>
      </c>
      <c r="B2778" s="98">
        <v>45931</v>
      </c>
      <c r="C2778" s="117" t="str">
        <f t="shared" si="648"/>
        <v>6L</v>
      </c>
      <c r="F2778" s="99">
        <f t="shared" si="647"/>
        <v>0</v>
      </c>
      <c r="I2778" s="99">
        <f t="shared" si="646"/>
        <v>0</v>
      </c>
      <c r="L2778" s="99">
        <f t="shared" si="633"/>
        <v>0</v>
      </c>
      <c r="M2778" s="44" t="str">
        <f t="shared" si="635"/>
        <v/>
      </c>
      <c r="N2778" s="100">
        <f t="shared" si="636"/>
        <v>0</v>
      </c>
      <c r="O2778" s="101">
        <f t="shared" si="637"/>
        <v>0</v>
      </c>
      <c r="P2778" s="52">
        <f t="shared" si="638"/>
        <v>0</v>
      </c>
      <c r="Q2778" s="49">
        <v>116.88487613461319</v>
      </c>
      <c r="R2778">
        <v>2225</v>
      </c>
      <c r="S2778" s="50">
        <f t="shared" si="634"/>
        <v>71535.307499999995</v>
      </c>
      <c r="T2778" s="50">
        <f t="shared" si="639"/>
        <v>0</v>
      </c>
      <c r="U2778" s="58">
        <f t="shared" si="640"/>
        <v>0</v>
      </c>
      <c r="V2778" s="58">
        <f t="shared" si="641"/>
        <v>0</v>
      </c>
      <c r="W2778" s="58">
        <f t="shared" si="642"/>
        <v>0</v>
      </c>
      <c r="X2778" s="58">
        <f t="shared" si="643"/>
        <v>0</v>
      </c>
      <c r="Y2778" s="52">
        <f t="shared" si="644"/>
        <v>0</v>
      </c>
    </row>
    <row r="2779" spans="1:25" x14ac:dyDescent="0.25">
      <c r="A2779" s="1218" t="s">
        <v>169</v>
      </c>
      <c r="B2779" s="98">
        <v>45931</v>
      </c>
      <c r="C2779" s="117" t="str">
        <f t="shared" si="648"/>
        <v>6L</v>
      </c>
      <c r="F2779" s="99">
        <f t="shared" si="647"/>
        <v>0</v>
      </c>
      <c r="I2779" s="99">
        <f t="shared" si="646"/>
        <v>0</v>
      </c>
      <c r="L2779" s="99">
        <f t="shared" si="633"/>
        <v>0</v>
      </c>
      <c r="M2779" s="44" t="str">
        <f t="shared" si="635"/>
        <v/>
      </c>
      <c r="N2779" s="100">
        <f t="shared" si="636"/>
        <v>0</v>
      </c>
      <c r="O2779" s="101">
        <f t="shared" si="637"/>
        <v>0</v>
      </c>
      <c r="P2779" s="52">
        <f t="shared" si="638"/>
        <v>0</v>
      </c>
      <c r="Q2779" s="49">
        <v>116.88487613461319</v>
      </c>
      <c r="R2779">
        <v>2225</v>
      </c>
      <c r="S2779" s="50">
        <f t="shared" si="634"/>
        <v>71535.307499999995</v>
      </c>
      <c r="T2779" s="50">
        <f t="shared" si="639"/>
        <v>0</v>
      </c>
      <c r="U2779" s="58">
        <f t="shared" si="640"/>
        <v>0</v>
      </c>
      <c r="V2779" s="58">
        <f t="shared" si="641"/>
        <v>0</v>
      </c>
      <c r="W2779" s="58">
        <f t="shared" si="642"/>
        <v>0</v>
      </c>
      <c r="X2779" s="58">
        <f t="shared" si="643"/>
        <v>0</v>
      </c>
      <c r="Y2779" s="52">
        <f t="shared" si="644"/>
        <v>0</v>
      </c>
    </row>
    <row r="2780" spans="1:25" x14ac:dyDescent="0.25">
      <c r="A2780" s="1218" t="s">
        <v>170</v>
      </c>
      <c r="B2780" s="98">
        <v>45931</v>
      </c>
      <c r="C2780" s="117" t="str">
        <f t="shared" si="648"/>
        <v>6L</v>
      </c>
      <c r="D2780" s="118">
        <v>509</v>
      </c>
      <c r="E2780">
        <v>3.49</v>
      </c>
      <c r="F2780" s="99">
        <f t="shared" si="647"/>
        <v>1.77641</v>
      </c>
      <c r="I2780" s="99">
        <f t="shared" si="646"/>
        <v>0</v>
      </c>
      <c r="L2780" s="99">
        <f t="shared" si="633"/>
        <v>0</v>
      </c>
      <c r="M2780" s="44" t="str">
        <f t="shared" si="635"/>
        <v/>
      </c>
      <c r="N2780" s="100">
        <f t="shared" si="636"/>
        <v>0</v>
      </c>
      <c r="O2780" s="101">
        <f t="shared" si="637"/>
        <v>0</v>
      </c>
      <c r="P2780" s="52">
        <f t="shared" si="638"/>
        <v>0</v>
      </c>
      <c r="Q2780" s="49">
        <v>116.88487613461319</v>
      </c>
      <c r="R2780">
        <v>2225</v>
      </c>
      <c r="S2780" s="50">
        <f t="shared" si="634"/>
        <v>71535.307499999995</v>
      </c>
      <c r="T2780" s="50">
        <f t="shared" si="639"/>
        <v>0</v>
      </c>
      <c r="U2780" s="58">
        <f t="shared" si="640"/>
        <v>0</v>
      </c>
      <c r="V2780" s="58">
        <f t="shared" si="641"/>
        <v>0</v>
      </c>
      <c r="W2780" s="58">
        <f t="shared" si="642"/>
        <v>0</v>
      </c>
      <c r="X2780" s="58">
        <f t="shared" si="643"/>
        <v>0</v>
      </c>
      <c r="Y2780" s="52">
        <f t="shared" si="644"/>
        <v>0</v>
      </c>
    </row>
    <row r="2781" spans="1:25" x14ac:dyDescent="0.25">
      <c r="A2781" s="1218" t="s">
        <v>171</v>
      </c>
      <c r="B2781" s="98">
        <v>45931</v>
      </c>
      <c r="C2781" s="117" t="str">
        <f t="shared" si="648"/>
        <v>6L</v>
      </c>
      <c r="F2781" s="99">
        <f t="shared" si="647"/>
        <v>0</v>
      </c>
      <c r="I2781" s="99">
        <f t="shared" si="646"/>
        <v>0</v>
      </c>
      <c r="L2781" s="99">
        <f t="shared" si="633"/>
        <v>0</v>
      </c>
      <c r="M2781" s="44" t="str">
        <f t="shared" si="635"/>
        <v/>
      </c>
      <c r="N2781" s="100">
        <f t="shared" si="636"/>
        <v>0</v>
      </c>
      <c r="O2781" s="101">
        <f t="shared" si="637"/>
        <v>0</v>
      </c>
      <c r="P2781" s="52">
        <f t="shared" si="638"/>
        <v>0</v>
      </c>
      <c r="Q2781" s="49">
        <v>116.88487613461319</v>
      </c>
      <c r="R2781">
        <v>2225</v>
      </c>
      <c r="S2781" s="50">
        <f t="shared" si="634"/>
        <v>71535.307499999995</v>
      </c>
      <c r="T2781" s="50">
        <f t="shared" si="639"/>
        <v>0</v>
      </c>
      <c r="U2781" s="58">
        <f t="shared" si="640"/>
        <v>0</v>
      </c>
      <c r="V2781" s="58">
        <f t="shared" si="641"/>
        <v>0</v>
      </c>
      <c r="W2781" s="58">
        <f t="shared" si="642"/>
        <v>0</v>
      </c>
      <c r="X2781" s="58">
        <f t="shared" si="643"/>
        <v>0</v>
      </c>
      <c r="Y2781" s="52">
        <f t="shared" si="644"/>
        <v>0</v>
      </c>
    </row>
    <row r="2782" spans="1:25" x14ac:dyDescent="0.25">
      <c r="A2782" s="1218" t="s">
        <v>172</v>
      </c>
      <c r="B2782" s="98">
        <v>45931</v>
      </c>
      <c r="C2782" s="117" t="str">
        <f t="shared" si="648"/>
        <v>6L</v>
      </c>
      <c r="D2782">
        <v>2022</v>
      </c>
      <c r="E2782">
        <v>2.4500000000000002</v>
      </c>
      <c r="F2782" s="99">
        <f t="shared" si="647"/>
        <v>4.9539000000000009</v>
      </c>
      <c r="I2782" s="99">
        <f t="shared" si="646"/>
        <v>0</v>
      </c>
      <c r="L2782" s="99">
        <f t="shared" si="633"/>
        <v>0</v>
      </c>
      <c r="M2782" s="44" t="str">
        <f t="shared" si="635"/>
        <v/>
      </c>
      <c r="N2782" s="100">
        <f t="shared" si="636"/>
        <v>0</v>
      </c>
      <c r="O2782" s="101">
        <f t="shared" si="637"/>
        <v>0</v>
      </c>
      <c r="P2782" s="52">
        <f t="shared" si="638"/>
        <v>0</v>
      </c>
      <c r="Q2782" s="49">
        <v>116.88487613461319</v>
      </c>
      <c r="R2782">
        <v>2225</v>
      </c>
      <c r="S2782" s="50">
        <f t="shared" si="634"/>
        <v>71535.307499999995</v>
      </c>
      <c r="T2782" s="50">
        <f t="shared" si="639"/>
        <v>0</v>
      </c>
      <c r="U2782" s="58">
        <f t="shared" si="640"/>
        <v>0</v>
      </c>
      <c r="V2782" s="58">
        <f t="shared" si="641"/>
        <v>0</v>
      </c>
      <c r="W2782" s="58">
        <f t="shared" si="642"/>
        <v>0</v>
      </c>
      <c r="X2782" s="58">
        <f t="shared" si="643"/>
        <v>0</v>
      </c>
      <c r="Y2782" s="52">
        <f t="shared" si="644"/>
        <v>0</v>
      </c>
    </row>
    <row r="2783" spans="1:25" x14ac:dyDescent="0.25">
      <c r="A2783" s="1218" t="s">
        <v>173</v>
      </c>
      <c r="B2783" s="98">
        <v>45931</v>
      </c>
      <c r="C2783" s="117" t="str">
        <f t="shared" si="648"/>
        <v>6L</v>
      </c>
      <c r="F2783" s="99">
        <f t="shared" si="647"/>
        <v>0</v>
      </c>
      <c r="I2783" s="99">
        <f t="shared" si="646"/>
        <v>0</v>
      </c>
      <c r="L2783" s="99">
        <f t="shared" si="633"/>
        <v>0</v>
      </c>
      <c r="M2783" s="44" t="str">
        <f t="shared" si="635"/>
        <v/>
      </c>
      <c r="N2783" s="100">
        <f t="shared" si="636"/>
        <v>0</v>
      </c>
      <c r="O2783" s="101">
        <f t="shared" si="637"/>
        <v>0</v>
      </c>
      <c r="P2783" s="52">
        <f t="shared" si="638"/>
        <v>0</v>
      </c>
      <c r="Q2783" s="49">
        <v>116.88487613461319</v>
      </c>
      <c r="R2783">
        <v>2225</v>
      </c>
      <c r="S2783" s="50">
        <f t="shared" si="634"/>
        <v>71535.307499999995</v>
      </c>
      <c r="T2783" s="50">
        <f t="shared" si="639"/>
        <v>0</v>
      </c>
      <c r="U2783" s="58">
        <f t="shared" si="640"/>
        <v>0</v>
      </c>
      <c r="V2783" s="58">
        <f t="shared" si="641"/>
        <v>0</v>
      </c>
      <c r="W2783" s="58">
        <f t="shared" si="642"/>
        <v>0</v>
      </c>
      <c r="X2783" s="58">
        <f t="shared" si="643"/>
        <v>0</v>
      </c>
      <c r="Y2783" s="52">
        <f t="shared" si="644"/>
        <v>0</v>
      </c>
    </row>
    <row r="2784" spans="1:25" x14ac:dyDescent="0.25">
      <c r="A2784" s="1218" t="s">
        <v>174</v>
      </c>
      <c r="B2784" s="98">
        <v>45931</v>
      </c>
      <c r="C2784" s="117" t="str">
        <f t="shared" si="648"/>
        <v>6L</v>
      </c>
      <c r="F2784" s="99">
        <f t="shared" si="647"/>
        <v>0</v>
      </c>
      <c r="I2784" s="99">
        <f t="shared" si="646"/>
        <v>0</v>
      </c>
      <c r="L2784" s="99">
        <f t="shared" si="633"/>
        <v>0</v>
      </c>
      <c r="M2784" s="44" t="str">
        <f t="shared" si="635"/>
        <v/>
      </c>
      <c r="N2784" s="100">
        <f t="shared" si="636"/>
        <v>0</v>
      </c>
      <c r="O2784" s="101">
        <f t="shared" si="637"/>
        <v>0</v>
      </c>
      <c r="P2784" s="52">
        <f t="shared" si="638"/>
        <v>0</v>
      </c>
      <c r="Q2784" s="49">
        <v>116.88487613461319</v>
      </c>
      <c r="R2784">
        <v>2225</v>
      </c>
      <c r="S2784" s="50">
        <f t="shared" si="634"/>
        <v>71535.307499999995</v>
      </c>
      <c r="T2784" s="50">
        <f t="shared" si="639"/>
        <v>0</v>
      </c>
      <c r="U2784" s="58">
        <f t="shared" si="640"/>
        <v>0</v>
      </c>
      <c r="V2784" s="58">
        <f t="shared" si="641"/>
        <v>0</v>
      </c>
      <c r="W2784" s="58">
        <f t="shared" si="642"/>
        <v>0</v>
      </c>
      <c r="X2784" s="58">
        <f t="shared" si="643"/>
        <v>0</v>
      </c>
      <c r="Y2784" s="52">
        <f t="shared" si="644"/>
        <v>0</v>
      </c>
    </row>
    <row r="2785" spans="1:25" x14ac:dyDescent="0.25">
      <c r="A2785" s="1218" t="s">
        <v>175</v>
      </c>
      <c r="B2785" s="98">
        <v>45931</v>
      </c>
      <c r="C2785" s="117" t="str">
        <f t="shared" si="648"/>
        <v>6L</v>
      </c>
      <c r="F2785" s="99">
        <f t="shared" si="647"/>
        <v>0</v>
      </c>
      <c r="I2785" s="99">
        <f t="shared" si="646"/>
        <v>0</v>
      </c>
      <c r="L2785" s="99">
        <f t="shared" si="633"/>
        <v>0</v>
      </c>
      <c r="M2785" s="44" t="str">
        <f t="shared" si="635"/>
        <v/>
      </c>
      <c r="N2785" s="100">
        <f t="shared" si="636"/>
        <v>0</v>
      </c>
      <c r="O2785" s="101">
        <f t="shared" si="637"/>
        <v>0</v>
      </c>
      <c r="P2785" s="52">
        <f t="shared" si="638"/>
        <v>0</v>
      </c>
      <c r="Q2785" s="49">
        <v>116.88487613461319</v>
      </c>
      <c r="R2785">
        <v>2225</v>
      </c>
      <c r="S2785" s="50">
        <f t="shared" si="634"/>
        <v>71535.307499999995</v>
      </c>
      <c r="T2785" s="50">
        <f t="shared" si="639"/>
        <v>0</v>
      </c>
      <c r="U2785" s="58">
        <f t="shared" si="640"/>
        <v>0</v>
      </c>
      <c r="V2785" s="58">
        <f t="shared" si="641"/>
        <v>0</v>
      </c>
      <c r="W2785" s="58">
        <f t="shared" si="642"/>
        <v>0</v>
      </c>
      <c r="X2785" s="58">
        <f t="shared" si="643"/>
        <v>0</v>
      </c>
      <c r="Y2785" s="52">
        <f t="shared" si="644"/>
        <v>0</v>
      </c>
    </row>
    <row r="2786" spans="1:25" x14ac:dyDescent="0.25">
      <c r="A2786" s="1218" t="s">
        <v>176</v>
      </c>
      <c r="B2786" s="98">
        <v>45931</v>
      </c>
      <c r="C2786" s="117" t="str">
        <f t="shared" si="648"/>
        <v>6L</v>
      </c>
      <c r="F2786" s="99">
        <f t="shared" si="647"/>
        <v>0</v>
      </c>
      <c r="I2786" s="99">
        <f t="shared" si="646"/>
        <v>0</v>
      </c>
      <c r="L2786" s="99">
        <f t="shared" si="633"/>
        <v>0</v>
      </c>
      <c r="M2786" s="44" t="str">
        <f t="shared" si="635"/>
        <v/>
      </c>
      <c r="N2786" s="100">
        <f t="shared" si="636"/>
        <v>0</v>
      </c>
      <c r="O2786" s="101">
        <f t="shared" si="637"/>
        <v>0</v>
      </c>
      <c r="P2786" s="52">
        <f t="shared" si="638"/>
        <v>0</v>
      </c>
      <c r="Q2786" s="49">
        <v>116.88487613461319</v>
      </c>
      <c r="R2786">
        <v>2225</v>
      </c>
      <c r="S2786" s="50">
        <f t="shared" si="634"/>
        <v>71535.307499999995</v>
      </c>
      <c r="T2786" s="50">
        <f t="shared" si="639"/>
        <v>0</v>
      </c>
      <c r="U2786" s="58">
        <f t="shared" si="640"/>
        <v>0</v>
      </c>
      <c r="V2786" s="58">
        <f t="shared" si="641"/>
        <v>0</v>
      </c>
      <c r="W2786" s="58">
        <f t="shared" si="642"/>
        <v>0</v>
      </c>
      <c r="X2786" s="58">
        <f t="shared" si="643"/>
        <v>0</v>
      </c>
      <c r="Y2786" s="52">
        <f t="shared" si="644"/>
        <v>0</v>
      </c>
    </row>
    <row r="2787" spans="1:25" x14ac:dyDescent="0.25">
      <c r="A2787" s="1218" t="s">
        <v>177</v>
      </c>
      <c r="B2787" s="98">
        <v>45931</v>
      </c>
      <c r="C2787" s="117" t="str">
        <f t="shared" si="648"/>
        <v>6L</v>
      </c>
      <c r="D2787" s="118">
        <v>2</v>
      </c>
      <c r="E2787">
        <v>1.55</v>
      </c>
      <c r="F2787" s="99">
        <f t="shared" si="647"/>
        <v>3.0999999999999999E-3</v>
      </c>
      <c r="I2787" s="99">
        <f t="shared" si="646"/>
        <v>0</v>
      </c>
      <c r="L2787" s="99">
        <f t="shared" si="633"/>
        <v>0</v>
      </c>
      <c r="M2787" s="44" t="str">
        <f t="shared" si="635"/>
        <v/>
      </c>
      <c r="N2787" s="100">
        <f t="shared" si="636"/>
        <v>0</v>
      </c>
      <c r="O2787" s="101">
        <f t="shared" si="637"/>
        <v>0</v>
      </c>
      <c r="P2787" s="52">
        <f t="shared" si="638"/>
        <v>0</v>
      </c>
      <c r="Q2787" s="49">
        <v>116.88487613461319</v>
      </c>
      <c r="R2787">
        <v>2225</v>
      </c>
      <c r="S2787" s="50">
        <f t="shared" si="634"/>
        <v>71535.307499999995</v>
      </c>
      <c r="T2787" s="50">
        <f t="shared" si="639"/>
        <v>0</v>
      </c>
      <c r="U2787" s="58">
        <f t="shared" si="640"/>
        <v>0</v>
      </c>
      <c r="V2787" s="58">
        <f t="shared" si="641"/>
        <v>0</v>
      </c>
      <c r="W2787" s="58">
        <f t="shared" si="642"/>
        <v>0</v>
      </c>
      <c r="X2787" s="58">
        <f t="shared" si="643"/>
        <v>0</v>
      </c>
      <c r="Y2787" s="52">
        <f t="shared" si="644"/>
        <v>0</v>
      </c>
    </row>
    <row r="2788" spans="1:25" x14ac:dyDescent="0.25">
      <c r="A2788" s="1218" t="s">
        <v>178</v>
      </c>
      <c r="B2788" s="98">
        <v>45931</v>
      </c>
      <c r="C2788" s="117" t="str">
        <f t="shared" si="648"/>
        <v>7L</v>
      </c>
      <c r="F2788" s="99">
        <f t="shared" si="647"/>
        <v>0</v>
      </c>
      <c r="I2788" s="99">
        <f t="shared" si="646"/>
        <v>0</v>
      </c>
      <c r="L2788" s="99">
        <f t="shared" si="633"/>
        <v>0</v>
      </c>
      <c r="M2788" s="44" t="str">
        <f t="shared" si="635"/>
        <v/>
      </c>
      <c r="N2788" s="100">
        <f t="shared" si="636"/>
        <v>0</v>
      </c>
      <c r="O2788" s="101">
        <f t="shared" si="637"/>
        <v>0</v>
      </c>
      <c r="P2788" s="52">
        <f t="shared" si="638"/>
        <v>0</v>
      </c>
      <c r="Q2788" s="49">
        <v>116.88487613461319</v>
      </c>
      <c r="R2788">
        <v>2225</v>
      </c>
      <c r="S2788" s="50">
        <f t="shared" si="634"/>
        <v>71535.307499999995</v>
      </c>
      <c r="T2788" s="50">
        <f t="shared" si="639"/>
        <v>0</v>
      </c>
      <c r="U2788" s="58">
        <f t="shared" si="640"/>
        <v>0</v>
      </c>
      <c r="V2788" s="58">
        <f t="shared" si="641"/>
        <v>0</v>
      </c>
      <c r="W2788" s="58">
        <f t="shared" si="642"/>
        <v>0</v>
      </c>
      <c r="X2788" s="58">
        <f t="shared" si="643"/>
        <v>0</v>
      </c>
      <c r="Y2788" s="52">
        <f t="shared" si="644"/>
        <v>0</v>
      </c>
    </row>
    <row r="2789" spans="1:25" x14ac:dyDescent="0.25">
      <c r="A2789" s="1218" t="s">
        <v>179</v>
      </c>
      <c r="B2789" s="98">
        <v>45931</v>
      </c>
      <c r="C2789" s="117" t="str">
        <f t="shared" si="648"/>
        <v>7L</v>
      </c>
      <c r="F2789" s="99">
        <f t="shared" si="647"/>
        <v>0</v>
      </c>
      <c r="I2789" s="99">
        <f t="shared" si="646"/>
        <v>0</v>
      </c>
      <c r="L2789" s="99">
        <f t="shared" si="633"/>
        <v>0</v>
      </c>
      <c r="M2789" s="44" t="str">
        <f t="shared" si="635"/>
        <v/>
      </c>
      <c r="N2789" s="100">
        <f t="shared" si="636"/>
        <v>0</v>
      </c>
      <c r="O2789" s="101">
        <f t="shared" si="637"/>
        <v>0</v>
      </c>
      <c r="P2789" s="52">
        <f t="shared" si="638"/>
        <v>0</v>
      </c>
      <c r="Q2789" s="49">
        <v>116.88487613461319</v>
      </c>
      <c r="R2789">
        <v>2225</v>
      </c>
      <c r="S2789" s="50">
        <f t="shared" si="634"/>
        <v>71535.307499999995</v>
      </c>
      <c r="T2789" s="50">
        <f t="shared" si="639"/>
        <v>0</v>
      </c>
      <c r="U2789" s="58">
        <f t="shared" si="640"/>
        <v>0</v>
      </c>
      <c r="V2789" s="58">
        <f t="shared" si="641"/>
        <v>0</v>
      </c>
      <c r="W2789" s="58">
        <f t="shared" si="642"/>
        <v>0</v>
      </c>
      <c r="X2789" s="58">
        <f t="shared" si="643"/>
        <v>0</v>
      </c>
      <c r="Y2789" s="52">
        <f t="shared" si="644"/>
        <v>0</v>
      </c>
    </row>
    <row r="2790" spans="1:25" x14ac:dyDescent="0.25">
      <c r="A2790" s="1218" t="s">
        <v>180</v>
      </c>
      <c r="B2790" s="98">
        <v>45931</v>
      </c>
      <c r="C2790" s="117" t="str">
        <f t="shared" si="648"/>
        <v>7L</v>
      </c>
      <c r="F2790" s="99">
        <f t="shared" si="647"/>
        <v>0</v>
      </c>
      <c r="I2790" s="99">
        <f t="shared" si="646"/>
        <v>0</v>
      </c>
      <c r="L2790" s="99">
        <f t="shared" si="633"/>
        <v>0</v>
      </c>
      <c r="M2790" s="44" t="str">
        <f t="shared" si="635"/>
        <v/>
      </c>
      <c r="N2790" s="100">
        <f t="shared" si="636"/>
        <v>0</v>
      </c>
      <c r="O2790" s="101">
        <f t="shared" si="637"/>
        <v>0</v>
      </c>
      <c r="P2790" s="52">
        <f t="shared" si="638"/>
        <v>0</v>
      </c>
      <c r="Q2790" s="49">
        <v>116.88487613461319</v>
      </c>
      <c r="R2790">
        <v>2225</v>
      </c>
      <c r="S2790" s="50">
        <f t="shared" si="634"/>
        <v>71535.307499999995</v>
      </c>
      <c r="T2790" s="50">
        <f t="shared" si="639"/>
        <v>0</v>
      </c>
      <c r="U2790" s="58">
        <f t="shared" si="640"/>
        <v>0</v>
      </c>
      <c r="V2790" s="58">
        <f t="shared" si="641"/>
        <v>0</v>
      </c>
      <c r="W2790" s="58">
        <f t="shared" si="642"/>
        <v>0</v>
      </c>
      <c r="X2790" s="58">
        <f t="shared" si="643"/>
        <v>0</v>
      </c>
      <c r="Y2790" s="52">
        <f t="shared" si="644"/>
        <v>0</v>
      </c>
    </row>
    <row r="2791" spans="1:25" x14ac:dyDescent="0.25">
      <c r="A2791" s="1218" t="s">
        <v>181</v>
      </c>
      <c r="B2791" s="98">
        <v>45931</v>
      </c>
      <c r="C2791" s="117" t="str">
        <f t="shared" si="648"/>
        <v>7L</v>
      </c>
      <c r="F2791" s="99">
        <f t="shared" si="647"/>
        <v>0</v>
      </c>
      <c r="I2791" s="99">
        <f t="shared" si="646"/>
        <v>0</v>
      </c>
      <c r="L2791" s="99">
        <f t="shared" si="633"/>
        <v>0</v>
      </c>
      <c r="M2791" s="44" t="str">
        <f t="shared" si="635"/>
        <v/>
      </c>
      <c r="N2791" s="100">
        <f t="shared" si="636"/>
        <v>0</v>
      </c>
      <c r="O2791" s="101">
        <f t="shared" si="637"/>
        <v>0</v>
      </c>
      <c r="P2791" s="52">
        <f t="shared" si="638"/>
        <v>0</v>
      </c>
      <c r="Q2791" s="49">
        <v>116.88487613461319</v>
      </c>
      <c r="R2791">
        <v>2225</v>
      </c>
      <c r="S2791" s="50">
        <f t="shared" si="634"/>
        <v>71535.307499999995</v>
      </c>
      <c r="T2791" s="50">
        <f t="shared" si="639"/>
        <v>0</v>
      </c>
      <c r="U2791" s="58">
        <f t="shared" si="640"/>
        <v>0</v>
      </c>
      <c r="V2791" s="58">
        <f t="shared" si="641"/>
        <v>0</v>
      </c>
      <c r="W2791" s="58">
        <f t="shared" si="642"/>
        <v>0</v>
      </c>
      <c r="X2791" s="58">
        <f t="shared" si="643"/>
        <v>0</v>
      </c>
      <c r="Y2791" s="52">
        <f t="shared" si="644"/>
        <v>0</v>
      </c>
    </row>
    <row r="2792" spans="1:25" x14ac:dyDescent="0.25">
      <c r="A2792" s="1218" t="s">
        <v>182</v>
      </c>
      <c r="B2792" s="98">
        <v>45931</v>
      </c>
      <c r="C2792" s="117" t="str">
        <f t="shared" si="648"/>
        <v>7L</v>
      </c>
      <c r="D2792">
        <v>2022</v>
      </c>
      <c r="E2792">
        <v>3.61</v>
      </c>
      <c r="F2792" s="99">
        <f t="shared" si="647"/>
        <v>7.2994200000000005</v>
      </c>
      <c r="I2792" s="99">
        <f t="shared" si="646"/>
        <v>0</v>
      </c>
      <c r="L2792" s="99">
        <f t="shared" si="633"/>
        <v>0</v>
      </c>
      <c r="M2792" s="44" t="str">
        <f t="shared" si="635"/>
        <v/>
      </c>
      <c r="N2792" s="100">
        <f t="shared" si="636"/>
        <v>0</v>
      </c>
      <c r="O2792" s="101">
        <f t="shared" si="637"/>
        <v>0</v>
      </c>
      <c r="P2792" s="52">
        <f t="shared" si="638"/>
        <v>0</v>
      </c>
      <c r="Q2792" s="49">
        <v>116.88487613461319</v>
      </c>
      <c r="R2792">
        <v>2225</v>
      </c>
      <c r="S2792" s="50">
        <f t="shared" si="634"/>
        <v>71535.307499999995</v>
      </c>
      <c r="T2792" s="50">
        <f t="shared" si="639"/>
        <v>0</v>
      </c>
      <c r="U2792" s="58">
        <f t="shared" si="640"/>
        <v>0</v>
      </c>
      <c r="V2792" s="58">
        <f t="shared" si="641"/>
        <v>0</v>
      </c>
      <c r="W2792" s="58">
        <f t="shared" si="642"/>
        <v>0</v>
      </c>
      <c r="X2792" s="58">
        <f t="shared" si="643"/>
        <v>0</v>
      </c>
      <c r="Y2792" s="52">
        <f t="shared" si="644"/>
        <v>0</v>
      </c>
    </row>
    <row r="2793" spans="1:25" x14ac:dyDescent="0.25">
      <c r="A2793" s="1218" t="s">
        <v>183</v>
      </c>
      <c r="B2793" s="98">
        <v>45931</v>
      </c>
      <c r="C2793" s="117" t="str">
        <f t="shared" si="648"/>
        <v>7L</v>
      </c>
      <c r="D2793">
        <v>1611</v>
      </c>
      <c r="E2793">
        <v>2.87</v>
      </c>
      <c r="F2793" s="99">
        <f t="shared" si="647"/>
        <v>4.6235700000000008</v>
      </c>
      <c r="I2793" s="99">
        <f t="shared" si="646"/>
        <v>0</v>
      </c>
      <c r="L2793" s="99">
        <f t="shared" si="633"/>
        <v>0</v>
      </c>
      <c r="M2793" s="44" t="str">
        <f t="shared" si="635"/>
        <v/>
      </c>
      <c r="N2793" s="100">
        <f t="shared" si="636"/>
        <v>0</v>
      </c>
      <c r="O2793" s="101">
        <f t="shared" si="637"/>
        <v>0</v>
      </c>
      <c r="P2793" s="52">
        <f t="shared" si="638"/>
        <v>0</v>
      </c>
      <c r="Q2793" s="49">
        <v>116.88487613461319</v>
      </c>
      <c r="R2793">
        <v>2225</v>
      </c>
      <c r="S2793" s="50">
        <f t="shared" si="634"/>
        <v>71535.307499999995</v>
      </c>
      <c r="T2793" s="50">
        <f t="shared" si="639"/>
        <v>0</v>
      </c>
      <c r="U2793" s="58">
        <f t="shared" si="640"/>
        <v>0</v>
      </c>
      <c r="V2793" s="58">
        <f t="shared" si="641"/>
        <v>0</v>
      </c>
      <c r="W2793" s="58">
        <f t="shared" si="642"/>
        <v>0</v>
      </c>
      <c r="X2793" s="58">
        <f t="shared" si="643"/>
        <v>0</v>
      </c>
      <c r="Y2793" s="52">
        <f t="shared" si="644"/>
        <v>0</v>
      </c>
    </row>
    <row r="2794" spans="1:25" x14ac:dyDescent="0.25">
      <c r="A2794" s="1218" t="s">
        <v>184</v>
      </c>
      <c r="B2794" s="98">
        <v>45931</v>
      </c>
      <c r="C2794" s="117" t="str">
        <f t="shared" si="648"/>
        <v>7L</v>
      </c>
      <c r="D2794">
        <v>3033</v>
      </c>
      <c r="E2794">
        <v>2.4300000000000002</v>
      </c>
      <c r="F2794" s="99">
        <f t="shared" si="647"/>
        <v>7.3701900000000009</v>
      </c>
      <c r="I2794" s="99">
        <f t="shared" si="646"/>
        <v>0</v>
      </c>
      <c r="L2794" s="99">
        <f t="shared" si="633"/>
        <v>0</v>
      </c>
      <c r="M2794" s="44" t="str">
        <f t="shared" si="635"/>
        <v/>
      </c>
      <c r="N2794" s="100">
        <f t="shared" si="636"/>
        <v>0</v>
      </c>
      <c r="O2794" s="101">
        <f t="shared" si="637"/>
        <v>0</v>
      </c>
      <c r="P2794" s="52">
        <f t="shared" si="638"/>
        <v>0</v>
      </c>
      <c r="Q2794" s="49">
        <v>116.88487613461319</v>
      </c>
      <c r="R2794">
        <v>2225</v>
      </c>
      <c r="S2794" s="50">
        <f t="shared" si="634"/>
        <v>71535.307499999995</v>
      </c>
      <c r="T2794" s="50">
        <f t="shared" si="639"/>
        <v>0</v>
      </c>
      <c r="U2794" s="58">
        <f t="shared" si="640"/>
        <v>0</v>
      </c>
      <c r="V2794" s="58">
        <f t="shared" si="641"/>
        <v>0</v>
      </c>
      <c r="W2794" s="58">
        <f t="shared" si="642"/>
        <v>0</v>
      </c>
      <c r="X2794" s="58">
        <f t="shared" si="643"/>
        <v>0</v>
      </c>
      <c r="Y2794" s="52">
        <f t="shared" si="644"/>
        <v>0</v>
      </c>
    </row>
    <row r="2795" spans="1:25" x14ac:dyDescent="0.25">
      <c r="A2795" s="1218" t="s">
        <v>185</v>
      </c>
      <c r="B2795" s="98">
        <v>45931</v>
      </c>
      <c r="C2795" s="117" t="str">
        <f t="shared" si="648"/>
        <v>7L</v>
      </c>
      <c r="F2795" s="99">
        <f t="shared" si="647"/>
        <v>0</v>
      </c>
      <c r="I2795" s="99">
        <f t="shared" si="646"/>
        <v>0</v>
      </c>
      <c r="L2795" s="99">
        <f t="shared" si="633"/>
        <v>0</v>
      </c>
      <c r="M2795" s="44" t="str">
        <f t="shared" si="635"/>
        <v/>
      </c>
      <c r="N2795" s="100">
        <f t="shared" si="636"/>
        <v>0</v>
      </c>
      <c r="O2795" s="101">
        <f t="shared" si="637"/>
        <v>0</v>
      </c>
      <c r="P2795" s="52">
        <f t="shared" si="638"/>
        <v>0</v>
      </c>
      <c r="Q2795" s="49">
        <v>116.88487613461319</v>
      </c>
      <c r="R2795">
        <v>2225</v>
      </c>
      <c r="S2795" s="50">
        <f t="shared" si="634"/>
        <v>71535.307499999995</v>
      </c>
      <c r="T2795" s="50">
        <f t="shared" si="639"/>
        <v>0</v>
      </c>
      <c r="U2795" s="58">
        <f t="shared" si="640"/>
        <v>0</v>
      </c>
      <c r="V2795" s="58">
        <f t="shared" si="641"/>
        <v>0</v>
      </c>
      <c r="W2795" s="58">
        <f t="shared" si="642"/>
        <v>0</v>
      </c>
      <c r="X2795" s="58">
        <f t="shared" si="643"/>
        <v>0</v>
      </c>
      <c r="Y2795" s="52">
        <f t="shared" si="644"/>
        <v>0</v>
      </c>
    </row>
    <row r="2796" spans="1:25" x14ac:dyDescent="0.25">
      <c r="A2796" s="1218" t="s">
        <v>186</v>
      </c>
      <c r="B2796" s="98">
        <v>45931</v>
      </c>
      <c r="C2796" s="117" t="str">
        <f t="shared" si="648"/>
        <v>7L</v>
      </c>
      <c r="F2796" s="99">
        <f t="shared" si="647"/>
        <v>0</v>
      </c>
      <c r="I2796" s="99">
        <f t="shared" si="646"/>
        <v>0</v>
      </c>
      <c r="L2796" s="99">
        <f t="shared" si="633"/>
        <v>0</v>
      </c>
      <c r="M2796" s="44" t="str">
        <f t="shared" si="635"/>
        <v/>
      </c>
      <c r="N2796" s="100">
        <f t="shared" si="636"/>
        <v>0</v>
      </c>
      <c r="O2796" s="101">
        <f t="shared" si="637"/>
        <v>0</v>
      </c>
      <c r="P2796" s="52">
        <f t="shared" si="638"/>
        <v>0</v>
      </c>
      <c r="Q2796" s="49">
        <v>116.88487613461319</v>
      </c>
      <c r="R2796">
        <v>2225</v>
      </c>
      <c r="S2796" s="50">
        <f t="shared" si="634"/>
        <v>71535.307499999995</v>
      </c>
      <c r="T2796" s="50">
        <f t="shared" si="639"/>
        <v>0</v>
      </c>
      <c r="U2796" s="58">
        <f t="shared" si="640"/>
        <v>0</v>
      </c>
      <c r="V2796" s="58">
        <f t="shared" si="641"/>
        <v>0</v>
      </c>
      <c r="W2796" s="58">
        <f t="shared" si="642"/>
        <v>0</v>
      </c>
      <c r="X2796" s="58">
        <f t="shared" si="643"/>
        <v>0</v>
      </c>
      <c r="Y2796" s="52">
        <f t="shared" si="644"/>
        <v>0</v>
      </c>
    </row>
    <row r="2797" spans="1:25" x14ac:dyDescent="0.25">
      <c r="A2797" s="1218" t="s">
        <v>187</v>
      </c>
      <c r="B2797" s="98">
        <v>45931</v>
      </c>
      <c r="C2797" s="117" t="str">
        <f t="shared" si="648"/>
        <v>7L</v>
      </c>
      <c r="F2797" s="99">
        <f t="shared" si="647"/>
        <v>0</v>
      </c>
      <c r="I2797" s="99">
        <f t="shared" si="646"/>
        <v>0</v>
      </c>
      <c r="L2797" s="99">
        <f t="shared" si="633"/>
        <v>0</v>
      </c>
      <c r="M2797" s="44" t="str">
        <f t="shared" si="635"/>
        <v/>
      </c>
      <c r="N2797" s="100">
        <f t="shared" si="636"/>
        <v>0</v>
      </c>
      <c r="O2797" s="101">
        <f t="shared" si="637"/>
        <v>0</v>
      </c>
      <c r="P2797" s="52">
        <f t="shared" si="638"/>
        <v>0</v>
      </c>
      <c r="Q2797" s="49">
        <v>116.88487613461319</v>
      </c>
      <c r="R2797">
        <v>2225</v>
      </c>
      <c r="S2797" s="50">
        <f t="shared" si="634"/>
        <v>71535.307499999995</v>
      </c>
      <c r="T2797" s="50">
        <f t="shared" si="639"/>
        <v>0</v>
      </c>
      <c r="U2797" s="58">
        <f t="shared" si="640"/>
        <v>0</v>
      </c>
      <c r="V2797" s="58">
        <f t="shared" si="641"/>
        <v>0</v>
      </c>
      <c r="W2797" s="58">
        <f t="shared" si="642"/>
        <v>0</v>
      </c>
      <c r="X2797" s="58">
        <f t="shared" si="643"/>
        <v>0</v>
      </c>
      <c r="Y2797" s="52">
        <f t="shared" si="644"/>
        <v>0</v>
      </c>
    </row>
    <row r="2798" spans="1:25" x14ac:dyDescent="0.25">
      <c r="A2798" s="1218" t="s">
        <v>188</v>
      </c>
      <c r="B2798" s="98">
        <v>45931</v>
      </c>
      <c r="C2798" s="117" t="str">
        <f t="shared" si="648"/>
        <v>7L</v>
      </c>
      <c r="F2798" s="99">
        <f t="shared" si="647"/>
        <v>0</v>
      </c>
      <c r="I2798" s="99">
        <f t="shared" si="646"/>
        <v>0</v>
      </c>
      <c r="L2798" s="99">
        <f t="shared" si="633"/>
        <v>0</v>
      </c>
      <c r="M2798" s="44" t="str">
        <f t="shared" si="635"/>
        <v/>
      </c>
      <c r="N2798" s="100">
        <f t="shared" si="636"/>
        <v>0</v>
      </c>
      <c r="O2798" s="101">
        <f t="shared" si="637"/>
        <v>0</v>
      </c>
      <c r="P2798" s="52">
        <f t="shared" si="638"/>
        <v>0</v>
      </c>
      <c r="Q2798" s="49">
        <v>116.88487613461319</v>
      </c>
      <c r="R2798">
        <v>2225</v>
      </c>
      <c r="S2798" s="50">
        <f t="shared" si="634"/>
        <v>71535.307499999995</v>
      </c>
      <c r="T2798" s="50">
        <f t="shared" si="639"/>
        <v>0</v>
      </c>
      <c r="U2798" s="58">
        <f t="shared" si="640"/>
        <v>0</v>
      </c>
      <c r="V2798" s="58">
        <f t="shared" si="641"/>
        <v>0</v>
      </c>
      <c r="W2798" s="58">
        <f t="shared" si="642"/>
        <v>0</v>
      </c>
      <c r="X2798" s="58">
        <f t="shared" si="643"/>
        <v>0</v>
      </c>
      <c r="Y2798" s="52">
        <f t="shared" si="644"/>
        <v>0</v>
      </c>
    </row>
    <row r="2799" spans="1:25" x14ac:dyDescent="0.25">
      <c r="A2799" s="1218" t="s">
        <v>189</v>
      </c>
      <c r="B2799" s="98">
        <v>45931</v>
      </c>
      <c r="C2799" s="117" t="str">
        <f t="shared" si="648"/>
        <v>7L</v>
      </c>
      <c r="D2799">
        <v>2946</v>
      </c>
      <c r="E2799">
        <v>2.5499999999999998</v>
      </c>
      <c r="F2799" s="99">
        <f t="shared" si="647"/>
        <v>7.5122999999999989</v>
      </c>
      <c r="I2799" s="99">
        <f t="shared" si="646"/>
        <v>0</v>
      </c>
      <c r="L2799" s="99">
        <f t="shared" si="633"/>
        <v>0</v>
      </c>
      <c r="M2799" s="44" t="str">
        <f t="shared" si="635"/>
        <v/>
      </c>
      <c r="N2799" s="100">
        <f t="shared" si="636"/>
        <v>0</v>
      </c>
      <c r="O2799" s="101">
        <f t="shared" si="637"/>
        <v>0</v>
      </c>
      <c r="P2799" s="52">
        <f t="shared" si="638"/>
        <v>0</v>
      </c>
      <c r="Q2799" s="49">
        <v>116.88487613461319</v>
      </c>
      <c r="R2799">
        <v>2225</v>
      </c>
      <c r="S2799" s="50">
        <f t="shared" si="634"/>
        <v>71535.307499999995</v>
      </c>
      <c r="T2799" s="50">
        <f t="shared" si="639"/>
        <v>0</v>
      </c>
      <c r="U2799" s="58">
        <f t="shared" si="640"/>
        <v>0</v>
      </c>
      <c r="V2799" s="58">
        <f t="shared" si="641"/>
        <v>0</v>
      </c>
      <c r="W2799" s="58">
        <f t="shared" si="642"/>
        <v>0</v>
      </c>
      <c r="X2799" s="58">
        <f t="shared" si="643"/>
        <v>0</v>
      </c>
      <c r="Y2799" s="52">
        <f t="shared" si="644"/>
        <v>0</v>
      </c>
    </row>
    <row r="2800" spans="1:25" x14ac:dyDescent="0.25">
      <c r="A2800" s="1218" t="s">
        <v>190</v>
      </c>
      <c r="B2800" s="98">
        <v>45931</v>
      </c>
      <c r="C2800" s="117" t="str">
        <f t="shared" si="648"/>
        <v>8L</v>
      </c>
      <c r="F2800" s="99">
        <f t="shared" si="647"/>
        <v>0</v>
      </c>
      <c r="I2800" s="99">
        <f t="shared" si="646"/>
        <v>0</v>
      </c>
      <c r="L2800" s="99">
        <f t="shared" ref="L2800:L2863" si="649">IFERROR(J2800*K2800/1000,"")</f>
        <v>0</v>
      </c>
      <c r="M2800" s="44" t="str">
        <f t="shared" si="635"/>
        <v/>
      </c>
      <c r="N2800" s="100">
        <f t="shared" si="636"/>
        <v>0</v>
      </c>
      <c r="O2800" s="101">
        <f t="shared" si="637"/>
        <v>0</v>
      </c>
      <c r="P2800" s="52">
        <f t="shared" si="638"/>
        <v>0</v>
      </c>
      <c r="Q2800" s="49">
        <v>116.88487613461319</v>
      </c>
      <c r="R2800">
        <v>2225</v>
      </c>
      <c r="S2800" s="50">
        <f t="shared" ref="S2800:S2863" si="650">R2800*32.1507</f>
        <v>71535.307499999995</v>
      </c>
      <c r="T2800" s="50">
        <f t="shared" si="639"/>
        <v>0</v>
      </c>
      <c r="U2800" s="58">
        <f t="shared" si="640"/>
        <v>0</v>
      </c>
      <c r="V2800" s="58">
        <f t="shared" si="641"/>
        <v>0</v>
      </c>
      <c r="W2800" s="58">
        <f t="shared" si="642"/>
        <v>0</v>
      </c>
      <c r="X2800" s="58">
        <f t="shared" si="643"/>
        <v>0</v>
      </c>
      <c r="Y2800" s="52">
        <f t="shared" si="644"/>
        <v>0</v>
      </c>
    </row>
    <row r="2801" spans="1:25" x14ac:dyDescent="0.25">
      <c r="A2801" s="1218" t="s">
        <v>191</v>
      </c>
      <c r="B2801" s="98">
        <v>45931</v>
      </c>
      <c r="C2801" s="117" t="str">
        <f t="shared" si="648"/>
        <v>8L</v>
      </c>
      <c r="D2801">
        <v>2022</v>
      </c>
      <c r="E2801">
        <v>2.64</v>
      </c>
      <c r="F2801" s="99">
        <f t="shared" si="647"/>
        <v>5.3380799999999997</v>
      </c>
      <c r="I2801" s="99">
        <f t="shared" si="646"/>
        <v>0</v>
      </c>
      <c r="L2801" s="99">
        <f t="shared" si="649"/>
        <v>0</v>
      </c>
      <c r="M2801" s="44" t="str">
        <f t="shared" si="635"/>
        <v/>
      </c>
      <c r="N2801" s="100">
        <f t="shared" si="636"/>
        <v>0</v>
      </c>
      <c r="O2801" s="101">
        <f t="shared" si="637"/>
        <v>0</v>
      </c>
      <c r="P2801" s="52">
        <f t="shared" si="638"/>
        <v>0</v>
      </c>
      <c r="Q2801" s="49">
        <v>116.88487613461319</v>
      </c>
      <c r="R2801">
        <v>2225</v>
      </c>
      <c r="S2801" s="50">
        <f t="shared" si="650"/>
        <v>71535.307499999995</v>
      </c>
      <c r="T2801" s="50">
        <f t="shared" si="639"/>
        <v>0</v>
      </c>
      <c r="U2801" s="58">
        <f t="shared" si="640"/>
        <v>0</v>
      </c>
      <c r="V2801" s="58">
        <f t="shared" si="641"/>
        <v>0</v>
      </c>
      <c r="W2801" s="58">
        <f t="shared" si="642"/>
        <v>0</v>
      </c>
      <c r="X2801" s="58">
        <f t="shared" si="643"/>
        <v>0</v>
      </c>
      <c r="Y2801" s="52">
        <f t="shared" si="644"/>
        <v>0</v>
      </c>
    </row>
    <row r="2802" spans="1:25" x14ac:dyDescent="0.25">
      <c r="A2802" s="1218" t="s">
        <v>192</v>
      </c>
      <c r="B2802" s="98">
        <v>45931</v>
      </c>
      <c r="C2802" s="117" t="str">
        <f t="shared" si="648"/>
        <v>8L</v>
      </c>
      <c r="F2802" s="99">
        <f t="shared" si="647"/>
        <v>0</v>
      </c>
      <c r="I2802" s="99">
        <f t="shared" si="646"/>
        <v>0</v>
      </c>
      <c r="L2802" s="99">
        <f t="shared" si="649"/>
        <v>0</v>
      </c>
      <c r="M2802" s="44" t="str">
        <f t="shared" ref="M2802:M2868" si="651">IFERROR((L2802-I2802)/I2802,"")</f>
        <v/>
      </c>
      <c r="N2802" s="100">
        <f t="shared" ref="N2802:N2868" si="652">J2802-G2802</f>
        <v>0</v>
      </c>
      <c r="O2802" s="101">
        <f t="shared" ref="O2802:O2868" si="653">L2802-I2802</f>
        <v>0</v>
      </c>
      <c r="P2802" s="52">
        <f t="shared" ref="P2802:P2868" si="654">U2802-W2802</f>
        <v>0</v>
      </c>
      <c r="Q2802" s="49">
        <v>116.88487613461319</v>
      </c>
      <c r="R2802">
        <v>2225</v>
      </c>
      <c r="S2802" s="50">
        <f t="shared" si="650"/>
        <v>71535.307499999995</v>
      </c>
      <c r="T2802" s="50">
        <f t="shared" ref="T2802:T2868" si="655">IFERROR(S2802*I2802,"")</f>
        <v>0</v>
      </c>
      <c r="U2802" s="58">
        <f t="shared" ref="U2802:U2868" si="656">IFERROR(S2802*L2802,"")</f>
        <v>0</v>
      </c>
      <c r="V2802" s="58">
        <f t="shared" ref="V2802:V2868" si="657">IFERROR(Q2802*G2802,"")</f>
        <v>0</v>
      </c>
      <c r="W2802" s="58">
        <f t="shared" ref="W2802:W2868" si="658">IFERROR(Q2802*J2802,"")</f>
        <v>0</v>
      </c>
      <c r="X2802" s="58">
        <f t="shared" ref="X2802:X2868" si="659">T2802-V2802</f>
        <v>0</v>
      </c>
      <c r="Y2802" s="52">
        <f t="shared" ref="Y2802:Y2868" si="660">U2802-W2802</f>
        <v>0</v>
      </c>
    </row>
    <row r="2803" spans="1:25" x14ac:dyDescent="0.25">
      <c r="A2803" s="1218" t="s">
        <v>193</v>
      </c>
      <c r="B2803" s="98">
        <v>45931</v>
      </c>
      <c r="C2803" s="117" t="str">
        <f t="shared" si="648"/>
        <v>8L</v>
      </c>
      <c r="F2803" s="99">
        <f t="shared" si="647"/>
        <v>0</v>
      </c>
      <c r="I2803" s="99">
        <f t="shared" si="646"/>
        <v>0</v>
      </c>
      <c r="L2803" s="99">
        <f t="shared" si="649"/>
        <v>0</v>
      </c>
      <c r="M2803" s="44" t="str">
        <f t="shared" si="651"/>
        <v/>
      </c>
      <c r="N2803" s="100">
        <f t="shared" si="652"/>
        <v>0</v>
      </c>
      <c r="O2803" s="101">
        <f t="shared" si="653"/>
        <v>0</v>
      </c>
      <c r="P2803" s="52">
        <f t="shared" si="654"/>
        <v>0</v>
      </c>
      <c r="Q2803" s="49">
        <v>116.88487613461319</v>
      </c>
      <c r="R2803">
        <v>2225</v>
      </c>
      <c r="S2803" s="50">
        <f t="shared" si="650"/>
        <v>71535.307499999995</v>
      </c>
      <c r="T2803" s="50">
        <f t="shared" si="655"/>
        <v>0</v>
      </c>
      <c r="U2803" s="58">
        <f t="shared" si="656"/>
        <v>0</v>
      </c>
      <c r="V2803" s="58">
        <f t="shared" si="657"/>
        <v>0</v>
      </c>
      <c r="W2803" s="58">
        <f t="shared" si="658"/>
        <v>0</v>
      </c>
      <c r="X2803" s="58">
        <f t="shared" si="659"/>
        <v>0</v>
      </c>
      <c r="Y2803" s="52">
        <f t="shared" si="660"/>
        <v>0</v>
      </c>
    </row>
    <row r="2804" spans="1:25" x14ac:dyDescent="0.25">
      <c r="A2804" s="1218" t="s">
        <v>194</v>
      </c>
      <c r="B2804" s="98">
        <v>45931</v>
      </c>
      <c r="C2804" s="117" t="str">
        <f t="shared" si="648"/>
        <v>8L</v>
      </c>
      <c r="F2804" s="99">
        <f t="shared" si="647"/>
        <v>0</v>
      </c>
      <c r="I2804" s="99">
        <f t="shared" si="646"/>
        <v>0</v>
      </c>
      <c r="L2804" s="99">
        <f t="shared" si="649"/>
        <v>0</v>
      </c>
      <c r="M2804" s="44" t="str">
        <f t="shared" si="651"/>
        <v/>
      </c>
      <c r="N2804" s="100">
        <f t="shared" si="652"/>
        <v>0</v>
      </c>
      <c r="O2804" s="101">
        <f t="shared" si="653"/>
        <v>0</v>
      </c>
      <c r="P2804" s="52">
        <f t="shared" si="654"/>
        <v>0</v>
      </c>
      <c r="Q2804" s="49">
        <v>116.88487613461319</v>
      </c>
      <c r="R2804">
        <v>2225</v>
      </c>
      <c r="S2804" s="50">
        <f t="shared" si="650"/>
        <v>71535.307499999995</v>
      </c>
      <c r="T2804" s="50">
        <f t="shared" si="655"/>
        <v>0</v>
      </c>
      <c r="U2804" s="58">
        <f t="shared" si="656"/>
        <v>0</v>
      </c>
      <c r="V2804" s="58">
        <f t="shared" si="657"/>
        <v>0</v>
      </c>
      <c r="W2804" s="58">
        <f t="shared" si="658"/>
        <v>0</v>
      </c>
      <c r="X2804" s="58">
        <f t="shared" si="659"/>
        <v>0</v>
      </c>
      <c r="Y2804" s="52">
        <f t="shared" si="660"/>
        <v>0</v>
      </c>
    </row>
    <row r="2805" spans="1:25" x14ac:dyDescent="0.25">
      <c r="A2805" s="1218" t="s">
        <v>195</v>
      </c>
      <c r="B2805" s="98">
        <v>45931</v>
      </c>
      <c r="C2805" s="117" t="str">
        <f t="shared" si="648"/>
        <v>8L</v>
      </c>
      <c r="F2805" s="99">
        <f t="shared" si="647"/>
        <v>0</v>
      </c>
      <c r="I2805" s="99">
        <f t="shared" si="646"/>
        <v>0</v>
      </c>
      <c r="L2805" s="99">
        <f t="shared" si="649"/>
        <v>0</v>
      </c>
      <c r="M2805" s="44" t="str">
        <f t="shared" si="651"/>
        <v/>
      </c>
      <c r="N2805" s="100">
        <f t="shared" si="652"/>
        <v>0</v>
      </c>
      <c r="O2805" s="101">
        <f t="shared" si="653"/>
        <v>0</v>
      </c>
      <c r="P2805" s="52">
        <f t="shared" si="654"/>
        <v>0</v>
      </c>
      <c r="Q2805" s="49">
        <v>116.88487613461319</v>
      </c>
      <c r="R2805">
        <v>2225</v>
      </c>
      <c r="S2805" s="50">
        <f t="shared" si="650"/>
        <v>71535.307499999995</v>
      </c>
      <c r="T2805" s="50">
        <f t="shared" si="655"/>
        <v>0</v>
      </c>
      <c r="U2805" s="58">
        <f t="shared" si="656"/>
        <v>0</v>
      </c>
      <c r="V2805" s="58">
        <f t="shared" si="657"/>
        <v>0</v>
      </c>
      <c r="W2805" s="58">
        <f t="shared" si="658"/>
        <v>0</v>
      </c>
      <c r="X2805" s="58">
        <f t="shared" si="659"/>
        <v>0</v>
      </c>
      <c r="Y2805" s="52">
        <f t="shared" si="660"/>
        <v>0</v>
      </c>
    </row>
    <row r="2806" spans="1:25" x14ac:dyDescent="0.25">
      <c r="A2806" s="1218" t="s">
        <v>196</v>
      </c>
      <c r="B2806" s="98">
        <v>45931</v>
      </c>
      <c r="C2806" s="117" t="str">
        <f t="shared" si="648"/>
        <v>8L</v>
      </c>
      <c r="F2806" s="99">
        <f t="shared" si="647"/>
        <v>0</v>
      </c>
      <c r="I2806" s="99">
        <f t="shared" si="646"/>
        <v>0</v>
      </c>
      <c r="L2806" s="99">
        <f t="shared" si="649"/>
        <v>0</v>
      </c>
      <c r="M2806" s="44" t="str">
        <f t="shared" si="651"/>
        <v/>
      </c>
      <c r="N2806" s="100">
        <f t="shared" si="652"/>
        <v>0</v>
      </c>
      <c r="O2806" s="101">
        <f t="shared" si="653"/>
        <v>0</v>
      </c>
      <c r="P2806" s="52">
        <f t="shared" si="654"/>
        <v>0</v>
      </c>
      <c r="Q2806" s="49">
        <v>116.88487613461319</v>
      </c>
      <c r="R2806">
        <v>2225</v>
      </c>
      <c r="S2806" s="50">
        <f t="shared" si="650"/>
        <v>71535.307499999995</v>
      </c>
      <c r="T2806" s="50">
        <f t="shared" si="655"/>
        <v>0</v>
      </c>
      <c r="U2806" s="58">
        <f t="shared" si="656"/>
        <v>0</v>
      </c>
      <c r="V2806" s="58">
        <f t="shared" si="657"/>
        <v>0</v>
      </c>
      <c r="W2806" s="58">
        <f t="shared" si="658"/>
        <v>0</v>
      </c>
      <c r="X2806" s="58">
        <f t="shared" si="659"/>
        <v>0</v>
      </c>
      <c r="Y2806" s="52">
        <f t="shared" si="660"/>
        <v>0</v>
      </c>
    </row>
    <row r="2807" spans="1:25" x14ac:dyDescent="0.25">
      <c r="A2807" s="1218" t="s">
        <v>197</v>
      </c>
      <c r="B2807" s="98">
        <v>45931</v>
      </c>
      <c r="C2807" s="117" t="str">
        <f t="shared" si="648"/>
        <v>8L</v>
      </c>
      <c r="F2807" s="99">
        <f t="shared" si="647"/>
        <v>0</v>
      </c>
      <c r="I2807" s="99">
        <f t="shared" si="646"/>
        <v>0</v>
      </c>
      <c r="L2807" s="99">
        <f t="shared" si="649"/>
        <v>0</v>
      </c>
      <c r="M2807" s="44" t="str">
        <f t="shared" si="651"/>
        <v/>
      </c>
      <c r="N2807" s="100">
        <f t="shared" si="652"/>
        <v>0</v>
      </c>
      <c r="O2807" s="101">
        <f t="shared" si="653"/>
        <v>0</v>
      </c>
      <c r="P2807" s="52">
        <f t="shared" si="654"/>
        <v>0</v>
      </c>
      <c r="Q2807" s="49">
        <v>116.88487613461319</v>
      </c>
      <c r="R2807">
        <v>2225</v>
      </c>
      <c r="S2807" s="50">
        <f t="shared" si="650"/>
        <v>71535.307499999995</v>
      </c>
      <c r="T2807" s="50">
        <f t="shared" si="655"/>
        <v>0</v>
      </c>
      <c r="U2807" s="58">
        <f t="shared" si="656"/>
        <v>0</v>
      </c>
      <c r="V2807" s="58">
        <f t="shared" si="657"/>
        <v>0</v>
      </c>
      <c r="W2807" s="58">
        <f t="shared" si="658"/>
        <v>0</v>
      </c>
      <c r="X2807" s="58">
        <f t="shared" si="659"/>
        <v>0</v>
      </c>
      <c r="Y2807" s="52">
        <f t="shared" si="660"/>
        <v>0</v>
      </c>
    </row>
    <row r="2808" spans="1:25" x14ac:dyDescent="0.25">
      <c r="A2808" s="1218" t="s">
        <v>198</v>
      </c>
      <c r="B2808" s="98">
        <v>45931</v>
      </c>
      <c r="C2808" s="117" t="str">
        <f t="shared" si="648"/>
        <v>8L</v>
      </c>
      <c r="F2808" s="99">
        <f t="shared" si="647"/>
        <v>0</v>
      </c>
      <c r="I2808" s="99">
        <f t="shared" si="646"/>
        <v>0</v>
      </c>
      <c r="L2808" s="99">
        <f t="shared" si="649"/>
        <v>0</v>
      </c>
      <c r="M2808" s="44" t="str">
        <f t="shared" si="651"/>
        <v/>
      </c>
      <c r="N2808" s="100">
        <f t="shared" si="652"/>
        <v>0</v>
      </c>
      <c r="O2808" s="101">
        <f t="shared" si="653"/>
        <v>0</v>
      </c>
      <c r="P2808" s="52">
        <f t="shared" si="654"/>
        <v>0</v>
      </c>
      <c r="Q2808" s="49">
        <v>116.88487613461319</v>
      </c>
      <c r="R2808">
        <v>2225</v>
      </c>
      <c r="S2808" s="50">
        <f t="shared" si="650"/>
        <v>71535.307499999995</v>
      </c>
      <c r="T2808" s="50">
        <f t="shared" si="655"/>
        <v>0</v>
      </c>
      <c r="U2808" s="58">
        <f t="shared" si="656"/>
        <v>0</v>
      </c>
      <c r="V2808" s="58">
        <f t="shared" si="657"/>
        <v>0</v>
      </c>
      <c r="W2808" s="58">
        <f t="shared" si="658"/>
        <v>0</v>
      </c>
      <c r="X2808" s="58">
        <f t="shared" si="659"/>
        <v>0</v>
      </c>
      <c r="Y2808" s="52">
        <f t="shared" si="660"/>
        <v>0</v>
      </c>
    </row>
    <row r="2809" spans="1:25" x14ac:dyDescent="0.25">
      <c r="A2809" s="1218" t="s">
        <v>199</v>
      </c>
      <c r="B2809" s="98">
        <v>45931</v>
      </c>
      <c r="C2809" s="117" t="str">
        <f t="shared" si="648"/>
        <v>8L</v>
      </c>
      <c r="F2809" s="99">
        <f t="shared" si="647"/>
        <v>0</v>
      </c>
      <c r="I2809" s="99">
        <f t="shared" si="646"/>
        <v>0</v>
      </c>
      <c r="L2809" s="99">
        <f t="shared" si="649"/>
        <v>0</v>
      </c>
      <c r="M2809" s="44" t="str">
        <f t="shared" si="651"/>
        <v/>
      </c>
      <c r="N2809" s="100">
        <f t="shared" si="652"/>
        <v>0</v>
      </c>
      <c r="O2809" s="101">
        <f t="shared" si="653"/>
        <v>0</v>
      </c>
      <c r="P2809" s="52">
        <f t="shared" si="654"/>
        <v>0</v>
      </c>
      <c r="Q2809" s="49">
        <v>116.88487613461319</v>
      </c>
      <c r="R2809">
        <v>2225</v>
      </c>
      <c r="S2809" s="50">
        <f t="shared" si="650"/>
        <v>71535.307499999995</v>
      </c>
      <c r="T2809" s="50">
        <f t="shared" si="655"/>
        <v>0</v>
      </c>
      <c r="U2809" s="58">
        <f t="shared" si="656"/>
        <v>0</v>
      </c>
      <c r="V2809" s="58">
        <f t="shared" si="657"/>
        <v>0</v>
      </c>
      <c r="W2809" s="58">
        <f t="shared" si="658"/>
        <v>0</v>
      </c>
      <c r="X2809" s="58">
        <f t="shared" si="659"/>
        <v>0</v>
      </c>
      <c r="Y2809" s="52">
        <f t="shared" si="660"/>
        <v>0</v>
      </c>
    </row>
    <row r="2810" spans="1:25" x14ac:dyDescent="0.25">
      <c r="A2810" s="1218" t="s">
        <v>200</v>
      </c>
      <c r="B2810" s="98">
        <v>45931</v>
      </c>
      <c r="C2810" s="117" t="str">
        <f t="shared" si="648"/>
        <v>8L</v>
      </c>
      <c r="D2810">
        <v>1158</v>
      </c>
      <c r="E2810">
        <v>2.85</v>
      </c>
      <c r="F2810" s="99">
        <f t="shared" si="647"/>
        <v>3.3003</v>
      </c>
      <c r="I2810" s="99">
        <f t="shared" si="646"/>
        <v>0</v>
      </c>
      <c r="L2810" s="99">
        <f t="shared" si="649"/>
        <v>0</v>
      </c>
      <c r="M2810" s="44" t="str">
        <f t="shared" si="651"/>
        <v/>
      </c>
      <c r="N2810" s="100">
        <f t="shared" si="652"/>
        <v>0</v>
      </c>
      <c r="O2810" s="101">
        <f t="shared" si="653"/>
        <v>0</v>
      </c>
      <c r="P2810" s="52">
        <f t="shared" si="654"/>
        <v>0</v>
      </c>
      <c r="Q2810" s="49">
        <v>116.88487613461319</v>
      </c>
      <c r="R2810">
        <v>2225</v>
      </c>
      <c r="S2810" s="50">
        <f t="shared" si="650"/>
        <v>71535.307499999995</v>
      </c>
      <c r="T2810" s="50">
        <f t="shared" si="655"/>
        <v>0</v>
      </c>
      <c r="U2810" s="58">
        <f t="shared" si="656"/>
        <v>0</v>
      </c>
      <c r="V2810" s="58">
        <f t="shared" si="657"/>
        <v>0</v>
      </c>
      <c r="W2810" s="58">
        <f t="shared" si="658"/>
        <v>0</v>
      </c>
      <c r="X2810" s="58">
        <f t="shared" si="659"/>
        <v>0</v>
      </c>
      <c r="Y2810" s="52">
        <f t="shared" si="660"/>
        <v>0</v>
      </c>
    </row>
    <row r="2811" spans="1:25" x14ac:dyDescent="0.25">
      <c r="A2811" s="1218" t="s">
        <v>201</v>
      </c>
      <c r="B2811" s="98">
        <v>45931</v>
      </c>
      <c r="C2811" s="117" t="str">
        <f t="shared" si="648"/>
        <v>8L</v>
      </c>
      <c r="D2811">
        <v>831</v>
      </c>
      <c r="E2811">
        <v>2.73</v>
      </c>
      <c r="F2811" s="99">
        <f t="shared" si="647"/>
        <v>2.2686299999999999</v>
      </c>
      <c r="I2811" s="99">
        <f t="shared" si="646"/>
        <v>0</v>
      </c>
      <c r="L2811" s="99">
        <f t="shared" si="649"/>
        <v>0</v>
      </c>
      <c r="M2811" s="44" t="str">
        <f t="shared" si="651"/>
        <v/>
      </c>
      <c r="N2811" s="100">
        <f t="shared" si="652"/>
        <v>0</v>
      </c>
      <c r="O2811" s="101">
        <f t="shared" si="653"/>
        <v>0</v>
      </c>
      <c r="P2811" s="52">
        <f t="shared" si="654"/>
        <v>0</v>
      </c>
      <c r="Q2811" s="49">
        <v>116.88487613461319</v>
      </c>
      <c r="R2811">
        <v>2225</v>
      </c>
      <c r="S2811" s="50">
        <f t="shared" si="650"/>
        <v>71535.307499999995</v>
      </c>
      <c r="T2811" s="50">
        <f t="shared" si="655"/>
        <v>0</v>
      </c>
      <c r="U2811" s="58">
        <f t="shared" si="656"/>
        <v>0</v>
      </c>
      <c r="V2811" s="58">
        <f t="shared" si="657"/>
        <v>0</v>
      </c>
      <c r="W2811" s="58">
        <f t="shared" si="658"/>
        <v>0</v>
      </c>
      <c r="X2811" s="58">
        <f t="shared" si="659"/>
        <v>0</v>
      </c>
      <c r="Y2811" s="52">
        <f t="shared" si="660"/>
        <v>0</v>
      </c>
    </row>
    <row r="2812" spans="1:25" x14ac:dyDescent="0.25">
      <c r="A2812" s="1218" t="s">
        <v>202</v>
      </c>
      <c r="B2812" s="98">
        <v>45931</v>
      </c>
      <c r="C2812" s="117" t="str">
        <f t="shared" si="648"/>
        <v>8L</v>
      </c>
      <c r="F2812" s="99">
        <f t="shared" si="647"/>
        <v>0</v>
      </c>
      <c r="I2812" s="99">
        <f t="shared" si="646"/>
        <v>0</v>
      </c>
      <c r="L2812" s="99">
        <f t="shared" si="649"/>
        <v>0</v>
      </c>
      <c r="M2812" s="44" t="str">
        <f t="shared" si="651"/>
        <v/>
      </c>
      <c r="N2812" s="100">
        <f t="shared" si="652"/>
        <v>0</v>
      </c>
      <c r="O2812" s="101">
        <f t="shared" si="653"/>
        <v>0</v>
      </c>
      <c r="P2812" s="52">
        <f t="shared" si="654"/>
        <v>0</v>
      </c>
      <c r="Q2812" s="49">
        <v>116.88487613461319</v>
      </c>
      <c r="R2812">
        <v>2225</v>
      </c>
      <c r="S2812" s="50">
        <f t="shared" si="650"/>
        <v>71535.307499999995</v>
      </c>
      <c r="T2812" s="50">
        <f t="shared" si="655"/>
        <v>0</v>
      </c>
      <c r="U2812" s="58">
        <f t="shared" si="656"/>
        <v>0</v>
      </c>
      <c r="V2812" s="58">
        <f t="shared" si="657"/>
        <v>0</v>
      </c>
      <c r="W2812" s="58">
        <f t="shared" si="658"/>
        <v>0</v>
      </c>
      <c r="X2812" s="58">
        <f t="shared" si="659"/>
        <v>0</v>
      </c>
      <c r="Y2812" s="52">
        <f t="shared" si="660"/>
        <v>0</v>
      </c>
    </row>
    <row r="2813" spans="1:25" x14ac:dyDescent="0.25">
      <c r="A2813" s="1218" t="s">
        <v>203</v>
      </c>
      <c r="B2813" s="98">
        <v>45931</v>
      </c>
      <c r="C2813" s="117" t="str">
        <f t="shared" si="648"/>
        <v>8L</v>
      </c>
      <c r="F2813" s="99">
        <f t="shared" si="647"/>
        <v>0</v>
      </c>
      <c r="I2813" s="99">
        <f t="shared" si="646"/>
        <v>0</v>
      </c>
      <c r="L2813" s="99">
        <f t="shared" si="649"/>
        <v>0</v>
      </c>
      <c r="M2813" s="44" t="str">
        <f t="shared" si="651"/>
        <v/>
      </c>
      <c r="N2813" s="100">
        <f t="shared" si="652"/>
        <v>0</v>
      </c>
      <c r="O2813" s="101">
        <f t="shared" si="653"/>
        <v>0</v>
      </c>
      <c r="P2813" s="52">
        <f t="shared" si="654"/>
        <v>0</v>
      </c>
      <c r="Q2813" s="49">
        <v>116.88487613461319</v>
      </c>
      <c r="R2813">
        <v>2225</v>
      </c>
      <c r="S2813" s="50">
        <f t="shared" si="650"/>
        <v>71535.307499999995</v>
      </c>
      <c r="T2813" s="50">
        <f t="shared" si="655"/>
        <v>0</v>
      </c>
      <c r="U2813" s="58">
        <f t="shared" si="656"/>
        <v>0</v>
      </c>
      <c r="V2813" s="58">
        <f t="shared" si="657"/>
        <v>0</v>
      </c>
      <c r="W2813" s="58">
        <f t="shared" si="658"/>
        <v>0</v>
      </c>
      <c r="X2813" s="58">
        <f t="shared" si="659"/>
        <v>0</v>
      </c>
      <c r="Y2813" s="52">
        <f t="shared" si="660"/>
        <v>0</v>
      </c>
    </row>
    <row r="2814" spans="1:25" x14ac:dyDescent="0.25">
      <c r="A2814" s="1218" t="s">
        <v>204</v>
      </c>
      <c r="B2814" s="98">
        <v>45931</v>
      </c>
      <c r="C2814" s="117" t="str">
        <f t="shared" si="648"/>
        <v>8L</v>
      </c>
      <c r="F2814" s="99">
        <f t="shared" si="647"/>
        <v>0</v>
      </c>
      <c r="I2814" s="99">
        <f t="shared" si="646"/>
        <v>0</v>
      </c>
      <c r="L2814" s="99">
        <f t="shared" si="649"/>
        <v>0</v>
      </c>
      <c r="M2814" s="44" t="str">
        <f t="shared" si="651"/>
        <v/>
      </c>
      <c r="N2814" s="100">
        <f t="shared" si="652"/>
        <v>0</v>
      </c>
      <c r="O2814" s="101">
        <f t="shared" si="653"/>
        <v>0</v>
      </c>
      <c r="P2814" s="52">
        <f t="shared" si="654"/>
        <v>0</v>
      </c>
      <c r="Q2814" s="49">
        <v>116.88487613461319</v>
      </c>
      <c r="R2814">
        <v>2225</v>
      </c>
      <c r="S2814" s="50">
        <f t="shared" si="650"/>
        <v>71535.307499999995</v>
      </c>
      <c r="T2814" s="50">
        <f t="shared" si="655"/>
        <v>0</v>
      </c>
      <c r="U2814" s="58">
        <f t="shared" si="656"/>
        <v>0</v>
      </c>
      <c r="V2814" s="58">
        <f t="shared" si="657"/>
        <v>0</v>
      </c>
      <c r="W2814" s="58">
        <f t="shared" si="658"/>
        <v>0</v>
      </c>
      <c r="X2814" s="58">
        <f t="shared" si="659"/>
        <v>0</v>
      </c>
      <c r="Y2814" s="52">
        <f t="shared" si="660"/>
        <v>0</v>
      </c>
    </row>
    <row r="2815" spans="1:25" x14ac:dyDescent="0.25">
      <c r="A2815" s="1218" t="s">
        <v>205</v>
      </c>
      <c r="B2815" s="98">
        <v>45931</v>
      </c>
      <c r="C2815" s="117" t="str">
        <f t="shared" si="648"/>
        <v>8L</v>
      </c>
      <c r="F2815" s="99">
        <f t="shared" si="647"/>
        <v>0</v>
      </c>
      <c r="I2815" s="99">
        <f t="shared" si="646"/>
        <v>0</v>
      </c>
      <c r="L2815" s="99">
        <f t="shared" si="649"/>
        <v>0</v>
      </c>
      <c r="M2815" s="44" t="str">
        <f t="shared" si="651"/>
        <v/>
      </c>
      <c r="N2815" s="100">
        <f t="shared" si="652"/>
        <v>0</v>
      </c>
      <c r="O2815" s="101">
        <f t="shared" si="653"/>
        <v>0</v>
      </c>
      <c r="P2815" s="52">
        <f t="shared" si="654"/>
        <v>0</v>
      </c>
      <c r="Q2815" s="49">
        <v>116.88487613461319</v>
      </c>
      <c r="R2815">
        <v>2225</v>
      </c>
      <c r="S2815" s="50">
        <f t="shared" si="650"/>
        <v>71535.307499999995</v>
      </c>
      <c r="T2815" s="50">
        <f t="shared" si="655"/>
        <v>0</v>
      </c>
      <c r="U2815" s="58">
        <f t="shared" si="656"/>
        <v>0</v>
      </c>
      <c r="V2815" s="58">
        <f t="shared" si="657"/>
        <v>0</v>
      </c>
      <c r="W2815" s="58">
        <f t="shared" si="658"/>
        <v>0</v>
      </c>
      <c r="X2815" s="58">
        <f t="shared" si="659"/>
        <v>0</v>
      </c>
      <c r="Y2815" s="52">
        <f t="shared" si="660"/>
        <v>0</v>
      </c>
    </row>
    <row r="2816" spans="1:25" x14ac:dyDescent="0.25">
      <c r="A2816" s="1218" t="s">
        <v>206</v>
      </c>
      <c r="B2816" s="98">
        <v>45931</v>
      </c>
      <c r="C2816" s="117" t="str">
        <f t="shared" si="648"/>
        <v>8L</v>
      </c>
      <c r="F2816" s="99">
        <f t="shared" si="647"/>
        <v>0</v>
      </c>
      <c r="I2816" s="99">
        <f t="shared" si="646"/>
        <v>0</v>
      </c>
      <c r="L2816" s="99">
        <f t="shared" si="649"/>
        <v>0</v>
      </c>
      <c r="M2816" s="44" t="str">
        <f t="shared" si="651"/>
        <v/>
      </c>
      <c r="N2816" s="100">
        <f t="shared" si="652"/>
        <v>0</v>
      </c>
      <c r="O2816" s="101">
        <f t="shared" si="653"/>
        <v>0</v>
      </c>
      <c r="P2816" s="52">
        <f t="shared" si="654"/>
        <v>0</v>
      </c>
      <c r="Q2816" s="49">
        <v>116.88487613461319</v>
      </c>
      <c r="R2816">
        <v>2225</v>
      </c>
      <c r="S2816" s="50">
        <f t="shared" si="650"/>
        <v>71535.307499999995</v>
      </c>
      <c r="T2816" s="50">
        <f t="shared" si="655"/>
        <v>0</v>
      </c>
      <c r="U2816" s="58">
        <f t="shared" si="656"/>
        <v>0</v>
      </c>
      <c r="V2816" s="58">
        <f t="shared" si="657"/>
        <v>0</v>
      </c>
      <c r="W2816" s="58">
        <f t="shared" si="658"/>
        <v>0</v>
      </c>
      <c r="X2816" s="58">
        <f t="shared" si="659"/>
        <v>0</v>
      </c>
      <c r="Y2816" s="52">
        <f t="shared" si="660"/>
        <v>0</v>
      </c>
    </row>
    <row r="2817" spans="1:25" ht="15.75" thickBot="1" x14ac:dyDescent="0.3">
      <c r="A2817" s="1219" t="s">
        <v>207</v>
      </c>
      <c r="B2817" s="98">
        <v>45931</v>
      </c>
      <c r="C2817" s="117" t="str">
        <f t="shared" si="648"/>
        <v>8L</v>
      </c>
      <c r="F2817" s="99">
        <f t="shared" si="647"/>
        <v>0</v>
      </c>
      <c r="I2817" s="99">
        <f t="shared" si="646"/>
        <v>0</v>
      </c>
      <c r="L2817" s="99">
        <f t="shared" si="649"/>
        <v>0</v>
      </c>
      <c r="M2817" s="44" t="str">
        <f t="shared" si="651"/>
        <v/>
      </c>
      <c r="N2817" s="100">
        <f t="shared" si="652"/>
        <v>0</v>
      </c>
      <c r="O2817" s="101">
        <f t="shared" si="653"/>
        <v>0</v>
      </c>
      <c r="P2817" s="52">
        <f t="shared" si="654"/>
        <v>0</v>
      </c>
      <c r="Q2817" s="49">
        <v>116.88487613461319</v>
      </c>
      <c r="R2817">
        <v>2225</v>
      </c>
      <c r="S2817" s="50">
        <f t="shared" si="650"/>
        <v>71535.307499999995</v>
      </c>
      <c r="T2817" s="50">
        <f t="shared" si="655"/>
        <v>0</v>
      </c>
      <c r="U2817" s="58">
        <f t="shared" si="656"/>
        <v>0</v>
      </c>
      <c r="V2817" s="58">
        <f t="shared" si="657"/>
        <v>0</v>
      </c>
      <c r="W2817" s="58">
        <f t="shared" si="658"/>
        <v>0</v>
      </c>
      <c r="X2817" s="58">
        <f t="shared" si="659"/>
        <v>0</v>
      </c>
      <c r="Y2817" s="52">
        <f t="shared" si="660"/>
        <v>0</v>
      </c>
    </row>
    <row r="2818" spans="1:25" x14ac:dyDescent="0.25">
      <c r="A2818" s="97" t="s">
        <v>80</v>
      </c>
      <c r="B2818" s="98">
        <v>45962</v>
      </c>
      <c r="C2818" s="117" t="str">
        <f t="shared" si="648"/>
        <v>1L</v>
      </c>
      <c r="F2818" s="99">
        <f t="shared" si="647"/>
        <v>0</v>
      </c>
      <c r="I2818" s="99">
        <f t="shared" si="646"/>
        <v>0</v>
      </c>
      <c r="L2818" s="99">
        <f t="shared" si="649"/>
        <v>0</v>
      </c>
      <c r="M2818" s="44" t="str">
        <f t="shared" si="651"/>
        <v/>
      </c>
      <c r="N2818" s="100">
        <f t="shared" si="652"/>
        <v>0</v>
      </c>
      <c r="O2818" s="101">
        <f t="shared" si="653"/>
        <v>0</v>
      </c>
      <c r="P2818" s="52">
        <f t="shared" si="654"/>
        <v>0</v>
      </c>
      <c r="Q2818" s="49">
        <v>116.88487613461319</v>
      </c>
      <c r="R2818">
        <v>2225</v>
      </c>
      <c r="S2818" s="50">
        <f t="shared" si="650"/>
        <v>71535.307499999995</v>
      </c>
      <c r="T2818" s="50">
        <f t="shared" si="655"/>
        <v>0</v>
      </c>
      <c r="U2818" s="58">
        <f t="shared" si="656"/>
        <v>0</v>
      </c>
      <c r="V2818" s="58">
        <f t="shared" si="657"/>
        <v>0</v>
      </c>
      <c r="W2818" s="58">
        <f t="shared" si="658"/>
        <v>0</v>
      </c>
      <c r="X2818" s="58">
        <f t="shared" si="659"/>
        <v>0</v>
      </c>
      <c r="Y2818" s="52">
        <f t="shared" si="660"/>
        <v>0</v>
      </c>
    </row>
    <row r="2819" spans="1:25" x14ac:dyDescent="0.25">
      <c r="A2819" s="1218" t="s">
        <v>81</v>
      </c>
      <c r="B2819" s="98">
        <v>45962</v>
      </c>
      <c r="C2819" s="117" t="str">
        <f t="shared" si="648"/>
        <v>1L</v>
      </c>
      <c r="F2819" s="99">
        <f t="shared" si="647"/>
        <v>0</v>
      </c>
      <c r="I2819" s="99">
        <f t="shared" si="646"/>
        <v>0</v>
      </c>
      <c r="L2819" s="99">
        <f t="shared" si="649"/>
        <v>0</v>
      </c>
      <c r="M2819" s="44" t="str">
        <f t="shared" si="651"/>
        <v/>
      </c>
      <c r="N2819" s="100">
        <f t="shared" si="652"/>
        <v>0</v>
      </c>
      <c r="O2819" s="101">
        <f t="shared" si="653"/>
        <v>0</v>
      </c>
      <c r="P2819" s="52">
        <f t="shared" si="654"/>
        <v>0</v>
      </c>
      <c r="Q2819" s="49">
        <v>116.88487613461319</v>
      </c>
      <c r="R2819">
        <v>2225</v>
      </c>
      <c r="S2819" s="50">
        <f t="shared" si="650"/>
        <v>71535.307499999995</v>
      </c>
      <c r="T2819" s="50">
        <f t="shared" si="655"/>
        <v>0</v>
      </c>
      <c r="U2819" s="58">
        <f t="shared" si="656"/>
        <v>0</v>
      </c>
      <c r="V2819" s="58">
        <f t="shared" si="657"/>
        <v>0</v>
      </c>
      <c r="W2819" s="58">
        <f t="shared" si="658"/>
        <v>0</v>
      </c>
      <c r="X2819" s="58">
        <f t="shared" si="659"/>
        <v>0</v>
      </c>
      <c r="Y2819" s="52">
        <f t="shared" si="660"/>
        <v>0</v>
      </c>
    </row>
    <row r="2820" spans="1:25" x14ac:dyDescent="0.25">
      <c r="A2820" s="1218" t="s">
        <v>82</v>
      </c>
      <c r="B2820" s="98">
        <v>45962</v>
      </c>
      <c r="C2820" s="117" t="str">
        <f t="shared" si="648"/>
        <v>1L</v>
      </c>
      <c r="F2820" s="99">
        <f t="shared" si="647"/>
        <v>0</v>
      </c>
      <c r="I2820" s="99">
        <f t="shared" ref="I2820:I2884" si="661">IFERROR(G2820*H2820/1000,"")</f>
        <v>0</v>
      </c>
      <c r="L2820" s="99">
        <f t="shared" si="649"/>
        <v>0</v>
      </c>
      <c r="M2820" s="44" t="str">
        <f t="shared" si="651"/>
        <v/>
      </c>
      <c r="N2820" s="100">
        <f t="shared" si="652"/>
        <v>0</v>
      </c>
      <c r="O2820" s="101">
        <f t="shared" si="653"/>
        <v>0</v>
      </c>
      <c r="P2820" s="52">
        <f t="shared" si="654"/>
        <v>0</v>
      </c>
      <c r="Q2820" s="49">
        <v>116.88487613461319</v>
      </c>
      <c r="R2820">
        <v>2225</v>
      </c>
      <c r="S2820" s="50">
        <f t="shared" si="650"/>
        <v>71535.307499999995</v>
      </c>
      <c r="T2820" s="50">
        <f t="shared" si="655"/>
        <v>0</v>
      </c>
      <c r="U2820" s="58">
        <f t="shared" si="656"/>
        <v>0</v>
      </c>
      <c r="V2820" s="58">
        <f t="shared" si="657"/>
        <v>0</v>
      </c>
      <c r="W2820" s="58">
        <f t="shared" si="658"/>
        <v>0</v>
      </c>
      <c r="X2820" s="58">
        <f t="shared" si="659"/>
        <v>0</v>
      </c>
      <c r="Y2820" s="52">
        <f t="shared" si="660"/>
        <v>0</v>
      </c>
    </row>
    <row r="2821" spans="1:25" x14ac:dyDescent="0.25">
      <c r="A2821" s="1218" t="s">
        <v>83</v>
      </c>
      <c r="B2821" s="98">
        <v>45962</v>
      </c>
      <c r="C2821" s="117" t="str">
        <f t="shared" si="648"/>
        <v>1L</v>
      </c>
      <c r="F2821" s="99">
        <f t="shared" si="647"/>
        <v>0</v>
      </c>
      <c r="I2821" s="99">
        <f t="shared" si="661"/>
        <v>0</v>
      </c>
      <c r="L2821" s="99">
        <f t="shared" si="649"/>
        <v>0</v>
      </c>
      <c r="M2821" s="44" t="str">
        <f t="shared" si="651"/>
        <v/>
      </c>
      <c r="N2821" s="100">
        <f t="shared" si="652"/>
        <v>0</v>
      </c>
      <c r="O2821" s="101">
        <f t="shared" si="653"/>
        <v>0</v>
      </c>
      <c r="P2821" s="52">
        <f t="shared" si="654"/>
        <v>0</v>
      </c>
      <c r="Q2821" s="49">
        <v>116.88487613461319</v>
      </c>
      <c r="R2821">
        <v>2225</v>
      </c>
      <c r="S2821" s="50">
        <f t="shared" si="650"/>
        <v>71535.307499999995</v>
      </c>
      <c r="T2821" s="50">
        <f t="shared" si="655"/>
        <v>0</v>
      </c>
      <c r="U2821" s="58">
        <f t="shared" si="656"/>
        <v>0</v>
      </c>
      <c r="V2821" s="58">
        <f t="shared" si="657"/>
        <v>0</v>
      </c>
      <c r="W2821" s="58">
        <f t="shared" si="658"/>
        <v>0</v>
      </c>
      <c r="X2821" s="58">
        <f t="shared" si="659"/>
        <v>0</v>
      </c>
      <c r="Y2821" s="52">
        <f t="shared" si="660"/>
        <v>0</v>
      </c>
    </row>
    <row r="2822" spans="1:25" x14ac:dyDescent="0.25">
      <c r="A2822" s="1218" t="s">
        <v>84</v>
      </c>
      <c r="B2822" s="98">
        <v>45962</v>
      </c>
      <c r="C2822" s="117" t="str">
        <f t="shared" si="648"/>
        <v>2L</v>
      </c>
      <c r="F2822" s="99">
        <f t="shared" si="647"/>
        <v>0</v>
      </c>
      <c r="I2822" s="99">
        <f t="shared" si="661"/>
        <v>0</v>
      </c>
      <c r="L2822" s="99">
        <f t="shared" si="649"/>
        <v>0</v>
      </c>
      <c r="M2822" s="44" t="str">
        <f t="shared" si="651"/>
        <v/>
      </c>
      <c r="N2822" s="100">
        <f t="shared" si="652"/>
        <v>0</v>
      </c>
      <c r="O2822" s="101">
        <f t="shared" si="653"/>
        <v>0</v>
      </c>
      <c r="P2822" s="52">
        <f t="shared" si="654"/>
        <v>0</v>
      </c>
      <c r="Q2822" s="49">
        <v>116.88487613461319</v>
      </c>
      <c r="R2822">
        <v>2225</v>
      </c>
      <c r="S2822" s="50">
        <f t="shared" si="650"/>
        <v>71535.307499999995</v>
      </c>
      <c r="T2822" s="50">
        <f t="shared" si="655"/>
        <v>0</v>
      </c>
      <c r="U2822" s="58">
        <f t="shared" si="656"/>
        <v>0</v>
      </c>
      <c r="V2822" s="58">
        <f t="shared" si="657"/>
        <v>0</v>
      </c>
      <c r="W2822" s="58">
        <f t="shared" si="658"/>
        <v>0</v>
      </c>
      <c r="X2822" s="58">
        <f t="shared" si="659"/>
        <v>0</v>
      </c>
      <c r="Y2822" s="52">
        <f t="shared" si="660"/>
        <v>0</v>
      </c>
    </row>
    <row r="2823" spans="1:25" x14ac:dyDescent="0.25">
      <c r="A2823" s="1218" t="s">
        <v>85</v>
      </c>
      <c r="B2823" s="98">
        <v>45962</v>
      </c>
      <c r="C2823" s="117" t="str">
        <f t="shared" si="648"/>
        <v>2L</v>
      </c>
      <c r="F2823" s="99">
        <f t="shared" si="647"/>
        <v>0</v>
      </c>
      <c r="I2823" s="99">
        <f t="shared" si="661"/>
        <v>0</v>
      </c>
      <c r="L2823" s="99">
        <f t="shared" si="649"/>
        <v>0</v>
      </c>
      <c r="M2823" s="44" t="str">
        <f t="shared" si="651"/>
        <v/>
      </c>
      <c r="N2823" s="100">
        <f t="shared" si="652"/>
        <v>0</v>
      </c>
      <c r="O2823" s="101">
        <f t="shared" si="653"/>
        <v>0</v>
      </c>
      <c r="P2823" s="52">
        <f t="shared" si="654"/>
        <v>0</v>
      </c>
      <c r="Q2823" s="49">
        <v>116.88487613461319</v>
      </c>
      <c r="R2823">
        <v>2225</v>
      </c>
      <c r="S2823" s="50">
        <f t="shared" si="650"/>
        <v>71535.307499999995</v>
      </c>
      <c r="T2823" s="50">
        <f t="shared" si="655"/>
        <v>0</v>
      </c>
      <c r="U2823" s="58">
        <f t="shared" si="656"/>
        <v>0</v>
      </c>
      <c r="V2823" s="58">
        <f t="shared" si="657"/>
        <v>0</v>
      </c>
      <c r="W2823" s="58">
        <f t="shared" si="658"/>
        <v>0</v>
      </c>
      <c r="X2823" s="58">
        <f t="shared" si="659"/>
        <v>0</v>
      </c>
      <c r="Y2823" s="52">
        <f t="shared" si="660"/>
        <v>0</v>
      </c>
    </row>
    <row r="2824" spans="1:25" x14ac:dyDescent="0.25">
      <c r="A2824" s="1218" t="s">
        <v>86</v>
      </c>
      <c r="B2824" s="98">
        <v>45962</v>
      </c>
      <c r="C2824" s="117" t="str">
        <f t="shared" si="648"/>
        <v>2L</v>
      </c>
      <c r="F2824" s="99">
        <f t="shared" si="647"/>
        <v>0</v>
      </c>
      <c r="I2824" s="99">
        <f t="shared" si="661"/>
        <v>0</v>
      </c>
      <c r="L2824" s="99">
        <f t="shared" si="649"/>
        <v>0</v>
      </c>
      <c r="M2824" s="44" t="str">
        <f t="shared" si="651"/>
        <v/>
      </c>
      <c r="N2824" s="100">
        <f t="shared" si="652"/>
        <v>0</v>
      </c>
      <c r="O2824" s="101">
        <f t="shared" si="653"/>
        <v>0</v>
      </c>
      <c r="P2824" s="52">
        <f t="shared" si="654"/>
        <v>0</v>
      </c>
      <c r="Q2824" s="49">
        <v>116.88487613461319</v>
      </c>
      <c r="R2824">
        <v>2225</v>
      </c>
      <c r="S2824" s="50">
        <f t="shared" si="650"/>
        <v>71535.307499999995</v>
      </c>
      <c r="T2824" s="50">
        <f t="shared" si="655"/>
        <v>0</v>
      </c>
      <c r="U2824" s="58">
        <f t="shared" si="656"/>
        <v>0</v>
      </c>
      <c r="V2824" s="58">
        <f t="shared" si="657"/>
        <v>0</v>
      </c>
      <c r="W2824" s="58">
        <f t="shared" si="658"/>
        <v>0</v>
      </c>
      <c r="X2824" s="58">
        <f t="shared" si="659"/>
        <v>0</v>
      </c>
      <c r="Y2824" s="52">
        <f t="shared" si="660"/>
        <v>0</v>
      </c>
    </row>
    <row r="2825" spans="1:25" x14ac:dyDescent="0.25">
      <c r="A2825" s="1218" t="s">
        <v>87</v>
      </c>
      <c r="B2825" s="98">
        <v>45962</v>
      </c>
      <c r="C2825" s="117" t="str">
        <f t="shared" si="648"/>
        <v>3L</v>
      </c>
      <c r="F2825" s="99">
        <f t="shared" si="647"/>
        <v>0</v>
      </c>
      <c r="I2825" s="99">
        <f t="shared" si="661"/>
        <v>0</v>
      </c>
      <c r="L2825" s="99">
        <f t="shared" si="649"/>
        <v>0</v>
      </c>
      <c r="M2825" s="44" t="str">
        <f t="shared" si="651"/>
        <v/>
      </c>
      <c r="N2825" s="100">
        <f t="shared" si="652"/>
        <v>0</v>
      </c>
      <c r="O2825" s="101">
        <f t="shared" si="653"/>
        <v>0</v>
      </c>
      <c r="P2825" s="52">
        <f t="shared" si="654"/>
        <v>0</v>
      </c>
      <c r="Q2825" s="49">
        <v>116.88487613461319</v>
      </c>
      <c r="R2825">
        <v>2225</v>
      </c>
      <c r="S2825" s="50">
        <f t="shared" si="650"/>
        <v>71535.307499999995</v>
      </c>
      <c r="T2825" s="50">
        <f t="shared" si="655"/>
        <v>0</v>
      </c>
      <c r="U2825" s="58">
        <f t="shared" si="656"/>
        <v>0</v>
      </c>
      <c r="V2825" s="58">
        <f t="shared" si="657"/>
        <v>0</v>
      </c>
      <c r="W2825" s="58">
        <f t="shared" si="658"/>
        <v>0</v>
      </c>
      <c r="X2825" s="58">
        <f t="shared" si="659"/>
        <v>0</v>
      </c>
      <c r="Y2825" s="52">
        <f t="shared" si="660"/>
        <v>0</v>
      </c>
    </row>
    <row r="2826" spans="1:25" x14ac:dyDescent="0.25">
      <c r="A2826" s="1218" t="s">
        <v>88</v>
      </c>
      <c r="B2826" s="98">
        <v>45962</v>
      </c>
      <c r="C2826" s="117" t="str">
        <f t="shared" si="648"/>
        <v>3L</v>
      </c>
      <c r="F2826" s="99">
        <f t="shared" si="647"/>
        <v>0</v>
      </c>
      <c r="I2826" s="99">
        <f t="shared" si="661"/>
        <v>0</v>
      </c>
      <c r="L2826" s="99">
        <f t="shared" si="649"/>
        <v>0</v>
      </c>
      <c r="M2826" s="44" t="str">
        <f t="shared" si="651"/>
        <v/>
      </c>
      <c r="N2826" s="100">
        <f t="shared" si="652"/>
        <v>0</v>
      </c>
      <c r="O2826" s="101">
        <f t="shared" si="653"/>
        <v>0</v>
      </c>
      <c r="P2826" s="52">
        <f t="shared" si="654"/>
        <v>0</v>
      </c>
      <c r="Q2826" s="49">
        <v>116.88487613461319</v>
      </c>
      <c r="R2826">
        <v>2225</v>
      </c>
      <c r="S2826" s="50">
        <f t="shared" si="650"/>
        <v>71535.307499999995</v>
      </c>
      <c r="T2826" s="50">
        <f t="shared" si="655"/>
        <v>0</v>
      </c>
      <c r="U2826" s="58">
        <f t="shared" si="656"/>
        <v>0</v>
      </c>
      <c r="V2826" s="58">
        <f t="shared" si="657"/>
        <v>0</v>
      </c>
      <c r="W2826" s="58">
        <f t="shared" si="658"/>
        <v>0</v>
      </c>
      <c r="X2826" s="58">
        <f t="shared" si="659"/>
        <v>0</v>
      </c>
      <c r="Y2826" s="52">
        <f t="shared" si="660"/>
        <v>0</v>
      </c>
    </row>
    <row r="2827" spans="1:25" x14ac:dyDescent="0.25">
      <c r="A2827" s="1218" t="s">
        <v>89</v>
      </c>
      <c r="B2827" s="98">
        <v>45962</v>
      </c>
      <c r="C2827" s="117" t="str">
        <f t="shared" si="648"/>
        <v>3L</v>
      </c>
      <c r="F2827" s="99">
        <f t="shared" si="647"/>
        <v>0</v>
      </c>
      <c r="I2827" s="99">
        <f t="shared" si="661"/>
        <v>0</v>
      </c>
      <c r="L2827" s="99">
        <f t="shared" si="649"/>
        <v>0</v>
      </c>
      <c r="M2827" s="44" t="str">
        <f t="shared" si="651"/>
        <v/>
      </c>
      <c r="N2827" s="100">
        <f t="shared" si="652"/>
        <v>0</v>
      </c>
      <c r="O2827" s="101">
        <f t="shared" si="653"/>
        <v>0</v>
      </c>
      <c r="P2827" s="52">
        <f t="shared" si="654"/>
        <v>0</v>
      </c>
      <c r="Q2827" s="49">
        <v>116.88487613461319</v>
      </c>
      <c r="R2827">
        <v>2225</v>
      </c>
      <c r="S2827" s="50">
        <f t="shared" si="650"/>
        <v>71535.307499999995</v>
      </c>
      <c r="T2827" s="50">
        <f t="shared" si="655"/>
        <v>0</v>
      </c>
      <c r="U2827" s="58">
        <f t="shared" si="656"/>
        <v>0</v>
      </c>
      <c r="V2827" s="58">
        <f t="shared" si="657"/>
        <v>0</v>
      </c>
      <c r="W2827" s="58">
        <f t="shared" si="658"/>
        <v>0</v>
      </c>
      <c r="X2827" s="58">
        <f t="shared" si="659"/>
        <v>0</v>
      </c>
      <c r="Y2827" s="52">
        <f t="shared" si="660"/>
        <v>0</v>
      </c>
    </row>
    <row r="2828" spans="1:25" x14ac:dyDescent="0.25">
      <c r="A2828" s="1218" t="s">
        <v>90</v>
      </c>
      <c r="B2828" s="98">
        <v>45962</v>
      </c>
      <c r="C2828" s="117" t="str">
        <f t="shared" si="648"/>
        <v>3L</v>
      </c>
      <c r="F2828" s="99">
        <f t="shared" si="647"/>
        <v>0</v>
      </c>
      <c r="I2828" s="99">
        <f t="shared" si="661"/>
        <v>0</v>
      </c>
      <c r="L2828" s="99">
        <f t="shared" si="649"/>
        <v>0</v>
      </c>
      <c r="M2828" s="44" t="str">
        <f t="shared" si="651"/>
        <v/>
      </c>
      <c r="N2828" s="100">
        <f t="shared" si="652"/>
        <v>0</v>
      </c>
      <c r="O2828" s="101">
        <f t="shared" si="653"/>
        <v>0</v>
      </c>
      <c r="P2828" s="52">
        <f t="shared" si="654"/>
        <v>0</v>
      </c>
      <c r="Q2828" s="49">
        <v>116.88487613461319</v>
      </c>
      <c r="R2828">
        <v>2225</v>
      </c>
      <c r="S2828" s="50">
        <f t="shared" si="650"/>
        <v>71535.307499999995</v>
      </c>
      <c r="T2828" s="50">
        <f t="shared" si="655"/>
        <v>0</v>
      </c>
      <c r="U2828" s="58">
        <f t="shared" si="656"/>
        <v>0</v>
      </c>
      <c r="V2828" s="58">
        <f t="shared" si="657"/>
        <v>0</v>
      </c>
      <c r="W2828" s="58">
        <f t="shared" si="658"/>
        <v>0</v>
      </c>
      <c r="X2828" s="58">
        <f t="shared" si="659"/>
        <v>0</v>
      </c>
      <c r="Y2828" s="52">
        <f t="shared" si="660"/>
        <v>0</v>
      </c>
    </row>
    <row r="2829" spans="1:25" x14ac:dyDescent="0.25">
      <c r="A2829" s="1218" t="s">
        <v>91</v>
      </c>
      <c r="B2829" s="98">
        <v>45962</v>
      </c>
      <c r="C2829" s="117" t="str">
        <f t="shared" si="648"/>
        <v>3L</v>
      </c>
      <c r="F2829" s="99">
        <f t="shared" si="647"/>
        <v>0</v>
      </c>
      <c r="I2829" s="99">
        <f t="shared" si="661"/>
        <v>0</v>
      </c>
      <c r="L2829" s="99">
        <f t="shared" si="649"/>
        <v>0</v>
      </c>
      <c r="M2829" s="44" t="str">
        <f t="shared" si="651"/>
        <v/>
      </c>
      <c r="N2829" s="100">
        <f t="shared" si="652"/>
        <v>0</v>
      </c>
      <c r="O2829" s="101">
        <f t="shared" si="653"/>
        <v>0</v>
      </c>
      <c r="P2829" s="52">
        <f t="shared" si="654"/>
        <v>0</v>
      </c>
      <c r="Q2829" s="49">
        <v>116.88487613461319</v>
      </c>
      <c r="R2829">
        <v>2225</v>
      </c>
      <c r="S2829" s="50">
        <f t="shared" si="650"/>
        <v>71535.307499999995</v>
      </c>
      <c r="T2829" s="50">
        <f t="shared" si="655"/>
        <v>0</v>
      </c>
      <c r="U2829" s="58">
        <f t="shared" si="656"/>
        <v>0</v>
      </c>
      <c r="V2829" s="58">
        <f t="shared" si="657"/>
        <v>0</v>
      </c>
      <c r="W2829" s="58">
        <f t="shared" si="658"/>
        <v>0</v>
      </c>
      <c r="X2829" s="58">
        <f t="shared" si="659"/>
        <v>0</v>
      </c>
      <c r="Y2829" s="52">
        <f t="shared" si="660"/>
        <v>0</v>
      </c>
    </row>
    <row r="2830" spans="1:25" x14ac:dyDescent="0.25">
      <c r="A2830" s="1218" t="s">
        <v>92</v>
      </c>
      <c r="B2830" s="98">
        <v>45962</v>
      </c>
      <c r="C2830" s="117" t="str">
        <f t="shared" si="648"/>
        <v>3L</v>
      </c>
      <c r="F2830" s="99">
        <f t="shared" ref="F2830:F2894" si="662">IFERROR(D2830*E2830/1000,"")</f>
        <v>0</v>
      </c>
      <c r="I2830" s="99">
        <f t="shared" si="661"/>
        <v>0</v>
      </c>
      <c r="L2830" s="99">
        <f t="shared" si="649"/>
        <v>0</v>
      </c>
      <c r="M2830" s="44" t="str">
        <f t="shared" si="651"/>
        <v/>
      </c>
      <c r="N2830" s="100">
        <f t="shared" si="652"/>
        <v>0</v>
      </c>
      <c r="O2830" s="101">
        <f t="shared" si="653"/>
        <v>0</v>
      </c>
      <c r="P2830" s="52">
        <f t="shared" si="654"/>
        <v>0</v>
      </c>
      <c r="Q2830" s="49">
        <v>116.88487613461319</v>
      </c>
      <c r="R2830">
        <v>2225</v>
      </c>
      <c r="S2830" s="50">
        <f t="shared" si="650"/>
        <v>71535.307499999995</v>
      </c>
      <c r="T2830" s="50">
        <f t="shared" si="655"/>
        <v>0</v>
      </c>
      <c r="U2830" s="58">
        <f t="shared" si="656"/>
        <v>0</v>
      </c>
      <c r="V2830" s="58">
        <f t="shared" si="657"/>
        <v>0</v>
      </c>
      <c r="W2830" s="58">
        <f t="shared" si="658"/>
        <v>0</v>
      </c>
      <c r="X2830" s="58">
        <f t="shared" si="659"/>
        <v>0</v>
      </c>
      <c r="Y2830" s="52">
        <f t="shared" si="660"/>
        <v>0</v>
      </c>
    </row>
    <row r="2831" spans="1:25" x14ac:dyDescent="0.25">
      <c r="A2831" s="1218" t="s">
        <v>93</v>
      </c>
      <c r="B2831" s="98">
        <v>45962</v>
      </c>
      <c r="C2831" s="117" t="str">
        <f t="shared" si="648"/>
        <v>3L</v>
      </c>
      <c r="F2831" s="99">
        <f t="shared" si="662"/>
        <v>0</v>
      </c>
      <c r="I2831" s="99">
        <f t="shared" si="661"/>
        <v>0</v>
      </c>
      <c r="L2831" s="99">
        <f t="shared" si="649"/>
        <v>0</v>
      </c>
      <c r="M2831" s="44" t="str">
        <f t="shared" si="651"/>
        <v/>
      </c>
      <c r="N2831" s="100">
        <f t="shared" si="652"/>
        <v>0</v>
      </c>
      <c r="O2831" s="101">
        <f t="shared" si="653"/>
        <v>0</v>
      </c>
      <c r="P2831" s="52">
        <f t="shared" si="654"/>
        <v>0</v>
      </c>
      <c r="Q2831" s="49">
        <v>116.88487613461319</v>
      </c>
      <c r="R2831">
        <v>2225</v>
      </c>
      <c r="S2831" s="50">
        <f t="shared" si="650"/>
        <v>71535.307499999995</v>
      </c>
      <c r="T2831" s="50">
        <f t="shared" si="655"/>
        <v>0</v>
      </c>
      <c r="U2831" s="58">
        <f t="shared" si="656"/>
        <v>0</v>
      </c>
      <c r="V2831" s="58">
        <f t="shared" si="657"/>
        <v>0</v>
      </c>
      <c r="W2831" s="58">
        <f t="shared" si="658"/>
        <v>0</v>
      </c>
      <c r="X2831" s="58">
        <f t="shared" si="659"/>
        <v>0</v>
      </c>
      <c r="Y2831" s="52">
        <f t="shared" si="660"/>
        <v>0</v>
      </c>
    </row>
    <row r="2832" spans="1:25" x14ac:dyDescent="0.25">
      <c r="A2832" s="1218" t="s">
        <v>94</v>
      </c>
      <c r="B2832" s="98">
        <v>45962</v>
      </c>
      <c r="C2832" s="117" t="str">
        <f t="shared" si="648"/>
        <v>3L</v>
      </c>
      <c r="D2832">
        <v>1046</v>
      </c>
      <c r="E2832">
        <v>2.2000000000000002</v>
      </c>
      <c r="F2832" s="99">
        <f t="shared" si="662"/>
        <v>2.3012000000000001</v>
      </c>
      <c r="I2832" s="99">
        <f t="shared" si="661"/>
        <v>0</v>
      </c>
      <c r="L2832" s="99">
        <f t="shared" si="649"/>
        <v>0</v>
      </c>
      <c r="M2832" s="44" t="str">
        <f t="shared" si="651"/>
        <v/>
      </c>
      <c r="N2832" s="100">
        <f t="shared" si="652"/>
        <v>0</v>
      </c>
      <c r="O2832" s="101">
        <f t="shared" si="653"/>
        <v>0</v>
      </c>
      <c r="P2832" s="52">
        <f t="shared" si="654"/>
        <v>0</v>
      </c>
      <c r="Q2832" s="49">
        <v>116.88487613461319</v>
      </c>
      <c r="R2832">
        <v>2225</v>
      </c>
      <c r="S2832" s="50">
        <f t="shared" si="650"/>
        <v>71535.307499999995</v>
      </c>
      <c r="T2832" s="50">
        <f t="shared" si="655"/>
        <v>0</v>
      </c>
      <c r="U2832" s="58">
        <f t="shared" si="656"/>
        <v>0</v>
      </c>
      <c r="V2832" s="58">
        <f t="shared" si="657"/>
        <v>0</v>
      </c>
      <c r="W2832" s="58">
        <f t="shared" si="658"/>
        <v>0</v>
      </c>
      <c r="X2832" s="58">
        <f t="shared" si="659"/>
        <v>0</v>
      </c>
      <c r="Y2832" s="52">
        <f t="shared" si="660"/>
        <v>0</v>
      </c>
    </row>
    <row r="2833" spans="1:25" x14ac:dyDescent="0.25">
      <c r="A2833" s="1218" t="s">
        <v>95</v>
      </c>
      <c r="B2833" s="98">
        <v>45962</v>
      </c>
      <c r="C2833" s="117" t="str">
        <f t="shared" si="648"/>
        <v>3L</v>
      </c>
      <c r="D2833" s="118">
        <v>2921</v>
      </c>
      <c r="E2833">
        <v>2.5299999999999998</v>
      </c>
      <c r="F2833" s="99">
        <f t="shared" si="662"/>
        <v>7.3901299999999992</v>
      </c>
      <c r="I2833" s="99">
        <f t="shared" si="661"/>
        <v>0</v>
      </c>
      <c r="L2833" s="99">
        <f t="shared" si="649"/>
        <v>0</v>
      </c>
      <c r="M2833" s="44" t="str">
        <f t="shared" si="651"/>
        <v/>
      </c>
      <c r="N2833" s="100">
        <f t="shared" si="652"/>
        <v>0</v>
      </c>
      <c r="O2833" s="101">
        <f t="shared" si="653"/>
        <v>0</v>
      </c>
      <c r="P2833" s="52">
        <f t="shared" si="654"/>
        <v>0</v>
      </c>
      <c r="Q2833" s="49">
        <v>116.88487613461319</v>
      </c>
      <c r="R2833">
        <v>2225</v>
      </c>
      <c r="S2833" s="50">
        <f t="shared" si="650"/>
        <v>71535.307499999995</v>
      </c>
      <c r="T2833" s="50">
        <f t="shared" si="655"/>
        <v>0</v>
      </c>
      <c r="U2833" s="58">
        <f t="shared" si="656"/>
        <v>0</v>
      </c>
      <c r="V2833" s="58">
        <f t="shared" si="657"/>
        <v>0</v>
      </c>
      <c r="W2833" s="58">
        <f t="shared" si="658"/>
        <v>0</v>
      </c>
      <c r="X2833" s="58">
        <f t="shared" si="659"/>
        <v>0</v>
      </c>
      <c r="Y2833" s="52">
        <f t="shared" si="660"/>
        <v>0</v>
      </c>
    </row>
    <row r="2834" spans="1:25" x14ac:dyDescent="0.25">
      <c r="A2834" s="1218" t="s">
        <v>96</v>
      </c>
      <c r="B2834" s="98">
        <v>45962</v>
      </c>
      <c r="C2834" s="117" t="str">
        <f t="shared" si="648"/>
        <v>3L</v>
      </c>
      <c r="D2834" s="118">
        <v>2332</v>
      </c>
      <c r="E2834">
        <v>2.63</v>
      </c>
      <c r="F2834" s="99">
        <f t="shared" si="662"/>
        <v>6.1331600000000002</v>
      </c>
      <c r="I2834" s="99">
        <f t="shared" si="661"/>
        <v>0</v>
      </c>
      <c r="L2834" s="99">
        <f t="shared" si="649"/>
        <v>0</v>
      </c>
      <c r="M2834" s="44" t="str">
        <f t="shared" si="651"/>
        <v/>
      </c>
      <c r="N2834" s="100">
        <f t="shared" si="652"/>
        <v>0</v>
      </c>
      <c r="O2834" s="101">
        <f t="shared" si="653"/>
        <v>0</v>
      </c>
      <c r="P2834" s="52">
        <f t="shared" si="654"/>
        <v>0</v>
      </c>
      <c r="Q2834" s="49">
        <v>116.88487613461319</v>
      </c>
      <c r="R2834">
        <v>2225</v>
      </c>
      <c r="S2834" s="50">
        <f t="shared" si="650"/>
        <v>71535.307499999995</v>
      </c>
      <c r="T2834" s="50">
        <f t="shared" si="655"/>
        <v>0</v>
      </c>
      <c r="U2834" s="58">
        <f t="shared" si="656"/>
        <v>0</v>
      </c>
      <c r="V2834" s="58">
        <f t="shared" si="657"/>
        <v>0</v>
      </c>
      <c r="W2834" s="58">
        <f t="shared" si="658"/>
        <v>0</v>
      </c>
      <c r="X2834" s="58">
        <f t="shared" si="659"/>
        <v>0</v>
      </c>
      <c r="Y2834" s="52">
        <f t="shared" si="660"/>
        <v>0</v>
      </c>
    </row>
    <row r="2835" spans="1:25" x14ac:dyDescent="0.25">
      <c r="A2835" s="1218" t="s">
        <v>97</v>
      </c>
      <c r="B2835" s="98">
        <v>45962</v>
      </c>
      <c r="C2835" s="117" t="str">
        <f t="shared" si="648"/>
        <v>4L</v>
      </c>
      <c r="F2835" s="99">
        <f t="shared" si="662"/>
        <v>0</v>
      </c>
      <c r="I2835" s="99">
        <f t="shared" si="661"/>
        <v>0</v>
      </c>
      <c r="L2835" s="99">
        <f t="shared" si="649"/>
        <v>0</v>
      </c>
      <c r="M2835" s="44" t="str">
        <f t="shared" si="651"/>
        <v/>
      </c>
      <c r="N2835" s="100">
        <f t="shared" si="652"/>
        <v>0</v>
      </c>
      <c r="O2835" s="101">
        <f t="shared" si="653"/>
        <v>0</v>
      </c>
      <c r="P2835" s="52">
        <f t="shared" si="654"/>
        <v>0</v>
      </c>
      <c r="Q2835" s="49">
        <v>116.88487613461319</v>
      </c>
      <c r="R2835">
        <v>2225</v>
      </c>
      <c r="S2835" s="50">
        <f t="shared" si="650"/>
        <v>71535.307499999995</v>
      </c>
      <c r="T2835" s="50">
        <f t="shared" si="655"/>
        <v>0</v>
      </c>
      <c r="U2835" s="58">
        <f t="shared" si="656"/>
        <v>0</v>
      </c>
      <c r="V2835" s="58">
        <f t="shared" si="657"/>
        <v>0</v>
      </c>
      <c r="W2835" s="58">
        <f t="shared" si="658"/>
        <v>0</v>
      </c>
      <c r="X2835" s="58">
        <f t="shared" si="659"/>
        <v>0</v>
      </c>
      <c r="Y2835" s="52">
        <f t="shared" si="660"/>
        <v>0</v>
      </c>
    </row>
    <row r="2836" spans="1:25" x14ac:dyDescent="0.25">
      <c r="A2836" s="1218" t="s">
        <v>98</v>
      </c>
      <c r="B2836" s="98">
        <v>45962</v>
      </c>
      <c r="C2836" s="117" t="str">
        <f t="shared" si="648"/>
        <v>4L</v>
      </c>
      <c r="F2836" s="99">
        <f t="shared" si="662"/>
        <v>0</v>
      </c>
      <c r="I2836" s="99">
        <f t="shared" si="661"/>
        <v>0</v>
      </c>
      <c r="L2836" s="99">
        <f t="shared" si="649"/>
        <v>0</v>
      </c>
      <c r="M2836" s="44" t="str">
        <f t="shared" si="651"/>
        <v/>
      </c>
      <c r="N2836" s="100">
        <f t="shared" si="652"/>
        <v>0</v>
      </c>
      <c r="O2836" s="101">
        <f t="shared" si="653"/>
        <v>0</v>
      </c>
      <c r="P2836" s="52">
        <f t="shared" si="654"/>
        <v>0</v>
      </c>
      <c r="Q2836" s="49">
        <v>116.88487613461319</v>
      </c>
      <c r="R2836">
        <v>2225</v>
      </c>
      <c r="S2836" s="50">
        <f t="shared" si="650"/>
        <v>71535.307499999995</v>
      </c>
      <c r="T2836" s="50">
        <f t="shared" si="655"/>
        <v>0</v>
      </c>
      <c r="U2836" s="58">
        <f t="shared" si="656"/>
        <v>0</v>
      </c>
      <c r="V2836" s="58">
        <f t="shared" si="657"/>
        <v>0</v>
      </c>
      <c r="W2836" s="58">
        <f t="shared" si="658"/>
        <v>0</v>
      </c>
      <c r="X2836" s="58">
        <f t="shared" si="659"/>
        <v>0</v>
      </c>
      <c r="Y2836" s="52">
        <f t="shared" si="660"/>
        <v>0</v>
      </c>
    </row>
    <row r="2837" spans="1:25" x14ac:dyDescent="0.25">
      <c r="A2837" s="1218" t="s">
        <v>99</v>
      </c>
      <c r="B2837" s="98">
        <v>45962</v>
      </c>
      <c r="C2837" s="117" t="str">
        <f t="shared" si="648"/>
        <v>4L</v>
      </c>
      <c r="F2837" s="99">
        <f t="shared" si="662"/>
        <v>0</v>
      </c>
      <c r="I2837" s="99">
        <f t="shared" si="661"/>
        <v>0</v>
      </c>
      <c r="L2837" s="99">
        <f t="shared" si="649"/>
        <v>0</v>
      </c>
      <c r="M2837" s="44" t="str">
        <f t="shared" si="651"/>
        <v/>
      </c>
      <c r="N2837" s="100">
        <f t="shared" si="652"/>
        <v>0</v>
      </c>
      <c r="O2837" s="101">
        <f t="shared" si="653"/>
        <v>0</v>
      </c>
      <c r="P2837" s="52">
        <f t="shared" si="654"/>
        <v>0</v>
      </c>
      <c r="Q2837" s="49">
        <v>116.88487613461319</v>
      </c>
      <c r="R2837">
        <v>2225</v>
      </c>
      <c r="S2837" s="50">
        <f t="shared" si="650"/>
        <v>71535.307499999995</v>
      </c>
      <c r="T2837" s="50">
        <f t="shared" si="655"/>
        <v>0</v>
      </c>
      <c r="U2837" s="58">
        <f t="shared" si="656"/>
        <v>0</v>
      </c>
      <c r="V2837" s="58">
        <f t="shared" si="657"/>
        <v>0</v>
      </c>
      <c r="W2837" s="58">
        <f t="shared" si="658"/>
        <v>0</v>
      </c>
      <c r="X2837" s="58">
        <f t="shared" si="659"/>
        <v>0</v>
      </c>
      <c r="Y2837" s="52">
        <f t="shared" si="660"/>
        <v>0</v>
      </c>
    </row>
    <row r="2838" spans="1:25" x14ac:dyDescent="0.25">
      <c r="A2838" s="1218" t="s">
        <v>100</v>
      </c>
      <c r="B2838" s="98">
        <v>45962</v>
      </c>
      <c r="C2838" s="117" t="str">
        <f t="shared" si="648"/>
        <v>4L</v>
      </c>
      <c r="F2838" s="99">
        <f t="shared" si="662"/>
        <v>0</v>
      </c>
      <c r="I2838" s="99">
        <f t="shared" si="661"/>
        <v>0</v>
      </c>
      <c r="L2838" s="99">
        <f t="shared" si="649"/>
        <v>0</v>
      </c>
      <c r="M2838" s="44" t="str">
        <f t="shared" si="651"/>
        <v/>
      </c>
      <c r="N2838" s="100">
        <f t="shared" si="652"/>
        <v>0</v>
      </c>
      <c r="O2838" s="101">
        <f t="shared" si="653"/>
        <v>0</v>
      </c>
      <c r="P2838" s="52">
        <f t="shared" si="654"/>
        <v>0</v>
      </c>
      <c r="Q2838" s="49">
        <v>116.88487613461319</v>
      </c>
      <c r="R2838">
        <v>2225</v>
      </c>
      <c r="S2838" s="50">
        <f t="shared" si="650"/>
        <v>71535.307499999995</v>
      </c>
      <c r="T2838" s="50">
        <f t="shared" si="655"/>
        <v>0</v>
      </c>
      <c r="U2838" s="58">
        <f t="shared" si="656"/>
        <v>0</v>
      </c>
      <c r="V2838" s="58">
        <f t="shared" si="657"/>
        <v>0</v>
      </c>
      <c r="W2838" s="58">
        <f t="shared" si="658"/>
        <v>0</v>
      </c>
      <c r="X2838" s="58">
        <f t="shared" si="659"/>
        <v>0</v>
      </c>
      <c r="Y2838" s="52">
        <f t="shared" si="660"/>
        <v>0</v>
      </c>
    </row>
    <row r="2839" spans="1:25" x14ac:dyDescent="0.25">
      <c r="A2839" s="1218" t="s">
        <v>101</v>
      </c>
      <c r="B2839" s="98">
        <v>45962</v>
      </c>
      <c r="C2839" s="117" t="str">
        <f t="shared" si="648"/>
        <v>4L</v>
      </c>
      <c r="F2839" s="99">
        <f t="shared" si="662"/>
        <v>0</v>
      </c>
      <c r="I2839" s="99">
        <f t="shared" si="661"/>
        <v>0</v>
      </c>
      <c r="L2839" s="99">
        <f t="shared" si="649"/>
        <v>0</v>
      </c>
      <c r="M2839" s="44" t="str">
        <f t="shared" si="651"/>
        <v/>
      </c>
      <c r="N2839" s="100">
        <f t="shared" si="652"/>
        <v>0</v>
      </c>
      <c r="O2839" s="101">
        <f t="shared" si="653"/>
        <v>0</v>
      </c>
      <c r="P2839" s="52">
        <f t="shared" si="654"/>
        <v>0</v>
      </c>
      <c r="Q2839" s="49">
        <v>116.88487613461319</v>
      </c>
      <c r="R2839">
        <v>2225</v>
      </c>
      <c r="S2839" s="50">
        <f t="shared" si="650"/>
        <v>71535.307499999995</v>
      </c>
      <c r="T2839" s="50">
        <f t="shared" si="655"/>
        <v>0</v>
      </c>
      <c r="U2839" s="58">
        <f t="shared" si="656"/>
        <v>0</v>
      </c>
      <c r="V2839" s="58">
        <f t="shared" si="657"/>
        <v>0</v>
      </c>
      <c r="W2839" s="58">
        <f t="shared" si="658"/>
        <v>0</v>
      </c>
      <c r="X2839" s="58">
        <f t="shared" si="659"/>
        <v>0</v>
      </c>
      <c r="Y2839" s="52">
        <f t="shared" si="660"/>
        <v>0</v>
      </c>
    </row>
    <row r="2840" spans="1:25" x14ac:dyDescent="0.25">
      <c r="A2840" s="1218" t="s">
        <v>102</v>
      </c>
      <c r="B2840" s="98">
        <v>45962</v>
      </c>
      <c r="C2840" s="117" t="str">
        <f t="shared" si="648"/>
        <v>4L</v>
      </c>
      <c r="F2840" s="99">
        <f t="shared" si="662"/>
        <v>0</v>
      </c>
      <c r="I2840" s="99">
        <f t="shared" si="661"/>
        <v>0</v>
      </c>
      <c r="L2840" s="99">
        <f t="shared" si="649"/>
        <v>0</v>
      </c>
      <c r="M2840" s="44" t="str">
        <f t="shared" si="651"/>
        <v/>
      </c>
      <c r="N2840" s="100">
        <f t="shared" si="652"/>
        <v>0</v>
      </c>
      <c r="O2840" s="101">
        <f t="shared" si="653"/>
        <v>0</v>
      </c>
      <c r="P2840" s="52">
        <f t="shared" si="654"/>
        <v>0</v>
      </c>
      <c r="Q2840" s="49">
        <v>116.88487613461319</v>
      </c>
      <c r="R2840">
        <v>2225</v>
      </c>
      <c r="S2840" s="50">
        <f t="shared" si="650"/>
        <v>71535.307499999995</v>
      </c>
      <c r="T2840" s="50">
        <f t="shared" si="655"/>
        <v>0</v>
      </c>
      <c r="U2840" s="58">
        <f t="shared" si="656"/>
        <v>0</v>
      </c>
      <c r="V2840" s="58">
        <f t="shared" si="657"/>
        <v>0</v>
      </c>
      <c r="W2840" s="58">
        <f t="shared" si="658"/>
        <v>0</v>
      </c>
      <c r="X2840" s="58">
        <f t="shared" si="659"/>
        <v>0</v>
      </c>
      <c r="Y2840" s="52">
        <f t="shared" si="660"/>
        <v>0</v>
      </c>
    </row>
    <row r="2841" spans="1:25" x14ac:dyDescent="0.25">
      <c r="A2841" s="1218" t="s">
        <v>103</v>
      </c>
      <c r="B2841" s="98">
        <v>45962</v>
      </c>
      <c r="C2841" s="117" t="str">
        <f t="shared" ref="C2841:C2905" si="663">LEFT(A2841,2)</f>
        <v>4L</v>
      </c>
      <c r="F2841" s="99">
        <f t="shared" si="662"/>
        <v>0</v>
      </c>
      <c r="I2841" s="99">
        <f t="shared" si="661"/>
        <v>0</v>
      </c>
      <c r="L2841" s="99">
        <f t="shared" si="649"/>
        <v>0</v>
      </c>
      <c r="M2841" s="44" t="str">
        <f t="shared" si="651"/>
        <v/>
      </c>
      <c r="N2841" s="100">
        <f t="shared" si="652"/>
        <v>0</v>
      </c>
      <c r="O2841" s="101">
        <f t="shared" si="653"/>
        <v>0</v>
      </c>
      <c r="P2841" s="52">
        <f t="shared" si="654"/>
        <v>0</v>
      </c>
      <c r="Q2841" s="49">
        <v>116.88487613461319</v>
      </c>
      <c r="R2841">
        <v>2225</v>
      </c>
      <c r="S2841" s="50">
        <f t="shared" si="650"/>
        <v>71535.307499999995</v>
      </c>
      <c r="T2841" s="50">
        <f t="shared" si="655"/>
        <v>0</v>
      </c>
      <c r="U2841" s="58">
        <f t="shared" si="656"/>
        <v>0</v>
      </c>
      <c r="V2841" s="58">
        <f t="shared" si="657"/>
        <v>0</v>
      </c>
      <c r="W2841" s="58">
        <f t="shared" si="658"/>
        <v>0</v>
      </c>
      <c r="X2841" s="58">
        <f t="shared" si="659"/>
        <v>0</v>
      </c>
      <c r="Y2841" s="52">
        <f t="shared" si="660"/>
        <v>0</v>
      </c>
    </row>
    <row r="2842" spans="1:25" x14ac:dyDescent="0.25">
      <c r="A2842" s="1218" t="s">
        <v>104</v>
      </c>
      <c r="B2842" s="98">
        <v>45962</v>
      </c>
      <c r="C2842" s="117" t="str">
        <f t="shared" si="663"/>
        <v>4L</v>
      </c>
      <c r="F2842" s="99">
        <f t="shared" si="662"/>
        <v>0</v>
      </c>
      <c r="I2842" s="99">
        <f t="shared" si="661"/>
        <v>0</v>
      </c>
      <c r="L2842" s="99">
        <f t="shared" si="649"/>
        <v>0</v>
      </c>
      <c r="M2842" s="44" t="str">
        <f t="shared" si="651"/>
        <v/>
      </c>
      <c r="N2842" s="100">
        <f t="shared" si="652"/>
        <v>0</v>
      </c>
      <c r="O2842" s="101">
        <f t="shared" si="653"/>
        <v>0</v>
      </c>
      <c r="P2842" s="52">
        <f t="shared" si="654"/>
        <v>0</v>
      </c>
      <c r="Q2842" s="49">
        <v>116.88487613461319</v>
      </c>
      <c r="R2842">
        <v>2225</v>
      </c>
      <c r="S2842" s="50">
        <f t="shared" si="650"/>
        <v>71535.307499999995</v>
      </c>
      <c r="T2842" s="50">
        <f t="shared" si="655"/>
        <v>0</v>
      </c>
      <c r="U2842" s="58">
        <f t="shared" si="656"/>
        <v>0</v>
      </c>
      <c r="V2842" s="58">
        <f t="shared" si="657"/>
        <v>0</v>
      </c>
      <c r="W2842" s="58">
        <f t="shared" si="658"/>
        <v>0</v>
      </c>
      <c r="X2842" s="58">
        <f t="shared" si="659"/>
        <v>0</v>
      </c>
      <c r="Y2842" s="52">
        <f t="shared" si="660"/>
        <v>0</v>
      </c>
    </row>
    <row r="2843" spans="1:25" x14ac:dyDescent="0.25">
      <c r="A2843" s="1218" t="s">
        <v>105</v>
      </c>
      <c r="B2843" s="98">
        <v>45962</v>
      </c>
      <c r="C2843" s="117" t="str">
        <f t="shared" si="663"/>
        <v>4L</v>
      </c>
      <c r="F2843" s="99">
        <f t="shared" si="662"/>
        <v>0</v>
      </c>
      <c r="I2843" s="99">
        <f t="shared" si="661"/>
        <v>0</v>
      </c>
      <c r="L2843" s="99">
        <f t="shared" si="649"/>
        <v>0</v>
      </c>
      <c r="M2843" s="44" t="str">
        <f t="shared" si="651"/>
        <v/>
      </c>
      <c r="N2843" s="100">
        <f t="shared" si="652"/>
        <v>0</v>
      </c>
      <c r="O2843" s="101">
        <f t="shared" si="653"/>
        <v>0</v>
      </c>
      <c r="P2843" s="52">
        <f t="shared" si="654"/>
        <v>0</v>
      </c>
      <c r="Q2843" s="49">
        <v>116.88487613461319</v>
      </c>
      <c r="R2843">
        <v>2225</v>
      </c>
      <c r="S2843" s="50">
        <f t="shared" si="650"/>
        <v>71535.307499999995</v>
      </c>
      <c r="T2843" s="50">
        <f t="shared" si="655"/>
        <v>0</v>
      </c>
      <c r="U2843" s="58">
        <f t="shared" si="656"/>
        <v>0</v>
      </c>
      <c r="V2843" s="58">
        <f t="shared" si="657"/>
        <v>0</v>
      </c>
      <c r="W2843" s="58">
        <f t="shared" si="658"/>
        <v>0</v>
      </c>
      <c r="X2843" s="58">
        <f t="shared" si="659"/>
        <v>0</v>
      </c>
      <c r="Y2843" s="52">
        <f t="shared" si="660"/>
        <v>0</v>
      </c>
    </row>
    <row r="2844" spans="1:25" x14ac:dyDescent="0.25">
      <c r="A2844" s="1218" t="s">
        <v>106</v>
      </c>
      <c r="B2844" s="98">
        <v>45962</v>
      </c>
      <c r="C2844" s="117" t="str">
        <f t="shared" si="663"/>
        <v>4L</v>
      </c>
      <c r="F2844" s="99">
        <f t="shared" si="662"/>
        <v>0</v>
      </c>
      <c r="I2844" s="99">
        <f t="shared" si="661"/>
        <v>0</v>
      </c>
      <c r="L2844" s="99">
        <f t="shared" si="649"/>
        <v>0</v>
      </c>
      <c r="M2844" s="44" t="str">
        <f t="shared" si="651"/>
        <v/>
      </c>
      <c r="N2844" s="100">
        <f t="shared" si="652"/>
        <v>0</v>
      </c>
      <c r="O2844" s="101">
        <f t="shared" si="653"/>
        <v>0</v>
      </c>
      <c r="P2844" s="52">
        <f t="shared" si="654"/>
        <v>0</v>
      </c>
      <c r="Q2844" s="49">
        <v>116.88487613461319</v>
      </c>
      <c r="R2844">
        <v>2225</v>
      </c>
      <c r="S2844" s="50">
        <f t="shared" si="650"/>
        <v>71535.307499999995</v>
      </c>
      <c r="T2844" s="50">
        <f t="shared" si="655"/>
        <v>0</v>
      </c>
      <c r="U2844" s="58">
        <f t="shared" si="656"/>
        <v>0</v>
      </c>
      <c r="V2844" s="58">
        <f t="shared" si="657"/>
        <v>0</v>
      </c>
      <c r="W2844" s="58">
        <f t="shared" si="658"/>
        <v>0</v>
      </c>
      <c r="X2844" s="58">
        <f t="shared" si="659"/>
        <v>0</v>
      </c>
      <c r="Y2844" s="52">
        <f t="shared" si="660"/>
        <v>0</v>
      </c>
    </row>
    <row r="2845" spans="1:25" x14ac:dyDescent="0.25">
      <c r="A2845" s="1218" t="s">
        <v>107</v>
      </c>
      <c r="B2845" s="98">
        <v>45962</v>
      </c>
      <c r="C2845" s="117" t="str">
        <f t="shared" si="663"/>
        <v>4L</v>
      </c>
      <c r="F2845" s="99">
        <f t="shared" si="662"/>
        <v>0</v>
      </c>
      <c r="I2845" s="99">
        <f t="shared" si="661"/>
        <v>0</v>
      </c>
      <c r="L2845" s="99">
        <f t="shared" si="649"/>
        <v>0</v>
      </c>
      <c r="M2845" s="44" t="str">
        <f t="shared" si="651"/>
        <v/>
      </c>
      <c r="N2845" s="100">
        <f t="shared" si="652"/>
        <v>0</v>
      </c>
      <c r="O2845" s="101">
        <f t="shared" si="653"/>
        <v>0</v>
      </c>
      <c r="P2845" s="52">
        <f t="shared" si="654"/>
        <v>0</v>
      </c>
      <c r="Q2845" s="49">
        <v>116.88487613461319</v>
      </c>
      <c r="R2845">
        <v>2225</v>
      </c>
      <c r="S2845" s="50">
        <f t="shared" si="650"/>
        <v>71535.307499999995</v>
      </c>
      <c r="T2845" s="50">
        <f t="shared" si="655"/>
        <v>0</v>
      </c>
      <c r="U2845" s="58">
        <f t="shared" si="656"/>
        <v>0</v>
      </c>
      <c r="V2845" s="58">
        <f t="shared" si="657"/>
        <v>0</v>
      </c>
      <c r="W2845" s="58">
        <f t="shared" si="658"/>
        <v>0</v>
      </c>
      <c r="X2845" s="58">
        <f t="shared" si="659"/>
        <v>0</v>
      </c>
      <c r="Y2845" s="52">
        <f t="shared" si="660"/>
        <v>0</v>
      </c>
    </row>
    <row r="2846" spans="1:25" x14ac:dyDescent="0.25">
      <c r="A2846" s="1218" t="s">
        <v>108</v>
      </c>
      <c r="B2846" s="98">
        <v>45962</v>
      </c>
      <c r="C2846" s="117" t="str">
        <f t="shared" si="663"/>
        <v>4L</v>
      </c>
      <c r="F2846" s="99">
        <f t="shared" si="662"/>
        <v>0</v>
      </c>
      <c r="I2846" s="99">
        <f t="shared" si="661"/>
        <v>0</v>
      </c>
      <c r="L2846" s="99">
        <f t="shared" si="649"/>
        <v>0</v>
      </c>
      <c r="M2846" s="44" t="str">
        <f t="shared" si="651"/>
        <v/>
      </c>
      <c r="N2846" s="100">
        <f t="shared" si="652"/>
        <v>0</v>
      </c>
      <c r="O2846" s="101">
        <f t="shared" si="653"/>
        <v>0</v>
      </c>
      <c r="P2846" s="52">
        <f t="shared" si="654"/>
        <v>0</v>
      </c>
      <c r="Q2846" s="49">
        <v>116.88487613461319</v>
      </c>
      <c r="R2846">
        <v>2225</v>
      </c>
      <c r="S2846" s="50">
        <f t="shared" si="650"/>
        <v>71535.307499999995</v>
      </c>
      <c r="T2846" s="50">
        <f t="shared" si="655"/>
        <v>0</v>
      </c>
      <c r="U2846" s="58">
        <f t="shared" si="656"/>
        <v>0</v>
      </c>
      <c r="V2846" s="58">
        <f t="shared" si="657"/>
        <v>0</v>
      </c>
      <c r="W2846" s="58">
        <f t="shared" si="658"/>
        <v>0</v>
      </c>
      <c r="X2846" s="58">
        <f t="shared" si="659"/>
        <v>0</v>
      </c>
      <c r="Y2846" s="52">
        <f t="shared" si="660"/>
        <v>0</v>
      </c>
    </row>
    <row r="2847" spans="1:25" x14ac:dyDescent="0.25">
      <c r="A2847" s="1218" t="s">
        <v>109</v>
      </c>
      <c r="B2847" s="98">
        <v>45962</v>
      </c>
      <c r="C2847" s="117" t="str">
        <f t="shared" si="663"/>
        <v>4L</v>
      </c>
      <c r="F2847" s="99">
        <f t="shared" si="662"/>
        <v>0</v>
      </c>
      <c r="I2847" s="99">
        <f t="shared" si="661"/>
        <v>0</v>
      </c>
      <c r="L2847" s="99">
        <f t="shared" si="649"/>
        <v>0</v>
      </c>
      <c r="M2847" s="44" t="str">
        <f t="shared" si="651"/>
        <v/>
      </c>
      <c r="N2847" s="100">
        <f t="shared" si="652"/>
        <v>0</v>
      </c>
      <c r="O2847" s="101">
        <f t="shared" si="653"/>
        <v>0</v>
      </c>
      <c r="P2847" s="52">
        <f t="shared" si="654"/>
        <v>0</v>
      </c>
      <c r="Q2847" s="49">
        <v>116.88487613461319</v>
      </c>
      <c r="R2847">
        <v>2225</v>
      </c>
      <c r="S2847" s="50">
        <f t="shared" si="650"/>
        <v>71535.307499999995</v>
      </c>
      <c r="T2847" s="50">
        <f t="shared" si="655"/>
        <v>0</v>
      </c>
      <c r="U2847" s="58">
        <f t="shared" si="656"/>
        <v>0</v>
      </c>
      <c r="V2847" s="58">
        <f t="shared" si="657"/>
        <v>0</v>
      </c>
      <c r="W2847" s="58">
        <f t="shared" si="658"/>
        <v>0</v>
      </c>
      <c r="X2847" s="58">
        <f t="shared" si="659"/>
        <v>0</v>
      </c>
      <c r="Y2847" s="52">
        <f t="shared" si="660"/>
        <v>0</v>
      </c>
    </row>
    <row r="2848" spans="1:25" x14ac:dyDescent="0.25">
      <c r="A2848" s="1218" t="s">
        <v>110</v>
      </c>
      <c r="B2848" s="98">
        <v>45962</v>
      </c>
      <c r="C2848" s="117" t="str">
        <f t="shared" si="663"/>
        <v>4L</v>
      </c>
      <c r="F2848" s="99">
        <f t="shared" si="662"/>
        <v>0</v>
      </c>
      <c r="I2848" s="99">
        <f t="shared" si="661"/>
        <v>0</v>
      </c>
      <c r="L2848" s="99">
        <f t="shared" si="649"/>
        <v>0</v>
      </c>
      <c r="M2848" s="44" t="str">
        <f t="shared" si="651"/>
        <v/>
      </c>
      <c r="N2848" s="100">
        <f t="shared" si="652"/>
        <v>0</v>
      </c>
      <c r="O2848" s="101">
        <f t="shared" si="653"/>
        <v>0</v>
      </c>
      <c r="P2848" s="52">
        <f t="shared" si="654"/>
        <v>0</v>
      </c>
      <c r="Q2848" s="49">
        <v>116.88487613461319</v>
      </c>
      <c r="R2848">
        <v>2225</v>
      </c>
      <c r="S2848" s="50">
        <f t="shared" si="650"/>
        <v>71535.307499999995</v>
      </c>
      <c r="T2848" s="50">
        <f t="shared" si="655"/>
        <v>0</v>
      </c>
      <c r="U2848" s="58">
        <f t="shared" si="656"/>
        <v>0</v>
      </c>
      <c r="V2848" s="58">
        <f t="shared" si="657"/>
        <v>0</v>
      </c>
      <c r="W2848" s="58">
        <f t="shared" si="658"/>
        <v>0</v>
      </c>
      <c r="X2848" s="58">
        <f t="shared" si="659"/>
        <v>0</v>
      </c>
      <c r="Y2848" s="52">
        <f t="shared" si="660"/>
        <v>0</v>
      </c>
    </row>
    <row r="2849" spans="1:25" x14ac:dyDescent="0.25">
      <c r="A2849" s="1218" t="s">
        <v>111</v>
      </c>
      <c r="B2849" s="98">
        <v>45962</v>
      </c>
      <c r="C2849" s="117" t="str">
        <f t="shared" si="663"/>
        <v>4L</v>
      </c>
      <c r="F2849" s="99">
        <f t="shared" si="662"/>
        <v>0</v>
      </c>
      <c r="I2849" s="99">
        <f t="shared" si="661"/>
        <v>0</v>
      </c>
      <c r="L2849" s="99">
        <f t="shared" si="649"/>
        <v>0</v>
      </c>
      <c r="M2849" s="44" t="str">
        <f t="shared" si="651"/>
        <v/>
      </c>
      <c r="N2849" s="100">
        <f t="shared" si="652"/>
        <v>0</v>
      </c>
      <c r="O2849" s="101">
        <f t="shared" si="653"/>
        <v>0</v>
      </c>
      <c r="P2849" s="52">
        <f t="shared" si="654"/>
        <v>0</v>
      </c>
      <c r="Q2849" s="49">
        <v>116.88487613461319</v>
      </c>
      <c r="R2849">
        <v>2225</v>
      </c>
      <c r="S2849" s="50">
        <f t="shared" si="650"/>
        <v>71535.307499999995</v>
      </c>
      <c r="T2849" s="50">
        <f t="shared" si="655"/>
        <v>0</v>
      </c>
      <c r="U2849" s="58">
        <f t="shared" si="656"/>
        <v>0</v>
      </c>
      <c r="V2849" s="58">
        <f t="shared" si="657"/>
        <v>0</v>
      </c>
      <c r="W2849" s="58">
        <f t="shared" si="658"/>
        <v>0</v>
      </c>
      <c r="X2849" s="58">
        <f t="shared" si="659"/>
        <v>0</v>
      </c>
      <c r="Y2849" s="52">
        <f t="shared" si="660"/>
        <v>0</v>
      </c>
    </row>
    <row r="2850" spans="1:25" x14ac:dyDescent="0.25">
      <c r="A2850" s="1218" t="s">
        <v>112</v>
      </c>
      <c r="B2850" s="98">
        <v>45962</v>
      </c>
      <c r="C2850" s="117" t="str">
        <f t="shared" si="663"/>
        <v>4L</v>
      </c>
      <c r="F2850" s="99">
        <f t="shared" si="662"/>
        <v>0</v>
      </c>
      <c r="I2850" s="99">
        <f t="shared" si="661"/>
        <v>0</v>
      </c>
      <c r="L2850" s="99">
        <f t="shared" si="649"/>
        <v>0</v>
      </c>
      <c r="M2850" s="44" t="str">
        <f t="shared" si="651"/>
        <v/>
      </c>
      <c r="N2850" s="100">
        <f t="shared" si="652"/>
        <v>0</v>
      </c>
      <c r="O2850" s="101">
        <f t="shared" si="653"/>
        <v>0</v>
      </c>
      <c r="P2850" s="52">
        <f t="shared" si="654"/>
        <v>0</v>
      </c>
      <c r="Q2850" s="49">
        <v>116.88487613461319</v>
      </c>
      <c r="R2850">
        <v>2225</v>
      </c>
      <c r="S2850" s="50">
        <f t="shared" si="650"/>
        <v>71535.307499999995</v>
      </c>
      <c r="T2850" s="50">
        <f t="shared" si="655"/>
        <v>0</v>
      </c>
      <c r="U2850" s="58">
        <f t="shared" si="656"/>
        <v>0</v>
      </c>
      <c r="V2850" s="58">
        <f t="shared" si="657"/>
        <v>0</v>
      </c>
      <c r="W2850" s="58">
        <f t="shared" si="658"/>
        <v>0</v>
      </c>
      <c r="X2850" s="58">
        <f t="shared" si="659"/>
        <v>0</v>
      </c>
      <c r="Y2850" s="52">
        <f t="shared" si="660"/>
        <v>0</v>
      </c>
    </row>
    <row r="2851" spans="1:25" x14ac:dyDescent="0.25">
      <c r="A2851" s="1218" t="s">
        <v>113</v>
      </c>
      <c r="B2851" s="98">
        <v>45962</v>
      </c>
      <c r="C2851" s="117" t="str">
        <f t="shared" si="663"/>
        <v>4L</v>
      </c>
      <c r="F2851" s="99">
        <f t="shared" si="662"/>
        <v>0</v>
      </c>
      <c r="I2851" s="99">
        <f t="shared" si="661"/>
        <v>0</v>
      </c>
      <c r="L2851" s="99">
        <f t="shared" si="649"/>
        <v>0</v>
      </c>
      <c r="M2851" s="44" t="str">
        <f t="shared" si="651"/>
        <v/>
      </c>
      <c r="N2851" s="100">
        <f t="shared" si="652"/>
        <v>0</v>
      </c>
      <c r="O2851" s="101">
        <f t="shared" si="653"/>
        <v>0</v>
      </c>
      <c r="P2851" s="52">
        <f t="shared" si="654"/>
        <v>0</v>
      </c>
      <c r="Q2851" s="49">
        <v>116.88487613461319</v>
      </c>
      <c r="R2851">
        <v>2225</v>
      </c>
      <c r="S2851" s="50">
        <f t="shared" si="650"/>
        <v>71535.307499999995</v>
      </c>
      <c r="T2851" s="50">
        <f t="shared" si="655"/>
        <v>0</v>
      </c>
      <c r="U2851" s="58">
        <f t="shared" si="656"/>
        <v>0</v>
      </c>
      <c r="V2851" s="58">
        <f t="shared" si="657"/>
        <v>0</v>
      </c>
      <c r="W2851" s="58">
        <f t="shared" si="658"/>
        <v>0</v>
      </c>
      <c r="X2851" s="58">
        <f t="shared" si="659"/>
        <v>0</v>
      </c>
      <c r="Y2851" s="52">
        <f t="shared" si="660"/>
        <v>0</v>
      </c>
    </row>
    <row r="2852" spans="1:25" x14ac:dyDescent="0.25">
      <c r="A2852" s="1218" t="s">
        <v>114</v>
      </c>
      <c r="B2852" s="98">
        <v>45962</v>
      </c>
      <c r="C2852" s="117" t="str">
        <f t="shared" si="663"/>
        <v>4L</v>
      </c>
      <c r="F2852" s="99">
        <f t="shared" si="662"/>
        <v>0</v>
      </c>
      <c r="I2852" s="99">
        <f t="shared" si="661"/>
        <v>0</v>
      </c>
      <c r="L2852" s="99">
        <f t="shared" si="649"/>
        <v>0</v>
      </c>
      <c r="M2852" s="44" t="str">
        <f t="shared" si="651"/>
        <v/>
      </c>
      <c r="N2852" s="100">
        <f t="shared" si="652"/>
        <v>0</v>
      </c>
      <c r="O2852" s="101">
        <f t="shared" si="653"/>
        <v>0</v>
      </c>
      <c r="P2852" s="52">
        <f t="shared" si="654"/>
        <v>0</v>
      </c>
      <c r="Q2852" s="49">
        <v>116.88487613461319</v>
      </c>
      <c r="R2852">
        <v>2225</v>
      </c>
      <c r="S2852" s="50">
        <f t="shared" si="650"/>
        <v>71535.307499999995</v>
      </c>
      <c r="T2852" s="50">
        <f t="shared" si="655"/>
        <v>0</v>
      </c>
      <c r="U2852" s="58">
        <f t="shared" si="656"/>
        <v>0</v>
      </c>
      <c r="V2852" s="58">
        <f t="shared" si="657"/>
        <v>0</v>
      </c>
      <c r="W2852" s="58">
        <f t="shared" si="658"/>
        <v>0</v>
      </c>
      <c r="X2852" s="58">
        <f t="shared" si="659"/>
        <v>0</v>
      </c>
      <c r="Y2852" s="52">
        <f t="shared" si="660"/>
        <v>0</v>
      </c>
    </row>
    <row r="2853" spans="1:25" x14ac:dyDescent="0.25">
      <c r="A2853" s="1218" t="s">
        <v>115</v>
      </c>
      <c r="B2853" s="98">
        <v>45962</v>
      </c>
      <c r="C2853" s="117" t="str">
        <f t="shared" si="663"/>
        <v>4L</v>
      </c>
      <c r="F2853" s="99">
        <f t="shared" si="662"/>
        <v>0</v>
      </c>
      <c r="I2853" s="99">
        <f t="shared" si="661"/>
        <v>0</v>
      </c>
      <c r="L2853" s="99">
        <f t="shared" si="649"/>
        <v>0</v>
      </c>
      <c r="M2853" s="44" t="str">
        <f t="shared" si="651"/>
        <v/>
      </c>
      <c r="N2853" s="100">
        <f t="shared" si="652"/>
        <v>0</v>
      </c>
      <c r="O2853" s="101">
        <f t="shared" si="653"/>
        <v>0</v>
      </c>
      <c r="P2853" s="52">
        <f t="shared" si="654"/>
        <v>0</v>
      </c>
      <c r="Q2853" s="49">
        <v>116.88487613461319</v>
      </c>
      <c r="R2853">
        <v>2225</v>
      </c>
      <c r="S2853" s="50">
        <f t="shared" si="650"/>
        <v>71535.307499999995</v>
      </c>
      <c r="T2853" s="50">
        <f t="shared" si="655"/>
        <v>0</v>
      </c>
      <c r="U2853" s="58">
        <f t="shared" si="656"/>
        <v>0</v>
      </c>
      <c r="V2853" s="58">
        <f t="shared" si="657"/>
        <v>0</v>
      </c>
      <c r="W2853" s="58">
        <f t="shared" si="658"/>
        <v>0</v>
      </c>
      <c r="X2853" s="58">
        <f t="shared" si="659"/>
        <v>0</v>
      </c>
      <c r="Y2853" s="52">
        <f t="shared" si="660"/>
        <v>0</v>
      </c>
    </row>
    <row r="2854" spans="1:25" x14ac:dyDescent="0.25">
      <c r="A2854" s="1218" t="s">
        <v>116</v>
      </c>
      <c r="B2854" s="98">
        <v>45962</v>
      </c>
      <c r="C2854" s="117" t="str">
        <f t="shared" si="663"/>
        <v>4L</v>
      </c>
      <c r="F2854" s="99">
        <f t="shared" si="662"/>
        <v>0</v>
      </c>
      <c r="I2854" s="99">
        <f t="shared" si="661"/>
        <v>0</v>
      </c>
      <c r="L2854" s="99">
        <f t="shared" si="649"/>
        <v>0</v>
      </c>
      <c r="M2854" s="44" t="str">
        <f t="shared" si="651"/>
        <v/>
      </c>
      <c r="N2854" s="100">
        <f t="shared" si="652"/>
        <v>0</v>
      </c>
      <c r="O2854" s="101">
        <f t="shared" si="653"/>
        <v>0</v>
      </c>
      <c r="P2854" s="52">
        <f t="shared" si="654"/>
        <v>0</v>
      </c>
      <c r="Q2854" s="49">
        <v>116.88487613461319</v>
      </c>
      <c r="R2854">
        <v>2225</v>
      </c>
      <c r="S2854" s="50">
        <f t="shared" si="650"/>
        <v>71535.307499999995</v>
      </c>
      <c r="T2854" s="50">
        <f t="shared" si="655"/>
        <v>0</v>
      </c>
      <c r="U2854" s="58">
        <f t="shared" si="656"/>
        <v>0</v>
      </c>
      <c r="V2854" s="58">
        <f t="shared" si="657"/>
        <v>0</v>
      </c>
      <c r="W2854" s="58">
        <f t="shared" si="658"/>
        <v>0</v>
      </c>
      <c r="X2854" s="58">
        <f t="shared" si="659"/>
        <v>0</v>
      </c>
      <c r="Y2854" s="52">
        <f t="shared" si="660"/>
        <v>0</v>
      </c>
    </row>
    <row r="2855" spans="1:25" x14ac:dyDescent="0.25">
      <c r="A2855" s="1218" t="s">
        <v>117</v>
      </c>
      <c r="B2855" s="98">
        <v>45962</v>
      </c>
      <c r="C2855" s="117" t="str">
        <f t="shared" si="663"/>
        <v>4L</v>
      </c>
      <c r="F2855" s="99">
        <f t="shared" si="662"/>
        <v>0</v>
      </c>
      <c r="I2855" s="99">
        <f t="shared" si="661"/>
        <v>0</v>
      </c>
      <c r="L2855" s="99">
        <f t="shared" si="649"/>
        <v>0</v>
      </c>
      <c r="M2855" s="44" t="str">
        <f t="shared" si="651"/>
        <v/>
      </c>
      <c r="N2855" s="100">
        <f t="shared" si="652"/>
        <v>0</v>
      </c>
      <c r="O2855" s="101">
        <f t="shared" si="653"/>
        <v>0</v>
      </c>
      <c r="P2855" s="52">
        <f t="shared" si="654"/>
        <v>0</v>
      </c>
      <c r="Q2855" s="49">
        <v>116.88487613461319</v>
      </c>
      <c r="R2855">
        <v>2225</v>
      </c>
      <c r="S2855" s="50">
        <f t="shared" si="650"/>
        <v>71535.307499999995</v>
      </c>
      <c r="T2855" s="50">
        <f t="shared" si="655"/>
        <v>0</v>
      </c>
      <c r="U2855" s="58">
        <f t="shared" si="656"/>
        <v>0</v>
      </c>
      <c r="V2855" s="58">
        <f t="shared" si="657"/>
        <v>0</v>
      </c>
      <c r="W2855" s="58">
        <f t="shared" si="658"/>
        <v>0</v>
      </c>
      <c r="X2855" s="58">
        <f t="shared" si="659"/>
        <v>0</v>
      </c>
      <c r="Y2855" s="52">
        <f t="shared" si="660"/>
        <v>0</v>
      </c>
    </row>
    <row r="2856" spans="1:25" x14ac:dyDescent="0.25">
      <c r="A2856" s="1218" t="s">
        <v>118</v>
      </c>
      <c r="B2856" s="98">
        <v>45962</v>
      </c>
      <c r="C2856" s="117" t="str">
        <f t="shared" si="663"/>
        <v>4L</v>
      </c>
      <c r="F2856" s="99">
        <f t="shared" si="662"/>
        <v>0</v>
      </c>
      <c r="I2856" s="99">
        <f t="shared" si="661"/>
        <v>0</v>
      </c>
      <c r="L2856" s="99">
        <f t="shared" si="649"/>
        <v>0</v>
      </c>
      <c r="M2856" s="44" t="str">
        <f t="shared" si="651"/>
        <v/>
      </c>
      <c r="N2856" s="100">
        <f t="shared" si="652"/>
        <v>0</v>
      </c>
      <c r="O2856" s="101">
        <f t="shared" si="653"/>
        <v>0</v>
      </c>
      <c r="P2856" s="52">
        <f t="shared" si="654"/>
        <v>0</v>
      </c>
      <c r="Q2856" s="49">
        <v>116.88487613461319</v>
      </c>
      <c r="R2856">
        <v>2225</v>
      </c>
      <c r="S2856" s="50">
        <f t="shared" si="650"/>
        <v>71535.307499999995</v>
      </c>
      <c r="T2856" s="50">
        <f t="shared" si="655"/>
        <v>0</v>
      </c>
      <c r="U2856" s="58">
        <f t="shared" si="656"/>
        <v>0</v>
      </c>
      <c r="V2856" s="58">
        <f t="shared" si="657"/>
        <v>0</v>
      </c>
      <c r="W2856" s="58">
        <f t="shared" si="658"/>
        <v>0</v>
      </c>
      <c r="X2856" s="58">
        <f t="shared" si="659"/>
        <v>0</v>
      </c>
      <c r="Y2856" s="52">
        <f t="shared" si="660"/>
        <v>0</v>
      </c>
    </row>
    <row r="2857" spans="1:25" x14ac:dyDescent="0.25">
      <c r="A2857" s="1218" t="s">
        <v>119</v>
      </c>
      <c r="B2857" s="98">
        <v>45962</v>
      </c>
      <c r="C2857" s="117" t="str">
        <f t="shared" si="663"/>
        <v>4L</v>
      </c>
      <c r="F2857" s="99">
        <f t="shared" si="662"/>
        <v>0</v>
      </c>
      <c r="I2857" s="99">
        <f t="shared" si="661"/>
        <v>0</v>
      </c>
      <c r="L2857" s="99">
        <f t="shared" si="649"/>
        <v>0</v>
      </c>
      <c r="M2857" s="44" t="str">
        <f t="shared" si="651"/>
        <v/>
      </c>
      <c r="N2857" s="100">
        <f t="shared" si="652"/>
        <v>0</v>
      </c>
      <c r="O2857" s="101">
        <f t="shared" si="653"/>
        <v>0</v>
      </c>
      <c r="P2857" s="52">
        <f t="shared" si="654"/>
        <v>0</v>
      </c>
      <c r="Q2857" s="49">
        <v>116.88487613461319</v>
      </c>
      <c r="R2857">
        <v>2225</v>
      </c>
      <c r="S2857" s="50">
        <f t="shared" si="650"/>
        <v>71535.307499999995</v>
      </c>
      <c r="T2857" s="50">
        <f t="shared" si="655"/>
        <v>0</v>
      </c>
      <c r="U2857" s="58">
        <f t="shared" si="656"/>
        <v>0</v>
      </c>
      <c r="V2857" s="58">
        <f t="shared" si="657"/>
        <v>0</v>
      </c>
      <c r="W2857" s="58">
        <f t="shared" si="658"/>
        <v>0</v>
      </c>
      <c r="X2857" s="58">
        <f t="shared" si="659"/>
        <v>0</v>
      </c>
      <c r="Y2857" s="52">
        <f t="shared" si="660"/>
        <v>0</v>
      </c>
    </row>
    <row r="2858" spans="1:25" x14ac:dyDescent="0.25">
      <c r="A2858" s="1218" t="s">
        <v>120</v>
      </c>
      <c r="B2858" s="98">
        <v>45962</v>
      </c>
      <c r="C2858" s="117" t="str">
        <f t="shared" si="663"/>
        <v>4L</v>
      </c>
      <c r="F2858" s="99">
        <f t="shared" si="662"/>
        <v>0</v>
      </c>
      <c r="I2858" s="99">
        <f t="shared" si="661"/>
        <v>0</v>
      </c>
      <c r="L2858" s="99">
        <f t="shared" si="649"/>
        <v>0</v>
      </c>
      <c r="M2858" s="44" t="str">
        <f t="shared" si="651"/>
        <v/>
      </c>
      <c r="N2858" s="100">
        <f t="shared" si="652"/>
        <v>0</v>
      </c>
      <c r="O2858" s="101">
        <f t="shared" si="653"/>
        <v>0</v>
      </c>
      <c r="P2858" s="52">
        <f t="shared" si="654"/>
        <v>0</v>
      </c>
      <c r="Q2858" s="49">
        <v>116.88487613461319</v>
      </c>
      <c r="R2858">
        <v>2225</v>
      </c>
      <c r="S2858" s="50">
        <f t="shared" si="650"/>
        <v>71535.307499999995</v>
      </c>
      <c r="T2858" s="50">
        <f t="shared" si="655"/>
        <v>0</v>
      </c>
      <c r="U2858" s="58">
        <f t="shared" si="656"/>
        <v>0</v>
      </c>
      <c r="V2858" s="58">
        <f t="shared" si="657"/>
        <v>0</v>
      </c>
      <c r="W2858" s="58">
        <f t="shared" si="658"/>
        <v>0</v>
      </c>
      <c r="X2858" s="58">
        <f t="shared" si="659"/>
        <v>0</v>
      </c>
      <c r="Y2858" s="52">
        <f t="shared" si="660"/>
        <v>0</v>
      </c>
    </row>
    <row r="2859" spans="1:25" x14ac:dyDescent="0.25">
      <c r="A2859" s="1218" t="s">
        <v>121</v>
      </c>
      <c r="B2859" s="98">
        <v>45962</v>
      </c>
      <c r="C2859" s="117" t="str">
        <f t="shared" si="663"/>
        <v>4L</v>
      </c>
      <c r="F2859" s="99">
        <f t="shared" si="662"/>
        <v>0</v>
      </c>
      <c r="I2859" s="99">
        <f t="shared" si="661"/>
        <v>0</v>
      </c>
      <c r="L2859" s="99">
        <f t="shared" si="649"/>
        <v>0</v>
      </c>
      <c r="M2859" s="44" t="str">
        <f t="shared" si="651"/>
        <v/>
      </c>
      <c r="N2859" s="100">
        <f t="shared" si="652"/>
        <v>0</v>
      </c>
      <c r="O2859" s="101">
        <f t="shared" si="653"/>
        <v>0</v>
      </c>
      <c r="P2859" s="52">
        <f t="shared" si="654"/>
        <v>0</v>
      </c>
      <c r="Q2859" s="49">
        <v>116.88487613461319</v>
      </c>
      <c r="R2859">
        <v>2225</v>
      </c>
      <c r="S2859" s="50">
        <f t="shared" si="650"/>
        <v>71535.307499999995</v>
      </c>
      <c r="T2859" s="50">
        <f t="shared" si="655"/>
        <v>0</v>
      </c>
      <c r="U2859" s="58">
        <f t="shared" si="656"/>
        <v>0</v>
      </c>
      <c r="V2859" s="58">
        <f t="shared" si="657"/>
        <v>0</v>
      </c>
      <c r="W2859" s="58">
        <f t="shared" si="658"/>
        <v>0</v>
      </c>
      <c r="X2859" s="58">
        <f t="shared" si="659"/>
        <v>0</v>
      </c>
      <c r="Y2859" s="52">
        <f t="shared" si="660"/>
        <v>0</v>
      </c>
    </row>
    <row r="2860" spans="1:25" x14ac:dyDescent="0.25">
      <c r="A2860" s="1218" t="s">
        <v>122</v>
      </c>
      <c r="B2860" s="98">
        <v>45962</v>
      </c>
      <c r="C2860" s="117" t="str">
        <f t="shared" si="663"/>
        <v>4L</v>
      </c>
      <c r="F2860" s="99">
        <f t="shared" si="662"/>
        <v>0</v>
      </c>
      <c r="I2860" s="99">
        <f t="shared" si="661"/>
        <v>0</v>
      </c>
      <c r="L2860" s="99">
        <f t="shared" si="649"/>
        <v>0</v>
      </c>
      <c r="M2860" s="44" t="str">
        <f t="shared" si="651"/>
        <v/>
      </c>
      <c r="N2860" s="100">
        <f t="shared" si="652"/>
        <v>0</v>
      </c>
      <c r="O2860" s="101">
        <f t="shared" si="653"/>
        <v>0</v>
      </c>
      <c r="P2860" s="52">
        <f t="shared" si="654"/>
        <v>0</v>
      </c>
      <c r="Q2860" s="49">
        <v>116.88487613461319</v>
      </c>
      <c r="R2860">
        <v>2225</v>
      </c>
      <c r="S2860" s="50">
        <f t="shared" si="650"/>
        <v>71535.307499999995</v>
      </c>
      <c r="T2860" s="50">
        <f t="shared" si="655"/>
        <v>0</v>
      </c>
      <c r="U2860" s="58">
        <f t="shared" si="656"/>
        <v>0</v>
      </c>
      <c r="V2860" s="58">
        <f t="shared" si="657"/>
        <v>0</v>
      </c>
      <c r="W2860" s="58">
        <f t="shared" si="658"/>
        <v>0</v>
      </c>
      <c r="X2860" s="58">
        <f t="shared" si="659"/>
        <v>0</v>
      </c>
      <c r="Y2860" s="52">
        <f t="shared" si="660"/>
        <v>0</v>
      </c>
    </row>
    <row r="2861" spans="1:25" x14ac:dyDescent="0.25">
      <c r="A2861" s="1218" t="s">
        <v>123</v>
      </c>
      <c r="B2861" s="98">
        <v>45962</v>
      </c>
      <c r="C2861" s="117" t="str">
        <f t="shared" si="663"/>
        <v>4L</v>
      </c>
      <c r="F2861" s="99">
        <f t="shared" si="662"/>
        <v>0</v>
      </c>
      <c r="I2861" s="99">
        <f t="shared" si="661"/>
        <v>0</v>
      </c>
      <c r="L2861" s="99">
        <f t="shared" si="649"/>
        <v>0</v>
      </c>
      <c r="M2861" s="44" t="str">
        <f t="shared" si="651"/>
        <v/>
      </c>
      <c r="N2861" s="100">
        <f t="shared" si="652"/>
        <v>0</v>
      </c>
      <c r="O2861" s="101">
        <f t="shared" si="653"/>
        <v>0</v>
      </c>
      <c r="P2861" s="52">
        <f t="shared" si="654"/>
        <v>0</v>
      </c>
      <c r="Q2861" s="49">
        <v>116.88487613461319</v>
      </c>
      <c r="R2861">
        <v>2225</v>
      </c>
      <c r="S2861" s="50">
        <f t="shared" si="650"/>
        <v>71535.307499999995</v>
      </c>
      <c r="T2861" s="50">
        <f t="shared" si="655"/>
        <v>0</v>
      </c>
      <c r="U2861" s="58">
        <f t="shared" si="656"/>
        <v>0</v>
      </c>
      <c r="V2861" s="58">
        <f t="shared" si="657"/>
        <v>0</v>
      </c>
      <c r="W2861" s="58">
        <f t="shared" si="658"/>
        <v>0</v>
      </c>
      <c r="X2861" s="58">
        <f t="shared" si="659"/>
        <v>0</v>
      </c>
      <c r="Y2861" s="52">
        <f t="shared" si="660"/>
        <v>0</v>
      </c>
    </row>
    <row r="2862" spans="1:25" x14ac:dyDescent="0.25">
      <c r="A2862" s="1218" t="s">
        <v>124</v>
      </c>
      <c r="B2862" s="98">
        <v>45962</v>
      </c>
      <c r="C2862" s="117" t="str">
        <f t="shared" si="663"/>
        <v>4L</v>
      </c>
      <c r="F2862" s="99">
        <f t="shared" si="662"/>
        <v>0</v>
      </c>
      <c r="I2862" s="99">
        <f t="shared" si="661"/>
        <v>0</v>
      </c>
      <c r="L2862" s="99">
        <f t="shared" si="649"/>
        <v>0</v>
      </c>
      <c r="M2862" s="44" t="str">
        <f t="shared" si="651"/>
        <v/>
      </c>
      <c r="N2862" s="100">
        <f t="shared" si="652"/>
        <v>0</v>
      </c>
      <c r="O2862" s="101">
        <f t="shared" si="653"/>
        <v>0</v>
      </c>
      <c r="P2862" s="52">
        <f t="shared" si="654"/>
        <v>0</v>
      </c>
      <c r="Q2862" s="49">
        <v>116.88487613461319</v>
      </c>
      <c r="R2862">
        <v>2225</v>
      </c>
      <c r="S2862" s="50">
        <f t="shared" si="650"/>
        <v>71535.307499999995</v>
      </c>
      <c r="T2862" s="50">
        <f t="shared" si="655"/>
        <v>0</v>
      </c>
      <c r="U2862" s="58">
        <f t="shared" si="656"/>
        <v>0</v>
      </c>
      <c r="V2862" s="58">
        <f t="shared" si="657"/>
        <v>0</v>
      </c>
      <c r="W2862" s="58">
        <f t="shared" si="658"/>
        <v>0</v>
      </c>
      <c r="X2862" s="58">
        <f t="shared" si="659"/>
        <v>0</v>
      </c>
      <c r="Y2862" s="52">
        <f t="shared" si="660"/>
        <v>0</v>
      </c>
    </row>
    <row r="2863" spans="1:25" x14ac:dyDescent="0.25">
      <c r="A2863" s="1218" t="s">
        <v>125</v>
      </c>
      <c r="B2863" s="98">
        <v>45962</v>
      </c>
      <c r="C2863" s="117" t="str">
        <f t="shared" si="663"/>
        <v>4L</v>
      </c>
      <c r="F2863" s="99">
        <f t="shared" si="662"/>
        <v>0</v>
      </c>
      <c r="I2863" s="99">
        <f t="shared" si="661"/>
        <v>0</v>
      </c>
      <c r="L2863" s="99">
        <f t="shared" si="649"/>
        <v>0</v>
      </c>
      <c r="M2863" s="44" t="str">
        <f t="shared" si="651"/>
        <v/>
      </c>
      <c r="N2863" s="100">
        <f t="shared" si="652"/>
        <v>0</v>
      </c>
      <c r="O2863" s="101">
        <f t="shared" si="653"/>
        <v>0</v>
      </c>
      <c r="P2863" s="52">
        <f t="shared" si="654"/>
        <v>0</v>
      </c>
      <c r="Q2863" s="49">
        <v>116.88487613461319</v>
      </c>
      <c r="R2863">
        <v>2225</v>
      </c>
      <c r="S2863" s="50">
        <f t="shared" si="650"/>
        <v>71535.307499999995</v>
      </c>
      <c r="T2863" s="50">
        <f t="shared" si="655"/>
        <v>0</v>
      </c>
      <c r="U2863" s="58">
        <f t="shared" si="656"/>
        <v>0</v>
      </c>
      <c r="V2863" s="58">
        <f t="shared" si="657"/>
        <v>0</v>
      </c>
      <c r="W2863" s="58">
        <f t="shared" si="658"/>
        <v>0</v>
      </c>
      <c r="X2863" s="58">
        <f t="shared" si="659"/>
        <v>0</v>
      </c>
      <c r="Y2863" s="52">
        <f t="shared" si="660"/>
        <v>0</v>
      </c>
    </row>
    <row r="2864" spans="1:25" x14ac:dyDescent="0.25">
      <c r="A2864" s="1218" t="s">
        <v>126</v>
      </c>
      <c r="B2864" s="98">
        <v>45962</v>
      </c>
      <c r="C2864" s="117" t="str">
        <f t="shared" ref="C2864:C2865" si="664">LEFT(A2864,2)</f>
        <v>4L</v>
      </c>
      <c r="F2864" s="99"/>
      <c r="I2864" s="99"/>
      <c r="L2864" s="99"/>
      <c r="M2864" s="44"/>
      <c r="N2864" s="100"/>
      <c r="O2864" s="101"/>
      <c r="P2864" s="52"/>
      <c r="Q2864" s="49"/>
      <c r="S2864" s="50"/>
      <c r="T2864" s="50"/>
      <c r="U2864" s="58"/>
      <c r="V2864" s="58"/>
      <c r="W2864" s="58"/>
      <c r="X2864" s="58"/>
      <c r="Y2864" s="52"/>
    </row>
    <row r="2865" spans="1:25" x14ac:dyDescent="0.25">
      <c r="A2865" s="1218" t="s">
        <v>127</v>
      </c>
      <c r="B2865" s="98">
        <v>45962</v>
      </c>
      <c r="C2865" s="117" t="str">
        <f t="shared" si="664"/>
        <v>4L</v>
      </c>
      <c r="F2865" s="99">
        <f t="shared" si="662"/>
        <v>0</v>
      </c>
      <c r="I2865" s="99">
        <f t="shared" si="661"/>
        <v>0</v>
      </c>
      <c r="L2865" s="99"/>
      <c r="M2865" s="44"/>
      <c r="N2865" s="100"/>
      <c r="O2865" s="101"/>
      <c r="P2865" s="52"/>
      <c r="Q2865" s="49"/>
      <c r="S2865" s="50"/>
      <c r="T2865" s="50"/>
      <c r="U2865" s="58"/>
      <c r="V2865" s="58"/>
      <c r="W2865" s="58"/>
      <c r="X2865" s="58"/>
      <c r="Y2865" s="52"/>
    </row>
    <row r="2866" spans="1:25" x14ac:dyDescent="0.25">
      <c r="A2866" s="1218" t="s">
        <v>128</v>
      </c>
      <c r="B2866" s="98">
        <v>45962</v>
      </c>
      <c r="C2866" s="117" t="str">
        <f t="shared" si="663"/>
        <v>4L</v>
      </c>
      <c r="F2866" s="99">
        <f t="shared" si="662"/>
        <v>0</v>
      </c>
      <c r="I2866" s="99">
        <f t="shared" si="661"/>
        <v>0</v>
      </c>
      <c r="L2866" s="99"/>
      <c r="M2866" s="44"/>
      <c r="N2866" s="100"/>
      <c r="O2866" s="101"/>
      <c r="P2866" s="52"/>
      <c r="Q2866" s="49"/>
      <c r="S2866" s="50"/>
      <c r="T2866" s="50"/>
      <c r="U2866" s="58"/>
      <c r="V2866" s="58"/>
      <c r="W2866" s="58"/>
      <c r="X2866" s="58"/>
      <c r="Y2866" s="52"/>
    </row>
    <row r="2867" spans="1:25" x14ac:dyDescent="0.25">
      <c r="A2867" s="1218" t="s">
        <v>129</v>
      </c>
      <c r="B2867" s="98">
        <v>45962</v>
      </c>
      <c r="C2867" s="117" t="str">
        <f t="shared" si="663"/>
        <v>4L</v>
      </c>
      <c r="F2867" s="99">
        <f t="shared" si="662"/>
        <v>0</v>
      </c>
      <c r="I2867" s="99">
        <f t="shared" si="661"/>
        <v>0</v>
      </c>
      <c r="L2867" s="99">
        <f t="shared" ref="L2867:L2932" si="665">IFERROR(J2867*K2867/1000,"")</f>
        <v>0</v>
      </c>
      <c r="M2867" s="44" t="str">
        <f t="shared" si="651"/>
        <v/>
      </c>
      <c r="N2867" s="100">
        <f t="shared" si="652"/>
        <v>0</v>
      </c>
      <c r="O2867" s="101">
        <f t="shared" si="653"/>
        <v>0</v>
      </c>
      <c r="P2867" s="52">
        <f t="shared" si="654"/>
        <v>0</v>
      </c>
      <c r="Q2867" s="49">
        <v>116.88487613461319</v>
      </c>
      <c r="R2867">
        <v>2225</v>
      </c>
      <c r="S2867" s="50">
        <f t="shared" ref="S2867:S2932" si="666">R2867*32.1507</f>
        <v>71535.307499999995</v>
      </c>
      <c r="T2867" s="50">
        <f t="shared" si="655"/>
        <v>0</v>
      </c>
      <c r="U2867" s="58">
        <f t="shared" si="656"/>
        <v>0</v>
      </c>
      <c r="V2867" s="58">
        <f t="shared" si="657"/>
        <v>0</v>
      </c>
      <c r="W2867" s="58">
        <f t="shared" si="658"/>
        <v>0</v>
      </c>
      <c r="X2867" s="58">
        <f t="shared" si="659"/>
        <v>0</v>
      </c>
      <c r="Y2867" s="52">
        <f t="shared" si="660"/>
        <v>0</v>
      </c>
    </row>
    <row r="2868" spans="1:25" x14ac:dyDescent="0.25">
      <c r="A2868" s="1218" t="s">
        <v>130</v>
      </c>
      <c r="B2868" s="98">
        <v>45962</v>
      </c>
      <c r="C2868" s="117" t="str">
        <f t="shared" si="663"/>
        <v>5L</v>
      </c>
      <c r="F2868" s="99">
        <f t="shared" si="662"/>
        <v>0</v>
      </c>
      <c r="I2868" s="99">
        <f t="shared" si="661"/>
        <v>0</v>
      </c>
      <c r="L2868" s="99">
        <f t="shared" si="665"/>
        <v>0</v>
      </c>
      <c r="M2868" s="44" t="str">
        <f t="shared" si="651"/>
        <v/>
      </c>
      <c r="N2868" s="100">
        <f t="shared" si="652"/>
        <v>0</v>
      </c>
      <c r="O2868" s="101">
        <f t="shared" si="653"/>
        <v>0</v>
      </c>
      <c r="P2868" s="52">
        <f t="shared" si="654"/>
        <v>0</v>
      </c>
      <c r="Q2868" s="49">
        <v>116.88487613461319</v>
      </c>
      <c r="R2868">
        <v>2225</v>
      </c>
      <c r="S2868" s="50">
        <f t="shared" si="666"/>
        <v>71535.307499999995</v>
      </c>
      <c r="T2868" s="50">
        <f t="shared" si="655"/>
        <v>0</v>
      </c>
      <c r="U2868" s="58">
        <f t="shared" si="656"/>
        <v>0</v>
      </c>
      <c r="V2868" s="58">
        <f t="shared" si="657"/>
        <v>0</v>
      </c>
      <c r="W2868" s="58">
        <f t="shared" si="658"/>
        <v>0</v>
      </c>
      <c r="X2868" s="58">
        <f t="shared" si="659"/>
        <v>0</v>
      </c>
      <c r="Y2868" s="52">
        <f t="shared" si="660"/>
        <v>0</v>
      </c>
    </row>
    <row r="2869" spans="1:25" x14ac:dyDescent="0.25">
      <c r="A2869" s="1218" t="s">
        <v>131</v>
      </c>
      <c r="B2869" s="98">
        <v>45962</v>
      </c>
      <c r="C2869" s="117" t="str">
        <f t="shared" si="663"/>
        <v>5L</v>
      </c>
      <c r="F2869" s="99">
        <f t="shared" si="662"/>
        <v>0</v>
      </c>
      <c r="I2869" s="99">
        <f t="shared" si="661"/>
        <v>0</v>
      </c>
      <c r="L2869" s="99">
        <f t="shared" si="665"/>
        <v>0</v>
      </c>
      <c r="M2869" s="44" t="str">
        <f t="shared" ref="M2869:M2934" si="667">IFERROR((L2869-I2869)/I2869,"")</f>
        <v/>
      </c>
      <c r="N2869" s="100">
        <f t="shared" ref="N2869:N2934" si="668">J2869-G2869</f>
        <v>0</v>
      </c>
      <c r="O2869" s="101">
        <f t="shared" ref="O2869:O2934" si="669">L2869-I2869</f>
        <v>0</v>
      </c>
      <c r="P2869" s="52">
        <f t="shared" ref="P2869:P2934" si="670">U2869-W2869</f>
        <v>0</v>
      </c>
      <c r="Q2869" s="49">
        <v>116.88487613461319</v>
      </c>
      <c r="R2869">
        <v>2225</v>
      </c>
      <c r="S2869" s="50">
        <f t="shared" si="666"/>
        <v>71535.307499999995</v>
      </c>
      <c r="T2869" s="50">
        <f t="shared" ref="T2869:T2934" si="671">IFERROR(S2869*I2869,"")</f>
        <v>0</v>
      </c>
      <c r="U2869" s="58">
        <f t="shared" ref="U2869:U2934" si="672">IFERROR(S2869*L2869,"")</f>
        <v>0</v>
      </c>
      <c r="V2869" s="58">
        <f t="shared" ref="V2869:V2934" si="673">IFERROR(Q2869*G2869,"")</f>
        <v>0</v>
      </c>
      <c r="W2869" s="58">
        <f t="shared" ref="W2869:W2934" si="674">IFERROR(Q2869*J2869,"")</f>
        <v>0</v>
      </c>
      <c r="X2869" s="58">
        <f t="shared" ref="X2869:X2934" si="675">T2869-V2869</f>
        <v>0</v>
      </c>
      <c r="Y2869" s="52">
        <f t="shared" ref="Y2869:Y2934" si="676">U2869-W2869</f>
        <v>0</v>
      </c>
    </row>
    <row r="2870" spans="1:25" x14ac:dyDescent="0.25">
      <c r="A2870" s="1218" t="s">
        <v>132</v>
      </c>
      <c r="B2870" s="98">
        <v>45962</v>
      </c>
      <c r="C2870" s="117" t="str">
        <f t="shared" si="663"/>
        <v>5L</v>
      </c>
      <c r="F2870" s="99">
        <f t="shared" si="662"/>
        <v>0</v>
      </c>
      <c r="I2870" s="99">
        <f t="shared" si="661"/>
        <v>0</v>
      </c>
      <c r="L2870" s="99">
        <f t="shared" si="665"/>
        <v>0</v>
      </c>
      <c r="M2870" s="44" t="str">
        <f t="shared" si="667"/>
        <v/>
      </c>
      <c r="N2870" s="100">
        <f t="shared" si="668"/>
        <v>0</v>
      </c>
      <c r="O2870" s="101">
        <f t="shared" si="669"/>
        <v>0</v>
      </c>
      <c r="P2870" s="52">
        <f t="shared" si="670"/>
        <v>0</v>
      </c>
      <c r="Q2870" s="49">
        <v>116.88487613461319</v>
      </c>
      <c r="R2870">
        <v>2225</v>
      </c>
      <c r="S2870" s="50">
        <f t="shared" si="666"/>
        <v>71535.307499999995</v>
      </c>
      <c r="T2870" s="50">
        <f t="shared" si="671"/>
        <v>0</v>
      </c>
      <c r="U2870" s="58">
        <f t="shared" si="672"/>
        <v>0</v>
      </c>
      <c r="V2870" s="58">
        <f t="shared" si="673"/>
        <v>0</v>
      </c>
      <c r="W2870" s="58">
        <f t="shared" si="674"/>
        <v>0</v>
      </c>
      <c r="X2870" s="58">
        <f t="shared" si="675"/>
        <v>0</v>
      </c>
      <c r="Y2870" s="52">
        <f t="shared" si="676"/>
        <v>0</v>
      </c>
    </row>
    <row r="2871" spans="1:25" x14ac:dyDescent="0.25">
      <c r="A2871" s="1218" t="s">
        <v>133</v>
      </c>
      <c r="B2871" s="98">
        <v>45962</v>
      </c>
      <c r="C2871" s="117" t="str">
        <f t="shared" si="663"/>
        <v>5L</v>
      </c>
      <c r="F2871" s="99">
        <f t="shared" si="662"/>
        <v>0</v>
      </c>
      <c r="I2871" s="99">
        <f t="shared" si="661"/>
        <v>0</v>
      </c>
      <c r="L2871" s="99">
        <f t="shared" si="665"/>
        <v>0</v>
      </c>
      <c r="M2871" s="44" t="str">
        <f t="shared" si="667"/>
        <v/>
      </c>
      <c r="N2871" s="100">
        <f t="shared" si="668"/>
        <v>0</v>
      </c>
      <c r="O2871" s="101">
        <f t="shared" si="669"/>
        <v>0</v>
      </c>
      <c r="P2871" s="52">
        <f t="shared" si="670"/>
        <v>0</v>
      </c>
      <c r="Q2871" s="49">
        <v>116.88487613461319</v>
      </c>
      <c r="R2871">
        <v>2225</v>
      </c>
      <c r="S2871" s="50">
        <f t="shared" si="666"/>
        <v>71535.307499999995</v>
      </c>
      <c r="T2871" s="50">
        <f t="shared" si="671"/>
        <v>0</v>
      </c>
      <c r="U2871" s="58">
        <f t="shared" si="672"/>
        <v>0</v>
      </c>
      <c r="V2871" s="58">
        <f t="shared" si="673"/>
        <v>0</v>
      </c>
      <c r="W2871" s="58">
        <f t="shared" si="674"/>
        <v>0</v>
      </c>
      <c r="X2871" s="58">
        <f t="shared" si="675"/>
        <v>0</v>
      </c>
      <c r="Y2871" s="52">
        <f t="shared" si="676"/>
        <v>0</v>
      </c>
    </row>
    <row r="2872" spans="1:25" x14ac:dyDescent="0.25">
      <c r="A2872" s="1218" t="s">
        <v>134</v>
      </c>
      <c r="B2872" s="98">
        <v>45962</v>
      </c>
      <c r="C2872" s="117" t="str">
        <f t="shared" si="663"/>
        <v>5L</v>
      </c>
      <c r="F2872" s="99">
        <f t="shared" si="662"/>
        <v>0</v>
      </c>
      <c r="I2872" s="99">
        <f t="shared" si="661"/>
        <v>0</v>
      </c>
      <c r="L2872" s="99">
        <f t="shared" si="665"/>
        <v>0</v>
      </c>
      <c r="M2872" s="44" t="str">
        <f t="shared" si="667"/>
        <v/>
      </c>
      <c r="N2872" s="100">
        <f t="shared" si="668"/>
        <v>0</v>
      </c>
      <c r="O2872" s="101">
        <f t="shared" si="669"/>
        <v>0</v>
      </c>
      <c r="P2872" s="52">
        <f t="shared" si="670"/>
        <v>0</v>
      </c>
      <c r="Q2872" s="49">
        <v>116.88487613461319</v>
      </c>
      <c r="R2872">
        <v>2225</v>
      </c>
      <c r="S2872" s="50">
        <f t="shared" si="666"/>
        <v>71535.307499999995</v>
      </c>
      <c r="T2872" s="50">
        <f t="shared" si="671"/>
        <v>0</v>
      </c>
      <c r="U2872" s="58">
        <f t="shared" si="672"/>
        <v>0</v>
      </c>
      <c r="V2872" s="58">
        <f t="shared" si="673"/>
        <v>0</v>
      </c>
      <c r="W2872" s="58">
        <f t="shared" si="674"/>
        <v>0</v>
      </c>
      <c r="X2872" s="58">
        <f t="shared" si="675"/>
        <v>0</v>
      </c>
      <c r="Y2872" s="52">
        <f t="shared" si="676"/>
        <v>0</v>
      </c>
    </row>
    <row r="2873" spans="1:25" x14ac:dyDescent="0.25">
      <c r="A2873" s="1218" t="s">
        <v>135</v>
      </c>
      <c r="B2873" s="98">
        <v>45962</v>
      </c>
      <c r="C2873" s="117" t="str">
        <f t="shared" si="663"/>
        <v>5L</v>
      </c>
      <c r="F2873" s="99">
        <f t="shared" si="662"/>
        <v>0</v>
      </c>
      <c r="I2873" s="99">
        <f t="shared" si="661"/>
        <v>0</v>
      </c>
      <c r="L2873" s="99">
        <f t="shared" si="665"/>
        <v>0</v>
      </c>
      <c r="M2873" s="44" t="str">
        <f t="shared" si="667"/>
        <v/>
      </c>
      <c r="N2873" s="100">
        <f t="shared" si="668"/>
        <v>0</v>
      </c>
      <c r="O2873" s="101">
        <f t="shared" si="669"/>
        <v>0</v>
      </c>
      <c r="P2873" s="52">
        <f t="shared" si="670"/>
        <v>0</v>
      </c>
      <c r="Q2873" s="49">
        <v>116.88487613461319</v>
      </c>
      <c r="R2873">
        <v>2225</v>
      </c>
      <c r="S2873" s="50">
        <f t="shared" si="666"/>
        <v>71535.307499999995</v>
      </c>
      <c r="T2873" s="50">
        <f t="shared" si="671"/>
        <v>0</v>
      </c>
      <c r="U2873" s="58">
        <f t="shared" si="672"/>
        <v>0</v>
      </c>
      <c r="V2873" s="58">
        <f t="shared" si="673"/>
        <v>0</v>
      </c>
      <c r="W2873" s="58">
        <f t="shared" si="674"/>
        <v>0</v>
      </c>
      <c r="X2873" s="58">
        <f t="shared" si="675"/>
        <v>0</v>
      </c>
      <c r="Y2873" s="52">
        <f t="shared" si="676"/>
        <v>0</v>
      </c>
    </row>
    <row r="2874" spans="1:25" x14ac:dyDescent="0.25">
      <c r="A2874" s="1218" t="s">
        <v>136</v>
      </c>
      <c r="B2874" s="98">
        <v>45962</v>
      </c>
      <c r="C2874" s="117" t="str">
        <f t="shared" si="663"/>
        <v>5L</v>
      </c>
      <c r="F2874" s="99">
        <f t="shared" si="662"/>
        <v>0</v>
      </c>
      <c r="I2874" s="99">
        <f t="shared" si="661"/>
        <v>0</v>
      </c>
      <c r="L2874" s="99">
        <f t="shared" si="665"/>
        <v>0</v>
      </c>
      <c r="M2874" s="44" t="str">
        <f t="shared" si="667"/>
        <v/>
      </c>
      <c r="N2874" s="100">
        <f t="shared" si="668"/>
        <v>0</v>
      </c>
      <c r="O2874" s="101">
        <f t="shared" si="669"/>
        <v>0</v>
      </c>
      <c r="P2874" s="52">
        <f t="shared" si="670"/>
        <v>0</v>
      </c>
      <c r="Q2874" s="49">
        <v>116.88487613461319</v>
      </c>
      <c r="R2874">
        <v>2225</v>
      </c>
      <c r="S2874" s="50">
        <f t="shared" si="666"/>
        <v>71535.307499999995</v>
      </c>
      <c r="T2874" s="50">
        <f t="shared" si="671"/>
        <v>0</v>
      </c>
      <c r="U2874" s="58">
        <f t="shared" si="672"/>
        <v>0</v>
      </c>
      <c r="V2874" s="58">
        <f t="shared" si="673"/>
        <v>0</v>
      </c>
      <c r="W2874" s="58">
        <f t="shared" si="674"/>
        <v>0</v>
      </c>
      <c r="X2874" s="58">
        <f t="shared" si="675"/>
        <v>0</v>
      </c>
      <c r="Y2874" s="52">
        <f t="shared" si="676"/>
        <v>0</v>
      </c>
    </row>
    <row r="2875" spans="1:25" x14ac:dyDescent="0.25">
      <c r="A2875" s="1218" t="s">
        <v>137</v>
      </c>
      <c r="B2875" s="98">
        <v>45962</v>
      </c>
      <c r="C2875" s="117" t="str">
        <f t="shared" si="663"/>
        <v>5L</v>
      </c>
      <c r="F2875" s="99">
        <f t="shared" si="662"/>
        <v>0</v>
      </c>
      <c r="I2875" s="99">
        <f t="shared" si="661"/>
        <v>0</v>
      </c>
      <c r="L2875" s="99">
        <f t="shared" si="665"/>
        <v>0</v>
      </c>
      <c r="M2875" s="44" t="str">
        <f t="shared" si="667"/>
        <v/>
      </c>
      <c r="N2875" s="100">
        <f t="shared" si="668"/>
        <v>0</v>
      </c>
      <c r="O2875" s="101">
        <f t="shared" si="669"/>
        <v>0</v>
      </c>
      <c r="P2875" s="52">
        <f t="shared" si="670"/>
        <v>0</v>
      </c>
      <c r="Q2875" s="49">
        <v>116.88487613461319</v>
      </c>
      <c r="R2875">
        <v>2225</v>
      </c>
      <c r="S2875" s="50">
        <f t="shared" si="666"/>
        <v>71535.307499999995</v>
      </c>
      <c r="T2875" s="50">
        <f t="shared" si="671"/>
        <v>0</v>
      </c>
      <c r="U2875" s="58">
        <f t="shared" si="672"/>
        <v>0</v>
      </c>
      <c r="V2875" s="58">
        <f t="shared" si="673"/>
        <v>0</v>
      </c>
      <c r="W2875" s="58">
        <f t="shared" si="674"/>
        <v>0</v>
      </c>
      <c r="X2875" s="58">
        <f t="shared" si="675"/>
        <v>0</v>
      </c>
      <c r="Y2875" s="52">
        <f t="shared" si="676"/>
        <v>0</v>
      </c>
    </row>
    <row r="2876" spans="1:25" x14ac:dyDescent="0.25">
      <c r="A2876" s="1218" t="s">
        <v>138</v>
      </c>
      <c r="B2876" s="98">
        <v>45962</v>
      </c>
      <c r="C2876" s="117" t="str">
        <f t="shared" si="663"/>
        <v>5L</v>
      </c>
      <c r="F2876" s="99">
        <f t="shared" si="662"/>
        <v>0</v>
      </c>
      <c r="I2876" s="99">
        <f t="shared" si="661"/>
        <v>0</v>
      </c>
      <c r="L2876" s="99">
        <f t="shared" si="665"/>
        <v>0</v>
      </c>
      <c r="M2876" s="44" t="str">
        <f t="shared" si="667"/>
        <v/>
      </c>
      <c r="N2876" s="100">
        <f t="shared" si="668"/>
        <v>0</v>
      </c>
      <c r="O2876" s="101">
        <f t="shared" si="669"/>
        <v>0</v>
      </c>
      <c r="P2876" s="52">
        <f t="shared" si="670"/>
        <v>0</v>
      </c>
      <c r="Q2876" s="49">
        <v>116.88487613461319</v>
      </c>
      <c r="R2876">
        <v>2225</v>
      </c>
      <c r="S2876" s="50">
        <f t="shared" si="666"/>
        <v>71535.307499999995</v>
      </c>
      <c r="T2876" s="50">
        <f t="shared" si="671"/>
        <v>0</v>
      </c>
      <c r="U2876" s="58">
        <f t="shared" si="672"/>
        <v>0</v>
      </c>
      <c r="V2876" s="58">
        <f t="shared" si="673"/>
        <v>0</v>
      </c>
      <c r="W2876" s="58">
        <f t="shared" si="674"/>
        <v>0</v>
      </c>
      <c r="X2876" s="58">
        <f t="shared" si="675"/>
        <v>0</v>
      </c>
      <c r="Y2876" s="52">
        <f t="shared" si="676"/>
        <v>0</v>
      </c>
    </row>
    <row r="2877" spans="1:25" x14ac:dyDescent="0.25">
      <c r="A2877" s="1218" t="s">
        <v>139</v>
      </c>
      <c r="B2877" s="98">
        <v>45962</v>
      </c>
      <c r="C2877" s="117" t="str">
        <f t="shared" si="663"/>
        <v>5L</v>
      </c>
      <c r="F2877" s="99">
        <f t="shared" si="662"/>
        <v>0</v>
      </c>
      <c r="I2877" s="99">
        <f t="shared" si="661"/>
        <v>0</v>
      </c>
      <c r="L2877" s="99">
        <f t="shared" si="665"/>
        <v>0</v>
      </c>
      <c r="M2877" s="44" t="str">
        <f t="shared" si="667"/>
        <v/>
      </c>
      <c r="N2877" s="100">
        <f t="shared" si="668"/>
        <v>0</v>
      </c>
      <c r="O2877" s="101">
        <f t="shared" si="669"/>
        <v>0</v>
      </c>
      <c r="P2877" s="52">
        <f t="shared" si="670"/>
        <v>0</v>
      </c>
      <c r="Q2877" s="49">
        <v>116.88487613461319</v>
      </c>
      <c r="R2877">
        <v>2225</v>
      </c>
      <c r="S2877" s="50">
        <f t="shared" si="666"/>
        <v>71535.307499999995</v>
      </c>
      <c r="T2877" s="50">
        <f t="shared" si="671"/>
        <v>0</v>
      </c>
      <c r="U2877" s="58">
        <f t="shared" si="672"/>
        <v>0</v>
      </c>
      <c r="V2877" s="58">
        <f t="shared" si="673"/>
        <v>0</v>
      </c>
      <c r="W2877" s="58">
        <f t="shared" si="674"/>
        <v>0</v>
      </c>
      <c r="X2877" s="58">
        <f t="shared" si="675"/>
        <v>0</v>
      </c>
      <c r="Y2877" s="52">
        <f t="shared" si="676"/>
        <v>0</v>
      </c>
    </row>
    <row r="2878" spans="1:25" x14ac:dyDescent="0.25">
      <c r="A2878" s="1218" t="s">
        <v>140</v>
      </c>
      <c r="B2878" s="98">
        <v>45962</v>
      </c>
      <c r="C2878" s="117" t="str">
        <f t="shared" si="663"/>
        <v>5L</v>
      </c>
      <c r="F2878" s="99">
        <f t="shared" si="662"/>
        <v>0</v>
      </c>
      <c r="I2878" s="99">
        <f t="shared" si="661"/>
        <v>0</v>
      </c>
      <c r="L2878" s="99">
        <f t="shared" si="665"/>
        <v>0</v>
      </c>
      <c r="M2878" s="44" t="str">
        <f t="shared" si="667"/>
        <v/>
      </c>
      <c r="N2878" s="100">
        <f t="shared" si="668"/>
        <v>0</v>
      </c>
      <c r="O2878" s="101">
        <f t="shared" si="669"/>
        <v>0</v>
      </c>
      <c r="P2878" s="52">
        <f t="shared" si="670"/>
        <v>0</v>
      </c>
      <c r="Q2878" s="49">
        <v>116.88487613461319</v>
      </c>
      <c r="R2878">
        <v>2225</v>
      </c>
      <c r="S2878" s="50">
        <f t="shared" si="666"/>
        <v>71535.307499999995</v>
      </c>
      <c r="T2878" s="50">
        <f t="shared" si="671"/>
        <v>0</v>
      </c>
      <c r="U2878" s="58">
        <f t="shared" si="672"/>
        <v>0</v>
      </c>
      <c r="V2878" s="58">
        <f t="shared" si="673"/>
        <v>0</v>
      </c>
      <c r="W2878" s="58">
        <f t="shared" si="674"/>
        <v>0</v>
      </c>
      <c r="X2878" s="58">
        <f t="shared" si="675"/>
        <v>0</v>
      </c>
      <c r="Y2878" s="52">
        <f t="shared" si="676"/>
        <v>0</v>
      </c>
    </row>
    <row r="2879" spans="1:25" x14ac:dyDescent="0.25">
      <c r="A2879" s="1218" t="s">
        <v>141</v>
      </c>
      <c r="B2879" s="98">
        <v>45962</v>
      </c>
      <c r="C2879" s="117" t="str">
        <f t="shared" si="663"/>
        <v>5L</v>
      </c>
      <c r="F2879" s="99">
        <f t="shared" si="662"/>
        <v>0</v>
      </c>
      <c r="I2879" s="99">
        <f t="shared" si="661"/>
        <v>0</v>
      </c>
      <c r="L2879" s="99">
        <f t="shared" si="665"/>
        <v>0</v>
      </c>
      <c r="M2879" s="44" t="str">
        <f t="shared" si="667"/>
        <v/>
      </c>
      <c r="N2879" s="100">
        <f t="shared" si="668"/>
        <v>0</v>
      </c>
      <c r="O2879" s="101">
        <f t="shared" si="669"/>
        <v>0</v>
      </c>
      <c r="P2879" s="52">
        <f t="shared" si="670"/>
        <v>0</v>
      </c>
      <c r="Q2879" s="49">
        <v>116.88487613461319</v>
      </c>
      <c r="R2879">
        <v>2225</v>
      </c>
      <c r="S2879" s="50">
        <f t="shared" si="666"/>
        <v>71535.307499999995</v>
      </c>
      <c r="T2879" s="50">
        <f t="shared" si="671"/>
        <v>0</v>
      </c>
      <c r="U2879" s="58">
        <f t="shared" si="672"/>
        <v>0</v>
      </c>
      <c r="V2879" s="58">
        <f t="shared" si="673"/>
        <v>0</v>
      </c>
      <c r="W2879" s="58">
        <f t="shared" si="674"/>
        <v>0</v>
      </c>
      <c r="X2879" s="58">
        <f t="shared" si="675"/>
        <v>0</v>
      </c>
      <c r="Y2879" s="52">
        <f t="shared" si="676"/>
        <v>0</v>
      </c>
    </row>
    <row r="2880" spans="1:25" x14ac:dyDescent="0.25">
      <c r="A2880" s="1218" t="s">
        <v>142</v>
      </c>
      <c r="B2880" s="98">
        <v>45962</v>
      </c>
      <c r="C2880" s="117" t="str">
        <f t="shared" si="663"/>
        <v>5L</v>
      </c>
      <c r="F2880" s="99">
        <f t="shared" si="662"/>
        <v>0</v>
      </c>
      <c r="I2880" s="99">
        <f t="shared" si="661"/>
        <v>0</v>
      </c>
      <c r="L2880" s="99">
        <f t="shared" si="665"/>
        <v>0</v>
      </c>
      <c r="M2880" s="44" t="str">
        <f t="shared" si="667"/>
        <v/>
      </c>
      <c r="N2880" s="100">
        <f t="shared" si="668"/>
        <v>0</v>
      </c>
      <c r="O2880" s="101">
        <f t="shared" si="669"/>
        <v>0</v>
      </c>
      <c r="P2880" s="52">
        <f t="shared" si="670"/>
        <v>0</v>
      </c>
      <c r="Q2880" s="49">
        <v>116.88487613461319</v>
      </c>
      <c r="R2880">
        <v>2225</v>
      </c>
      <c r="S2880" s="50">
        <f t="shared" si="666"/>
        <v>71535.307499999995</v>
      </c>
      <c r="T2880" s="50">
        <f t="shared" si="671"/>
        <v>0</v>
      </c>
      <c r="U2880" s="58">
        <f t="shared" si="672"/>
        <v>0</v>
      </c>
      <c r="V2880" s="58">
        <f t="shared" si="673"/>
        <v>0</v>
      </c>
      <c r="W2880" s="58">
        <f t="shared" si="674"/>
        <v>0</v>
      </c>
      <c r="X2880" s="58">
        <f t="shared" si="675"/>
        <v>0</v>
      </c>
      <c r="Y2880" s="52">
        <f t="shared" si="676"/>
        <v>0</v>
      </c>
    </row>
    <row r="2881" spans="1:25" x14ac:dyDescent="0.25">
      <c r="A2881" s="1218" t="s">
        <v>143</v>
      </c>
      <c r="B2881" s="98">
        <v>45962</v>
      </c>
      <c r="C2881" s="117" t="str">
        <f t="shared" si="663"/>
        <v>5L</v>
      </c>
      <c r="F2881" s="99">
        <f t="shared" si="662"/>
        <v>0</v>
      </c>
      <c r="I2881" s="99">
        <f t="shared" si="661"/>
        <v>0</v>
      </c>
      <c r="L2881" s="99">
        <f t="shared" si="665"/>
        <v>0</v>
      </c>
      <c r="M2881" s="44" t="str">
        <f t="shared" si="667"/>
        <v/>
      </c>
      <c r="N2881" s="100">
        <f t="shared" si="668"/>
        <v>0</v>
      </c>
      <c r="O2881" s="101">
        <f t="shared" si="669"/>
        <v>0</v>
      </c>
      <c r="P2881" s="52">
        <f t="shared" si="670"/>
        <v>0</v>
      </c>
      <c r="Q2881" s="49">
        <v>116.88487613461319</v>
      </c>
      <c r="R2881">
        <v>2225</v>
      </c>
      <c r="S2881" s="50">
        <f t="shared" si="666"/>
        <v>71535.307499999995</v>
      </c>
      <c r="T2881" s="50">
        <f t="shared" si="671"/>
        <v>0</v>
      </c>
      <c r="U2881" s="58">
        <f t="shared" si="672"/>
        <v>0</v>
      </c>
      <c r="V2881" s="58">
        <f t="shared" si="673"/>
        <v>0</v>
      </c>
      <c r="W2881" s="58">
        <f t="shared" si="674"/>
        <v>0</v>
      </c>
      <c r="X2881" s="58">
        <f t="shared" si="675"/>
        <v>0</v>
      </c>
      <c r="Y2881" s="52">
        <f t="shared" si="676"/>
        <v>0</v>
      </c>
    </row>
    <row r="2882" spans="1:25" x14ac:dyDescent="0.25">
      <c r="A2882" s="1218" t="s">
        <v>144</v>
      </c>
      <c r="B2882" s="98">
        <v>45962</v>
      </c>
      <c r="C2882" s="117" t="str">
        <f t="shared" si="663"/>
        <v>5L</v>
      </c>
      <c r="D2882">
        <v>1872</v>
      </c>
      <c r="E2882">
        <v>1.6</v>
      </c>
      <c r="F2882" s="99">
        <f t="shared" si="662"/>
        <v>2.9952000000000001</v>
      </c>
      <c r="I2882" s="99">
        <f t="shared" si="661"/>
        <v>0</v>
      </c>
      <c r="L2882" s="99">
        <f t="shared" si="665"/>
        <v>0</v>
      </c>
      <c r="M2882" s="44" t="str">
        <f t="shared" si="667"/>
        <v/>
      </c>
      <c r="N2882" s="100">
        <f t="shared" si="668"/>
        <v>0</v>
      </c>
      <c r="O2882" s="101">
        <f t="shared" si="669"/>
        <v>0</v>
      </c>
      <c r="P2882" s="52">
        <f t="shared" si="670"/>
        <v>0</v>
      </c>
      <c r="Q2882" s="49">
        <v>116.88487613461319</v>
      </c>
      <c r="R2882">
        <v>2225</v>
      </c>
      <c r="S2882" s="50">
        <f t="shared" si="666"/>
        <v>71535.307499999995</v>
      </c>
      <c r="T2882" s="50">
        <f t="shared" si="671"/>
        <v>0</v>
      </c>
      <c r="U2882" s="58">
        <f t="shared" si="672"/>
        <v>0</v>
      </c>
      <c r="V2882" s="58">
        <f t="shared" si="673"/>
        <v>0</v>
      </c>
      <c r="W2882" s="58">
        <f t="shared" si="674"/>
        <v>0</v>
      </c>
      <c r="X2882" s="58">
        <f t="shared" si="675"/>
        <v>0</v>
      </c>
      <c r="Y2882" s="52">
        <f t="shared" si="676"/>
        <v>0</v>
      </c>
    </row>
    <row r="2883" spans="1:25" x14ac:dyDescent="0.25">
      <c r="A2883" s="1218" t="s">
        <v>145</v>
      </c>
      <c r="B2883" s="98">
        <v>45962</v>
      </c>
      <c r="C2883" s="117" t="str">
        <f t="shared" si="663"/>
        <v>5L</v>
      </c>
      <c r="F2883" s="99">
        <f t="shared" si="662"/>
        <v>0</v>
      </c>
      <c r="I2883" s="99">
        <f t="shared" si="661"/>
        <v>0</v>
      </c>
      <c r="L2883" s="99">
        <f t="shared" si="665"/>
        <v>0</v>
      </c>
      <c r="M2883" s="44" t="str">
        <f t="shared" si="667"/>
        <v/>
      </c>
      <c r="N2883" s="100">
        <f t="shared" si="668"/>
        <v>0</v>
      </c>
      <c r="O2883" s="101">
        <f t="shared" si="669"/>
        <v>0</v>
      </c>
      <c r="P2883" s="52">
        <f t="shared" si="670"/>
        <v>0</v>
      </c>
      <c r="Q2883" s="49">
        <v>116.88487613461319</v>
      </c>
      <c r="R2883">
        <v>2225</v>
      </c>
      <c r="S2883" s="50">
        <f t="shared" si="666"/>
        <v>71535.307499999995</v>
      </c>
      <c r="T2883" s="50">
        <f t="shared" si="671"/>
        <v>0</v>
      </c>
      <c r="U2883" s="58">
        <f t="shared" si="672"/>
        <v>0</v>
      </c>
      <c r="V2883" s="58">
        <f t="shared" si="673"/>
        <v>0</v>
      </c>
      <c r="W2883" s="58">
        <f t="shared" si="674"/>
        <v>0</v>
      </c>
      <c r="X2883" s="58">
        <f t="shared" si="675"/>
        <v>0</v>
      </c>
      <c r="Y2883" s="52">
        <f t="shared" si="676"/>
        <v>0</v>
      </c>
    </row>
    <row r="2884" spans="1:25" x14ac:dyDescent="0.25">
      <c r="A2884" s="1218" t="s">
        <v>146</v>
      </c>
      <c r="B2884" s="98">
        <v>45962</v>
      </c>
      <c r="C2884" s="117" t="str">
        <f t="shared" si="663"/>
        <v>5L</v>
      </c>
      <c r="F2884" s="99">
        <f t="shared" si="662"/>
        <v>0</v>
      </c>
      <c r="I2884" s="99">
        <f t="shared" si="661"/>
        <v>0</v>
      </c>
      <c r="L2884" s="99">
        <f t="shared" si="665"/>
        <v>0</v>
      </c>
      <c r="M2884" s="44" t="str">
        <f t="shared" si="667"/>
        <v/>
      </c>
      <c r="N2884" s="100">
        <f t="shared" si="668"/>
        <v>0</v>
      </c>
      <c r="O2884" s="101">
        <f t="shared" si="669"/>
        <v>0</v>
      </c>
      <c r="P2884" s="52">
        <f t="shared" si="670"/>
        <v>0</v>
      </c>
      <c r="Q2884" s="49">
        <v>116.88487613461319</v>
      </c>
      <c r="R2884">
        <v>2225</v>
      </c>
      <c r="S2884" s="50">
        <f t="shared" si="666"/>
        <v>71535.307499999995</v>
      </c>
      <c r="T2884" s="50">
        <f t="shared" si="671"/>
        <v>0</v>
      </c>
      <c r="U2884" s="58">
        <f t="shared" si="672"/>
        <v>0</v>
      </c>
      <c r="V2884" s="58">
        <f t="shared" si="673"/>
        <v>0</v>
      </c>
      <c r="W2884" s="58">
        <f t="shared" si="674"/>
        <v>0</v>
      </c>
      <c r="X2884" s="58">
        <f t="shared" si="675"/>
        <v>0</v>
      </c>
      <c r="Y2884" s="52">
        <f t="shared" si="676"/>
        <v>0</v>
      </c>
    </row>
    <row r="2885" spans="1:25" x14ac:dyDescent="0.25">
      <c r="A2885" s="1218" t="s">
        <v>147</v>
      </c>
      <c r="B2885" s="98">
        <v>45962</v>
      </c>
      <c r="C2885" s="117" t="str">
        <f t="shared" si="663"/>
        <v>5L</v>
      </c>
      <c r="F2885" s="99">
        <f t="shared" si="662"/>
        <v>0</v>
      </c>
      <c r="I2885" s="99">
        <f t="shared" ref="I2885:I2948" si="677">IFERROR(G2885*H2885/1000,"")</f>
        <v>0</v>
      </c>
      <c r="L2885" s="99">
        <f t="shared" si="665"/>
        <v>0</v>
      </c>
      <c r="M2885" s="44" t="str">
        <f t="shared" si="667"/>
        <v/>
      </c>
      <c r="N2885" s="100">
        <f t="shared" si="668"/>
        <v>0</v>
      </c>
      <c r="O2885" s="101">
        <f t="shared" si="669"/>
        <v>0</v>
      </c>
      <c r="P2885" s="52">
        <f t="shared" si="670"/>
        <v>0</v>
      </c>
      <c r="Q2885" s="49">
        <v>116.88487613461319</v>
      </c>
      <c r="R2885">
        <v>2225</v>
      </c>
      <c r="S2885" s="50">
        <f t="shared" si="666"/>
        <v>71535.307499999995</v>
      </c>
      <c r="T2885" s="50">
        <f t="shared" si="671"/>
        <v>0</v>
      </c>
      <c r="U2885" s="58">
        <f t="shared" si="672"/>
        <v>0</v>
      </c>
      <c r="V2885" s="58">
        <f t="shared" si="673"/>
        <v>0</v>
      </c>
      <c r="W2885" s="58">
        <f t="shared" si="674"/>
        <v>0</v>
      </c>
      <c r="X2885" s="58">
        <f t="shared" si="675"/>
        <v>0</v>
      </c>
      <c r="Y2885" s="52">
        <f t="shared" si="676"/>
        <v>0</v>
      </c>
    </row>
    <row r="2886" spans="1:25" x14ac:dyDescent="0.25">
      <c r="A2886" s="1218" t="s">
        <v>148</v>
      </c>
      <c r="B2886" s="98">
        <v>45962</v>
      </c>
      <c r="C2886" s="117" t="str">
        <f t="shared" si="663"/>
        <v>5L</v>
      </c>
      <c r="F2886" s="99">
        <f t="shared" si="662"/>
        <v>0</v>
      </c>
      <c r="I2886" s="99">
        <f t="shared" si="677"/>
        <v>0</v>
      </c>
      <c r="L2886" s="99">
        <f t="shared" si="665"/>
        <v>0</v>
      </c>
      <c r="M2886" s="44" t="str">
        <f t="shared" si="667"/>
        <v/>
      </c>
      <c r="N2886" s="100">
        <f t="shared" si="668"/>
        <v>0</v>
      </c>
      <c r="O2886" s="101">
        <f t="shared" si="669"/>
        <v>0</v>
      </c>
      <c r="P2886" s="52">
        <f t="shared" si="670"/>
        <v>0</v>
      </c>
      <c r="Q2886" s="49">
        <v>116.88487613461319</v>
      </c>
      <c r="R2886">
        <v>2225</v>
      </c>
      <c r="S2886" s="50">
        <f t="shared" si="666"/>
        <v>71535.307499999995</v>
      </c>
      <c r="T2886" s="50">
        <f t="shared" si="671"/>
        <v>0</v>
      </c>
      <c r="U2886" s="58">
        <f t="shared" si="672"/>
        <v>0</v>
      </c>
      <c r="V2886" s="58">
        <f t="shared" si="673"/>
        <v>0</v>
      </c>
      <c r="W2886" s="58">
        <f t="shared" si="674"/>
        <v>0</v>
      </c>
      <c r="X2886" s="58">
        <f t="shared" si="675"/>
        <v>0</v>
      </c>
      <c r="Y2886" s="52">
        <f t="shared" si="676"/>
        <v>0</v>
      </c>
    </row>
    <row r="2887" spans="1:25" x14ac:dyDescent="0.25">
      <c r="A2887" s="1218" t="s">
        <v>149</v>
      </c>
      <c r="B2887" s="98">
        <v>45962</v>
      </c>
      <c r="C2887" s="117" t="str">
        <f t="shared" si="663"/>
        <v>5L</v>
      </c>
      <c r="D2887">
        <v>1416</v>
      </c>
      <c r="E2887">
        <v>3.97</v>
      </c>
      <c r="F2887" s="99">
        <f t="shared" si="662"/>
        <v>5.6215200000000003</v>
      </c>
      <c r="I2887" s="99">
        <f t="shared" si="677"/>
        <v>0</v>
      </c>
      <c r="L2887" s="99">
        <f t="shared" si="665"/>
        <v>0</v>
      </c>
      <c r="M2887" s="44" t="str">
        <f t="shared" si="667"/>
        <v/>
      </c>
      <c r="N2887" s="100">
        <f t="shared" si="668"/>
        <v>0</v>
      </c>
      <c r="O2887" s="101">
        <f t="shared" si="669"/>
        <v>0</v>
      </c>
      <c r="P2887" s="52">
        <f t="shared" si="670"/>
        <v>0</v>
      </c>
      <c r="Q2887" s="49">
        <v>116.88487613461319</v>
      </c>
      <c r="R2887">
        <v>2225</v>
      </c>
      <c r="S2887" s="50">
        <f t="shared" si="666"/>
        <v>71535.307499999995</v>
      </c>
      <c r="T2887" s="50">
        <f t="shared" si="671"/>
        <v>0</v>
      </c>
      <c r="U2887" s="58">
        <f t="shared" si="672"/>
        <v>0</v>
      </c>
      <c r="V2887" s="58">
        <f t="shared" si="673"/>
        <v>0</v>
      </c>
      <c r="W2887" s="58">
        <f t="shared" si="674"/>
        <v>0</v>
      </c>
      <c r="X2887" s="58">
        <f t="shared" si="675"/>
        <v>0</v>
      </c>
      <c r="Y2887" s="52">
        <f t="shared" si="676"/>
        <v>0</v>
      </c>
    </row>
    <row r="2888" spans="1:25" x14ac:dyDescent="0.25">
      <c r="A2888" s="1218" t="s">
        <v>150</v>
      </c>
      <c r="B2888" s="98">
        <v>45962</v>
      </c>
      <c r="C2888" s="117" t="str">
        <f t="shared" si="663"/>
        <v>6L</v>
      </c>
      <c r="D2888" s="118">
        <v>2809</v>
      </c>
      <c r="E2888">
        <v>2.83</v>
      </c>
      <c r="F2888" s="99">
        <f t="shared" si="662"/>
        <v>7.9494699999999998</v>
      </c>
      <c r="I2888" s="99">
        <f t="shared" si="677"/>
        <v>0</v>
      </c>
      <c r="L2888" s="99">
        <f t="shared" si="665"/>
        <v>0</v>
      </c>
      <c r="M2888" s="44" t="str">
        <f t="shared" si="667"/>
        <v/>
      </c>
      <c r="N2888" s="100">
        <f t="shared" si="668"/>
        <v>0</v>
      </c>
      <c r="O2888" s="101">
        <f t="shared" si="669"/>
        <v>0</v>
      </c>
      <c r="P2888" s="52">
        <f t="shared" si="670"/>
        <v>0</v>
      </c>
      <c r="Q2888" s="49">
        <v>116.88487613461319</v>
      </c>
      <c r="R2888">
        <v>2225</v>
      </c>
      <c r="S2888" s="50">
        <f t="shared" si="666"/>
        <v>71535.307499999995</v>
      </c>
      <c r="T2888" s="50">
        <f t="shared" si="671"/>
        <v>0</v>
      </c>
      <c r="U2888" s="58">
        <f t="shared" si="672"/>
        <v>0</v>
      </c>
      <c r="V2888" s="58">
        <f t="shared" si="673"/>
        <v>0</v>
      </c>
      <c r="W2888" s="58">
        <f t="shared" si="674"/>
        <v>0</v>
      </c>
      <c r="X2888" s="58">
        <f t="shared" si="675"/>
        <v>0</v>
      </c>
      <c r="Y2888" s="52">
        <f t="shared" si="676"/>
        <v>0</v>
      </c>
    </row>
    <row r="2889" spans="1:25" x14ac:dyDescent="0.25">
      <c r="A2889" s="1218" t="s">
        <v>151</v>
      </c>
      <c r="B2889" s="98">
        <v>45962</v>
      </c>
      <c r="C2889" s="117" t="str">
        <f t="shared" si="663"/>
        <v>6L</v>
      </c>
      <c r="F2889" s="99">
        <f t="shared" si="662"/>
        <v>0</v>
      </c>
      <c r="I2889" s="99">
        <f t="shared" si="677"/>
        <v>0</v>
      </c>
      <c r="L2889" s="99">
        <f t="shared" si="665"/>
        <v>0</v>
      </c>
      <c r="M2889" s="44" t="str">
        <f t="shared" si="667"/>
        <v/>
      </c>
      <c r="N2889" s="100">
        <f t="shared" si="668"/>
        <v>0</v>
      </c>
      <c r="O2889" s="101">
        <f t="shared" si="669"/>
        <v>0</v>
      </c>
      <c r="P2889" s="52">
        <f t="shared" si="670"/>
        <v>0</v>
      </c>
      <c r="Q2889" s="49">
        <v>116.88487613461319</v>
      </c>
      <c r="R2889">
        <v>2225</v>
      </c>
      <c r="S2889" s="50">
        <f t="shared" si="666"/>
        <v>71535.307499999995</v>
      </c>
      <c r="T2889" s="50">
        <f t="shared" si="671"/>
        <v>0</v>
      </c>
      <c r="U2889" s="58">
        <f t="shared" si="672"/>
        <v>0</v>
      </c>
      <c r="V2889" s="58">
        <f t="shared" si="673"/>
        <v>0</v>
      </c>
      <c r="W2889" s="58">
        <f t="shared" si="674"/>
        <v>0</v>
      </c>
      <c r="X2889" s="58">
        <f t="shared" si="675"/>
        <v>0</v>
      </c>
      <c r="Y2889" s="52">
        <f t="shared" si="676"/>
        <v>0</v>
      </c>
    </row>
    <row r="2890" spans="1:25" x14ac:dyDescent="0.25">
      <c r="A2890" s="1218" t="s">
        <v>152</v>
      </c>
      <c r="B2890" s="98">
        <v>45962</v>
      </c>
      <c r="C2890" s="117" t="str">
        <f t="shared" si="663"/>
        <v>6L</v>
      </c>
      <c r="F2890" s="99">
        <f t="shared" si="662"/>
        <v>0</v>
      </c>
      <c r="I2890" s="99">
        <f t="shared" si="677"/>
        <v>0</v>
      </c>
      <c r="L2890" s="99"/>
      <c r="M2890" s="44"/>
      <c r="N2890" s="100"/>
      <c r="O2890" s="101"/>
      <c r="P2890" s="52"/>
      <c r="Q2890" s="49"/>
      <c r="S2890" s="50"/>
      <c r="T2890" s="50"/>
      <c r="U2890" s="58"/>
      <c r="V2890" s="58"/>
      <c r="W2890" s="58"/>
      <c r="X2890" s="58"/>
      <c r="Y2890" s="52"/>
    </row>
    <row r="2891" spans="1:25" x14ac:dyDescent="0.25">
      <c r="A2891" s="1218" t="s">
        <v>153</v>
      </c>
      <c r="B2891" s="98">
        <v>45962</v>
      </c>
      <c r="C2891" s="117" t="str">
        <f t="shared" si="663"/>
        <v>6L</v>
      </c>
      <c r="F2891" s="99">
        <f t="shared" si="662"/>
        <v>0</v>
      </c>
      <c r="I2891" s="99">
        <f t="shared" si="677"/>
        <v>0</v>
      </c>
      <c r="L2891" s="99"/>
      <c r="M2891" s="44"/>
      <c r="N2891" s="100"/>
      <c r="O2891" s="101"/>
      <c r="P2891" s="52"/>
      <c r="Q2891" s="49"/>
      <c r="S2891" s="50"/>
      <c r="T2891" s="50"/>
      <c r="U2891" s="58"/>
      <c r="V2891" s="58"/>
      <c r="W2891" s="58"/>
      <c r="X2891" s="58"/>
      <c r="Y2891" s="52"/>
    </row>
    <row r="2892" spans="1:25" x14ac:dyDescent="0.25">
      <c r="A2892" s="1218" t="s">
        <v>154</v>
      </c>
      <c r="B2892" s="98">
        <v>45962</v>
      </c>
      <c r="C2892" s="117" t="str">
        <f t="shared" si="663"/>
        <v>6L</v>
      </c>
      <c r="F2892" s="99">
        <f t="shared" si="662"/>
        <v>0</v>
      </c>
      <c r="I2892" s="99">
        <f t="shared" si="677"/>
        <v>0</v>
      </c>
      <c r="L2892" s="99"/>
      <c r="M2892" s="44"/>
      <c r="N2892" s="100"/>
      <c r="O2892" s="101"/>
      <c r="P2892" s="52"/>
      <c r="Q2892" s="49"/>
      <c r="S2892" s="50"/>
      <c r="T2892" s="50"/>
      <c r="U2892" s="58"/>
      <c r="V2892" s="58"/>
      <c r="W2892" s="58"/>
      <c r="X2892" s="58"/>
      <c r="Y2892" s="52"/>
    </row>
    <row r="2893" spans="1:25" x14ac:dyDescent="0.25">
      <c r="A2893" s="1218" t="s">
        <v>155</v>
      </c>
      <c r="B2893" s="98">
        <v>45962</v>
      </c>
      <c r="C2893" s="117" t="str">
        <f t="shared" si="663"/>
        <v>6L</v>
      </c>
      <c r="D2893">
        <v>2809</v>
      </c>
      <c r="E2893">
        <v>2.31</v>
      </c>
      <c r="F2893" s="99">
        <f t="shared" si="662"/>
        <v>6.4887899999999998</v>
      </c>
      <c r="I2893" s="99">
        <f t="shared" si="677"/>
        <v>0</v>
      </c>
      <c r="L2893" s="99">
        <f t="shared" si="665"/>
        <v>0</v>
      </c>
      <c r="M2893" s="44" t="str">
        <f t="shared" si="667"/>
        <v/>
      </c>
      <c r="N2893" s="100">
        <f t="shared" si="668"/>
        <v>0</v>
      </c>
      <c r="O2893" s="101">
        <f t="shared" si="669"/>
        <v>0</v>
      </c>
      <c r="P2893" s="52">
        <f t="shared" si="670"/>
        <v>0</v>
      </c>
      <c r="Q2893" s="49">
        <v>116.88487613461319</v>
      </c>
      <c r="R2893">
        <v>2225</v>
      </c>
      <c r="S2893" s="50">
        <f t="shared" si="666"/>
        <v>71535.307499999995</v>
      </c>
      <c r="T2893" s="50">
        <f t="shared" si="671"/>
        <v>0</v>
      </c>
      <c r="U2893" s="58">
        <f t="shared" si="672"/>
        <v>0</v>
      </c>
      <c r="V2893" s="58">
        <f t="shared" si="673"/>
        <v>0</v>
      </c>
      <c r="W2893" s="58">
        <f t="shared" si="674"/>
        <v>0</v>
      </c>
      <c r="X2893" s="58">
        <f t="shared" si="675"/>
        <v>0</v>
      </c>
      <c r="Y2893" s="52">
        <f t="shared" si="676"/>
        <v>0</v>
      </c>
    </row>
    <row r="2894" spans="1:25" x14ac:dyDescent="0.25">
      <c r="A2894" s="1218" t="s">
        <v>156</v>
      </c>
      <c r="B2894" s="98">
        <v>45962</v>
      </c>
      <c r="C2894" s="117" t="str">
        <f t="shared" si="663"/>
        <v>6L</v>
      </c>
      <c r="F2894" s="99">
        <f t="shared" si="662"/>
        <v>0</v>
      </c>
      <c r="I2894" s="99">
        <f t="shared" si="677"/>
        <v>0</v>
      </c>
      <c r="L2894" s="99"/>
      <c r="M2894" s="44"/>
      <c r="N2894" s="100"/>
      <c r="O2894" s="101"/>
      <c r="P2894" s="52"/>
      <c r="Q2894" s="49"/>
      <c r="S2894" s="50"/>
      <c r="T2894" s="50"/>
      <c r="U2894" s="58"/>
      <c r="V2894" s="58"/>
      <c r="W2894" s="58"/>
      <c r="X2894" s="58"/>
      <c r="Y2894" s="52"/>
    </row>
    <row r="2895" spans="1:25" x14ac:dyDescent="0.25">
      <c r="A2895" s="1218" t="s">
        <v>157</v>
      </c>
      <c r="B2895" s="98">
        <v>45962</v>
      </c>
      <c r="C2895" s="117" t="str">
        <f t="shared" si="663"/>
        <v>6L</v>
      </c>
      <c r="F2895" s="99">
        <f t="shared" ref="F2895:F2958" si="678">IFERROR(D2895*E2895/1000,"")</f>
        <v>0</v>
      </c>
      <c r="I2895" s="99">
        <f t="shared" si="677"/>
        <v>0</v>
      </c>
      <c r="L2895" s="99">
        <f t="shared" si="665"/>
        <v>0</v>
      </c>
      <c r="M2895" s="44" t="str">
        <f t="shared" si="667"/>
        <v/>
      </c>
      <c r="N2895" s="100">
        <f t="shared" si="668"/>
        <v>0</v>
      </c>
      <c r="O2895" s="101">
        <f t="shared" si="669"/>
        <v>0</v>
      </c>
      <c r="P2895" s="52">
        <f t="shared" si="670"/>
        <v>0</v>
      </c>
      <c r="Q2895" s="49">
        <v>116.88487613461319</v>
      </c>
      <c r="R2895">
        <v>2225</v>
      </c>
      <c r="S2895" s="50">
        <f t="shared" si="666"/>
        <v>71535.307499999995</v>
      </c>
      <c r="T2895" s="50">
        <f t="shared" si="671"/>
        <v>0</v>
      </c>
      <c r="U2895" s="58">
        <f t="shared" si="672"/>
        <v>0</v>
      </c>
      <c r="V2895" s="58">
        <f t="shared" si="673"/>
        <v>0</v>
      </c>
      <c r="W2895" s="58">
        <f t="shared" si="674"/>
        <v>0</v>
      </c>
      <c r="X2895" s="58">
        <f t="shared" si="675"/>
        <v>0</v>
      </c>
      <c r="Y2895" s="52">
        <f t="shared" si="676"/>
        <v>0</v>
      </c>
    </row>
    <row r="2896" spans="1:25" x14ac:dyDescent="0.25">
      <c r="A2896" s="1218" t="s">
        <v>158</v>
      </c>
      <c r="B2896" s="98">
        <v>45962</v>
      </c>
      <c r="C2896" s="117" t="str">
        <f t="shared" si="663"/>
        <v>6L</v>
      </c>
      <c r="F2896" s="99">
        <f t="shared" si="678"/>
        <v>0</v>
      </c>
      <c r="I2896" s="99">
        <f t="shared" si="677"/>
        <v>0</v>
      </c>
      <c r="L2896" s="99">
        <f t="shared" si="665"/>
        <v>0</v>
      </c>
      <c r="M2896" s="44" t="str">
        <f t="shared" si="667"/>
        <v/>
      </c>
      <c r="N2896" s="100">
        <f t="shared" si="668"/>
        <v>0</v>
      </c>
      <c r="O2896" s="101">
        <f t="shared" si="669"/>
        <v>0</v>
      </c>
      <c r="P2896" s="52">
        <f t="shared" si="670"/>
        <v>0</v>
      </c>
      <c r="Q2896" s="49">
        <v>116.88487613461319</v>
      </c>
      <c r="R2896">
        <v>2225</v>
      </c>
      <c r="S2896" s="50">
        <f t="shared" si="666"/>
        <v>71535.307499999995</v>
      </c>
      <c r="T2896" s="50">
        <f t="shared" si="671"/>
        <v>0</v>
      </c>
      <c r="U2896" s="58">
        <f t="shared" si="672"/>
        <v>0</v>
      </c>
      <c r="V2896" s="58">
        <f t="shared" si="673"/>
        <v>0</v>
      </c>
      <c r="W2896" s="58">
        <f t="shared" si="674"/>
        <v>0</v>
      </c>
      <c r="X2896" s="58">
        <f t="shared" si="675"/>
        <v>0</v>
      </c>
      <c r="Y2896" s="52">
        <f t="shared" si="676"/>
        <v>0</v>
      </c>
    </row>
    <row r="2897" spans="1:25" x14ac:dyDescent="0.25">
      <c r="A2897" s="1218" t="s">
        <v>159</v>
      </c>
      <c r="B2897" s="98">
        <v>45962</v>
      </c>
      <c r="C2897" s="117" t="str">
        <f t="shared" si="663"/>
        <v>6L</v>
      </c>
      <c r="F2897" s="99">
        <f t="shared" si="678"/>
        <v>0</v>
      </c>
      <c r="I2897" s="99">
        <f t="shared" si="677"/>
        <v>0</v>
      </c>
      <c r="L2897" s="99">
        <f t="shared" si="665"/>
        <v>0</v>
      </c>
      <c r="M2897" s="44" t="str">
        <f t="shared" si="667"/>
        <v/>
      </c>
      <c r="N2897" s="100">
        <f t="shared" si="668"/>
        <v>0</v>
      </c>
      <c r="O2897" s="101">
        <f t="shared" si="669"/>
        <v>0</v>
      </c>
      <c r="P2897" s="52">
        <f t="shared" si="670"/>
        <v>0</v>
      </c>
      <c r="Q2897" s="49">
        <v>116.88487613461319</v>
      </c>
      <c r="R2897">
        <v>2225</v>
      </c>
      <c r="S2897" s="50">
        <f t="shared" si="666"/>
        <v>71535.307499999995</v>
      </c>
      <c r="T2897" s="50">
        <f t="shared" si="671"/>
        <v>0</v>
      </c>
      <c r="U2897" s="58">
        <f t="shared" si="672"/>
        <v>0</v>
      </c>
      <c r="V2897" s="58">
        <f t="shared" si="673"/>
        <v>0</v>
      </c>
      <c r="W2897" s="58">
        <f t="shared" si="674"/>
        <v>0</v>
      </c>
      <c r="X2897" s="58">
        <f t="shared" si="675"/>
        <v>0</v>
      </c>
      <c r="Y2897" s="52">
        <f t="shared" si="676"/>
        <v>0</v>
      </c>
    </row>
    <row r="2898" spans="1:25" x14ac:dyDescent="0.25">
      <c r="A2898" s="1218" t="s">
        <v>160</v>
      </c>
      <c r="B2898" s="98">
        <v>45962</v>
      </c>
      <c r="C2898" s="117" t="str">
        <f t="shared" si="663"/>
        <v>6L</v>
      </c>
      <c r="F2898" s="99">
        <f t="shared" si="678"/>
        <v>0</v>
      </c>
      <c r="I2898" s="99">
        <f t="shared" si="677"/>
        <v>0</v>
      </c>
      <c r="L2898" s="99">
        <f t="shared" si="665"/>
        <v>0</v>
      </c>
      <c r="M2898" s="44" t="str">
        <f t="shared" si="667"/>
        <v/>
      </c>
      <c r="N2898" s="100">
        <f t="shared" si="668"/>
        <v>0</v>
      </c>
      <c r="O2898" s="101">
        <f t="shared" si="669"/>
        <v>0</v>
      </c>
      <c r="P2898" s="52">
        <f t="shared" si="670"/>
        <v>0</v>
      </c>
      <c r="Q2898" s="49">
        <v>116.88487613461319</v>
      </c>
      <c r="R2898">
        <v>2225</v>
      </c>
      <c r="S2898" s="50">
        <f t="shared" si="666"/>
        <v>71535.307499999995</v>
      </c>
      <c r="T2898" s="50">
        <f t="shared" si="671"/>
        <v>0</v>
      </c>
      <c r="U2898" s="58">
        <f t="shared" si="672"/>
        <v>0</v>
      </c>
      <c r="V2898" s="58">
        <f t="shared" si="673"/>
        <v>0</v>
      </c>
      <c r="W2898" s="58">
        <f t="shared" si="674"/>
        <v>0</v>
      </c>
      <c r="X2898" s="58">
        <f t="shared" si="675"/>
        <v>0</v>
      </c>
      <c r="Y2898" s="52">
        <f t="shared" si="676"/>
        <v>0</v>
      </c>
    </row>
    <row r="2899" spans="1:25" x14ac:dyDescent="0.25">
      <c r="A2899" s="1218" t="s">
        <v>161</v>
      </c>
      <c r="B2899" s="98">
        <v>45962</v>
      </c>
      <c r="C2899" s="117" t="str">
        <f t="shared" si="663"/>
        <v>6L</v>
      </c>
      <c r="F2899" s="99">
        <f t="shared" si="678"/>
        <v>0</v>
      </c>
      <c r="I2899" s="99">
        <f t="shared" si="677"/>
        <v>0</v>
      </c>
      <c r="L2899" s="99">
        <f t="shared" si="665"/>
        <v>0</v>
      </c>
      <c r="M2899" s="44" t="str">
        <f t="shared" si="667"/>
        <v/>
      </c>
      <c r="N2899" s="100">
        <f t="shared" si="668"/>
        <v>0</v>
      </c>
      <c r="O2899" s="101">
        <f t="shared" si="669"/>
        <v>0</v>
      </c>
      <c r="P2899" s="52">
        <f t="shared" si="670"/>
        <v>0</v>
      </c>
      <c r="Q2899" s="49">
        <v>116.88487613461319</v>
      </c>
      <c r="R2899">
        <v>2225</v>
      </c>
      <c r="S2899" s="50">
        <f t="shared" si="666"/>
        <v>71535.307499999995</v>
      </c>
      <c r="T2899" s="50">
        <f t="shared" si="671"/>
        <v>0</v>
      </c>
      <c r="U2899" s="58">
        <f t="shared" si="672"/>
        <v>0</v>
      </c>
      <c r="V2899" s="58">
        <f t="shared" si="673"/>
        <v>0</v>
      </c>
      <c r="W2899" s="58">
        <f t="shared" si="674"/>
        <v>0</v>
      </c>
      <c r="X2899" s="58">
        <f t="shared" si="675"/>
        <v>0</v>
      </c>
      <c r="Y2899" s="52">
        <f t="shared" si="676"/>
        <v>0</v>
      </c>
    </row>
    <row r="2900" spans="1:25" x14ac:dyDescent="0.25">
      <c r="A2900" s="1218" t="s">
        <v>162</v>
      </c>
      <c r="B2900" s="98">
        <v>45962</v>
      </c>
      <c r="C2900" s="117" t="str">
        <f t="shared" si="663"/>
        <v>6L</v>
      </c>
      <c r="F2900" s="99">
        <f t="shared" si="678"/>
        <v>0</v>
      </c>
      <c r="I2900" s="99">
        <f t="shared" si="677"/>
        <v>0</v>
      </c>
      <c r="L2900" s="99">
        <f t="shared" si="665"/>
        <v>0</v>
      </c>
      <c r="M2900" s="44" t="str">
        <f t="shared" si="667"/>
        <v/>
      </c>
      <c r="N2900" s="100">
        <f t="shared" si="668"/>
        <v>0</v>
      </c>
      <c r="O2900" s="101">
        <f t="shared" si="669"/>
        <v>0</v>
      </c>
      <c r="P2900" s="52">
        <f t="shared" si="670"/>
        <v>0</v>
      </c>
      <c r="Q2900" s="49">
        <v>116.88487613461319</v>
      </c>
      <c r="R2900">
        <v>2225</v>
      </c>
      <c r="S2900" s="50">
        <f t="shared" si="666"/>
        <v>71535.307499999995</v>
      </c>
      <c r="T2900" s="50">
        <f t="shared" si="671"/>
        <v>0</v>
      </c>
      <c r="U2900" s="58">
        <f t="shared" si="672"/>
        <v>0</v>
      </c>
      <c r="V2900" s="58">
        <f t="shared" si="673"/>
        <v>0</v>
      </c>
      <c r="W2900" s="58">
        <f t="shared" si="674"/>
        <v>0</v>
      </c>
      <c r="X2900" s="58">
        <f t="shared" si="675"/>
        <v>0</v>
      </c>
      <c r="Y2900" s="52">
        <f t="shared" si="676"/>
        <v>0</v>
      </c>
    </row>
    <row r="2901" spans="1:25" x14ac:dyDescent="0.25">
      <c r="A2901" s="1218" t="s">
        <v>163</v>
      </c>
      <c r="B2901" s="98">
        <v>45962</v>
      </c>
      <c r="C2901" s="117" t="str">
        <f t="shared" si="663"/>
        <v>6L</v>
      </c>
      <c r="F2901" s="99">
        <f t="shared" si="678"/>
        <v>0</v>
      </c>
      <c r="I2901" s="99">
        <f t="shared" si="677"/>
        <v>0</v>
      </c>
      <c r="L2901" s="99">
        <f t="shared" si="665"/>
        <v>0</v>
      </c>
      <c r="M2901" s="44" t="str">
        <f t="shared" si="667"/>
        <v/>
      </c>
      <c r="N2901" s="100">
        <f t="shared" si="668"/>
        <v>0</v>
      </c>
      <c r="O2901" s="101">
        <f t="shared" si="669"/>
        <v>0</v>
      </c>
      <c r="P2901" s="52">
        <f t="shared" si="670"/>
        <v>0</v>
      </c>
      <c r="Q2901" s="49">
        <v>116.88487613461319</v>
      </c>
      <c r="R2901">
        <v>2225</v>
      </c>
      <c r="S2901" s="50">
        <f t="shared" si="666"/>
        <v>71535.307499999995</v>
      </c>
      <c r="T2901" s="50">
        <f t="shared" si="671"/>
        <v>0</v>
      </c>
      <c r="U2901" s="58">
        <f t="shared" si="672"/>
        <v>0</v>
      </c>
      <c r="V2901" s="58">
        <f t="shared" si="673"/>
        <v>0</v>
      </c>
      <c r="W2901" s="58">
        <f t="shared" si="674"/>
        <v>0</v>
      </c>
      <c r="X2901" s="58">
        <f t="shared" si="675"/>
        <v>0</v>
      </c>
      <c r="Y2901" s="52">
        <f t="shared" si="676"/>
        <v>0</v>
      </c>
    </row>
    <row r="2902" spans="1:25" x14ac:dyDescent="0.25">
      <c r="A2902" s="1218" t="s">
        <v>164</v>
      </c>
      <c r="B2902" s="98">
        <v>45962</v>
      </c>
      <c r="C2902" s="117" t="str">
        <f t="shared" si="663"/>
        <v>6L</v>
      </c>
      <c r="F2902" s="99">
        <f t="shared" si="678"/>
        <v>0</v>
      </c>
      <c r="I2902" s="99">
        <f t="shared" si="677"/>
        <v>0</v>
      </c>
      <c r="L2902" s="99">
        <f t="shared" si="665"/>
        <v>0</v>
      </c>
      <c r="M2902" s="44" t="str">
        <f t="shared" si="667"/>
        <v/>
      </c>
      <c r="N2902" s="100">
        <f t="shared" si="668"/>
        <v>0</v>
      </c>
      <c r="O2902" s="101">
        <f t="shared" si="669"/>
        <v>0</v>
      </c>
      <c r="P2902" s="52">
        <f t="shared" si="670"/>
        <v>0</v>
      </c>
      <c r="Q2902" s="49">
        <v>116.88487613461319</v>
      </c>
      <c r="R2902">
        <v>2225</v>
      </c>
      <c r="S2902" s="50">
        <f t="shared" si="666"/>
        <v>71535.307499999995</v>
      </c>
      <c r="T2902" s="50">
        <f t="shared" si="671"/>
        <v>0</v>
      </c>
      <c r="U2902" s="58">
        <f t="shared" si="672"/>
        <v>0</v>
      </c>
      <c r="V2902" s="58">
        <f t="shared" si="673"/>
        <v>0</v>
      </c>
      <c r="W2902" s="58">
        <f t="shared" si="674"/>
        <v>0</v>
      </c>
      <c r="X2902" s="58">
        <f t="shared" si="675"/>
        <v>0</v>
      </c>
      <c r="Y2902" s="52">
        <f t="shared" si="676"/>
        <v>0</v>
      </c>
    </row>
    <row r="2903" spans="1:25" x14ac:dyDescent="0.25">
      <c r="A2903" s="1218" t="s">
        <v>165</v>
      </c>
      <c r="B2903" s="98">
        <v>45962</v>
      </c>
      <c r="C2903" s="117" t="str">
        <f t="shared" si="663"/>
        <v>6L</v>
      </c>
      <c r="F2903" s="99">
        <f t="shared" si="678"/>
        <v>0</v>
      </c>
      <c r="I2903" s="99">
        <f t="shared" si="677"/>
        <v>0</v>
      </c>
      <c r="L2903" s="99">
        <f t="shared" si="665"/>
        <v>0</v>
      </c>
      <c r="M2903" s="44" t="str">
        <f t="shared" si="667"/>
        <v/>
      </c>
      <c r="N2903" s="100">
        <f t="shared" si="668"/>
        <v>0</v>
      </c>
      <c r="O2903" s="101">
        <f t="shared" si="669"/>
        <v>0</v>
      </c>
      <c r="P2903" s="52">
        <f t="shared" si="670"/>
        <v>0</v>
      </c>
      <c r="Q2903" s="49">
        <v>116.88487613461319</v>
      </c>
      <c r="R2903">
        <v>2225</v>
      </c>
      <c r="S2903" s="50">
        <f t="shared" si="666"/>
        <v>71535.307499999995</v>
      </c>
      <c r="T2903" s="50">
        <f t="shared" si="671"/>
        <v>0</v>
      </c>
      <c r="U2903" s="58">
        <f t="shared" si="672"/>
        <v>0</v>
      </c>
      <c r="V2903" s="58">
        <f t="shared" si="673"/>
        <v>0</v>
      </c>
      <c r="W2903" s="58">
        <f t="shared" si="674"/>
        <v>0</v>
      </c>
      <c r="X2903" s="58">
        <f t="shared" si="675"/>
        <v>0</v>
      </c>
      <c r="Y2903" s="52">
        <f t="shared" si="676"/>
        <v>0</v>
      </c>
    </row>
    <row r="2904" spans="1:25" x14ac:dyDescent="0.25">
      <c r="A2904" s="1218" t="s">
        <v>166</v>
      </c>
      <c r="B2904" s="98">
        <v>45962</v>
      </c>
      <c r="C2904" s="117" t="str">
        <f t="shared" si="663"/>
        <v>6L</v>
      </c>
      <c r="F2904" s="99">
        <f t="shared" si="678"/>
        <v>0</v>
      </c>
      <c r="I2904" s="99">
        <f t="shared" si="677"/>
        <v>0</v>
      </c>
      <c r="L2904" s="99">
        <f t="shared" si="665"/>
        <v>0</v>
      </c>
      <c r="M2904" s="44" t="str">
        <f t="shared" si="667"/>
        <v/>
      </c>
      <c r="N2904" s="100">
        <f t="shared" si="668"/>
        <v>0</v>
      </c>
      <c r="O2904" s="101">
        <f t="shared" si="669"/>
        <v>0</v>
      </c>
      <c r="P2904" s="52">
        <f t="shared" si="670"/>
        <v>0</v>
      </c>
      <c r="Q2904" s="49">
        <v>116.88487613461319</v>
      </c>
      <c r="R2904">
        <v>2225</v>
      </c>
      <c r="S2904" s="50">
        <f t="shared" si="666"/>
        <v>71535.307499999995</v>
      </c>
      <c r="T2904" s="50">
        <f t="shared" si="671"/>
        <v>0</v>
      </c>
      <c r="U2904" s="58">
        <f t="shared" si="672"/>
        <v>0</v>
      </c>
      <c r="V2904" s="58">
        <f t="shared" si="673"/>
        <v>0</v>
      </c>
      <c r="W2904" s="58">
        <f t="shared" si="674"/>
        <v>0</v>
      </c>
      <c r="X2904" s="58">
        <f t="shared" si="675"/>
        <v>0</v>
      </c>
      <c r="Y2904" s="52">
        <f t="shared" si="676"/>
        <v>0</v>
      </c>
    </row>
    <row r="2905" spans="1:25" x14ac:dyDescent="0.25">
      <c r="A2905" s="1218" t="s">
        <v>167</v>
      </c>
      <c r="B2905" s="98">
        <v>45962</v>
      </c>
      <c r="C2905" s="117" t="str">
        <f t="shared" si="663"/>
        <v>6L</v>
      </c>
      <c r="F2905" s="99">
        <f t="shared" si="678"/>
        <v>0</v>
      </c>
      <c r="I2905" s="99">
        <f t="shared" si="677"/>
        <v>0</v>
      </c>
      <c r="L2905" s="99">
        <f t="shared" si="665"/>
        <v>0</v>
      </c>
      <c r="M2905" s="44" t="str">
        <f t="shared" si="667"/>
        <v/>
      </c>
      <c r="N2905" s="100">
        <f t="shared" si="668"/>
        <v>0</v>
      </c>
      <c r="O2905" s="101">
        <f t="shared" si="669"/>
        <v>0</v>
      </c>
      <c r="P2905" s="52">
        <f t="shared" si="670"/>
        <v>0</v>
      </c>
      <c r="Q2905" s="49">
        <v>116.88487613461319</v>
      </c>
      <c r="R2905">
        <v>2225</v>
      </c>
      <c r="S2905" s="50">
        <f t="shared" si="666"/>
        <v>71535.307499999995</v>
      </c>
      <c r="T2905" s="50">
        <f t="shared" si="671"/>
        <v>0</v>
      </c>
      <c r="U2905" s="58">
        <f t="shared" si="672"/>
        <v>0</v>
      </c>
      <c r="V2905" s="58">
        <f t="shared" si="673"/>
        <v>0</v>
      </c>
      <c r="W2905" s="58">
        <f t="shared" si="674"/>
        <v>0</v>
      </c>
      <c r="X2905" s="58">
        <f t="shared" si="675"/>
        <v>0</v>
      </c>
      <c r="Y2905" s="52">
        <f t="shared" si="676"/>
        <v>0</v>
      </c>
    </row>
    <row r="2906" spans="1:25" x14ac:dyDescent="0.25">
      <c r="A2906" s="1218" t="s">
        <v>168</v>
      </c>
      <c r="B2906" s="98">
        <v>45962</v>
      </c>
      <c r="C2906" s="117" t="str">
        <f t="shared" ref="C2906:C2969" si="679">LEFT(A2906,2)</f>
        <v>6L</v>
      </c>
      <c r="F2906" s="99">
        <f t="shared" si="678"/>
        <v>0</v>
      </c>
      <c r="I2906" s="99">
        <f t="shared" si="677"/>
        <v>0</v>
      </c>
      <c r="L2906" s="99">
        <f t="shared" si="665"/>
        <v>0</v>
      </c>
      <c r="M2906" s="44" t="str">
        <f t="shared" si="667"/>
        <v/>
      </c>
      <c r="N2906" s="100">
        <f t="shared" si="668"/>
        <v>0</v>
      </c>
      <c r="O2906" s="101">
        <f t="shared" si="669"/>
        <v>0</v>
      </c>
      <c r="P2906" s="52">
        <f t="shared" si="670"/>
        <v>0</v>
      </c>
      <c r="Q2906" s="49">
        <v>116.88487613461319</v>
      </c>
      <c r="R2906">
        <v>2225</v>
      </c>
      <c r="S2906" s="50">
        <f t="shared" si="666"/>
        <v>71535.307499999995</v>
      </c>
      <c r="T2906" s="50">
        <f t="shared" si="671"/>
        <v>0</v>
      </c>
      <c r="U2906" s="58">
        <f t="shared" si="672"/>
        <v>0</v>
      </c>
      <c r="V2906" s="58">
        <f t="shared" si="673"/>
        <v>0</v>
      </c>
      <c r="W2906" s="58">
        <f t="shared" si="674"/>
        <v>0</v>
      </c>
      <c r="X2906" s="58">
        <f t="shared" si="675"/>
        <v>0</v>
      </c>
      <c r="Y2906" s="52">
        <f t="shared" si="676"/>
        <v>0</v>
      </c>
    </row>
    <row r="2907" spans="1:25" x14ac:dyDescent="0.25">
      <c r="A2907" s="1218" t="s">
        <v>169</v>
      </c>
      <c r="B2907" s="98">
        <v>45962</v>
      </c>
      <c r="C2907" s="117" t="str">
        <f t="shared" si="679"/>
        <v>6L</v>
      </c>
      <c r="F2907" s="99">
        <f t="shared" si="678"/>
        <v>0</v>
      </c>
      <c r="I2907" s="99">
        <f t="shared" si="677"/>
        <v>0</v>
      </c>
      <c r="L2907" s="99">
        <f t="shared" si="665"/>
        <v>0</v>
      </c>
      <c r="M2907" s="44" t="str">
        <f t="shared" si="667"/>
        <v/>
      </c>
      <c r="N2907" s="100">
        <f t="shared" si="668"/>
        <v>0</v>
      </c>
      <c r="O2907" s="101">
        <f t="shared" si="669"/>
        <v>0</v>
      </c>
      <c r="P2907" s="52">
        <f t="shared" si="670"/>
        <v>0</v>
      </c>
      <c r="Q2907" s="49">
        <v>116.88487613461319</v>
      </c>
      <c r="R2907">
        <v>2225</v>
      </c>
      <c r="S2907" s="50">
        <f t="shared" si="666"/>
        <v>71535.307499999995</v>
      </c>
      <c r="T2907" s="50">
        <f t="shared" si="671"/>
        <v>0</v>
      </c>
      <c r="U2907" s="58">
        <f t="shared" si="672"/>
        <v>0</v>
      </c>
      <c r="V2907" s="58">
        <f t="shared" si="673"/>
        <v>0</v>
      </c>
      <c r="W2907" s="58">
        <f t="shared" si="674"/>
        <v>0</v>
      </c>
      <c r="X2907" s="58">
        <f t="shared" si="675"/>
        <v>0</v>
      </c>
      <c r="Y2907" s="52">
        <f t="shared" si="676"/>
        <v>0</v>
      </c>
    </row>
    <row r="2908" spans="1:25" x14ac:dyDescent="0.25">
      <c r="A2908" s="1218" t="s">
        <v>170</v>
      </c>
      <c r="B2908" s="98">
        <v>45962</v>
      </c>
      <c r="C2908" s="117" t="str">
        <f t="shared" si="679"/>
        <v>6L</v>
      </c>
      <c r="F2908" s="99">
        <f t="shared" si="678"/>
        <v>0</v>
      </c>
      <c r="I2908" s="99">
        <f t="shared" si="677"/>
        <v>0</v>
      </c>
      <c r="L2908" s="99">
        <f t="shared" si="665"/>
        <v>0</v>
      </c>
      <c r="M2908" s="44" t="str">
        <f t="shared" si="667"/>
        <v/>
      </c>
      <c r="N2908" s="100">
        <f t="shared" si="668"/>
        <v>0</v>
      </c>
      <c r="O2908" s="101">
        <f t="shared" si="669"/>
        <v>0</v>
      </c>
      <c r="P2908" s="52">
        <f t="shared" si="670"/>
        <v>0</v>
      </c>
      <c r="Q2908" s="49">
        <v>116.88487613461319</v>
      </c>
      <c r="R2908">
        <v>2225</v>
      </c>
      <c r="S2908" s="50">
        <f t="shared" si="666"/>
        <v>71535.307499999995</v>
      </c>
      <c r="T2908" s="50">
        <f t="shared" si="671"/>
        <v>0</v>
      </c>
      <c r="U2908" s="58">
        <f t="shared" si="672"/>
        <v>0</v>
      </c>
      <c r="V2908" s="58">
        <f t="shared" si="673"/>
        <v>0</v>
      </c>
      <c r="W2908" s="58">
        <f t="shared" si="674"/>
        <v>0</v>
      </c>
      <c r="X2908" s="58">
        <f t="shared" si="675"/>
        <v>0</v>
      </c>
      <c r="Y2908" s="52">
        <f t="shared" si="676"/>
        <v>0</v>
      </c>
    </row>
    <row r="2909" spans="1:25" x14ac:dyDescent="0.25">
      <c r="A2909" s="1218" t="s">
        <v>171</v>
      </c>
      <c r="B2909" s="98">
        <v>45962</v>
      </c>
      <c r="C2909" s="117" t="str">
        <f t="shared" si="679"/>
        <v>6L</v>
      </c>
      <c r="F2909" s="99">
        <f t="shared" si="678"/>
        <v>0</v>
      </c>
      <c r="I2909" s="99">
        <f t="shared" si="677"/>
        <v>0</v>
      </c>
      <c r="L2909" s="99">
        <f t="shared" si="665"/>
        <v>0</v>
      </c>
      <c r="M2909" s="44" t="str">
        <f t="shared" si="667"/>
        <v/>
      </c>
      <c r="N2909" s="100">
        <f t="shared" si="668"/>
        <v>0</v>
      </c>
      <c r="O2909" s="101">
        <f t="shared" si="669"/>
        <v>0</v>
      </c>
      <c r="P2909" s="52">
        <f t="shared" si="670"/>
        <v>0</v>
      </c>
      <c r="Q2909" s="49">
        <v>116.88487613461319</v>
      </c>
      <c r="R2909">
        <v>2225</v>
      </c>
      <c r="S2909" s="50">
        <f t="shared" si="666"/>
        <v>71535.307499999995</v>
      </c>
      <c r="T2909" s="50">
        <f t="shared" si="671"/>
        <v>0</v>
      </c>
      <c r="U2909" s="58">
        <f t="shared" si="672"/>
        <v>0</v>
      </c>
      <c r="V2909" s="58">
        <f t="shared" si="673"/>
        <v>0</v>
      </c>
      <c r="W2909" s="58">
        <f t="shared" si="674"/>
        <v>0</v>
      </c>
      <c r="X2909" s="58">
        <f t="shared" si="675"/>
        <v>0</v>
      </c>
      <c r="Y2909" s="52">
        <f t="shared" si="676"/>
        <v>0</v>
      </c>
    </row>
    <row r="2910" spans="1:25" x14ac:dyDescent="0.25">
      <c r="A2910" s="1218" t="s">
        <v>172</v>
      </c>
      <c r="B2910" s="98">
        <v>45962</v>
      </c>
      <c r="C2910" s="117" t="str">
        <f t="shared" si="679"/>
        <v>6L</v>
      </c>
      <c r="D2910" s="118">
        <v>1872</v>
      </c>
      <c r="E2910">
        <v>2.4500000000000002</v>
      </c>
      <c r="F2910" s="99">
        <f t="shared" si="678"/>
        <v>4.5864000000000003</v>
      </c>
      <c r="I2910" s="99">
        <f t="shared" si="677"/>
        <v>0</v>
      </c>
      <c r="L2910" s="99">
        <f t="shared" si="665"/>
        <v>0</v>
      </c>
      <c r="M2910" s="44" t="str">
        <f t="shared" si="667"/>
        <v/>
      </c>
      <c r="N2910" s="100">
        <f t="shared" si="668"/>
        <v>0</v>
      </c>
      <c r="O2910" s="101">
        <f t="shared" si="669"/>
        <v>0</v>
      </c>
      <c r="P2910" s="52">
        <f t="shared" si="670"/>
        <v>0</v>
      </c>
      <c r="Q2910" s="49">
        <v>116.88487613461319</v>
      </c>
      <c r="R2910">
        <v>2225</v>
      </c>
      <c r="S2910" s="50">
        <f t="shared" si="666"/>
        <v>71535.307499999995</v>
      </c>
      <c r="T2910" s="50">
        <f t="shared" si="671"/>
        <v>0</v>
      </c>
      <c r="U2910" s="58">
        <f t="shared" si="672"/>
        <v>0</v>
      </c>
      <c r="V2910" s="58">
        <f t="shared" si="673"/>
        <v>0</v>
      </c>
      <c r="W2910" s="58">
        <f t="shared" si="674"/>
        <v>0</v>
      </c>
      <c r="X2910" s="58">
        <f t="shared" si="675"/>
        <v>0</v>
      </c>
      <c r="Y2910" s="52">
        <f t="shared" si="676"/>
        <v>0</v>
      </c>
    </row>
    <row r="2911" spans="1:25" x14ac:dyDescent="0.25">
      <c r="A2911" s="1218" t="s">
        <v>173</v>
      </c>
      <c r="B2911" s="98">
        <v>45962</v>
      </c>
      <c r="C2911" s="117" t="str">
        <f t="shared" si="679"/>
        <v>6L</v>
      </c>
      <c r="F2911" s="99">
        <f t="shared" si="678"/>
        <v>0</v>
      </c>
      <c r="I2911" s="99">
        <f t="shared" si="677"/>
        <v>0</v>
      </c>
      <c r="L2911" s="99">
        <f t="shared" si="665"/>
        <v>0</v>
      </c>
      <c r="M2911" s="44" t="str">
        <f t="shared" si="667"/>
        <v/>
      </c>
      <c r="N2911" s="100">
        <f t="shared" si="668"/>
        <v>0</v>
      </c>
      <c r="O2911" s="101">
        <f t="shared" si="669"/>
        <v>0</v>
      </c>
      <c r="P2911" s="52">
        <f t="shared" si="670"/>
        <v>0</v>
      </c>
      <c r="Q2911" s="49">
        <v>116.88487613461319</v>
      </c>
      <c r="R2911">
        <v>2225</v>
      </c>
      <c r="S2911" s="50">
        <f t="shared" si="666"/>
        <v>71535.307499999995</v>
      </c>
      <c r="T2911" s="50">
        <f t="shared" si="671"/>
        <v>0</v>
      </c>
      <c r="U2911" s="58">
        <f t="shared" si="672"/>
        <v>0</v>
      </c>
      <c r="V2911" s="58">
        <f t="shared" si="673"/>
        <v>0</v>
      </c>
      <c r="W2911" s="58">
        <f t="shared" si="674"/>
        <v>0</v>
      </c>
      <c r="X2911" s="58">
        <f t="shared" si="675"/>
        <v>0</v>
      </c>
      <c r="Y2911" s="52">
        <f t="shared" si="676"/>
        <v>0</v>
      </c>
    </row>
    <row r="2912" spans="1:25" x14ac:dyDescent="0.25">
      <c r="A2912" s="1218" t="s">
        <v>174</v>
      </c>
      <c r="B2912" s="98">
        <v>45962</v>
      </c>
      <c r="C2912" s="117" t="str">
        <f t="shared" si="679"/>
        <v>6L</v>
      </c>
      <c r="F2912" s="99">
        <f t="shared" si="678"/>
        <v>0</v>
      </c>
      <c r="I2912" s="99">
        <f t="shared" si="677"/>
        <v>0</v>
      </c>
      <c r="L2912" s="99">
        <f t="shared" si="665"/>
        <v>0</v>
      </c>
      <c r="M2912" s="44" t="str">
        <f t="shared" si="667"/>
        <v/>
      </c>
      <c r="N2912" s="100">
        <f t="shared" si="668"/>
        <v>0</v>
      </c>
      <c r="O2912" s="101">
        <f t="shared" si="669"/>
        <v>0</v>
      </c>
      <c r="P2912" s="52">
        <f t="shared" si="670"/>
        <v>0</v>
      </c>
      <c r="Q2912" s="49">
        <v>116.88487613461319</v>
      </c>
      <c r="R2912">
        <v>2225</v>
      </c>
      <c r="S2912" s="50">
        <f t="shared" si="666"/>
        <v>71535.307499999995</v>
      </c>
      <c r="T2912" s="50">
        <f t="shared" si="671"/>
        <v>0</v>
      </c>
      <c r="U2912" s="58">
        <f t="shared" si="672"/>
        <v>0</v>
      </c>
      <c r="V2912" s="58">
        <f t="shared" si="673"/>
        <v>0</v>
      </c>
      <c r="W2912" s="58">
        <f t="shared" si="674"/>
        <v>0</v>
      </c>
      <c r="X2912" s="58">
        <f t="shared" si="675"/>
        <v>0</v>
      </c>
      <c r="Y2912" s="52">
        <f t="shared" si="676"/>
        <v>0</v>
      </c>
    </row>
    <row r="2913" spans="1:25" x14ac:dyDescent="0.25">
      <c r="A2913" s="1218" t="s">
        <v>175</v>
      </c>
      <c r="B2913" s="98">
        <v>45962</v>
      </c>
      <c r="C2913" s="117" t="str">
        <f t="shared" si="679"/>
        <v>6L</v>
      </c>
      <c r="F2913" s="99">
        <f t="shared" si="678"/>
        <v>0</v>
      </c>
      <c r="I2913" s="99">
        <f t="shared" si="677"/>
        <v>0</v>
      </c>
      <c r="L2913" s="99">
        <f t="shared" si="665"/>
        <v>0</v>
      </c>
      <c r="M2913" s="44" t="str">
        <f t="shared" si="667"/>
        <v/>
      </c>
      <c r="N2913" s="100">
        <f t="shared" si="668"/>
        <v>0</v>
      </c>
      <c r="O2913" s="101">
        <f t="shared" si="669"/>
        <v>0</v>
      </c>
      <c r="P2913" s="52">
        <f t="shared" si="670"/>
        <v>0</v>
      </c>
      <c r="Q2913" s="49">
        <v>116.88487613461319</v>
      </c>
      <c r="R2913">
        <v>2225</v>
      </c>
      <c r="S2913" s="50">
        <f t="shared" si="666"/>
        <v>71535.307499999995</v>
      </c>
      <c r="T2913" s="50">
        <f t="shared" si="671"/>
        <v>0</v>
      </c>
      <c r="U2913" s="58">
        <f t="shared" si="672"/>
        <v>0</v>
      </c>
      <c r="V2913" s="58">
        <f t="shared" si="673"/>
        <v>0</v>
      </c>
      <c r="W2913" s="58">
        <f t="shared" si="674"/>
        <v>0</v>
      </c>
      <c r="X2913" s="58">
        <f t="shared" si="675"/>
        <v>0</v>
      </c>
      <c r="Y2913" s="52">
        <f t="shared" si="676"/>
        <v>0</v>
      </c>
    </row>
    <row r="2914" spans="1:25" x14ac:dyDescent="0.25">
      <c r="A2914" s="1218" t="s">
        <v>176</v>
      </c>
      <c r="B2914" s="98">
        <v>45962</v>
      </c>
      <c r="C2914" s="117" t="str">
        <f t="shared" si="679"/>
        <v>6L</v>
      </c>
      <c r="F2914" s="99">
        <f t="shared" si="678"/>
        <v>0</v>
      </c>
      <c r="I2914" s="99">
        <f t="shared" si="677"/>
        <v>0</v>
      </c>
      <c r="L2914" s="99">
        <f t="shared" si="665"/>
        <v>0</v>
      </c>
      <c r="M2914" s="44" t="str">
        <f t="shared" si="667"/>
        <v/>
      </c>
      <c r="N2914" s="100">
        <f t="shared" si="668"/>
        <v>0</v>
      </c>
      <c r="O2914" s="101">
        <f t="shared" si="669"/>
        <v>0</v>
      </c>
      <c r="P2914" s="52">
        <f t="shared" si="670"/>
        <v>0</v>
      </c>
      <c r="Q2914" s="49">
        <v>116.88487613461319</v>
      </c>
      <c r="R2914">
        <v>2225</v>
      </c>
      <c r="S2914" s="50">
        <f t="shared" si="666"/>
        <v>71535.307499999995</v>
      </c>
      <c r="T2914" s="50">
        <f t="shared" si="671"/>
        <v>0</v>
      </c>
      <c r="U2914" s="58">
        <f t="shared" si="672"/>
        <v>0</v>
      </c>
      <c r="V2914" s="58">
        <f t="shared" si="673"/>
        <v>0</v>
      </c>
      <c r="W2914" s="58">
        <f t="shared" si="674"/>
        <v>0</v>
      </c>
      <c r="X2914" s="58">
        <f t="shared" si="675"/>
        <v>0</v>
      </c>
      <c r="Y2914" s="52">
        <f t="shared" si="676"/>
        <v>0</v>
      </c>
    </row>
    <row r="2915" spans="1:25" x14ac:dyDescent="0.25">
      <c r="A2915" s="1218" t="s">
        <v>177</v>
      </c>
      <c r="B2915" s="98">
        <v>45962</v>
      </c>
      <c r="C2915" s="117" t="str">
        <f t="shared" si="679"/>
        <v>6L</v>
      </c>
      <c r="F2915" s="99">
        <f t="shared" si="678"/>
        <v>0</v>
      </c>
      <c r="I2915" s="99">
        <f t="shared" si="677"/>
        <v>0</v>
      </c>
      <c r="L2915" s="99">
        <f t="shared" si="665"/>
        <v>0</v>
      </c>
      <c r="M2915" s="44" t="str">
        <f t="shared" si="667"/>
        <v/>
      </c>
      <c r="N2915" s="100">
        <f t="shared" si="668"/>
        <v>0</v>
      </c>
      <c r="O2915" s="101">
        <f t="shared" si="669"/>
        <v>0</v>
      </c>
      <c r="P2915" s="52">
        <f t="shared" si="670"/>
        <v>0</v>
      </c>
      <c r="Q2915" s="49">
        <v>116.88487613461319</v>
      </c>
      <c r="R2915">
        <v>2225</v>
      </c>
      <c r="S2915" s="50">
        <f t="shared" si="666"/>
        <v>71535.307499999995</v>
      </c>
      <c r="T2915" s="50">
        <f t="shared" si="671"/>
        <v>0</v>
      </c>
      <c r="U2915" s="58">
        <f t="shared" si="672"/>
        <v>0</v>
      </c>
      <c r="V2915" s="58">
        <f t="shared" si="673"/>
        <v>0</v>
      </c>
      <c r="W2915" s="58">
        <f t="shared" si="674"/>
        <v>0</v>
      </c>
      <c r="X2915" s="58">
        <f t="shared" si="675"/>
        <v>0</v>
      </c>
      <c r="Y2915" s="52">
        <f t="shared" si="676"/>
        <v>0</v>
      </c>
    </row>
    <row r="2916" spans="1:25" x14ac:dyDescent="0.25">
      <c r="A2916" s="1218" t="s">
        <v>178</v>
      </c>
      <c r="B2916" s="98">
        <v>45962</v>
      </c>
      <c r="C2916" s="117" t="str">
        <f t="shared" si="679"/>
        <v>7L</v>
      </c>
      <c r="F2916" s="99">
        <f t="shared" si="678"/>
        <v>0</v>
      </c>
      <c r="I2916" s="99">
        <f t="shared" si="677"/>
        <v>0</v>
      </c>
      <c r="L2916" s="99">
        <f t="shared" si="665"/>
        <v>0</v>
      </c>
      <c r="M2916" s="44" t="str">
        <f t="shared" si="667"/>
        <v/>
      </c>
      <c r="N2916" s="100">
        <f t="shared" si="668"/>
        <v>0</v>
      </c>
      <c r="O2916" s="101">
        <f t="shared" si="669"/>
        <v>0</v>
      </c>
      <c r="P2916" s="52">
        <f t="shared" si="670"/>
        <v>0</v>
      </c>
      <c r="Q2916" s="49">
        <v>116.88487613461319</v>
      </c>
      <c r="R2916">
        <v>2225</v>
      </c>
      <c r="S2916" s="50">
        <f t="shared" si="666"/>
        <v>71535.307499999995</v>
      </c>
      <c r="T2916" s="50">
        <f t="shared" si="671"/>
        <v>0</v>
      </c>
      <c r="U2916" s="58">
        <f t="shared" si="672"/>
        <v>0</v>
      </c>
      <c r="V2916" s="58">
        <f t="shared" si="673"/>
        <v>0</v>
      </c>
      <c r="W2916" s="58">
        <f t="shared" si="674"/>
        <v>0</v>
      </c>
      <c r="X2916" s="58">
        <f t="shared" si="675"/>
        <v>0</v>
      </c>
      <c r="Y2916" s="52">
        <f t="shared" si="676"/>
        <v>0</v>
      </c>
    </row>
    <row r="2917" spans="1:25" x14ac:dyDescent="0.25">
      <c r="A2917" s="1218" t="s">
        <v>179</v>
      </c>
      <c r="B2917" s="98">
        <v>45962</v>
      </c>
      <c r="C2917" s="117" t="str">
        <f t="shared" si="679"/>
        <v>7L</v>
      </c>
      <c r="F2917" s="99">
        <f t="shared" si="678"/>
        <v>0</v>
      </c>
      <c r="I2917" s="99">
        <f t="shared" si="677"/>
        <v>0</v>
      </c>
      <c r="L2917" s="99">
        <f t="shared" si="665"/>
        <v>0</v>
      </c>
      <c r="M2917" s="44" t="str">
        <f t="shared" si="667"/>
        <v/>
      </c>
      <c r="N2917" s="100">
        <f t="shared" si="668"/>
        <v>0</v>
      </c>
      <c r="O2917" s="101">
        <f t="shared" si="669"/>
        <v>0</v>
      </c>
      <c r="P2917" s="52">
        <f t="shared" si="670"/>
        <v>0</v>
      </c>
      <c r="Q2917" s="49">
        <v>116.88487613461319</v>
      </c>
      <c r="R2917">
        <v>2225</v>
      </c>
      <c r="S2917" s="50">
        <f t="shared" si="666"/>
        <v>71535.307499999995</v>
      </c>
      <c r="T2917" s="50">
        <f t="shared" si="671"/>
        <v>0</v>
      </c>
      <c r="U2917" s="58">
        <f t="shared" si="672"/>
        <v>0</v>
      </c>
      <c r="V2917" s="58">
        <f t="shared" si="673"/>
        <v>0</v>
      </c>
      <c r="W2917" s="58">
        <f t="shared" si="674"/>
        <v>0</v>
      </c>
      <c r="X2917" s="58">
        <f t="shared" si="675"/>
        <v>0</v>
      </c>
      <c r="Y2917" s="52">
        <f t="shared" si="676"/>
        <v>0</v>
      </c>
    </row>
    <row r="2918" spans="1:25" x14ac:dyDescent="0.25">
      <c r="A2918" s="1218" t="s">
        <v>180</v>
      </c>
      <c r="B2918" s="98">
        <v>45962</v>
      </c>
      <c r="C2918" s="117" t="str">
        <f t="shared" si="679"/>
        <v>7L</v>
      </c>
      <c r="F2918" s="99">
        <f t="shared" si="678"/>
        <v>0</v>
      </c>
      <c r="I2918" s="99">
        <f t="shared" si="677"/>
        <v>0</v>
      </c>
      <c r="L2918" s="99">
        <f t="shared" si="665"/>
        <v>0</v>
      </c>
      <c r="M2918" s="44" t="str">
        <f t="shared" si="667"/>
        <v/>
      </c>
      <c r="N2918" s="100">
        <f t="shared" si="668"/>
        <v>0</v>
      </c>
      <c r="O2918" s="101">
        <f t="shared" si="669"/>
        <v>0</v>
      </c>
      <c r="P2918" s="52">
        <f t="shared" si="670"/>
        <v>0</v>
      </c>
      <c r="Q2918" s="49">
        <v>116.88487613461319</v>
      </c>
      <c r="R2918">
        <v>2225</v>
      </c>
      <c r="S2918" s="50">
        <f t="shared" si="666"/>
        <v>71535.307499999995</v>
      </c>
      <c r="T2918" s="50">
        <f t="shared" si="671"/>
        <v>0</v>
      </c>
      <c r="U2918" s="58">
        <f t="shared" si="672"/>
        <v>0</v>
      </c>
      <c r="V2918" s="58">
        <f t="shared" si="673"/>
        <v>0</v>
      </c>
      <c r="W2918" s="58">
        <f t="shared" si="674"/>
        <v>0</v>
      </c>
      <c r="X2918" s="58">
        <f t="shared" si="675"/>
        <v>0</v>
      </c>
      <c r="Y2918" s="52">
        <f t="shared" si="676"/>
        <v>0</v>
      </c>
    </row>
    <row r="2919" spans="1:25" x14ac:dyDescent="0.25">
      <c r="A2919" s="1218" t="s">
        <v>181</v>
      </c>
      <c r="B2919" s="98">
        <v>45962</v>
      </c>
      <c r="C2919" s="117" t="str">
        <f t="shared" si="679"/>
        <v>7L</v>
      </c>
      <c r="D2919">
        <v>594</v>
      </c>
      <c r="E2919">
        <v>2.88</v>
      </c>
      <c r="F2919" s="99">
        <f t="shared" si="678"/>
        <v>1.71072</v>
      </c>
      <c r="I2919" s="99">
        <f t="shared" si="677"/>
        <v>0</v>
      </c>
      <c r="L2919" s="99">
        <f t="shared" si="665"/>
        <v>0</v>
      </c>
      <c r="M2919" s="44" t="str">
        <f t="shared" si="667"/>
        <v/>
      </c>
      <c r="N2919" s="100">
        <f t="shared" si="668"/>
        <v>0</v>
      </c>
      <c r="O2919" s="101">
        <f t="shared" si="669"/>
        <v>0</v>
      </c>
      <c r="P2919" s="52">
        <f t="shared" si="670"/>
        <v>0</v>
      </c>
      <c r="Q2919" s="49">
        <v>116.88487613461319</v>
      </c>
      <c r="R2919">
        <v>2225</v>
      </c>
      <c r="S2919" s="50">
        <f t="shared" si="666"/>
        <v>71535.307499999995</v>
      </c>
      <c r="T2919" s="50">
        <f t="shared" si="671"/>
        <v>0</v>
      </c>
      <c r="U2919" s="58">
        <f t="shared" si="672"/>
        <v>0</v>
      </c>
      <c r="V2919" s="58">
        <f t="shared" si="673"/>
        <v>0</v>
      </c>
      <c r="W2919" s="58">
        <f t="shared" si="674"/>
        <v>0</v>
      </c>
      <c r="X2919" s="58">
        <f t="shared" si="675"/>
        <v>0</v>
      </c>
      <c r="Y2919" s="52">
        <f t="shared" si="676"/>
        <v>0</v>
      </c>
    </row>
    <row r="2920" spans="1:25" x14ac:dyDescent="0.25">
      <c r="A2920" s="1218" t="s">
        <v>182</v>
      </c>
      <c r="B2920" s="98">
        <v>45962</v>
      </c>
      <c r="C2920" s="117" t="str">
        <f t="shared" si="679"/>
        <v>7L</v>
      </c>
      <c r="D2920">
        <v>1872</v>
      </c>
      <c r="E2920">
        <v>3.61</v>
      </c>
      <c r="F2920" s="99">
        <f t="shared" si="678"/>
        <v>6.7579200000000004</v>
      </c>
      <c r="I2920" s="99">
        <f t="shared" si="677"/>
        <v>0</v>
      </c>
      <c r="L2920" s="99">
        <f t="shared" si="665"/>
        <v>0</v>
      </c>
      <c r="M2920" s="44" t="str">
        <f t="shared" si="667"/>
        <v/>
      </c>
      <c r="N2920" s="100">
        <f t="shared" si="668"/>
        <v>0</v>
      </c>
      <c r="O2920" s="101">
        <f t="shared" si="669"/>
        <v>0</v>
      </c>
      <c r="P2920" s="52">
        <f t="shared" si="670"/>
        <v>0</v>
      </c>
      <c r="Q2920" s="49">
        <v>116.88487613461319</v>
      </c>
      <c r="R2920">
        <v>2225</v>
      </c>
      <c r="S2920" s="50">
        <f t="shared" si="666"/>
        <v>71535.307499999995</v>
      </c>
      <c r="T2920" s="50">
        <f t="shared" si="671"/>
        <v>0</v>
      </c>
      <c r="U2920" s="58">
        <f t="shared" si="672"/>
        <v>0</v>
      </c>
      <c r="V2920" s="58">
        <f t="shared" si="673"/>
        <v>0</v>
      </c>
      <c r="W2920" s="58">
        <f t="shared" si="674"/>
        <v>0</v>
      </c>
      <c r="X2920" s="58">
        <f t="shared" si="675"/>
        <v>0</v>
      </c>
      <c r="Y2920" s="52">
        <f t="shared" si="676"/>
        <v>0</v>
      </c>
    </row>
    <row r="2921" spans="1:25" x14ac:dyDescent="0.25">
      <c r="A2921" s="1218" t="s">
        <v>183</v>
      </c>
      <c r="B2921" s="98">
        <v>45962</v>
      </c>
      <c r="C2921" s="117" t="str">
        <f t="shared" si="679"/>
        <v>7L</v>
      </c>
      <c r="D2921">
        <v>1873</v>
      </c>
      <c r="E2921">
        <v>2.87</v>
      </c>
      <c r="F2921" s="99">
        <f t="shared" si="678"/>
        <v>5.3755100000000002</v>
      </c>
      <c r="I2921" s="99">
        <f t="shared" si="677"/>
        <v>0</v>
      </c>
      <c r="L2921" s="99">
        <f t="shared" si="665"/>
        <v>0</v>
      </c>
      <c r="M2921" s="44" t="str">
        <f t="shared" si="667"/>
        <v/>
      </c>
      <c r="N2921" s="100">
        <f t="shared" si="668"/>
        <v>0</v>
      </c>
      <c r="O2921" s="101">
        <f t="shared" si="669"/>
        <v>0</v>
      </c>
      <c r="P2921" s="52">
        <f t="shared" si="670"/>
        <v>0</v>
      </c>
      <c r="Q2921" s="49">
        <v>116.88487613461319</v>
      </c>
      <c r="R2921">
        <v>2225</v>
      </c>
      <c r="S2921" s="50">
        <f t="shared" si="666"/>
        <v>71535.307499999995</v>
      </c>
      <c r="T2921" s="50">
        <f t="shared" si="671"/>
        <v>0</v>
      </c>
      <c r="U2921" s="58">
        <f t="shared" si="672"/>
        <v>0</v>
      </c>
      <c r="V2921" s="58">
        <f t="shared" si="673"/>
        <v>0</v>
      </c>
      <c r="W2921" s="58">
        <f t="shared" si="674"/>
        <v>0</v>
      </c>
      <c r="X2921" s="58">
        <f t="shared" si="675"/>
        <v>0</v>
      </c>
      <c r="Y2921" s="52">
        <f t="shared" si="676"/>
        <v>0</v>
      </c>
    </row>
    <row r="2922" spans="1:25" x14ac:dyDescent="0.25">
      <c r="A2922" s="1218" t="s">
        <v>184</v>
      </c>
      <c r="B2922" s="98">
        <v>45962</v>
      </c>
      <c r="C2922" s="117" t="str">
        <f t="shared" si="679"/>
        <v>7L</v>
      </c>
      <c r="D2922">
        <v>2809</v>
      </c>
      <c r="E2922">
        <v>2.4300000000000002</v>
      </c>
      <c r="F2922" s="99">
        <f t="shared" si="678"/>
        <v>6.825870000000001</v>
      </c>
      <c r="I2922" s="99">
        <f t="shared" si="677"/>
        <v>0</v>
      </c>
      <c r="L2922" s="99">
        <f t="shared" si="665"/>
        <v>0</v>
      </c>
      <c r="M2922" s="44" t="str">
        <f t="shared" si="667"/>
        <v/>
      </c>
      <c r="N2922" s="100">
        <f t="shared" si="668"/>
        <v>0</v>
      </c>
      <c r="O2922" s="101">
        <f t="shared" si="669"/>
        <v>0</v>
      </c>
      <c r="P2922" s="52">
        <f t="shared" si="670"/>
        <v>0</v>
      </c>
      <c r="Q2922" s="49">
        <v>116.88487613461319</v>
      </c>
      <c r="R2922">
        <v>2225</v>
      </c>
      <c r="S2922" s="50">
        <f t="shared" si="666"/>
        <v>71535.307499999995</v>
      </c>
      <c r="T2922" s="50">
        <f t="shared" si="671"/>
        <v>0</v>
      </c>
      <c r="U2922" s="58">
        <f t="shared" si="672"/>
        <v>0</v>
      </c>
      <c r="V2922" s="58">
        <f t="shared" si="673"/>
        <v>0</v>
      </c>
      <c r="W2922" s="58">
        <f t="shared" si="674"/>
        <v>0</v>
      </c>
      <c r="X2922" s="58">
        <f t="shared" si="675"/>
        <v>0</v>
      </c>
      <c r="Y2922" s="52">
        <f t="shared" si="676"/>
        <v>0</v>
      </c>
    </row>
    <row r="2923" spans="1:25" x14ac:dyDescent="0.25">
      <c r="A2923" s="1218" t="s">
        <v>185</v>
      </c>
      <c r="B2923" s="98">
        <v>45962</v>
      </c>
      <c r="C2923" s="117" t="str">
        <f t="shared" si="679"/>
        <v>7L</v>
      </c>
      <c r="F2923" s="99">
        <f t="shared" si="678"/>
        <v>0</v>
      </c>
      <c r="I2923" s="99">
        <f t="shared" si="677"/>
        <v>0</v>
      </c>
      <c r="L2923" s="99">
        <f t="shared" si="665"/>
        <v>0</v>
      </c>
      <c r="M2923" s="44" t="str">
        <f t="shared" si="667"/>
        <v/>
      </c>
      <c r="N2923" s="100">
        <f t="shared" si="668"/>
        <v>0</v>
      </c>
      <c r="O2923" s="101">
        <f t="shared" si="669"/>
        <v>0</v>
      </c>
      <c r="P2923" s="52">
        <f t="shared" si="670"/>
        <v>0</v>
      </c>
      <c r="Q2923" s="49">
        <v>116.88487613461319</v>
      </c>
      <c r="R2923">
        <v>2225</v>
      </c>
      <c r="S2923" s="50">
        <f t="shared" si="666"/>
        <v>71535.307499999995</v>
      </c>
      <c r="T2923" s="50">
        <f t="shared" si="671"/>
        <v>0</v>
      </c>
      <c r="U2923" s="58">
        <f t="shared" si="672"/>
        <v>0</v>
      </c>
      <c r="V2923" s="58">
        <f t="shared" si="673"/>
        <v>0</v>
      </c>
      <c r="W2923" s="58">
        <f t="shared" si="674"/>
        <v>0</v>
      </c>
      <c r="X2923" s="58">
        <f t="shared" si="675"/>
        <v>0</v>
      </c>
      <c r="Y2923" s="52">
        <f t="shared" si="676"/>
        <v>0</v>
      </c>
    </row>
    <row r="2924" spans="1:25" x14ac:dyDescent="0.25">
      <c r="A2924" s="1218" t="s">
        <v>186</v>
      </c>
      <c r="B2924" s="98">
        <v>45962</v>
      </c>
      <c r="C2924" s="117" t="str">
        <f t="shared" si="679"/>
        <v>7L</v>
      </c>
      <c r="F2924" s="99">
        <f t="shared" si="678"/>
        <v>0</v>
      </c>
      <c r="I2924" s="99">
        <f t="shared" si="677"/>
        <v>0</v>
      </c>
      <c r="L2924" s="99">
        <f t="shared" si="665"/>
        <v>0</v>
      </c>
      <c r="M2924" s="44" t="str">
        <f t="shared" si="667"/>
        <v/>
      </c>
      <c r="N2924" s="100">
        <f t="shared" si="668"/>
        <v>0</v>
      </c>
      <c r="O2924" s="101">
        <f t="shared" si="669"/>
        <v>0</v>
      </c>
      <c r="P2924" s="52">
        <f t="shared" si="670"/>
        <v>0</v>
      </c>
      <c r="Q2924" s="49">
        <v>116.88487613461319</v>
      </c>
      <c r="R2924">
        <v>2225</v>
      </c>
      <c r="S2924" s="50">
        <f t="shared" si="666"/>
        <v>71535.307499999995</v>
      </c>
      <c r="T2924" s="50">
        <f t="shared" si="671"/>
        <v>0</v>
      </c>
      <c r="U2924" s="58">
        <f t="shared" si="672"/>
        <v>0</v>
      </c>
      <c r="V2924" s="58">
        <f t="shared" si="673"/>
        <v>0</v>
      </c>
      <c r="W2924" s="58">
        <f t="shared" si="674"/>
        <v>0</v>
      </c>
      <c r="X2924" s="58">
        <f t="shared" si="675"/>
        <v>0</v>
      </c>
      <c r="Y2924" s="52">
        <f t="shared" si="676"/>
        <v>0</v>
      </c>
    </row>
    <row r="2925" spans="1:25" x14ac:dyDescent="0.25">
      <c r="A2925" s="1218" t="s">
        <v>187</v>
      </c>
      <c r="B2925" s="98">
        <v>45962</v>
      </c>
      <c r="C2925" s="117" t="str">
        <f t="shared" si="679"/>
        <v>7L</v>
      </c>
      <c r="F2925" s="99">
        <f t="shared" si="678"/>
        <v>0</v>
      </c>
      <c r="I2925" s="99">
        <f t="shared" si="677"/>
        <v>0</v>
      </c>
      <c r="L2925" s="99">
        <f t="shared" si="665"/>
        <v>0</v>
      </c>
      <c r="M2925" s="44" t="str">
        <f t="shared" si="667"/>
        <v/>
      </c>
      <c r="N2925" s="100">
        <f t="shared" si="668"/>
        <v>0</v>
      </c>
      <c r="O2925" s="101">
        <f t="shared" si="669"/>
        <v>0</v>
      </c>
      <c r="P2925" s="52">
        <f t="shared" si="670"/>
        <v>0</v>
      </c>
      <c r="Q2925" s="49">
        <v>116.88487613461319</v>
      </c>
      <c r="R2925">
        <v>2225</v>
      </c>
      <c r="S2925" s="50">
        <f t="shared" si="666"/>
        <v>71535.307499999995</v>
      </c>
      <c r="T2925" s="50">
        <f t="shared" si="671"/>
        <v>0</v>
      </c>
      <c r="U2925" s="58">
        <f t="shared" si="672"/>
        <v>0</v>
      </c>
      <c r="V2925" s="58">
        <f t="shared" si="673"/>
        <v>0</v>
      </c>
      <c r="W2925" s="58">
        <f t="shared" si="674"/>
        <v>0</v>
      </c>
      <c r="X2925" s="58">
        <f t="shared" si="675"/>
        <v>0</v>
      </c>
      <c r="Y2925" s="52">
        <f t="shared" si="676"/>
        <v>0</v>
      </c>
    </row>
    <row r="2926" spans="1:25" x14ac:dyDescent="0.25">
      <c r="A2926" s="1218" t="s">
        <v>188</v>
      </c>
      <c r="B2926" s="98">
        <v>45962</v>
      </c>
      <c r="C2926" s="117" t="str">
        <f t="shared" si="679"/>
        <v>7L</v>
      </c>
      <c r="F2926" s="99">
        <f t="shared" si="678"/>
        <v>0</v>
      </c>
      <c r="I2926" s="99">
        <f t="shared" si="677"/>
        <v>0</v>
      </c>
      <c r="L2926" s="99">
        <f t="shared" si="665"/>
        <v>0</v>
      </c>
      <c r="M2926" s="44" t="str">
        <f t="shared" si="667"/>
        <v/>
      </c>
      <c r="N2926" s="100">
        <f t="shared" si="668"/>
        <v>0</v>
      </c>
      <c r="O2926" s="101">
        <f t="shared" si="669"/>
        <v>0</v>
      </c>
      <c r="P2926" s="52">
        <f t="shared" si="670"/>
        <v>0</v>
      </c>
      <c r="Q2926" s="49">
        <v>116.88487613461319</v>
      </c>
      <c r="R2926">
        <v>2225</v>
      </c>
      <c r="S2926" s="50">
        <f t="shared" si="666"/>
        <v>71535.307499999995</v>
      </c>
      <c r="T2926" s="50">
        <f t="shared" si="671"/>
        <v>0</v>
      </c>
      <c r="U2926" s="58">
        <f t="shared" si="672"/>
        <v>0</v>
      </c>
      <c r="V2926" s="58">
        <f t="shared" si="673"/>
        <v>0</v>
      </c>
      <c r="W2926" s="58">
        <f t="shared" si="674"/>
        <v>0</v>
      </c>
      <c r="X2926" s="58">
        <f t="shared" si="675"/>
        <v>0</v>
      </c>
      <c r="Y2926" s="52">
        <f t="shared" si="676"/>
        <v>0</v>
      </c>
    </row>
    <row r="2927" spans="1:25" x14ac:dyDescent="0.25">
      <c r="A2927" s="1218" t="s">
        <v>189</v>
      </c>
      <c r="B2927" s="98">
        <v>45962</v>
      </c>
      <c r="C2927" s="117" t="str">
        <f t="shared" si="679"/>
        <v>7L</v>
      </c>
      <c r="D2927">
        <v>2809</v>
      </c>
      <c r="E2927">
        <v>2.5499999999999998</v>
      </c>
      <c r="F2927" s="99">
        <f t="shared" si="678"/>
        <v>7.1629499999999995</v>
      </c>
      <c r="I2927" s="99">
        <f t="shared" si="677"/>
        <v>0</v>
      </c>
      <c r="L2927" s="99">
        <f t="shared" si="665"/>
        <v>0</v>
      </c>
      <c r="M2927" s="44" t="str">
        <f t="shared" si="667"/>
        <v/>
      </c>
      <c r="N2927" s="100">
        <f t="shared" si="668"/>
        <v>0</v>
      </c>
      <c r="O2927" s="101">
        <f t="shared" si="669"/>
        <v>0</v>
      </c>
      <c r="P2927" s="52">
        <f t="shared" si="670"/>
        <v>0</v>
      </c>
      <c r="Q2927" s="49">
        <v>116.88487613461319</v>
      </c>
      <c r="R2927">
        <v>2225</v>
      </c>
      <c r="S2927" s="50">
        <f t="shared" si="666"/>
        <v>71535.307499999995</v>
      </c>
      <c r="T2927" s="50">
        <f t="shared" si="671"/>
        <v>0</v>
      </c>
      <c r="U2927" s="58">
        <f t="shared" si="672"/>
        <v>0</v>
      </c>
      <c r="V2927" s="58">
        <f t="shared" si="673"/>
        <v>0</v>
      </c>
      <c r="W2927" s="58">
        <f t="shared" si="674"/>
        <v>0</v>
      </c>
      <c r="X2927" s="58">
        <f t="shared" si="675"/>
        <v>0</v>
      </c>
      <c r="Y2927" s="52">
        <f t="shared" si="676"/>
        <v>0</v>
      </c>
    </row>
    <row r="2928" spans="1:25" x14ac:dyDescent="0.25">
      <c r="A2928" s="1218" t="s">
        <v>190</v>
      </c>
      <c r="B2928" s="98">
        <v>45962</v>
      </c>
      <c r="C2928" s="117" t="str">
        <f t="shared" si="679"/>
        <v>8L</v>
      </c>
      <c r="F2928" s="99">
        <f t="shared" si="678"/>
        <v>0</v>
      </c>
      <c r="I2928" s="99">
        <f t="shared" si="677"/>
        <v>0</v>
      </c>
      <c r="L2928" s="99">
        <f t="shared" si="665"/>
        <v>0</v>
      </c>
      <c r="M2928" s="44" t="str">
        <f t="shared" si="667"/>
        <v/>
      </c>
      <c r="N2928" s="100">
        <f t="shared" si="668"/>
        <v>0</v>
      </c>
      <c r="O2928" s="101">
        <f t="shared" si="669"/>
        <v>0</v>
      </c>
      <c r="P2928" s="52">
        <f t="shared" si="670"/>
        <v>0</v>
      </c>
      <c r="Q2928" s="49">
        <v>116.88487613461319</v>
      </c>
      <c r="R2928">
        <v>2225</v>
      </c>
      <c r="S2928" s="50">
        <f t="shared" si="666"/>
        <v>71535.307499999995</v>
      </c>
      <c r="T2928" s="50">
        <f t="shared" si="671"/>
        <v>0</v>
      </c>
      <c r="U2928" s="58">
        <f t="shared" si="672"/>
        <v>0</v>
      </c>
      <c r="V2928" s="58">
        <f t="shared" si="673"/>
        <v>0</v>
      </c>
      <c r="W2928" s="58">
        <f t="shared" si="674"/>
        <v>0</v>
      </c>
      <c r="X2928" s="58">
        <f t="shared" si="675"/>
        <v>0</v>
      </c>
      <c r="Y2928" s="52">
        <f t="shared" si="676"/>
        <v>0</v>
      </c>
    </row>
    <row r="2929" spans="1:25" x14ac:dyDescent="0.25">
      <c r="A2929" s="1218" t="s">
        <v>191</v>
      </c>
      <c r="B2929" s="98">
        <v>45962</v>
      </c>
      <c r="C2929" s="117" t="str">
        <f t="shared" si="679"/>
        <v>8L</v>
      </c>
      <c r="D2929" s="118">
        <v>876</v>
      </c>
      <c r="E2929">
        <v>2.64</v>
      </c>
      <c r="F2929" s="99">
        <f t="shared" si="678"/>
        <v>2.3126400000000005</v>
      </c>
      <c r="I2929" s="99">
        <f t="shared" si="677"/>
        <v>0</v>
      </c>
      <c r="L2929" s="99">
        <f t="shared" si="665"/>
        <v>0</v>
      </c>
      <c r="M2929" s="44" t="str">
        <f t="shared" si="667"/>
        <v/>
      </c>
      <c r="N2929" s="100">
        <f t="shared" si="668"/>
        <v>0</v>
      </c>
      <c r="O2929" s="101">
        <f t="shared" si="669"/>
        <v>0</v>
      </c>
      <c r="P2929" s="52">
        <f t="shared" si="670"/>
        <v>0</v>
      </c>
      <c r="Q2929" s="49">
        <v>116.88487613461319</v>
      </c>
      <c r="R2929">
        <v>2225</v>
      </c>
      <c r="S2929" s="50">
        <f t="shared" si="666"/>
        <v>71535.307499999995</v>
      </c>
      <c r="T2929" s="50">
        <f t="shared" si="671"/>
        <v>0</v>
      </c>
      <c r="U2929" s="58">
        <f t="shared" si="672"/>
        <v>0</v>
      </c>
      <c r="V2929" s="58">
        <f t="shared" si="673"/>
        <v>0</v>
      </c>
      <c r="W2929" s="58">
        <f t="shared" si="674"/>
        <v>0</v>
      </c>
      <c r="X2929" s="58">
        <f t="shared" si="675"/>
        <v>0</v>
      </c>
      <c r="Y2929" s="52">
        <f t="shared" si="676"/>
        <v>0</v>
      </c>
    </row>
    <row r="2930" spans="1:25" x14ac:dyDescent="0.25">
      <c r="A2930" s="1218" t="s">
        <v>192</v>
      </c>
      <c r="B2930" s="98">
        <v>45962</v>
      </c>
      <c r="C2930" s="117" t="str">
        <f t="shared" si="679"/>
        <v>8L</v>
      </c>
      <c r="F2930" s="99">
        <f t="shared" si="678"/>
        <v>0</v>
      </c>
      <c r="I2930" s="99">
        <f t="shared" si="677"/>
        <v>0</v>
      </c>
      <c r="L2930" s="99">
        <f t="shared" si="665"/>
        <v>0</v>
      </c>
      <c r="M2930" s="44" t="str">
        <f t="shared" si="667"/>
        <v/>
      </c>
      <c r="N2930" s="100">
        <f t="shared" si="668"/>
        <v>0</v>
      </c>
      <c r="O2930" s="101">
        <f t="shared" si="669"/>
        <v>0</v>
      </c>
      <c r="P2930" s="52">
        <f t="shared" si="670"/>
        <v>0</v>
      </c>
      <c r="Q2930" s="49">
        <v>116.88487613461319</v>
      </c>
      <c r="R2930">
        <v>2225</v>
      </c>
      <c r="S2930" s="50">
        <f t="shared" si="666"/>
        <v>71535.307499999995</v>
      </c>
      <c r="T2930" s="50">
        <f t="shared" si="671"/>
        <v>0</v>
      </c>
      <c r="U2930" s="58">
        <f t="shared" si="672"/>
        <v>0</v>
      </c>
      <c r="V2930" s="58">
        <f t="shared" si="673"/>
        <v>0</v>
      </c>
      <c r="W2930" s="58">
        <f t="shared" si="674"/>
        <v>0</v>
      </c>
      <c r="X2930" s="58">
        <f t="shared" si="675"/>
        <v>0</v>
      </c>
      <c r="Y2930" s="52">
        <f t="shared" si="676"/>
        <v>0</v>
      </c>
    </row>
    <row r="2931" spans="1:25" x14ac:dyDescent="0.25">
      <c r="A2931" s="1218" t="s">
        <v>193</v>
      </c>
      <c r="B2931" s="98">
        <v>45962</v>
      </c>
      <c r="C2931" s="117" t="str">
        <f t="shared" si="679"/>
        <v>8L</v>
      </c>
      <c r="F2931" s="99">
        <f t="shared" si="678"/>
        <v>0</v>
      </c>
      <c r="I2931" s="99">
        <f t="shared" si="677"/>
        <v>0</v>
      </c>
      <c r="L2931" s="99">
        <f t="shared" si="665"/>
        <v>0</v>
      </c>
      <c r="M2931" s="44" t="str">
        <f t="shared" si="667"/>
        <v/>
      </c>
      <c r="N2931" s="100">
        <f t="shared" si="668"/>
        <v>0</v>
      </c>
      <c r="O2931" s="101">
        <f t="shared" si="669"/>
        <v>0</v>
      </c>
      <c r="P2931" s="52">
        <f t="shared" si="670"/>
        <v>0</v>
      </c>
      <c r="Q2931" s="49">
        <v>116.88487613461319</v>
      </c>
      <c r="R2931">
        <v>2225</v>
      </c>
      <c r="S2931" s="50">
        <f t="shared" si="666"/>
        <v>71535.307499999995</v>
      </c>
      <c r="T2931" s="50">
        <f t="shared" si="671"/>
        <v>0</v>
      </c>
      <c r="U2931" s="58">
        <f t="shared" si="672"/>
        <v>0</v>
      </c>
      <c r="V2931" s="58">
        <f t="shared" si="673"/>
        <v>0</v>
      </c>
      <c r="W2931" s="58">
        <f t="shared" si="674"/>
        <v>0</v>
      </c>
      <c r="X2931" s="58">
        <f t="shared" si="675"/>
        <v>0</v>
      </c>
      <c r="Y2931" s="52">
        <f t="shared" si="676"/>
        <v>0</v>
      </c>
    </row>
    <row r="2932" spans="1:25" x14ac:dyDescent="0.25">
      <c r="A2932" s="1218" t="s">
        <v>194</v>
      </c>
      <c r="B2932" s="98">
        <v>45962</v>
      </c>
      <c r="C2932" s="117" t="str">
        <f t="shared" si="679"/>
        <v>8L</v>
      </c>
      <c r="F2932" s="99">
        <f t="shared" si="678"/>
        <v>0</v>
      </c>
      <c r="I2932" s="99">
        <f t="shared" si="677"/>
        <v>0</v>
      </c>
      <c r="L2932" s="99">
        <f t="shared" si="665"/>
        <v>0</v>
      </c>
      <c r="M2932" s="44" t="str">
        <f t="shared" si="667"/>
        <v/>
      </c>
      <c r="N2932" s="100">
        <f t="shared" si="668"/>
        <v>0</v>
      </c>
      <c r="O2932" s="101">
        <f t="shared" si="669"/>
        <v>0</v>
      </c>
      <c r="P2932" s="52">
        <f t="shared" si="670"/>
        <v>0</v>
      </c>
      <c r="Q2932" s="49">
        <v>116.88487613461319</v>
      </c>
      <c r="R2932">
        <v>2225</v>
      </c>
      <c r="S2932" s="50">
        <f t="shared" si="666"/>
        <v>71535.307499999995</v>
      </c>
      <c r="T2932" s="50">
        <f t="shared" si="671"/>
        <v>0</v>
      </c>
      <c r="U2932" s="58">
        <f t="shared" si="672"/>
        <v>0</v>
      </c>
      <c r="V2932" s="58">
        <f t="shared" si="673"/>
        <v>0</v>
      </c>
      <c r="W2932" s="58">
        <f t="shared" si="674"/>
        <v>0</v>
      </c>
      <c r="X2932" s="58">
        <f t="shared" si="675"/>
        <v>0</v>
      </c>
      <c r="Y2932" s="52">
        <f t="shared" si="676"/>
        <v>0</v>
      </c>
    </row>
    <row r="2933" spans="1:25" x14ac:dyDescent="0.25">
      <c r="A2933" s="1218" t="s">
        <v>195</v>
      </c>
      <c r="B2933" s="98">
        <v>45962</v>
      </c>
      <c r="C2933" s="117" t="str">
        <f t="shared" si="679"/>
        <v>8L</v>
      </c>
      <c r="F2933" s="99">
        <f t="shared" si="678"/>
        <v>0</v>
      </c>
      <c r="I2933" s="99">
        <f t="shared" si="677"/>
        <v>0</v>
      </c>
      <c r="L2933" s="99">
        <f t="shared" ref="L2933:L2999" si="680">IFERROR(J2933*K2933/1000,"")</f>
        <v>0</v>
      </c>
      <c r="M2933" s="44" t="str">
        <f t="shared" si="667"/>
        <v/>
      </c>
      <c r="N2933" s="100">
        <f t="shared" si="668"/>
        <v>0</v>
      </c>
      <c r="O2933" s="101">
        <f t="shared" si="669"/>
        <v>0</v>
      </c>
      <c r="P2933" s="52">
        <f t="shared" si="670"/>
        <v>0</v>
      </c>
      <c r="Q2933" s="49">
        <v>116.88487613461319</v>
      </c>
      <c r="R2933">
        <v>2225</v>
      </c>
      <c r="S2933" s="50">
        <f t="shared" ref="S2933:S2999" si="681">R2933*32.1507</f>
        <v>71535.307499999995</v>
      </c>
      <c r="T2933" s="50">
        <f t="shared" si="671"/>
        <v>0</v>
      </c>
      <c r="U2933" s="58">
        <f t="shared" si="672"/>
        <v>0</v>
      </c>
      <c r="V2933" s="58">
        <f t="shared" si="673"/>
        <v>0</v>
      </c>
      <c r="W2933" s="58">
        <f t="shared" si="674"/>
        <v>0</v>
      </c>
      <c r="X2933" s="58">
        <f t="shared" si="675"/>
        <v>0</v>
      </c>
      <c r="Y2933" s="52">
        <f t="shared" si="676"/>
        <v>0</v>
      </c>
    </row>
    <row r="2934" spans="1:25" x14ac:dyDescent="0.25">
      <c r="A2934" s="1218" t="s">
        <v>196</v>
      </c>
      <c r="B2934" s="98">
        <v>45962</v>
      </c>
      <c r="C2934" s="117" t="str">
        <f t="shared" si="679"/>
        <v>8L</v>
      </c>
      <c r="F2934" s="99">
        <f t="shared" si="678"/>
        <v>0</v>
      </c>
      <c r="I2934" s="99">
        <f t="shared" si="677"/>
        <v>0</v>
      </c>
      <c r="L2934" s="99">
        <f t="shared" si="680"/>
        <v>0</v>
      </c>
      <c r="M2934" s="44" t="str">
        <f t="shared" si="667"/>
        <v/>
      </c>
      <c r="N2934" s="100">
        <f t="shared" si="668"/>
        <v>0</v>
      </c>
      <c r="O2934" s="101">
        <f t="shared" si="669"/>
        <v>0</v>
      </c>
      <c r="P2934" s="52">
        <f t="shared" si="670"/>
        <v>0</v>
      </c>
      <c r="Q2934" s="49">
        <v>116.88487613461319</v>
      </c>
      <c r="R2934">
        <v>2225</v>
      </c>
      <c r="S2934" s="50">
        <f t="shared" si="681"/>
        <v>71535.307499999995</v>
      </c>
      <c r="T2934" s="50">
        <f t="shared" si="671"/>
        <v>0</v>
      </c>
      <c r="U2934" s="58">
        <f t="shared" si="672"/>
        <v>0</v>
      </c>
      <c r="V2934" s="58">
        <f t="shared" si="673"/>
        <v>0</v>
      </c>
      <c r="W2934" s="58">
        <f t="shared" si="674"/>
        <v>0</v>
      </c>
      <c r="X2934" s="58">
        <f t="shared" si="675"/>
        <v>0</v>
      </c>
      <c r="Y2934" s="52">
        <f t="shared" si="676"/>
        <v>0</v>
      </c>
    </row>
    <row r="2935" spans="1:25" x14ac:dyDescent="0.25">
      <c r="A2935" s="1218" t="s">
        <v>197</v>
      </c>
      <c r="B2935" s="98">
        <v>45962</v>
      </c>
      <c r="C2935" s="117" t="str">
        <f t="shared" si="679"/>
        <v>8L</v>
      </c>
      <c r="F2935" s="99">
        <f t="shared" si="678"/>
        <v>0</v>
      </c>
      <c r="I2935" s="99">
        <f t="shared" si="677"/>
        <v>0</v>
      </c>
      <c r="L2935" s="99">
        <f t="shared" si="680"/>
        <v>0</v>
      </c>
      <c r="M2935" s="44" t="str">
        <f t="shared" ref="M2935:M3001" si="682">IFERROR((L2935-I2935)/I2935,"")</f>
        <v/>
      </c>
      <c r="N2935" s="100">
        <f t="shared" ref="N2935:N3001" si="683">J2935-G2935</f>
        <v>0</v>
      </c>
      <c r="O2935" s="101">
        <f t="shared" ref="O2935:O3001" si="684">L2935-I2935</f>
        <v>0</v>
      </c>
      <c r="P2935" s="52">
        <f t="shared" ref="P2935:P3001" si="685">U2935-W2935</f>
        <v>0</v>
      </c>
      <c r="Q2935" s="49">
        <v>116.88487613461319</v>
      </c>
      <c r="R2935">
        <v>2225</v>
      </c>
      <c r="S2935" s="50">
        <f t="shared" si="681"/>
        <v>71535.307499999995</v>
      </c>
      <c r="T2935" s="50">
        <f t="shared" ref="T2935:T3001" si="686">IFERROR(S2935*I2935,"")</f>
        <v>0</v>
      </c>
      <c r="U2935" s="58">
        <f t="shared" ref="U2935:U3001" si="687">IFERROR(S2935*L2935,"")</f>
        <v>0</v>
      </c>
      <c r="V2935" s="58">
        <f t="shared" ref="V2935:V3001" si="688">IFERROR(Q2935*G2935,"")</f>
        <v>0</v>
      </c>
      <c r="W2935" s="58">
        <f t="shared" ref="W2935:W3001" si="689">IFERROR(Q2935*J2935,"")</f>
        <v>0</v>
      </c>
      <c r="X2935" s="58">
        <f t="shared" ref="X2935:X3001" si="690">T2935-V2935</f>
        <v>0</v>
      </c>
      <c r="Y2935" s="52">
        <f t="shared" ref="Y2935:Y3001" si="691">U2935-W2935</f>
        <v>0</v>
      </c>
    </row>
    <row r="2936" spans="1:25" x14ac:dyDescent="0.25">
      <c r="A2936" s="1218" t="s">
        <v>198</v>
      </c>
      <c r="B2936" s="98">
        <v>45962</v>
      </c>
      <c r="C2936" s="117" t="str">
        <f t="shared" si="679"/>
        <v>8L</v>
      </c>
      <c r="F2936" s="99">
        <f t="shared" si="678"/>
        <v>0</v>
      </c>
      <c r="I2936" s="99">
        <f t="shared" si="677"/>
        <v>0</v>
      </c>
      <c r="L2936" s="99">
        <f t="shared" si="680"/>
        <v>0</v>
      </c>
      <c r="M2936" s="44" t="str">
        <f t="shared" si="682"/>
        <v/>
      </c>
      <c r="N2936" s="100">
        <f t="shared" si="683"/>
        <v>0</v>
      </c>
      <c r="O2936" s="101">
        <f t="shared" si="684"/>
        <v>0</v>
      </c>
      <c r="P2936" s="52">
        <f t="shared" si="685"/>
        <v>0</v>
      </c>
      <c r="Q2936" s="49">
        <v>116.88487613461319</v>
      </c>
      <c r="R2936">
        <v>2225</v>
      </c>
      <c r="S2936" s="50">
        <f t="shared" si="681"/>
        <v>71535.307499999995</v>
      </c>
      <c r="T2936" s="50">
        <f t="shared" si="686"/>
        <v>0</v>
      </c>
      <c r="U2936" s="58">
        <f t="shared" si="687"/>
        <v>0</v>
      </c>
      <c r="V2936" s="58">
        <f t="shared" si="688"/>
        <v>0</v>
      </c>
      <c r="W2936" s="58">
        <f t="shared" si="689"/>
        <v>0</v>
      </c>
      <c r="X2936" s="58">
        <f t="shared" si="690"/>
        <v>0</v>
      </c>
      <c r="Y2936" s="52">
        <f t="shared" si="691"/>
        <v>0</v>
      </c>
    </row>
    <row r="2937" spans="1:25" x14ac:dyDescent="0.25">
      <c r="A2937" s="1218" t="s">
        <v>199</v>
      </c>
      <c r="B2937" s="98">
        <v>45962</v>
      </c>
      <c r="C2937" s="117" t="str">
        <f t="shared" si="679"/>
        <v>8L</v>
      </c>
      <c r="F2937" s="99">
        <f t="shared" si="678"/>
        <v>0</v>
      </c>
      <c r="I2937" s="99">
        <f t="shared" si="677"/>
        <v>0</v>
      </c>
      <c r="L2937" s="99">
        <f t="shared" si="680"/>
        <v>0</v>
      </c>
      <c r="M2937" s="44" t="str">
        <f t="shared" si="682"/>
        <v/>
      </c>
      <c r="N2937" s="100">
        <f t="shared" si="683"/>
        <v>0</v>
      </c>
      <c r="O2937" s="101">
        <f t="shared" si="684"/>
        <v>0</v>
      </c>
      <c r="P2937" s="52">
        <f t="shared" si="685"/>
        <v>0</v>
      </c>
      <c r="Q2937" s="49">
        <v>116.88487613461319</v>
      </c>
      <c r="R2937">
        <v>2225</v>
      </c>
      <c r="S2937" s="50">
        <f t="shared" si="681"/>
        <v>71535.307499999995</v>
      </c>
      <c r="T2937" s="50">
        <f t="shared" si="686"/>
        <v>0</v>
      </c>
      <c r="U2937" s="58">
        <f t="shared" si="687"/>
        <v>0</v>
      </c>
      <c r="V2937" s="58">
        <f t="shared" si="688"/>
        <v>0</v>
      </c>
      <c r="W2937" s="58">
        <f t="shared" si="689"/>
        <v>0</v>
      </c>
      <c r="X2937" s="58">
        <f t="shared" si="690"/>
        <v>0</v>
      </c>
      <c r="Y2937" s="52">
        <f t="shared" si="691"/>
        <v>0</v>
      </c>
    </row>
    <row r="2938" spans="1:25" x14ac:dyDescent="0.25">
      <c r="A2938" s="1218" t="s">
        <v>200</v>
      </c>
      <c r="B2938" s="98">
        <v>45962</v>
      </c>
      <c r="C2938" s="117" t="str">
        <f t="shared" si="679"/>
        <v>8L</v>
      </c>
      <c r="D2938">
        <v>398</v>
      </c>
      <c r="E2938">
        <v>2.85</v>
      </c>
      <c r="F2938" s="99">
        <f t="shared" si="678"/>
        <v>1.1342999999999999</v>
      </c>
      <c r="I2938" s="99">
        <f t="shared" si="677"/>
        <v>0</v>
      </c>
      <c r="L2938" s="99">
        <f t="shared" si="680"/>
        <v>0</v>
      </c>
      <c r="M2938" s="44" t="str">
        <f t="shared" si="682"/>
        <v/>
      </c>
      <c r="N2938" s="100">
        <f t="shared" si="683"/>
        <v>0</v>
      </c>
      <c r="O2938" s="101">
        <f t="shared" si="684"/>
        <v>0</v>
      </c>
      <c r="P2938" s="52">
        <f t="shared" si="685"/>
        <v>0</v>
      </c>
      <c r="Q2938" s="49">
        <v>116.88487613461319</v>
      </c>
      <c r="R2938">
        <v>2225</v>
      </c>
      <c r="S2938" s="50">
        <f t="shared" si="681"/>
        <v>71535.307499999995</v>
      </c>
      <c r="T2938" s="50">
        <f t="shared" si="686"/>
        <v>0</v>
      </c>
      <c r="U2938" s="58">
        <f t="shared" si="687"/>
        <v>0</v>
      </c>
      <c r="V2938" s="58">
        <f t="shared" si="688"/>
        <v>0</v>
      </c>
      <c r="W2938" s="58">
        <f t="shared" si="689"/>
        <v>0</v>
      </c>
      <c r="X2938" s="58">
        <f t="shared" si="690"/>
        <v>0</v>
      </c>
      <c r="Y2938" s="52">
        <f t="shared" si="691"/>
        <v>0</v>
      </c>
    </row>
    <row r="2939" spans="1:25" x14ac:dyDescent="0.25">
      <c r="A2939" s="1218" t="s">
        <v>201</v>
      </c>
      <c r="B2939" s="98">
        <v>45962</v>
      </c>
      <c r="C2939" s="117" t="str">
        <f t="shared" si="679"/>
        <v>8L</v>
      </c>
      <c r="D2939">
        <v>776</v>
      </c>
      <c r="E2939">
        <v>2.73</v>
      </c>
      <c r="F2939" s="99">
        <f t="shared" si="678"/>
        <v>2.1184799999999999</v>
      </c>
      <c r="I2939" s="99">
        <f t="shared" si="677"/>
        <v>0</v>
      </c>
      <c r="L2939" s="99">
        <f t="shared" si="680"/>
        <v>0</v>
      </c>
      <c r="M2939" s="44" t="str">
        <f t="shared" si="682"/>
        <v/>
      </c>
      <c r="N2939" s="100">
        <f t="shared" si="683"/>
        <v>0</v>
      </c>
      <c r="O2939" s="101">
        <f t="shared" si="684"/>
        <v>0</v>
      </c>
      <c r="P2939" s="52">
        <f t="shared" si="685"/>
        <v>0</v>
      </c>
      <c r="Q2939" s="49">
        <v>116.88487613461319</v>
      </c>
      <c r="R2939">
        <v>2225</v>
      </c>
      <c r="S2939" s="50">
        <f t="shared" si="681"/>
        <v>71535.307499999995</v>
      </c>
      <c r="T2939" s="50">
        <f t="shared" si="686"/>
        <v>0</v>
      </c>
      <c r="U2939" s="58">
        <f t="shared" si="687"/>
        <v>0</v>
      </c>
      <c r="V2939" s="58">
        <f t="shared" si="688"/>
        <v>0</v>
      </c>
      <c r="W2939" s="58">
        <f t="shared" si="689"/>
        <v>0</v>
      </c>
      <c r="X2939" s="58">
        <f t="shared" si="690"/>
        <v>0</v>
      </c>
      <c r="Y2939" s="52">
        <f t="shared" si="691"/>
        <v>0</v>
      </c>
    </row>
    <row r="2940" spans="1:25" x14ac:dyDescent="0.25">
      <c r="A2940" s="1218" t="s">
        <v>202</v>
      </c>
      <c r="B2940" s="98">
        <v>45962</v>
      </c>
      <c r="C2940" s="117" t="str">
        <f t="shared" si="679"/>
        <v>8L</v>
      </c>
      <c r="F2940" s="99">
        <f t="shared" si="678"/>
        <v>0</v>
      </c>
      <c r="I2940" s="99">
        <f t="shared" si="677"/>
        <v>0</v>
      </c>
      <c r="L2940" s="99">
        <f t="shared" si="680"/>
        <v>0</v>
      </c>
      <c r="M2940" s="44" t="str">
        <f t="shared" si="682"/>
        <v/>
      </c>
      <c r="N2940" s="100">
        <f t="shared" si="683"/>
        <v>0</v>
      </c>
      <c r="O2940" s="101">
        <f t="shared" si="684"/>
        <v>0</v>
      </c>
      <c r="P2940" s="52">
        <f t="shared" si="685"/>
        <v>0</v>
      </c>
      <c r="Q2940" s="49">
        <v>116.88487613461319</v>
      </c>
      <c r="R2940">
        <v>2225</v>
      </c>
      <c r="S2940" s="50">
        <f t="shared" si="681"/>
        <v>71535.307499999995</v>
      </c>
      <c r="T2940" s="50">
        <f t="shared" si="686"/>
        <v>0</v>
      </c>
      <c r="U2940" s="58">
        <f t="shared" si="687"/>
        <v>0</v>
      </c>
      <c r="V2940" s="58">
        <f t="shared" si="688"/>
        <v>0</v>
      </c>
      <c r="W2940" s="58">
        <f t="shared" si="689"/>
        <v>0</v>
      </c>
      <c r="X2940" s="58">
        <f t="shared" si="690"/>
        <v>0</v>
      </c>
      <c r="Y2940" s="52">
        <f t="shared" si="691"/>
        <v>0</v>
      </c>
    </row>
    <row r="2941" spans="1:25" x14ac:dyDescent="0.25">
      <c r="A2941" s="1218" t="s">
        <v>203</v>
      </c>
      <c r="B2941" s="98">
        <v>45962</v>
      </c>
      <c r="C2941" s="117" t="str">
        <f t="shared" si="679"/>
        <v>8L</v>
      </c>
      <c r="F2941" s="99">
        <f t="shared" si="678"/>
        <v>0</v>
      </c>
      <c r="I2941" s="99">
        <f t="shared" si="677"/>
        <v>0</v>
      </c>
      <c r="L2941" s="99">
        <f t="shared" si="680"/>
        <v>0</v>
      </c>
      <c r="M2941" s="44" t="str">
        <f t="shared" si="682"/>
        <v/>
      </c>
      <c r="N2941" s="100">
        <f t="shared" si="683"/>
        <v>0</v>
      </c>
      <c r="O2941" s="101">
        <f t="shared" si="684"/>
        <v>0</v>
      </c>
      <c r="P2941" s="52">
        <f t="shared" si="685"/>
        <v>0</v>
      </c>
      <c r="Q2941" s="49">
        <v>116.88487613461319</v>
      </c>
      <c r="R2941">
        <v>2225</v>
      </c>
      <c r="S2941" s="50">
        <f t="shared" si="681"/>
        <v>71535.307499999995</v>
      </c>
      <c r="T2941" s="50">
        <f t="shared" si="686"/>
        <v>0</v>
      </c>
      <c r="U2941" s="58">
        <f t="shared" si="687"/>
        <v>0</v>
      </c>
      <c r="V2941" s="58">
        <f t="shared" si="688"/>
        <v>0</v>
      </c>
      <c r="W2941" s="58">
        <f t="shared" si="689"/>
        <v>0</v>
      </c>
      <c r="X2941" s="58">
        <f t="shared" si="690"/>
        <v>0</v>
      </c>
      <c r="Y2941" s="52">
        <f t="shared" si="691"/>
        <v>0</v>
      </c>
    </row>
    <row r="2942" spans="1:25" x14ac:dyDescent="0.25">
      <c r="A2942" s="1218" t="s">
        <v>204</v>
      </c>
      <c r="B2942" s="98">
        <v>45962</v>
      </c>
      <c r="C2942" s="117" t="str">
        <f t="shared" si="679"/>
        <v>8L</v>
      </c>
      <c r="F2942" s="99">
        <f t="shared" si="678"/>
        <v>0</v>
      </c>
      <c r="I2942" s="99">
        <f t="shared" si="677"/>
        <v>0</v>
      </c>
      <c r="L2942" s="99">
        <f t="shared" si="680"/>
        <v>0</v>
      </c>
      <c r="M2942" s="44" t="str">
        <f t="shared" si="682"/>
        <v/>
      </c>
      <c r="N2942" s="100">
        <f t="shared" si="683"/>
        <v>0</v>
      </c>
      <c r="O2942" s="101">
        <f t="shared" si="684"/>
        <v>0</v>
      </c>
      <c r="P2942" s="52">
        <f t="shared" si="685"/>
        <v>0</v>
      </c>
      <c r="Q2942" s="49">
        <v>116.88487613461319</v>
      </c>
      <c r="R2942">
        <v>2225</v>
      </c>
      <c r="S2942" s="50">
        <f t="shared" si="681"/>
        <v>71535.307499999995</v>
      </c>
      <c r="T2942" s="50">
        <f t="shared" si="686"/>
        <v>0</v>
      </c>
      <c r="U2942" s="58">
        <f t="shared" si="687"/>
        <v>0</v>
      </c>
      <c r="V2942" s="58">
        <f t="shared" si="688"/>
        <v>0</v>
      </c>
      <c r="W2942" s="58">
        <f t="shared" si="689"/>
        <v>0</v>
      </c>
      <c r="X2942" s="58">
        <f t="shared" si="690"/>
        <v>0</v>
      </c>
      <c r="Y2942" s="52">
        <f t="shared" si="691"/>
        <v>0</v>
      </c>
    </row>
    <row r="2943" spans="1:25" x14ac:dyDescent="0.25">
      <c r="A2943" s="1218" t="s">
        <v>205</v>
      </c>
      <c r="B2943" s="98">
        <v>45962</v>
      </c>
      <c r="C2943" s="117" t="str">
        <f t="shared" si="679"/>
        <v>8L</v>
      </c>
      <c r="F2943" s="99">
        <f t="shared" si="678"/>
        <v>0</v>
      </c>
      <c r="I2943" s="99">
        <f t="shared" si="677"/>
        <v>0</v>
      </c>
      <c r="L2943" s="99">
        <f t="shared" si="680"/>
        <v>0</v>
      </c>
      <c r="M2943" s="44" t="str">
        <f t="shared" si="682"/>
        <v/>
      </c>
      <c r="N2943" s="100">
        <f t="shared" si="683"/>
        <v>0</v>
      </c>
      <c r="O2943" s="101">
        <f t="shared" si="684"/>
        <v>0</v>
      </c>
      <c r="P2943" s="52">
        <f t="shared" si="685"/>
        <v>0</v>
      </c>
      <c r="Q2943" s="49">
        <v>116.88487613461319</v>
      </c>
      <c r="R2943">
        <v>2225</v>
      </c>
      <c r="S2943" s="50">
        <f t="shared" si="681"/>
        <v>71535.307499999995</v>
      </c>
      <c r="T2943" s="50">
        <f t="shared" si="686"/>
        <v>0</v>
      </c>
      <c r="U2943" s="58">
        <f t="shared" si="687"/>
        <v>0</v>
      </c>
      <c r="V2943" s="58">
        <f t="shared" si="688"/>
        <v>0</v>
      </c>
      <c r="W2943" s="58">
        <f t="shared" si="689"/>
        <v>0</v>
      </c>
      <c r="X2943" s="58">
        <f t="shared" si="690"/>
        <v>0</v>
      </c>
      <c r="Y2943" s="52">
        <f t="shared" si="691"/>
        <v>0</v>
      </c>
    </row>
    <row r="2944" spans="1:25" x14ac:dyDescent="0.25">
      <c r="A2944" s="1218" t="s">
        <v>206</v>
      </c>
      <c r="B2944" s="98">
        <v>45962</v>
      </c>
      <c r="C2944" s="117" t="str">
        <f t="shared" si="679"/>
        <v>8L</v>
      </c>
      <c r="F2944" s="99">
        <f t="shared" si="678"/>
        <v>0</v>
      </c>
      <c r="I2944" s="99">
        <f t="shared" si="677"/>
        <v>0</v>
      </c>
      <c r="L2944" s="99">
        <f t="shared" si="680"/>
        <v>0</v>
      </c>
      <c r="M2944" s="44" t="str">
        <f t="shared" si="682"/>
        <v/>
      </c>
      <c r="N2944" s="100">
        <f t="shared" si="683"/>
        <v>0</v>
      </c>
      <c r="O2944" s="101">
        <f t="shared" si="684"/>
        <v>0</v>
      </c>
      <c r="P2944" s="52">
        <f t="shared" si="685"/>
        <v>0</v>
      </c>
      <c r="Q2944" s="49">
        <v>116.88487613461319</v>
      </c>
      <c r="R2944">
        <v>2225</v>
      </c>
      <c r="S2944" s="50">
        <f t="shared" si="681"/>
        <v>71535.307499999995</v>
      </c>
      <c r="T2944" s="50">
        <f t="shared" si="686"/>
        <v>0</v>
      </c>
      <c r="U2944" s="58">
        <f t="shared" si="687"/>
        <v>0</v>
      </c>
      <c r="V2944" s="58">
        <f t="shared" si="688"/>
        <v>0</v>
      </c>
      <c r="W2944" s="58">
        <f t="shared" si="689"/>
        <v>0</v>
      </c>
      <c r="X2944" s="58">
        <f t="shared" si="690"/>
        <v>0</v>
      </c>
      <c r="Y2944" s="52">
        <f t="shared" si="691"/>
        <v>0</v>
      </c>
    </row>
    <row r="2945" spans="1:25" ht="15.75" thickBot="1" x14ac:dyDescent="0.3">
      <c r="A2945" s="1219" t="s">
        <v>207</v>
      </c>
      <c r="B2945" s="98">
        <v>45962</v>
      </c>
      <c r="C2945" s="117" t="str">
        <f t="shared" si="679"/>
        <v>8L</v>
      </c>
      <c r="F2945" s="99">
        <f t="shared" si="678"/>
        <v>0</v>
      </c>
      <c r="I2945" s="99">
        <f t="shared" si="677"/>
        <v>0</v>
      </c>
      <c r="L2945" s="99">
        <f t="shared" si="680"/>
        <v>0</v>
      </c>
      <c r="M2945" s="44" t="str">
        <f t="shared" si="682"/>
        <v/>
      </c>
      <c r="N2945" s="100">
        <f t="shared" si="683"/>
        <v>0</v>
      </c>
      <c r="O2945" s="101">
        <f t="shared" si="684"/>
        <v>0</v>
      </c>
      <c r="P2945" s="52">
        <f t="shared" si="685"/>
        <v>0</v>
      </c>
      <c r="Q2945" s="49">
        <v>116.88487613461319</v>
      </c>
      <c r="R2945">
        <v>2225</v>
      </c>
      <c r="S2945" s="50">
        <f t="shared" si="681"/>
        <v>71535.307499999995</v>
      </c>
      <c r="T2945" s="50">
        <f t="shared" si="686"/>
        <v>0</v>
      </c>
      <c r="U2945" s="58">
        <f t="shared" si="687"/>
        <v>0</v>
      </c>
      <c r="V2945" s="58">
        <f t="shared" si="688"/>
        <v>0</v>
      </c>
      <c r="W2945" s="58">
        <f t="shared" si="689"/>
        <v>0</v>
      </c>
      <c r="X2945" s="58">
        <f t="shared" si="690"/>
        <v>0</v>
      </c>
      <c r="Y2945" s="52">
        <f t="shared" si="691"/>
        <v>0</v>
      </c>
    </row>
    <row r="2946" spans="1:25" x14ac:dyDescent="0.25">
      <c r="A2946" s="97" t="s">
        <v>80</v>
      </c>
      <c r="B2946" s="98">
        <v>45992</v>
      </c>
      <c r="C2946" s="117" t="str">
        <f t="shared" si="679"/>
        <v>1L</v>
      </c>
      <c r="F2946" s="99">
        <f t="shared" si="678"/>
        <v>0</v>
      </c>
      <c r="I2946" s="99">
        <f t="shared" si="677"/>
        <v>0</v>
      </c>
      <c r="L2946" s="99">
        <f t="shared" si="680"/>
        <v>0</v>
      </c>
      <c r="M2946" s="44" t="str">
        <f t="shared" si="682"/>
        <v/>
      </c>
      <c r="N2946" s="100">
        <f t="shared" si="683"/>
        <v>0</v>
      </c>
      <c r="O2946" s="101">
        <f t="shared" si="684"/>
        <v>0</v>
      </c>
      <c r="P2946" s="52">
        <f t="shared" si="685"/>
        <v>0</v>
      </c>
      <c r="Q2946" s="49">
        <v>116.88487613461319</v>
      </c>
      <c r="R2946">
        <v>2225</v>
      </c>
      <c r="S2946" s="50">
        <f t="shared" si="681"/>
        <v>71535.307499999995</v>
      </c>
      <c r="T2946" s="50">
        <f t="shared" si="686"/>
        <v>0</v>
      </c>
      <c r="U2946" s="58">
        <f t="shared" si="687"/>
        <v>0</v>
      </c>
      <c r="V2946" s="58">
        <f t="shared" si="688"/>
        <v>0</v>
      </c>
      <c r="W2946" s="58">
        <f t="shared" si="689"/>
        <v>0</v>
      </c>
      <c r="X2946" s="58">
        <f t="shared" si="690"/>
        <v>0</v>
      </c>
      <c r="Y2946" s="52">
        <f t="shared" si="691"/>
        <v>0</v>
      </c>
    </row>
    <row r="2947" spans="1:25" x14ac:dyDescent="0.25">
      <c r="A2947" s="1218" t="s">
        <v>81</v>
      </c>
      <c r="B2947" s="98">
        <v>45992</v>
      </c>
      <c r="C2947" s="117" t="str">
        <f t="shared" si="679"/>
        <v>1L</v>
      </c>
      <c r="F2947" s="99">
        <f t="shared" si="678"/>
        <v>0</v>
      </c>
      <c r="I2947" s="99">
        <f t="shared" si="677"/>
        <v>0</v>
      </c>
      <c r="L2947" s="99">
        <f t="shared" si="680"/>
        <v>0</v>
      </c>
      <c r="M2947" s="44" t="str">
        <f t="shared" si="682"/>
        <v/>
      </c>
      <c r="N2947" s="100">
        <f t="shared" si="683"/>
        <v>0</v>
      </c>
      <c r="O2947" s="101">
        <f t="shared" si="684"/>
        <v>0</v>
      </c>
      <c r="P2947" s="52">
        <f t="shared" si="685"/>
        <v>0</v>
      </c>
      <c r="Q2947" s="49">
        <v>116.88487613461319</v>
      </c>
      <c r="R2947">
        <v>2225</v>
      </c>
      <c r="S2947" s="50">
        <f t="shared" si="681"/>
        <v>71535.307499999995</v>
      </c>
      <c r="T2947" s="50">
        <f t="shared" si="686"/>
        <v>0</v>
      </c>
      <c r="U2947" s="58">
        <f t="shared" si="687"/>
        <v>0</v>
      </c>
      <c r="V2947" s="58">
        <f t="shared" si="688"/>
        <v>0</v>
      </c>
      <c r="W2947" s="58">
        <f t="shared" si="689"/>
        <v>0</v>
      </c>
      <c r="X2947" s="58">
        <f t="shared" si="690"/>
        <v>0</v>
      </c>
      <c r="Y2947" s="52">
        <f t="shared" si="691"/>
        <v>0</v>
      </c>
    </row>
    <row r="2948" spans="1:25" x14ac:dyDescent="0.25">
      <c r="A2948" s="1218" t="s">
        <v>82</v>
      </c>
      <c r="B2948" s="98">
        <v>45992</v>
      </c>
      <c r="C2948" s="117" t="str">
        <f t="shared" si="679"/>
        <v>1L</v>
      </c>
      <c r="F2948" s="99">
        <f t="shared" si="678"/>
        <v>0</v>
      </c>
      <c r="I2948" s="99">
        <f t="shared" si="677"/>
        <v>0</v>
      </c>
      <c r="L2948" s="99">
        <f t="shared" si="680"/>
        <v>0</v>
      </c>
      <c r="M2948" s="44" t="str">
        <f t="shared" si="682"/>
        <v/>
      </c>
      <c r="N2948" s="100">
        <f t="shared" si="683"/>
        <v>0</v>
      </c>
      <c r="O2948" s="101">
        <f t="shared" si="684"/>
        <v>0</v>
      </c>
      <c r="P2948" s="52">
        <f t="shared" si="685"/>
        <v>0</v>
      </c>
      <c r="Q2948" s="49">
        <v>116.88487613461319</v>
      </c>
      <c r="R2948">
        <v>2225</v>
      </c>
      <c r="S2948" s="50">
        <f t="shared" si="681"/>
        <v>71535.307499999995</v>
      </c>
      <c r="T2948" s="50">
        <f t="shared" si="686"/>
        <v>0</v>
      </c>
      <c r="U2948" s="58">
        <f t="shared" si="687"/>
        <v>0</v>
      </c>
      <c r="V2948" s="58">
        <f t="shared" si="688"/>
        <v>0</v>
      </c>
      <c r="W2948" s="58">
        <f t="shared" si="689"/>
        <v>0</v>
      </c>
      <c r="X2948" s="58">
        <f t="shared" si="690"/>
        <v>0</v>
      </c>
      <c r="Y2948" s="52">
        <f t="shared" si="691"/>
        <v>0</v>
      </c>
    </row>
    <row r="2949" spans="1:25" x14ac:dyDescent="0.25">
      <c r="A2949" s="1218" t="s">
        <v>83</v>
      </c>
      <c r="B2949" s="98">
        <v>45992</v>
      </c>
      <c r="C2949" s="117" t="str">
        <f t="shared" si="679"/>
        <v>1L</v>
      </c>
      <c r="F2949" s="99">
        <f t="shared" si="678"/>
        <v>0</v>
      </c>
      <c r="I2949" s="99">
        <f t="shared" ref="I2949:I3013" si="692">IFERROR(G2949*H2949/1000,"")</f>
        <v>0</v>
      </c>
      <c r="L2949" s="99">
        <f t="shared" si="680"/>
        <v>0</v>
      </c>
      <c r="M2949" s="44" t="str">
        <f t="shared" si="682"/>
        <v/>
      </c>
      <c r="N2949" s="100">
        <f t="shared" si="683"/>
        <v>0</v>
      </c>
      <c r="O2949" s="101">
        <f t="shared" si="684"/>
        <v>0</v>
      </c>
      <c r="P2949" s="52">
        <f t="shared" si="685"/>
        <v>0</v>
      </c>
      <c r="Q2949" s="49">
        <v>116.88487613461319</v>
      </c>
      <c r="R2949">
        <v>2225</v>
      </c>
      <c r="S2949" s="50">
        <f t="shared" si="681"/>
        <v>71535.307499999995</v>
      </c>
      <c r="T2949" s="50">
        <f t="shared" si="686"/>
        <v>0</v>
      </c>
      <c r="U2949" s="58">
        <f t="shared" si="687"/>
        <v>0</v>
      </c>
      <c r="V2949" s="58">
        <f t="shared" si="688"/>
        <v>0</v>
      </c>
      <c r="W2949" s="58">
        <f t="shared" si="689"/>
        <v>0</v>
      </c>
      <c r="X2949" s="58">
        <f t="shared" si="690"/>
        <v>0</v>
      </c>
      <c r="Y2949" s="52">
        <f t="shared" si="691"/>
        <v>0</v>
      </c>
    </row>
    <row r="2950" spans="1:25" x14ac:dyDescent="0.25">
      <c r="A2950" s="1218" t="s">
        <v>84</v>
      </c>
      <c r="B2950" s="98">
        <v>45992</v>
      </c>
      <c r="C2950" s="117" t="str">
        <f t="shared" si="679"/>
        <v>2L</v>
      </c>
      <c r="F2950" s="99">
        <f t="shared" si="678"/>
        <v>0</v>
      </c>
      <c r="I2950" s="99">
        <f t="shared" si="692"/>
        <v>0</v>
      </c>
      <c r="L2950" s="99">
        <f t="shared" si="680"/>
        <v>0</v>
      </c>
      <c r="M2950" s="44" t="str">
        <f t="shared" si="682"/>
        <v/>
      </c>
      <c r="N2950" s="100">
        <f t="shared" si="683"/>
        <v>0</v>
      </c>
      <c r="O2950" s="101">
        <f t="shared" si="684"/>
        <v>0</v>
      </c>
      <c r="P2950" s="52">
        <f t="shared" si="685"/>
        <v>0</v>
      </c>
      <c r="Q2950" s="49">
        <v>116.88487613461319</v>
      </c>
      <c r="R2950">
        <v>2225</v>
      </c>
      <c r="S2950" s="50">
        <f t="shared" si="681"/>
        <v>71535.307499999995</v>
      </c>
      <c r="T2950" s="50">
        <f t="shared" si="686"/>
        <v>0</v>
      </c>
      <c r="U2950" s="58">
        <f t="shared" si="687"/>
        <v>0</v>
      </c>
      <c r="V2950" s="58">
        <f t="shared" si="688"/>
        <v>0</v>
      </c>
      <c r="W2950" s="58">
        <f t="shared" si="689"/>
        <v>0</v>
      </c>
      <c r="X2950" s="58">
        <f t="shared" si="690"/>
        <v>0</v>
      </c>
      <c r="Y2950" s="52">
        <f t="shared" si="691"/>
        <v>0</v>
      </c>
    </row>
    <row r="2951" spans="1:25" x14ac:dyDescent="0.25">
      <c r="A2951" s="1218" t="s">
        <v>85</v>
      </c>
      <c r="B2951" s="98">
        <v>45992</v>
      </c>
      <c r="C2951" s="117" t="str">
        <f t="shared" si="679"/>
        <v>2L</v>
      </c>
      <c r="F2951" s="99">
        <f t="shared" si="678"/>
        <v>0</v>
      </c>
      <c r="I2951" s="99">
        <f t="shared" si="692"/>
        <v>0</v>
      </c>
      <c r="L2951" s="99">
        <f t="shared" si="680"/>
        <v>0</v>
      </c>
      <c r="M2951" s="44" t="str">
        <f t="shared" si="682"/>
        <v/>
      </c>
      <c r="N2951" s="100">
        <f t="shared" si="683"/>
        <v>0</v>
      </c>
      <c r="O2951" s="101">
        <f t="shared" si="684"/>
        <v>0</v>
      </c>
      <c r="P2951" s="52">
        <f t="shared" si="685"/>
        <v>0</v>
      </c>
      <c r="Q2951" s="49">
        <v>116.88487613461319</v>
      </c>
      <c r="R2951">
        <v>2225</v>
      </c>
      <c r="S2951" s="50">
        <f t="shared" si="681"/>
        <v>71535.307499999995</v>
      </c>
      <c r="T2951" s="50">
        <f t="shared" si="686"/>
        <v>0</v>
      </c>
      <c r="U2951" s="58">
        <f t="shared" si="687"/>
        <v>0</v>
      </c>
      <c r="V2951" s="58">
        <f t="shared" si="688"/>
        <v>0</v>
      </c>
      <c r="W2951" s="58">
        <f t="shared" si="689"/>
        <v>0</v>
      </c>
      <c r="X2951" s="58">
        <f t="shared" si="690"/>
        <v>0</v>
      </c>
      <c r="Y2951" s="52">
        <f t="shared" si="691"/>
        <v>0</v>
      </c>
    </row>
    <row r="2952" spans="1:25" x14ac:dyDescent="0.25">
      <c r="A2952" s="1218" t="s">
        <v>86</v>
      </c>
      <c r="B2952" s="98">
        <v>45992</v>
      </c>
      <c r="C2952" s="117" t="str">
        <f t="shared" si="679"/>
        <v>2L</v>
      </c>
      <c r="F2952" s="99">
        <f t="shared" si="678"/>
        <v>0</v>
      </c>
      <c r="I2952" s="99">
        <f t="shared" si="692"/>
        <v>0</v>
      </c>
      <c r="L2952" s="99">
        <f t="shared" si="680"/>
        <v>0</v>
      </c>
      <c r="M2952" s="44" t="str">
        <f t="shared" si="682"/>
        <v/>
      </c>
      <c r="N2952" s="100">
        <f t="shared" si="683"/>
        <v>0</v>
      </c>
      <c r="O2952" s="101">
        <f t="shared" si="684"/>
        <v>0</v>
      </c>
      <c r="P2952" s="52">
        <f t="shared" si="685"/>
        <v>0</v>
      </c>
      <c r="Q2952" s="49">
        <v>116.88487613461319</v>
      </c>
      <c r="R2952">
        <v>2225</v>
      </c>
      <c r="S2952" s="50">
        <f t="shared" si="681"/>
        <v>71535.307499999995</v>
      </c>
      <c r="T2952" s="50">
        <f t="shared" si="686"/>
        <v>0</v>
      </c>
      <c r="U2952" s="58">
        <f t="shared" si="687"/>
        <v>0</v>
      </c>
      <c r="V2952" s="58">
        <f t="shared" si="688"/>
        <v>0</v>
      </c>
      <c r="W2952" s="58">
        <f t="shared" si="689"/>
        <v>0</v>
      </c>
      <c r="X2952" s="58">
        <f t="shared" si="690"/>
        <v>0</v>
      </c>
      <c r="Y2952" s="52">
        <f t="shared" si="691"/>
        <v>0</v>
      </c>
    </row>
    <row r="2953" spans="1:25" x14ac:dyDescent="0.25">
      <c r="A2953" s="1218" t="s">
        <v>87</v>
      </c>
      <c r="B2953" s="98">
        <v>45992</v>
      </c>
      <c r="C2953" s="117" t="str">
        <f t="shared" si="679"/>
        <v>3L</v>
      </c>
      <c r="F2953" s="99">
        <f t="shared" si="678"/>
        <v>0</v>
      </c>
      <c r="I2953" s="99">
        <f t="shared" si="692"/>
        <v>0</v>
      </c>
      <c r="L2953" s="99">
        <f t="shared" si="680"/>
        <v>0</v>
      </c>
      <c r="M2953" s="44" t="str">
        <f t="shared" si="682"/>
        <v/>
      </c>
      <c r="N2953" s="100">
        <f t="shared" si="683"/>
        <v>0</v>
      </c>
      <c r="O2953" s="101">
        <f t="shared" si="684"/>
        <v>0</v>
      </c>
      <c r="P2953" s="52">
        <f t="shared" si="685"/>
        <v>0</v>
      </c>
      <c r="Q2953" s="49">
        <v>116.88487613461319</v>
      </c>
      <c r="R2953">
        <v>2225</v>
      </c>
      <c r="S2953" s="50">
        <f t="shared" si="681"/>
        <v>71535.307499999995</v>
      </c>
      <c r="T2953" s="50">
        <f t="shared" si="686"/>
        <v>0</v>
      </c>
      <c r="U2953" s="58">
        <f t="shared" si="687"/>
        <v>0</v>
      </c>
      <c r="V2953" s="58">
        <f t="shared" si="688"/>
        <v>0</v>
      </c>
      <c r="W2953" s="58">
        <f t="shared" si="689"/>
        <v>0</v>
      </c>
      <c r="X2953" s="58">
        <f t="shared" si="690"/>
        <v>0</v>
      </c>
      <c r="Y2953" s="52">
        <f t="shared" si="691"/>
        <v>0</v>
      </c>
    </row>
    <row r="2954" spans="1:25" x14ac:dyDescent="0.25">
      <c r="A2954" s="1218" t="s">
        <v>88</v>
      </c>
      <c r="B2954" s="98">
        <v>45992</v>
      </c>
      <c r="C2954" s="117" t="str">
        <f t="shared" si="679"/>
        <v>3L</v>
      </c>
      <c r="F2954" s="99">
        <f t="shared" si="678"/>
        <v>0</v>
      </c>
      <c r="I2954" s="99">
        <f t="shared" si="692"/>
        <v>0</v>
      </c>
      <c r="L2954" s="99">
        <f t="shared" si="680"/>
        <v>0</v>
      </c>
      <c r="M2954" s="44" t="str">
        <f t="shared" si="682"/>
        <v/>
      </c>
      <c r="N2954" s="100">
        <f t="shared" si="683"/>
        <v>0</v>
      </c>
      <c r="O2954" s="101">
        <f t="shared" si="684"/>
        <v>0</v>
      </c>
      <c r="P2954" s="52">
        <f t="shared" si="685"/>
        <v>0</v>
      </c>
      <c r="Q2954" s="49">
        <v>116.88487613461319</v>
      </c>
      <c r="R2954">
        <v>2225</v>
      </c>
      <c r="S2954" s="50">
        <f t="shared" si="681"/>
        <v>71535.307499999995</v>
      </c>
      <c r="T2954" s="50">
        <f t="shared" si="686"/>
        <v>0</v>
      </c>
      <c r="U2954" s="58">
        <f t="shared" si="687"/>
        <v>0</v>
      </c>
      <c r="V2954" s="58">
        <f t="shared" si="688"/>
        <v>0</v>
      </c>
      <c r="W2954" s="58">
        <f t="shared" si="689"/>
        <v>0</v>
      </c>
      <c r="X2954" s="58">
        <f t="shared" si="690"/>
        <v>0</v>
      </c>
      <c r="Y2954" s="52">
        <f t="shared" si="691"/>
        <v>0</v>
      </c>
    </row>
    <row r="2955" spans="1:25" x14ac:dyDescent="0.25">
      <c r="A2955" s="1218" t="s">
        <v>89</v>
      </c>
      <c r="B2955" s="98">
        <v>45992</v>
      </c>
      <c r="C2955" s="117" t="str">
        <f t="shared" si="679"/>
        <v>3L</v>
      </c>
      <c r="F2955" s="99">
        <f t="shared" si="678"/>
        <v>0</v>
      </c>
      <c r="I2955" s="99">
        <f t="shared" si="692"/>
        <v>0</v>
      </c>
      <c r="L2955" s="99">
        <f t="shared" si="680"/>
        <v>0</v>
      </c>
      <c r="M2955" s="44" t="str">
        <f t="shared" si="682"/>
        <v/>
      </c>
      <c r="N2955" s="100">
        <f t="shared" si="683"/>
        <v>0</v>
      </c>
      <c r="O2955" s="101">
        <f t="shared" si="684"/>
        <v>0</v>
      </c>
      <c r="P2955" s="52">
        <f t="shared" si="685"/>
        <v>0</v>
      </c>
      <c r="Q2955" s="49">
        <v>116.88487613461319</v>
      </c>
      <c r="R2955">
        <v>2225</v>
      </c>
      <c r="S2955" s="50">
        <f t="shared" si="681"/>
        <v>71535.307499999995</v>
      </c>
      <c r="T2955" s="50">
        <f t="shared" si="686"/>
        <v>0</v>
      </c>
      <c r="U2955" s="58">
        <f t="shared" si="687"/>
        <v>0</v>
      </c>
      <c r="V2955" s="58">
        <f t="shared" si="688"/>
        <v>0</v>
      </c>
      <c r="W2955" s="58">
        <f t="shared" si="689"/>
        <v>0</v>
      </c>
      <c r="X2955" s="58">
        <f t="shared" si="690"/>
        <v>0</v>
      </c>
      <c r="Y2955" s="52">
        <f t="shared" si="691"/>
        <v>0</v>
      </c>
    </row>
    <row r="2956" spans="1:25" x14ac:dyDescent="0.25">
      <c r="A2956" s="1218" t="s">
        <v>90</v>
      </c>
      <c r="B2956" s="98">
        <v>45992</v>
      </c>
      <c r="C2956" s="117" t="str">
        <f t="shared" si="679"/>
        <v>3L</v>
      </c>
      <c r="F2956" s="99">
        <f t="shared" si="678"/>
        <v>0</v>
      </c>
      <c r="I2956" s="99">
        <f t="shared" si="692"/>
        <v>0</v>
      </c>
      <c r="L2956" s="99">
        <f t="shared" si="680"/>
        <v>0</v>
      </c>
      <c r="M2956" s="44" t="str">
        <f t="shared" si="682"/>
        <v/>
      </c>
      <c r="N2956" s="100">
        <f t="shared" si="683"/>
        <v>0</v>
      </c>
      <c r="O2956" s="101">
        <f t="shared" si="684"/>
        <v>0</v>
      </c>
      <c r="P2956" s="52">
        <f t="shared" si="685"/>
        <v>0</v>
      </c>
      <c r="Q2956" s="49">
        <v>116.88487613461319</v>
      </c>
      <c r="R2956">
        <v>2225</v>
      </c>
      <c r="S2956" s="50">
        <f t="shared" si="681"/>
        <v>71535.307499999995</v>
      </c>
      <c r="T2956" s="50">
        <f t="shared" si="686"/>
        <v>0</v>
      </c>
      <c r="U2956" s="58">
        <f t="shared" si="687"/>
        <v>0</v>
      </c>
      <c r="V2956" s="58">
        <f t="shared" si="688"/>
        <v>0</v>
      </c>
      <c r="W2956" s="58">
        <f t="shared" si="689"/>
        <v>0</v>
      </c>
      <c r="X2956" s="58">
        <f t="shared" si="690"/>
        <v>0</v>
      </c>
      <c r="Y2956" s="52">
        <f t="shared" si="691"/>
        <v>0</v>
      </c>
    </row>
    <row r="2957" spans="1:25" x14ac:dyDescent="0.25">
      <c r="A2957" s="1218" t="s">
        <v>91</v>
      </c>
      <c r="B2957" s="98">
        <v>45992</v>
      </c>
      <c r="C2957" s="117" t="str">
        <f t="shared" si="679"/>
        <v>3L</v>
      </c>
      <c r="F2957" s="99">
        <f t="shared" si="678"/>
        <v>0</v>
      </c>
      <c r="I2957" s="99">
        <f t="shared" si="692"/>
        <v>0</v>
      </c>
      <c r="L2957" s="99">
        <f t="shared" si="680"/>
        <v>0</v>
      </c>
      <c r="M2957" s="44" t="str">
        <f t="shared" si="682"/>
        <v/>
      </c>
      <c r="N2957" s="100">
        <f t="shared" si="683"/>
        <v>0</v>
      </c>
      <c r="O2957" s="101">
        <f t="shared" si="684"/>
        <v>0</v>
      </c>
      <c r="P2957" s="52">
        <f t="shared" si="685"/>
        <v>0</v>
      </c>
      <c r="Q2957" s="49">
        <v>116.88487613461319</v>
      </c>
      <c r="R2957">
        <v>2225</v>
      </c>
      <c r="S2957" s="50">
        <f t="shared" si="681"/>
        <v>71535.307499999995</v>
      </c>
      <c r="T2957" s="50">
        <f t="shared" si="686"/>
        <v>0</v>
      </c>
      <c r="U2957" s="58">
        <f t="shared" si="687"/>
        <v>0</v>
      </c>
      <c r="V2957" s="58">
        <f t="shared" si="688"/>
        <v>0</v>
      </c>
      <c r="W2957" s="58">
        <f t="shared" si="689"/>
        <v>0</v>
      </c>
      <c r="X2957" s="58">
        <f t="shared" si="690"/>
        <v>0</v>
      </c>
      <c r="Y2957" s="52">
        <f t="shared" si="691"/>
        <v>0</v>
      </c>
    </row>
    <row r="2958" spans="1:25" x14ac:dyDescent="0.25">
      <c r="A2958" s="1218" t="s">
        <v>92</v>
      </c>
      <c r="B2958" s="98">
        <v>45992</v>
      </c>
      <c r="C2958" s="117" t="str">
        <f t="shared" si="679"/>
        <v>3L</v>
      </c>
      <c r="F2958" s="99">
        <f t="shared" si="678"/>
        <v>0</v>
      </c>
      <c r="I2958" s="99">
        <f t="shared" si="692"/>
        <v>0</v>
      </c>
      <c r="L2958" s="99">
        <f t="shared" si="680"/>
        <v>0</v>
      </c>
      <c r="M2958" s="44" t="str">
        <f t="shared" si="682"/>
        <v/>
      </c>
      <c r="N2958" s="100">
        <f t="shared" si="683"/>
        <v>0</v>
      </c>
      <c r="O2958" s="101">
        <f t="shared" si="684"/>
        <v>0</v>
      </c>
      <c r="P2958" s="52">
        <f t="shared" si="685"/>
        <v>0</v>
      </c>
      <c r="Q2958" s="49">
        <v>116.88487613461319</v>
      </c>
      <c r="R2958">
        <v>2225</v>
      </c>
      <c r="S2958" s="50">
        <f t="shared" si="681"/>
        <v>71535.307499999995</v>
      </c>
      <c r="T2958" s="50">
        <f t="shared" si="686"/>
        <v>0</v>
      </c>
      <c r="U2958" s="58">
        <f t="shared" si="687"/>
        <v>0</v>
      </c>
      <c r="V2958" s="58">
        <f t="shared" si="688"/>
        <v>0</v>
      </c>
      <c r="W2958" s="58">
        <f t="shared" si="689"/>
        <v>0</v>
      </c>
      <c r="X2958" s="58">
        <f t="shared" si="690"/>
        <v>0</v>
      </c>
      <c r="Y2958" s="52">
        <f t="shared" si="691"/>
        <v>0</v>
      </c>
    </row>
    <row r="2959" spans="1:25" x14ac:dyDescent="0.25">
      <c r="A2959" s="1218" t="s">
        <v>93</v>
      </c>
      <c r="B2959" s="98">
        <v>45992</v>
      </c>
      <c r="C2959" s="117" t="str">
        <f t="shared" si="679"/>
        <v>3L</v>
      </c>
      <c r="F2959" s="99">
        <f t="shared" ref="F2959:F3023" si="693">IFERROR(D2959*E2959/1000,"")</f>
        <v>0</v>
      </c>
      <c r="I2959" s="99">
        <f t="shared" si="692"/>
        <v>0</v>
      </c>
      <c r="L2959" s="99">
        <f t="shared" si="680"/>
        <v>0</v>
      </c>
      <c r="M2959" s="44" t="str">
        <f t="shared" si="682"/>
        <v/>
      </c>
      <c r="N2959" s="100">
        <f t="shared" si="683"/>
        <v>0</v>
      </c>
      <c r="O2959" s="101">
        <f t="shared" si="684"/>
        <v>0</v>
      </c>
      <c r="P2959" s="52">
        <f t="shared" si="685"/>
        <v>0</v>
      </c>
      <c r="Q2959" s="49">
        <v>116.88487613461319</v>
      </c>
      <c r="R2959">
        <v>2225</v>
      </c>
      <c r="S2959" s="50">
        <f t="shared" si="681"/>
        <v>71535.307499999995</v>
      </c>
      <c r="T2959" s="50">
        <f t="shared" si="686"/>
        <v>0</v>
      </c>
      <c r="U2959" s="58">
        <f t="shared" si="687"/>
        <v>0</v>
      </c>
      <c r="V2959" s="58">
        <f t="shared" si="688"/>
        <v>0</v>
      </c>
      <c r="W2959" s="58">
        <f t="shared" si="689"/>
        <v>0</v>
      </c>
      <c r="X2959" s="58">
        <f t="shared" si="690"/>
        <v>0</v>
      </c>
      <c r="Y2959" s="52">
        <f t="shared" si="691"/>
        <v>0</v>
      </c>
    </row>
    <row r="2960" spans="1:25" x14ac:dyDescent="0.25">
      <c r="A2960" s="1218" t="s">
        <v>94</v>
      </c>
      <c r="B2960" s="98">
        <v>45992</v>
      </c>
      <c r="C2960" s="117" t="str">
        <f t="shared" si="679"/>
        <v>3L</v>
      </c>
      <c r="F2960" s="99">
        <f t="shared" si="693"/>
        <v>0</v>
      </c>
      <c r="I2960" s="99">
        <f t="shared" si="692"/>
        <v>0</v>
      </c>
      <c r="L2960" s="99">
        <f t="shared" si="680"/>
        <v>0</v>
      </c>
      <c r="M2960" s="44" t="str">
        <f t="shared" si="682"/>
        <v/>
      </c>
      <c r="N2960" s="100">
        <f t="shared" si="683"/>
        <v>0</v>
      </c>
      <c r="O2960" s="101">
        <f t="shared" si="684"/>
        <v>0</v>
      </c>
      <c r="P2960" s="52">
        <f t="shared" si="685"/>
        <v>0</v>
      </c>
      <c r="Q2960" s="49">
        <v>116.88487613461319</v>
      </c>
      <c r="R2960">
        <v>2225</v>
      </c>
      <c r="S2960" s="50">
        <f t="shared" si="681"/>
        <v>71535.307499999995</v>
      </c>
      <c r="T2960" s="50">
        <f t="shared" si="686"/>
        <v>0</v>
      </c>
      <c r="U2960" s="58">
        <f t="shared" si="687"/>
        <v>0</v>
      </c>
      <c r="V2960" s="58">
        <f t="shared" si="688"/>
        <v>0</v>
      </c>
      <c r="W2960" s="58">
        <f t="shared" si="689"/>
        <v>0</v>
      </c>
      <c r="X2960" s="58">
        <f t="shared" si="690"/>
        <v>0</v>
      </c>
      <c r="Y2960" s="52">
        <f t="shared" si="691"/>
        <v>0</v>
      </c>
    </row>
    <row r="2961" spans="1:25" x14ac:dyDescent="0.25">
      <c r="A2961" s="1218" t="s">
        <v>95</v>
      </c>
      <c r="B2961" s="98">
        <v>45992</v>
      </c>
      <c r="C2961" s="117" t="str">
        <f t="shared" si="679"/>
        <v>3L</v>
      </c>
      <c r="D2961" s="118">
        <v>3033</v>
      </c>
      <c r="E2961">
        <v>2.5299999999999998</v>
      </c>
      <c r="F2961" s="99">
        <f t="shared" si="693"/>
        <v>7.6734900000000001</v>
      </c>
      <c r="I2961" s="99">
        <f t="shared" si="692"/>
        <v>0</v>
      </c>
      <c r="L2961" s="99">
        <f t="shared" si="680"/>
        <v>0</v>
      </c>
      <c r="M2961" s="44" t="str">
        <f t="shared" si="682"/>
        <v/>
      </c>
      <c r="N2961" s="100">
        <f t="shared" si="683"/>
        <v>0</v>
      </c>
      <c r="O2961" s="101">
        <f t="shared" si="684"/>
        <v>0</v>
      </c>
      <c r="P2961" s="52">
        <f t="shared" si="685"/>
        <v>0</v>
      </c>
      <c r="Q2961" s="49">
        <v>116.88487613461319</v>
      </c>
      <c r="R2961">
        <v>2225</v>
      </c>
      <c r="S2961" s="50">
        <f t="shared" si="681"/>
        <v>71535.307499999995</v>
      </c>
      <c r="T2961" s="50">
        <f t="shared" si="686"/>
        <v>0</v>
      </c>
      <c r="U2961" s="58">
        <f t="shared" si="687"/>
        <v>0</v>
      </c>
      <c r="V2961" s="58">
        <f t="shared" si="688"/>
        <v>0</v>
      </c>
      <c r="W2961" s="58">
        <f t="shared" si="689"/>
        <v>0</v>
      </c>
      <c r="X2961" s="58">
        <f t="shared" si="690"/>
        <v>0</v>
      </c>
      <c r="Y2961" s="52">
        <f t="shared" si="691"/>
        <v>0</v>
      </c>
    </row>
    <row r="2962" spans="1:25" x14ac:dyDescent="0.25">
      <c r="A2962" s="1218" t="s">
        <v>96</v>
      </c>
      <c r="B2962" s="98">
        <v>45992</v>
      </c>
      <c r="C2962" s="117" t="str">
        <f t="shared" si="679"/>
        <v>3L</v>
      </c>
      <c r="D2962" s="118">
        <v>3033</v>
      </c>
      <c r="E2962">
        <v>2.63</v>
      </c>
      <c r="F2962" s="99">
        <f t="shared" si="693"/>
        <v>7.9767900000000003</v>
      </c>
      <c r="I2962" s="99">
        <f t="shared" si="692"/>
        <v>0</v>
      </c>
      <c r="L2962" s="99">
        <f t="shared" si="680"/>
        <v>0</v>
      </c>
      <c r="M2962" s="44" t="str">
        <f t="shared" si="682"/>
        <v/>
      </c>
      <c r="N2962" s="100">
        <f t="shared" si="683"/>
        <v>0</v>
      </c>
      <c r="O2962" s="101">
        <f t="shared" si="684"/>
        <v>0</v>
      </c>
      <c r="P2962" s="52">
        <f t="shared" si="685"/>
        <v>0</v>
      </c>
      <c r="Q2962" s="49">
        <v>116.88487613461319</v>
      </c>
      <c r="R2962">
        <v>2225</v>
      </c>
      <c r="S2962" s="50">
        <f t="shared" si="681"/>
        <v>71535.307499999995</v>
      </c>
      <c r="T2962" s="50">
        <f t="shared" si="686"/>
        <v>0</v>
      </c>
      <c r="U2962" s="58">
        <f t="shared" si="687"/>
        <v>0</v>
      </c>
      <c r="V2962" s="58">
        <f t="shared" si="688"/>
        <v>0</v>
      </c>
      <c r="W2962" s="58">
        <f t="shared" si="689"/>
        <v>0</v>
      </c>
      <c r="X2962" s="58">
        <f t="shared" si="690"/>
        <v>0</v>
      </c>
      <c r="Y2962" s="52">
        <f t="shared" si="691"/>
        <v>0</v>
      </c>
    </row>
    <row r="2963" spans="1:25" x14ac:dyDescent="0.25">
      <c r="A2963" s="1218" t="s">
        <v>97</v>
      </c>
      <c r="B2963" s="98">
        <v>45992</v>
      </c>
      <c r="C2963" s="117" t="str">
        <f t="shared" si="679"/>
        <v>4L</v>
      </c>
      <c r="F2963" s="99">
        <f t="shared" si="693"/>
        <v>0</v>
      </c>
      <c r="I2963" s="99">
        <f t="shared" si="692"/>
        <v>0</v>
      </c>
      <c r="L2963" s="99">
        <f t="shared" si="680"/>
        <v>0</v>
      </c>
      <c r="M2963" s="44" t="str">
        <f t="shared" si="682"/>
        <v/>
      </c>
      <c r="N2963" s="100">
        <f t="shared" si="683"/>
        <v>0</v>
      </c>
      <c r="O2963" s="101">
        <f t="shared" si="684"/>
        <v>0</v>
      </c>
      <c r="P2963" s="52">
        <f t="shared" si="685"/>
        <v>0</v>
      </c>
      <c r="Q2963" s="49">
        <v>116.88487613461319</v>
      </c>
      <c r="R2963">
        <v>2225</v>
      </c>
      <c r="S2963" s="50">
        <f t="shared" si="681"/>
        <v>71535.307499999995</v>
      </c>
      <c r="T2963" s="50">
        <f t="shared" si="686"/>
        <v>0</v>
      </c>
      <c r="U2963" s="58">
        <f t="shared" si="687"/>
        <v>0</v>
      </c>
      <c r="V2963" s="58">
        <f t="shared" si="688"/>
        <v>0</v>
      </c>
      <c r="W2963" s="58">
        <f t="shared" si="689"/>
        <v>0</v>
      </c>
      <c r="X2963" s="58">
        <f t="shared" si="690"/>
        <v>0</v>
      </c>
      <c r="Y2963" s="52">
        <f t="shared" si="691"/>
        <v>0</v>
      </c>
    </row>
    <row r="2964" spans="1:25" x14ac:dyDescent="0.25">
      <c r="A2964" s="1218" t="s">
        <v>98</v>
      </c>
      <c r="B2964" s="98">
        <v>45992</v>
      </c>
      <c r="C2964" s="117" t="str">
        <f t="shared" si="679"/>
        <v>4L</v>
      </c>
      <c r="F2964" s="99">
        <f t="shared" si="693"/>
        <v>0</v>
      </c>
      <c r="I2964" s="99">
        <f t="shared" si="692"/>
        <v>0</v>
      </c>
      <c r="L2964" s="99">
        <f t="shared" si="680"/>
        <v>0</v>
      </c>
      <c r="M2964" s="44" t="str">
        <f t="shared" si="682"/>
        <v/>
      </c>
      <c r="N2964" s="100">
        <f t="shared" si="683"/>
        <v>0</v>
      </c>
      <c r="O2964" s="101">
        <f t="shared" si="684"/>
        <v>0</v>
      </c>
      <c r="P2964" s="52">
        <f t="shared" si="685"/>
        <v>0</v>
      </c>
      <c r="Q2964" s="49">
        <v>116.88487613461319</v>
      </c>
      <c r="R2964">
        <v>2225</v>
      </c>
      <c r="S2964" s="50">
        <f t="shared" si="681"/>
        <v>71535.307499999995</v>
      </c>
      <c r="T2964" s="50">
        <f t="shared" si="686"/>
        <v>0</v>
      </c>
      <c r="U2964" s="58">
        <f t="shared" si="687"/>
        <v>0</v>
      </c>
      <c r="V2964" s="58">
        <f t="shared" si="688"/>
        <v>0</v>
      </c>
      <c r="W2964" s="58">
        <f t="shared" si="689"/>
        <v>0</v>
      </c>
      <c r="X2964" s="58">
        <f t="shared" si="690"/>
        <v>0</v>
      </c>
      <c r="Y2964" s="52">
        <f t="shared" si="691"/>
        <v>0</v>
      </c>
    </row>
    <row r="2965" spans="1:25" x14ac:dyDescent="0.25">
      <c r="A2965" s="1218" t="s">
        <v>99</v>
      </c>
      <c r="B2965" s="98">
        <v>45992</v>
      </c>
      <c r="C2965" s="117" t="str">
        <f t="shared" si="679"/>
        <v>4L</v>
      </c>
      <c r="F2965" s="99">
        <f t="shared" si="693"/>
        <v>0</v>
      </c>
      <c r="I2965" s="99">
        <f t="shared" si="692"/>
        <v>0</v>
      </c>
      <c r="L2965" s="99">
        <f t="shared" si="680"/>
        <v>0</v>
      </c>
      <c r="M2965" s="44" t="str">
        <f t="shared" si="682"/>
        <v/>
      </c>
      <c r="N2965" s="100">
        <f t="shared" si="683"/>
        <v>0</v>
      </c>
      <c r="O2965" s="101">
        <f t="shared" si="684"/>
        <v>0</v>
      </c>
      <c r="P2965" s="52">
        <f t="shared" si="685"/>
        <v>0</v>
      </c>
      <c r="Q2965" s="49">
        <v>116.88487613461319</v>
      </c>
      <c r="R2965">
        <v>2225</v>
      </c>
      <c r="S2965" s="50">
        <f t="shared" si="681"/>
        <v>71535.307499999995</v>
      </c>
      <c r="T2965" s="50">
        <f t="shared" si="686"/>
        <v>0</v>
      </c>
      <c r="U2965" s="58">
        <f t="shared" si="687"/>
        <v>0</v>
      </c>
      <c r="V2965" s="58">
        <f t="shared" si="688"/>
        <v>0</v>
      </c>
      <c r="W2965" s="58">
        <f t="shared" si="689"/>
        <v>0</v>
      </c>
      <c r="X2965" s="58">
        <f t="shared" si="690"/>
        <v>0</v>
      </c>
      <c r="Y2965" s="52">
        <f t="shared" si="691"/>
        <v>0</v>
      </c>
    </row>
    <row r="2966" spans="1:25" x14ac:dyDescent="0.25">
      <c r="A2966" s="1218" t="s">
        <v>100</v>
      </c>
      <c r="B2966" s="98">
        <v>45992</v>
      </c>
      <c r="C2966" s="117" t="str">
        <f t="shared" si="679"/>
        <v>4L</v>
      </c>
      <c r="F2966" s="99">
        <f t="shared" si="693"/>
        <v>0</v>
      </c>
      <c r="I2966" s="99">
        <f t="shared" si="692"/>
        <v>0</v>
      </c>
      <c r="L2966" s="99">
        <f t="shared" si="680"/>
        <v>0</v>
      </c>
      <c r="M2966" s="44" t="str">
        <f t="shared" si="682"/>
        <v/>
      </c>
      <c r="N2966" s="100">
        <f t="shared" si="683"/>
        <v>0</v>
      </c>
      <c r="O2966" s="101">
        <f t="shared" si="684"/>
        <v>0</v>
      </c>
      <c r="P2966" s="52">
        <f t="shared" si="685"/>
        <v>0</v>
      </c>
      <c r="Q2966" s="49">
        <v>116.88487613461319</v>
      </c>
      <c r="R2966">
        <v>2225</v>
      </c>
      <c r="S2966" s="50">
        <f t="shared" si="681"/>
        <v>71535.307499999995</v>
      </c>
      <c r="T2966" s="50">
        <f t="shared" si="686"/>
        <v>0</v>
      </c>
      <c r="U2966" s="58">
        <f t="shared" si="687"/>
        <v>0</v>
      </c>
      <c r="V2966" s="58">
        <f t="shared" si="688"/>
        <v>0</v>
      </c>
      <c r="W2966" s="58">
        <f t="shared" si="689"/>
        <v>0</v>
      </c>
      <c r="X2966" s="58">
        <f t="shared" si="690"/>
        <v>0</v>
      </c>
      <c r="Y2966" s="52">
        <f t="shared" si="691"/>
        <v>0</v>
      </c>
    </row>
    <row r="2967" spans="1:25" x14ac:dyDescent="0.25">
      <c r="A2967" s="1218" t="s">
        <v>101</v>
      </c>
      <c r="B2967" s="98">
        <v>45992</v>
      </c>
      <c r="C2967" s="117" t="str">
        <f t="shared" si="679"/>
        <v>4L</v>
      </c>
      <c r="F2967" s="99">
        <f t="shared" si="693"/>
        <v>0</v>
      </c>
      <c r="I2967" s="99">
        <f t="shared" si="692"/>
        <v>0</v>
      </c>
      <c r="L2967" s="99">
        <f t="shared" si="680"/>
        <v>0</v>
      </c>
      <c r="M2967" s="44" t="str">
        <f t="shared" si="682"/>
        <v/>
      </c>
      <c r="N2967" s="100">
        <f t="shared" si="683"/>
        <v>0</v>
      </c>
      <c r="O2967" s="101">
        <f t="shared" si="684"/>
        <v>0</v>
      </c>
      <c r="P2967" s="52">
        <f t="shared" si="685"/>
        <v>0</v>
      </c>
      <c r="Q2967" s="49">
        <v>116.88487613461319</v>
      </c>
      <c r="R2967">
        <v>2225</v>
      </c>
      <c r="S2967" s="50">
        <f t="shared" si="681"/>
        <v>71535.307499999995</v>
      </c>
      <c r="T2967" s="50">
        <f t="shared" si="686"/>
        <v>0</v>
      </c>
      <c r="U2967" s="58">
        <f t="shared" si="687"/>
        <v>0</v>
      </c>
      <c r="V2967" s="58">
        <f t="shared" si="688"/>
        <v>0</v>
      </c>
      <c r="W2967" s="58">
        <f t="shared" si="689"/>
        <v>0</v>
      </c>
      <c r="X2967" s="58">
        <f t="shared" si="690"/>
        <v>0</v>
      </c>
      <c r="Y2967" s="52">
        <f t="shared" si="691"/>
        <v>0</v>
      </c>
    </row>
    <row r="2968" spans="1:25" x14ac:dyDescent="0.25">
      <c r="A2968" s="1218" t="s">
        <v>102</v>
      </c>
      <c r="B2968" s="98">
        <v>45992</v>
      </c>
      <c r="C2968" s="117" t="str">
        <f t="shared" si="679"/>
        <v>4L</v>
      </c>
      <c r="F2968" s="99">
        <f t="shared" si="693"/>
        <v>0</v>
      </c>
      <c r="I2968" s="99">
        <f t="shared" si="692"/>
        <v>0</v>
      </c>
      <c r="L2968" s="99">
        <f t="shared" si="680"/>
        <v>0</v>
      </c>
      <c r="M2968" s="44" t="str">
        <f t="shared" si="682"/>
        <v/>
      </c>
      <c r="N2968" s="100">
        <f t="shared" si="683"/>
        <v>0</v>
      </c>
      <c r="O2968" s="101">
        <f t="shared" si="684"/>
        <v>0</v>
      </c>
      <c r="P2968" s="52">
        <f t="shared" si="685"/>
        <v>0</v>
      </c>
      <c r="Q2968" s="49">
        <v>116.88487613461319</v>
      </c>
      <c r="R2968">
        <v>2225</v>
      </c>
      <c r="S2968" s="50">
        <f t="shared" si="681"/>
        <v>71535.307499999995</v>
      </c>
      <c r="T2968" s="50">
        <f t="shared" si="686"/>
        <v>0</v>
      </c>
      <c r="U2968" s="58">
        <f t="shared" si="687"/>
        <v>0</v>
      </c>
      <c r="V2968" s="58">
        <f t="shared" si="688"/>
        <v>0</v>
      </c>
      <c r="W2968" s="58">
        <f t="shared" si="689"/>
        <v>0</v>
      </c>
      <c r="X2968" s="58">
        <f t="shared" si="690"/>
        <v>0</v>
      </c>
      <c r="Y2968" s="52">
        <f t="shared" si="691"/>
        <v>0</v>
      </c>
    </row>
    <row r="2969" spans="1:25" x14ac:dyDescent="0.25">
      <c r="A2969" s="1218" t="s">
        <v>103</v>
      </c>
      <c r="B2969" s="98">
        <v>45992</v>
      </c>
      <c r="C2969" s="117" t="str">
        <f t="shared" si="679"/>
        <v>4L</v>
      </c>
      <c r="F2969" s="99">
        <f t="shared" si="693"/>
        <v>0</v>
      </c>
      <c r="I2969" s="99">
        <f t="shared" si="692"/>
        <v>0</v>
      </c>
      <c r="L2969" s="99">
        <f t="shared" si="680"/>
        <v>0</v>
      </c>
      <c r="M2969" s="44" t="str">
        <f t="shared" si="682"/>
        <v/>
      </c>
      <c r="N2969" s="100">
        <f t="shared" si="683"/>
        <v>0</v>
      </c>
      <c r="O2969" s="101">
        <f t="shared" si="684"/>
        <v>0</v>
      </c>
      <c r="P2969" s="52">
        <f t="shared" si="685"/>
        <v>0</v>
      </c>
      <c r="Q2969" s="49">
        <v>116.88487613461319</v>
      </c>
      <c r="R2969">
        <v>2225</v>
      </c>
      <c r="S2969" s="50">
        <f t="shared" si="681"/>
        <v>71535.307499999995</v>
      </c>
      <c r="T2969" s="50">
        <f t="shared" si="686"/>
        <v>0</v>
      </c>
      <c r="U2969" s="58">
        <f t="shared" si="687"/>
        <v>0</v>
      </c>
      <c r="V2969" s="58">
        <f t="shared" si="688"/>
        <v>0</v>
      </c>
      <c r="W2969" s="58">
        <f t="shared" si="689"/>
        <v>0</v>
      </c>
      <c r="X2969" s="58">
        <f t="shared" si="690"/>
        <v>0</v>
      </c>
      <c r="Y2969" s="52">
        <f t="shared" si="691"/>
        <v>0</v>
      </c>
    </row>
    <row r="2970" spans="1:25" x14ac:dyDescent="0.25">
      <c r="A2970" s="1218" t="s">
        <v>104</v>
      </c>
      <c r="B2970" s="98">
        <v>45992</v>
      </c>
      <c r="C2970" s="117" t="str">
        <f t="shared" ref="C2970:C3034" si="694">LEFT(A2970,2)</f>
        <v>4L</v>
      </c>
      <c r="F2970" s="99">
        <f t="shared" si="693"/>
        <v>0</v>
      </c>
      <c r="I2970" s="99">
        <f t="shared" si="692"/>
        <v>0</v>
      </c>
      <c r="L2970" s="99">
        <f t="shared" si="680"/>
        <v>0</v>
      </c>
      <c r="M2970" s="44" t="str">
        <f t="shared" si="682"/>
        <v/>
      </c>
      <c r="N2970" s="100">
        <f t="shared" si="683"/>
        <v>0</v>
      </c>
      <c r="O2970" s="101">
        <f t="shared" si="684"/>
        <v>0</v>
      </c>
      <c r="P2970" s="52">
        <f t="shared" si="685"/>
        <v>0</v>
      </c>
      <c r="Q2970" s="49">
        <v>116.88487613461319</v>
      </c>
      <c r="R2970">
        <v>2225</v>
      </c>
      <c r="S2970" s="50">
        <f t="shared" si="681"/>
        <v>71535.307499999995</v>
      </c>
      <c r="T2970" s="50">
        <f t="shared" si="686"/>
        <v>0</v>
      </c>
      <c r="U2970" s="58">
        <f t="shared" si="687"/>
        <v>0</v>
      </c>
      <c r="V2970" s="58">
        <f t="shared" si="688"/>
        <v>0</v>
      </c>
      <c r="W2970" s="58">
        <f t="shared" si="689"/>
        <v>0</v>
      </c>
      <c r="X2970" s="58">
        <f t="shared" si="690"/>
        <v>0</v>
      </c>
      <c r="Y2970" s="52">
        <f t="shared" si="691"/>
        <v>0</v>
      </c>
    </row>
    <row r="2971" spans="1:25" x14ac:dyDescent="0.25">
      <c r="A2971" s="1218" t="s">
        <v>105</v>
      </c>
      <c r="B2971" s="98">
        <v>45992</v>
      </c>
      <c r="C2971" s="117" t="str">
        <f t="shared" si="694"/>
        <v>4L</v>
      </c>
      <c r="F2971" s="99">
        <f t="shared" si="693"/>
        <v>0</v>
      </c>
      <c r="I2971" s="99">
        <f t="shared" si="692"/>
        <v>0</v>
      </c>
      <c r="L2971" s="99">
        <f t="shared" si="680"/>
        <v>0</v>
      </c>
      <c r="M2971" s="44" t="str">
        <f t="shared" si="682"/>
        <v/>
      </c>
      <c r="N2971" s="100">
        <f t="shared" si="683"/>
        <v>0</v>
      </c>
      <c r="O2971" s="101">
        <f t="shared" si="684"/>
        <v>0</v>
      </c>
      <c r="P2971" s="52">
        <f t="shared" si="685"/>
        <v>0</v>
      </c>
      <c r="Q2971" s="49">
        <v>116.88487613461319</v>
      </c>
      <c r="R2971">
        <v>2225</v>
      </c>
      <c r="S2971" s="50">
        <f t="shared" si="681"/>
        <v>71535.307499999995</v>
      </c>
      <c r="T2971" s="50">
        <f t="shared" si="686"/>
        <v>0</v>
      </c>
      <c r="U2971" s="58">
        <f t="shared" si="687"/>
        <v>0</v>
      </c>
      <c r="V2971" s="58">
        <f t="shared" si="688"/>
        <v>0</v>
      </c>
      <c r="W2971" s="58">
        <f t="shared" si="689"/>
        <v>0</v>
      </c>
      <c r="X2971" s="58">
        <f t="shared" si="690"/>
        <v>0</v>
      </c>
      <c r="Y2971" s="52">
        <f t="shared" si="691"/>
        <v>0</v>
      </c>
    </row>
    <row r="2972" spans="1:25" x14ac:dyDescent="0.25">
      <c r="A2972" s="1218" t="s">
        <v>106</v>
      </c>
      <c r="B2972" s="98">
        <v>45992</v>
      </c>
      <c r="C2972" s="117" t="str">
        <f t="shared" si="694"/>
        <v>4L</v>
      </c>
      <c r="F2972" s="99">
        <f t="shared" si="693"/>
        <v>0</v>
      </c>
      <c r="I2972" s="99">
        <f t="shared" si="692"/>
        <v>0</v>
      </c>
      <c r="L2972" s="99">
        <f t="shared" si="680"/>
        <v>0</v>
      </c>
      <c r="M2972" s="44" t="str">
        <f t="shared" si="682"/>
        <v/>
      </c>
      <c r="N2972" s="100">
        <f t="shared" si="683"/>
        <v>0</v>
      </c>
      <c r="O2972" s="101">
        <f t="shared" si="684"/>
        <v>0</v>
      </c>
      <c r="P2972" s="52">
        <f t="shared" si="685"/>
        <v>0</v>
      </c>
      <c r="Q2972" s="49">
        <v>116.88487613461319</v>
      </c>
      <c r="R2972">
        <v>2225</v>
      </c>
      <c r="S2972" s="50">
        <f t="shared" si="681"/>
        <v>71535.307499999995</v>
      </c>
      <c r="T2972" s="50">
        <f t="shared" si="686"/>
        <v>0</v>
      </c>
      <c r="U2972" s="58">
        <f t="shared" si="687"/>
        <v>0</v>
      </c>
      <c r="V2972" s="58">
        <f t="shared" si="688"/>
        <v>0</v>
      </c>
      <c r="W2972" s="58">
        <f t="shared" si="689"/>
        <v>0</v>
      </c>
      <c r="X2972" s="58">
        <f t="shared" si="690"/>
        <v>0</v>
      </c>
      <c r="Y2972" s="52">
        <f t="shared" si="691"/>
        <v>0</v>
      </c>
    </row>
    <row r="2973" spans="1:25" x14ac:dyDescent="0.25">
      <c r="A2973" s="1218" t="s">
        <v>107</v>
      </c>
      <c r="B2973" s="98">
        <v>45992</v>
      </c>
      <c r="C2973" s="117" t="str">
        <f t="shared" si="694"/>
        <v>4L</v>
      </c>
      <c r="F2973" s="99">
        <f t="shared" si="693"/>
        <v>0</v>
      </c>
      <c r="I2973" s="99">
        <f t="shared" si="692"/>
        <v>0</v>
      </c>
      <c r="L2973" s="99">
        <f t="shared" si="680"/>
        <v>0</v>
      </c>
      <c r="M2973" s="44" t="str">
        <f t="shared" si="682"/>
        <v/>
      </c>
      <c r="N2973" s="100">
        <f t="shared" si="683"/>
        <v>0</v>
      </c>
      <c r="O2973" s="101">
        <f t="shared" si="684"/>
        <v>0</v>
      </c>
      <c r="P2973" s="52">
        <f t="shared" si="685"/>
        <v>0</v>
      </c>
      <c r="Q2973" s="49">
        <v>116.88487613461319</v>
      </c>
      <c r="R2973">
        <v>2225</v>
      </c>
      <c r="S2973" s="50">
        <f t="shared" si="681"/>
        <v>71535.307499999995</v>
      </c>
      <c r="T2973" s="50">
        <f t="shared" si="686"/>
        <v>0</v>
      </c>
      <c r="U2973" s="58">
        <f t="shared" si="687"/>
        <v>0</v>
      </c>
      <c r="V2973" s="58">
        <f t="shared" si="688"/>
        <v>0</v>
      </c>
      <c r="W2973" s="58">
        <f t="shared" si="689"/>
        <v>0</v>
      </c>
      <c r="X2973" s="58">
        <f t="shared" si="690"/>
        <v>0</v>
      </c>
      <c r="Y2973" s="52">
        <f t="shared" si="691"/>
        <v>0</v>
      </c>
    </row>
    <row r="2974" spans="1:25" x14ac:dyDescent="0.25">
      <c r="A2974" s="1218" t="s">
        <v>108</v>
      </c>
      <c r="B2974" s="98">
        <v>45992</v>
      </c>
      <c r="C2974" s="117" t="str">
        <f t="shared" si="694"/>
        <v>4L</v>
      </c>
      <c r="F2974" s="99">
        <f t="shared" si="693"/>
        <v>0</v>
      </c>
      <c r="I2974" s="99">
        <f t="shared" si="692"/>
        <v>0</v>
      </c>
      <c r="L2974" s="99">
        <f t="shared" si="680"/>
        <v>0</v>
      </c>
      <c r="M2974" s="44" t="str">
        <f t="shared" si="682"/>
        <v/>
      </c>
      <c r="N2974" s="100">
        <f t="shared" si="683"/>
        <v>0</v>
      </c>
      <c r="O2974" s="101">
        <f t="shared" si="684"/>
        <v>0</v>
      </c>
      <c r="P2974" s="52">
        <f t="shared" si="685"/>
        <v>0</v>
      </c>
      <c r="Q2974" s="49">
        <v>116.88487613461319</v>
      </c>
      <c r="R2974">
        <v>2225</v>
      </c>
      <c r="S2974" s="50">
        <f t="shared" si="681"/>
        <v>71535.307499999995</v>
      </c>
      <c r="T2974" s="50">
        <f t="shared" si="686"/>
        <v>0</v>
      </c>
      <c r="U2974" s="58">
        <f t="shared" si="687"/>
        <v>0</v>
      </c>
      <c r="V2974" s="58">
        <f t="shared" si="688"/>
        <v>0</v>
      </c>
      <c r="W2974" s="58">
        <f t="shared" si="689"/>
        <v>0</v>
      </c>
      <c r="X2974" s="58">
        <f t="shared" si="690"/>
        <v>0</v>
      </c>
      <c r="Y2974" s="52">
        <f t="shared" si="691"/>
        <v>0</v>
      </c>
    </row>
    <row r="2975" spans="1:25" x14ac:dyDescent="0.25">
      <c r="A2975" s="1218" t="s">
        <v>109</v>
      </c>
      <c r="B2975" s="98">
        <v>45992</v>
      </c>
      <c r="C2975" s="117" t="str">
        <f t="shared" si="694"/>
        <v>4L</v>
      </c>
      <c r="F2975" s="99">
        <f t="shared" si="693"/>
        <v>0</v>
      </c>
      <c r="I2975" s="99">
        <f t="shared" si="692"/>
        <v>0</v>
      </c>
      <c r="L2975" s="99">
        <f t="shared" si="680"/>
        <v>0</v>
      </c>
      <c r="M2975" s="44" t="str">
        <f t="shared" si="682"/>
        <v/>
      </c>
      <c r="N2975" s="100">
        <f t="shared" si="683"/>
        <v>0</v>
      </c>
      <c r="O2975" s="101">
        <f t="shared" si="684"/>
        <v>0</v>
      </c>
      <c r="P2975" s="52">
        <f t="shared" si="685"/>
        <v>0</v>
      </c>
      <c r="Q2975" s="49">
        <v>116.88487613461319</v>
      </c>
      <c r="R2975">
        <v>2225</v>
      </c>
      <c r="S2975" s="50">
        <f t="shared" si="681"/>
        <v>71535.307499999995</v>
      </c>
      <c r="T2975" s="50">
        <f t="shared" si="686"/>
        <v>0</v>
      </c>
      <c r="U2975" s="58">
        <f t="shared" si="687"/>
        <v>0</v>
      </c>
      <c r="V2975" s="58">
        <f t="shared" si="688"/>
        <v>0</v>
      </c>
      <c r="W2975" s="58">
        <f t="shared" si="689"/>
        <v>0</v>
      </c>
      <c r="X2975" s="58">
        <f t="shared" si="690"/>
        <v>0</v>
      </c>
      <c r="Y2975" s="52">
        <f t="shared" si="691"/>
        <v>0</v>
      </c>
    </row>
    <row r="2976" spans="1:25" x14ac:dyDescent="0.25">
      <c r="A2976" s="1218" t="s">
        <v>110</v>
      </c>
      <c r="B2976" s="98">
        <v>45992</v>
      </c>
      <c r="C2976" s="117" t="str">
        <f t="shared" si="694"/>
        <v>4L</v>
      </c>
      <c r="F2976" s="99">
        <f t="shared" si="693"/>
        <v>0</v>
      </c>
      <c r="I2976" s="99">
        <f t="shared" si="692"/>
        <v>0</v>
      </c>
      <c r="L2976" s="99">
        <f t="shared" si="680"/>
        <v>0</v>
      </c>
      <c r="M2976" s="44" t="str">
        <f t="shared" si="682"/>
        <v/>
      </c>
      <c r="N2976" s="100">
        <f t="shared" si="683"/>
        <v>0</v>
      </c>
      <c r="O2976" s="101">
        <f t="shared" si="684"/>
        <v>0</v>
      </c>
      <c r="P2976" s="52">
        <f t="shared" si="685"/>
        <v>0</v>
      </c>
      <c r="Q2976" s="49">
        <v>116.88487613461319</v>
      </c>
      <c r="R2976">
        <v>2225</v>
      </c>
      <c r="S2976" s="50">
        <f t="shared" si="681"/>
        <v>71535.307499999995</v>
      </c>
      <c r="T2976" s="50">
        <f t="shared" si="686"/>
        <v>0</v>
      </c>
      <c r="U2976" s="58">
        <f t="shared" si="687"/>
        <v>0</v>
      </c>
      <c r="V2976" s="58">
        <f t="shared" si="688"/>
        <v>0</v>
      </c>
      <c r="W2976" s="58">
        <f t="shared" si="689"/>
        <v>0</v>
      </c>
      <c r="X2976" s="58">
        <f t="shared" si="690"/>
        <v>0</v>
      </c>
      <c r="Y2976" s="52">
        <f t="shared" si="691"/>
        <v>0</v>
      </c>
    </row>
    <row r="2977" spans="1:25" x14ac:dyDescent="0.25">
      <c r="A2977" s="1218" t="s">
        <v>111</v>
      </c>
      <c r="B2977" s="98">
        <v>45992</v>
      </c>
      <c r="C2977" s="117" t="str">
        <f t="shared" si="694"/>
        <v>4L</v>
      </c>
      <c r="F2977" s="99">
        <f t="shared" si="693"/>
        <v>0</v>
      </c>
      <c r="I2977" s="99">
        <f t="shared" si="692"/>
        <v>0</v>
      </c>
      <c r="L2977" s="99">
        <f t="shared" si="680"/>
        <v>0</v>
      </c>
      <c r="M2977" s="44" t="str">
        <f t="shared" si="682"/>
        <v/>
      </c>
      <c r="N2977" s="100">
        <f t="shared" si="683"/>
        <v>0</v>
      </c>
      <c r="O2977" s="101">
        <f t="shared" si="684"/>
        <v>0</v>
      </c>
      <c r="P2977" s="52">
        <f t="shared" si="685"/>
        <v>0</v>
      </c>
      <c r="Q2977" s="49">
        <v>116.88487613461319</v>
      </c>
      <c r="R2977">
        <v>2225</v>
      </c>
      <c r="S2977" s="50">
        <f t="shared" si="681"/>
        <v>71535.307499999995</v>
      </c>
      <c r="T2977" s="50">
        <f t="shared" si="686"/>
        <v>0</v>
      </c>
      <c r="U2977" s="58">
        <f t="shared" si="687"/>
        <v>0</v>
      </c>
      <c r="V2977" s="58">
        <f t="shared" si="688"/>
        <v>0</v>
      </c>
      <c r="W2977" s="58">
        <f t="shared" si="689"/>
        <v>0</v>
      </c>
      <c r="X2977" s="58">
        <f t="shared" si="690"/>
        <v>0</v>
      </c>
      <c r="Y2977" s="52">
        <f t="shared" si="691"/>
        <v>0</v>
      </c>
    </row>
    <row r="2978" spans="1:25" x14ac:dyDescent="0.25">
      <c r="A2978" s="1218" t="s">
        <v>112</v>
      </c>
      <c r="B2978" s="98">
        <v>45992</v>
      </c>
      <c r="C2978" s="117" t="str">
        <f t="shared" si="694"/>
        <v>4L</v>
      </c>
      <c r="F2978" s="99">
        <f t="shared" si="693"/>
        <v>0</v>
      </c>
      <c r="I2978" s="99">
        <f t="shared" si="692"/>
        <v>0</v>
      </c>
      <c r="L2978" s="99">
        <f t="shared" si="680"/>
        <v>0</v>
      </c>
      <c r="M2978" s="44" t="str">
        <f t="shared" si="682"/>
        <v/>
      </c>
      <c r="N2978" s="100">
        <f t="shared" si="683"/>
        <v>0</v>
      </c>
      <c r="O2978" s="101">
        <f t="shared" si="684"/>
        <v>0</v>
      </c>
      <c r="P2978" s="52">
        <f t="shared" si="685"/>
        <v>0</v>
      </c>
      <c r="Q2978" s="49">
        <v>116.88487613461319</v>
      </c>
      <c r="R2978">
        <v>2225</v>
      </c>
      <c r="S2978" s="50">
        <f t="shared" si="681"/>
        <v>71535.307499999995</v>
      </c>
      <c r="T2978" s="50">
        <f t="shared" si="686"/>
        <v>0</v>
      </c>
      <c r="U2978" s="58">
        <f t="shared" si="687"/>
        <v>0</v>
      </c>
      <c r="V2978" s="58">
        <f t="shared" si="688"/>
        <v>0</v>
      </c>
      <c r="W2978" s="58">
        <f t="shared" si="689"/>
        <v>0</v>
      </c>
      <c r="X2978" s="58">
        <f t="shared" si="690"/>
        <v>0</v>
      </c>
      <c r="Y2978" s="52">
        <f t="shared" si="691"/>
        <v>0</v>
      </c>
    </row>
    <row r="2979" spans="1:25" x14ac:dyDescent="0.25">
      <c r="A2979" s="1218" t="s">
        <v>113</v>
      </c>
      <c r="B2979" s="98">
        <v>45992</v>
      </c>
      <c r="C2979" s="117" t="str">
        <f t="shared" si="694"/>
        <v>4L</v>
      </c>
      <c r="F2979" s="99">
        <f t="shared" si="693"/>
        <v>0</v>
      </c>
      <c r="I2979" s="99">
        <f t="shared" si="692"/>
        <v>0</v>
      </c>
      <c r="L2979" s="99">
        <f t="shared" si="680"/>
        <v>0</v>
      </c>
      <c r="M2979" s="44" t="str">
        <f t="shared" si="682"/>
        <v/>
      </c>
      <c r="N2979" s="100">
        <f t="shared" si="683"/>
        <v>0</v>
      </c>
      <c r="O2979" s="101">
        <f t="shared" si="684"/>
        <v>0</v>
      </c>
      <c r="P2979" s="52">
        <f t="shared" si="685"/>
        <v>0</v>
      </c>
      <c r="Q2979" s="49">
        <v>116.88487613461319</v>
      </c>
      <c r="R2979">
        <v>2225</v>
      </c>
      <c r="S2979" s="50">
        <f t="shared" si="681"/>
        <v>71535.307499999995</v>
      </c>
      <c r="T2979" s="50">
        <f t="shared" si="686"/>
        <v>0</v>
      </c>
      <c r="U2979" s="58">
        <f t="shared" si="687"/>
        <v>0</v>
      </c>
      <c r="V2979" s="58">
        <f t="shared" si="688"/>
        <v>0</v>
      </c>
      <c r="W2979" s="58">
        <f t="shared" si="689"/>
        <v>0</v>
      </c>
      <c r="X2979" s="58">
        <f t="shared" si="690"/>
        <v>0</v>
      </c>
      <c r="Y2979" s="52">
        <f t="shared" si="691"/>
        <v>0</v>
      </c>
    </row>
    <row r="2980" spans="1:25" x14ac:dyDescent="0.25">
      <c r="A2980" s="1218" t="s">
        <v>114</v>
      </c>
      <c r="B2980" s="98">
        <v>45992</v>
      </c>
      <c r="C2980" s="117" t="str">
        <f t="shared" si="694"/>
        <v>4L</v>
      </c>
      <c r="F2980" s="99">
        <f t="shared" si="693"/>
        <v>0</v>
      </c>
      <c r="I2980" s="99">
        <f t="shared" si="692"/>
        <v>0</v>
      </c>
      <c r="L2980" s="99">
        <f t="shared" si="680"/>
        <v>0</v>
      </c>
      <c r="M2980" s="44" t="str">
        <f t="shared" si="682"/>
        <v/>
      </c>
      <c r="N2980" s="100">
        <f t="shared" si="683"/>
        <v>0</v>
      </c>
      <c r="O2980" s="101">
        <f t="shared" si="684"/>
        <v>0</v>
      </c>
      <c r="P2980" s="52">
        <f t="shared" si="685"/>
        <v>0</v>
      </c>
      <c r="Q2980" s="49">
        <v>116.88487613461319</v>
      </c>
      <c r="R2980">
        <v>2225</v>
      </c>
      <c r="S2980" s="50">
        <f t="shared" si="681"/>
        <v>71535.307499999995</v>
      </c>
      <c r="T2980" s="50">
        <f t="shared" si="686"/>
        <v>0</v>
      </c>
      <c r="U2980" s="58">
        <f t="shared" si="687"/>
        <v>0</v>
      </c>
      <c r="V2980" s="58">
        <f t="shared" si="688"/>
        <v>0</v>
      </c>
      <c r="W2980" s="58">
        <f t="shared" si="689"/>
        <v>0</v>
      </c>
      <c r="X2980" s="58">
        <f t="shared" si="690"/>
        <v>0</v>
      </c>
      <c r="Y2980" s="52">
        <f t="shared" si="691"/>
        <v>0</v>
      </c>
    </row>
    <row r="2981" spans="1:25" x14ac:dyDescent="0.25">
      <c r="A2981" s="1218" t="s">
        <v>115</v>
      </c>
      <c r="B2981" s="98">
        <v>45992</v>
      </c>
      <c r="C2981" s="117" t="str">
        <f t="shared" si="694"/>
        <v>4L</v>
      </c>
      <c r="F2981" s="99">
        <f t="shared" si="693"/>
        <v>0</v>
      </c>
      <c r="I2981" s="99">
        <f t="shared" si="692"/>
        <v>0</v>
      </c>
      <c r="L2981" s="99">
        <f t="shared" si="680"/>
        <v>0</v>
      </c>
      <c r="M2981" s="44" t="str">
        <f t="shared" si="682"/>
        <v/>
      </c>
      <c r="N2981" s="100">
        <f t="shared" si="683"/>
        <v>0</v>
      </c>
      <c r="O2981" s="101">
        <f t="shared" si="684"/>
        <v>0</v>
      </c>
      <c r="P2981" s="52">
        <f t="shared" si="685"/>
        <v>0</v>
      </c>
      <c r="Q2981" s="49">
        <v>116.88487613461319</v>
      </c>
      <c r="R2981">
        <v>2225</v>
      </c>
      <c r="S2981" s="50">
        <f t="shared" si="681"/>
        <v>71535.307499999995</v>
      </c>
      <c r="T2981" s="50">
        <f t="shared" si="686"/>
        <v>0</v>
      </c>
      <c r="U2981" s="58">
        <f t="shared" si="687"/>
        <v>0</v>
      </c>
      <c r="V2981" s="58">
        <f t="shared" si="688"/>
        <v>0</v>
      </c>
      <c r="W2981" s="58">
        <f t="shared" si="689"/>
        <v>0</v>
      </c>
      <c r="X2981" s="58">
        <f t="shared" si="690"/>
        <v>0</v>
      </c>
      <c r="Y2981" s="52">
        <f t="shared" si="691"/>
        <v>0</v>
      </c>
    </row>
    <row r="2982" spans="1:25" x14ac:dyDescent="0.25">
      <c r="A2982" s="1218" t="s">
        <v>116</v>
      </c>
      <c r="B2982" s="98">
        <v>45992</v>
      </c>
      <c r="C2982" s="117" t="str">
        <f t="shared" si="694"/>
        <v>4L</v>
      </c>
      <c r="F2982" s="99">
        <f t="shared" si="693"/>
        <v>0</v>
      </c>
      <c r="I2982" s="99">
        <f t="shared" si="692"/>
        <v>0</v>
      </c>
      <c r="L2982" s="99">
        <f t="shared" si="680"/>
        <v>0</v>
      </c>
      <c r="M2982" s="44" t="str">
        <f t="shared" si="682"/>
        <v/>
      </c>
      <c r="N2982" s="100">
        <f t="shared" si="683"/>
        <v>0</v>
      </c>
      <c r="O2982" s="101">
        <f t="shared" si="684"/>
        <v>0</v>
      </c>
      <c r="P2982" s="52">
        <f t="shared" si="685"/>
        <v>0</v>
      </c>
      <c r="Q2982" s="49">
        <v>116.88487613461319</v>
      </c>
      <c r="R2982">
        <v>2225</v>
      </c>
      <c r="S2982" s="50">
        <f t="shared" si="681"/>
        <v>71535.307499999995</v>
      </c>
      <c r="T2982" s="50">
        <f t="shared" si="686"/>
        <v>0</v>
      </c>
      <c r="U2982" s="58">
        <f t="shared" si="687"/>
        <v>0</v>
      </c>
      <c r="V2982" s="58">
        <f t="shared" si="688"/>
        <v>0</v>
      </c>
      <c r="W2982" s="58">
        <f t="shared" si="689"/>
        <v>0</v>
      </c>
      <c r="X2982" s="58">
        <f t="shared" si="690"/>
        <v>0</v>
      </c>
      <c r="Y2982" s="52">
        <f t="shared" si="691"/>
        <v>0</v>
      </c>
    </row>
    <row r="2983" spans="1:25" x14ac:dyDescent="0.25">
      <c r="A2983" s="1218" t="s">
        <v>117</v>
      </c>
      <c r="B2983" s="98">
        <v>45992</v>
      </c>
      <c r="C2983" s="117" t="str">
        <f t="shared" si="694"/>
        <v>4L</v>
      </c>
      <c r="F2983" s="99">
        <f t="shared" si="693"/>
        <v>0</v>
      </c>
      <c r="I2983" s="99">
        <f t="shared" si="692"/>
        <v>0</v>
      </c>
      <c r="L2983" s="99">
        <f t="shared" si="680"/>
        <v>0</v>
      </c>
      <c r="M2983" s="44" t="str">
        <f t="shared" si="682"/>
        <v/>
      </c>
      <c r="N2983" s="100">
        <f t="shared" si="683"/>
        <v>0</v>
      </c>
      <c r="O2983" s="101">
        <f t="shared" si="684"/>
        <v>0</v>
      </c>
      <c r="P2983" s="52">
        <f t="shared" si="685"/>
        <v>0</v>
      </c>
      <c r="Q2983" s="49">
        <v>116.88487613461319</v>
      </c>
      <c r="R2983">
        <v>2225</v>
      </c>
      <c r="S2983" s="50">
        <f t="shared" si="681"/>
        <v>71535.307499999995</v>
      </c>
      <c r="T2983" s="50">
        <f t="shared" si="686"/>
        <v>0</v>
      </c>
      <c r="U2983" s="58">
        <f t="shared" si="687"/>
        <v>0</v>
      </c>
      <c r="V2983" s="58">
        <f t="shared" si="688"/>
        <v>0</v>
      </c>
      <c r="W2983" s="58">
        <f t="shared" si="689"/>
        <v>0</v>
      </c>
      <c r="X2983" s="58">
        <f t="shared" si="690"/>
        <v>0</v>
      </c>
      <c r="Y2983" s="52">
        <f t="shared" si="691"/>
        <v>0</v>
      </c>
    </row>
    <row r="2984" spans="1:25" x14ac:dyDescent="0.25">
      <c r="A2984" s="1218" t="s">
        <v>118</v>
      </c>
      <c r="B2984" s="98">
        <v>45992</v>
      </c>
      <c r="C2984" s="117" t="str">
        <f t="shared" si="694"/>
        <v>4L</v>
      </c>
      <c r="F2984" s="99">
        <f t="shared" si="693"/>
        <v>0</v>
      </c>
      <c r="I2984" s="99">
        <f t="shared" si="692"/>
        <v>0</v>
      </c>
      <c r="L2984" s="99">
        <f t="shared" si="680"/>
        <v>0</v>
      </c>
      <c r="M2984" s="44" t="str">
        <f t="shared" si="682"/>
        <v/>
      </c>
      <c r="N2984" s="100">
        <f t="shared" si="683"/>
        <v>0</v>
      </c>
      <c r="O2984" s="101">
        <f t="shared" si="684"/>
        <v>0</v>
      </c>
      <c r="P2984" s="52">
        <f t="shared" si="685"/>
        <v>0</v>
      </c>
      <c r="Q2984" s="49">
        <v>116.88487613461319</v>
      </c>
      <c r="R2984">
        <v>2225</v>
      </c>
      <c r="S2984" s="50">
        <f t="shared" si="681"/>
        <v>71535.307499999995</v>
      </c>
      <c r="T2984" s="50">
        <f t="shared" si="686"/>
        <v>0</v>
      </c>
      <c r="U2984" s="58">
        <f t="shared" si="687"/>
        <v>0</v>
      </c>
      <c r="V2984" s="58">
        <f t="shared" si="688"/>
        <v>0</v>
      </c>
      <c r="W2984" s="58">
        <f t="shared" si="689"/>
        <v>0</v>
      </c>
      <c r="X2984" s="58">
        <f t="shared" si="690"/>
        <v>0</v>
      </c>
      <c r="Y2984" s="52">
        <f t="shared" si="691"/>
        <v>0</v>
      </c>
    </row>
    <row r="2985" spans="1:25" x14ac:dyDescent="0.25">
      <c r="A2985" s="1218" t="s">
        <v>119</v>
      </c>
      <c r="B2985" s="98">
        <v>45992</v>
      </c>
      <c r="C2985" s="117" t="str">
        <f t="shared" si="694"/>
        <v>4L</v>
      </c>
      <c r="F2985" s="99">
        <f t="shared" si="693"/>
        <v>0</v>
      </c>
      <c r="I2985" s="99">
        <f t="shared" si="692"/>
        <v>0</v>
      </c>
      <c r="L2985" s="99">
        <f t="shared" si="680"/>
        <v>0</v>
      </c>
      <c r="M2985" s="44" t="str">
        <f t="shared" si="682"/>
        <v/>
      </c>
      <c r="N2985" s="100">
        <f t="shared" si="683"/>
        <v>0</v>
      </c>
      <c r="O2985" s="101">
        <f t="shared" si="684"/>
        <v>0</v>
      </c>
      <c r="P2985" s="52">
        <f t="shared" si="685"/>
        <v>0</v>
      </c>
      <c r="Q2985" s="49">
        <v>116.88487613461319</v>
      </c>
      <c r="R2985">
        <v>2225</v>
      </c>
      <c r="S2985" s="50">
        <f t="shared" si="681"/>
        <v>71535.307499999995</v>
      </c>
      <c r="T2985" s="50">
        <f t="shared" si="686"/>
        <v>0</v>
      </c>
      <c r="U2985" s="58">
        <f t="shared" si="687"/>
        <v>0</v>
      </c>
      <c r="V2985" s="58">
        <f t="shared" si="688"/>
        <v>0</v>
      </c>
      <c r="W2985" s="58">
        <f t="shared" si="689"/>
        <v>0</v>
      </c>
      <c r="X2985" s="58">
        <f t="shared" si="690"/>
        <v>0</v>
      </c>
      <c r="Y2985" s="52">
        <f t="shared" si="691"/>
        <v>0</v>
      </c>
    </row>
    <row r="2986" spans="1:25" x14ac:dyDescent="0.25">
      <c r="A2986" s="1218" t="s">
        <v>120</v>
      </c>
      <c r="B2986" s="98">
        <v>45992</v>
      </c>
      <c r="C2986" s="117" t="str">
        <f t="shared" si="694"/>
        <v>4L</v>
      </c>
      <c r="F2986" s="99">
        <f t="shared" si="693"/>
        <v>0</v>
      </c>
      <c r="I2986" s="99">
        <f t="shared" si="692"/>
        <v>0</v>
      </c>
      <c r="L2986" s="99">
        <f t="shared" si="680"/>
        <v>0</v>
      </c>
      <c r="M2986" s="44" t="str">
        <f t="shared" si="682"/>
        <v/>
      </c>
      <c r="N2986" s="100">
        <f t="shared" si="683"/>
        <v>0</v>
      </c>
      <c r="O2986" s="101">
        <f t="shared" si="684"/>
        <v>0</v>
      </c>
      <c r="P2986" s="52">
        <f t="shared" si="685"/>
        <v>0</v>
      </c>
      <c r="Q2986" s="49">
        <v>116.88487613461319</v>
      </c>
      <c r="R2986">
        <v>2225</v>
      </c>
      <c r="S2986" s="50">
        <f t="shared" si="681"/>
        <v>71535.307499999995</v>
      </c>
      <c r="T2986" s="50">
        <f t="shared" si="686"/>
        <v>0</v>
      </c>
      <c r="U2986" s="58">
        <f t="shared" si="687"/>
        <v>0</v>
      </c>
      <c r="V2986" s="58">
        <f t="shared" si="688"/>
        <v>0</v>
      </c>
      <c r="W2986" s="58">
        <f t="shared" si="689"/>
        <v>0</v>
      </c>
      <c r="X2986" s="58">
        <f t="shared" si="690"/>
        <v>0</v>
      </c>
      <c r="Y2986" s="52">
        <f t="shared" si="691"/>
        <v>0</v>
      </c>
    </row>
    <row r="2987" spans="1:25" x14ac:dyDescent="0.25">
      <c r="A2987" s="1218" t="s">
        <v>121</v>
      </c>
      <c r="B2987" s="98">
        <v>45992</v>
      </c>
      <c r="C2987" s="117" t="str">
        <f t="shared" si="694"/>
        <v>4L</v>
      </c>
      <c r="F2987" s="99">
        <f t="shared" si="693"/>
        <v>0</v>
      </c>
      <c r="I2987" s="99">
        <f t="shared" si="692"/>
        <v>0</v>
      </c>
      <c r="L2987" s="99">
        <f t="shared" si="680"/>
        <v>0</v>
      </c>
      <c r="M2987" s="44" t="str">
        <f t="shared" si="682"/>
        <v/>
      </c>
      <c r="N2987" s="100">
        <f t="shared" si="683"/>
        <v>0</v>
      </c>
      <c r="O2987" s="101">
        <f t="shared" si="684"/>
        <v>0</v>
      </c>
      <c r="P2987" s="52">
        <f t="shared" si="685"/>
        <v>0</v>
      </c>
      <c r="Q2987" s="49">
        <v>116.88487613461319</v>
      </c>
      <c r="R2987">
        <v>2225</v>
      </c>
      <c r="S2987" s="50">
        <f t="shared" si="681"/>
        <v>71535.307499999995</v>
      </c>
      <c r="T2987" s="50">
        <f t="shared" si="686"/>
        <v>0</v>
      </c>
      <c r="U2987" s="58">
        <f t="shared" si="687"/>
        <v>0</v>
      </c>
      <c r="V2987" s="58">
        <f t="shared" si="688"/>
        <v>0</v>
      </c>
      <c r="W2987" s="58">
        <f t="shared" si="689"/>
        <v>0</v>
      </c>
      <c r="X2987" s="58">
        <f t="shared" si="690"/>
        <v>0</v>
      </c>
      <c r="Y2987" s="52">
        <f t="shared" si="691"/>
        <v>0</v>
      </c>
    </row>
    <row r="2988" spans="1:25" x14ac:dyDescent="0.25">
      <c r="A2988" s="1218" t="s">
        <v>122</v>
      </c>
      <c r="B2988" s="98">
        <v>45992</v>
      </c>
      <c r="C2988" s="117" t="str">
        <f t="shared" si="694"/>
        <v>4L</v>
      </c>
      <c r="F2988" s="99">
        <f t="shared" si="693"/>
        <v>0</v>
      </c>
      <c r="I2988" s="99">
        <f t="shared" si="692"/>
        <v>0</v>
      </c>
      <c r="L2988" s="99">
        <f t="shared" si="680"/>
        <v>0</v>
      </c>
      <c r="M2988" s="44" t="str">
        <f t="shared" si="682"/>
        <v/>
      </c>
      <c r="N2988" s="100">
        <f t="shared" si="683"/>
        <v>0</v>
      </c>
      <c r="O2988" s="101">
        <f t="shared" si="684"/>
        <v>0</v>
      </c>
      <c r="P2988" s="52">
        <f t="shared" si="685"/>
        <v>0</v>
      </c>
      <c r="Q2988" s="49">
        <v>116.88487613461319</v>
      </c>
      <c r="R2988">
        <v>2225</v>
      </c>
      <c r="S2988" s="50">
        <f t="shared" si="681"/>
        <v>71535.307499999995</v>
      </c>
      <c r="T2988" s="50">
        <f t="shared" si="686"/>
        <v>0</v>
      </c>
      <c r="U2988" s="58">
        <f t="shared" si="687"/>
        <v>0</v>
      </c>
      <c r="V2988" s="58">
        <f t="shared" si="688"/>
        <v>0</v>
      </c>
      <c r="W2988" s="58">
        <f t="shared" si="689"/>
        <v>0</v>
      </c>
      <c r="X2988" s="58">
        <f t="shared" si="690"/>
        <v>0</v>
      </c>
      <c r="Y2988" s="52">
        <f t="shared" si="691"/>
        <v>0</v>
      </c>
    </row>
    <row r="2989" spans="1:25" x14ac:dyDescent="0.25">
      <c r="A2989" s="1218" t="s">
        <v>123</v>
      </c>
      <c r="B2989" s="98">
        <v>45992</v>
      </c>
      <c r="C2989" s="117" t="str">
        <f t="shared" si="694"/>
        <v>4L</v>
      </c>
      <c r="F2989" s="99">
        <f t="shared" si="693"/>
        <v>0</v>
      </c>
      <c r="I2989" s="99">
        <f t="shared" si="692"/>
        <v>0</v>
      </c>
      <c r="L2989" s="99">
        <f t="shared" si="680"/>
        <v>0</v>
      </c>
      <c r="M2989" s="44" t="str">
        <f t="shared" si="682"/>
        <v/>
      </c>
      <c r="N2989" s="100">
        <f t="shared" si="683"/>
        <v>0</v>
      </c>
      <c r="O2989" s="101">
        <f t="shared" si="684"/>
        <v>0</v>
      </c>
      <c r="P2989" s="52">
        <f t="shared" si="685"/>
        <v>0</v>
      </c>
      <c r="Q2989" s="49">
        <v>116.88487613461319</v>
      </c>
      <c r="R2989">
        <v>2225</v>
      </c>
      <c r="S2989" s="50">
        <f t="shared" si="681"/>
        <v>71535.307499999995</v>
      </c>
      <c r="T2989" s="50">
        <f t="shared" si="686"/>
        <v>0</v>
      </c>
      <c r="U2989" s="58">
        <f t="shared" si="687"/>
        <v>0</v>
      </c>
      <c r="V2989" s="58">
        <f t="shared" si="688"/>
        <v>0</v>
      </c>
      <c r="W2989" s="58">
        <f t="shared" si="689"/>
        <v>0</v>
      </c>
      <c r="X2989" s="58">
        <f t="shared" si="690"/>
        <v>0</v>
      </c>
      <c r="Y2989" s="52">
        <f t="shared" si="691"/>
        <v>0</v>
      </c>
    </row>
    <row r="2990" spans="1:25" x14ac:dyDescent="0.25">
      <c r="A2990" s="1218" t="s">
        <v>124</v>
      </c>
      <c r="B2990" s="98">
        <v>45992</v>
      </c>
      <c r="C2990" s="117" t="str">
        <f t="shared" si="694"/>
        <v>4L</v>
      </c>
      <c r="F2990" s="99">
        <f t="shared" si="693"/>
        <v>0</v>
      </c>
      <c r="I2990" s="99">
        <f t="shared" si="692"/>
        <v>0</v>
      </c>
      <c r="L2990" s="99">
        <f t="shared" si="680"/>
        <v>0</v>
      </c>
      <c r="M2990" s="44" t="str">
        <f t="shared" si="682"/>
        <v/>
      </c>
      <c r="N2990" s="100">
        <f t="shared" si="683"/>
        <v>0</v>
      </c>
      <c r="O2990" s="101">
        <f t="shared" si="684"/>
        <v>0</v>
      </c>
      <c r="P2990" s="52">
        <f t="shared" si="685"/>
        <v>0</v>
      </c>
      <c r="Q2990" s="49">
        <v>116.88487613461319</v>
      </c>
      <c r="R2990">
        <v>2225</v>
      </c>
      <c r="S2990" s="50">
        <f t="shared" si="681"/>
        <v>71535.307499999995</v>
      </c>
      <c r="T2990" s="50">
        <f t="shared" si="686"/>
        <v>0</v>
      </c>
      <c r="U2990" s="58">
        <f t="shared" si="687"/>
        <v>0</v>
      </c>
      <c r="V2990" s="58">
        <f t="shared" si="688"/>
        <v>0</v>
      </c>
      <c r="W2990" s="58">
        <f t="shared" si="689"/>
        <v>0</v>
      </c>
      <c r="X2990" s="58">
        <f t="shared" si="690"/>
        <v>0</v>
      </c>
      <c r="Y2990" s="52">
        <f t="shared" si="691"/>
        <v>0</v>
      </c>
    </row>
    <row r="2991" spans="1:25" x14ac:dyDescent="0.25">
      <c r="A2991" s="1218" t="s">
        <v>125</v>
      </c>
      <c r="B2991" s="98">
        <v>45992</v>
      </c>
      <c r="C2991" s="117" t="str">
        <f t="shared" si="694"/>
        <v>4L</v>
      </c>
      <c r="F2991" s="99">
        <f t="shared" si="693"/>
        <v>0</v>
      </c>
      <c r="I2991" s="99">
        <f t="shared" si="692"/>
        <v>0</v>
      </c>
      <c r="L2991" s="99">
        <f t="shared" si="680"/>
        <v>0</v>
      </c>
      <c r="M2991" s="44" t="str">
        <f t="shared" si="682"/>
        <v/>
      </c>
      <c r="N2991" s="100">
        <f t="shared" si="683"/>
        <v>0</v>
      </c>
      <c r="O2991" s="101">
        <f t="shared" si="684"/>
        <v>0</v>
      </c>
      <c r="P2991" s="52">
        <f t="shared" si="685"/>
        <v>0</v>
      </c>
      <c r="Q2991" s="49">
        <v>116.88487613461319</v>
      </c>
      <c r="R2991">
        <v>2225</v>
      </c>
      <c r="S2991" s="50">
        <f t="shared" si="681"/>
        <v>71535.307499999995</v>
      </c>
      <c r="T2991" s="50">
        <f t="shared" si="686"/>
        <v>0</v>
      </c>
      <c r="U2991" s="58">
        <f t="shared" si="687"/>
        <v>0</v>
      </c>
      <c r="V2991" s="58">
        <f t="shared" si="688"/>
        <v>0</v>
      </c>
      <c r="W2991" s="58">
        <f t="shared" si="689"/>
        <v>0</v>
      </c>
      <c r="X2991" s="58">
        <f t="shared" si="690"/>
        <v>0</v>
      </c>
      <c r="Y2991" s="52">
        <f t="shared" si="691"/>
        <v>0</v>
      </c>
    </row>
    <row r="2992" spans="1:25" x14ac:dyDescent="0.25">
      <c r="A2992" s="1218" t="s">
        <v>126</v>
      </c>
      <c r="B2992" s="98">
        <v>45992</v>
      </c>
      <c r="C2992" s="117" t="str">
        <f t="shared" ref="C2992:C2993" si="695">LEFT(A2992,2)</f>
        <v>4L</v>
      </c>
      <c r="F2992" s="99"/>
      <c r="I2992" s="99"/>
      <c r="L2992" s="99"/>
      <c r="M2992" s="44"/>
      <c r="N2992" s="100"/>
      <c r="O2992" s="101"/>
      <c r="P2992" s="52"/>
      <c r="Q2992" s="49"/>
      <c r="S2992" s="50"/>
      <c r="T2992" s="50"/>
      <c r="U2992" s="58"/>
      <c r="V2992" s="58"/>
      <c r="W2992" s="58"/>
      <c r="X2992" s="58"/>
      <c r="Y2992" s="52"/>
    </row>
    <row r="2993" spans="1:25" x14ac:dyDescent="0.25">
      <c r="A2993" s="1218" t="s">
        <v>127</v>
      </c>
      <c r="B2993" s="98">
        <v>45992</v>
      </c>
      <c r="C2993" s="117" t="str">
        <f t="shared" si="695"/>
        <v>4L</v>
      </c>
      <c r="F2993" s="99">
        <f t="shared" si="693"/>
        <v>0</v>
      </c>
      <c r="I2993" s="99">
        <f t="shared" si="692"/>
        <v>0</v>
      </c>
      <c r="L2993" s="99"/>
      <c r="M2993" s="44"/>
      <c r="N2993" s="100"/>
      <c r="O2993" s="101"/>
      <c r="P2993" s="52"/>
      <c r="Q2993" s="49"/>
      <c r="S2993" s="50"/>
      <c r="T2993" s="50"/>
      <c r="U2993" s="58"/>
      <c r="V2993" s="58"/>
      <c r="W2993" s="58"/>
      <c r="X2993" s="58"/>
      <c r="Y2993" s="52"/>
    </row>
    <row r="2994" spans="1:25" x14ac:dyDescent="0.25">
      <c r="A2994" s="1218" t="s">
        <v>128</v>
      </c>
      <c r="B2994" s="98">
        <v>45992</v>
      </c>
      <c r="C2994" s="117" t="str">
        <f t="shared" si="694"/>
        <v>4L</v>
      </c>
      <c r="F2994" s="99">
        <f t="shared" si="693"/>
        <v>0</v>
      </c>
      <c r="I2994" s="99">
        <f t="shared" si="692"/>
        <v>0</v>
      </c>
      <c r="L2994" s="99"/>
      <c r="M2994" s="44"/>
      <c r="N2994" s="100"/>
      <c r="O2994" s="101"/>
      <c r="P2994" s="52"/>
      <c r="Q2994" s="49"/>
      <c r="S2994" s="50"/>
      <c r="T2994" s="50"/>
      <c r="U2994" s="58"/>
      <c r="V2994" s="58"/>
      <c r="W2994" s="58"/>
      <c r="X2994" s="58"/>
      <c r="Y2994" s="52"/>
    </row>
    <row r="2995" spans="1:25" x14ac:dyDescent="0.25">
      <c r="A2995" s="1218" t="s">
        <v>129</v>
      </c>
      <c r="B2995" s="98">
        <v>45992</v>
      </c>
      <c r="C2995" s="117" t="str">
        <f t="shared" si="694"/>
        <v>4L</v>
      </c>
      <c r="F2995" s="99">
        <f t="shared" si="693"/>
        <v>0</v>
      </c>
      <c r="I2995" s="99">
        <f t="shared" si="692"/>
        <v>0</v>
      </c>
      <c r="L2995" s="99">
        <f t="shared" si="680"/>
        <v>0</v>
      </c>
      <c r="M2995" s="44" t="str">
        <f t="shared" si="682"/>
        <v/>
      </c>
      <c r="N2995" s="100">
        <f t="shared" si="683"/>
        <v>0</v>
      </c>
      <c r="O2995" s="101">
        <f t="shared" si="684"/>
        <v>0</v>
      </c>
      <c r="P2995" s="52">
        <f t="shared" si="685"/>
        <v>0</v>
      </c>
      <c r="Q2995" s="49">
        <v>116.88487613461319</v>
      </c>
      <c r="R2995">
        <v>2225</v>
      </c>
      <c r="S2995" s="50">
        <f t="shared" si="681"/>
        <v>71535.307499999995</v>
      </c>
      <c r="T2995" s="50">
        <f t="shared" si="686"/>
        <v>0</v>
      </c>
      <c r="U2995" s="58">
        <f t="shared" si="687"/>
        <v>0</v>
      </c>
      <c r="V2995" s="58">
        <f t="shared" si="688"/>
        <v>0</v>
      </c>
      <c r="W2995" s="58">
        <f t="shared" si="689"/>
        <v>0</v>
      </c>
      <c r="X2995" s="58">
        <f t="shared" si="690"/>
        <v>0</v>
      </c>
      <c r="Y2995" s="52">
        <f t="shared" si="691"/>
        <v>0</v>
      </c>
    </row>
    <row r="2996" spans="1:25" x14ac:dyDescent="0.25">
      <c r="A2996" s="1218" t="s">
        <v>130</v>
      </c>
      <c r="B2996" s="98">
        <v>45992</v>
      </c>
      <c r="C2996" s="117" t="str">
        <f t="shared" si="694"/>
        <v>5L</v>
      </c>
      <c r="F2996" s="99">
        <f t="shared" si="693"/>
        <v>0</v>
      </c>
      <c r="I2996" s="99">
        <f t="shared" si="692"/>
        <v>0</v>
      </c>
      <c r="L2996" s="99">
        <f t="shared" si="680"/>
        <v>0</v>
      </c>
      <c r="M2996" s="44" t="str">
        <f t="shared" si="682"/>
        <v/>
      </c>
      <c r="N2996" s="100">
        <f t="shared" si="683"/>
        <v>0</v>
      </c>
      <c r="O2996" s="101">
        <f t="shared" si="684"/>
        <v>0</v>
      </c>
      <c r="P2996" s="52">
        <f t="shared" si="685"/>
        <v>0</v>
      </c>
      <c r="Q2996" s="49">
        <v>116.88487613461319</v>
      </c>
      <c r="R2996">
        <v>2225</v>
      </c>
      <c r="S2996" s="50">
        <f t="shared" si="681"/>
        <v>71535.307499999995</v>
      </c>
      <c r="T2996" s="50">
        <f t="shared" si="686"/>
        <v>0</v>
      </c>
      <c r="U2996" s="58">
        <f t="shared" si="687"/>
        <v>0</v>
      </c>
      <c r="V2996" s="58">
        <f t="shared" si="688"/>
        <v>0</v>
      </c>
      <c r="W2996" s="58">
        <f t="shared" si="689"/>
        <v>0</v>
      </c>
      <c r="X2996" s="58">
        <f t="shared" si="690"/>
        <v>0</v>
      </c>
      <c r="Y2996" s="52">
        <f t="shared" si="691"/>
        <v>0</v>
      </c>
    </row>
    <row r="2997" spans="1:25" x14ac:dyDescent="0.25">
      <c r="A2997" s="1218" t="s">
        <v>131</v>
      </c>
      <c r="B2997" s="98">
        <v>45992</v>
      </c>
      <c r="C2997" s="117" t="str">
        <f t="shared" si="694"/>
        <v>5L</v>
      </c>
      <c r="F2997" s="99">
        <f t="shared" si="693"/>
        <v>0</v>
      </c>
      <c r="I2997" s="99">
        <f t="shared" si="692"/>
        <v>0</v>
      </c>
      <c r="L2997" s="99">
        <f t="shared" si="680"/>
        <v>0</v>
      </c>
      <c r="M2997" s="44" t="str">
        <f t="shared" si="682"/>
        <v/>
      </c>
      <c r="N2997" s="100">
        <f t="shared" si="683"/>
        <v>0</v>
      </c>
      <c r="O2997" s="101">
        <f t="shared" si="684"/>
        <v>0</v>
      </c>
      <c r="P2997" s="52">
        <f t="shared" si="685"/>
        <v>0</v>
      </c>
      <c r="Q2997" s="49">
        <v>116.88487613461319</v>
      </c>
      <c r="R2997">
        <v>2225</v>
      </c>
      <c r="S2997" s="50">
        <f t="shared" si="681"/>
        <v>71535.307499999995</v>
      </c>
      <c r="T2997" s="50">
        <f t="shared" si="686"/>
        <v>0</v>
      </c>
      <c r="U2997" s="58">
        <f t="shared" si="687"/>
        <v>0</v>
      </c>
      <c r="V2997" s="58">
        <f t="shared" si="688"/>
        <v>0</v>
      </c>
      <c r="W2997" s="58">
        <f t="shared" si="689"/>
        <v>0</v>
      </c>
      <c r="X2997" s="58">
        <f t="shared" si="690"/>
        <v>0</v>
      </c>
      <c r="Y2997" s="52">
        <f t="shared" si="691"/>
        <v>0</v>
      </c>
    </row>
    <row r="2998" spans="1:25" x14ac:dyDescent="0.25">
      <c r="A2998" s="1218" t="s">
        <v>132</v>
      </c>
      <c r="B2998" s="98">
        <v>45992</v>
      </c>
      <c r="C2998" s="117" t="str">
        <f t="shared" si="694"/>
        <v>5L</v>
      </c>
      <c r="F2998" s="99">
        <f t="shared" si="693"/>
        <v>0</v>
      </c>
      <c r="I2998" s="99">
        <f t="shared" si="692"/>
        <v>0</v>
      </c>
      <c r="L2998" s="99">
        <f t="shared" si="680"/>
        <v>0</v>
      </c>
      <c r="M2998" s="44" t="str">
        <f t="shared" si="682"/>
        <v/>
      </c>
      <c r="N2998" s="100">
        <f t="shared" si="683"/>
        <v>0</v>
      </c>
      <c r="O2998" s="101">
        <f t="shared" si="684"/>
        <v>0</v>
      </c>
      <c r="P2998" s="52">
        <f t="shared" si="685"/>
        <v>0</v>
      </c>
      <c r="Q2998" s="49">
        <v>116.88487613461319</v>
      </c>
      <c r="R2998">
        <v>2225</v>
      </c>
      <c r="S2998" s="50">
        <f t="shared" si="681"/>
        <v>71535.307499999995</v>
      </c>
      <c r="T2998" s="50">
        <f t="shared" si="686"/>
        <v>0</v>
      </c>
      <c r="U2998" s="58">
        <f t="shared" si="687"/>
        <v>0</v>
      </c>
      <c r="V2998" s="58">
        <f t="shared" si="688"/>
        <v>0</v>
      </c>
      <c r="W2998" s="58">
        <f t="shared" si="689"/>
        <v>0</v>
      </c>
      <c r="X2998" s="58">
        <f t="shared" si="690"/>
        <v>0</v>
      </c>
      <c r="Y2998" s="52">
        <f t="shared" si="691"/>
        <v>0</v>
      </c>
    </row>
    <row r="2999" spans="1:25" x14ac:dyDescent="0.25">
      <c r="A2999" s="1218" t="s">
        <v>133</v>
      </c>
      <c r="B2999" s="98">
        <v>45992</v>
      </c>
      <c r="C2999" s="117" t="str">
        <f t="shared" si="694"/>
        <v>5L</v>
      </c>
      <c r="F2999" s="99">
        <f t="shared" si="693"/>
        <v>0</v>
      </c>
      <c r="I2999" s="99">
        <f t="shared" si="692"/>
        <v>0</v>
      </c>
      <c r="L2999" s="99">
        <f t="shared" si="680"/>
        <v>0</v>
      </c>
      <c r="M2999" s="44" t="str">
        <f t="shared" si="682"/>
        <v/>
      </c>
      <c r="N2999" s="100">
        <f t="shared" si="683"/>
        <v>0</v>
      </c>
      <c r="O2999" s="101">
        <f t="shared" si="684"/>
        <v>0</v>
      </c>
      <c r="P2999" s="52">
        <f t="shared" si="685"/>
        <v>0</v>
      </c>
      <c r="Q2999" s="49">
        <v>116.88487613461319</v>
      </c>
      <c r="R2999">
        <v>2225</v>
      </c>
      <c r="S2999" s="50">
        <f t="shared" si="681"/>
        <v>71535.307499999995</v>
      </c>
      <c r="T2999" s="50">
        <f t="shared" si="686"/>
        <v>0</v>
      </c>
      <c r="U2999" s="58">
        <f t="shared" si="687"/>
        <v>0</v>
      </c>
      <c r="V2999" s="58">
        <f t="shared" si="688"/>
        <v>0</v>
      </c>
      <c r="W2999" s="58">
        <f t="shared" si="689"/>
        <v>0</v>
      </c>
      <c r="X2999" s="58">
        <f t="shared" si="690"/>
        <v>0</v>
      </c>
      <c r="Y2999" s="52">
        <f t="shared" si="691"/>
        <v>0</v>
      </c>
    </row>
    <row r="3000" spans="1:25" x14ac:dyDescent="0.25">
      <c r="A3000" s="1218" t="s">
        <v>134</v>
      </c>
      <c r="B3000" s="98">
        <v>45992</v>
      </c>
      <c r="C3000" s="117" t="str">
        <f t="shared" si="694"/>
        <v>5L</v>
      </c>
      <c r="F3000" s="99">
        <f t="shared" si="693"/>
        <v>0</v>
      </c>
      <c r="I3000" s="99">
        <f t="shared" si="692"/>
        <v>0</v>
      </c>
      <c r="L3000" s="99">
        <f t="shared" ref="L3000:L3065" si="696">IFERROR(J3000*K3000/1000,"")</f>
        <v>0</v>
      </c>
      <c r="M3000" s="44" t="str">
        <f t="shared" si="682"/>
        <v/>
      </c>
      <c r="N3000" s="100">
        <f t="shared" si="683"/>
        <v>0</v>
      </c>
      <c r="O3000" s="101">
        <f t="shared" si="684"/>
        <v>0</v>
      </c>
      <c r="P3000" s="52">
        <f t="shared" si="685"/>
        <v>0</v>
      </c>
      <c r="Q3000" s="49">
        <v>116.88487613461319</v>
      </c>
      <c r="R3000">
        <v>2225</v>
      </c>
      <c r="S3000" s="50">
        <f t="shared" ref="S3000:S3065" si="697">R3000*32.1507</f>
        <v>71535.307499999995</v>
      </c>
      <c r="T3000" s="50">
        <f t="shared" si="686"/>
        <v>0</v>
      </c>
      <c r="U3000" s="58">
        <f t="shared" si="687"/>
        <v>0</v>
      </c>
      <c r="V3000" s="58">
        <f t="shared" si="688"/>
        <v>0</v>
      </c>
      <c r="W3000" s="58">
        <f t="shared" si="689"/>
        <v>0</v>
      </c>
      <c r="X3000" s="58">
        <f t="shared" si="690"/>
        <v>0</v>
      </c>
      <c r="Y3000" s="52">
        <f t="shared" si="691"/>
        <v>0</v>
      </c>
    </row>
    <row r="3001" spans="1:25" x14ac:dyDescent="0.25">
      <c r="A3001" s="1218" t="s">
        <v>135</v>
      </c>
      <c r="B3001" s="98">
        <v>45992</v>
      </c>
      <c r="C3001" s="117" t="str">
        <f t="shared" si="694"/>
        <v>5L</v>
      </c>
      <c r="F3001" s="99">
        <f t="shared" si="693"/>
        <v>0</v>
      </c>
      <c r="I3001" s="99">
        <f t="shared" si="692"/>
        <v>0</v>
      </c>
      <c r="L3001" s="99">
        <f t="shared" si="696"/>
        <v>0</v>
      </c>
      <c r="M3001" s="44" t="str">
        <f t="shared" si="682"/>
        <v/>
      </c>
      <c r="N3001" s="100">
        <f t="shared" si="683"/>
        <v>0</v>
      </c>
      <c r="O3001" s="101">
        <f t="shared" si="684"/>
        <v>0</v>
      </c>
      <c r="P3001" s="52">
        <f t="shared" si="685"/>
        <v>0</v>
      </c>
      <c r="Q3001" s="49">
        <v>116.88487613461319</v>
      </c>
      <c r="R3001">
        <v>2225</v>
      </c>
      <c r="S3001" s="50">
        <f t="shared" si="697"/>
        <v>71535.307499999995</v>
      </c>
      <c r="T3001" s="50">
        <f t="shared" si="686"/>
        <v>0</v>
      </c>
      <c r="U3001" s="58">
        <f t="shared" si="687"/>
        <v>0</v>
      </c>
      <c r="V3001" s="58">
        <f t="shared" si="688"/>
        <v>0</v>
      </c>
      <c r="W3001" s="58">
        <f t="shared" si="689"/>
        <v>0</v>
      </c>
      <c r="X3001" s="58">
        <f t="shared" si="690"/>
        <v>0</v>
      </c>
      <c r="Y3001" s="52">
        <f t="shared" si="691"/>
        <v>0</v>
      </c>
    </row>
    <row r="3002" spans="1:25" x14ac:dyDescent="0.25">
      <c r="A3002" s="1218" t="s">
        <v>136</v>
      </c>
      <c r="B3002" s="98">
        <v>45992</v>
      </c>
      <c r="C3002" s="117" t="str">
        <f t="shared" si="694"/>
        <v>5L</v>
      </c>
      <c r="F3002" s="99">
        <f t="shared" si="693"/>
        <v>0</v>
      </c>
      <c r="I3002" s="99">
        <f t="shared" si="692"/>
        <v>0</v>
      </c>
      <c r="L3002" s="99">
        <f t="shared" si="696"/>
        <v>0</v>
      </c>
      <c r="M3002" s="44" t="str">
        <f t="shared" ref="M3002:M3067" si="698">IFERROR((L3002-I3002)/I3002,"")</f>
        <v/>
      </c>
      <c r="N3002" s="100">
        <f t="shared" ref="N3002:N3067" si="699">J3002-G3002</f>
        <v>0</v>
      </c>
      <c r="O3002" s="101">
        <f t="shared" ref="O3002:O3067" si="700">L3002-I3002</f>
        <v>0</v>
      </c>
      <c r="P3002" s="52">
        <f t="shared" ref="P3002:P3067" si="701">U3002-W3002</f>
        <v>0</v>
      </c>
      <c r="Q3002" s="49">
        <v>116.88487613461319</v>
      </c>
      <c r="R3002">
        <v>2225</v>
      </c>
      <c r="S3002" s="50">
        <f t="shared" si="697"/>
        <v>71535.307499999995</v>
      </c>
      <c r="T3002" s="50">
        <f t="shared" ref="T3002:T3067" si="702">IFERROR(S3002*I3002,"")</f>
        <v>0</v>
      </c>
      <c r="U3002" s="58">
        <f t="shared" ref="U3002:U3067" si="703">IFERROR(S3002*L3002,"")</f>
        <v>0</v>
      </c>
      <c r="V3002" s="58">
        <f t="shared" ref="V3002:V3067" si="704">IFERROR(Q3002*G3002,"")</f>
        <v>0</v>
      </c>
      <c r="W3002" s="58">
        <f t="shared" ref="W3002:W3067" si="705">IFERROR(Q3002*J3002,"")</f>
        <v>0</v>
      </c>
      <c r="X3002" s="58">
        <f t="shared" ref="X3002:X3067" si="706">T3002-V3002</f>
        <v>0</v>
      </c>
      <c r="Y3002" s="52">
        <f t="shared" ref="Y3002:Y3067" si="707">U3002-W3002</f>
        <v>0</v>
      </c>
    </row>
    <row r="3003" spans="1:25" x14ac:dyDescent="0.25">
      <c r="A3003" s="1218" t="s">
        <v>137</v>
      </c>
      <c r="B3003" s="98">
        <v>45992</v>
      </c>
      <c r="C3003" s="117" t="str">
        <f t="shared" si="694"/>
        <v>5L</v>
      </c>
      <c r="F3003" s="99">
        <f t="shared" si="693"/>
        <v>0</v>
      </c>
      <c r="I3003" s="99">
        <f t="shared" si="692"/>
        <v>0</v>
      </c>
      <c r="L3003" s="99">
        <f t="shared" si="696"/>
        <v>0</v>
      </c>
      <c r="M3003" s="44" t="str">
        <f t="shared" si="698"/>
        <v/>
      </c>
      <c r="N3003" s="100">
        <f t="shared" si="699"/>
        <v>0</v>
      </c>
      <c r="O3003" s="101">
        <f t="shared" si="700"/>
        <v>0</v>
      </c>
      <c r="P3003" s="52">
        <f t="shared" si="701"/>
        <v>0</v>
      </c>
      <c r="Q3003" s="49">
        <v>116.88487613461319</v>
      </c>
      <c r="R3003">
        <v>2225</v>
      </c>
      <c r="S3003" s="50">
        <f t="shared" si="697"/>
        <v>71535.307499999995</v>
      </c>
      <c r="T3003" s="50">
        <f t="shared" si="702"/>
        <v>0</v>
      </c>
      <c r="U3003" s="58">
        <f t="shared" si="703"/>
        <v>0</v>
      </c>
      <c r="V3003" s="58">
        <f t="shared" si="704"/>
        <v>0</v>
      </c>
      <c r="W3003" s="58">
        <f t="shared" si="705"/>
        <v>0</v>
      </c>
      <c r="X3003" s="58">
        <f t="shared" si="706"/>
        <v>0</v>
      </c>
      <c r="Y3003" s="52">
        <f t="shared" si="707"/>
        <v>0</v>
      </c>
    </row>
    <row r="3004" spans="1:25" x14ac:dyDescent="0.25">
      <c r="A3004" s="1218" t="s">
        <v>138</v>
      </c>
      <c r="B3004" s="98">
        <v>45992</v>
      </c>
      <c r="C3004" s="117" t="str">
        <f t="shared" si="694"/>
        <v>5L</v>
      </c>
      <c r="F3004" s="99">
        <f t="shared" si="693"/>
        <v>0</v>
      </c>
      <c r="I3004" s="99">
        <f t="shared" si="692"/>
        <v>0</v>
      </c>
      <c r="L3004" s="99">
        <f t="shared" si="696"/>
        <v>0</v>
      </c>
      <c r="M3004" s="44" t="str">
        <f t="shared" si="698"/>
        <v/>
      </c>
      <c r="N3004" s="100">
        <f t="shared" si="699"/>
        <v>0</v>
      </c>
      <c r="O3004" s="101">
        <f t="shared" si="700"/>
        <v>0</v>
      </c>
      <c r="P3004" s="52">
        <f t="shared" si="701"/>
        <v>0</v>
      </c>
      <c r="Q3004" s="49">
        <v>116.88487613461319</v>
      </c>
      <c r="R3004">
        <v>2225</v>
      </c>
      <c r="S3004" s="50">
        <f t="shared" si="697"/>
        <v>71535.307499999995</v>
      </c>
      <c r="T3004" s="50">
        <f t="shared" si="702"/>
        <v>0</v>
      </c>
      <c r="U3004" s="58">
        <f t="shared" si="703"/>
        <v>0</v>
      </c>
      <c r="V3004" s="58">
        <f t="shared" si="704"/>
        <v>0</v>
      </c>
      <c r="W3004" s="58">
        <f t="shared" si="705"/>
        <v>0</v>
      </c>
      <c r="X3004" s="58">
        <f t="shared" si="706"/>
        <v>0</v>
      </c>
      <c r="Y3004" s="52">
        <f t="shared" si="707"/>
        <v>0</v>
      </c>
    </row>
    <row r="3005" spans="1:25" x14ac:dyDescent="0.25">
      <c r="A3005" s="1218" t="s">
        <v>139</v>
      </c>
      <c r="B3005" s="98">
        <v>45992</v>
      </c>
      <c r="C3005" s="117" t="str">
        <f t="shared" si="694"/>
        <v>5L</v>
      </c>
      <c r="F3005" s="99">
        <f t="shared" si="693"/>
        <v>0</v>
      </c>
      <c r="I3005" s="99">
        <f t="shared" si="692"/>
        <v>0</v>
      </c>
      <c r="L3005" s="99">
        <f t="shared" si="696"/>
        <v>0</v>
      </c>
      <c r="M3005" s="44" t="str">
        <f t="shared" si="698"/>
        <v/>
      </c>
      <c r="N3005" s="100">
        <f t="shared" si="699"/>
        <v>0</v>
      </c>
      <c r="O3005" s="101">
        <f t="shared" si="700"/>
        <v>0</v>
      </c>
      <c r="P3005" s="52">
        <f t="shared" si="701"/>
        <v>0</v>
      </c>
      <c r="Q3005" s="49">
        <v>116.88487613461319</v>
      </c>
      <c r="R3005">
        <v>2225</v>
      </c>
      <c r="S3005" s="50">
        <f t="shared" si="697"/>
        <v>71535.307499999995</v>
      </c>
      <c r="T3005" s="50">
        <f t="shared" si="702"/>
        <v>0</v>
      </c>
      <c r="U3005" s="58">
        <f t="shared" si="703"/>
        <v>0</v>
      </c>
      <c r="V3005" s="58">
        <f t="shared" si="704"/>
        <v>0</v>
      </c>
      <c r="W3005" s="58">
        <f t="shared" si="705"/>
        <v>0</v>
      </c>
      <c r="X3005" s="58">
        <f t="shared" si="706"/>
        <v>0</v>
      </c>
      <c r="Y3005" s="52">
        <f t="shared" si="707"/>
        <v>0</v>
      </c>
    </row>
    <row r="3006" spans="1:25" x14ac:dyDescent="0.25">
      <c r="A3006" s="1218" t="s">
        <v>140</v>
      </c>
      <c r="B3006" s="98">
        <v>45992</v>
      </c>
      <c r="C3006" s="117" t="str">
        <f t="shared" si="694"/>
        <v>5L</v>
      </c>
      <c r="F3006" s="99">
        <f t="shared" si="693"/>
        <v>0</v>
      </c>
      <c r="I3006" s="99">
        <f t="shared" si="692"/>
        <v>0</v>
      </c>
      <c r="L3006" s="99">
        <f t="shared" si="696"/>
        <v>0</v>
      </c>
      <c r="M3006" s="44" t="str">
        <f t="shared" si="698"/>
        <v/>
      </c>
      <c r="N3006" s="100">
        <f t="shared" si="699"/>
        <v>0</v>
      </c>
      <c r="O3006" s="101">
        <f t="shared" si="700"/>
        <v>0</v>
      </c>
      <c r="P3006" s="52">
        <f t="shared" si="701"/>
        <v>0</v>
      </c>
      <c r="Q3006" s="49">
        <v>116.88487613461319</v>
      </c>
      <c r="R3006">
        <v>2225</v>
      </c>
      <c r="S3006" s="50">
        <f t="shared" si="697"/>
        <v>71535.307499999995</v>
      </c>
      <c r="T3006" s="50">
        <f t="shared" si="702"/>
        <v>0</v>
      </c>
      <c r="U3006" s="58">
        <f t="shared" si="703"/>
        <v>0</v>
      </c>
      <c r="V3006" s="58">
        <f t="shared" si="704"/>
        <v>0</v>
      </c>
      <c r="W3006" s="58">
        <f t="shared" si="705"/>
        <v>0</v>
      </c>
      <c r="X3006" s="58">
        <f t="shared" si="706"/>
        <v>0</v>
      </c>
      <c r="Y3006" s="52">
        <f t="shared" si="707"/>
        <v>0</v>
      </c>
    </row>
    <row r="3007" spans="1:25" x14ac:dyDescent="0.25">
      <c r="A3007" s="1218" t="s">
        <v>141</v>
      </c>
      <c r="B3007" s="98">
        <v>45992</v>
      </c>
      <c r="C3007" s="117" t="str">
        <f t="shared" si="694"/>
        <v>5L</v>
      </c>
      <c r="F3007" s="99">
        <f t="shared" si="693"/>
        <v>0</v>
      </c>
      <c r="I3007" s="99">
        <f t="shared" si="692"/>
        <v>0</v>
      </c>
      <c r="L3007" s="99">
        <f t="shared" si="696"/>
        <v>0</v>
      </c>
      <c r="M3007" s="44" t="str">
        <f t="shared" si="698"/>
        <v/>
      </c>
      <c r="N3007" s="100">
        <f t="shared" si="699"/>
        <v>0</v>
      </c>
      <c r="O3007" s="101">
        <f t="shared" si="700"/>
        <v>0</v>
      </c>
      <c r="P3007" s="52">
        <f t="shared" si="701"/>
        <v>0</v>
      </c>
      <c r="Q3007" s="49">
        <v>116.88487613461319</v>
      </c>
      <c r="R3007">
        <v>2225</v>
      </c>
      <c r="S3007" s="50">
        <f t="shared" si="697"/>
        <v>71535.307499999995</v>
      </c>
      <c r="T3007" s="50">
        <f t="shared" si="702"/>
        <v>0</v>
      </c>
      <c r="U3007" s="58">
        <f t="shared" si="703"/>
        <v>0</v>
      </c>
      <c r="V3007" s="58">
        <f t="shared" si="704"/>
        <v>0</v>
      </c>
      <c r="W3007" s="58">
        <f t="shared" si="705"/>
        <v>0</v>
      </c>
      <c r="X3007" s="58">
        <f t="shared" si="706"/>
        <v>0</v>
      </c>
      <c r="Y3007" s="52">
        <f t="shared" si="707"/>
        <v>0</v>
      </c>
    </row>
    <row r="3008" spans="1:25" x14ac:dyDescent="0.25">
      <c r="A3008" s="1218" t="s">
        <v>142</v>
      </c>
      <c r="B3008" s="98">
        <v>45992</v>
      </c>
      <c r="C3008" s="117" t="str">
        <f t="shared" si="694"/>
        <v>5L</v>
      </c>
      <c r="F3008" s="99">
        <f t="shared" si="693"/>
        <v>0</v>
      </c>
      <c r="I3008" s="99">
        <f t="shared" si="692"/>
        <v>0</v>
      </c>
      <c r="L3008" s="99">
        <f t="shared" si="696"/>
        <v>0</v>
      </c>
      <c r="M3008" s="44" t="str">
        <f t="shared" si="698"/>
        <v/>
      </c>
      <c r="N3008" s="100">
        <f t="shared" si="699"/>
        <v>0</v>
      </c>
      <c r="O3008" s="101">
        <f t="shared" si="700"/>
        <v>0</v>
      </c>
      <c r="P3008" s="52">
        <f t="shared" si="701"/>
        <v>0</v>
      </c>
      <c r="Q3008" s="49">
        <v>116.88487613461319</v>
      </c>
      <c r="R3008">
        <v>2225</v>
      </c>
      <c r="S3008" s="50">
        <f t="shared" si="697"/>
        <v>71535.307499999995</v>
      </c>
      <c r="T3008" s="50">
        <f t="shared" si="702"/>
        <v>0</v>
      </c>
      <c r="U3008" s="58">
        <f t="shared" si="703"/>
        <v>0</v>
      </c>
      <c r="V3008" s="58">
        <f t="shared" si="704"/>
        <v>0</v>
      </c>
      <c r="W3008" s="58">
        <f t="shared" si="705"/>
        <v>0</v>
      </c>
      <c r="X3008" s="58">
        <f t="shared" si="706"/>
        <v>0</v>
      </c>
      <c r="Y3008" s="52">
        <f t="shared" si="707"/>
        <v>0</v>
      </c>
    </row>
    <row r="3009" spans="1:25" x14ac:dyDescent="0.25">
      <c r="A3009" s="1218" t="s">
        <v>143</v>
      </c>
      <c r="B3009" s="98">
        <v>45992</v>
      </c>
      <c r="C3009" s="117" t="str">
        <f t="shared" si="694"/>
        <v>5L</v>
      </c>
      <c r="F3009" s="99">
        <f t="shared" si="693"/>
        <v>0</v>
      </c>
      <c r="I3009" s="99">
        <f t="shared" si="692"/>
        <v>0</v>
      </c>
      <c r="L3009" s="99">
        <f t="shared" si="696"/>
        <v>0</v>
      </c>
      <c r="M3009" s="44" t="str">
        <f t="shared" si="698"/>
        <v/>
      </c>
      <c r="N3009" s="100">
        <f t="shared" si="699"/>
        <v>0</v>
      </c>
      <c r="O3009" s="101">
        <f t="shared" si="700"/>
        <v>0</v>
      </c>
      <c r="P3009" s="52">
        <f t="shared" si="701"/>
        <v>0</v>
      </c>
      <c r="Q3009" s="49">
        <v>116.88487613461319</v>
      </c>
      <c r="R3009">
        <v>2225</v>
      </c>
      <c r="S3009" s="50">
        <f t="shared" si="697"/>
        <v>71535.307499999995</v>
      </c>
      <c r="T3009" s="50">
        <f t="shared" si="702"/>
        <v>0</v>
      </c>
      <c r="U3009" s="58">
        <f t="shared" si="703"/>
        <v>0</v>
      </c>
      <c r="V3009" s="58">
        <f t="shared" si="704"/>
        <v>0</v>
      </c>
      <c r="W3009" s="58">
        <f t="shared" si="705"/>
        <v>0</v>
      </c>
      <c r="X3009" s="58">
        <f t="shared" si="706"/>
        <v>0</v>
      </c>
      <c r="Y3009" s="52">
        <f t="shared" si="707"/>
        <v>0</v>
      </c>
    </row>
    <row r="3010" spans="1:25" x14ac:dyDescent="0.25">
      <c r="A3010" s="1218" t="s">
        <v>144</v>
      </c>
      <c r="B3010" s="98">
        <v>45992</v>
      </c>
      <c r="C3010" s="117" t="str">
        <f t="shared" si="694"/>
        <v>5L</v>
      </c>
      <c r="D3010">
        <v>1798</v>
      </c>
      <c r="E3010">
        <v>1.6</v>
      </c>
      <c r="F3010" s="99">
        <f t="shared" si="693"/>
        <v>2.8768000000000002</v>
      </c>
      <c r="I3010" s="99">
        <f t="shared" si="692"/>
        <v>0</v>
      </c>
      <c r="L3010" s="99">
        <f t="shared" si="696"/>
        <v>0</v>
      </c>
      <c r="M3010" s="44" t="str">
        <f t="shared" si="698"/>
        <v/>
      </c>
      <c r="N3010" s="100">
        <f t="shared" si="699"/>
        <v>0</v>
      </c>
      <c r="O3010" s="101">
        <f t="shared" si="700"/>
        <v>0</v>
      </c>
      <c r="P3010" s="52">
        <f t="shared" si="701"/>
        <v>0</v>
      </c>
      <c r="Q3010" s="49">
        <v>116.88487613461319</v>
      </c>
      <c r="R3010">
        <v>2225</v>
      </c>
      <c r="S3010" s="50">
        <f t="shared" si="697"/>
        <v>71535.307499999995</v>
      </c>
      <c r="T3010" s="50">
        <f t="shared" si="702"/>
        <v>0</v>
      </c>
      <c r="U3010" s="58">
        <f t="shared" si="703"/>
        <v>0</v>
      </c>
      <c r="V3010" s="58">
        <f t="shared" si="704"/>
        <v>0</v>
      </c>
      <c r="W3010" s="58">
        <f t="shared" si="705"/>
        <v>0</v>
      </c>
      <c r="X3010" s="58">
        <f t="shared" si="706"/>
        <v>0</v>
      </c>
      <c r="Y3010" s="52">
        <f t="shared" si="707"/>
        <v>0</v>
      </c>
    </row>
    <row r="3011" spans="1:25" x14ac:dyDescent="0.25">
      <c r="A3011" s="1218" t="s">
        <v>145</v>
      </c>
      <c r="B3011" s="98">
        <v>45992</v>
      </c>
      <c r="C3011" s="117" t="str">
        <f t="shared" si="694"/>
        <v>5L</v>
      </c>
      <c r="F3011" s="99">
        <f t="shared" si="693"/>
        <v>0</v>
      </c>
      <c r="I3011" s="99">
        <f t="shared" si="692"/>
        <v>0</v>
      </c>
      <c r="L3011" s="99">
        <f t="shared" si="696"/>
        <v>0</v>
      </c>
      <c r="M3011" s="44" t="str">
        <f t="shared" si="698"/>
        <v/>
      </c>
      <c r="N3011" s="100">
        <f t="shared" si="699"/>
        <v>0</v>
      </c>
      <c r="O3011" s="101">
        <f t="shared" si="700"/>
        <v>0</v>
      </c>
      <c r="P3011" s="52">
        <f t="shared" si="701"/>
        <v>0</v>
      </c>
      <c r="Q3011" s="49">
        <v>116.88487613461319</v>
      </c>
      <c r="R3011">
        <v>2225</v>
      </c>
      <c r="S3011" s="50">
        <f t="shared" si="697"/>
        <v>71535.307499999995</v>
      </c>
      <c r="T3011" s="50">
        <f t="shared" si="702"/>
        <v>0</v>
      </c>
      <c r="U3011" s="58">
        <f t="shared" si="703"/>
        <v>0</v>
      </c>
      <c r="V3011" s="58">
        <f t="shared" si="704"/>
        <v>0</v>
      </c>
      <c r="W3011" s="58">
        <f t="shared" si="705"/>
        <v>0</v>
      </c>
      <c r="X3011" s="58">
        <f t="shared" si="706"/>
        <v>0</v>
      </c>
      <c r="Y3011" s="52">
        <f t="shared" si="707"/>
        <v>0</v>
      </c>
    </row>
    <row r="3012" spans="1:25" x14ac:dyDescent="0.25">
      <c r="A3012" s="1218" t="s">
        <v>146</v>
      </c>
      <c r="B3012" s="98">
        <v>45992</v>
      </c>
      <c r="C3012" s="117" t="str">
        <f t="shared" si="694"/>
        <v>5L</v>
      </c>
      <c r="F3012" s="99">
        <f t="shared" si="693"/>
        <v>0</v>
      </c>
      <c r="I3012" s="99">
        <f t="shared" si="692"/>
        <v>0</v>
      </c>
      <c r="L3012" s="99">
        <f t="shared" si="696"/>
        <v>0</v>
      </c>
      <c r="M3012" s="44" t="str">
        <f t="shared" si="698"/>
        <v/>
      </c>
      <c r="N3012" s="100">
        <f t="shared" si="699"/>
        <v>0</v>
      </c>
      <c r="O3012" s="101">
        <f t="shared" si="700"/>
        <v>0</v>
      </c>
      <c r="P3012" s="52">
        <f t="shared" si="701"/>
        <v>0</v>
      </c>
      <c r="Q3012" s="49">
        <v>116.88487613461319</v>
      </c>
      <c r="R3012">
        <v>2225</v>
      </c>
      <c r="S3012" s="50">
        <f t="shared" si="697"/>
        <v>71535.307499999995</v>
      </c>
      <c r="T3012" s="50">
        <f t="shared" si="702"/>
        <v>0</v>
      </c>
      <c r="U3012" s="58">
        <f t="shared" si="703"/>
        <v>0</v>
      </c>
      <c r="V3012" s="58">
        <f t="shared" si="704"/>
        <v>0</v>
      </c>
      <c r="W3012" s="58">
        <f t="shared" si="705"/>
        <v>0</v>
      </c>
      <c r="X3012" s="58">
        <f t="shared" si="706"/>
        <v>0</v>
      </c>
      <c r="Y3012" s="52">
        <f t="shared" si="707"/>
        <v>0</v>
      </c>
    </row>
    <row r="3013" spans="1:25" x14ac:dyDescent="0.25">
      <c r="A3013" s="1218" t="s">
        <v>147</v>
      </c>
      <c r="B3013" s="98">
        <v>45992</v>
      </c>
      <c r="C3013" s="117" t="str">
        <f t="shared" si="694"/>
        <v>5L</v>
      </c>
      <c r="F3013" s="99">
        <f t="shared" si="693"/>
        <v>0</v>
      </c>
      <c r="I3013" s="99">
        <f t="shared" si="692"/>
        <v>0</v>
      </c>
      <c r="L3013" s="99">
        <f t="shared" si="696"/>
        <v>0</v>
      </c>
      <c r="M3013" s="44" t="str">
        <f t="shared" si="698"/>
        <v/>
      </c>
      <c r="N3013" s="100">
        <f t="shared" si="699"/>
        <v>0</v>
      </c>
      <c r="O3013" s="101">
        <f t="shared" si="700"/>
        <v>0</v>
      </c>
      <c r="P3013" s="52">
        <f t="shared" si="701"/>
        <v>0</v>
      </c>
      <c r="Q3013" s="49">
        <v>116.88487613461319</v>
      </c>
      <c r="R3013">
        <v>2225</v>
      </c>
      <c r="S3013" s="50">
        <f t="shared" si="697"/>
        <v>71535.307499999995</v>
      </c>
      <c r="T3013" s="50">
        <f t="shared" si="702"/>
        <v>0</v>
      </c>
      <c r="U3013" s="58">
        <f t="shared" si="703"/>
        <v>0</v>
      </c>
      <c r="V3013" s="58">
        <f t="shared" si="704"/>
        <v>0</v>
      </c>
      <c r="W3013" s="58">
        <f t="shared" si="705"/>
        <v>0</v>
      </c>
      <c r="X3013" s="58">
        <f t="shared" si="706"/>
        <v>0</v>
      </c>
      <c r="Y3013" s="52">
        <f t="shared" si="707"/>
        <v>0</v>
      </c>
    </row>
    <row r="3014" spans="1:25" x14ac:dyDescent="0.25">
      <c r="A3014" s="1218" t="s">
        <v>148</v>
      </c>
      <c r="B3014" s="98">
        <v>45992</v>
      </c>
      <c r="C3014" s="117" t="str">
        <f t="shared" si="694"/>
        <v>5L</v>
      </c>
      <c r="F3014" s="99">
        <f t="shared" si="693"/>
        <v>0</v>
      </c>
      <c r="I3014" s="99">
        <f t="shared" ref="I3014:I3077" si="708">IFERROR(G3014*H3014/1000,"")</f>
        <v>0</v>
      </c>
      <c r="L3014" s="99">
        <f t="shared" si="696"/>
        <v>0</v>
      </c>
      <c r="M3014" s="44" t="str">
        <f t="shared" si="698"/>
        <v/>
      </c>
      <c r="N3014" s="100">
        <f t="shared" si="699"/>
        <v>0</v>
      </c>
      <c r="O3014" s="101">
        <f t="shared" si="700"/>
        <v>0</v>
      </c>
      <c r="P3014" s="52">
        <f t="shared" si="701"/>
        <v>0</v>
      </c>
      <c r="Q3014" s="49">
        <v>116.88487613461319</v>
      </c>
      <c r="R3014">
        <v>2225</v>
      </c>
      <c r="S3014" s="50">
        <f t="shared" si="697"/>
        <v>71535.307499999995</v>
      </c>
      <c r="T3014" s="50">
        <f t="shared" si="702"/>
        <v>0</v>
      </c>
      <c r="U3014" s="58">
        <f t="shared" si="703"/>
        <v>0</v>
      </c>
      <c r="V3014" s="58">
        <f t="shared" si="704"/>
        <v>0</v>
      </c>
      <c r="W3014" s="58">
        <f t="shared" si="705"/>
        <v>0</v>
      </c>
      <c r="X3014" s="58">
        <f t="shared" si="706"/>
        <v>0</v>
      </c>
      <c r="Y3014" s="52">
        <f t="shared" si="707"/>
        <v>0</v>
      </c>
    </row>
    <row r="3015" spans="1:25" x14ac:dyDescent="0.25">
      <c r="A3015" s="1218" t="s">
        <v>149</v>
      </c>
      <c r="B3015" s="98">
        <v>45992</v>
      </c>
      <c r="C3015" s="117" t="str">
        <f t="shared" si="694"/>
        <v>5L</v>
      </c>
      <c r="F3015" s="99">
        <f t="shared" si="693"/>
        <v>0</v>
      </c>
      <c r="I3015" s="99">
        <f t="shared" si="708"/>
        <v>0</v>
      </c>
      <c r="L3015" s="99">
        <f t="shared" si="696"/>
        <v>0</v>
      </c>
      <c r="M3015" s="44" t="str">
        <f t="shared" si="698"/>
        <v/>
      </c>
      <c r="N3015" s="100">
        <f t="shared" si="699"/>
        <v>0</v>
      </c>
      <c r="O3015" s="101">
        <f t="shared" si="700"/>
        <v>0</v>
      </c>
      <c r="P3015" s="52">
        <f t="shared" si="701"/>
        <v>0</v>
      </c>
      <c r="Q3015" s="49">
        <v>116.88487613461319</v>
      </c>
      <c r="R3015">
        <v>2225</v>
      </c>
      <c r="S3015" s="50">
        <f t="shared" si="697"/>
        <v>71535.307499999995</v>
      </c>
      <c r="T3015" s="50">
        <f t="shared" si="702"/>
        <v>0</v>
      </c>
      <c r="U3015" s="58">
        <f t="shared" si="703"/>
        <v>0</v>
      </c>
      <c r="V3015" s="58">
        <f t="shared" si="704"/>
        <v>0</v>
      </c>
      <c r="W3015" s="58">
        <f t="shared" si="705"/>
        <v>0</v>
      </c>
      <c r="X3015" s="58">
        <f t="shared" si="706"/>
        <v>0</v>
      </c>
      <c r="Y3015" s="52">
        <f t="shared" si="707"/>
        <v>0</v>
      </c>
    </row>
    <row r="3016" spans="1:25" x14ac:dyDescent="0.25">
      <c r="A3016" s="1218" t="s">
        <v>150</v>
      </c>
      <c r="B3016" s="98">
        <v>45992</v>
      </c>
      <c r="C3016" s="117" t="str">
        <f t="shared" si="694"/>
        <v>6L</v>
      </c>
      <c r="D3016" s="118">
        <v>2696</v>
      </c>
      <c r="E3016">
        <v>2.83</v>
      </c>
      <c r="F3016" s="99">
        <f t="shared" si="693"/>
        <v>7.6296800000000005</v>
      </c>
      <c r="I3016" s="99">
        <f t="shared" si="708"/>
        <v>0</v>
      </c>
      <c r="L3016" s="99">
        <f t="shared" si="696"/>
        <v>0</v>
      </c>
      <c r="M3016" s="44" t="str">
        <f t="shared" si="698"/>
        <v/>
      </c>
      <c r="N3016" s="100">
        <f t="shared" si="699"/>
        <v>0</v>
      </c>
      <c r="O3016" s="101">
        <f t="shared" si="700"/>
        <v>0</v>
      </c>
      <c r="P3016" s="52">
        <f t="shared" si="701"/>
        <v>0</v>
      </c>
      <c r="Q3016" s="49">
        <v>116.88487613461319</v>
      </c>
      <c r="R3016">
        <v>2225</v>
      </c>
      <c r="S3016" s="50">
        <f t="shared" si="697"/>
        <v>71535.307499999995</v>
      </c>
      <c r="T3016" s="50">
        <f t="shared" si="702"/>
        <v>0</v>
      </c>
      <c r="U3016" s="58">
        <f t="shared" si="703"/>
        <v>0</v>
      </c>
      <c r="V3016" s="58">
        <f t="shared" si="704"/>
        <v>0</v>
      </c>
      <c r="W3016" s="58">
        <f t="shared" si="705"/>
        <v>0</v>
      </c>
      <c r="X3016" s="58">
        <f t="shared" si="706"/>
        <v>0</v>
      </c>
      <c r="Y3016" s="52">
        <f t="shared" si="707"/>
        <v>0</v>
      </c>
    </row>
    <row r="3017" spans="1:25" x14ac:dyDescent="0.25">
      <c r="A3017" s="1218" t="s">
        <v>151</v>
      </c>
      <c r="B3017" s="98">
        <v>45992</v>
      </c>
      <c r="C3017" s="117" t="str">
        <f t="shared" si="694"/>
        <v>6L</v>
      </c>
      <c r="F3017" s="99">
        <f t="shared" si="693"/>
        <v>0</v>
      </c>
      <c r="I3017" s="99">
        <f t="shared" si="708"/>
        <v>0</v>
      </c>
      <c r="L3017" s="99">
        <f t="shared" si="696"/>
        <v>0</v>
      </c>
      <c r="M3017" s="44" t="str">
        <f t="shared" si="698"/>
        <v/>
      </c>
      <c r="N3017" s="100">
        <f t="shared" si="699"/>
        <v>0</v>
      </c>
      <c r="O3017" s="101">
        <f t="shared" si="700"/>
        <v>0</v>
      </c>
      <c r="P3017" s="52">
        <f t="shared" si="701"/>
        <v>0</v>
      </c>
      <c r="Q3017" s="49">
        <v>116.88487613461319</v>
      </c>
      <c r="R3017">
        <v>2225</v>
      </c>
      <c r="S3017" s="50">
        <f t="shared" si="697"/>
        <v>71535.307499999995</v>
      </c>
      <c r="T3017" s="50">
        <f t="shared" si="702"/>
        <v>0</v>
      </c>
      <c r="U3017" s="58">
        <f t="shared" si="703"/>
        <v>0</v>
      </c>
      <c r="V3017" s="58">
        <f t="shared" si="704"/>
        <v>0</v>
      </c>
      <c r="W3017" s="58">
        <f t="shared" si="705"/>
        <v>0</v>
      </c>
      <c r="X3017" s="58">
        <f t="shared" si="706"/>
        <v>0</v>
      </c>
      <c r="Y3017" s="52">
        <f t="shared" si="707"/>
        <v>0</v>
      </c>
    </row>
    <row r="3018" spans="1:25" x14ac:dyDescent="0.25">
      <c r="A3018" s="1218" t="s">
        <v>152</v>
      </c>
      <c r="B3018" s="98">
        <v>45992</v>
      </c>
      <c r="C3018" s="117" t="str">
        <f t="shared" si="694"/>
        <v>6L</v>
      </c>
      <c r="F3018" s="99">
        <f t="shared" si="693"/>
        <v>0</v>
      </c>
      <c r="I3018" s="99">
        <f t="shared" si="708"/>
        <v>0</v>
      </c>
      <c r="L3018" s="99"/>
      <c r="M3018" s="44"/>
      <c r="N3018" s="100"/>
      <c r="O3018" s="101"/>
      <c r="P3018" s="52"/>
      <c r="Q3018" s="49"/>
      <c r="S3018" s="50"/>
      <c r="T3018" s="50"/>
      <c r="U3018" s="58"/>
      <c r="V3018" s="58"/>
      <c r="W3018" s="58"/>
      <c r="X3018" s="58"/>
      <c r="Y3018" s="52"/>
    </row>
    <row r="3019" spans="1:25" x14ac:dyDescent="0.25">
      <c r="A3019" s="1218" t="s">
        <v>153</v>
      </c>
      <c r="B3019" s="98">
        <v>45992</v>
      </c>
      <c r="C3019" s="117" t="str">
        <f t="shared" si="694"/>
        <v>6L</v>
      </c>
      <c r="D3019">
        <v>2696</v>
      </c>
      <c r="E3019">
        <v>2.31</v>
      </c>
      <c r="F3019" s="99">
        <f t="shared" si="693"/>
        <v>6.22776</v>
      </c>
      <c r="I3019" s="99">
        <f t="shared" si="708"/>
        <v>0</v>
      </c>
      <c r="L3019" s="99">
        <f t="shared" si="696"/>
        <v>0</v>
      </c>
      <c r="M3019" s="44" t="str">
        <f t="shared" si="698"/>
        <v/>
      </c>
      <c r="N3019" s="100">
        <f t="shared" si="699"/>
        <v>0</v>
      </c>
      <c r="O3019" s="101">
        <f t="shared" si="700"/>
        <v>0</v>
      </c>
      <c r="P3019" s="52">
        <f t="shared" si="701"/>
        <v>0</v>
      </c>
      <c r="Q3019" s="49">
        <v>116.88487613461319</v>
      </c>
      <c r="R3019">
        <v>2225</v>
      </c>
      <c r="S3019" s="50">
        <f t="shared" si="697"/>
        <v>71535.307499999995</v>
      </c>
      <c r="T3019" s="50">
        <f t="shared" si="702"/>
        <v>0</v>
      </c>
      <c r="U3019" s="58">
        <f t="shared" si="703"/>
        <v>0</v>
      </c>
      <c r="V3019" s="58">
        <f t="shared" si="704"/>
        <v>0</v>
      </c>
      <c r="W3019" s="58">
        <f t="shared" si="705"/>
        <v>0</v>
      </c>
      <c r="X3019" s="58">
        <f t="shared" si="706"/>
        <v>0</v>
      </c>
      <c r="Y3019" s="52">
        <f t="shared" si="707"/>
        <v>0</v>
      </c>
    </row>
    <row r="3020" spans="1:25" x14ac:dyDescent="0.25">
      <c r="A3020" s="1218" t="s">
        <v>154</v>
      </c>
      <c r="B3020" s="98">
        <v>45992</v>
      </c>
      <c r="C3020" s="117" t="str">
        <f t="shared" si="694"/>
        <v>6L</v>
      </c>
      <c r="F3020" s="99">
        <f t="shared" si="693"/>
        <v>0</v>
      </c>
      <c r="I3020" s="99">
        <f t="shared" si="708"/>
        <v>0</v>
      </c>
      <c r="L3020" s="99"/>
      <c r="M3020" s="44"/>
      <c r="N3020" s="100"/>
      <c r="O3020" s="101"/>
      <c r="P3020" s="52"/>
      <c r="Q3020" s="49"/>
      <c r="S3020" s="50"/>
      <c r="T3020" s="50"/>
      <c r="U3020" s="58"/>
      <c r="V3020" s="58"/>
      <c r="W3020" s="58"/>
      <c r="X3020" s="58"/>
      <c r="Y3020" s="52"/>
    </row>
    <row r="3021" spans="1:25" x14ac:dyDescent="0.25">
      <c r="A3021" s="1218" t="s">
        <v>155</v>
      </c>
      <c r="B3021" s="98">
        <v>45992</v>
      </c>
      <c r="C3021" s="117" t="str">
        <f t="shared" si="694"/>
        <v>6L</v>
      </c>
      <c r="F3021" s="99">
        <f t="shared" si="693"/>
        <v>0</v>
      </c>
      <c r="I3021" s="99">
        <f t="shared" si="708"/>
        <v>0</v>
      </c>
      <c r="L3021" s="99">
        <f t="shared" si="696"/>
        <v>0</v>
      </c>
      <c r="M3021" s="44" t="str">
        <f t="shared" si="698"/>
        <v/>
      </c>
      <c r="N3021" s="100">
        <f t="shared" si="699"/>
        <v>0</v>
      </c>
      <c r="O3021" s="101">
        <f t="shared" si="700"/>
        <v>0</v>
      </c>
      <c r="P3021" s="52">
        <f t="shared" si="701"/>
        <v>0</v>
      </c>
      <c r="Q3021" s="49">
        <v>116.88487613461319</v>
      </c>
      <c r="R3021">
        <v>2225</v>
      </c>
      <c r="S3021" s="50">
        <f t="shared" si="697"/>
        <v>71535.307499999995</v>
      </c>
      <c r="T3021" s="50">
        <f t="shared" si="702"/>
        <v>0</v>
      </c>
      <c r="U3021" s="58">
        <f t="shared" si="703"/>
        <v>0</v>
      </c>
      <c r="V3021" s="58">
        <f t="shared" si="704"/>
        <v>0</v>
      </c>
      <c r="W3021" s="58">
        <f t="shared" si="705"/>
        <v>0</v>
      </c>
      <c r="X3021" s="58">
        <f t="shared" si="706"/>
        <v>0</v>
      </c>
      <c r="Y3021" s="52">
        <f t="shared" si="707"/>
        <v>0</v>
      </c>
    </row>
    <row r="3022" spans="1:25" x14ac:dyDescent="0.25">
      <c r="A3022" s="1218" t="s">
        <v>156</v>
      </c>
      <c r="B3022" s="98">
        <v>45992</v>
      </c>
      <c r="C3022" s="117" t="str">
        <f t="shared" si="694"/>
        <v>6L</v>
      </c>
      <c r="F3022" s="99">
        <f t="shared" si="693"/>
        <v>0</v>
      </c>
      <c r="I3022" s="99">
        <f t="shared" si="708"/>
        <v>0</v>
      </c>
      <c r="L3022" s="99">
        <f t="shared" si="696"/>
        <v>0</v>
      </c>
      <c r="M3022" s="44" t="str">
        <f t="shared" si="698"/>
        <v/>
      </c>
      <c r="N3022" s="100">
        <f t="shared" si="699"/>
        <v>0</v>
      </c>
      <c r="O3022" s="101">
        <f t="shared" si="700"/>
        <v>0</v>
      </c>
      <c r="P3022" s="52">
        <f t="shared" si="701"/>
        <v>0</v>
      </c>
      <c r="Q3022" s="49">
        <v>116.88487613461319</v>
      </c>
      <c r="R3022">
        <v>2225</v>
      </c>
      <c r="S3022" s="50">
        <f t="shared" si="697"/>
        <v>71535.307499999995</v>
      </c>
      <c r="T3022" s="50">
        <f t="shared" si="702"/>
        <v>0</v>
      </c>
      <c r="U3022" s="58">
        <f t="shared" si="703"/>
        <v>0</v>
      </c>
      <c r="V3022" s="58">
        <f t="shared" si="704"/>
        <v>0</v>
      </c>
      <c r="W3022" s="58">
        <f t="shared" si="705"/>
        <v>0</v>
      </c>
      <c r="X3022" s="58">
        <f t="shared" si="706"/>
        <v>0</v>
      </c>
      <c r="Y3022" s="52">
        <f t="shared" si="707"/>
        <v>0</v>
      </c>
    </row>
    <row r="3023" spans="1:25" x14ac:dyDescent="0.25">
      <c r="A3023" s="1218" t="s">
        <v>157</v>
      </c>
      <c r="B3023" s="98">
        <v>45992</v>
      </c>
      <c r="C3023" s="117" t="str">
        <f t="shared" si="694"/>
        <v>6L</v>
      </c>
      <c r="F3023" s="99">
        <f t="shared" si="693"/>
        <v>0</v>
      </c>
      <c r="I3023" s="99">
        <f t="shared" si="708"/>
        <v>0</v>
      </c>
      <c r="L3023" s="99">
        <f t="shared" si="696"/>
        <v>0</v>
      </c>
      <c r="M3023" s="44" t="str">
        <f t="shared" si="698"/>
        <v/>
      </c>
      <c r="N3023" s="100">
        <f t="shared" si="699"/>
        <v>0</v>
      </c>
      <c r="O3023" s="101">
        <f t="shared" si="700"/>
        <v>0</v>
      </c>
      <c r="P3023" s="52">
        <f t="shared" si="701"/>
        <v>0</v>
      </c>
      <c r="Q3023" s="49">
        <v>116.88487613461319</v>
      </c>
      <c r="R3023">
        <v>2225</v>
      </c>
      <c r="S3023" s="50">
        <f t="shared" si="697"/>
        <v>71535.307499999995</v>
      </c>
      <c r="T3023" s="50">
        <f t="shared" si="702"/>
        <v>0</v>
      </c>
      <c r="U3023" s="58">
        <f t="shared" si="703"/>
        <v>0</v>
      </c>
      <c r="V3023" s="58">
        <f t="shared" si="704"/>
        <v>0</v>
      </c>
      <c r="W3023" s="58">
        <f t="shared" si="705"/>
        <v>0</v>
      </c>
      <c r="X3023" s="58">
        <f t="shared" si="706"/>
        <v>0</v>
      </c>
      <c r="Y3023" s="52">
        <f t="shared" si="707"/>
        <v>0</v>
      </c>
    </row>
    <row r="3024" spans="1:25" x14ac:dyDescent="0.25">
      <c r="A3024" s="1218" t="s">
        <v>158</v>
      </c>
      <c r="B3024" s="98">
        <v>45992</v>
      </c>
      <c r="C3024" s="117" t="str">
        <f t="shared" si="694"/>
        <v>6L</v>
      </c>
      <c r="F3024" s="99">
        <f t="shared" ref="F3024:F3087" si="709">IFERROR(D3024*E3024/1000,"")</f>
        <v>0</v>
      </c>
      <c r="I3024" s="99">
        <f t="shared" si="708"/>
        <v>0</v>
      </c>
      <c r="L3024" s="99">
        <f t="shared" si="696"/>
        <v>0</v>
      </c>
      <c r="M3024" s="44" t="str">
        <f t="shared" si="698"/>
        <v/>
      </c>
      <c r="N3024" s="100">
        <f t="shared" si="699"/>
        <v>0</v>
      </c>
      <c r="O3024" s="101">
        <f t="shared" si="700"/>
        <v>0</v>
      </c>
      <c r="P3024" s="52">
        <f t="shared" si="701"/>
        <v>0</v>
      </c>
      <c r="Q3024" s="49">
        <v>116.88487613461319</v>
      </c>
      <c r="R3024">
        <v>2225</v>
      </c>
      <c r="S3024" s="50">
        <f t="shared" si="697"/>
        <v>71535.307499999995</v>
      </c>
      <c r="T3024" s="50">
        <f t="shared" si="702"/>
        <v>0</v>
      </c>
      <c r="U3024" s="58">
        <f t="shared" si="703"/>
        <v>0</v>
      </c>
      <c r="V3024" s="58">
        <f t="shared" si="704"/>
        <v>0</v>
      </c>
      <c r="W3024" s="58">
        <f t="shared" si="705"/>
        <v>0</v>
      </c>
      <c r="X3024" s="58">
        <f t="shared" si="706"/>
        <v>0</v>
      </c>
      <c r="Y3024" s="52">
        <f t="shared" si="707"/>
        <v>0</v>
      </c>
    </row>
    <row r="3025" spans="1:25" x14ac:dyDescent="0.25">
      <c r="A3025" s="1218" t="s">
        <v>159</v>
      </c>
      <c r="B3025" s="98">
        <v>45992</v>
      </c>
      <c r="C3025" s="117" t="str">
        <f t="shared" si="694"/>
        <v>6L</v>
      </c>
      <c r="F3025" s="99">
        <f t="shared" si="709"/>
        <v>0</v>
      </c>
      <c r="I3025" s="99">
        <f t="shared" si="708"/>
        <v>0</v>
      </c>
      <c r="L3025" s="99">
        <f t="shared" si="696"/>
        <v>0</v>
      </c>
      <c r="M3025" s="44" t="str">
        <f t="shared" si="698"/>
        <v/>
      </c>
      <c r="N3025" s="100">
        <f t="shared" si="699"/>
        <v>0</v>
      </c>
      <c r="O3025" s="101">
        <f t="shared" si="700"/>
        <v>0</v>
      </c>
      <c r="P3025" s="52">
        <f t="shared" si="701"/>
        <v>0</v>
      </c>
      <c r="Q3025" s="49">
        <v>116.88487613461319</v>
      </c>
      <c r="R3025">
        <v>2225</v>
      </c>
      <c r="S3025" s="50">
        <f t="shared" si="697"/>
        <v>71535.307499999995</v>
      </c>
      <c r="T3025" s="50">
        <f t="shared" si="702"/>
        <v>0</v>
      </c>
      <c r="U3025" s="58">
        <f t="shared" si="703"/>
        <v>0</v>
      </c>
      <c r="V3025" s="58">
        <f t="shared" si="704"/>
        <v>0</v>
      </c>
      <c r="W3025" s="58">
        <f t="shared" si="705"/>
        <v>0</v>
      </c>
      <c r="X3025" s="58">
        <f t="shared" si="706"/>
        <v>0</v>
      </c>
      <c r="Y3025" s="52">
        <f t="shared" si="707"/>
        <v>0</v>
      </c>
    </row>
    <row r="3026" spans="1:25" x14ac:dyDescent="0.25">
      <c r="A3026" s="1218" t="s">
        <v>160</v>
      </c>
      <c r="B3026" s="98">
        <v>45992</v>
      </c>
      <c r="C3026" s="117" t="str">
        <f t="shared" si="694"/>
        <v>6L</v>
      </c>
      <c r="F3026" s="99">
        <f t="shared" si="709"/>
        <v>0</v>
      </c>
      <c r="I3026" s="99">
        <f t="shared" si="708"/>
        <v>0</v>
      </c>
      <c r="L3026" s="99">
        <f t="shared" si="696"/>
        <v>0</v>
      </c>
      <c r="M3026" s="44" t="str">
        <f t="shared" si="698"/>
        <v/>
      </c>
      <c r="N3026" s="100">
        <f t="shared" si="699"/>
        <v>0</v>
      </c>
      <c r="O3026" s="101">
        <f t="shared" si="700"/>
        <v>0</v>
      </c>
      <c r="P3026" s="52">
        <f t="shared" si="701"/>
        <v>0</v>
      </c>
      <c r="Q3026" s="49">
        <v>116.88487613461319</v>
      </c>
      <c r="R3026">
        <v>2225</v>
      </c>
      <c r="S3026" s="50">
        <f t="shared" si="697"/>
        <v>71535.307499999995</v>
      </c>
      <c r="T3026" s="50">
        <f t="shared" si="702"/>
        <v>0</v>
      </c>
      <c r="U3026" s="58">
        <f t="shared" si="703"/>
        <v>0</v>
      </c>
      <c r="V3026" s="58">
        <f t="shared" si="704"/>
        <v>0</v>
      </c>
      <c r="W3026" s="58">
        <f t="shared" si="705"/>
        <v>0</v>
      </c>
      <c r="X3026" s="58">
        <f t="shared" si="706"/>
        <v>0</v>
      </c>
      <c r="Y3026" s="52">
        <f t="shared" si="707"/>
        <v>0</v>
      </c>
    </row>
    <row r="3027" spans="1:25" x14ac:dyDescent="0.25">
      <c r="A3027" s="1218" t="s">
        <v>161</v>
      </c>
      <c r="B3027" s="98">
        <v>45992</v>
      </c>
      <c r="C3027" s="117" t="str">
        <f t="shared" si="694"/>
        <v>6L</v>
      </c>
      <c r="F3027" s="99">
        <f t="shared" si="709"/>
        <v>0</v>
      </c>
      <c r="I3027" s="99">
        <f t="shared" si="708"/>
        <v>0</v>
      </c>
      <c r="L3027" s="99">
        <f t="shared" si="696"/>
        <v>0</v>
      </c>
      <c r="M3027" s="44" t="str">
        <f t="shared" si="698"/>
        <v/>
      </c>
      <c r="N3027" s="100">
        <f t="shared" si="699"/>
        <v>0</v>
      </c>
      <c r="O3027" s="101">
        <f t="shared" si="700"/>
        <v>0</v>
      </c>
      <c r="P3027" s="52">
        <f t="shared" si="701"/>
        <v>0</v>
      </c>
      <c r="Q3027" s="49">
        <v>116.88487613461319</v>
      </c>
      <c r="R3027">
        <v>2225</v>
      </c>
      <c r="S3027" s="50">
        <f t="shared" si="697"/>
        <v>71535.307499999995</v>
      </c>
      <c r="T3027" s="50">
        <f t="shared" si="702"/>
        <v>0</v>
      </c>
      <c r="U3027" s="58">
        <f t="shared" si="703"/>
        <v>0</v>
      </c>
      <c r="V3027" s="58">
        <f t="shared" si="704"/>
        <v>0</v>
      </c>
      <c r="W3027" s="58">
        <f t="shared" si="705"/>
        <v>0</v>
      </c>
      <c r="X3027" s="58">
        <f t="shared" si="706"/>
        <v>0</v>
      </c>
      <c r="Y3027" s="52">
        <f t="shared" si="707"/>
        <v>0</v>
      </c>
    </row>
    <row r="3028" spans="1:25" x14ac:dyDescent="0.25">
      <c r="A3028" s="1218" t="s">
        <v>162</v>
      </c>
      <c r="B3028" s="98">
        <v>45992</v>
      </c>
      <c r="C3028" s="117" t="str">
        <f t="shared" si="694"/>
        <v>6L</v>
      </c>
      <c r="F3028" s="99">
        <f t="shared" si="709"/>
        <v>0</v>
      </c>
      <c r="I3028" s="99">
        <f t="shared" si="708"/>
        <v>0</v>
      </c>
      <c r="L3028" s="99">
        <f t="shared" si="696"/>
        <v>0</v>
      </c>
      <c r="M3028" s="44" t="str">
        <f t="shared" si="698"/>
        <v/>
      </c>
      <c r="N3028" s="100">
        <f t="shared" si="699"/>
        <v>0</v>
      </c>
      <c r="O3028" s="101">
        <f t="shared" si="700"/>
        <v>0</v>
      </c>
      <c r="P3028" s="52">
        <f t="shared" si="701"/>
        <v>0</v>
      </c>
      <c r="Q3028" s="49">
        <v>116.88487613461319</v>
      </c>
      <c r="R3028">
        <v>2225</v>
      </c>
      <c r="S3028" s="50">
        <f t="shared" si="697"/>
        <v>71535.307499999995</v>
      </c>
      <c r="T3028" s="50">
        <f t="shared" si="702"/>
        <v>0</v>
      </c>
      <c r="U3028" s="58">
        <f t="shared" si="703"/>
        <v>0</v>
      </c>
      <c r="V3028" s="58">
        <f t="shared" si="704"/>
        <v>0</v>
      </c>
      <c r="W3028" s="58">
        <f t="shared" si="705"/>
        <v>0</v>
      </c>
      <c r="X3028" s="58">
        <f t="shared" si="706"/>
        <v>0</v>
      </c>
      <c r="Y3028" s="52">
        <f t="shared" si="707"/>
        <v>0</v>
      </c>
    </row>
    <row r="3029" spans="1:25" x14ac:dyDescent="0.25">
      <c r="A3029" s="1218" t="s">
        <v>163</v>
      </c>
      <c r="B3029" s="98">
        <v>45992</v>
      </c>
      <c r="C3029" s="117" t="str">
        <f t="shared" si="694"/>
        <v>6L</v>
      </c>
      <c r="F3029" s="99">
        <f t="shared" si="709"/>
        <v>0</v>
      </c>
      <c r="I3029" s="99">
        <f t="shared" si="708"/>
        <v>0</v>
      </c>
      <c r="L3029" s="99">
        <f t="shared" si="696"/>
        <v>0</v>
      </c>
      <c r="M3029" s="44" t="str">
        <f t="shared" si="698"/>
        <v/>
      </c>
      <c r="N3029" s="100">
        <f t="shared" si="699"/>
        <v>0</v>
      </c>
      <c r="O3029" s="101">
        <f t="shared" si="700"/>
        <v>0</v>
      </c>
      <c r="P3029" s="52">
        <f t="shared" si="701"/>
        <v>0</v>
      </c>
      <c r="Q3029" s="49">
        <v>116.88487613461319</v>
      </c>
      <c r="R3029">
        <v>2225</v>
      </c>
      <c r="S3029" s="50">
        <f t="shared" si="697"/>
        <v>71535.307499999995</v>
      </c>
      <c r="T3029" s="50">
        <f t="shared" si="702"/>
        <v>0</v>
      </c>
      <c r="U3029" s="58">
        <f t="shared" si="703"/>
        <v>0</v>
      </c>
      <c r="V3029" s="58">
        <f t="shared" si="704"/>
        <v>0</v>
      </c>
      <c r="W3029" s="58">
        <f t="shared" si="705"/>
        <v>0</v>
      </c>
      <c r="X3029" s="58">
        <f t="shared" si="706"/>
        <v>0</v>
      </c>
      <c r="Y3029" s="52">
        <f t="shared" si="707"/>
        <v>0</v>
      </c>
    </row>
    <row r="3030" spans="1:25" x14ac:dyDescent="0.25">
      <c r="A3030" s="1218" t="s">
        <v>164</v>
      </c>
      <c r="B3030" s="98">
        <v>45992</v>
      </c>
      <c r="C3030" s="117" t="str">
        <f t="shared" si="694"/>
        <v>6L</v>
      </c>
      <c r="F3030" s="99">
        <f t="shared" si="709"/>
        <v>0</v>
      </c>
      <c r="I3030" s="99">
        <f t="shared" si="708"/>
        <v>0</v>
      </c>
      <c r="L3030" s="99">
        <f t="shared" si="696"/>
        <v>0</v>
      </c>
      <c r="M3030" s="44" t="str">
        <f t="shared" si="698"/>
        <v/>
      </c>
      <c r="N3030" s="100">
        <f t="shared" si="699"/>
        <v>0</v>
      </c>
      <c r="O3030" s="101">
        <f t="shared" si="700"/>
        <v>0</v>
      </c>
      <c r="P3030" s="52">
        <f t="shared" si="701"/>
        <v>0</v>
      </c>
      <c r="Q3030" s="49">
        <v>116.88487613461319</v>
      </c>
      <c r="R3030">
        <v>2225</v>
      </c>
      <c r="S3030" s="50">
        <f t="shared" si="697"/>
        <v>71535.307499999995</v>
      </c>
      <c r="T3030" s="50">
        <f t="shared" si="702"/>
        <v>0</v>
      </c>
      <c r="U3030" s="58">
        <f t="shared" si="703"/>
        <v>0</v>
      </c>
      <c r="V3030" s="58">
        <f t="shared" si="704"/>
        <v>0</v>
      </c>
      <c r="W3030" s="58">
        <f t="shared" si="705"/>
        <v>0</v>
      </c>
      <c r="X3030" s="58">
        <f t="shared" si="706"/>
        <v>0</v>
      </c>
      <c r="Y3030" s="52">
        <f t="shared" si="707"/>
        <v>0</v>
      </c>
    </row>
    <row r="3031" spans="1:25" x14ac:dyDescent="0.25">
      <c r="A3031" s="1218" t="s">
        <v>165</v>
      </c>
      <c r="B3031" s="98">
        <v>45992</v>
      </c>
      <c r="C3031" s="117" t="str">
        <f t="shared" si="694"/>
        <v>6L</v>
      </c>
      <c r="F3031" s="99">
        <f t="shared" si="709"/>
        <v>0</v>
      </c>
      <c r="I3031" s="99">
        <f t="shared" si="708"/>
        <v>0</v>
      </c>
      <c r="L3031" s="99">
        <f t="shared" si="696"/>
        <v>0</v>
      </c>
      <c r="M3031" s="44" t="str">
        <f t="shared" si="698"/>
        <v/>
      </c>
      <c r="N3031" s="100">
        <f t="shared" si="699"/>
        <v>0</v>
      </c>
      <c r="O3031" s="101">
        <f t="shared" si="700"/>
        <v>0</v>
      </c>
      <c r="P3031" s="52">
        <f t="shared" si="701"/>
        <v>0</v>
      </c>
      <c r="Q3031" s="49">
        <v>116.88487613461319</v>
      </c>
      <c r="R3031">
        <v>2225</v>
      </c>
      <c r="S3031" s="50">
        <f t="shared" si="697"/>
        <v>71535.307499999995</v>
      </c>
      <c r="T3031" s="50">
        <f t="shared" si="702"/>
        <v>0</v>
      </c>
      <c r="U3031" s="58">
        <f t="shared" si="703"/>
        <v>0</v>
      </c>
      <c r="V3031" s="58">
        <f t="shared" si="704"/>
        <v>0</v>
      </c>
      <c r="W3031" s="58">
        <f t="shared" si="705"/>
        <v>0</v>
      </c>
      <c r="X3031" s="58">
        <f t="shared" si="706"/>
        <v>0</v>
      </c>
      <c r="Y3031" s="52">
        <f t="shared" si="707"/>
        <v>0</v>
      </c>
    </row>
    <row r="3032" spans="1:25" x14ac:dyDescent="0.25">
      <c r="A3032" s="1218" t="s">
        <v>166</v>
      </c>
      <c r="B3032" s="98">
        <v>45992</v>
      </c>
      <c r="C3032" s="117" t="str">
        <f t="shared" si="694"/>
        <v>6L</v>
      </c>
      <c r="F3032" s="99">
        <f t="shared" si="709"/>
        <v>0</v>
      </c>
      <c r="I3032" s="99">
        <f t="shared" si="708"/>
        <v>0</v>
      </c>
      <c r="L3032" s="99">
        <f t="shared" si="696"/>
        <v>0</v>
      </c>
      <c r="M3032" s="44" t="str">
        <f t="shared" si="698"/>
        <v/>
      </c>
      <c r="N3032" s="100">
        <f t="shared" si="699"/>
        <v>0</v>
      </c>
      <c r="O3032" s="101">
        <f t="shared" si="700"/>
        <v>0</v>
      </c>
      <c r="P3032" s="52">
        <f t="shared" si="701"/>
        <v>0</v>
      </c>
      <c r="Q3032" s="49">
        <v>116.88487613461319</v>
      </c>
      <c r="R3032">
        <v>2225</v>
      </c>
      <c r="S3032" s="50">
        <f t="shared" si="697"/>
        <v>71535.307499999995</v>
      </c>
      <c r="T3032" s="50">
        <f t="shared" si="702"/>
        <v>0</v>
      </c>
      <c r="U3032" s="58">
        <f t="shared" si="703"/>
        <v>0</v>
      </c>
      <c r="V3032" s="58">
        <f t="shared" si="704"/>
        <v>0</v>
      </c>
      <c r="W3032" s="58">
        <f t="shared" si="705"/>
        <v>0</v>
      </c>
      <c r="X3032" s="58">
        <f t="shared" si="706"/>
        <v>0</v>
      </c>
      <c r="Y3032" s="52">
        <f t="shared" si="707"/>
        <v>0</v>
      </c>
    </row>
    <row r="3033" spans="1:25" x14ac:dyDescent="0.25">
      <c r="A3033" s="1218" t="s">
        <v>167</v>
      </c>
      <c r="B3033" s="98">
        <v>45992</v>
      </c>
      <c r="C3033" s="117" t="str">
        <f t="shared" si="694"/>
        <v>6L</v>
      </c>
      <c r="F3033" s="99">
        <f t="shared" si="709"/>
        <v>0</v>
      </c>
      <c r="I3033" s="99">
        <f t="shared" si="708"/>
        <v>0</v>
      </c>
      <c r="L3033" s="99">
        <f t="shared" si="696"/>
        <v>0</v>
      </c>
      <c r="M3033" s="44" t="str">
        <f t="shared" si="698"/>
        <v/>
      </c>
      <c r="N3033" s="100">
        <f t="shared" si="699"/>
        <v>0</v>
      </c>
      <c r="O3033" s="101">
        <f t="shared" si="700"/>
        <v>0</v>
      </c>
      <c r="P3033" s="52">
        <f t="shared" si="701"/>
        <v>0</v>
      </c>
      <c r="Q3033" s="49">
        <v>116.88487613461319</v>
      </c>
      <c r="R3033">
        <v>2225</v>
      </c>
      <c r="S3033" s="50">
        <f t="shared" si="697"/>
        <v>71535.307499999995</v>
      </c>
      <c r="T3033" s="50">
        <f t="shared" si="702"/>
        <v>0</v>
      </c>
      <c r="U3033" s="58">
        <f t="shared" si="703"/>
        <v>0</v>
      </c>
      <c r="V3033" s="58">
        <f t="shared" si="704"/>
        <v>0</v>
      </c>
      <c r="W3033" s="58">
        <f t="shared" si="705"/>
        <v>0</v>
      </c>
      <c r="X3033" s="58">
        <f t="shared" si="706"/>
        <v>0</v>
      </c>
      <c r="Y3033" s="52">
        <f t="shared" si="707"/>
        <v>0</v>
      </c>
    </row>
    <row r="3034" spans="1:25" x14ac:dyDescent="0.25">
      <c r="A3034" s="1218" t="s">
        <v>168</v>
      </c>
      <c r="B3034" s="98">
        <v>45992</v>
      </c>
      <c r="C3034" s="117" t="str">
        <f t="shared" si="694"/>
        <v>6L</v>
      </c>
      <c r="F3034" s="99">
        <f t="shared" si="709"/>
        <v>0</v>
      </c>
      <c r="I3034" s="99">
        <f t="shared" si="708"/>
        <v>0</v>
      </c>
      <c r="L3034" s="99">
        <f t="shared" si="696"/>
        <v>0</v>
      </c>
      <c r="M3034" s="44" t="str">
        <f t="shared" si="698"/>
        <v/>
      </c>
      <c r="N3034" s="100">
        <f t="shared" si="699"/>
        <v>0</v>
      </c>
      <c r="O3034" s="101">
        <f t="shared" si="700"/>
        <v>0</v>
      </c>
      <c r="P3034" s="52">
        <f t="shared" si="701"/>
        <v>0</v>
      </c>
      <c r="Q3034" s="49">
        <v>116.88487613461319</v>
      </c>
      <c r="R3034">
        <v>2225</v>
      </c>
      <c r="S3034" s="50">
        <f t="shared" si="697"/>
        <v>71535.307499999995</v>
      </c>
      <c r="T3034" s="50">
        <f t="shared" si="702"/>
        <v>0</v>
      </c>
      <c r="U3034" s="58">
        <f t="shared" si="703"/>
        <v>0</v>
      </c>
      <c r="V3034" s="58">
        <f t="shared" si="704"/>
        <v>0</v>
      </c>
      <c r="W3034" s="58">
        <f t="shared" si="705"/>
        <v>0</v>
      </c>
      <c r="X3034" s="58">
        <f t="shared" si="706"/>
        <v>0</v>
      </c>
      <c r="Y3034" s="52">
        <f t="shared" si="707"/>
        <v>0</v>
      </c>
    </row>
    <row r="3035" spans="1:25" x14ac:dyDescent="0.25">
      <c r="A3035" s="1218" t="s">
        <v>169</v>
      </c>
      <c r="B3035" s="98">
        <v>45992</v>
      </c>
      <c r="C3035" s="117" t="str">
        <f t="shared" ref="C3035:C3098" si="710">LEFT(A3035,2)</f>
        <v>6L</v>
      </c>
      <c r="D3035">
        <v>2696</v>
      </c>
      <c r="E3035">
        <v>2.17</v>
      </c>
      <c r="F3035" s="99">
        <f t="shared" si="709"/>
        <v>5.85032</v>
      </c>
      <c r="I3035" s="99">
        <f t="shared" si="708"/>
        <v>0</v>
      </c>
      <c r="L3035" s="99">
        <f t="shared" si="696"/>
        <v>0</v>
      </c>
      <c r="M3035" s="44" t="str">
        <f t="shared" si="698"/>
        <v/>
      </c>
      <c r="N3035" s="100">
        <f t="shared" si="699"/>
        <v>0</v>
      </c>
      <c r="O3035" s="101">
        <f t="shared" si="700"/>
        <v>0</v>
      </c>
      <c r="P3035" s="52">
        <f t="shared" si="701"/>
        <v>0</v>
      </c>
      <c r="Q3035" s="49">
        <v>116.88487613461319</v>
      </c>
      <c r="R3035">
        <v>2225</v>
      </c>
      <c r="S3035" s="50">
        <f t="shared" si="697"/>
        <v>71535.307499999995</v>
      </c>
      <c r="T3035" s="50">
        <f t="shared" si="702"/>
        <v>0</v>
      </c>
      <c r="U3035" s="58">
        <f t="shared" si="703"/>
        <v>0</v>
      </c>
      <c r="V3035" s="58">
        <f t="shared" si="704"/>
        <v>0</v>
      </c>
      <c r="W3035" s="58">
        <f t="shared" si="705"/>
        <v>0</v>
      </c>
      <c r="X3035" s="58">
        <f t="shared" si="706"/>
        <v>0</v>
      </c>
      <c r="Y3035" s="52">
        <f t="shared" si="707"/>
        <v>0</v>
      </c>
    </row>
    <row r="3036" spans="1:25" x14ac:dyDescent="0.25">
      <c r="A3036" s="1218" t="s">
        <v>170</v>
      </c>
      <c r="B3036" s="98">
        <v>45992</v>
      </c>
      <c r="C3036" s="117" t="str">
        <f t="shared" si="710"/>
        <v>6L</v>
      </c>
      <c r="F3036" s="99">
        <f t="shared" si="709"/>
        <v>0</v>
      </c>
      <c r="I3036" s="99">
        <f t="shared" si="708"/>
        <v>0</v>
      </c>
      <c r="L3036" s="99">
        <f t="shared" si="696"/>
        <v>0</v>
      </c>
      <c r="M3036" s="44" t="str">
        <f t="shared" si="698"/>
        <v/>
      </c>
      <c r="N3036" s="100">
        <f t="shared" si="699"/>
        <v>0</v>
      </c>
      <c r="O3036" s="101">
        <f t="shared" si="700"/>
        <v>0</v>
      </c>
      <c r="P3036" s="52">
        <f t="shared" si="701"/>
        <v>0</v>
      </c>
      <c r="Q3036" s="49">
        <v>116.88487613461319</v>
      </c>
      <c r="R3036">
        <v>2225</v>
      </c>
      <c r="S3036" s="50">
        <f t="shared" si="697"/>
        <v>71535.307499999995</v>
      </c>
      <c r="T3036" s="50">
        <f t="shared" si="702"/>
        <v>0</v>
      </c>
      <c r="U3036" s="58">
        <f t="shared" si="703"/>
        <v>0</v>
      </c>
      <c r="V3036" s="58">
        <f t="shared" si="704"/>
        <v>0</v>
      </c>
      <c r="W3036" s="58">
        <f t="shared" si="705"/>
        <v>0</v>
      </c>
      <c r="X3036" s="58">
        <f t="shared" si="706"/>
        <v>0</v>
      </c>
      <c r="Y3036" s="52">
        <f t="shared" si="707"/>
        <v>0</v>
      </c>
    </row>
    <row r="3037" spans="1:25" x14ac:dyDescent="0.25">
      <c r="A3037" s="1218" t="s">
        <v>171</v>
      </c>
      <c r="B3037" s="98">
        <v>45992</v>
      </c>
      <c r="C3037" s="117" t="str">
        <f t="shared" si="710"/>
        <v>6L</v>
      </c>
      <c r="F3037" s="99">
        <f t="shared" si="709"/>
        <v>0</v>
      </c>
      <c r="I3037" s="99">
        <f t="shared" si="708"/>
        <v>0</v>
      </c>
      <c r="L3037" s="99">
        <f t="shared" si="696"/>
        <v>0</v>
      </c>
      <c r="M3037" s="44" t="str">
        <f t="shared" si="698"/>
        <v/>
      </c>
      <c r="N3037" s="100">
        <f t="shared" si="699"/>
        <v>0</v>
      </c>
      <c r="O3037" s="101">
        <f t="shared" si="700"/>
        <v>0</v>
      </c>
      <c r="P3037" s="52">
        <f t="shared" si="701"/>
        <v>0</v>
      </c>
      <c r="Q3037" s="49">
        <v>116.88487613461319</v>
      </c>
      <c r="R3037">
        <v>2225</v>
      </c>
      <c r="S3037" s="50">
        <f t="shared" si="697"/>
        <v>71535.307499999995</v>
      </c>
      <c r="T3037" s="50">
        <f t="shared" si="702"/>
        <v>0</v>
      </c>
      <c r="U3037" s="58">
        <f t="shared" si="703"/>
        <v>0</v>
      </c>
      <c r="V3037" s="58">
        <f t="shared" si="704"/>
        <v>0</v>
      </c>
      <c r="W3037" s="58">
        <f t="shared" si="705"/>
        <v>0</v>
      </c>
      <c r="X3037" s="58">
        <f t="shared" si="706"/>
        <v>0</v>
      </c>
      <c r="Y3037" s="52">
        <f t="shared" si="707"/>
        <v>0</v>
      </c>
    </row>
    <row r="3038" spans="1:25" x14ac:dyDescent="0.25">
      <c r="A3038" s="1218" t="s">
        <v>172</v>
      </c>
      <c r="B3038" s="98">
        <v>45992</v>
      </c>
      <c r="C3038" s="117" t="str">
        <f t="shared" si="710"/>
        <v>6L</v>
      </c>
      <c r="D3038" s="118">
        <v>1798</v>
      </c>
      <c r="E3038">
        <v>2.4500000000000002</v>
      </c>
      <c r="F3038" s="99">
        <f t="shared" si="709"/>
        <v>4.4051</v>
      </c>
      <c r="I3038" s="99">
        <f t="shared" si="708"/>
        <v>0</v>
      </c>
      <c r="L3038" s="99">
        <f t="shared" si="696"/>
        <v>0</v>
      </c>
      <c r="M3038" s="44" t="str">
        <f t="shared" si="698"/>
        <v/>
      </c>
      <c r="N3038" s="100">
        <f t="shared" si="699"/>
        <v>0</v>
      </c>
      <c r="O3038" s="101">
        <f t="shared" si="700"/>
        <v>0</v>
      </c>
      <c r="P3038" s="52">
        <f t="shared" si="701"/>
        <v>0</v>
      </c>
      <c r="Q3038" s="49">
        <v>116.88487613461319</v>
      </c>
      <c r="R3038">
        <v>2225</v>
      </c>
      <c r="S3038" s="50">
        <f t="shared" si="697"/>
        <v>71535.307499999995</v>
      </c>
      <c r="T3038" s="50">
        <f t="shared" si="702"/>
        <v>0</v>
      </c>
      <c r="U3038" s="58">
        <f t="shared" si="703"/>
        <v>0</v>
      </c>
      <c r="V3038" s="58">
        <f t="shared" si="704"/>
        <v>0</v>
      </c>
      <c r="W3038" s="58">
        <f t="shared" si="705"/>
        <v>0</v>
      </c>
      <c r="X3038" s="58">
        <f t="shared" si="706"/>
        <v>0</v>
      </c>
      <c r="Y3038" s="52">
        <f t="shared" si="707"/>
        <v>0</v>
      </c>
    </row>
    <row r="3039" spans="1:25" x14ac:dyDescent="0.25">
      <c r="A3039" s="1218" t="s">
        <v>173</v>
      </c>
      <c r="B3039" s="98">
        <v>45992</v>
      </c>
      <c r="C3039" s="117" t="str">
        <f t="shared" si="710"/>
        <v>6L</v>
      </c>
      <c r="F3039" s="99">
        <f t="shared" si="709"/>
        <v>0</v>
      </c>
      <c r="I3039" s="99">
        <f t="shared" si="708"/>
        <v>0</v>
      </c>
      <c r="L3039" s="99">
        <f t="shared" si="696"/>
        <v>0</v>
      </c>
      <c r="M3039" s="44" t="str">
        <f t="shared" si="698"/>
        <v/>
      </c>
      <c r="N3039" s="100">
        <f t="shared" si="699"/>
        <v>0</v>
      </c>
      <c r="O3039" s="101">
        <f t="shared" si="700"/>
        <v>0</v>
      </c>
      <c r="P3039" s="52">
        <f t="shared" si="701"/>
        <v>0</v>
      </c>
      <c r="Q3039" s="49">
        <v>116.88487613461319</v>
      </c>
      <c r="R3039">
        <v>2225</v>
      </c>
      <c r="S3039" s="50">
        <f t="shared" si="697"/>
        <v>71535.307499999995</v>
      </c>
      <c r="T3039" s="50">
        <f t="shared" si="702"/>
        <v>0</v>
      </c>
      <c r="U3039" s="58">
        <f t="shared" si="703"/>
        <v>0</v>
      </c>
      <c r="V3039" s="58">
        <f t="shared" si="704"/>
        <v>0</v>
      </c>
      <c r="W3039" s="58">
        <f t="shared" si="705"/>
        <v>0</v>
      </c>
      <c r="X3039" s="58">
        <f t="shared" si="706"/>
        <v>0</v>
      </c>
      <c r="Y3039" s="52">
        <f t="shared" si="707"/>
        <v>0</v>
      </c>
    </row>
    <row r="3040" spans="1:25" x14ac:dyDescent="0.25">
      <c r="A3040" s="1218" t="s">
        <v>174</v>
      </c>
      <c r="B3040" s="98">
        <v>45992</v>
      </c>
      <c r="C3040" s="117" t="str">
        <f t="shared" si="710"/>
        <v>6L</v>
      </c>
      <c r="F3040" s="99">
        <f t="shared" si="709"/>
        <v>0</v>
      </c>
      <c r="I3040" s="99">
        <f t="shared" si="708"/>
        <v>0</v>
      </c>
      <c r="L3040" s="99">
        <f t="shared" si="696"/>
        <v>0</v>
      </c>
      <c r="M3040" s="44" t="str">
        <f t="shared" si="698"/>
        <v/>
      </c>
      <c r="N3040" s="100">
        <f t="shared" si="699"/>
        <v>0</v>
      </c>
      <c r="O3040" s="101">
        <f t="shared" si="700"/>
        <v>0</v>
      </c>
      <c r="P3040" s="52">
        <f t="shared" si="701"/>
        <v>0</v>
      </c>
      <c r="Q3040" s="49">
        <v>116.88487613461319</v>
      </c>
      <c r="R3040">
        <v>2225</v>
      </c>
      <c r="S3040" s="50">
        <f t="shared" si="697"/>
        <v>71535.307499999995</v>
      </c>
      <c r="T3040" s="50">
        <f t="shared" si="702"/>
        <v>0</v>
      </c>
      <c r="U3040" s="58">
        <f t="shared" si="703"/>
        <v>0</v>
      </c>
      <c r="V3040" s="58">
        <f t="shared" si="704"/>
        <v>0</v>
      </c>
      <c r="W3040" s="58">
        <f t="shared" si="705"/>
        <v>0</v>
      </c>
      <c r="X3040" s="58">
        <f t="shared" si="706"/>
        <v>0</v>
      </c>
      <c r="Y3040" s="52">
        <f t="shared" si="707"/>
        <v>0</v>
      </c>
    </row>
    <row r="3041" spans="1:25" x14ac:dyDescent="0.25">
      <c r="A3041" s="1218" t="s">
        <v>175</v>
      </c>
      <c r="B3041" s="98">
        <v>45992</v>
      </c>
      <c r="C3041" s="117" t="str">
        <f t="shared" si="710"/>
        <v>6L</v>
      </c>
      <c r="F3041" s="99">
        <f t="shared" si="709"/>
        <v>0</v>
      </c>
      <c r="I3041" s="99">
        <f t="shared" si="708"/>
        <v>0</v>
      </c>
      <c r="L3041" s="99">
        <f t="shared" si="696"/>
        <v>0</v>
      </c>
      <c r="M3041" s="44" t="str">
        <f t="shared" si="698"/>
        <v/>
      </c>
      <c r="N3041" s="100">
        <f t="shared" si="699"/>
        <v>0</v>
      </c>
      <c r="O3041" s="101">
        <f t="shared" si="700"/>
        <v>0</v>
      </c>
      <c r="P3041" s="52">
        <f t="shared" si="701"/>
        <v>0</v>
      </c>
      <c r="Q3041" s="49">
        <v>116.88487613461319</v>
      </c>
      <c r="R3041">
        <v>2225</v>
      </c>
      <c r="S3041" s="50">
        <f t="shared" si="697"/>
        <v>71535.307499999995</v>
      </c>
      <c r="T3041" s="50">
        <f t="shared" si="702"/>
        <v>0</v>
      </c>
      <c r="U3041" s="58">
        <f t="shared" si="703"/>
        <v>0</v>
      </c>
      <c r="V3041" s="58">
        <f t="shared" si="704"/>
        <v>0</v>
      </c>
      <c r="W3041" s="58">
        <f t="shared" si="705"/>
        <v>0</v>
      </c>
      <c r="X3041" s="58">
        <f t="shared" si="706"/>
        <v>0</v>
      </c>
      <c r="Y3041" s="52">
        <f t="shared" si="707"/>
        <v>0</v>
      </c>
    </row>
    <row r="3042" spans="1:25" x14ac:dyDescent="0.25">
      <c r="A3042" s="1218" t="s">
        <v>176</v>
      </c>
      <c r="B3042" s="98">
        <v>45992</v>
      </c>
      <c r="C3042" s="117" t="str">
        <f t="shared" si="710"/>
        <v>6L</v>
      </c>
      <c r="F3042" s="99">
        <f t="shared" si="709"/>
        <v>0</v>
      </c>
      <c r="I3042" s="99">
        <f t="shared" si="708"/>
        <v>0</v>
      </c>
      <c r="L3042" s="99">
        <f t="shared" si="696"/>
        <v>0</v>
      </c>
      <c r="M3042" s="44" t="str">
        <f t="shared" si="698"/>
        <v/>
      </c>
      <c r="N3042" s="100">
        <f t="shared" si="699"/>
        <v>0</v>
      </c>
      <c r="O3042" s="101">
        <f t="shared" si="700"/>
        <v>0</v>
      </c>
      <c r="P3042" s="52">
        <f t="shared" si="701"/>
        <v>0</v>
      </c>
      <c r="Q3042" s="49">
        <v>116.88487613461319</v>
      </c>
      <c r="R3042">
        <v>2225</v>
      </c>
      <c r="S3042" s="50">
        <f t="shared" si="697"/>
        <v>71535.307499999995</v>
      </c>
      <c r="T3042" s="50">
        <f t="shared" si="702"/>
        <v>0</v>
      </c>
      <c r="U3042" s="58">
        <f t="shared" si="703"/>
        <v>0</v>
      </c>
      <c r="V3042" s="58">
        <f t="shared" si="704"/>
        <v>0</v>
      </c>
      <c r="W3042" s="58">
        <f t="shared" si="705"/>
        <v>0</v>
      </c>
      <c r="X3042" s="58">
        <f t="shared" si="706"/>
        <v>0</v>
      </c>
      <c r="Y3042" s="52">
        <f t="shared" si="707"/>
        <v>0</v>
      </c>
    </row>
    <row r="3043" spans="1:25" x14ac:dyDescent="0.25">
      <c r="A3043" s="1218" t="s">
        <v>177</v>
      </c>
      <c r="B3043" s="98">
        <v>45992</v>
      </c>
      <c r="C3043" s="117" t="str">
        <f t="shared" si="710"/>
        <v>6L</v>
      </c>
      <c r="F3043" s="99">
        <f t="shared" si="709"/>
        <v>0</v>
      </c>
      <c r="I3043" s="99">
        <f t="shared" si="708"/>
        <v>0</v>
      </c>
      <c r="L3043" s="99">
        <f t="shared" si="696"/>
        <v>0</v>
      </c>
      <c r="M3043" s="44" t="str">
        <f t="shared" si="698"/>
        <v/>
      </c>
      <c r="N3043" s="100">
        <f t="shared" si="699"/>
        <v>0</v>
      </c>
      <c r="O3043" s="101">
        <f t="shared" si="700"/>
        <v>0</v>
      </c>
      <c r="P3043" s="52">
        <f t="shared" si="701"/>
        <v>0</v>
      </c>
      <c r="Q3043" s="49">
        <v>116.88487613461319</v>
      </c>
      <c r="R3043">
        <v>2225</v>
      </c>
      <c r="S3043" s="50">
        <f t="shared" si="697"/>
        <v>71535.307499999995</v>
      </c>
      <c r="T3043" s="50">
        <f t="shared" si="702"/>
        <v>0</v>
      </c>
      <c r="U3043" s="58">
        <f t="shared" si="703"/>
        <v>0</v>
      </c>
      <c r="V3043" s="58">
        <f t="shared" si="704"/>
        <v>0</v>
      </c>
      <c r="W3043" s="58">
        <f t="shared" si="705"/>
        <v>0</v>
      </c>
      <c r="X3043" s="58">
        <f t="shared" si="706"/>
        <v>0</v>
      </c>
      <c r="Y3043" s="52">
        <f t="shared" si="707"/>
        <v>0</v>
      </c>
    </row>
    <row r="3044" spans="1:25" x14ac:dyDescent="0.25">
      <c r="A3044" s="1218" t="s">
        <v>178</v>
      </c>
      <c r="B3044" s="98">
        <v>45992</v>
      </c>
      <c r="C3044" s="117" t="str">
        <f t="shared" si="710"/>
        <v>7L</v>
      </c>
      <c r="F3044" s="99">
        <f t="shared" si="709"/>
        <v>0</v>
      </c>
      <c r="I3044" s="99">
        <f t="shared" si="708"/>
        <v>0</v>
      </c>
      <c r="L3044" s="99">
        <f t="shared" si="696"/>
        <v>0</v>
      </c>
      <c r="M3044" s="44" t="str">
        <f t="shared" si="698"/>
        <v/>
      </c>
      <c r="N3044" s="100">
        <f t="shared" si="699"/>
        <v>0</v>
      </c>
      <c r="O3044" s="101">
        <f t="shared" si="700"/>
        <v>0</v>
      </c>
      <c r="P3044" s="52">
        <f t="shared" si="701"/>
        <v>0</v>
      </c>
      <c r="Q3044" s="49">
        <v>116.88487613461319</v>
      </c>
      <c r="R3044">
        <v>2225</v>
      </c>
      <c r="S3044" s="50">
        <f t="shared" si="697"/>
        <v>71535.307499999995</v>
      </c>
      <c r="T3044" s="50">
        <f t="shared" si="702"/>
        <v>0</v>
      </c>
      <c r="U3044" s="58">
        <f t="shared" si="703"/>
        <v>0</v>
      </c>
      <c r="V3044" s="58">
        <f t="shared" si="704"/>
        <v>0</v>
      </c>
      <c r="W3044" s="58">
        <f t="shared" si="705"/>
        <v>0</v>
      </c>
      <c r="X3044" s="58">
        <f t="shared" si="706"/>
        <v>0</v>
      </c>
      <c r="Y3044" s="52">
        <f t="shared" si="707"/>
        <v>0</v>
      </c>
    </row>
    <row r="3045" spans="1:25" x14ac:dyDescent="0.25">
      <c r="A3045" s="1218" t="s">
        <v>179</v>
      </c>
      <c r="B3045" s="98">
        <v>45992</v>
      </c>
      <c r="C3045" s="117" t="str">
        <f t="shared" si="710"/>
        <v>7L</v>
      </c>
      <c r="F3045" s="99">
        <f t="shared" si="709"/>
        <v>0</v>
      </c>
      <c r="I3045" s="99">
        <f t="shared" si="708"/>
        <v>0</v>
      </c>
      <c r="L3045" s="99">
        <f t="shared" si="696"/>
        <v>0</v>
      </c>
      <c r="M3045" s="44" t="str">
        <f t="shared" si="698"/>
        <v/>
      </c>
      <c r="N3045" s="100">
        <f t="shared" si="699"/>
        <v>0</v>
      </c>
      <c r="O3045" s="101">
        <f t="shared" si="700"/>
        <v>0</v>
      </c>
      <c r="P3045" s="52">
        <f t="shared" si="701"/>
        <v>0</v>
      </c>
      <c r="Q3045" s="49">
        <v>116.88487613461319</v>
      </c>
      <c r="R3045">
        <v>2225</v>
      </c>
      <c r="S3045" s="50">
        <f t="shared" si="697"/>
        <v>71535.307499999995</v>
      </c>
      <c r="T3045" s="50">
        <f t="shared" si="702"/>
        <v>0</v>
      </c>
      <c r="U3045" s="58">
        <f t="shared" si="703"/>
        <v>0</v>
      </c>
      <c r="V3045" s="58">
        <f t="shared" si="704"/>
        <v>0</v>
      </c>
      <c r="W3045" s="58">
        <f t="shared" si="705"/>
        <v>0</v>
      </c>
      <c r="X3045" s="58">
        <f t="shared" si="706"/>
        <v>0</v>
      </c>
      <c r="Y3045" s="52">
        <f t="shared" si="707"/>
        <v>0</v>
      </c>
    </row>
    <row r="3046" spans="1:25" x14ac:dyDescent="0.25">
      <c r="A3046" s="1218" t="s">
        <v>180</v>
      </c>
      <c r="B3046" s="98">
        <v>45992</v>
      </c>
      <c r="C3046" s="117" t="str">
        <f t="shared" si="710"/>
        <v>7L</v>
      </c>
      <c r="F3046" s="99">
        <f t="shared" si="709"/>
        <v>0</v>
      </c>
      <c r="I3046" s="99">
        <f t="shared" si="708"/>
        <v>0</v>
      </c>
      <c r="L3046" s="99">
        <f t="shared" si="696"/>
        <v>0</v>
      </c>
      <c r="M3046" s="44" t="str">
        <f t="shared" si="698"/>
        <v/>
      </c>
      <c r="N3046" s="100">
        <f t="shared" si="699"/>
        <v>0</v>
      </c>
      <c r="O3046" s="101">
        <f t="shared" si="700"/>
        <v>0</v>
      </c>
      <c r="P3046" s="52">
        <f t="shared" si="701"/>
        <v>0</v>
      </c>
      <c r="Q3046" s="49">
        <v>116.88487613461319</v>
      </c>
      <c r="R3046">
        <v>2225</v>
      </c>
      <c r="S3046" s="50">
        <f t="shared" si="697"/>
        <v>71535.307499999995</v>
      </c>
      <c r="T3046" s="50">
        <f t="shared" si="702"/>
        <v>0</v>
      </c>
      <c r="U3046" s="58">
        <f t="shared" si="703"/>
        <v>0</v>
      </c>
      <c r="V3046" s="58">
        <f t="shared" si="704"/>
        <v>0</v>
      </c>
      <c r="W3046" s="58">
        <f t="shared" si="705"/>
        <v>0</v>
      </c>
      <c r="X3046" s="58">
        <f t="shared" si="706"/>
        <v>0</v>
      </c>
      <c r="Y3046" s="52">
        <f t="shared" si="707"/>
        <v>0</v>
      </c>
    </row>
    <row r="3047" spans="1:25" x14ac:dyDescent="0.25">
      <c r="A3047" s="1218" t="s">
        <v>181</v>
      </c>
      <c r="B3047" s="98">
        <v>45992</v>
      </c>
      <c r="C3047" s="117" t="str">
        <f t="shared" si="710"/>
        <v>7L</v>
      </c>
      <c r="D3047">
        <v>1798</v>
      </c>
      <c r="E3047">
        <v>2.88</v>
      </c>
      <c r="F3047" s="99">
        <f t="shared" si="709"/>
        <v>5.1782399999999997</v>
      </c>
      <c r="I3047" s="99">
        <f t="shared" si="708"/>
        <v>0</v>
      </c>
      <c r="L3047" s="99">
        <f t="shared" si="696"/>
        <v>0</v>
      </c>
      <c r="M3047" s="44" t="str">
        <f t="shared" si="698"/>
        <v/>
      </c>
      <c r="N3047" s="100">
        <f t="shared" si="699"/>
        <v>0</v>
      </c>
      <c r="O3047" s="101">
        <f t="shared" si="700"/>
        <v>0</v>
      </c>
      <c r="P3047" s="52">
        <f t="shared" si="701"/>
        <v>0</v>
      </c>
      <c r="Q3047" s="49">
        <v>116.88487613461319</v>
      </c>
      <c r="R3047">
        <v>2225</v>
      </c>
      <c r="S3047" s="50">
        <f t="shared" si="697"/>
        <v>71535.307499999995</v>
      </c>
      <c r="T3047" s="50">
        <f t="shared" si="702"/>
        <v>0</v>
      </c>
      <c r="U3047" s="58">
        <f t="shared" si="703"/>
        <v>0</v>
      </c>
      <c r="V3047" s="58">
        <f t="shared" si="704"/>
        <v>0</v>
      </c>
      <c r="W3047" s="58">
        <f t="shared" si="705"/>
        <v>0</v>
      </c>
      <c r="X3047" s="58">
        <f t="shared" si="706"/>
        <v>0</v>
      </c>
      <c r="Y3047" s="52">
        <f t="shared" si="707"/>
        <v>0</v>
      </c>
    </row>
    <row r="3048" spans="1:25" x14ac:dyDescent="0.25">
      <c r="A3048" s="1218" t="s">
        <v>182</v>
      </c>
      <c r="B3048" s="98">
        <v>45992</v>
      </c>
      <c r="C3048" s="117" t="str">
        <f t="shared" si="710"/>
        <v>7L</v>
      </c>
      <c r="D3048">
        <v>1098</v>
      </c>
      <c r="E3048">
        <v>3.61</v>
      </c>
      <c r="F3048" s="99">
        <f t="shared" si="709"/>
        <v>3.9637799999999999</v>
      </c>
      <c r="I3048" s="99">
        <f t="shared" si="708"/>
        <v>0</v>
      </c>
      <c r="L3048" s="99">
        <f t="shared" si="696"/>
        <v>0</v>
      </c>
      <c r="M3048" s="44" t="str">
        <f t="shared" si="698"/>
        <v/>
      </c>
      <c r="N3048" s="100">
        <f t="shared" si="699"/>
        <v>0</v>
      </c>
      <c r="O3048" s="101">
        <f t="shared" si="700"/>
        <v>0</v>
      </c>
      <c r="P3048" s="52">
        <f t="shared" si="701"/>
        <v>0</v>
      </c>
      <c r="Q3048" s="49">
        <v>116.88487613461319</v>
      </c>
      <c r="R3048">
        <v>2225</v>
      </c>
      <c r="S3048" s="50">
        <f t="shared" si="697"/>
        <v>71535.307499999995</v>
      </c>
      <c r="T3048" s="50">
        <f t="shared" si="702"/>
        <v>0</v>
      </c>
      <c r="U3048" s="58">
        <f t="shared" si="703"/>
        <v>0</v>
      </c>
      <c r="V3048" s="58">
        <f t="shared" si="704"/>
        <v>0</v>
      </c>
      <c r="W3048" s="58">
        <f t="shared" si="705"/>
        <v>0</v>
      </c>
      <c r="X3048" s="58">
        <f t="shared" si="706"/>
        <v>0</v>
      </c>
      <c r="Y3048" s="52">
        <f t="shared" si="707"/>
        <v>0</v>
      </c>
    </row>
    <row r="3049" spans="1:25" x14ac:dyDescent="0.25">
      <c r="A3049" s="1218" t="s">
        <v>183</v>
      </c>
      <c r="B3049" s="98">
        <v>45992</v>
      </c>
      <c r="C3049" s="117" t="str">
        <f t="shared" si="710"/>
        <v>7L</v>
      </c>
      <c r="D3049">
        <v>1798</v>
      </c>
      <c r="E3049">
        <v>2.87</v>
      </c>
      <c r="F3049" s="99">
        <f t="shared" si="709"/>
        <v>5.1602600000000001</v>
      </c>
      <c r="I3049" s="99">
        <f t="shared" si="708"/>
        <v>0</v>
      </c>
      <c r="L3049" s="99">
        <f t="shared" si="696"/>
        <v>0</v>
      </c>
      <c r="M3049" s="44" t="str">
        <f t="shared" si="698"/>
        <v/>
      </c>
      <c r="N3049" s="100">
        <f t="shared" si="699"/>
        <v>0</v>
      </c>
      <c r="O3049" s="101">
        <f t="shared" si="700"/>
        <v>0</v>
      </c>
      <c r="P3049" s="52">
        <f t="shared" si="701"/>
        <v>0</v>
      </c>
      <c r="Q3049" s="49">
        <v>116.88487613461319</v>
      </c>
      <c r="R3049">
        <v>2225</v>
      </c>
      <c r="S3049" s="50">
        <f t="shared" si="697"/>
        <v>71535.307499999995</v>
      </c>
      <c r="T3049" s="50">
        <f t="shared" si="702"/>
        <v>0</v>
      </c>
      <c r="U3049" s="58">
        <f t="shared" si="703"/>
        <v>0</v>
      </c>
      <c r="V3049" s="58">
        <f t="shared" si="704"/>
        <v>0</v>
      </c>
      <c r="W3049" s="58">
        <f t="shared" si="705"/>
        <v>0</v>
      </c>
      <c r="X3049" s="58">
        <f t="shared" si="706"/>
        <v>0</v>
      </c>
      <c r="Y3049" s="52">
        <f t="shared" si="707"/>
        <v>0</v>
      </c>
    </row>
    <row r="3050" spans="1:25" x14ac:dyDescent="0.25">
      <c r="A3050" s="1218" t="s">
        <v>184</v>
      </c>
      <c r="B3050" s="98">
        <v>45992</v>
      </c>
      <c r="C3050" s="117" t="str">
        <f t="shared" si="710"/>
        <v>7L</v>
      </c>
      <c r="D3050">
        <v>2696</v>
      </c>
      <c r="E3050">
        <v>2.4300000000000002</v>
      </c>
      <c r="F3050" s="99">
        <f t="shared" si="709"/>
        <v>6.5512800000000002</v>
      </c>
      <c r="I3050" s="99">
        <f t="shared" si="708"/>
        <v>0</v>
      </c>
      <c r="L3050" s="99">
        <f t="shared" si="696"/>
        <v>0</v>
      </c>
      <c r="M3050" s="44" t="str">
        <f t="shared" si="698"/>
        <v/>
      </c>
      <c r="N3050" s="100">
        <f t="shared" si="699"/>
        <v>0</v>
      </c>
      <c r="O3050" s="101">
        <f t="shared" si="700"/>
        <v>0</v>
      </c>
      <c r="P3050" s="52">
        <f t="shared" si="701"/>
        <v>0</v>
      </c>
      <c r="Q3050" s="49">
        <v>116.88487613461319</v>
      </c>
      <c r="R3050">
        <v>2225</v>
      </c>
      <c r="S3050" s="50">
        <f t="shared" si="697"/>
        <v>71535.307499999995</v>
      </c>
      <c r="T3050" s="50">
        <f t="shared" si="702"/>
        <v>0</v>
      </c>
      <c r="U3050" s="58">
        <f t="shared" si="703"/>
        <v>0</v>
      </c>
      <c r="V3050" s="58">
        <f t="shared" si="704"/>
        <v>0</v>
      </c>
      <c r="W3050" s="58">
        <f t="shared" si="705"/>
        <v>0</v>
      </c>
      <c r="X3050" s="58">
        <f t="shared" si="706"/>
        <v>0</v>
      </c>
      <c r="Y3050" s="52">
        <f t="shared" si="707"/>
        <v>0</v>
      </c>
    </row>
    <row r="3051" spans="1:25" x14ac:dyDescent="0.25">
      <c r="A3051" s="1218" t="s">
        <v>185</v>
      </c>
      <c r="B3051" s="98">
        <v>45992</v>
      </c>
      <c r="C3051" s="117" t="str">
        <f t="shared" si="710"/>
        <v>7L</v>
      </c>
      <c r="F3051" s="99">
        <f t="shared" si="709"/>
        <v>0</v>
      </c>
      <c r="I3051" s="99">
        <f t="shared" si="708"/>
        <v>0</v>
      </c>
      <c r="L3051" s="99">
        <f t="shared" si="696"/>
        <v>0</v>
      </c>
      <c r="M3051" s="44" t="str">
        <f t="shared" si="698"/>
        <v/>
      </c>
      <c r="N3051" s="100">
        <f t="shared" si="699"/>
        <v>0</v>
      </c>
      <c r="O3051" s="101">
        <f t="shared" si="700"/>
        <v>0</v>
      </c>
      <c r="P3051" s="52">
        <f t="shared" si="701"/>
        <v>0</v>
      </c>
      <c r="Q3051" s="49">
        <v>116.88487613461319</v>
      </c>
      <c r="R3051">
        <v>2225</v>
      </c>
      <c r="S3051" s="50">
        <f t="shared" si="697"/>
        <v>71535.307499999995</v>
      </c>
      <c r="T3051" s="50">
        <f t="shared" si="702"/>
        <v>0</v>
      </c>
      <c r="U3051" s="58">
        <f t="shared" si="703"/>
        <v>0</v>
      </c>
      <c r="V3051" s="58">
        <f t="shared" si="704"/>
        <v>0</v>
      </c>
      <c r="W3051" s="58">
        <f t="shared" si="705"/>
        <v>0</v>
      </c>
      <c r="X3051" s="58">
        <f t="shared" si="706"/>
        <v>0</v>
      </c>
      <c r="Y3051" s="52">
        <f t="shared" si="707"/>
        <v>0</v>
      </c>
    </row>
    <row r="3052" spans="1:25" x14ac:dyDescent="0.25">
      <c r="A3052" s="1218" t="s">
        <v>186</v>
      </c>
      <c r="B3052" s="98">
        <v>45992</v>
      </c>
      <c r="C3052" s="117" t="str">
        <f t="shared" si="710"/>
        <v>7L</v>
      </c>
      <c r="F3052" s="99">
        <f t="shared" si="709"/>
        <v>0</v>
      </c>
      <c r="I3052" s="99">
        <f t="shared" si="708"/>
        <v>0</v>
      </c>
      <c r="L3052" s="99">
        <f t="shared" si="696"/>
        <v>0</v>
      </c>
      <c r="M3052" s="44" t="str">
        <f t="shared" si="698"/>
        <v/>
      </c>
      <c r="N3052" s="100">
        <f t="shared" si="699"/>
        <v>0</v>
      </c>
      <c r="O3052" s="101">
        <f t="shared" si="700"/>
        <v>0</v>
      </c>
      <c r="P3052" s="52">
        <f t="shared" si="701"/>
        <v>0</v>
      </c>
      <c r="Q3052" s="49">
        <v>116.88487613461319</v>
      </c>
      <c r="R3052">
        <v>2225</v>
      </c>
      <c r="S3052" s="50">
        <f t="shared" si="697"/>
        <v>71535.307499999995</v>
      </c>
      <c r="T3052" s="50">
        <f t="shared" si="702"/>
        <v>0</v>
      </c>
      <c r="U3052" s="58">
        <f t="shared" si="703"/>
        <v>0</v>
      </c>
      <c r="V3052" s="58">
        <f t="shared" si="704"/>
        <v>0</v>
      </c>
      <c r="W3052" s="58">
        <f t="shared" si="705"/>
        <v>0</v>
      </c>
      <c r="X3052" s="58">
        <f t="shared" si="706"/>
        <v>0</v>
      </c>
      <c r="Y3052" s="52">
        <f t="shared" si="707"/>
        <v>0</v>
      </c>
    </row>
    <row r="3053" spans="1:25" x14ac:dyDescent="0.25">
      <c r="A3053" s="1218" t="s">
        <v>187</v>
      </c>
      <c r="B3053" s="98">
        <v>45992</v>
      </c>
      <c r="C3053" s="117" t="str">
        <f t="shared" si="710"/>
        <v>7L</v>
      </c>
      <c r="F3053" s="99">
        <f t="shared" si="709"/>
        <v>0</v>
      </c>
      <c r="I3053" s="99">
        <f t="shared" si="708"/>
        <v>0</v>
      </c>
      <c r="L3053" s="99">
        <f t="shared" si="696"/>
        <v>0</v>
      </c>
      <c r="M3053" s="44" t="str">
        <f t="shared" si="698"/>
        <v/>
      </c>
      <c r="N3053" s="100">
        <f t="shared" si="699"/>
        <v>0</v>
      </c>
      <c r="O3053" s="101">
        <f t="shared" si="700"/>
        <v>0</v>
      </c>
      <c r="P3053" s="52">
        <f t="shared" si="701"/>
        <v>0</v>
      </c>
      <c r="Q3053" s="49">
        <v>116.88487613461319</v>
      </c>
      <c r="R3053">
        <v>2225</v>
      </c>
      <c r="S3053" s="50">
        <f t="shared" si="697"/>
        <v>71535.307499999995</v>
      </c>
      <c r="T3053" s="50">
        <f t="shared" si="702"/>
        <v>0</v>
      </c>
      <c r="U3053" s="58">
        <f t="shared" si="703"/>
        <v>0</v>
      </c>
      <c r="V3053" s="58">
        <f t="shared" si="704"/>
        <v>0</v>
      </c>
      <c r="W3053" s="58">
        <f t="shared" si="705"/>
        <v>0</v>
      </c>
      <c r="X3053" s="58">
        <f t="shared" si="706"/>
        <v>0</v>
      </c>
      <c r="Y3053" s="52">
        <f t="shared" si="707"/>
        <v>0</v>
      </c>
    </row>
    <row r="3054" spans="1:25" x14ac:dyDescent="0.25">
      <c r="A3054" s="1218" t="s">
        <v>188</v>
      </c>
      <c r="B3054" s="98">
        <v>45992</v>
      </c>
      <c r="C3054" s="117" t="str">
        <f t="shared" si="710"/>
        <v>7L</v>
      </c>
      <c r="F3054" s="99">
        <f t="shared" si="709"/>
        <v>0</v>
      </c>
      <c r="I3054" s="99">
        <f t="shared" si="708"/>
        <v>0</v>
      </c>
      <c r="L3054" s="99">
        <f t="shared" si="696"/>
        <v>0</v>
      </c>
      <c r="M3054" s="44" t="str">
        <f t="shared" si="698"/>
        <v/>
      </c>
      <c r="N3054" s="100">
        <f t="shared" si="699"/>
        <v>0</v>
      </c>
      <c r="O3054" s="101">
        <f t="shared" si="700"/>
        <v>0</v>
      </c>
      <c r="P3054" s="52">
        <f t="shared" si="701"/>
        <v>0</v>
      </c>
      <c r="Q3054" s="49">
        <v>116.88487613461319</v>
      </c>
      <c r="R3054">
        <v>2225</v>
      </c>
      <c r="S3054" s="50">
        <f t="shared" si="697"/>
        <v>71535.307499999995</v>
      </c>
      <c r="T3054" s="50">
        <f t="shared" si="702"/>
        <v>0</v>
      </c>
      <c r="U3054" s="58">
        <f t="shared" si="703"/>
        <v>0</v>
      </c>
      <c r="V3054" s="58">
        <f t="shared" si="704"/>
        <v>0</v>
      </c>
      <c r="W3054" s="58">
        <f t="shared" si="705"/>
        <v>0</v>
      </c>
      <c r="X3054" s="58">
        <f t="shared" si="706"/>
        <v>0</v>
      </c>
      <c r="Y3054" s="52">
        <f t="shared" si="707"/>
        <v>0</v>
      </c>
    </row>
    <row r="3055" spans="1:25" x14ac:dyDescent="0.25">
      <c r="A3055" s="1218" t="s">
        <v>189</v>
      </c>
      <c r="B3055" s="98">
        <v>45992</v>
      </c>
      <c r="C3055" s="117" t="str">
        <f t="shared" si="710"/>
        <v>7L</v>
      </c>
      <c r="D3055">
        <v>4494</v>
      </c>
      <c r="E3055">
        <v>2.1800000000000002</v>
      </c>
      <c r="F3055" s="99">
        <f t="shared" si="709"/>
        <v>9.7969200000000001</v>
      </c>
      <c r="I3055" s="99">
        <f t="shared" si="708"/>
        <v>0</v>
      </c>
      <c r="L3055" s="99">
        <f t="shared" si="696"/>
        <v>0</v>
      </c>
      <c r="M3055" s="44" t="str">
        <f t="shared" si="698"/>
        <v/>
      </c>
      <c r="N3055" s="100">
        <f t="shared" si="699"/>
        <v>0</v>
      </c>
      <c r="O3055" s="101">
        <f t="shared" si="700"/>
        <v>0</v>
      </c>
      <c r="P3055" s="52">
        <f t="shared" si="701"/>
        <v>0</v>
      </c>
      <c r="Q3055" s="49">
        <v>116.88487613461319</v>
      </c>
      <c r="R3055">
        <v>2225</v>
      </c>
      <c r="S3055" s="50">
        <f t="shared" si="697"/>
        <v>71535.307499999995</v>
      </c>
      <c r="T3055" s="50">
        <f t="shared" si="702"/>
        <v>0</v>
      </c>
      <c r="U3055" s="58">
        <f t="shared" si="703"/>
        <v>0</v>
      </c>
      <c r="V3055" s="58">
        <f t="shared" si="704"/>
        <v>0</v>
      </c>
      <c r="W3055" s="58">
        <f t="shared" si="705"/>
        <v>0</v>
      </c>
      <c r="X3055" s="58">
        <f t="shared" si="706"/>
        <v>0</v>
      </c>
      <c r="Y3055" s="52">
        <f t="shared" si="707"/>
        <v>0</v>
      </c>
    </row>
    <row r="3056" spans="1:25" x14ac:dyDescent="0.25">
      <c r="A3056" s="1218" t="s">
        <v>190</v>
      </c>
      <c r="B3056" s="98">
        <v>45992</v>
      </c>
      <c r="C3056" s="117" t="str">
        <f t="shared" si="710"/>
        <v>8L</v>
      </c>
      <c r="F3056" s="99">
        <f t="shared" si="709"/>
        <v>0</v>
      </c>
      <c r="I3056" s="99">
        <f t="shared" si="708"/>
        <v>0</v>
      </c>
      <c r="L3056" s="99">
        <f t="shared" si="696"/>
        <v>0</v>
      </c>
      <c r="M3056" s="44" t="str">
        <f t="shared" si="698"/>
        <v/>
      </c>
      <c r="N3056" s="100">
        <f t="shared" si="699"/>
        <v>0</v>
      </c>
      <c r="O3056" s="101">
        <f t="shared" si="700"/>
        <v>0</v>
      </c>
      <c r="P3056" s="52">
        <f t="shared" si="701"/>
        <v>0</v>
      </c>
      <c r="Q3056" s="49">
        <v>116.88487613461319</v>
      </c>
      <c r="R3056">
        <v>2225</v>
      </c>
      <c r="S3056" s="50">
        <f t="shared" si="697"/>
        <v>71535.307499999995</v>
      </c>
      <c r="T3056" s="50">
        <f t="shared" si="702"/>
        <v>0</v>
      </c>
      <c r="U3056" s="58">
        <f t="shared" si="703"/>
        <v>0</v>
      </c>
      <c r="V3056" s="58">
        <f t="shared" si="704"/>
        <v>0</v>
      </c>
      <c r="W3056" s="58">
        <f t="shared" si="705"/>
        <v>0</v>
      </c>
      <c r="X3056" s="58">
        <f t="shared" si="706"/>
        <v>0</v>
      </c>
      <c r="Y3056" s="52">
        <f t="shared" si="707"/>
        <v>0</v>
      </c>
    </row>
    <row r="3057" spans="1:25" x14ac:dyDescent="0.25">
      <c r="A3057" s="1218" t="s">
        <v>191</v>
      </c>
      <c r="B3057" s="98">
        <v>45992</v>
      </c>
      <c r="C3057" s="117" t="str">
        <f t="shared" si="710"/>
        <v>8L</v>
      </c>
      <c r="F3057" s="99">
        <f t="shared" si="709"/>
        <v>0</v>
      </c>
      <c r="I3057" s="99">
        <f t="shared" si="708"/>
        <v>0</v>
      </c>
      <c r="L3057" s="99">
        <f t="shared" si="696"/>
        <v>0</v>
      </c>
      <c r="M3057" s="44" t="str">
        <f t="shared" si="698"/>
        <v/>
      </c>
      <c r="N3057" s="100">
        <f t="shared" si="699"/>
        <v>0</v>
      </c>
      <c r="O3057" s="101">
        <f t="shared" si="700"/>
        <v>0</v>
      </c>
      <c r="P3057" s="52">
        <f t="shared" si="701"/>
        <v>0</v>
      </c>
      <c r="Q3057" s="49">
        <v>116.88487613461319</v>
      </c>
      <c r="R3057">
        <v>2225</v>
      </c>
      <c r="S3057" s="50">
        <f t="shared" si="697"/>
        <v>71535.307499999995</v>
      </c>
      <c r="T3057" s="50">
        <f t="shared" si="702"/>
        <v>0</v>
      </c>
      <c r="U3057" s="58">
        <f t="shared" si="703"/>
        <v>0</v>
      </c>
      <c r="V3057" s="58">
        <f t="shared" si="704"/>
        <v>0</v>
      </c>
      <c r="W3057" s="58">
        <f t="shared" si="705"/>
        <v>0</v>
      </c>
      <c r="X3057" s="58">
        <f t="shared" si="706"/>
        <v>0</v>
      </c>
      <c r="Y3057" s="52">
        <f t="shared" si="707"/>
        <v>0</v>
      </c>
    </row>
    <row r="3058" spans="1:25" x14ac:dyDescent="0.25">
      <c r="A3058" s="1218" t="s">
        <v>192</v>
      </c>
      <c r="B3058" s="98">
        <v>45992</v>
      </c>
      <c r="C3058" s="117" t="str">
        <f t="shared" si="710"/>
        <v>8L</v>
      </c>
      <c r="F3058" s="99">
        <f t="shared" si="709"/>
        <v>0</v>
      </c>
      <c r="I3058" s="99">
        <f t="shared" si="708"/>
        <v>0</v>
      </c>
      <c r="L3058" s="99">
        <f t="shared" si="696"/>
        <v>0</v>
      </c>
      <c r="M3058" s="44" t="str">
        <f t="shared" si="698"/>
        <v/>
      </c>
      <c r="N3058" s="100">
        <f t="shared" si="699"/>
        <v>0</v>
      </c>
      <c r="O3058" s="101">
        <f t="shared" si="700"/>
        <v>0</v>
      </c>
      <c r="P3058" s="52">
        <f t="shared" si="701"/>
        <v>0</v>
      </c>
      <c r="Q3058" s="49">
        <v>116.88487613461319</v>
      </c>
      <c r="R3058">
        <v>2225</v>
      </c>
      <c r="S3058" s="50">
        <f t="shared" si="697"/>
        <v>71535.307499999995</v>
      </c>
      <c r="T3058" s="50">
        <f t="shared" si="702"/>
        <v>0</v>
      </c>
      <c r="U3058" s="58">
        <f t="shared" si="703"/>
        <v>0</v>
      </c>
      <c r="V3058" s="58">
        <f t="shared" si="704"/>
        <v>0</v>
      </c>
      <c r="W3058" s="58">
        <f t="shared" si="705"/>
        <v>0</v>
      </c>
      <c r="X3058" s="58">
        <f t="shared" si="706"/>
        <v>0</v>
      </c>
      <c r="Y3058" s="52">
        <f t="shared" si="707"/>
        <v>0</v>
      </c>
    </row>
    <row r="3059" spans="1:25" x14ac:dyDescent="0.25">
      <c r="A3059" s="1218" t="s">
        <v>193</v>
      </c>
      <c r="B3059" s="98">
        <v>45992</v>
      </c>
      <c r="C3059" s="117" t="str">
        <f t="shared" si="710"/>
        <v>8L</v>
      </c>
      <c r="F3059" s="99">
        <f t="shared" si="709"/>
        <v>0</v>
      </c>
      <c r="I3059" s="99">
        <f t="shared" si="708"/>
        <v>0</v>
      </c>
      <c r="L3059" s="99">
        <f t="shared" si="696"/>
        <v>0</v>
      </c>
      <c r="M3059" s="44" t="str">
        <f t="shared" si="698"/>
        <v/>
      </c>
      <c r="N3059" s="100">
        <f t="shared" si="699"/>
        <v>0</v>
      </c>
      <c r="O3059" s="101">
        <f t="shared" si="700"/>
        <v>0</v>
      </c>
      <c r="P3059" s="52">
        <f t="shared" si="701"/>
        <v>0</v>
      </c>
      <c r="Q3059" s="49">
        <v>116.88487613461319</v>
      </c>
      <c r="R3059">
        <v>2225</v>
      </c>
      <c r="S3059" s="50">
        <f t="shared" si="697"/>
        <v>71535.307499999995</v>
      </c>
      <c r="T3059" s="50">
        <f t="shared" si="702"/>
        <v>0</v>
      </c>
      <c r="U3059" s="58">
        <f t="shared" si="703"/>
        <v>0</v>
      </c>
      <c r="V3059" s="58">
        <f t="shared" si="704"/>
        <v>0</v>
      </c>
      <c r="W3059" s="58">
        <f t="shared" si="705"/>
        <v>0</v>
      </c>
      <c r="X3059" s="58">
        <f t="shared" si="706"/>
        <v>0</v>
      </c>
      <c r="Y3059" s="52">
        <f t="shared" si="707"/>
        <v>0</v>
      </c>
    </row>
    <row r="3060" spans="1:25" x14ac:dyDescent="0.25">
      <c r="A3060" s="1218" t="s">
        <v>194</v>
      </c>
      <c r="B3060" s="98">
        <v>45992</v>
      </c>
      <c r="C3060" s="117" t="str">
        <f t="shared" si="710"/>
        <v>8L</v>
      </c>
      <c r="F3060" s="99">
        <f t="shared" si="709"/>
        <v>0</v>
      </c>
      <c r="I3060" s="99">
        <f t="shared" si="708"/>
        <v>0</v>
      </c>
      <c r="L3060" s="99">
        <f t="shared" si="696"/>
        <v>0</v>
      </c>
      <c r="M3060" s="44" t="str">
        <f t="shared" si="698"/>
        <v/>
      </c>
      <c r="N3060" s="100">
        <f t="shared" si="699"/>
        <v>0</v>
      </c>
      <c r="O3060" s="101">
        <f t="shared" si="700"/>
        <v>0</v>
      </c>
      <c r="P3060" s="52">
        <f t="shared" si="701"/>
        <v>0</v>
      </c>
      <c r="Q3060" s="49">
        <v>116.88487613461319</v>
      </c>
      <c r="R3060">
        <v>2225</v>
      </c>
      <c r="S3060" s="50">
        <f t="shared" si="697"/>
        <v>71535.307499999995</v>
      </c>
      <c r="T3060" s="50">
        <f t="shared" si="702"/>
        <v>0</v>
      </c>
      <c r="U3060" s="58">
        <f t="shared" si="703"/>
        <v>0</v>
      </c>
      <c r="V3060" s="58">
        <f t="shared" si="704"/>
        <v>0</v>
      </c>
      <c r="W3060" s="58">
        <f t="shared" si="705"/>
        <v>0</v>
      </c>
      <c r="X3060" s="58">
        <f t="shared" si="706"/>
        <v>0</v>
      </c>
      <c r="Y3060" s="52">
        <f t="shared" si="707"/>
        <v>0</v>
      </c>
    </row>
    <row r="3061" spans="1:25" x14ac:dyDescent="0.25">
      <c r="A3061" s="1218" t="s">
        <v>195</v>
      </c>
      <c r="B3061" s="98">
        <v>45992</v>
      </c>
      <c r="C3061" s="117" t="str">
        <f t="shared" si="710"/>
        <v>8L</v>
      </c>
      <c r="D3061">
        <v>1002</v>
      </c>
      <c r="E3061">
        <v>2.23</v>
      </c>
      <c r="F3061" s="99">
        <f t="shared" si="709"/>
        <v>2.2344599999999999</v>
      </c>
      <c r="I3061" s="99">
        <f t="shared" si="708"/>
        <v>0</v>
      </c>
      <c r="L3061" s="99">
        <f t="shared" si="696"/>
        <v>0</v>
      </c>
      <c r="M3061" s="44" t="str">
        <f t="shared" si="698"/>
        <v/>
      </c>
      <c r="N3061" s="100">
        <f t="shared" si="699"/>
        <v>0</v>
      </c>
      <c r="O3061" s="101">
        <f t="shared" si="700"/>
        <v>0</v>
      </c>
      <c r="P3061" s="52">
        <f t="shared" si="701"/>
        <v>0</v>
      </c>
      <c r="Q3061" s="49">
        <v>116.88487613461319</v>
      </c>
      <c r="R3061">
        <v>2225</v>
      </c>
      <c r="S3061" s="50">
        <f t="shared" si="697"/>
        <v>71535.307499999995</v>
      </c>
      <c r="T3061" s="50">
        <f t="shared" si="702"/>
        <v>0</v>
      </c>
      <c r="U3061" s="58">
        <f t="shared" si="703"/>
        <v>0</v>
      </c>
      <c r="V3061" s="58">
        <f t="shared" si="704"/>
        <v>0</v>
      </c>
      <c r="W3061" s="58">
        <f t="shared" si="705"/>
        <v>0</v>
      </c>
      <c r="X3061" s="58">
        <f t="shared" si="706"/>
        <v>0</v>
      </c>
      <c r="Y3061" s="52">
        <f t="shared" si="707"/>
        <v>0</v>
      </c>
    </row>
    <row r="3062" spans="1:25" x14ac:dyDescent="0.25">
      <c r="A3062" s="1218" t="s">
        <v>196</v>
      </c>
      <c r="B3062" s="98">
        <v>45992</v>
      </c>
      <c r="C3062" s="117" t="str">
        <f t="shared" si="710"/>
        <v>8L</v>
      </c>
      <c r="F3062" s="99">
        <f t="shared" si="709"/>
        <v>0</v>
      </c>
      <c r="I3062" s="99">
        <f t="shared" si="708"/>
        <v>0</v>
      </c>
      <c r="L3062" s="99">
        <f t="shared" si="696"/>
        <v>0</v>
      </c>
      <c r="M3062" s="44" t="str">
        <f t="shared" si="698"/>
        <v/>
      </c>
      <c r="N3062" s="100">
        <f t="shared" si="699"/>
        <v>0</v>
      </c>
      <c r="O3062" s="101">
        <f t="shared" si="700"/>
        <v>0</v>
      </c>
      <c r="P3062" s="52">
        <f t="shared" si="701"/>
        <v>0</v>
      </c>
      <c r="Q3062" s="49">
        <v>116.88487613461319</v>
      </c>
      <c r="R3062">
        <v>2225</v>
      </c>
      <c r="S3062" s="50">
        <f t="shared" si="697"/>
        <v>71535.307499999995</v>
      </c>
      <c r="T3062" s="50">
        <f t="shared" si="702"/>
        <v>0</v>
      </c>
      <c r="U3062" s="58">
        <f t="shared" si="703"/>
        <v>0</v>
      </c>
      <c r="V3062" s="58">
        <f t="shared" si="704"/>
        <v>0</v>
      </c>
      <c r="W3062" s="58">
        <f t="shared" si="705"/>
        <v>0</v>
      </c>
      <c r="X3062" s="58">
        <f t="shared" si="706"/>
        <v>0</v>
      </c>
      <c r="Y3062" s="52">
        <f t="shared" si="707"/>
        <v>0</v>
      </c>
    </row>
    <row r="3063" spans="1:25" x14ac:dyDescent="0.25">
      <c r="A3063" s="1218" t="s">
        <v>197</v>
      </c>
      <c r="B3063" s="98">
        <v>45992</v>
      </c>
      <c r="C3063" s="117" t="str">
        <f t="shared" si="710"/>
        <v>8L</v>
      </c>
      <c r="F3063" s="99">
        <f t="shared" si="709"/>
        <v>0</v>
      </c>
      <c r="I3063" s="99">
        <f t="shared" si="708"/>
        <v>0</v>
      </c>
      <c r="L3063" s="99">
        <f t="shared" si="696"/>
        <v>0</v>
      </c>
      <c r="M3063" s="44" t="str">
        <f t="shared" si="698"/>
        <v/>
      </c>
      <c r="N3063" s="100">
        <f t="shared" si="699"/>
        <v>0</v>
      </c>
      <c r="O3063" s="101">
        <f t="shared" si="700"/>
        <v>0</v>
      </c>
      <c r="P3063" s="52">
        <f t="shared" si="701"/>
        <v>0</v>
      </c>
      <c r="Q3063" s="49">
        <v>116.88487613461319</v>
      </c>
      <c r="R3063">
        <v>2225</v>
      </c>
      <c r="S3063" s="50">
        <f t="shared" si="697"/>
        <v>71535.307499999995</v>
      </c>
      <c r="T3063" s="50">
        <f t="shared" si="702"/>
        <v>0</v>
      </c>
      <c r="U3063" s="58">
        <f t="shared" si="703"/>
        <v>0</v>
      </c>
      <c r="V3063" s="58">
        <f t="shared" si="704"/>
        <v>0</v>
      </c>
      <c r="W3063" s="58">
        <f t="shared" si="705"/>
        <v>0</v>
      </c>
      <c r="X3063" s="58">
        <f t="shared" si="706"/>
        <v>0</v>
      </c>
      <c r="Y3063" s="52">
        <f t="shared" si="707"/>
        <v>0</v>
      </c>
    </row>
    <row r="3064" spans="1:25" x14ac:dyDescent="0.25">
      <c r="A3064" s="1218" t="s">
        <v>198</v>
      </c>
      <c r="B3064" s="98">
        <v>45992</v>
      </c>
      <c r="C3064" s="117" t="str">
        <f t="shared" si="710"/>
        <v>8L</v>
      </c>
      <c r="F3064" s="99">
        <f t="shared" si="709"/>
        <v>0</v>
      </c>
      <c r="I3064" s="99">
        <f t="shared" si="708"/>
        <v>0</v>
      </c>
      <c r="L3064" s="99">
        <f t="shared" si="696"/>
        <v>0</v>
      </c>
      <c r="M3064" s="44" t="str">
        <f t="shared" si="698"/>
        <v/>
      </c>
      <c r="N3064" s="100">
        <f t="shared" si="699"/>
        <v>0</v>
      </c>
      <c r="O3064" s="101">
        <f t="shared" si="700"/>
        <v>0</v>
      </c>
      <c r="P3064" s="52">
        <f t="shared" si="701"/>
        <v>0</v>
      </c>
      <c r="Q3064" s="49">
        <v>116.88487613461319</v>
      </c>
      <c r="R3064">
        <v>2225</v>
      </c>
      <c r="S3064" s="50">
        <f t="shared" si="697"/>
        <v>71535.307499999995</v>
      </c>
      <c r="T3064" s="50">
        <f t="shared" si="702"/>
        <v>0</v>
      </c>
      <c r="U3064" s="58">
        <f t="shared" si="703"/>
        <v>0</v>
      </c>
      <c r="V3064" s="58">
        <f t="shared" si="704"/>
        <v>0</v>
      </c>
      <c r="W3064" s="58">
        <f t="shared" si="705"/>
        <v>0</v>
      </c>
      <c r="X3064" s="58">
        <f t="shared" si="706"/>
        <v>0</v>
      </c>
      <c r="Y3064" s="52">
        <f t="shared" si="707"/>
        <v>0</v>
      </c>
    </row>
    <row r="3065" spans="1:25" x14ac:dyDescent="0.25">
      <c r="A3065" s="1218" t="s">
        <v>199</v>
      </c>
      <c r="B3065" s="98">
        <v>45992</v>
      </c>
      <c r="C3065" s="117" t="str">
        <f t="shared" si="710"/>
        <v>8L</v>
      </c>
      <c r="F3065" s="99">
        <f t="shared" si="709"/>
        <v>0</v>
      </c>
      <c r="I3065" s="99">
        <f t="shared" si="708"/>
        <v>0</v>
      </c>
      <c r="L3065" s="99">
        <f t="shared" si="696"/>
        <v>0</v>
      </c>
      <c r="M3065" s="44" t="str">
        <f t="shared" si="698"/>
        <v/>
      </c>
      <c r="N3065" s="100">
        <f t="shared" si="699"/>
        <v>0</v>
      </c>
      <c r="O3065" s="101">
        <f t="shared" si="700"/>
        <v>0</v>
      </c>
      <c r="P3065" s="52">
        <f t="shared" si="701"/>
        <v>0</v>
      </c>
      <c r="Q3065" s="49">
        <v>116.88487613461319</v>
      </c>
      <c r="R3065">
        <v>2225</v>
      </c>
      <c r="S3065" s="50">
        <f t="shared" si="697"/>
        <v>71535.307499999995</v>
      </c>
      <c r="T3065" s="50">
        <f t="shared" si="702"/>
        <v>0</v>
      </c>
      <c r="U3065" s="58">
        <f t="shared" si="703"/>
        <v>0</v>
      </c>
      <c r="V3065" s="58">
        <f t="shared" si="704"/>
        <v>0</v>
      </c>
      <c r="W3065" s="58">
        <f t="shared" si="705"/>
        <v>0</v>
      </c>
      <c r="X3065" s="58">
        <f t="shared" si="706"/>
        <v>0</v>
      </c>
      <c r="Y3065" s="52">
        <f t="shared" si="707"/>
        <v>0</v>
      </c>
    </row>
    <row r="3066" spans="1:25" x14ac:dyDescent="0.25">
      <c r="A3066" s="1218" t="s">
        <v>200</v>
      </c>
      <c r="B3066" s="98">
        <v>45992</v>
      </c>
      <c r="C3066" s="117" t="str">
        <f t="shared" si="710"/>
        <v>8L</v>
      </c>
      <c r="F3066" s="99">
        <f t="shared" si="709"/>
        <v>0</v>
      </c>
      <c r="I3066" s="99">
        <f t="shared" si="708"/>
        <v>0</v>
      </c>
      <c r="L3066" s="99">
        <f t="shared" ref="L3066:L3132" si="711">IFERROR(J3066*K3066/1000,"")</f>
        <v>0</v>
      </c>
      <c r="M3066" s="44" t="str">
        <f t="shared" si="698"/>
        <v/>
      </c>
      <c r="N3066" s="100">
        <f t="shared" si="699"/>
        <v>0</v>
      </c>
      <c r="O3066" s="101">
        <f t="shared" si="700"/>
        <v>0</v>
      </c>
      <c r="P3066" s="52">
        <f t="shared" si="701"/>
        <v>0</v>
      </c>
      <c r="Q3066" s="49">
        <v>116.88487613461319</v>
      </c>
      <c r="R3066">
        <v>2225</v>
      </c>
      <c r="S3066" s="50">
        <f t="shared" ref="S3066:S3132" si="712">R3066*32.1507</f>
        <v>71535.307499999995</v>
      </c>
      <c r="T3066" s="50">
        <f t="shared" si="702"/>
        <v>0</v>
      </c>
      <c r="U3066" s="58">
        <f t="shared" si="703"/>
        <v>0</v>
      </c>
      <c r="V3066" s="58">
        <f t="shared" si="704"/>
        <v>0</v>
      </c>
      <c r="W3066" s="58">
        <f t="shared" si="705"/>
        <v>0</v>
      </c>
      <c r="X3066" s="58">
        <f t="shared" si="706"/>
        <v>0</v>
      </c>
      <c r="Y3066" s="52">
        <f t="shared" si="707"/>
        <v>0</v>
      </c>
    </row>
    <row r="3067" spans="1:25" x14ac:dyDescent="0.25">
      <c r="A3067" s="1218" t="s">
        <v>201</v>
      </c>
      <c r="B3067" s="98">
        <v>45992</v>
      </c>
      <c r="C3067" s="117" t="str">
        <f t="shared" si="710"/>
        <v>8L</v>
      </c>
      <c r="F3067" s="99">
        <f t="shared" si="709"/>
        <v>0</v>
      </c>
      <c r="I3067" s="99">
        <f t="shared" si="708"/>
        <v>0</v>
      </c>
      <c r="L3067" s="99">
        <f t="shared" si="711"/>
        <v>0</v>
      </c>
      <c r="M3067" s="44" t="str">
        <f t="shared" si="698"/>
        <v/>
      </c>
      <c r="N3067" s="100">
        <f t="shared" si="699"/>
        <v>0</v>
      </c>
      <c r="O3067" s="101">
        <f t="shared" si="700"/>
        <v>0</v>
      </c>
      <c r="P3067" s="52">
        <f t="shared" si="701"/>
        <v>0</v>
      </c>
      <c r="Q3067" s="49">
        <v>116.88487613461319</v>
      </c>
      <c r="R3067">
        <v>2225</v>
      </c>
      <c r="S3067" s="50">
        <f t="shared" si="712"/>
        <v>71535.307499999995</v>
      </c>
      <c r="T3067" s="50">
        <f t="shared" si="702"/>
        <v>0</v>
      </c>
      <c r="U3067" s="58">
        <f t="shared" si="703"/>
        <v>0</v>
      </c>
      <c r="V3067" s="58">
        <f t="shared" si="704"/>
        <v>0</v>
      </c>
      <c r="W3067" s="58">
        <f t="shared" si="705"/>
        <v>0</v>
      </c>
      <c r="X3067" s="58">
        <f t="shared" si="706"/>
        <v>0</v>
      </c>
      <c r="Y3067" s="52">
        <f t="shared" si="707"/>
        <v>0</v>
      </c>
    </row>
    <row r="3068" spans="1:25" x14ac:dyDescent="0.25">
      <c r="A3068" s="1218" t="s">
        <v>202</v>
      </c>
      <c r="B3068" s="98">
        <v>45992</v>
      </c>
      <c r="C3068" s="117" t="str">
        <f t="shared" si="710"/>
        <v>8L</v>
      </c>
      <c r="F3068" s="99">
        <f t="shared" si="709"/>
        <v>0</v>
      </c>
      <c r="I3068" s="99">
        <f t="shared" si="708"/>
        <v>0</v>
      </c>
      <c r="L3068" s="99">
        <f t="shared" si="711"/>
        <v>0</v>
      </c>
      <c r="M3068" s="44" t="str">
        <f t="shared" ref="M3068:M3134" si="713">IFERROR((L3068-I3068)/I3068,"")</f>
        <v/>
      </c>
      <c r="N3068" s="100">
        <f t="shared" ref="N3068:N3134" si="714">J3068-G3068</f>
        <v>0</v>
      </c>
      <c r="O3068" s="101">
        <f t="shared" ref="O3068:O3134" si="715">L3068-I3068</f>
        <v>0</v>
      </c>
      <c r="P3068" s="52">
        <f t="shared" ref="P3068:P3134" si="716">U3068-W3068</f>
        <v>0</v>
      </c>
      <c r="Q3068" s="49">
        <v>116.88487613461319</v>
      </c>
      <c r="R3068">
        <v>2225</v>
      </c>
      <c r="S3068" s="50">
        <f t="shared" si="712"/>
        <v>71535.307499999995</v>
      </c>
      <c r="T3068" s="50">
        <f t="shared" ref="T3068:T3134" si="717">IFERROR(S3068*I3068,"")</f>
        <v>0</v>
      </c>
      <c r="U3068" s="58">
        <f t="shared" ref="U3068:U3134" si="718">IFERROR(S3068*L3068,"")</f>
        <v>0</v>
      </c>
      <c r="V3068" s="58">
        <f t="shared" ref="V3068:V3134" si="719">IFERROR(Q3068*G3068,"")</f>
        <v>0</v>
      </c>
      <c r="W3068" s="58">
        <f t="shared" ref="W3068:W3134" si="720">IFERROR(Q3068*J3068,"")</f>
        <v>0</v>
      </c>
      <c r="X3068" s="58">
        <f t="shared" ref="X3068:X3134" si="721">T3068-V3068</f>
        <v>0</v>
      </c>
      <c r="Y3068" s="52">
        <f t="shared" ref="Y3068:Y3134" si="722">U3068-W3068</f>
        <v>0</v>
      </c>
    </row>
    <row r="3069" spans="1:25" x14ac:dyDescent="0.25">
      <c r="A3069" s="1218" t="s">
        <v>203</v>
      </c>
      <c r="B3069" s="98">
        <v>45992</v>
      </c>
      <c r="C3069" s="117" t="str">
        <f t="shared" si="710"/>
        <v>8L</v>
      </c>
      <c r="F3069" s="99">
        <f t="shared" si="709"/>
        <v>0</v>
      </c>
      <c r="I3069" s="99">
        <f t="shared" si="708"/>
        <v>0</v>
      </c>
      <c r="L3069" s="99">
        <f t="shared" si="711"/>
        <v>0</v>
      </c>
      <c r="M3069" s="44" t="str">
        <f t="shared" si="713"/>
        <v/>
      </c>
      <c r="N3069" s="100">
        <f t="shared" si="714"/>
        <v>0</v>
      </c>
      <c r="O3069" s="101">
        <f t="shared" si="715"/>
        <v>0</v>
      </c>
      <c r="P3069" s="52">
        <f t="shared" si="716"/>
        <v>0</v>
      </c>
      <c r="Q3069" s="49">
        <v>116.88487613461319</v>
      </c>
      <c r="R3069">
        <v>2225</v>
      </c>
      <c r="S3069" s="50">
        <f t="shared" si="712"/>
        <v>71535.307499999995</v>
      </c>
      <c r="T3069" s="50">
        <f t="shared" si="717"/>
        <v>0</v>
      </c>
      <c r="U3069" s="58">
        <f t="shared" si="718"/>
        <v>0</v>
      </c>
      <c r="V3069" s="58">
        <f t="shared" si="719"/>
        <v>0</v>
      </c>
      <c r="W3069" s="58">
        <f t="shared" si="720"/>
        <v>0</v>
      </c>
      <c r="X3069" s="58">
        <f t="shared" si="721"/>
        <v>0</v>
      </c>
      <c r="Y3069" s="52">
        <f t="shared" si="722"/>
        <v>0</v>
      </c>
    </row>
    <row r="3070" spans="1:25" x14ac:dyDescent="0.25">
      <c r="A3070" s="1218" t="s">
        <v>204</v>
      </c>
      <c r="B3070" s="98">
        <v>45992</v>
      </c>
      <c r="C3070" s="117" t="str">
        <f t="shared" si="710"/>
        <v>8L</v>
      </c>
      <c r="F3070" s="99">
        <f t="shared" si="709"/>
        <v>0</v>
      </c>
      <c r="I3070" s="99">
        <f t="shared" si="708"/>
        <v>0</v>
      </c>
      <c r="L3070" s="99">
        <f t="shared" si="711"/>
        <v>0</v>
      </c>
      <c r="M3070" s="44" t="str">
        <f t="shared" si="713"/>
        <v/>
      </c>
      <c r="N3070" s="100">
        <f t="shared" si="714"/>
        <v>0</v>
      </c>
      <c r="O3070" s="101">
        <f t="shared" si="715"/>
        <v>0</v>
      </c>
      <c r="P3070" s="52">
        <f t="shared" si="716"/>
        <v>0</v>
      </c>
      <c r="Q3070" s="49">
        <v>116.88487613461319</v>
      </c>
      <c r="R3070">
        <v>2225</v>
      </c>
      <c r="S3070" s="50">
        <f t="shared" si="712"/>
        <v>71535.307499999995</v>
      </c>
      <c r="T3070" s="50">
        <f t="shared" si="717"/>
        <v>0</v>
      </c>
      <c r="U3070" s="58">
        <f t="shared" si="718"/>
        <v>0</v>
      </c>
      <c r="V3070" s="58">
        <f t="shared" si="719"/>
        <v>0</v>
      </c>
      <c r="W3070" s="58">
        <f t="shared" si="720"/>
        <v>0</v>
      </c>
      <c r="X3070" s="58">
        <f t="shared" si="721"/>
        <v>0</v>
      </c>
      <c r="Y3070" s="52">
        <f t="shared" si="722"/>
        <v>0</v>
      </c>
    </row>
    <row r="3071" spans="1:25" x14ac:dyDescent="0.25">
      <c r="A3071" s="1218" t="s">
        <v>205</v>
      </c>
      <c r="B3071" s="98">
        <v>45992</v>
      </c>
      <c r="C3071" s="117" t="str">
        <f t="shared" si="710"/>
        <v>8L</v>
      </c>
      <c r="F3071" s="99">
        <f t="shared" si="709"/>
        <v>0</v>
      </c>
      <c r="I3071" s="99">
        <f t="shared" si="708"/>
        <v>0</v>
      </c>
      <c r="L3071" s="99">
        <f t="shared" si="711"/>
        <v>0</v>
      </c>
      <c r="M3071" s="44" t="str">
        <f t="shared" si="713"/>
        <v/>
      </c>
      <c r="N3071" s="100">
        <f t="shared" si="714"/>
        <v>0</v>
      </c>
      <c r="O3071" s="101">
        <f t="shared" si="715"/>
        <v>0</v>
      </c>
      <c r="P3071" s="52">
        <f t="shared" si="716"/>
        <v>0</v>
      </c>
      <c r="Q3071" s="49">
        <v>116.88487613461319</v>
      </c>
      <c r="R3071">
        <v>2225</v>
      </c>
      <c r="S3071" s="50">
        <f t="shared" si="712"/>
        <v>71535.307499999995</v>
      </c>
      <c r="T3071" s="50">
        <f t="shared" si="717"/>
        <v>0</v>
      </c>
      <c r="U3071" s="58">
        <f t="shared" si="718"/>
        <v>0</v>
      </c>
      <c r="V3071" s="58">
        <f t="shared" si="719"/>
        <v>0</v>
      </c>
      <c r="W3071" s="58">
        <f t="shared" si="720"/>
        <v>0</v>
      </c>
      <c r="X3071" s="58">
        <f t="shared" si="721"/>
        <v>0</v>
      </c>
      <c r="Y3071" s="52">
        <f t="shared" si="722"/>
        <v>0</v>
      </c>
    </row>
    <row r="3072" spans="1:25" x14ac:dyDescent="0.25">
      <c r="A3072" s="1218" t="s">
        <v>206</v>
      </c>
      <c r="B3072" s="98">
        <v>45992</v>
      </c>
      <c r="C3072" s="117" t="str">
        <f t="shared" si="710"/>
        <v>8L</v>
      </c>
      <c r="F3072" s="99">
        <f t="shared" si="709"/>
        <v>0</v>
      </c>
      <c r="I3072" s="99">
        <f t="shared" si="708"/>
        <v>0</v>
      </c>
      <c r="L3072" s="99">
        <f t="shared" si="711"/>
        <v>0</v>
      </c>
      <c r="M3072" s="44" t="str">
        <f t="shared" si="713"/>
        <v/>
      </c>
      <c r="N3072" s="100">
        <f t="shared" si="714"/>
        <v>0</v>
      </c>
      <c r="O3072" s="101">
        <f t="shared" si="715"/>
        <v>0</v>
      </c>
      <c r="P3072" s="52">
        <f t="shared" si="716"/>
        <v>0</v>
      </c>
      <c r="Q3072" s="49">
        <v>116.88487613461319</v>
      </c>
      <c r="R3072">
        <v>2225</v>
      </c>
      <c r="S3072" s="50">
        <f t="shared" si="712"/>
        <v>71535.307499999995</v>
      </c>
      <c r="T3072" s="50">
        <f t="shared" si="717"/>
        <v>0</v>
      </c>
      <c r="U3072" s="58">
        <f t="shared" si="718"/>
        <v>0</v>
      </c>
      <c r="V3072" s="58">
        <f t="shared" si="719"/>
        <v>0</v>
      </c>
      <c r="W3072" s="58">
        <f t="shared" si="720"/>
        <v>0</v>
      </c>
      <c r="X3072" s="58">
        <f t="shared" si="721"/>
        <v>0</v>
      </c>
      <c r="Y3072" s="52">
        <f t="shared" si="722"/>
        <v>0</v>
      </c>
    </row>
    <row r="3073" spans="1:25" ht="15.75" thickBot="1" x14ac:dyDescent="0.3">
      <c r="A3073" s="1219" t="s">
        <v>207</v>
      </c>
      <c r="B3073" s="98">
        <v>45992</v>
      </c>
      <c r="C3073" s="117" t="str">
        <f t="shared" si="710"/>
        <v>8L</v>
      </c>
      <c r="F3073" s="99">
        <f t="shared" si="709"/>
        <v>0</v>
      </c>
      <c r="I3073" s="99">
        <f t="shared" si="708"/>
        <v>0</v>
      </c>
      <c r="L3073" s="99">
        <f t="shared" si="711"/>
        <v>0</v>
      </c>
      <c r="M3073" s="44" t="str">
        <f t="shared" si="713"/>
        <v/>
      </c>
      <c r="N3073" s="100">
        <f t="shared" si="714"/>
        <v>0</v>
      </c>
      <c r="O3073" s="101">
        <f t="shared" si="715"/>
        <v>0</v>
      </c>
      <c r="P3073" s="52">
        <f t="shared" si="716"/>
        <v>0</v>
      </c>
      <c r="Q3073" s="49">
        <v>116.88487613461319</v>
      </c>
      <c r="R3073">
        <v>2225</v>
      </c>
      <c r="S3073" s="50">
        <f t="shared" si="712"/>
        <v>71535.307499999995</v>
      </c>
      <c r="T3073" s="50">
        <f t="shared" si="717"/>
        <v>0</v>
      </c>
      <c r="U3073" s="58">
        <f t="shared" si="718"/>
        <v>0</v>
      </c>
      <c r="V3073" s="58">
        <f t="shared" si="719"/>
        <v>0</v>
      </c>
      <c r="W3073" s="58">
        <f t="shared" si="720"/>
        <v>0</v>
      </c>
      <c r="X3073" s="58">
        <f t="shared" si="721"/>
        <v>0</v>
      </c>
      <c r="Y3073" s="52">
        <f t="shared" si="722"/>
        <v>0</v>
      </c>
    </row>
    <row r="3074" spans="1:25" x14ac:dyDescent="0.25">
      <c r="A3074" s="97" t="s">
        <v>80</v>
      </c>
      <c r="B3074" s="98">
        <v>46023</v>
      </c>
      <c r="C3074" s="117" t="str">
        <f t="shared" si="710"/>
        <v>1L</v>
      </c>
      <c r="F3074" s="99">
        <f t="shared" si="709"/>
        <v>0</v>
      </c>
      <c r="I3074" s="99">
        <f t="shared" si="708"/>
        <v>0</v>
      </c>
      <c r="L3074" s="99">
        <f t="shared" si="711"/>
        <v>0</v>
      </c>
      <c r="M3074" s="44" t="str">
        <f t="shared" si="713"/>
        <v/>
      </c>
      <c r="N3074" s="100">
        <f t="shared" si="714"/>
        <v>0</v>
      </c>
      <c r="O3074" s="101">
        <f t="shared" si="715"/>
        <v>0</v>
      </c>
      <c r="P3074" s="52">
        <f t="shared" si="716"/>
        <v>0</v>
      </c>
      <c r="Q3074" s="49">
        <v>116.88487613461319</v>
      </c>
      <c r="R3074">
        <v>2225</v>
      </c>
      <c r="S3074" s="50">
        <f t="shared" si="712"/>
        <v>71535.307499999995</v>
      </c>
      <c r="T3074" s="50">
        <f t="shared" si="717"/>
        <v>0</v>
      </c>
      <c r="U3074" s="58">
        <f t="shared" si="718"/>
        <v>0</v>
      </c>
      <c r="V3074" s="58">
        <f t="shared" si="719"/>
        <v>0</v>
      </c>
      <c r="W3074" s="58">
        <f t="shared" si="720"/>
        <v>0</v>
      </c>
      <c r="X3074" s="58">
        <f t="shared" si="721"/>
        <v>0</v>
      </c>
      <c r="Y3074" s="52">
        <f t="shared" si="722"/>
        <v>0</v>
      </c>
    </row>
    <row r="3075" spans="1:25" x14ac:dyDescent="0.25">
      <c r="A3075" s="1218" t="s">
        <v>81</v>
      </c>
      <c r="B3075" s="98">
        <v>46023</v>
      </c>
      <c r="C3075" s="117" t="str">
        <f t="shared" si="710"/>
        <v>1L</v>
      </c>
      <c r="F3075" s="99">
        <f t="shared" si="709"/>
        <v>0</v>
      </c>
      <c r="I3075" s="99">
        <f t="shared" si="708"/>
        <v>0</v>
      </c>
      <c r="L3075" s="99">
        <f t="shared" si="711"/>
        <v>0</v>
      </c>
      <c r="M3075" s="44" t="str">
        <f t="shared" si="713"/>
        <v/>
      </c>
      <c r="N3075" s="100">
        <f t="shared" si="714"/>
        <v>0</v>
      </c>
      <c r="O3075" s="101">
        <f t="shared" si="715"/>
        <v>0</v>
      </c>
      <c r="P3075" s="52">
        <f t="shared" si="716"/>
        <v>0</v>
      </c>
      <c r="Q3075" s="49">
        <v>116.88487613461319</v>
      </c>
      <c r="R3075">
        <v>2225</v>
      </c>
      <c r="S3075" s="50">
        <f t="shared" si="712"/>
        <v>71535.307499999995</v>
      </c>
      <c r="T3075" s="50">
        <f t="shared" si="717"/>
        <v>0</v>
      </c>
      <c r="U3075" s="58">
        <f t="shared" si="718"/>
        <v>0</v>
      </c>
      <c r="V3075" s="58">
        <f t="shared" si="719"/>
        <v>0</v>
      </c>
      <c r="W3075" s="58">
        <f t="shared" si="720"/>
        <v>0</v>
      </c>
      <c r="X3075" s="58">
        <f t="shared" si="721"/>
        <v>0</v>
      </c>
      <c r="Y3075" s="52">
        <f t="shared" si="722"/>
        <v>0</v>
      </c>
    </row>
    <row r="3076" spans="1:25" x14ac:dyDescent="0.25">
      <c r="A3076" s="1218" t="s">
        <v>82</v>
      </c>
      <c r="B3076" s="98">
        <v>46023</v>
      </c>
      <c r="C3076" s="117" t="str">
        <f t="shared" si="710"/>
        <v>1L</v>
      </c>
      <c r="F3076" s="99">
        <f t="shared" si="709"/>
        <v>0</v>
      </c>
      <c r="I3076" s="99">
        <f t="shared" si="708"/>
        <v>0</v>
      </c>
      <c r="L3076" s="99">
        <f t="shared" si="711"/>
        <v>0</v>
      </c>
      <c r="M3076" s="44" t="str">
        <f t="shared" si="713"/>
        <v/>
      </c>
      <c r="N3076" s="100">
        <f t="shared" si="714"/>
        <v>0</v>
      </c>
      <c r="O3076" s="101">
        <f t="shared" si="715"/>
        <v>0</v>
      </c>
      <c r="P3076" s="52">
        <f t="shared" si="716"/>
        <v>0</v>
      </c>
      <c r="Q3076" s="49">
        <v>116.88487613461319</v>
      </c>
      <c r="R3076">
        <v>2225</v>
      </c>
      <c r="S3076" s="50">
        <f t="shared" si="712"/>
        <v>71535.307499999995</v>
      </c>
      <c r="T3076" s="50">
        <f t="shared" si="717"/>
        <v>0</v>
      </c>
      <c r="U3076" s="58">
        <f t="shared" si="718"/>
        <v>0</v>
      </c>
      <c r="V3076" s="58">
        <f t="shared" si="719"/>
        <v>0</v>
      </c>
      <c r="W3076" s="58">
        <f t="shared" si="720"/>
        <v>0</v>
      </c>
      <c r="X3076" s="58">
        <f t="shared" si="721"/>
        <v>0</v>
      </c>
      <c r="Y3076" s="52">
        <f t="shared" si="722"/>
        <v>0</v>
      </c>
    </row>
    <row r="3077" spans="1:25" x14ac:dyDescent="0.25">
      <c r="A3077" s="1218" t="s">
        <v>83</v>
      </c>
      <c r="B3077" s="98">
        <v>46023</v>
      </c>
      <c r="C3077" s="117" t="str">
        <f t="shared" si="710"/>
        <v>1L</v>
      </c>
      <c r="F3077" s="99">
        <f t="shared" si="709"/>
        <v>0</v>
      </c>
      <c r="I3077" s="99">
        <f t="shared" si="708"/>
        <v>0</v>
      </c>
      <c r="L3077" s="99">
        <f t="shared" si="711"/>
        <v>0</v>
      </c>
      <c r="M3077" s="44" t="str">
        <f t="shared" si="713"/>
        <v/>
      </c>
      <c r="N3077" s="100">
        <f t="shared" si="714"/>
        <v>0</v>
      </c>
      <c r="O3077" s="101">
        <f t="shared" si="715"/>
        <v>0</v>
      </c>
      <c r="P3077" s="52">
        <f t="shared" si="716"/>
        <v>0</v>
      </c>
      <c r="Q3077" s="49">
        <v>116.88487613461319</v>
      </c>
      <c r="R3077">
        <v>2225</v>
      </c>
      <c r="S3077" s="50">
        <f t="shared" si="712"/>
        <v>71535.307499999995</v>
      </c>
      <c r="T3077" s="50">
        <f t="shared" si="717"/>
        <v>0</v>
      </c>
      <c r="U3077" s="58">
        <f t="shared" si="718"/>
        <v>0</v>
      </c>
      <c r="V3077" s="58">
        <f t="shared" si="719"/>
        <v>0</v>
      </c>
      <c r="W3077" s="58">
        <f t="shared" si="720"/>
        <v>0</v>
      </c>
      <c r="X3077" s="58">
        <f t="shared" si="721"/>
        <v>0</v>
      </c>
      <c r="Y3077" s="52">
        <f t="shared" si="722"/>
        <v>0</v>
      </c>
    </row>
    <row r="3078" spans="1:25" x14ac:dyDescent="0.25">
      <c r="A3078" s="1218" t="s">
        <v>84</v>
      </c>
      <c r="B3078" s="98">
        <v>46023</v>
      </c>
      <c r="C3078" s="117" t="str">
        <f t="shared" si="710"/>
        <v>2L</v>
      </c>
      <c r="F3078" s="99">
        <f t="shared" si="709"/>
        <v>0</v>
      </c>
      <c r="I3078" s="99">
        <f t="shared" ref="I3078:I3142" si="723">IFERROR(G3078*H3078/1000,"")</f>
        <v>0</v>
      </c>
      <c r="L3078" s="99">
        <f t="shared" si="711"/>
        <v>0</v>
      </c>
      <c r="M3078" s="44" t="str">
        <f t="shared" si="713"/>
        <v/>
      </c>
      <c r="N3078" s="100">
        <f t="shared" si="714"/>
        <v>0</v>
      </c>
      <c r="O3078" s="101">
        <f t="shared" si="715"/>
        <v>0</v>
      </c>
      <c r="P3078" s="52">
        <f t="shared" si="716"/>
        <v>0</v>
      </c>
      <c r="Q3078" s="49">
        <v>116.88487613461319</v>
      </c>
      <c r="R3078">
        <v>2225</v>
      </c>
      <c r="S3078" s="50">
        <f t="shared" si="712"/>
        <v>71535.307499999995</v>
      </c>
      <c r="T3078" s="50">
        <f t="shared" si="717"/>
        <v>0</v>
      </c>
      <c r="U3078" s="58">
        <f t="shared" si="718"/>
        <v>0</v>
      </c>
      <c r="V3078" s="58">
        <f t="shared" si="719"/>
        <v>0</v>
      </c>
      <c r="W3078" s="58">
        <f t="shared" si="720"/>
        <v>0</v>
      </c>
      <c r="X3078" s="58">
        <f t="shared" si="721"/>
        <v>0</v>
      </c>
      <c r="Y3078" s="52">
        <f t="shared" si="722"/>
        <v>0</v>
      </c>
    </row>
    <row r="3079" spans="1:25" x14ac:dyDescent="0.25">
      <c r="A3079" s="1218" t="s">
        <v>85</v>
      </c>
      <c r="B3079" s="98">
        <v>46023</v>
      </c>
      <c r="C3079" s="117" t="str">
        <f t="shared" si="710"/>
        <v>2L</v>
      </c>
      <c r="F3079" s="99">
        <f t="shared" si="709"/>
        <v>0</v>
      </c>
      <c r="I3079" s="99">
        <f t="shared" si="723"/>
        <v>0</v>
      </c>
      <c r="L3079" s="99">
        <f t="shared" si="711"/>
        <v>0</v>
      </c>
      <c r="M3079" s="44" t="str">
        <f t="shared" si="713"/>
        <v/>
      </c>
      <c r="N3079" s="100">
        <f t="shared" si="714"/>
        <v>0</v>
      </c>
      <c r="O3079" s="101">
        <f t="shared" si="715"/>
        <v>0</v>
      </c>
      <c r="P3079" s="52">
        <f t="shared" si="716"/>
        <v>0</v>
      </c>
      <c r="Q3079" s="49">
        <v>116.88487613461319</v>
      </c>
      <c r="R3079">
        <v>2225</v>
      </c>
      <c r="S3079" s="50">
        <f t="shared" si="712"/>
        <v>71535.307499999995</v>
      </c>
      <c r="T3079" s="50">
        <f t="shared" si="717"/>
        <v>0</v>
      </c>
      <c r="U3079" s="58">
        <f t="shared" si="718"/>
        <v>0</v>
      </c>
      <c r="V3079" s="58">
        <f t="shared" si="719"/>
        <v>0</v>
      </c>
      <c r="W3079" s="58">
        <f t="shared" si="720"/>
        <v>0</v>
      </c>
      <c r="X3079" s="58">
        <f t="shared" si="721"/>
        <v>0</v>
      </c>
      <c r="Y3079" s="52">
        <f t="shared" si="722"/>
        <v>0</v>
      </c>
    </row>
    <row r="3080" spans="1:25" x14ac:dyDescent="0.25">
      <c r="A3080" s="1218" t="s">
        <v>86</v>
      </c>
      <c r="B3080" s="98">
        <v>46023</v>
      </c>
      <c r="C3080" s="117" t="str">
        <f t="shared" si="710"/>
        <v>2L</v>
      </c>
      <c r="F3080" s="99">
        <f t="shared" si="709"/>
        <v>0</v>
      </c>
      <c r="I3080" s="99">
        <f t="shared" si="723"/>
        <v>0</v>
      </c>
      <c r="L3080" s="99">
        <f t="shared" si="711"/>
        <v>0</v>
      </c>
      <c r="M3080" s="44" t="str">
        <f t="shared" si="713"/>
        <v/>
      </c>
      <c r="N3080" s="100">
        <f t="shared" si="714"/>
        <v>0</v>
      </c>
      <c r="O3080" s="101">
        <f t="shared" si="715"/>
        <v>0</v>
      </c>
      <c r="P3080" s="52">
        <f t="shared" si="716"/>
        <v>0</v>
      </c>
      <c r="Q3080" s="49">
        <v>116.88487613461319</v>
      </c>
      <c r="R3080">
        <v>2225</v>
      </c>
      <c r="S3080" s="50">
        <f t="shared" si="712"/>
        <v>71535.307499999995</v>
      </c>
      <c r="T3080" s="50">
        <f t="shared" si="717"/>
        <v>0</v>
      </c>
      <c r="U3080" s="58">
        <f t="shared" si="718"/>
        <v>0</v>
      </c>
      <c r="V3080" s="58">
        <f t="shared" si="719"/>
        <v>0</v>
      </c>
      <c r="W3080" s="58">
        <f t="shared" si="720"/>
        <v>0</v>
      </c>
      <c r="X3080" s="58">
        <f t="shared" si="721"/>
        <v>0</v>
      </c>
      <c r="Y3080" s="52">
        <f t="shared" si="722"/>
        <v>0</v>
      </c>
    </row>
    <row r="3081" spans="1:25" x14ac:dyDescent="0.25">
      <c r="A3081" s="1218" t="s">
        <v>87</v>
      </c>
      <c r="B3081" s="98">
        <v>46023</v>
      </c>
      <c r="C3081" s="117" t="str">
        <f t="shared" si="710"/>
        <v>3L</v>
      </c>
      <c r="F3081" s="99">
        <f t="shared" si="709"/>
        <v>0</v>
      </c>
      <c r="I3081" s="99">
        <f t="shared" si="723"/>
        <v>0</v>
      </c>
      <c r="L3081" s="99">
        <f t="shared" si="711"/>
        <v>0</v>
      </c>
      <c r="M3081" s="44" t="str">
        <f t="shared" si="713"/>
        <v/>
      </c>
      <c r="N3081" s="100">
        <f t="shared" si="714"/>
        <v>0</v>
      </c>
      <c r="O3081" s="101">
        <f t="shared" si="715"/>
        <v>0</v>
      </c>
      <c r="P3081" s="52">
        <f t="shared" si="716"/>
        <v>0</v>
      </c>
      <c r="Q3081" s="49">
        <v>116.88487613461319</v>
      </c>
      <c r="R3081">
        <v>2225</v>
      </c>
      <c r="S3081" s="50">
        <f t="shared" si="712"/>
        <v>71535.307499999995</v>
      </c>
      <c r="T3081" s="50">
        <f t="shared" si="717"/>
        <v>0</v>
      </c>
      <c r="U3081" s="58">
        <f t="shared" si="718"/>
        <v>0</v>
      </c>
      <c r="V3081" s="58">
        <f t="shared" si="719"/>
        <v>0</v>
      </c>
      <c r="W3081" s="58">
        <f t="shared" si="720"/>
        <v>0</v>
      </c>
      <c r="X3081" s="58">
        <f t="shared" si="721"/>
        <v>0</v>
      </c>
      <c r="Y3081" s="52">
        <f t="shared" si="722"/>
        <v>0</v>
      </c>
    </row>
    <row r="3082" spans="1:25" x14ac:dyDescent="0.25">
      <c r="A3082" s="1218" t="s">
        <v>88</v>
      </c>
      <c r="B3082" s="98">
        <v>46023</v>
      </c>
      <c r="C3082" s="117" t="str">
        <f t="shared" si="710"/>
        <v>3L</v>
      </c>
      <c r="F3082" s="99">
        <f t="shared" si="709"/>
        <v>0</v>
      </c>
      <c r="I3082" s="99">
        <f t="shared" si="723"/>
        <v>0</v>
      </c>
      <c r="L3082" s="99">
        <f t="shared" si="711"/>
        <v>0</v>
      </c>
      <c r="M3082" s="44" t="str">
        <f t="shared" si="713"/>
        <v/>
      </c>
      <c r="N3082" s="100">
        <f t="shared" si="714"/>
        <v>0</v>
      </c>
      <c r="O3082" s="101">
        <f t="shared" si="715"/>
        <v>0</v>
      </c>
      <c r="P3082" s="52">
        <f t="shared" si="716"/>
        <v>0</v>
      </c>
      <c r="Q3082" s="49">
        <v>116.88487613461319</v>
      </c>
      <c r="R3082">
        <v>2225</v>
      </c>
      <c r="S3082" s="50">
        <f t="shared" si="712"/>
        <v>71535.307499999995</v>
      </c>
      <c r="T3082" s="50">
        <f t="shared" si="717"/>
        <v>0</v>
      </c>
      <c r="U3082" s="58">
        <f t="shared" si="718"/>
        <v>0</v>
      </c>
      <c r="V3082" s="58">
        <f t="shared" si="719"/>
        <v>0</v>
      </c>
      <c r="W3082" s="58">
        <f t="shared" si="720"/>
        <v>0</v>
      </c>
      <c r="X3082" s="58">
        <f t="shared" si="721"/>
        <v>0</v>
      </c>
      <c r="Y3082" s="52">
        <f t="shared" si="722"/>
        <v>0</v>
      </c>
    </row>
    <row r="3083" spans="1:25" x14ac:dyDescent="0.25">
      <c r="A3083" s="1218" t="s">
        <v>89</v>
      </c>
      <c r="B3083" s="98">
        <v>46023</v>
      </c>
      <c r="C3083" s="117" t="str">
        <f t="shared" si="710"/>
        <v>3L</v>
      </c>
      <c r="F3083" s="99">
        <f t="shared" si="709"/>
        <v>0</v>
      </c>
      <c r="I3083" s="99">
        <f t="shared" si="723"/>
        <v>0</v>
      </c>
      <c r="L3083" s="99">
        <f t="shared" si="711"/>
        <v>0</v>
      </c>
      <c r="M3083" s="44" t="str">
        <f t="shared" si="713"/>
        <v/>
      </c>
      <c r="N3083" s="100">
        <f t="shared" si="714"/>
        <v>0</v>
      </c>
      <c r="O3083" s="101">
        <f t="shared" si="715"/>
        <v>0</v>
      </c>
      <c r="P3083" s="52">
        <f t="shared" si="716"/>
        <v>0</v>
      </c>
      <c r="Q3083" s="49">
        <v>116.88487613461319</v>
      </c>
      <c r="R3083">
        <v>2225</v>
      </c>
      <c r="S3083" s="50">
        <f t="shared" si="712"/>
        <v>71535.307499999995</v>
      </c>
      <c r="T3083" s="50">
        <f t="shared" si="717"/>
        <v>0</v>
      </c>
      <c r="U3083" s="58">
        <f t="shared" si="718"/>
        <v>0</v>
      </c>
      <c r="V3083" s="58">
        <f t="shared" si="719"/>
        <v>0</v>
      </c>
      <c r="W3083" s="58">
        <f t="shared" si="720"/>
        <v>0</v>
      </c>
      <c r="X3083" s="58">
        <f t="shared" si="721"/>
        <v>0</v>
      </c>
      <c r="Y3083" s="52">
        <f t="shared" si="722"/>
        <v>0</v>
      </c>
    </row>
    <row r="3084" spans="1:25" x14ac:dyDescent="0.25">
      <c r="A3084" s="1218" t="s">
        <v>90</v>
      </c>
      <c r="B3084" s="98">
        <v>46023</v>
      </c>
      <c r="C3084" s="117" t="str">
        <f t="shared" si="710"/>
        <v>3L</v>
      </c>
      <c r="F3084" s="99">
        <f t="shared" si="709"/>
        <v>0</v>
      </c>
      <c r="I3084" s="99">
        <f t="shared" si="723"/>
        <v>0</v>
      </c>
      <c r="L3084" s="99">
        <f t="shared" si="711"/>
        <v>0</v>
      </c>
      <c r="M3084" s="44" t="str">
        <f t="shared" si="713"/>
        <v/>
      </c>
      <c r="N3084" s="100">
        <f t="shared" si="714"/>
        <v>0</v>
      </c>
      <c r="O3084" s="101">
        <f t="shared" si="715"/>
        <v>0</v>
      </c>
      <c r="P3084" s="52">
        <f t="shared" si="716"/>
        <v>0</v>
      </c>
      <c r="Q3084" s="49">
        <v>116.88487613461319</v>
      </c>
      <c r="R3084">
        <v>2225</v>
      </c>
      <c r="S3084" s="50">
        <f t="shared" si="712"/>
        <v>71535.307499999995</v>
      </c>
      <c r="T3084" s="50">
        <f t="shared" si="717"/>
        <v>0</v>
      </c>
      <c r="U3084" s="58">
        <f t="shared" si="718"/>
        <v>0</v>
      </c>
      <c r="V3084" s="58">
        <f t="shared" si="719"/>
        <v>0</v>
      </c>
      <c r="W3084" s="58">
        <f t="shared" si="720"/>
        <v>0</v>
      </c>
      <c r="X3084" s="58">
        <f t="shared" si="721"/>
        <v>0</v>
      </c>
      <c r="Y3084" s="52">
        <f t="shared" si="722"/>
        <v>0</v>
      </c>
    </row>
    <row r="3085" spans="1:25" x14ac:dyDescent="0.25">
      <c r="A3085" s="1218" t="s">
        <v>91</v>
      </c>
      <c r="B3085" s="98">
        <v>46023</v>
      </c>
      <c r="C3085" s="117" t="str">
        <f t="shared" si="710"/>
        <v>3L</v>
      </c>
      <c r="F3085" s="99">
        <f t="shared" si="709"/>
        <v>0</v>
      </c>
      <c r="I3085" s="99">
        <f t="shared" si="723"/>
        <v>0</v>
      </c>
      <c r="L3085" s="99">
        <f t="shared" si="711"/>
        <v>0</v>
      </c>
      <c r="M3085" s="44" t="str">
        <f t="shared" si="713"/>
        <v/>
      </c>
      <c r="N3085" s="100">
        <f t="shared" si="714"/>
        <v>0</v>
      </c>
      <c r="O3085" s="101">
        <f t="shared" si="715"/>
        <v>0</v>
      </c>
      <c r="P3085" s="52">
        <f t="shared" si="716"/>
        <v>0</v>
      </c>
      <c r="Q3085" s="49">
        <v>116.88487613461319</v>
      </c>
      <c r="R3085">
        <v>2225</v>
      </c>
      <c r="S3085" s="50">
        <f t="shared" si="712"/>
        <v>71535.307499999995</v>
      </c>
      <c r="T3085" s="50">
        <f t="shared" si="717"/>
        <v>0</v>
      </c>
      <c r="U3085" s="58">
        <f t="shared" si="718"/>
        <v>0</v>
      </c>
      <c r="V3085" s="58">
        <f t="shared" si="719"/>
        <v>0</v>
      </c>
      <c r="W3085" s="58">
        <f t="shared" si="720"/>
        <v>0</v>
      </c>
      <c r="X3085" s="58">
        <f t="shared" si="721"/>
        <v>0</v>
      </c>
      <c r="Y3085" s="52">
        <f t="shared" si="722"/>
        <v>0</v>
      </c>
    </row>
    <row r="3086" spans="1:25" x14ac:dyDescent="0.25">
      <c r="A3086" s="1218" t="s">
        <v>92</v>
      </c>
      <c r="B3086" s="98">
        <v>46023</v>
      </c>
      <c r="C3086" s="117" t="str">
        <f t="shared" si="710"/>
        <v>3L</v>
      </c>
      <c r="F3086" s="99">
        <f t="shared" si="709"/>
        <v>0</v>
      </c>
      <c r="I3086" s="99">
        <f t="shared" si="723"/>
        <v>0</v>
      </c>
      <c r="L3086" s="99">
        <f t="shared" si="711"/>
        <v>0</v>
      </c>
      <c r="M3086" s="44" t="str">
        <f t="shared" si="713"/>
        <v/>
      </c>
      <c r="N3086" s="100">
        <f t="shared" si="714"/>
        <v>0</v>
      </c>
      <c r="O3086" s="101">
        <f t="shared" si="715"/>
        <v>0</v>
      </c>
      <c r="P3086" s="52">
        <f t="shared" si="716"/>
        <v>0</v>
      </c>
      <c r="Q3086" s="49">
        <v>116.88487613461319</v>
      </c>
      <c r="R3086">
        <v>2225</v>
      </c>
      <c r="S3086" s="50">
        <f t="shared" si="712"/>
        <v>71535.307499999995</v>
      </c>
      <c r="T3086" s="50">
        <f t="shared" si="717"/>
        <v>0</v>
      </c>
      <c r="U3086" s="58">
        <f t="shared" si="718"/>
        <v>0</v>
      </c>
      <c r="V3086" s="58">
        <f t="shared" si="719"/>
        <v>0</v>
      </c>
      <c r="W3086" s="58">
        <f t="shared" si="720"/>
        <v>0</v>
      </c>
      <c r="X3086" s="58">
        <f t="shared" si="721"/>
        <v>0</v>
      </c>
      <c r="Y3086" s="52">
        <f t="shared" si="722"/>
        <v>0</v>
      </c>
    </row>
    <row r="3087" spans="1:25" x14ac:dyDescent="0.25">
      <c r="A3087" s="1218" t="s">
        <v>93</v>
      </c>
      <c r="B3087" s="98">
        <v>46023</v>
      </c>
      <c r="C3087" s="117" t="str">
        <f t="shared" si="710"/>
        <v>3L</v>
      </c>
      <c r="F3087" s="99">
        <f t="shared" si="709"/>
        <v>0</v>
      </c>
      <c r="I3087" s="99">
        <f t="shared" si="723"/>
        <v>0</v>
      </c>
      <c r="L3087" s="99">
        <f t="shared" si="711"/>
        <v>0</v>
      </c>
      <c r="M3087" s="44" t="str">
        <f t="shared" si="713"/>
        <v/>
      </c>
      <c r="N3087" s="100">
        <f t="shared" si="714"/>
        <v>0</v>
      </c>
      <c r="O3087" s="101">
        <f t="shared" si="715"/>
        <v>0</v>
      </c>
      <c r="P3087" s="52">
        <f t="shared" si="716"/>
        <v>0</v>
      </c>
      <c r="Q3087" s="49">
        <v>116.88487613461319</v>
      </c>
      <c r="R3087">
        <v>2225</v>
      </c>
      <c r="S3087" s="50">
        <f t="shared" si="712"/>
        <v>71535.307499999995</v>
      </c>
      <c r="T3087" s="50">
        <f t="shared" si="717"/>
        <v>0</v>
      </c>
      <c r="U3087" s="58">
        <f t="shared" si="718"/>
        <v>0</v>
      </c>
      <c r="V3087" s="58">
        <f t="shared" si="719"/>
        <v>0</v>
      </c>
      <c r="W3087" s="58">
        <f t="shared" si="720"/>
        <v>0</v>
      </c>
      <c r="X3087" s="58">
        <f t="shared" si="721"/>
        <v>0</v>
      </c>
      <c r="Y3087" s="52">
        <f t="shared" si="722"/>
        <v>0</v>
      </c>
    </row>
    <row r="3088" spans="1:25" x14ac:dyDescent="0.25">
      <c r="A3088" s="1218" t="s">
        <v>94</v>
      </c>
      <c r="B3088" s="98">
        <v>46023</v>
      </c>
      <c r="C3088" s="117" t="str">
        <f t="shared" si="710"/>
        <v>3L</v>
      </c>
      <c r="F3088" s="99">
        <f t="shared" ref="F3088:F3152" si="724">IFERROR(D3088*E3088/1000,"")</f>
        <v>0</v>
      </c>
      <c r="I3088" s="99">
        <f t="shared" si="723"/>
        <v>0</v>
      </c>
      <c r="L3088" s="99">
        <f t="shared" si="711"/>
        <v>0</v>
      </c>
      <c r="M3088" s="44" t="str">
        <f t="shared" si="713"/>
        <v/>
      </c>
      <c r="N3088" s="100">
        <f t="shared" si="714"/>
        <v>0</v>
      </c>
      <c r="O3088" s="101">
        <f t="shared" si="715"/>
        <v>0</v>
      </c>
      <c r="P3088" s="52">
        <f t="shared" si="716"/>
        <v>0</v>
      </c>
      <c r="Q3088" s="49">
        <v>116.88487613461319</v>
      </c>
      <c r="R3088">
        <v>2225</v>
      </c>
      <c r="S3088" s="50">
        <f t="shared" si="712"/>
        <v>71535.307499999995</v>
      </c>
      <c r="T3088" s="50">
        <f t="shared" si="717"/>
        <v>0</v>
      </c>
      <c r="U3088" s="58">
        <f t="shared" si="718"/>
        <v>0</v>
      </c>
      <c r="V3088" s="58">
        <f t="shared" si="719"/>
        <v>0</v>
      </c>
      <c r="W3088" s="58">
        <f t="shared" si="720"/>
        <v>0</v>
      </c>
      <c r="X3088" s="58">
        <f t="shared" si="721"/>
        <v>0</v>
      </c>
      <c r="Y3088" s="52">
        <f t="shared" si="722"/>
        <v>0</v>
      </c>
    </row>
    <row r="3089" spans="1:25" x14ac:dyDescent="0.25">
      <c r="A3089" s="1218" t="s">
        <v>95</v>
      </c>
      <c r="B3089" s="98">
        <v>46023</v>
      </c>
      <c r="C3089" s="117" t="str">
        <f t="shared" si="710"/>
        <v>3L</v>
      </c>
      <c r="F3089" s="99">
        <f t="shared" si="724"/>
        <v>0</v>
      </c>
      <c r="I3089" s="99">
        <f t="shared" si="723"/>
        <v>0</v>
      </c>
      <c r="L3089" s="99">
        <f t="shared" si="711"/>
        <v>0</v>
      </c>
      <c r="M3089" s="44" t="str">
        <f t="shared" si="713"/>
        <v/>
      </c>
      <c r="N3089" s="100">
        <f t="shared" si="714"/>
        <v>0</v>
      </c>
      <c r="O3089" s="101">
        <f t="shared" si="715"/>
        <v>0</v>
      </c>
      <c r="P3089" s="52">
        <f t="shared" si="716"/>
        <v>0</v>
      </c>
      <c r="Q3089" s="49">
        <v>116.88487613461319</v>
      </c>
      <c r="R3089">
        <v>2225</v>
      </c>
      <c r="S3089" s="50">
        <f t="shared" si="712"/>
        <v>71535.307499999995</v>
      </c>
      <c r="T3089" s="50">
        <f t="shared" si="717"/>
        <v>0</v>
      </c>
      <c r="U3089" s="58">
        <f t="shared" si="718"/>
        <v>0</v>
      </c>
      <c r="V3089" s="58">
        <f t="shared" si="719"/>
        <v>0</v>
      </c>
      <c r="W3089" s="58">
        <f t="shared" si="720"/>
        <v>0</v>
      </c>
      <c r="X3089" s="58">
        <f t="shared" si="721"/>
        <v>0</v>
      </c>
      <c r="Y3089" s="52">
        <f t="shared" si="722"/>
        <v>0</v>
      </c>
    </row>
    <row r="3090" spans="1:25" x14ac:dyDescent="0.25">
      <c r="A3090" s="1218" t="s">
        <v>96</v>
      </c>
      <c r="B3090" s="98">
        <v>46023</v>
      </c>
      <c r="C3090" s="117" t="str">
        <f t="shared" si="710"/>
        <v>3L</v>
      </c>
      <c r="F3090" s="99">
        <f t="shared" si="724"/>
        <v>0</v>
      </c>
      <c r="I3090" s="99">
        <f t="shared" si="723"/>
        <v>0</v>
      </c>
      <c r="L3090" s="99">
        <f t="shared" si="711"/>
        <v>0</v>
      </c>
      <c r="M3090" s="44" t="str">
        <f t="shared" si="713"/>
        <v/>
      </c>
      <c r="N3090" s="100">
        <f t="shared" si="714"/>
        <v>0</v>
      </c>
      <c r="O3090" s="101">
        <f t="shared" si="715"/>
        <v>0</v>
      </c>
      <c r="P3090" s="52">
        <f t="shared" si="716"/>
        <v>0</v>
      </c>
      <c r="Q3090" s="49">
        <v>116.88487613461319</v>
      </c>
      <c r="R3090">
        <v>2225</v>
      </c>
      <c r="S3090" s="50">
        <f t="shared" si="712"/>
        <v>71535.307499999995</v>
      </c>
      <c r="T3090" s="50">
        <f t="shared" si="717"/>
        <v>0</v>
      </c>
      <c r="U3090" s="58">
        <f t="shared" si="718"/>
        <v>0</v>
      </c>
      <c r="V3090" s="58">
        <f t="shared" si="719"/>
        <v>0</v>
      </c>
      <c r="W3090" s="58">
        <f t="shared" si="720"/>
        <v>0</v>
      </c>
      <c r="X3090" s="58">
        <f t="shared" si="721"/>
        <v>0</v>
      </c>
      <c r="Y3090" s="52">
        <f t="shared" si="722"/>
        <v>0</v>
      </c>
    </row>
    <row r="3091" spans="1:25" x14ac:dyDescent="0.25">
      <c r="A3091" s="1218" t="s">
        <v>97</v>
      </c>
      <c r="B3091" s="98">
        <v>46023</v>
      </c>
      <c r="C3091" s="117" t="str">
        <f t="shared" si="710"/>
        <v>4L</v>
      </c>
      <c r="F3091" s="99">
        <f t="shared" si="724"/>
        <v>0</v>
      </c>
      <c r="I3091" s="99">
        <f t="shared" si="723"/>
        <v>0</v>
      </c>
      <c r="L3091" s="99">
        <f t="shared" si="711"/>
        <v>0</v>
      </c>
      <c r="M3091" s="44" t="str">
        <f t="shared" si="713"/>
        <v/>
      </c>
      <c r="N3091" s="100">
        <f t="shared" si="714"/>
        <v>0</v>
      </c>
      <c r="O3091" s="101">
        <f t="shared" si="715"/>
        <v>0</v>
      </c>
      <c r="P3091" s="52">
        <f t="shared" si="716"/>
        <v>0</v>
      </c>
      <c r="Q3091" s="49">
        <v>116.88487613461319</v>
      </c>
      <c r="R3091">
        <v>2225</v>
      </c>
      <c r="S3091" s="50">
        <f t="shared" si="712"/>
        <v>71535.307499999995</v>
      </c>
      <c r="T3091" s="50">
        <f t="shared" si="717"/>
        <v>0</v>
      </c>
      <c r="U3091" s="58">
        <f t="shared" si="718"/>
        <v>0</v>
      </c>
      <c r="V3091" s="58">
        <f t="shared" si="719"/>
        <v>0</v>
      </c>
      <c r="W3091" s="58">
        <f t="shared" si="720"/>
        <v>0</v>
      </c>
      <c r="X3091" s="58">
        <f t="shared" si="721"/>
        <v>0</v>
      </c>
      <c r="Y3091" s="52">
        <f t="shared" si="722"/>
        <v>0</v>
      </c>
    </row>
    <row r="3092" spans="1:25" x14ac:dyDescent="0.25">
      <c r="A3092" s="1218" t="s">
        <v>98</v>
      </c>
      <c r="B3092" s="98">
        <v>46023</v>
      </c>
      <c r="C3092" s="117" t="str">
        <f t="shared" si="710"/>
        <v>4L</v>
      </c>
      <c r="F3092" s="99">
        <f t="shared" si="724"/>
        <v>0</v>
      </c>
      <c r="I3092" s="99">
        <f t="shared" si="723"/>
        <v>0</v>
      </c>
      <c r="L3092" s="99">
        <f t="shared" si="711"/>
        <v>0</v>
      </c>
      <c r="M3092" s="44" t="str">
        <f t="shared" si="713"/>
        <v/>
      </c>
      <c r="N3092" s="100">
        <f t="shared" si="714"/>
        <v>0</v>
      </c>
      <c r="O3092" s="101">
        <f t="shared" si="715"/>
        <v>0</v>
      </c>
      <c r="P3092" s="52">
        <f t="shared" si="716"/>
        <v>0</v>
      </c>
      <c r="Q3092" s="49">
        <v>116.88487613461319</v>
      </c>
      <c r="R3092">
        <v>2225</v>
      </c>
      <c r="S3092" s="50">
        <f t="shared" si="712"/>
        <v>71535.307499999995</v>
      </c>
      <c r="T3092" s="50">
        <f t="shared" si="717"/>
        <v>0</v>
      </c>
      <c r="U3092" s="58">
        <f t="shared" si="718"/>
        <v>0</v>
      </c>
      <c r="V3092" s="58">
        <f t="shared" si="719"/>
        <v>0</v>
      </c>
      <c r="W3092" s="58">
        <f t="shared" si="720"/>
        <v>0</v>
      </c>
      <c r="X3092" s="58">
        <f t="shared" si="721"/>
        <v>0</v>
      </c>
      <c r="Y3092" s="52">
        <f t="shared" si="722"/>
        <v>0</v>
      </c>
    </row>
    <row r="3093" spans="1:25" x14ac:dyDescent="0.25">
      <c r="A3093" s="1218" t="s">
        <v>99</v>
      </c>
      <c r="B3093" s="98">
        <v>46023</v>
      </c>
      <c r="C3093" s="117" t="str">
        <f t="shared" si="710"/>
        <v>4L</v>
      </c>
      <c r="F3093" s="99">
        <f t="shared" si="724"/>
        <v>0</v>
      </c>
      <c r="I3093" s="99">
        <f t="shared" si="723"/>
        <v>0</v>
      </c>
      <c r="L3093" s="99">
        <f t="shared" si="711"/>
        <v>0</v>
      </c>
      <c r="M3093" s="44" t="str">
        <f t="shared" si="713"/>
        <v/>
      </c>
      <c r="N3093" s="100">
        <f t="shared" si="714"/>
        <v>0</v>
      </c>
      <c r="O3093" s="101">
        <f t="shared" si="715"/>
        <v>0</v>
      </c>
      <c r="P3093" s="52">
        <f t="shared" si="716"/>
        <v>0</v>
      </c>
      <c r="Q3093" s="49">
        <v>116.88487613461319</v>
      </c>
      <c r="R3093">
        <v>2225</v>
      </c>
      <c r="S3093" s="50">
        <f t="shared" si="712"/>
        <v>71535.307499999995</v>
      </c>
      <c r="T3093" s="50">
        <f t="shared" si="717"/>
        <v>0</v>
      </c>
      <c r="U3093" s="58">
        <f t="shared" si="718"/>
        <v>0</v>
      </c>
      <c r="V3093" s="58">
        <f t="shared" si="719"/>
        <v>0</v>
      </c>
      <c r="W3093" s="58">
        <f t="shared" si="720"/>
        <v>0</v>
      </c>
      <c r="X3093" s="58">
        <f t="shared" si="721"/>
        <v>0</v>
      </c>
      <c r="Y3093" s="52">
        <f t="shared" si="722"/>
        <v>0</v>
      </c>
    </row>
    <row r="3094" spans="1:25" x14ac:dyDescent="0.25">
      <c r="A3094" s="1218" t="s">
        <v>100</v>
      </c>
      <c r="B3094" s="98">
        <v>46023</v>
      </c>
      <c r="C3094" s="117" t="str">
        <f t="shared" si="710"/>
        <v>4L</v>
      </c>
      <c r="F3094" s="99">
        <f t="shared" si="724"/>
        <v>0</v>
      </c>
      <c r="I3094" s="99">
        <f t="shared" si="723"/>
        <v>0</v>
      </c>
      <c r="L3094" s="99">
        <f t="shared" si="711"/>
        <v>0</v>
      </c>
      <c r="M3094" s="44" t="str">
        <f t="shared" si="713"/>
        <v/>
      </c>
      <c r="N3094" s="100">
        <f t="shared" si="714"/>
        <v>0</v>
      </c>
      <c r="O3094" s="101">
        <f t="shared" si="715"/>
        <v>0</v>
      </c>
      <c r="P3094" s="52">
        <f t="shared" si="716"/>
        <v>0</v>
      </c>
      <c r="Q3094" s="49">
        <v>116.88487613461319</v>
      </c>
      <c r="R3094">
        <v>2225</v>
      </c>
      <c r="S3094" s="50">
        <f t="shared" si="712"/>
        <v>71535.307499999995</v>
      </c>
      <c r="T3094" s="50">
        <f t="shared" si="717"/>
        <v>0</v>
      </c>
      <c r="U3094" s="58">
        <f t="shared" si="718"/>
        <v>0</v>
      </c>
      <c r="V3094" s="58">
        <f t="shared" si="719"/>
        <v>0</v>
      </c>
      <c r="W3094" s="58">
        <f t="shared" si="720"/>
        <v>0</v>
      </c>
      <c r="X3094" s="58">
        <f t="shared" si="721"/>
        <v>0</v>
      </c>
      <c r="Y3094" s="52">
        <f t="shared" si="722"/>
        <v>0</v>
      </c>
    </row>
    <row r="3095" spans="1:25" x14ac:dyDescent="0.25">
      <c r="A3095" s="1218" t="s">
        <v>101</v>
      </c>
      <c r="B3095" s="98">
        <v>46023</v>
      </c>
      <c r="C3095" s="117" t="str">
        <f t="shared" si="710"/>
        <v>4L</v>
      </c>
      <c r="F3095" s="99">
        <f t="shared" si="724"/>
        <v>0</v>
      </c>
      <c r="I3095" s="99">
        <f t="shared" si="723"/>
        <v>0</v>
      </c>
      <c r="L3095" s="99">
        <f t="shared" si="711"/>
        <v>0</v>
      </c>
      <c r="M3095" s="44" t="str">
        <f t="shared" si="713"/>
        <v/>
      </c>
      <c r="N3095" s="100">
        <f t="shared" si="714"/>
        <v>0</v>
      </c>
      <c r="O3095" s="101">
        <f t="shared" si="715"/>
        <v>0</v>
      </c>
      <c r="P3095" s="52">
        <f t="shared" si="716"/>
        <v>0</v>
      </c>
      <c r="Q3095" s="49">
        <v>116.88487613461319</v>
      </c>
      <c r="R3095">
        <v>2225</v>
      </c>
      <c r="S3095" s="50">
        <f t="shared" si="712"/>
        <v>71535.307499999995</v>
      </c>
      <c r="T3095" s="50">
        <f t="shared" si="717"/>
        <v>0</v>
      </c>
      <c r="U3095" s="58">
        <f t="shared" si="718"/>
        <v>0</v>
      </c>
      <c r="V3095" s="58">
        <f t="shared" si="719"/>
        <v>0</v>
      </c>
      <c r="W3095" s="58">
        <f t="shared" si="720"/>
        <v>0</v>
      </c>
      <c r="X3095" s="58">
        <f t="shared" si="721"/>
        <v>0</v>
      </c>
      <c r="Y3095" s="52">
        <f t="shared" si="722"/>
        <v>0</v>
      </c>
    </row>
    <row r="3096" spans="1:25" x14ac:dyDescent="0.25">
      <c r="A3096" s="1218" t="s">
        <v>102</v>
      </c>
      <c r="B3096" s="98">
        <v>46023</v>
      </c>
      <c r="C3096" s="117" t="str">
        <f t="shared" si="710"/>
        <v>4L</v>
      </c>
      <c r="F3096" s="99">
        <f t="shared" si="724"/>
        <v>0</v>
      </c>
      <c r="I3096" s="99">
        <f t="shared" si="723"/>
        <v>0</v>
      </c>
      <c r="L3096" s="99">
        <f t="shared" si="711"/>
        <v>0</v>
      </c>
      <c r="M3096" s="44" t="str">
        <f t="shared" si="713"/>
        <v/>
      </c>
      <c r="N3096" s="100">
        <f t="shared" si="714"/>
        <v>0</v>
      </c>
      <c r="O3096" s="101">
        <f t="shared" si="715"/>
        <v>0</v>
      </c>
      <c r="P3096" s="52">
        <f t="shared" si="716"/>
        <v>0</v>
      </c>
      <c r="Q3096" s="49">
        <v>116.88487613461319</v>
      </c>
      <c r="R3096">
        <v>2225</v>
      </c>
      <c r="S3096" s="50">
        <f t="shared" si="712"/>
        <v>71535.307499999995</v>
      </c>
      <c r="T3096" s="50">
        <f t="shared" si="717"/>
        <v>0</v>
      </c>
      <c r="U3096" s="58">
        <f t="shared" si="718"/>
        <v>0</v>
      </c>
      <c r="V3096" s="58">
        <f t="shared" si="719"/>
        <v>0</v>
      </c>
      <c r="W3096" s="58">
        <f t="shared" si="720"/>
        <v>0</v>
      </c>
      <c r="X3096" s="58">
        <f t="shared" si="721"/>
        <v>0</v>
      </c>
      <c r="Y3096" s="52">
        <f t="shared" si="722"/>
        <v>0</v>
      </c>
    </row>
    <row r="3097" spans="1:25" x14ac:dyDescent="0.25">
      <c r="A3097" s="1218" t="s">
        <v>103</v>
      </c>
      <c r="B3097" s="98">
        <v>46023</v>
      </c>
      <c r="C3097" s="117" t="str">
        <f t="shared" si="710"/>
        <v>4L</v>
      </c>
      <c r="F3097" s="99">
        <f t="shared" si="724"/>
        <v>0</v>
      </c>
      <c r="I3097" s="99">
        <f t="shared" si="723"/>
        <v>0</v>
      </c>
      <c r="L3097" s="99">
        <f t="shared" si="711"/>
        <v>0</v>
      </c>
      <c r="M3097" s="44" t="str">
        <f t="shared" si="713"/>
        <v/>
      </c>
      <c r="N3097" s="100">
        <f t="shared" si="714"/>
        <v>0</v>
      </c>
      <c r="O3097" s="101">
        <f t="shared" si="715"/>
        <v>0</v>
      </c>
      <c r="P3097" s="52">
        <f t="shared" si="716"/>
        <v>0</v>
      </c>
      <c r="Q3097" s="49">
        <v>116.88487613461319</v>
      </c>
      <c r="R3097">
        <v>2225</v>
      </c>
      <c r="S3097" s="50">
        <f t="shared" si="712"/>
        <v>71535.307499999995</v>
      </c>
      <c r="T3097" s="50">
        <f t="shared" si="717"/>
        <v>0</v>
      </c>
      <c r="U3097" s="58">
        <f t="shared" si="718"/>
        <v>0</v>
      </c>
      <c r="V3097" s="58">
        <f t="shared" si="719"/>
        <v>0</v>
      </c>
      <c r="W3097" s="58">
        <f t="shared" si="720"/>
        <v>0</v>
      </c>
      <c r="X3097" s="58">
        <f t="shared" si="721"/>
        <v>0</v>
      </c>
      <c r="Y3097" s="52">
        <f t="shared" si="722"/>
        <v>0</v>
      </c>
    </row>
    <row r="3098" spans="1:25" x14ac:dyDescent="0.25">
      <c r="A3098" s="1218" t="s">
        <v>104</v>
      </c>
      <c r="B3098" s="98">
        <v>46023</v>
      </c>
      <c r="C3098" s="117" t="str">
        <f t="shared" si="710"/>
        <v>4L</v>
      </c>
      <c r="F3098" s="99">
        <f t="shared" si="724"/>
        <v>0</v>
      </c>
      <c r="I3098" s="99">
        <f t="shared" si="723"/>
        <v>0</v>
      </c>
      <c r="L3098" s="99">
        <f t="shared" si="711"/>
        <v>0</v>
      </c>
      <c r="M3098" s="44" t="str">
        <f t="shared" si="713"/>
        <v/>
      </c>
      <c r="N3098" s="100">
        <f t="shared" si="714"/>
        <v>0</v>
      </c>
      <c r="O3098" s="101">
        <f t="shared" si="715"/>
        <v>0</v>
      </c>
      <c r="P3098" s="52">
        <f t="shared" si="716"/>
        <v>0</v>
      </c>
      <c r="Q3098" s="49">
        <v>116.88487613461319</v>
      </c>
      <c r="R3098">
        <v>2225</v>
      </c>
      <c r="S3098" s="50">
        <f t="shared" si="712"/>
        <v>71535.307499999995</v>
      </c>
      <c r="T3098" s="50">
        <f t="shared" si="717"/>
        <v>0</v>
      </c>
      <c r="U3098" s="58">
        <f t="shared" si="718"/>
        <v>0</v>
      </c>
      <c r="V3098" s="58">
        <f t="shared" si="719"/>
        <v>0</v>
      </c>
      <c r="W3098" s="58">
        <f t="shared" si="720"/>
        <v>0</v>
      </c>
      <c r="X3098" s="58">
        <f t="shared" si="721"/>
        <v>0</v>
      </c>
      <c r="Y3098" s="52">
        <f t="shared" si="722"/>
        <v>0</v>
      </c>
    </row>
    <row r="3099" spans="1:25" x14ac:dyDescent="0.25">
      <c r="A3099" s="1218" t="s">
        <v>105</v>
      </c>
      <c r="B3099" s="98">
        <v>46023</v>
      </c>
      <c r="C3099" s="117" t="str">
        <f t="shared" ref="C3099:C3163" si="725">LEFT(A3099,2)</f>
        <v>4L</v>
      </c>
      <c r="F3099" s="99">
        <f t="shared" si="724"/>
        <v>0</v>
      </c>
      <c r="I3099" s="99">
        <f t="shared" si="723"/>
        <v>0</v>
      </c>
      <c r="L3099" s="99">
        <f t="shared" si="711"/>
        <v>0</v>
      </c>
      <c r="M3099" s="44" t="str">
        <f t="shared" si="713"/>
        <v/>
      </c>
      <c r="N3099" s="100">
        <f t="shared" si="714"/>
        <v>0</v>
      </c>
      <c r="O3099" s="101">
        <f t="shared" si="715"/>
        <v>0</v>
      </c>
      <c r="P3099" s="52">
        <f t="shared" si="716"/>
        <v>0</v>
      </c>
      <c r="Q3099" s="49">
        <v>116.88487613461319</v>
      </c>
      <c r="R3099">
        <v>2225</v>
      </c>
      <c r="S3099" s="50">
        <f t="shared" si="712"/>
        <v>71535.307499999995</v>
      </c>
      <c r="T3099" s="50">
        <f t="shared" si="717"/>
        <v>0</v>
      </c>
      <c r="U3099" s="58">
        <f t="shared" si="718"/>
        <v>0</v>
      </c>
      <c r="V3099" s="58">
        <f t="shared" si="719"/>
        <v>0</v>
      </c>
      <c r="W3099" s="58">
        <f t="shared" si="720"/>
        <v>0</v>
      </c>
      <c r="X3099" s="58">
        <f t="shared" si="721"/>
        <v>0</v>
      </c>
      <c r="Y3099" s="52">
        <f t="shared" si="722"/>
        <v>0</v>
      </c>
    </row>
    <row r="3100" spans="1:25" x14ac:dyDescent="0.25">
      <c r="A3100" s="1218" t="s">
        <v>106</v>
      </c>
      <c r="B3100" s="98">
        <v>46023</v>
      </c>
      <c r="C3100" s="117" t="str">
        <f t="shared" si="725"/>
        <v>4L</v>
      </c>
      <c r="F3100" s="99">
        <f t="shared" si="724"/>
        <v>0</v>
      </c>
      <c r="I3100" s="99">
        <f t="shared" si="723"/>
        <v>0</v>
      </c>
      <c r="L3100" s="99">
        <f t="shared" si="711"/>
        <v>0</v>
      </c>
      <c r="M3100" s="44" t="str">
        <f t="shared" si="713"/>
        <v/>
      </c>
      <c r="N3100" s="100">
        <f t="shared" si="714"/>
        <v>0</v>
      </c>
      <c r="O3100" s="101">
        <f t="shared" si="715"/>
        <v>0</v>
      </c>
      <c r="P3100" s="52">
        <f t="shared" si="716"/>
        <v>0</v>
      </c>
      <c r="Q3100" s="49">
        <v>116.88487613461319</v>
      </c>
      <c r="R3100">
        <v>2225</v>
      </c>
      <c r="S3100" s="50">
        <f t="shared" si="712"/>
        <v>71535.307499999995</v>
      </c>
      <c r="T3100" s="50">
        <f t="shared" si="717"/>
        <v>0</v>
      </c>
      <c r="U3100" s="58">
        <f t="shared" si="718"/>
        <v>0</v>
      </c>
      <c r="V3100" s="58">
        <f t="shared" si="719"/>
        <v>0</v>
      </c>
      <c r="W3100" s="58">
        <f t="shared" si="720"/>
        <v>0</v>
      </c>
      <c r="X3100" s="58">
        <f t="shared" si="721"/>
        <v>0</v>
      </c>
      <c r="Y3100" s="52">
        <f t="shared" si="722"/>
        <v>0</v>
      </c>
    </row>
    <row r="3101" spans="1:25" x14ac:dyDescent="0.25">
      <c r="A3101" s="1218" t="s">
        <v>107</v>
      </c>
      <c r="B3101" s="98">
        <v>46023</v>
      </c>
      <c r="C3101" s="117" t="str">
        <f t="shared" si="725"/>
        <v>4L</v>
      </c>
      <c r="F3101" s="99">
        <f t="shared" si="724"/>
        <v>0</v>
      </c>
      <c r="I3101" s="99">
        <f t="shared" si="723"/>
        <v>0</v>
      </c>
      <c r="L3101" s="99">
        <f t="shared" si="711"/>
        <v>0</v>
      </c>
      <c r="M3101" s="44" t="str">
        <f t="shared" si="713"/>
        <v/>
      </c>
      <c r="N3101" s="100">
        <f t="shared" si="714"/>
        <v>0</v>
      </c>
      <c r="O3101" s="101">
        <f t="shared" si="715"/>
        <v>0</v>
      </c>
      <c r="P3101" s="52">
        <f t="shared" si="716"/>
        <v>0</v>
      </c>
      <c r="Q3101" s="49">
        <v>116.88487613461319</v>
      </c>
      <c r="R3101">
        <v>2225</v>
      </c>
      <c r="S3101" s="50">
        <f t="shared" si="712"/>
        <v>71535.307499999995</v>
      </c>
      <c r="T3101" s="50">
        <f t="shared" si="717"/>
        <v>0</v>
      </c>
      <c r="U3101" s="58">
        <f t="shared" si="718"/>
        <v>0</v>
      </c>
      <c r="V3101" s="58">
        <f t="shared" si="719"/>
        <v>0</v>
      </c>
      <c r="W3101" s="58">
        <f t="shared" si="720"/>
        <v>0</v>
      </c>
      <c r="X3101" s="58">
        <f t="shared" si="721"/>
        <v>0</v>
      </c>
      <c r="Y3101" s="52">
        <f t="shared" si="722"/>
        <v>0</v>
      </c>
    </row>
    <row r="3102" spans="1:25" x14ac:dyDescent="0.25">
      <c r="A3102" s="1218" t="s">
        <v>108</v>
      </c>
      <c r="B3102" s="98">
        <v>46023</v>
      </c>
      <c r="C3102" s="117" t="str">
        <f t="shared" si="725"/>
        <v>4L</v>
      </c>
      <c r="F3102" s="99">
        <f t="shared" si="724"/>
        <v>0</v>
      </c>
      <c r="I3102" s="99">
        <f t="shared" si="723"/>
        <v>0</v>
      </c>
      <c r="L3102" s="99">
        <f t="shared" si="711"/>
        <v>0</v>
      </c>
      <c r="M3102" s="44" t="str">
        <f t="shared" si="713"/>
        <v/>
      </c>
      <c r="N3102" s="100">
        <f t="shared" si="714"/>
        <v>0</v>
      </c>
      <c r="O3102" s="101">
        <f t="shared" si="715"/>
        <v>0</v>
      </c>
      <c r="P3102" s="52">
        <f t="shared" si="716"/>
        <v>0</v>
      </c>
      <c r="Q3102" s="49">
        <v>116.88487613461319</v>
      </c>
      <c r="R3102">
        <v>2225</v>
      </c>
      <c r="S3102" s="50">
        <f t="shared" si="712"/>
        <v>71535.307499999995</v>
      </c>
      <c r="T3102" s="50">
        <f t="shared" si="717"/>
        <v>0</v>
      </c>
      <c r="U3102" s="58">
        <f t="shared" si="718"/>
        <v>0</v>
      </c>
      <c r="V3102" s="58">
        <f t="shared" si="719"/>
        <v>0</v>
      </c>
      <c r="W3102" s="58">
        <f t="shared" si="720"/>
        <v>0</v>
      </c>
      <c r="X3102" s="58">
        <f t="shared" si="721"/>
        <v>0</v>
      </c>
      <c r="Y3102" s="52">
        <f t="shared" si="722"/>
        <v>0</v>
      </c>
    </row>
    <row r="3103" spans="1:25" x14ac:dyDescent="0.25">
      <c r="A3103" s="1218" t="s">
        <v>109</v>
      </c>
      <c r="B3103" s="98">
        <v>46023</v>
      </c>
      <c r="C3103" s="117" t="str">
        <f t="shared" si="725"/>
        <v>4L</v>
      </c>
      <c r="F3103" s="99">
        <f t="shared" si="724"/>
        <v>0</v>
      </c>
      <c r="I3103" s="99">
        <f t="shared" si="723"/>
        <v>0</v>
      </c>
      <c r="L3103" s="99">
        <f t="shared" si="711"/>
        <v>0</v>
      </c>
      <c r="M3103" s="44" t="str">
        <f t="shared" si="713"/>
        <v/>
      </c>
      <c r="N3103" s="100">
        <f t="shared" si="714"/>
        <v>0</v>
      </c>
      <c r="O3103" s="101">
        <f t="shared" si="715"/>
        <v>0</v>
      </c>
      <c r="P3103" s="52">
        <f t="shared" si="716"/>
        <v>0</v>
      </c>
      <c r="Q3103" s="49">
        <v>116.88487613461319</v>
      </c>
      <c r="R3103">
        <v>2225</v>
      </c>
      <c r="S3103" s="50">
        <f t="shared" si="712"/>
        <v>71535.307499999995</v>
      </c>
      <c r="T3103" s="50">
        <f t="shared" si="717"/>
        <v>0</v>
      </c>
      <c r="U3103" s="58">
        <f t="shared" si="718"/>
        <v>0</v>
      </c>
      <c r="V3103" s="58">
        <f t="shared" si="719"/>
        <v>0</v>
      </c>
      <c r="W3103" s="58">
        <f t="shared" si="720"/>
        <v>0</v>
      </c>
      <c r="X3103" s="58">
        <f t="shared" si="721"/>
        <v>0</v>
      </c>
      <c r="Y3103" s="52">
        <f t="shared" si="722"/>
        <v>0</v>
      </c>
    </row>
    <row r="3104" spans="1:25" x14ac:dyDescent="0.25">
      <c r="A3104" s="1218" t="s">
        <v>110</v>
      </c>
      <c r="B3104" s="98">
        <v>46023</v>
      </c>
      <c r="C3104" s="117" t="str">
        <f t="shared" si="725"/>
        <v>4L</v>
      </c>
      <c r="F3104" s="99">
        <f t="shared" si="724"/>
        <v>0</v>
      </c>
      <c r="I3104" s="99">
        <f t="shared" si="723"/>
        <v>0</v>
      </c>
      <c r="L3104" s="99">
        <f t="shared" si="711"/>
        <v>0</v>
      </c>
      <c r="M3104" s="44" t="str">
        <f t="shared" si="713"/>
        <v/>
      </c>
      <c r="N3104" s="100">
        <f t="shared" si="714"/>
        <v>0</v>
      </c>
      <c r="O3104" s="101">
        <f t="shared" si="715"/>
        <v>0</v>
      </c>
      <c r="P3104" s="52">
        <f t="shared" si="716"/>
        <v>0</v>
      </c>
      <c r="Q3104" s="49">
        <v>116.88487613461319</v>
      </c>
      <c r="R3104">
        <v>2225</v>
      </c>
      <c r="S3104" s="50">
        <f t="shared" si="712"/>
        <v>71535.307499999995</v>
      </c>
      <c r="T3104" s="50">
        <f t="shared" si="717"/>
        <v>0</v>
      </c>
      <c r="U3104" s="58">
        <f t="shared" si="718"/>
        <v>0</v>
      </c>
      <c r="V3104" s="58">
        <f t="shared" si="719"/>
        <v>0</v>
      </c>
      <c r="W3104" s="58">
        <f t="shared" si="720"/>
        <v>0</v>
      </c>
      <c r="X3104" s="58">
        <f t="shared" si="721"/>
        <v>0</v>
      </c>
      <c r="Y3104" s="52">
        <f t="shared" si="722"/>
        <v>0</v>
      </c>
    </row>
    <row r="3105" spans="1:25" x14ac:dyDescent="0.25">
      <c r="A3105" s="1218" t="s">
        <v>111</v>
      </c>
      <c r="B3105" s="98">
        <v>46023</v>
      </c>
      <c r="C3105" s="117" t="str">
        <f t="shared" si="725"/>
        <v>4L</v>
      </c>
      <c r="F3105" s="99">
        <f t="shared" si="724"/>
        <v>0</v>
      </c>
      <c r="I3105" s="99">
        <f t="shared" si="723"/>
        <v>0</v>
      </c>
      <c r="L3105" s="99">
        <f t="shared" si="711"/>
        <v>0</v>
      </c>
      <c r="M3105" s="44" t="str">
        <f t="shared" si="713"/>
        <v/>
      </c>
      <c r="N3105" s="100">
        <f t="shared" si="714"/>
        <v>0</v>
      </c>
      <c r="O3105" s="101">
        <f t="shared" si="715"/>
        <v>0</v>
      </c>
      <c r="P3105" s="52">
        <f t="shared" si="716"/>
        <v>0</v>
      </c>
      <c r="Q3105" s="49">
        <v>116.88487613461319</v>
      </c>
      <c r="R3105">
        <v>2225</v>
      </c>
      <c r="S3105" s="50">
        <f t="shared" si="712"/>
        <v>71535.307499999995</v>
      </c>
      <c r="T3105" s="50">
        <f t="shared" si="717"/>
        <v>0</v>
      </c>
      <c r="U3105" s="58">
        <f t="shared" si="718"/>
        <v>0</v>
      </c>
      <c r="V3105" s="58">
        <f t="shared" si="719"/>
        <v>0</v>
      </c>
      <c r="W3105" s="58">
        <f t="shared" si="720"/>
        <v>0</v>
      </c>
      <c r="X3105" s="58">
        <f t="shared" si="721"/>
        <v>0</v>
      </c>
      <c r="Y3105" s="52">
        <f t="shared" si="722"/>
        <v>0</v>
      </c>
    </row>
    <row r="3106" spans="1:25" x14ac:dyDescent="0.25">
      <c r="A3106" s="1218" t="s">
        <v>112</v>
      </c>
      <c r="B3106" s="98">
        <v>46023</v>
      </c>
      <c r="C3106" s="117" t="str">
        <f t="shared" si="725"/>
        <v>4L</v>
      </c>
      <c r="F3106" s="99">
        <f t="shared" si="724"/>
        <v>0</v>
      </c>
      <c r="I3106" s="99">
        <f t="shared" si="723"/>
        <v>0</v>
      </c>
      <c r="L3106" s="99">
        <f t="shared" si="711"/>
        <v>0</v>
      </c>
      <c r="M3106" s="44" t="str">
        <f t="shared" si="713"/>
        <v/>
      </c>
      <c r="N3106" s="100">
        <f t="shared" si="714"/>
        <v>0</v>
      </c>
      <c r="O3106" s="101">
        <f t="shared" si="715"/>
        <v>0</v>
      </c>
      <c r="P3106" s="52">
        <f t="shared" si="716"/>
        <v>0</v>
      </c>
      <c r="Q3106" s="49">
        <v>116.88487613461319</v>
      </c>
      <c r="R3106">
        <v>2225</v>
      </c>
      <c r="S3106" s="50">
        <f t="shared" si="712"/>
        <v>71535.307499999995</v>
      </c>
      <c r="T3106" s="50">
        <f t="shared" si="717"/>
        <v>0</v>
      </c>
      <c r="U3106" s="58">
        <f t="shared" si="718"/>
        <v>0</v>
      </c>
      <c r="V3106" s="58">
        <f t="shared" si="719"/>
        <v>0</v>
      </c>
      <c r="W3106" s="58">
        <f t="shared" si="720"/>
        <v>0</v>
      </c>
      <c r="X3106" s="58">
        <f t="shared" si="721"/>
        <v>0</v>
      </c>
      <c r="Y3106" s="52">
        <f t="shared" si="722"/>
        <v>0</v>
      </c>
    </row>
    <row r="3107" spans="1:25" x14ac:dyDescent="0.25">
      <c r="A3107" s="1218" t="s">
        <v>113</v>
      </c>
      <c r="B3107" s="98">
        <v>46023</v>
      </c>
      <c r="C3107" s="117" t="str">
        <f t="shared" si="725"/>
        <v>4L</v>
      </c>
      <c r="F3107" s="99">
        <f t="shared" si="724"/>
        <v>0</v>
      </c>
      <c r="I3107" s="99">
        <f t="shared" si="723"/>
        <v>0</v>
      </c>
      <c r="L3107" s="99">
        <f t="shared" si="711"/>
        <v>0</v>
      </c>
      <c r="M3107" s="44" t="str">
        <f t="shared" si="713"/>
        <v/>
      </c>
      <c r="N3107" s="100">
        <f t="shared" si="714"/>
        <v>0</v>
      </c>
      <c r="O3107" s="101">
        <f t="shared" si="715"/>
        <v>0</v>
      </c>
      <c r="P3107" s="52">
        <f t="shared" si="716"/>
        <v>0</v>
      </c>
      <c r="Q3107" s="49">
        <v>116.88487613461319</v>
      </c>
      <c r="R3107">
        <v>2225</v>
      </c>
      <c r="S3107" s="50">
        <f t="shared" si="712"/>
        <v>71535.307499999995</v>
      </c>
      <c r="T3107" s="50">
        <f t="shared" si="717"/>
        <v>0</v>
      </c>
      <c r="U3107" s="58">
        <f t="shared" si="718"/>
        <v>0</v>
      </c>
      <c r="V3107" s="58">
        <f t="shared" si="719"/>
        <v>0</v>
      </c>
      <c r="W3107" s="58">
        <f t="shared" si="720"/>
        <v>0</v>
      </c>
      <c r="X3107" s="58">
        <f t="shared" si="721"/>
        <v>0</v>
      </c>
      <c r="Y3107" s="52">
        <f t="shared" si="722"/>
        <v>0</v>
      </c>
    </row>
    <row r="3108" spans="1:25" x14ac:dyDescent="0.25">
      <c r="A3108" s="1218" t="s">
        <v>114</v>
      </c>
      <c r="B3108" s="98">
        <v>46023</v>
      </c>
      <c r="C3108" s="117" t="str">
        <f t="shared" si="725"/>
        <v>4L</v>
      </c>
      <c r="F3108" s="99">
        <f t="shared" si="724"/>
        <v>0</v>
      </c>
      <c r="I3108" s="99">
        <f t="shared" si="723"/>
        <v>0</v>
      </c>
      <c r="L3108" s="99">
        <f t="shared" si="711"/>
        <v>0</v>
      </c>
      <c r="M3108" s="44" t="str">
        <f t="shared" si="713"/>
        <v/>
      </c>
      <c r="N3108" s="100">
        <f t="shared" si="714"/>
        <v>0</v>
      </c>
      <c r="O3108" s="101">
        <f t="shared" si="715"/>
        <v>0</v>
      </c>
      <c r="P3108" s="52">
        <f t="shared" si="716"/>
        <v>0</v>
      </c>
      <c r="Q3108" s="49">
        <v>116.88487613461319</v>
      </c>
      <c r="R3108">
        <v>2225</v>
      </c>
      <c r="S3108" s="50">
        <f t="shared" si="712"/>
        <v>71535.307499999995</v>
      </c>
      <c r="T3108" s="50">
        <f t="shared" si="717"/>
        <v>0</v>
      </c>
      <c r="U3108" s="58">
        <f t="shared" si="718"/>
        <v>0</v>
      </c>
      <c r="V3108" s="58">
        <f t="shared" si="719"/>
        <v>0</v>
      </c>
      <c r="W3108" s="58">
        <f t="shared" si="720"/>
        <v>0</v>
      </c>
      <c r="X3108" s="58">
        <f t="shared" si="721"/>
        <v>0</v>
      </c>
      <c r="Y3108" s="52">
        <f t="shared" si="722"/>
        <v>0</v>
      </c>
    </row>
    <row r="3109" spans="1:25" x14ac:dyDescent="0.25">
      <c r="A3109" s="1218" t="s">
        <v>115</v>
      </c>
      <c r="B3109" s="98">
        <v>46023</v>
      </c>
      <c r="C3109" s="117" t="str">
        <f t="shared" si="725"/>
        <v>4L</v>
      </c>
      <c r="F3109" s="99">
        <f t="shared" si="724"/>
        <v>0</v>
      </c>
      <c r="I3109" s="99">
        <f t="shared" si="723"/>
        <v>0</v>
      </c>
      <c r="L3109" s="99">
        <f t="shared" si="711"/>
        <v>0</v>
      </c>
      <c r="M3109" s="44" t="str">
        <f t="shared" si="713"/>
        <v/>
      </c>
      <c r="N3109" s="100">
        <f t="shared" si="714"/>
        <v>0</v>
      </c>
      <c r="O3109" s="101">
        <f t="shared" si="715"/>
        <v>0</v>
      </c>
      <c r="P3109" s="52">
        <f t="shared" si="716"/>
        <v>0</v>
      </c>
      <c r="Q3109" s="49">
        <v>116.88487613461319</v>
      </c>
      <c r="R3109">
        <v>2225</v>
      </c>
      <c r="S3109" s="50">
        <f t="shared" si="712"/>
        <v>71535.307499999995</v>
      </c>
      <c r="T3109" s="50">
        <f t="shared" si="717"/>
        <v>0</v>
      </c>
      <c r="U3109" s="58">
        <f t="shared" si="718"/>
        <v>0</v>
      </c>
      <c r="V3109" s="58">
        <f t="shared" si="719"/>
        <v>0</v>
      </c>
      <c r="W3109" s="58">
        <f t="shared" si="720"/>
        <v>0</v>
      </c>
      <c r="X3109" s="58">
        <f t="shared" si="721"/>
        <v>0</v>
      </c>
      <c r="Y3109" s="52">
        <f t="shared" si="722"/>
        <v>0</v>
      </c>
    </row>
    <row r="3110" spans="1:25" x14ac:dyDescent="0.25">
      <c r="A3110" s="1218" t="s">
        <v>116</v>
      </c>
      <c r="B3110" s="98">
        <v>46023</v>
      </c>
      <c r="C3110" s="117" t="str">
        <f t="shared" si="725"/>
        <v>4L</v>
      </c>
      <c r="F3110" s="99">
        <f t="shared" si="724"/>
        <v>0</v>
      </c>
      <c r="I3110" s="99">
        <f t="shared" si="723"/>
        <v>0</v>
      </c>
      <c r="L3110" s="99">
        <f t="shared" si="711"/>
        <v>0</v>
      </c>
      <c r="M3110" s="44" t="str">
        <f t="shared" si="713"/>
        <v/>
      </c>
      <c r="N3110" s="100">
        <f t="shared" si="714"/>
        <v>0</v>
      </c>
      <c r="O3110" s="101">
        <f t="shared" si="715"/>
        <v>0</v>
      </c>
      <c r="P3110" s="52">
        <f t="shared" si="716"/>
        <v>0</v>
      </c>
      <c r="Q3110" s="49">
        <v>116.88487613461319</v>
      </c>
      <c r="R3110">
        <v>2225</v>
      </c>
      <c r="S3110" s="50">
        <f t="shared" si="712"/>
        <v>71535.307499999995</v>
      </c>
      <c r="T3110" s="50">
        <f t="shared" si="717"/>
        <v>0</v>
      </c>
      <c r="U3110" s="58">
        <f t="shared" si="718"/>
        <v>0</v>
      </c>
      <c r="V3110" s="58">
        <f t="shared" si="719"/>
        <v>0</v>
      </c>
      <c r="W3110" s="58">
        <f t="shared" si="720"/>
        <v>0</v>
      </c>
      <c r="X3110" s="58">
        <f t="shared" si="721"/>
        <v>0</v>
      </c>
      <c r="Y3110" s="52">
        <f t="shared" si="722"/>
        <v>0</v>
      </c>
    </row>
    <row r="3111" spans="1:25" x14ac:dyDescent="0.25">
      <c r="A3111" s="1218" t="s">
        <v>117</v>
      </c>
      <c r="B3111" s="98">
        <v>46023</v>
      </c>
      <c r="C3111" s="117" t="str">
        <f t="shared" si="725"/>
        <v>4L</v>
      </c>
      <c r="F3111" s="99">
        <f t="shared" si="724"/>
        <v>0</v>
      </c>
      <c r="I3111" s="99">
        <f t="shared" si="723"/>
        <v>0</v>
      </c>
      <c r="L3111" s="99">
        <f t="shared" si="711"/>
        <v>0</v>
      </c>
      <c r="M3111" s="44" t="str">
        <f t="shared" si="713"/>
        <v/>
      </c>
      <c r="N3111" s="100">
        <f t="shared" si="714"/>
        <v>0</v>
      </c>
      <c r="O3111" s="101">
        <f t="shared" si="715"/>
        <v>0</v>
      </c>
      <c r="P3111" s="52">
        <f t="shared" si="716"/>
        <v>0</v>
      </c>
      <c r="Q3111" s="49">
        <v>116.88487613461319</v>
      </c>
      <c r="R3111">
        <v>2225</v>
      </c>
      <c r="S3111" s="50">
        <f t="shared" si="712"/>
        <v>71535.307499999995</v>
      </c>
      <c r="T3111" s="50">
        <f t="shared" si="717"/>
        <v>0</v>
      </c>
      <c r="U3111" s="58">
        <f t="shared" si="718"/>
        <v>0</v>
      </c>
      <c r="V3111" s="58">
        <f t="shared" si="719"/>
        <v>0</v>
      </c>
      <c r="W3111" s="58">
        <f t="shared" si="720"/>
        <v>0</v>
      </c>
      <c r="X3111" s="58">
        <f t="shared" si="721"/>
        <v>0</v>
      </c>
      <c r="Y3111" s="52">
        <f t="shared" si="722"/>
        <v>0</v>
      </c>
    </row>
    <row r="3112" spans="1:25" x14ac:dyDescent="0.25">
      <c r="A3112" s="1218" t="s">
        <v>118</v>
      </c>
      <c r="B3112" s="98">
        <v>46023</v>
      </c>
      <c r="C3112" s="117" t="str">
        <f t="shared" si="725"/>
        <v>4L</v>
      </c>
      <c r="F3112" s="99">
        <f t="shared" si="724"/>
        <v>0</v>
      </c>
      <c r="I3112" s="99">
        <f t="shared" si="723"/>
        <v>0</v>
      </c>
      <c r="L3112" s="99">
        <f t="shared" si="711"/>
        <v>0</v>
      </c>
      <c r="M3112" s="44" t="str">
        <f t="shared" si="713"/>
        <v/>
      </c>
      <c r="N3112" s="100">
        <f t="shared" si="714"/>
        <v>0</v>
      </c>
      <c r="O3112" s="101">
        <f t="shared" si="715"/>
        <v>0</v>
      </c>
      <c r="P3112" s="52">
        <f t="shared" si="716"/>
        <v>0</v>
      </c>
      <c r="Q3112" s="49">
        <v>116.88487613461319</v>
      </c>
      <c r="R3112">
        <v>2225</v>
      </c>
      <c r="S3112" s="50">
        <f t="shared" si="712"/>
        <v>71535.307499999995</v>
      </c>
      <c r="T3112" s="50">
        <f t="shared" si="717"/>
        <v>0</v>
      </c>
      <c r="U3112" s="58">
        <f t="shared" si="718"/>
        <v>0</v>
      </c>
      <c r="V3112" s="58">
        <f t="shared" si="719"/>
        <v>0</v>
      </c>
      <c r="W3112" s="58">
        <f t="shared" si="720"/>
        <v>0</v>
      </c>
      <c r="X3112" s="58">
        <f t="shared" si="721"/>
        <v>0</v>
      </c>
      <c r="Y3112" s="52">
        <f t="shared" si="722"/>
        <v>0</v>
      </c>
    </row>
    <row r="3113" spans="1:25" x14ac:dyDescent="0.25">
      <c r="A3113" s="1218" t="s">
        <v>119</v>
      </c>
      <c r="B3113" s="98">
        <v>46023</v>
      </c>
      <c r="C3113" s="117" t="str">
        <f t="shared" si="725"/>
        <v>4L</v>
      </c>
      <c r="F3113" s="99">
        <f t="shared" si="724"/>
        <v>0</v>
      </c>
      <c r="I3113" s="99">
        <f t="shared" si="723"/>
        <v>0</v>
      </c>
      <c r="L3113" s="99">
        <f t="shared" si="711"/>
        <v>0</v>
      </c>
      <c r="M3113" s="44" t="str">
        <f t="shared" si="713"/>
        <v/>
      </c>
      <c r="N3113" s="100">
        <f t="shared" si="714"/>
        <v>0</v>
      </c>
      <c r="O3113" s="101">
        <f t="shared" si="715"/>
        <v>0</v>
      </c>
      <c r="P3113" s="52">
        <f t="shared" si="716"/>
        <v>0</v>
      </c>
      <c r="Q3113" s="49">
        <v>116.88487613461319</v>
      </c>
      <c r="R3113">
        <v>2225</v>
      </c>
      <c r="S3113" s="50">
        <f t="shared" si="712"/>
        <v>71535.307499999995</v>
      </c>
      <c r="T3113" s="50">
        <f t="shared" si="717"/>
        <v>0</v>
      </c>
      <c r="U3113" s="58">
        <f t="shared" si="718"/>
        <v>0</v>
      </c>
      <c r="V3113" s="58">
        <f t="shared" si="719"/>
        <v>0</v>
      </c>
      <c r="W3113" s="58">
        <f t="shared" si="720"/>
        <v>0</v>
      </c>
      <c r="X3113" s="58">
        <f t="shared" si="721"/>
        <v>0</v>
      </c>
      <c r="Y3113" s="52">
        <f t="shared" si="722"/>
        <v>0</v>
      </c>
    </row>
    <row r="3114" spans="1:25" x14ac:dyDescent="0.25">
      <c r="A3114" s="1218" t="s">
        <v>120</v>
      </c>
      <c r="B3114" s="98">
        <v>46023</v>
      </c>
      <c r="C3114" s="117" t="str">
        <f t="shared" si="725"/>
        <v>4L</v>
      </c>
      <c r="F3114" s="99">
        <f t="shared" si="724"/>
        <v>0</v>
      </c>
      <c r="I3114" s="99">
        <f t="shared" si="723"/>
        <v>0</v>
      </c>
      <c r="L3114" s="99">
        <f t="shared" si="711"/>
        <v>0</v>
      </c>
      <c r="M3114" s="44" t="str">
        <f t="shared" si="713"/>
        <v/>
      </c>
      <c r="N3114" s="100">
        <f t="shared" si="714"/>
        <v>0</v>
      </c>
      <c r="O3114" s="101">
        <f t="shared" si="715"/>
        <v>0</v>
      </c>
      <c r="P3114" s="52">
        <f t="shared" si="716"/>
        <v>0</v>
      </c>
      <c r="Q3114" s="49">
        <v>116.88487613461319</v>
      </c>
      <c r="R3114">
        <v>2225</v>
      </c>
      <c r="S3114" s="50">
        <f t="shared" si="712"/>
        <v>71535.307499999995</v>
      </c>
      <c r="T3114" s="50">
        <f t="shared" si="717"/>
        <v>0</v>
      </c>
      <c r="U3114" s="58">
        <f t="shared" si="718"/>
        <v>0</v>
      </c>
      <c r="V3114" s="58">
        <f t="shared" si="719"/>
        <v>0</v>
      </c>
      <c r="W3114" s="58">
        <f t="shared" si="720"/>
        <v>0</v>
      </c>
      <c r="X3114" s="58">
        <f t="shared" si="721"/>
        <v>0</v>
      </c>
      <c r="Y3114" s="52">
        <f t="shared" si="722"/>
        <v>0</v>
      </c>
    </row>
    <row r="3115" spans="1:25" x14ac:dyDescent="0.25">
      <c r="A3115" s="1218" t="s">
        <v>121</v>
      </c>
      <c r="B3115" s="98">
        <v>46023</v>
      </c>
      <c r="C3115" s="117" t="str">
        <f t="shared" si="725"/>
        <v>4L</v>
      </c>
      <c r="F3115" s="99">
        <f t="shared" si="724"/>
        <v>0</v>
      </c>
      <c r="I3115" s="99">
        <f t="shared" si="723"/>
        <v>0</v>
      </c>
      <c r="L3115" s="99">
        <f t="shared" si="711"/>
        <v>0</v>
      </c>
      <c r="M3115" s="44" t="str">
        <f t="shared" si="713"/>
        <v/>
      </c>
      <c r="N3115" s="100">
        <f t="shared" si="714"/>
        <v>0</v>
      </c>
      <c r="O3115" s="101">
        <f t="shared" si="715"/>
        <v>0</v>
      </c>
      <c r="P3115" s="52">
        <f t="shared" si="716"/>
        <v>0</v>
      </c>
      <c r="Q3115" s="49">
        <v>116.88487613461319</v>
      </c>
      <c r="R3115">
        <v>2225</v>
      </c>
      <c r="S3115" s="50">
        <f t="shared" si="712"/>
        <v>71535.307499999995</v>
      </c>
      <c r="T3115" s="50">
        <f t="shared" si="717"/>
        <v>0</v>
      </c>
      <c r="U3115" s="58">
        <f t="shared" si="718"/>
        <v>0</v>
      </c>
      <c r="V3115" s="58">
        <f t="shared" si="719"/>
        <v>0</v>
      </c>
      <c r="W3115" s="58">
        <f t="shared" si="720"/>
        <v>0</v>
      </c>
      <c r="X3115" s="58">
        <f t="shared" si="721"/>
        <v>0</v>
      </c>
      <c r="Y3115" s="52">
        <f t="shared" si="722"/>
        <v>0</v>
      </c>
    </row>
    <row r="3116" spans="1:25" x14ac:dyDescent="0.25">
      <c r="A3116" s="1218" t="s">
        <v>122</v>
      </c>
      <c r="B3116" s="98">
        <v>46023</v>
      </c>
      <c r="C3116" s="117" t="str">
        <f t="shared" si="725"/>
        <v>4L</v>
      </c>
      <c r="F3116" s="99">
        <f t="shared" si="724"/>
        <v>0</v>
      </c>
      <c r="I3116" s="99">
        <f t="shared" si="723"/>
        <v>0</v>
      </c>
      <c r="L3116" s="99">
        <f t="shared" si="711"/>
        <v>0</v>
      </c>
      <c r="M3116" s="44" t="str">
        <f t="shared" si="713"/>
        <v/>
      </c>
      <c r="N3116" s="100">
        <f t="shared" si="714"/>
        <v>0</v>
      </c>
      <c r="O3116" s="101">
        <f t="shared" si="715"/>
        <v>0</v>
      </c>
      <c r="P3116" s="52">
        <f t="shared" si="716"/>
        <v>0</v>
      </c>
      <c r="Q3116" s="49">
        <v>116.88487613461319</v>
      </c>
      <c r="R3116">
        <v>2225</v>
      </c>
      <c r="S3116" s="50">
        <f t="shared" si="712"/>
        <v>71535.307499999995</v>
      </c>
      <c r="T3116" s="50">
        <f t="shared" si="717"/>
        <v>0</v>
      </c>
      <c r="U3116" s="58">
        <f t="shared" si="718"/>
        <v>0</v>
      </c>
      <c r="V3116" s="58">
        <f t="shared" si="719"/>
        <v>0</v>
      </c>
      <c r="W3116" s="58">
        <f t="shared" si="720"/>
        <v>0</v>
      </c>
      <c r="X3116" s="58">
        <f t="shared" si="721"/>
        <v>0</v>
      </c>
      <c r="Y3116" s="52">
        <f t="shared" si="722"/>
        <v>0</v>
      </c>
    </row>
    <row r="3117" spans="1:25" x14ac:dyDescent="0.25">
      <c r="A3117" s="1218" t="s">
        <v>123</v>
      </c>
      <c r="B3117" s="98">
        <v>46023</v>
      </c>
      <c r="C3117" s="117" t="str">
        <f t="shared" si="725"/>
        <v>4L</v>
      </c>
      <c r="F3117" s="99">
        <f t="shared" si="724"/>
        <v>0</v>
      </c>
      <c r="I3117" s="99">
        <f t="shared" si="723"/>
        <v>0</v>
      </c>
      <c r="L3117" s="99">
        <f t="shared" si="711"/>
        <v>0</v>
      </c>
      <c r="M3117" s="44" t="str">
        <f t="shared" si="713"/>
        <v/>
      </c>
      <c r="N3117" s="100">
        <f t="shared" si="714"/>
        <v>0</v>
      </c>
      <c r="O3117" s="101">
        <f t="shared" si="715"/>
        <v>0</v>
      </c>
      <c r="P3117" s="52">
        <f t="shared" si="716"/>
        <v>0</v>
      </c>
      <c r="Q3117" s="49">
        <v>116.88487613461319</v>
      </c>
      <c r="R3117">
        <v>2225</v>
      </c>
      <c r="S3117" s="50">
        <f t="shared" si="712"/>
        <v>71535.307499999995</v>
      </c>
      <c r="T3117" s="50">
        <f t="shared" si="717"/>
        <v>0</v>
      </c>
      <c r="U3117" s="58">
        <f t="shared" si="718"/>
        <v>0</v>
      </c>
      <c r="V3117" s="58">
        <f t="shared" si="719"/>
        <v>0</v>
      </c>
      <c r="W3117" s="58">
        <f t="shared" si="720"/>
        <v>0</v>
      </c>
      <c r="X3117" s="58">
        <f t="shared" si="721"/>
        <v>0</v>
      </c>
      <c r="Y3117" s="52">
        <f t="shared" si="722"/>
        <v>0</v>
      </c>
    </row>
    <row r="3118" spans="1:25" x14ac:dyDescent="0.25">
      <c r="A3118" s="1218" t="s">
        <v>124</v>
      </c>
      <c r="B3118" s="98">
        <v>46023</v>
      </c>
      <c r="C3118" s="117" t="str">
        <f t="shared" si="725"/>
        <v>4L</v>
      </c>
      <c r="F3118" s="99">
        <f t="shared" si="724"/>
        <v>0</v>
      </c>
      <c r="I3118" s="99">
        <f t="shared" si="723"/>
        <v>0</v>
      </c>
      <c r="L3118" s="99">
        <f t="shared" si="711"/>
        <v>0</v>
      </c>
      <c r="M3118" s="44" t="str">
        <f t="shared" si="713"/>
        <v/>
      </c>
      <c r="N3118" s="100">
        <f t="shared" si="714"/>
        <v>0</v>
      </c>
      <c r="O3118" s="101">
        <f t="shared" si="715"/>
        <v>0</v>
      </c>
      <c r="P3118" s="52">
        <f t="shared" si="716"/>
        <v>0</v>
      </c>
      <c r="Q3118" s="49">
        <v>116.88487613461319</v>
      </c>
      <c r="R3118">
        <v>2225</v>
      </c>
      <c r="S3118" s="50">
        <f t="shared" si="712"/>
        <v>71535.307499999995</v>
      </c>
      <c r="T3118" s="50">
        <f t="shared" si="717"/>
        <v>0</v>
      </c>
      <c r="U3118" s="58">
        <f t="shared" si="718"/>
        <v>0</v>
      </c>
      <c r="V3118" s="58">
        <f t="shared" si="719"/>
        <v>0</v>
      </c>
      <c r="W3118" s="58">
        <f t="shared" si="720"/>
        <v>0</v>
      </c>
      <c r="X3118" s="58">
        <f t="shared" si="721"/>
        <v>0</v>
      </c>
      <c r="Y3118" s="52">
        <f t="shared" si="722"/>
        <v>0</v>
      </c>
    </row>
    <row r="3119" spans="1:25" x14ac:dyDescent="0.25">
      <c r="A3119" s="1218" t="s">
        <v>125</v>
      </c>
      <c r="B3119" s="98">
        <v>46023</v>
      </c>
      <c r="C3119" s="117" t="str">
        <f t="shared" ref="C3119:C3120" si="726">LEFT(A3119,2)</f>
        <v>4L</v>
      </c>
      <c r="F3119" s="99">
        <f t="shared" si="724"/>
        <v>0</v>
      </c>
      <c r="I3119" s="99">
        <f t="shared" si="723"/>
        <v>0</v>
      </c>
      <c r="L3119" s="99">
        <f t="shared" si="711"/>
        <v>0</v>
      </c>
      <c r="M3119" s="44" t="str">
        <f t="shared" si="713"/>
        <v/>
      </c>
      <c r="N3119" s="100">
        <f t="shared" si="714"/>
        <v>0</v>
      </c>
      <c r="O3119" s="101">
        <f t="shared" si="715"/>
        <v>0</v>
      </c>
      <c r="P3119" s="52">
        <f t="shared" si="716"/>
        <v>0</v>
      </c>
      <c r="Q3119" s="49">
        <v>116.88487613461319</v>
      </c>
      <c r="R3119">
        <v>2225</v>
      </c>
      <c r="S3119" s="50">
        <f t="shared" si="712"/>
        <v>71535.307499999995</v>
      </c>
      <c r="T3119" s="50">
        <f t="shared" si="717"/>
        <v>0</v>
      </c>
      <c r="U3119" s="58">
        <f t="shared" si="718"/>
        <v>0</v>
      </c>
      <c r="V3119" s="58">
        <f t="shared" si="719"/>
        <v>0</v>
      </c>
      <c r="W3119" s="58">
        <f t="shared" si="720"/>
        <v>0</v>
      </c>
      <c r="X3119" s="58">
        <f t="shared" si="721"/>
        <v>0</v>
      </c>
      <c r="Y3119" s="52">
        <f t="shared" si="722"/>
        <v>0</v>
      </c>
    </row>
    <row r="3120" spans="1:25" x14ac:dyDescent="0.25">
      <c r="A3120" s="1218" t="s">
        <v>126</v>
      </c>
      <c r="B3120" s="98">
        <v>46023</v>
      </c>
      <c r="C3120" s="117" t="str">
        <f t="shared" si="726"/>
        <v>4L</v>
      </c>
      <c r="F3120" s="99"/>
      <c r="I3120" s="99"/>
      <c r="L3120" s="99"/>
      <c r="M3120" s="44"/>
      <c r="N3120" s="100"/>
      <c r="O3120" s="101"/>
      <c r="P3120" s="52"/>
      <c r="Q3120" s="49"/>
      <c r="S3120" s="50"/>
      <c r="T3120" s="50"/>
      <c r="U3120" s="58"/>
      <c r="V3120" s="58"/>
      <c r="W3120" s="58"/>
      <c r="X3120" s="58"/>
      <c r="Y3120" s="52"/>
    </row>
    <row r="3121" spans="1:25" x14ac:dyDescent="0.25">
      <c r="A3121" s="1218" t="s">
        <v>127</v>
      </c>
      <c r="B3121" s="98">
        <v>46023</v>
      </c>
      <c r="C3121" s="117" t="str">
        <f t="shared" si="725"/>
        <v>4L</v>
      </c>
      <c r="F3121" s="99">
        <f t="shared" si="724"/>
        <v>0</v>
      </c>
      <c r="I3121" s="99">
        <f t="shared" si="723"/>
        <v>0</v>
      </c>
      <c r="L3121" s="99"/>
      <c r="M3121" s="44"/>
      <c r="N3121" s="100"/>
      <c r="O3121" s="101"/>
      <c r="P3121" s="52"/>
      <c r="Q3121" s="49"/>
      <c r="S3121" s="50"/>
      <c r="T3121" s="50"/>
      <c r="U3121" s="58"/>
      <c r="V3121" s="58"/>
      <c r="W3121" s="58"/>
      <c r="X3121" s="58"/>
      <c r="Y3121" s="52"/>
    </row>
    <row r="3122" spans="1:25" x14ac:dyDescent="0.25">
      <c r="A3122" s="1218" t="s">
        <v>128</v>
      </c>
      <c r="B3122" s="98">
        <v>46023</v>
      </c>
      <c r="C3122" s="117" t="str">
        <f t="shared" si="725"/>
        <v>4L</v>
      </c>
      <c r="F3122" s="99">
        <f t="shared" si="724"/>
        <v>0</v>
      </c>
      <c r="I3122" s="99">
        <f t="shared" si="723"/>
        <v>0</v>
      </c>
      <c r="L3122" s="99"/>
      <c r="M3122" s="44"/>
      <c r="N3122" s="100"/>
      <c r="O3122" s="101"/>
      <c r="P3122" s="52"/>
      <c r="Q3122" s="49"/>
      <c r="S3122" s="50"/>
      <c r="T3122" s="50"/>
      <c r="U3122" s="58"/>
      <c r="V3122" s="58"/>
      <c r="W3122" s="58"/>
      <c r="X3122" s="58"/>
      <c r="Y3122" s="52"/>
    </row>
    <row r="3123" spans="1:25" x14ac:dyDescent="0.25">
      <c r="A3123" s="1218" t="s">
        <v>129</v>
      </c>
      <c r="B3123" s="98">
        <v>46023</v>
      </c>
      <c r="C3123" s="117" t="str">
        <f t="shared" si="725"/>
        <v>4L</v>
      </c>
      <c r="F3123" s="99">
        <f t="shared" si="724"/>
        <v>0</v>
      </c>
      <c r="I3123" s="99">
        <f t="shared" si="723"/>
        <v>0</v>
      </c>
      <c r="L3123" s="99">
        <f t="shared" si="711"/>
        <v>0</v>
      </c>
      <c r="M3123" s="44" t="str">
        <f t="shared" si="713"/>
        <v/>
      </c>
      <c r="N3123" s="100">
        <f t="shared" si="714"/>
        <v>0</v>
      </c>
      <c r="O3123" s="101">
        <f t="shared" si="715"/>
        <v>0</v>
      </c>
      <c r="P3123" s="52">
        <f t="shared" si="716"/>
        <v>0</v>
      </c>
      <c r="Q3123" s="49">
        <v>116.88487613461319</v>
      </c>
      <c r="R3123">
        <v>2225</v>
      </c>
      <c r="S3123" s="50">
        <f t="shared" si="712"/>
        <v>71535.307499999995</v>
      </c>
      <c r="T3123" s="50">
        <f t="shared" si="717"/>
        <v>0</v>
      </c>
      <c r="U3123" s="58">
        <f t="shared" si="718"/>
        <v>0</v>
      </c>
      <c r="V3123" s="58">
        <f t="shared" si="719"/>
        <v>0</v>
      </c>
      <c r="W3123" s="58">
        <f t="shared" si="720"/>
        <v>0</v>
      </c>
      <c r="X3123" s="58">
        <f t="shared" si="721"/>
        <v>0</v>
      </c>
      <c r="Y3123" s="52">
        <f t="shared" si="722"/>
        <v>0</v>
      </c>
    </row>
    <row r="3124" spans="1:25" x14ac:dyDescent="0.25">
      <c r="A3124" s="1218" t="s">
        <v>130</v>
      </c>
      <c r="B3124" s="98">
        <v>46023</v>
      </c>
      <c r="C3124" s="117" t="str">
        <f t="shared" si="725"/>
        <v>5L</v>
      </c>
      <c r="F3124" s="99">
        <f t="shared" si="724"/>
        <v>0</v>
      </c>
      <c r="I3124" s="99">
        <f t="shared" si="723"/>
        <v>0</v>
      </c>
      <c r="L3124" s="99">
        <f t="shared" si="711"/>
        <v>0</v>
      </c>
      <c r="M3124" s="44" t="str">
        <f t="shared" si="713"/>
        <v/>
      </c>
      <c r="N3124" s="100">
        <f t="shared" si="714"/>
        <v>0</v>
      </c>
      <c r="O3124" s="101">
        <f t="shared" si="715"/>
        <v>0</v>
      </c>
      <c r="P3124" s="52">
        <f t="shared" si="716"/>
        <v>0</v>
      </c>
      <c r="Q3124" s="49">
        <v>116.88487613461319</v>
      </c>
      <c r="R3124">
        <v>2225</v>
      </c>
      <c r="S3124" s="50">
        <f t="shared" si="712"/>
        <v>71535.307499999995</v>
      </c>
      <c r="T3124" s="50">
        <f t="shared" si="717"/>
        <v>0</v>
      </c>
      <c r="U3124" s="58">
        <f t="shared" si="718"/>
        <v>0</v>
      </c>
      <c r="V3124" s="58">
        <f t="shared" si="719"/>
        <v>0</v>
      </c>
      <c r="W3124" s="58">
        <f t="shared" si="720"/>
        <v>0</v>
      </c>
      <c r="X3124" s="58">
        <f t="shared" si="721"/>
        <v>0</v>
      </c>
      <c r="Y3124" s="52">
        <f t="shared" si="722"/>
        <v>0</v>
      </c>
    </row>
    <row r="3125" spans="1:25" x14ac:dyDescent="0.25">
      <c r="A3125" s="1218" t="s">
        <v>131</v>
      </c>
      <c r="B3125" s="98">
        <v>46023</v>
      </c>
      <c r="C3125" s="117" t="str">
        <f t="shared" si="725"/>
        <v>5L</v>
      </c>
      <c r="F3125" s="99">
        <f t="shared" si="724"/>
        <v>0</v>
      </c>
      <c r="I3125" s="99">
        <f t="shared" si="723"/>
        <v>0</v>
      </c>
      <c r="L3125" s="99">
        <f t="shared" si="711"/>
        <v>0</v>
      </c>
      <c r="M3125" s="44" t="str">
        <f t="shared" si="713"/>
        <v/>
      </c>
      <c r="N3125" s="100">
        <f t="shared" si="714"/>
        <v>0</v>
      </c>
      <c r="O3125" s="101">
        <f t="shared" si="715"/>
        <v>0</v>
      </c>
      <c r="P3125" s="52">
        <f t="shared" si="716"/>
        <v>0</v>
      </c>
      <c r="Q3125" s="49">
        <v>116.88487613461319</v>
      </c>
      <c r="R3125">
        <v>2225</v>
      </c>
      <c r="S3125" s="50">
        <f t="shared" si="712"/>
        <v>71535.307499999995</v>
      </c>
      <c r="T3125" s="50">
        <f t="shared" si="717"/>
        <v>0</v>
      </c>
      <c r="U3125" s="58">
        <f t="shared" si="718"/>
        <v>0</v>
      </c>
      <c r="V3125" s="58">
        <f t="shared" si="719"/>
        <v>0</v>
      </c>
      <c r="W3125" s="58">
        <f t="shared" si="720"/>
        <v>0</v>
      </c>
      <c r="X3125" s="58">
        <f t="shared" si="721"/>
        <v>0</v>
      </c>
      <c r="Y3125" s="52">
        <f t="shared" si="722"/>
        <v>0</v>
      </c>
    </row>
    <row r="3126" spans="1:25" x14ac:dyDescent="0.25">
      <c r="A3126" s="1218" t="s">
        <v>132</v>
      </c>
      <c r="B3126" s="98">
        <v>46023</v>
      </c>
      <c r="C3126" s="117" t="str">
        <f t="shared" si="725"/>
        <v>5L</v>
      </c>
      <c r="F3126" s="99">
        <f t="shared" si="724"/>
        <v>0</v>
      </c>
      <c r="I3126" s="99">
        <f t="shared" si="723"/>
        <v>0</v>
      </c>
      <c r="L3126" s="99">
        <f t="shared" si="711"/>
        <v>0</v>
      </c>
      <c r="M3126" s="44" t="str">
        <f t="shared" si="713"/>
        <v/>
      </c>
      <c r="N3126" s="100">
        <f t="shared" si="714"/>
        <v>0</v>
      </c>
      <c r="O3126" s="101">
        <f t="shared" si="715"/>
        <v>0</v>
      </c>
      <c r="P3126" s="52">
        <f t="shared" si="716"/>
        <v>0</v>
      </c>
      <c r="Q3126" s="49">
        <v>116.88487613461319</v>
      </c>
      <c r="R3126">
        <v>2225</v>
      </c>
      <c r="S3126" s="50">
        <f t="shared" si="712"/>
        <v>71535.307499999995</v>
      </c>
      <c r="T3126" s="50">
        <f t="shared" si="717"/>
        <v>0</v>
      </c>
      <c r="U3126" s="58">
        <f t="shared" si="718"/>
        <v>0</v>
      </c>
      <c r="V3126" s="58">
        <f t="shared" si="719"/>
        <v>0</v>
      </c>
      <c r="W3126" s="58">
        <f t="shared" si="720"/>
        <v>0</v>
      </c>
      <c r="X3126" s="58">
        <f t="shared" si="721"/>
        <v>0</v>
      </c>
      <c r="Y3126" s="52">
        <f t="shared" si="722"/>
        <v>0</v>
      </c>
    </row>
    <row r="3127" spans="1:25" x14ac:dyDescent="0.25">
      <c r="A3127" s="1218" t="s">
        <v>133</v>
      </c>
      <c r="B3127" s="98">
        <v>46023</v>
      </c>
      <c r="C3127" s="117" t="str">
        <f t="shared" si="725"/>
        <v>5L</v>
      </c>
      <c r="F3127" s="99">
        <f t="shared" si="724"/>
        <v>0</v>
      </c>
      <c r="I3127" s="99">
        <f t="shared" si="723"/>
        <v>0</v>
      </c>
      <c r="L3127" s="99">
        <f t="shared" si="711"/>
        <v>0</v>
      </c>
      <c r="M3127" s="44" t="str">
        <f t="shared" si="713"/>
        <v/>
      </c>
      <c r="N3127" s="100">
        <f t="shared" si="714"/>
        <v>0</v>
      </c>
      <c r="O3127" s="101">
        <f t="shared" si="715"/>
        <v>0</v>
      </c>
      <c r="P3127" s="52">
        <f t="shared" si="716"/>
        <v>0</v>
      </c>
      <c r="Q3127" s="49">
        <v>116.88487613461319</v>
      </c>
      <c r="R3127">
        <v>2225</v>
      </c>
      <c r="S3127" s="50">
        <f t="shared" si="712"/>
        <v>71535.307499999995</v>
      </c>
      <c r="T3127" s="50">
        <f t="shared" si="717"/>
        <v>0</v>
      </c>
      <c r="U3127" s="58">
        <f t="shared" si="718"/>
        <v>0</v>
      </c>
      <c r="V3127" s="58">
        <f t="shared" si="719"/>
        <v>0</v>
      </c>
      <c r="W3127" s="58">
        <f t="shared" si="720"/>
        <v>0</v>
      </c>
      <c r="X3127" s="58">
        <f t="shared" si="721"/>
        <v>0</v>
      </c>
      <c r="Y3127" s="52">
        <f t="shared" si="722"/>
        <v>0</v>
      </c>
    </row>
    <row r="3128" spans="1:25" x14ac:dyDescent="0.25">
      <c r="A3128" s="1218" t="s">
        <v>134</v>
      </c>
      <c r="B3128" s="98">
        <v>46023</v>
      </c>
      <c r="C3128" s="117" t="str">
        <f t="shared" si="725"/>
        <v>5L</v>
      </c>
      <c r="F3128" s="99">
        <f t="shared" si="724"/>
        <v>0</v>
      </c>
      <c r="I3128" s="99">
        <f t="shared" si="723"/>
        <v>0</v>
      </c>
      <c r="L3128" s="99">
        <f t="shared" si="711"/>
        <v>0</v>
      </c>
      <c r="M3128" s="44" t="str">
        <f t="shared" si="713"/>
        <v/>
      </c>
      <c r="N3128" s="100">
        <f t="shared" si="714"/>
        <v>0</v>
      </c>
      <c r="O3128" s="101">
        <f t="shared" si="715"/>
        <v>0</v>
      </c>
      <c r="P3128" s="52">
        <f t="shared" si="716"/>
        <v>0</v>
      </c>
      <c r="Q3128" s="49">
        <v>116.88487613461319</v>
      </c>
      <c r="R3128">
        <v>2225</v>
      </c>
      <c r="S3128" s="50">
        <f t="shared" si="712"/>
        <v>71535.307499999995</v>
      </c>
      <c r="T3128" s="50">
        <f t="shared" si="717"/>
        <v>0</v>
      </c>
      <c r="U3128" s="58">
        <f t="shared" si="718"/>
        <v>0</v>
      </c>
      <c r="V3128" s="58">
        <f t="shared" si="719"/>
        <v>0</v>
      </c>
      <c r="W3128" s="58">
        <f t="shared" si="720"/>
        <v>0</v>
      </c>
      <c r="X3128" s="58">
        <f t="shared" si="721"/>
        <v>0</v>
      </c>
      <c r="Y3128" s="52">
        <f t="shared" si="722"/>
        <v>0</v>
      </c>
    </row>
    <row r="3129" spans="1:25" x14ac:dyDescent="0.25">
      <c r="A3129" s="1218" t="s">
        <v>135</v>
      </c>
      <c r="B3129" s="98">
        <v>46023</v>
      </c>
      <c r="C3129" s="117" t="str">
        <f t="shared" si="725"/>
        <v>5L</v>
      </c>
      <c r="F3129" s="99">
        <f t="shared" si="724"/>
        <v>0</v>
      </c>
      <c r="I3129" s="99">
        <f t="shared" si="723"/>
        <v>0</v>
      </c>
      <c r="L3129" s="99">
        <f t="shared" si="711"/>
        <v>0</v>
      </c>
      <c r="M3129" s="44" t="str">
        <f t="shared" si="713"/>
        <v/>
      </c>
      <c r="N3129" s="100">
        <f t="shared" si="714"/>
        <v>0</v>
      </c>
      <c r="O3129" s="101">
        <f t="shared" si="715"/>
        <v>0</v>
      </c>
      <c r="P3129" s="52">
        <f t="shared" si="716"/>
        <v>0</v>
      </c>
      <c r="Q3129" s="49">
        <v>116.88487613461319</v>
      </c>
      <c r="R3129">
        <v>2225</v>
      </c>
      <c r="S3129" s="50">
        <f t="shared" si="712"/>
        <v>71535.307499999995</v>
      </c>
      <c r="T3129" s="50">
        <f t="shared" si="717"/>
        <v>0</v>
      </c>
      <c r="U3129" s="58">
        <f t="shared" si="718"/>
        <v>0</v>
      </c>
      <c r="V3129" s="58">
        <f t="shared" si="719"/>
        <v>0</v>
      </c>
      <c r="W3129" s="58">
        <f t="shared" si="720"/>
        <v>0</v>
      </c>
      <c r="X3129" s="58">
        <f t="shared" si="721"/>
        <v>0</v>
      </c>
      <c r="Y3129" s="52">
        <f t="shared" si="722"/>
        <v>0</v>
      </c>
    </row>
    <row r="3130" spans="1:25" x14ac:dyDescent="0.25">
      <c r="A3130" s="1218" t="s">
        <v>136</v>
      </c>
      <c r="B3130" s="98">
        <v>46023</v>
      </c>
      <c r="C3130" s="117" t="str">
        <f t="shared" si="725"/>
        <v>5L</v>
      </c>
      <c r="F3130" s="99">
        <f t="shared" si="724"/>
        <v>0</v>
      </c>
      <c r="I3130" s="99">
        <f t="shared" si="723"/>
        <v>0</v>
      </c>
      <c r="L3130" s="99">
        <f t="shared" si="711"/>
        <v>0</v>
      </c>
      <c r="M3130" s="44" t="str">
        <f t="shared" si="713"/>
        <v/>
      </c>
      <c r="N3130" s="100">
        <f t="shared" si="714"/>
        <v>0</v>
      </c>
      <c r="O3130" s="101">
        <f t="shared" si="715"/>
        <v>0</v>
      </c>
      <c r="P3130" s="52">
        <f t="shared" si="716"/>
        <v>0</v>
      </c>
      <c r="Q3130" s="49">
        <v>116.88487613461319</v>
      </c>
      <c r="R3130">
        <v>2225</v>
      </c>
      <c r="S3130" s="50">
        <f t="shared" si="712"/>
        <v>71535.307499999995</v>
      </c>
      <c r="T3130" s="50">
        <f t="shared" si="717"/>
        <v>0</v>
      </c>
      <c r="U3130" s="58">
        <f t="shared" si="718"/>
        <v>0</v>
      </c>
      <c r="V3130" s="58">
        <f t="shared" si="719"/>
        <v>0</v>
      </c>
      <c r="W3130" s="58">
        <f t="shared" si="720"/>
        <v>0</v>
      </c>
      <c r="X3130" s="58">
        <f t="shared" si="721"/>
        <v>0</v>
      </c>
      <c r="Y3130" s="52">
        <f t="shared" si="722"/>
        <v>0</v>
      </c>
    </row>
    <row r="3131" spans="1:25" x14ac:dyDescent="0.25">
      <c r="A3131" s="1218" t="s">
        <v>137</v>
      </c>
      <c r="B3131" s="98">
        <v>46023</v>
      </c>
      <c r="C3131" s="117" t="str">
        <f t="shared" si="725"/>
        <v>5L</v>
      </c>
      <c r="F3131" s="99">
        <f t="shared" si="724"/>
        <v>0</v>
      </c>
      <c r="I3131" s="99">
        <f t="shared" si="723"/>
        <v>0</v>
      </c>
      <c r="L3131" s="99">
        <f t="shared" si="711"/>
        <v>0</v>
      </c>
      <c r="M3131" s="44" t="str">
        <f t="shared" si="713"/>
        <v/>
      </c>
      <c r="N3131" s="100">
        <f t="shared" si="714"/>
        <v>0</v>
      </c>
      <c r="O3131" s="101">
        <f t="shared" si="715"/>
        <v>0</v>
      </c>
      <c r="P3131" s="52">
        <f t="shared" si="716"/>
        <v>0</v>
      </c>
      <c r="Q3131" s="49">
        <v>116.88487613461319</v>
      </c>
      <c r="R3131">
        <v>2225</v>
      </c>
      <c r="S3131" s="50">
        <f t="shared" si="712"/>
        <v>71535.307499999995</v>
      </c>
      <c r="T3131" s="50">
        <f t="shared" si="717"/>
        <v>0</v>
      </c>
      <c r="U3131" s="58">
        <f t="shared" si="718"/>
        <v>0</v>
      </c>
      <c r="V3131" s="58">
        <f t="shared" si="719"/>
        <v>0</v>
      </c>
      <c r="W3131" s="58">
        <f t="shared" si="720"/>
        <v>0</v>
      </c>
      <c r="X3131" s="58">
        <f t="shared" si="721"/>
        <v>0</v>
      </c>
      <c r="Y3131" s="52">
        <f t="shared" si="722"/>
        <v>0</v>
      </c>
    </row>
    <row r="3132" spans="1:25" x14ac:dyDescent="0.25">
      <c r="A3132" s="1218" t="s">
        <v>138</v>
      </c>
      <c r="B3132" s="98">
        <v>46023</v>
      </c>
      <c r="C3132" s="117" t="str">
        <f t="shared" si="725"/>
        <v>5L</v>
      </c>
      <c r="F3132" s="99">
        <f t="shared" si="724"/>
        <v>0</v>
      </c>
      <c r="I3132" s="99">
        <f t="shared" si="723"/>
        <v>0</v>
      </c>
      <c r="L3132" s="99">
        <f t="shared" si="711"/>
        <v>0</v>
      </c>
      <c r="M3132" s="44" t="str">
        <f t="shared" si="713"/>
        <v/>
      </c>
      <c r="N3132" s="100">
        <f t="shared" si="714"/>
        <v>0</v>
      </c>
      <c r="O3132" s="101">
        <f t="shared" si="715"/>
        <v>0</v>
      </c>
      <c r="P3132" s="52">
        <f t="shared" si="716"/>
        <v>0</v>
      </c>
      <c r="Q3132" s="49">
        <v>116.88487613461319</v>
      </c>
      <c r="R3132">
        <v>2225</v>
      </c>
      <c r="S3132" s="50">
        <f t="shared" si="712"/>
        <v>71535.307499999995</v>
      </c>
      <c r="T3132" s="50">
        <f t="shared" si="717"/>
        <v>0</v>
      </c>
      <c r="U3132" s="58">
        <f t="shared" si="718"/>
        <v>0</v>
      </c>
      <c r="V3132" s="58">
        <f t="shared" si="719"/>
        <v>0</v>
      </c>
      <c r="W3132" s="58">
        <f t="shared" si="720"/>
        <v>0</v>
      </c>
      <c r="X3132" s="58">
        <f t="shared" si="721"/>
        <v>0</v>
      </c>
      <c r="Y3132" s="52">
        <f t="shared" si="722"/>
        <v>0</v>
      </c>
    </row>
    <row r="3133" spans="1:25" x14ac:dyDescent="0.25">
      <c r="A3133" s="1218" t="s">
        <v>139</v>
      </c>
      <c r="B3133" s="98">
        <v>46023</v>
      </c>
      <c r="C3133" s="117" t="str">
        <f t="shared" si="725"/>
        <v>5L</v>
      </c>
      <c r="F3133" s="99">
        <f t="shared" si="724"/>
        <v>0</v>
      </c>
      <c r="I3133" s="99">
        <f t="shared" si="723"/>
        <v>0</v>
      </c>
      <c r="L3133" s="99">
        <f t="shared" ref="L3133:L3198" si="727">IFERROR(J3133*K3133/1000,"")</f>
        <v>0</v>
      </c>
      <c r="M3133" s="44" t="str">
        <f t="shared" si="713"/>
        <v/>
      </c>
      <c r="N3133" s="100">
        <f t="shared" si="714"/>
        <v>0</v>
      </c>
      <c r="O3133" s="101">
        <f t="shared" si="715"/>
        <v>0</v>
      </c>
      <c r="P3133" s="52">
        <f t="shared" si="716"/>
        <v>0</v>
      </c>
      <c r="Q3133" s="49">
        <v>116.88487613461319</v>
      </c>
      <c r="R3133">
        <v>2225</v>
      </c>
      <c r="S3133" s="50">
        <f t="shared" ref="S3133:S3198" si="728">R3133*32.1507</f>
        <v>71535.307499999995</v>
      </c>
      <c r="T3133" s="50">
        <f t="shared" si="717"/>
        <v>0</v>
      </c>
      <c r="U3133" s="58">
        <f t="shared" si="718"/>
        <v>0</v>
      </c>
      <c r="V3133" s="58">
        <f t="shared" si="719"/>
        <v>0</v>
      </c>
      <c r="W3133" s="58">
        <f t="shared" si="720"/>
        <v>0</v>
      </c>
      <c r="X3133" s="58">
        <f t="shared" si="721"/>
        <v>0</v>
      </c>
      <c r="Y3133" s="52">
        <f t="shared" si="722"/>
        <v>0</v>
      </c>
    </row>
    <row r="3134" spans="1:25" x14ac:dyDescent="0.25">
      <c r="A3134" s="1218" t="s">
        <v>140</v>
      </c>
      <c r="B3134" s="98">
        <v>46023</v>
      </c>
      <c r="C3134" s="117" t="str">
        <f t="shared" si="725"/>
        <v>5L</v>
      </c>
      <c r="F3134" s="99">
        <f t="shared" si="724"/>
        <v>0</v>
      </c>
      <c r="I3134" s="99">
        <f t="shared" si="723"/>
        <v>0</v>
      </c>
      <c r="L3134" s="99">
        <f t="shared" si="727"/>
        <v>0</v>
      </c>
      <c r="M3134" s="44" t="str">
        <f t="shared" si="713"/>
        <v/>
      </c>
      <c r="N3134" s="100">
        <f t="shared" si="714"/>
        <v>0</v>
      </c>
      <c r="O3134" s="101">
        <f t="shared" si="715"/>
        <v>0</v>
      </c>
      <c r="P3134" s="52">
        <f t="shared" si="716"/>
        <v>0</v>
      </c>
      <c r="Q3134" s="49">
        <v>116.88487613461319</v>
      </c>
      <c r="R3134">
        <v>2225</v>
      </c>
      <c r="S3134" s="50">
        <f t="shared" si="728"/>
        <v>71535.307499999995</v>
      </c>
      <c r="T3134" s="50">
        <f t="shared" si="717"/>
        <v>0</v>
      </c>
      <c r="U3134" s="58">
        <f t="shared" si="718"/>
        <v>0</v>
      </c>
      <c r="V3134" s="58">
        <f t="shared" si="719"/>
        <v>0</v>
      </c>
      <c r="W3134" s="58">
        <f t="shared" si="720"/>
        <v>0</v>
      </c>
      <c r="X3134" s="58">
        <f t="shared" si="721"/>
        <v>0</v>
      </c>
      <c r="Y3134" s="52">
        <f t="shared" si="722"/>
        <v>0</v>
      </c>
    </row>
    <row r="3135" spans="1:25" x14ac:dyDescent="0.25">
      <c r="A3135" s="1218" t="s">
        <v>141</v>
      </c>
      <c r="B3135" s="98">
        <v>46023</v>
      </c>
      <c r="C3135" s="117" t="str">
        <f t="shared" si="725"/>
        <v>5L</v>
      </c>
      <c r="F3135" s="99">
        <f t="shared" si="724"/>
        <v>0</v>
      </c>
      <c r="I3135" s="99">
        <f t="shared" si="723"/>
        <v>0</v>
      </c>
      <c r="L3135" s="99">
        <f t="shared" si="727"/>
        <v>0</v>
      </c>
      <c r="M3135" s="44" t="str">
        <f t="shared" ref="M3135:M3200" si="729">IFERROR((L3135-I3135)/I3135,"")</f>
        <v/>
      </c>
      <c r="N3135" s="100">
        <f t="shared" ref="N3135:N3200" si="730">J3135-G3135</f>
        <v>0</v>
      </c>
      <c r="O3135" s="101">
        <f t="shared" ref="O3135:O3200" si="731">L3135-I3135</f>
        <v>0</v>
      </c>
      <c r="P3135" s="52">
        <f t="shared" ref="P3135:P3200" si="732">U3135-W3135</f>
        <v>0</v>
      </c>
      <c r="Q3135" s="49">
        <v>116.88487613461319</v>
      </c>
      <c r="R3135">
        <v>2225</v>
      </c>
      <c r="S3135" s="50">
        <f t="shared" si="728"/>
        <v>71535.307499999995</v>
      </c>
      <c r="T3135" s="50">
        <f t="shared" ref="T3135:T3200" si="733">IFERROR(S3135*I3135,"")</f>
        <v>0</v>
      </c>
      <c r="U3135" s="58">
        <f t="shared" ref="U3135:U3200" si="734">IFERROR(S3135*L3135,"")</f>
        <v>0</v>
      </c>
      <c r="V3135" s="58">
        <f t="shared" ref="V3135:V3200" si="735">IFERROR(Q3135*G3135,"")</f>
        <v>0</v>
      </c>
      <c r="W3135" s="58">
        <f t="shared" ref="W3135:W3200" si="736">IFERROR(Q3135*J3135,"")</f>
        <v>0</v>
      </c>
      <c r="X3135" s="58">
        <f t="shared" ref="X3135:X3200" si="737">T3135-V3135</f>
        <v>0</v>
      </c>
      <c r="Y3135" s="52">
        <f t="shared" ref="Y3135:Y3200" si="738">U3135-W3135</f>
        <v>0</v>
      </c>
    </row>
    <row r="3136" spans="1:25" x14ac:dyDescent="0.25">
      <c r="A3136" s="1218" t="s">
        <v>142</v>
      </c>
      <c r="B3136" s="98">
        <v>46023</v>
      </c>
      <c r="C3136" s="117" t="str">
        <f t="shared" si="725"/>
        <v>5L</v>
      </c>
      <c r="F3136" s="99">
        <f t="shared" si="724"/>
        <v>0</v>
      </c>
      <c r="I3136" s="99">
        <f t="shared" si="723"/>
        <v>0</v>
      </c>
      <c r="L3136" s="99">
        <f t="shared" si="727"/>
        <v>0</v>
      </c>
      <c r="M3136" s="44" t="str">
        <f t="shared" si="729"/>
        <v/>
      </c>
      <c r="N3136" s="100">
        <f t="shared" si="730"/>
        <v>0</v>
      </c>
      <c r="O3136" s="101">
        <f t="shared" si="731"/>
        <v>0</v>
      </c>
      <c r="P3136" s="52">
        <f t="shared" si="732"/>
        <v>0</v>
      </c>
      <c r="Q3136" s="49">
        <v>116.88487613461319</v>
      </c>
      <c r="R3136">
        <v>2225</v>
      </c>
      <c r="S3136" s="50">
        <f t="shared" si="728"/>
        <v>71535.307499999995</v>
      </c>
      <c r="T3136" s="50">
        <f t="shared" si="733"/>
        <v>0</v>
      </c>
      <c r="U3136" s="58">
        <f t="shared" si="734"/>
        <v>0</v>
      </c>
      <c r="V3136" s="58">
        <f t="shared" si="735"/>
        <v>0</v>
      </c>
      <c r="W3136" s="58">
        <f t="shared" si="736"/>
        <v>0</v>
      </c>
      <c r="X3136" s="58">
        <f t="shared" si="737"/>
        <v>0</v>
      </c>
      <c r="Y3136" s="52">
        <f t="shared" si="738"/>
        <v>0</v>
      </c>
    </row>
    <row r="3137" spans="1:25" x14ac:dyDescent="0.25">
      <c r="A3137" s="1218" t="s">
        <v>143</v>
      </c>
      <c r="B3137" s="98">
        <v>46023</v>
      </c>
      <c r="C3137" s="117" t="str">
        <f t="shared" si="725"/>
        <v>5L</v>
      </c>
      <c r="F3137" s="99">
        <f t="shared" si="724"/>
        <v>0</v>
      </c>
      <c r="I3137" s="99">
        <f t="shared" si="723"/>
        <v>0</v>
      </c>
      <c r="L3137" s="99">
        <f t="shared" si="727"/>
        <v>0</v>
      </c>
      <c r="M3137" s="44" t="str">
        <f t="shared" si="729"/>
        <v/>
      </c>
      <c r="N3137" s="100">
        <f t="shared" si="730"/>
        <v>0</v>
      </c>
      <c r="O3137" s="101">
        <f t="shared" si="731"/>
        <v>0</v>
      </c>
      <c r="P3137" s="52">
        <f t="shared" si="732"/>
        <v>0</v>
      </c>
      <c r="Q3137" s="49">
        <v>116.88487613461319</v>
      </c>
      <c r="R3137">
        <v>2225</v>
      </c>
      <c r="S3137" s="50">
        <f t="shared" si="728"/>
        <v>71535.307499999995</v>
      </c>
      <c r="T3137" s="50">
        <f t="shared" si="733"/>
        <v>0</v>
      </c>
      <c r="U3137" s="58">
        <f t="shared" si="734"/>
        <v>0</v>
      </c>
      <c r="V3137" s="58">
        <f t="shared" si="735"/>
        <v>0</v>
      </c>
      <c r="W3137" s="58">
        <f t="shared" si="736"/>
        <v>0</v>
      </c>
      <c r="X3137" s="58">
        <f t="shared" si="737"/>
        <v>0</v>
      </c>
      <c r="Y3137" s="52">
        <f t="shared" si="738"/>
        <v>0</v>
      </c>
    </row>
    <row r="3138" spans="1:25" x14ac:dyDescent="0.25">
      <c r="A3138" s="1218" t="s">
        <v>144</v>
      </c>
      <c r="B3138" s="98">
        <v>46023</v>
      </c>
      <c r="C3138" s="117" t="str">
        <f t="shared" si="725"/>
        <v>5L</v>
      </c>
      <c r="F3138" s="99">
        <f t="shared" si="724"/>
        <v>0</v>
      </c>
      <c r="I3138" s="99">
        <f t="shared" si="723"/>
        <v>0</v>
      </c>
      <c r="L3138" s="99">
        <f t="shared" si="727"/>
        <v>0</v>
      </c>
      <c r="M3138" s="44" t="str">
        <f t="shared" si="729"/>
        <v/>
      </c>
      <c r="N3138" s="100">
        <f t="shared" si="730"/>
        <v>0</v>
      </c>
      <c r="O3138" s="101">
        <f t="shared" si="731"/>
        <v>0</v>
      </c>
      <c r="P3138" s="52">
        <f t="shared" si="732"/>
        <v>0</v>
      </c>
      <c r="Q3138" s="49">
        <v>116.88487613461319</v>
      </c>
      <c r="R3138">
        <v>2225</v>
      </c>
      <c r="S3138" s="50">
        <f t="shared" si="728"/>
        <v>71535.307499999995</v>
      </c>
      <c r="T3138" s="50">
        <f t="shared" si="733"/>
        <v>0</v>
      </c>
      <c r="U3138" s="58">
        <f t="shared" si="734"/>
        <v>0</v>
      </c>
      <c r="V3138" s="58">
        <f t="shared" si="735"/>
        <v>0</v>
      </c>
      <c r="W3138" s="58">
        <f t="shared" si="736"/>
        <v>0</v>
      </c>
      <c r="X3138" s="58">
        <f t="shared" si="737"/>
        <v>0</v>
      </c>
      <c r="Y3138" s="52">
        <f t="shared" si="738"/>
        <v>0</v>
      </c>
    </row>
    <row r="3139" spans="1:25" x14ac:dyDescent="0.25">
      <c r="A3139" s="1218" t="s">
        <v>145</v>
      </c>
      <c r="B3139" s="98">
        <v>46023</v>
      </c>
      <c r="C3139" s="117" t="str">
        <f t="shared" si="725"/>
        <v>5L</v>
      </c>
      <c r="F3139" s="99">
        <f t="shared" si="724"/>
        <v>0</v>
      </c>
      <c r="I3139" s="99">
        <f t="shared" si="723"/>
        <v>0</v>
      </c>
      <c r="L3139" s="99">
        <f t="shared" si="727"/>
        <v>0</v>
      </c>
      <c r="M3139" s="44" t="str">
        <f t="shared" si="729"/>
        <v/>
      </c>
      <c r="N3139" s="100">
        <f t="shared" si="730"/>
        <v>0</v>
      </c>
      <c r="O3139" s="101">
        <f t="shared" si="731"/>
        <v>0</v>
      </c>
      <c r="P3139" s="52">
        <f t="shared" si="732"/>
        <v>0</v>
      </c>
      <c r="Q3139" s="49">
        <v>116.88487613461319</v>
      </c>
      <c r="R3139">
        <v>2225</v>
      </c>
      <c r="S3139" s="50">
        <f t="shared" si="728"/>
        <v>71535.307499999995</v>
      </c>
      <c r="T3139" s="50">
        <f t="shared" si="733"/>
        <v>0</v>
      </c>
      <c r="U3139" s="58">
        <f t="shared" si="734"/>
        <v>0</v>
      </c>
      <c r="V3139" s="58">
        <f t="shared" si="735"/>
        <v>0</v>
      </c>
      <c r="W3139" s="58">
        <f t="shared" si="736"/>
        <v>0</v>
      </c>
      <c r="X3139" s="58">
        <f t="shared" si="737"/>
        <v>0</v>
      </c>
      <c r="Y3139" s="52">
        <f t="shared" si="738"/>
        <v>0</v>
      </c>
    </row>
    <row r="3140" spans="1:25" x14ac:dyDescent="0.25">
      <c r="A3140" s="1218" t="s">
        <v>146</v>
      </c>
      <c r="B3140" s="98">
        <v>46023</v>
      </c>
      <c r="C3140" s="117" t="str">
        <f t="shared" si="725"/>
        <v>5L</v>
      </c>
      <c r="F3140" s="99">
        <f t="shared" si="724"/>
        <v>0</v>
      </c>
      <c r="I3140" s="99">
        <f t="shared" si="723"/>
        <v>0</v>
      </c>
      <c r="L3140" s="99">
        <f t="shared" si="727"/>
        <v>0</v>
      </c>
      <c r="M3140" s="44" t="str">
        <f t="shared" si="729"/>
        <v/>
      </c>
      <c r="N3140" s="100">
        <f t="shared" si="730"/>
        <v>0</v>
      </c>
      <c r="O3140" s="101">
        <f t="shared" si="731"/>
        <v>0</v>
      </c>
      <c r="P3140" s="52">
        <f t="shared" si="732"/>
        <v>0</v>
      </c>
      <c r="Q3140" s="49">
        <v>116.88487613461319</v>
      </c>
      <c r="R3140">
        <v>2225</v>
      </c>
      <c r="S3140" s="50">
        <f t="shared" si="728"/>
        <v>71535.307499999995</v>
      </c>
      <c r="T3140" s="50">
        <f t="shared" si="733"/>
        <v>0</v>
      </c>
      <c r="U3140" s="58">
        <f t="shared" si="734"/>
        <v>0</v>
      </c>
      <c r="V3140" s="58">
        <f t="shared" si="735"/>
        <v>0</v>
      </c>
      <c r="W3140" s="58">
        <f t="shared" si="736"/>
        <v>0</v>
      </c>
      <c r="X3140" s="58">
        <f t="shared" si="737"/>
        <v>0</v>
      </c>
      <c r="Y3140" s="52">
        <f t="shared" si="738"/>
        <v>0</v>
      </c>
    </row>
    <row r="3141" spans="1:25" x14ac:dyDescent="0.25">
      <c r="A3141" s="1218" t="s">
        <v>147</v>
      </c>
      <c r="B3141" s="98">
        <v>46023</v>
      </c>
      <c r="C3141" s="117" t="str">
        <f t="shared" si="725"/>
        <v>5L</v>
      </c>
      <c r="F3141" s="99">
        <f t="shared" si="724"/>
        <v>0</v>
      </c>
      <c r="I3141" s="99">
        <f t="shared" si="723"/>
        <v>0</v>
      </c>
      <c r="L3141" s="99">
        <f t="shared" si="727"/>
        <v>0</v>
      </c>
      <c r="M3141" s="44" t="str">
        <f t="shared" si="729"/>
        <v/>
      </c>
      <c r="N3141" s="100">
        <f t="shared" si="730"/>
        <v>0</v>
      </c>
      <c r="O3141" s="101">
        <f t="shared" si="731"/>
        <v>0</v>
      </c>
      <c r="P3141" s="52">
        <f t="shared" si="732"/>
        <v>0</v>
      </c>
      <c r="Q3141" s="49">
        <v>116.88487613461319</v>
      </c>
      <c r="R3141">
        <v>2225</v>
      </c>
      <c r="S3141" s="50">
        <f t="shared" si="728"/>
        <v>71535.307499999995</v>
      </c>
      <c r="T3141" s="50">
        <f t="shared" si="733"/>
        <v>0</v>
      </c>
      <c r="U3141" s="58">
        <f t="shared" si="734"/>
        <v>0</v>
      </c>
      <c r="V3141" s="58">
        <f t="shared" si="735"/>
        <v>0</v>
      </c>
      <c r="W3141" s="58">
        <f t="shared" si="736"/>
        <v>0</v>
      </c>
      <c r="X3141" s="58">
        <f t="shared" si="737"/>
        <v>0</v>
      </c>
      <c r="Y3141" s="52">
        <f t="shared" si="738"/>
        <v>0</v>
      </c>
    </row>
    <row r="3142" spans="1:25" x14ac:dyDescent="0.25">
      <c r="A3142" s="1218" t="s">
        <v>148</v>
      </c>
      <c r="B3142" s="98">
        <v>46023</v>
      </c>
      <c r="C3142" s="117" t="str">
        <f t="shared" si="725"/>
        <v>5L</v>
      </c>
      <c r="F3142" s="99">
        <f t="shared" si="724"/>
        <v>0</v>
      </c>
      <c r="I3142" s="99">
        <f t="shared" si="723"/>
        <v>0</v>
      </c>
      <c r="L3142" s="99">
        <f t="shared" si="727"/>
        <v>0</v>
      </c>
      <c r="M3142" s="44" t="str">
        <f t="shared" si="729"/>
        <v/>
      </c>
      <c r="N3142" s="100">
        <f t="shared" si="730"/>
        <v>0</v>
      </c>
      <c r="O3142" s="101">
        <f t="shared" si="731"/>
        <v>0</v>
      </c>
      <c r="P3142" s="52">
        <f t="shared" si="732"/>
        <v>0</v>
      </c>
      <c r="Q3142" s="49">
        <v>116.88487613461319</v>
      </c>
      <c r="R3142">
        <v>2225</v>
      </c>
      <c r="S3142" s="50">
        <f t="shared" si="728"/>
        <v>71535.307499999995</v>
      </c>
      <c r="T3142" s="50">
        <f t="shared" si="733"/>
        <v>0</v>
      </c>
      <c r="U3142" s="58">
        <f t="shared" si="734"/>
        <v>0</v>
      </c>
      <c r="V3142" s="58">
        <f t="shared" si="735"/>
        <v>0</v>
      </c>
      <c r="W3142" s="58">
        <f t="shared" si="736"/>
        <v>0</v>
      </c>
      <c r="X3142" s="58">
        <f t="shared" si="737"/>
        <v>0</v>
      </c>
      <c r="Y3142" s="52">
        <f t="shared" si="738"/>
        <v>0</v>
      </c>
    </row>
    <row r="3143" spans="1:25" x14ac:dyDescent="0.25">
      <c r="A3143" s="1218" t="s">
        <v>149</v>
      </c>
      <c r="B3143" s="98">
        <v>46023</v>
      </c>
      <c r="C3143" s="117" t="str">
        <f t="shared" si="725"/>
        <v>5L</v>
      </c>
      <c r="F3143" s="99">
        <f t="shared" si="724"/>
        <v>0</v>
      </c>
      <c r="I3143" s="99">
        <f t="shared" ref="I3143:I3206" si="739">IFERROR(G3143*H3143/1000,"")</f>
        <v>0</v>
      </c>
      <c r="L3143" s="99">
        <f t="shared" si="727"/>
        <v>0</v>
      </c>
      <c r="M3143" s="44" t="str">
        <f t="shared" si="729"/>
        <v/>
      </c>
      <c r="N3143" s="100">
        <f t="shared" si="730"/>
        <v>0</v>
      </c>
      <c r="O3143" s="101">
        <f t="shared" si="731"/>
        <v>0</v>
      </c>
      <c r="P3143" s="52">
        <f t="shared" si="732"/>
        <v>0</v>
      </c>
      <c r="Q3143" s="49">
        <v>116.88487613461319</v>
      </c>
      <c r="R3143">
        <v>2225</v>
      </c>
      <c r="S3143" s="50">
        <f t="shared" si="728"/>
        <v>71535.307499999995</v>
      </c>
      <c r="T3143" s="50">
        <f t="shared" si="733"/>
        <v>0</v>
      </c>
      <c r="U3143" s="58">
        <f t="shared" si="734"/>
        <v>0</v>
      </c>
      <c r="V3143" s="58">
        <f t="shared" si="735"/>
        <v>0</v>
      </c>
      <c r="W3143" s="58">
        <f t="shared" si="736"/>
        <v>0</v>
      </c>
      <c r="X3143" s="58">
        <f t="shared" si="737"/>
        <v>0</v>
      </c>
      <c r="Y3143" s="52">
        <f t="shared" si="738"/>
        <v>0</v>
      </c>
    </row>
    <row r="3144" spans="1:25" x14ac:dyDescent="0.25">
      <c r="A3144" s="1218" t="s">
        <v>150</v>
      </c>
      <c r="B3144" s="98">
        <v>46023</v>
      </c>
      <c r="C3144" s="117" t="str">
        <f t="shared" si="725"/>
        <v>6L</v>
      </c>
      <c r="F3144" s="99">
        <f t="shared" si="724"/>
        <v>0</v>
      </c>
      <c r="I3144" s="99">
        <f t="shared" si="739"/>
        <v>0</v>
      </c>
      <c r="L3144" s="99">
        <f t="shared" si="727"/>
        <v>0</v>
      </c>
      <c r="M3144" s="44" t="str">
        <f t="shared" si="729"/>
        <v/>
      </c>
      <c r="N3144" s="100">
        <f t="shared" si="730"/>
        <v>0</v>
      </c>
      <c r="O3144" s="101">
        <f t="shared" si="731"/>
        <v>0</v>
      </c>
      <c r="P3144" s="52">
        <f t="shared" si="732"/>
        <v>0</v>
      </c>
      <c r="Q3144" s="49">
        <v>116.88487613461319</v>
      </c>
      <c r="R3144">
        <v>2225</v>
      </c>
      <c r="S3144" s="50">
        <f t="shared" si="728"/>
        <v>71535.307499999995</v>
      </c>
      <c r="T3144" s="50">
        <f t="shared" si="733"/>
        <v>0</v>
      </c>
      <c r="U3144" s="58">
        <f t="shared" si="734"/>
        <v>0</v>
      </c>
      <c r="V3144" s="58">
        <f t="shared" si="735"/>
        <v>0</v>
      </c>
      <c r="W3144" s="58">
        <f t="shared" si="736"/>
        <v>0</v>
      </c>
      <c r="X3144" s="58">
        <f t="shared" si="737"/>
        <v>0</v>
      </c>
      <c r="Y3144" s="52">
        <f t="shared" si="738"/>
        <v>0</v>
      </c>
    </row>
    <row r="3145" spans="1:25" x14ac:dyDescent="0.25">
      <c r="A3145" s="1218" t="s">
        <v>151</v>
      </c>
      <c r="B3145" s="98">
        <v>46023</v>
      </c>
      <c r="C3145" s="117" t="str">
        <f t="shared" si="725"/>
        <v>6L</v>
      </c>
      <c r="F3145" s="99">
        <f t="shared" si="724"/>
        <v>0</v>
      </c>
      <c r="I3145" s="99">
        <f t="shared" si="739"/>
        <v>0</v>
      </c>
      <c r="L3145" s="99">
        <f t="shared" si="727"/>
        <v>0</v>
      </c>
      <c r="M3145" s="44" t="str">
        <f t="shared" si="729"/>
        <v/>
      </c>
      <c r="N3145" s="100">
        <f t="shared" si="730"/>
        <v>0</v>
      </c>
      <c r="O3145" s="101">
        <f t="shared" si="731"/>
        <v>0</v>
      </c>
      <c r="P3145" s="52">
        <f t="shared" si="732"/>
        <v>0</v>
      </c>
      <c r="Q3145" s="49">
        <v>116.88487613461319</v>
      </c>
      <c r="R3145">
        <v>2225</v>
      </c>
      <c r="S3145" s="50">
        <f t="shared" si="728"/>
        <v>71535.307499999995</v>
      </c>
      <c r="T3145" s="50">
        <f t="shared" si="733"/>
        <v>0</v>
      </c>
      <c r="U3145" s="58">
        <f t="shared" si="734"/>
        <v>0</v>
      </c>
      <c r="V3145" s="58">
        <f t="shared" si="735"/>
        <v>0</v>
      </c>
      <c r="W3145" s="58">
        <f t="shared" si="736"/>
        <v>0</v>
      </c>
      <c r="X3145" s="58">
        <f t="shared" si="737"/>
        <v>0</v>
      </c>
      <c r="Y3145" s="52">
        <f t="shared" si="738"/>
        <v>0</v>
      </c>
    </row>
    <row r="3146" spans="1:25" x14ac:dyDescent="0.25">
      <c r="A3146" s="1218" t="s">
        <v>152</v>
      </c>
      <c r="B3146" s="98">
        <v>46023</v>
      </c>
      <c r="C3146" s="117" t="str">
        <f t="shared" si="725"/>
        <v>6L</v>
      </c>
      <c r="F3146" s="99">
        <f t="shared" si="724"/>
        <v>0</v>
      </c>
      <c r="I3146" s="99">
        <f t="shared" si="739"/>
        <v>0</v>
      </c>
      <c r="L3146" s="99"/>
      <c r="M3146" s="44"/>
      <c r="N3146" s="100"/>
      <c r="O3146" s="101"/>
      <c r="P3146" s="52"/>
      <c r="Q3146" s="49"/>
      <c r="S3146" s="50"/>
      <c r="T3146" s="50"/>
      <c r="U3146" s="58"/>
      <c r="V3146" s="58"/>
      <c r="W3146" s="58"/>
      <c r="X3146" s="58"/>
      <c r="Y3146" s="52"/>
    </row>
    <row r="3147" spans="1:25" x14ac:dyDescent="0.25">
      <c r="A3147" s="1218" t="s">
        <v>153</v>
      </c>
      <c r="B3147" s="98">
        <v>46023</v>
      </c>
      <c r="C3147" s="117" t="str">
        <f t="shared" si="725"/>
        <v>6L</v>
      </c>
      <c r="F3147" s="99">
        <f t="shared" si="724"/>
        <v>0</v>
      </c>
      <c r="I3147" s="99">
        <f t="shared" si="739"/>
        <v>0</v>
      </c>
      <c r="L3147" s="99"/>
      <c r="M3147" s="44"/>
      <c r="N3147" s="100"/>
      <c r="O3147" s="101"/>
      <c r="P3147" s="52"/>
      <c r="Q3147" s="49"/>
      <c r="S3147" s="50"/>
      <c r="T3147" s="50"/>
      <c r="U3147" s="58"/>
      <c r="V3147" s="58"/>
      <c r="W3147" s="58"/>
      <c r="X3147" s="58"/>
      <c r="Y3147" s="52"/>
    </row>
    <row r="3148" spans="1:25" x14ac:dyDescent="0.25">
      <c r="A3148" s="1218" t="s">
        <v>154</v>
      </c>
      <c r="B3148" s="98">
        <v>46023</v>
      </c>
      <c r="C3148" s="117" t="str">
        <f t="shared" si="725"/>
        <v>6L</v>
      </c>
      <c r="F3148" s="99">
        <f t="shared" si="724"/>
        <v>0</v>
      </c>
      <c r="I3148" s="99">
        <f t="shared" si="739"/>
        <v>0</v>
      </c>
      <c r="L3148" s="99"/>
      <c r="M3148" s="44"/>
      <c r="N3148" s="100"/>
      <c r="O3148" s="101"/>
      <c r="P3148" s="52"/>
      <c r="Q3148" s="49"/>
      <c r="S3148" s="50"/>
      <c r="T3148" s="50"/>
      <c r="U3148" s="58"/>
      <c r="V3148" s="58"/>
      <c r="W3148" s="58"/>
      <c r="X3148" s="58"/>
      <c r="Y3148" s="52"/>
    </row>
    <row r="3149" spans="1:25" x14ac:dyDescent="0.25">
      <c r="A3149" s="1218" t="s">
        <v>155</v>
      </c>
      <c r="B3149" s="98">
        <v>46023</v>
      </c>
      <c r="C3149" s="117" t="str">
        <f t="shared" si="725"/>
        <v>6L</v>
      </c>
      <c r="F3149" s="99">
        <f t="shared" si="724"/>
        <v>0</v>
      </c>
      <c r="I3149" s="99">
        <f t="shared" si="739"/>
        <v>0</v>
      </c>
      <c r="L3149" s="99">
        <f t="shared" si="727"/>
        <v>0</v>
      </c>
      <c r="M3149" s="44" t="str">
        <f t="shared" si="729"/>
        <v/>
      </c>
      <c r="N3149" s="100">
        <f t="shared" si="730"/>
        <v>0</v>
      </c>
      <c r="O3149" s="101">
        <f t="shared" si="731"/>
        <v>0</v>
      </c>
      <c r="P3149" s="52">
        <f t="shared" si="732"/>
        <v>0</v>
      </c>
      <c r="Q3149" s="49">
        <v>116.88487613461319</v>
      </c>
      <c r="R3149">
        <v>2225</v>
      </c>
      <c r="S3149" s="50">
        <f t="shared" si="728"/>
        <v>71535.307499999995</v>
      </c>
      <c r="T3149" s="50">
        <f t="shared" si="733"/>
        <v>0</v>
      </c>
      <c r="U3149" s="58">
        <f t="shared" si="734"/>
        <v>0</v>
      </c>
      <c r="V3149" s="58">
        <f t="shared" si="735"/>
        <v>0</v>
      </c>
      <c r="W3149" s="58">
        <f t="shared" si="736"/>
        <v>0</v>
      </c>
      <c r="X3149" s="58">
        <f t="shared" si="737"/>
        <v>0</v>
      </c>
      <c r="Y3149" s="52">
        <f t="shared" si="738"/>
        <v>0</v>
      </c>
    </row>
    <row r="3150" spans="1:25" x14ac:dyDescent="0.25">
      <c r="A3150" s="1218" t="s">
        <v>156</v>
      </c>
      <c r="B3150" s="98">
        <v>46023</v>
      </c>
      <c r="C3150" s="117" t="str">
        <f t="shared" si="725"/>
        <v>6L</v>
      </c>
      <c r="F3150" s="99">
        <f t="shared" si="724"/>
        <v>0</v>
      </c>
      <c r="I3150" s="99">
        <f t="shared" si="739"/>
        <v>0</v>
      </c>
      <c r="L3150" s="99"/>
      <c r="M3150" s="44"/>
      <c r="N3150" s="100"/>
      <c r="O3150" s="101"/>
      <c r="P3150" s="52"/>
      <c r="Q3150" s="49"/>
      <c r="S3150" s="50"/>
      <c r="T3150" s="50"/>
      <c r="U3150" s="58"/>
      <c r="V3150" s="58"/>
      <c r="W3150" s="58"/>
      <c r="X3150" s="58"/>
      <c r="Y3150" s="52"/>
    </row>
    <row r="3151" spans="1:25" x14ac:dyDescent="0.25">
      <c r="A3151" s="1218" t="s">
        <v>157</v>
      </c>
      <c r="B3151" s="98">
        <v>46023</v>
      </c>
      <c r="C3151" s="117" t="str">
        <f t="shared" si="725"/>
        <v>6L</v>
      </c>
      <c r="F3151" s="99">
        <f t="shared" si="724"/>
        <v>0</v>
      </c>
      <c r="I3151" s="99">
        <f t="shared" si="739"/>
        <v>0</v>
      </c>
      <c r="L3151" s="99">
        <f t="shared" si="727"/>
        <v>0</v>
      </c>
      <c r="M3151" s="44" t="str">
        <f t="shared" si="729"/>
        <v/>
      </c>
      <c r="N3151" s="100">
        <f t="shared" si="730"/>
        <v>0</v>
      </c>
      <c r="O3151" s="101">
        <f t="shared" si="731"/>
        <v>0</v>
      </c>
      <c r="P3151" s="52">
        <f t="shared" si="732"/>
        <v>0</v>
      </c>
      <c r="Q3151" s="49">
        <v>116.88487613461319</v>
      </c>
      <c r="R3151">
        <v>2225</v>
      </c>
      <c r="S3151" s="50">
        <f t="shared" si="728"/>
        <v>71535.307499999995</v>
      </c>
      <c r="T3151" s="50">
        <f t="shared" si="733"/>
        <v>0</v>
      </c>
      <c r="U3151" s="58">
        <f t="shared" si="734"/>
        <v>0</v>
      </c>
      <c r="V3151" s="58">
        <f t="shared" si="735"/>
        <v>0</v>
      </c>
      <c r="W3151" s="58">
        <f t="shared" si="736"/>
        <v>0</v>
      </c>
      <c r="X3151" s="58">
        <f t="shared" si="737"/>
        <v>0</v>
      </c>
      <c r="Y3151" s="52">
        <f t="shared" si="738"/>
        <v>0</v>
      </c>
    </row>
    <row r="3152" spans="1:25" x14ac:dyDescent="0.25">
      <c r="A3152" s="1218" t="s">
        <v>158</v>
      </c>
      <c r="B3152" s="98">
        <v>46023</v>
      </c>
      <c r="C3152" s="117" t="str">
        <f t="shared" si="725"/>
        <v>6L</v>
      </c>
      <c r="F3152" s="99">
        <f t="shared" si="724"/>
        <v>0</v>
      </c>
      <c r="I3152" s="99">
        <f t="shared" si="739"/>
        <v>0</v>
      </c>
      <c r="L3152" s="99">
        <f t="shared" si="727"/>
        <v>0</v>
      </c>
      <c r="M3152" s="44" t="str">
        <f t="shared" si="729"/>
        <v/>
      </c>
      <c r="N3152" s="100">
        <f t="shared" si="730"/>
        <v>0</v>
      </c>
      <c r="O3152" s="101">
        <f t="shared" si="731"/>
        <v>0</v>
      </c>
      <c r="P3152" s="52">
        <f t="shared" si="732"/>
        <v>0</v>
      </c>
      <c r="Q3152" s="49">
        <v>116.88487613461319</v>
      </c>
      <c r="R3152">
        <v>2225</v>
      </c>
      <c r="S3152" s="50">
        <f t="shared" si="728"/>
        <v>71535.307499999995</v>
      </c>
      <c r="T3152" s="50">
        <f t="shared" si="733"/>
        <v>0</v>
      </c>
      <c r="U3152" s="58">
        <f t="shared" si="734"/>
        <v>0</v>
      </c>
      <c r="V3152" s="58">
        <f t="shared" si="735"/>
        <v>0</v>
      </c>
      <c r="W3152" s="58">
        <f t="shared" si="736"/>
        <v>0</v>
      </c>
      <c r="X3152" s="58">
        <f t="shared" si="737"/>
        <v>0</v>
      </c>
      <c r="Y3152" s="52">
        <f t="shared" si="738"/>
        <v>0</v>
      </c>
    </row>
    <row r="3153" spans="1:25" x14ac:dyDescent="0.25">
      <c r="A3153" s="1218" t="s">
        <v>159</v>
      </c>
      <c r="B3153" s="98">
        <v>46023</v>
      </c>
      <c r="C3153" s="117" t="str">
        <f t="shared" si="725"/>
        <v>6L</v>
      </c>
      <c r="F3153" s="99">
        <f t="shared" ref="F3153:F3216" si="740">IFERROR(D3153*E3153/1000,"")</f>
        <v>0</v>
      </c>
      <c r="I3153" s="99">
        <f t="shared" si="739"/>
        <v>0</v>
      </c>
      <c r="L3153" s="99">
        <f t="shared" si="727"/>
        <v>0</v>
      </c>
      <c r="M3153" s="44" t="str">
        <f t="shared" si="729"/>
        <v/>
      </c>
      <c r="N3153" s="100">
        <f t="shared" si="730"/>
        <v>0</v>
      </c>
      <c r="O3153" s="101">
        <f t="shared" si="731"/>
        <v>0</v>
      </c>
      <c r="P3153" s="52">
        <f t="shared" si="732"/>
        <v>0</v>
      </c>
      <c r="Q3153" s="49">
        <v>116.88487613461319</v>
      </c>
      <c r="R3153">
        <v>2225</v>
      </c>
      <c r="S3153" s="50">
        <f t="shared" si="728"/>
        <v>71535.307499999995</v>
      </c>
      <c r="T3153" s="50">
        <f t="shared" si="733"/>
        <v>0</v>
      </c>
      <c r="U3153" s="58">
        <f t="shared" si="734"/>
        <v>0</v>
      </c>
      <c r="V3153" s="58">
        <f t="shared" si="735"/>
        <v>0</v>
      </c>
      <c r="W3153" s="58">
        <f t="shared" si="736"/>
        <v>0</v>
      </c>
      <c r="X3153" s="58">
        <f t="shared" si="737"/>
        <v>0</v>
      </c>
      <c r="Y3153" s="52">
        <f t="shared" si="738"/>
        <v>0</v>
      </c>
    </row>
    <row r="3154" spans="1:25" x14ac:dyDescent="0.25">
      <c r="A3154" s="1218" t="s">
        <v>160</v>
      </c>
      <c r="B3154" s="98">
        <v>46023</v>
      </c>
      <c r="C3154" s="117" t="str">
        <f t="shared" si="725"/>
        <v>6L</v>
      </c>
      <c r="F3154" s="99">
        <f t="shared" si="740"/>
        <v>0</v>
      </c>
      <c r="I3154" s="99">
        <f t="shared" si="739"/>
        <v>0</v>
      </c>
      <c r="L3154" s="99">
        <f t="shared" si="727"/>
        <v>0</v>
      </c>
      <c r="M3154" s="44" t="str">
        <f t="shared" si="729"/>
        <v/>
      </c>
      <c r="N3154" s="100">
        <f t="shared" si="730"/>
        <v>0</v>
      </c>
      <c r="O3154" s="101">
        <f t="shared" si="731"/>
        <v>0</v>
      </c>
      <c r="P3154" s="52">
        <f t="shared" si="732"/>
        <v>0</v>
      </c>
      <c r="Q3154" s="49">
        <v>116.88487613461319</v>
      </c>
      <c r="R3154">
        <v>2225</v>
      </c>
      <c r="S3154" s="50">
        <f t="shared" si="728"/>
        <v>71535.307499999995</v>
      </c>
      <c r="T3154" s="50">
        <f t="shared" si="733"/>
        <v>0</v>
      </c>
      <c r="U3154" s="58">
        <f t="shared" si="734"/>
        <v>0</v>
      </c>
      <c r="V3154" s="58">
        <f t="shared" si="735"/>
        <v>0</v>
      </c>
      <c r="W3154" s="58">
        <f t="shared" si="736"/>
        <v>0</v>
      </c>
      <c r="X3154" s="58">
        <f t="shared" si="737"/>
        <v>0</v>
      </c>
      <c r="Y3154" s="52">
        <f t="shared" si="738"/>
        <v>0</v>
      </c>
    </row>
    <row r="3155" spans="1:25" x14ac:dyDescent="0.25">
      <c r="A3155" s="1218" t="s">
        <v>161</v>
      </c>
      <c r="B3155" s="98">
        <v>46023</v>
      </c>
      <c r="C3155" s="117" t="str">
        <f t="shared" si="725"/>
        <v>6L</v>
      </c>
      <c r="F3155" s="99">
        <f t="shared" si="740"/>
        <v>0</v>
      </c>
      <c r="I3155" s="99">
        <f t="shared" si="739"/>
        <v>0</v>
      </c>
      <c r="L3155" s="99">
        <f t="shared" si="727"/>
        <v>0</v>
      </c>
      <c r="M3155" s="44" t="str">
        <f t="shared" si="729"/>
        <v/>
      </c>
      <c r="N3155" s="100">
        <f t="shared" si="730"/>
        <v>0</v>
      </c>
      <c r="O3155" s="101">
        <f t="shared" si="731"/>
        <v>0</v>
      </c>
      <c r="P3155" s="52">
        <f t="shared" si="732"/>
        <v>0</v>
      </c>
      <c r="Q3155" s="49">
        <v>116.88487613461319</v>
      </c>
      <c r="R3155">
        <v>2225</v>
      </c>
      <c r="S3155" s="50">
        <f t="shared" si="728"/>
        <v>71535.307499999995</v>
      </c>
      <c r="T3155" s="50">
        <f t="shared" si="733"/>
        <v>0</v>
      </c>
      <c r="U3155" s="58">
        <f t="shared" si="734"/>
        <v>0</v>
      </c>
      <c r="V3155" s="58">
        <f t="shared" si="735"/>
        <v>0</v>
      </c>
      <c r="W3155" s="58">
        <f t="shared" si="736"/>
        <v>0</v>
      </c>
      <c r="X3155" s="58">
        <f t="shared" si="737"/>
        <v>0</v>
      </c>
      <c r="Y3155" s="52">
        <f t="shared" si="738"/>
        <v>0</v>
      </c>
    </row>
    <row r="3156" spans="1:25" x14ac:dyDescent="0.25">
      <c r="A3156" s="1218" t="s">
        <v>162</v>
      </c>
      <c r="B3156" s="98">
        <v>46023</v>
      </c>
      <c r="C3156" s="117" t="str">
        <f t="shared" si="725"/>
        <v>6L</v>
      </c>
      <c r="F3156" s="99">
        <f t="shared" si="740"/>
        <v>0</v>
      </c>
      <c r="I3156" s="99">
        <f t="shared" si="739"/>
        <v>0</v>
      </c>
      <c r="L3156" s="99">
        <f t="shared" si="727"/>
        <v>0</v>
      </c>
      <c r="M3156" s="44" t="str">
        <f t="shared" si="729"/>
        <v/>
      </c>
      <c r="N3156" s="100">
        <f t="shared" si="730"/>
        <v>0</v>
      </c>
      <c r="O3156" s="101">
        <f t="shared" si="731"/>
        <v>0</v>
      </c>
      <c r="P3156" s="52">
        <f t="shared" si="732"/>
        <v>0</v>
      </c>
      <c r="Q3156" s="49">
        <v>116.88487613461319</v>
      </c>
      <c r="R3156">
        <v>2225</v>
      </c>
      <c r="S3156" s="50">
        <f t="shared" si="728"/>
        <v>71535.307499999995</v>
      </c>
      <c r="T3156" s="50">
        <f t="shared" si="733"/>
        <v>0</v>
      </c>
      <c r="U3156" s="58">
        <f t="shared" si="734"/>
        <v>0</v>
      </c>
      <c r="V3156" s="58">
        <f t="shared" si="735"/>
        <v>0</v>
      </c>
      <c r="W3156" s="58">
        <f t="shared" si="736"/>
        <v>0</v>
      </c>
      <c r="X3156" s="58">
        <f t="shared" si="737"/>
        <v>0</v>
      </c>
      <c r="Y3156" s="52">
        <f t="shared" si="738"/>
        <v>0</v>
      </c>
    </row>
    <row r="3157" spans="1:25" x14ac:dyDescent="0.25">
      <c r="A3157" s="1218" t="s">
        <v>163</v>
      </c>
      <c r="B3157" s="98">
        <v>46023</v>
      </c>
      <c r="C3157" s="117" t="str">
        <f t="shared" si="725"/>
        <v>6L</v>
      </c>
      <c r="F3157" s="99">
        <f t="shared" si="740"/>
        <v>0</v>
      </c>
      <c r="I3157" s="99">
        <f t="shared" si="739"/>
        <v>0</v>
      </c>
      <c r="L3157" s="99">
        <f t="shared" si="727"/>
        <v>0</v>
      </c>
      <c r="M3157" s="44" t="str">
        <f t="shared" si="729"/>
        <v/>
      </c>
      <c r="N3157" s="100">
        <f t="shared" si="730"/>
        <v>0</v>
      </c>
      <c r="O3157" s="101">
        <f t="shared" si="731"/>
        <v>0</v>
      </c>
      <c r="P3157" s="52">
        <f t="shared" si="732"/>
        <v>0</v>
      </c>
      <c r="Q3157" s="49">
        <v>116.88487613461319</v>
      </c>
      <c r="R3157">
        <v>2225</v>
      </c>
      <c r="S3157" s="50">
        <f t="shared" si="728"/>
        <v>71535.307499999995</v>
      </c>
      <c r="T3157" s="50">
        <f t="shared" si="733"/>
        <v>0</v>
      </c>
      <c r="U3157" s="58">
        <f t="shared" si="734"/>
        <v>0</v>
      </c>
      <c r="V3157" s="58">
        <f t="shared" si="735"/>
        <v>0</v>
      </c>
      <c r="W3157" s="58">
        <f t="shared" si="736"/>
        <v>0</v>
      </c>
      <c r="X3157" s="58">
        <f t="shared" si="737"/>
        <v>0</v>
      </c>
      <c r="Y3157" s="52">
        <f t="shared" si="738"/>
        <v>0</v>
      </c>
    </row>
    <row r="3158" spans="1:25" x14ac:dyDescent="0.25">
      <c r="A3158" s="1218" t="s">
        <v>164</v>
      </c>
      <c r="B3158" s="98">
        <v>46023</v>
      </c>
      <c r="C3158" s="117" t="str">
        <f t="shared" si="725"/>
        <v>6L</v>
      </c>
      <c r="F3158" s="99">
        <f t="shared" si="740"/>
        <v>0</v>
      </c>
      <c r="I3158" s="99">
        <f t="shared" si="739"/>
        <v>0</v>
      </c>
      <c r="L3158" s="99">
        <f t="shared" si="727"/>
        <v>0</v>
      </c>
      <c r="M3158" s="44" t="str">
        <f t="shared" si="729"/>
        <v/>
      </c>
      <c r="N3158" s="100">
        <f t="shared" si="730"/>
        <v>0</v>
      </c>
      <c r="O3158" s="101">
        <f t="shared" si="731"/>
        <v>0</v>
      </c>
      <c r="P3158" s="52">
        <f t="shared" si="732"/>
        <v>0</v>
      </c>
      <c r="Q3158" s="49">
        <v>116.88487613461319</v>
      </c>
      <c r="R3158">
        <v>2225</v>
      </c>
      <c r="S3158" s="50">
        <f t="shared" si="728"/>
        <v>71535.307499999995</v>
      </c>
      <c r="T3158" s="50">
        <f t="shared" si="733"/>
        <v>0</v>
      </c>
      <c r="U3158" s="58">
        <f t="shared" si="734"/>
        <v>0</v>
      </c>
      <c r="V3158" s="58">
        <f t="shared" si="735"/>
        <v>0</v>
      </c>
      <c r="W3158" s="58">
        <f t="shared" si="736"/>
        <v>0</v>
      </c>
      <c r="X3158" s="58">
        <f t="shared" si="737"/>
        <v>0</v>
      </c>
      <c r="Y3158" s="52">
        <f t="shared" si="738"/>
        <v>0</v>
      </c>
    </row>
    <row r="3159" spans="1:25" x14ac:dyDescent="0.25">
      <c r="A3159" s="1218" t="s">
        <v>165</v>
      </c>
      <c r="B3159" s="98">
        <v>46023</v>
      </c>
      <c r="C3159" s="117" t="str">
        <f t="shared" si="725"/>
        <v>6L</v>
      </c>
      <c r="F3159" s="99">
        <f t="shared" si="740"/>
        <v>0</v>
      </c>
      <c r="I3159" s="99">
        <f t="shared" si="739"/>
        <v>0</v>
      </c>
      <c r="L3159" s="99">
        <f t="shared" si="727"/>
        <v>0</v>
      </c>
      <c r="M3159" s="44" t="str">
        <f t="shared" si="729"/>
        <v/>
      </c>
      <c r="N3159" s="100">
        <f t="shared" si="730"/>
        <v>0</v>
      </c>
      <c r="O3159" s="101">
        <f t="shared" si="731"/>
        <v>0</v>
      </c>
      <c r="P3159" s="52">
        <f t="shared" si="732"/>
        <v>0</v>
      </c>
      <c r="Q3159" s="49">
        <v>116.88487613461319</v>
      </c>
      <c r="R3159">
        <v>2225</v>
      </c>
      <c r="S3159" s="50">
        <f t="shared" si="728"/>
        <v>71535.307499999995</v>
      </c>
      <c r="T3159" s="50">
        <f t="shared" si="733"/>
        <v>0</v>
      </c>
      <c r="U3159" s="58">
        <f t="shared" si="734"/>
        <v>0</v>
      </c>
      <c r="V3159" s="58">
        <f t="shared" si="735"/>
        <v>0</v>
      </c>
      <c r="W3159" s="58">
        <f t="shared" si="736"/>
        <v>0</v>
      </c>
      <c r="X3159" s="58">
        <f t="shared" si="737"/>
        <v>0</v>
      </c>
      <c r="Y3159" s="52">
        <f t="shared" si="738"/>
        <v>0</v>
      </c>
    </row>
    <row r="3160" spans="1:25" x14ac:dyDescent="0.25">
      <c r="A3160" s="1218" t="s">
        <v>166</v>
      </c>
      <c r="B3160" s="98">
        <v>46023</v>
      </c>
      <c r="C3160" s="117" t="str">
        <f t="shared" si="725"/>
        <v>6L</v>
      </c>
      <c r="F3160" s="99">
        <f t="shared" si="740"/>
        <v>0</v>
      </c>
      <c r="I3160" s="99">
        <f t="shared" si="739"/>
        <v>0</v>
      </c>
      <c r="L3160" s="99">
        <f t="shared" si="727"/>
        <v>0</v>
      </c>
      <c r="M3160" s="44" t="str">
        <f t="shared" si="729"/>
        <v/>
      </c>
      <c r="N3160" s="100">
        <f t="shared" si="730"/>
        <v>0</v>
      </c>
      <c r="O3160" s="101">
        <f t="shared" si="731"/>
        <v>0</v>
      </c>
      <c r="P3160" s="52">
        <f t="shared" si="732"/>
        <v>0</v>
      </c>
      <c r="Q3160" s="49">
        <v>116.88487613461319</v>
      </c>
      <c r="R3160">
        <v>2225</v>
      </c>
      <c r="S3160" s="50">
        <f t="shared" si="728"/>
        <v>71535.307499999995</v>
      </c>
      <c r="T3160" s="50">
        <f t="shared" si="733"/>
        <v>0</v>
      </c>
      <c r="U3160" s="58">
        <f t="shared" si="734"/>
        <v>0</v>
      </c>
      <c r="V3160" s="58">
        <f t="shared" si="735"/>
        <v>0</v>
      </c>
      <c r="W3160" s="58">
        <f t="shared" si="736"/>
        <v>0</v>
      </c>
      <c r="X3160" s="58">
        <f t="shared" si="737"/>
        <v>0</v>
      </c>
      <c r="Y3160" s="52">
        <f t="shared" si="738"/>
        <v>0</v>
      </c>
    </row>
    <row r="3161" spans="1:25" x14ac:dyDescent="0.25">
      <c r="A3161" s="1218" t="s">
        <v>167</v>
      </c>
      <c r="B3161" s="98">
        <v>46023</v>
      </c>
      <c r="C3161" s="117" t="str">
        <f t="shared" si="725"/>
        <v>6L</v>
      </c>
      <c r="F3161" s="99">
        <f t="shared" si="740"/>
        <v>0</v>
      </c>
      <c r="I3161" s="99">
        <f t="shared" si="739"/>
        <v>0</v>
      </c>
      <c r="L3161" s="99">
        <f t="shared" si="727"/>
        <v>0</v>
      </c>
      <c r="M3161" s="44" t="str">
        <f t="shared" si="729"/>
        <v/>
      </c>
      <c r="N3161" s="100">
        <f t="shared" si="730"/>
        <v>0</v>
      </c>
      <c r="O3161" s="101">
        <f t="shared" si="731"/>
        <v>0</v>
      </c>
      <c r="P3161" s="52">
        <f t="shared" si="732"/>
        <v>0</v>
      </c>
      <c r="Q3161" s="49">
        <v>116.88487613461319</v>
      </c>
      <c r="R3161">
        <v>2225</v>
      </c>
      <c r="S3161" s="50">
        <f t="shared" si="728"/>
        <v>71535.307499999995</v>
      </c>
      <c r="T3161" s="50">
        <f t="shared" si="733"/>
        <v>0</v>
      </c>
      <c r="U3161" s="58">
        <f t="shared" si="734"/>
        <v>0</v>
      </c>
      <c r="V3161" s="58">
        <f t="shared" si="735"/>
        <v>0</v>
      </c>
      <c r="W3161" s="58">
        <f t="shared" si="736"/>
        <v>0</v>
      </c>
      <c r="X3161" s="58">
        <f t="shared" si="737"/>
        <v>0</v>
      </c>
      <c r="Y3161" s="52">
        <f t="shared" si="738"/>
        <v>0</v>
      </c>
    </row>
    <row r="3162" spans="1:25" x14ac:dyDescent="0.25">
      <c r="A3162" s="1218" t="s">
        <v>168</v>
      </c>
      <c r="B3162" s="98">
        <v>46023</v>
      </c>
      <c r="C3162" s="117" t="str">
        <f t="shared" si="725"/>
        <v>6L</v>
      </c>
      <c r="F3162" s="99">
        <f t="shared" si="740"/>
        <v>0</v>
      </c>
      <c r="I3162" s="99">
        <f t="shared" si="739"/>
        <v>0</v>
      </c>
      <c r="L3162" s="99">
        <f t="shared" si="727"/>
        <v>0</v>
      </c>
      <c r="M3162" s="44" t="str">
        <f t="shared" si="729"/>
        <v/>
      </c>
      <c r="N3162" s="100">
        <f t="shared" si="730"/>
        <v>0</v>
      </c>
      <c r="O3162" s="101">
        <f t="shared" si="731"/>
        <v>0</v>
      </c>
      <c r="P3162" s="52">
        <f t="shared" si="732"/>
        <v>0</v>
      </c>
      <c r="Q3162" s="49">
        <v>116.88487613461319</v>
      </c>
      <c r="R3162">
        <v>2225</v>
      </c>
      <c r="S3162" s="50">
        <f t="shared" si="728"/>
        <v>71535.307499999995</v>
      </c>
      <c r="T3162" s="50">
        <f t="shared" si="733"/>
        <v>0</v>
      </c>
      <c r="U3162" s="58">
        <f t="shared" si="734"/>
        <v>0</v>
      </c>
      <c r="V3162" s="58">
        <f t="shared" si="735"/>
        <v>0</v>
      </c>
      <c r="W3162" s="58">
        <f t="shared" si="736"/>
        <v>0</v>
      </c>
      <c r="X3162" s="58">
        <f t="shared" si="737"/>
        <v>0</v>
      </c>
      <c r="Y3162" s="52">
        <f t="shared" si="738"/>
        <v>0</v>
      </c>
    </row>
    <row r="3163" spans="1:25" x14ac:dyDescent="0.25">
      <c r="A3163" s="1218" t="s">
        <v>169</v>
      </c>
      <c r="B3163" s="98">
        <v>46023</v>
      </c>
      <c r="C3163" s="117" t="str">
        <f t="shared" si="725"/>
        <v>6L</v>
      </c>
      <c r="F3163" s="99">
        <f t="shared" si="740"/>
        <v>0</v>
      </c>
      <c r="I3163" s="99">
        <f t="shared" si="739"/>
        <v>0</v>
      </c>
      <c r="L3163" s="99">
        <f t="shared" si="727"/>
        <v>0</v>
      </c>
      <c r="M3163" s="44" t="str">
        <f t="shared" si="729"/>
        <v/>
      </c>
      <c r="N3163" s="100">
        <f t="shared" si="730"/>
        <v>0</v>
      </c>
      <c r="O3163" s="101">
        <f t="shared" si="731"/>
        <v>0</v>
      </c>
      <c r="P3163" s="52">
        <f t="shared" si="732"/>
        <v>0</v>
      </c>
      <c r="Q3163" s="49">
        <v>116.88487613461319</v>
      </c>
      <c r="R3163">
        <v>2225</v>
      </c>
      <c r="S3163" s="50">
        <f t="shared" si="728"/>
        <v>71535.307499999995</v>
      </c>
      <c r="T3163" s="50">
        <f t="shared" si="733"/>
        <v>0</v>
      </c>
      <c r="U3163" s="58">
        <f t="shared" si="734"/>
        <v>0</v>
      </c>
      <c r="V3163" s="58">
        <f t="shared" si="735"/>
        <v>0</v>
      </c>
      <c r="W3163" s="58">
        <f t="shared" si="736"/>
        <v>0</v>
      </c>
      <c r="X3163" s="58">
        <f t="shared" si="737"/>
        <v>0</v>
      </c>
      <c r="Y3163" s="52">
        <f t="shared" si="738"/>
        <v>0</v>
      </c>
    </row>
    <row r="3164" spans="1:25" x14ac:dyDescent="0.25">
      <c r="A3164" s="1218" t="s">
        <v>170</v>
      </c>
      <c r="B3164" s="98">
        <v>46023</v>
      </c>
      <c r="C3164" s="117" t="str">
        <f t="shared" ref="C3164:C3227" si="741">LEFT(A3164,2)</f>
        <v>6L</v>
      </c>
      <c r="F3164" s="99">
        <f t="shared" si="740"/>
        <v>0</v>
      </c>
      <c r="I3164" s="99">
        <f t="shared" si="739"/>
        <v>0</v>
      </c>
      <c r="L3164" s="99">
        <f t="shared" si="727"/>
        <v>0</v>
      </c>
      <c r="M3164" s="44" t="str">
        <f t="shared" si="729"/>
        <v/>
      </c>
      <c r="N3164" s="100">
        <f t="shared" si="730"/>
        <v>0</v>
      </c>
      <c r="O3164" s="101">
        <f t="shared" si="731"/>
        <v>0</v>
      </c>
      <c r="P3164" s="52">
        <f t="shared" si="732"/>
        <v>0</v>
      </c>
      <c r="Q3164" s="49">
        <v>116.88487613461319</v>
      </c>
      <c r="R3164">
        <v>2225</v>
      </c>
      <c r="S3164" s="50">
        <f t="shared" si="728"/>
        <v>71535.307499999995</v>
      </c>
      <c r="T3164" s="50">
        <f t="shared" si="733"/>
        <v>0</v>
      </c>
      <c r="U3164" s="58">
        <f t="shared" si="734"/>
        <v>0</v>
      </c>
      <c r="V3164" s="58">
        <f t="shared" si="735"/>
        <v>0</v>
      </c>
      <c r="W3164" s="58">
        <f t="shared" si="736"/>
        <v>0</v>
      </c>
      <c r="X3164" s="58">
        <f t="shared" si="737"/>
        <v>0</v>
      </c>
      <c r="Y3164" s="52">
        <f t="shared" si="738"/>
        <v>0</v>
      </c>
    </row>
    <row r="3165" spans="1:25" x14ac:dyDescent="0.25">
      <c r="A3165" s="1218" t="s">
        <v>171</v>
      </c>
      <c r="B3165" s="98">
        <v>46023</v>
      </c>
      <c r="C3165" s="117" t="str">
        <f t="shared" si="741"/>
        <v>6L</v>
      </c>
      <c r="F3165" s="99">
        <f t="shared" si="740"/>
        <v>0</v>
      </c>
      <c r="I3165" s="99">
        <f t="shared" si="739"/>
        <v>0</v>
      </c>
      <c r="L3165" s="99">
        <f t="shared" si="727"/>
        <v>0</v>
      </c>
      <c r="M3165" s="44" t="str">
        <f t="shared" si="729"/>
        <v/>
      </c>
      <c r="N3165" s="100">
        <f t="shared" si="730"/>
        <v>0</v>
      </c>
      <c r="O3165" s="101">
        <f t="shared" si="731"/>
        <v>0</v>
      </c>
      <c r="P3165" s="52">
        <f t="shared" si="732"/>
        <v>0</v>
      </c>
      <c r="Q3165" s="49">
        <v>116.88487613461319</v>
      </c>
      <c r="R3165">
        <v>2225</v>
      </c>
      <c r="S3165" s="50">
        <f t="shared" si="728"/>
        <v>71535.307499999995</v>
      </c>
      <c r="T3165" s="50">
        <f t="shared" si="733"/>
        <v>0</v>
      </c>
      <c r="U3165" s="58">
        <f t="shared" si="734"/>
        <v>0</v>
      </c>
      <c r="V3165" s="58">
        <f t="shared" si="735"/>
        <v>0</v>
      </c>
      <c r="W3165" s="58">
        <f t="shared" si="736"/>
        <v>0</v>
      </c>
      <c r="X3165" s="58">
        <f t="shared" si="737"/>
        <v>0</v>
      </c>
      <c r="Y3165" s="52">
        <f t="shared" si="738"/>
        <v>0</v>
      </c>
    </row>
    <row r="3166" spans="1:25" x14ac:dyDescent="0.25">
      <c r="A3166" s="1218" t="s">
        <v>172</v>
      </c>
      <c r="B3166" s="98">
        <v>46023</v>
      </c>
      <c r="C3166" s="117" t="str">
        <f t="shared" si="741"/>
        <v>6L</v>
      </c>
      <c r="F3166" s="99">
        <f t="shared" si="740"/>
        <v>0</v>
      </c>
      <c r="I3166" s="99">
        <f t="shared" si="739"/>
        <v>0</v>
      </c>
      <c r="L3166" s="99">
        <f t="shared" si="727"/>
        <v>0</v>
      </c>
      <c r="M3166" s="44" t="str">
        <f t="shared" si="729"/>
        <v/>
      </c>
      <c r="N3166" s="100">
        <f t="shared" si="730"/>
        <v>0</v>
      </c>
      <c r="O3166" s="101">
        <f t="shared" si="731"/>
        <v>0</v>
      </c>
      <c r="P3166" s="52">
        <f t="shared" si="732"/>
        <v>0</v>
      </c>
      <c r="Q3166" s="49">
        <v>116.88487613461319</v>
      </c>
      <c r="R3166">
        <v>2225</v>
      </c>
      <c r="S3166" s="50">
        <f t="shared" si="728"/>
        <v>71535.307499999995</v>
      </c>
      <c r="T3166" s="50">
        <f t="shared" si="733"/>
        <v>0</v>
      </c>
      <c r="U3166" s="58">
        <f t="shared" si="734"/>
        <v>0</v>
      </c>
      <c r="V3166" s="58">
        <f t="shared" si="735"/>
        <v>0</v>
      </c>
      <c r="W3166" s="58">
        <f t="shared" si="736"/>
        <v>0</v>
      </c>
      <c r="X3166" s="58">
        <f t="shared" si="737"/>
        <v>0</v>
      </c>
      <c r="Y3166" s="52">
        <f t="shared" si="738"/>
        <v>0</v>
      </c>
    </row>
    <row r="3167" spans="1:25" x14ac:dyDescent="0.25">
      <c r="A3167" s="1218" t="s">
        <v>173</v>
      </c>
      <c r="B3167" s="98">
        <v>46023</v>
      </c>
      <c r="C3167" s="117" t="str">
        <f t="shared" si="741"/>
        <v>6L</v>
      </c>
      <c r="F3167" s="99">
        <f t="shared" si="740"/>
        <v>0</v>
      </c>
      <c r="I3167" s="99">
        <f t="shared" si="739"/>
        <v>0</v>
      </c>
      <c r="L3167" s="99">
        <f t="shared" si="727"/>
        <v>0</v>
      </c>
      <c r="M3167" s="44" t="str">
        <f t="shared" si="729"/>
        <v/>
      </c>
      <c r="N3167" s="100">
        <f t="shared" si="730"/>
        <v>0</v>
      </c>
      <c r="O3167" s="101">
        <f t="shared" si="731"/>
        <v>0</v>
      </c>
      <c r="P3167" s="52">
        <f t="shared" si="732"/>
        <v>0</v>
      </c>
      <c r="Q3167" s="49">
        <v>116.88487613461319</v>
      </c>
      <c r="R3167">
        <v>2225</v>
      </c>
      <c r="S3167" s="50">
        <f t="shared" si="728"/>
        <v>71535.307499999995</v>
      </c>
      <c r="T3167" s="50">
        <f t="shared" si="733"/>
        <v>0</v>
      </c>
      <c r="U3167" s="58">
        <f t="shared" si="734"/>
        <v>0</v>
      </c>
      <c r="V3167" s="58">
        <f t="shared" si="735"/>
        <v>0</v>
      </c>
      <c r="W3167" s="58">
        <f t="shared" si="736"/>
        <v>0</v>
      </c>
      <c r="X3167" s="58">
        <f t="shared" si="737"/>
        <v>0</v>
      </c>
      <c r="Y3167" s="52">
        <f t="shared" si="738"/>
        <v>0</v>
      </c>
    </row>
    <row r="3168" spans="1:25" x14ac:dyDescent="0.25">
      <c r="A3168" s="1218" t="s">
        <v>174</v>
      </c>
      <c r="B3168" s="98">
        <v>46023</v>
      </c>
      <c r="C3168" s="117" t="str">
        <f t="shared" si="741"/>
        <v>6L</v>
      </c>
      <c r="F3168" s="99">
        <f t="shared" si="740"/>
        <v>0</v>
      </c>
      <c r="I3168" s="99">
        <f t="shared" si="739"/>
        <v>0</v>
      </c>
      <c r="L3168" s="99">
        <f t="shared" si="727"/>
        <v>0</v>
      </c>
      <c r="M3168" s="44" t="str">
        <f t="shared" si="729"/>
        <v/>
      </c>
      <c r="N3168" s="100">
        <f t="shared" si="730"/>
        <v>0</v>
      </c>
      <c r="O3168" s="101">
        <f t="shared" si="731"/>
        <v>0</v>
      </c>
      <c r="P3168" s="52">
        <f t="shared" si="732"/>
        <v>0</v>
      </c>
      <c r="Q3168" s="49">
        <v>116.88487613461319</v>
      </c>
      <c r="R3168">
        <v>2225</v>
      </c>
      <c r="S3168" s="50">
        <f t="shared" si="728"/>
        <v>71535.307499999995</v>
      </c>
      <c r="T3168" s="50">
        <f t="shared" si="733"/>
        <v>0</v>
      </c>
      <c r="U3168" s="58">
        <f t="shared" si="734"/>
        <v>0</v>
      </c>
      <c r="V3168" s="58">
        <f t="shared" si="735"/>
        <v>0</v>
      </c>
      <c r="W3168" s="58">
        <f t="shared" si="736"/>
        <v>0</v>
      </c>
      <c r="X3168" s="58">
        <f t="shared" si="737"/>
        <v>0</v>
      </c>
      <c r="Y3168" s="52">
        <f t="shared" si="738"/>
        <v>0</v>
      </c>
    </row>
    <row r="3169" spans="1:25" x14ac:dyDescent="0.25">
      <c r="A3169" s="1218" t="s">
        <v>175</v>
      </c>
      <c r="B3169" s="98">
        <v>46023</v>
      </c>
      <c r="C3169" s="117" t="str">
        <f t="shared" si="741"/>
        <v>6L</v>
      </c>
      <c r="F3169" s="99">
        <f t="shared" si="740"/>
        <v>0</v>
      </c>
      <c r="I3169" s="99">
        <f t="shared" si="739"/>
        <v>0</v>
      </c>
      <c r="L3169" s="99">
        <f t="shared" si="727"/>
        <v>0</v>
      </c>
      <c r="M3169" s="44" t="str">
        <f t="shared" si="729"/>
        <v/>
      </c>
      <c r="N3169" s="100">
        <f t="shared" si="730"/>
        <v>0</v>
      </c>
      <c r="O3169" s="101">
        <f t="shared" si="731"/>
        <v>0</v>
      </c>
      <c r="P3169" s="52">
        <f t="shared" si="732"/>
        <v>0</v>
      </c>
      <c r="Q3169" s="49">
        <v>116.88487613461319</v>
      </c>
      <c r="R3169">
        <v>2225</v>
      </c>
      <c r="S3169" s="50">
        <f t="shared" si="728"/>
        <v>71535.307499999995</v>
      </c>
      <c r="T3169" s="50">
        <f t="shared" si="733"/>
        <v>0</v>
      </c>
      <c r="U3169" s="58">
        <f t="shared" si="734"/>
        <v>0</v>
      </c>
      <c r="V3169" s="58">
        <f t="shared" si="735"/>
        <v>0</v>
      </c>
      <c r="W3169" s="58">
        <f t="shared" si="736"/>
        <v>0</v>
      </c>
      <c r="X3169" s="58">
        <f t="shared" si="737"/>
        <v>0</v>
      </c>
      <c r="Y3169" s="52">
        <f t="shared" si="738"/>
        <v>0</v>
      </c>
    </row>
    <row r="3170" spans="1:25" x14ac:dyDescent="0.25">
      <c r="A3170" s="1218" t="s">
        <v>176</v>
      </c>
      <c r="B3170" s="98">
        <v>46023</v>
      </c>
      <c r="C3170" s="117" t="str">
        <f t="shared" si="741"/>
        <v>6L</v>
      </c>
      <c r="F3170" s="99">
        <f t="shared" si="740"/>
        <v>0</v>
      </c>
      <c r="I3170" s="99">
        <f t="shared" si="739"/>
        <v>0</v>
      </c>
      <c r="L3170" s="99">
        <f t="shared" si="727"/>
        <v>0</v>
      </c>
      <c r="M3170" s="44" t="str">
        <f t="shared" si="729"/>
        <v/>
      </c>
      <c r="N3170" s="100">
        <f t="shared" si="730"/>
        <v>0</v>
      </c>
      <c r="O3170" s="101">
        <f t="shared" si="731"/>
        <v>0</v>
      </c>
      <c r="P3170" s="52">
        <f t="shared" si="732"/>
        <v>0</v>
      </c>
      <c r="Q3170" s="49">
        <v>116.88487613461319</v>
      </c>
      <c r="R3170">
        <v>2225</v>
      </c>
      <c r="S3170" s="50">
        <f t="shared" si="728"/>
        <v>71535.307499999995</v>
      </c>
      <c r="T3170" s="50">
        <f t="shared" si="733"/>
        <v>0</v>
      </c>
      <c r="U3170" s="58">
        <f t="shared" si="734"/>
        <v>0</v>
      </c>
      <c r="V3170" s="58">
        <f t="shared" si="735"/>
        <v>0</v>
      </c>
      <c r="W3170" s="58">
        <f t="shared" si="736"/>
        <v>0</v>
      </c>
      <c r="X3170" s="58">
        <f t="shared" si="737"/>
        <v>0</v>
      </c>
      <c r="Y3170" s="52">
        <f t="shared" si="738"/>
        <v>0</v>
      </c>
    </row>
    <row r="3171" spans="1:25" x14ac:dyDescent="0.25">
      <c r="A3171" s="1218" t="s">
        <v>177</v>
      </c>
      <c r="B3171" s="98">
        <v>46023</v>
      </c>
      <c r="C3171" s="117" t="str">
        <f t="shared" si="741"/>
        <v>6L</v>
      </c>
      <c r="F3171" s="99">
        <f t="shared" si="740"/>
        <v>0</v>
      </c>
      <c r="I3171" s="99">
        <f t="shared" si="739"/>
        <v>0</v>
      </c>
      <c r="L3171" s="99">
        <f t="shared" si="727"/>
        <v>0</v>
      </c>
      <c r="M3171" s="44" t="str">
        <f t="shared" si="729"/>
        <v/>
      </c>
      <c r="N3171" s="100">
        <f t="shared" si="730"/>
        <v>0</v>
      </c>
      <c r="O3171" s="101">
        <f t="shared" si="731"/>
        <v>0</v>
      </c>
      <c r="P3171" s="52">
        <f t="shared" si="732"/>
        <v>0</v>
      </c>
      <c r="Q3171" s="49">
        <v>116.88487613461319</v>
      </c>
      <c r="R3171">
        <v>2225</v>
      </c>
      <c r="S3171" s="50">
        <f t="shared" si="728"/>
        <v>71535.307499999995</v>
      </c>
      <c r="T3171" s="50">
        <f t="shared" si="733"/>
        <v>0</v>
      </c>
      <c r="U3171" s="58">
        <f t="shared" si="734"/>
        <v>0</v>
      </c>
      <c r="V3171" s="58">
        <f t="shared" si="735"/>
        <v>0</v>
      </c>
      <c r="W3171" s="58">
        <f t="shared" si="736"/>
        <v>0</v>
      </c>
      <c r="X3171" s="58">
        <f t="shared" si="737"/>
        <v>0</v>
      </c>
      <c r="Y3171" s="52">
        <f t="shared" si="738"/>
        <v>0</v>
      </c>
    </row>
    <row r="3172" spans="1:25" x14ac:dyDescent="0.25">
      <c r="A3172" s="1218" t="s">
        <v>178</v>
      </c>
      <c r="B3172" s="98">
        <v>46023</v>
      </c>
      <c r="C3172" s="117" t="str">
        <f t="shared" si="741"/>
        <v>7L</v>
      </c>
      <c r="F3172" s="99">
        <f t="shared" si="740"/>
        <v>0</v>
      </c>
      <c r="I3172" s="99">
        <f t="shared" si="739"/>
        <v>0</v>
      </c>
      <c r="L3172" s="99">
        <f t="shared" si="727"/>
        <v>0</v>
      </c>
      <c r="M3172" s="44" t="str">
        <f t="shared" si="729"/>
        <v/>
      </c>
      <c r="N3172" s="100">
        <f t="shared" si="730"/>
        <v>0</v>
      </c>
      <c r="O3172" s="101">
        <f t="shared" si="731"/>
        <v>0</v>
      </c>
      <c r="P3172" s="52">
        <f t="shared" si="732"/>
        <v>0</v>
      </c>
      <c r="Q3172" s="49">
        <v>116.88487613461319</v>
      </c>
      <c r="R3172">
        <v>2225</v>
      </c>
      <c r="S3172" s="50">
        <f t="shared" si="728"/>
        <v>71535.307499999995</v>
      </c>
      <c r="T3172" s="50">
        <f t="shared" si="733"/>
        <v>0</v>
      </c>
      <c r="U3172" s="58">
        <f t="shared" si="734"/>
        <v>0</v>
      </c>
      <c r="V3172" s="58">
        <f t="shared" si="735"/>
        <v>0</v>
      </c>
      <c r="W3172" s="58">
        <f t="shared" si="736"/>
        <v>0</v>
      </c>
      <c r="X3172" s="58">
        <f t="shared" si="737"/>
        <v>0</v>
      </c>
      <c r="Y3172" s="52">
        <f t="shared" si="738"/>
        <v>0</v>
      </c>
    </row>
    <row r="3173" spans="1:25" x14ac:dyDescent="0.25">
      <c r="A3173" s="1218" t="s">
        <v>179</v>
      </c>
      <c r="B3173" s="98">
        <v>46023</v>
      </c>
      <c r="C3173" s="117" t="str">
        <f t="shared" si="741"/>
        <v>7L</v>
      </c>
      <c r="F3173" s="99">
        <f t="shared" si="740"/>
        <v>0</v>
      </c>
      <c r="I3173" s="99">
        <f t="shared" si="739"/>
        <v>0</v>
      </c>
      <c r="L3173" s="99">
        <f t="shared" si="727"/>
        <v>0</v>
      </c>
      <c r="M3173" s="44" t="str">
        <f t="shared" si="729"/>
        <v/>
      </c>
      <c r="N3173" s="100">
        <f t="shared" si="730"/>
        <v>0</v>
      </c>
      <c r="O3173" s="101">
        <f t="shared" si="731"/>
        <v>0</v>
      </c>
      <c r="P3173" s="52">
        <f t="shared" si="732"/>
        <v>0</v>
      </c>
      <c r="Q3173" s="49">
        <v>116.88487613461319</v>
      </c>
      <c r="R3173">
        <v>2225</v>
      </c>
      <c r="S3173" s="50">
        <f t="shared" si="728"/>
        <v>71535.307499999995</v>
      </c>
      <c r="T3173" s="50">
        <f t="shared" si="733"/>
        <v>0</v>
      </c>
      <c r="U3173" s="58">
        <f t="shared" si="734"/>
        <v>0</v>
      </c>
      <c r="V3173" s="58">
        <f t="shared" si="735"/>
        <v>0</v>
      </c>
      <c r="W3173" s="58">
        <f t="shared" si="736"/>
        <v>0</v>
      </c>
      <c r="X3173" s="58">
        <f t="shared" si="737"/>
        <v>0</v>
      </c>
      <c r="Y3173" s="52">
        <f t="shared" si="738"/>
        <v>0</v>
      </c>
    </row>
    <row r="3174" spans="1:25" x14ac:dyDescent="0.25">
      <c r="A3174" s="1218" t="s">
        <v>180</v>
      </c>
      <c r="B3174" s="98">
        <v>46023</v>
      </c>
      <c r="C3174" s="117" t="str">
        <f t="shared" si="741"/>
        <v>7L</v>
      </c>
      <c r="F3174" s="99">
        <f t="shared" si="740"/>
        <v>0</v>
      </c>
      <c r="I3174" s="99">
        <f t="shared" si="739"/>
        <v>0</v>
      </c>
      <c r="L3174" s="99">
        <f t="shared" si="727"/>
        <v>0</v>
      </c>
      <c r="M3174" s="44" t="str">
        <f t="shared" si="729"/>
        <v/>
      </c>
      <c r="N3174" s="100">
        <f t="shared" si="730"/>
        <v>0</v>
      </c>
      <c r="O3174" s="101">
        <f t="shared" si="731"/>
        <v>0</v>
      </c>
      <c r="P3174" s="52">
        <f t="shared" si="732"/>
        <v>0</v>
      </c>
      <c r="Q3174" s="49">
        <v>116.88487613461319</v>
      </c>
      <c r="R3174">
        <v>2225</v>
      </c>
      <c r="S3174" s="50">
        <f t="shared" si="728"/>
        <v>71535.307499999995</v>
      </c>
      <c r="T3174" s="50">
        <f t="shared" si="733"/>
        <v>0</v>
      </c>
      <c r="U3174" s="58">
        <f t="shared" si="734"/>
        <v>0</v>
      </c>
      <c r="V3174" s="58">
        <f t="shared" si="735"/>
        <v>0</v>
      </c>
      <c r="W3174" s="58">
        <f t="shared" si="736"/>
        <v>0</v>
      </c>
      <c r="X3174" s="58">
        <f t="shared" si="737"/>
        <v>0</v>
      </c>
      <c r="Y3174" s="52">
        <f t="shared" si="738"/>
        <v>0</v>
      </c>
    </row>
    <row r="3175" spans="1:25" x14ac:dyDescent="0.25">
      <c r="A3175" s="1218" t="s">
        <v>181</v>
      </c>
      <c r="B3175" s="98">
        <v>46023</v>
      </c>
      <c r="C3175" s="117" t="str">
        <f t="shared" si="741"/>
        <v>7L</v>
      </c>
      <c r="F3175" s="99">
        <f t="shared" si="740"/>
        <v>0</v>
      </c>
      <c r="I3175" s="99">
        <f t="shared" si="739"/>
        <v>0</v>
      </c>
      <c r="L3175" s="99">
        <f t="shared" si="727"/>
        <v>0</v>
      </c>
      <c r="M3175" s="44" t="str">
        <f t="shared" si="729"/>
        <v/>
      </c>
      <c r="N3175" s="100">
        <f t="shared" si="730"/>
        <v>0</v>
      </c>
      <c r="O3175" s="101">
        <f t="shared" si="731"/>
        <v>0</v>
      </c>
      <c r="P3175" s="52">
        <f t="shared" si="732"/>
        <v>0</v>
      </c>
      <c r="Q3175" s="49">
        <v>116.88487613461319</v>
      </c>
      <c r="R3175">
        <v>2225</v>
      </c>
      <c r="S3175" s="50">
        <f t="shared" si="728"/>
        <v>71535.307499999995</v>
      </c>
      <c r="T3175" s="50">
        <f t="shared" si="733"/>
        <v>0</v>
      </c>
      <c r="U3175" s="58">
        <f t="shared" si="734"/>
        <v>0</v>
      </c>
      <c r="V3175" s="58">
        <f t="shared" si="735"/>
        <v>0</v>
      </c>
      <c r="W3175" s="58">
        <f t="shared" si="736"/>
        <v>0</v>
      </c>
      <c r="X3175" s="58">
        <f t="shared" si="737"/>
        <v>0</v>
      </c>
      <c r="Y3175" s="52">
        <f t="shared" si="738"/>
        <v>0</v>
      </c>
    </row>
    <row r="3176" spans="1:25" x14ac:dyDescent="0.25">
      <c r="A3176" s="1218" t="s">
        <v>182</v>
      </c>
      <c r="B3176" s="98">
        <v>46023</v>
      </c>
      <c r="C3176" s="117" t="str">
        <f t="shared" si="741"/>
        <v>7L</v>
      </c>
      <c r="F3176" s="99">
        <f t="shared" si="740"/>
        <v>0</v>
      </c>
      <c r="I3176" s="99">
        <f t="shared" si="739"/>
        <v>0</v>
      </c>
      <c r="L3176" s="99">
        <f t="shared" si="727"/>
        <v>0</v>
      </c>
      <c r="M3176" s="44" t="str">
        <f t="shared" si="729"/>
        <v/>
      </c>
      <c r="N3176" s="100">
        <f t="shared" si="730"/>
        <v>0</v>
      </c>
      <c r="O3176" s="101">
        <f t="shared" si="731"/>
        <v>0</v>
      </c>
      <c r="P3176" s="52">
        <f t="shared" si="732"/>
        <v>0</v>
      </c>
      <c r="Q3176" s="49">
        <v>116.88487613461319</v>
      </c>
      <c r="R3176">
        <v>2225</v>
      </c>
      <c r="S3176" s="50">
        <f t="shared" si="728"/>
        <v>71535.307499999995</v>
      </c>
      <c r="T3176" s="50">
        <f t="shared" si="733"/>
        <v>0</v>
      </c>
      <c r="U3176" s="58">
        <f t="shared" si="734"/>
        <v>0</v>
      </c>
      <c r="V3176" s="58">
        <f t="shared" si="735"/>
        <v>0</v>
      </c>
      <c r="W3176" s="58">
        <f t="shared" si="736"/>
        <v>0</v>
      </c>
      <c r="X3176" s="58">
        <f t="shared" si="737"/>
        <v>0</v>
      </c>
      <c r="Y3176" s="52">
        <f t="shared" si="738"/>
        <v>0</v>
      </c>
    </row>
    <row r="3177" spans="1:25" x14ac:dyDescent="0.25">
      <c r="A3177" s="1218" t="s">
        <v>183</v>
      </c>
      <c r="B3177" s="98">
        <v>46023</v>
      </c>
      <c r="C3177" s="117" t="str">
        <f t="shared" si="741"/>
        <v>7L</v>
      </c>
      <c r="F3177" s="99">
        <f t="shared" si="740"/>
        <v>0</v>
      </c>
      <c r="I3177" s="99">
        <f t="shared" si="739"/>
        <v>0</v>
      </c>
      <c r="L3177" s="99">
        <f t="shared" si="727"/>
        <v>0</v>
      </c>
      <c r="M3177" s="44" t="str">
        <f t="shared" si="729"/>
        <v/>
      </c>
      <c r="N3177" s="100">
        <f t="shared" si="730"/>
        <v>0</v>
      </c>
      <c r="O3177" s="101">
        <f t="shared" si="731"/>
        <v>0</v>
      </c>
      <c r="P3177" s="52">
        <f t="shared" si="732"/>
        <v>0</v>
      </c>
      <c r="Q3177" s="49">
        <v>116.88487613461319</v>
      </c>
      <c r="R3177">
        <v>2225</v>
      </c>
      <c r="S3177" s="50">
        <f t="shared" si="728"/>
        <v>71535.307499999995</v>
      </c>
      <c r="T3177" s="50">
        <f t="shared" si="733"/>
        <v>0</v>
      </c>
      <c r="U3177" s="58">
        <f t="shared" si="734"/>
        <v>0</v>
      </c>
      <c r="V3177" s="58">
        <f t="shared" si="735"/>
        <v>0</v>
      </c>
      <c r="W3177" s="58">
        <f t="shared" si="736"/>
        <v>0</v>
      </c>
      <c r="X3177" s="58">
        <f t="shared" si="737"/>
        <v>0</v>
      </c>
      <c r="Y3177" s="52">
        <f t="shared" si="738"/>
        <v>0</v>
      </c>
    </row>
    <row r="3178" spans="1:25" x14ac:dyDescent="0.25">
      <c r="A3178" s="1218" t="s">
        <v>184</v>
      </c>
      <c r="B3178" s="98">
        <v>46023</v>
      </c>
      <c r="C3178" s="117" t="str">
        <f t="shared" si="741"/>
        <v>7L</v>
      </c>
      <c r="F3178" s="99">
        <f t="shared" si="740"/>
        <v>0</v>
      </c>
      <c r="I3178" s="99">
        <f t="shared" si="739"/>
        <v>0</v>
      </c>
      <c r="L3178" s="99">
        <f t="shared" si="727"/>
        <v>0</v>
      </c>
      <c r="M3178" s="44" t="str">
        <f t="shared" si="729"/>
        <v/>
      </c>
      <c r="N3178" s="100">
        <f t="shared" si="730"/>
        <v>0</v>
      </c>
      <c r="O3178" s="101">
        <f t="shared" si="731"/>
        <v>0</v>
      </c>
      <c r="P3178" s="52">
        <f t="shared" si="732"/>
        <v>0</v>
      </c>
      <c r="Q3178" s="49">
        <v>116.88487613461319</v>
      </c>
      <c r="R3178">
        <v>2225</v>
      </c>
      <c r="S3178" s="50">
        <f t="shared" si="728"/>
        <v>71535.307499999995</v>
      </c>
      <c r="T3178" s="50">
        <f t="shared" si="733"/>
        <v>0</v>
      </c>
      <c r="U3178" s="58">
        <f t="shared" si="734"/>
        <v>0</v>
      </c>
      <c r="V3178" s="58">
        <f t="shared" si="735"/>
        <v>0</v>
      </c>
      <c r="W3178" s="58">
        <f t="shared" si="736"/>
        <v>0</v>
      </c>
      <c r="X3178" s="58">
        <f t="shared" si="737"/>
        <v>0</v>
      </c>
      <c r="Y3178" s="52">
        <f t="shared" si="738"/>
        <v>0</v>
      </c>
    </row>
    <row r="3179" spans="1:25" x14ac:dyDescent="0.25">
      <c r="A3179" s="1218" t="s">
        <v>185</v>
      </c>
      <c r="B3179" s="98">
        <v>46023</v>
      </c>
      <c r="C3179" s="117" t="str">
        <f t="shared" si="741"/>
        <v>7L</v>
      </c>
      <c r="F3179" s="99">
        <f t="shared" si="740"/>
        <v>0</v>
      </c>
      <c r="I3179" s="99">
        <f t="shared" si="739"/>
        <v>0</v>
      </c>
      <c r="L3179" s="99">
        <f t="shared" si="727"/>
        <v>0</v>
      </c>
      <c r="M3179" s="44" t="str">
        <f t="shared" si="729"/>
        <v/>
      </c>
      <c r="N3179" s="100">
        <f t="shared" si="730"/>
        <v>0</v>
      </c>
      <c r="O3179" s="101">
        <f t="shared" si="731"/>
        <v>0</v>
      </c>
      <c r="P3179" s="52">
        <f t="shared" si="732"/>
        <v>0</v>
      </c>
      <c r="Q3179" s="49">
        <v>116.88487613461319</v>
      </c>
      <c r="R3179">
        <v>2225</v>
      </c>
      <c r="S3179" s="50">
        <f t="shared" si="728"/>
        <v>71535.307499999995</v>
      </c>
      <c r="T3179" s="50">
        <f t="shared" si="733"/>
        <v>0</v>
      </c>
      <c r="U3179" s="58">
        <f t="shared" si="734"/>
        <v>0</v>
      </c>
      <c r="V3179" s="58">
        <f t="shared" si="735"/>
        <v>0</v>
      </c>
      <c r="W3179" s="58">
        <f t="shared" si="736"/>
        <v>0</v>
      </c>
      <c r="X3179" s="58">
        <f t="shared" si="737"/>
        <v>0</v>
      </c>
      <c r="Y3179" s="52">
        <f t="shared" si="738"/>
        <v>0</v>
      </c>
    </row>
    <row r="3180" spans="1:25" x14ac:dyDescent="0.25">
      <c r="A3180" s="1218" t="s">
        <v>186</v>
      </c>
      <c r="B3180" s="98">
        <v>46023</v>
      </c>
      <c r="C3180" s="117" t="str">
        <f t="shared" si="741"/>
        <v>7L</v>
      </c>
      <c r="F3180" s="99">
        <f t="shared" si="740"/>
        <v>0</v>
      </c>
      <c r="I3180" s="99">
        <f t="shared" si="739"/>
        <v>0</v>
      </c>
      <c r="L3180" s="99">
        <f t="shared" si="727"/>
        <v>0</v>
      </c>
      <c r="M3180" s="44" t="str">
        <f t="shared" si="729"/>
        <v/>
      </c>
      <c r="N3180" s="100">
        <f t="shared" si="730"/>
        <v>0</v>
      </c>
      <c r="O3180" s="101">
        <f t="shared" si="731"/>
        <v>0</v>
      </c>
      <c r="P3180" s="52">
        <f t="shared" si="732"/>
        <v>0</v>
      </c>
      <c r="Q3180" s="49">
        <v>116.88487613461319</v>
      </c>
      <c r="R3180">
        <v>2225</v>
      </c>
      <c r="S3180" s="50">
        <f t="shared" si="728"/>
        <v>71535.307499999995</v>
      </c>
      <c r="T3180" s="50">
        <f t="shared" si="733"/>
        <v>0</v>
      </c>
      <c r="U3180" s="58">
        <f t="shared" si="734"/>
        <v>0</v>
      </c>
      <c r="V3180" s="58">
        <f t="shared" si="735"/>
        <v>0</v>
      </c>
      <c r="W3180" s="58">
        <f t="shared" si="736"/>
        <v>0</v>
      </c>
      <c r="X3180" s="58">
        <f t="shared" si="737"/>
        <v>0</v>
      </c>
      <c r="Y3180" s="52">
        <f t="shared" si="738"/>
        <v>0</v>
      </c>
    </row>
    <row r="3181" spans="1:25" x14ac:dyDescent="0.25">
      <c r="A3181" s="1218" t="s">
        <v>187</v>
      </c>
      <c r="B3181" s="98">
        <v>46023</v>
      </c>
      <c r="C3181" s="117" t="str">
        <f t="shared" si="741"/>
        <v>7L</v>
      </c>
      <c r="F3181" s="99">
        <f t="shared" si="740"/>
        <v>0</v>
      </c>
      <c r="I3181" s="99">
        <f t="shared" si="739"/>
        <v>0</v>
      </c>
      <c r="L3181" s="99">
        <f t="shared" si="727"/>
        <v>0</v>
      </c>
      <c r="M3181" s="44" t="str">
        <f t="shared" si="729"/>
        <v/>
      </c>
      <c r="N3181" s="100">
        <f t="shared" si="730"/>
        <v>0</v>
      </c>
      <c r="O3181" s="101">
        <f t="shared" si="731"/>
        <v>0</v>
      </c>
      <c r="P3181" s="52">
        <f t="shared" si="732"/>
        <v>0</v>
      </c>
      <c r="Q3181" s="49">
        <v>116.88487613461319</v>
      </c>
      <c r="R3181">
        <v>2225</v>
      </c>
      <c r="S3181" s="50">
        <f t="shared" si="728"/>
        <v>71535.307499999995</v>
      </c>
      <c r="T3181" s="50">
        <f t="shared" si="733"/>
        <v>0</v>
      </c>
      <c r="U3181" s="58">
        <f t="shared" si="734"/>
        <v>0</v>
      </c>
      <c r="V3181" s="58">
        <f t="shared" si="735"/>
        <v>0</v>
      </c>
      <c r="W3181" s="58">
        <f t="shared" si="736"/>
        <v>0</v>
      </c>
      <c r="X3181" s="58">
        <f t="shared" si="737"/>
        <v>0</v>
      </c>
      <c r="Y3181" s="52">
        <f t="shared" si="738"/>
        <v>0</v>
      </c>
    </row>
    <row r="3182" spans="1:25" x14ac:dyDescent="0.25">
      <c r="A3182" s="1218" t="s">
        <v>188</v>
      </c>
      <c r="B3182" s="98">
        <v>46023</v>
      </c>
      <c r="C3182" s="117" t="str">
        <f t="shared" si="741"/>
        <v>7L</v>
      </c>
      <c r="F3182" s="99">
        <f t="shared" si="740"/>
        <v>0</v>
      </c>
      <c r="I3182" s="99">
        <f t="shared" si="739"/>
        <v>0</v>
      </c>
      <c r="L3182" s="99">
        <f t="shared" si="727"/>
        <v>0</v>
      </c>
      <c r="M3182" s="44" t="str">
        <f t="shared" si="729"/>
        <v/>
      </c>
      <c r="N3182" s="100">
        <f t="shared" si="730"/>
        <v>0</v>
      </c>
      <c r="O3182" s="101">
        <f t="shared" si="731"/>
        <v>0</v>
      </c>
      <c r="P3182" s="52">
        <f t="shared" si="732"/>
        <v>0</v>
      </c>
      <c r="Q3182" s="49">
        <v>116.88487613461319</v>
      </c>
      <c r="R3182">
        <v>2225</v>
      </c>
      <c r="S3182" s="50">
        <f t="shared" si="728"/>
        <v>71535.307499999995</v>
      </c>
      <c r="T3182" s="50">
        <f t="shared" si="733"/>
        <v>0</v>
      </c>
      <c r="U3182" s="58">
        <f t="shared" si="734"/>
        <v>0</v>
      </c>
      <c r="V3182" s="58">
        <f t="shared" si="735"/>
        <v>0</v>
      </c>
      <c r="W3182" s="58">
        <f t="shared" si="736"/>
        <v>0</v>
      </c>
      <c r="X3182" s="58">
        <f t="shared" si="737"/>
        <v>0</v>
      </c>
      <c r="Y3182" s="52">
        <f t="shared" si="738"/>
        <v>0</v>
      </c>
    </row>
    <row r="3183" spans="1:25" x14ac:dyDescent="0.25">
      <c r="A3183" s="1218" t="s">
        <v>189</v>
      </c>
      <c r="B3183" s="98">
        <v>46023</v>
      </c>
      <c r="C3183" s="117" t="str">
        <f t="shared" si="741"/>
        <v>7L</v>
      </c>
      <c r="F3183" s="99">
        <f t="shared" si="740"/>
        <v>0</v>
      </c>
      <c r="I3183" s="99">
        <f t="shared" si="739"/>
        <v>0</v>
      </c>
      <c r="L3183" s="99">
        <f t="shared" si="727"/>
        <v>0</v>
      </c>
      <c r="M3183" s="44" t="str">
        <f t="shared" si="729"/>
        <v/>
      </c>
      <c r="N3183" s="100">
        <f t="shared" si="730"/>
        <v>0</v>
      </c>
      <c r="O3183" s="101">
        <f t="shared" si="731"/>
        <v>0</v>
      </c>
      <c r="P3183" s="52">
        <f t="shared" si="732"/>
        <v>0</v>
      </c>
      <c r="Q3183" s="49">
        <v>116.88487613461319</v>
      </c>
      <c r="R3183">
        <v>2225</v>
      </c>
      <c r="S3183" s="50">
        <f t="shared" si="728"/>
        <v>71535.307499999995</v>
      </c>
      <c r="T3183" s="50">
        <f t="shared" si="733"/>
        <v>0</v>
      </c>
      <c r="U3183" s="58">
        <f t="shared" si="734"/>
        <v>0</v>
      </c>
      <c r="V3183" s="58">
        <f t="shared" si="735"/>
        <v>0</v>
      </c>
      <c r="W3183" s="58">
        <f t="shared" si="736"/>
        <v>0</v>
      </c>
      <c r="X3183" s="58">
        <f t="shared" si="737"/>
        <v>0</v>
      </c>
      <c r="Y3183" s="52">
        <f t="shared" si="738"/>
        <v>0</v>
      </c>
    </row>
    <row r="3184" spans="1:25" x14ac:dyDescent="0.25">
      <c r="A3184" s="1218" t="s">
        <v>190</v>
      </c>
      <c r="B3184" s="98">
        <v>46023</v>
      </c>
      <c r="C3184" s="117" t="str">
        <f t="shared" si="741"/>
        <v>8L</v>
      </c>
      <c r="F3184" s="99">
        <f t="shared" si="740"/>
        <v>0</v>
      </c>
      <c r="I3184" s="99">
        <f t="shared" si="739"/>
        <v>0</v>
      </c>
      <c r="L3184" s="99">
        <f t="shared" si="727"/>
        <v>0</v>
      </c>
      <c r="M3184" s="44" t="str">
        <f t="shared" si="729"/>
        <v/>
      </c>
      <c r="N3184" s="100">
        <f t="shared" si="730"/>
        <v>0</v>
      </c>
      <c r="O3184" s="101">
        <f t="shared" si="731"/>
        <v>0</v>
      </c>
      <c r="P3184" s="52">
        <f t="shared" si="732"/>
        <v>0</v>
      </c>
      <c r="Q3184" s="49">
        <v>116.88487613461319</v>
      </c>
      <c r="R3184">
        <v>2225</v>
      </c>
      <c r="S3184" s="50">
        <f t="shared" si="728"/>
        <v>71535.307499999995</v>
      </c>
      <c r="T3184" s="50">
        <f t="shared" si="733"/>
        <v>0</v>
      </c>
      <c r="U3184" s="58">
        <f t="shared" si="734"/>
        <v>0</v>
      </c>
      <c r="V3184" s="58">
        <f t="shared" si="735"/>
        <v>0</v>
      </c>
      <c r="W3184" s="58">
        <f t="shared" si="736"/>
        <v>0</v>
      </c>
      <c r="X3184" s="58">
        <f t="shared" si="737"/>
        <v>0</v>
      </c>
      <c r="Y3184" s="52">
        <f t="shared" si="738"/>
        <v>0</v>
      </c>
    </row>
    <row r="3185" spans="1:25" x14ac:dyDescent="0.25">
      <c r="A3185" s="1218" t="s">
        <v>191</v>
      </c>
      <c r="B3185" s="98">
        <v>46023</v>
      </c>
      <c r="C3185" s="117" t="str">
        <f t="shared" si="741"/>
        <v>8L</v>
      </c>
      <c r="F3185" s="99">
        <f t="shared" si="740"/>
        <v>0</v>
      </c>
      <c r="I3185" s="99">
        <f t="shared" si="739"/>
        <v>0</v>
      </c>
      <c r="L3185" s="99">
        <f t="shared" si="727"/>
        <v>0</v>
      </c>
      <c r="M3185" s="44" t="str">
        <f t="shared" si="729"/>
        <v/>
      </c>
      <c r="N3185" s="100">
        <f t="shared" si="730"/>
        <v>0</v>
      </c>
      <c r="O3185" s="101">
        <f t="shared" si="731"/>
        <v>0</v>
      </c>
      <c r="P3185" s="52">
        <f t="shared" si="732"/>
        <v>0</v>
      </c>
      <c r="Q3185" s="49">
        <v>116.88487613461319</v>
      </c>
      <c r="R3185">
        <v>2225</v>
      </c>
      <c r="S3185" s="50">
        <f t="shared" si="728"/>
        <v>71535.307499999995</v>
      </c>
      <c r="T3185" s="50">
        <f t="shared" si="733"/>
        <v>0</v>
      </c>
      <c r="U3185" s="58">
        <f t="shared" si="734"/>
        <v>0</v>
      </c>
      <c r="V3185" s="58">
        <f t="shared" si="735"/>
        <v>0</v>
      </c>
      <c r="W3185" s="58">
        <f t="shared" si="736"/>
        <v>0</v>
      </c>
      <c r="X3185" s="58">
        <f t="shared" si="737"/>
        <v>0</v>
      </c>
      <c r="Y3185" s="52">
        <f t="shared" si="738"/>
        <v>0</v>
      </c>
    </row>
    <row r="3186" spans="1:25" x14ac:dyDescent="0.25">
      <c r="A3186" s="1218" t="s">
        <v>192</v>
      </c>
      <c r="B3186" s="98">
        <v>46023</v>
      </c>
      <c r="C3186" s="117" t="str">
        <f t="shared" si="741"/>
        <v>8L</v>
      </c>
      <c r="F3186" s="99">
        <f t="shared" si="740"/>
        <v>0</v>
      </c>
      <c r="I3186" s="99">
        <f t="shared" si="739"/>
        <v>0</v>
      </c>
      <c r="L3186" s="99">
        <f t="shared" si="727"/>
        <v>0</v>
      </c>
      <c r="M3186" s="44" t="str">
        <f t="shared" si="729"/>
        <v/>
      </c>
      <c r="N3186" s="100">
        <f t="shared" si="730"/>
        <v>0</v>
      </c>
      <c r="O3186" s="101">
        <f t="shared" si="731"/>
        <v>0</v>
      </c>
      <c r="P3186" s="52">
        <f t="shared" si="732"/>
        <v>0</v>
      </c>
      <c r="Q3186" s="49">
        <v>116.88487613461319</v>
      </c>
      <c r="R3186">
        <v>2225</v>
      </c>
      <c r="S3186" s="50">
        <f t="shared" si="728"/>
        <v>71535.307499999995</v>
      </c>
      <c r="T3186" s="50">
        <f t="shared" si="733"/>
        <v>0</v>
      </c>
      <c r="U3186" s="58">
        <f t="shared" si="734"/>
        <v>0</v>
      </c>
      <c r="V3186" s="58">
        <f t="shared" si="735"/>
        <v>0</v>
      </c>
      <c r="W3186" s="58">
        <f t="shared" si="736"/>
        <v>0</v>
      </c>
      <c r="X3186" s="58">
        <f t="shared" si="737"/>
        <v>0</v>
      </c>
      <c r="Y3186" s="52">
        <f t="shared" si="738"/>
        <v>0</v>
      </c>
    </row>
    <row r="3187" spans="1:25" x14ac:dyDescent="0.25">
      <c r="A3187" s="1218" t="s">
        <v>193</v>
      </c>
      <c r="B3187" s="98">
        <v>46023</v>
      </c>
      <c r="C3187" s="117" t="str">
        <f t="shared" si="741"/>
        <v>8L</v>
      </c>
      <c r="F3187" s="99">
        <f t="shared" si="740"/>
        <v>0</v>
      </c>
      <c r="I3187" s="99">
        <f t="shared" si="739"/>
        <v>0</v>
      </c>
      <c r="L3187" s="99">
        <f t="shared" si="727"/>
        <v>0</v>
      </c>
      <c r="M3187" s="44" t="str">
        <f t="shared" si="729"/>
        <v/>
      </c>
      <c r="N3187" s="100">
        <f t="shared" si="730"/>
        <v>0</v>
      </c>
      <c r="O3187" s="101">
        <f t="shared" si="731"/>
        <v>0</v>
      </c>
      <c r="P3187" s="52">
        <f t="shared" si="732"/>
        <v>0</v>
      </c>
      <c r="Q3187" s="49">
        <v>116.88487613461319</v>
      </c>
      <c r="R3187">
        <v>2225</v>
      </c>
      <c r="S3187" s="50">
        <f t="shared" si="728"/>
        <v>71535.307499999995</v>
      </c>
      <c r="T3187" s="50">
        <f t="shared" si="733"/>
        <v>0</v>
      </c>
      <c r="U3187" s="58">
        <f t="shared" si="734"/>
        <v>0</v>
      </c>
      <c r="V3187" s="58">
        <f t="shared" si="735"/>
        <v>0</v>
      </c>
      <c r="W3187" s="58">
        <f t="shared" si="736"/>
        <v>0</v>
      </c>
      <c r="X3187" s="58">
        <f t="shared" si="737"/>
        <v>0</v>
      </c>
      <c r="Y3187" s="52">
        <f t="shared" si="738"/>
        <v>0</v>
      </c>
    </row>
    <row r="3188" spans="1:25" x14ac:dyDescent="0.25">
      <c r="A3188" s="1218" t="s">
        <v>194</v>
      </c>
      <c r="B3188" s="98">
        <v>46023</v>
      </c>
      <c r="C3188" s="117" t="str">
        <f t="shared" si="741"/>
        <v>8L</v>
      </c>
      <c r="F3188" s="99">
        <f t="shared" si="740"/>
        <v>0</v>
      </c>
      <c r="I3188" s="99">
        <f t="shared" si="739"/>
        <v>0</v>
      </c>
      <c r="L3188" s="99">
        <f t="shared" si="727"/>
        <v>0</v>
      </c>
      <c r="M3188" s="44" t="str">
        <f t="shared" si="729"/>
        <v/>
      </c>
      <c r="N3188" s="100">
        <f t="shared" si="730"/>
        <v>0</v>
      </c>
      <c r="O3188" s="101">
        <f t="shared" si="731"/>
        <v>0</v>
      </c>
      <c r="P3188" s="52">
        <f t="shared" si="732"/>
        <v>0</v>
      </c>
      <c r="Q3188" s="49">
        <v>116.88487613461319</v>
      </c>
      <c r="R3188">
        <v>2225</v>
      </c>
      <c r="S3188" s="50">
        <f t="shared" si="728"/>
        <v>71535.307499999995</v>
      </c>
      <c r="T3188" s="50">
        <f t="shared" si="733"/>
        <v>0</v>
      </c>
      <c r="U3188" s="58">
        <f t="shared" si="734"/>
        <v>0</v>
      </c>
      <c r="V3188" s="58">
        <f t="shared" si="735"/>
        <v>0</v>
      </c>
      <c r="W3188" s="58">
        <f t="shared" si="736"/>
        <v>0</v>
      </c>
      <c r="X3188" s="58">
        <f t="shared" si="737"/>
        <v>0</v>
      </c>
      <c r="Y3188" s="52">
        <f t="shared" si="738"/>
        <v>0</v>
      </c>
    </row>
    <row r="3189" spans="1:25" x14ac:dyDescent="0.25">
      <c r="A3189" s="1218" t="s">
        <v>195</v>
      </c>
      <c r="B3189" s="98">
        <v>46023</v>
      </c>
      <c r="C3189" s="117" t="str">
        <f t="shared" si="741"/>
        <v>8L</v>
      </c>
      <c r="F3189" s="99">
        <f t="shared" si="740"/>
        <v>0</v>
      </c>
      <c r="I3189" s="99">
        <f t="shared" si="739"/>
        <v>0</v>
      </c>
      <c r="L3189" s="99">
        <f t="shared" si="727"/>
        <v>0</v>
      </c>
      <c r="M3189" s="44" t="str">
        <f t="shared" si="729"/>
        <v/>
      </c>
      <c r="N3189" s="100">
        <f t="shared" si="730"/>
        <v>0</v>
      </c>
      <c r="O3189" s="101">
        <f t="shared" si="731"/>
        <v>0</v>
      </c>
      <c r="P3189" s="52">
        <f t="shared" si="732"/>
        <v>0</v>
      </c>
      <c r="Q3189" s="49">
        <v>116.88487613461319</v>
      </c>
      <c r="R3189">
        <v>2225</v>
      </c>
      <c r="S3189" s="50">
        <f t="shared" si="728"/>
        <v>71535.307499999995</v>
      </c>
      <c r="T3189" s="50">
        <f t="shared" si="733"/>
        <v>0</v>
      </c>
      <c r="U3189" s="58">
        <f t="shared" si="734"/>
        <v>0</v>
      </c>
      <c r="V3189" s="58">
        <f t="shared" si="735"/>
        <v>0</v>
      </c>
      <c r="W3189" s="58">
        <f t="shared" si="736"/>
        <v>0</v>
      </c>
      <c r="X3189" s="58">
        <f t="shared" si="737"/>
        <v>0</v>
      </c>
      <c r="Y3189" s="52">
        <f t="shared" si="738"/>
        <v>0</v>
      </c>
    </row>
    <row r="3190" spans="1:25" x14ac:dyDescent="0.25">
      <c r="A3190" s="1218" t="s">
        <v>196</v>
      </c>
      <c r="B3190" s="98">
        <v>46023</v>
      </c>
      <c r="C3190" s="117" t="str">
        <f t="shared" si="741"/>
        <v>8L</v>
      </c>
      <c r="F3190" s="99">
        <f t="shared" si="740"/>
        <v>0</v>
      </c>
      <c r="I3190" s="99">
        <f t="shared" si="739"/>
        <v>0</v>
      </c>
      <c r="L3190" s="99">
        <f t="shared" si="727"/>
        <v>0</v>
      </c>
      <c r="M3190" s="44" t="str">
        <f t="shared" si="729"/>
        <v/>
      </c>
      <c r="N3190" s="100">
        <f t="shared" si="730"/>
        <v>0</v>
      </c>
      <c r="O3190" s="101">
        <f t="shared" si="731"/>
        <v>0</v>
      </c>
      <c r="P3190" s="52">
        <f t="shared" si="732"/>
        <v>0</v>
      </c>
      <c r="Q3190" s="49">
        <v>116.88487613461319</v>
      </c>
      <c r="R3190">
        <v>2225</v>
      </c>
      <c r="S3190" s="50">
        <f t="shared" si="728"/>
        <v>71535.307499999995</v>
      </c>
      <c r="T3190" s="50">
        <f t="shared" si="733"/>
        <v>0</v>
      </c>
      <c r="U3190" s="58">
        <f t="shared" si="734"/>
        <v>0</v>
      </c>
      <c r="V3190" s="58">
        <f t="shared" si="735"/>
        <v>0</v>
      </c>
      <c r="W3190" s="58">
        <f t="shared" si="736"/>
        <v>0</v>
      </c>
      <c r="X3190" s="58">
        <f t="shared" si="737"/>
        <v>0</v>
      </c>
      <c r="Y3190" s="52">
        <f t="shared" si="738"/>
        <v>0</v>
      </c>
    </row>
    <row r="3191" spans="1:25" x14ac:dyDescent="0.25">
      <c r="A3191" s="1218" t="s">
        <v>197</v>
      </c>
      <c r="B3191" s="98">
        <v>46023</v>
      </c>
      <c r="C3191" s="117" t="str">
        <f t="shared" si="741"/>
        <v>8L</v>
      </c>
      <c r="F3191" s="99">
        <f t="shared" si="740"/>
        <v>0</v>
      </c>
      <c r="I3191" s="99">
        <f t="shared" si="739"/>
        <v>0</v>
      </c>
      <c r="L3191" s="99">
        <f t="shared" si="727"/>
        <v>0</v>
      </c>
      <c r="M3191" s="44" t="str">
        <f t="shared" si="729"/>
        <v/>
      </c>
      <c r="N3191" s="100">
        <f t="shared" si="730"/>
        <v>0</v>
      </c>
      <c r="O3191" s="101">
        <f t="shared" si="731"/>
        <v>0</v>
      </c>
      <c r="P3191" s="52">
        <f t="shared" si="732"/>
        <v>0</v>
      </c>
      <c r="Q3191" s="49">
        <v>116.88487613461319</v>
      </c>
      <c r="R3191">
        <v>2225</v>
      </c>
      <c r="S3191" s="50">
        <f t="shared" si="728"/>
        <v>71535.307499999995</v>
      </c>
      <c r="T3191" s="50">
        <f t="shared" si="733"/>
        <v>0</v>
      </c>
      <c r="U3191" s="58">
        <f t="shared" si="734"/>
        <v>0</v>
      </c>
      <c r="V3191" s="58">
        <f t="shared" si="735"/>
        <v>0</v>
      </c>
      <c r="W3191" s="58">
        <f t="shared" si="736"/>
        <v>0</v>
      </c>
      <c r="X3191" s="58">
        <f t="shared" si="737"/>
        <v>0</v>
      </c>
      <c r="Y3191" s="52">
        <f t="shared" si="738"/>
        <v>0</v>
      </c>
    </row>
    <row r="3192" spans="1:25" x14ac:dyDescent="0.25">
      <c r="A3192" s="1218" t="s">
        <v>198</v>
      </c>
      <c r="B3192" s="98">
        <v>46023</v>
      </c>
      <c r="C3192" s="117" t="str">
        <f t="shared" si="741"/>
        <v>8L</v>
      </c>
      <c r="F3192" s="99">
        <f t="shared" si="740"/>
        <v>0</v>
      </c>
      <c r="I3192" s="99">
        <f t="shared" si="739"/>
        <v>0</v>
      </c>
      <c r="L3192" s="99">
        <f t="shared" si="727"/>
        <v>0</v>
      </c>
      <c r="M3192" s="44" t="str">
        <f t="shared" si="729"/>
        <v/>
      </c>
      <c r="N3192" s="100">
        <f t="shared" si="730"/>
        <v>0</v>
      </c>
      <c r="O3192" s="101">
        <f t="shared" si="731"/>
        <v>0</v>
      </c>
      <c r="P3192" s="52">
        <f t="shared" si="732"/>
        <v>0</v>
      </c>
      <c r="Q3192" s="49">
        <v>116.88487613461319</v>
      </c>
      <c r="R3192">
        <v>2225</v>
      </c>
      <c r="S3192" s="50">
        <f t="shared" si="728"/>
        <v>71535.307499999995</v>
      </c>
      <c r="T3192" s="50">
        <f t="shared" si="733"/>
        <v>0</v>
      </c>
      <c r="U3192" s="58">
        <f t="shared" si="734"/>
        <v>0</v>
      </c>
      <c r="V3192" s="58">
        <f t="shared" si="735"/>
        <v>0</v>
      </c>
      <c r="W3192" s="58">
        <f t="shared" si="736"/>
        <v>0</v>
      </c>
      <c r="X3192" s="58">
        <f t="shared" si="737"/>
        <v>0</v>
      </c>
      <c r="Y3192" s="52">
        <f t="shared" si="738"/>
        <v>0</v>
      </c>
    </row>
    <row r="3193" spans="1:25" x14ac:dyDescent="0.25">
      <c r="A3193" s="1218" t="s">
        <v>199</v>
      </c>
      <c r="B3193" s="98">
        <v>46023</v>
      </c>
      <c r="C3193" s="117" t="str">
        <f t="shared" si="741"/>
        <v>8L</v>
      </c>
      <c r="F3193" s="99">
        <f t="shared" si="740"/>
        <v>0</v>
      </c>
      <c r="I3193" s="99">
        <f t="shared" si="739"/>
        <v>0</v>
      </c>
      <c r="L3193" s="99">
        <f t="shared" si="727"/>
        <v>0</v>
      </c>
      <c r="M3193" s="44" t="str">
        <f t="shared" si="729"/>
        <v/>
      </c>
      <c r="N3193" s="100">
        <f t="shared" si="730"/>
        <v>0</v>
      </c>
      <c r="O3193" s="101">
        <f t="shared" si="731"/>
        <v>0</v>
      </c>
      <c r="P3193" s="52">
        <f t="shared" si="732"/>
        <v>0</v>
      </c>
      <c r="Q3193" s="49">
        <v>116.88487613461319</v>
      </c>
      <c r="R3193">
        <v>2225</v>
      </c>
      <c r="S3193" s="50">
        <f t="shared" si="728"/>
        <v>71535.307499999995</v>
      </c>
      <c r="T3193" s="50">
        <f t="shared" si="733"/>
        <v>0</v>
      </c>
      <c r="U3193" s="58">
        <f t="shared" si="734"/>
        <v>0</v>
      </c>
      <c r="V3193" s="58">
        <f t="shared" si="735"/>
        <v>0</v>
      </c>
      <c r="W3193" s="58">
        <f t="shared" si="736"/>
        <v>0</v>
      </c>
      <c r="X3193" s="58">
        <f t="shared" si="737"/>
        <v>0</v>
      </c>
      <c r="Y3193" s="52">
        <f t="shared" si="738"/>
        <v>0</v>
      </c>
    </row>
    <row r="3194" spans="1:25" x14ac:dyDescent="0.25">
      <c r="A3194" s="1218" t="s">
        <v>200</v>
      </c>
      <c r="B3194" s="98">
        <v>46023</v>
      </c>
      <c r="C3194" s="117" t="str">
        <f t="shared" si="741"/>
        <v>8L</v>
      </c>
      <c r="F3194" s="99">
        <f t="shared" si="740"/>
        <v>0</v>
      </c>
      <c r="I3194" s="99">
        <f t="shared" si="739"/>
        <v>0</v>
      </c>
      <c r="L3194" s="99">
        <f t="shared" si="727"/>
        <v>0</v>
      </c>
      <c r="M3194" s="44" t="str">
        <f t="shared" si="729"/>
        <v/>
      </c>
      <c r="N3194" s="100">
        <f t="shared" si="730"/>
        <v>0</v>
      </c>
      <c r="O3194" s="101">
        <f t="shared" si="731"/>
        <v>0</v>
      </c>
      <c r="P3194" s="52">
        <f t="shared" si="732"/>
        <v>0</v>
      </c>
      <c r="Q3194" s="49">
        <v>116.88487613461319</v>
      </c>
      <c r="R3194">
        <v>2225</v>
      </c>
      <c r="S3194" s="50">
        <f t="shared" si="728"/>
        <v>71535.307499999995</v>
      </c>
      <c r="T3194" s="50">
        <f t="shared" si="733"/>
        <v>0</v>
      </c>
      <c r="U3194" s="58">
        <f t="shared" si="734"/>
        <v>0</v>
      </c>
      <c r="V3194" s="58">
        <f t="shared" si="735"/>
        <v>0</v>
      </c>
      <c r="W3194" s="58">
        <f t="shared" si="736"/>
        <v>0</v>
      </c>
      <c r="X3194" s="58">
        <f t="shared" si="737"/>
        <v>0</v>
      </c>
      <c r="Y3194" s="52">
        <f t="shared" si="738"/>
        <v>0</v>
      </c>
    </row>
    <row r="3195" spans="1:25" x14ac:dyDescent="0.25">
      <c r="A3195" s="1218" t="s">
        <v>201</v>
      </c>
      <c r="B3195" s="98">
        <v>46023</v>
      </c>
      <c r="C3195" s="117" t="str">
        <f t="shared" si="741"/>
        <v>8L</v>
      </c>
      <c r="F3195" s="99">
        <f t="shared" si="740"/>
        <v>0</v>
      </c>
      <c r="I3195" s="99">
        <f t="shared" si="739"/>
        <v>0</v>
      </c>
      <c r="L3195" s="99">
        <f t="shared" si="727"/>
        <v>0</v>
      </c>
      <c r="M3195" s="44" t="str">
        <f t="shared" si="729"/>
        <v/>
      </c>
      <c r="N3195" s="100">
        <f t="shared" si="730"/>
        <v>0</v>
      </c>
      <c r="O3195" s="101">
        <f t="shared" si="731"/>
        <v>0</v>
      </c>
      <c r="P3195" s="52">
        <f t="shared" si="732"/>
        <v>0</v>
      </c>
      <c r="Q3195" s="49">
        <v>116.88487613461319</v>
      </c>
      <c r="R3195">
        <v>2225</v>
      </c>
      <c r="S3195" s="50">
        <f t="shared" si="728"/>
        <v>71535.307499999995</v>
      </c>
      <c r="T3195" s="50">
        <f t="shared" si="733"/>
        <v>0</v>
      </c>
      <c r="U3195" s="58">
        <f t="shared" si="734"/>
        <v>0</v>
      </c>
      <c r="V3195" s="58">
        <f t="shared" si="735"/>
        <v>0</v>
      </c>
      <c r="W3195" s="58">
        <f t="shared" si="736"/>
        <v>0</v>
      </c>
      <c r="X3195" s="58">
        <f t="shared" si="737"/>
        <v>0</v>
      </c>
      <c r="Y3195" s="52">
        <f t="shared" si="738"/>
        <v>0</v>
      </c>
    </row>
    <row r="3196" spans="1:25" x14ac:dyDescent="0.25">
      <c r="A3196" s="1218" t="s">
        <v>202</v>
      </c>
      <c r="B3196" s="98">
        <v>46023</v>
      </c>
      <c r="C3196" s="117" t="str">
        <f t="shared" si="741"/>
        <v>8L</v>
      </c>
      <c r="F3196" s="99">
        <f t="shared" si="740"/>
        <v>0</v>
      </c>
      <c r="I3196" s="99">
        <f t="shared" si="739"/>
        <v>0</v>
      </c>
      <c r="L3196" s="99">
        <f t="shared" si="727"/>
        <v>0</v>
      </c>
      <c r="M3196" s="44" t="str">
        <f t="shared" si="729"/>
        <v/>
      </c>
      <c r="N3196" s="100">
        <f t="shared" si="730"/>
        <v>0</v>
      </c>
      <c r="O3196" s="101">
        <f t="shared" si="731"/>
        <v>0</v>
      </c>
      <c r="P3196" s="52">
        <f t="shared" si="732"/>
        <v>0</v>
      </c>
      <c r="Q3196" s="49">
        <v>116.88487613461319</v>
      </c>
      <c r="R3196">
        <v>2225</v>
      </c>
      <c r="S3196" s="50">
        <f t="shared" si="728"/>
        <v>71535.307499999995</v>
      </c>
      <c r="T3196" s="50">
        <f t="shared" si="733"/>
        <v>0</v>
      </c>
      <c r="U3196" s="58">
        <f t="shared" si="734"/>
        <v>0</v>
      </c>
      <c r="V3196" s="58">
        <f t="shared" si="735"/>
        <v>0</v>
      </c>
      <c r="W3196" s="58">
        <f t="shared" si="736"/>
        <v>0</v>
      </c>
      <c r="X3196" s="58">
        <f t="shared" si="737"/>
        <v>0</v>
      </c>
      <c r="Y3196" s="52">
        <f t="shared" si="738"/>
        <v>0</v>
      </c>
    </row>
    <row r="3197" spans="1:25" x14ac:dyDescent="0.25">
      <c r="A3197" s="1218" t="s">
        <v>203</v>
      </c>
      <c r="B3197" s="98">
        <v>46023</v>
      </c>
      <c r="C3197" s="117" t="str">
        <f t="shared" si="741"/>
        <v>8L</v>
      </c>
      <c r="F3197" s="99">
        <f t="shared" si="740"/>
        <v>0</v>
      </c>
      <c r="I3197" s="99">
        <f t="shared" si="739"/>
        <v>0</v>
      </c>
      <c r="L3197" s="99">
        <f t="shared" si="727"/>
        <v>0</v>
      </c>
      <c r="M3197" s="44" t="str">
        <f t="shared" si="729"/>
        <v/>
      </c>
      <c r="N3197" s="100">
        <f t="shared" si="730"/>
        <v>0</v>
      </c>
      <c r="O3197" s="101">
        <f t="shared" si="731"/>
        <v>0</v>
      </c>
      <c r="P3197" s="52">
        <f t="shared" si="732"/>
        <v>0</v>
      </c>
      <c r="Q3197" s="49">
        <v>116.88487613461319</v>
      </c>
      <c r="R3197">
        <v>2225</v>
      </c>
      <c r="S3197" s="50">
        <f t="shared" si="728"/>
        <v>71535.307499999995</v>
      </c>
      <c r="T3197" s="50">
        <f t="shared" si="733"/>
        <v>0</v>
      </c>
      <c r="U3197" s="58">
        <f t="shared" si="734"/>
        <v>0</v>
      </c>
      <c r="V3197" s="58">
        <f t="shared" si="735"/>
        <v>0</v>
      </c>
      <c r="W3197" s="58">
        <f t="shared" si="736"/>
        <v>0</v>
      </c>
      <c r="X3197" s="58">
        <f t="shared" si="737"/>
        <v>0</v>
      </c>
      <c r="Y3197" s="52">
        <f t="shared" si="738"/>
        <v>0</v>
      </c>
    </row>
    <row r="3198" spans="1:25" x14ac:dyDescent="0.25">
      <c r="A3198" s="1218" t="s">
        <v>204</v>
      </c>
      <c r="B3198" s="98">
        <v>46023</v>
      </c>
      <c r="C3198" s="117" t="str">
        <f t="shared" si="741"/>
        <v>8L</v>
      </c>
      <c r="F3198" s="99">
        <f t="shared" si="740"/>
        <v>0</v>
      </c>
      <c r="I3198" s="99">
        <f t="shared" si="739"/>
        <v>0</v>
      </c>
      <c r="L3198" s="99">
        <f t="shared" si="727"/>
        <v>0</v>
      </c>
      <c r="M3198" s="44" t="str">
        <f t="shared" si="729"/>
        <v/>
      </c>
      <c r="N3198" s="100">
        <f t="shared" si="730"/>
        <v>0</v>
      </c>
      <c r="O3198" s="101">
        <f t="shared" si="731"/>
        <v>0</v>
      </c>
      <c r="P3198" s="52">
        <f t="shared" si="732"/>
        <v>0</v>
      </c>
      <c r="Q3198" s="49">
        <v>116.88487613461319</v>
      </c>
      <c r="R3198">
        <v>2225</v>
      </c>
      <c r="S3198" s="50">
        <f t="shared" si="728"/>
        <v>71535.307499999995</v>
      </c>
      <c r="T3198" s="50">
        <f t="shared" si="733"/>
        <v>0</v>
      </c>
      <c r="U3198" s="58">
        <f t="shared" si="734"/>
        <v>0</v>
      </c>
      <c r="V3198" s="58">
        <f t="shared" si="735"/>
        <v>0</v>
      </c>
      <c r="W3198" s="58">
        <f t="shared" si="736"/>
        <v>0</v>
      </c>
      <c r="X3198" s="58">
        <f t="shared" si="737"/>
        <v>0</v>
      </c>
      <c r="Y3198" s="52">
        <f t="shared" si="738"/>
        <v>0</v>
      </c>
    </row>
    <row r="3199" spans="1:25" x14ac:dyDescent="0.25">
      <c r="A3199" s="1218" t="s">
        <v>205</v>
      </c>
      <c r="B3199" s="98">
        <v>46023</v>
      </c>
      <c r="C3199" s="117" t="str">
        <f t="shared" si="741"/>
        <v>8L</v>
      </c>
      <c r="F3199" s="99">
        <f t="shared" si="740"/>
        <v>0</v>
      </c>
      <c r="I3199" s="99">
        <f t="shared" si="739"/>
        <v>0</v>
      </c>
      <c r="L3199" s="99">
        <f t="shared" ref="L3199:L3265" si="742">IFERROR(J3199*K3199/1000,"")</f>
        <v>0</v>
      </c>
      <c r="M3199" s="44" t="str">
        <f t="shared" si="729"/>
        <v/>
      </c>
      <c r="N3199" s="100">
        <f t="shared" si="730"/>
        <v>0</v>
      </c>
      <c r="O3199" s="101">
        <f t="shared" si="731"/>
        <v>0</v>
      </c>
      <c r="P3199" s="52">
        <f t="shared" si="732"/>
        <v>0</v>
      </c>
      <c r="Q3199" s="49">
        <v>116.88487613461319</v>
      </c>
      <c r="R3199">
        <v>2225</v>
      </c>
      <c r="S3199" s="50">
        <f t="shared" ref="S3199:S3265" si="743">R3199*32.1507</f>
        <v>71535.307499999995</v>
      </c>
      <c r="T3199" s="50">
        <f t="shared" si="733"/>
        <v>0</v>
      </c>
      <c r="U3199" s="58">
        <f t="shared" si="734"/>
        <v>0</v>
      </c>
      <c r="V3199" s="58">
        <f t="shared" si="735"/>
        <v>0</v>
      </c>
      <c r="W3199" s="58">
        <f t="shared" si="736"/>
        <v>0</v>
      </c>
      <c r="X3199" s="58">
        <f t="shared" si="737"/>
        <v>0</v>
      </c>
      <c r="Y3199" s="52">
        <f t="shared" si="738"/>
        <v>0</v>
      </c>
    </row>
    <row r="3200" spans="1:25" x14ac:dyDescent="0.25">
      <c r="A3200" s="1218" t="s">
        <v>206</v>
      </c>
      <c r="B3200" s="98">
        <v>46023</v>
      </c>
      <c r="C3200" s="117" t="str">
        <f t="shared" si="741"/>
        <v>8L</v>
      </c>
      <c r="F3200" s="99">
        <f t="shared" si="740"/>
        <v>0</v>
      </c>
      <c r="I3200" s="99">
        <f t="shared" si="739"/>
        <v>0</v>
      </c>
      <c r="L3200" s="99">
        <f t="shared" si="742"/>
        <v>0</v>
      </c>
      <c r="M3200" s="44" t="str">
        <f t="shared" si="729"/>
        <v/>
      </c>
      <c r="N3200" s="100">
        <f t="shared" si="730"/>
        <v>0</v>
      </c>
      <c r="O3200" s="101">
        <f t="shared" si="731"/>
        <v>0</v>
      </c>
      <c r="P3200" s="52">
        <f t="shared" si="732"/>
        <v>0</v>
      </c>
      <c r="Q3200" s="49">
        <v>116.88487613461319</v>
      </c>
      <c r="R3200">
        <v>2225</v>
      </c>
      <c r="S3200" s="50">
        <f t="shared" si="743"/>
        <v>71535.307499999995</v>
      </c>
      <c r="T3200" s="50">
        <f t="shared" si="733"/>
        <v>0</v>
      </c>
      <c r="U3200" s="58">
        <f t="shared" si="734"/>
        <v>0</v>
      </c>
      <c r="V3200" s="58">
        <f t="shared" si="735"/>
        <v>0</v>
      </c>
      <c r="W3200" s="58">
        <f t="shared" si="736"/>
        <v>0</v>
      </c>
      <c r="X3200" s="58">
        <f t="shared" si="737"/>
        <v>0</v>
      </c>
      <c r="Y3200" s="52">
        <f t="shared" si="738"/>
        <v>0</v>
      </c>
    </row>
    <row r="3201" spans="1:25" ht="15.75" thickBot="1" x14ac:dyDescent="0.3">
      <c r="A3201" s="1219" t="s">
        <v>207</v>
      </c>
      <c r="B3201" s="98">
        <v>46023</v>
      </c>
      <c r="C3201" s="117" t="str">
        <f t="shared" si="741"/>
        <v>8L</v>
      </c>
      <c r="F3201" s="99">
        <f t="shared" si="740"/>
        <v>0</v>
      </c>
      <c r="I3201" s="99">
        <f t="shared" si="739"/>
        <v>0</v>
      </c>
      <c r="L3201" s="99">
        <f t="shared" si="742"/>
        <v>0</v>
      </c>
      <c r="M3201" s="44" t="str">
        <f t="shared" ref="M3201:M3267" si="744">IFERROR((L3201-I3201)/I3201,"")</f>
        <v/>
      </c>
      <c r="N3201" s="100">
        <f t="shared" ref="N3201:N3267" si="745">J3201-G3201</f>
        <v>0</v>
      </c>
      <c r="O3201" s="101">
        <f t="shared" ref="O3201:O3267" si="746">L3201-I3201</f>
        <v>0</v>
      </c>
      <c r="P3201" s="52">
        <f t="shared" ref="P3201:P3267" si="747">U3201-W3201</f>
        <v>0</v>
      </c>
      <c r="Q3201" s="49">
        <v>116.88487613461319</v>
      </c>
      <c r="R3201">
        <v>2225</v>
      </c>
      <c r="S3201" s="50">
        <f t="shared" si="743"/>
        <v>71535.307499999995</v>
      </c>
      <c r="T3201" s="50">
        <f t="shared" ref="T3201:T3267" si="748">IFERROR(S3201*I3201,"")</f>
        <v>0</v>
      </c>
      <c r="U3201" s="58">
        <f t="shared" ref="U3201:U3267" si="749">IFERROR(S3201*L3201,"")</f>
        <v>0</v>
      </c>
      <c r="V3201" s="58">
        <f t="shared" ref="V3201:V3267" si="750">IFERROR(Q3201*G3201,"")</f>
        <v>0</v>
      </c>
      <c r="W3201" s="58">
        <f t="shared" ref="W3201:W3267" si="751">IFERROR(Q3201*J3201,"")</f>
        <v>0</v>
      </c>
      <c r="X3201" s="58">
        <f t="shared" ref="X3201:X3267" si="752">T3201-V3201</f>
        <v>0</v>
      </c>
      <c r="Y3201" s="52">
        <f t="shared" ref="Y3201:Y3267" si="753">U3201-W3201</f>
        <v>0</v>
      </c>
    </row>
    <row r="3202" spans="1:25" x14ac:dyDescent="0.25">
      <c r="A3202" s="97" t="s">
        <v>80</v>
      </c>
      <c r="B3202" s="98">
        <v>46054</v>
      </c>
      <c r="C3202" s="117" t="str">
        <f t="shared" si="741"/>
        <v>1L</v>
      </c>
      <c r="F3202" s="99">
        <f t="shared" si="740"/>
        <v>0</v>
      </c>
      <c r="I3202" s="99">
        <f t="shared" si="739"/>
        <v>0</v>
      </c>
      <c r="L3202" s="99">
        <f t="shared" si="742"/>
        <v>0</v>
      </c>
      <c r="M3202" s="44" t="str">
        <f t="shared" si="744"/>
        <v/>
      </c>
      <c r="N3202" s="100">
        <f t="shared" si="745"/>
        <v>0</v>
      </c>
      <c r="O3202" s="101">
        <f t="shared" si="746"/>
        <v>0</v>
      </c>
      <c r="P3202" s="52">
        <f t="shared" si="747"/>
        <v>0</v>
      </c>
      <c r="Q3202" s="49">
        <v>116.88487613461319</v>
      </c>
      <c r="R3202">
        <v>2225</v>
      </c>
      <c r="S3202" s="50">
        <f t="shared" si="743"/>
        <v>71535.307499999995</v>
      </c>
      <c r="T3202" s="50">
        <f t="shared" si="748"/>
        <v>0</v>
      </c>
      <c r="U3202" s="58">
        <f t="shared" si="749"/>
        <v>0</v>
      </c>
      <c r="V3202" s="58">
        <f t="shared" si="750"/>
        <v>0</v>
      </c>
      <c r="W3202" s="58">
        <f t="shared" si="751"/>
        <v>0</v>
      </c>
      <c r="X3202" s="58">
        <f t="shared" si="752"/>
        <v>0</v>
      </c>
      <c r="Y3202" s="52">
        <f t="shared" si="753"/>
        <v>0</v>
      </c>
    </row>
    <row r="3203" spans="1:25" x14ac:dyDescent="0.25">
      <c r="A3203" s="1218" t="s">
        <v>81</v>
      </c>
      <c r="B3203" s="98">
        <v>46054</v>
      </c>
      <c r="C3203" s="117" t="str">
        <f t="shared" si="741"/>
        <v>1L</v>
      </c>
      <c r="F3203" s="99">
        <f t="shared" si="740"/>
        <v>0</v>
      </c>
      <c r="I3203" s="99">
        <f t="shared" si="739"/>
        <v>0</v>
      </c>
      <c r="L3203" s="99">
        <f t="shared" si="742"/>
        <v>0</v>
      </c>
      <c r="M3203" s="44" t="str">
        <f t="shared" si="744"/>
        <v/>
      </c>
      <c r="N3203" s="100">
        <f t="shared" si="745"/>
        <v>0</v>
      </c>
      <c r="O3203" s="101">
        <f t="shared" si="746"/>
        <v>0</v>
      </c>
      <c r="P3203" s="52">
        <f t="shared" si="747"/>
        <v>0</v>
      </c>
      <c r="Q3203" s="49">
        <v>116.88487613461319</v>
      </c>
      <c r="R3203">
        <v>2225</v>
      </c>
      <c r="S3203" s="50">
        <f t="shared" si="743"/>
        <v>71535.307499999995</v>
      </c>
      <c r="T3203" s="50">
        <f t="shared" si="748"/>
        <v>0</v>
      </c>
      <c r="U3203" s="58">
        <f t="shared" si="749"/>
        <v>0</v>
      </c>
      <c r="V3203" s="58">
        <f t="shared" si="750"/>
        <v>0</v>
      </c>
      <c r="W3203" s="58">
        <f t="shared" si="751"/>
        <v>0</v>
      </c>
      <c r="X3203" s="58">
        <f t="shared" si="752"/>
        <v>0</v>
      </c>
      <c r="Y3203" s="52">
        <f t="shared" si="753"/>
        <v>0</v>
      </c>
    </row>
    <row r="3204" spans="1:25" x14ac:dyDescent="0.25">
      <c r="A3204" s="1218" t="s">
        <v>82</v>
      </c>
      <c r="B3204" s="98">
        <v>46054</v>
      </c>
      <c r="C3204" s="117" t="str">
        <f t="shared" si="741"/>
        <v>1L</v>
      </c>
      <c r="F3204" s="99">
        <f t="shared" si="740"/>
        <v>0</v>
      </c>
      <c r="I3204" s="99">
        <f t="shared" si="739"/>
        <v>0</v>
      </c>
      <c r="L3204" s="99">
        <f t="shared" si="742"/>
        <v>0</v>
      </c>
      <c r="M3204" s="44" t="str">
        <f t="shared" si="744"/>
        <v/>
      </c>
      <c r="N3204" s="100">
        <f t="shared" si="745"/>
        <v>0</v>
      </c>
      <c r="O3204" s="101">
        <f t="shared" si="746"/>
        <v>0</v>
      </c>
      <c r="P3204" s="52">
        <f t="shared" si="747"/>
        <v>0</v>
      </c>
      <c r="Q3204" s="49">
        <v>116.88487613461319</v>
      </c>
      <c r="R3204">
        <v>2225</v>
      </c>
      <c r="S3204" s="50">
        <f t="shared" si="743"/>
        <v>71535.307499999995</v>
      </c>
      <c r="T3204" s="50">
        <f t="shared" si="748"/>
        <v>0</v>
      </c>
      <c r="U3204" s="58">
        <f t="shared" si="749"/>
        <v>0</v>
      </c>
      <c r="V3204" s="58">
        <f t="shared" si="750"/>
        <v>0</v>
      </c>
      <c r="W3204" s="58">
        <f t="shared" si="751"/>
        <v>0</v>
      </c>
      <c r="X3204" s="58">
        <f t="shared" si="752"/>
        <v>0</v>
      </c>
      <c r="Y3204" s="52">
        <f t="shared" si="753"/>
        <v>0</v>
      </c>
    </row>
    <row r="3205" spans="1:25" x14ac:dyDescent="0.25">
      <c r="A3205" s="1218" t="s">
        <v>83</v>
      </c>
      <c r="B3205" s="98">
        <v>46054</v>
      </c>
      <c r="C3205" s="117" t="str">
        <f t="shared" si="741"/>
        <v>1L</v>
      </c>
      <c r="F3205" s="99">
        <f t="shared" si="740"/>
        <v>0</v>
      </c>
      <c r="I3205" s="99">
        <f t="shared" si="739"/>
        <v>0</v>
      </c>
      <c r="L3205" s="99">
        <f t="shared" si="742"/>
        <v>0</v>
      </c>
      <c r="M3205" s="44" t="str">
        <f t="shared" si="744"/>
        <v/>
      </c>
      <c r="N3205" s="100">
        <f t="shared" si="745"/>
        <v>0</v>
      </c>
      <c r="O3205" s="101">
        <f t="shared" si="746"/>
        <v>0</v>
      </c>
      <c r="P3205" s="52">
        <f t="shared" si="747"/>
        <v>0</v>
      </c>
      <c r="Q3205" s="49">
        <v>116.88487613461319</v>
      </c>
      <c r="R3205">
        <v>2225</v>
      </c>
      <c r="S3205" s="50">
        <f t="shared" si="743"/>
        <v>71535.307499999995</v>
      </c>
      <c r="T3205" s="50">
        <f t="shared" si="748"/>
        <v>0</v>
      </c>
      <c r="U3205" s="58">
        <f t="shared" si="749"/>
        <v>0</v>
      </c>
      <c r="V3205" s="58">
        <f t="shared" si="750"/>
        <v>0</v>
      </c>
      <c r="W3205" s="58">
        <f t="shared" si="751"/>
        <v>0</v>
      </c>
      <c r="X3205" s="58">
        <f t="shared" si="752"/>
        <v>0</v>
      </c>
      <c r="Y3205" s="52">
        <f t="shared" si="753"/>
        <v>0</v>
      </c>
    </row>
    <row r="3206" spans="1:25" x14ac:dyDescent="0.25">
      <c r="A3206" s="1218" t="s">
        <v>84</v>
      </c>
      <c r="B3206" s="98">
        <v>46054</v>
      </c>
      <c r="C3206" s="117" t="str">
        <f t="shared" si="741"/>
        <v>2L</v>
      </c>
      <c r="F3206" s="99">
        <f t="shared" si="740"/>
        <v>0</v>
      </c>
      <c r="I3206" s="99">
        <f t="shared" si="739"/>
        <v>0</v>
      </c>
      <c r="L3206" s="99">
        <f t="shared" si="742"/>
        <v>0</v>
      </c>
      <c r="M3206" s="44" t="str">
        <f t="shared" si="744"/>
        <v/>
      </c>
      <c r="N3206" s="100">
        <f t="shared" si="745"/>
        <v>0</v>
      </c>
      <c r="O3206" s="101">
        <f t="shared" si="746"/>
        <v>0</v>
      </c>
      <c r="P3206" s="52">
        <f t="shared" si="747"/>
        <v>0</v>
      </c>
      <c r="Q3206" s="49">
        <v>116.88487613461319</v>
      </c>
      <c r="R3206">
        <v>2225</v>
      </c>
      <c r="S3206" s="50">
        <f t="shared" si="743"/>
        <v>71535.307499999995</v>
      </c>
      <c r="T3206" s="50">
        <f t="shared" si="748"/>
        <v>0</v>
      </c>
      <c r="U3206" s="58">
        <f t="shared" si="749"/>
        <v>0</v>
      </c>
      <c r="V3206" s="58">
        <f t="shared" si="750"/>
        <v>0</v>
      </c>
      <c r="W3206" s="58">
        <f t="shared" si="751"/>
        <v>0</v>
      </c>
      <c r="X3206" s="58">
        <f t="shared" si="752"/>
        <v>0</v>
      </c>
      <c r="Y3206" s="52">
        <f t="shared" si="753"/>
        <v>0</v>
      </c>
    </row>
    <row r="3207" spans="1:25" x14ac:dyDescent="0.25">
      <c r="A3207" s="1218" t="s">
        <v>85</v>
      </c>
      <c r="B3207" s="98">
        <v>46054</v>
      </c>
      <c r="C3207" s="117" t="str">
        <f t="shared" si="741"/>
        <v>2L</v>
      </c>
      <c r="F3207" s="99">
        <f t="shared" si="740"/>
        <v>0</v>
      </c>
      <c r="I3207" s="99">
        <f t="shared" ref="I3207:I3271" si="754">IFERROR(G3207*H3207/1000,"")</f>
        <v>0</v>
      </c>
      <c r="L3207" s="99">
        <f t="shared" si="742"/>
        <v>0</v>
      </c>
      <c r="M3207" s="44" t="str">
        <f t="shared" si="744"/>
        <v/>
      </c>
      <c r="N3207" s="100">
        <f t="shared" si="745"/>
        <v>0</v>
      </c>
      <c r="O3207" s="101">
        <f t="shared" si="746"/>
        <v>0</v>
      </c>
      <c r="P3207" s="52">
        <f t="shared" si="747"/>
        <v>0</v>
      </c>
      <c r="Q3207" s="49">
        <v>116.88487613461319</v>
      </c>
      <c r="R3207">
        <v>2225</v>
      </c>
      <c r="S3207" s="50">
        <f t="shared" si="743"/>
        <v>71535.307499999995</v>
      </c>
      <c r="T3207" s="50">
        <f t="shared" si="748"/>
        <v>0</v>
      </c>
      <c r="U3207" s="58">
        <f t="shared" si="749"/>
        <v>0</v>
      </c>
      <c r="V3207" s="58">
        <f t="shared" si="750"/>
        <v>0</v>
      </c>
      <c r="W3207" s="58">
        <f t="shared" si="751"/>
        <v>0</v>
      </c>
      <c r="X3207" s="58">
        <f t="shared" si="752"/>
        <v>0</v>
      </c>
      <c r="Y3207" s="52">
        <f t="shared" si="753"/>
        <v>0</v>
      </c>
    </row>
    <row r="3208" spans="1:25" x14ac:dyDescent="0.25">
      <c r="A3208" s="1218" t="s">
        <v>86</v>
      </c>
      <c r="B3208" s="98">
        <v>46054</v>
      </c>
      <c r="C3208" s="117" t="str">
        <f t="shared" si="741"/>
        <v>2L</v>
      </c>
      <c r="F3208" s="99">
        <f t="shared" si="740"/>
        <v>0</v>
      </c>
      <c r="I3208" s="99">
        <f t="shared" si="754"/>
        <v>0</v>
      </c>
      <c r="L3208" s="99">
        <f t="shared" si="742"/>
        <v>0</v>
      </c>
      <c r="M3208" s="44" t="str">
        <f t="shared" si="744"/>
        <v/>
      </c>
      <c r="N3208" s="100">
        <f t="shared" si="745"/>
        <v>0</v>
      </c>
      <c r="O3208" s="101">
        <f t="shared" si="746"/>
        <v>0</v>
      </c>
      <c r="P3208" s="52">
        <f t="shared" si="747"/>
        <v>0</v>
      </c>
      <c r="Q3208" s="49">
        <v>116.88487613461319</v>
      </c>
      <c r="R3208">
        <v>2225</v>
      </c>
      <c r="S3208" s="50">
        <f t="shared" si="743"/>
        <v>71535.307499999995</v>
      </c>
      <c r="T3208" s="50">
        <f t="shared" si="748"/>
        <v>0</v>
      </c>
      <c r="U3208" s="58">
        <f t="shared" si="749"/>
        <v>0</v>
      </c>
      <c r="V3208" s="58">
        <f t="shared" si="750"/>
        <v>0</v>
      </c>
      <c r="W3208" s="58">
        <f t="shared" si="751"/>
        <v>0</v>
      </c>
      <c r="X3208" s="58">
        <f t="shared" si="752"/>
        <v>0</v>
      </c>
      <c r="Y3208" s="52">
        <f t="shared" si="753"/>
        <v>0</v>
      </c>
    </row>
    <row r="3209" spans="1:25" x14ac:dyDescent="0.25">
      <c r="A3209" s="1218" t="s">
        <v>87</v>
      </c>
      <c r="B3209" s="98">
        <v>46054</v>
      </c>
      <c r="C3209" s="117" t="str">
        <f t="shared" si="741"/>
        <v>3L</v>
      </c>
      <c r="F3209" s="99">
        <f t="shared" si="740"/>
        <v>0</v>
      </c>
      <c r="I3209" s="99">
        <f t="shared" si="754"/>
        <v>0</v>
      </c>
      <c r="L3209" s="99">
        <f t="shared" si="742"/>
        <v>0</v>
      </c>
      <c r="M3209" s="44" t="str">
        <f t="shared" si="744"/>
        <v/>
      </c>
      <c r="N3209" s="100">
        <f t="shared" si="745"/>
        <v>0</v>
      </c>
      <c r="O3209" s="101">
        <f t="shared" si="746"/>
        <v>0</v>
      </c>
      <c r="P3209" s="52">
        <f t="shared" si="747"/>
        <v>0</v>
      </c>
      <c r="Q3209" s="49">
        <v>116.88487613461319</v>
      </c>
      <c r="R3209">
        <v>2225</v>
      </c>
      <c r="S3209" s="50">
        <f t="shared" si="743"/>
        <v>71535.307499999995</v>
      </c>
      <c r="T3209" s="50">
        <f t="shared" si="748"/>
        <v>0</v>
      </c>
      <c r="U3209" s="58">
        <f t="shared" si="749"/>
        <v>0</v>
      </c>
      <c r="V3209" s="58">
        <f t="shared" si="750"/>
        <v>0</v>
      </c>
      <c r="W3209" s="58">
        <f t="shared" si="751"/>
        <v>0</v>
      </c>
      <c r="X3209" s="58">
        <f t="shared" si="752"/>
        <v>0</v>
      </c>
      <c r="Y3209" s="52">
        <f t="shared" si="753"/>
        <v>0</v>
      </c>
    </row>
    <row r="3210" spans="1:25" x14ac:dyDescent="0.25">
      <c r="A3210" s="1218" t="s">
        <v>88</v>
      </c>
      <c r="B3210" s="98">
        <v>46054</v>
      </c>
      <c r="C3210" s="117" t="str">
        <f t="shared" si="741"/>
        <v>3L</v>
      </c>
      <c r="F3210" s="99">
        <f t="shared" si="740"/>
        <v>0</v>
      </c>
      <c r="I3210" s="99">
        <f t="shared" si="754"/>
        <v>0</v>
      </c>
      <c r="L3210" s="99">
        <f t="shared" si="742"/>
        <v>0</v>
      </c>
      <c r="M3210" s="44" t="str">
        <f t="shared" si="744"/>
        <v/>
      </c>
      <c r="N3210" s="100">
        <f t="shared" si="745"/>
        <v>0</v>
      </c>
      <c r="O3210" s="101">
        <f t="shared" si="746"/>
        <v>0</v>
      </c>
      <c r="P3210" s="52">
        <f t="shared" si="747"/>
        <v>0</v>
      </c>
      <c r="Q3210" s="49">
        <v>116.88487613461319</v>
      </c>
      <c r="R3210">
        <v>2225</v>
      </c>
      <c r="S3210" s="50">
        <f t="shared" si="743"/>
        <v>71535.307499999995</v>
      </c>
      <c r="T3210" s="50">
        <f t="shared" si="748"/>
        <v>0</v>
      </c>
      <c r="U3210" s="58">
        <f t="shared" si="749"/>
        <v>0</v>
      </c>
      <c r="V3210" s="58">
        <f t="shared" si="750"/>
        <v>0</v>
      </c>
      <c r="W3210" s="58">
        <f t="shared" si="751"/>
        <v>0</v>
      </c>
      <c r="X3210" s="58">
        <f t="shared" si="752"/>
        <v>0</v>
      </c>
      <c r="Y3210" s="52">
        <f t="shared" si="753"/>
        <v>0</v>
      </c>
    </row>
    <row r="3211" spans="1:25" x14ac:dyDescent="0.25">
      <c r="A3211" s="1218" t="s">
        <v>89</v>
      </c>
      <c r="B3211" s="98">
        <v>46054</v>
      </c>
      <c r="C3211" s="117" t="str">
        <f t="shared" si="741"/>
        <v>3L</v>
      </c>
      <c r="F3211" s="99">
        <f t="shared" si="740"/>
        <v>0</v>
      </c>
      <c r="I3211" s="99">
        <f t="shared" si="754"/>
        <v>0</v>
      </c>
      <c r="L3211" s="99">
        <f t="shared" si="742"/>
        <v>0</v>
      </c>
      <c r="M3211" s="44" t="str">
        <f t="shared" si="744"/>
        <v/>
      </c>
      <c r="N3211" s="100">
        <f t="shared" si="745"/>
        <v>0</v>
      </c>
      <c r="O3211" s="101">
        <f t="shared" si="746"/>
        <v>0</v>
      </c>
      <c r="P3211" s="52">
        <f t="shared" si="747"/>
        <v>0</v>
      </c>
      <c r="Q3211" s="49">
        <v>116.88487613461319</v>
      </c>
      <c r="R3211">
        <v>2225</v>
      </c>
      <c r="S3211" s="50">
        <f t="shared" si="743"/>
        <v>71535.307499999995</v>
      </c>
      <c r="T3211" s="50">
        <f t="shared" si="748"/>
        <v>0</v>
      </c>
      <c r="U3211" s="58">
        <f t="shared" si="749"/>
        <v>0</v>
      </c>
      <c r="V3211" s="58">
        <f t="shared" si="750"/>
        <v>0</v>
      </c>
      <c r="W3211" s="58">
        <f t="shared" si="751"/>
        <v>0</v>
      </c>
      <c r="X3211" s="58">
        <f t="shared" si="752"/>
        <v>0</v>
      </c>
      <c r="Y3211" s="52">
        <f t="shared" si="753"/>
        <v>0</v>
      </c>
    </row>
    <row r="3212" spans="1:25" x14ac:dyDescent="0.25">
      <c r="A3212" s="1218" t="s">
        <v>90</v>
      </c>
      <c r="B3212" s="98">
        <v>46054</v>
      </c>
      <c r="C3212" s="117" t="str">
        <f t="shared" si="741"/>
        <v>3L</v>
      </c>
      <c r="F3212" s="99">
        <f t="shared" si="740"/>
        <v>0</v>
      </c>
      <c r="I3212" s="99">
        <f t="shared" si="754"/>
        <v>0</v>
      </c>
      <c r="L3212" s="99">
        <f t="shared" si="742"/>
        <v>0</v>
      </c>
      <c r="M3212" s="44" t="str">
        <f t="shared" si="744"/>
        <v/>
      </c>
      <c r="N3212" s="100">
        <f t="shared" si="745"/>
        <v>0</v>
      </c>
      <c r="O3212" s="101">
        <f t="shared" si="746"/>
        <v>0</v>
      </c>
      <c r="P3212" s="52">
        <f t="shared" si="747"/>
        <v>0</v>
      </c>
      <c r="Q3212" s="49">
        <v>116.88487613461319</v>
      </c>
      <c r="R3212">
        <v>2225</v>
      </c>
      <c r="S3212" s="50">
        <f t="shared" si="743"/>
        <v>71535.307499999995</v>
      </c>
      <c r="T3212" s="50">
        <f t="shared" si="748"/>
        <v>0</v>
      </c>
      <c r="U3212" s="58">
        <f t="shared" si="749"/>
        <v>0</v>
      </c>
      <c r="V3212" s="58">
        <f t="shared" si="750"/>
        <v>0</v>
      </c>
      <c r="W3212" s="58">
        <f t="shared" si="751"/>
        <v>0</v>
      </c>
      <c r="X3212" s="58">
        <f t="shared" si="752"/>
        <v>0</v>
      </c>
      <c r="Y3212" s="52">
        <f t="shared" si="753"/>
        <v>0</v>
      </c>
    </row>
    <row r="3213" spans="1:25" x14ac:dyDescent="0.25">
      <c r="A3213" s="1218" t="s">
        <v>91</v>
      </c>
      <c r="B3213" s="98">
        <v>46054</v>
      </c>
      <c r="C3213" s="117" t="str">
        <f t="shared" si="741"/>
        <v>3L</v>
      </c>
      <c r="F3213" s="99">
        <f t="shared" si="740"/>
        <v>0</v>
      </c>
      <c r="I3213" s="99">
        <f t="shared" si="754"/>
        <v>0</v>
      </c>
      <c r="L3213" s="99">
        <f t="shared" si="742"/>
        <v>0</v>
      </c>
      <c r="M3213" s="44" t="str">
        <f t="shared" si="744"/>
        <v/>
      </c>
      <c r="N3213" s="100">
        <f t="shared" si="745"/>
        <v>0</v>
      </c>
      <c r="O3213" s="101">
        <f t="shared" si="746"/>
        <v>0</v>
      </c>
      <c r="P3213" s="52">
        <f t="shared" si="747"/>
        <v>0</v>
      </c>
      <c r="Q3213" s="49">
        <v>116.88487613461319</v>
      </c>
      <c r="R3213">
        <v>2225</v>
      </c>
      <c r="S3213" s="50">
        <f t="shared" si="743"/>
        <v>71535.307499999995</v>
      </c>
      <c r="T3213" s="50">
        <f t="shared" si="748"/>
        <v>0</v>
      </c>
      <c r="U3213" s="58">
        <f t="shared" si="749"/>
        <v>0</v>
      </c>
      <c r="V3213" s="58">
        <f t="shared" si="750"/>
        <v>0</v>
      </c>
      <c r="W3213" s="58">
        <f t="shared" si="751"/>
        <v>0</v>
      </c>
      <c r="X3213" s="58">
        <f t="shared" si="752"/>
        <v>0</v>
      </c>
      <c r="Y3213" s="52">
        <f t="shared" si="753"/>
        <v>0</v>
      </c>
    </row>
    <row r="3214" spans="1:25" x14ac:dyDescent="0.25">
      <c r="A3214" s="1218" t="s">
        <v>92</v>
      </c>
      <c r="B3214" s="98">
        <v>46054</v>
      </c>
      <c r="C3214" s="117" t="str">
        <f t="shared" si="741"/>
        <v>3L</v>
      </c>
      <c r="F3214" s="99">
        <f t="shared" si="740"/>
        <v>0</v>
      </c>
      <c r="I3214" s="99">
        <f t="shared" si="754"/>
        <v>0</v>
      </c>
      <c r="L3214" s="99">
        <f t="shared" si="742"/>
        <v>0</v>
      </c>
      <c r="M3214" s="44" t="str">
        <f t="shared" si="744"/>
        <v/>
      </c>
      <c r="N3214" s="100">
        <f t="shared" si="745"/>
        <v>0</v>
      </c>
      <c r="O3214" s="101">
        <f t="shared" si="746"/>
        <v>0</v>
      </c>
      <c r="P3214" s="52">
        <f t="shared" si="747"/>
        <v>0</v>
      </c>
      <c r="Q3214" s="49">
        <v>116.88487613461319</v>
      </c>
      <c r="R3214">
        <v>2225</v>
      </c>
      <c r="S3214" s="50">
        <f t="shared" si="743"/>
        <v>71535.307499999995</v>
      </c>
      <c r="T3214" s="50">
        <f t="shared" si="748"/>
        <v>0</v>
      </c>
      <c r="U3214" s="58">
        <f t="shared" si="749"/>
        <v>0</v>
      </c>
      <c r="V3214" s="58">
        <f t="shared" si="750"/>
        <v>0</v>
      </c>
      <c r="W3214" s="58">
        <f t="shared" si="751"/>
        <v>0</v>
      </c>
      <c r="X3214" s="58">
        <f t="shared" si="752"/>
        <v>0</v>
      </c>
      <c r="Y3214" s="52">
        <f t="shared" si="753"/>
        <v>0</v>
      </c>
    </row>
    <row r="3215" spans="1:25" x14ac:dyDescent="0.25">
      <c r="A3215" s="1218" t="s">
        <v>93</v>
      </c>
      <c r="B3215" s="98">
        <v>46054</v>
      </c>
      <c r="C3215" s="117" t="str">
        <f t="shared" si="741"/>
        <v>3L</v>
      </c>
      <c r="F3215" s="99">
        <f t="shared" si="740"/>
        <v>0</v>
      </c>
      <c r="I3215" s="99">
        <f t="shared" si="754"/>
        <v>0</v>
      </c>
      <c r="L3215" s="99">
        <f t="shared" si="742"/>
        <v>0</v>
      </c>
      <c r="M3215" s="44" t="str">
        <f t="shared" si="744"/>
        <v/>
      </c>
      <c r="N3215" s="100">
        <f t="shared" si="745"/>
        <v>0</v>
      </c>
      <c r="O3215" s="101">
        <f t="shared" si="746"/>
        <v>0</v>
      </c>
      <c r="P3215" s="52">
        <f t="shared" si="747"/>
        <v>0</v>
      </c>
      <c r="Q3215" s="49">
        <v>116.88487613461319</v>
      </c>
      <c r="R3215">
        <v>2225</v>
      </c>
      <c r="S3215" s="50">
        <f t="shared" si="743"/>
        <v>71535.307499999995</v>
      </c>
      <c r="T3215" s="50">
        <f t="shared" si="748"/>
        <v>0</v>
      </c>
      <c r="U3215" s="58">
        <f t="shared" si="749"/>
        <v>0</v>
      </c>
      <c r="V3215" s="58">
        <f t="shared" si="750"/>
        <v>0</v>
      </c>
      <c r="W3215" s="58">
        <f t="shared" si="751"/>
        <v>0</v>
      </c>
      <c r="X3215" s="58">
        <f t="shared" si="752"/>
        <v>0</v>
      </c>
      <c r="Y3215" s="52">
        <f t="shared" si="753"/>
        <v>0</v>
      </c>
    </row>
    <row r="3216" spans="1:25" x14ac:dyDescent="0.25">
      <c r="A3216" s="1218" t="s">
        <v>94</v>
      </c>
      <c r="B3216" s="98">
        <v>46054</v>
      </c>
      <c r="C3216" s="117" t="str">
        <f t="shared" si="741"/>
        <v>3L</v>
      </c>
      <c r="F3216" s="99">
        <f t="shared" si="740"/>
        <v>0</v>
      </c>
      <c r="I3216" s="99">
        <f t="shared" si="754"/>
        <v>0</v>
      </c>
      <c r="L3216" s="99">
        <f t="shared" si="742"/>
        <v>0</v>
      </c>
      <c r="M3216" s="44" t="str">
        <f t="shared" si="744"/>
        <v/>
      </c>
      <c r="N3216" s="100">
        <f t="shared" si="745"/>
        <v>0</v>
      </c>
      <c r="O3216" s="101">
        <f t="shared" si="746"/>
        <v>0</v>
      </c>
      <c r="P3216" s="52">
        <f t="shared" si="747"/>
        <v>0</v>
      </c>
      <c r="Q3216" s="49">
        <v>116.88487613461319</v>
      </c>
      <c r="R3216">
        <v>2225</v>
      </c>
      <c r="S3216" s="50">
        <f t="shared" si="743"/>
        <v>71535.307499999995</v>
      </c>
      <c r="T3216" s="50">
        <f t="shared" si="748"/>
        <v>0</v>
      </c>
      <c r="U3216" s="58">
        <f t="shared" si="749"/>
        <v>0</v>
      </c>
      <c r="V3216" s="58">
        <f t="shared" si="750"/>
        <v>0</v>
      </c>
      <c r="W3216" s="58">
        <f t="shared" si="751"/>
        <v>0</v>
      </c>
      <c r="X3216" s="58">
        <f t="shared" si="752"/>
        <v>0</v>
      </c>
      <c r="Y3216" s="52">
        <f t="shared" si="753"/>
        <v>0</v>
      </c>
    </row>
    <row r="3217" spans="1:25" x14ac:dyDescent="0.25">
      <c r="A3217" s="1218" t="s">
        <v>95</v>
      </c>
      <c r="B3217" s="98">
        <v>46054</v>
      </c>
      <c r="C3217" s="117" t="str">
        <f t="shared" si="741"/>
        <v>3L</v>
      </c>
      <c r="F3217" s="99">
        <f t="shared" ref="F3217:F3281" si="755">IFERROR(D3217*E3217/1000,"")</f>
        <v>0</v>
      </c>
      <c r="I3217" s="99">
        <f t="shared" si="754"/>
        <v>0</v>
      </c>
      <c r="L3217" s="99">
        <f t="shared" si="742"/>
        <v>0</v>
      </c>
      <c r="M3217" s="44" t="str">
        <f t="shared" si="744"/>
        <v/>
      </c>
      <c r="N3217" s="100">
        <f t="shared" si="745"/>
        <v>0</v>
      </c>
      <c r="O3217" s="101">
        <f t="shared" si="746"/>
        <v>0</v>
      </c>
      <c r="P3217" s="52">
        <f t="shared" si="747"/>
        <v>0</v>
      </c>
      <c r="Q3217" s="49">
        <v>116.88487613461319</v>
      </c>
      <c r="R3217">
        <v>2225</v>
      </c>
      <c r="S3217" s="50">
        <f t="shared" si="743"/>
        <v>71535.307499999995</v>
      </c>
      <c r="T3217" s="50">
        <f t="shared" si="748"/>
        <v>0</v>
      </c>
      <c r="U3217" s="58">
        <f t="shared" si="749"/>
        <v>0</v>
      </c>
      <c r="V3217" s="58">
        <f t="shared" si="750"/>
        <v>0</v>
      </c>
      <c r="W3217" s="58">
        <f t="shared" si="751"/>
        <v>0</v>
      </c>
      <c r="X3217" s="58">
        <f t="shared" si="752"/>
        <v>0</v>
      </c>
      <c r="Y3217" s="52">
        <f t="shared" si="753"/>
        <v>0</v>
      </c>
    </row>
    <row r="3218" spans="1:25" x14ac:dyDescent="0.25">
      <c r="A3218" s="1218" t="s">
        <v>96</v>
      </c>
      <c r="B3218" s="98">
        <v>46054</v>
      </c>
      <c r="C3218" s="117" t="str">
        <f t="shared" si="741"/>
        <v>3L</v>
      </c>
      <c r="F3218" s="99">
        <f t="shared" si="755"/>
        <v>0</v>
      </c>
      <c r="I3218" s="99">
        <f t="shared" si="754"/>
        <v>0</v>
      </c>
      <c r="L3218" s="99">
        <f t="shared" si="742"/>
        <v>0</v>
      </c>
      <c r="M3218" s="44" t="str">
        <f t="shared" si="744"/>
        <v/>
      </c>
      <c r="N3218" s="100">
        <f t="shared" si="745"/>
        <v>0</v>
      </c>
      <c r="O3218" s="101">
        <f t="shared" si="746"/>
        <v>0</v>
      </c>
      <c r="P3218" s="52">
        <f t="shared" si="747"/>
        <v>0</v>
      </c>
      <c r="Q3218" s="49">
        <v>116.88487613461319</v>
      </c>
      <c r="R3218">
        <v>2225</v>
      </c>
      <c r="S3218" s="50">
        <f t="shared" si="743"/>
        <v>71535.307499999995</v>
      </c>
      <c r="T3218" s="50">
        <f t="shared" si="748"/>
        <v>0</v>
      </c>
      <c r="U3218" s="58">
        <f t="shared" si="749"/>
        <v>0</v>
      </c>
      <c r="V3218" s="58">
        <f t="shared" si="750"/>
        <v>0</v>
      </c>
      <c r="W3218" s="58">
        <f t="shared" si="751"/>
        <v>0</v>
      </c>
      <c r="X3218" s="58">
        <f t="shared" si="752"/>
        <v>0</v>
      </c>
      <c r="Y3218" s="52">
        <f t="shared" si="753"/>
        <v>0</v>
      </c>
    </row>
    <row r="3219" spans="1:25" x14ac:dyDescent="0.25">
      <c r="A3219" s="1218" t="s">
        <v>97</v>
      </c>
      <c r="B3219" s="98">
        <v>46054</v>
      </c>
      <c r="C3219" s="117" t="str">
        <f t="shared" si="741"/>
        <v>4L</v>
      </c>
      <c r="F3219" s="99">
        <f t="shared" si="755"/>
        <v>0</v>
      </c>
      <c r="I3219" s="99">
        <f t="shared" si="754"/>
        <v>0</v>
      </c>
      <c r="L3219" s="99">
        <f t="shared" si="742"/>
        <v>0</v>
      </c>
      <c r="M3219" s="44" t="str">
        <f t="shared" si="744"/>
        <v/>
      </c>
      <c r="N3219" s="100">
        <f t="shared" si="745"/>
        <v>0</v>
      </c>
      <c r="O3219" s="101">
        <f t="shared" si="746"/>
        <v>0</v>
      </c>
      <c r="P3219" s="52">
        <f t="shared" si="747"/>
        <v>0</v>
      </c>
      <c r="Q3219" s="49">
        <v>116.88487613461319</v>
      </c>
      <c r="R3219">
        <v>2225</v>
      </c>
      <c r="S3219" s="50">
        <f t="shared" si="743"/>
        <v>71535.307499999995</v>
      </c>
      <c r="T3219" s="50">
        <f t="shared" si="748"/>
        <v>0</v>
      </c>
      <c r="U3219" s="58">
        <f t="shared" si="749"/>
        <v>0</v>
      </c>
      <c r="V3219" s="58">
        <f t="shared" si="750"/>
        <v>0</v>
      </c>
      <c r="W3219" s="58">
        <f t="shared" si="751"/>
        <v>0</v>
      </c>
      <c r="X3219" s="58">
        <f t="shared" si="752"/>
        <v>0</v>
      </c>
      <c r="Y3219" s="52">
        <f t="shared" si="753"/>
        <v>0</v>
      </c>
    </row>
    <row r="3220" spans="1:25" x14ac:dyDescent="0.25">
      <c r="A3220" s="1218" t="s">
        <v>98</v>
      </c>
      <c r="B3220" s="98">
        <v>46054</v>
      </c>
      <c r="C3220" s="117" t="str">
        <f t="shared" si="741"/>
        <v>4L</v>
      </c>
      <c r="F3220" s="99">
        <f t="shared" si="755"/>
        <v>0</v>
      </c>
      <c r="I3220" s="99">
        <f t="shared" si="754"/>
        <v>0</v>
      </c>
      <c r="L3220" s="99">
        <f t="shared" si="742"/>
        <v>0</v>
      </c>
      <c r="M3220" s="44" t="str">
        <f t="shared" si="744"/>
        <v/>
      </c>
      <c r="N3220" s="100">
        <f t="shared" si="745"/>
        <v>0</v>
      </c>
      <c r="O3220" s="101">
        <f t="shared" si="746"/>
        <v>0</v>
      </c>
      <c r="P3220" s="52">
        <f t="shared" si="747"/>
        <v>0</v>
      </c>
      <c r="Q3220" s="49">
        <v>116.88487613461319</v>
      </c>
      <c r="R3220">
        <v>2225</v>
      </c>
      <c r="S3220" s="50">
        <f t="shared" si="743"/>
        <v>71535.307499999995</v>
      </c>
      <c r="T3220" s="50">
        <f t="shared" si="748"/>
        <v>0</v>
      </c>
      <c r="U3220" s="58">
        <f t="shared" si="749"/>
        <v>0</v>
      </c>
      <c r="V3220" s="58">
        <f t="shared" si="750"/>
        <v>0</v>
      </c>
      <c r="W3220" s="58">
        <f t="shared" si="751"/>
        <v>0</v>
      </c>
      <c r="X3220" s="58">
        <f t="shared" si="752"/>
        <v>0</v>
      </c>
      <c r="Y3220" s="52">
        <f t="shared" si="753"/>
        <v>0</v>
      </c>
    </row>
    <row r="3221" spans="1:25" x14ac:dyDescent="0.25">
      <c r="A3221" s="1218" t="s">
        <v>99</v>
      </c>
      <c r="B3221" s="98">
        <v>46054</v>
      </c>
      <c r="C3221" s="117" t="str">
        <f t="shared" si="741"/>
        <v>4L</v>
      </c>
      <c r="F3221" s="99">
        <f t="shared" si="755"/>
        <v>0</v>
      </c>
      <c r="I3221" s="99">
        <f t="shared" si="754"/>
        <v>0</v>
      </c>
      <c r="L3221" s="99">
        <f t="shared" si="742"/>
        <v>0</v>
      </c>
      <c r="M3221" s="44" t="str">
        <f t="shared" si="744"/>
        <v/>
      </c>
      <c r="N3221" s="100">
        <f t="shared" si="745"/>
        <v>0</v>
      </c>
      <c r="O3221" s="101">
        <f t="shared" si="746"/>
        <v>0</v>
      </c>
      <c r="P3221" s="52">
        <f t="shared" si="747"/>
        <v>0</v>
      </c>
      <c r="Q3221" s="49">
        <v>116.88487613461319</v>
      </c>
      <c r="R3221">
        <v>2225</v>
      </c>
      <c r="S3221" s="50">
        <f t="shared" si="743"/>
        <v>71535.307499999995</v>
      </c>
      <c r="T3221" s="50">
        <f t="shared" si="748"/>
        <v>0</v>
      </c>
      <c r="U3221" s="58">
        <f t="shared" si="749"/>
        <v>0</v>
      </c>
      <c r="V3221" s="58">
        <f t="shared" si="750"/>
        <v>0</v>
      </c>
      <c r="W3221" s="58">
        <f t="shared" si="751"/>
        <v>0</v>
      </c>
      <c r="X3221" s="58">
        <f t="shared" si="752"/>
        <v>0</v>
      </c>
      <c r="Y3221" s="52">
        <f t="shared" si="753"/>
        <v>0</v>
      </c>
    </row>
    <row r="3222" spans="1:25" x14ac:dyDescent="0.25">
      <c r="A3222" s="1218" t="s">
        <v>100</v>
      </c>
      <c r="B3222" s="98">
        <v>46054</v>
      </c>
      <c r="C3222" s="117" t="str">
        <f t="shared" si="741"/>
        <v>4L</v>
      </c>
      <c r="F3222" s="99">
        <f t="shared" si="755"/>
        <v>0</v>
      </c>
      <c r="I3222" s="99">
        <f t="shared" si="754"/>
        <v>0</v>
      </c>
      <c r="L3222" s="99">
        <f t="shared" si="742"/>
        <v>0</v>
      </c>
      <c r="M3222" s="44" t="str">
        <f t="shared" si="744"/>
        <v/>
      </c>
      <c r="N3222" s="100">
        <f t="shared" si="745"/>
        <v>0</v>
      </c>
      <c r="O3222" s="101">
        <f t="shared" si="746"/>
        <v>0</v>
      </c>
      <c r="P3222" s="52">
        <f t="shared" si="747"/>
        <v>0</v>
      </c>
      <c r="Q3222" s="49">
        <v>116.88487613461319</v>
      </c>
      <c r="R3222">
        <v>2225</v>
      </c>
      <c r="S3222" s="50">
        <f t="shared" si="743"/>
        <v>71535.307499999995</v>
      </c>
      <c r="T3222" s="50">
        <f t="shared" si="748"/>
        <v>0</v>
      </c>
      <c r="U3222" s="58">
        <f t="shared" si="749"/>
        <v>0</v>
      </c>
      <c r="V3222" s="58">
        <f t="shared" si="750"/>
        <v>0</v>
      </c>
      <c r="W3222" s="58">
        <f t="shared" si="751"/>
        <v>0</v>
      </c>
      <c r="X3222" s="58">
        <f t="shared" si="752"/>
        <v>0</v>
      </c>
      <c r="Y3222" s="52">
        <f t="shared" si="753"/>
        <v>0</v>
      </c>
    </row>
    <row r="3223" spans="1:25" x14ac:dyDescent="0.25">
      <c r="A3223" s="1218" t="s">
        <v>101</v>
      </c>
      <c r="B3223" s="98">
        <v>46054</v>
      </c>
      <c r="C3223" s="117" t="str">
        <f t="shared" si="741"/>
        <v>4L</v>
      </c>
      <c r="F3223" s="99">
        <f t="shared" si="755"/>
        <v>0</v>
      </c>
      <c r="I3223" s="99">
        <f t="shared" si="754"/>
        <v>0</v>
      </c>
      <c r="L3223" s="99">
        <f t="shared" si="742"/>
        <v>0</v>
      </c>
      <c r="M3223" s="44" t="str">
        <f t="shared" si="744"/>
        <v/>
      </c>
      <c r="N3223" s="100">
        <f t="shared" si="745"/>
        <v>0</v>
      </c>
      <c r="O3223" s="101">
        <f t="shared" si="746"/>
        <v>0</v>
      </c>
      <c r="P3223" s="52">
        <f t="shared" si="747"/>
        <v>0</v>
      </c>
      <c r="Q3223" s="49">
        <v>116.88487613461319</v>
      </c>
      <c r="R3223">
        <v>2225</v>
      </c>
      <c r="S3223" s="50">
        <f t="shared" si="743"/>
        <v>71535.307499999995</v>
      </c>
      <c r="T3223" s="50">
        <f t="shared" si="748"/>
        <v>0</v>
      </c>
      <c r="U3223" s="58">
        <f t="shared" si="749"/>
        <v>0</v>
      </c>
      <c r="V3223" s="58">
        <f t="shared" si="750"/>
        <v>0</v>
      </c>
      <c r="W3223" s="58">
        <f t="shared" si="751"/>
        <v>0</v>
      </c>
      <c r="X3223" s="58">
        <f t="shared" si="752"/>
        <v>0</v>
      </c>
      <c r="Y3223" s="52">
        <f t="shared" si="753"/>
        <v>0</v>
      </c>
    </row>
    <row r="3224" spans="1:25" x14ac:dyDescent="0.25">
      <c r="A3224" s="1218" t="s">
        <v>102</v>
      </c>
      <c r="B3224" s="98">
        <v>46054</v>
      </c>
      <c r="C3224" s="117" t="str">
        <f t="shared" si="741"/>
        <v>4L</v>
      </c>
      <c r="F3224" s="99">
        <f t="shared" si="755"/>
        <v>0</v>
      </c>
      <c r="I3224" s="99">
        <f t="shared" si="754"/>
        <v>0</v>
      </c>
      <c r="L3224" s="99">
        <f t="shared" si="742"/>
        <v>0</v>
      </c>
      <c r="M3224" s="44" t="str">
        <f t="shared" si="744"/>
        <v/>
      </c>
      <c r="N3224" s="100">
        <f t="shared" si="745"/>
        <v>0</v>
      </c>
      <c r="O3224" s="101">
        <f t="shared" si="746"/>
        <v>0</v>
      </c>
      <c r="P3224" s="52">
        <f t="shared" si="747"/>
        <v>0</v>
      </c>
      <c r="Q3224" s="49">
        <v>116.88487613461319</v>
      </c>
      <c r="R3224">
        <v>2225</v>
      </c>
      <c r="S3224" s="50">
        <f t="shared" si="743"/>
        <v>71535.307499999995</v>
      </c>
      <c r="T3224" s="50">
        <f t="shared" si="748"/>
        <v>0</v>
      </c>
      <c r="U3224" s="58">
        <f t="shared" si="749"/>
        <v>0</v>
      </c>
      <c r="V3224" s="58">
        <f t="shared" si="750"/>
        <v>0</v>
      </c>
      <c r="W3224" s="58">
        <f t="shared" si="751"/>
        <v>0</v>
      </c>
      <c r="X3224" s="58">
        <f t="shared" si="752"/>
        <v>0</v>
      </c>
      <c r="Y3224" s="52">
        <f t="shared" si="753"/>
        <v>0</v>
      </c>
    </row>
    <row r="3225" spans="1:25" x14ac:dyDescent="0.25">
      <c r="A3225" s="1218" t="s">
        <v>103</v>
      </c>
      <c r="B3225" s="98">
        <v>46054</v>
      </c>
      <c r="C3225" s="117" t="str">
        <f t="shared" si="741"/>
        <v>4L</v>
      </c>
      <c r="F3225" s="99">
        <f t="shared" si="755"/>
        <v>0</v>
      </c>
      <c r="I3225" s="99">
        <f t="shared" si="754"/>
        <v>0</v>
      </c>
      <c r="L3225" s="99">
        <f t="shared" si="742"/>
        <v>0</v>
      </c>
      <c r="M3225" s="44" t="str">
        <f t="shared" si="744"/>
        <v/>
      </c>
      <c r="N3225" s="100">
        <f t="shared" si="745"/>
        <v>0</v>
      </c>
      <c r="O3225" s="101">
        <f t="shared" si="746"/>
        <v>0</v>
      </c>
      <c r="P3225" s="52">
        <f t="shared" si="747"/>
        <v>0</v>
      </c>
      <c r="Q3225" s="49">
        <v>116.88487613461319</v>
      </c>
      <c r="R3225">
        <v>2225</v>
      </c>
      <c r="S3225" s="50">
        <f t="shared" si="743"/>
        <v>71535.307499999995</v>
      </c>
      <c r="T3225" s="50">
        <f t="shared" si="748"/>
        <v>0</v>
      </c>
      <c r="U3225" s="58">
        <f t="shared" si="749"/>
        <v>0</v>
      </c>
      <c r="V3225" s="58">
        <f t="shared" si="750"/>
        <v>0</v>
      </c>
      <c r="W3225" s="58">
        <f t="shared" si="751"/>
        <v>0</v>
      </c>
      <c r="X3225" s="58">
        <f t="shared" si="752"/>
        <v>0</v>
      </c>
      <c r="Y3225" s="52">
        <f t="shared" si="753"/>
        <v>0</v>
      </c>
    </row>
    <row r="3226" spans="1:25" x14ac:dyDescent="0.25">
      <c r="A3226" s="1218" t="s">
        <v>104</v>
      </c>
      <c r="B3226" s="98">
        <v>46054</v>
      </c>
      <c r="C3226" s="117" t="str">
        <f t="shared" si="741"/>
        <v>4L</v>
      </c>
      <c r="F3226" s="99">
        <f t="shared" si="755"/>
        <v>0</v>
      </c>
      <c r="I3226" s="99">
        <f t="shared" si="754"/>
        <v>0</v>
      </c>
      <c r="L3226" s="99">
        <f t="shared" si="742"/>
        <v>0</v>
      </c>
      <c r="M3226" s="44" t="str">
        <f t="shared" si="744"/>
        <v/>
      </c>
      <c r="N3226" s="100">
        <f t="shared" si="745"/>
        <v>0</v>
      </c>
      <c r="O3226" s="101">
        <f t="shared" si="746"/>
        <v>0</v>
      </c>
      <c r="P3226" s="52">
        <f t="shared" si="747"/>
        <v>0</v>
      </c>
      <c r="Q3226" s="49">
        <v>116.88487613461319</v>
      </c>
      <c r="R3226">
        <v>2225</v>
      </c>
      <c r="S3226" s="50">
        <f t="shared" si="743"/>
        <v>71535.307499999995</v>
      </c>
      <c r="T3226" s="50">
        <f t="shared" si="748"/>
        <v>0</v>
      </c>
      <c r="U3226" s="58">
        <f t="shared" si="749"/>
        <v>0</v>
      </c>
      <c r="V3226" s="58">
        <f t="shared" si="750"/>
        <v>0</v>
      </c>
      <c r="W3226" s="58">
        <f t="shared" si="751"/>
        <v>0</v>
      </c>
      <c r="X3226" s="58">
        <f t="shared" si="752"/>
        <v>0</v>
      </c>
      <c r="Y3226" s="52">
        <f t="shared" si="753"/>
        <v>0</v>
      </c>
    </row>
    <row r="3227" spans="1:25" x14ac:dyDescent="0.25">
      <c r="A3227" s="1218" t="s">
        <v>105</v>
      </c>
      <c r="B3227" s="98">
        <v>46054</v>
      </c>
      <c r="C3227" s="117" t="str">
        <f t="shared" si="741"/>
        <v>4L</v>
      </c>
      <c r="F3227" s="99">
        <f t="shared" si="755"/>
        <v>0</v>
      </c>
      <c r="I3227" s="99">
        <f t="shared" si="754"/>
        <v>0</v>
      </c>
      <c r="L3227" s="99">
        <f t="shared" si="742"/>
        <v>0</v>
      </c>
      <c r="M3227" s="44" t="str">
        <f t="shared" si="744"/>
        <v/>
      </c>
      <c r="N3227" s="100">
        <f t="shared" si="745"/>
        <v>0</v>
      </c>
      <c r="O3227" s="101">
        <f t="shared" si="746"/>
        <v>0</v>
      </c>
      <c r="P3227" s="52">
        <f t="shared" si="747"/>
        <v>0</v>
      </c>
      <c r="Q3227" s="49">
        <v>116.88487613461319</v>
      </c>
      <c r="R3227">
        <v>2225</v>
      </c>
      <c r="S3227" s="50">
        <f t="shared" si="743"/>
        <v>71535.307499999995</v>
      </c>
      <c r="T3227" s="50">
        <f t="shared" si="748"/>
        <v>0</v>
      </c>
      <c r="U3227" s="58">
        <f t="shared" si="749"/>
        <v>0</v>
      </c>
      <c r="V3227" s="58">
        <f t="shared" si="750"/>
        <v>0</v>
      </c>
      <c r="W3227" s="58">
        <f t="shared" si="751"/>
        <v>0</v>
      </c>
      <c r="X3227" s="58">
        <f t="shared" si="752"/>
        <v>0</v>
      </c>
      <c r="Y3227" s="52">
        <f t="shared" si="753"/>
        <v>0</v>
      </c>
    </row>
    <row r="3228" spans="1:25" x14ac:dyDescent="0.25">
      <c r="A3228" s="1218" t="s">
        <v>106</v>
      </c>
      <c r="B3228" s="98">
        <v>46054</v>
      </c>
      <c r="C3228" s="117" t="str">
        <f t="shared" ref="C3228:C3292" si="756">LEFT(A3228,2)</f>
        <v>4L</v>
      </c>
      <c r="F3228" s="99">
        <f t="shared" si="755"/>
        <v>0</v>
      </c>
      <c r="I3228" s="99">
        <f t="shared" si="754"/>
        <v>0</v>
      </c>
      <c r="L3228" s="99">
        <f t="shared" si="742"/>
        <v>0</v>
      </c>
      <c r="M3228" s="44" t="str">
        <f t="shared" si="744"/>
        <v/>
      </c>
      <c r="N3228" s="100">
        <f t="shared" si="745"/>
        <v>0</v>
      </c>
      <c r="O3228" s="101">
        <f t="shared" si="746"/>
        <v>0</v>
      </c>
      <c r="P3228" s="52">
        <f t="shared" si="747"/>
        <v>0</v>
      </c>
      <c r="Q3228" s="49">
        <v>116.88487613461319</v>
      </c>
      <c r="R3228">
        <v>2225</v>
      </c>
      <c r="S3228" s="50">
        <f t="shared" si="743"/>
        <v>71535.307499999995</v>
      </c>
      <c r="T3228" s="50">
        <f t="shared" si="748"/>
        <v>0</v>
      </c>
      <c r="U3228" s="58">
        <f t="shared" si="749"/>
        <v>0</v>
      </c>
      <c r="V3228" s="58">
        <f t="shared" si="750"/>
        <v>0</v>
      </c>
      <c r="W3228" s="58">
        <f t="shared" si="751"/>
        <v>0</v>
      </c>
      <c r="X3228" s="58">
        <f t="shared" si="752"/>
        <v>0</v>
      </c>
      <c r="Y3228" s="52">
        <f t="shared" si="753"/>
        <v>0</v>
      </c>
    </row>
    <row r="3229" spans="1:25" x14ac:dyDescent="0.25">
      <c r="A3229" s="1218" t="s">
        <v>107</v>
      </c>
      <c r="B3229" s="98">
        <v>46054</v>
      </c>
      <c r="C3229" s="117" t="str">
        <f t="shared" si="756"/>
        <v>4L</v>
      </c>
      <c r="F3229" s="99">
        <f t="shared" si="755"/>
        <v>0</v>
      </c>
      <c r="I3229" s="99">
        <f t="shared" si="754"/>
        <v>0</v>
      </c>
      <c r="L3229" s="99">
        <f t="shared" si="742"/>
        <v>0</v>
      </c>
      <c r="M3229" s="44" t="str">
        <f t="shared" si="744"/>
        <v/>
      </c>
      <c r="N3229" s="100">
        <f t="shared" si="745"/>
        <v>0</v>
      </c>
      <c r="O3229" s="101">
        <f t="shared" si="746"/>
        <v>0</v>
      </c>
      <c r="P3229" s="52">
        <f t="shared" si="747"/>
        <v>0</v>
      </c>
      <c r="Q3229" s="49">
        <v>116.88487613461319</v>
      </c>
      <c r="R3229">
        <v>2225</v>
      </c>
      <c r="S3229" s="50">
        <f t="shared" si="743"/>
        <v>71535.307499999995</v>
      </c>
      <c r="T3229" s="50">
        <f t="shared" si="748"/>
        <v>0</v>
      </c>
      <c r="U3229" s="58">
        <f t="shared" si="749"/>
        <v>0</v>
      </c>
      <c r="V3229" s="58">
        <f t="shared" si="750"/>
        <v>0</v>
      </c>
      <c r="W3229" s="58">
        <f t="shared" si="751"/>
        <v>0</v>
      </c>
      <c r="X3229" s="58">
        <f t="shared" si="752"/>
        <v>0</v>
      </c>
      <c r="Y3229" s="52">
        <f t="shared" si="753"/>
        <v>0</v>
      </c>
    </row>
    <row r="3230" spans="1:25" x14ac:dyDescent="0.25">
      <c r="A3230" s="1218" t="s">
        <v>108</v>
      </c>
      <c r="B3230" s="98">
        <v>46054</v>
      </c>
      <c r="C3230" s="117" t="str">
        <f t="shared" si="756"/>
        <v>4L</v>
      </c>
      <c r="F3230" s="99">
        <f t="shared" si="755"/>
        <v>0</v>
      </c>
      <c r="I3230" s="99">
        <f t="shared" si="754"/>
        <v>0</v>
      </c>
      <c r="L3230" s="99">
        <f t="shared" si="742"/>
        <v>0</v>
      </c>
      <c r="M3230" s="44" t="str">
        <f t="shared" si="744"/>
        <v/>
      </c>
      <c r="N3230" s="100">
        <f t="shared" si="745"/>
        <v>0</v>
      </c>
      <c r="O3230" s="101">
        <f t="shared" si="746"/>
        <v>0</v>
      </c>
      <c r="P3230" s="52">
        <f t="shared" si="747"/>
        <v>0</v>
      </c>
      <c r="Q3230" s="49">
        <v>116.88487613461319</v>
      </c>
      <c r="R3230">
        <v>2225</v>
      </c>
      <c r="S3230" s="50">
        <f t="shared" si="743"/>
        <v>71535.307499999995</v>
      </c>
      <c r="T3230" s="50">
        <f t="shared" si="748"/>
        <v>0</v>
      </c>
      <c r="U3230" s="58">
        <f t="shared" si="749"/>
        <v>0</v>
      </c>
      <c r="V3230" s="58">
        <f t="shared" si="750"/>
        <v>0</v>
      </c>
      <c r="W3230" s="58">
        <f t="shared" si="751"/>
        <v>0</v>
      </c>
      <c r="X3230" s="58">
        <f t="shared" si="752"/>
        <v>0</v>
      </c>
      <c r="Y3230" s="52">
        <f t="shared" si="753"/>
        <v>0</v>
      </c>
    </row>
    <row r="3231" spans="1:25" x14ac:dyDescent="0.25">
      <c r="A3231" s="1218" t="s">
        <v>109</v>
      </c>
      <c r="B3231" s="98">
        <v>46054</v>
      </c>
      <c r="C3231" s="117" t="str">
        <f t="shared" si="756"/>
        <v>4L</v>
      </c>
      <c r="F3231" s="99">
        <f t="shared" si="755"/>
        <v>0</v>
      </c>
      <c r="I3231" s="99">
        <f t="shared" si="754"/>
        <v>0</v>
      </c>
      <c r="L3231" s="99">
        <f t="shared" si="742"/>
        <v>0</v>
      </c>
      <c r="M3231" s="44" t="str">
        <f t="shared" si="744"/>
        <v/>
      </c>
      <c r="N3231" s="100">
        <f t="shared" si="745"/>
        <v>0</v>
      </c>
      <c r="O3231" s="101">
        <f t="shared" si="746"/>
        <v>0</v>
      </c>
      <c r="P3231" s="52">
        <f t="shared" si="747"/>
        <v>0</v>
      </c>
      <c r="Q3231" s="49">
        <v>116.88487613461319</v>
      </c>
      <c r="R3231">
        <v>2225</v>
      </c>
      <c r="S3231" s="50">
        <f t="shared" si="743"/>
        <v>71535.307499999995</v>
      </c>
      <c r="T3231" s="50">
        <f t="shared" si="748"/>
        <v>0</v>
      </c>
      <c r="U3231" s="58">
        <f t="shared" si="749"/>
        <v>0</v>
      </c>
      <c r="V3231" s="58">
        <f t="shared" si="750"/>
        <v>0</v>
      </c>
      <c r="W3231" s="58">
        <f t="shared" si="751"/>
        <v>0</v>
      </c>
      <c r="X3231" s="58">
        <f t="shared" si="752"/>
        <v>0</v>
      </c>
      <c r="Y3231" s="52">
        <f t="shared" si="753"/>
        <v>0</v>
      </c>
    </row>
    <row r="3232" spans="1:25" x14ac:dyDescent="0.25">
      <c r="A3232" s="1218" t="s">
        <v>110</v>
      </c>
      <c r="B3232" s="98">
        <v>46054</v>
      </c>
      <c r="C3232" s="117" t="str">
        <f t="shared" si="756"/>
        <v>4L</v>
      </c>
      <c r="F3232" s="99">
        <f t="shared" si="755"/>
        <v>0</v>
      </c>
      <c r="I3232" s="99">
        <f t="shared" si="754"/>
        <v>0</v>
      </c>
      <c r="L3232" s="99">
        <f t="shared" si="742"/>
        <v>0</v>
      </c>
      <c r="M3232" s="44" t="str">
        <f t="shared" si="744"/>
        <v/>
      </c>
      <c r="N3232" s="100">
        <f t="shared" si="745"/>
        <v>0</v>
      </c>
      <c r="O3232" s="101">
        <f t="shared" si="746"/>
        <v>0</v>
      </c>
      <c r="P3232" s="52">
        <f t="shared" si="747"/>
        <v>0</v>
      </c>
      <c r="Q3232" s="49">
        <v>116.88487613461319</v>
      </c>
      <c r="R3232">
        <v>2225</v>
      </c>
      <c r="S3232" s="50">
        <f t="shared" si="743"/>
        <v>71535.307499999995</v>
      </c>
      <c r="T3232" s="50">
        <f t="shared" si="748"/>
        <v>0</v>
      </c>
      <c r="U3232" s="58">
        <f t="shared" si="749"/>
        <v>0</v>
      </c>
      <c r="V3232" s="58">
        <f t="shared" si="750"/>
        <v>0</v>
      </c>
      <c r="W3232" s="58">
        <f t="shared" si="751"/>
        <v>0</v>
      </c>
      <c r="X3232" s="58">
        <f t="shared" si="752"/>
        <v>0</v>
      </c>
      <c r="Y3232" s="52">
        <f t="shared" si="753"/>
        <v>0</v>
      </c>
    </row>
    <row r="3233" spans="1:25" x14ac:dyDescent="0.25">
      <c r="A3233" s="1218" t="s">
        <v>111</v>
      </c>
      <c r="B3233" s="98">
        <v>46054</v>
      </c>
      <c r="C3233" s="117" t="str">
        <f t="shared" si="756"/>
        <v>4L</v>
      </c>
      <c r="F3233" s="99">
        <f t="shared" si="755"/>
        <v>0</v>
      </c>
      <c r="I3233" s="99">
        <f t="shared" si="754"/>
        <v>0</v>
      </c>
      <c r="L3233" s="99">
        <f t="shared" si="742"/>
        <v>0</v>
      </c>
      <c r="M3233" s="44" t="str">
        <f t="shared" si="744"/>
        <v/>
      </c>
      <c r="N3233" s="100">
        <f t="shared" si="745"/>
        <v>0</v>
      </c>
      <c r="O3233" s="101">
        <f t="shared" si="746"/>
        <v>0</v>
      </c>
      <c r="P3233" s="52">
        <f t="shared" si="747"/>
        <v>0</v>
      </c>
      <c r="Q3233" s="49">
        <v>116.88487613461319</v>
      </c>
      <c r="R3233">
        <v>2225</v>
      </c>
      <c r="S3233" s="50">
        <f t="shared" si="743"/>
        <v>71535.307499999995</v>
      </c>
      <c r="T3233" s="50">
        <f t="shared" si="748"/>
        <v>0</v>
      </c>
      <c r="U3233" s="58">
        <f t="shared" si="749"/>
        <v>0</v>
      </c>
      <c r="V3233" s="58">
        <f t="shared" si="750"/>
        <v>0</v>
      </c>
      <c r="W3233" s="58">
        <f t="shared" si="751"/>
        <v>0</v>
      </c>
      <c r="X3233" s="58">
        <f t="shared" si="752"/>
        <v>0</v>
      </c>
      <c r="Y3233" s="52">
        <f t="shared" si="753"/>
        <v>0</v>
      </c>
    </row>
    <row r="3234" spans="1:25" x14ac:dyDescent="0.25">
      <c r="A3234" s="1218" t="s">
        <v>112</v>
      </c>
      <c r="B3234" s="98">
        <v>46054</v>
      </c>
      <c r="C3234" s="117" t="str">
        <f t="shared" si="756"/>
        <v>4L</v>
      </c>
      <c r="F3234" s="99">
        <f t="shared" si="755"/>
        <v>0</v>
      </c>
      <c r="I3234" s="99">
        <f t="shared" si="754"/>
        <v>0</v>
      </c>
      <c r="L3234" s="99">
        <f t="shared" si="742"/>
        <v>0</v>
      </c>
      <c r="M3234" s="44" t="str">
        <f t="shared" si="744"/>
        <v/>
      </c>
      <c r="N3234" s="100">
        <f t="shared" si="745"/>
        <v>0</v>
      </c>
      <c r="O3234" s="101">
        <f t="shared" si="746"/>
        <v>0</v>
      </c>
      <c r="P3234" s="52">
        <f t="shared" si="747"/>
        <v>0</v>
      </c>
      <c r="Q3234" s="49">
        <v>116.88487613461319</v>
      </c>
      <c r="R3234">
        <v>2225</v>
      </c>
      <c r="S3234" s="50">
        <f t="shared" si="743"/>
        <v>71535.307499999995</v>
      </c>
      <c r="T3234" s="50">
        <f t="shared" si="748"/>
        <v>0</v>
      </c>
      <c r="U3234" s="58">
        <f t="shared" si="749"/>
        <v>0</v>
      </c>
      <c r="V3234" s="58">
        <f t="shared" si="750"/>
        <v>0</v>
      </c>
      <c r="W3234" s="58">
        <f t="shared" si="751"/>
        <v>0</v>
      </c>
      <c r="X3234" s="58">
        <f t="shared" si="752"/>
        <v>0</v>
      </c>
      <c r="Y3234" s="52">
        <f t="shared" si="753"/>
        <v>0</v>
      </c>
    </row>
    <row r="3235" spans="1:25" x14ac:dyDescent="0.25">
      <c r="A3235" s="1218" t="s">
        <v>113</v>
      </c>
      <c r="B3235" s="98">
        <v>46054</v>
      </c>
      <c r="C3235" s="117" t="str">
        <f t="shared" si="756"/>
        <v>4L</v>
      </c>
      <c r="F3235" s="99">
        <f t="shared" si="755"/>
        <v>0</v>
      </c>
      <c r="I3235" s="99">
        <f t="shared" si="754"/>
        <v>0</v>
      </c>
      <c r="L3235" s="99">
        <f t="shared" si="742"/>
        <v>0</v>
      </c>
      <c r="M3235" s="44" t="str">
        <f t="shared" si="744"/>
        <v/>
      </c>
      <c r="N3235" s="100">
        <f t="shared" si="745"/>
        <v>0</v>
      </c>
      <c r="O3235" s="101">
        <f t="shared" si="746"/>
        <v>0</v>
      </c>
      <c r="P3235" s="52">
        <f t="shared" si="747"/>
        <v>0</v>
      </c>
      <c r="Q3235" s="49">
        <v>116.88487613461319</v>
      </c>
      <c r="R3235">
        <v>2225</v>
      </c>
      <c r="S3235" s="50">
        <f t="shared" si="743"/>
        <v>71535.307499999995</v>
      </c>
      <c r="T3235" s="50">
        <f t="shared" si="748"/>
        <v>0</v>
      </c>
      <c r="U3235" s="58">
        <f t="shared" si="749"/>
        <v>0</v>
      </c>
      <c r="V3235" s="58">
        <f t="shared" si="750"/>
        <v>0</v>
      </c>
      <c r="W3235" s="58">
        <f t="shared" si="751"/>
        <v>0</v>
      </c>
      <c r="X3235" s="58">
        <f t="shared" si="752"/>
        <v>0</v>
      </c>
      <c r="Y3235" s="52">
        <f t="shared" si="753"/>
        <v>0</v>
      </c>
    </row>
    <row r="3236" spans="1:25" x14ac:dyDescent="0.25">
      <c r="A3236" s="1218" t="s">
        <v>114</v>
      </c>
      <c r="B3236" s="98">
        <v>46054</v>
      </c>
      <c r="C3236" s="117" t="str">
        <f t="shared" si="756"/>
        <v>4L</v>
      </c>
      <c r="F3236" s="99">
        <f t="shared" si="755"/>
        <v>0</v>
      </c>
      <c r="I3236" s="99">
        <f t="shared" si="754"/>
        <v>0</v>
      </c>
      <c r="L3236" s="99">
        <f t="shared" si="742"/>
        <v>0</v>
      </c>
      <c r="M3236" s="44" t="str">
        <f t="shared" si="744"/>
        <v/>
      </c>
      <c r="N3236" s="100">
        <f t="shared" si="745"/>
        <v>0</v>
      </c>
      <c r="O3236" s="101">
        <f t="shared" si="746"/>
        <v>0</v>
      </c>
      <c r="P3236" s="52">
        <f t="shared" si="747"/>
        <v>0</v>
      </c>
      <c r="Q3236" s="49">
        <v>116.88487613461319</v>
      </c>
      <c r="R3236">
        <v>2225</v>
      </c>
      <c r="S3236" s="50">
        <f t="shared" si="743"/>
        <v>71535.307499999995</v>
      </c>
      <c r="T3236" s="50">
        <f t="shared" si="748"/>
        <v>0</v>
      </c>
      <c r="U3236" s="58">
        <f t="shared" si="749"/>
        <v>0</v>
      </c>
      <c r="V3236" s="58">
        <f t="shared" si="750"/>
        <v>0</v>
      </c>
      <c r="W3236" s="58">
        <f t="shared" si="751"/>
        <v>0</v>
      </c>
      <c r="X3236" s="58">
        <f t="shared" si="752"/>
        <v>0</v>
      </c>
      <c r="Y3236" s="52">
        <f t="shared" si="753"/>
        <v>0</v>
      </c>
    </row>
    <row r="3237" spans="1:25" x14ac:dyDescent="0.25">
      <c r="A3237" s="1218" t="s">
        <v>115</v>
      </c>
      <c r="B3237" s="98">
        <v>46054</v>
      </c>
      <c r="C3237" s="117" t="str">
        <f t="shared" si="756"/>
        <v>4L</v>
      </c>
      <c r="F3237" s="99">
        <f t="shared" si="755"/>
        <v>0</v>
      </c>
      <c r="I3237" s="99">
        <f t="shared" si="754"/>
        <v>0</v>
      </c>
      <c r="L3237" s="99">
        <f t="shared" si="742"/>
        <v>0</v>
      </c>
      <c r="M3237" s="44" t="str">
        <f t="shared" si="744"/>
        <v/>
      </c>
      <c r="N3237" s="100">
        <f t="shared" si="745"/>
        <v>0</v>
      </c>
      <c r="O3237" s="101">
        <f t="shared" si="746"/>
        <v>0</v>
      </c>
      <c r="P3237" s="52">
        <f t="shared" si="747"/>
        <v>0</v>
      </c>
      <c r="Q3237" s="49">
        <v>116.88487613461319</v>
      </c>
      <c r="R3237">
        <v>2225</v>
      </c>
      <c r="S3237" s="50">
        <f t="shared" si="743"/>
        <v>71535.307499999995</v>
      </c>
      <c r="T3237" s="50">
        <f t="shared" si="748"/>
        <v>0</v>
      </c>
      <c r="U3237" s="58">
        <f t="shared" si="749"/>
        <v>0</v>
      </c>
      <c r="V3237" s="58">
        <f t="shared" si="750"/>
        <v>0</v>
      </c>
      <c r="W3237" s="58">
        <f t="shared" si="751"/>
        <v>0</v>
      </c>
      <c r="X3237" s="58">
        <f t="shared" si="752"/>
        <v>0</v>
      </c>
      <c r="Y3237" s="52">
        <f t="shared" si="753"/>
        <v>0</v>
      </c>
    </row>
    <row r="3238" spans="1:25" x14ac:dyDescent="0.25">
      <c r="A3238" s="1218" t="s">
        <v>116</v>
      </c>
      <c r="B3238" s="98">
        <v>46054</v>
      </c>
      <c r="C3238" s="117" t="str">
        <f t="shared" si="756"/>
        <v>4L</v>
      </c>
      <c r="F3238" s="99">
        <f t="shared" si="755"/>
        <v>0</v>
      </c>
      <c r="I3238" s="99">
        <f t="shared" si="754"/>
        <v>0</v>
      </c>
      <c r="L3238" s="99">
        <f t="shared" si="742"/>
        <v>0</v>
      </c>
      <c r="M3238" s="44" t="str">
        <f t="shared" si="744"/>
        <v/>
      </c>
      <c r="N3238" s="100">
        <f t="shared" si="745"/>
        <v>0</v>
      </c>
      <c r="O3238" s="101">
        <f t="shared" si="746"/>
        <v>0</v>
      </c>
      <c r="P3238" s="52">
        <f t="shared" si="747"/>
        <v>0</v>
      </c>
      <c r="Q3238" s="49">
        <v>116.88487613461319</v>
      </c>
      <c r="R3238">
        <v>2225</v>
      </c>
      <c r="S3238" s="50">
        <f t="shared" si="743"/>
        <v>71535.307499999995</v>
      </c>
      <c r="T3238" s="50">
        <f t="shared" si="748"/>
        <v>0</v>
      </c>
      <c r="U3238" s="58">
        <f t="shared" si="749"/>
        <v>0</v>
      </c>
      <c r="V3238" s="58">
        <f t="shared" si="750"/>
        <v>0</v>
      </c>
      <c r="W3238" s="58">
        <f t="shared" si="751"/>
        <v>0</v>
      </c>
      <c r="X3238" s="58">
        <f t="shared" si="752"/>
        <v>0</v>
      </c>
      <c r="Y3238" s="52">
        <f t="shared" si="753"/>
        <v>0</v>
      </c>
    </row>
    <row r="3239" spans="1:25" x14ac:dyDescent="0.25">
      <c r="A3239" s="1218" t="s">
        <v>117</v>
      </c>
      <c r="B3239" s="98">
        <v>46054</v>
      </c>
      <c r="C3239" s="117" t="str">
        <f t="shared" si="756"/>
        <v>4L</v>
      </c>
      <c r="F3239" s="99">
        <f t="shared" si="755"/>
        <v>0</v>
      </c>
      <c r="I3239" s="99">
        <f t="shared" si="754"/>
        <v>0</v>
      </c>
      <c r="L3239" s="99">
        <f t="shared" si="742"/>
        <v>0</v>
      </c>
      <c r="M3239" s="44" t="str">
        <f t="shared" si="744"/>
        <v/>
      </c>
      <c r="N3239" s="100">
        <f t="shared" si="745"/>
        <v>0</v>
      </c>
      <c r="O3239" s="101">
        <f t="shared" si="746"/>
        <v>0</v>
      </c>
      <c r="P3239" s="52">
        <f t="shared" si="747"/>
        <v>0</v>
      </c>
      <c r="Q3239" s="49">
        <v>116.88487613461319</v>
      </c>
      <c r="R3239">
        <v>2225</v>
      </c>
      <c r="S3239" s="50">
        <f t="shared" si="743"/>
        <v>71535.307499999995</v>
      </c>
      <c r="T3239" s="50">
        <f t="shared" si="748"/>
        <v>0</v>
      </c>
      <c r="U3239" s="58">
        <f t="shared" si="749"/>
        <v>0</v>
      </c>
      <c r="V3239" s="58">
        <f t="shared" si="750"/>
        <v>0</v>
      </c>
      <c r="W3239" s="58">
        <f t="shared" si="751"/>
        <v>0</v>
      </c>
      <c r="X3239" s="58">
        <f t="shared" si="752"/>
        <v>0</v>
      </c>
      <c r="Y3239" s="52">
        <f t="shared" si="753"/>
        <v>0</v>
      </c>
    </row>
    <row r="3240" spans="1:25" x14ac:dyDescent="0.25">
      <c r="A3240" s="1218" t="s">
        <v>118</v>
      </c>
      <c r="B3240" s="98">
        <v>46054</v>
      </c>
      <c r="C3240" s="117" t="str">
        <f t="shared" si="756"/>
        <v>4L</v>
      </c>
      <c r="F3240" s="99">
        <f t="shared" si="755"/>
        <v>0</v>
      </c>
      <c r="I3240" s="99">
        <f t="shared" si="754"/>
        <v>0</v>
      </c>
      <c r="L3240" s="99">
        <f t="shared" si="742"/>
        <v>0</v>
      </c>
      <c r="M3240" s="44" t="str">
        <f t="shared" si="744"/>
        <v/>
      </c>
      <c r="N3240" s="100">
        <f t="shared" si="745"/>
        <v>0</v>
      </c>
      <c r="O3240" s="101">
        <f t="shared" si="746"/>
        <v>0</v>
      </c>
      <c r="P3240" s="52">
        <f t="shared" si="747"/>
        <v>0</v>
      </c>
      <c r="Q3240" s="49">
        <v>116.88487613461319</v>
      </c>
      <c r="R3240">
        <v>2225</v>
      </c>
      <c r="S3240" s="50">
        <f t="shared" si="743"/>
        <v>71535.307499999995</v>
      </c>
      <c r="T3240" s="50">
        <f t="shared" si="748"/>
        <v>0</v>
      </c>
      <c r="U3240" s="58">
        <f t="shared" si="749"/>
        <v>0</v>
      </c>
      <c r="V3240" s="58">
        <f t="shared" si="750"/>
        <v>0</v>
      </c>
      <c r="W3240" s="58">
        <f t="shared" si="751"/>
        <v>0</v>
      </c>
      <c r="X3240" s="58">
        <f t="shared" si="752"/>
        <v>0</v>
      </c>
      <c r="Y3240" s="52">
        <f t="shared" si="753"/>
        <v>0</v>
      </c>
    </row>
    <row r="3241" spans="1:25" x14ac:dyDescent="0.25">
      <c r="A3241" s="1218" t="s">
        <v>119</v>
      </c>
      <c r="B3241" s="98">
        <v>46054</v>
      </c>
      <c r="C3241" s="117" t="str">
        <f t="shared" si="756"/>
        <v>4L</v>
      </c>
      <c r="F3241" s="99">
        <f t="shared" si="755"/>
        <v>0</v>
      </c>
      <c r="I3241" s="99">
        <f t="shared" si="754"/>
        <v>0</v>
      </c>
      <c r="L3241" s="99">
        <f t="shared" si="742"/>
        <v>0</v>
      </c>
      <c r="M3241" s="44" t="str">
        <f t="shared" si="744"/>
        <v/>
      </c>
      <c r="N3241" s="100">
        <f t="shared" si="745"/>
        <v>0</v>
      </c>
      <c r="O3241" s="101">
        <f t="shared" si="746"/>
        <v>0</v>
      </c>
      <c r="P3241" s="52">
        <f t="shared" si="747"/>
        <v>0</v>
      </c>
      <c r="Q3241" s="49">
        <v>116.88487613461319</v>
      </c>
      <c r="R3241">
        <v>2225</v>
      </c>
      <c r="S3241" s="50">
        <f t="shared" si="743"/>
        <v>71535.307499999995</v>
      </c>
      <c r="T3241" s="50">
        <f t="shared" si="748"/>
        <v>0</v>
      </c>
      <c r="U3241" s="58">
        <f t="shared" si="749"/>
        <v>0</v>
      </c>
      <c r="V3241" s="58">
        <f t="shared" si="750"/>
        <v>0</v>
      </c>
      <c r="W3241" s="58">
        <f t="shared" si="751"/>
        <v>0</v>
      </c>
      <c r="X3241" s="58">
        <f t="shared" si="752"/>
        <v>0</v>
      </c>
      <c r="Y3241" s="52">
        <f t="shared" si="753"/>
        <v>0</v>
      </c>
    </row>
    <row r="3242" spans="1:25" x14ac:dyDescent="0.25">
      <c r="A3242" s="1218" t="s">
        <v>120</v>
      </c>
      <c r="B3242" s="98">
        <v>46054</v>
      </c>
      <c r="C3242" s="117" t="str">
        <f t="shared" si="756"/>
        <v>4L</v>
      </c>
      <c r="F3242" s="99">
        <f t="shared" si="755"/>
        <v>0</v>
      </c>
      <c r="I3242" s="99">
        <f t="shared" si="754"/>
        <v>0</v>
      </c>
      <c r="L3242" s="99">
        <f t="shared" si="742"/>
        <v>0</v>
      </c>
      <c r="M3242" s="44" t="str">
        <f t="shared" si="744"/>
        <v/>
      </c>
      <c r="N3242" s="100">
        <f t="shared" si="745"/>
        <v>0</v>
      </c>
      <c r="O3242" s="101">
        <f t="shared" si="746"/>
        <v>0</v>
      </c>
      <c r="P3242" s="52">
        <f t="shared" si="747"/>
        <v>0</v>
      </c>
      <c r="Q3242" s="49">
        <v>116.88487613461319</v>
      </c>
      <c r="R3242">
        <v>2225</v>
      </c>
      <c r="S3242" s="50">
        <f t="shared" si="743"/>
        <v>71535.307499999995</v>
      </c>
      <c r="T3242" s="50">
        <f t="shared" si="748"/>
        <v>0</v>
      </c>
      <c r="U3242" s="58">
        <f t="shared" si="749"/>
        <v>0</v>
      </c>
      <c r="V3242" s="58">
        <f t="shared" si="750"/>
        <v>0</v>
      </c>
      <c r="W3242" s="58">
        <f t="shared" si="751"/>
        <v>0</v>
      </c>
      <c r="X3242" s="58">
        <f t="shared" si="752"/>
        <v>0</v>
      </c>
      <c r="Y3242" s="52">
        <f t="shared" si="753"/>
        <v>0</v>
      </c>
    </row>
    <row r="3243" spans="1:25" x14ac:dyDescent="0.25">
      <c r="A3243" s="1218" t="s">
        <v>121</v>
      </c>
      <c r="B3243" s="98">
        <v>46054</v>
      </c>
      <c r="C3243" s="117" t="str">
        <f t="shared" si="756"/>
        <v>4L</v>
      </c>
      <c r="F3243" s="99">
        <f t="shared" si="755"/>
        <v>0</v>
      </c>
      <c r="I3243" s="99">
        <f t="shared" si="754"/>
        <v>0</v>
      </c>
      <c r="L3243" s="99">
        <f t="shared" si="742"/>
        <v>0</v>
      </c>
      <c r="M3243" s="44" t="str">
        <f t="shared" si="744"/>
        <v/>
      </c>
      <c r="N3243" s="100">
        <f t="shared" si="745"/>
        <v>0</v>
      </c>
      <c r="O3243" s="101">
        <f t="shared" si="746"/>
        <v>0</v>
      </c>
      <c r="P3243" s="52">
        <f t="shared" si="747"/>
        <v>0</v>
      </c>
      <c r="Q3243" s="49">
        <v>116.88487613461319</v>
      </c>
      <c r="R3243">
        <v>2225</v>
      </c>
      <c r="S3243" s="50">
        <f t="shared" si="743"/>
        <v>71535.307499999995</v>
      </c>
      <c r="T3243" s="50">
        <f t="shared" si="748"/>
        <v>0</v>
      </c>
      <c r="U3243" s="58">
        <f t="shared" si="749"/>
        <v>0</v>
      </c>
      <c r="V3243" s="58">
        <f t="shared" si="750"/>
        <v>0</v>
      </c>
      <c r="W3243" s="58">
        <f t="shared" si="751"/>
        <v>0</v>
      </c>
      <c r="X3243" s="58">
        <f t="shared" si="752"/>
        <v>0</v>
      </c>
      <c r="Y3243" s="52">
        <f t="shared" si="753"/>
        <v>0</v>
      </c>
    </row>
    <row r="3244" spans="1:25" x14ac:dyDescent="0.25">
      <c r="A3244" s="1218" t="s">
        <v>122</v>
      </c>
      <c r="B3244" s="98">
        <v>46054</v>
      </c>
      <c r="C3244" s="117" t="str">
        <f t="shared" si="756"/>
        <v>4L</v>
      </c>
      <c r="F3244" s="99">
        <f t="shared" si="755"/>
        <v>0</v>
      </c>
      <c r="I3244" s="99">
        <f t="shared" si="754"/>
        <v>0</v>
      </c>
      <c r="L3244" s="99">
        <f t="shared" si="742"/>
        <v>0</v>
      </c>
      <c r="M3244" s="44" t="str">
        <f t="shared" si="744"/>
        <v/>
      </c>
      <c r="N3244" s="100">
        <f t="shared" si="745"/>
        <v>0</v>
      </c>
      <c r="O3244" s="101">
        <f t="shared" si="746"/>
        <v>0</v>
      </c>
      <c r="P3244" s="52">
        <f t="shared" si="747"/>
        <v>0</v>
      </c>
      <c r="Q3244" s="49">
        <v>116.88487613461319</v>
      </c>
      <c r="R3244">
        <v>2225</v>
      </c>
      <c r="S3244" s="50">
        <f t="shared" si="743"/>
        <v>71535.307499999995</v>
      </c>
      <c r="T3244" s="50">
        <f t="shared" si="748"/>
        <v>0</v>
      </c>
      <c r="U3244" s="58">
        <f t="shared" si="749"/>
        <v>0</v>
      </c>
      <c r="V3244" s="58">
        <f t="shared" si="750"/>
        <v>0</v>
      </c>
      <c r="W3244" s="58">
        <f t="shared" si="751"/>
        <v>0</v>
      </c>
      <c r="X3244" s="58">
        <f t="shared" si="752"/>
        <v>0</v>
      </c>
      <c r="Y3244" s="52">
        <f t="shared" si="753"/>
        <v>0</v>
      </c>
    </row>
    <row r="3245" spans="1:25" x14ac:dyDescent="0.25">
      <c r="A3245" s="1218" t="s">
        <v>123</v>
      </c>
      <c r="B3245" s="98">
        <v>46054</v>
      </c>
      <c r="C3245" s="117" t="str">
        <f t="shared" si="756"/>
        <v>4L</v>
      </c>
      <c r="F3245" s="99">
        <f t="shared" si="755"/>
        <v>0</v>
      </c>
      <c r="I3245" s="99">
        <f t="shared" si="754"/>
        <v>0</v>
      </c>
      <c r="L3245" s="99">
        <f t="shared" si="742"/>
        <v>0</v>
      </c>
      <c r="M3245" s="44" t="str">
        <f t="shared" si="744"/>
        <v/>
      </c>
      <c r="N3245" s="100">
        <f t="shared" si="745"/>
        <v>0</v>
      </c>
      <c r="O3245" s="101">
        <f t="shared" si="746"/>
        <v>0</v>
      </c>
      <c r="P3245" s="52">
        <f t="shared" si="747"/>
        <v>0</v>
      </c>
      <c r="Q3245" s="49">
        <v>116.88487613461319</v>
      </c>
      <c r="R3245">
        <v>2225</v>
      </c>
      <c r="S3245" s="50">
        <f t="shared" si="743"/>
        <v>71535.307499999995</v>
      </c>
      <c r="T3245" s="50">
        <f t="shared" si="748"/>
        <v>0</v>
      </c>
      <c r="U3245" s="58">
        <f t="shared" si="749"/>
        <v>0</v>
      </c>
      <c r="V3245" s="58">
        <f t="shared" si="750"/>
        <v>0</v>
      </c>
      <c r="W3245" s="58">
        <f t="shared" si="751"/>
        <v>0</v>
      </c>
      <c r="X3245" s="58">
        <f t="shared" si="752"/>
        <v>0</v>
      </c>
      <c r="Y3245" s="52">
        <f t="shared" si="753"/>
        <v>0</v>
      </c>
    </row>
    <row r="3246" spans="1:25" x14ac:dyDescent="0.25">
      <c r="A3246" s="1218" t="s">
        <v>124</v>
      </c>
      <c r="B3246" s="98">
        <v>46054</v>
      </c>
      <c r="C3246" s="117" t="str">
        <f t="shared" si="756"/>
        <v>4L</v>
      </c>
      <c r="F3246" s="99">
        <f t="shared" si="755"/>
        <v>0</v>
      </c>
      <c r="I3246" s="99">
        <f t="shared" si="754"/>
        <v>0</v>
      </c>
      <c r="L3246" s="99">
        <f t="shared" si="742"/>
        <v>0</v>
      </c>
      <c r="M3246" s="44" t="str">
        <f t="shared" si="744"/>
        <v/>
      </c>
      <c r="N3246" s="100">
        <f t="shared" si="745"/>
        <v>0</v>
      </c>
      <c r="O3246" s="101">
        <f t="shared" si="746"/>
        <v>0</v>
      </c>
      <c r="P3246" s="52">
        <f t="shared" si="747"/>
        <v>0</v>
      </c>
      <c r="Q3246" s="49">
        <v>116.88487613461319</v>
      </c>
      <c r="R3246">
        <v>2225</v>
      </c>
      <c r="S3246" s="50">
        <f t="shared" si="743"/>
        <v>71535.307499999995</v>
      </c>
      <c r="T3246" s="50">
        <f t="shared" si="748"/>
        <v>0</v>
      </c>
      <c r="U3246" s="58">
        <f t="shared" si="749"/>
        <v>0</v>
      </c>
      <c r="V3246" s="58">
        <f t="shared" si="750"/>
        <v>0</v>
      </c>
      <c r="W3246" s="58">
        <f t="shared" si="751"/>
        <v>0</v>
      </c>
      <c r="X3246" s="58">
        <f t="shared" si="752"/>
        <v>0</v>
      </c>
      <c r="Y3246" s="52">
        <f t="shared" si="753"/>
        <v>0</v>
      </c>
    </row>
    <row r="3247" spans="1:25" x14ac:dyDescent="0.25">
      <c r="A3247" s="1218" t="s">
        <v>125</v>
      </c>
      <c r="B3247" s="98">
        <v>46054</v>
      </c>
      <c r="C3247" s="117" t="str">
        <f t="shared" si="756"/>
        <v>4L</v>
      </c>
      <c r="F3247" s="99">
        <f t="shared" si="755"/>
        <v>0</v>
      </c>
      <c r="I3247" s="99">
        <f t="shared" si="754"/>
        <v>0</v>
      </c>
      <c r="L3247" s="99">
        <f t="shared" si="742"/>
        <v>0</v>
      </c>
      <c r="M3247" s="44" t="str">
        <f t="shared" si="744"/>
        <v/>
      </c>
      <c r="N3247" s="100">
        <f t="shared" si="745"/>
        <v>0</v>
      </c>
      <c r="O3247" s="101">
        <f t="shared" si="746"/>
        <v>0</v>
      </c>
      <c r="P3247" s="52">
        <f t="shared" si="747"/>
        <v>0</v>
      </c>
      <c r="Q3247" s="49">
        <v>116.88487613461319</v>
      </c>
      <c r="R3247">
        <v>2225</v>
      </c>
      <c r="S3247" s="50">
        <f t="shared" si="743"/>
        <v>71535.307499999995</v>
      </c>
      <c r="T3247" s="50">
        <f t="shared" si="748"/>
        <v>0</v>
      </c>
      <c r="U3247" s="58">
        <f t="shared" si="749"/>
        <v>0</v>
      </c>
      <c r="V3247" s="58">
        <f t="shared" si="750"/>
        <v>0</v>
      </c>
      <c r="W3247" s="58">
        <f t="shared" si="751"/>
        <v>0</v>
      </c>
      <c r="X3247" s="58">
        <f t="shared" si="752"/>
        <v>0</v>
      </c>
      <c r="Y3247" s="52">
        <f t="shared" si="753"/>
        <v>0</v>
      </c>
    </row>
    <row r="3248" spans="1:25" x14ac:dyDescent="0.25">
      <c r="A3248" s="1218" t="s">
        <v>126</v>
      </c>
      <c r="B3248" s="98">
        <v>46054</v>
      </c>
      <c r="C3248" s="117" t="str">
        <f t="shared" ref="C3248:C3249" si="757">LEFT(A3248,2)</f>
        <v>4L</v>
      </c>
      <c r="F3248" s="99"/>
      <c r="I3248" s="99"/>
      <c r="L3248" s="99"/>
      <c r="M3248" s="44"/>
      <c r="N3248" s="100"/>
      <c r="O3248" s="101"/>
      <c r="P3248" s="52"/>
      <c r="Q3248" s="49"/>
      <c r="S3248" s="50"/>
      <c r="T3248" s="50"/>
      <c r="U3248" s="58"/>
      <c r="V3248" s="58"/>
      <c r="W3248" s="58"/>
      <c r="X3248" s="58"/>
      <c r="Y3248" s="52"/>
    </row>
    <row r="3249" spans="1:25" x14ac:dyDescent="0.25">
      <c r="A3249" s="1218" t="s">
        <v>127</v>
      </c>
      <c r="B3249" s="98">
        <v>46054</v>
      </c>
      <c r="C3249" s="117" t="str">
        <f t="shared" si="757"/>
        <v>4L</v>
      </c>
      <c r="F3249" s="99">
        <f t="shared" si="755"/>
        <v>0</v>
      </c>
      <c r="I3249" s="99">
        <f t="shared" si="754"/>
        <v>0</v>
      </c>
      <c r="L3249" s="99"/>
      <c r="M3249" s="44"/>
      <c r="N3249" s="100"/>
      <c r="O3249" s="101"/>
      <c r="P3249" s="52"/>
      <c r="Q3249" s="49"/>
      <c r="S3249" s="50"/>
      <c r="T3249" s="50"/>
      <c r="U3249" s="58"/>
      <c r="V3249" s="58"/>
      <c r="W3249" s="58"/>
      <c r="X3249" s="58"/>
      <c r="Y3249" s="52"/>
    </row>
    <row r="3250" spans="1:25" x14ac:dyDescent="0.25">
      <c r="A3250" s="1218" t="s">
        <v>128</v>
      </c>
      <c r="B3250" s="98">
        <v>46054</v>
      </c>
      <c r="C3250" s="117" t="str">
        <f t="shared" si="756"/>
        <v>4L</v>
      </c>
      <c r="F3250" s="99">
        <f t="shared" si="755"/>
        <v>0</v>
      </c>
      <c r="I3250" s="99">
        <f t="shared" si="754"/>
        <v>0</v>
      </c>
      <c r="L3250" s="99"/>
      <c r="M3250" s="44"/>
      <c r="N3250" s="100"/>
      <c r="O3250" s="101"/>
      <c r="P3250" s="52"/>
      <c r="Q3250" s="49"/>
      <c r="S3250" s="50"/>
      <c r="T3250" s="50"/>
      <c r="U3250" s="58"/>
      <c r="V3250" s="58"/>
      <c r="W3250" s="58"/>
      <c r="X3250" s="58"/>
      <c r="Y3250" s="52"/>
    </row>
    <row r="3251" spans="1:25" x14ac:dyDescent="0.25">
      <c r="A3251" s="1218" t="s">
        <v>129</v>
      </c>
      <c r="B3251" s="98">
        <v>46054</v>
      </c>
      <c r="C3251" s="117" t="str">
        <f t="shared" si="756"/>
        <v>4L</v>
      </c>
      <c r="F3251" s="99">
        <f t="shared" si="755"/>
        <v>0</v>
      </c>
      <c r="I3251" s="99">
        <f t="shared" si="754"/>
        <v>0</v>
      </c>
      <c r="L3251" s="99">
        <f t="shared" si="742"/>
        <v>0</v>
      </c>
      <c r="M3251" s="44" t="str">
        <f t="shared" si="744"/>
        <v/>
      </c>
      <c r="N3251" s="100">
        <f t="shared" si="745"/>
        <v>0</v>
      </c>
      <c r="O3251" s="101">
        <f t="shared" si="746"/>
        <v>0</v>
      </c>
      <c r="P3251" s="52">
        <f t="shared" si="747"/>
        <v>0</v>
      </c>
      <c r="Q3251" s="49">
        <v>116.88487613461319</v>
      </c>
      <c r="R3251">
        <v>2225</v>
      </c>
      <c r="S3251" s="50">
        <f t="shared" si="743"/>
        <v>71535.307499999995</v>
      </c>
      <c r="T3251" s="50">
        <f t="shared" si="748"/>
        <v>0</v>
      </c>
      <c r="U3251" s="58">
        <f t="shared" si="749"/>
        <v>0</v>
      </c>
      <c r="V3251" s="58">
        <f t="shared" si="750"/>
        <v>0</v>
      </c>
      <c r="W3251" s="58">
        <f t="shared" si="751"/>
        <v>0</v>
      </c>
      <c r="X3251" s="58">
        <f t="shared" si="752"/>
        <v>0</v>
      </c>
      <c r="Y3251" s="52">
        <f t="shared" si="753"/>
        <v>0</v>
      </c>
    </row>
    <row r="3252" spans="1:25" x14ac:dyDescent="0.25">
      <c r="A3252" s="1218" t="s">
        <v>130</v>
      </c>
      <c r="B3252" s="98">
        <v>46054</v>
      </c>
      <c r="C3252" s="117" t="str">
        <f t="shared" si="756"/>
        <v>5L</v>
      </c>
      <c r="F3252" s="99">
        <f t="shared" si="755"/>
        <v>0</v>
      </c>
      <c r="I3252" s="99">
        <f t="shared" si="754"/>
        <v>0</v>
      </c>
      <c r="L3252" s="99">
        <f t="shared" si="742"/>
        <v>0</v>
      </c>
      <c r="M3252" s="44" t="str">
        <f t="shared" si="744"/>
        <v/>
      </c>
      <c r="N3252" s="100">
        <f t="shared" si="745"/>
        <v>0</v>
      </c>
      <c r="O3252" s="101">
        <f t="shared" si="746"/>
        <v>0</v>
      </c>
      <c r="P3252" s="52">
        <f t="shared" si="747"/>
        <v>0</v>
      </c>
      <c r="Q3252" s="49">
        <v>116.88487613461319</v>
      </c>
      <c r="R3252">
        <v>2225</v>
      </c>
      <c r="S3252" s="50">
        <f t="shared" si="743"/>
        <v>71535.307499999995</v>
      </c>
      <c r="T3252" s="50">
        <f t="shared" si="748"/>
        <v>0</v>
      </c>
      <c r="U3252" s="58">
        <f t="shared" si="749"/>
        <v>0</v>
      </c>
      <c r="V3252" s="58">
        <f t="shared" si="750"/>
        <v>0</v>
      </c>
      <c r="W3252" s="58">
        <f t="shared" si="751"/>
        <v>0</v>
      </c>
      <c r="X3252" s="58">
        <f t="shared" si="752"/>
        <v>0</v>
      </c>
      <c r="Y3252" s="52">
        <f t="shared" si="753"/>
        <v>0</v>
      </c>
    </row>
    <row r="3253" spans="1:25" x14ac:dyDescent="0.25">
      <c r="A3253" s="1218" t="s">
        <v>131</v>
      </c>
      <c r="B3253" s="98">
        <v>46054</v>
      </c>
      <c r="C3253" s="117" t="str">
        <f t="shared" si="756"/>
        <v>5L</v>
      </c>
      <c r="F3253" s="99">
        <f t="shared" si="755"/>
        <v>0</v>
      </c>
      <c r="I3253" s="99">
        <f t="shared" si="754"/>
        <v>0</v>
      </c>
      <c r="L3253" s="99">
        <f t="shared" si="742"/>
        <v>0</v>
      </c>
      <c r="M3253" s="44" t="str">
        <f t="shared" si="744"/>
        <v/>
      </c>
      <c r="N3253" s="100">
        <f t="shared" si="745"/>
        <v>0</v>
      </c>
      <c r="O3253" s="101">
        <f t="shared" si="746"/>
        <v>0</v>
      </c>
      <c r="P3253" s="52">
        <f t="shared" si="747"/>
        <v>0</v>
      </c>
      <c r="Q3253" s="49">
        <v>116.88487613461319</v>
      </c>
      <c r="R3253">
        <v>2225</v>
      </c>
      <c r="S3253" s="50">
        <f t="shared" si="743"/>
        <v>71535.307499999995</v>
      </c>
      <c r="T3253" s="50">
        <f t="shared" si="748"/>
        <v>0</v>
      </c>
      <c r="U3253" s="58">
        <f t="shared" si="749"/>
        <v>0</v>
      </c>
      <c r="V3253" s="58">
        <f t="shared" si="750"/>
        <v>0</v>
      </c>
      <c r="W3253" s="58">
        <f t="shared" si="751"/>
        <v>0</v>
      </c>
      <c r="X3253" s="58">
        <f t="shared" si="752"/>
        <v>0</v>
      </c>
      <c r="Y3253" s="52">
        <f t="shared" si="753"/>
        <v>0</v>
      </c>
    </row>
    <row r="3254" spans="1:25" x14ac:dyDescent="0.25">
      <c r="A3254" s="1218" t="s">
        <v>132</v>
      </c>
      <c r="B3254" s="98">
        <v>46054</v>
      </c>
      <c r="C3254" s="117" t="str">
        <f t="shared" si="756"/>
        <v>5L</v>
      </c>
      <c r="F3254" s="99">
        <f t="shared" si="755"/>
        <v>0</v>
      </c>
      <c r="I3254" s="99">
        <f t="shared" si="754"/>
        <v>0</v>
      </c>
      <c r="L3254" s="99">
        <f t="shared" si="742"/>
        <v>0</v>
      </c>
      <c r="M3254" s="44" t="str">
        <f t="shared" si="744"/>
        <v/>
      </c>
      <c r="N3254" s="100">
        <f t="shared" si="745"/>
        <v>0</v>
      </c>
      <c r="O3254" s="101">
        <f t="shared" si="746"/>
        <v>0</v>
      </c>
      <c r="P3254" s="52">
        <f t="shared" si="747"/>
        <v>0</v>
      </c>
      <c r="Q3254" s="49">
        <v>116.88487613461319</v>
      </c>
      <c r="R3254">
        <v>2225</v>
      </c>
      <c r="S3254" s="50">
        <f t="shared" si="743"/>
        <v>71535.307499999995</v>
      </c>
      <c r="T3254" s="50">
        <f t="shared" si="748"/>
        <v>0</v>
      </c>
      <c r="U3254" s="58">
        <f t="shared" si="749"/>
        <v>0</v>
      </c>
      <c r="V3254" s="58">
        <f t="shared" si="750"/>
        <v>0</v>
      </c>
      <c r="W3254" s="58">
        <f t="shared" si="751"/>
        <v>0</v>
      </c>
      <c r="X3254" s="58">
        <f t="shared" si="752"/>
        <v>0</v>
      </c>
      <c r="Y3254" s="52">
        <f t="shared" si="753"/>
        <v>0</v>
      </c>
    </row>
    <row r="3255" spans="1:25" x14ac:dyDescent="0.25">
      <c r="A3255" s="1218" t="s">
        <v>133</v>
      </c>
      <c r="B3255" s="98">
        <v>46054</v>
      </c>
      <c r="C3255" s="117" t="str">
        <f t="shared" si="756"/>
        <v>5L</v>
      </c>
      <c r="F3255" s="99">
        <f t="shared" si="755"/>
        <v>0</v>
      </c>
      <c r="I3255" s="99">
        <f t="shared" si="754"/>
        <v>0</v>
      </c>
      <c r="L3255" s="99">
        <f t="shared" si="742"/>
        <v>0</v>
      </c>
      <c r="M3255" s="44" t="str">
        <f t="shared" si="744"/>
        <v/>
      </c>
      <c r="N3255" s="100">
        <f t="shared" si="745"/>
        <v>0</v>
      </c>
      <c r="O3255" s="101">
        <f t="shared" si="746"/>
        <v>0</v>
      </c>
      <c r="P3255" s="52">
        <f t="shared" si="747"/>
        <v>0</v>
      </c>
      <c r="Q3255" s="49">
        <v>116.88487613461319</v>
      </c>
      <c r="R3255">
        <v>2225</v>
      </c>
      <c r="S3255" s="50">
        <f t="shared" si="743"/>
        <v>71535.307499999995</v>
      </c>
      <c r="T3255" s="50">
        <f t="shared" si="748"/>
        <v>0</v>
      </c>
      <c r="U3255" s="58">
        <f t="shared" si="749"/>
        <v>0</v>
      </c>
      <c r="V3255" s="58">
        <f t="shared" si="750"/>
        <v>0</v>
      </c>
      <c r="W3255" s="58">
        <f t="shared" si="751"/>
        <v>0</v>
      </c>
      <c r="X3255" s="58">
        <f t="shared" si="752"/>
        <v>0</v>
      </c>
      <c r="Y3255" s="52">
        <f t="shared" si="753"/>
        <v>0</v>
      </c>
    </row>
    <row r="3256" spans="1:25" x14ac:dyDescent="0.25">
      <c r="A3256" s="1218" t="s">
        <v>134</v>
      </c>
      <c r="B3256" s="98">
        <v>46054</v>
      </c>
      <c r="C3256" s="117" t="str">
        <f t="shared" si="756"/>
        <v>5L</v>
      </c>
      <c r="F3256" s="99">
        <f t="shared" si="755"/>
        <v>0</v>
      </c>
      <c r="I3256" s="99">
        <f t="shared" si="754"/>
        <v>0</v>
      </c>
      <c r="L3256" s="99">
        <f t="shared" si="742"/>
        <v>0</v>
      </c>
      <c r="M3256" s="44" t="str">
        <f t="shared" si="744"/>
        <v/>
      </c>
      <c r="N3256" s="100">
        <f t="shared" si="745"/>
        <v>0</v>
      </c>
      <c r="O3256" s="101">
        <f t="shared" si="746"/>
        <v>0</v>
      </c>
      <c r="P3256" s="52">
        <f t="shared" si="747"/>
        <v>0</v>
      </c>
      <c r="Q3256" s="49">
        <v>116.88487613461319</v>
      </c>
      <c r="R3256">
        <v>2225</v>
      </c>
      <c r="S3256" s="50">
        <f t="shared" si="743"/>
        <v>71535.307499999995</v>
      </c>
      <c r="T3256" s="50">
        <f t="shared" si="748"/>
        <v>0</v>
      </c>
      <c r="U3256" s="58">
        <f t="shared" si="749"/>
        <v>0</v>
      </c>
      <c r="V3256" s="58">
        <f t="shared" si="750"/>
        <v>0</v>
      </c>
      <c r="W3256" s="58">
        <f t="shared" si="751"/>
        <v>0</v>
      </c>
      <c r="X3256" s="58">
        <f t="shared" si="752"/>
        <v>0</v>
      </c>
      <c r="Y3256" s="52">
        <f t="shared" si="753"/>
        <v>0</v>
      </c>
    </row>
    <row r="3257" spans="1:25" x14ac:dyDescent="0.25">
      <c r="A3257" s="1218" t="s">
        <v>135</v>
      </c>
      <c r="B3257" s="98">
        <v>46054</v>
      </c>
      <c r="C3257" s="117" t="str">
        <f t="shared" si="756"/>
        <v>5L</v>
      </c>
      <c r="F3257" s="99">
        <f t="shared" si="755"/>
        <v>0</v>
      </c>
      <c r="I3257" s="99">
        <f t="shared" si="754"/>
        <v>0</v>
      </c>
      <c r="L3257" s="99">
        <f t="shared" si="742"/>
        <v>0</v>
      </c>
      <c r="M3257" s="44" t="str">
        <f t="shared" si="744"/>
        <v/>
      </c>
      <c r="N3257" s="100">
        <f t="shared" si="745"/>
        <v>0</v>
      </c>
      <c r="O3257" s="101">
        <f t="shared" si="746"/>
        <v>0</v>
      </c>
      <c r="P3257" s="52">
        <f t="shared" si="747"/>
        <v>0</v>
      </c>
      <c r="Q3257" s="49">
        <v>116.88487613461319</v>
      </c>
      <c r="R3257">
        <v>2225</v>
      </c>
      <c r="S3257" s="50">
        <f t="shared" si="743"/>
        <v>71535.307499999995</v>
      </c>
      <c r="T3257" s="50">
        <f t="shared" si="748"/>
        <v>0</v>
      </c>
      <c r="U3257" s="58">
        <f t="shared" si="749"/>
        <v>0</v>
      </c>
      <c r="V3257" s="58">
        <f t="shared" si="750"/>
        <v>0</v>
      </c>
      <c r="W3257" s="58">
        <f t="shared" si="751"/>
        <v>0</v>
      </c>
      <c r="X3257" s="58">
        <f t="shared" si="752"/>
        <v>0</v>
      </c>
      <c r="Y3257" s="52">
        <f t="shared" si="753"/>
        <v>0</v>
      </c>
    </row>
    <row r="3258" spans="1:25" x14ac:dyDescent="0.25">
      <c r="A3258" s="1218" t="s">
        <v>136</v>
      </c>
      <c r="B3258" s="98">
        <v>46054</v>
      </c>
      <c r="C3258" s="117" t="str">
        <f t="shared" si="756"/>
        <v>5L</v>
      </c>
      <c r="F3258" s="99">
        <f t="shared" si="755"/>
        <v>0</v>
      </c>
      <c r="I3258" s="99">
        <f t="shared" si="754"/>
        <v>0</v>
      </c>
      <c r="L3258" s="99">
        <f t="shared" si="742"/>
        <v>0</v>
      </c>
      <c r="M3258" s="44" t="str">
        <f t="shared" si="744"/>
        <v/>
      </c>
      <c r="N3258" s="100">
        <f t="shared" si="745"/>
        <v>0</v>
      </c>
      <c r="O3258" s="101">
        <f t="shared" si="746"/>
        <v>0</v>
      </c>
      <c r="P3258" s="52">
        <f t="shared" si="747"/>
        <v>0</v>
      </c>
      <c r="Q3258" s="49">
        <v>116.88487613461319</v>
      </c>
      <c r="R3258">
        <v>2225</v>
      </c>
      <c r="S3258" s="50">
        <f t="shared" si="743"/>
        <v>71535.307499999995</v>
      </c>
      <c r="T3258" s="50">
        <f t="shared" si="748"/>
        <v>0</v>
      </c>
      <c r="U3258" s="58">
        <f t="shared" si="749"/>
        <v>0</v>
      </c>
      <c r="V3258" s="58">
        <f t="shared" si="750"/>
        <v>0</v>
      </c>
      <c r="W3258" s="58">
        <f t="shared" si="751"/>
        <v>0</v>
      </c>
      <c r="X3258" s="58">
        <f t="shared" si="752"/>
        <v>0</v>
      </c>
      <c r="Y3258" s="52">
        <f t="shared" si="753"/>
        <v>0</v>
      </c>
    </row>
    <row r="3259" spans="1:25" x14ac:dyDescent="0.25">
      <c r="A3259" s="1218" t="s">
        <v>137</v>
      </c>
      <c r="B3259" s="98">
        <v>46054</v>
      </c>
      <c r="C3259" s="117" t="str">
        <f t="shared" si="756"/>
        <v>5L</v>
      </c>
      <c r="F3259" s="99">
        <f t="shared" si="755"/>
        <v>0</v>
      </c>
      <c r="I3259" s="99">
        <f t="shared" si="754"/>
        <v>0</v>
      </c>
      <c r="L3259" s="99">
        <f t="shared" si="742"/>
        <v>0</v>
      </c>
      <c r="M3259" s="44" t="str">
        <f t="shared" si="744"/>
        <v/>
      </c>
      <c r="N3259" s="100">
        <f t="shared" si="745"/>
        <v>0</v>
      </c>
      <c r="O3259" s="101">
        <f t="shared" si="746"/>
        <v>0</v>
      </c>
      <c r="P3259" s="52">
        <f t="shared" si="747"/>
        <v>0</v>
      </c>
      <c r="Q3259" s="49">
        <v>116.88487613461319</v>
      </c>
      <c r="R3259">
        <v>2225</v>
      </c>
      <c r="S3259" s="50">
        <f t="shared" si="743"/>
        <v>71535.307499999995</v>
      </c>
      <c r="T3259" s="50">
        <f t="shared" si="748"/>
        <v>0</v>
      </c>
      <c r="U3259" s="58">
        <f t="shared" si="749"/>
        <v>0</v>
      </c>
      <c r="V3259" s="58">
        <f t="shared" si="750"/>
        <v>0</v>
      </c>
      <c r="W3259" s="58">
        <f t="shared" si="751"/>
        <v>0</v>
      </c>
      <c r="X3259" s="58">
        <f t="shared" si="752"/>
        <v>0</v>
      </c>
      <c r="Y3259" s="52">
        <f t="shared" si="753"/>
        <v>0</v>
      </c>
    </row>
    <row r="3260" spans="1:25" x14ac:dyDescent="0.25">
      <c r="A3260" s="1218" t="s">
        <v>138</v>
      </c>
      <c r="B3260" s="98">
        <v>46054</v>
      </c>
      <c r="C3260" s="117" t="str">
        <f t="shared" si="756"/>
        <v>5L</v>
      </c>
      <c r="F3260" s="99">
        <f t="shared" si="755"/>
        <v>0</v>
      </c>
      <c r="I3260" s="99">
        <f t="shared" si="754"/>
        <v>0</v>
      </c>
      <c r="L3260" s="99">
        <f t="shared" si="742"/>
        <v>0</v>
      </c>
      <c r="M3260" s="44" t="str">
        <f t="shared" si="744"/>
        <v/>
      </c>
      <c r="N3260" s="100">
        <f t="shared" si="745"/>
        <v>0</v>
      </c>
      <c r="O3260" s="101">
        <f t="shared" si="746"/>
        <v>0</v>
      </c>
      <c r="P3260" s="52">
        <f t="shared" si="747"/>
        <v>0</v>
      </c>
      <c r="Q3260" s="49">
        <v>116.88487613461319</v>
      </c>
      <c r="R3260">
        <v>2225</v>
      </c>
      <c r="S3260" s="50">
        <f t="shared" si="743"/>
        <v>71535.307499999995</v>
      </c>
      <c r="T3260" s="50">
        <f t="shared" si="748"/>
        <v>0</v>
      </c>
      <c r="U3260" s="58">
        <f t="shared" si="749"/>
        <v>0</v>
      </c>
      <c r="V3260" s="58">
        <f t="shared" si="750"/>
        <v>0</v>
      </c>
      <c r="W3260" s="58">
        <f t="shared" si="751"/>
        <v>0</v>
      </c>
      <c r="X3260" s="58">
        <f t="shared" si="752"/>
        <v>0</v>
      </c>
      <c r="Y3260" s="52">
        <f t="shared" si="753"/>
        <v>0</v>
      </c>
    </row>
    <row r="3261" spans="1:25" x14ac:dyDescent="0.25">
      <c r="A3261" s="1218" t="s">
        <v>139</v>
      </c>
      <c r="B3261" s="98">
        <v>46054</v>
      </c>
      <c r="C3261" s="117" t="str">
        <f t="shared" si="756"/>
        <v>5L</v>
      </c>
      <c r="F3261" s="99">
        <f t="shared" si="755"/>
        <v>0</v>
      </c>
      <c r="I3261" s="99">
        <f t="shared" si="754"/>
        <v>0</v>
      </c>
      <c r="L3261" s="99">
        <f t="shared" si="742"/>
        <v>0</v>
      </c>
      <c r="M3261" s="44" t="str">
        <f t="shared" si="744"/>
        <v/>
      </c>
      <c r="N3261" s="100">
        <f t="shared" si="745"/>
        <v>0</v>
      </c>
      <c r="O3261" s="101">
        <f t="shared" si="746"/>
        <v>0</v>
      </c>
      <c r="P3261" s="52">
        <f t="shared" si="747"/>
        <v>0</v>
      </c>
      <c r="Q3261" s="49">
        <v>116.88487613461319</v>
      </c>
      <c r="R3261">
        <v>2225</v>
      </c>
      <c r="S3261" s="50">
        <f t="shared" si="743"/>
        <v>71535.307499999995</v>
      </c>
      <c r="T3261" s="50">
        <f t="shared" si="748"/>
        <v>0</v>
      </c>
      <c r="U3261" s="58">
        <f t="shared" si="749"/>
        <v>0</v>
      </c>
      <c r="V3261" s="58">
        <f t="shared" si="750"/>
        <v>0</v>
      </c>
      <c r="W3261" s="58">
        <f t="shared" si="751"/>
        <v>0</v>
      </c>
      <c r="X3261" s="58">
        <f t="shared" si="752"/>
        <v>0</v>
      </c>
      <c r="Y3261" s="52">
        <f t="shared" si="753"/>
        <v>0</v>
      </c>
    </row>
    <row r="3262" spans="1:25" x14ac:dyDescent="0.25">
      <c r="A3262" s="1218" t="s">
        <v>140</v>
      </c>
      <c r="B3262" s="98">
        <v>46054</v>
      </c>
      <c r="C3262" s="117" t="str">
        <f t="shared" si="756"/>
        <v>5L</v>
      </c>
      <c r="F3262" s="99">
        <f t="shared" si="755"/>
        <v>0</v>
      </c>
      <c r="I3262" s="99">
        <f t="shared" si="754"/>
        <v>0</v>
      </c>
      <c r="L3262" s="99">
        <f t="shared" si="742"/>
        <v>0</v>
      </c>
      <c r="M3262" s="44" t="str">
        <f t="shared" si="744"/>
        <v/>
      </c>
      <c r="N3262" s="100">
        <f t="shared" si="745"/>
        <v>0</v>
      </c>
      <c r="O3262" s="101">
        <f t="shared" si="746"/>
        <v>0</v>
      </c>
      <c r="P3262" s="52">
        <f t="shared" si="747"/>
        <v>0</v>
      </c>
      <c r="Q3262" s="49">
        <v>116.88487613461319</v>
      </c>
      <c r="R3262">
        <v>2225</v>
      </c>
      <c r="S3262" s="50">
        <f t="shared" si="743"/>
        <v>71535.307499999995</v>
      </c>
      <c r="T3262" s="50">
        <f t="shared" si="748"/>
        <v>0</v>
      </c>
      <c r="U3262" s="58">
        <f t="shared" si="749"/>
        <v>0</v>
      </c>
      <c r="V3262" s="58">
        <f t="shared" si="750"/>
        <v>0</v>
      </c>
      <c r="W3262" s="58">
        <f t="shared" si="751"/>
        <v>0</v>
      </c>
      <c r="X3262" s="58">
        <f t="shared" si="752"/>
        <v>0</v>
      </c>
      <c r="Y3262" s="52">
        <f t="shared" si="753"/>
        <v>0</v>
      </c>
    </row>
    <row r="3263" spans="1:25" x14ac:dyDescent="0.25">
      <c r="A3263" s="1218" t="s">
        <v>141</v>
      </c>
      <c r="B3263" s="98">
        <v>46054</v>
      </c>
      <c r="C3263" s="117" t="str">
        <f t="shared" si="756"/>
        <v>5L</v>
      </c>
      <c r="F3263" s="99">
        <f t="shared" si="755"/>
        <v>0</v>
      </c>
      <c r="I3263" s="99">
        <f t="shared" si="754"/>
        <v>0</v>
      </c>
      <c r="L3263" s="99">
        <f t="shared" si="742"/>
        <v>0</v>
      </c>
      <c r="M3263" s="44" t="str">
        <f t="shared" si="744"/>
        <v/>
      </c>
      <c r="N3263" s="100">
        <f t="shared" si="745"/>
        <v>0</v>
      </c>
      <c r="O3263" s="101">
        <f t="shared" si="746"/>
        <v>0</v>
      </c>
      <c r="P3263" s="52">
        <f t="shared" si="747"/>
        <v>0</v>
      </c>
      <c r="Q3263" s="49">
        <v>116.88487613461319</v>
      </c>
      <c r="R3263">
        <v>2225</v>
      </c>
      <c r="S3263" s="50">
        <f t="shared" si="743"/>
        <v>71535.307499999995</v>
      </c>
      <c r="T3263" s="50">
        <f t="shared" si="748"/>
        <v>0</v>
      </c>
      <c r="U3263" s="58">
        <f t="shared" si="749"/>
        <v>0</v>
      </c>
      <c r="V3263" s="58">
        <f t="shared" si="750"/>
        <v>0</v>
      </c>
      <c r="W3263" s="58">
        <f t="shared" si="751"/>
        <v>0</v>
      </c>
      <c r="X3263" s="58">
        <f t="shared" si="752"/>
        <v>0</v>
      </c>
      <c r="Y3263" s="52">
        <f t="shared" si="753"/>
        <v>0</v>
      </c>
    </row>
    <row r="3264" spans="1:25" x14ac:dyDescent="0.25">
      <c r="A3264" s="1218" t="s">
        <v>142</v>
      </c>
      <c r="B3264" s="98">
        <v>46054</v>
      </c>
      <c r="C3264" s="117" t="str">
        <f t="shared" si="756"/>
        <v>5L</v>
      </c>
      <c r="F3264" s="99">
        <f t="shared" si="755"/>
        <v>0</v>
      </c>
      <c r="I3264" s="99">
        <f t="shared" si="754"/>
        <v>0</v>
      </c>
      <c r="L3264" s="99">
        <f t="shared" si="742"/>
        <v>0</v>
      </c>
      <c r="M3264" s="44" t="str">
        <f t="shared" si="744"/>
        <v/>
      </c>
      <c r="N3264" s="100">
        <f t="shared" si="745"/>
        <v>0</v>
      </c>
      <c r="O3264" s="101">
        <f t="shared" si="746"/>
        <v>0</v>
      </c>
      <c r="P3264" s="52">
        <f t="shared" si="747"/>
        <v>0</v>
      </c>
      <c r="Q3264" s="49">
        <v>116.88487613461319</v>
      </c>
      <c r="R3264">
        <v>2225</v>
      </c>
      <c r="S3264" s="50">
        <f t="shared" si="743"/>
        <v>71535.307499999995</v>
      </c>
      <c r="T3264" s="50">
        <f t="shared" si="748"/>
        <v>0</v>
      </c>
      <c r="U3264" s="58">
        <f t="shared" si="749"/>
        <v>0</v>
      </c>
      <c r="V3264" s="58">
        <f t="shared" si="750"/>
        <v>0</v>
      </c>
      <c r="W3264" s="58">
        <f t="shared" si="751"/>
        <v>0</v>
      </c>
      <c r="X3264" s="58">
        <f t="shared" si="752"/>
        <v>0</v>
      </c>
      <c r="Y3264" s="52">
        <f t="shared" si="753"/>
        <v>0</v>
      </c>
    </row>
    <row r="3265" spans="1:25" x14ac:dyDescent="0.25">
      <c r="A3265" s="1218" t="s">
        <v>143</v>
      </c>
      <c r="B3265" s="98">
        <v>46054</v>
      </c>
      <c r="C3265" s="117" t="str">
        <f t="shared" si="756"/>
        <v>5L</v>
      </c>
      <c r="F3265" s="99">
        <f t="shared" si="755"/>
        <v>0</v>
      </c>
      <c r="I3265" s="99">
        <f t="shared" si="754"/>
        <v>0</v>
      </c>
      <c r="L3265" s="99">
        <f t="shared" si="742"/>
        <v>0</v>
      </c>
      <c r="M3265" s="44" t="str">
        <f t="shared" si="744"/>
        <v/>
      </c>
      <c r="N3265" s="100">
        <f t="shared" si="745"/>
        <v>0</v>
      </c>
      <c r="O3265" s="101">
        <f t="shared" si="746"/>
        <v>0</v>
      </c>
      <c r="P3265" s="52">
        <f t="shared" si="747"/>
        <v>0</v>
      </c>
      <c r="Q3265" s="49">
        <v>116.88487613461319</v>
      </c>
      <c r="R3265">
        <v>2225</v>
      </c>
      <c r="S3265" s="50">
        <f t="shared" si="743"/>
        <v>71535.307499999995</v>
      </c>
      <c r="T3265" s="50">
        <f t="shared" si="748"/>
        <v>0</v>
      </c>
      <c r="U3265" s="58">
        <f t="shared" si="749"/>
        <v>0</v>
      </c>
      <c r="V3265" s="58">
        <f t="shared" si="750"/>
        <v>0</v>
      </c>
      <c r="W3265" s="58">
        <f t="shared" si="751"/>
        <v>0</v>
      </c>
      <c r="X3265" s="58">
        <f t="shared" si="752"/>
        <v>0</v>
      </c>
      <c r="Y3265" s="52">
        <f t="shared" si="753"/>
        <v>0</v>
      </c>
    </row>
    <row r="3266" spans="1:25" x14ac:dyDescent="0.25">
      <c r="A3266" s="1218" t="s">
        <v>144</v>
      </c>
      <c r="B3266" s="98">
        <v>46054</v>
      </c>
      <c r="C3266" s="117" t="str">
        <f t="shared" si="756"/>
        <v>5L</v>
      </c>
      <c r="F3266" s="99">
        <f t="shared" si="755"/>
        <v>0</v>
      </c>
      <c r="I3266" s="99">
        <f t="shared" si="754"/>
        <v>0</v>
      </c>
      <c r="L3266" s="99">
        <f t="shared" ref="L3266:L3329" si="758">IFERROR(J3266*K3266/1000,"")</f>
        <v>0</v>
      </c>
      <c r="M3266" s="44" t="str">
        <f t="shared" si="744"/>
        <v/>
      </c>
      <c r="N3266" s="100">
        <f t="shared" si="745"/>
        <v>0</v>
      </c>
      <c r="O3266" s="101">
        <f t="shared" si="746"/>
        <v>0</v>
      </c>
      <c r="P3266" s="52">
        <f t="shared" si="747"/>
        <v>0</v>
      </c>
      <c r="Q3266" s="49">
        <v>116.88487613461319</v>
      </c>
      <c r="R3266">
        <v>2225</v>
      </c>
      <c r="S3266" s="50">
        <f t="shared" ref="S3266:S3329" si="759">R3266*32.1507</f>
        <v>71535.307499999995</v>
      </c>
      <c r="T3266" s="50">
        <f t="shared" si="748"/>
        <v>0</v>
      </c>
      <c r="U3266" s="58">
        <f t="shared" si="749"/>
        <v>0</v>
      </c>
      <c r="V3266" s="58">
        <f t="shared" si="750"/>
        <v>0</v>
      </c>
      <c r="W3266" s="58">
        <f t="shared" si="751"/>
        <v>0</v>
      </c>
      <c r="X3266" s="58">
        <f t="shared" si="752"/>
        <v>0</v>
      </c>
      <c r="Y3266" s="52">
        <f t="shared" si="753"/>
        <v>0</v>
      </c>
    </row>
    <row r="3267" spans="1:25" x14ac:dyDescent="0.25">
      <c r="A3267" s="1218" t="s">
        <v>145</v>
      </c>
      <c r="B3267" s="98">
        <v>46054</v>
      </c>
      <c r="C3267" s="117" t="str">
        <f t="shared" si="756"/>
        <v>5L</v>
      </c>
      <c r="F3267" s="99">
        <f t="shared" si="755"/>
        <v>0</v>
      </c>
      <c r="I3267" s="99">
        <f t="shared" si="754"/>
        <v>0</v>
      </c>
      <c r="L3267" s="99">
        <f t="shared" si="758"/>
        <v>0</v>
      </c>
      <c r="M3267" s="44" t="str">
        <f t="shared" si="744"/>
        <v/>
      </c>
      <c r="N3267" s="100">
        <f t="shared" si="745"/>
        <v>0</v>
      </c>
      <c r="O3267" s="101">
        <f t="shared" si="746"/>
        <v>0</v>
      </c>
      <c r="P3267" s="52">
        <f t="shared" si="747"/>
        <v>0</v>
      </c>
      <c r="Q3267" s="49">
        <v>116.88487613461319</v>
      </c>
      <c r="R3267">
        <v>2225</v>
      </c>
      <c r="S3267" s="50">
        <f t="shared" si="759"/>
        <v>71535.307499999995</v>
      </c>
      <c r="T3267" s="50">
        <f t="shared" si="748"/>
        <v>0</v>
      </c>
      <c r="U3267" s="58">
        <f t="shared" si="749"/>
        <v>0</v>
      </c>
      <c r="V3267" s="58">
        <f t="shared" si="750"/>
        <v>0</v>
      </c>
      <c r="W3267" s="58">
        <f t="shared" si="751"/>
        <v>0</v>
      </c>
      <c r="X3267" s="58">
        <f t="shared" si="752"/>
        <v>0</v>
      </c>
      <c r="Y3267" s="52">
        <f t="shared" si="753"/>
        <v>0</v>
      </c>
    </row>
    <row r="3268" spans="1:25" x14ac:dyDescent="0.25">
      <c r="A3268" s="1218" t="s">
        <v>146</v>
      </c>
      <c r="B3268" s="98">
        <v>46054</v>
      </c>
      <c r="C3268" s="117" t="str">
        <f t="shared" si="756"/>
        <v>5L</v>
      </c>
      <c r="F3268" s="99">
        <f t="shared" si="755"/>
        <v>0</v>
      </c>
      <c r="I3268" s="99">
        <f t="shared" si="754"/>
        <v>0</v>
      </c>
      <c r="L3268" s="99">
        <f t="shared" si="758"/>
        <v>0</v>
      </c>
      <c r="M3268" s="44" t="str">
        <f t="shared" ref="M3268:M3329" si="760">IFERROR((L3268-I3268)/I3268,"")</f>
        <v/>
      </c>
      <c r="N3268" s="100">
        <f t="shared" ref="N3268:N3329" si="761">J3268-G3268</f>
        <v>0</v>
      </c>
      <c r="O3268" s="101">
        <f t="shared" ref="O3268:O3329" si="762">L3268-I3268</f>
        <v>0</v>
      </c>
      <c r="P3268" s="52">
        <f t="shared" ref="P3268:P3329" si="763">U3268-W3268</f>
        <v>0</v>
      </c>
      <c r="Q3268" s="49">
        <v>116.88487613461319</v>
      </c>
      <c r="R3268">
        <v>2225</v>
      </c>
      <c r="S3268" s="50">
        <f t="shared" si="759"/>
        <v>71535.307499999995</v>
      </c>
      <c r="T3268" s="50">
        <f t="shared" ref="T3268:T3329" si="764">IFERROR(S3268*I3268,"")</f>
        <v>0</v>
      </c>
      <c r="U3268" s="58">
        <f t="shared" ref="U3268:U3329" si="765">IFERROR(S3268*L3268,"")</f>
        <v>0</v>
      </c>
      <c r="V3268" s="58">
        <f t="shared" ref="V3268:V3329" si="766">IFERROR(Q3268*G3268,"")</f>
        <v>0</v>
      </c>
      <c r="W3268" s="58">
        <f t="shared" ref="W3268:W3329" si="767">IFERROR(Q3268*J3268,"")</f>
        <v>0</v>
      </c>
      <c r="X3268" s="58">
        <f t="shared" ref="X3268:X3329" si="768">T3268-V3268</f>
        <v>0</v>
      </c>
      <c r="Y3268" s="52">
        <f t="shared" ref="Y3268:Y3329" si="769">U3268-W3268</f>
        <v>0</v>
      </c>
    </row>
    <row r="3269" spans="1:25" x14ac:dyDescent="0.25">
      <c r="A3269" s="1218" t="s">
        <v>147</v>
      </c>
      <c r="B3269" s="98">
        <v>46054</v>
      </c>
      <c r="C3269" s="117" t="str">
        <f t="shared" si="756"/>
        <v>5L</v>
      </c>
      <c r="F3269" s="99">
        <f t="shared" si="755"/>
        <v>0</v>
      </c>
      <c r="I3269" s="99">
        <f t="shared" si="754"/>
        <v>0</v>
      </c>
      <c r="L3269" s="99">
        <f t="shared" si="758"/>
        <v>0</v>
      </c>
      <c r="M3269" s="44" t="str">
        <f t="shared" si="760"/>
        <v/>
      </c>
      <c r="N3269" s="100">
        <f t="shared" si="761"/>
        <v>0</v>
      </c>
      <c r="O3269" s="101">
        <f t="shared" si="762"/>
        <v>0</v>
      </c>
      <c r="P3269" s="52">
        <f t="shared" si="763"/>
        <v>0</v>
      </c>
      <c r="Q3269" s="49">
        <v>116.88487613461319</v>
      </c>
      <c r="R3269">
        <v>2225</v>
      </c>
      <c r="S3269" s="50">
        <f t="shared" si="759"/>
        <v>71535.307499999995</v>
      </c>
      <c r="T3269" s="50">
        <f t="shared" si="764"/>
        <v>0</v>
      </c>
      <c r="U3269" s="58">
        <f t="shared" si="765"/>
        <v>0</v>
      </c>
      <c r="V3269" s="58">
        <f t="shared" si="766"/>
        <v>0</v>
      </c>
      <c r="W3269" s="58">
        <f t="shared" si="767"/>
        <v>0</v>
      </c>
      <c r="X3269" s="58">
        <f t="shared" si="768"/>
        <v>0</v>
      </c>
      <c r="Y3269" s="52">
        <f t="shared" si="769"/>
        <v>0</v>
      </c>
    </row>
    <row r="3270" spans="1:25" x14ac:dyDescent="0.25">
      <c r="A3270" s="1218" t="s">
        <v>148</v>
      </c>
      <c r="B3270" s="98">
        <v>46054</v>
      </c>
      <c r="C3270" s="117" t="str">
        <f t="shared" si="756"/>
        <v>5L</v>
      </c>
      <c r="F3270" s="99">
        <f t="shared" si="755"/>
        <v>0</v>
      </c>
      <c r="I3270" s="99">
        <f t="shared" si="754"/>
        <v>0</v>
      </c>
      <c r="L3270" s="99">
        <f t="shared" si="758"/>
        <v>0</v>
      </c>
      <c r="M3270" s="44" t="str">
        <f t="shared" si="760"/>
        <v/>
      </c>
      <c r="N3270" s="100">
        <f t="shared" si="761"/>
        <v>0</v>
      </c>
      <c r="O3270" s="101">
        <f t="shared" si="762"/>
        <v>0</v>
      </c>
      <c r="P3270" s="52">
        <f t="shared" si="763"/>
        <v>0</v>
      </c>
      <c r="Q3270" s="49">
        <v>116.88487613461319</v>
      </c>
      <c r="R3270">
        <v>2225</v>
      </c>
      <c r="S3270" s="50">
        <f t="shared" si="759"/>
        <v>71535.307499999995</v>
      </c>
      <c r="T3270" s="50">
        <f t="shared" si="764"/>
        <v>0</v>
      </c>
      <c r="U3270" s="58">
        <f t="shared" si="765"/>
        <v>0</v>
      </c>
      <c r="V3270" s="58">
        <f t="shared" si="766"/>
        <v>0</v>
      </c>
      <c r="W3270" s="58">
        <f t="shared" si="767"/>
        <v>0</v>
      </c>
      <c r="X3270" s="58">
        <f t="shared" si="768"/>
        <v>0</v>
      </c>
      <c r="Y3270" s="52">
        <f t="shared" si="769"/>
        <v>0</v>
      </c>
    </row>
    <row r="3271" spans="1:25" x14ac:dyDescent="0.25">
      <c r="A3271" s="1218" t="s">
        <v>149</v>
      </c>
      <c r="B3271" s="98">
        <v>46054</v>
      </c>
      <c r="C3271" s="117" t="str">
        <f t="shared" si="756"/>
        <v>5L</v>
      </c>
      <c r="F3271" s="99">
        <f t="shared" si="755"/>
        <v>0</v>
      </c>
      <c r="I3271" s="99">
        <f t="shared" si="754"/>
        <v>0</v>
      </c>
      <c r="L3271" s="99">
        <f t="shared" si="758"/>
        <v>0</v>
      </c>
      <c r="M3271" s="44" t="str">
        <f t="shared" si="760"/>
        <v/>
      </c>
      <c r="N3271" s="100">
        <f t="shared" si="761"/>
        <v>0</v>
      </c>
      <c r="O3271" s="101">
        <f t="shared" si="762"/>
        <v>0</v>
      </c>
      <c r="P3271" s="52">
        <f t="shared" si="763"/>
        <v>0</v>
      </c>
      <c r="Q3271" s="49">
        <v>116.88487613461319</v>
      </c>
      <c r="R3271">
        <v>2225</v>
      </c>
      <c r="S3271" s="50">
        <f t="shared" si="759"/>
        <v>71535.307499999995</v>
      </c>
      <c r="T3271" s="50">
        <f t="shared" si="764"/>
        <v>0</v>
      </c>
      <c r="U3271" s="58">
        <f t="shared" si="765"/>
        <v>0</v>
      </c>
      <c r="V3271" s="58">
        <f t="shared" si="766"/>
        <v>0</v>
      </c>
      <c r="W3271" s="58">
        <f t="shared" si="767"/>
        <v>0</v>
      </c>
      <c r="X3271" s="58">
        <f t="shared" si="768"/>
        <v>0</v>
      </c>
      <c r="Y3271" s="52">
        <f t="shared" si="769"/>
        <v>0</v>
      </c>
    </row>
    <row r="3272" spans="1:25" x14ac:dyDescent="0.25">
      <c r="A3272" s="1218" t="s">
        <v>150</v>
      </c>
      <c r="B3272" s="98">
        <v>46054</v>
      </c>
      <c r="C3272" s="117" t="str">
        <f t="shared" si="756"/>
        <v>6L</v>
      </c>
      <c r="F3272" s="99">
        <f t="shared" si="755"/>
        <v>0</v>
      </c>
      <c r="I3272" s="99">
        <f t="shared" ref="I3272:I3324" si="770">IFERROR(G3272*H3272/1000,"")</f>
        <v>0</v>
      </c>
      <c r="L3272" s="99">
        <f t="shared" si="758"/>
        <v>0</v>
      </c>
      <c r="M3272" s="44" t="str">
        <f t="shared" si="760"/>
        <v/>
      </c>
      <c r="N3272" s="100">
        <f t="shared" si="761"/>
        <v>0</v>
      </c>
      <c r="O3272" s="101">
        <f t="shared" si="762"/>
        <v>0</v>
      </c>
      <c r="P3272" s="52">
        <f t="shared" si="763"/>
        <v>0</v>
      </c>
      <c r="Q3272" s="49">
        <v>116.88487613461319</v>
      </c>
      <c r="R3272">
        <v>2225</v>
      </c>
      <c r="S3272" s="50">
        <f t="shared" si="759"/>
        <v>71535.307499999995</v>
      </c>
      <c r="T3272" s="50">
        <f t="shared" si="764"/>
        <v>0</v>
      </c>
      <c r="U3272" s="58">
        <f t="shared" si="765"/>
        <v>0</v>
      </c>
      <c r="V3272" s="58">
        <f t="shared" si="766"/>
        <v>0</v>
      </c>
      <c r="W3272" s="58">
        <f t="shared" si="767"/>
        <v>0</v>
      </c>
      <c r="X3272" s="58">
        <f t="shared" si="768"/>
        <v>0</v>
      </c>
      <c r="Y3272" s="52">
        <f t="shared" si="769"/>
        <v>0</v>
      </c>
    </row>
    <row r="3273" spans="1:25" x14ac:dyDescent="0.25">
      <c r="A3273" s="1218" t="s">
        <v>151</v>
      </c>
      <c r="B3273" s="98">
        <v>46054</v>
      </c>
      <c r="C3273" s="117" t="str">
        <f t="shared" si="756"/>
        <v>6L</v>
      </c>
      <c r="F3273" s="99">
        <f t="shared" si="755"/>
        <v>0</v>
      </c>
      <c r="I3273" s="99">
        <f t="shared" si="770"/>
        <v>0</v>
      </c>
      <c r="L3273" s="99">
        <f t="shared" si="758"/>
        <v>0</v>
      </c>
      <c r="M3273" s="44" t="str">
        <f t="shared" si="760"/>
        <v/>
      </c>
      <c r="N3273" s="100">
        <f t="shared" si="761"/>
        <v>0</v>
      </c>
      <c r="O3273" s="101">
        <f t="shared" si="762"/>
        <v>0</v>
      </c>
      <c r="P3273" s="52">
        <f t="shared" si="763"/>
        <v>0</v>
      </c>
      <c r="Q3273" s="49">
        <v>116.88487613461319</v>
      </c>
      <c r="R3273">
        <v>2225</v>
      </c>
      <c r="S3273" s="50">
        <f t="shared" si="759"/>
        <v>71535.307499999995</v>
      </c>
      <c r="T3273" s="50">
        <f t="shared" si="764"/>
        <v>0</v>
      </c>
      <c r="U3273" s="58">
        <f t="shared" si="765"/>
        <v>0</v>
      </c>
      <c r="V3273" s="58">
        <f t="shared" si="766"/>
        <v>0</v>
      </c>
      <c r="W3273" s="58">
        <f t="shared" si="767"/>
        <v>0</v>
      </c>
      <c r="X3273" s="58">
        <f t="shared" si="768"/>
        <v>0</v>
      </c>
      <c r="Y3273" s="52">
        <f t="shared" si="769"/>
        <v>0</v>
      </c>
    </row>
    <row r="3274" spans="1:25" x14ac:dyDescent="0.25">
      <c r="A3274" s="1218" t="s">
        <v>152</v>
      </c>
      <c r="B3274" s="98">
        <v>46054</v>
      </c>
      <c r="C3274" s="117" t="str">
        <f t="shared" si="756"/>
        <v>6L</v>
      </c>
      <c r="F3274" s="99">
        <f t="shared" si="755"/>
        <v>0</v>
      </c>
      <c r="I3274" s="99">
        <f t="shared" si="770"/>
        <v>0</v>
      </c>
      <c r="L3274" s="99"/>
      <c r="M3274" s="44"/>
      <c r="N3274" s="100"/>
      <c r="O3274" s="101"/>
      <c r="P3274" s="52"/>
      <c r="Q3274" s="49"/>
      <c r="S3274" s="50"/>
      <c r="T3274" s="50"/>
      <c r="U3274" s="58"/>
      <c r="V3274" s="58"/>
      <c r="W3274" s="58"/>
      <c r="X3274" s="58"/>
      <c r="Y3274" s="52"/>
    </row>
    <row r="3275" spans="1:25" x14ac:dyDescent="0.25">
      <c r="A3275" s="1218" t="s">
        <v>153</v>
      </c>
      <c r="B3275" s="98">
        <v>46054</v>
      </c>
      <c r="C3275" s="117" t="str">
        <f t="shared" si="756"/>
        <v>6L</v>
      </c>
      <c r="F3275" s="99">
        <f t="shared" si="755"/>
        <v>0</v>
      </c>
      <c r="I3275" s="99">
        <f t="shared" si="770"/>
        <v>0</v>
      </c>
      <c r="L3275" s="99"/>
      <c r="M3275" s="44"/>
      <c r="N3275" s="100"/>
      <c r="O3275" s="101"/>
      <c r="P3275" s="52"/>
      <c r="Q3275" s="49"/>
      <c r="S3275" s="50"/>
      <c r="T3275" s="50"/>
      <c r="U3275" s="58"/>
      <c r="V3275" s="58"/>
      <c r="W3275" s="58"/>
      <c r="X3275" s="58"/>
      <c r="Y3275" s="52"/>
    </row>
    <row r="3276" spans="1:25" x14ac:dyDescent="0.25">
      <c r="A3276" s="1218" t="s">
        <v>154</v>
      </c>
      <c r="B3276" s="98">
        <v>46054</v>
      </c>
      <c r="C3276" s="117" t="str">
        <f t="shared" si="756"/>
        <v>6L</v>
      </c>
      <c r="F3276" s="99">
        <f t="shared" si="755"/>
        <v>0</v>
      </c>
      <c r="I3276" s="99">
        <f t="shared" si="770"/>
        <v>0</v>
      </c>
      <c r="L3276" s="99"/>
      <c r="M3276" s="44"/>
      <c r="N3276" s="100"/>
      <c r="O3276" s="101"/>
      <c r="P3276" s="52"/>
      <c r="Q3276" s="49"/>
      <c r="S3276" s="50"/>
      <c r="T3276" s="50"/>
      <c r="U3276" s="58"/>
      <c r="V3276" s="58"/>
      <c r="W3276" s="58"/>
      <c r="X3276" s="58"/>
      <c r="Y3276" s="52"/>
    </row>
    <row r="3277" spans="1:25" x14ac:dyDescent="0.25">
      <c r="A3277" s="1218" t="s">
        <v>155</v>
      </c>
      <c r="B3277" s="98">
        <v>46054</v>
      </c>
      <c r="C3277" s="117" t="str">
        <f t="shared" si="756"/>
        <v>6L</v>
      </c>
      <c r="F3277" s="99">
        <f t="shared" si="755"/>
        <v>0</v>
      </c>
      <c r="I3277" s="99">
        <f t="shared" si="770"/>
        <v>0</v>
      </c>
      <c r="L3277" s="99">
        <f t="shared" si="758"/>
        <v>0</v>
      </c>
      <c r="M3277" s="44" t="str">
        <f t="shared" si="760"/>
        <v/>
      </c>
      <c r="N3277" s="100">
        <f t="shared" si="761"/>
        <v>0</v>
      </c>
      <c r="O3277" s="101">
        <f t="shared" si="762"/>
        <v>0</v>
      </c>
      <c r="P3277" s="52">
        <f t="shared" si="763"/>
        <v>0</v>
      </c>
      <c r="Q3277" s="49">
        <v>116.88487613461319</v>
      </c>
      <c r="R3277">
        <v>2225</v>
      </c>
      <c r="S3277" s="50">
        <f t="shared" si="759"/>
        <v>71535.307499999995</v>
      </c>
      <c r="T3277" s="50">
        <f t="shared" si="764"/>
        <v>0</v>
      </c>
      <c r="U3277" s="58">
        <f t="shared" si="765"/>
        <v>0</v>
      </c>
      <c r="V3277" s="58">
        <f t="shared" si="766"/>
        <v>0</v>
      </c>
      <c r="W3277" s="58">
        <f t="shared" si="767"/>
        <v>0</v>
      </c>
      <c r="X3277" s="58">
        <f t="shared" si="768"/>
        <v>0</v>
      </c>
      <c r="Y3277" s="52">
        <f t="shared" si="769"/>
        <v>0</v>
      </c>
    </row>
    <row r="3278" spans="1:25" x14ac:dyDescent="0.25">
      <c r="A3278" s="1218" t="s">
        <v>156</v>
      </c>
      <c r="B3278" s="98">
        <v>46054</v>
      </c>
      <c r="C3278" s="117" t="str">
        <f t="shared" si="756"/>
        <v>6L</v>
      </c>
      <c r="F3278" s="99">
        <f t="shared" si="755"/>
        <v>0</v>
      </c>
      <c r="I3278" s="99">
        <f t="shared" si="770"/>
        <v>0</v>
      </c>
      <c r="L3278" s="99"/>
      <c r="M3278" s="44"/>
      <c r="N3278" s="100"/>
      <c r="O3278" s="101"/>
      <c r="P3278" s="52"/>
      <c r="Q3278" s="49"/>
      <c r="S3278" s="50"/>
      <c r="T3278" s="50"/>
      <c r="U3278" s="58"/>
      <c r="V3278" s="58"/>
      <c r="W3278" s="58"/>
      <c r="X3278" s="58"/>
      <c r="Y3278" s="52"/>
    </row>
    <row r="3279" spans="1:25" x14ac:dyDescent="0.25">
      <c r="A3279" s="1218" t="s">
        <v>157</v>
      </c>
      <c r="B3279" s="98">
        <v>46054</v>
      </c>
      <c r="C3279" s="117" t="str">
        <f t="shared" si="756"/>
        <v>6L</v>
      </c>
      <c r="F3279" s="99">
        <f t="shared" si="755"/>
        <v>0</v>
      </c>
      <c r="I3279" s="99">
        <f t="shared" si="770"/>
        <v>0</v>
      </c>
      <c r="L3279" s="99">
        <f t="shared" si="758"/>
        <v>0</v>
      </c>
      <c r="M3279" s="44" t="str">
        <f t="shared" si="760"/>
        <v/>
      </c>
      <c r="N3279" s="100">
        <f t="shared" si="761"/>
        <v>0</v>
      </c>
      <c r="O3279" s="101">
        <f t="shared" si="762"/>
        <v>0</v>
      </c>
      <c r="P3279" s="52">
        <f t="shared" si="763"/>
        <v>0</v>
      </c>
      <c r="Q3279" s="49">
        <v>116.88487613461319</v>
      </c>
      <c r="R3279">
        <v>2225</v>
      </c>
      <c r="S3279" s="50">
        <f t="shared" si="759"/>
        <v>71535.307499999995</v>
      </c>
      <c r="T3279" s="50">
        <f t="shared" si="764"/>
        <v>0</v>
      </c>
      <c r="U3279" s="58">
        <f t="shared" si="765"/>
        <v>0</v>
      </c>
      <c r="V3279" s="58">
        <f t="shared" si="766"/>
        <v>0</v>
      </c>
      <c r="W3279" s="58">
        <f t="shared" si="767"/>
        <v>0</v>
      </c>
      <c r="X3279" s="58">
        <f t="shared" si="768"/>
        <v>0</v>
      </c>
      <c r="Y3279" s="52">
        <f t="shared" si="769"/>
        <v>0</v>
      </c>
    </row>
    <row r="3280" spans="1:25" x14ac:dyDescent="0.25">
      <c r="A3280" s="1218" t="s">
        <v>158</v>
      </c>
      <c r="B3280" s="98">
        <v>46054</v>
      </c>
      <c r="C3280" s="117" t="str">
        <f t="shared" si="756"/>
        <v>6L</v>
      </c>
      <c r="F3280" s="99">
        <f t="shared" si="755"/>
        <v>0</v>
      </c>
      <c r="I3280" s="99">
        <f t="shared" si="770"/>
        <v>0</v>
      </c>
      <c r="L3280" s="99">
        <f t="shared" si="758"/>
        <v>0</v>
      </c>
      <c r="M3280" s="44" t="str">
        <f t="shared" si="760"/>
        <v/>
      </c>
      <c r="N3280" s="100">
        <f t="shared" si="761"/>
        <v>0</v>
      </c>
      <c r="O3280" s="101">
        <f t="shared" si="762"/>
        <v>0</v>
      </c>
      <c r="P3280" s="52">
        <f t="shared" si="763"/>
        <v>0</v>
      </c>
      <c r="Q3280" s="49">
        <v>116.88487613461319</v>
      </c>
      <c r="R3280">
        <v>2225</v>
      </c>
      <c r="S3280" s="50">
        <f t="shared" si="759"/>
        <v>71535.307499999995</v>
      </c>
      <c r="T3280" s="50">
        <f t="shared" si="764"/>
        <v>0</v>
      </c>
      <c r="U3280" s="58">
        <f t="shared" si="765"/>
        <v>0</v>
      </c>
      <c r="V3280" s="58">
        <f t="shared" si="766"/>
        <v>0</v>
      </c>
      <c r="W3280" s="58">
        <f t="shared" si="767"/>
        <v>0</v>
      </c>
      <c r="X3280" s="58">
        <f t="shared" si="768"/>
        <v>0</v>
      </c>
      <c r="Y3280" s="52">
        <f t="shared" si="769"/>
        <v>0</v>
      </c>
    </row>
    <row r="3281" spans="1:25" x14ac:dyDescent="0.25">
      <c r="A3281" s="1218" t="s">
        <v>159</v>
      </c>
      <c r="B3281" s="98">
        <v>46054</v>
      </c>
      <c r="C3281" s="117" t="str">
        <f t="shared" si="756"/>
        <v>6L</v>
      </c>
      <c r="F3281" s="99">
        <f t="shared" si="755"/>
        <v>0</v>
      </c>
      <c r="I3281" s="99">
        <f t="shared" si="770"/>
        <v>0</v>
      </c>
      <c r="L3281" s="99">
        <f t="shared" si="758"/>
        <v>0</v>
      </c>
      <c r="M3281" s="44" t="str">
        <f t="shared" si="760"/>
        <v/>
      </c>
      <c r="N3281" s="100">
        <f t="shared" si="761"/>
        <v>0</v>
      </c>
      <c r="O3281" s="101">
        <f t="shared" si="762"/>
        <v>0</v>
      </c>
      <c r="P3281" s="52">
        <f t="shared" si="763"/>
        <v>0</v>
      </c>
      <c r="Q3281" s="49">
        <v>116.88487613461319</v>
      </c>
      <c r="R3281">
        <v>2225</v>
      </c>
      <c r="S3281" s="50">
        <f t="shared" si="759"/>
        <v>71535.307499999995</v>
      </c>
      <c r="T3281" s="50">
        <f t="shared" si="764"/>
        <v>0</v>
      </c>
      <c r="U3281" s="58">
        <f t="shared" si="765"/>
        <v>0</v>
      </c>
      <c r="V3281" s="58">
        <f t="shared" si="766"/>
        <v>0</v>
      </c>
      <c r="W3281" s="58">
        <f t="shared" si="767"/>
        <v>0</v>
      </c>
      <c r="X3281" s="58">
        <f t="shared" si="768"/>
        <v>0</v>
      </c>
      <c r="Y3281" s="52">
        <f t="shared" si="769"/>
        <v>0</v>
      </c>
    </row>
    <row r="3282" spans="1:25" x14ac:dyDescent="0.25">
      <c r="A3282" s="1218" t="s">
        <v>160</v>
      </c>
      <c r="B3282" s="98">
        <v>46054</v>
      </c>
      <c r="C3282" s="117" t="str">
        <f t="shared" si="756"/>
        <v>6L</v>
      </c>
      <c r="F3282" s="99">
        <f t="shared" ref="F3282:F3329" si="771">IFERROR(D3282*E3282/1000,"")</f>
        <v>0</v>
      </c>
      <c r="I3282" s="99">
        <f t="shared" si="770"/>
        <v>0</v>
      </c>
      <c r="L3282" s="99">
        <f t="shared" si="758"/>
        <v>0</v>
      </c>
      <c r="M3282" s="44" t="str">
        <f t="shared" si="760"/>
        <v/>
      </c>
      <c r="N3282" s="100">
        <f t="shared" si="761"/>
        <v>0</v>
      </c>
      <c r="O3282" s="101">
        <f t="shared" si="762"/>
        <v>0</v>
      </c>
      <c r="P3282" s="52">
        <f t="shared" si="763"/>
        <v>0</v>
      </c>
      <c r="Q3282" s="49">
        <v>116.88487613461319</v>
      </c>
      <c r="R3282">
        <v>2225</v>
      </c>
      <c r="S3282" s="50">
        <f t="shared" si="759"/>
        <v>71535.307499999995</v>
      </c>
      <c r="T3282" s="50">
        <f t="shared" si="764"/>
        <v>0</v>
      </c>
      <c r="U3282" s="58">
        <f t="shared" si="765"/>
        <v>0</v>
      </c>
      <c r="V3282" s="58">
        <f t="shared" si="766"/>
        <v>0</v>
      </c>
      <c r="W3282" s="58">
        <f t="shared" si="767"/>
        <v>0</v>
      </c>
      <c r="X3282" s="58">
        <f t="shared" si="768"/>
        <v>0</v>
      </c>
      <c r="Y3282" s="52">
        <f t="shared" si="769"/>
        <v>0</v>
      </c>
    </row>
    <row r="3283" spans="1:25" x14ac:dyDescent="0.25">
      <c r="A3283" s="1218" t="s">
        <v>161</v>
      </c>
      <c r="B3283" s="98">
        <v>46054</v>
      </c>
      <c r="C3283" s="117" t="str">
        <f t="shared" si="756"/>
        <v>6L</v>
      </c>
      <c r="F3283" s="99">
        <f t="shared" si="771"/>
        <v>0</v>
      </c>
      <c r="I3283" s="99">
        <f t="shared" si="770"/>
        <v>0</v>
      </c>
      <c r="L3283" s="99">
        <f t="shared" si="758"/>
        <v>0</v>
      </c>
      <c r="M3283" s="44" t="str">
        <f t="shared" si="760"/>
        <v/>
      </c>
      <c r="N3283" s="100">
        <f t="shared" si="761"/>
        <v>0</v>
      </c>
      <c r="O3283" s="101">
        <f t="shared" si="762"/>
        <v>0</v>
      </c>
      <c r="P3283" s="52">
        <f t="shared" si="763"/>
        <v>0</v>
      </c>
      <c r="Q3283" s="49">
        <v>116.88487613461319</v>
      </c>
      <c r="R3283">
        <v>2225</v>
      </c>
      <c r="S3283" s="50">
        <f t="shared" si="759"/>
        <v>71535.307499999995</v>
      </c>
      <c r="T3283" s="50">
        <f t="shared" si="764"/>
        <v>0</v>
      </c>
      <c r="U3283" s="58">
        <f t="shared" si="765"/>
        <v>0</v>
      </c>
      <c r="V3283" s="58">
        <f t="shared" si="766"/>
        <v>0</v>
      </c>
      <c r="W3283" s="58">
        <f t="shared" si="767"/>
        <v>0</v>
      </c>
      <c r="X3283" s="58">
        <f t="shared" si="768"/>
        <v>0</v>
      </c>
      <c r="Y3283" s="52">
        <f t="shared" si="769"/>
        <v>0</v>
      </c>
    </row>
    <row r="3284" spans="1:25" x14ac:dyDescent="0.25">
      <c r="A3284" s="1218" t="s">
        <v>162</v>
      </c>
      <c r="B3284" s="98">
        <v>46054</v>
      </c>
      <c r="C3284" s="117" t="str">
        <f t="shared" si="756"/>
        <v>6L</v>
      </c>
      <c r="F3284" s="99">
        <f t="shared" si="771"/>
        <v>0</v>
      </c>
      <c r="I3284" s="99">
        <f t="shared" si="770"/>
        <v>0</v>
      </c>
      <c r="L3284" s="99">
        <f t="shared" si="758"/>
        <v>0</v>
      </c>
      <c r="M3284" s="44" t="str">
        <f t="shared" si="760"/>
        <v/>
      </c>
      <c r="N3284" s="100">
        <f t="shared" si="761"/>
        <v>0</v>
      </c>
      <c r="O3284" s="101">
        <f t="shared" si="762"/>
        <v>0</v>
      </c>
      <c r="P3284" s="52">
        <f t="shared" si="763"/>
        <v>0</v>
      </c>
      <c r="Q3284" s="49">
        <v>116.88487613461319</v>
      </c>
      <c r="R3284">
        <v>2225</v>
      </c>
      <c r="S3284" s="50">
        <f t="shared" si="759"/>
        <v>71535.307499999995</v>
      </c>
      <c r="T3284" s="50">
        <f t="shared" si="764"/>
        <v>0</v>
      </c>
      <c r="U3284" s="58">
        <f t="shared" si="765"/>
        <v>0</v>
      </c>
      <c r="V3284" s="58">
        <f t="shared" si="766"/>
        <v>0</v>
      </c>
      <c r="W3284" s="58">
        <f t="shared" si="767"/>
        <v>0</v>
      </c>
      <c r="X3284" s="58">
        <f t="shared" si="768"/>
        <v>0</v>
      </c>
      <c r="Y3284" s="52">
        <f t="shared" si="769"/>
        <v>0</v>
      </c>
    </row>
    <row r="3285" spans="1:25" x14ac:dyDescent="0.25">
      <c r="A3285" s="1218" t="s">
        <v>163</v>
      </c>
      <c r="B3285" s="98">
        <v>46054</v>
      </c>
      <c r="C3285" s="117" t="str">
        <f t="shared" si="756"/>
        <v>6L</v>
      </c>
      <c r="F3285" s="99">
        <f t="shared" si="771"/>
        <v>0</v>
      </c>
      <c r="I3285" s="99">
        <f t="shared" si="770"/>
        <v>0</v>
      </c>
      <c r="L3285" s="99">
        <f t="shared" si="758"/>
        <v>0</v>
      </c>
      <c r="M3285" s="44" t="str">
        <f t="shared" si="760"/>
        <v/>
      </c>
      <c r="N3285" s="100">
        <f t="shared" si="761"/>
        <v>0</v>
      </c>
      <c r="O3285" s="101">
        <f t="shared" si="762"/>
        <v>0</v>
      </c>
      <c r="P3285" s="52">
        <f t="shared" si="763"/>
        <v>0</v>
      </c>
      <c r="Q3285" s="49">
        <v>116.88487613461319</v>
      </c>
      <c r="R3285">
        <v>2225</v>
      </c>
      <c r="S3285" s="50">
        <f t="shared" si="759"/>
        <v>71535.307499999995</v>
      </c>
      <c r="T3285" s="50">
        <f t="shared" si="764"/>
        <v>0</v>
      </c>
      <c r="U3285" s="58">
        <f t="shared" si="765"/>
        <v>0</v>
      </c>
      <c r="V3285" s="58">
        <f t="shared" si="766"/>
        <v>0</v>
      </c>
      <c r="W3285" s="58">
        <f t="shared" si="767"/>
        <v>0</v>
      </c>
      <c r="X3285" s="58">
        <f t="shared" si="768"/>
        <v>0</v>
      </c>
      <c r="Y3285" s="52">
        <f t="shared" si="769"/>
        <v>0</v>
      </c>
    </row>
    <row r="3286" spans="1:25" x14ac:dyDescent="0.25">
      <c r="A3286" s="1218" t="s">
        <v>164</v>
      </c>
      <c r="B3286" s="98">
        <v>46054</v>
      </c>
      <c r="C3286" s="117" t="str">
        <f t="shared" si="756"/>
        <v>6L</v>
      </c>
      <c r="F3286" s="99">
        <f t="shared" si="771"/>
        <v>0</v>
      </c>
      <c r="I3286" s="99">
        <f t="shared" si="770"/>
        <v>0</v>
      </c>
      <c r="L3286" s="99">
        <f t="shared" si="758"/>
        <v>0</v>
      </c>
      <c r="M3286" s="44" t="str">
        <f t="shared" si="760"/>
        <v/>
      </c>
      <c r="N3286" s="100">
        <f t="shared" si="761"/>
        <v>0</v>
      </c>
      <c r="O3286" s="101">
        <f t="shared" si="762"/>
        <v>0</v>
      </c>
      <c r="P3286" s="52">
        <f t="shared" si="763"/>
        <v>0</v>
      </c>
      <c r="Q3286" s="49">
        <v>116.88487613461319</v>
      </c>
      <c r="R3286">
        <v>2225</v>
      </c>
      <c r="S3286" s="50">
        <f t="shared" si="759"/>
        <v>71535.307499999995</v>
      </c>
      <c r="T3286" s="50">
        <f t="shared" si="764"/>
        <v>0</v>
      </c>
      <c r="U3286" s="58">
        <f t="shared" si="765"/>
        <v>0</v>
      </c>
      <c r="V3286" s="58">
        <f t="shared" si="766"/>
        <v>0</v>
      </c>
      <c r="W3286" s="58">
        <f t="shared" si="767"/>
        <v>0</v>
      </c>
      <c r="X3286" s="58">
        <f t="shared" si="768"/>
        <v>0</v>
      </c>
      <c r="Y3286" s="52">
        <f t="shared" si="769"/>
        <v>0</v>
      </c>
    </row>
    <row r="3287" spans="1:25" x14ac:dyDescent="0.25">
      <c r="A3287" s="1218" t="s">
        <v>165</v>
      </c>
      <c r="B3287" s="98">
        <v>46054</v>
      </c>
      <c r="C3287" s="117" t="str">
        <f t="shared" si="756"/>
        <v>6L</v>
      </c>
      <c r="F3287" s="99">
        <f t="shared" si="771"/>
        <v>0</v>
      </c>
      <c r="I3287" s="99">
        <f t="shared" si="770"/>
        <v>0</v>
      </c>
      <c r="L3287" s="99">
        <f t="shared" si="758"/>
        <v>0</v>
      </c>
      <c r="M3287" s="44" t="str">
        <f t="shared" si="760"/>
        <v/>
      </c>
      <c r="N3287" s="100">
        <f t="shared" si="761"/>
        <v>0</v>
      </c>
      <c r="O3287" s="101">
        <f t="shared" si="762"/>
        <v>0</v>
      </c>
      <c r="P3287" s="52">
        <f t="shared" si="763"/>
        <v>0</v>
      </c>
      <c r="Q3287" s="49">
        <v>116.88487613461319</v>
      </c>
      <c r="R3287">
        <v>2225</v>
      </c>
      <c r="S3287" s="50">
        <f t="shared" si="759"/>
        <v>71535.307499999995</v>
      </c>
      <c r="T3287" s="50">
        <f t="shared" si="764"/>
        <v>0</v>
      </c>
      <c r="U3287" s="58">
        <f t="shared" si="765"/>
        <v>0</v>
      </c>
      <c r="V3287" s="58">
        <f t="shared" si="766"/>
        <v>0</v>
      </c>
      <c r="W3287" s="58">
        <f t="shared" si="767"/>
        <v>0</v>
      </c>
      <c r="X3287" s="58">
        <f t="shared" si="768"/>
        <v>0</v>
      </c>
      <c r="Y3287" s="52">
        <f t="shared" si="769"/>
        <v>0</v>
      </c>
    </row>
    <row r="3288" spans="1:25" x14ac:dyDescent="0.25">
      <c r="A3288" s="1218" t="s">
        <v>166</v>
      </c>
      <c r="B3288" s="98">
        <v>46054</v>
      </c>
      <c r="C3288" s="117" t="str">
        <f t="shared" si="756"/>
        <v>6L</v>
      </c>
      <c r="F3288" s="99">
        <f t="shared" si="771"/>
        <v>0</v>
      </c>
      <c r="I3288" s="99">
        <f t="shared" si="770"/>
        <v>0</v>
      </c>
      <c r="L3288" s="99">
        <f t="shared" si="758"/>
        <v>0</v>
      </c>
      <c r="M3288" s="44" t="str">
        <f t="shared" si="760"/>
        <v/>
      </c>
      <c r="N3288" s="100">
        <f t="shared" si="761"/>
        <v>0</v>
      </c>
      <c r="O3288" s="101">
        <f t="shared" si="762"/>
        <v>0</v>
      </c>
      <c r="P3288" s="52">
        <f t="shared" si="763"/>
        <v>0</v>
      </c>
      <c r="Q3288" s="49">
        <v>116.88487613461319</v>
      </c>
      <c r="R3288">
        <v>2225</v>
      </c>
      <c r="S3288" s="50">
        <f t="shared" si="759"/>
        <v>71535.307499999995</v>
      </c>
      <c r="T3288" s="50">
        <f t="shared" si="764"/>
        <v>0</v>
      </c>
      <c r="U3288" s="58">
        <f t="shared" si="765"/>
        <v>0</v>
      </c>
      <c r="V3288" s="58">
        <f t="shared" si="766"/>
        <v>0</v>
      </c>
      <c r="W3288" s="58">
        <f t="shared" si="767"/>
        <v>0</v>
      </c>
      <c r="X3288" s="58">
        <f t="shared" si="768"/>
        <v>0</v>
      </c>
      <c r="Y3288" s="52">
        <f t="shared" si="769"/>
        <v>0</v>
      </c>
    </row>
    <row r="3289" spans="1:25" x14ac:dyDescent="0.25">
      <c r="A3289" s="1218" t="s">
        <v>167</v>
      </c>
      <c r="B3289" s="98">
        <v>46054</v>
      </c>
      <c r="C3289" s="117" t="str">
        <f t="shared" si="756"/>
        <v>6L</v>
      </c>
      <c r="F3289" s="99">
        <f t="shared" si="771"/>
        <v>0</v>
      </c>
      <c r="I3289" s="99">
        <f t="shared" si="770"/>
        <v>0</v>
      </c>
      <c r="L3289" s="99">
        <f t="shared" si="758"/>
        <v>0</v>
      </c>
      <c r="M3289" s="44" t="str">
        <f t="shared" si="760"/>
        <v/>
      </c>
      <c r="N3289" s="100">
        <f t="shared" si="761"/>
        <v>0</v>
      </c>
      <c r="O3289" s="101">
        <f t="shared" si="762"/>
        <v>0</v>
      </c>
      <c r="P3289" s="52">
        <f t="shared" si="763"/>
        <v>0</v>
      </c>
      <c r="Q3289" s="49">
        <v>116.88487613461319</v>
      </c>
      <c r="R3289">
        <v>2225</v>
      </c>
      <c r="S3289" s="50">
        <f t="shared" si="759"/>
        <v>71535.307499999995</v>
      </c>
      <c r="T3289" s="50">
        <f t="shared" si="764"/>
        <v>0</v>
      </c>
      <c r="U3289" s="58">
        <f t="shared" si="765"/>
        <v>0</v>
      </c>
      <c r="V3289" s="58">
        <f t="shared" si="766"/>
        <v>0</v>
      </c>
      <c r="W3289" s="58">
        <f t="shared" si="767"/>
        <v>0</v>
      </c>
      <c r="X3289" s="58">
        <f t="shared" si="768"/>
        <v>0</v>
      </c>
      <c r="Y3289" s="52">
        <f t="shared" si="769"/>
        <v>0</v>
      </c>
    </row>
    <row r="3290" spans="1:25" x14ac:dyDescent="0.25">
      <c r="A3290" s="1218" t="s">
        <v>168</v>
      </c>
      <c r="B3290" s="98">
        <v>46054</v>
      </c>
      <c r="C3290" s="117" t="str">
        <f t="shared" si="756"/>
        <v>6L</v>
      </c>
      <c r="F3290" s="99">
        <f t="shared" si="771"/>
        <v>0</v>
      </c>
      <c r="I3290" s="99">
        <f t="shared" si="770"/>
        <v>0</v>
      </c>
      <c r="L3290" s="99">
        <f t="shared" si="758"/>
        <v>0</v>
      </c>
      <c r="M3290" s="44" t="str">
        <f t="shared" si="760"/>
        <v/>
      </c>
      <c r="N3290" s="100">
        <f t="shared" si="761"/>
        <v>0</v>
      </c>
      <c r="O3290" s="101">
        <f t="shared" si="762"/>
        <v>0</v>
      </c>
      <c r="P3290" s="52">
        <f t="shared" si="763"/>
        <v>0</v>
      </c>
      <c r="Q3290" s="49">
        <v>116.88487613461319</v>
      </c>
      <c r="R3290">
        <v>2225</v>
      </c>
      <c r="S3290" s="50">
        <f t="shared" si="759"/>
        <v>71535.307499999995</v>
      </c>
      <c r="T3290" s="50">
        <f t="shared" si="764"/>
        <v>0</v>
      </c>
      <c r="U3290" s="58">
        <f t="shared" si="765"/>
        <v>0</v>
      </c>
      <c r="V3290" s="58">
        <f t="shared" si="766"/>
        <v>0</v>
      </c>
      <c r="W3290" s="58">
        <f t="shared" si="767"/>
        <v>0</v>
      </c>
      <c r="X3290" s="58">
        <f t="shared" si="768"/>
        <v>0</v>
      </c>
      <c r="Y3290" s="52">
        <f t="shared" si="769"/>
        <v>0</v>
      </c>
    </row>
    <row r="3291" spans="1:25" x14ac:dyDescent="0.25">
      <c r="A3291" s="1218" t="s">
        <v>169</v>
      </c>
      <c r="B3291" s="98">
        <v>46054</v>
      </c>
      <c r="C3291" s="117" t="str">
        <f t="shared" si="756"/>
        <v>6L</v>
      </c>
      <c r="F3291" s="99">
        <f t="shared" si="771"/>
        <v>0</v>
      </c>
      <c r="I3291" s="99">
        <f t="shared" si="770"/>
        <v>0</v>
      </c>
      <c r="L3291" s="99">
        <f t="shared" si="758"/>
        <v>0</v>
      </c>
      <c r="M3291" s="44" t="str">
        <f t="shared" si="760"/>
        <v/>
      </c>
      <c r="N3291" s="100">
        <f t="shared" si="761"/>
        <v>0</v>
      </c>
      <c r="O3291" s="101">
        <f t="shared" si="762"/>
        <v>0</v>
      </c>
      <c r="P3291" s="52">
        <f t="shared" si="763"/>
        <v>0</v>
      </c>
      <c r="Q3291" s="49">
        <v>116.88487613461319</v>
      </c>
      <c r="R3291">
        <v>2225</v>
      </c>
      <c r="S3291" s="50">
        <f t="shared" si="759"/>
        <v>71535.307499999995</v>
      </c>
      <c r="T3291" s="50">
        <f t="shared" si="764"/>
        <v>0</v>
      </c>
      <c r="U3291" s="58">
        <f t="shared" si="765"/>
        <v>0</v>
      </c>
      <c r="V3291" s="58">
        <f t="shared" si="766"/>
        <v>0</v>
      </c>
      <c r="W3291" s="58">
        <f t="shared" si="767"/>
        <v>0</v>
      </c>
      <c r="X3291" s="58">
        <f t="shared" si="768"/>
        <v>0</v>
      </c>
      <c r="Y3291" s="52">
        <f t="shared" si="769"/>
        <v>0</v>
      </c>
    </row>
    <row r="3292" spans="1:25" x14ac:dyDescent="0.25">
      <c r="A3292" s="1218" t="s">
        <v>170</v>
      </c>
      <c r="B3292" s="98">
        <v>46054</v>
      </c>
      <c r="C3292" s="117" t="str">
        <f t="shared" si="756"/>
        <v>6L</v>
      </c>
      <c r="F3292" s="99">
        <f t="shared" si="771"/>
        <v>0</v>
      </c>
      <c r="I3292" s="99">
        <f t="shared" si="770"/>
        <v>0</v>
      </c>
      <c r="L3292" s="99">
        <f t="shared" si="758"/>
        <v>0</v>
      </c>
      <c r="M3292" s="44" t="str">
        <f t="shared" si="760"/>
        <v/>
      </c>
      <c r="N3292" s="100">
        <f t="shared" si="761"/>
        <v>0</v>
      </c>
      <c r="O3292" s="101">
        <f t="shared" si="762"/>
        <v>0</v>
      </c>
      <c r="P3292" s="52">
        <f t="shared" si="763"/>
        <v>0</v>
      </c>
      <c r="Q3292" s="49">
        <v>116.88487613461319</v>
      </c>
      <c r="R3292">
        <v>2225</v>
      </c>
      <c r="S3292" s="50">
        <f t="shared" si="759"/>
        <v>71535.307499999995</v>
      </c>
      <c r="T3292" s="50">
        <f t="shared" si="764"/>
        <v>0</v>
      </c>
      <c r="U3292" s="58">
        <f t="shared" si="765"/>
        <v>0</v>
      </c>
      <c r="V3292" s="58">
        <f t="shared" si="766"/>
        <v>0</v>
      </c>
      <c r="W3292" s="58">
        <f t="shared" si="767"/>
        <v>0</v>
      </c>
      <c r="X3292" s="58">
        <f t="shared" si="768"/>
        <v>0</v>
      </c>
      <c r="Y3292" s="52">
        <f t="shared" si="769"/>
        <v>0</v>
      </c>
    </row>
    <row r="3293" spans="1:25" x14ac:dyDescent="0.25">
      <c r="A3293" s="1218" t="s">
        <v>171</v>
      </c>
      <c r="B3293" s="98">
        <v>46054</v>
      </c>
      <c r="C3293" s="117" t="str">
        <f t="shared" ref="C3293:C3329" si="772">LEFT(A3293,2)</f>
        <v>6L</v>
      </c>
      <c r="F3293" s="99">
        <f t="shared" si="771"/>
        <v>0</v>
      </c>
      <c r="I3293" s="99">
        <f t="shared" si="770"/>
        <v>0</v>
      </c>
      <c r="L3293" s="99">
        <f t="shared" si="758"/>
        <v>0</v>
      </c>
      <c r="M3293" s="44" t="str">
        <f t="shared" si="760"/>
        <v/>
      </c>
      <c r="N3293" s="100">
        <f t="shared" si="761"/>
        <v>0</v>
      </c>
      <c r="O3293" s="101">
        <f t="shared" si="762"/>
        <v>0</v>
      </c>
      <c r="P3293" s="52">
        <f t="shared" si="763"/>
        <v>0</v>
      </c>
      <c r="Q3293" s="49">
        <v>116.88487613461319</v>
      </c>
      <c r="R3293">
        <v>2225</v>
      </c>
      <c r="S3293" s="50">
        <f t="shared" si="759"/>
        <v>71535.307499999995</v>
      </c>
      <c r="T3293" s="50">
        <f t="shared" si="764"/>
        <v>0</v>
      </c>
      <c r="U3293" s="58">
        <f t="shared" si="765"/>
        <v>0</v>
      </c>
      <c r="V3293" s="58">
        <f t="shared" si="766"/>
        <v>0</v>
      </c>
      <c r="W3293" s="58">
        <f t="shared" si="767"/>
        <v>0</v>
      </c>
      <c r="X3293" s="58">
        <f t="shared" si="768"/>
        <v>0</v>
      </c>
      <c r="Y3293" s="52">
        <f t="shared" si="769"/>
        <v>0</v>
      </c>
    </row>
    <row r="3294" spans="1:25" x14ac:dyDescent="0.25">
      <c r="A3294" s="1218" t="s">
        <v>172</v>
      </c>
      <c r="B3294" s="98">
        <v>46054</v>
      </c>
      <c r="C3294" s="117" t="str">
        <f t="shared" si="772"/>
        <v>6L</v>
      </c>
      <c r="F3294" s="99">
        <f t="shared" si="771"/>
        <v>0</v>
      </c>
      <c r="I3294" s="99">
        <f t="shared" si="770"/>
        <v>0</v>
      </c>
      <c r="L3294" s="99">
        <f t="shared" si="758"/>
        <v>0</v>
      </c>
      <c r="M3294" s="44" t="str">
        <f t="shared" si="760"/>
        <v/>
      </c>
      <c r="N3294" s="100">
        <f t="shared" si="761"/>
        <v>0</v>
      </c>
      <c r="O3294" s="101">
        <f t="shared" si="762"/>
        <v>0</v>
      </c>
      <c r="P3294" s="52">
        <f t="shared" si="763"/>
        <v>0</v>
      </c>
      <c r="Q3294" s="49">
        <v>116.88487613461319</v>
      </c>
      <c r="R3294">
        <v>2225</v>
      </c>
      <c r="S3294" s="50">
        <f t="shared" si="759"/>
        <v>71535.307499999995</v>
      </c>
      <c r="T3294" s="50">
        <f t="shared" si="764"/>
        <v>0</v>
      </c>
      <c r="U3294" s="58">
        <f t="shared" si="765"/>
        <v>0</v>
      </c>
      <c r="V3294" s="58">
        <f t="shared" si="766"/>
        <v>0</v>
      </c>
      <c r="W3294" s="58">
        <f t="shared" si="767"/>
        <v>0</v>
      </c>
      <c r="X3294" s="58">
        <f t="shared" si="768"/>
        <v>0</v>
      </c>
      <c r="Y3294" s="52">
        <f t="shared" si="769"/>
        <v>0</v>
      </c>
    </row>
    <row r="3295" spans="1:25" x14ac:dyDescent="0.25">
      <c r="A3295" s="1218" t="s">
        <v>173</v>
      </c>
      <c r="B3295" s="98">
        <v>46054</v>
      </c>
      <c r="C3295" s="117" t="str">
        <f t="shared" si="772"/>
        <v>6L</v>
      </c>
      <c r="F3295" s="99">
        <f t="shared" si="771"/>
        <v>0</v>
      </c>
      <c r="I3295" s="99">
        <f t="shared" si="770"/>
        <v>0</v>
      </c>
      <c r="L3295" s="99">
        <f t="shared" si="758"/>
        <v>0</v>
      </c>
      <c r="M3295" s="44" t="str">
        <f t="shared" si="760"/>
        <v/>
      </c>
      <c r="N3295" s="100">
        <f t="shared" si="761"/>
        <v>0</v>
      </c>
      <c r="O3295" s="101">
        <f t="shared" si="762"/>
        <v>0</v>
      </c>
      <c r="P3295" s="52">
        <f t="shared" si="763"/>
        <v>0</v>
      </c>
      <c r="Q3295" s="49">
        <v>116.88487613461319</v>
      </c>
      <c r="R3295">
        <v>2225</v>
      </c>
      <c r="S3295" s="50">
        <f t="shared" si="759"/>
        <v>71535.307499999995</v>
      </c>
      <c r="T3295" s="50">
        <f t="shared" si="764"/>
        <v>0</v>
      </c>
      <c r="U3295" s="58">
        <f t="shared" si="765"/>
        <v>0</v>
      </c>
      <c r="V3295" s="58">
        <f t="shared" si="766"/>
        <v>0</v>
      </c>
      <c r="W3295" s="58">
        <f t="shared" si="767"/>
        <v>0</v>
      </c>
      <c r="X3295" s="58">
        <f t="shared" si="768"/>
        <v>0</v>
      </c>
      <c r="Y3295" s="52">
        <f t="shared" si="769"/>
        <v>0</v>
      </c>
    </row>
    <row r="3296" spans="1:25" x14ac:dyDescent="0.25">
      <c r="A3296" s="1218" t="s">
        <v>174</v>
      </c>
      <c r="B3296" s="98">
        <v>46054</v>
      </c>
      <c r="C3296" s="117" t="str">
        <f t="shared" si="772"/>
        <v>6L</v>
      </c>
      <c r="F3296" s="99">
        <f t="shared" si="771"/>
        <v>0</v>
      </c>
      <c r="I3296" s="99">
        <f t="shared" si="770"/>
        <v>0</v>
      </c>
      <c r="L3296" s="99">
        <f t="shared" si="758"/>
        <v>0</v>
      </c>
      <c r="M3296" s="44" t="str">
        <f t="shared" si="760"/>
        <v/>
      </c>
      <c r="N3296" s="100">
        <f t="shared" si="761"/>
        <v>0</v>
      </c>
      <c r="O3296" s="101">
        <f t="shared" si="762"/>
        <v>0</v>
      </c>
      <c r="P3296" s="52">
        <f t="shared" si="763"/>
        <v>0</v>
      </c>
      <c r="Q3296" s="49">
        <v>116.88487613461319</v>
      </c>
      <c r="R3296">
        <v>2225</v>
      </c>
      <c r="S3296" s="50">
        <f t="shared" si="759"/>
        <v>71535.307499999995</v>
      </c>
      <c r="T3296" s="50">
        <f t="shared" si="764"/>
        <v>0</v>
      </c>
      <c r="U3296" s="58">
        <f t="shared" si="765"/>
        <v>0</v>
      </c>
      <c r="V3296" s="58">
        <f t="shared" si="766"/>
        <v>0</v>
      </c>
      <c r="W3296" s="58">
        <f t="shared" si="767"/>
        <v>0</v>
      </c>
      <c r="X3296" s="58">
        <f t="shared" si="768"/>
        <v>0</v>
      </c>
      <c r="Y3296" s="52">
        <f t="shared" si="769"/>
        <v>0</v>
      </c>
    </row>
    <row r="3297" spans="1:25" x14ac:dyDescent="0.25">
      <c r="A3297" s="1218" t="s">
        <v>175</v>
      </c>
      <c r="B3297" s="98">
        <v>46054</v>
      </c>
      <c r="C3297" s="117" t="str">
        <f t="shared" si="772"/>
        <v>6L</v>
      </c>
      <c r="F3297" s="99">
        <f t="shared" si="771"/>
        <v>0</v>
      </c>
      <c r="I3297" s="99">
        <f t="shared" si="770"/>
        <v>0</v>
      </c>
      <c r="L3297" s="99">
        <f t="shared" si="758"/>
        <v>0</v>
      </c>
      <c r="M3297" s="44" t="str">
        <f t="shared" si="760"/>
        <v/>
      </c>
      <c r="N3297" s="100">
        <f t="shared" si="761"/>
        <v>0</v>
      </c>
      <c r="O3297" s="101">
        <f t="shared" si="762"/>
        <v>0</v>
      </c>
      <c r="P3297" s="52">
        <f t="shared" si="763"/>
        <v>0</v>
      </c>
      <c r="Q3297" s="49">
        <v>116.88487613461319</v>
      </c>
      <c r="R3297">
        <v>2225</v>
      </c>
      <c r="S3297" s="50">
        <f t="shared" si="759"/>
        <v>71535.307499999995</v>
      </c>
      <c r="T3297" s="50">
        <f t="shared" si="764"/>
        <v>0</v>
      </c>
      <c r="U3297" s="58">
        <f t="shared" si="765"/>
        <v>0</v>
      </c>
      <c r="V3297" s="58">
        <f t="shared" si="766"/>
        <v>0</v>
      </c>
      <c r="W3297" s="58">
        <f t="shared" si="767"/>
        <v>0</v>
      </c>
      <c r="X3297" s="58">
        <f t="shared" si="768"/>
        <v>0</v>
      </c>
      <c r="Y3297" s="52">
        <f t="shared" si="769"/>
        <v>0</v>
      </c>
    </row>
    <row r="3298" spans="1:25" x14ac:dyDescent="0.25">
      <c r="A3298" s="1218" t="s">
        <v>176</v>
      </c>
      <c r="B3298" s="98">
        <v>46054</v>
      </c>
      <c r="C3298" s="117" t="str">
        <f t="shared" si="772"/>
        <v>6L</v>
      </c>
      <c r="F3298" s="99">
        <f t="shared" si="771"/>
        <v>0</v>
      </c>
      <c r="I3298" s="99">
        <f t="shared" si="770"/>
        <v>0</v>
      </c>
      <c r="L3298" s="99">
        <f t="shared" si="758"/>
        <v>0</v>
      </c>
      <c r="M3298" s="44" t="str">
        <f t="shared" si="760"/>
        <v/>
      </c>
      <c r="N3298" s="100">
        <f t="shared" si="761"/>
        <v>0</v>
      </c>
      <c r="O3298" s="101">
        <f t="shared" si="762"/>
        <v>0</v>
      </c>
      <c r="P3298" s="52">
        <f t="shared" si="763"/>
        <v>0</v>
      </c>
      <c r="Q3298" s="49">
        <v>116.88487613461319</v>
      </c>
      <c r="R3298">
        <v>2225</v>
      </c>
      <c r="S3298" s="50">
        <f t="shared" si="759"/>
        <v>71535.307499999995</v>
      </c>
      <c r="T3298" s="50">
        <f t="shared" si="764"/>
        <v>0</v>
      </c>
      <c r="U3298" s="58">
        <f t="shared" si="765"/>
        <v>0</v>
      </c>
      <c r="V3298" s="58">
        <f t="shared" si="766"/>
        <v>0</v>
      </c>
      <c r="W3298" s="58">
        <f t="shared" si="767"/>
        <v>0</v>
      </c>
      <c r="X3298" s="58">
        <f t="shared" si="768"/>
        <v>0</v>
      </c>
      <c r="Y3298" s="52">
        <f t="shared" si="769"/>
        <v>0</v>
      </c>
    </row>
    <row r="3299" spans="1:25" x14ac:dyDescent="0.25">
      <c r="A3299" s="1218" t="s">
        <v>177</v>
      </c>
      <c r="B3299" s="98">
        <v>46054</v>
      </c>
      <c r="C3299" s="117" t="str">
        <f t="shared" si="772"/>
        <v>6L</v>
      </c>
      <c r="F3299" s="99">
        <f t="shared" si="771"/>
        <v>0</v>
      </c>
      <c r="I3299" s="99">
        <f t="shared" si="770"/>
        <v>0</v>
      </c>
      <c r="L3299" s="99">
        <f t="shared" si="758"/>
        <v>0</v>
      </c>
      <c r="M3299" s="44" t="str">
        <f t="shared" si="760"/>
        <v/>
      </c>
      <c r="N3299" s="100">
        <f t="shared" si="761"/>
        <v>0</v>
      </c>
      <c r="O3299" s="101">
        <f t="shared" si="762"/>
        <v>0</v>
      </c>
      <c r="P3299" s="52">
        <f t="shared" si="763"/>
        <v>0</v>
      </c>
      <c r="Q3299" s="49">
        <v>116.88487613461319</v>
      </c>
      <c r="R3299">
        <v>2225</v>
      </c>
      <c r="S3299" s="50">
        <f t="shared" si="759"/>
        <v>71535.307499999995</v>
      </c>
      <c r="T3299" s="50">
        <f t="shared" si="764"/>
        <v>0</v>
      </c>
      <c r="U3299" s="58">
        <f t="shared" si="765"/>
        <v>0</v>
      </c>
      <c r="V3299" s="58">
        <f t="shared" si="766"/>
        <v>0</v>
      </c>
      <c r="W3299" s="58">
        <f t="shared" si="767"/>
        <v>0</v>
      </c>
      <c r="X3299" s="58">
        <f t="shared" si="768"/>
        <v>0</v>
      </c>
      <c r="Y3299" s="52">
        <f t="shared" si="769"/>
        <v>0</v>
      </c>
    </row>
    <row r="3300" spans="1:25" x14ac:dyDescent="0.25">
      <c r="A3300" s="1218" t="s">
        <v>178</v>
      </c>
      <c r="B3300" s="98">
        <v>46054</v>
      </c>
      <c r="C3300" s="117" t="str">
        <f t="shared" si="772"/>
        <v>7L</v>
      </c>
      <c r="F3300" s="99">
        <f t="shared" si="771"/>
        <v>0</v>
      </c>
      <c r="I3300" s="99">
        <f t="shared" si="770"/>
        <v>0</v>
      </c>
      <c r="L3300" s="99">
        <f t="shared" si="758"/>
        <v>0</v>
      </c>
      <c r="M3300" s="44" t="str">
        <f t="shared" si="760"/>
        <v/>
      </c>
      <c r="N3300" s="100">
        <f t="shared" si="761"/>
        <v>0</v>
      </c>
      <c r="O3300" s="101">
        <f t="shared" si="762"/>
        <v>0</v>
      </c>
      <c r="P3300" s="52">
        <f t="shared" si="763"/>
        <v>0</v>
      </c>
      <c r="Q3300" s="49">
        <v>116.88487613461319</v>
      </c>
      <c r="R3300">
        <v>2225</v>
      </c>
      <c r="S3300" s="50">
        <f t="shared" si="759"/>
        <v>71535.307499999995</v>
      </c>
      <c r="T3300" s="50">
        <f t="shared" si="764"/>
        <v>0</v>
      </c>
      <c r="U3300" s="58">
        <f t="shared" si="765"/>
        <v>0</v>
      </c>
      <c r="V3300" s="58">
        <f t="shared" si="766"/>
        <v>0</v>
      </c>
      <c r="W3300" s="58">
        <f t="shared" si="767"/>
        <v>0</v>
      </c>
      <c r="X3300" s="58">
        <f t="shared" si="768"/>
        <v>0</v>
      </c>
      <c r="Y3300" s="52">
        <f t="shared" si="769"/>
        <v>0</v>
      </c>
    </row>
    <row r="3301" spans="1:25" x14ac:dyDescent="0.25">
      <c r="A3301" s="1218" t="s">
        <v>179</v>
      </c>
      <c r="B3301" s="98">
        <v>46054</v>
      </c>
      <c r="C3301" s="117" t="str">
        <f t="shared" si="772"/>
        <v>7L</v>
      </c>
      <c r="F3301" s="99">
        <f t="shared" si="771"/>
        <v>0</v>
      </c>
      <c r="I3301" s="99">
        <f t="shared" si="770"/>
        <v>0</v>
      </c>
      <c r="L3301" s="99">
        <f t="shared" si="758"/>
        <v>0</v>
      </c>
      <c r="M3301" s="44" t="str">
        <f t="shared" si="760"/>
        <v/>
      </c>
      <c r="N3301" s="100">
        <f t="shared" si="761"/>
        <v>0</v>
      </c>
      <c r="O3301" s="101">
        <f t="shared" si="762"/>
        <v>0</v>
      </c>
      <c r="P3301" s="52">
        <f t="shared" si="763"/>
        <v>0</v>
      </c>
      <c r="Q3301" s="49">
        <v>116.88487613461319</v>
      </c>
      <c r="R3301">
        <v>2225</v>
      </c>
      <c r="S3301" s="50">
        <f t="shared" si="759"/>
        <v>71535.307499999995</v>
      </c>
      <c r="T3301" s="50">
        <f t="shared" si="764"/>
        <v>0</v>
      </c>
      <c r="U3301" s="58">
        <f t="shared" si="765"/>
        <v>0</v>
      </c>
      <c r="V3301" s="58">
        <f t="shared" si="766"/>
        <v>0</v>
      </c>
      <c r="W3301" s="58">
        <f t="shared" si="767"/>
        <v>0</v>
      </c>
      <c r="X3301" s="58">
        <f t="shared" si="768"/>
        <v>0</v>
      </c>
      <c r="Y3301" s="52">
        <f t="shared" si="769"/>
        <v>0</v>
      </c>
    </row>
    <row r="3302" spans="1:25" x14ac:dyDescent="0.25">
      <c r="A3302" s="1218" t="s">
        <v>180</v>
      </c>
      <c r="B3302" s="98">
        <v>46054</v>
      </c>
      <c r="C3302" s="117" t="str">
        <f t="shared" si="772"/>
        <v>7L</v>
      </c>
      <c r="F3302" s="99">
        <f t="shared" si="771"/>
        <v>0</v>
      </c>
      <c r="I3302" s="99">
        <f t="shared" si="770"/>
        <v>0</v>
      </c>
      <c r="L3302" s="99">
        <f t="shared" si="758"/>
        <v>0</v>
      </c>
      <c r="M3302" s="44" t="str">
        <f t="shared" si="760"/>
        <v/>
      </c>
      <c r="N3302" s="100">
        <f t="shared" si="761"/>
        <v>0</v>
      </c>
      <c r="O3302" s="101">
        <f t="shared" si="762"/>
        <v>0</v>
      </c>
      <c r="P3302" s="52">
        <f t="shared" si="763"/>
        <v>0</v>
      </c>
      <c r="Q3302" s="49">
        <v>116.88487613461319</v>
      </c>
      <c r="R3302">
        <v>2225</v>
      </c>
      <c r="S3302" s="50">
        <f t="shared" si="759"/>
        <v>71535.307499999995</v>
      </c>
      <c r="T3302" s="50">
        <f t="shared" si="764"/>
        <v>0</v>
      </c>
      <c r="U3302" s="58">
        <f t="shared" si="765"/>
        <v>0</v>
      </c>
      <c r="V3302" s="58">
        <f t="shared" si="766"/>
        <v>0</v>
      </c>
      <c r="W3302" s="58">
        <f t="shared" si="767"/>
        <v>0</v>
      </c>
      <c r="X3302" s="58">
        <f t="shared" si="768"/>
        <v>0</v>
      </c>
      <c r="Y3302" s="52">
        <f t="shared" si="769"/>
        <v>0</v>
      </c>
    </row>
    <row r="3303" spans="1:25" x14ac:dyDescent="0.25">
      <c r="A3303" s="1218" t="s">
        <v>181</v>
      </c>
      <c r="B3303" s="98">
        <v>46054</v>
      </c>
      <c r="C3303" s="117" t="str">
        <f t="shared" si="772"/>
        <v>7L</v>
      </c>
      <c r="F3303" s="99">
        <f t="shared" si="771"/>
        <v>0</v>
      </c>
      <c r="I3303" s="99">
        <f t="shared" si="770"/>
        <v>0</v>
      </c>
      <c r="L3303" s="99">
        <f t="shared" si="758"/>
        <v>0</v>
      </c>
      <c r="M3303" s="44" t="str">
        <f t="shared" si="760"/>
        <v/>
      </c>
      <c r="N3303" s="100">
        <f t="shared" si="761"/>
        <v>0</v>
      </c>
      <c r="O3303" s="101">
        <f t="shared" si="762"/>
        <v>0</v>
      </c>
      <c r="P3303" s="52">
        <f t="shared" si="763"/>
        <v>0</v>
      </c>
      <c r="Q3303" s="49">
        <v>116.88487613461319</v>
      </c>
      <c r="R3303">
        <v>2225</v>
      </c>
      <c r="S3303" s="50">
        <f t="shared" si="759"/>
        <v>71535.307499999995</v>
      </c>
      <c r="T3303" s="50">
        <f t="shared" si="764"/>
        <v>0</v>
      </c>
      <c r="U3303" s="58">
        <f t="shared" si="765"/>
        <v>0</v>
      </c>
      <c r="V3303" s="58">
        <f t="shared" si="766"/>
        <v>0</v>
      </c>
      <c r="W3303" s="58">
        <f t="shared" si="767"/>
        <v>0</v>
      </c>
      <c r="X3303" s="58">
        <f t="shared" si="768"/>
        <v>0</v>
      </c>
      <c r="Y3303" s="52">
        <f t="shared" si="769"/>
        <v>0</v>
      </c>
    </row>
    <row r="3304" spans="1:25" x14ac:dyDescent="0.25">
      <c r="A3304" s="1218" t="s">
        <v>182</v>
      </c>
      <c r="B3304" s="98">
        <v>46054</v>
      </c>
      <c r="C3304" s="117" t="str">
        <f t="shared" si="772"/>
        <v>7L</v>
      </c>
      <c r="F3304" s="99">
        <f t="shared" si="771"/>
        <v>0</v>
      </c>
      <c r="I3304" s="99">
        <f t="shared" si="770"/>
        <v>0</v>
      </c>
      <c r="L3304" s="99">
        <f t="shared" si="758"/>
        <v>0</v>
      </c>
      <c r="M3304" s="44" t="str">
        <f t="shared" si="760"/>
        <v/>
      </c>
      <c r="N3304" s="100">
        <f t="shared" si="761"/>
        <v>0</v>
      </c>
      <c r="O3304" s="101">
        <f t="shared" si="762"/>
        <v>0</v>
      </c>
      <c r="P3304" s="52">
        <f t="shared" si="763"/>
        <v>0</v>
      </c>
      <c r="Q3304" s="49">
        <v>116.88487613461319</v>
      </c>
      <c r="R3304">
        <v>2225</v>
      </c>
      <c r="S3304" s="50">
        <f t="shared" si="759"/>
        <v>71535.307499999995</v>
      </c>
      <c r="T3304" s="50">
        <f t="shared" si="764"/>
        <v>0</v>
      </c>
      <c r="U3304" s="58">
        <f t="shared" si="765"/>
        <v>0</v>
      </c>
      <c r="V3304" s="58">
        <f t="shared" si="766"/>
        <v>0</v>
      </c>
      <c r="W3304" s="58">
        <f t="shared" si="767"/>
        <v>0</v>
      </c>
      <c r="X3304" s="58">
        <f t="shared" si="768"/>
        <v>0</v>
      </c>
      <c r="Y3304" s="52">
        <f t="shared" si="769"/>
        <v>0</v>
      </c>
    </row>
    <row r="3305" spans="1:25" x14ac:dyDescent="0.25">
      <c r="A3305" s="1218" t="s">
        <v>183</v>
      </c>
      <c r="B3305" s="98">
        <v>46054</v>
      </c>
      <c r="C3305" s="117" t="str">
        <f t="shared" si="772"/>
        <v>7L</v>
      </c>
      <c r="F3305" s="99">
        <f t="shared" si="771"/>
        <v>0</v>
      </c>
      <c r="I3305" s="99">
        <f t="shared" si="770"/>
        <v>0</v>
      </c>
      <c r="L3305" s="99">
        <f t="shared" si="758"/>
        <v>0</v>
      </c>
      <c r="M3305" s="44" t="str">
        <f t="shared" si="760"/>
        <v/>
      </c>
      <c r="N3305" s="100">
        <f t="shared" si="761"/>
        <v>0</v>
      </c>
      <c r="O3305" s="101">
        <f t="shared" si="762"/>
        <v>0</v>
      </c>
      <c r="P3305" s="52">
        <f t="shared" si="763"/>
        <v>0</v>
      </c>
      <c r="Q3305" s="49">
        <v>116.88487613461319</v>
      </c>
      <c r="R3305">
        <v>2225</v>
      </c>
      <c r="S3305" s="50">
        <f t="shared" si="759"/>
        <v>71535.307499999995</v>
      </c>
      <c r="T3305" s="50">
        <f t="shared" si="764"/>
        <v>0</v>
      </c>
      <c r="U3305" s="58">
        <f t="shared" si="765"/>
        <v>0</v>
      </c>
      <c r="V3305" s="58">
        <f t="shared" si="766"/>
        <v>0</v>
      </c>
      <c r="W3305" s="58">
        <f t="shared" si="767"/>
        <v>0</v>
      </c>
      <c r="X3305" s="58">
        <f t="shared" si="768"/>
        <v>0</v>
      </c>
      <c r="Y3305" s="52">
        <f t="shared" si="769"/>
        <v>0</v>
      </c>
    </row>
    <row r="3306" spans="1:25" x14ac:dyDescent="0.25">
      <c r="A3306" s="1218" t="s">
        <v>184</v>
      </c>
      <c r="B3306" s="98">
        <v>46054</v>
      </c>
      <c r="C3306" s="117" t="str">
        <f t="shared" si="772"/>
        <v>7L</v>
      </c>
      <c r="F3306" s="99">
        <f t="shared" si="771"/>
        <v>0</v>
      </c>
      <c r="I3306" s="99">
        <f t="shared" si="770"/>
        <v>0</v>
      </c>
      <c r="L3306" s="99">
        <f t="shared" si="758"/>
        <v>0</v>
      </c>
      <c r="M3306" s="44" t="str">
        <f t="shared" si="760"/>
        <v/>
      </c>
      <c r="N3306" s="100">
        <f t="shared" si="761"/>
        <v>0</v>
      </c>
      <c r="O3306" s="101">
        <f t="shared" si="762"/>
        <v>0</v>
      </c>
      <c r="P3306" s="52">
        <f t="shared" si="763"/>
        <v>0</v>
      </c>
      <c r="Q3306" s="49">
        <v>116.88487613461319</v>
      </c>
      <c r="R3306">
        <v>2225</v>
      </c>
      <c r="S3306" s="50">
        <f t="shared" si="759"/>
        <v>71535.307499999995</v>
      </c>
      <c r="T3306" s="50">
        <f t="shared" si="764"/>
        <v>0</v>
      </c>
      <c r="U3306" s="58">
        <f t="shared" si="765"/>
        <v>0</v>
      </c>
      <c r="V3306" s="58">
        <f t="shared" si="766"/>
        <v>0</v>
      </c>
      <c r="W3306" s="58">
        <f t="shared" si="767"/>
        <v>0</v>
      </c>
      <c r="X3306" s="58">
        <f t="shared" si="768"/>
        <v>0</v>
      </c>
      <c r="Y3306" s="52">
        <f t="shared" si="769"/>
        <v>0</v>
      </c>
    </row>
    <row r="3307" spans="1:25" x14ac:dyDescent="0.25">
      <c r="A3307" s="1218" t="s">
        <v>185</v>
      </c>
      <c r="B3307" s="98">
        <v>46054</v>
      </c>
      <c r="C3307" s="117" t="str">
        <f t="shared" si="772"/>
        <v>7L</v>
      </c>
      <c r="F3307" s="99">
        <f t="shared" si="771"/>
        <v>0</v>
      </c>
      <c r="I3307" s="99">
        <f t="shared" si="770"/>
        <v>0</v>
      </c>
      <c r="L3307" s="99">
        <f t="shared" si="758"/>
        <v>0</v>
      </c>
      <c r="M3307" s="44" t="str">
        <f t="shared" si="760"/>
        <v/>
      </c>
      <c r="N3307" s="100">
        <f t="shared" si="761"/>
        <v>0</v>
      </c>
      <c r="O3307" s="101">
        <f t="shared" si="762"/>
        <v>0</v>
      </c>
      <c r="P3307" s="52">
        <f t="shared" si="763"/>
        <v>0</v>
      </c>
      <c r="Q3307" s="49">
        <v>116.88487613461319</v>
      </c>
      <c r="R3307">
        <v>2225</v>
      </c>
      <c r="S3307" s="50">
        <f t="shared" si="759"/>
        <v>71535.307499999995</v>
      </c>
      <c r="T3307" s="50">
        <f t="shared" si="764"/>
        <v>0</v>
      </c>
      <c r="U3307" s="58">
        <f t="shared" si="765"/>
        <v>0</v>
      </c>
      <c r="V3307" s="58">
        <f t="shared" si="766"/>
        <v>0</v>
      </c>
      <c r="W3307" s="58">
        <f t="shared" si="767"/>
        <v>0</v>
      </c>
      <c r="X3307" s="58">
        <f t="shared" si="768"/>
        <v>0</v>
      </c>
      <c r="Y3307" s="52">
        <f t="shared" si="769"/>
        <v>0</v>
      </c>
    </row>
    <row r="3308" spans="1:25" x14ac:dyDescent="0.25">
      <c r="A3308" s="1218" t="s">
        <v>186</v>
      </c>
      <c r="B3308" s="98">
        <v>46054</v>
      </c>
      <c r="C3308" s="117" t="str">
        <f t="shared" si="772"/>
        <v>7L</v>
      </c>
      <c r="F3308" s="99">
        <f t="shared" si="771"/>
        <v>0</v>
      </c>
      <c r="I3308" s="99">
        <f t="shared" si="770"/>
        <v>0</v>
      </c>
      <c r="L3308" s="99">
        <f t="shared" si="758"/>
        <v>0</v>
      </c>
      <c r="M3308" s="44" t="str">
        <f t="shared" si="760"/>
        <v/>
      </c>
      <c r="N3308" s="100">
        <f t="shared" si="761"/>
        <v>0</v>
      </c>
      <c r="O3308" s="101">
        <f t="shared" si="762"/>
        <v>0</v>
      </c>
      <c r="P3308" s="52">
        <f t="shared" si="763"/>
        <v>0</v>
      </c>
      <c r="Q3308" s="49">
        <v>116.88487613461319</v>
      </c>
      <c r="R3308">
        <v>2225</v>
      </c>
      <c r="S3308" s="50">
        <f t="shared" si="759"/>
        <v>71535.307499999995</v>
      </c>
      <c r="T3308" s="50">
        <f t="shared" si="764"/>
        <v>0</v>
      </c>
      <c r="U3308" s="58">
        <f t="shared" si="765"/>
        <v>0</v>
      </c>
      <c r="V3308" s="58">
        <f t="shared" si="766"/>
        <v>0</v>
      </c>
      <c r="W3308" s="58">
        <f t="shared" si="767"/>
        <v>0</v>
      </c>
      <c r="X3308" s="58">
        <f t="shared" si="768"/>
        <v>0</v>
      </c>
      <c r="Y3308" s="52">
        <f t="shared" si="769"/>
        <v>0</v>
      </c>
    </row>
    <row r="3309" spans="1:25" x14ac:dyDescent="0.25">
      <c r="A3309" s="1218" t="s">
        <v>187</v>
      </c>
      <c r="B3309" s="98">
        <v>46054</v>
      </c>
      <c r="C3309" s="117" t="str">
        <f t="shared" si="772"/>
        <v>7L</v>
      </c>
      <c r="F3309" s="99">
        <f t="shared" si="771"/>
        <v>0</v>
      </c>
      <c r="I3309" s="99">
        <f t="shared" si="770"/>
        <v>0</v>
      </c>
      <c r="L3309" s="99">
        <f t="shared" si="758"/>
        <v>0</v>
      </c>
      <c r="M3309" s="44" t="str">
        <f t="shared" si="760"/>
        <v/>
      </c>
      <c r="N3309" s="100">
        <f t="shared" si="761"/>
        <v>0</v>
      </c>
      <c r="O3309" s="101">
        <f t="shared" si="762"/>
        <v>0</v>
      </c>
      <c r="P3309" s="52">
        <f t="shared" si="763"/>
        <v>0</v>
      </c>
      <c r="Q3309" s="49">
        <v>116.88487613461319</v>
      </c>
      <c r="R3309">
        <v>2225</v>
      </c>
      <c r="S3309" s="50">
        <f t="shared" si="759"/>
        <v>71535.307499999995</v>
      </c>
      <c r="T3309" s="50">
        <f t="shared" si="764"/>
        <v>0</v>
      </c>
      <c r="U3309" s="58">
        <f t="shared" si="765"/>
        <v>0</v>
      </c>
      <c r="V3309" s="58">
        <f t="shared" si="766"/>
        <v>0</v>
      </c>
      <c r="W3309" s="58">
        <f t="shared" si="767"/>
        <v>0</v>
      </c>
      <c r="X3309" s="58">
        <f t="shared" si="768"/>
        <v>0</v>
      </c>
      <c r="Y3309" s="52">
        <f t="shared" si="769"/>
        <v>0</v>
      </c>
    </row>
    <row r="3310" spans="1:25" x14ac:dyDescent="0.25">
      <c r="A3310" s="1218" t="s">
        <v>188</v>
      </c>
      <c r="B3310" s="98">
        <v>46054</v>
      </c>
      <c r="C3310" s="117" t="str">
        <f t="shared" si="772"/>
        <v>7L</v>
      </c>
      <c r="F3310" s="99">
        <f t="shared" si="771"/>
        <v>0</v>
      </c>
      <c r="I3310" s="99">
        <f t="shared" si="770"/>
        <v>0</v>
      </c>
      <c r="L3310" s="99">
        <f t="shared" si="758"/>
        <v>0</v>
      </c>
      <c r="M3310" s="44" t="str">
        <f t="shared" si="760"/>
        <v/>
      </c>
      <c r="N3310" s="100">
        <f t="shared" si="761"/>
        <v>0</v>
      </c>
      <c r="O3310" s="101">
        <f t="shared" si="762"/>
        <v>0</v>
      </c>
      <c r="P3310" s="52">
        <f t="shared" si="763"/>
        <v>0</v>
      </c>
      <c r="Q3310" s="49">
        <v>116.88487613461319</v>
      </c>
      <c r="R3310">
        <v>2225</v>
      </c>
      <c r="S3310" s="50">
        <f t="shared" si="759"/>
        <v>71535.307499999995</v>
      </c>
      <c r="T3310" s="50">
        <f t="shared" si="764"/>
        <v>0</v>
      </c>
      <c r="U3310" s="58">
        <f t="shared" si="765"/>
        <v>0</v>
      </c>
      <c r="V3310" s="58">
        <f t="shared" si="766"/>
        <v>0</v>
      </c>
      <c r="W3310" s="58">
        <f t="shared" si="767"/>
        <v>0</v>
      </c>
      <c r="X3310" s="58">
        <f t="shared" si="768"/>
        <v>0</v>
      </c>
      <c r="Y3310" s="52">
        <f t="shared" si="769"/>
        <v>0</v>
      </c>
    </row>
    <row r="3311" spans="1:25" x14ac:dyDescent="0.25">
      <c r="A3311" s="1218" t="s">
        <v>189</v>
      </c>
      <c r="B3311" s="98">
        <v>46054</v>
      </c>
      <c r="C3311" s="117" t="str">
        <f t="shared" si="772"/>
        <v>7L</v>
      </c>
      <c r="F3311" s="99">
        <f t="shared" si="771"/>
        <v>0</v>
      </c>
      <c r="I3311" s="99">
        <f t="shared" si="770"/>
        <v>0</v>
      </c>
      <c r="L3311" s="99">
        <f t="shared" si="758"/>
        <v>0</v>
      </c>
      <c r="M3311" s="44" t="str">
        <f t="shared" si="760"/>
        <v/>
      </c>
      <c r="N3311" s="100">
        <f t="shared" si="761"/>
        <v>0</v>
      </c>
      <c r="O3311" s="101">
        <f t="shared" si="762"/>
        <v>0</v>
      </c>
      <c r="P3311" s="52">
        <f t="shared" si="763"/>
        <v>0</v>
      </c>
      <c r="Q3311" s="49">
        <v>116.88487613461319</v>
      </c>
      <c r="R3311">
        <v>2225</v>
      </c>
      <c r="S3311" s="50">
        <f t="shared" si="759"/>
        <v>71535.307499999995</v>
      </c>
      <c r="T3311" s="50">
        <f t="shared" si="764"/>
        <v>0</v>
      </c>
      <c r="U3311" s="58">
        <f t="shared" si="765"/>
        <v>0</v>
      </c>
      <c r="V3311" s="58">
        <f t="shared" si="766"/>
        <v>0</v>
      </c>
      <c r="W3311" s="58">
        <f t="shared" si="767"/>
        <v>0</v>
      </c>
      <c r="X3311" s="58">
        <f t="shared" si="768"/>
        <v>0</v>
      </c>
      <c r="Y3311" s="52">
        <f t="shared" si="769"/>
        <v>0</v>
      </c>
    </row>
    <row r="3312" spans="1:25" x14ac:dyDescent="0.25">
      <c r="A3312" s="1218" t="s">
        <v>190</v>
      </c>
      <c r="B3312" s="98">
        <v>46054</v>
      </c>
      <c r="C3312" s="117" t="str">
        <f t="shared" si="772"/>
        <v>8L</v>
      </c>
      <c r="F3312" s="99">
        <f t="shared" si="771"/>
        <v>0</v>
      </c>
      <c r="I3312" s="99">
        <f t="shared" si="770"/>
        <v>0</v>
      </c>
      <c r="L3312" s="99">
        <f t="shared" si="758"/>
        <v>0</v>
      </c>
      <c r="M3312" s="44" t="str">
        <f t="shared" si="760"/>
        <v/>
      </c>
      <c r="N3312" s="100">
        <f t="shared" si="761"/>
        <v>0</v>
      </c>
      <c r="O3312" s="101">
        <f t="shared" si="762"/>
        <v>0</v>
      </c>
      <c r="P3312" s="52">
        <f t="shared" si="763"/>
        <v>0</v>
      </c>
      <c r="Q3312" s="49">
        <v>116.88487613461319</v>
      </c>
      <c r="R3312">
        <v>2225</v>
      </c>
      <c r="S3312" s="50">
        <f t="shared" si="759"/>
        <v>71535.307499999995</v>
      </c>
      <c r="T3312" s="50">
        <f t="shared" si="764"/>
        <v>0</v>
      </c>
      <c r="U3312" s="58">
        <f t="shared" si="765"/>
        <v>0</v>
      </c>
      <c r="V3312" s="58">
        <f t="shared" si="766"/>
        <v>0</v>
      </c>
      <c r="W3312" s="58">
        <f t="shared" si="767"/>
        <v>0</v>
      </c>
      <c r="X3312" s="58">
        <f t="shared" si="768"/>
        <v>0</v>
      </c>
      <c r="Y3312" s="52">
        <f t="shared" si="769"/>
        <v>0</v>
      </c>
    </row>
    <row r="3313" spans="1:25" x14ac:dyDescent="0.25">
      <c r="A3313" s="1218" t="s">
        <v>191</v>
      </c>
      <c r="B3313" s="98">
        <v>46054</v>
      </c>
      <c r="C3313" s="117" t="str">
        <f t="shared" si="772"/>
        <v>8L</v>
      </c>
      <c r="F3313" s="99">
        <f t="shared" si="771"/>
        <v>0</v>
      </c>
      <c r="I3313" s="99">
        <f t="shared" si="770"/>
        <v>0</v>
      </c>
      <c r="L3313" s="99">
        <f t="shared" si="758"/>
        <v>0</v>
      </c>
      <c r="M3313" s="44" t="str">
        <f t="shared" si="760"/>
        <v/>
      </c>
      <c r="N3313" s="100">
        <f t="shared" si="761"/>
        <v>0</v>
      </c>
      <c r="O3313" s="101">
        <f t="shared" si="762"/>
        <v>0</v>
      </c>
      <c r="P3313" s="52">
        <f t="shared" si="763"/>
        <v>0</v>
      </c>
      <c r="Q3313" s="49">
        <v>116.88487613461319</v>
      </c>
      <c r="R3313">
        <v>2225</v>
      </c>
      <c r="S3313" s="50">
        <f t="shared" si="759"/>
        <v>71535.307499999995</v>
      </c>
      <c r="T3313" s="50">
        <f t="shared" si="764"/>
        <v>0</v>
      </c>
      <c r="U3313" s="58">
        <f t="shared" si="765"/>
        <v>0</v>
      </c>
      <c r="V3313" s="58">
        <f t="shared" si="766"/>
        <v>0</v>
      </c>
      <c r="W3313" s="58">
        <f t="shared" si="767"/>
        <v>0</v>
      </c>
      <c r="X3313" s="58">
        <f t="shared" si="768"/>
        <v>0</v>
      </c>
      <c r="Y3313" s="52">
        <f t="shared" si="769"/>
        <v>0</v>
      </c>
    </row>
    <row r="3314" spans="1:25" x14ac:dyDescent="0.25">
      <c r="A3314" s="1218" t="s">
        <v>192</v>
      </c>
      <c r="B3314" s="98">
        <v>46054</v>
      </c>
      <c r="C3314" s="117" t="str">
        <f t="shared" si="772"/>
        <v>8L</v>
      </c>
      <c r="F3314" s="99">
        <f t="shared" si="771"/>
        <v>0</v>
      </c>
      <c r="I3314" s="99">
        <f t="shared" si="770"/>
        <v>0</v>
      </c>
      <c r="L3314" s="99">
        <f t="shared" si="758"/>
        <v>0</v>
      </c>
      <c r="M3314" s="44" t="str">
        <f t="shared" si="760"/>
        <v/>
      </c>
      <c r="N3314" s="100">
        <f t="shared" si="761"/>
        <v>0</v>
      </c>
      <c r="O3314" s="101">
        <f t="shared" si="762"/>
        <v>0</v>
      </c>
      <c r="P3314" s="52">
        <f t="shared" si="763"/>
        <v>0</v>
      </c>
      <c r="Q3314" s="49">
        <v>116.88487613461319</v>
      </c>
      <c r="R3314">
        <v>2225</v>
      </c>
      <c r="S3314" s="50">
        <f t="shared" si="759"/>
        <v>71535.307499999995</v>
      </c>
      <c r="T3314" s="50">
        <f t="shared" si="764"/>
        <v>0</v>
      </c>
      <c r="U3314" s="58">
        <f t="shared" si="765"/>
        <v>0</v>
      </c>
      <c r="V3314" s="58">
        <f t="shared" si="766"/>
        <v>0</v>
      </c>
      <c r="W3314" s="58">
        <f t="shared" si="767"/>
        <v>0</v>
      </c>
      <c r="X3314" s="58">
        <f t="shared" si="768"/>
        <v>0</v>
      </c>
      <c r="Y3314" s="52">
        <f t="shared" si="769"/>
        <v>0</v>
      </c>
    </row>
    <row r="3315" spans="1:25" x14ac:dyDescent="0.25">
      <c r="A3315" s="1218" t="s">
        <v>193</v>
      </c>
      <c r="B3315" s="98">
        <v>46054</v>
      </c>
      <c r="C3315" s="117" t="str">
        <f t="shared" si="772"/>
        <v>8L</v>
      </c>
      <c r="F3315" s="99">
        <f t="shared" si="771"/>
        <v>0</v>
      </c>
      <c r="I3315" s="99">
        <f t="shared" si="770"/>
        <v>0</v>
      </c>
      <c r="L3315" s="99">
        <f t="shared" si="758"/>
        <v>0</v>
      </c>
      <c r="M3315" s="44" t="str">
        <f t="shared" si="760"/>
        <v/>
      </c>
      <c r="N3315" s="100">
        <f t="shared" si="761"/>
        <v>0</v>
      </c>
      <c r="O3315" s="101">
        <f t="shared" si="762"/>
        <v>0</v>
      </c>
      <c r="P3315" s="52">
        <f t="shared" si="763"/>
        <v>0</v>
      </c>
      <c r="Q3315" s="49">
        <v>116.88487613461319</v>
      </c>
      <c r="R3315">
        <v>2225</v>
      </c>
      <c r="S3315" s="50">
        <f t="shared" si="759"/>
        <v>71535.307499999995</v>
      </c>
      <c r="T3315" s="50">
        <f t="shared" si="764"/>
        <v>0</v>
      </c>
      <c r="U3315" s="58">
        <f t="shared" si="765"/>
        <v>0</v>
      </c>
      <c r="V3315" s="58">
        <f t="shared" si="766"/>
        <v>0</v>
      </c>
      <c r="W3315" s="58">
        <f t="shared" si="767"/>
        <v>0</v>
      </c>
      <c r="X3315" s="58">
        <f t="shared" si="768"/>
        <v>0</v>
      </c>
      <c r="Y3315" s="52">
        <f t="shared" si="769"/>
        <v>0</v>
      </c>
    </row>
    <row r="3316" spans="1:25" x14ac:dyDescent="0.25">
      <c r="A3316" s="1218" t="s">
        <v>194</v>
      </c>
      <c r="B3316" s="98">
        <v>46054</v>
      </c>
      <c r="C3316" s="117" t="str">
        <f t="shared" si="772"/>
        <v>8L</v>
      </c>
      <c r="F3316" s="99">
        <f t="shared" si="771"/>
        <v>0</v>
      </c>
      <c r="I3316" s="99">
        <f t="shared" si="770"/>
        <v>0</v>
      </c>
      <c r="L3316" s="99">
        <f t="shared" si="758"/>
        <v>0</v>
      </c>
      <c r="M3316" s="44" t="str">
        <f t="shared" si="760"/>
        <v/>
      </c>
      <c r="N3316" s="100">
        <f t="shared" si="761"/>
        <v>0</v>
      </c>
      <c r="O3316" s="101">
        <f t="shared" si="762"/>
        <v>0</v>
      </c>
      <c r="P3316" s="52">
        <f t="shared" si="763"/>
        <v>0</v>
      </c>
      <c r="Q3316" s="49">
        <v>116.88487613461319</v>
      </c>
      <c r="R3316">
        <v>2225</v>
      </c>
      <c r="S3316" s="50">
        <f t="shared" si="759"/>
        <v>71535.307499999995</v>
      </c>
      <c r="T3316" s="50">
        <f t="shared" si="764"/>
        <v>0</v>
      </c>
      <c r="U3316" s="58">
        <f t="shared" si="765"/>
        <v>0</v>
      </c>
      <c r="V3316" s="58">
        <f t="shared" si="766"/>
        <v>0</v>
      </c>
      <c r="W3316" s="58">
        <f t="shared" si="767"/>
        <v>0</v>
      </c>
      <c r="X3316" s="58">
        <f t="shared" si="768"/>
        <v>0</v>
      </c>
      <c r="Y3316" s="52">
        <f t="shared" si="769"/>
        <v>0</v>
      </c>
    </row>
    <row r="3317" spans="1:25" x14ac:dyDescent="0.25">
      <c r="A3317" s="1218" t="s">
        <v>195</v>
      </c>
      <c r="B3317" s="98">
        <v>46054</v>
      </c>
      <c r="C3317" s="117" t="str">
        <f t="shared" si="772"/>
        <v>8L</v>
      </c>
      <c r="F3317" s="99">
        <f t="shared" si="771"/>
        <v>0</v>
      </c>
      <c r="I3317" s="99">
        <f t="shared" si="770"/>
        <v>0</v>
      </c>
      <c r="L3317" s="99">
        <f t="shared" si="758"/>
        <v>0</v>
      </c>
      <c r="M3317" s="44" t="str">
        <f t="shared" si="760"/>
        <v/>
      </c>
      <c r="N3317" s="100">
        <f t="shared" si="761"/>
        <v>0</v>
      </c>
      <c r="O3317" s="101">
        <f t="shared" si="762"/>
        <v>0</v>
      </c>
      <c r="P3317" s="52">
        <f t="shared" si="763"/>
        <v>0</v>
      </c>
      <c r="Q3317" s="49">
        <v>116.88487613461319</v>
      </c>
      <c r="R3317">
        <v>2225</v>
      </c>
      <c r="S3317" s="50">
        <f t="shared" si="759"/>
        <v>71535.307499999995</v>
      </c>
      <c r="T3317" s="50">
        <f t="shared" si="764"/>
        <v>0</v>
      </c>
      <c r="U3317" s="58">
        <f t="shared" si="765"/>
        <v>0</v>
      </c>
      <c r="V3317" s="58">
        <f t="shared" si="766"/>
        <v>0</v>
      </c>
      <c r="W3317" s="58">
        <f t="shared" si="767"/>
        <v>0</v>
      </c>
      <c r="X3317" s="58">
        <f t="shared" si="768"/>
        <v>0</v>
      </c>
      <c r="Y3317" s="52">
        <f t="shared" si="769"/>
        <v>0</v>
      </c>
    </row>
    <row r="3318" spans="1:25" x14ac:dyDescent="0.25">
      <c r="A3318" s="1218" t="s">
        <v>196</v>
      </c>
      <c r="B3318" s="98">
        <v>46054</v>
      </c>
      <c r="C3318" s="117" t="str">
        <f t="shared" si="772"/>
        <v>8L</v>
      </c>
      <c r="F3318" s="99">
        <f t="shared" si="771"/>
        <v>0</v>
      </c>
      <c r="I3318" s="99">
        <f t="shared" si="770"/>
        <v>0</v>
      </c>
      <c r="L3318" s="99">
        <f t="shared" si="758"/>
        <v>0</v>
      </c>
      <c r="M3318" s="44" t="str">
        <f t="shared" si="760"/>
        <v/>
      </c>
      <c r="N3318" s="100">
        <f t="shared" si="761"/>
        <v>0</v>
      </c>
      <c r="O3318" s="101">
        <f t="shared" si="762"/>
        <v>0</v>
      </c>
      <c r="P3318" s="52">
        <f t="shared" si="763"/>
        <v>0</v>
      </c>
      <c r="Q3318" s="49">
        <v>116.88487613461319</v>
      </c>
      <c r="R3318">
        <v>2225</v>
      </c>
      <c r="S3318" s="50">
        <f t="shared" si="759"/>
        <v>71535.307499999995</v>
      </c>
      <c r="T3318" s="50">
        <f t="shared" si="764"/>
        <v>0</v>
      </c>
      <c r="U3318" s="58">
        <f t="shared" si="765"/>
        <v>0</v>
      </c>
      <c r="V3318" s="58">
        <f t="shared" si="766"/>
        <v>0</v>
      </c>
      <c r="W3318" s="58">
        <f t="shared" si="767"/>
        <v>0</v>
      </c>
      <c r="X3318" s="58">
        <f t="shared" si="768"/>
        <v>0</v>
      </c>
      <c r="Y3318" s="52">
        <f t="shared" si="769"/>
        <v>0</v>
      </c>
    </row>
    <row r="3319" spans="1:25" x14ac:dyDescent="0.25">
      <c r="A3319" s="1218" t="s">
        <v>197</v>
      </c>
      <c r="B3319" s="98">
        <v>46054</v>
      </c>
      <c r="C3319" s="117" t="str">
        <f t="shared" si="772"/>
        <v>8L</v>
      </c>
      <c r="F3319" s="99">
        <f t="shared" si="771"/>
        <v>0</v>
      </c>
      <c r="I3319" s="99">
        <f t="shared" si="770"/>
        <v>0</v>
      </c>
      <c r="L3319" s="99">
        <f t="shared" si="758"/>
        <v>0</v>
      </c>
      <c r="M3319" s="44" t="str">
        <f t="shared" si="760"/>
        <v/>
      </c>
      <c r="N3319" s="100">
        <f t="shared" si="761"/>
        <v>0</v>
      </c>
      <c r="O3319" s="101">
        <f t="shared" si="762"/>
        <v>0</v>
      </c>
      <c r="P3319" s="52">
        <f t="shared" si="763"/>
        <v>0</v>
      </c>
      <c r="Q3319" s="49">
        <v>116.88487613461319</v>
      </c>
      <c r="R3319">
        <v>2225</v>
      </c>
      <c r="S3319" s="50">
        <f t="shared" si="759"/>
        <v>71535.307499999995</v>
      </c>
      <c r="T3319" s="50">
        <f t="shared" si="764"/>
        <v>0</v>
      </c>
      <c r="U3319" s="58">
        <f t="shared" si="765"/>
        <v>0</v>
      </c>
      <c r="V3319" s="58">
        <f t="shared" si="766"/>
        <v>0</v>
      </c>
      <c r="W3319" s="58">
        <f t="shared" si="767"/>
        <v>0</v>
      </c>
      <c r="X3319" s="58">
        <f t="shared" si="768"/>
        <v>0</v>
      </c>
      <c r="Y3319" s="52">
        <f t="shared" si="769"/>
        <v>0</v>
      </c>
    </row>
    <row r="3320" spans="1:25" x14ac:dyDescent="0.25">
      <c r="A3320" s="1218" t="s">
        <v>198</v>
      </c>
      <c r="B3320" s="98">
        <v>46054</v>
      </c>
      <c r="C3320" s="117" t="str">
        <f t="shared" si="772"/>
        <v>8L</v>
      </c>
      <c r="F3320" s="99">
        <f t="shared" si="771"/>
        <v>0</v>
      </c>
      <c r="I3320" s="99">
        <f t="shared" si="770"/>
        <v>0</v>
      </c>
      <c r="L3320" s="99">
        <f t="shared" si="758"/>
        <v>0</v>
      </c>
      <c r="M3320" s="44" t="str">
        <f t="shared" si="760"/>
        <v/>
      </c>
      <c r="N3320" s="100">
        <f t="shared" si="761"/>
        <v>0</v>
      </c>
      <c r="O3320" s="101">
        <f t="shared" si="762"/>
        <v>0</v>
      </c>
      <c r="P3320" s="52">
        <f t="shared" si="763"/>
        <v>0</v>
      </c>
      <c r="Q3320" s="49">
        <v>116.88487613461319</v>
      </c>
      <c r="R3320">
        <v>2225</v>
      </c>
      <c r="S3320" s="50">
        <f t="shared" si="759"/>
        <v>71535.307499999995</v>
      </c>
      <c r="T3320" s="50">
        <f t="shared" si="764"/>
        <v>0</v>
      </c>
      <c r="U3320" s="58">
        <f t="shared" si="765"/>
        <v>0</v>
      </c>
      <c r="V3320" s="58">
        <f t="shared" si="766"/>
        <v>0</v>
      </c>
      <c r="W3320" s="58">
        <f t="shared" si="767"/>
        <v>0</v>
      </c>
      <c r="X3320" s="58">
        <f t="shared" si="768"/>
        <v>0</v>
      </c>
      <c r="Y3320" s="52">
        <f t="shared" si="769"/>
        <v>0</v>
      </c>
    </row>
    <row r="3321" spans="1:25" x14ac:dyDescent="0.25">
      <c r="A3321" s="1218" t="s">
        <v>199</v>
      </c>
      <c r="B3321" s="98">
        <v>46054</v>
      </c>
      <c r="C3321" s="117" t="str">
        <f t="shared" si="772"/>
        <v>8L</v>
      </c>
      <c r="F3321" s="99">
        <f t="shared" si="771"/>
        <v>0</v>
      </c>
      <c r="I3321" s="99">
        <f t="shared" si="770"/>
        <v>0</v>
      </c>
      <c r="L3321" s="99">
        <f t="shared" si="758"/>
        <v>0</v>
      </c>
      <c r="M3321" s="44" t="str">
        <f t="shared" si="760"/>
        <v/>
      </c>
      <c r="N3321" s="100">
        <f t="shared" si="761"/>
        <v>0</v>
      </c>
      <c r="O3321" s="101">
        <f t="shared" si="762"/>
        <v>0</v>
      </c>
      <c r="P3321" s="52">
        <f t="shared" si="763"/>
        <v>0</v>
      </c>
      <c r="Q3321" s="49">
        <v>116.88487613461319</v>
      </c>
      <c r="R3321">
        <v>2225</v>
      </c>
      <c r="S3321" s="50">
        <f t="shared" si="759"/>
        <v>71535.307499999995</v>
      </c>
      <c r="T3321" s="50">
        <f t="shared" si="764"/>
        <v>0</v>
      </c>
      <c r="U3321" s="58">
        <f t="shared" si="765"/>
        <v>0</v>
      </c>
      <c r="V3321" s="58">
        <f t="shared" si="766"/>
        <v>0</v>
      </c>
      <c r="W3321" s="58">
        <f t="shared" si="767"/>
        <v>0</v>
      </c>
      <c r="X3321" s="58">
        <f t="shared" si="768"/>
        <v>0</v>
      </c>
      <c r="Y3321" s="52">
        <f t="shared" si="769"/>
        <v>0</v>
      </c>
    </row>
    <row r="3322" spans="1:25" x14ac:dyDescent="0.25">
      <c r="A3322" s="1218" t="s">
        <v>200</v>
      </c>
      <c r="B3322" s="98">
        <v>46054</v>
      </c>
      <c r="C3322" s="117" t="str">
        <f t="shared" si="772"/>
        <v>8L</v>
      </c>
      <c r="F3322" s="99">
        <f t="shared" si="771"/>
        <v>0</v>
      </c>
      <c r="I3322" s="99">
        <f t="shared" si="770"/>
        <v>0</v>
      </c>
      <c r="L3322" s="99">
        <f t="shared" si="758"/>
        <v>0</v>
      </c>
      <c r="M3322" s="44" t="str">
        <f t="shared" si="760"/>
        <v/>
      </c>
      <c r="N3322" s="100">
        <f t="shared" si="761"/>
        <v>0</v>
      </c>
      <c r="O3322" s="101">
        <f t="shared" si="762"/>
        <v>0</v>
      </c>
      <c r="P3322" s="52">
        <f t="shared" si="763"/>
        <v>0</v>
      </c>
      <c r="Q3322" s="49">
        <v>116.88487613461319</v>
      </c>
      <c r="R3322">
        <v>2225</v>
      </c>
      <c r="S3322" s="50">
        <f t="shared" si="759"/>
        <v>71535.307499999995</v>
      </c>
      <c r="T3322" s="50">
        <f t="shared" si="764"/>
        <v>0</v>
      </c>
      <c r="U3322" s="58">
        <f t="shared" si="765"/>
        <v>0</v>
      </c>
      <c r="V3322" s="58">
        <f t="shared" si="766"/>
        <v>0</v>
      </c>
      <c r="W3322" s="58">
        <f t="shared" si="767"/>
        <v>0</v>
      </c>
      <c r="X3322" s="58">
        <f t="shared" si="768"/>
        <v>0</v>
      </c>
      <c r="Y3322" s="52">
        <f t="shared" si="769"/>
        <v>0</v>
      </c>
    </row>
    <row r="3323" spans="1:25" x14ac:dyDescent="0.25">
      <c r="A3323" s="1218" t="s">
        <v>201</v>
      </c>
      <c r="B3323" s="98">
        <v>46054</v>
      </c>
      <c r="C3323" s="117" t="str">
        <f t="shared" si="772"/>
        <v>8L</v>
      </c>
      <c r="F3323" s="99">
        <f t="shared" si="771"/>
        <v>0</v>
      </c>
      <c r="I3323" s="99">
        <f t="shared" si="770"/>
        <v>0</v>
      </c>
      <c r="L3323" s="99">
        <f t="shared" si="758"/>
        <v>0</v>
      </c>
      <c r="M3323" s="44" t="str">
        <f t="shared" si="760"/>
        <v/>
      </c>
      <c r="N3323" s="100">
        <f t="shared" si="761"/>
        <v>0</v>
      </c>
      <c r="O3323" s="101">
        <f t="shared" si="762"/>
        <v>0</v>
      </c>
      <c r="P3323" s="52">
        <f t="shared" si="763"/>
        <v>0</v>
      </c>
      <c r="Q3323" s="49">
        <v>116.88487613461319</v>
      </c>
      <c r="R3323">
        <v>2225</v>
      </c>
      <c r="S3323" s="50">
        <f t="shared" si="759"/>
        <v>71535.307499999995</v>
      </c>
      <c r="T3323" s="50">
        <f t="shared" si="764"/>
        <v>0</v>
      </c>
      <c r="U3323" s="58">
        <f t="shared" si="765"/>
        <v>0</v>
      </c>
      <c r="V3323" s="58">
        <f t="shared" si="766"/>
        <v>0</v>
      </c>
      <c r="W3323" s="58">
        <f t="shared" si="767"/>
        <v>0</v>
      </c>
      <c r="X3323" s="58">
        <f t="shared" si="768"/>
        <v>0</v>
      </c>
      <c r="Y3323" s="52">
        <f t="shared" si="769"/>
        <v>0</v>
      </c>
    </row>
    <row r="3324" spans="1:25" x14ac:dyDescent="0.25">
      <c r="A3324" s="1218" t="s">
        <v>202</v>
      </c>
      <c r="B3324" s="98">
        <v>46054</v>
      </c>
      <c r="C3324" s="117" t="str">
        <f t="shared" si="772"/>
        <v>8L</v>
      </c>
      <c r="F3324" s="99">
        <f t="shared" si="771"/>
        <v>0</v>
      </c>
      <c r="I3324" s="99">
        <f t="shared" si="770"/>
        <v>0</v>
      </c>
      <c r="L3324" s="99">
        <f t="shared" si="758"/>
        <v>0</v>
      </c>
      <c r="M3324" s="44" t="str">
        <f t="shared" si="760"/>
        <v/>
      </c>
      <c r="N3324" s="100">
        <f t="shared" si="761"/>
        <v>0</v>
      </c>
      <c r="O3324" s="101">
        <f t="shared" si="762"/>
        <v>0</v>
      </c>
      <c r="P3324" s="52">
        <f t="shared" si="763"/>
        <v>0</v>
      </c>
      <c r="Q3324" s="49">
        <v>116.88487613461319</v>
      </c>
      <c r="R3324">
        <v>2225</v>
      </c>
      <c r="S3324" s="50">
        <f t="shared" si="759"/>
        <v>71535.307499999995</v>
      </c>
      <c r="T3324" s="50">
        <f t="shared" si="764"/>
        <v>0</v>
      </c>
      <c r="U3324" s="58">
        <f t="shared" si="765"/>
        <v>0</v>
      </c>
      <c r="V3324" s="58">
        <f t="shared" si="766"/>
        <v>0</v>
      </c>
      <c r="W3324" s="58">
        <f t="shared" si="767"/>
        <v>0</v>
      </c>
      <c r="X3324" s="58">
        <f t="shared" si="768"/>
        <v>0</v>
      </c>
      <c r="Y3324" s="52">
        <f t="shared" si="769"/>
        <v>0</v>
      </c>
    </row>
    <row r="3325" spans="1:25" x14ac:dyDescent="0.25">
      <c r="A3325" s="1218" t="s">
        <v>203</v>
      </c>
      <c r="B3325" s="98">
        <v>46054</v>
      </c>
      <c r="C3325" s="117" t="str">
        <f t="shared" si="772"/>
        <v>8L</v>
      </c>
      <c r="F3325" s="99">
        <f t="shared" si="771"/>
        <v>0</v>
      </c>
      <c r="I3325" s="99">
        <f t="shared" ref="I3325:I3329" si="773">IFERROR(G3325*H3325/1000,"")</f>
        <v>0</v>
      </c>
      <c r="L3325" s="99">
        <f t="shared" si="758"/>
        <v>0</v>
      </c>
      <c r="M3325" s="44" t="str">
        <f t="shared" si="760"/>
        <v/>
      </c>
      <c r="N3325" s="100">
        <f t="shared" si="761"/>
        <v>0</v>
      </c>
      <c r="O3325" s="101">
        <f t="shared" si="762"/>
        <v>0</v>
      </c>
      <c r="P3325" s="52">
        <f t="shared" si="763"/>
        <v>0</v>
      </c>
      <c r="Q3325" s="49">
        <v>116.88487613461319</v>
      </c>
      <c r="R3325">
        <v>2225</v>
      </c>
      <c r="S3325" s="50">
        <f t="shared" si="759"/>
        <v>71535.307499999995</v>
      </c>
      <c r="T3325" s="50">
        <f t="shared" si="764"/>
        <v>0</v>
      </c>
      <c r="U3325" s="58">
        <f t="shared" si="765"/>
        <v>0</v>
      </c>
      <c r="V3325" s="58">
        <f t="shared" si="766"/>
        <v>0</v>
      </c>
      <c r="W3325" s="58">
        <f t="shared" si="767"/>
        <v>0</v>
      </c>
      <c r="X3325" s="58">
        <f t="shared" si="768"/>
        <v>0</v>
      </c>
      <c r="Y3325" s="52">
        <f t="shared" si="769"/>
        <v>0</v>
      </c>
    </row>
    <row r="3326" spans="1:25" x14ac:dyDescent="0.25">
      <c r="A3326" s="1218" t="s">
        <v>204</v>
      </c>
      <c r="B3326" s="98">
        <v>46054</v>
      </c>
      <c r="C3326" s="117" t="str">
        <f t="shared" si="772"/>
        <v>8L</v>
      </c>
      <c r="F3326" s="99">
        <f t="shared" si="771"/>
        <v>0</v>
      </c>
      <c r="I3326" s="99">
        <f t="shared" si="773"/>
        <v>0</v>
      </c>
      <c r="L3326" s="99">
        <f t="shared" si="758"/>
        <v>0</v>
      </c>
      <c r="M3326" s="44" t="str">
        <f t="shared" si="760"/>
        <v/>
      </c>
      <c r="N3326" s="100">
        <f t="shared" si="761"/>
        <v>0</v>
      </c>
      <c r="O3326" s="101">
        <f t="shared" si="762"/>
        <v>0</v>
      </c>
      <c r="P3326" s="52">
        <f t="shared" si="763"/>
        <v>0</v>
      </c>
      <c r="Q3326" s="49">
        <v>116.88487613461319</v>
      </c>
      <c r="R3326">
        <v>2225</v>
      </c>
      <c r="S3326" s="50">
        <f t="shared" si="759"/>
        <v>71535.307499999995</v>
      </c>
      <c r="T3326" s="50">
        <f t="shared" si="764"/>
        <v>0</v>
      </c>
      <c r="U3326" s="58">
        <f t="shared" si="765"/>
        <v>0</v>
      </c>
      <c r="V3326" s="58">
        <f t="shared" si="766"/>
        <v>0</v>
      </c>
      <c r="W3326" s="58">
        <f t="shared" si="767"/>
        <v>0</v>
      </c>
      <c r="X3326" s="58">
        <f t="shared" si="768"/>
        <v>0</v>
      </c>
      <c r="Y3326" s="52">
        <f t="shared" si="769"/>
        <v>0</v>
      </c>
    </row>
    <row r="3327" spans="1:25" x14ac:dyDescent="0.25">
      <c r="A3327" s="1218" t="s">
        <v>205</v>
      </c>
      <c r="B3327" s="98">
        <v>46054</v>
      </c>
      <c r="C3327" s="117" t="str">
        <f t="shared" si="772"/>
        <v>8L</v>
      </c>
      <c r="F3327" s="99">
        <f t="shared" si="771"/>
        <v>0</v>
      </c>
      <c r="I3327" s="99">
        <f t="shared" si="773"/>
        <v>0</v>
      </c>
      <c r="L3327" s="99">
        <f t="shared" si="758"/>
        <v>0</v>
      </c>
      <c r="M3327" s="44" t="str">
        <f t="shared" si="760"/>
        <v/>
      </c>
      <c r="N3327" s="100">
        <f t="shared" si="761"/>
        <v>0</v>
      </c>
      <c r="O3327" s="101">
        <f t="shared" si="762"/>
        <v>0</v>
      </c>
      <c r="P3327" s="52">
        <f t="shared" si="763"/>
        <v>0</v>
      </c>
      <c r="Q3327" s="49">
        <v>116.88487613461319</v>
      </c>
      <c r="R3327">
        <v>2225</v>
      </c>
      <c r="S3327" s="50">
        <f t="shared" si="759"/>
        <v>71535.307499999995</v>
      </c>
      <c r="T3327" s="50">
        <f t="shared" si="764"/>
        <v>0</v>
      </c>
      <c r="U3327" s="58">
        <f t="shared" si="765"/>
        <v>0</v>
      </c>
      <c r="V3327" s="58">
        <f t="shared" si="766"/>
        <v>0</v>
      </c>
      <c r="W3327" s="58">
        <f t="shared" si="767"/>
        <v>0</v>
      </c>
      <c r="X3327" s="58">
        <f t="shared" si="768"/>
        <v>0</v>
      </c>
      <c r="Y3327" s="52">
        <f t="shared" si="769"/>
        <v>0</v>
      </c>
    </row>
    <row r="3328" spans="1:25" x14ac:dyDescent="0.25">
      <c r="A3328" s="1218" t="s">
        <v>206</v>
      </c>
      <c r="B3328" s="98">
        <v>46054</v>
      </c>
      <c r="C3328" s="117" t="str">
        <f t="shared" si="772"/>
        <v>8L</v>
      </c>
      <c r="F3328" s="99">
        <f t="shared" si="771"/>
        <v>0</v>
      </c>
      <c r="I3328" s="99">
        <f t="shared" si="773"/>
        <v>0</v>
      </c>
      <c r="L3328" s="99">
        <f t="shared" si="758"/>
        <v>0</v>
      </c>
      <c r="M3328" s="44" t="str">
        <f t="shared" si="760"/>
        <v/>
      </c>
      <c r="N3328" s="100">
        <f t="shared" si="761"/>
        <v>0</v>
      </c>
      <c r="O3328" s="101">
        <f t="shared" si="762"/>
        <v>0</v>
      </c>
      <c r="P3328" s="52">
        <f t="shared" si="763"/>
        <v>0</v>
      </c>
      <c r="Q3328" s="49">
        <v>116.88487613461319</v>
      </c>
      <c r="R3328">
        <v>2225</v>
      </c>
      <c r="S3328" s="50">
        <f t="shared" si="759"/>
        <v>71535.307499999995</v>
      </c>
      <c r="T3328" s="50">
        <f t="shared" si="764"/>
        <v>0</v>
      </c>
      <c r="U3328" s="58">
        <f t="shared" si="765"/>
        <v>0</v>
      </c>
      <c r="V3328" s="58">
        <f t="shared" si="766"/>
        <v>0</v>
      </c>
      <c r="W3328" s="58">
        <f t="shared" si="767"/>
        <v>0</v>
      </c>
      <c r="X3328" s="58">
        <f t="shared" si="768"/>
        <v>0</v>
      </c>
      <c r="Y3328" s="52">
        <f t="shared" si="769"/>
        <v>0</v>
      </c>
    </row>
    <row r="3329" spans="1:25" ht="15.75" thickBot="1" x14ac:dyDescent="0.3">
      <c r="A3329" s="1219" t="s">
        <v>207</v>
      </c>
      <c r="B3329" s="98">
        <v>46054</v>
      </c>
      <c r="C3329" s="117" t="str">
        <f t="shared" si="772"/>
        <v>8L</v>
      </c>
      <c r="F3329" s="99">
        <f t="shared" si="771"/>
        <v>0</v>
      </c>
      <c r="I3329" s="99">
        <f t="shared" si="773"/>
        <v>0</v>
      </c>
      <c r="L3329" s="99">
        <f t="shared" si="758"/>
        <v>0</v>
      </c>
      <c r="M3329" s="44" t="str">
        <f t="shared" si="760"/>
        <v/>
      </c>
      <c r="N3329" s="100">
        <f t="shared" si="761"/>
        <v>0</v>
      </c>
      <c r="O3329" s="101">
        <f t="shared" si="762"/>
        <v>0</v>
      </c>
      <c r="P3329" s="52">
        <f t="shared" si="763"/>
        <v>0</v>
      </c>
      <c r="Q3329" s="49">
        <v>116.88487613461319</v>
      </c>
      <c r="R3329">
        <v>2225</v>
      </c>
      <c r="S3329" s="50">
        <f t="shared" si="759"/>
        <v>71535.307499999995</v>
      </c>
      <c r="T3329" s="50">
        <f t="shared" si="764"/>
        <v>0</v>
      </c>
      <c r="U3329" s="58">
        <f t="shared" si="765"/>
        <v>0</v>
      </c>
      <c r="V3329" s="58">
        <f t="shared" si="766"/>
        <v>0</v>
      </c>
      <c r="W3329" s="58">
        <f t="shared" si="767"/>
        <v>0</v>
      </c>
      <c r="X3329" s="58">
        <f t="shared" si="768"/>
        <v>0</v>
      </c>
      <c r="Y3329" s="52">
        <f t="shared" si="769"/>
        <v>0</v>
      </c>
    </row>
  </sheetData>
  <phoneticPr fontId="10" type="noConversion"/>
  <conditionalFormatting sqref="N2:N3329">
    <cfRule type="iconSet" priority="904">
      <iconSet iconSet="3Arrows">
        <cfvo type="percent" val="0"/>
        <cfvo type="num" val="0"/>
        <cfvo type="num" val="0"/>
      </iconSet>
    </cfRule>
  </conditionalFormatting>
  <conditionalFormatting sqref="O2:O3329">
    <cfRule type="iconSet" priority="906">
      <iconSet iconSet="3Arrows">
        <cfvo type="percent" val="0"/>
        <cfvo type="num" val="0"/>
        <cfvo type="num" val="0"/>
      </iconSet>
    </cfRule>
  </conditionalFormatting>
  <conditionalFormatting sqref="P1:P1048576">
    <cfRule type="iconSet" priority="4">
      <iconSet iconSet="3Arrows">
        <cfvo type="percent" val="0"/>
        <cfvo type="num" val="0"/>
        <cfvo type="num" val="0"/>
      </iconSet>
    </cfRule>
    <cfRule type="iconSet" priority="5">
      <iconSet>
        <cfvo type="percent" val="0"/>
        <cfvo type="percent" val="0"/>
        <cfvo type="percent" val="0"/>
      </iconSet>
    </cfRule>
  </conditionalFormatting>
  <conditionalFormatting sqref="P2:P3329">
    <cfRule type="iconSet" priority="908">
      <iconSet iconSet="3Arrows">
        <cfvo type="percent" val="0"/>
        <cfvo type="percent" val="33"/>
        <cfvo type="percent" val="67"/>
      </iconSet>
    </cfRule>
  </conditionalFormatting>
  <conditionalFormatting sqref="X2:Y3329">
    <cfRule type="cellIs" dxfId="1731" priority="1" operator="lessThan">
      <formula>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57765-192A-42F4-81A3-3A9BEEA56B55}">
  <sheetPr codeName="Sheet3">
    <tabColor rgb="FF92D050"/>
  </sheetPr>
  <dimension ref="A1:IZ162"/>
  <sheetViews>
    <sheetView zoomScale="90" zoomScaleNormal="90" workbookViewId="0">
      <pane xSplit="4" ySplit="2" topLeftCell="E37" activePane="bottomRight" state="frozen"/>
      <selection pane="topRight" activeCell="E1" sqref="E1"/>
      <selection pane="bottomLeft" activeCell="A3" sqref="A3"/>
      <selection pane="bottomRight" activeCell="G41" sqref="G41"/>
    </sheetView>
  </sheetViews>
  <sheetFormatPr defaultRowHeight="15" x14ac:dyDescent="0.25"/>
  <cols>
    <col min="1" max="1" width="9.85546875" bestFit="1" customWidth="1"/>
    <col min="3" max="3" width="8.85546875" bestFit="1" customWidth="1"/>
    <col min="4" max="4" width="9" bestFit="1" customWidth="1"/>
    <col min="5" max="12" width="9" customWidth="1"/>
  </cols>
  <sheetData>
    <row r="1" spans="1:260" ht="41.25" thickBot="1" x14ac:dyDescent="0.3">
      <c r="A1" s="11" t="s">
        <v>208</v>
      </c>
      <c r="B1" s="11"/>
      <c r="C1" s="136" t="s">
        <v>209</v>
      </c>
      <c r="D1" s="25" t="s">
        <v>2</v>
      </c>
      <c r="E1" s="1579" t="s">
        <v>80</v>
      </c>
      <c r="F1" s="1580"/>
      <c r="G1" s="1579" t="s">
        <v>81</v>
      </c>
      <c r="H1" s="1580"/>
      <c r="I1" s="1579" t="s">
        <v>82</v>
      </c>
      <c r="J1" s="1580"/>
      <c r="K1" s="1579" t="s">
        <v>83</v>
      </c>
      <c r="L1" s="1580"/>
      <c r="M1" s="1579" t="s">
        <v>84</v>
      </c>
      <c r="N1" s="1580"/>
      <c r="O1" s="1579" t="s">
        <v>85</v>
      </c>
      <c r="P1" s="1580"/>
      <c r="Q1" s="1579" t="s">
        <v>86</v>
      </c>
      <c r="R1" s="1580"/>
      <c r="S1" s="1579" t="s">
        <v>87</v>
      </c>
      <c r="T1" s="1580"/>
      <c r="U1" s="1579" t="s">
        <v>88</v>
      </c>
      <c r="V1" s="1580"/>
      <c r="W1" s="1583" t="s">
        <v>89</v>
      </c>
      <c r="X1" s="1584" t="s">
        <v>86</v>
      </c>
      <c r="Y1" s="1579" t="s">
        <v>90</v>
      </c>
      <c r="Z1" s="1580"/>
      <c r="AA1" s="1579" t="s">
        <v>91</v>
      </c>
      <c r="AB1" s="1580"/>
      <c r="AC1" s="1579" t="s">
        <v>92</v>
      </c>
      <c r="AD1" s="1588"/>
      <c r="AE1" s="1581" t="s">
        <v>93</v>
      </c>
      <c r="AF1" s="1582"/>
      <c r="AG1" s="1581" t="s">
        <v>94</v>
      </c>
      <c r="AH1" s="1582"/>
      <c r="AI1" s="1581" t="s">
        <v>95</v>
      </c>
      <c r="AJ1" s="1582"/>
      <c r="AK1" s="1581" t="s">
        <v>96</v>
      </c>
      <c r="AL1" s="1582"/>
      <c r="AM1" s="1592" t="s">
        <v>97</v>
      </c>
      <c r="AN1" s="1584" t="s">
        <v>106</v>
      </c>
      <c r="AO1" s="1579" t="s">
        <v>98</v>
      </c>
      <c r="AP1" s="1580"/>
      <c r="AQ1" s="1579" t="s">
        <v>99</v>
      </c>
      <c r="AR1" s="1580"/>
      <c r="AS1" s="1579" t="s">
        <v>100</v>
      </c>
      <c r="AT1" s="1580"/>
      <c r="AU1" s="1579" t="s">
        <v>101</v>
      </c>
      <c r="AV1" s="1588"/>
      <c r="AW1" s="1581" t="s">
        <v>102</v>
      </c>
      <c r="AX1" s="1582"/>
      <c r="AY1" s="1593" t="s">
        <v>103</v>
      </c>
      <c r="AZ1" s="1580" t="s">
        <v>210</v>
      </c>
      <c r="BA1" s="1579" t="s">
        <v>104</v>
      </c>
      <c r="BB1" s="1580" t="s">
        <v>210</v>
      </c>
      <c r="BC1" s="1579" t="s">
        <v>105</v>
      </c>
      <c r="BD1" s="1580" t="s">
        <v>210</v>
      </c>
      <c r="BE1" s="1579" t="s">
        <v>106</v>
      </c>
      <c r="BF1" s="1580" t="s">
        <v>106</v>
      </c>
      <c r="BG1" s="1579" t="s">
        <v>107</v>
      </c>
      <c r="BH1" s="1580"/>
      <c r="BI1" s="1579" t="s">
        <v>108</v>
      </c>
      <c r="BJ1" s="1580"/>
      <c r="BK1" s="1579" t="s">
        <v>109</v>
      </c>
      <c r="BL1" s="1580" t="s">
        <v>109</v>
      </c>
      <c r="BM1" s="1579" t="s">
        <v>110</v>
      </c>
      <c r="BN1" s="1580" t="s">
        <v>109</v>
      </c>
      <c r="BO1" s="1579" t="s">
        <v>111</v>
      </c>
      <c r="BP1" s="1580"/>
      <c r="BQ1" s="1579" t="s">
        <v>112</v>
      </c>
      <c r="BR1" s="1580" t="s">
        <v>115</v>
      </c>
      <c r="BS1" s="1579" t="s">
        <v>113</v>
      </c>
      <c r="BT1" s="1580"/>
      <c r="BU1" s="1579" t="s">
        <v>114</v>
      </c>
      <c r="BV1" s="1580"/>
      <c r="BW1" s="1579" t="s">
        <v>115</v>
      </c>
      <c r="BX1" s="1580"/>
      <c r="BY1" s="1579" t="s">
        <v>116</v>
      </c>
      <c r="BZ1" s="1580"/>
      <c r="CA1" s="1579" t="s">
        <v>117</v>
      </c>
      <c r="CB1" s="1580"/>
      <c r="CC1" s="1579" t="s">
        <v>118</v>
      </c>
      <c r="CD1" s="1580"/>
      <c r="CE1" s="1579" t="s">
        <v>119</v>
      </c>
      <c r="CF1" s="1580"/>
      <c r="CG1" s="1579" t="s">
        <v>120</v>
      </c>
      <c r="CH1" s="1588"/>
      <c r="CI1" s="1581" t="s">
        <v>121</v>
      </c>
      <c r="CJ1" s="1582"/>
      <c r="CK1" s="1581" t="s">
        <v>122</v>
      </c>
      <c r="CL1" s="1582"/>
      <c r="CM1" s="1593" t="s">
        <v>123</v>
      </c>
      <c r="CN1" s="1580"/>
      <c r="CO1" s="1579" t="s">
        <v>124</v>
      </c>
      <c r="CP1" s="1580"/>
      <c r="CQ1" s="1579" t="s">
        <v>125</v>
      </c>
      <c r="CR1" s="1580"/>
      <c r="CS1" s="1579" t="s">
        <v>126</v>
      </c>
      <c r="CT1" s="1580"/>
      <c r="CU1" s="1579" t="s">
        <v>127</v>
      </c>
      <c r="CV1" s="1580"/>
      <c r="CW1" s="1579" t="s">
        <v>128</v>
      </c>
      <c r="CX1" s="1580"/>
      <c r="CY1" s="1579" t="s">
        <v>129</v>
      </c>
      <c r="CZ1" s="1580"/>
      <c r="DA1" s="1579" t="s">
        <v>130</v>
      </c>
      <c r="DB1" s="1580"/>
      <c r="DC1" s="1579" t="s">
        <v>131</v>
      </c>
      <c r="DD1" s="1580" t="s">
        <v>131</v>
      </c>
      <c r="DE1" s="1579" t="s">
        <v>132</v>
      </c>
      <c r="DF1" s="1580" t="s">
        <v>131</v>
      </c>
      <c r="DG1" s="1579" t="s">
        <v>133</v>
      </c>
      <c r="DH1" s="1580" t="s">
        <v>131</v>
      </c>
      <c r="DI1" s="1579" t="s">
        <v>134</v>
      </c>
      <c r="DJ1" s="1580" t="s">
        <v>131</v>
      </c>
      <c r="DK1" s="1579" t="s">
        <v>135</v>
      </c>
      <c r="DL1" s="1580" t="s">
        <v>131</v>
      </c>
      <c r="DM1" s="1579" t="s">
        <v>136</v>
      </c>
      <c r="DN1" s="1580" t="s">
        <v>131</v>
      </c>
      <c r="DO1" s="1579" t="s">
        <v>137</v>
      </c>
      <c r="DP1" s="1580" t="s">
        <v>131</v>
      </c>
      <c r="DQ1" s="1579" t="s">
        <v>138</v>
      </c>
      <c r="DR1" s="1580" t="s">
        <v>131</v>
      </c>
      <c r="DS1" s="1579" t="s">
        <v>139</v>
      </c>
      <c r="DT1" s="1580" t="s">
        <v>131</v>
      </c>
      <c r="DU1" s="1579" t="s">
        <v>140</v>
      </c>
      <c r="DV1" s="1588" t="s">
        <v>131</v>
      </c>
      <c r="DW1" s="1581" t="s">
        <v>141</v>
      </c>
      <c r="DX1" s="1582"/>
      <c r="DY1" s="1581" t="s">
        <v>142</v>
      </c>
      <c r="DZ1" s="1582"/>
      <c r="EA1" s="1581" t="s">
        <v>143</v>
      </c>
      <c r="EB1" s="1582"/>
      <c r="EC1" s="1581" t="s">
        <v>144</v>
      </c>
      <c r="ED1" s="1582"/>
      <c r="EE1" s="1581" t="s">
        <v>145</v>
      </c>
      <c r="EF1" s="1582"/>
      <c r="EG1" s="1581" t="s">
        <v>146</v>
      </c>
      <c r="EH1" s="1582"/>
      <c r="EI1" s="1581" t="s">
        <v>147</v>
      </c>
      <c r="EJ1" s="1582"/>
      <c r="EK1" s="1581" t="s">
        <v>148</v>
      </c>
      <c r="EL1" s="1582"/>
      <c r="EM1" s="1581" t="s">
        <v>149</v>
      </c>
      <c r="EN1" s="1582"/>
      <c r="EO1" s="1593" t="s">
        <v>150</v>
      </c>
      <c r="EP1" s="1580"/>
      <c r="EQ1" s="1579" t="s">
        <v>151</v>
      </c>
      <c r="ER1" s="1588"/>
      <c r="ES1" s="1581" t="s">
        <v>152</v>
      </c>
      <c r="ET1" s="1582"/>
      <c r="EU1" s="1581" t="s">
        <v>153</v>
      </c>
      <c r="EV1" s="1582"/>
      <c r="EW1" s="1581" t="s">
        <v>154</v>
      </c>
      <c r="EX1" s="1582"/>
      <c r="EY1" s="1581" t="s">
        <v>155</v>
      </c>
      <c r="EZ1" s="1582"/>
      <c r="FA1" s="1593" t="s">
        <v>156</v>
      </c>
      <c r="FB1" s="1580"/>
      <c r="FC1" s="1579" t="s">
        <v>157</v>
      </c>
      <c r="FD1" s="1580"/>
      <c r="FE1" s="1579" t="s">
        <v>158</v>
      </c>
      <c r="FF1" s="1580"/>
      <c r="FG1" s="1579" t="s">
        <v>159</v>
      </c>
      <c r="FH1" s="1580"/>
      <c r="FI1" s="1579" t="s">
        <v>160</v>
      </c>
      <c r="FJ1" s="1580"/>
      <c r="FK1" s="1579" t="s">
        <v>161</v>
      </c>
      <c r="FL1" s="1580"/>
      <c r="FM1" s="1579" t="s">
        <v>162</v>
      </c>
      <c r="FN1" s="1588"/>
      <c r="FO1" s="1581" t="s">
        <v>163</v>
      </c>
      <c r="FP1" s="1582"/>
      <c r="FQ1" s="1581" t="s">
        <v>164</v>
      </c>
      <c r="FR1" s="1582"/>
      <c r="FS1" s="1581" t="s">
        <v>165</v>
      </c>
      <c r="FT1" s="1582"/>
      <c r="FU1" s="1581" t="s">
        <v>166</v>
      </c>
      <c r="FV1" s="1582"/>
      <c r="FW1" s="1581" t="s">
        <v>167</v>
      </c>
      <c r="FX1" s="1582"/>
      <c r="FY1" s="1581" t="s">
        <v>168</v>
      </c>
      <c r="FZ1" s="1582"/>
      <c r="GA1" s="1581" t="s">
        <v>169</v>
      </c>
      <c r="GB1" s="1582"/>
      <c r="GC1" s="1581" t="s">
        <v>170</v>
      </c>
      <c r="GD1" s="1582"/>
      <c r="GE1" s="1581" t="s">
        <v>171</v>
      </c>
      <c r="GF1" s="1582"/>
      <c r="GG1" s="1581" t="s">
        <v>172</v>
      </c>
      <c r="GH1" s="1582"/>
      <c r="GI1" s="1581" t="s">
        <v>173</v>
      </c>
      <c r="GJ1" s="1582"/>
      <c r="GK1" s="1581" t="s">
        <v>174</v>
      </c>
      <c r="GL1" s="1582"/>
      <c r="GM1" s="1581" t="s">
        <v>175</v>
      </c>
      <c r="GN1" s="1582"/>
      <c r="GO1" s="1581" t="s">
        <v>176</v>
      </c>
      <c r="GP1" s="1582"/>
      <c r="GQ1" s="1581" t="s">
        <v>177</v>
      </c>
      <c r="GR1" s="1582"/>
      <c r="GS1" s="1581" t="s">
        <v>178</v>
      </c>
      <c r="GT1" s="1582"/>
      <c r="GU1" s="1581" t="s">
        <v>179</v>
      </c>
      <c r="GV1" s="1582"/>
      <c r="GW1" s="1581" t="s">
        <v>180</v>
      </c>
      <c r="GX1" s="1582"/>
      <c r="GY1" s="1581" t="s">
        <v>181</v>
      </c>
      <c r="GZ1" s="1582"/>
      <c r="HA1" s="1581" t="s">
        <v>182</v>
      </c>
      <c r="HB1" s="1582"/>
      <c r="HC1" s="1581" t="s">
        <v>183</v>
      </c>
      <c r="HD1" s="1582"/>
      <c r="HE1" s="1581" t="s">
        <v>184</v>
      </c>
      <c r="HF1" s="1582"/>
      <c r="HG1" s="1581" t="s">
        <v>185</v>
      </c>
      <c r="HH1" s="1582"/>
      <c r="HI1" s="1581" t="s">
        <v>186</v>
      </c>
      <c r="HJ1" s="1582"/>
      <c r="HK1" s="1581" t="s">
        <v>187</v>
      </c>
      <c r="HL1" s="1582"/>
      <c r="HM1" s="1581" t="s">
        <v>188</v>
      </c>
      <c r="HN1" s="1582"/>
      <c r="HO1" s="1581" t="s">
        <v>189</v>
      </c>
      <c r="HP1" s="1582"/>
      <c r="HQ1" s="1581" t="s">
        <v>190</v>
      </c>
      <c r="HR1" s="1582"/>
      <c r="HS1" s="1581" t="s">
        <v>191</v>
      </c>
      <c r="HT1" s="1582"/>
      <c r="HU1" s="1581" t="s">
        <v>192</v>
      </c>
      <c r="HV1" s="1582"/>
      <c r="HW1" s="1581" t="s">
        <v>193</v>
      </c>
      <c r="HX1" s="1582"/>
      <c r="HY1" s="1581" t="s">
        <v>194</v>
      </c>
      <c r="HZ1" s="1582"/>
      <c r="IA1" s="1581" t="s">
        <v>195</v>
      </c>
      <c r="IB1" s="1582"/>
      <c r="IC1" s="1581" t="s">
        <v>196</v>
      </c>
      <c r="ID1" s="1582"/>
      <c r="IE1" s="1581" t="s">
        <v>197</v>
      </c>
      <c r="IF1" s="1582"/>
      <c r="IG1" s="1581" t="s">
        <v>198</v>
      </c>
      <c r="IH1" s="1582"/>
      <c r="II1" s="1581" t="s">
        <v>199</v>
      </c>
      <c r="IJ1" s="1582"/>
      <c r="IK1" s="1581" t="s">
        <v>200</v>
      </c>
      <c r="IL1" s="1582"/>
      <c r="IM1" s="1581" t="s">
        <v>201</v>
      </c>
      <c r="IN1" s="1582"/>
      <c r="IO1" s="1581" t="s">
        <v>202</v>
      </c>
      <c r="IP1" s="1582"/>
      <c r="IQ1" s="1581" t="s">
        <v>203</v>
      </c>
      <c r="IR1" s="1582"/>
      <c r="IS1" s="1581" t="s">
        <v>204</v>
      </c>
      <c r="IT1" s="1582"/>
      <c r="IU1" s="1581" t="s">
        <v>205</v>
      </c>
      <c r="IV1" s="1582"/>
      <c r="IW1" s="1581" t="s">
        <v>206</v>
      </c>
      <c r="IX1" s="1582"/>
      <c r="IY1" s="1581" t="s">
        <v>207</v>
      </c>
      <c r="IZ1" s="1582"/>
    </row>
    <row r="2" spans="1:260" ht="16.5" thickTop="1" thickBot="1" x14ac:dyDescent="0.3">
      <c r="A2" s="11"/>
      <c r="B2" s="11"/>
      <c r="C2" s="128"/>
      <c r="D2" s="128"/>
      <c r="E2" s="129" t="s">
        <v>1</v>
      </c>
      <c r="F2" s="129" t="s">
        <v>2</v>
      </c>
      <c r="G2" s="129" t="s">
        <v>1</v>
      </c>
      <c r="H2" s="129" t="s">
        <v>2</v>
      </c>
      <c r="I2" s="129" t="s">
        <v>1</v>
      </c>
      <c r="J2" s="129" t="s">
        <v>2</v>
      </c>
      <c r="K2" s="129" t="s">
        <v>1</v>
      </c>
      <c r="L2" s="129" t="s">
        <v>2</v>
      </c>
      <c r="M2" s="129" t="s">
        <v>1</v>
      </c>
      <c r="N2" s="129" t="s">
        <v>2</v>
      </c>
      <c r="O2" s="129" t="s">
        <v>1</v>
      </c>
      <c r="P2" s="129" t="s">
        <v>2</v>
      </c>
      <c r="Q2" s="129" t="s">
        <v>1</v>
      </c>
      <c r="R2" s="129" t="s">
        <v>2</v>
      </c>
      <c r="S2" s="129" t="s">
        <v>1</v>
      </c>
      <c r="T2" s="129" t="s">
        <v>2</v>
      </c>
      <c r="U2" s="129" t="s">
        <v>1</v>
      </c>
      <c r="V2" s="129" t="s">
        <v>2</v>
      </c>
      <c r="W2" s="129" t="s">
        <v>1</v>
      </c>
      <c r="X2" s="129" t="s">
        <v>2</v>
      </c>
      <c r="Y2" s="129" t="s">
        <v>1</v>
      </c>
      <c r="Z2" s="129" t="s">
        <v>2</v>
      </c>
      <c r="AA2" s="129" t="s">
        <v>1</v>
      </c>
      <c r="AB2" s="129" t="s">
        <v>2</v>
      </c>
      <c r="AC2" s="129" t="s">
        <v>1</v>
      </c>
      <c r="AD2" s="129" t="s">
        <v>2</v>
      </c>
      <c r="AE2" s="129" t="s">
        <v>1</v>
      </c>
      <c r="AF2" s="129" t="s">
        <v>2</v>
      </c>
      <c r="AG2" s="129" t="s">
        <v>1</v>
      </c>
      <c r="AH2" s="129" t="s">
        <v>2</v>
      </c>
      <c r="AI2" s="129" t="s">
        <v>1</v>
      </c>
      <c r="AJ2" s="129" t="s">
        <v>2</v>
      </c>
      <c r="AK2" s="129" t="s">
        <v>1</v>
      </c>
      <c r="AL2" s="129" t="s">
        <v>2</v>
      </c>
      <c r="AM2" s="129" t="s">
        <v>1</v>
      </c>
      <c r="AN2" s="129" t="s">
        <v>2</v>
      </c>
      <c r="AO2" s="129" t="s">
        <v>1</v>
      </c>
      <c r="AP2" s="129" t="s">
        <v>2</v>
      </c>
      <c r="AQ2" s="129" t="s">
        <v>1</v>
      </c>
      <c r="AR2" s="129" t="s">
        <v>2</v>
      </c>
      <c r="AS2" s="129" t="s">
        <v>1</v>
      </c>
      <c r="AT2" s="129" t="s">
        <v>2</v>
      </c>
      <c r="AU2" s="129" t="s">
        <v>1</v>
      </c>
      <c r="AV2" s="129" t="s">
        <v>2</v>
      </c>
      <c r="AW2" s="129" t="s">
        <v>1</v>
      </c>
      <c r="AX2" s="129" t="s">
        <v>2</v>
      </c>
      <c r="AY2" s="129" t="s">
        <v>1</v>
      </c>
      <c r="AZ2" s="129" t="s">
        <v>2</v>
      </c>
      <c r="BA2" s="129" t="s">
        <v>1</v>
      </c>
      <c r="BB2" s="129" t="s">
        <v>2</v>
      </c>
      <c r="BC2" s="129" t="s">
        <v>1</v>
      </c>
      <c r="BD2" s="129" t="s">
        <v>2</v>
      </c>
      <c r="BE2" s="129" t="s">
        <v>1</v>
      </c>
      <c r="BF2" s="129" t="s">
        <v>2</v>
      </c>
      <c r="BG2" s="129" t="s">
        <v>1</v>
      </c>
      <c r="BH2" s="129" t="s">
        <v>2</v>
      </c>
      <c r="BI2" s="129" t="s">
        <v>1</v>
      </c>
      <c r="BJ2" s="129" t="s">
        <v>2</v>
      </c>
      <c r="BK2" s="129" t="s">
        <v>1</v>
      </c>
      <c r="BL2" s="129" t="s">
        <v>2</v>
      </c>
      <c r="BM2" s="129" t="s">
        <v>1</v>
      </c>
      <c r="BN2" s="129" t="s">
        <v>2</v>
      </c>
      <c r="BO2" s="129" t="s">
        <v>1</v>
      </c>
      <c r="BP2" s="129" t="s">
        <v>2</v>
      </c>
      <c r="BQ2" s="129" t="s">
        <v>1</v>
      </c>
      <c r="BR2" s="129" t="s">
        <v>2</v>
      </c>
      <c r="BS2" s="129" t="s">
        <v>1</v>
      </c>
      <c r="BT2" s="129" t="s">
        <v>2</v>
      </c>
      <c r="BU2" s="129" t="s">
        <v>1</v>
      </c>
      <c r="BV2" s="129" t="s">
        <v>2</v>
      </c>
      <c r="BW2" s="129" t="s">
        <v>1</v>
      </c>
      <c r="BX2" s="129" t="s">
        <v>2</v>
      </c>
      <c r="BY2" s="129" t="s">
        <v>1</v>
      </c>
      <c r="BZ2" s="129" t="s">
        <v>2</v>
      </c>
      <c r="CA2" s="129" t="s">
        <v>1</v>
      </c>
      <c r="CB2" s="129" t="s">
        <v>2</v>
      </c>
      <c r="CC2" s="129" t="s">
        <v>1</v>
      </c>
      <c r="CD2" s="129" t="s">
        <v>2</v>
      </c>
      <c r="CE2" s="129" t="s">
        <v>1</v>
      </c>
      <c r="CF2" s="129" t="s">
        <v>2</v>
      </c>
      <c r="CG2" s="129" t="s">
        <v>1</v>
      </c>
      <c r="CH2" s="129" t="s">
        <v>2</v>
      </c>
      <c r="CI2" s="129" t="s">
        <v>1</v>
      </c>
      <c r="CJ2" s="129" t="s">
        <v>2</v>
      </c>
      <c r="CK2" s="129" t="s">
        <v>1</v>
      </c>
      <c r="CL2" s="129" t="s">
        <v>2</v>
      </c>
      <c r="CM2" s="129" t="s">
        <v>1</v>
      </c>
      <c r="CN2" s="129" t="s">
        <v>2</v>
      </c>
      <c r="CO2" s="129" t="s">
        <v>1</v>
      </c>
      <c r="CP2" s="129" t="s">
        <v>2</v>
      </c>
      <c r="CQ2" s="129" t="s">
        <v>1</v>
      </c>
      <c r="CR2" s="129" t="s">
        <v>2</v>
      </c>
      <c r="CS2" s="129" t="s">
        <v>1</v>
      </c>
      <c r="CT2" s="129" t="s">
        <v>2</v>
      </c>
      <c r="CU2" s="129" t="s">
        <v>1</v>
      </c>
      <c r="CV2" s="129" t="s">
        <v>2</v>
      </c>
      <c r="CW2" s="129" t="s">
        <v>1</v>
      </c>
      <c r="CX2" s="129" t="s">
        <v>2</v>
      </c>
      <c r="CY2" s="129" t="s">
        <v>1</v>
      </c>
      <c r="CZ2" s="129" t="s">
        <v>2</v>
      </c>
      <c r="DA2" s="129" t="s">
        <v>1</v>
      </c>
      <c r="DB2" s="129" t="s">
        <v>2</v>
      </c>
      <c r="DC2" s="129" t="s">
        <v>1</v>
      </c>
      <c r="DD2" s="129" t="s">
        <v>2</v>
      </c>
      <c r="DE2" s="129" t="s">
        <v>1</v>
      </c>
      <c r="DF2" s="129" t="s">
        <v>2</v>
      </c>
      <c r="DG2" s="129" t="s">
        <v>1</v>
      </c>
      <c r="DH2" s="129" t="s">
        <v>2</v>
      </c>
      <c r="DI2" s="129" t="s">
        <v>1</v>
      </c>
      <c r="DJ2" s="129" t="s">
        <v>2</v>
      </c>
      <c r="DK2" s="129" t="s">
        <v>1</v>
      </c>
      <c r="DL2" s="129" t="s">
        <v>2</v>
      </c>
      <c r="DM2" s="129" t="s">
        <v>1</v>
      </c>
      <c r="DN2" s="129" t="s">
        <v>2</v>
      </c>
      <c r="DO2" s="129" t="s">
        <v>1</v>
      </c>
      <c r="DP2" s="129" t="s">
        <v>2</v>
      </c>
      <c r="DQ2" s="129" t="s">
        <v>1</v>
      </c>
      <c r="DR2" s="129" t="s">
        <v>2</v>
      </c>
      <c r="DS2" s="129" t="s">
        <v>1</v>
      </c>
      <c r="DT2" s="129" t="s">
        <v>2</v>
      </c>
      <c r="DU2" s="129" t="s">
        <v>1</v>
      </c>
      <c r="DV2" s="129" t="s">
        <v>2</v>
      </c>
      <c r="DW2" s="129" t="s">
        <v>1</v>
      </c>
      <c r="DX2" s="129" t="s">
        <v>2</v>
      </c>
      <c r="DY2" s="129" t="s">
        <v>1</v>
      </c>
      <c r="DZ2" s="129" t="s">
        <v>2</v>
      </c>
      <c r="EA2" s="129" t="s">
        <v>1</v>
      </c>
      <c r="EB2" s="129" t="s">
        <v>2</v>
      </c>
      <c r="EC2" s="129" t="s">
        <v>1</v>
      </c>
      <c r="ED2" s="129" t="s">
        <v>2</v>
      </c>
      <c r="EE2" s="129" t="s">
        <v>1</v>
      </c>
      <c r="EF2" s="129" t="s">
        <v>2</v>
      </c>
      <c r="EG2" s="129" t="s">
        <v>1</v>
      </c>
      <c r="EH2" s="129" t="s">
        <v>2</v>
      </c>
      <c r="EI2" s="129" t="s">
        <v>1</v>
      </c>
      <c r="EJ2" s="129" t="s">
        <v>2</v>
      </c>
      <c r="EK2" s="129" t="s">
        <v>1</v>
      </c>
      <c r="EL2" s="129" t="s">
        <v>2</v>
      </c>
      <c r="EM2" s="129" t="s">
        <v>1</v>
      </c>
      <c r="EN2" s="129" t="s">
        <v>2</v>
      </c>
      <c r="EO2" s="129" t="s">
        <v>1</v>
      </c>
      <c r="EP2" s="129" t="s">
        <v>2</v>
      </c>
      <c r="EQ2" s="129" t="s">
        <v>1</v>
      </c>
      <c r="ER2" s="129" t="s">
        <v>2</v>
      </c>
      <c r="ES2" s="129"/>
      <c r="ET2" s="129"/>
      <c r="EU2" s="129" t="s">
        <v>1</v>
      </c>
      <c r="EV2" s="129" t="s">
        <v>2</v>
      </c>
      <c r="EW2" s="129"/>
      <c r="EX2" s="129"/>
      <c r="EY2" s="129" t="s">
        <v>1</v>
      </c>
      <c r="EZ2" s="129" t="s">
        <v>2</v>
      </c>
      <c r="FA2" s="129" t="s">
        <v>1</v>
      </c>
      <c r="FB2" s="129" t="s">
        <v>2</v>
      </c>
      <c r="FC2" s="129" t="s">
        <v>1</v>
      </c>
      <c r="FD2" s="129" t="s">
        <v>2</v>
      </c>
      <c r="FE2" s="129" t="s">
        <v>1</v>
      </c>
      <c r="FF2" s="129" t="s">
        <v>2</v>
      </c>
      <c r="FG2" s="129" t="s">
        <v>1</v>
      </c>
      <c r="FH2" s="129" t="s">
        <v>2</v>
      </c>
      <c r="FI2" s="129" t="s">
        <v>1</v>
      </c>
      <c r="FJ2" s="129" t="s">
        <v>2</v>
      </c>
      <c r="FK2" s="129" t="s">
        <v>1</v>
      </c>
      <c r="FL2" s="129" t="s">
        <v>2</v>
      </c>
      <c r="FM2" s="129" t="s">
        <v>1</v>
      </c>
      <c r="FN2" s="129" t="s">
        <v>2</v>
      </c>
      <c r="FO2" s="129" t="s">
        <v>1</v>
      </c>
      <c r="FP2" s="129" t="s">
        <v>2</v>
      </c>
      <c r="FQ2" s="129" t="s">
        <v>1</v>
      </c>
      <c r="FR2" s="129" t="s">
        <v>2</v>
      </c>
      <c r="FS2" s="129" t="s">
        <v>1</v>
      </c>
      <c r="FT2" s="129" t="s">
        <v>2</v>
      </c>
      <c r="FU2" s="129" t="s">
        <v>1</v>
      </c>
      <c r="FV2" s="129" t="s">
        <v>2</v>
      </c>
      <c r="FW2" s="129" t="s">
        <v>1</v>
      </c>
      <c r="FX2" s="129" t="s">
        <v>2</v>
      </c>
      <c r="FY2" s="129" t="s">
        <v>1</v>
      </c>
      <c r="FZ2" s="129" t="s">
        <v>2</v>
      </c>
      <c r="GA2" s="129" t="s">
        <v>1</v>
      </c>
      <c r="GB2" s="129" t="s">
        <v>2</v>
      </c>
      <c r="GC2" s="129" t="s">
        <v>1</v>
      </c>
      <c r="GD2" s="129" t="s">
        <v>2</v>
      </c>
      <c r="GE2" s="129" t="s">
        <v>1</v>
      </c>
      <c r="GF2" s="129" t="s">
        <v>2</v>
      </c>
      <c r="GG2" s="129" t="s">
        <v>1</v>
      </c>
      <c r="GH2" s="129" t="s">
        <v>2</v>
      </c>
      <c r="GI2" s="129" t="s">
        <v>1</v>
      </c>
      <c r="GJ2" s="129" t="s">
        <v>2</v>
      </c>
      <c r="GK2" s="129" t="s">
        <v>1</v>
      </c>
      <c r="GL2" s="129" t="s">
        <v>2</v>
      </c>
      <c r="GM2" s="129" t="s">
        <v>1</v>
      </c>
      <c r="GN2" s="129" t="s">
        <v>2</v>
      </c>
      <c r="GO2" s="129" t="s">
        <v>1</v>
      </c>
      <c r="GP2" s="129" t="s">
        <v>2</v>
      </c>
      <c r="GQ2" s="129" t="s">
        <v>1</v>
      </c>
      <c r="GR2" s="129" t="s">
        <v>2</v>
      </c>
      <c r="GS2" s="129" t="s">
        <v>1</v>
      </c>
      <c r="GT2" s="129" t="s">
        <v>2</v>
      </c>
      <c r="GU2" s="129" t="s">
        <v>1</v>
      </c>
      <c r="GV2" s="129" t="s">
        <v>2</v>
      </c>
      <c r="GW2" s="129" t="s">
        <v>1</v>
      </c>
      <c r="GX2" s="129" t="s">
        <v>2</v>
      </c>
      <c r="GY2" s="129" t="s">
        <v>1</v>
      </c>
      <c r="GZ2" s="129" t="s">
        <v>2</v>
      </c>
      <c r="HA2" s="129" t="s">
        <v>1</v>
      </c>
      <c r="HB2" s="129" t="s">
        <v>2</v>
      </c>
      <c r="HC2" s="129" t="s">
        <v>1</v>
      </c>
      <c r="HD2" s="129" t="s">
        <v>2</v>
      </c>
      <c r="HE2" s="129" t="s">
        <v>1</v>
      </c>
      <c r="HF2" s="129" t="s">
        <v>2</v>
      </c>
      <c r="HG2" s="129" t="s">
        <v>1</v>
      </c>
      <c r="HH2" s="129" t="s">
        <v>2</v>
      </c>
      <c r="HI2" s="129" t="s">
        <v>1</v>
      </c>
      <c r="HJ2" s="129" t="s">
        <v>2</v>
      </c>
      <c r="HK2" s="129" t="s">
        <v>1</v>
      </c>
      <c r="HL2" s="129" t="s">
        <v>2</v>
      </c>
      <c r="HM2" s="129" t="s">
        <v>1</v>
      </c>
      <c r="HN2" s="129" t="s">
        <v>2</v>
      </c>
      <c r="HO2" s="129" t="s">
        <v>1</v>
      </c>
      <c r="HP2" s="129" t="s">
        <v>2</v>
      </c>
      <c r="HQ2" s="129" t="s">
        <v>1</v>
      </c>
      <c r="HR2" s="129" t="s">
        <v>2</v>
      </c>
      <c r="HS2" s="129" t="s">
        <v>1</v>
      </c>
      <c r="HT2" s="129" t="s">
        <v>2</v>
      </c>
      <c r="HU2" s="129" t="s">
        <v>1</v>
      </c>
      <c r="HV2" s="129" t="s">
        <v>2</v>
      </c>
      <c r="HW2" s="129" t="s">
        <v>1</v>
      </c>
      <c r="HX2" s="129" t="s">
        <v>2</v>
      </c>
      <c r="HY2" s="129" t="s">
        <v>1</v>
      </c>
      <c r="HZ2" s="129" t="s">
        <v>2</v>
      </c>
      <c r="IA2" s="129" t="s">
        <v>1</v>
      </c>
      <c r="IB2" s="129" t="s">
        <v>2</v>
      </c>
      <c r="IC2" s="129" t="s">
        <v>1</v>
      </c>
      <c r="ID2" s="129" t="s">
        <v>2</v>
      </c>
      <c r="IE2" s="129" t="s">
        <v>1</v>
      </c>
      <c r="IF2" s="129" t="s">
        <v>2</v>
      </c>
      <c r="IG2" s="129" t="s">
        <v>1</v>
      </c>
      <c r="IH2" s="129" t="s">
        <v>2</v>
      </c>
      <c r="II2" s="129" t="s">
        <v>1</v>
      </c>
      <c r="IJ2" s="129" t="s">
        <v>2</v>
      </c>
      <c r="IK2" s="129" t="s">
        <v>1</v>
      </c>
      <c r="IL2" s="129" t="s">
        <v>2</v>
      </c>
      <c r="IM2" s="129" t="s">
        <v>1</v>
      </c>
      <c r="IN2" s="129" t="s">
        <v>2</v>
      </c>
      <c r="IO2" s="129" t="s">
        <v>1</v>
      </c>
      <c r="IP2" s="129" t="s">
        <v>2</v>
      </c>
      <c r="IQ2" s="129" t="s">
        <v>1</v>
      </c>
      <c r="IR2" s="129" t="s">
        <v>2</v>
      </c>
      <c r="IS2" s="129" t="s">
        <v>1</v>
      </c>
      <c r="IT2" s="129" t="s">
        <v>2</v>
      </c>
      <c r="IU2" s="129" t="s">
        <v>1</v>
      </c>
      <c r="IV2" s="129" t="s">
        <v>2</v>
      </c>
      <c r="IW2" s="129" t="s">
        <v>1</v>
      </c>
      <c r="IX2" s="129" t="s">
        <v>2</v>
      </c>
      <c r="IY2" s="129" t="s">
        <v>1</v>
      </c>
      <c r="IZ2" s="129" t="s">
        <v>2</v>
      </c>
    </row>
    <row r="3" spans="1:260" x14ac:dyDescent="0.25">
      <c r="A3" s="1586">
        <v>45292</v>
      </c>
      <c r="B3" s="11" t="s">
        <v>211</v>
      </c>
      <c r="C3" s="19" cm="1">
        <f t="array" ref="C3">SUM(_xlfn._xlws.FILTER(E3:IZ3, MOD(COLUMN(E3:IZ3)-COLUMN(E3)+1,2)=1))</f>
        <v>22890</v>
      </c>
      <c r="D3" s="26" cm="1">
        <f t="array" ref="D3">SUMPRODUCT(_xlfn._xlws.FILTER(E3:IZ3, MOD(COLUMN(E3:IZ3)-COLUMN(E3)+1,2)=1), _xlfn._xlws.FILTER(E3:IZ3, MOD(COLUMN(E3:IZ3)-COLUMN(E3)+1,2)=0))/C3</f>
        <v>2.7522018348623853</v>
      </c>
      <c r="E3" s="138"/>
      <c r="F3" s="139"/>
      <c r="G3" s="138"/>
      <c r="H3" s="139"/>
      <c r="I3" s="138"/>
      <c r="J3" s="139"/>
      <c r="K3" s="138"/>
      <c r="L3" s="139"/>
      <c r="M3" s="138">
        <v>0</v>
      </c>
      <c r="N3" s="139">
        <v>0</v>
      </c>
      <c r="O3" s="138"/>
      <c r="P3" s="139"/>
      <c r="Q3" s="138">
        <v>2100</v>
      </c>
      <c r="R3" s="139">
        <v>2.9</v>
      </c>
      <c r="S3" s="138"/>
      <c r="T3" s="139"/>
      <c r="U3" s="138"/>
      <c r="V3" s="139"/>
      <c r="W3" s="138"/>
      <c r="X3" s="139"/>
      <c r="Y3" s="138"/>
      <c r="Z3" s="139"/>
      <c r="AA3" s="138"/>
      <c r="AB3" s="139"/>
      <c r="AC3" s="138"/>
      <c r="AD3" s="139"/>
      <c r="AE3" s="138"/>
      <c r="AF3" s="139"/>
      <c r="AG3" s="138"/>
      <c r="AH3" s="139"/>
      <c r="AI3" s="138"/>
      <c r="AJ3" s="139"/>
      <c r="AK3" s="138"/>
      <c r="AL3" s="139"/>
      <c r="AM3" s="138"/>
      <c r="AN3" s="139"/>
      <c r="AO3" s="138">
        <v>0</v>
      </c>
      <c r="AP3" s="139">
        <v>0</v>
      </c>
      <c r="AQ3" s="138"/>
      <c r="AR3" s="139"/>
      <c r="AS3" s="138">
        <v>1890</v>
      </c>
      <c r="AT3" s="139">
        <v>2.4</v>
      </c>
      <c r="AU3" s="138">
        <v>1050</v>
      </c>
      <c r="AV3" s="139">
        <v>2.15</v>
      </c>
      <c r="AW3" s="138"/>
      <c r="AX3" s="139"/>
      <c r="AY3" s="138">
        <v>3150</v>
      </c>
      <c r="AZ3" s="139">
        <v>2.2399999999999989</v>
      </c>
      <c r="BA3" s="138"/>
      <c r="BB3" s="139"/>
      <c r="BC3" s="138"/>
      <c r="BD3" s="139"/>
      <c r="BE3" s="138">
        <v>2100</v>
      </c>
      <c r="BF3" s="139">
        <v>2.3400000000000012</v>
      </c>
      <c r="BG3" s="138"/>
      <c r="BH3" s="139"/>
      <c r="BI3" s="138"/>
      <c r="BJ3" s="139"/>
      <c r="BK3" s="138">
        <v>3150</v>
      </c>
      <c r="BL3" s="139">
        <v>2.3899999999999988</v>
      </c>
      <c r="BM3" s="138"/>
      <c r="BN3" s="139"/>
      <c r="BO3" s="138">
        <v>1050</v>
      </c>
      <c r="BP3" s="139">
        <v>2.3900000000000015</v>
      </c>
      <c r="BQ3" s="138">
        <v>2100</v>
      </c>
      <c r="BR3" s="139">
        <v>3.1620000000000013</v>
      </c>
      <c r="BS3" s="138">
        <v>2100</v>
      </c>
      <c r="BT3" s="139">
        <v>3.1620000000000013</v>
      </c>
      <c r="BU3" s="138"/>
      <c r="BV3" s="139"/>
      <c r="BW3" s="138"/>
      <c r="BX3" s="139"/>
      <c r="BY3" s="138"/>
      <c r="BZ3" s="139"/>
      <c r="CA3" s="138"/>
      <c r="CB3" s="139"/>
      <c r="CC3" s="138"/>
      <c r="CD3" s="139"/>
      <c r="CE3" s="138"/>
      <c r="CF3" s="139"/>
      <c r="CG3" s="138"/>
      <c r="CH3" s="139"/>
      <c r="CI3" s="138"/>
      <c r="CJ3" s="139"/>
      <c r="CK3" s="138"/>
      <c r="CL3" s="139"/>
      <c r="CM3" s="138"/>
      <c r="CN3" s="139"/>
      <c r="CO3" s="138"/>
      <c r="CP3" s="139"/>
      <c r="CQ3" s="138"/>
      <c r="CR3" s="139"/>
      <c r="CS3" s="138"/>
      <c r="CT3" s="139"/>
      <c r="CU3" s="138"/>
      <c r="CV3" s="139"/>
      <c r="CW3" s="138"/>
      <c r="CX3" s="139"/>
      <c r="CY3" s="138"/>
      <c r="CZ3" s="139"/>
      <c r="DA3" s="138">
        <v>1050</v>
      </c>
      <c r="DB3" s="139">
        <v>3.5300000000000016</v>
      </c>
      <c r="DC3" s="138">
        <v>3150</v>
      </c>
      <c r="DD3" s="139">
        <v>3.5299999999999985</v>
      </c>
      <c r="DE3" s="138"/>
      <c r="DF3" s="139"/>
      <c r="DG3" s="138"/>
      <c r="DH3" s="139"/>
      <c r="DI3" s="138"/>
      <c r="DJ3" s="139"/>
      <c r="DK3" s="138"/>
      <c r="DL3" s="139"/>
      <c r="DM3" s="138"/>
      <c r="DN3" s="139"/>
      <c r="DO3" s="138"/>
      <c r="DP3" s="139"/>
      <c r="DQ3" s="138"/>
      <c r="DR3" s="139"/>
      <c r="DS3" s="138"/>
      <c r="DT3" s="139"/>
      <c r="DU3" s="138"/>
      <c r="DV3" s="139"/>
      <c r="DW3" s="138"/>
      <c r="DX3" s="139"/>
      <c r="DY3" s="138"/>
      <c r="DZ3" s="139"/>
      <c r="EA3" s="138"/>
      <c r="EB3" s="139"/>
      <c r="EC3" s="138"/>
      <c r="ED3" s="139"/>
      <c r="EE3" s="138"/>
      <c r="EF3" s="139"/>
      <c r="EG3" s="138"/>
      <c r="EH3" s="139"/>
      <c r="EI3" s="138"/>
      <c r="EJ3" s="139"/>
      <c r="EK3" s="138"/>
      <c r="EL3" s="139"/>
      <c r="EM3" s="138"/>
      <c r="EN3" s="139"/>
      <c r="EO3" s="138"/>
      <c r="EP3" s="139"/>
      <c r="EQ3" s="138"/>
      <c r="ER3" s="139"/>
      <c r="ES3" s="138"/>
      <c r="ET3" s="139"/>
      <c r="EU3" s="138"/>
      <c r="EV3" s="139"/>
      <c r="EW3" s="138"/>
      <c r="EX3" s="139"/>
      <c r="EY3" s="138"/>
      <c r="EZ3" s="139"/>
      <c r="FA3" s="138"/>
      <c r="FB3" s="139"/>
      <c r="FC3" s="138"/>
      <c r="FD3" s="139"/>
      <c r="FE3" s="138"/>
      <c r="FF3" s="139"/>
      <c r="FG3" s="138"/>
      <c r="FH3" s="139"/>
      <c r="FI3" s="138"/>
      <c r="FJ3" s="139"/>
      <c r="FK3" s="138"/>
      <c r="FL3" s="139"/>
      <c r="FM3" s="138"/>
      <c r="FN3" s="139"/>
      <c r="FO3" s="138"/>
      <c r="FP3" s="139"/>
      <c r="FQ3" s="138"/>
      <c r="FR3" s="139"/>
      <c r="FS3" s="138"/>
      <c r="FT3" s="139"/>
      <c r="FU3" s="138"/>
      <c r="FV3" s="139"/>
      <c r="FW3" s="138"/>
      <c r="FX3" s="139"/>
      <c r="FY3" s="138"/>
      <c r="FZ3" s="139"/>
      <c r="GA3" s="138"/>
      <c r="GB3" s="139"/>
      <c r="GC3" s="138"/>
      <c r="GD3" s="139"/>
      <c r="GE3" s="138"/>
      <c r="GF3" s="139"/>
      <c r="GG3" s="138"/>
      <c r="GH3" s="139"/>
      <c r="GI3" s="138"/>
      <c r="GJ3" s="139"/>
      <c r="GK3" s="138"/>
      <c r="GL3" s="139"/>
      <c r="GM3" s="138"/>
      <c r="GN3" s="139"/>
      <c r="GO3" s="138"/>
      <c r="GP3" s="139"/>
      <c r="GQ3" s="138"/>
      <c r="GR3" s="139"/>
      <c r="GS3" s="138"/>
      <c r="GT3" s="139"/>
      <c r="GU3" s="138"/>
      <c r="GV3" s="139"/>
      <c r="GW3" s="138"/>
      <c r="GX3" s="139"/>
      <c r="GY3" s="138"/>
      <c r="GZ3" s="139"/>
      <c r="HA3" s="138"/>
      <c r="HB3" s="139"/>
      <c r="HC3" s="138"/>
      <c r="HD3" s="139"/>
      <c r="HE3" s="138"/>
      <c r="HF3" s="139"/>
      <c r="HG3" s="138"/>
      <c r="HH3" s="139"/>
      <c r="HI3" s="138"/>
      <c r="HJ3" s="139"/>
      <c r="HK3" s="138"/>
      <c r="HL3" s="139"/>
      <c r="HM3" s="138"/>
      <c r="HN3" s="139"/>
      <c r="HO3" s="138"/>
      <c r="HP3" s="139"/>
      <c r="HQ3" s="138"/>
      <c r="HR3" s="139"/>
      <c r="HS3" s="138"/>
      <c r="HT3" s="139"/>
      <c r="HU3" s="138"/>
      <c r="HV3" s="139"/>
      <c r="HW3" s="138"/>
      <c r="HX3" s="139"/>
      <c r="HY3" s="138"/>
      <c r="HZ3" s="139"/>
      <c r="IA3" s="138"/>
      <c r="IB3" s="139"/>
      <c r="IC3" s="138"/>
      <c r="ID3" s="139"/>
      <c r="IE3" s="138"/>
      <c r="IF3" s="139"/>
      <c r="IG3" s="138"/>
      <c r="IH3" s="139"/>
      <c r="II3" s="138"/>
      <c r="IJ3" s="139"/>
      <c r="IK3" s="138"/>
      <c r="IL3" s="139"/>
      <c r="IM3" s="138"/>
      <c r="IN3" s="139"/>
      <c r="IO3" s="138"/>
      <c r="IP3" s="139"/>
      <c r="IQ3" s="138"/>
      <c r="IR3" s="139"/>
      <c r="IS3" s="138"/>
      <c r="IT3" s="139"/>
      <c r="IU3" s="138"/>
      <c r="IV3" s="139"/>
      <c r="IW3" s="138"/>
      <c r="IX3" s="139"/>
      <c r="IY3" s="138"/>
      <c r="IZ3" s="139"/>
    </row>
    <row r="4" spans="1:260" x14ac:dyDescent="0.25">
      <c r="A4" s="1587"/>
      <c r="B4" s="11" t="s">
        <v>5</v>
      </c>
      <c r="C4" s="19" cm="1">
        <f t="array" ref="C4">SUM(_xlfn._xlws.FILTER(E4:IZ4, MOD(COLUMN(E4:IZ4)-COLUMN(E4)+1,2)=1))</f>
        <v>23142.194</v>
      </c>
      <c r="D4" s="26" cm="1">
        <f t="array" ref="D4">SUMPRODUCT(_xlfn._xlws.FILTER(E4:IZ4, MOD(COLUMN(E4:IZ4)-COLUMN(E4)+1,2)=1), _xlfn._xlws.FILTER(E4:IZ4, MOD(COLUMN(E4:IZ4)-COLUMN(E4)+1,2)=0))/C4</f>
        <v>2.7246320357525304</v>
      </c>
      <c r="E4" s="140"/>
      <c r="F4" s="141"/>
      <c r="G4" s="140"/>
      <c r="H4" s="141"/>
      <c r="I4" s="140"/>
      <c r="J4" s="141"/>
      <c r="K4" s="140"/>
      <c r="L4" s="141"/>
      <c r="M4" s="140"/>
      <c r="N4" s="141"/>
      <c r="O4" s="140"/>
      <c r="P4" s="141"/>
      <c r="Q4" s="140">
        <v>2258</v>
      </c>
      <c r="R4" s="141">
        <v>3.11</v>
      </c>
      <c r="S4" s="140"/>
      <c r="T4" s="141"/>
      <c r="U4" s="140"/>
      <c r="V4" s="141"/>
      <c r="W4" s="140"/>
      <c r="X4" s="141"/>
      <c r="Y4" s="140"/>
      <c r="Z4" s="141"/>
      <c r="AA4" s="140"/>
      <c r="AB4" s="141"/>
      <c r="AC4" s="140"/>
      <c r="AD4" s="141"/>
      <c r="AE4" s="140"/>
      <c r="AF4" s="141"/>
      <c r="AG4" s="140"/>
      <c r="AH4" s="141"/>
      <c r="AI4" s="140"/>
      <c r="AJ4" s="141"/>
      <c r="AK4" s="140"/>
      <c r="AL4" s="141"/>
      <c r="AM4" s="140"/>
      <c r="AN4" s="141"/>
      <c r="AO4" s="140">
        <v>2471.9389999999999</v>
      </c>
      <c r="AP4" s="141">
        <v>2.35</v>
      </c>
      <c r="AQ4" s="140">
        <v>1027.2550000000001</v>
      </c>
      <c r="AR4" s="141">
        <v>2.2999999999999998</v>
      </c>
      <c r="AS4" s="140"/>
      <c r="AT4" s="141"/>
      <c r="AU4" s="140">
        <v>747</v>
      </c>
      <c r="AV4" s="141">
        <v>2.38</v>
      </c>
      <c r="AW4" s="140"/>
      <c r="AX4" s="141"/>
      <c r="AY4" s="140">
        <v>1122</v>
      </c>
      <c r="AZ4" s="141">
        <v>2.5299999999999998</v>
      </c>
      <c r="BA4" s="140">
        <v>463</v>
      </c>
      <c r="BB4" s="141">
        <v>1.69</v>
      </c>
      <c r="BC4" s="140">
        <v>211</v>
      </c>
      <c r="BD4" s="141">
        <v>2.6</v>
      </c>
      <c r="BE4" s="140">
        <v>436</v>
      </c>
      <c r="BF4" s="141">
        <v>1.84</v>
      </c>
      <c r="BG4" s="140"/>
      <c r="BH4" s="141"/>
      <c r="BI4" s="140">
        <v>223</v>
      </c>
      <c r="BJ4" s="141">
        <v>3.01</v>
      </c>
      <c r="BK4" s="140">
        <v>1105</v>
      </c>
      <c r="BL4" s="141">
        <v>2.39</v>
      </c>
      <c r="BM4" s="140">
        <v>2209</v>
      </c>
      <c r="BN4" s="141">
        <v>2.33</v>
      </c>
      <c r="BO4" s="140">
        <v>2266</v>
      </c>
      <c r="BP4" s="141">
        <v>2.35</v>
      </c>
      <c r="BQ4" s="140"/>
      <c r="BR4" s="141"/>
      <c r="BS4" s="140"/>
      <c r="BT4" s="141"/>
      <c r="BU4" s="140">
        <v>1622</v>
      </c>
      <c r="BV4" s="141">
        <v>3.4</v>
      </c>
      <c r="BW4" s="140">
        <v>326</v>
      </c>
      <c r="BX4" s="178">
        <v>2.2000000000000002</v>
      </c>
      <c r="BY4" s="140"/>
      <c r="BZ4" s="178"/>
      <c r="CA4" s="140">
        <v>1615</v>
      </c>
      <c r="CB4" s="178">
        <v>2.68</v>
      </c>
      <c r="CC4" s="140"/>
      <c r="CD4" s="178"/>
      <c r="CE4" s="140"/>
      <c r="CF4" s="178"/>
      <c r="CG4" s="140"/>
      <c r="CH4" s="178"/>
      <c r="CI4" s="140"/>
      <c r="CJ4" s="141"/>
      <c r="CK4" s="140"/>
      <c r="CL4" s="141"/>
      <c r="CM4" s="140"/>
      <c r="CN4" s="178"/>
      <c r="CO4" s="140"/>
      <c r="CP4" s="141"/>
      <c r="CQ4" s="140"/>
      <c r="CR4" s="178"/>
      <c r="CS4" s="140"/>
      <c r="CT4" s="178"/>
      <c r="CU4" s="140"/>
      <c r="CV4" s="178"/>
      <c r="CW4" s="140"/>
      <c r="CX4" s="178"/>
      <c r="CY4" s="140"/>
      <c r="CZ4" s="141"/>
      <c r="DA4" s="140">
        <v>1628</v>
      </c>
      <c r="DB4" s="178">
        <v>2.9</v>
      </c>
      <c r="DC4" s="140">
        <v>3412</v>
      </c>
      <c r="DD4" s="178">
        <v>3.53</v>
      </c>
      <c r="DE4" s="140"/>
      <c r="DF4" s="178"/>
      <c r="DG4" s="140"/>
      <c r="DH4" s="141"/>
      <c r="DI4" s="140"/>
      <c r="DJ4" s="141"/>
      <c r="DK4" s="140"/>
      <c r="DL4" s="141"/>
      <c r="DM4" s="140"/>
      <c r="DN4" s="141"/>
      <c r="DO4" s="140"/>
      <c r="DP4" s="141"/>
      <c r="DQ4" s="140"/>
      <c r="DR4" s="141"/>
      <c r="DS4" s="140"/>
      <c r="DT4" s="141"/>
      <c r="DU4" s="140"/>
      <c r="DV4" s="141"/>
      <c r="DW4" s="140"/>
      <c r="DX4" s="141"/>
      <c r="DY4" s="140"/>
      <c r="DZ4" s="141"/>
      <c r="EA4" s="140"/>
      <c r="EB4" s="141"/>
      <c r="EC4" s="140"/>
      <c r="ED4" s="141"/>
      <c r="EE4" s="140"/>
      <c r="EF4" s="141"/>
      <c r="EG4" s="140"/>
      <c r="EH4" s="141"/>
      <c r="EI4" s="140"/>
      <c r="EJ4" s="141"/>
      <c r="EK4" s="140"/>
      <c r="EL4" s="141"/>
      <c r="EM4" s="140"/>
      <c r="EN4" s="141"/>
      <c r="EO4" s="140"/>
      <c r="EP4" s="141"/>
      <c r="EQ4" s="140"/>
      <c r="ER4" s="141"/>
      <c r="ES4" s="140"/>
      <c r="ET4" s="178"/>
      <c r="EU4" s="140"/>
      <c r="EV4" s="141"/>
      <c r="EW4" s="140"/>
      <c r="EX4" s="178"/>
      <c r="EY4" s="140"/>
      <c r="EZ4" s="141"/>
      <c r="FA4" s="140"/>
      <c r="FB4" s="141"/>
      <c r="FC4" s="140"/>
      <c r="FD4" s="141"/>
      <c r="FE4" s="140"/>
      <c r="FF4" s="141"/>
      <c r="FG4" s="140"/>
      <c r="FH4" s="141"/>
      <c r="FI4" s="140"/>
      <c r="FJ4" s="141"/>
      <c r="FK4" s="140"/>
      <c r="FL4" s="141"/>
      <c r="FM4" s="140"/>
      <c r="FN4" s="141"/>
      <c r="FO4" s="140"/>
      <c r="FP4" s="141"/>
      <c r="FQ4" s="140"/>
      <c r="FR4" s="141"/>
      <c r="FS4" s="140"/>
      <c r="FT4" s="141"/>
      <c r="FU4" s="140"/>
      <c r="FV4" s="141"/>
      <c r="FW4" s="140"/>
      <c r="FX4" s="141"/>
      <c r="FY4" s="140"/>
      <c r="FZ4" s="141"/>
      <c r="GA4" s="140"/>
      <c r="GB4" s="141"/>
      <c r="GC4" s="140"/>
      <c r="GD4" s="141"/>
      <c r="GE4" s="140"/>
      <c r="GF4" s="141"/>
      <c r="GG4" s="140"/>
      <c r="GH4" s="141"/>
      <c r="GI4" s="140"/>
      <c r="GJ4" s="141"/>
      <c r="GK4" s="140"/>
      <c r="GL4" s="141"/>
      <c r="GM4" s="140"/>
      <c r="GN4" s="141"/>
      <c r="GO4" s="140"/>
      <c r="GP4" s="141"/>
      <c r="GQ4" s="140"/>
      <c r="GR4" s="141"/>
      <c r="GS4" s="140"/>
      <c r="GT4" s="141"/>
      <c r="GU4" s="140"/>
      <c r="GV4" s="141"/>
      <c r="GW4" s="140"/>
      <c r="GX4" s="141"/>
      <c r="GY4" s="140"/>
      <c r="GZ4" s="141"/>
      <c r="HA4" s="140"/>
      <c r="HB4" s="141"/>
      <c r="HC4" s="140"/>
      <c r="HD4" s="141"/>
      <c r="HE4" s="140"/>
      <c r="HF4" s="141"/>
      <c r="HG4" s="140"/>
      <c r="HH4" s="141"/>
      <c r="HI4" s="140"/>
      <c r="HJ4" s="141"/>
      <c r="HK4" s="140"/>
      <c r="HL4" s="141"/>
      <c r="HM4" s="140"/>
      <c r="HN4" s="141"/>
      <c r="HO4" s="140"/>
      <c r="HP4" s="141"/>
      <c r="HQ4" s="140"/>
      <c r="HR4" s="141"/>
      <c r="HS4" s="140"/>
      <c r="HT4" s="141"/>
      <c r="HU4" s="140"/>
      <c r="HV4" s="141"/>
      <c r="HW4" s="140"/>
      <c r="HX4" s="141"/>
      <c r="HY4" s="140"/>
      <c r="HZ4" s="141"/>
      <c r="IA4" s="140"/>
      <c r="IB4" s="141"/>
      <c r="IC4" s="140"/>
      <c r="ID4" s="141"/>
      <c r="IE4" s="140"/>
      <c r="IF4" s="141"/>
      <c r="IG4" s="140"/>
      <c r="IH4" s="141"/>
      <c r="II4" s="140"/>
      <c r="IJ4" s="141"/>
      <c r="IK4" s="140"/>
      <c r="IL4" s="141"/>
      <c r="IM4" s="140"/>
      <c r="IN4" s="141"/>
      <c r="IO4" s="140"/>
      <c r="IP4" s="141"/>
      <c r="IQ4" s="140"/>
      <c r="IR4" s="141"/>
      <c r="IS4" s="140"/>
      <c r="IT4" s="141"/>
      <c r="IU4" s="140"/>
      <c r="IV4" s="141"/>
      <c r="IW4" s="140"/>
      <c r="IX4" s="141"/>
      <c r="IY4" s="140"/>
      <c r="IZ4" s="141"/>
    </row>
    <row r="5" spans="1:260" x14ac:dyDescent="0.25">
      <c r="A5" s="1586">
        <v>45323</v>
      </c>
      <c r="B5" s="11" t="s">
        <v>211</v>
      </c>
      <c r="C5" s="19" cm="1">
        <f t="array" ref="C5">SUM(_xlfn._xlws.FILTER(E5:IZ5, MOD(COLUMN(E5:IZ5)-COLUMN(E5)+1,2)=1))</f>
        <v>19880</v>
      </c>
      <c r="D5" s="26" cm="1">
        <f t="array" ref="D5">SUMPRODUCT(_xlfn._xlws.FILTER(E5:IZ5, MOD(COLUMN(E5:IZ5)-COLUMN(E5)+1,2)=1), _xlfn._xlws.FILTER(E5:IZ5, MOD(COLUMN(E5:IZ5)-COLUMN(E5)+1,2)=0))/C5</f>
        <v>2.5936971830985911</v>
      </c>
      <c r="E5" s="142"/>
      <c r="F5" s="143"/>
      <c r="G5" s="142"/>
      <c r="H5" s="143"/>
      <c r="I5" s="142"/>
      <c r="J5" s="143"/>
      <c r="K5" s="142"/>
      <c r="L5" s="143"/>
      <c r="M5" s="142"/>
      <c r="N5" s="143"/>
      <c r="O5" s="142"/>
      <c r="P5" s="143"/>
      <c r="Q5" s="142"/>
      <c r="R5" s="143"/>
      <c r="S5" s="142"/>
      <c r="T5" s="143"/>
      <c r="U5" s="142"/>
      <c r="V5" s="143"/>
      <c r="W5" s="142"/>
      <c r="X5" s="143"/>
      <c r="Y5" s="142"/>
      <c r="Z5" s="143"/>
      <c r="AA5" s="142"/>
      <c r="AB5" s="143"/>
      <c r="AC5" s="142"/>
      <c r="AD5" s="143"/>
      <c r="AE5" s="142"/>
      <c r="AF5" s="143"/>
      <c r="AG5" s="142"/>
      <c r="AH5" s="143"/>
      <c r="AI5" s="142"/>
      <c r="AJ5" s="143"/>
      <c r="AK5" s="142"/>
      <c r="AL5" s="143"/>
      <c r="AM5" s="142"/>
      <c r="AN5" s="143"/>
      <c r="AO5" s="142"/>
      <c r="AP5" s="143"/>
      <c r="AQ5" s="142"/>
      <c r="AR5" s="143"/>
      <c r="AS5" s="142">
        <v>1820</v>
      </c>
      <c r="AT5" s="143">
        <v>2.0400000000000009</v>
      </c>
      <c r="AU5" s="142">
        <v>2030</v>
      </c>
      <c r="AV5" s="143">
        <v>2.3900000000000015</v>
      </c>
      <c r="AW5" s="142"/>
      <c r="AX5" s="143"/>
      <c r="AY5" s="142">
        <v>3045</v>
      </c>
      <c r="AZ5" s="143">
        <v>2.5</v>
      </c>
      <c r="BA5" s="142"/>
      <c r="BB5" s="143"/>
      <c r="BC5" s="142"/>
      <c r="BD5" s="143"/>
      <c r="BE5" s="142">
        <v>1015</v>
      </c>
      <c r="BF5" s="143">
        <v>1.7799999999999991</v>
      </c>
      <c r="BG5" s="142"/>
      <c r="BH5" s="143"/>
      <c r="BI5" s="142"/>
      <c r="BJ5" s="143"/>
      <c r="BK5" s="142">
        <v>4060</v>
      </c>
      <c r="BL5" s="143">
        <v>2.2599999999999989</v>
      </c>
      <c r="BM5" s="142"/>
      <c r="BN5" s="143"/>
      <c r="BO5" s="142"/>
      <c r="BP5" s="143"/>
      <c r="BQ5" s="142">
        <v>1015</v>
      </c>
      <c r="BR5" s="143">
        <v>2.7800000000000007</v>
      </c>
      <c r="BS5" s="142"/>
      <c r="BT5" s="143"/>
      <c r="BU5" s="142"/>
      <c r="BV5" s="143"/>
      <c r="BW5" s="142">
        <v>3045</v>
      </c>
      <c r="BX5" s="175">
        <v>1.9</v>
      </c>
      <c r="BY5" s="142"/>
      <c r="BZ5" s="175"/>
      <c r="CA5" s="142"/>
      <c r="CB5" s="175"/>
      <c r="CC5" s="142"/>
      <c r="CD5" s="175"/>
      <c r="CE5" s="142"/>
      <c r="CF5" s="175"/>
      <c r="CG5" s="142"/>
      <c r="CH5" s="175"/>
      <c r="CI5" s="142"/>
      <c r="CJ5" s="143"/>
      <c r="CK5" s="142"/>
      <c r="CL5" s="143"/>
      <c r="CM5" s="142"/>
      <c r="CN5" s="175"/>
      <c r="CO5" s="142"/>
      <c r="CP5" s="143"/>
      <c r="CQ5" s="142"/>
      <c r="CR5" s="175"/>
      <c r="CS5" s="142"/>
      <c r="CT5" s="175"/>
      <c r="CU5" s="142"/>
      <c r="CV5" s="175"/>
      <c r="CW5" s="142"/>
      <c r="CX5" s="175"/>
      <c r="CY5" s="142"/>
      <c r="CZ5" s="143"/>
      <c r="DA5" s="142">
        <v>2030</v>
      </c>
      <c r="DB5" s="175">
        <v>3.4599999999999982</v>
      </c>
      <c r="DC5" s="142">
        <v>1820</v>
      </c>
      <c r="DD5" s="175">
        <v>4.8199999999999976</v>
      </c>
      <c r="DE5" s="142"/>
      <c r="DF5" s="175"/>
      <c r="DG5" s="142"/>
      <c r="DH5" s="143"/>
      <c r="DI5" s="142"/>
      <c r="DJ5" s="143"/>
      <c r="DK5" s="142"/>
      <c r="DL5" s="143"/>
      <c r="DM5" s="142"/>
      <c r="DN5" s="143"/>
      <c r="DO5" s="142"/>
      <c r="DP5" s="143"/>
      <c r="DQ5" s="142"/>
      <c r="DR5" s="143"/>
      <c r="DS5" s="142"/>
      <c r="DT5" s="143"/>
      <c r="DU5" s="142"/>
      <c r="DV5" s="143"/>
      <c r="DW5" s="142"/>
      <c r="DX5" s="143"/>
      <c r="DY5" s="142"/>
      <c r="DZ5" s="143"/>
      <c r="EA5" s="142"/>
      <c r="EB5" s="143"/>
      <c r="EC5" s="142"/>
      <c r="ED5" s="143"/>
      <c r="EE5" s="142"/>
      <c r="EF5" s="143"/>
      <c r="EG5" s="142"/>
      <c r="EH5" s="143"/>
      <c r="EI5" s="142"/>
      <c r="EJ5" s="143"/>
      <c r="EK5" s="142"/>
      <c r="EL5" s="143"/>
      <c r="EM5" s="142"/>
      <c r="EN5" s="143"/>
      <c r="EO5" s="142"/>
      <c r="EP5" s="143"/>
      <c r="EQ5" s="142"/>
      <c r="ER5" s="143"/>
      <c r="ES5" s="142"/>
      <c r="ET5" s="175"/>
      <c r="EU5" s="142"/>
      <c r="EV5" s="143"/>
      <c r="EW5" s="142"/>
      <c r="EX5" s="175"/>
      <c r="EY5" s="142"/>
      <c r="EZ5" s="143"/>
      <c r="FA5" s="142"/>
      <c r="FB5" s="143"/>
      <c r="FC5" s="142"/>
      <c r="FD5" s="143"/>
      <c r="FE5" s="142"/>
      <c r="FF5" s="143"/>
      <c r="FG5" s="142"/>
      <c r="FH5" s="143"/>
      <c r="FI5" s="142"/>
      <c r="FJ5" s="143"/>
      <c r="FK5" s="142"/>
      <c r="FL5" s="143"/>
      <c r="FM5" s="142"/>
      <c r="FN5" s="143"/>
      <c r="FO5" s="142"/>
      <c r="FP5" s="143"/>
      <c r="FQ5" s="142"/>
      <c r="FR5" s="143"/>
      <c r="FS5" s="142"/>
      <c r="FT5" s="143"/>
      <c r="FU5" s="142"/>
      <c r="FV5" s="143"/>
      <c r="FW5" s="142"/>
      <c r="FX5" s="143"/>
      <c r="FY5" s="142"/>
      <c r="FZ5" s="143"/>
      <c r="GA5" s="142"/>
      <c r="GB5" s="143"/>
      <c r="GC5" s="142"/>
      <c r="GD5" s="143"/>
      <c r="GE5" s="142"/>
      <c r="GF5" s="143"/>
      <c r="GG5" s="142"/>
      <c r="GH5" s="143"/>
      <c r="GI5" s="142"/>
      <c r="GJ5" s="143"/>
      <c r="GK5" s="142"/>
      <c r="GL5" s="143"/>
      <c r="GM5" s="142"/>
      <c r="GN5" s="143"/>
      <c r="GO5" s="142"/>
      <c r="GP5" s="143"/>
      <c r="GQ5" s="142"/>
      <c r="GR5" s="143"/>
      <c r="GS5" s="142"/>
      <c r="GT5" s="143"/>
      <c r="GU5" s="142"/>
      <c r="GV5" s="143"/>
      <c r="GW5" s="142"/>
      <c r="GX5" s="143"/>
      <c r="GY5" s="142"/>
      <c r="GZ5" s="143"/>
      <c r="HA5" s="142"/>
      <c r="HB5" s="143"/>
      <c r="HC5" s="142"/>
      <c r="HD5" s="143"/>
      <c r="HE5" s="142"/>
      <c r="HF5" s="143"/>
      <c r="HG5" s="142"/>
      <c r="HH5" s="143"/>
      <c r="HI5" s="142"/>
      <c r="HJ5" s="143"/>
      <c r="HK5" s="142"/>
      <c r="HL5" s="143"/>
      <c r="HM5" s="142"/>
      <c r="HN5" s="143"/>
      <c r="HO5" s="142"/>
      <c r="HP5" s="143"/>
      <c r="HQ5" s="142"/>
      <c r="HR5" s="143"/>
      <c r="HS5" s="142"/>
      <c r="HT5" s="143"/>
      <c r="HU5" s="142"/>
      <c r="HV5" s="143"/>
      <c r="HW5" s="142"/>
      <c r="HX5" s="143"/>
      <c r="HY5" s="142"/>
      <c r="HZ5" s="143"/>
      <c r="IA5" s="142"/>
      <c r="IB5" s="143"/>
      <c r="IC5" s="142"/>
      <c r="ID5" s="143"/>
      <c r="IE5" s="142"/>
      <c r="IF5" s="143"/>
      <c r="IG5" s="142"/>
      <c r="IH5" s="143"/>
      <c r="II5" s="142"/>
      <c r="IJ5" s="143"/>
      <c r="IK5" s="142"/>
      <c r="IL5" s="143"/>
      <c r="IM5" s="142"/>
      <c r="IN5" s="143"/>
      <c r="IO5" s="142"/>
      <c r="IP5" s="143"/>
      <c r="IQ5" s="142"/>
      <c r="IR5" s="143"/>
      <c r="IS5" s="142"/>
      <c r="IT5" s="143"/>
      <c r="IU5" s="142"/>
      <c r="IV5" s="143"/>
      <c r="IW5" s="142"/>
      <c r="IX5" s="143"/>
      <c r="IY5" s="142"/>
      <c r="IZ5" s="143"/>
    </row>
    <row r="6" spans="1:260" x14ac:dyDescent="0.25">
      <c r="A6" s="1587"/>
      <c r="B6" s="11" t="s">
        <v>5</v>
      </c>
      <c r="C6" s="19" cm="1">
        <f t="array" ref="C6">SUM(_xlfn._xlws.FILTER(E6:IZ6, MOD(COLUMN(E6:IZ6)-COLUMN(E6)+1,2)=1))</f>
        <v>16820</v>
      </c>
      <c r="D6" s="26" cm="1">
        <f t="array" ref="D6">SUMPRODUCT(_xlfn._xlws.FILTER(E6:IZ6, MOD(COLUMN(E6:IZ6)-COLUMN(E6)+1,2)=1), _xlfn._xlws.FILTER(E6:IZ6, MOD(COLUMN(E6:IZ6)-COLUMN(E6)+1,2)=0))/C6</f>
        <v>2.5813073721759814</v>
      </c>
      <c r="E6" s="140"/>
      <c r="F6" s="141"/>
      <c r="G6" s="140"/>
      <c r="H6" s="141"/>
      <c r="I6" s="140"/>
      <c r="J6" s="141"/>
      <c r="K6" s="140"/>
      <c r="L6" s="141"/>
      <c r="M6" s="140"/>
      <c r="N6" s="141"/>
      <c r="O6" s="140"/>
      <c r="P6" s="141"/>
      <c r="Q6" s="140">
        <v>866</v>
      </c>
      <c r="R6" s="141">
        <v>3.26</v>
      </c>
      <c r="S6" s="140"/>
      <c r="T6" s="141"/>
      <c r="U6" s="140"/>
      <c r="V6" s="141"/>
      <c r="W6" s="140"/>
      <c r="X6" s="141"/>
      <c r="Y6" s="140"/>
      <c r="Z6" s="141"/>
      <c r="AA6" s="140"/>
      <c r="AB6" s="141"/>
      <c r="AC6" s="140"/>
      <c r="AD6" s="141"/>
      <c r="AE6" s="140"/>
      <c r="AF6" s="141"/>
      <c r="AG6" s="140"/>
      <c r="AH6" s="141"/>
      <c r="AI6" s="140"/>
      <c r="AJ6" s="141"/>
      <c r="AK6" s="140"/>
      <c r="AL6" s="141"/>
      <c r="AM6" s="140"/>
      <c r="AN6" s="141"/>
      <c r="AO6" s="140"/>
      <c r="AP6" s="141"/>
      <c r="AQ6" s="140"/>
      <c r="AR6" s="141"/>
      <c r="AS6" s="140"/>
      <c r="AT6" s="141"/>
      <c r="AU6" s="140"/>
      <c r="AV6" s="141"/>
      <c r="AW6" s="140"/>
      <c r="AX6" s="141"/>
      <c r="AY6" s="140"/>
      <c r="AZ6" s="141"/>
      <c r="BA6" s="140"/>
      <c r="BB6" s="141"/>
      <c r="BC6" s="140"/>
      <c r="BD6" s="141"/>
      <c r="BE6" s="140">
        <v>1192</v>
      </c>
      <c r="BF6" s="141">
        <v>1.75</v>
      </c>
      <c r="BG6" s="140"/>
      <c r="BH6" s="141"/>
      <c r="BI6" s="140"/>
      <c r="BJ6" s="141"/>
      <c r="BK6" s="140">
        <v>5606</v>
      </c>
      <c r="BL6" s="141">
        <v>2.5099999999999998</v>
      </c>
      <c r="BM6" s="140"/>
      <c r="BN6" s="141"/>
      <c r="BO6" s="140"/>
      <c r="BP6" s="141"/>
      <c r="BQ6" s="140"/>
      <c r="BR6" s="141"/>
      <c r="BS6" s="140"/>
      <c r="BT6" s="141"/>
      <c r="BU6" s="140"/>
      <c r="BV6" s="141"/>
      <c r="BW6" s="140">
        <v>3795</v>
      </c>
      <c r="BX6" s="178">
        <v>1.82</v>
      </c>
      <c r="BY6" s="140"/>
      <c r="BZ6" s="178"/>
      <c r="CA6" s="140"/>
      <c r="CB6" s="178"/>
      <c r="CC6" s="140"/>
      <c r="CD6" s="178"/>
      <c r="CE6" s="140"/>
      <c r="CF6" s="178"/>
      <c r="CG6" s="140"/>
      <c r="CH6" s="178"/>
      <c r="CI6" s="140"/>
      <c r="CJ6" s="141"/>
      <c r="CK6" s="140"/>
      <c r="CL6" s="141"/>
      <c r="CM6" s="140"/>
      <c r="CN6" s="178"/>
      <c r="CO6" s="140"/>
      <c r="CP6" s="141"/>
      <c r="CQ6" s="140"/>
      <c r="CR6" s="178"/>
      <c r="CS6" s="140"/>
      <c r="CT6" s="178"/>
      <c r="CU6" s="140"/>
      <c r="CV6" s="178"/>
      <c r="CW6" s="140"/>
      <c r="CX6" s="178"/>
      <c r="CY6" s="140"/>
      <c r="CZ6" s="141"/>
      <c r="DA6" s="140"/>
      <c r="DB6" s="178"/>
      <c r="DC6" s="140">
        <v>5361</v>
      </c>
      <c r="DD6" s="178">
        <v>3.27</v>
      </c>
      <c r="DE6" s="140"/>
      <c r="DF6" s="178"/>
      <c r="DG6" s="140"/>
      <c r="DH6" s="141"/>
      <c r="DI6" s="140"/>
      <c r="DJ6" s="141"/>
      <c r="DK6" s="140"/>
      <c r="DL6" s="141"/>
      <c r="DM6" s="140"/>
      <c r="DN6" s="141"/>
      <c r="DO6" s="140"/>
      <c r="DP6" s="141"/>
      <c r="DQ6" s="140"/>
      <c r="DR6" s="141"/>
      <c r="DS6" s="140"/>
      <c r="DT6" s="141"/>
      <c r="DU6" s="140"/>
      <c r="DV6" s="141"/>
      <c r="DW6" s="140"/>
      <c r="DX6" s="141"/>
      <c r="DY6" s="140"/>
      <c r="DZ6" s="141"/>
      <c r="EA6" s="140"/>
      <c r="EB6" s="141"/>
      <c r="EC6" s="140"/>
      <c r="ED6" s="141"/>
      <c r="EE6" s="140"/>
      <c r="EF6" s="141"/>
      <c r="EG6" s="140"/>
      <c r="EH6" s="141"/>
      <c r="EI6" s="140"/>
      <c r="EJ6" s="141"/>
      <c r="EK6" s="140"/>
      <c r="EL6" s="141"/>
      <c r="EM6" s="140"/>
      <c r="EN6" s="141"/>
      <c r="EO6" s="140"/>
      <c r="EP6" s="141"/>
      <c r="EQ6" s="140"/>
      <c r="ER6" s="141"/>
      <c r="ES6" s="140"/>
      <c r="ET6" s="178"/>
      <c r="EU6" s="140"/>
      <c r="EV6" s="141"/>
      <c r="EW6" s="140"/>
      <c r="EX6" s="178"/>
      <c r="EY6" s="140"/>
      <c r="EZ6" s="141"/>
      <c r="FA6" s="140"/>
      <c r="FB6" s="141"/>
      <c r="FC6" s="140"/>
      <c r="FD6" s="141"/>
      <c r="FE6" s="140"/>
      <c r="FF6" s="141"/>
      <c r="FG6" s="140"/>
      <c r="FH6" s="141"/>
      <c r="FI6" s="140"/>
      <c r="FJ6" s="141"/>
      <c r="FK6" s="140"/>
      <c r="FL6" s="141"/>
      <c r="FM6" s="140"/>
      <c r="FN6" s="141"/>
      <c r="FO6" s="140"/>
      <c r="FP6" s="141"/>
      <c r="FQ6" s="140"/>
      <c r="FR6" s="141"/>
      <c r="FS6" s="140"/>
      <c r="FT6" s="141"/>
      <c r="FU6" s="140"/>
      <c r="FV6" s="141"/>
      <c r="FW6" s="140"/>
      <c r="FX6" s="141"/>
      <c r="FY6" s="140"/>
      <c r="FZ6" s="141"/>
      <c r="GA6" s="140"/>
      <c r="GB6" s="141"/>
      <c r="GC6" s="140"/>
      <c r="GD6" s="141"/>
      <c r="GE6" s="140"/>
      <c r="GF6" s="141"/>
      <c r="GG6" s="140"/>
      <c r="GH6" s="141"/>
      <c r="GI6" s="140"/>
      <c r="GJ6" s="141"/>
      <c r="GK6" s="140"/>
      <c r="GL6" s="141"/>
      <c r="GM6" s="140"/>
      <c r="GN6" s="141"/>
      <c r="GO6" s="140"/>
      <c r="GP6" s="141"/>
      <c r="GQ6" s="140"/>
      <c r="GR6" s="141"/>
      <c r="GS6" s="140"/>
      <c r="GT6" s="141"/>
      <c r="GU6" s="140"/>
      <c r="GV6" s="141"/>
      <c r="GW6" s="140"/>
      <c r="GX6" s="141"/>
      <c r="GY6" s="140"/>
      <c r="GZ6" s="141"/>
      <c r="HA6" s="140"/>
      <c r="HB6" s="141"/>
      <c r="HC6" s="140"/>
      <c r="HD6" s="141"/>
      <c r="HE6" s="140"/>
      <c r="HF6" s="141"/>
      <c r="HG6" s="140"/>
      <c r="HH6" s="141"/>
      <c r="HI6" s="140"/>
      <c r="HJ6" s="141"/>
      <c r="HK6" s="140"/>
      <c r="HL6" s="141"/>
      <c r="HM6" s="140"/>
      <c r="HN6" s="141"/>
      <c r="HO6" s="140"/>
      <c r="HP6" s="141"/>
      <c r="HQ6" s="140"/>
      <c r="HR6" s="141"/>
      <c r="HS6" s="140"/>
      <c r="HT6" s="141"/>
      <c r="HU6" s="140"/>
      <c r="HV6" s="141"/>
      <c r="HW6" s="140"/>
      <c r="HX6" s="141"/>
      <c r="HY6" s="140"/>
      <c r="HZ6" s="141"/>
      <c r="IA6" s="140"/>
      <c r="IB6" s="141"/>
      <c r="IC6" s="140"/>
      <c r="ID6" s="141"/>
      <c r="IE6" s="140"/>
      <c r="IF6" s="141"/>
      <c r="IG6" s="140"/>
      <c r="IH6" s="141"/>
      <c r="II6" s="140"/>
      <c r="IJ6" s="141"/>
      <c r="IK6" s="140"/>
      <c r="IL6" s="141"/>
      <c r="IM6" s="140"/>
      <c r="IN6" s="141"/>
      <c r="IO6" s="140"/>
      <c r="IP6" s="141"/>
      <c r="IQ6" s="140"/>
      <c r="IR6" s="141"/>
      <c r="IS6" s="140"/>
      <c r="IT6" s="141"/>
      <c r="IU6" s="140"/>
      <c r="IV6" s="141"/>
      <c r="IW6" s="140"/>
      <c r="IX6" s="141"/>
      <c r="IY6" s="140"/>
      <c r="IZ6" s="141"/>
    </row>
    <row r="7" spans="1:260" x14ac:dyDescent="0.25">
      <c r="A7" s="1586">
        <v>45352</v>
      </c>
      <c r="B7" s="11" t="s">
        <v>211</v>
      </c>
      <c r="C7" s="19" cm="1">
        <f t="array" ref="C7">SUM(_xlfn._xlws.FILTER(E7:IZ7, MOD(COLUMN(E7:IZ7)-COLUMN(E7)+1,2)=1))</f>
        <v>22330</v>
      </c>
      <c r="D7" s="26" cm="1">
        <f t="array" ref="D7">SUMPRODUCT(_xlfn._xlws.FILTER(E7:IZ7, MOD(COLUMN(E7:IZ7)-COLUMN(E7)+1,2)=1), _xlfn._xlws.FILTER(E7:IZ7, MOD(COLUMN(E7:IZ7)-COLUMN(E7)+1,2)=0))/C7</f>
        <v>2.6759090909090912</v>
      </c>
      <c r="E7" s="142"/>
      <c r="F7" s="143"/>
      <c r="G7" s="142"/>
      <c r="H7" s="143"/>
      <c r="I7" s="142"/>
      <c r="J7" s="143"/>
      <c r="K7" s="142"/>
      <c r="L7" s="143"/>
      <c r="M7" s="142"/>
      <c r="N7" s="143"/>
      <c r="O7" s="142"/>
      <c r="P7" s="143"/>
      <c r="Q7" s="142"/>
      <c r="R7" s="143"/>
      <c r="S7" s="142"/>
      <c r="T7" s="143"/>
      <c r="U7" s="142"/>
      <c r="V7" s="143"/>
      <c r="W7" s="142"/>
      <c r="X7" s="143"/>
      <c r="Y7" s="142"/>
      <c r="Z7" s="143"/>
      <c r="AA7" s="142"/>
      <c r="AB7" s="143"/>
      <c r="AC7" s="142"/>
      <c r="AD7" s="143"/>
      <c r="AE7" s="142"/>
      <c r="AF7" s="143"/>
      <c r="AG7" s="142"/>
      <c r="AH7" s="143"/>
      <c r="AI7" s="142"/>
      <c r="AJ7" s="143"/>
      <c r="AK7" s="142"/>
      <c r="AL7" s="143"/>
      <c r="AM7" s="142"/>
      <c r="AN7" s="143"/>
      <c r="AO7" s="142"/>
      <c r="AP7" s="143"/>
      <c r="AQ7" s="142"/>
      <c r="AR7" s="143"/>
      <c r="AS7" s="142">
        <v>2030</v>
      </c>
      <c r="AT7" s="143">
        <v>2.4</v>
      </c>
      <c r="AU7" s="142">
        <v>2030</v>
      </c>
      <c r="AV7" s="143">
        <v>2.1</v>
      </c>
      <c r="AW7" s="142"/>
      <c r="AX7" s="143"/>
      <c r="AY7" s="142"/>
      <c r="AZ7" s="143"/>
      <c r="BA7" s="142"/>
      <c r="BB7" s="143"/>
      <c r="BC7" s="142"/>
      <c r="BD7" s="143"/>
      <c r="BE7" s="142">
        <v>3045</v>
      </c>
      <c r="BF7" s="143">
        <v>2.339999999999999</v>
      </c>
      <c r="BG7" s="142"/>
      <c r="BH7" s="143"/>
      <c r="BI7" s="142"/>
      <c r="BJ7" s="143"/>
      <c r="BK7" s="142">
        <v>4060</v>
      </c>
      <c r="BL7" s="143">
        <v>3.2900000000000018</v>
      </c>
      <c r="BM7" s="142"/>
      <c r="BN7" s="143"/>
      <c r="BO7" s="142"/>
      <c r="BP7" s="143"/>
      <c r="BQ7" s="142">
        <v>2030</v>
      </c>
      <c r="BR7" s="143">
        <v>2.4</v>
      </c>
      <c r="BS7" s="142"/>
      <c r="BT7" s="143"/>
      <c r="BU7" s="142"/>
      <c r="BV7" s="143"/>
      <c r="BW7" s="142">
        <v>4060</v>
      </c>
      <c r="BX7" s="175">
        <v>2.5</v>
      </c>
      <c r="BY7" s="142"/>
      <c r="BZ7" s="175"/>
      <c r="CA7" s="142"/>
      <c r="CB7" s="175"/>
      <c r="CC7" s="142">
        <v>2030</v>
      </c>
      <c r="CD7" s="175">
        <v>2.4800000000000004</v>
      </c>
      <c r="CE7" s="142"/>
      <c r="CF7" s="175"/>
      <c r="CG7" s="142"/>
      <c r="CH7" s="175"/>
      <c r="CI7" s="142"/>
      <c r="CJ7" s="143"/>
      <c r="CK7" s="142"/>
      <c r="CL7" s="143"/>
      <c r="CM7" s="142"/>
      <c r="CN7" s="175"/>
      <c r="CO7" s="142"/>
      <c r="CP7" s="143"/>
      <c r="CQ7" s="142"/>
      <c r="CR7" s="175"/>
      <c r="CS7" s="142"/>
      <c r="CT7" s="175"/>
      <c r="CU7" s="142"/>
      <c r="CV7" s="175"/>
      <c r="CW7" s="142"/>
      <c r="CX7" s="175"/>
      <c r="CY7" s="142"/>
      <c r="CZ7" s="143"/>
      <c r="DA7" s="142"/>
      <c r="DB7" s="175"/>
      <c r="DC7" s="142">
        <v>3045</v>
      </c>
      <c r="DD7" s="175">
        <v>3.3099999999999996</v>
      </c>
      <c r="DE7" s="142"/>
      <c r="DF7" s="175"/>
      <c r="DG7" s="142"/>
      <c r="DH7" s="143"/>
      <c r="DI7" s="142"/>
      <c r="DJ7" s="143"/>
      <c r="DK7" s="142"/>
      <c r="DL7" s="143"/>
      <c r="DM7" s="142"/>
      <c r="DN7" s="143"/>
      <c r="DO7" s="142"/>
      <c r="DP7" s="143"/>
      <c r="DQ7" s="142"/>
      <c r="DR7" s="143"/>
      <c r="DS7" s="142"/>
      <c r="DT7" s="143"/>
      <c r="DU7" s="142"/>
      <c r="DV7" s="143"/>
      <c r="DW7" s="142"/>
      <c r="DX7" s="143"/>
      <c r="DY7" s="142"/>
      <c r="DZ7" s="143"/>
      <c r="EA7" s="142"/>
      <c r="EB7" s="143"/>
      <c r="EC7" s="142"/>
      <c r="ED7" s="143"/>
      <c r="EE7" s="142"/>
      <c r="EF7" s="143"/>
      <c r="EG7" s="142"/>
      <c r="EH7" s="143"/>
      <c r="EI7" s="142"/>
      <c r="EJ7" s="143"/>
      <c r="EK7" s="142"/>
      <c r="EL7" s="143"/>
      <c r="EM7" s="142"/>
      <c r="EN7" s="143"/>
      <c r="EO7" s="142"/>
      <c r="EP7" s="143"/>
      <c r="EQ7" s="142"/>
      <c r="ER7" s="143"/>
      <c r="ES7" s="142"/>
      <c r="ET7" s="175"/>
      <c r="EU7" s="142"/>
      <c r="EV7" s="143"/>
      <c r="EW7" s="142"/>
      <c r="EX7" s="175"/>
      <c r="EY7" s="142"/>
      <c r="EZ7" s="143"/>
      <c r="FA7" s="142"/>
      <c r="FB7" s="143"/>
      <c r="FC7" s="142"/>
      <c r="FD7" s="143"/>
      <c r="FE7" s="142"/>
      <c r="FF7" s="143"/>
      <c r="FG7" s="142"/>
      <c r="FH7" s="143"/>
      <c r="FI7" s="142"/>
      <c r="FJ7" s="143"/>
      <c r="FK7" s="142"/>
      <c r="FL7" s="143"/>
      <c r="FM7" s="142"/>
      <c r="FN7" s="143"/>
      <c r="FO7" s="142"/>
      <c r="FP7" s="143"/>
      <c r="FQ7" s="142"/>
      <c r="FR7" s="143"/>
      <c r="FS7" s="142"/>
      <c r="FT7" s="143"/>
      <c r="FU7" s="142"/>
      <c r="FV7" s="143"/>
      <c r="FW7" s="142"/>
      <c r="FX7" s="143"/>
      <c r="FY7" s="142"/>
      <c r="FZ7" s="143"/>
      <c r="GA7" s="142"/>
      <c r="GB7" s="143"/>
      <c r="GC7" s="142"/>
      <c r="GD7" s="143"/>
      <c r="GE7" s="142"/>
      <c r="GF7" s="143"/>
      <c r="GG7" s="142"/>
      <c r="GH7" s="143"/>
      <c r="GI7" s="142"/>
      <c r="GJ7" s="143"/>
      <c r="GK7" s="142"/>
      <c r="GL7" s="143"/>
      <c r="GM7" s="142"/>
      <c r="GN7" s="143"/>
      <c r="GO7" s="142"/>
      <c r="GP7" s="143"/>
      <c r="GQ7" s="142"/>
      <c r="GR7" s="143"/>
      <c r="GS7" s="142"/>
      <c r="GT7" s="143"/>
      <c r="GU7" s="142"/>
      <c r="GV7" s="143"/>
      <c r="GW7" s="142"/>
      <c r="GX7" s="143"/>
      <c r="GY7" s="142"/>
      <c r="GZ7" s="143"/>
      <c r="HA7" s="142"/>
      <c r="HB7" s="143"/>
      <c r="HC7" s="142"/>
      <c r="HD7" s="143"/>
      <c r="HE7" s="142"/>
      <c r="HF7" s="143"/>
      <c r="HG7" s="142"/>
      <c r="HH7" s="143"/>
      <c r="HI7" s="142"/>
      <c r="HJ7" s="143"/>
      <c r="HK7" s="142"/>
      <c r="HL7" s="143"/>
      <c r="HM7" s="142"/>
      <c r="HN7" s="143"/>
      <c r="HO7" s="142"/>
      <c r="HP7" s="143"/>
      <c r="HQ7" s="142"/>
      <c r="HR7" s="143"/>
      <c r="HS7" s="142"/>
      <c r="HT7" s="143"/>
      <c r="HU7" s="142"/>
      <c r="HV7" s="143"/>
      <c r="HW7" s="142"/>
      <c r="HX7" s="143"/>
      <c r="HY7" s="142"/>
      <c r="HZ7" s="143"/>
      <c r="IA7" s="142"/>
      <c r="IB7" s="143"/>
      <c r="IC7" s="142"/>
      <c r="ID7" s="143"/>
      <c r="IE7" s="142"/>
      <c r="IF7" s="143"/>
      <c r="IG7" s="142"/>
      <c r="IH7" s="143"/>
      <c r="II7" s="142"/>
      <c r="IJ7" s="143"/>
      <c r="IK7" s="142"/>
      <c r="IL7" s="143"/>
      <c r="IM7" s="142"/>
      <c r="IN7" s="143"/>
      <c r="IO7" s="142"/>
      <c r="IP7" s="143"/>
      <c r="IQ7" s="142"/>
      <c r="IR7" s="143"/>
      <c r="IS7" s="142"/>
      <c r="IT7" s="143"/>
      <c r="IU7" s="142"/>
      <c r="IV7" s="143"/>
      <c r="IW7" s="142"/>
      <c r="IX7" s="143"/>
      <c r="IY7" s="142"/>
      <c r="IZ7" s="143"/>
    </row>
    <row r="8" spans="1:260" x14ac:dyDescent="0.25">
      <c r="A8" s="1587"/>
      <c r="B8" s="11" t="s">
        <v>5</v>
      </c>
      <c r="C8" s="19" cm="1">
        <f t="array" ref="C8">SUM(_xlfn._xlws.FILTER(E8:IZ8, MOD(COLUMN(E8:IZ8)-COLUMN(E8)+1,2)=1))</f>
        <v>25336</v>
      </c>
      <c r="D8" s="26" cm="1">
        <f t="array" ref="D8">SUMPRODUCT(_xlfn._xlws.FILTER(E8:IZ8, MOD(COLUMN(E8:IZ8)-COLUMN(E8)+1,2)=1), _xlfn._xlws.FILTER(E8:IZ8, MOD(COLUMN(E8:IZ8)-COLUMN(E8)+1,2)=0))/C8</f>
        <v>2.0696799021155665</v>
      </c>
      <c r="E8" s="140"/>
      <c r="F8" s="141"/>
      <c r="G8" s="140"/>
      <c r="H8" s="141"/>
      <c r="I8" s="140"/>
      <c r="J8" s="141"/>
      <c r="K8" s="140"/>
      <c r="L8" s="141"/>
      <c r="M8" s="140"/>
      <c r="N8" s="141"/>
      <c r="O8" s="140"/>
      <c r="P8" s="141"/>
      <c r="Q8" s="140">
        <v>390</v>
      </c>
      <c r="R8" s="141">
        <v>2.37</v>
      </c>
      <c r="S8" s="140"/>
      <c r="T8" s="141"/>
      <c r="U8" s="140"/>
      <c r="V8" s="141"/>
      <c r="W8" s="140"/>
      <c r="X8" s="141"/>
      <c r="Y8" s="140"/>
      <c r="Z8" s="141"/>
      <c r="AA8" s="140"/>
      <c r="AB8" s="141"/>
      <c r="AC8" s="140"/>
      <c r="AD8" s="141"/>
      <c r="AE8" s="140"/>
      <c r="AF8" s="141"/>
      <c r="AG8" s="140"/>
      <c r="AH8" s="141"/>
      <c r="AI8" s="140"/>
      <c r="AJ8" s="141"/>
      <c r="AK8" s="140"/>
      <c r="AL8" s="141"/>
      <c r="AM8" s="140"/>
      <c r="AN8" s="141"/>
      <c r="AO8" s="140"/>
      <c r="AP8" s="141"/>
      <c r="AQ8" s="140"/>
      <c r="AR8" s="141"/>
      <c r="AS8" s="140">
        <v>1492</v>
      </c>
      <c r="AT8" s="141">
        <v>1.75</v>
      </c>
      <c r="AU8" s="140">
        <v>1685</v>
      </c>
      <c r="AV8" s="141">
        <v>1.81</v>
      </c>
      <c r="AW8" s="140"/>
      <c r="AX8" s="141"/>
      <c r="AY8" s="140">
        <v>612</v>
      </c>
      <c r="AZ8" s="141">
        <v>0.98</v>
      </c>
      <c r="BA8" s="140"/>
      <c r="BB8" s="141"/>
      <c r="BC8" s="140"/>
      <c r="BD8" s="141"/>
      <c r="BE8" s="140">
        <v>2150</v>
      </c>
      <c r="BF8" s="141">
        <v>1.1000000000000001</v>
      </c>
      <c r="BG8" s="140"/>
      <c r="BH8" s="141"/>
      <c r="BI8" s="140"/>
      <c r="BJ8" s="141"/>
      <c r="BK8" s="140">
        <v>5282</v>
      </c>
      <c r="BL8" s="141">
        <v>2.86</v>
      </c>
      <c r="BM8" s="140"/>
      <c r="BN8" s="141"/>
      <c r="BO8" s="140"/>
      <c r="BP8" s="141"/>
      <c r="BQ8" s="140">
        <v>715</v>
      </c>
      <c r="BR8" s="141">
        <v>1.38</v>
      </c>
      <c r="BS8" s="140"/>
      <c r="BT8" s="141"/>
      <c r="BU8" s="140"/>
      <c r="BV8" s="141"/>
      <c r="BW8" s="140">
        <v>5812</v>
      </c>
      <c r="BX8" s="178">
        <v>1.76</v>
      </c>
      <c r="BY8" s="140"/>
      <c r="BZ8" s="178"/>
      <c r="CA8" s="140"/>
      <c r="CB8" s="178"/>
      <c r="CC8" s="140">
        <v>2196</v>
      </c>
      <c r="CD8" s="178">
        <v>1.94</v>
      </c>
      <c r="CE8" s="140"/>
      <c r="CF8" s="178"/>
      <c r="CG8" s="140"/>
      <c r="CH8" s="178"/>
      <c r="CI8" s="140"/>
      <c r="CJ8" s="141"/>
      <c r="CK8" s="140"/>
      <c r="CL8" s="141"/>
      <c r="CM8" s="140"/>
      <c r="CN8" s="178"/>
      <c r="CO8" s="140"/>
      <c r="CP8" s="141"/>
      <c r="CQ8" s="140"/>
      <c r="CR8" s="178"/>
      <c r="CS8" s="140"/>
      <c r="CT8" s="178"/>
      <c r="CU8" s="140"/>
      <c r="CV8" s="178"/>
      <c r="CW8" s="140"/>
      <c r="CX8" s="178"/>
      <c r="CY8" s="140"/>
      <c r="CZ8" s="141"/>
      <c r="DA8" s="140"/>
      <c r="DB8" s="178"/>
      <c r="DC8" s="140">
        <v>5002</v>
      </c>
      <c r="DD8" s="178">
        <v>2.46</v>
      </c>
      <c r="DE8" s="140"/>
      <c r="DF8" s="178"/>
      <c r="DG8" s="140"/>
      <c r="DH8" s="141"/>
      <c r="DI8" s="140"/>
      <c r="DJ8" s="141"/>
      <c r="DK8" s="140"/>
      <c r="DL8" s="141"/>
      <c r="DM8" s="140"/>
      <c r="DN8" s="141"/>
      <c r="DO8" s="140"/>
      <c r="DP8" s="141"/>
      <c r="DQ8" s="140"/>
      <c r="DR8" s="141"/>
      <c r="DS8" s="140"/>
      <c r="DT8" s="141"/>
      <c r="DU8" s="140"/>
      <c r="DV8" s="141"/>
      <c r="DW8" s="140"/>
      <c r="DX8" s="141"/>
      <c r="DY8" s="140"/>
      <c r="DZ8" s="141"/>
      <c r="EA8" s="140"/>
      <c r="EB8" s="141"/>
      <c r="EC8" s="140"/>
      <c r="ED8" s="141"/>
      <c r="EE8" s="140"/>
      <c r="EF8" s="141"/>
      <c r="EG8" s="140"/>
      <c r="EH8" s="141"/>
      <c r="EI8" s="140"/>
      <c r="EJ8" s="141"/>
      <c r="EK8" s="140"/>
      <c r="EL8" s="141"/>
      <c r="EM8" s="140"/>
      <c r="EN8" s="141"/>
      <c r="EO8" s="140"/>
      <c r="EP8" s="141"/>
      <c r="EQ8" s="140"/>
      <c r="ER8" s="141"/>
      <c r="ES8" s="140"/>
      <c r="ET8" s="178"/>
      <c r="EU8" s="140"/>
      <c r="EV8" s="141"/>
      <c r="EW8" s="140"/>
      <c r="EX8" s="178"/>
      <c r="EY8" s="140"/>
      <c r="EZ8" s="141"/>
      <c r="FA8" s="140"/>
      <c r="FB8" s="141"/>
      <c r="FC8" s="140"/>
      <c r="FD8" s="141"/>
      <c r="FE8" s="140"/>
      <c r="FF8" s="141"/>
      <c r="FG8" s="140"/>
      <c r="FH8" s="141"/>
      <c r="FI8" s="140"/>
      <c r="FJ8" s="141"/>
      <c r="FK8" s="140"/>
      <c r="FL8" s="141"/>
      <c r="FM8" s="140"/>
      <c r="FN8" s="141"/>
      <c r="FO8" s="140"/>
      <c r="FP8" s="141"/>
      <c r="FQ8" s="140"/>
      <c r="FR8" s="141"/>
      <c r="FS8" s="140"/>
      <c r="FT8" s="141"/>
      <c r="FU8" s="140"/>
      <c r="FV8" s="141"/>
      <c r="FW8" s="140"/>
      <c r="FX8" s="141"/>
      <c r="FY8" s="140"/>
      <c r="FZ8" s="141"/>
      <c r="GA8" s="140"/>
      <c r="GB8" s="141"/>
      <c r="GC8" s="140"/>
      <c r="GD8" s="141"/>
      <c r="GE8" s="140"/>
      <c r="GF8" s="141"/>
      <c r="GG8" s="140"/>
      <c r="GH8" s="141"/>
      <c r="GI8" s="140"/>
      <c r="GJ8" s="141"/>
      <c r="GK8" s="140"/>
      <c r="GL8" s="141"/>
      <c r="GM8" s="140"/>
      <c r="GN8" s="141"/>
      <c r="GO8" s="140"/>
      <c r="GP8" s="141"/>
      <c r="GQ8" s="140"/>
      <c r="GR8" s="141"/>
      <c r="GS8" s="140"/>
      <c r="GT8" s="141"/>
      <c r="GU8" s="140"/>
      <c r="GV8" s="141"/>
      <c r="GW8" s="140"/>
      <c r="GX8" s="141"/>
      <c r="GY8" s="140"/>
      <c r="GZ8" s="141"/>
      <c r="HA8" s="140"/>
      <c r="HB8" s="141"/>
      <c r="HC8" s="140"/>
      <c r="HD8" s="141"/>
      <c r="HE8" s="140"/>
      <c r="HF8" s="141"/>
      <c r="HG8" s="140"/>
      <c r="HH8" s="141"/>
      <c r="HI8" s="140"/>
      <c r="HJ8" s="141"/>
      <c r="HK8" s="140"/>
      <c r="HL8" s="141"/>
      <c r="HM8" s="140"/>
      <c r="HN8" s="141"/>
      <c r="HO8" s="140"/>
      <c r="HP8" s="141"/>
      <c r="HQ8" s="140"/>
      <c r="HR8" s="141"/>
      <c r="HS8" s="140"/>
      <c r="HT8" s="141"/>
      <c r="HU8" s="140"/>
      <c r="HV8" s="141"/>
      <c r="HW8" s="140"/>
      <c r="HX8" s="141"/>
      <c r="HY8" s="140"/>
      <c r="HZ8" s="141"/>
      <c r="IA8" s="140"/>
      <c r="IB8" s="141"/>
      <c r="IC8" s="140"/>
      <c r="ID8" s="141"/>
      <c r="IE8" s="140"/>
      <c r="IF8" s="141"/>
      <c r="IG8" s="140"/>
      <c r="IH8" s="141"/>
      <c r="II8" s="140"/>
      <c r="IJ8" s="141"/>
      <c r="IK8" s="140"/>
      <c r="IL8" s="141"/>
      <c r="IM8" s="140"/>
      <c r="IN8" s="141"/>
      <c r="IO8" s="140"/>
      <c r="IP8" s="141"/>
      <c r="IQ8" s="140"/>
      <c r="IR8" s="141"/>
      <c r="IS8" s="140"/>
      <c r="IT8" s="141"/>
      <c r="IU8" s="140"/>
      <c r="IV8" s="141"/>
      <c r="IW8" s="140"/>
      <c r="IX8" s="141"/>
      <c r="IY8" s="140"/>
      <c r="IZ8" s="141"/>
    </row>
    <row r="9" spans="1:260" x14ac:dyDescent="0.25">
      <c r="A9" s="1585" t="s">
        <v>212</v>
      </c>
      <c r="B9" s="130" t="s">
        <v>211</v>
      </c>
      <c r="C9" s="131">
        <f>SUM(C3,C5,C7)</f>
        <v>65100</v>
      </c>
      <c r="D9" s="132">
        <f>(C3*D3+C5*D5+C7*D7)/C9</f>
        <v>2.6776290322580643</v>
      </c>
      <c r="E9" s="144">
        <f>IFERROR(SUM(E3,E5,E7),"")</f>
        <v>0</v>
      </c>
      <c r="F9" s="145" t="str">
        <f>IFERROR((E3*F3+E5*F5+E7*F7)/E9,"")</f>
        <v/>
      </c>
      <c r="G9" s="144">
        <f t="shared" ref="G9" si="0">IFERROR(SUM(G3,G5,G7),"")</f>
        <v>0</v>
      </c>
      <c r="H9" s="145" t="str">
        <f>IFERROR((G3*H3+G5*H5+G7*H7)/G9,"")</f>
        <v/>
      </c>
      <c r="I9" s="144">
        <f t="shared" ref="I9" si="1">IFERROR(SUM(I3,I5,I7),"")</f>
        <v>0</v>
      </c>
      <c r="J9" s="145" t="str">
        <f t="shared" ref="J9" si="2">IFERROR((I3*J3+I5*J5+I7*J7)/I9,"")</f>
        <v/>
      </c>
      <c r="K9" s="144">
        <f t="shared" ref="K9" si="3">IFERROR(SUM(K3,K5,K7),"")</f>
        <v>0</v>
      </c>
      <c r="L9" s="145" t="str">
        <f t="shared" ref="L9" si="4">IFERROR((K3*L3+K5*L5+K7*L7)/K9,"")</f>
        <v/>
      </c>
      <c r="M9" s="144">
        <f t="shared" ref="M9" si="5">IFERROR(SUM(M3,M5,M7),"")</f>
        <v>0</v>
      </c>
      <c r="N9" s="145" t="str">
        <f t="shared" ref="N9" si="6">IFERROR((M3*N3+M5*N5+M7*N7)/M9,"")</f>
        <v/>
      </c>
      <c r="O9" s="144">
        <f t="shared" ref="O9" si="7">IFERROR(SUM(O3,O5,O7),"")</f>
        <v>0</v>
      </c>
      <c r="P9" s="145" t="str">
        <f t="shared" ref="P9" si="8">IFERROR((O3*P3+O5*P5+O7*P7)/O9,"")</f>
        <v/>
      </c>
      <c r="Q9" s="144">
        <f t="shared" ref="Q9" si="9">IFERROR(SUM(Q3,Q5,Q7),"")</f>
        <v>2100</v>
      </c>
      <c r="R9" s="145">
        <f t="shared" ref="R9:R10" si="10">IFERROR((Q3*R3+Q5*R5+Q7*R7)/Q9,"")</f>
        <v>2.9</v>
      </c>
      <c r="S9" s="144">
        <f t="shared" ref="S9" si="11">IFERROR(SUM(S3,S5,S7),"")</f>
        <v>0</v>
      </c>
      <c r="T9" s="145" t="str">
        <f t="shared" ref="T9" si="12">IFERROR((S3*T3+S5*T5+S7*T7)/S9,"")</f>
        <v/>
      </c>
      <c r="U9" s="144">
        <f t="shared" ref="U9" si="13">IFERROR(SUM(U3,U5,U7),"")</f>
        <v>0</v>
      </c>
      <c r="V9" s="145" t="str">
        <f t="shared" ref="V9" si="14">IFERROR((U3*V3+U5*V5+U7*V7)/U9,"")</f>
        <v/>
      </c>
      <c r="W9" s="144">
        <f t="shared" ref="W9" si="15">IFERROR(SUM(W3,W5,W7),"")</f>
        <v>0</v>
      </c>
      <c r="X9" s="145" t="str">
        <f t="shared" ref="X9" si="16">IFERROR((W3*X3+W5*X5+W7*X7)/W9,"")</f>
        <v/>
      </c>
      <c r="Y9" s="144">
        <f t="shared" ref="Y9" si="17">IFERROR(SUM(Y3,Y5,Y7),"")</f>
        <v>0</v>
      </c>
      <c r="Z9" s="145" t="str">
        <f t="shared" ref="Z9" si="18">IFERROR((Y3*Z3+Y5*Z5+Y7*Z7)/Y9,"")</f>
        <v/>
      </c>
      <c r="AA9" s="144">
        <f t="shared" ref="AA9" si="19">IFERROR(SUM(AA3,AA5,AA7),"")</f>
        <v>0</v>
      </c>
      <c r="AB9" s="145" t="str">
        <f t="shared" ref="AB9" si="20">IFERROR((AA3*AB3+AA5*AB5+AA7*AB7)/AA9,"")</f>
        <v/>
      </c>
      <c r="AC9" s="144">
        <f t="shared" ref="AC9" si="21">IFERROR(SUM(AC3,AC5,AC7),"")</f>
        <v>0</v>
      </c>
      <c r="AD9" s="145" t="str">
        <f t="shared" ref="AD9" si="22">IFERROR((AC3*AD3+AC5*AD5+AC7*AD7)/AC9,"")</f>
        <v/>
      </c>
      <c r="AE9" s="144">
        <f t="shared" ref="AE9" si="23">IFERROR(SUM(AE3,AE5,AE7),"")</f>
        <v>0</v>
      </c>
      <c r="AF9" s="145" t="str">
        <f t="shared" ref="AF9:CJ10" si="24">IFERROR((AE3*AF3+AE5*AF5+AE7*AF7)/AE9,"")</f>
        <v/>
      </c>
      <c r="AG9" s="144">
        <f t="shared" ref="AG9" si="25">IFERROR(SUM(AG3,AG5,AG7),"")</f>
        <v>0</v>
      </c>
      <c r="AH9" s="145" t="str">
        <f t="shared" ref="AH9" si="26">IFERROR((AG3*AH3+AG5*AH5+AG7*AH7)/AG9,"")</f>
        <v/>
      </c>
      <c r="AI9" s="144">
        <f t="shared" ref="AI9" si="27">IFERROR(SUM(AI3,AI5,AI7),"")</f>
        <v>0</v>
      </c>
      <c r="AJ9" s="145" t="str">
        <f t="shared" ref="AJ9" si="28">IFERROR((AI3*AJ3+AI5*AJ5+AI7*AJ7)/AI9,"")</f>
        <v/>
      </c>
      <c r="AK9" s="144">
        <f t="shared" ref="AK9" si="29">IFERROR(SUM(AK3,AK5,AK7),"")</f>
        <v>0</v>
      </c>
      <c r="AL9" s="145" t="str">
        <f t="shared" ref="AL9" si="30">IFERROR((AK3*AL3+AK5*AL5+AK7*AL7)/AK9,"")</f>
        <v/>
      </c>
      <c r="AM9" s="144">
        <f t="shared" ref="AM9" si="31">IFERROR(SUM(AM3,AM5,AM7),"")</f>
        <v>0</v>
      </c>
      <c r="AN9" s="145" t="str">
        <f t="shared" ref="AN9" si="32">IFERROR((AM3*AN3+AM5*AN5+AM7*AN7)/AM9,"")</f>
        <v/>
      </c>
      <c r="AO9" s="144">
        <f t="shared" ref="AO9" si="33">IFERROR(SUM(AO3,AO5,AO7),"")</f>
        <v>0</v>
      </c>
      <c r="AP9" s="145" t="str">
        <f t="shared" ref="AP9" si="34">IFERROR((AO3*AP3+AO5*AP5+AO7*AP7)/AO9,"")</f>
        <v/>
      </c>
      <c r="AQ9" s="144">
        <f t="shared" ref="AQ9" si="35">IFERROR(SUM(AQ3,AQ5,AQ7),"")</f>
        <v>0</v>
      </c>
      <c r="AR9" s="145" t="str">
        <f t="shared" ref="AR9" si="36">IFERROR((AQ3*AR3+AQ5*AR5+AQ7*AR7)/AQ9,"")</f>
        <v/>
      </c>
      <c r="AS9" s="144">
        <f t="shared" ref="AS9" si="37">IFERROR(SUM(AS3,AS5,AS7),"")</f>
        <v>5740</v>
      </c>
      <c r="AT9" s="145">
        <f t="shared" si="24"/>
        <v>2.2858536585365856</v>
      </c>
      <c r="AU9" s="144">
        <f t="shared" ref="AU9" si="38">IFERROR(SUM(AU3,AU5,AU7),"")</f>
        <v>5110</v>
      </c>
      <c r="AV9" s="145">
        <f t="shared" ref="AV9" si="39">IFERROR((AU3*AV3+AU5*AV5+AU7*AV7)/AU9,"")</f>
        <v>2.2254794520547949</v>
      </c>
      <c r="AW9" s="144">
        <f t="shared" ref="AW9" si="40">IFERROR(SUM(AW3,AW5,AW7),"")</f>
        <v>0</v>
      </c>
      <c r="AX9" s="145" t="str">
        <f t="shared" ref="AX9" si="41">IFERROR((AW3*AX3+AW5*AX5+AW7*AX7)/AW9,"")</f>
        <v/>
      </c>
      <c r="AY9" s="144">
        <f t="shared" ref="AY9" si="42">IFERROR(SUM(AY3,AY5,AY7),"")</f>
        <v>6195</v>
      </c>
      <c r="AZ9" s="145">
        <f t="shared" ref="AZ9" si="43">IFERROR((AY3*AZ3+AY5*AZ5+AY7*AZ7)/AY9,"")</f>
        <v>2.3677966101694907</v>
      </c>
      <c r="BA9" s="144">
        <f t="shared" ref="BA9" si="44">IFERROR(SUM(BA3,BA5,BA7),"")</f>
        <v>0</v>
      </c>
      <c r="BB9" s="145" t="str">
        <f t="shared" ref="BB9" si="45">IFERROR((BA3*BB3+BA5*BB5+BA7*BB7)/BA9,"")</f>
        <v/>
      </c>
      <c r="BC9" s="144">
        <f t="shared" ref="BC9" si="46">IFERROR(SUM(BC3,BC5,BC7),"")</f>
        <v>0</v>
      </c>
      <c r="BD9" s="145" t="str">
        <f t="shared" ref="BD9" si="47">IFERROR((BC3*BD3+BC5*BD5+BC7*BD7)/BC9,"")</f>
        <v/>
      </c>
      <c r="BE9" s="144">
        <f t="shared" ref="BE9" si="48">IFERROR(SUM(BE3,BE5,BE7),"")</f>
        <v>6160</v>
      </c>
      <c r="BF9" s="145">
        <f t="shared" ref="BF9" si="49">IFERROR((BE3*BF3+BE5*BF5+BE7*BF7)/BE9,"")</f>
        <v>2.2477272727272726</v>
      </c>
      <c r="BG9" s="144">
        <f t="shared" ref="BG9" si="50">IFERROR(SUM(BG3,BG5,BG7),"")</f>
        <v>0</v>
      </c>
      <c r="BH9" s="145" t="str">
        <f t="shared" si="24"/>
        <v/>
      </c>
      <c r="BI9" s="144">
        <f t="shared" ref="BI9" si="51">IFERROR(SUM(BI3,BI5,BI7),"")</f>
        <v>0</v>
      </c>
      <c r="BJ9" s="145" t="str">
        <f t="shared" ref="BJ9" si="52">IFERROR((BI3*BJ3+BI5*BJ5+BI7*BJ7)/BI9,"")</f>
        <v/>
      </c>
      <c r="BK9" s="144">
        <f t="shared" ref="BK9" si="53">IFERROR(SUM(BK3,BK5,BK7),"")</f>
        <v>11270</v>
      </c>
      <c r="BL9" s="145">
        <f t="shared" ref="BL9" si="54">IFERROR((BK3*BL3+BK5*BL5+BK7*BL7)/BK9,"")</f>
        <v>2.6673913043478259</v>
      </c>
      <c r="BM9" s="144">
        <f t="shared" ref="BM9" si="55">IFERROR(SUM(BM3,BM5,BM7),"")</f>
        <v>0</v>
      </c>
      <c r="BN9" s="145" t="str">
        <f t="shared" ref="BN9" si="56">IFERROR((BM3*BN3+BM5*BN5+BM7*BN7)/BM9,"")</f>
        <v/>
      </c>
      <c r="BO9" s="144">
        <f t="shared" ref="BO9" si="57">IFERROR(SUM(BO3,BO5,BO7),"")</f>
        <v>1050</v>
      </c>
      <c r="BP9" s="145">
        <f t="shared" ref="BP9" si="58">IFERROR((BO3*BP3+BO5*BP5+BO7*BP7)/BO9,"")</f>
        <v>2.3900000000000015</v>
      </c>
      <c r="BQ9" s="144">
        <f t="shared" ref="BQ9" si="59">IFERROR(SUM(BQ3,BQ5,BQ7),"")</f>
        <v>5145</v>
      </c>
      <c r="BR9" s="145">
        <f t="shared" ref="BR9" si="60">IFERROR((BQ3*BR3+BQ5*BR5+BQ7*BR7)/BQ9,"")</f>
        <v>2.7859863945578236</v>
      </c>
      <c r="BS9" s="144">
        <f t="shared" ref="BS9" si="61">IFERROR(SUM(BS3,BS5,BS7),"")</f>
        <v>2100</v>
      </c>
      <c r="BT9" s="145">
        <f t="shared" ref="BT9" si="62">IFERROR((BS3*BT3+BS5*BT5+BS7*BT7)/BS9,"")</f>
        <v>3.1620000000000013</v>
      </c>
      <c r="BU9" s="144">
        <f t="shared" ref="BU9" si="63">IFERROR(SUM(BU3,BU5,BU7),"")</f>
        <v>0</v>
      </c>
      <c r="BV9" s="145" t="str">
        <f t="shared" si="24"/>
        <v/>
      </c>
      <c r="BW9" s="144">
        <f t="shared" ref="BW9" si="64">IFERROR(SUM(BW3,BW5,BW7),"")</f>
        <v>7105</v>
      </c>
      <c r="BX9" s="145">
        <f t="shared" ref="BX9" si="65">IFERROR((BW3*BX3+BW5*BX5+BW7*BX7)/BW9,"")</f>
        <v>2.2428571428571429</v>
      </c>
      <c r="BY9" s="144">
        <f t="shared" ref="BY9" si="66">IFERROR(SUM(BY3,BY5,BY7),"")</f>
        <v>0</v>
      </c>
      <c r="BZ9" s="145" t="str">
        <f t="shared" ref="BZ9" si="67">IFERROR((BY3*BZ3+BY5*BZ5+BY7*BZ7)/BY9,"")</f>
        <v/>
      </c>
      <c r="CA9" s="144">
        <f t="shared" ref="CA9" si="68">IFERROR(SUM(CA3,CA5,CA7),"")</f>
        <v>0</v>
      </c>
      <c r="CB9" s="145" t="str">
        <f t="shared" ref="CB9" si="69">IFERROR((CA3*CB3+CA5*CB5+CA7*CB7)/CA9,"")</f>
        <v/>
      </c>
      <c r="CC9" s="144">
        <f t="shared" ref="CC9" si="70">IFERROR(SUM(CC3,CC5,CC7),"")</f>
        <v>2030</v>
      </c>
      <c r="CD9" s="145">
        <f t="shared" ref="CD9" si="71">IFERROR((CC3*CD3+CC5*CD5+CC7*CD7)/CC9,"")</f>
        <v>2.4800000000000004</v>
      </c>
      <c r="CE9" s="144">
        <f t="shared" ref="CE9" si="72">IFERROR(SUM(CE3,CE5,CE7),"")</f>
        <v>0</v>
      </c>
      <c r="CF9" s="145" t="str">
        <f t="shared" ref="CF9" si="73">IFERROR((CE3*CF3+CE5*CF5+CE7*CF7)/CE9,"")</f>
        <v/>
      </c>
      <c r="CG9" s="144">
        <f t="shared" ref="CG9" si="74">IFERROR(SUM(CG3,CG5,CG7),"")</f>
        <v>0</v>
      </c>
      <c r="CH9" s="145" t="str">
        <f t="shared" ref="CH9" si="75">IFERROR((CG3*CH3+CG5*CH5+CG7*CH7)/CG9,"")</f>
        <v/>
      </c>
      <c r="CI9" s="144">
        <f t="shared" ref="CI9" si="76">IFERROR(SUM(CI3,CI5,CI7),"")</f>
        <v>0</v>
      </c>
      <c r="CJ9" s="145" t="str">
        <f t="shared" si="24"/>
        <v/>
      </c>
      <c r="CK9" s="144">
        <f t="shared" ref="CK9" si="77">IFERROR(SUM(CK3,CK5,CK7),"")</f>
        <v>0</v>
      </c>
      <c r="CL9" s="145" t="str">
        <f t="shared" ref="CL9" si="78">IFERROR((CK3*CL3+CK5*CL5+CK7*CL7)/CK9,"")</f>
        <v/>
      </c>
      <c r="CM9" s="144">
        <f t="shared" ref="CM9" si="79">IFERROR(SUM(CM3,CM5,CM7),"")</f>
        <v>0</v>
      </c>
      <c r="CN9" s="145" t="str">
        <f t="shared" ref="CN9" si="80">IFERROR((CM3*CN3+CM5*CN5+CM7*CN7)/CM9,"")</f>
        <v/>
      </c>
      <c r="CO9" s="144">
        <f t="shared" ref="CO9" si="81">IFERROR(SUM(CO3,CO5,CO7),"")</f>
        <v>0</v>
      </c>
      <c r="CP9" s="145" t="str">
        <f t="shared" ref="CP9" si="82">IFERROR((CO3*CP3+CO5*CP5+CO7*CP7)/CO9,"")</f>
        <v/>
      </c>
      <c r="CQ9" s="144">
        <f t="shared" ref="CQ9" si="83">IFERROR(SUM(CQ3,CQ5,CQ7),"")</f>
        <v>0</v>
      </c>
      <c r="CR9" s="145" t="str">
        <f t="shared" ref="CR9" si="84">IFERROR((CQ3*CR3+CQ5*CR5+CQ7*CR7)/CQ9,"")</f>
        <v/>
      </c>
      <c r="CS9" s="144"/>
      <c r="CT9" s="145"/>
      <c r="CU9" s="144"/>
      <c r="CV9" s="145"/>
      <c r="CW9" s="144"/>
      <c r="CX9" s="145"/>
      <c r="CY9" s="144">
        <f t="shared" ref="CY9" si="85">IFERROR(SUM(CY3,CY5,CY7),"")</f>
        <v>0</v>
      </c>
      <c r="CZ9" s="145" t="str">
        <f t="shared" ref="CZ9" si="86">IFERROR((CY3*CZ3+CY5*CZ5+CY7*CZ7)/CY9,"")</f>
        <v/>
      </c>
      <c r="DA9" s="144">
        <f t="shared" ref="DA9" si="87">IFERROR(SUM(DA3,DA5,DA7),"")</f>
        <v>3080</v>
      </c>
      <c r="DB9" s="145">
        <f t="shared" ref="DB9" si="88">IFERROR((DA3*DB3+DA5*DB5+DA7*DB7)/DA9,"")</f>
        <v>3.4838636363636359</v>
      </c>
      <c r="DC9" s="144">
        <f t="shared" ref="DC9" si="89">IFERROR(SUM(DC3,DC5,DC7),"")</f>
        <v>8015</v>
      </c>
      <c r="DD9" s="145">
        <f t="shared" ref="DD9:FL10" si="90">IFERROR((DC3*DD3+DC5*DD5+DC7*DD7)/DC9,"")</f>
        <v>3.7393449781659376</v>
      </c>
      <c r="DE9" s="144">
        <f t="shared" ref="DE9" si="91">IFERROR(SUM(DE3,DE5,DE7),"")</f>
        <v>0</v>
      </c>
      <c r="DF9" s="145" t="str">
        <f t="shared" ref="DF9" si="92">IFERROR((DE3*DF3+DE5*DF5+DE7*DF7)/DE9,"")</f>
        <v/>
      </c>
      <c r="DG9" s="144">
        <f t="shared" ref="DG9" si="93">IFERROR(SUM(DG3,DG5,DG7),"")</f>
        <v>0</v>
      </c>
      <c r="DH9" s="145" t="str">
        <f t="shared" ref="DH9" si="94">IFERROR((DG3*DH3+DG5*DH5+DG7*DH7)/DG9,"")</f>
        <v/>
      </c>
      <c r="DI9" s="144">
        <f t="shared" ref="DI9" si="95">IFERROR(SUM(DI3,DI5,DI7),"")</f>
        <v>0</v>
      </c>
      <c r="DJ9" s="145" t="str">
        <f t="shared" ref="DJ9" si="96">IFERROR((DI3*DJ3+DI5*DJ5+DI7*DJ7)/DI9,"")</f>
        <v/>
      </c>
      <c r="DK9" s="144">
        <f t="shared" ref="DK9" si="97">IFERROR(SUM(DK3,DK5,DK7),"")</f>
        <v>0</v>
      </c>
      <c r="DL9" s="145" t="str">
        <f t="shared" ref="DL9" si="98">IFERROR((DK3*DL3+DK5*DL5+DK7*DL7)/DK9,"")</f>
        <v/>
      </c>
      <c r="DM9" s="144">
        <f t="shared" ref="DM9" si="99">IFERROR(SUM(DM3,DM5,DM7),"")</f>
        <v>0</v>
      </c>
      <c r="DN9" s="145" t="str">
        <f t="shared" ref="DN9" si="100">IFERROR((DM3*DN3+DM5*DN5+DM7*DN7)/DM9,"")</f>
        <v/>
      </c>
      <c r="DO9" s="144">
        <f t="shared" ref="DO9" si="101">IFERROR(SUM(DO3,DO5,DO7),"")</f>
        <v>0</v>
      </c>
      <c r="DP9" s="145" t="str">
        <f t="shared" ref="DP9" si="102">IFERROR((DO3*DP3+DO5*DP5+DO7*DP7)/DO9,"")</f>
        <v/>
      </c>
      <c r="DQ9" s="144">
        <f t="shared" ref="DQ9" si="103">IFERROR(SUM(DQ3,DQ5,DQ7),"")</f>
        <v>0</v>
      </c>
      <c r="DR9" s="145" t="str">
        <f t="shared" si="90"/>
        <v/>
      </c>
      <c r="DS9" s="144">
        <f t="shared" ref="DS9" si="104">IFERROR(SUM(DS3,DS5,DS7),"")</f>
        <v>0</v>
      </c>
      <c r="DT9" s="145" t="str">
        <f t="shared" ref="DT9" si="105">IFERROR((DS3*DT3+DS5*DT5+DS7*DT7)/DS9,"")</f>
        <v/>
      </c>
      <c r="DU9" s="144">
        <f t="shared" ref="DU9" si="106">IFERROR(SUM(DU3,DU5,DU7),"")</f>
        <v>0</v>
      </c>
      <c r="DV9" s="145" t="str">
        <f t="shared" ref="DV9" si="107">IFERROR((DU3*DV3+DU5*DV5+DU7*DV7)/DU9,"")</f>
        <v/>
      </c>
      <c r="DW9" s="144">
        <f t="shared" ref="DW9" si="108">IFERROR(SUM(DW3,DW5,DW7),"")</f>
        <v>0</v>
      </c>
      <c r="DX9" s="145" t="str">
        <f t="shared" ref="DX9" si="109">IFERROR((DW3*DX3+DW5*DX5+DW7*DX7)/DW9,"")</f>
        <v/>
      </c>
      <c r="DY9" s="144">
        <f t="shared" ref="DY9" si="110">IFERROR(SUM(DY3,DY5,DY7),"")</f>
        <v>0</v>
      </c>
      <c r="DZ9" s="145" t="str">
        <f t="shared" ref="DZ9" si="111">IFERROR((DY3*DZ3+DY5*DZ5+DY7*DZ7)/DY9,"")</f>
        <v/>
      </c>
      <c r="EA9" s="144">
        <f t="shared" ref="EA9" si="112">IFERROR(SUM(EA3,EA5,EA7),"")</f>
        <v>0</v>
      </c>
      <c r="EB9" s="145" t="str">
        <f t="shared" ref="EB9" si="113">IFERROR((EA3*EB3+EA5*EB5+EA7*EB7)/EA9,"")</f>
        <v/>
      </c>
      <c r="EC9" s="144">
        <f t="shared" ref="EC9" si="114">IFERROR(SUM(EC3,EC5,EC7),"")</f>
        <v>0</v>
      </c>
      <c r="ED9" s="145" t="str">
        <f t="shared" ref="ED9" si="115">IFERROR((EC3*ED3+EC5*ED5+EC7*ED7)/EC9,"")</f>
        <v/>
      </c>
      <c r="EE9" s="144">
        <f t="shared" ref="EE9" si="116">IFERROR(SUM(EE3,EE5,EE7),"")</f>
        <v>0</v>
      </c>
      <c r="EF9" s="145" t="str">
        <f t="shared" si="90"/>
        <v/>
      </c>
      <c r="EG9" s="144">
        <f t="shared" ref="EG9" si="117">IFERROR(SUM(EG3,EG5,EG7),"")</f>
        <v>0</v>
      </c>
      <c r="EH9" s="145" t="str">
        <f t="shared" ref="EH9" si="118">IFERROR((EG3*EH3+EG5*EH5+EG7*EH7)/EG9,"")</f>
        <v/>
      </c>
      <c r="EI9" s="144">
        <f t="shared" ref="EI9" si="119">IFERROR(SUM(EI3,EI5,EI7),"")</f>
        <v>0</v>
      </c>
      <c r="EJ9" s="145" t="str">
        <f t="shared" ref="EJ9" si="120">IFERROR((EI3*EJ3+EI5*EJ5+EI7*EJ7)/EI9,"")</f>
        <v/>
      </c>
      <c r="EK9" s="144">
        <f t="shared" ref="EK9" si="121">IFERROR(SUM(EK3,EK5,EK7),"")</f>
        <v>0</v>
      </c>
      <c r="EL9" s="145" t="str">
        <f t="shared" ref="EL9" si="122">IFERROR((EK3*EL3+EK5*EL5+EK7*EL7)/EK9,"")</f>
        <v/>
      </c>
      <c r="EM9" s="144">
        <f t="shared" ref="EM9" si="123">IFERROR(SUM(EM3,EM5,EM7),"")</f>
        <v>0</v>
      </c>
      <c r="EN9" s="145" t="str">
        <f t="shared" ref="EN9" si="124">IFERROR((EM3*EN3+EM5*EN5+EM7*EN7)/EM9,"")</f>
        <v/>
      </c>
      <c r="EO9" s="144">
        <f t="shared" ref="EO9" si="125">IFERROR(SUM(EO3,EO5,EO7),"")</f>
        <v>0</v>
      </c>
      <c r="EP9" s="145" t="str">
        <f t="shared" ref="EP9" si="126">IFERROR((EO3*EP3+EO5*EP5+EO7*EP7)/EO9,"")</f>
        <v/>
      </c>
      <c r="EQ9" s="144">
        <f t="shared" ref="EQ9" si="127">IFERROR(SUM(EQ3,EQ5,EQ7),"")</f>
        <v>0</v>
      </c>
      <c r="ER9" s="145" t="str">
        <f t="shared" ref="ER9" si="128">IFERROR((EQ3*ER3+EQ5*ER5+EQ7*ER7)/EQ9,"")</f>
        <v/>
      </c>
      <c r="ES9" s="144"/>
      <c r="ET9" s="145"/>
      <c r="EU9" s="144">
        <f t="shared" ref="EU9" si="129">IFERROR(SUM(EU3,EU5,EU7),"")</f>
        <v>0</v>
      </c>
      <c r="EV9" s="145" t="str">
        <f t="shared" si="90"/>
        <v/>
      </c>
      <c r="EW9" s="144"/>
      <c r="EX9" s="145"/>
      <c r="EY9" s="144">
        <f t="shared" ref="EY9" si="130">IFERROR(SUM(EY3,EY5,EY7),"")</f>
        <v>0</v>
      </c>
      <c r="EZ9" s="145" t="str">
        <f t="shared" ref="EZ9" si="131">IFERROR((EY3*EZ3+EY5*EZ5+EY7*EZ7)/EY9,"")</f>
        <v/>
      </c>
      <c r="FA9" s="144">
        <f t="shared" ref="FA9" si="132">IFERROR(SUM(FA3,FA5,FA7),"")</f>
        <v>0</v>
      </c>
      <c r="FB9" s="145" t="str">
        <f t="shared" ref="FB9" si="133">IFERROR((FA3*FB3+FA5*FB5+FA7*FB7)/FA9,"")</f>
        <v/>
      </c>
      <c r="FC9" s="144">
        <f t="shared" ref="FC9" si="134">IFERROR(SUM(FC3,FC5,FC7),"")</f>
        <v>0</v>
      </c>
      <c r="FD9" s="145" t="str">
        <f t="shared" ref="FD9" si="135">IFERROR((FC3*FD3+FC5*FD5+FC7*FD7)/FC9,"")</f>
        <v/>
      </c>
      <c r="FE9" s="144">
        <f t="shared" ref="FE9" si="136">IFERROR(SUM(FE3,FE5,FE7),"")</f>
        <v>0</v>
      </c>
      <c r="FF9" s="145" t="str">
        <f t="shared" ref="FF9" si="137">IFERROR((FE3*FF3+FE5*FF5+FE7*FF7)/FE9,"")</f>
        <v/>
      </c>
      <c r="FG9" s="144">
        <f t="shared" ref="FG9" si="138">IFERROR(SUM(FG3,FG5,FG7),"")</f>
        <v>0</v>
      </c>
      <c r="FH9" s="145" t="str">
        <f t="shared" ref="FH9" si="139">IFERROR((FG3*FH3+FG5*FH5+FG7*FH7)/FG9,"")</f>
        <v/>
      </c>
      <c r="FI9" s="144">
        <f t="shared" ref="FI9" si="140">IFERROR(SUM(FI3,FI5,FI7),"")</f>
        <v>0</v>
      </c>
      <c r="FJ9" s="145" t="str">
        <f t="shared" ref="FJ9" si="141">IFERROR((FI3*FJ3+FI5*FJ5+FI7*FJ7)/FI9,"")</f>
        <v/>
      </c>
      <c r="FK9" s="144">
        <f t="shared" ref="FK9" si="142">IFERROR(SUM(FK3,FK5,FK7),"")</f>
        <v>0</v>
      </c>
      <c r="FL9" s="145" t="str">
        <f t="shared" si="90"/>
        <v/>
      </c>
      <c r="FM9" s="144">
        <f t="shared" ref="FM9" si="143">IFERROR(SUM(FM3,FM5,FM7),"")</f>
        <v>0</v>
      </c>
      <c r="FN9" s="145" t="str">
        <f t="shared" ref="FN9" si="144">IFERROR((FM3*FN3+FM5*FN5+FM7*FN7)/FM9,"")</f>
        <v/>
      </c>
      <c r="FO9" s="144">
        <f t="shared" ref="FO9" si="145">IFERROR(SUM(FO3,FO5,FO7),"")</f>
        <v>0</v>
      </c>
      <c r="FP9" s="145" t="str">
        <f t="shared" ref="FP9" si="146">IFERROR((FO3*FP3+FO5*FP5+FO7*FP7)/FO9,"")</f>
        <v/>
      </c>
      <c r="FQ9" s="144">
        <f t="shared" ref="FQ9" si="147">IFERROR(SUM(FQ3,FQ5,FQ7),"")</f>
        <v>0</v>
      </c>
      <c r="FR9" s="145" t="str">
        <f t="shared" ref="FR9" si="148">IFERROR((FQ3*FR3+FQ5*FR5+FQ7*FR7)/FQ9,"")</f>
        <v/>
      </c>
      <c r="FS9" s="144">
        <f t="shared" ref="FS9" si="149">IFERROR(SUM(FS3,FS5,FS7),"")</f>
        <v>0</v>
      </c>
      <c r="FT9" s="145" t="str">
        <f t="shared" ref="FT9" si="150">IFERROR((FS3*FT3+FS5*FT5+FS7*FT7)/FS9,"")</f>
        <v/>
      </c>
      <c r="FU9" s="144">
        <f t="shared" ref="FU9" si="151">IFERROR(SUM(FU3,FU5,FU7),"")</f>
        <v>0</v>
      </c>
      <c r="FV9" s="145" t="str">
        <f t="shared" ref="FV9" si="152">IFERROR((FU3*FV3+FU5*FV5+FU7*FV7)/FU9,"")</f>
        <v/>
      </c>
      <c r="FW9" s="144">
        <f t="shared" ref="FW9" si="153">IFERROR(SUM(FW3,FW5,FW7),"")</f>
        <v>0</v>
      </c>
      <c r="FX9" s="145" t="str">
        <f t="shared" ref="FX9" si="154">IFERROR((FW3*FX3+FW5*FX5+FW7*FX7)/FW9,"")</f>
        <v/>
      </c>
      <c r="FY9" s="144">
        <f t="shared" ref="FY9" si="155">IFERROR(SUM(FY3,FY5,FY7),"")</f>
        <v>0</v>
      </c>
      <c r="FZ9" s="145" t="str">
        <f t="shared" ref="FZ9:ID10" si="156">IFERROR((FY3*FZ3+FY5*FZ5+FY7*FZ7)/FY9,"")</f>
        <v/>
      </c>
      <c r="GA9" s="144">
        <f t="shared" ref="GA9" si="157">IFERROR(SUM(GA3,GA5,GA7),"")</f>
        <v>0</v>
      </c>
      <c r="GB9" s="145" t="str">
        <f t="shared" ref="GB9" si="158">IFERROR((GA3*GB3+GA5*GB5+GA7*GB7)/GA9,"")</f>
        <v/>
      </c>
      <c r="GC9" s="144">
        <f t="shared" ref="GC9" si="159">IFERROR(SUM(GC3,GC5,GC7),"")</f>
        <v>0</v>
      </c>
      <c r="GD9" s="145" t="str">
        <f t="shared" ref="GD9" si="160">IFERROR((GC3*GD3+GC5*GD5+GC7*GD7)/GC9,"")</f>
        <v/>
      </c>
      <c r="GE9" s="144">
        <f t="shared" ref="GE9" si="161">IFERROR(SUM(GE3,GE5,GE7),"")</f>
        <v>0</v>
      </c>
      <c r="GF9" s="145" t="str">
        <f t="shared" ref="GF9" si="162">IFERROR((GE3*GF3+GE5*GF5+GE7*GF7)/GE9,"")</f>
        <v/>
      </c>
      <c r="GG9" s="144">
        <f t="shared" ref="GG9" si="163">IFERROR(SUM(GG3,GG5,GG7),"")</f>
        <v>0</v>
      </c>
      <c r="GH9" s="145" t="str">
        <f t="shared" ref="GH9" si="164">IFERROR((GG3*GH3+GG5*GH5+GG7*GH7)/GG9,"")</f>
        <v/>
      </c>
      <c r="GI9" s="144">
        <f t="shared" ref="GI9" si="165">IFERROR(SUM(GI3,GI5,GI7),"")</f>
        <v>0</v>
      </c>
      <c r="GJ9" s="145" t="str">
        <f t="shared" ref="GJ9" si="166">IFERROR((GI3*GJ3+GI5*GJ5+GI7*GJ7)/GI9,"")</f>
        <v/>
      </c>
      <c r="GK9" s="144">
        <f t="shared" ref="GK9" si="167">IFERROR(SUM(GK3,GK5,GK7),"")</f>
        <v>0</v>
      </c>
      <c r="GL9" s="145" t="str">
        <f t="shared" ref="GL9" si="168">IFERROR((GK3*GL3+GK5*GL5+GK7*GL7)/GK9,"")</f>
        <v/>
      </c>
      <c r="GM9" s="144">
        <f t="shared" ref="GM9" si="169">IFERROR(SUM(GM3,GM5,GM7),"")</f>
        <v>0</v>
      </c>
      <c r="GN9" s="145" t="str">
        <f t="shared" si="156"/>
        <v/>
      </c>
      <c r="GO9" s="144">
        <f t="shared" ref="GO9" si="170">IFERROR(SUM(GO3,GO5,GO7),"")</f>
        <v>0</v>
      </c>
      <c r="GP9" s="145" t="str">
        <f t="shared" ref="GP9" si="171">IFERROR((GO3*GP3+GO5*GP5+GO7*GP7)/GO9,"")</f>
        <v/>
      </c>
      <c r="GQ9" s="144">
        <f t="shared" ref="GQ9" si="172">IFERROR(SUM(GQ3,GQ5,GQ7),"")</f>
        <v>0</v>
      </c>
      <c r="GR9" s="145" t="str">
        <f t="shared" ref="GR9" si="173">IFERROR((GQ3*GR3+GQ5*GR5+GQ7*GR7)/GQ9,"")</f>
        <v/>
      </c>
      <c r="GS9" s="144">
        <f t="shared" ref="GS9" si="174">IFERROR(SUM(GS3,GS5,GS7),"")</f>
        <v>0</v>
      </c>
      <c r="GT9" s="145" t="str">
        <f t="shared" ref="GT9" si="175">IFERROR((GS3*GT3+GS5*GT5+GS7*GT7)/GS9,"")</f>
        <v/>
      </c>
      <c r="GU9" s="144">
        <f t="shared" ref="GU9" si="176">IFERROR(SUM(GU3,GU5,GU7),"")</f>
        <v>0</v>
      </c>
      <c r="GV9" s="145" t="str">
        <f t="shared" ref="GV9" si="177">IFERROR((GU3*GV3+GU5*GV5+GU7*GV7)/GU9,"")</f>
        <v/>
      </c>
      <c r="GW9" s="144">
        <f t="shared" ref="GW9" si="178">IFERROR(SUM(GW3,GW5,GW7),"")</f>
        <v>0</v>
      </c>
      <c r="GX9" s="145" t="str">
        <f t="shared" ref="GX9" si="179">IFERROR((GW3*GX3+GW5*GX5+GW7*GX7)/GW9,"")</f>
        <v/>
      </c>
      <c r="GY9" s="144">
        <f t="shared" ref="GY9" si="180">IFERROR(SUM(GY3,GY5,GY7),"")</f>
        <v>0</v>
      </c>
      <c r="GZ9" s="145" t="str">
        <f t="shared" ref="GZ9" si="181">IFERROR((GY3*GZ3+GY5*GZ5+GY7*GZ7)/GY9,"")</f>
        <v/>
      </c>
      <c r="HA9" s="144">
        <f t="shared" ref="HA9" si="182">IFERROR(SUM(HA3,HA5,HA7),"")</f>
        <v>0</v>
      </c>
      <c r="HB9" s="145" t="str">
        <f t="shared" si="156"/>
        <v/>
      </c>
      <c r="HC9" s="144">
        <f t="shared" ref="HC9" si="183">IFERROR(SUM(HC3,HC5,HC7),"")</f>
        <v>0</v>
      </c>
      <c r="HD9" s="145" t="str">
        <f t="shared" ref="HD9" si="184">IFERROR((HC3*HD3+HC5*HD5+HC7*HD7)/HC9,"")</f>
        <v/>
      </c>
      <c r="HE9" s="144">
        <f t="shared" ref="HE9" si="185">IFERROR(SUM(HE3,HE5,HE7),"")</f>
        <v>0</v>
      </c>
      <c r="HF9" s="145" t="str">
        <f t="shared" ref="HF9" si="186">IFERROR((HE3*HF3+HE5*HF5+HE7*HF7)/HE9,"")</f>
        <v/>
      </c>
      <c r="HG9" s="144">
        <f t="shared" ref="HG9" si="187">IFERROR(SUM(HG3,HG5,HG7),"")</f>
        <v>0</v>
      </c>
      <c r="HH9" s="145" t="str">
        <f t="shared" ref="HH9" si="188">IFERROR((HG3*HH3+HG5*HH5+HG7*HH7)/HG9,"")</f>
        <v/>
      </c>
      <c r="HI9" s="144">
        <f t="shared" ref="HI9" si="189">IFERROR(SUM(HI3,HI5,HI7),"")</f>
        <v>0</v>
      </c>
      <c r="HJ9" s="145" t="str">
        <f t="shared" ref="HJ9" si="190">IFERROR((HI3*HJ3+HI5*HJ5+HI7*HJ7)/HI9,"")</f>
        <v/>
      </c>
      <c r="HK9" s="144">
        <f t="shared" ref="HK9" si="191">IFERROR(SUM(HK3,HK5,HK7),"")</f>
        <v>0</v>
      </c>
      <c r="HL9" s="145" t="str">
        <f t="shared" ref="HL9" si="192">IFERROR((HK3*HL3+HK5*HL5+HK7*HL7)/HK9,"")</f>
        <v/>
      </c>
      <c r="HM9" s="144">
        <f t="shared" ref="HM9" si="193">IFERROR(SUM(HM3,HM5,HM7),"")</f>
        <v>0</v>
      </c>
      <c r="HN9" s="145" t="str">
        <f t="shared" ref="HN9" si="194">IFERROR((HM3*HN3+HM5*HN5+HM7*HN7)/HM9,"")</f>
        <v/>
      </c>
      <c r="HO9" s="144">
        <f t="shared" ref="HO9" si="195">IFERROR(SUM(HO3,HO5,HO7),"")</f>
        <v>0</v>
      </c>
      <c r="HP9" s="145" t="str">
        <f t="shared" si="156"/>
        <v/>
      </c>
      <c r="HQ9" s="144">
        <f t="shared" ref="HQ9" si="196">IFERROR(SUM(HQ3,HQ5,HQ7),"")</f>
        <v>0</v>
      </c>
      <c r="HR9" s="145" t="str">
        <f t="shared" ref="HR9" si="197">IFERROR((HQ3*HR3+HQ5*HR5+HQ7*HR7)/HQ9,"")</f>
        <v/>
      </c>
      <c r="HS9" s="144">
        <f t="shared" ref="HS9" si="198">IFERROR(SUM(HS3,HS5,HS7),"")</f>
        <v>0</v>
      </c>
      <c r="HT9" s="145" t="str">
        <f t="shared" ref="HT9" si="199">IFERROR((HS3*HT3+HS5*HT5+HS7*HT7)/HS9,"")</f>
        <v/>
      </c>
      <c r="HU9" s="144">
        <f t="shared" ref="HU9" si="200">IFERROR(SUM(HU3,HU5,HU7),"")</f>
        <v>0</v>
      </c>
      <c r="HV9" s="145" t="str">
        <f t="shared" ref="HV9" si="201">IFERROR((HU3*HV3+HU5*HV5+HU7*HV7)/HU9,"")</f>
        <v/>
      </c>
      <c r="HW9" s="144">
        <f t="shared" ref="HW9" si="202">IFERROR(SUM(HW3,HW5,HW7),"")</f>
        <v>0</v>
      </c>
      <c r="HX9" s="145" t="str">
        <f t="shared" ref="HX9" si="203">IFERROR((HW3*HX3+HW5*HX5+HW7*HX7)/HW9,"")</f>
        <v/>
      </c>
      <c r="HY9" s="144">
        <f t="shared" ref="HY9" si="204">IFERROR(SUM(HY3,HY5,HY7),"")</f>
        <v>0</v>
      </c>
      <c r="HZ9" s="145" t="str">
        <f t="shared" ref="HZ9" si="205">IFERROR((HY3*HZ3+HY5*HZ5+HY7*HZ7)/HY9,"")</f>
        <v/>
      </c>
      <c r="IA9" s="144">
        <f t="shared" ref="IA9" si="206">IFERROR(SUM(IA3,IA5,IA7),"")</f>
        <v>0</v>
      </c>
      <c r="IB9" s="145" t="str">
        <f t="shared" ref="IB9" si="207">IFERROR((IA3*IB3+IA5*IB5+IA7*IB7)/IA9,"")</f>
        <v/>
      </c>
      <c r="IC9" s="144">
        <f t="shared" ref="IC9" si="208">IFERROR(SUM(IC3,IC5,IC7),"")</f>
        <v>0</v>
      </c>
      <c r="ID9" s="145" t="str">
        <f t="shared" si="156"/>
        <v/>
      </c>
      <c r="IE9" s="144">
        <f t="shared" ref="IE9" si="209">IFERROR(SUM(IE3,IE5,IE7),"")</f>
        <v>0</v>
      </c>
      <c r="IF9" s="145" t="str">
        <f t="shared" ref="IF9" si="210">IFERROR((IE3*IF3+IE5*IF5+IE7*IF7)/IE9,"")</f>
        <v/>
      </c>
      <c r="IG9" s="144">
        <f t="shared" ref="IG9" si="211">IFERROR(SUM(IG3,IG5,IG7),"")</f>
        <v>0</v>
      </c>
      <c r="IH9" s="145" t="str">
        <f t="shared" ref="IH9" si="212">IFERROR((IG3*IH3+IG5*IH5+IG7*IH7)/IG9,"")</f>
        <v/>
      </c>
      <c r="II9" s="144">
        <f t="shared" ref="II9" si="213">IFERROR(SUM(II3,II5,II7),"")</f>
        <v>0</v>
      </c>
      <c r="IJ9" s="145" t="str">
        <f t="shared" ref="IJ9" si="214">IFERROR((II3*IJ3+II5*IJ5+II7*IJ7)/II9,"")</f>
        <v/>
      </c>
      <c r="IK9" s="144">
        <f t="shared" ref="IK9" si="215">IFERROR(SUM(IK3,IK5,IK7),"")</f>
        <v>0</v>
      </c>
      <c r="IL9" s="145" t="str">
        <f t="shared" ref="IL9" si="216">IFERROR((IK3*IL3+IK5*IL5+IK7*IL7)/IK9,"")</f>
        <v/>
      </c>
      <c r="IM9" s="144">
        <f t="shared" ref="IM9" si="217">IFERROR(SUM(IM3,IM5,IM7),"")</f>
        <v>0</v>
      </c>
      <c r="IN9" s="145" t="str">
        <f t="shared" ref="IN9" si="218">IFERROR((IM3*IN3+IM5*IN5+IM7*IN7)/IM9,"")</f>
        <v/>
      </c>
      <c r="IO9" s="144">
        <f t="shared" ref="IO9" si="219">IFERROR(SUM(IO3,IO5,IO7),"")</f>
        <v>0</v>
      </c>
      <c r="IP9" s="145" t="str">
        <f t="shared" ref="IP9" si="220">IFERROR((IO3*IP3+IO5*IP5+IO7*IP7)/IO9,"")</f>
        <v/>
      </c>
      <c r="IQ9" s="144">
        <f t="shared" ref="IQ9" si="221">IFERROR(SUM(IQ3,IQ5,IQ7),"")</f>
        <v>0</v>
      </c>
      <c r="IR9" s="145" t="str">
        <f t="shared" ref="IR9:IR10" si="222">IFERROR((IQ3*IR3+IQ5*IR5+IQ7*IR7)/IQ9,"")</f>
        <v/>
      </c>
      <c r="IS9" s="144">
        <f t="shared" ref="IS9" si="223">IFERROR(SUM(IS3,IS5,IS7),"")</f>
        <v>0</v>
      </c>
      <c r="IT9" s="145" t="str">
        <f t="shared" ref="IT9" si="224">IFERROR((IS3*IT3+IS5*IT5+IS7*IT7)/IS9,"")</f>
        <v/>
      </c>
      <c r="IU9" s="144">
        <f t="shared" ref="IU9" si="225">IFERROR(SUM(IU3,IU5,IU7),"")</f>
        <v>0</v>
      </c>
      <c r="IV9" s="145" t="str">
        <f t="shared" ref="IV9" si="226">IFERROR((IU3*IV3+IU5*IV5+IU7*IV7)/IU9,"")</f>
        <v/>
      </c>
      <c r="IW9" s="144">
        <f t="shared" ref="IW9" si="227">IFERROR(SUM(IW3,IW5,IW7),"")</f>
        <v>0</v>
      </c>
      <c r="IX9" s="145" t="str">
        <f t="shared" ref="IX9" si="228">IFERROR((IW3*IX3+IW5*IX5+IW7*IX7)/IW9,"")</f>
        <v/>
      </c>
      <c r="IY9" s="144">
        <f t="shared" ref="IY9" si="229">IFERROR(SUM(IY3,IY5,IY7),"")</f>
        <v>0</v>
      </c>
      <c r="IZ9" s="145" t="str">
        <f t="shared" ref="IZ9" si="230">IFERROR((IY3*IZ3+IY5*IZ5+IY7*IZ7)/IY9,"")</f>
        <v/>
      </c>
    </row>
    <row r="10" spans="1:260" x14ac:dyDescent="0.25">
      <c r="A10" s="1585"/>
      <c r="B10" s="130" t="s">
        <v>5</v>
      </c>
      <c r="C10" s="131">
        <f>SUM(C4,C6,C8)</f>
        <v>65298.194000000003</v>
      </c>
      <c r="D10" s="132">
        <f>(C4*D4+C6*D6+C8*D8)/C10</f>
        <v>2.4335889465794414</v>
      </c>
      <c r="E10" s="144">
        <f>IFERROR(SUM(E4,E6,E8),"")</f>
        <v>0</v>
      </c>
      <c r="F10" s="145" t="str">
        <f>IFERROR((E4*F4+E6*F6+E8*F8)/E10,"")</f>
        <v/>
      </c>
      <c r="G10" s="144">
        <f t="shared" ref="G10" si="231">IFERROR(SUM(G4,G6,G8),"")</f>
        <v>0</v>
      </c>
      <c r="H10" s="145" t="str">
        <f t="shared" ref="H10" si="232">IFERROR((G4*H4+G6*H6+G8*H8)/G10,"")</f>
        <v/>
      </c>
      <c r="I10" s="144">
        <f t="shared" ref="I10" si="233">IFERROR(SUM(I4,I6,I8),"")</f>
        <v>0</v>
      </c>
      <c r="J10" s="145" t="str">
        <f t="shared" ref="J10" si="234">IFERROR((I4*J4+I6*J6+I8*J8)/I10,"")</f>
        <v/>
      </c>
      <c r="K10" s="144">
        <f t="shared" ref="K10" si="235">IFERROR(SUM(K4,K6,K8),"")</f>
        <v>0</v>
      </c>
      <c r="L10" s="145" t="str">
        <f t="shared" ref="L10" si="236">IFERROR((K4*L4+K6*L6+K8*L8)/K10,"")</f>
        <v/>
      </c>
      <c r="M10" s="144">
        <f t="shared" ref="M10" si="237">IFERROR(SUM(M4,M6,M8),"")</f>
        <v>0</v>
      </c>
      <c r="N10" s="145" t="str">
        <f t="shared" ref="N10" si="238">IFERROR((M4*N4+M6*N6+M8*N8)/M10,"")</f>
        <v/>
      </c>
      <c r="O10" s="144">
        <f t="shared" ref="O10" si="239">IFERROR(SUM(O4,O6,O8),"")</f>
        <v>0</v>
      </c>
      <c r="P10" s="145" t="str">
        <f t="shared" ref="P10" si="240">IFERROR((O4*P4+O6*P6+O8*P8)/O10,"")</f>
        <v/>
      </c>
      <c r="Q10" s="144">
        <f t="shared" ref="Q10" si="241">IFERROR(SUM(Q4,Q6,Q8),"")</f>
        <v>3514</v>
      </c>
      <c r="R10" s="145">
        <f t="shared" si="10"/>
        <v>3.0648377916903815</v>
      </c>
      <c r="S10" s="144">
        <f t="shared" ref="S10" si="242">IFERROR(SUM(S4,S6,S8),"")</f>
        <v>0</v>
      </c>
      <c r="T10" s="145" t="str">
        <f t="shared" ref="T10" si="243">IFERROR((S4*T4+S6*T6+S8*T8)/S10,"")</f>
        <v/>
      </c>
      <c r="U10" s="144">
        <f t="shared" ref="U10" si="244">IFERROR(SUM(U4,U6,U8),"")</f>
        <v>0</v>
      </c>
      <c r="V10" s="145" t="str">
        <f t="shared" ref="V10" si="245">IFERROR((U4*V4+U6*V6+U8*V8)/U10,"")</f>
        <v/>
      </c>
      <c r="W10" s="144">
        <f t="shared" ref="W10" si="246">IFERROR(SUM(W4,W6,W8),"")</f>
        <v>0</v>
      </c>
      <c r="X10" s="145" t="str">
        <f t="shared" ref="X10" si="247">IFERROR((W4*X4+W6*X6+W8*X8)/W10,"")</f>
        <v/>
      </c>
      <c r="Y10" s="144">
        <f t="shared" ref="Y10" si="248">IFERROR(SUM(Y4,Y6,Y8),"")</f>
        <v>0</v>
      </c>
      <c r="Z10" s="145" t="str">
        <f t="shared" ref="Z10" si="249">IFERROR((Y4*Z4+Y6*Z6+Y8*Z8)/Y10,"")</f>
        <v/>
      </c>
      <c r="AA10" s="144">
        <f t="shared" ref="AA10" si="250">IFERROR(SUM(AA4,AA6,AA8),"")</f>
        <v>0</v>
      </c>
      <c r="AB10" s="145" t="str">
        <f t="shared" ref="AB10" si="251">IFERROR((AA4*AB4+AA6*AB6+AA8*AB8)/AA10,"")</f>
        <v/>
      </c>
      <c r="AC10" s="144">
        <f t="shared" ref="AC10" si="252">IFERROR(SUM(AC4,AC6,AC8),"")</f>
        <v>0</v>
      </c>
      <c r="AD10" s="145" t="str">
        <f t="shared" ref="AD10" si="253">IFERROR((AC4*AD4+AC6*AD6+AC8*AD8)/AC10,"")</f>
        <v/>
      </c>
      <c r="AE10" s="144">
        <f t="shared" ref="AE10" si="254">IFERROR(SUM(AE4,AE6,AE8),"")</f>
        <v>0</v>
      </c>
      <c r="AF10" s="145" t="str">
        <f t="shared" si="24"/>
        <v/>
      </c>
      <c r="AG10" s="144">
        <f t="shared" ref="AG10" si="255">IFERROR(SUM(AG4,AG6,AG8),"")</f>
        <v>0</v>
      </c>
      <c r="AH10" s="145" t="str">
        <f t="shared" ref="AH10" si="256">IFERROR((AG4*AH4+AG6*AH6+AG8*AH8)/AG10,"")</f>
        <v/>
      </c>
      <c r="AI10" s="144">
        <f t="shared" ref="AI10" si="257">IFERROR(SUM(AI4,AI6,AI8),"")</f>
        <v>0</v>
      </c>
      <c r="AJ10" s="145" t="str">
        <f t="shared" ref="AJ10" si="258">IFERROR((AI4*AJ4+AI6*AJ6+AI8*AJ8)/AI10,"")</f>
        <v/>
      </c>
      <c r="AK10" s="144">
        <f t="shared" ref="AK10" si="259">IFERROR(SUM(AK4,AK6,AK8),"")</f>
        <v>0</v>
      </c>
      <c r="AL10" s="145" t="str">
        <f t="shared" ref="AL10" si="260">IFERROR((AK4*AL4+AK6*AL6+AK8*AL8)/AK10,"")</f>
        <v/>
      </c>
      <c r="AM10" s="144">
        <f t="shared" ref="AM10" si="261">IFERROR(SUM(AM4,AM6,AM8),"")</f>
        <v>0</v>
      </c>
      <c r="AN10" s="145" t="str">
        <f t="shared" ref="AN10" si="262">IFERROR((AM4*AN4+AM6*AN6+AM8*AN8)/AM10,"")</f>
        <v/>
      </c>
      <c r="AO10" s="144">
        <f t="shared" ref="AO10" si="263">IFERROR(SUM(AO4,AO6,AO8),"")</f>
        <v>2471.9389999999999</v>
      </c>
      <c r="AP10" s="145">
        <f t="shared" ref="AP10" si="264">IFERROR((AO4*AP4+AO6*AP6+AO8*AP8)/AO10,"")</f>
        <v>2.35</v>
      </c>
      <c r="AQ10" s="144">
        <f t="shared" ref="AQ10" si="265">IFERROR(SUM(AQ4,AQ6,AQ8),"")</f>
        <v>1027.2550000000001</v>
      </c>
      <c r="AR10" s="145">
        <f t="shared" ref="AR10" si="266">IFERROR((AQ4*AR4+AQ6*AR6+AQ8*AR8)/AQ10,"")</f>
        <v>2.2999999999999998</v>
      </c>
      <c r="AS10" s="144">
        <f t="shared" ref="AS10" si="267">IFERROR(SUM(AS4,AS6,AS8),"")</f>
        <v>1492</v>
      </c>
      <c r="AT10" s="145">
        <f t="shared" si="24"/>
        <v>1.75</v>
      </c>
      <c r="AU10" s="144">
        <f t="shared" ref="AU10" si="268">IFERROR(SUM(AU4,AU6,AU8),"")</f>
        <v>2432</v>
      </c>
      <c r="AV10" s="145">
        <f t="shared" ref="AV10" si="269">IFERROR((AU4*AV4+AU6*AV6+AU8*AV8)/AU10,"")</f>
        <v>1.985078125</v>
      </c>
      <c r="AW10" s="144">
        <f t="shared" ref="AW10" si="270">IFERROR(SUM(AW4,AW6,AW8),"")</f>
        <v>0</v>
      </c>
      <c r="AX10" s="145" t="str">
        <f t="shared" ref="AX10" si="271">IFERROR((AW4*AX4+AW6*AX6+AW8*AX8)/AW10,"")</f>
        <v/>
      </c>
      <c r="AY10" s="144">
        <f t="shared" ref="AY10" si="272">IFERROR(SUM(AY4,AY6,AY8),"")</f>
        <v>1734</v>
      </c>
      <c r="AZ10" s="145">
        <f t="shared" ref="AZ10" si="273">IFERROR((AY4*AZ4+AY6*AZ6+AY8*AZ8)/AY10,"")</f>
        <v>1.9829411764705882</v>
      </c>
      <c r="BA10" s="144">
        <f t="shared" ref="BA10" si="274">IFERROR(SUM(BA4,BA6,BA8),"")</f>
        <v>463</v>
      </c>
      <c r="BB10" s="145">
        <f t="shared" ref="BB10" si="275">IFERROR((BA4*BB4+BA6*BB6+BA8*BB8)/BA10,"")</f>
        <v>1.6900000000000002</v>
      </c>
      <c r="BC10" s="144">
        <f t="shared" ref="BC10" si="276">IFERROR(SUM(BC4,BC6,BC8),"")</f>
        <v>211</v>
      </c>
      <c r="BD10" s="145">
        <f t="shared" ref="BD10" si="277">IFERROR((BC4*BD4+BC6*BD6+BC8*BD8)/BC10,"")</f>
        <v>2.6</v>
      </c>
      <c r="BE10" s="144">
        <f t="shared" ref="BE10" si="278">IFERROR(SUM(BE4,BE6,BE8),"")</f>
        <v>3778</v>
      </c>
      <c r="BF10" s="145">
        <f t="shared" ref="BF10" si="279">IFERROR((BE4*BF4+BE6*BF6+BE8*BF8)/BE10,"")</f>
        <v>1.390481736368449</v>
      </c>
      <c r="BG10" s="144">
        <f t="shared" ref="BG10" si="280">IFERROR(SUM(BG4,BG6,BG8),"")</f>
        <v>0</v>
      </c>
      <c r="BH10" s="145" t="str">
        <f t="shared" si="24"/>
        <v/>
      </c>
      <c r="BI10" s="144">
        <f t="shared" ref="BI10" si="281">IFERROR(SUM(BI4,BI6,BI8),"")</f>
        <v>223</v>
      </c>
      <c r="BJ10" s="145">
        <f t="shared" ref="BJ10" si="282">IFERROR((BI4*BJ4+BI6*BJ6+BI8*BJ8)/BI10,"")</f>
        <v>3.01</v>
      </c>
      <c r="BK10" s="144">
        <f t="shared" ref="BK10" si="283">IFERROR(SUM(BK4,BK6,BK8),"")</f>
        <v>11993</v>
      </c>
      <c r="BL10" s="145">
        <f t="shared" ref="BL10" si="284">IFERROR((BK4*BL4+BK6*BL6+BK8*BL8)/BK10,"")</f>
        <v>2.6530918035520719</v>
      </c>
      <c r="BM10" s="144">
        <f t="shared" ref="BM10" si="285">IFERROR(SUM(BM4,BM6,BM8),"")</f>
        <v>2209</v>
      </c>
      <c r="BN10" s="145">
        <f t="shared" ref="BN10" si="286">IFERROR((BM4*BN4+BM6*BN6+BM8*BN8)/BM10,"")</f>
        <v>2.33</v>
      </c>
      <c r="BO10" s="144">
        <f t="shared" ref="BO10" si="287">IFERROR(SUM(BO4,BO6,BO8),"")</f>
        <v>2266</v>
      </c>
      <c r="BP10" s="145">
        <f t="shared" ref="BP10" si="288">IFERROR((BO4*BP4+BO6*BP6+BO8*BP8)/BO10,"")</f>
        <v>2.35</v>
      </c>
      <c r="BQ10" s="144">
        <f t="shared" ref="BQ10" si="289">IFERROR(SUM(BQ4,BQ6,BQ8),"")</f>
        <v>715</v>
      </c>
      <c r="BR10" s="145">
        <f t="shared" ref="BR10" si="290">IFERROR((BQ4*BR4+BQ6*BR6+BQ8*BR8)/BQ10,"")</f>
        <v>1.38</v>
      </c>
      <c r="BS10" s="144">
        <f t="shared" ref="BS10" si="291">IFERROR(SUM(BS4,BS6,BS8),"")</f>
        <v>0</v>
      </c>
      <c r="BT10" s="145" t="str">
        <f t="shared" ref="BT10" si="292">IFERROR((BS4*BT4+BS6*BT6+BS8*BT8)/BS10,"")</f>
        <v/>
      </c>
      <c r="BU10" s="144">
        <f t="shared" ref="BU10" si="293">IFERROR(SUM(BU4,BU6,BU8),"")</f>
        <v>1622</v>
      </c>
      <c r="BV10" s="145">
        <f t="shared" si="24"/>
        <v>3.4</v>
      </c>
      <c r="BW10" s="144">
        <f t="shared" ref="BW10" si="294">IFERROR(SUM(BW4,BW6,BW8),"")</f>
        <v>9933</v>
      </c>
      <c r="BX10" s="145">
        <f t="shared" ref="BX10" si="295">IFERROR((BW4*BX4+BW6*BX6+BW8*BX8)/BW10,"")</f>
        <v>1.7973643410852715</v>
      </c>
      <c r="BY10" s="144">
        <f t="shared" ref="BY10" si="296">IFERROR(SUM(BY4,BY6,BY8),"")</f>
        <v>0</v>
      </c>
      <c r="BZ10" s="145" t="str">
        <f t="shared" ref="BZ10" si="297">IFERROR((BY4*BZ4+BY6*BZ6+BY8*BZ8)/BY10,"")</f>
        <v/>
      </c>
      <c r="CA10" s="144">
        <f t="shared" ref="CA10" si="298">IFERROR(SUM(CA4,CA6,CA8),"")</f>
        <v>1615</v>
      </c>
      <c r="CB10" s="145">
        <f t="shared" ref="CB10" si="299">IFERROR((CA4*CB4+CA6*CB6+CA8*CB8)/CA10,"")</f>
        <v>2.6799999999999997</v>
      </c>
      <c r="CC10" s="144">
        <f t="shared" ref="CC10" si="300">IFERROR(SUM(CC4,CC6,CC8),"")</f>
        <v>2196</v>
      </c>
      <c r="CD10" s="145">
        <f t="shared" ref="CD10" si="301">IFERROR((CC4*CD4+CC6*CD6+CC8*CD8)/CC10,"")</f>
        <v>1.94</v>
      </c>
      <c r="CE10" s="144">
        <f t="shared" ref="CE10" si="302">IFERROR(SUM(CE4,CE6,CE8),"")</f>
        <v>0</v>
      </c>
      <c r="CF10" s="145" t="str">
        <f t="shared" ref="CF10" si="303">IFERROR((CE4*CF4+CE6*CF6+CE8*CF8)/CE10,"")</f>
        <v/>
      </c>
      <c r="CG10" s="144">
        <f t="shared" ref="CG10" si="304">IFERROR(SUM(CG4,CG6,CG8),"")</f>
        <v>0</v>
      </c>
      <c r="CH10" s="145" t="str">
        <f t="shared" ref="CH10" si="305">IFERROR((CG4*CH4+CG6*CH6+CG8*CH8)/CG10,"")</f>
        <v/>
      </c>
      <c r="CI10" s="144">
        <f t="shared" ref="CI10" si="306">IFERROR(SUM(CI4,CI6,CI8),"")</f>
        <v>0</v>
      </c>
      <c r="CJ10" s="145" t="str">
        <f t="shared" si="24"/>
        <v/>
      </c>
      <c r="CK10" s="144">
        <f t="shared" ref="CK10" si="307">IFERROR(SUM(CK4,CK6,CK8),"")</f>
        <v>0</v>
      </c>
      <c r="CL10" s="145" t="str">
        <f t="shared" ref="CL10" si="308">IFERROR((CK4*CL4+CK6*CL6+CK8*CL8)/CK10,"")</f>
        <v/>
      </c>
      <c r="CM10" s="144">
        <f t="shared" ref="CM10" si="309">IFERROR(SUM(CM4,CM6,CM8),"")</f>
        <v>0</v>
      </c>
      <c r="CN10" s="145" t="str">
        <f t="shared" ref="CN10" si="310">IFERROR((CM4*CN4+CM6*CN6+CM8*CN8)/CM10,"")</f>
        <v/>
      </c>
      <c r="CO10" s="144">
        <f t="shared" ref="CO10" si="311">IFERROR(SUM(CO4,CO6,CO8),"")</f>
        <v>0</v>
      </c>
      <c r="CP10" s="145" t="str">
        <f t="shared" ref="CP10" si="312">IFERROR((CO4*CP4+CO6*CP6+CO8*CP8)/CO10,"")</f>
        <v/>
      </c>
      <c r="CQ10" s="144">
        <f t="shared" ref="CQ10" si="313">IFERROR(SUM(CQ4,CQ6,CQ8),"")</f>
        <v>0</v>
      </c>
      <c r="CR10" s="145" t="str">
        <f t="shared" ref="CR10" si="314">IFERROR((CQ4*CR4+CQ6*CR6+CQ8*CR8)/CQ10,"")</f>
        <v/>
      </c>
      <c r="CS10" s="144"/>
      <c r="CT10" s="145"/>
      <c r="CU10" s="144"/>
      <c r="CV10" s="145"/>
      <c r="CW10" s="144"/>
      <c r="CX10" s="145"/>
      <c r="CY10" s="144">
        <f t="shared" ref="CY10" si="315">IFERROR(SUM(CY4,CY6,CY8),"")</f>
        <v>0</v>
      </c>
      <c r="CZ10" s="145" t="str">
        <f t="shared" ref="CZ10" si="316">IFERROR((CY4*CZ4+CY6*CZ6+CY8*CZ8)/CY10,"")</f>
        <v/>
      </c>
      <c r="DA10" s="144">
        <f t="shared" ref="DA10" si="317">IFERROR(SUM(DA4,DA6,DA8),"")</f>
        <v>1628</v>
      </c>
      <c r="DB10" s="145">
        <f t="shared" ref="DB10" si="318">IFERROR((DA4*DB4+DA6*DB6+DA8*DB8)/DA10,"")</f>
        <v>2.9</v>
      </c>
      <c r="DC10" s="144">
        <f t="shared" ref="DC10" si="319">IFERROR(SUM(DC4,DC6,DC8),"")</f>
        <v>13775</v>
      </c>
      <c r="DD10" s="145">
        <f t="shared" si="90"/>
        <v>3.0402722323049001</v>
      </c>
      <c r="DE10" s="144">
        <f t="shared" ref="DE10" si="320">IFERROR(SUM(DE4,DE6,DE8),"")</f>
        <v>0</v>
      </c>
      <c r="DF10" s="145" t="str">
        <f t="shared" ref="DF10" si="321">IFERROR((DE4*DF4+DE6*DF6+DE8*DF8)/DE10,"")</f>
        <v/>
      </c>
      <c r="DG10" s="144">
        <f t="shared" ref="DG10" si="322">IFERROR(SUM(DG4,DG6,DG8),"")</f>
        <v>0</v>
      </c>
      <c r="DH10" s="145" t="str">
        <f t="shared" ref="DH10" si="323">IFERROR((DG4*DH4+DG6*DH6+DG8*DH8)/DG10,"")</f>
        <v/>
      </c>
      <c r="DI10" s="144">
        <f t="shared" ref="DI10" si="324">IFERROR(SUM(DI4,DI6,DI8),"")</f>
        <v>0</v>
      </c>
      <c r="DJ10" s="145" t="str">
        <f t="shared" ref="DJ10" si="325">IFERROR((DI4*DJ4+DI6*DJ6+DI8*DJ8)/DI10,"")</f>
        <v/>
      </c>
      <c r="DK10" s="144">
        <f t="shared" ref="DK10" si="326">IFERROR(SUM(DK4,DK6,DK8),"")</f>
        <v>0</v>
      </c>
      <c r="DL10" s="145" t="str">
        <f t="shared" ref="DL10" si="327">IFERROR((DK4*DL4+DK6*DL6+DK8*DL8)/DK10,"")</f>
        <v/>
      </c>
      <c r="DM10" s="144">
        <f t="shared" ref="DM10" si="328">IFERROR(SUM(DM4,DM6,DM8),"")</f>
        <v>0</v>
      </c>
      <c r="DN10" s="145" t="str">
        <f t="shared" ref="DN10" si="329">IFERROR((DM4*DN4+DM6*DN6+DM8*DN8)/DM10,"")</f>
        <v/>
      </c>
      <c r="DO10" s="144">
        <f t="shared" ref="DO10" si="330">IFERROR(SUM(DO4,DO6,DO8),"")</f>
        <v>0</v>
      </c>
      <c r="DP10" s="145" t="str">
        <f t="shared" ref="DP10" si="331">IFERROR((DO4*DP4+DO6*DP6+DO8*DP8)/DO10,"")</f>
        <v/>
      </c>
      <c r="DQ10" s="144">
        <f t="shared" ref="DQ10" si="332">IFERROR(SUM(DQ4,DQ6,DQ8),"")</f>
        <v>0</v>
      </c>
      <c r="DR10" s="145" t="str">
        <f t="shared" si="90"/>
        <v/>
      </c>
      <c r="DS10" s="144">
        <f t="shared" ref="DS10" si="333">IFERROR(SUM(DS4,DS6,DS8),"")</f>
        <v>0</v>
      </c>
      <c r="DT10" s="145" t="str">
        <f t="shared" ref="DT10" si="334">IFERROR((DS4*DT4+DS6*DT6+DS8*DT8)/DS10,"")</f>
        <v/>
      </c>
      <c r="DU10" s="144">
        <f t="shared" ref="DU10" si="335">IFERROR(SUM(DU4,DU6,DU8),"")</f>
        <v>0</v>
      </c>
      <c r="DV10" s="145" t="str">
        <f t="shared" ref="DV10" si="336">IFERROR((DU4*DV4+DU6*DV6+DU8*DV8)/DU10,"")</f>
        <v/>
      </c>
      <c r="DW10" s="144">
        <f t="shared" ref="DW10" si="337">IFERROR(SUM(DW4,DW6,DW8),"")</f>
        <v>0</v>
      </c>
      <c r="DX10" s="145" t="str">
        <f t="shared" ref="DX10" si="338">IFERROR((DW4*DX4+DW6*DX6+DW8*DX8)/DW10,"")</f>
        <v/>
      </c>
      <c r="DY10" s="144">
        <f t="shared" ref="DY10" si="339">IFERROR(SUM(DY4,DY6,DY8),"")</f>
        <v>0</v>
      </c>
      <c r="DZ10" s="145" t="str">
        <f t="shared" ref="DZ10" si="340">IFERROR((DY4*DZ4+DY6*DZ6+DY8*DZ8)/DY10,"")</f>
        <v/>
      </c>
      <c r="EA10" s="144">
        <f t="shared" ref="EA10" si="341">IFERROR(SUM(EA4,EA6,EA8),"")</f>
        <v>0</v>
      </c>
      <c r="EB10" s="145" t="str">
        <f t="shared" ref="EB10" si="342">IFERROR((EA4*EB4+EA6*EB6+EA8*EB8)/EA10,"")</f>
        <v/>
      </c>
      <c r="EC10" s="144">
        <f t="shared" ref="EC10" si="343">IFERROR(SUM(EC4,EC6,EC8),"")</f>
        <v>0</v>
      </c>
      <c r="ED10" s="145" t="str">
        <f t="shared" ref="ED10" si="344">IFERROR((EC4*ED4+EC6*ED6+EC8*ED8)/EC10,"")</f>
        <v/>
      </c>
      <c r="EE10" s="144">
        <f t="shared" ref="EE10" si="345">IFERROR(SUM(EE4,EE6,EE8),"")</f>
        <v>0</v>
      </c>
      <c r="EF10" s="145" t="str">
        <f t="shared" si="90"/>
        <v/>
      </c>
      <c r="EG10" s="144">
        <f t="shared" ref="EG10" si="346">IFERROR(SUM(EG4,EG6,EG8),"")</f>
        <v>0</v>
      </c>
      <c r="EH10" s="145" t="str">
        <f t="shared" ref="EH10" si="347">IFERROR((EG4*EH4+EG6*EH6+EG8*EH8)/EG10,"")</f>
        <v/>
      </c>
      <c r="EI10" s="144">
        <f t="shared" ref="EI10" si="348">IFERROR(SUM(EI4,EI6,EI8),"")</f>
        <v>0</v>
      </c>
      <c r="EJ10" s="145" t="str">
        <f t="shared" ref="EJ10" si="349">IFERROR((EI4*EJ4+EI6*EJ6+EI8*EJ8)/EI10,"")</f>
        <v/>
      </c>
      <c r="EK10" s="144">
        <f t="shared" ref="EK10" si="350">IFERROR(SUM(EK4,EK6,EK8),"")</f>
        <v>0</v>
      </c>
      <c r="EL10" s="145" t="str">
        <f t="shared" ref="EL10" si="351">IFERROR((EK4*EL4+EK6*EL6+EK8*EL8)/EK10,"")</f>
        <v/>
      </c>
      <c r="EM10" s="144">
        <f t="shared" ref="EM10" si="352">IFERROR(SUM(EM4,EM6,EM8),"")</f>
        <v>0</v>
      </c>
      <c r="EN10" s="145" t="str">
        <f t="shared" ref="EN10" si="353">IFERROR((EM4*EN4+EM6*EN6+EM8*EN8)/EM10,"")</f>
        <v/>
      </c>
      <c r="EO10" s="144">
        <f t="shared" ref="EO10" si="354">IFERROR(SUM(EO4,EO6,EO8),"")</f>
        <v>0</v>
      </c>
      <c r="EP10" s="145" t="str">
        <f t="shared" ref="EP10" si="355">IFERROR((EO4*EP4+EO6*EP6+EO8*EP8)/EO10,"")</f>
        <v/>
      </c>
      <c r="EQ10" s="144">
        <f t="shared" ref="EQ10" si="356">IFERROR(SUM(EQ4,EQ6,EQ8),"")</f>
        <v>0</v>
      </c>
      <c r="ER10" s="145" t="str">
        <f t="shared" ref="ER10" si="357">IFERROR((EQ4*ER4+EQ6*ER6+EQ8*ER8)/EQ10,"")</f>
        <v/>
      </c>
      <c r="ES10" s="144"/>
      <c r="ET10" s="145"/>
      <c r="EU10" s="144">
        <f t="shared" ref="EU10" si="358">IFERROR(SUM(EU4,EU6,EU8),"")</f>
        <v>0</v>
      </c>
      <c r="EV10" s="145" t="str">
        <f t="shared" si="90"/>
        <v/>
      </c>
      <c r="EW10" s="144"/>
      <c r="EX10" s="145"/>
      <c r="EY10" s="144">
        <f t="shared" ref="EY10" si="359">IFERROR(SUM(EY4,EY6,EY8),"")</f>
        <v>0</v>
      </c>
      <c r="EZ10" s="145" t="str">
        <f t="shared" ref="EZ10" si="360">IFERROR((EY4*EZ4+EY6*EZ6+EY8*EZ8)/EY10,"")</f>
        <v/>
      </c>
      <c r="FA10" s="144">
        <f t="shared" ref="FA10" si="361">IFERROR(SUM(FA4,FA6,FA8),"")</f>
        <v>0</v>
      </c>
      <c r="FB10" s="145" t="str">
        <f t="shared" ref="FB10" si="362">IFERROR((FA4*FB4+FA6*FB6+FA8*FB8)/FA10,"")</f>
        <v/>
      </c>
      <c r="FC10" s="144">
        <f t="shared" ref="FC10" si="363">IFERROR(SUM(FC4,FC6,FC8),"")</f>
        <v>0</v>
      </c>
      <c r="FD10" s="145" t="str">
        <f t="shared" ref="FD10" si="364">IFERROR((FC4*FD4+FC6*FD6+FC8*FD8)/FC10,"")</f>
        <v/>
      </c>
      <c r="FE10" s="144">
        <f t="shared" ref="FE10" si="365">IFERROR(SUM(FE4,FE6,FE8),"")</f>
        <v>0</v>
      </c>
      <c r="FF10" s="145" t="str">
        <f t="shared" ref="FF10" si="366">IFERROR((FE4*FF4+FE6*FF6+FE8*FF8)/FE10,"")</f>
        <v/>
      </c>
      <c r="FG10" s="144">
        <f t="shared" ref="FG10" si="367">IFERROR(SUM(FG4,FG6,FG8),"")</f>
        <v>0</v>
      </c>
      <c r="FH10" s="145" t="str">
        <f t="shared" ref="FH10" si="368">IFERROR((FG4*FH4+FG6*FH6+FG8*FH8)/FG10,"")</f>
        <v/>
      </c>
      <c r="FI10" s="144">
        <f t="shared" ref="FI10" si="369">IFERROR(SUM(FI4,FI6,FI8),"")</f>
        <v>0</v>
      </c>
      <c r="FJ10" s="145" t="str">
        <f t="shared" ref="FJ10" si="370">IFERROR((FI4*FJ4+FI6*FJ6+FI8*FJ8)/FI10,"")</f>
        <v/>
      </c>
      <c r="FK10" s="144">
        <f t="shared" ref="FK10" si="371">IFERROR(SUM(FK4,FK6,FK8),"")</f>
        <v>0</v>
      </c>
      <c r="FL10" s="145" t="str">
        <f t="shared" si="90"/>
        <v/>
      </c>
      <c r="FM10" s="144">
        <f t="shared" ref="FM10" si="372">IFERROR(SUM(FM4,FM6,FM8),"")</f>
        <v>0</v>
      </c>
      <c r="FN10" s="145" t="str">
        <f t="shared" ref="FN10" si="373">IFERROR((FM4*FN4+FM6*FN6+FM8*FN8)/FM10,"")</f>
        <v/>
      </c>
      <c r="FO10" s="144">
        <f t="shared" ref="FO10" si="374">IFERROR(SUM(FO4,FO6,FO8),"")</f>
        <v>0</v>
      </c>
      <c r="FP10" s="145" t="str">
        <f t="shared" ref="FP10" si="375">IFERROR((FO4*FP4+FO6*FP6+FO8*FP8)/FO10,"")</f>
        <v/>
      </c>
      <c r="FQ10" s="144">
        <f t="shared" ref="FQ10" si="376">IFERROR(SUM(FQ4,FQ6,FQ8),"")</f>
        <v>0</v>
      </c>
      <c r="FR10" s="145" t="str">
        <f t="shared" ref="FR10" si="377">IFERROR((FQ4*FR4+FQ6*FR6+FQ8*FR8)/FQ10,"")</f>
        <v/>
      </c>
      <c r="FS10" s="144">
        <f t="shared" ref="FS10" si="378">IFERROR(SUM(FS4,FS6,FS8),"")</f>
        <v>0</v>
      </c>
      <c r="FT10" s="145" t="str">
        <f t="shared" ref="FT10" si="379">IFERROR((FS4*FT4+FS6*FT6+FS8*FT8)/FS10,"")</f>
        <v/>
      </c>
      <c r="FU10" s="144">
        <f t="shared" ref="FU10" si="380">IFERROR(SUM(FU4,FU6,FU8),"")</f>
        <v>0</v>
      </c>
      <c r="FV10" s="145" t="str">
        <f t="shared" ref="FV10" si="381">IFERROR((FU4*FV4+FU6*FV6+FU8*FV8)/FU10,"")</f>
        <v/>
      </c>
      <c r="FW10" s="144">
        <f t="shared" ref="FW10" si="382">IFERROR(SUM(FW4,FW6,FW8),"")</f>
        <v>0</v>
      </c>
      <c r="FX10" s="145" t="str">
        <f t="shared" ref="FX10" si="383">IFERROR((FW4*FX4+FW6*FX6+FW8*FX8)/FW10,"")</f>
        <v/>
      </c>
      <c r="FY10" s="144">
        <f t="shared" ref="FY10" si="384">IFERROR(SUM(FY4,FY6,FY8),"")</f>
        <v>0</v>
      </c>
      <c r="FZ10" s="145" t="str">
        <f t="shared" si="156"/>
        <v/>
      </c>
      <c r="GA10" s="144">
        <f t="shared" ref="GA10" si="385">IFERROR(SUM(GA4,GA6,GA8),"")</f>
        <v>0</v>
      </c>
      <c r="GB10" s="145" t="str">
        <f t="shared" ref="GB10" si="386">IFERROR((GA4*GB4+GA6*GB6+GA8*GB8)/GA10,"")</f>
        <v/>
      </c>
      <c r="GC10" s="144">
        <f t="shared" ref="GC10" si="387">IFERROR(SUM(GC4,GC6,GC8),"")</f>
        <v>0</v>
      </c>
      <c r="GD10" s="145" t="str">
        <f t="shared" ref="GD10" si="388">IFERROR((GC4*GD4+GC6*GD6+GC8*GD8)/GC10,"")</f>
        <v/>
      </c>
      <c r="GE10" s="144">
        <f t="shared" ref="GE10" si="389">IFERROR(SUM(GE4,GE6,GE8),"")</f>
        <v>0</v>
      </c>
      <c r="GF10" s="145" t="str">
        <f t="shared" ref="GF10" si="390">IFERROR((GE4*GF4+GE6*GF6+GE8*GF8)/GE10,"")</f>
        <v/>
      </c>
      <c r="GG10" s="144">
        <f t="shared" ref="GG10" si="391">IFERROR(SUM(GG4,GG6,GG8),"")</f>
        <v>0</v>
      </c>
      <c r="GH10" s="145" t="str">
        <f t="shared" ref="GH10" si="392">IFERROR((GG4*GH4+GG6*GH6+GG8*GH8)/GG10,"")</f>
        <v/>
      </c>
      <c r="GI10" s="144">
        <f t="shared" ref="GI10" si="393">IFERROR(SUM(GI4,GI6,GI8),"")</f>
        <v>0</v>
      </c>
      <c r="GJ10" s="145" t="str">
        <f t="shared" ref="GJ10" si="394">IFERROR((GI4*GJ4+GI6*GJ6+GI8*GJ8)/GI10,"")</f>
        <v/>
      </c>
      <c r="GK10" s="144">
        <f t="shared" ref="GK10" si="395">IFERROR(SUM(GK4,GK6,GK8),"")</f>
        <v>0</v>
      </c>
      <c r="GL10" s="145" t="str">
        <f t="shared" ref="GL10" si="396">IFERROR((GK4*GL4+GK6*GL6+GK8*GL8)/GK10,"")</f>
        <v/>
      </c>
      <c r="GM10" s="144">
        <f t="shared" ref="GM10" si="397">IFERROR(SUM(GM4,GM6,GM8),"")</f>
        <v>0</v>
      </c>
      <c r="GN10" s="145" t="str">
        <f t="shared" si="156"/>
        <v/>
      </c>
      <c r="GO10" s="144">
        <f t="shared" ref="GO10" si="398">IFERROR(SUM(GO4,GO6,GO8),"")</f>
        <v>0</v>
      </c>
      <c r="GP10" s="145" t="str">
        <f t="shared" ref="GP10" si="399">IFERROR((GO4*GP4+GO6*GP6+GO8*GP8)/GO10,"")</f>
        <v/>
      </c>
      <c r="GQ10" s="144">
        <f t="shared" ref="GQ10" si="400">IFERROR(SUM(GQ4,GQ6,GQ8),"")</f>
        <v>0</v>
      </c>
      <c r="GR10" s="145" t="str">
        <f t="shared" ref="GR10" si="401">IFERROR((GQ4*GR4+GQ6*GR6+GQ8*GR8)/GQ10,"")</f>
        <v/>
      </c>
      <c r="GS10" s="144">
        <f t="shared" ref="GS10" si="402">IFERROR(SUM(GS4,GS6,GS8),"")</f>
        <v>0</v>
      </c>
      <c r="GT10" s="145" t="str">
        <f t="shared" ref="GT10" si="403">IFERROR((GS4*GT4+GS6*GT6+GS8*GT8)/GS10,"")</f>
        <v/>
      </c>
      <c r="GU10" s="144">
        <f t="shared" ref="GU10" si="404">IFERROR(SUM(GU4,GU6,GU8),"")</f>
        <v>0</v>
      </c>
      <c r="GV10" s="145" t="str">
        <f t="shared" ref="GV10" si="405">IFERROR((GU4*GV4+GU6*GV6+GU8*GV8)/GU10,"")</f>
        <v/>
      </c>
      <c r="GW10" s="144">
        <f t="shared" ref="GW10" si="406">IFERROR(SUM(GW4,GW6,GW8),"")</f>
        <v>0</v>
      </c>
      <c r="GX10" s="145" t="str">
        <f t="shared" ref="GX10" si="407">IFERROR((GW4*GX4+GW6*GX6+GW8*GX8)/GW10,"")</f>
        <v/>
      </c>
      <c r="GY10" s="144">
        <f t="shared" ref="GY10" si="408">IFERROR(SUM(GY4,GY6,GY8),"")</f>
        <v>0</v>
      </c>
      <c r="GZ10" s="145" t="str">
        <f t="shared" ref="GZ10" si="409">IFERROR((GY4*GZ4+GY6*GZ6+GY8*GZ8)/GY10,"")</f>
        <v/>
      </c>
      <c r="HA10" s="144">
        <f t="shared" ref="HA10" si="410">IFERROR(SUM(HA4,HA6,HA8),"")</f>
        <v>0</v>
      </c>
      <c r="HB10" s="145" t="str">
        <f t="shared" si="156"/>
        <v/>
      </c>
      <c r="HC10" s="144">
        <f t="shared" ref="HC10" si="411">IFERROR(SUM(HC4,HC6,HC8),"")</f>
        <v>0</v>
      </c>
      <c r="HD10" s="145" t="str">
        <f t="shared" ref="HD10" si="412">IFERROR((HC4*HD4+HC6*HD6+HC8*HD8)/HC10,"")</f>
        <v/>
      </c>
      <c r="HE10" s="144">
        <f t="shared" ref="HE10" si="413">IFERROR(SUM(HE4,HE6,HE8),"")</f>
        <v>0</v>
      </c>
      <c r="HF10" s="145" t="str">
        <f t="shared" ref="HF10" si="414">IFERROR((HE4*HF4+HE6*HF6+HE8*HF8)/HE10,"")</f>
        <v/>
      </c>
      <c r="HG10" s="144">
        <f t="shared" ref="HG10" si="415">IFERROR(SUM(HG4,HG6,HG8),"")</f>
        <v>0</v>
      </c>
      <c r="HH10" s="145" t="str">
        <f t="shared" ref="HH10" si="416">IFERROR((HG4*HH4+HG6*HH6+HG8*HH8)/HG10,"")</f>
        <v/>
      </c>
      <c r="HI10" s="144">
        <f t="shared" ref="HI10" si="417">IFERROR(SUM(HI4,HI6,HI8),"")</f>
        <v>0</v>
      </c>
      <c r="HJ10" s="145" t="str">
        <f t="shared" ref="HJ10" si="418">IFERROR((HI4*HJ4+HI6*HJ6+HI8*HJ8)/HI10,"")</f>
        <v/>
      </c>
      <c r="HK10" s="144">
        <f t="shared" ref="HK10" si="419">IFERROR(SUM(HK4,HK6,HK8),"")</f>
        <v>0</v>
      </c>
      <c r="HL10" s="145" t="str">
        <f t="shared" ref="HL10" si="420">IFERROR((HK4*HL4+HK6*HL6+HK8*HL8)/HK10,"")</f>
        <v/>
      </c>
      <c r="HM10" s="144">
        <f t="shared" ref="HM10" si="421">IFERROR(SUM(HM4,HM6,HM8),"")</f>
        <v>0</v>
      </c>
      <c r="HN10" s="145" t="str">
        <f t="shared" ref="HN10" si="422">IFERROR((HM4*HN4+HM6*HN6+HM8*HN8)/HM10,"")</f>
        <v/>
      </c>
      <c r="HO10" s="144">
        <f t="shared" ref="HO10" si="423">IFERROR(SUM(HO4,HO6,HO8),"")</f>
        <v>0</v>
      </c>
      <c r="HP10" s="145" t="str">
        <f t="shared" si="156"/>
        <v/>
      </c>
      <c r="HQ10" s="144">
        <f t="shared" ref="HQ10" si="424">IFERROR(SUM(HQ4,HQ6,HQ8),"")</f>
        <v>0</v>
      </c>
      <c r="HR10" s="145" t="str">
        <f t="shared" ref="HR10" si="425">IFERROR((HQ4*HR4+HQ6*HR6+HQ8*HR8)/HQ10,"")</f>
        <v/>
      </c>
      <c r="HS10" s="144">
        <f t="shared" ref="HS10" si="426">IFERROR(SUM(HS4,HS6,HS8),"")</f>
        <v>0</v>
      </c>
      <c r="HT10" s="145" t="str">
        <f t="shared" ref="HT10" si="427">IFERROR((HS4*HT4+HS6*HT6+HS8*HT8)/HS10,"")</f>
        <v/>
      </c>
      <c r="HU10" s="144">
        <f t="shared" ref="HU10" si="428">IFERROR(SUM(HU4,HU6,HU8),"")</f>
        <v>0</v>
      </c>
      <c r="HV10" s="145" t="str">
        <f t="shared" ref="HV10" si="429">IFERROR((HU4*HV4+HU6*HV6+HU8*HV8)/HU10,"")</f>
        <v/>
      </c>
      <c r="HW10" s="144">
        <f t="shared" ref="HW10" si="430">IFERROR(SUM(HW4,HW6,HW8),"")</f>
        <v>0</v>
      </c>
      <c r="HX10" s="145" t="str">
        <f t="shared" ref="HX10" si="431">IFERROR((HW4*HX4+HW6*HX6+HW8*HX8)/HW10,"")</f>
        <v/>
      </c>
      <c r="HY10" s="144">
        <f t="shared" ref="HY10" si="432">IFERROR(SUM(HY4,HY6,HY8),"")</f>
        <v>0</v>
      </c>
      <c r="HZ10" s="145" t="str">
        <f t="shared" ref="HZ10" si="433">IFERROR((HY4*HZ4+HY6*HZ6+HY8*HZ8)/HY10,"")</f>
        <v/>
      </c>
      <c r="IA10" s="144">
        <f t="shared" ref="IA10" si="434">IFERROR(SUM(IA4,IA6,IA8),"")</f>
        <v>0</v>
      </c>
      <c r="IB10" s="145" t="str">
        <f t="shared" ref="IB10" si="435">IFERROR((IA4*IB4+IA6*IB6+IA8*IB8)/IA10,"")</f>
        <v/>
      </c>
      <c r="IC10" s="144">
        <f t="shared" ref="IC10" si="436">IFERROR(SUM(IC4,IC6,IC8),"")</f>
        <v>0</v>
      </c>
      <c r="ID10" s="145" t="str">
        <f t="shared" si="156"/>
        <v/>
      </c>
      <c r="IE10" s="144">
        <f t="shared" ref="IE10" si="437">IFERROR(SUM(IE4,IE6,IE8),"")</f>
        <v>0</v>
      </c>
      <c r="IF10" s="145" t="str">
        <f t="shared" ref="IF10" si="438">IFERROR((IE4*IF4+IE6*IF6+IE8*IF8)/IE10,"")</f>
        <v/>
      </c>
      <c r="IG10" s="144">
        <f t="shared" ref="IG10" si="439">IFERROR(SUM(IG4,IG6,IG8),"")</f>
        <v>0</v>
      </c>
      <c r="IH10" s="145" t="str">
        <f t="shared" ref="IH10" si="440">IFERROR((IG4*IH4+IG6*IH6+IG8*IH8)/IG10,"")</f>
        <v/>
      </c>
      <c r="II10" s="144">
        <f t="shared" ref="II10" si="441">IFERROR(SUM(II4,II6,II8),"")</f>
        <v>0</v>
      </c>
      <c r="IJ10" s="145" t="str">
        <f t="shared" ref="IJ10" si="442">IFERROR((II4*IJ4+II6*IJ6+II8*IJ8)/II10,"")</f>
        <v/>
      </c>
      <c r="IK10" s="144">
        <f t="shared" ref="IK10" si="443">IFERROR(SUM(IK4,IK6,IK8),"")</f>
        <v>0</v>
      </c>
      <c r="IL10" s="145" t="str">
        <f t="shared" ref="IL10" si="444">IFERROR((IK4*IL4+IK6*IL6+IK8*IL8)/IK10,"")</f>
        <v/>
      </c>
      <c r="IM10" s="144">
        <f t="shared" ref="IM10" si="445">IFERROR(SUM(IM4,IM6,IM8),"")</f>
        <v>0</v>
      </c>
      <c r="IN10" s="145" t="str">
        <f t="shared" ref="IN10" si="446">IFERROR((IM4*IN4+IM6*IN6+IM8*IN8)/IM10,"")</f>
        <v/>
      </c>
      <c r="IO10" s="144">
        <f t="shared" ref="IO10" si="447">IFERROR(SUM(IO4,IO6,IO8),"")</f>
        <v>0</v>
      </c>
      <c r="IP10" s="145" t="str">
        <f t="shared" ref="IP10" si="448">IFERROR((IO4*IP4+IO6*IP6+IO8*IP8)/IO10,"")</f>
        <v/>
      </c>
      <c r="IQ10" s="144">
        <f t="shared" ref="IQ10" si="449">IFERROR(SUM(IQ4,IQ6,IQ8),"")</f>
        <v>0</v>
      </c>
      <c r="IR10" s="145" t="str">
        <f t="shared" si="222"/>
        <v/>
      </c>
      <c r="IS10" s="144">
        <f t="shared" ref="IS10" si="450">IFERROR(SUM(IS4,IS6,IS8),"")</f>
        <v>0</v>
      </c>
      <c r="IT10" s="145" t="str">
        <f t="shared" ref="IT10" si="451">IFERROR((IS4*IT4+IS6*IT6+IS8*IT8)/IS10,"")</f>
        <v/>
      </c>
      <c r="IU10" s="144">
        <f t="shared" ref="IU10" si="452">IFERROR(SUM(IU4,IU6,IU8),"")</f>
        <v>0</v>
      </c>
      <c r="IV10" s="145" t="str">
        <f t="shared" ref="IV10" si="453">IFERROR((IU4*IV4+IU6*IV6+IU8*IV8)/IU10,"")</f>
        <v/>
      </c>
      <c r="IW10" s="144">
        <f t="shared" ref="IW10" si="454">IFERROR(SUM(IW4,IW6,IW8),"")</f>
        <v>0</v>
      </c>
      <c r="IX10" s="145" t="str">
        <f t="shared" ref="IX10" si="455">IFERROR((IW4*IX4+IW6*IX6+IW8*IX8)/IW10,"")</f>
        <v/>
      </c>
      <c r="IY10" s="144">
        <f t="shared" ref="IY10" si="456">IFERROR(SUM(IY4,IY6,IY8),"")</f>
        <v>0</v>
      </c>
      <c r="IZ10" s="145" t="str">
        <f t="shared" ref="IZ10" si="457">IFERROR((IY4*IZ4+IY6*IZ6+IY8*IZ8)/IY10,"")</f>
        <v/>
      </c>
    </row>
    <row r="11" spans="1:260" x14ac:dyDescent="0.25">
      <c r="A11" s="1586">
        <v>45383</v>
      </c>
      <c r="B11" s="11" t="s">
        <v>211</v>
      </c>
      <c r="C11" s="19" cm="1">
        <f t="array" ref="C11">SUM(_xlfn._xlws.FILTER(E11:IZ11, MOD(COLUMN(E11:IZ11)-COLUMN(E11)+1,2)=1))</f>
        <v>21560</v>
      </c>
      <c r="D11" s="26" cm="1">
        <f t="array" ref="D11">SUMPRODUCT(_xlfn._xlws.FILTER(E11:IZ11, MOD(COLUMN(E11:IZ11)-COLUMN(E11)+1,2)=1), _xlfn._xlws.FILTER(E11:IZ11, MOD(COLUMN(E11:IZ11)-COLUMN(E11)+1,2)=0))/C11</f>
        <v>2.1927272727272733</v>
      </c>
      <c r="E11" s="142"/>
      <c r="F11" s="143"/>
      <c r="G11" s="142"/>
      <c r="H11" s="143"/>
      <c r="I11" s="142"/>
      <c r="J11" s="143"/>
      <c r="K11" s="142"/>
      <c r="L11" s="143"/>
      <c r="M11" s="142">
        <v>0</v>
      </c>
      <c r="N11" s="143">
        <v>0</v>
      </c>
      <c r="O11" s="142"/>
      <c r="P11" s="143"/>
      <c r="Q11" s="142">
        <v>1960</v>
      </c>
      <c r="R11" s="143">
        <v>1.5200000000000009</v>
      </c>
      <c r="S11" s="142"/>
      <c r="T11" s="143"/>
      <c r="U11" s="142"/>
      <c r="V11" s="143"/>
      <c r="W11" s="142"/>
      <c r="X11" s="143"/>
      <c r="Y11" s="142"/>
      <c r="Z11" s="143"/>
      <c r="AA11" s="142"/>
      <c r="AB11" s="143"/>
      <c r="AC11" s="142"/>
      <c r="AD11" s="143"/>
      <c r="AE11" s="142"/>
      <c r="AF11" s="143"/>
      <c r="AG11" s="142"/>
      <c r="AH11" s="143"/>
      <c r="AI11" s="142"/>
      <c r="AJ11" s="143"/>
      <c r="AK11" s="142"/>
      <c r="AL11" s="143"/>
      <c r="AM11" s="142"/>
      <c r="AN11" s="143"/>
      <c r="AO11" s="142"/>
      <c r="AP11" s="143"/>
      <c r="AQ11" s="142"/>
      <c r="AR11" s="143"/>
      <c r="AS11" s="142"/>
      <c r="AT11" s="143"/>
      <c r="AU11" s="142"/>
      <c r="AV11" s="143"/>
      <c r="AW11" s="142"/>
      <c r="AX11" s="143"/>
      <c r="AY11" s="142"/>
      <c r="AZ11" s="143"/>
      <c r="BA11" s="142"/>
      <c r="BB11" s="143"/>
      <c r="BC11" s="142"/>
      <c r="BD11" s="143"/>
      <c r="BE11" s="142">
        <v>3920</v>
      </c>
      <c r="BF11" s="143">
        <v>1.9700000000000009</v>
      </c>
      <c r="BG11" s="142"/>
      <c r="BH11" s="143"/>
      <c r="BI11" s="142"/>
      <c r="BJ11" s="143"/>
      <c r="BK11" s="142">
        <v>1960</v>
      </c>
      <c r="BL11" s="143">
        <v>2.1799999999999997</v>
      </c>
      <c r="BM11" s="142">
        <v>1960</v>
      </c>
      <c r="BN11" s="143">
        <v>1.8</v>
      </c>
      <c r="BO11" s="142">
        <v>1960</v>
      </c>
      <c r="BP11" s="143">
        <v>1.8799999999999992</v>
      </c>
      <c r="BQ11" s="142">
        <v>1960</v>
      </c>
      <c r="BR11" s="143">
        <v>2.3400000000000012</v>
      </c>
      <c r="BS11" s="142">
        <v>1960</v>
      </c>
      <c r="BT11" s="143">
        <v>2.8800000000000003</v>
      </c>
      <c r="BU11" s="142">
        <v>1960</v>
      </c>
      <c r="BV11" s="143">
        <v>2.2299999999999995</v>
      </c>
      <c r="BW11" s="142"/>
      <c r="BX11" s="175"/>
      <c r="BY11" s="142"/>
      <c r="BZ11" s="175"/>
      <c r="CA11" s="142">
        <v>1960</v>
      </c>
      <c r="CB11" s="175">
        <v>2.4</v>
      </c>
      <c r="CC11" s="142">
        <v>1960</v>
      </c>
      <c r="CD11" s="175">
        <v>2.95</v>
      </c>
      <c r="CE11" s="142"/>
      <c r="CF11" s="175"/>
      <c r="CG11" s="142"/>
      <c r="CH11" s="175"/>
      <c r="CI11" s="142"/>
      <c r="CJ11" s="143"/>
      <c r="CK11" s="142"/>
      <c r="CL11" s="143"/>
      <c r="CM11" s="142"/>
      <c r="CN11" s="175"/>
      <c r="CO11" s="142"/>
      <c r="CP11" s="143"/>
      <c r="CQ11" s="142"/>
      <c r="CR11" s="175"/>
      <c r="CS11" s="142"/>
      <c r="CT11" s="175"/>
      <c r="CU11" s="142"/>
      <c r="CV11" s="175"/>
      <c r="CW11" s="142"/>
      <c r="CX11" s="175"/>
      <c r="CY11" s="142"/>
      <c r="CZ11" s="143"/>
      <c r="DA11" s="142"/>
      <c r="DB11" s="175"/>
      <c r="DC11" s="142"/>
      <c r="DD11" s="175"/>
      <c r="DE11" s="142"/>
      <c r="DF11" s="175"/>
      <c r="DG11" s="142"/>
      <c r="DH11" s="143"/>
      <c r="DI11" s="142"/>
      <c r="DJ11" s="143"/>
      <c r="DK11" s="142"/>
      <c r="DL11" s="143"/>
      <c r="DM11" s="142"/>
      <c r="DN11" s="143"/>
      <c r="DO11" s="142"/>
      <c r="DP11" s="143"/>
      <c r="DQ11" s="142"/>
      <c r="DR11" s="143"/>
      <c r="DS11" s="142"/>
      <c r="DT11" s="143"/>
      <c r="DU11" s="142"/>
      <c r="DV11" s="143"/>
      <c r="DW11" s="142"/>
      <c r="DX11" s="143"/>
      <c r="DY11" s="142"/>
      <c r="DZ11" s="143"/>
      <c r="EA11" s="142"/>
      <c r="EB11" s="143"/>
      <c r="EC11" s="142"/>
      <c r="ED11" s="143"/>
      <c r="EE11" s="142"/>
      <c r="EF11" s="143"/>
      <c r="EG11" s="142"/>
      <c r="EH11" s="143"/>
      <c r="EI11" s="142"/>
      <c r="EJ11" s="143"/>
      <c r="EK11" s="142"/>
      <c r="EL11" s="143"/>
      <c r="EM11" s="142"/>
      <c r="EN11" s="143"/>
      <c r="EO11" s="142"/>
      <c r="EP11" s="143"/>
      <c r="EQ11" s="142"/>
      <c r="ER11" s="143"/>
      <c r="ES11" s="142"/>
      <c r="ET11" s="175"/>
      <c r="EU11" s="142"/>
      <c r="EV11" s="143"/>
      <c r="EW11" s="142"/>
      <c r="EX11" s="175"/>
      <c r="EY11" s="142"/>
      <c r="EZ11" s="143"/>
      <c r="FA11" s="142"/>
      <c r="FB11" s="143"/>
      <c r="FC11" s="142"/>
      <c r="FD11" s="143"/>
      <c r="FE11" s="142"/>
      <c r="FF11" s="143"/>
      <c r="FG11" s="142"/>
      <c r="FH11" s="143"/>
      <c r="FI11" s="142"/>
      <c r="FJ11" s="143"/>
      <c r="FK11" s="142"/>
      <c r="FL11" s="143"/>
      <c r="FM11" s="142"/>
      <c r="FN11" s="143"/>
      <c r="FO11" s="142"/>
      <c r="FP11" s="143"/>
      <c r="FQ11" s="142"/>
      <c r="FR11" s="143"/>
      <c r="FS11" s="142"/>
      <c r="FT11" s="143"/>
      <c r="FU11" s="142"/>
      <c r="FV11" s="143"/>
      <c r="FW11" s="142"/>
      <c r="FX11" s="143"/>
      <c r="FY11" s="142"/>
      <c r="FZ11" s="143"/>
      <c r="GA11" s="142"/>
      <c r="GB11" s="143"/>
      <c r="GC11" s="142"/>
      <c r="GD11" s="143"/>
      <c r="GE11" s="142"/>
      <c r="GF11" s="143"/>
      <c r="GG11" s="142"/>
      <c r="GH11" s="143"/>
      <c r="GI11" s="142"/>
      <c r="GJ11" s="143"/>
      <c r="GK11" s="142"/>
      <c r="GL11" s="143"/>
      <c r="GM11" s="142"/>
      <c r="GN11" s="143"/>
      <c r="GO11" s="142"/>
      <c r="GP11" s="143"/>
      <c r="GQ11" s="142"/>
      <c r="GR11" s="143"/>
      <c r="GS11" s="142"/>
      <c r="GT11" s="143"/>
      <c r="GU11" s="142"/>
      <c r="GV11" s="143"/>
      <c r="GW11" s="142"/>
      <c r="GX11" s="143"/>
      <c r="GY11" s="142"/>
      <c r="GZ11" s="143"/>
      <c r="HA11" s="142"/>
      <c r="HB11" s="143"/>
      <c r="HC11" s="142"/>
      <c r="HD11" s="143"/>
      <c r="HE11" s="142"/>
      <c r="HF11" s="143"/>
      <c r="HG11" s="142"/>
      <c r="HH11" s="143"/>
      <c r="HI11" s="142"/>
      <c r="HJ11" s="143"/>
      <c r="HK11" s="142"/>
      <c r="HL11" s="143"/>
      <c r="HM11" s="142"/>
      <c r="HN11" s="143"/>
      <c r="HO11" s="142"/>
      <c r="HP11" s="143"/>
      <c r="HQ11" s="142"/>
      <c r="HR11" s="143"/>
      <c r="HS11" s="142"/>
      <c r="HT11" s="143"/>
      <c r="HU11" s="142"/>
      <c r="HV11" s="143"/>
      <c r="HW11" s="142"/>
      <c r="HX11" s="143"/>
      <c r="HY11" s="142"/>
      <c r="HZ11" s="143"/>
      <c r="IA11" s="142"/>
      <c r="IB11" s="143"/>
      <c r="IC11" s="142"/>
      <c r="ID11" s="143"/>
      <c r="IE11" s="142"/>
      <c r="IF11" s="143"/>
      <c r="IG11" s="142"/>
      <c r="IH11" s="143"/>
      <c r="II11" s="142"/>
      <c r="IJ11" s="143"/>
      <c r="IK11" s="142"/>
      <c r="IL11" s="143"/>
      <c r="IM11" s="142"/>
      <c r="IN11" s="143"/>
      <c r="IO11" s="142"/>
      <c r="IP11" s="143"/>
      <c r="IQ11" s="142"/>
      <c r="IR11" s="143"/>
      <c r="IS11" s="142"/>
      <c r="IT11" s="143"/>
      <c r="IU11" s="142"/>
      <c r="IV11" s="143"/>
      <c r="IW11" s="142"/>
      <c r="IX11" s="143"/>
      <c r="IY11" s="142"/>
      <c r="IZ11" s="143"/>
    </row>
    <row r="12" spans="1:260" x14ac:dyDescent="0.25">
      <c r="A12" s="1587"/>
      <c r="B12" s="11" t="s">
        <v>5</v>
      </c>
      <c r="C12" s="19" cm="1">
        <f t="array" ref="C12">SUM(_xlfn._xlws.FILTER(E12:IZ12, MOD(COLUMN(E12:IZ12)-COLUMN(E12)+1,2)=1))</f>
        <v>23286</v>
      </c>
      <c r="D12" s="26" cm="1">
        <f t="array" ref="D12">SUMPRODUCT(_xlfn._xlws.FILTER(E12:IZ12, MOD(COLUMN(E12:IZ12)-COLUMN(E12)+1,2)=1), _xlfn._xlws.FILTER(E12:IZ12, MOD(COLUMN(E12:IZ12)-COLUMN(E12)+1,2)=0))/C12</f>
        <v>1.8405037361504768</v>
      </c>
      <c r="E12" s="140"/>
      <c r="F12" s="141"/>
      <c r="G12" s="140"/>
      <c r="H12" s="141"/>
      <c r="I12" s="140"/>
      <c r="J12" s="141"/>
      <c r="K12" s="140"/>
      <c r="L12" s="141"/>
      <c r="M12" s="140">
        <v>1783</v>
      </c>
      <c r="N12" s="141">
        <v>0.9</v>
      </c>
      <c r="O12" s="140"/>
      <c r="P12" s="141"/>
      <c r="Q12" s="140">
        <v>2025</v>
      </c>
      <c r="R12" s="141">
        <v>1.83</v>
      </c>
      <c r="S12" s="140"/>
      <c r="T12" s="141"/>
      <c r="U12" s="140"/>
      <c r="V12" s="141"/>
      <c r="W12" s="140"/>
      <c r="X12" s="141"/>
      <c r="Y12" s="140"/>
      <c r="Z12" s="141"/>
      <c r="AA12" s="140"/>
      <c r="AB12" s="141"/>
      <c r="AC12" s="140"/>
      <c r="AD12" s="141"/>
      <c r="AE12" s="140"/>
      <c r="AF12" s="141"/>
      <c r="AG12" s="140"/>
      <c r="AH12" s="141"/>
      <c r="AI12" s="140"/>
      <c r="AJ12" s="141"/>
      <c r="AK12" s="140"/>
      <c r="AL12" s="141"/>
      <c r="AM12" s="140"/>
      <c r="AN12" s="141"/>
      <c r="AO12" s="140"/>
      <c r="AP12" s="141"/>
      <c r="AQ12" s="140"/>
      <c r="AR12" s="141"/>
      <c r="AS12" s="140"/>
      <c r="AT12" s="141"/>
      <c r="AU12" s="140"/>
      <c r="AV12" s="141"/>
      <c r="AW12" s="140"/>
      <c r="AX12" s="141"/>
      <c r="AY12" s="140"/>
      <c r="AZ12" s="141"/>
      <c r="BA12" s="140"/>
      <c r="BB12" s="141"/>
      <c r="BC12" s="140"/>
      <c r="BD12" s="141"/>
      <c r="BE12" s="140">
        <v>3065</v>
      </c>
      <c r="BF12" s="141">
        <v>1.58</v>
      </c>
      <c r="BG12" s="140"/>
      <c r="BH12" s="141"/>
      <c r="BI12" s="140"/>
      <c r="BJ12" s="141"/>
      <c r="BK12" s="140"/>
      <c r="BL12" s="141"/>
      <c r="BM12" s="140">
        <v>4174</v>
      </c>
      <c r="BN12" s="141">
        <v>1.44</v>
      </c>
      <c r="BO12" s="140">
        <v>141</v>
      </c>
      <c r="BP12" s="141">
        <v>1.72</v>
      </c>
      <c r="BQ12" s="140">
        <v>6902</v>
      </c>
      <c r="BR12" s="141">
        <v>1.91</v>
      </c>
      <c r="BS12" s="140"/>
      <c r="BT12" s="141"/>
      <c r="BU12" s="140">
        <v>1369</v>
      </c>
      <c r="BV12" s="141">
        <v>1.31</v>
      </c>
      <c r="BW12" s="140"/>
      <c r="BX12" s="178"/>
      <c r="BY12" s="140"/>
      <c r="BZ12" s="178"/>
      <c r="CA12" s="140">
        <v>317</v>
      </c>
      <c r="CB12" s="178">
        <v>4.09</v>
      </c>
      <c r="CC12" s="140">
        <v>3510</v>
      </c>
      <c r="CD12" s="178">
        <v>2.9</v>
      </c>
      <c r="CE12" s="140"/>
      <c r="CF12" s="178"/>
      <c r="CG12" s="140"/>
      <c r="CH12" s="178"/>
      <c r="CI12" s="140"/>
      <c r="CJ12" s="141"/>
      <c r="CK12" s="140"/>
      <c r="CL12" s="141"/>
      <c r="CM12" s="140"/>
      <c r="CN12" s="178"/>
      <c r="CO12" s="140"/>
      <c r="CP12" s="141"/>
      <c r="CQ12" s="140"/>
      <c r="CR12" s="178"/>
      <c r="CS12" s="140"/>
      <c r="CT12" s="178"/>
      <c r="CU12" s="140"/>
      <c r="CV12" s="178"/>
      <c r="CW12" s="140"/>
      <c r="CX12" s="178"/>
      <c r="CY12" s="140"/>
      <c r="CZ12" s="141"/>
      <c r="DA12" s="140"/>
      <c r="DB12" s="178"/>
      <c r="DC12" s="140"/>
      <c r="DD12" s="178"/>
      <c r="DE12" s="140"/>
      <c r="DF12" s="178"/>
      <c r="DG12" s="140"/>
      <c r="DH12" s="141"/>
      <c r="DI12" s="140"/>
      <c r="DJ12" s="141"/>
      <c r="DK12" s="140"/>
      <c r="DL12" s="141"/>
      <c r="DM12" s="140"/>
      <c r="DN12" s="141"/>
      <c r="DO12" s="140"/>
      <c r="DP12" s="141"/>
      <c r="DQ12" s="140"/>
      <c r="DR12" s="141"/>
      <c r="DS12" s="140"/>
      <c r="DT12" s="141"/>
      <c r="DU12" s="140"/>
      <c r="DV12" s="141"/>
      <c r="DW12" s="140"/>
      <c r="DX12" s="141"/>
      <c r="DY12" s="140"/>
      <c r="DZ12" s="141"/>
      <c r="EA12" s="140"/>
      <c r="EB12" s="141"/>
      <c r="EC12" s="140"/>
      <c r="ED12" s="141"/>
      <c r="EE12" s="140"/>
      <c r="EF12" s="141"/>
      <c r="EG12" s="140"/>
      <c r="EH12" s="141"/>
      <c r="EI12" s="140"/>
      <c r="EJ12" s="141"/>
      <c r="EK12" s="140"/>
      <c r="EL12" s="141"/>
      <c r="EM12" s="140"/>
      <c r="EN12" s="141"/>
      <c r="EO12" s="140"/>
      <c r="EP12" s="141"/>
      <c r="EQ12" s="140"/>
      <c r="ER12" s="141"/>
      <c r="ES12" s="140"/>
      <c r="ET12" s="178"/>
      <c r="EU12" s="140"/>
      <c r="EV12" s="141"/>
      <c r="EW12" s="140"/>
      <c r="EX12" s="178"/>
      <c r="EY12" s="140"/>
      <c r="EZ12" s="141"/>
      <c r="FA12" s="140"/>
      <c r="FB12" s="141"/>
      <c r="FC12" s="140"/>
      <c r="FD12" s="141"/>
      <c r="FE12" s="140"/>
      <c r="FF12" s="141"/>
      <c r="FG12" s="140"/>
      <c r="FH12" s="141"/>
      <c r="FI12" s="140"/>
      <c r="FJ12" s="141"/>
      <c r="FK12" s="140"/>
      <c r="FL12" s="141"/>
      <c r="FM12" s="140"/>
      <c r="FN12" s="141"/>
      <c r="FO12" s="140"/>
      <c r="FP12" s="141"/>
      <c r="FQ12" s="140"/>
      <c r="FR12" s="141"/>
      <c r="FS12" s="140"/>
      <c r="FT12" s="141"/>
      <c r="FU12" s="140"/>
      <c r="FV12" s="141"/>
      <c r="FW12" s="140"/>
      <c r="FX12" s="141"/>
      <c r="FY12" s="140"/>
      <c r="FZ12" s="141"/>
      <c r="GA12" s="140"/>
      <c r="GB12" s="141"/>
      <c r="GC12" s="140"/>
      <c r="GD12" s="141"/>
      <c r="GE12" s="140"/>
      <c r="GF12" s="141"/>
      <c r="GG12" s="140"/>
      <c r="GH12" s="141"/>
      <c r="GI12" s="140"/>
      <c r="GJ12" s="141"/>
      <c r="GK12" s="140"/>
      <c r="GL12" s="141"/>
      <c r="GM12" s="140"/>
      <c r="GN12" s="141"/>
      <c r="GO12" s="140"/>
      <c r="GP12" s="141"/>
      <c r="GQ12" s="140"/>
      <c r="GR12" s="141"/>
      <c r="GS12" s="140"/>
      <c r="GT12" s="141"/>
      <c r="GU12" s="140"/>
      <c r="GV12" s="141"/>
      <c r="GW12" s="140"/>
      <c r="GX12" s="141"/>
      <c r="GY12" s="140"/>
      <c r="GZ12" s="141"/>
      <c r="HA12" s="140"/>
      <c r="HB12" s="141"/>
      <c r="HC12" s="140"/>
      <c r="HD12" s="141"/>
      <c r="HE12" s="140"/>
      <c r="HF12" s="141"/>
      <c r="HG12" s="140"/>
      <c r="HH12" s="141"/>
      <c r="HI12" s="140"/>
      <c r="HJ12" s="141"/>
      <c r="HK12" s="140"/>
      <c r="HL12" s="141"/>
      <c r="HM12" s="140"/>
      <c r="HN12" s="141"/>
      <c r="HO12" s="140"/>
      <c r="HP12" s="141"/>
      <c r="HQ12" s="140"/>
      <c r="HR12" s="141"/>
      <c r="HS12" s="140"/>
      <c r="HT12" s="141"/>
      <c r="HU12" s="140"/>
      <c r="HV12" s="141"/>
      <c r="HW12" s="140"/>
      <c r="HX12" s="141"/>
      <c r="HY12" s="140"/>
      <c r="HZ12" s="141"/>
      <c r="IA12" s="140"/>
      <c r="IB12" s="141"/>
      <c r="IC12" s="140"/>
      <c r="ID12" s="141"/>
      <c r="IE12" s="140"/>
      <c r="IF12" s="141"/>
      <c r="IG12" s="140"/>
      <c r="IH12" s="141"/>
      <c r="II12" s="140"/>
      <c r="IJ12" s="141"/>
      <c r="IK12" s="140"/>
      <c r="IL12" s="141"/>
      <c r="IM12" s="140"/>
      <c r="IN12" s="141"/>
      <c r="IO12" s="140"/>
      <c r="IP12" s="141"/>
      <c r="IQ12" s="140"/>
      <c r="IR12" s="141"/>
      <c r="IS12" s="140"/>
      <c r="IT12" s="141"/>
      <c r="IU12" s="140"/>
      <c r="IV12" s="141"/>
      <c r="IW12" s="140"/>
      <c r="IX12" s="141"/>
      <c r="IY12" s="140"/>
      <c r="IZ12" s="141"/>
    </row>
    <row r="13" spans="1:260" x14ac:dyDescent="0.25">
      <c r="A13" s="1586">
        <v>45413</v>
      </c>
      <c r="B13" s="11" t="s">
        <v>211</v>
      </c>
      <c r="C13" s="19" cm="1">
        <f t="array" ref="C13">SUM(_xlfn._xlws.FILTER(E13:IZ13, MOD(COLUMN(E13:IZ13)-COLUMN(E13)+1,2)=1))</f>
        <v>22330</v>
      </c>
      <c r="D13" s="26" cm="1">
        <f t="array" ref="D13">SUMPRODUCT(_xlfn._xlws.FILTER(E13:IZ13, MOD(COLUMN(E13:IZ13)-COLUMN(E13)+1,2)=1), _xlfn._xlws.FILTER(E13:IZ13, MOD(COLUMN(E13:IZ13)-COLUMN(E13)+1,2)=0))/C13</f>
        <v>2.1909090909090914</v>
      </c>
      <c r="E13" s="142"/>
      <c r="F13" s="143"/>
      <c r="G13" s="142"/>
      <c r="H13" s="143"/>
      <c r="I13" s="142"/>
      <c r="J13" s="143"/>
      <c r="K13" s="142"/>
      <c r="L13" s="143"/>
      <c r="M13" s="142">
        <v>2030</v>
      </c>
      <c r="N13" s="143">
        <v>2.9</v>
      </c>
      <c r="O13" s="142"/>
      <c r="P13" s="143"/>
      <c r="Q13" s="142"/>
      <c r="R13" s="143"/>
      <c r="S13" s="142"/>
      <c r="T13" s="143"/>
      <c r="U13" s="142"/>
      <c r="V13" s="143"/>
      <c r="W13" s="142"/>
      <c r="X13" s="143"/>
      <c r="Y13" s="142"/>
      <c r="Z13" s="143"/>
      <c r="AA13" s="142"/>
      <c r="AB13" s="143"/>
      <c r="AC13" s="142"/>
      <c r="AD13" s="143"/>
      <c r="AE13" s="142"/>
      <c r="AF13" s="143"/>
      <c r="AG13" s="142"/>
      <c r="AH13" s="143"/>
      <c r="AI13" s="142"/>
      <c r="AJ13" s="143"/>
      <c r="AK13" s="142"/>
      <c r="AL13" s="143"/>
      <c r="AM13" s="142"/>
      <c r="AN13" s="143"/>
      <c r="AO13" s="142"/>
      <c r="AP13" s="143"/>
      <c r="AQ13" s="142"/>
      <c r="AR13" s="143"/>
      <c r="AS13" s="142"/>
      <c r="AT13" s="143"/>
      <c r="AU13" s="142">
        <v>4060</v>
      </c>
      <c r="AV13" s="143">
        <v>1.5200000000000009</v>
      </c>
      <c r="AW13" s="142"/>
      <c r="AX13" s="143"/>
      <c r="AY13" s="142">
        <v>2030</v>
      </c>
      <c r="AZ13" s="143">
        <v>2.23</v>
      </c>
      <c r="BA13" s="142"/>
      <c r="BB13" s="143"/>
      <c r="BC13" s="142"/>
      <c r="BD13" s="143"/>
      <c r="BE13" s="142"/>
      <c r="BF13" s="143"/>
      <c r="BG13" s="142"/>
      <c r="BH13" s="143"/>
      <c r="BI13" s="142">
        <v>2030</v>
      </c>
      <c r="BJ13" s="143">
        <v>1.9700000000000009</v>
      </c>
      <c r="BK13" s="142">
        <v>2030</v>
      </c>
      <c r="BL13" s="143">
        <v>2.1799999999999997</v>
      </c>
      <c r="BM13" s="142"/>
      <c r="BN13" s="143"/>
      <c r="BO13" s="142"/>
      <c r="BP13" s="143"/>
      <c r="BQ13" s="142">
        <v>2030</v>
      </c>
      <c r="BR13" s="143">
        <v>1.8</v>
      </c>
      <c r="BS13" s="142">
        <v>2030</v>
      </c>
      <c r="BT13" s="143">
        <v>1.8799999999999992</v>
      </c>
      <c r="BU13" s="142">
        <v>2030</v>
      </c>
      <c r="BV13" s="143">
        <v>2.3400000000000012</v>
      </c>
      <c r="BW13" s="142">
        <v>4060</v>
      </c>
      <c r="BX13" s="175">
        <v>2.8800000000000008</v>
      </c>
      <c r="BY13" s="142"/>
      <c r="BZ13" s="175"/>
      <c r="CA13" s="142"/>
      <c r="CB13" s="175"/>
      <c r="CC13" s="142"/>
      <c r="CD13" s="175"/>
      <c r="CE13" s="142"/>
      <c r="CF13" s="175"/>
      <c r="CG13" s="142"/>
      <c r="CH13" s="175"/>
      <c r="CI13" s="142"/>
      <c r="CJ13" s="143"/>
      <c r="CK13" s="142"/>
      <c r="CL13" s="143"/>
      <c r="CM13" s="142"/>
      <c r="CN13" s="175"/>
      <c r="CO13" s="142"/>
      <c r="CP13" s="143"/>
      <c r="CQ13" s="142"/>
      <c r="CR13" s="175"/>
      <c r="CS13" s="142"/>
      <c r="CT13" s="175"/>
      <c r="CU13" s="142"/>
      <c r="CV13" s="175"/>
      <c r="CW13" s="142"/>
      <c r="CX13" s="175"/>
      <c r="CY13" s="142"/>
      <c r="CZ13" s="143"/>
      <c r="DA13" s="142"/>
      <c r="DB13" s="175"/>
      <c r="DC13" s="142"/>
      <c r="DD13" s="175"/>
      <c r="DE13" s="142"/>
      <c r="DF13" s="175"/>
      <c r="DG13" s="142"/>
      <c r="DH13" s="143"/>
      <c r="DI13" s="142"/>
      <c r="DJ13" s="143"/>
      <c r="DK13" s="142"/>
      <c r="DL13" s="143"/>
      <c r="DM13" s="142"/>
      <c r="DN13" s="143"/>
      <c r="DO13" s="142"/>
      <c r="DP13" s="143"/>
      <c r="DQ13" s="142"/>
      <c r="DR13" s="143"/>
      <c r="DS13" s="142"/>
      <c r="DT13" s="143"/>
      <c r="DU13" s="142"/>
      <c r="DV13" s="143"/>
      <c r="DW13" s="142"/>
      <c r="DX13" s="143"/>
      <c r="DY13" s="142"/>
      <c r="DZ13" s="143"/>
      <c r="EA13" s="142"/>
      <c r="EB13" s="143"/>
      <c r="EC13" s="142"/>
      <c r="ED13" s="143"/>
      <c r="EE13" s="142"/>
      <c r="EF13" s="143"/>
      <c r="EG13" s="142"/>
      <c r="EH13" s="143"/>
      <c r="EI13" s="142"/>
      <c r="EJ13" s="143"/>
      <c r="EK13" s="142"/>
      <c r="EL13" s="143"/>
      <c r="EM13" s="142"/>
      <c r="EN13" s="143"/>
      <c r="EO13" s="142"/>
      <c r="EP13" s="143"/>
      <c r="EQ13" s="142"/>
      <c r="ER13" s="143"/>
      <c r="ES13" s="142"/>
      <c r="ET13" s="175"/>
      <c r="EU13" s="142"/>
      <c r="EV13" s="143"/>
      <c r="EW13" s="142"/>
      <c r="EX13" s="175"/>
      <c r="EY13" s="142"/>
      <c r="EZ13" s="143"/>
      <c r="FA13" s="142"/>
      <c r="FB13" s="143"/>
      <c r="FC13" s="142"/>
      <c r="FD13" s="143"/>
      <c r="FE13" s="142"/>
      <c r="FF13" s="143"/>
      <c r="FG13" s="142"/>
      <c r="FH13" s="143"/>
      <c r="FI13" s="142"/>
      <c r="FJ13" s="143"/>
      <c r="FK13" s="142"/>
      <c r="FL13" s="143"/>
      <c r="FM13" s="142"/>
      <c r="FN13" s="143"/>
      <c r="FO13" s="142"/>
      <c r="FP13" s="143"/>
      <c r="FQ13" s="142"/>
      <c r="FR13" s="143"/>
      <c r="FS13" s="142"/>
      <c r="FT13" s="143"/>
      <c r="FU13" s="142"/>
      <c r="FV13" s="143"/>
      <c r="FW13" s="142"/>
      <c r="FX13" s="143"/>
      <c r="FY13" s="142"/>
      <c r="FZ13" s="143"/>
      <c r="GA13" s="142"/>
      <c r="GB13" s="143"/>
      <c r="GC13" s="142"/>
      <c r="GD13" s="143"/>
      <c r="GE13" s="142"/>
      <c r="GF13" s="143"/>
      <c r="GG13" s="142"/>
      <c r="GH13" s="143"/>
      <c r="GI13" s="142"/>
      <c r="GJ13" s="143"/>
      <c r="GK13" s="142"/>
      <c r="GL13" s="143"/>
      <c r="GM13" s="142"/>
      <c r="GN13" s="143"/>
      <c r="GO13" s="142"/>
      <c r="GP13" s="143"/>
      <c r="GQ13" s="142"/>
      <c r="GR13" s="143"/>
      <c r="GS13" s="142"/>
      <c r="GT13" s="143"/>
      <c r="GU13" s="142"/>
      <c r="GV13" s="143"/>
      <c r="GW13" s="142"/>
      <c r="GX13" s="143"/>
      <c r="GY13" s="142"/>
      <c r="GZ13" s="143"/>
      <c r="HA13" s="142"/>
      <c r="HB13" s="143"/>
      <c r="HC13" s="142"/>
      <c r="HD13" s="143"/>
      <c r="HE13" s="142"/>
      <c r="HF13" s="143"/>
      <c r="HG13" s="142"/>
      <c r="HH13" s="143"/>
      <c r="HI13" s="142"/>
      <c r="HJ13" s="143"/>
      <c r="HK13" s="142"/>
      <c r="HL13" s="143"/>
      <c r="HM13" s="142"/>
      <c r="HN13" s="143"/>
      <c r="HO13" s="142"/>
      <c r="HP13" s="143"/>
      <c r="HQ13" s="142"/>
      <c r="HR13" s="143"/>
      <c r="HS13" s="142"/>
      <c r="HT13" s="143"/>
      <c r="HU13" s="142"/>
      <c r="HV13" s="143"/>
      <c r="HW13" s="142"/>
      <c r="HX13" s="143"/>
      <c r="HY13" s="142"/>
      <c r="HZ13" s="143"/>
      <c r="IA13" s="142"/>
      <c r="IB13" s="143"/>
      <c r="IC13" s="142"/>
      <c r="ID13" s="143"/>
      <c r="IE13" s="142"/>
      <c r="IF13" s="143"/>
      <c r="IG13" s="142"/>
      <c r="IH13" s="143"/>
      <c r="II13" s="142"/>
      <c r="IJ13" s="143"/>
      <c r="IK13" s="142"/>
      <c r="IL13" s="143"/>
      <c r="IM13" s="142"/>
      <c r="IN13" s="143"/>
      <c r="IO13" s="142"/>
      <c r="IP13" s="143"/>
      <c r="IQ13" s="142"/>
      <c r="IR13" s="143"/>
      <c r="IS13" s="142"/>
      <c r="IT13" s="143"/>
      <c r="IU13" s="142"/>
      <c r="IV13" s="143"/>
      <c r="IW13" s="142"/>
      <c r="IX13" s="143"/>
      <c r="IY13" s="142"/>
      <c r="IZ13" s="143"/>
    </row>
    <row r="14" spans="1:260" x14ac:dyDescent="0.25">
      <c r="A14" s="1587"/>
      <c r="B14" s="11" t="s">
        <v>5</v>
      </c>
      <c r="C14" s="19" cm="1">
        <f t="array" ref="C14">SUM(_xlfn._xlws.FILTER(E14:IZ14, MOD(COLUMN(E14:IZ14)-COLUMN(E14)+1,2)=1))</f>
        <v>18970.8</v>
      </c>
      <c r="D14" s="26" cm="1">
        <f t="array" ref="D14">SUMPRODUCT(_xlfn._xlws.FILTER(E14:IZ14, MOD(COLUMN(E14:IZ14)-COLUMN(E14)+1,2)=1), _xlfn._xlws.FILTER(E14:IZ14, MOD(COLUMN(E14:IZ14)-COLUMN(E14)+1,2)=0))/C14</f>
        <v>1.840004209311763</v>
      </c>
      <c r="E14" s="140"/>
      <c r="F14" s="141"/>
      <c r="G14" s="140"/>
      <c r="H14" s="141"/>
      <c r="I14" s="140"/>
      <c r="J14" s="141"/>
      <c r="K14" s="140"/>
      <c r="L14" s="141"/>
      <c r="M14" s="140">
        <v>4343.8</v>
      </c>
      <c r="N14" s="141">
        <v>1.4562093762346915</v>
      </c>
      <c r="O14" s="140"/>
      <c r="P14" s="141"/>
      <c r="Q14" s="140">
        <v>1787.6</v>
      </c>
      <c r="R14" s="141">
        <v>1.7682542425706969</v>
      </c>
      <c r="S14" s="140"/>
      <c r="T14" s="141"/>
      <c r="U14" s="140"/>
      <c r="V14" s="141"/>
      <c r="W14" s="140"/>
      <c r="X14" s="141"/>
      <c r="Y14" s="140"/>
      <c r="Z14" s="141"/>
      <c r="AA14" s="140"/>
      <c r="AB14" s="141"/>
      <c r="AC14" s="140"/>
      <c r="AD14" s="141"/>
      <c r="AE14" s="140"/>
      <c r="AF14" s="141"/>
      <c r="AG14" s="140"/>
      <c r="AH14" s="141"/>
      <c r="AI14" s="140"/>
      <c r="AJ14" s="141"/>
      <c r="AK14" s="140"/>
      <c r="AL14" s="141"/>
      <c r="AM14" s="140"/>
      <c r="AN14" s="141"/>
      <c r="AO14" s="140"/>
      <c r="AP14" s="141"/>
      <c r="AQ14" s="140"/>
      <c r="AR14" s="141"/>
      <c r="AS14" s="140">
        <v>1075</v>
      </c>
      <c r="AT14" s="141">
        <v>3.3388800697952568</v>
      </c>
      <c r="AU14" s="140"/>
      <c r="AV14" s="141"/>
      <c r="AW14" s="140"/>
      <c r="AX14" s="141"/>
      <c r="AY14" s="140"/>
      <c r="AZ14" s="141"/>
      <c r="BA14" s="140"/>
      <c r="BB14" s="141"/>
      <c r="BC14" s="140"/>
      <c r="BD14" s="141"/>
      <c r="BE14" s="140">
        <v>130</v>
      </c>
      <c r="BF14" s="141">
        <v>1.695443773758962</v>
      </c>
      <c r="BG14" s="140"/>
      <c r="BH14" s="141"/>
      <c r="BI14" s="140">
        <v>2245.8000000000002</v>
      </c>
      <c r="BJ14" s="141">
        <v>1.7266482603925628</v>
      </c>
      <c r="BK14" s="140"/>
      <c r="BL14" s="141"/>
      <c r="BM14" s="140">
        <v>684</v>
      </c>
      <c r="BN14" s="141">
        <v>1.3417929252448231</v>
      </c>
      <c r="BO14" s="140">
        <v>276.8</v>
      </c>
      <c r="BP14" s="141">
        <v>1.6330348004917614</v>
      </c>
      <c r="BQ14" s="140">
        <v>2547.8000000000002</v>
      </c>
      <c r="BR14" s="141">
        <v>2.2883290197973722</v>
      </c>
      <c r="BS14" s="140"/>
      <c r="BT14" s="141"/>
      <c r="BU14" s="140">
        <v>2600.0000000000005</v>
      </c>
      <c r="BV14" s="141">
        <v>1.5810273227690934</v>
      </c>
      <c r="BW14" s="140">
        <v>2052</v>
      </c>
      <c r="BX14" s="178">
        <v>2.1635110732629701</v>
      </c>
      <c r="BY14" s="140"/>
      <c r="BZ14" s="178"/>
      <c r="CA14" s="140">
        <v>151</v>
      </c>
      <c r="CB14" s="178">
        <v>0.73850618366187926</v>
      </c>
      <c r="CC14" s="140">
        <v>1077</v>
      </c>
      <c r="CD14" s="178">
        <v>1.7370497559370961</v>
      </c>
      <c r="CE14" s="140"/>
      <c r="CF14" s="178"/>
      <c r="CG14" s="140"/>
      <c r="CH14" s="178"/>
      <c r="CI14" s="140"/>
      <c r="CJ14" s="141"/>
      <c r="CK14" s="140"/>
      <c r="CL14" s="141"/>
      <c r="CM14" s="140"/>
      <c r="CN14" s="178"/>
      <c r="CO14" s="140"/>
      <c r="CP14" s="141"/>
      <c r="CQ14" s="140"/>
      <c r="CR14" s="178"/>
      <c r="CS14" s="140"/>
      <c r="CT14" s="178"/>
      <c r="CU14" s="140"/>
      <c r="CV14" s="178"/>
      <c r="CW14" s="140"/>
      <c r="CX14" s="178"/>
      <c r="CY14" s="140"/>
      <c r="CZ14" s="141"/>
      <c r="DA14" s="140"/>
      <c r="DB14" s="178"/>
      <c r="DC14" s="140"/>
      <c r="DD14" s="178"/>
      <c r="DE14" s="140"/>
      <c r="DF14" s="178"/>
      <c r="DG14" s="140"/>
      <c r="DH14" s="141"/>
      <c r="DI14" s="140"/>
      <c r="DJ14" s="141"/>
      <c r="DK14" s="140"/>
      <c r="DL14" s="141"/>
      <c r="DM14" s="140"/>
      <c r="DN14" s="141"/>
      <c r="DO14" s="140"/>
      <c r="DP14" s="141"/>
      <c r="DQ14" s="140"/>
      <c r="DR14" s="141"/>
      <c r="DS14" s="140"/>
      <c r="DT14" s="141"/>
      <c r="DU14" s="140"/>
      <c r="DV14" s="141"/>
      <c r="DW14" s="140"/>
      <c r="DX14" s="141"/>
      <c r="DY14" s="140"/>
      <c r="DZ14" s="141"/>
      <c r="EA14" s="140"/>
      <c r="EB14" s="141"/>
      <c r="EC14" s="140"/>
      <c r="ED14" s="141"/>
      <c r="EE14" s="140"/>
      <c r="EF14" s="141"/>
      <c r="EG14" s="140"/>
      <c r="EH14" s="141"/>
      <c r="EI14" s="140"/>
      <c r="EJ14" s="141"/>
      <c r="EK14" s="140"/>
      <c r="EL14" s="141"/>
      <c r="EM14" s="140"/>
      <c r="EN14" s="141"/>
      <c r="EO14" s="140"/>
      <c r="EP14" s="141"/>
      <c r="EQ14" s="140"/>
      <c r="ER14" s="141"/>
      <c r="ES14" s="140"/>
      <c r="ET14" s="178"/>
      <c r="EU14" s="140"/>
      <c r="EV14" s="141"/>
      <c r="EW14" s="140"/>
      <c r="EX14" s="178"/>
      <c r="EY14" s="140"/>
      <c r="EZ14" s="141"/>
      <c r="FA14" s="140"/>
      <c r="FB14" s="141"/>
      <c r="FC14" s="140"/>
      <c r="FD14" s="141"/>
      <c r="FE14" s="140"/>
      <c r="FF14" s="141"/>
      <c r="FG14" s="140"/>
      <c r="FH14" s="141"/>
      <c r="FI14" s="140"/>
      <c r="FJ14" s="141"/>
      <c r="FK14" s="140"/>
      <c r="FL14" s="141"/>
      <c r="FM14" s="140"/>
      <c r="FN14" s="141"/>
      <c r="FO14" s="140"/>
      <c r="FP14" s="141"/>
      <c r="FQ14" s="140"/>
      <c r="FR14" s="141"/>
      <c r="FS14" s="140"/>
      <c r="FT14" s="141"/>
      <c r="FU14" s="140"/>
      <c r="FV14" s="141"/>
      <c r="FW14" s="140"/>
      <c r="FX14" s="141"/>
      <c r="FY14" s="140"/>
      <c r="FZ14" s="141"/>
      <c r="GA14" s="140"/>
      <c r="GB14" s="141"/>
      <c r="GC14" s="140"/>
      <c r="GD14" s="141"/>
      <c r="GE14" s="140"/>
      <c r="GF14" s="141"/>
      <c r="GG14" s="140"/>
      <c r="GH14" s="141"/>
      <c r="GI14" s="140"/>
      <c r="GJ14" s="141"/>
      <c r="GK14" s="140"/>
      <c r="GL14" s="141"/>
      <c r="GM14" s="140"/>
      <c r="GN14" s="141"/>
      <c r="GO14" s="140"/>
      <c r="GP14" s="141"/>
      <c r="GQ14" s="140"/>
      <c r="GR14" s="141"/>
      <c r="GS14" s="140"/>
      <c r="GT14" s="141"/>
      <c r="GU14" s="140"/>
      <c r="GV14" s="141"/>
      <c r="GW14" s="140"/>
      <c r="GX14" s="141"/>
      <c r="GY14" s="140"/>
      <c r="GZ14" s="141"/>
      <c r="HA14" s="140"/>
      <c r="HB14" s="141"/>
      <c r="HC14" s="140"/>
      <c r="HD14" s="141"/>
      <c r="HE14" s="140"/>
      <c r="HF14" s="141"/>
      <c r="HG14" s="140"/>
      <c r="HH14" s="141"/>
      <c r="HI14" s="140"/>
      <c r="HJ14" s="141"/>
      <c r="HK14" s="140"/>
      <c r="HL14" s="141"/>
      <c r="HM14" s="140"/>
      <c r="HN14" s="141"/>
      <c r="HO14" s="140"/>
      <c r="HP14" s="141"/>
      <c r="HQ14" s="140"/>
      <c r="HR14" s="141"/>
      <c r="HS14" s="140"/>
      <c r="HT14" s="141"/>
      <c r="HU14" s="140"/>
      <c r="HV14" s="141"/>
      <c r="HW14" s="140"/>
      <c r="HX14" s="141"/>
      <c r="HY14" s="140"/>
      <c r="HZ14" s="141"/>
      <c r="IA14" s="140"/>
      <c r="IB14" s="141"/>
      <c r="IC14" s="140"/>
      <c r="ID14" s="141"/>
      <c r="IE14" s="140"/>
      <c r="IF14" s="141"/>
      <c r="IG14" s="140"/>
      <c r="IH14" s="141"/>
      <c r="II14" s="140"/>
      <c r="IJ14" s="141"/>
      <c r="IK14" s="140"/>
      <c r="IL14" s="141"/>
      <c r="IM14" s="140"/>
      <c r="IN14" s="141"/>
      <c r="IO14" s="140"/>
      <c r="IP14" s="141"/>
      <c r="IQ14" s="140"/>
      <c r="IR14" s="141"/>
      <c r="IS14" s="140"/>
      <c r="IT14" s="141"/>
      <c r="IU14" s="140"/>
      <c r="IV14" s="141"/>
      <c r="IW14" s="140"/>
      <c r="IX14" s="141"/>
      <c r="IY14" s="140"/>
      <c r="IZ14" s="141"/>
    </row>
    <row r="15" spans="1:260" x14ac:dyDescent="0.25">
      <c r="A15" s="1586">
        <v>45444</v>
      </c>
      <c r="B15" s="11" t="s">
        <v>211</v>
      </c>
      <c r="C15" s="19" cm="1">
        <f t="array" ref="C15">SUM(_xlfn._xlws.FILTER(E15:IZ15, MOD(COLUMN(E15:IZ15)-COLUMN(E15)+1,2)=1))</f>
        <v>23100</v>
      </c>
      <c r="D15" s="26" cm="1">
        <f t="array" ref="D15">SUMPRODUCT(_xlfn._xlws.FILTER(E15:IZ15, MOD(COLUMN(E15:IZ15)-COLUMN(E15)+1,2)=1), _xlfn._xlws.FILTER(E15:IZ15, MOD(COLUMN(E15:IZ15)-COLUMN(E15)+1,2)=0))/C15</f>
        <v>2.370454545454546</v>
      </c>
      <c r="E15" s="142"/>
      <c r="F15" s="143"/>
      <c r="G15" s="142"/>
      <c r="H15" s="143"/>
      <c r="I15" s="142"/>
      <c r="J15" s="143"/>
      <c r="K15" s="142"/>
      <c r="L15" s="143"/>
      <c r="M15" s="142">
        <v>4200</v>
      </c>
      <c r="N15" s="143">
        <v>2.9</v>
      </c>
      <c r="O15" s="142"/>
      <c r="P15" s="143"/>
      <c r="Q15" s="142"/>
      <c r="R15" s="143"/>
      <c r="S15" s="142"/>
      <c r="T15" s="143"/>
      <c r="U15" s="142"/>
      <c r="V15" s="143"/>
      <c r="W15" s="142"/>
      <c r="X15" s="143"/>
      <c r="Y15" s="142"/>
      <c r="Z15" s="143"/>
      <c r="AA15" s="142"/>
      <c r="AB15" s="143"/>
      <c r="AC15" s="142"/>
      <c r="AD15" s="143"/>
      <c r="AE15" s="142"/>
      <c r="AF15" s="143"/>
      <c r="AG15" s="142"/>
      <c r="AH15" s="143"/>
      <c r="AI15" s="142"/>
      <c r="AJ15" s="143"/>
      <c r="AK15" s="142"/>
      <c r="AL15" s="143"/>
      <c r="AM15" s="142"/>
      <c r="AN15" s="143"/>
      <c r="AO15" s="142"/>
      <c r="AP15" s="143"/>
      <c r="AQ15" s="142"/>
      <c r="AR15" s="143"/>
      <c r="AS15" s="142"/>
      <c r="AT15" s="143"/>
      <c r="AU15" s="142">
        <v>1050</v>
      </c>
      <c r="AV15" s="143">
        <v>1.5200000000000009</v>
      </c>
      <c r="AW15" s="142"/>
      <c r="AX15" s="143"/>
      <c r="AY15" s="142">
        <v>2100</v>
      </c>
      <c r="AZ15" s="143">
        <v>2.23</v>
      </c>
      <c r="BA15" s="142"/>
      <c r="BB15" s="143"/>
      <c r="BC15" s="142"/>
      <c r="BD15" s="143"/>
      <c r="BE15" s="142"/>
      <c r="BF15" s="143"/>
      <c r="BG15" s="142"/>
      <c r="BH15" s="143"/>
      <c r="BI15" s="142">
        <v>1050</v>
      </c>
      <c r="BJ15" s="143">
        <v>1.9700000000000009</v>
      </c>
      <c r="BK15" s="142">
        <v>2100</v>
      </c>
      <c r="BL15" s="143">
        <v>2.1800000000000002</v>
      </c>
      <c r="BM15" s="142"/>
      <c r="BN15" s="143"/>
      <c r="BO15" s="142"/>
      <c r="BP15" s="143"/>
      <c r="BQ15" s="142">
        <v>2100</v>
      </c>
      <c r="BR15" s="143">
        <v>1.8</v>
      </c>
      <c r="BS15" s="142">
        <v>2100</v>
      </c>
      <c r="BT15" s="143">
        <v>1.8799999999999992</v>
      </c>
      <c r="BU15" s="142">
        <v>4200</v>
      </c>
      <c r="BV15" s="143">
        <v>2.3400000000000012</v>
      </c>
      <c r="BW15" s="142">
        <v>4200</v>
      </c>
      <c r="BX15" s="175">
        <v>2.8800000000000008</v>
      </c>
      <c r="BY15" s="142"/>
      <c r="BZ15" s="175"/>
      <c r="CA15" s="142"/>
      <c r="CB15" s="175"/>
      <c r="CC15" s="142"/>
      <c r="CD15" s="175"/>
      <c r="CE15" s="142"/>
      <c r="CF15" s="175"/>
      <c r="CG15" s="142"/>
      <c r="CH15" s="175"/>
      <c r="CI15" s="142"/>
      <c r="CJ15" s="143"/>
      <c r="CK15" s="142"/>
      <c r="CL15" s="143"/>
      <c r="CM15" s="142"/>
      <c r="CN15" s="175"/>
      <c r="CO15" s="142"/>
      <c r="CP15" s="143"/>
      <c r="CQ15" s="142"/>
      <c r="CR15" s="175"/>
      <c r="CS15" s="142"/>
      <c r="CT15" s="175"/>
      <c r="CU15" s="142"/>
      <c r="CV15" s="175"/>
      <c r="CW15" s="142"/>
      <c r="CX15" s="175"/>
      <c r="CY15" s="142"/>
      <c r="CZ15" s="143"/>
      <c r="DA15" s="142"/>
      <c r="DB15" s="175"/>
      <c r="DC15" s="142"/>
      <c r="DD15" s="175"/>
      <c r="DE15" s="142"/>
      <c r="DF15" s="175"/>
      <c r="DG15" s="142"/>
      <c r="DH15" s="143"/>
      <c r="DI15" s="142"/>
      <c r="DJ15" s="143"/>
      <c r="DK15" s="142"/>
      <c r="DL15" s="143"/>
      <c r="DM15" s="142"/>
      <c r="DN15" s="143"/>
      <c r="DO15" s="142"/>
      <c r="DP15" s="143"/>
      <c r="DQ15" s="142"/>
      <c r="DR15" s="143"/>
      <c r="DS15" s="142"/>
      <c r="DT15" s="143"/>
      <c r="DU15" s="142"/>
      <c r="DV15" s="143"/>
      <c r="DW15" s="142"/>
      <c r="DX15" s="143"/>
      <c r="DY15" s="142"/>
      <c r="DZ15" s="143"/>
      <c r="EA15" s="142"/>
      <c r="EB15" s="143"/>
      <c r="EC15" s="142"/>
      <c r="ED15" s="143"/>
      <c r="EE15" s="142"/>
      <c r="EF15" s="143"/>
      <c r="EG15" s="142"/>
      <c r="EH15" s="143"/>
      <c r="EI15" s="142"/>
      <c r="EJ15" s="143"/>
      <c r="EK15" s="142"/>
      <c r="EL15" s="143"/>
      <c r="EM15" s="142"/>
      <c r="EN15" s="143"/>
      <c r="EO15" s="142"/>
      <c r="EP15" s="143"/>
      <c r="EQ15" s="142"/>
      <c r="ER15" s="143"/>
      <c r="ES15" s="142"/>
      <c r="ET15" s="175"/>
      <c r="EU15" s="142"/>
      <c r="EV15" s="143"/>
      <c r="EW15" s="142"/>
      <c r="EX15" s="175"/>
      <c r="EY15" s="142"/>
      <c r="EZ15" s="143"/>
      <c r="FA15" s="142"/>
      <c r="FB15" s="143"/>
      <c r="FC15" s="142"/>
      <c r="FD15" s="143"/>
      <c r="FE15" s="142"/>
      <c r="FF15" s="143"/>
      <c r="FG15" s="142"/>
      <c r="FH15" s="143"/>
      <c r="FI15" s="142"/>
      <c r="FJ15" s="143"/>
      <c r="FK15" s="142"/>
      <c r="FL15" s="143"/>
      <c r="FM15" s="142"/>
      <c r="FN15" s="143"/>
      <c r="FO15" s="142"/>
      <c r="FP15" s="143"/>
      <c r="FQ15" s="142"/>
      <c r="FR15" s="143"/>
      <c r="FS15" s="142"/>
      <c r="FT15" s="143"/>
      <c r="FU15" s="142"/>
      <c r="FV15" s="143"/>
      <c r="FW15" s="142"/>
      <c r="FX15" s="143"/>
      <c r="FY15" s="142"/>
      <c r="FZ15" s="143"/>
      <c r="GA15" s="142"/>
      <c r="GB15" s="143"/>
      <c r="GC15" s="142"/>
      <c r="GD15" s="143"/>
      <c r="GE15" s="142"/>
      <c r="GF15" s="143"/>
      <c r="GG15" s="142"/>
      <c r="GH15" s="143"/>
      <c r="GI15" s="142"/>
      <c r="GJ15" s="143"/>
      <c r="GK15" s="142"/>
      <c r="GL15" s="143"/>
      <c r="GM15" s="142"/>
      <c r="GN15" s="143"/>
      <c r="GO15" s="142"/>
      <c r="GP15" s="143"/>
      <c r="GQ15" s="142"/>
      <c r="GR15" s="143"/>
      <c r="GS15" s="142"/>
      <c r="GT15" s="143"/>
      <c r="GU15" s="142"/>
      <c r="GV15" s="143"/>
      <c r="GW15" s="142"/>
      <c r="GX15" s="143"/>
      <c r="GY15" s="142"/>
      <c r="GZ15" s="143"/>
      <c r="HA15" s="142"/>
      <c r="HB15" s="143"/>
      <c r="HC15" s="142"/>
      <c r="HD15" s="143"/>
      <c r="HE15" s="142"/>
      <c r="HF15" s="143"/>
      <c r="HG15" s="142"/>
      <c r="HH15" s="143"/>
      <c r="HI15" s="142"/>
      <c r="HJ15" s="143"/>
      <c r="HK15" s="142"/>
      <c r="HL15" s="143"/>
      <c r="HM15" s="142"/>
      <c r="HN15" s="143"/>
      <c r="HO15" s="142"/>
      <c r="HP15" s="143"/>
      <c r="HQ15" s="142"/>
      <c r="HR15" s="143"/>
      <c r="HS15" s="142"/>
      <c r="HT15" s="143"/>
      <c r="HU15" s="142"/>
      <c r="HV15" s="143"/>
      <c r="HW15" s="142"/>
      <c r="HX15" s="143"/>
      <c r="HY15" s="142"/>
      <c r="HZ15" s="143"/>
      <c r="IA15" s="142"/>
      <c r="IB15" s="143"/>
      <c r="IC15" s="142"/>
      <c r="ID15" s="143"/>
      <c r="IE15" s="142"/>
      <c r="IF15" s="143"/>
      <c r="IG15" s="142"/>
      <c r="IH15" s="143"/>
      <c r="II15" s="142"/>
      <c r="IJ15" s="143"/>
      <c r="IK15" s="142"/>
      <c r="IL15" s="143"/>
      <c r="IM15" s="142"/>
      <c r="IN15" s="143"/>
      <c r="IO15" s="142"/>
      <c r="IP15" s="143"/>
      <c r="IQ15" s="142"/>
      <c r="IR15" s="143"/>
      <c r="IS15" s="142"/>
      <c r="IT15" s="143"/>
      <c r="IU15" s="142"/>
      <c r="IV15" s="143"/>
      <c r="IW15" s="142"/>
      <c r="IX15" s="143"/>
      <c r="IY15" s="142"/>
      <c r="IZ15" s="143"/>
    </row>
    <row r="16" spans="1:260" x14ac:dyDescent="0.25">
      <c r="A16" s="1587"/>
      <c r="B16" s="11" t="s">
        <v>5</v>
      </c>
      <c r="C16" s="19" cm="1">
        <f t="array" ref="C16">SUM(_xlfn._xlws.FILTER(E16:IZ16, MOD(COLUMN(E16:IZ16)-COLUMN(E16)+1,2)=1))</f>
        <v>14404.779999999999</v>
      </c>
      <c r="D16" s="26" cm="1">
        <f t="array" ref="D16">SUMPRODUCT(_xlfn._xlws.FILTER(E16:IZ16, MOD(COLUMN(E16:IZ16)-COLUMN(E16)+1,2)=1), _xlfn._xlws.FILTER(E16:IZ16, MOD(COLUMN(E16:IZ16)-COLUMN(E16)+1,2)=0))/C16</f>
        <v>1.7100861638764591</v>
      </c>
      <c r="E16" s="140"/>
      <c r="F16" s="141"/>
      <c r="G16" s="140"/>
      <c r="H16" s="141"/>
      <c r="I16" s="140"/>
      <c r="J16" s="141"/>
      <c r="K16" s="140"/>
      <c r="L16" s="141"/>
      <c r="M16" s="140">
        <v>1643</v>
      </c>
      <c r="N16" s="141">
        <v>1.2369255589036321</v>
      </c>
      <c r="O16" s="140"/>
      <c r="P16" s="141"/>
      <c r="Q16" s="140">
        <v>1635.6000000000001</v>
      </c>
      <c r="R16" s="141">
        <v>1.4707461371394124</v>
      </c>
      <c r="S16" s="140"/>
      <c r="T16" s="141"/>
      <c r="U16" s="140"/>
      <c r="V16" s="141"/>
      <c r="W16" s="140"/>
      <c r="X16" s="141"/>
      <c r="Y16" s="140"/>
      <c r="Z16" s="141"/>
      <c r="AA16" s="140"/>
      <c r="AB16" s="141"/>
      <c r="AC16" s="140"/>
      <c r="AD16" s="141"/>
      <c r="AE16" s="140"/>
      <c r="AF16" s="141"/>
      <c r="AG16" s="140"/>
      <c r="AH16" s="141"/>
      <c r="AI16" s="140"/>
      <c r="AJ16" s="141"/>
      <c r="AK16" s="140"/>
      <c r="AL16" s="141"/>
      <c r="AM16" s="140"/>
      <c r="AN16" s="141"/>
      <c r="AO16" s="140"/>
      <c r="AP16" s="141"/>
      <c r="AQ16" s="140"/>
      <c r="AR16" s="141"/>
      <c r="AS16" s="140"/>
      <c r="AT16" s="141"/>
      <c r="AU16" s="140"/>
      <c r="AV16" s="141"/>
      <c r="AW16" s="140"/>
      <c r="AX16" s="141"/>
      <c r="AY16" s="140"/>
      <c r="AZ16" s="141"/>
      <c r="BA16" s="140">
        <v>66</v>
      </c>
      <c r="BB16" s="141">
        <v>2.061818181818182</v>
      </c>
      <c r="BC16" s="140"/>
      <c r="BD16" s="141"/>
      <c r="BE16" s="140">
        <v>108</v>
      </c>
      <c r="BF16" s="141">
        <v>1.0472409231488971</v>
      </c>
      <c r="BG16" s="140"/>
      <c r="BH16" s="141"/>
      <c r="BI16" s="140">
        <v>846</v>
      </c>
      <c r="BJ16" s="141">
        <v>1.5525913395417199</v>
      </c>
      <c r="BK16" s="140">
        <v>746.8</v>
      </c>
      <c r="BL16" s="141">
        <v>1.4487568701195914</v>
      </c>
      <c r="BM16" s="140"/>
      <c r="BN16" s="141"/>
      <c r="BO16" s="140">
        <v>2100.3999999999996</v>
      </c>
      <c r="BP16" s="141">
        <v>2.0633848980057983</v>
      </c>
      <c r="BQ16" s="140">
        <v>351.6</v>
      </c>
      <c r="BR16" s="141">
        <v>1.6873037542662117</v>
      </c>
      <c r="BS16" s="140"/>
      <c r="BT16" s="141"/>
      <c r="BU16" s="140">
        <v>2715.6</v>
      </c>
      <c r="BV16" s="141">
        <v>1.6474812196199735</v>
      </c>
      <c r="BW16" s="140">
        <v>2508.8000000000002</v>
      </c>
      <c r="BX16" s="178">
        <v>2.0065481505102039</v>
      </c>
      <c r="BY16" s="140"/>
      <c r="BZ16" s="178"/>
      <c r="CA16" s="140">
        <v>702.4</v>
      </c>
      <c r="CB16" s="178">
        <v>1.5485706150341685</v>
      </c>
      <c r="CC16" s="140">
        <v>610.79999999999995</v>
      </c>
      <c r="CD16" s="178">
        <v>2.5716502946954813</v>
      </c>
      <c r="CE16" s="140"/>
      <c r="CF16" s="178"/>
      <c r="CG16" s="140"/>
      <c r="CH16" s="178"/>
      <c r="CI16" s="140"/>
      <c r="CJ16" s="141"/>
      <c r="CK16" s="140"/>
      <c r="CL16" s="141"/>
      <c r="CM16" s="140"/>
      <c r="CN16" s="178"/>
      <c r="CO16" s="140"/>
      <c r="CP16" s="141"/>
      <c r="CQ16" s="140"/>
      <c r="CR16" s="178"/>
      <c r="CS16" s="140"/>
      <c r="CT16" s="178"/>
      <c r="CU16" s="140"/>
      <c r="CV16" s="178"/>
      <c r="CW16" s="140"/>
      <c r="CX16" s="178"/>
      <c r="CY16" s="140"/>
      <c r="CZ16" s="141"/>
      <c r="DA16" s="140">
        <v>369.78</v>
      </c>
      <c r="DB16" s="178">
        <v>1.2369255589036321</v>
      </c>
      <c r="DC16" s="140"/>
      <c r="DD16" s="178"/>
      <c r="DE16" s="140"/>
      <c r="DF16" s="178"/>
      <c r="DG16" s="140"/>
      <c r="DH16" s="141"/>
      <c r="DI16" s="140"/>
      <c r="DJ16" s="141"/>
      <c r="DK16" s="140"/>
      <c r="DL16" s="141"/>
      <c r="DM16" s="140"/>
      <c r="DN16" s="141"/>
      <c r="DO16" s="140"/>
      <c r="DP16" s="141"/>
      <c r="DQ16" s="140"/>
      <c r="DR16" s="141"/>
      <c r="DS16" s="140"/>
      <c r="DT16" s="141"/>
      <c r="DU16" s="140"/>
      <c r="DV16" s="141"/>
      <c r="DW16" s="140"/>
      <c r="DX16" s="141"/>
      <c r="DY16" s="140"/>
      <c r="DZ16" s="141"/>
      <c r="EA16" s="140"/>
      <c r="EB16" s="141"/>
      <c r="EC16" s="140"/>
      <c r="ED16" s="141"/>
      <c r="EE16" s="140"/>
      <c r="EF16" s="141"/>
      <c r="EG16" s="140"/>
      <c r="EH16" s="141"/>
      <c r="EI16" s="140"/>
      <c r="EJ16" s="141"/>
      <c r="EK16" s="140"/>
      <c r="EL16" s="141"/>
      <c r="EM16" s="140"/>
      <c r="EN16" s="141"/>
      <c r="EO16" s="140"/>
      <c r="EP16" s="141"/>
      <c r="EQ16" s="140"/>
      <c r="ER16" s="141"/>
      <c r="ES16" s="140"/>
      <c r="ET16" s="178"/>
      <c r="EU16" s="140"/>
      <c r="EV16" s="141"/>
      <c r="EW16" s="140"/>
      <c r="EX16" s="178"/>
      <c r="EY16" s="140"/>
      <c r="EZ16" s="141"/>
      <c r="FA16" s="140"/>
      <c r="FB16" s="141"/>
      <c r="FC16" s="140"/>
      <c r="FD16" s="141"/>
      <c r="FE16" s="140"/>
      <c r="FF16" s="141"/>
      <c r="FG16" s="140"/>
      <c r="FH16" s="141"/>
      <c r="FI16" s="140"/>
      <c r="FJ16" s="141"/>
      <c r="FK16" s="140"/>
      <c r="FL16" s="141"/>
      <c r="FM16" s="140"/>
      <c r="FN16" s="141"/>
      <c r="FO16" s="140"/>
      <c r="FP16" s="141"/>
      <c r="FQ16" s="140"/>
      <c r="FR16" s="141"/>
      <c r="FS16" s="140"/>
      <c r="FT16" s="141"/>
      <c r="FU16" s="140"/>
      <c r="FV16" s="141"/>
      <c r="FW16" s="140"/>
      <c r="FX16" s="141"/>
      <c r="FY16" s="140"/>
      <c r="FZ16" s="141"/>
      <c r="GA16" s="140"/>
      <c r="GB16" s="141"/>
      <c r="GC16" s="140"/>
      <c r="GD16" s="141"/>
      <c r="GE16" s="140"/>
      <c r="GF16" s="141"/>
      <c r="GG16" s="140"/>
      <c r="GH16" s="141"/>
      <c r="GI16" s="140"/>
      <c r="GJ16" s="141"/>
      <c r="GK16" s="140"/>
      <c r="GL16" s="141"/>
      <c r="GM16" s="140"/>
      <c r="GN16" s="141"/>
      <c r="GO16" s="140"/>
      <c r="GP16" s="141"/>
      <c r="GQ16" s="140"/>
      <c r="GR16" s="141"/>
      <c r="GS16" s="140"/>
      <c r="GT16" s="141"/>
      <c r="GU16" s="140"/>
      <c r="GV16" s="141"/>
      <c r="GW16" s="140"/>
      <c r="GX16" s="141"/>
      <c r="GY16" s="140"/>
      <c r="GZ16" s="141"/>
      <c r="HA16" s="140"/>
      <c r="HB16" s="141"/>
      <c r="HC16" s="140"/>
      <c r="HD16" s="141"/>
      <c r="HE16" s="140"/>
      <c r="HF16" s="141"/>
      <c r="HG16" s="140"/>
      <c r="HH16" s="141"/>
      <c r="HI16" s="140"/>
      <c r="HJ16" s="141"/>
      <c r="HK16" s="140"/>
      <c r="HL16" s="141"/>
      <c r="HM16" s="140"/>
      <c r="HN16" s="141"/>
      <c r="HO16" s="140"/>
      <c r="HP16" s="141"/>
      <c r="HQ16" s="140"/>
      <c r="HR16" s="141"/>
      <c r="HS16" s="140"/>
      <c r="HT16" s="141"/>
      <c r="HU16" s="140"/>
      <c r="HV16" s="141"/>
      <c r="HW16" s="140"/>
      <c r="HX16" s="141"/>
      <c r="HY16" s="140"/>
      <c r="HZ16" s="141"/>
      <c r="IA16" s="140"/>
      <c r="IB16" s="141"/>
      <c r="IC16" s="140"/>
      <c r="ID16" s="141"/>
      <c r="IE16" s="140"/>
      <c r="IF16" s="141"/>
      <c r="IG16" s="140"/>
      <c r="IH16" s="141"/>
      <c r="II16" s="140"/>
      <c r="IJ16" s="141"/>
      <c r="IK16" s="140"/>
      <c r="IL16" s="141"/>
      <c r="IM16" s="140"/>
      <c r="IN16" s="141"/>
      <c r="IO16" s="140"/>
      <c r="IP16" s="141"/>
      <c r="IQ16" s="140"/>
      <c r="IR16" s="141"/>
      <c r="IS16" s="140"/>
      <c r="IT16" s="141"/>
      <c r="IU16" s="140"/>
      <c r="IV16" s="141"/>
      <c r="IW16" s="140"/>
      <c r="IX16" s="141"/>
      <c r="IY16" s="140"/>
      <c r="IZ16" s="141"/>
    </row>
    <row r="17" spans="1:260" x14ac:dyDescent="0.25">
      <c r="A17" s="1585" t="s">
        <v>213</v>
      </c>
      <c r="B17" s="130" t="s">
        <v>211</v>
      </c>
      <c r="C17" s="131">
        <f>SUM(C11,C13,C15)</f>
        <v>66990</v>
      </c>
      <c r="D17" s="132">
        <f>(C11*D11+C13*D13+C15*D15)/C17</f>
        <v>2.2534064785788925</v>
      </c>
      <c r="E17" s="144">
        <f>IFERROR(SUM(E11,E13,E15),"")</f>
        <v>0</v>
      </c>
      <c r="F17" s="145" t="str">
        <f>IFERROR((E11*F11+E13*F13+E15*F15)/E17,"")</f>
        <v/>
      </c>
      <c r="G17" s="144">
        <f t="shared" ref="G17" si="458">IFERROR(SUM(G11,G13,G15),"")</f>
        <v>0</v>
      </c>
      <c r="H17" s="145" t="str">
        <f>IFERROR((G11*H11+G13*H13+G15*H15)/G17,"")</f>
        <v/>
      </c>
      <c r="I17" s="144">
        <f t="shared" ref="I17" si="459">IFERROR(SUM(I11,I13,I15),"")</f>
        <v>0</v>
      </c>
      <c r="J17" s="145" t="str">
        <f t="shared" ref="J17" si="460">IFERROR((I11*J11+I13*J13+I15*J15)/I17,"")</f>
        <v/>
      </c>
      <c r="K17" s="144">
        <f t="shared" ref="K17" si="461">IFERROR(SUM(K11,K13,K15),"")</f>
        <v>0</v>
      </c>
      <c r="L17" s="145" t="str">
        <f t="shared" ref="L17" si="462">IFERROR((K11*L11+K13*L13+K15*L15)/K17,"")</f>
        <v/>
      </c>
      <c r="M17" s="144">
        <f t="shared" ref="M17" si="463">IFERROR(SUM(M11,M13,M15),"")</f>
        <v>6230</v>
      </c>
      <c r="N17" s="145">
        <f t="shared" ref="N17" si="464">IFERROR((M11*N11+M13*N13+M15*N15)/M17,"")</f>
        <v>2.9</v>
      </c>
      <c r="O17" s="144">
        <f t="shared" ref="O17" si="465">IFERROR(SUM(O11,O13,O15),"")</f>
        <v>0</v>
      </c>
      <c r="P17" s="145" t="str">
        <f t="shared" ref="P17" si="466">IFERROR((O11*P11+O13*P13+O15*P15)/O17,"")</f>
        <v/>
      </c>
      <c r="Q17" s="144">
        <f t="shared" ref="Q17" si="467">IFERROR(SUM(Q11,Q13,Q15),"")</f>
        <v>1960</v>
      </c>
      <c r="R17" s="145">
        <f t="shared" ref="R17:R18" si="468">IFERROR((Q11*R11+Q13*R13+Q15*R15)/Q17,"")</f>
        <v>1.5200000000000009</v>
      </c>
      <c r="S17" s="144">
        <f t="shared" ref="S17" si="469">IFERROR(SUM(S11,S13,S15),"")</f>
        <v>0</v>
      </c>
      <c r="T17" s="145" t="str">
        <f t="shared" ref="T17" si="470">IFERROR((S11*T11+S13*T13+S15*T15)/S17,"")</f>
        <v/>
      </c>
      <c r="U17" s="144">
        <f t="shared" ref="U17" si="471">IFERROR(SUM(U11,U13,U15),"")</f>
        <v>0</v>
      </c>
      <c r="V17" s="145" t="str">
        <f t="shared" ref="V17" si="472">IFERROR((U11*V11+U13*V13+U15*V15)/U17,"")</f>
        <v/>
      </c>
      <c r="W17" s="144">
        <f t="shared" ref="W17" si="473">IFERROR(SUM(W11,W13,W15),"")</f>
        <v>0</v>
      </c>
      <c r="X17" s="145" t="str">
        <f t="shared" ref="X17" si="474">IFERROR((W11*X11+W13*X13+W15*X15)/W17,"")</f>
        <v/>
      </c>
      <c r="Y17" s="144">
        <f t="shared" ref="Y17" si="475">IFERROR(SUM(Y11,Y13,Y15),"")</f>
        <v>0</v>
      </c>
      <c r="Z17" s="145" t="str">
        <f t="shared" ref="Z17" si="476">IFERROR((Y11*Z11+Y13*Z13+Y15*Z15)/Y17,"")</f>
        <v/>
      </c>
      <c r="AA17" s="144">
        <f t="shared" ref="AA17" si="477">IFERROR(SUM(AA11,AA13,AA15),"")</f>
        <v>0</v>
      </c>
      <c r="AB17" s="145" t="str">
        <f t="shared" ref="AB17" si="478">IFERROR((AA11*AB11+AA13*AB13+AA15*AB15)/AA17,"")</f>
        <v/>
      </c>
      <c r="AC17" s="144">
        <f t="shared" ref="AC17" si="479">IFERROR(SUM(AC11,AC13,AC15),"")</f>
        <v>0</v>
      </c>
      <c r="AD17" s="145" t="str">
        <f t="shared" ref="AD17" si="480">IFERROR((AC11*AD11+AC13*AD13+AC15*AD15)/AC17,"")</f>
        <v/>
      </c>
      <c r="AE17" s="144">
        <f t="shared" ref="AE17" si="481">IFERROR(SUM(AE11,AE13,AE15),"")</f>
        <v>0</v>
      </c>
      <c r="AF17" s="145" t="str">
        <f t="shared" ref="AF17" si="482">IFERROR((AE11*AF11+AE13*AF13+AE15*AF15)/AE17,"")</f>
        <v/>
      </c>
      <c r="AG17" s="144">
        <f t="shared" ref="AG17" si="483">IFERROR(SUM(AG11,AG13,AG15),"")</f>
        <v>0</v>
      </c>
      <c r="AH17" s="145" t="str">
        <f t="shared" ref="AH17" si="484">IFERROR((AG11*AH11+AG13*AH13+AG15*AH15)/AG17,"")</f>
        <v/>
      </c>
      <c r="AI17" s="144">
        <f t="shared" ref="AI17" si="485">IFERROR(SUM(AI11,AI13,AI15),"")</f>
        <v>0</v>
      </c>
      <c r="AJ17" s="145" t="str">
        <f t="shared" ref="AJ17" si="486">IFERROR((AI11*AJ11+AI13*AJ13+AI15*AJ15)/AI17,"")</f>
        <v/>
      </c>
      <c r="AK17" s="144">
        <f t="shared" ref="AK17" si="487">IFERROR(SUM(AK11,AK13,AK15),"")</f>
        <v>0</v>
      </c>
      <c r="AL17" s="145" t="str">
        <f t="shared" ref="AL17" si="488">IFERROR((AK11*AL11+AK13*AL13+AK15*AL15)/AK17,"")</f>
        <v/>
      </c>
      <c r="AM17" s="144">
        <f t="shared" ref="AM17" si="489">IFERROR(SUM(AM11,AM13,AM15),"")</f>
        <v>0</v>
      </c>
      <c r="AN17" s="145" t="str">
        <f t="shared" ref="AN17" si="490">IFERROR((AM11*AN11+AM13*AN13+AM15*AN15)/AM17,"")</f>
        <v/>
      </c>
      <c r="AO17" s="144">
        <f t="shared" ref="AO17" si="491">IFERROR(SUM(AO11,AO13,AO15),"")</f>
        <v>0</v>
      </c>
      <c r="AP17" s="145" t="str">
        <f t="shared" ref="AP17" si="492">IFERROR((AO11*AP11+AO13*AP13+AO15*AP15)/AO17,"")</f>
        <v/>
      </c>
      <c r="AQ17" s="144">
        <f t="shared" ref="AQ17" si="493">IFERROR(SUM(AQ11,AQ13,AQ15),"")</f>
        <v>0</v>
      </c>
      <c r="AR17" s="145" t="str">
        <f t="shared" ref="AR17" si="494">IFERROR((AQ11*AR11+AQ13*AR13+AQ15*AR15)/AQ17,"")</f>
        <v/>
      </c>
      <c r="AS17" s="144">
        <f t="shared" ref="AS17" si="495">IFERROR(SUM(AS11,AS13,AS15),"")</f>
        <v>0</v>
      </c>
      <c r="AT17" s="145" t="str">
        <f t="shared" ref="AT17" si="496">IFERROR((AS11*AT11+AS13*AT13+AS15*AT15)/AS17,"")</f>
        <v/>
      </c>
      <c r="AU17" s="144">
        <f t="shared" ref="AU17" si="497">IFERROR(SUM(AU11,AU13,AU15),"")</f>
        <v>5110</v>
      </c>
      <c r="AV17" s="145">
        <f t="shared" ref="AV17" si="498">IFERROR((AU11*AV11+AU13*AV13+AU15*AV15)/AU17,"")</f>
        <v>1.5200000000000009</v>
      </c>
      <c r="AW17" s="144">
        <f t="shared" ref="AW17" si="499">IFERROR(SUM(AW11,AW13,AW15),"")</f>
        <v>0</v>
      </c>
      <c r="AX17" s="145" t="str">
        <f t="shared" ref="AX17" si="500">IFERROR((AW11*AX11+AW13*AX13+AW15*AX15)/AW17,"")</f>
        <v/>
      </c>
      <c r="AY17" s="144">
        <f t="shared" ref="AY17" si="501">IFERROR(SUM(AY11,AY13,AY15),"")</f>
        <v>4130</v>
      </c>
      <c r="AZ17" s="145">
        <f t="shared" ref="AZ17" si="502">IFERROR((AY11*AZ11+AY13*AZ13+AY15*AZ15)/AY17,"")</f>
        <v>2.23</v>
      </c>
      <c r="BA17" s="144">
        <f t="shared" ref="BA17" si="503">IFERROR(SUM(BA11,BA13,BA15),"")</f>
        <v>0</v>
      </c>
      <c r="BB17" s="145" t="str">
        <f t="shared" ref="BB17" si="504">IFERROR((BA11*BB11+BA13*BB13+BA15*BB15)/BA17,"")</f>
        <v/>
      </c>
      <c r="BC17" s="144">
        <f t="shared" ref="BC17" si="505">IFERROR(SUM(BC11,BC13,BC15),"")</f>
        <v>0</v>
      </c>
      <c r="BD17" s="145" t="str">
        <f t="shared" ref="BD17" si="506">IFERROR((BC11*BD11+BC13*BD13+BC15*BD15)/BC17,"")</f>
        <v/>
      </c>
      <c r="BE17" s="144">
        <f t="shared" ref="BE17" si="507">IFERROR(SUM(BE11,BE13,BE15),"")</f>
        <v>3920</v>
      </c>
      <c r="BF17" s="145">
        <f t="shared" ref="BF17" si="508">IFERROR((BE11*BF11+BE13*BF13+BE15*BF15)/BE17,"")</f>
        <v>1.9700000000000009</v>
      </c>
      <c r="BG17" s="144">
        <f t="shared" ref="BG17" si="509">IFERROR(SUM(BG11,BG13,BG15),"")</f>
        <v>0</v>
      </c>
      <c r="BH17" s="145" t="str">
        <f t="shared" ref="BH17" si="510">IFERROR((BG11*BH11+BG13*BH13+BG15*BH15)/BG17,"")</f>
        <v/>
      </c>
      <c r="BI17" s="144">
        <f t="shared" ref="BI17" si="511">IFERROR(SUM(BI11,BI13,BI15),"")</f>
        <v>3080</v>
      </c>
      <c r="BJ17" s="145">
        <f t="shared" ref="BJ17" si="512">IFERROR((BI11*BJ11+BI13*BJ13+BI15*BJ15)/BI17,"")</f>
        <v>1.9700000000000006</v>
      </c>
      <c r="BK17" s="144">
        <f t="shared" ref="BK17" si="513">IFERROR(SUM(BK11,BK13,BK15),"")</f>
        <v>6090</v>
      </c>
      <c r="BL17" s="145">
        <f t="shared" ref="BL17" si="514">IFERROR((BK11*BL11+BK13*BL13+BK15*BL15)/BK17,"")</f>
        <v>2.1799999999999997</v>
      </c>
      <c r="BM17" s="144">
        <f t="shared" ref="BM17" si="515">IFERROR(SUM(BM11,BM13,BM15),"")</f>
        <v>1960</v>
      </c>
      <c r="BN17" s="145">
        <f t="shared" ref="BN17" si="516">IFERROR((BM11*BN11+BM13*BN13+BM15*BN15)/BM17,"")</f>
        <v>1.8</v>
      </c>
      <c r="BO17" s="144">
        <f t="shared" ref="BO17" si="517">IFERROR(SUM(BO11,BO13,BO15),"")</f>
        <v>1960</v>
      </c>
      <c r="BP17" s="145">
        <f t="shared" ref="BP17" si="518">IFERROR((BO11*BP11+BO13*BP13+BO15*BP15)/BO17,"")</f>
        <v>1.8799999999999992</v>
      </c>
      <c r="BQ17" s="144">
        <f t="shared" ref="BQ17" si="519">IFERROR(SUM(BQ11,BQ13,BQ15),"")</f>
        <v>6090</v>
      </c>
      <c r="BR17" s="145">
        <f t="shared" ref="BR17" si="520">IFERROR((BQ11*BR11+BQ13*BR13+BQ15*BR15)/BQ17,"")</f>
        <v>1.9737931034482761</v>
      </c>
      <c r="BS17" s="144">
        <f t="shared" ref="BS17" si="521">IFERROR(SUM(BS11,BS13,BS15),"")</f>
        <v>6090</v>
      </c>
      <c r="BT17" s="145">
        <f t="shared" ref="BT17" si="522">IFERROR((BS11*BT11+BS13*BT13+BS15*BT15)/BS17,"")</f>
        <v>2.2018390804597696</v>
      </c>
      <c r="BU17" s="144">
        <f t="shared" ref="BU17" si="523">IFERROR(SUM(BU11,BU13,BU15),"")</f>
        <v>8190</v>
      </c>
      <c r="BV17" s="145">
        <f t="shared" ref="BV17" si="524">IFERROR((BU11*BV11+BU13*BV13+BU15*BV15)/BU17,"")</f>
        <v>2.3136752136752148</v>
      </c>
      <c r="BW17" s="144">
        <f t="shared" ref="BW17" si="525">IFERROR(SUM(BW11,BW13,BW15),"")</f>
        <v>8260</v>
      </c>
      <c r="BX17" s="145">
        <f t="shared" ref="BX17" si="526">IFERROR((BW11*BX11+BW13*BX13+BW15*BX15)/BW17,"")</f>
        <v>2.8800000000000008</v>
      </c>
      <c r="BY17" s="144">
        <f t="shared" ref="BY17" si="527">IFERROR(SUM(BY11,BY13,BY15),"")</f>
        <v>0</v>
      </c>
      <c r="BZ17" s="145" t="str">
        <f t="shared" ref="BZ17" si="528">IFERROR((BY11*BZ11+BY13*BZ13+BY15*BZ15)/BY17,"")</f>
        <v/>
      </c>
      <c r="CA17" s="144">
        <f t="shared" ref="CA17" si="529">IFERROR(SUM(CA11,CA13,CA15),"")</f>
        <v>1960</v>
      </c>
      <c r="CB17" s="145">
        <f t="shared" ref="CB17" si="530">IFERROR((CA11*CB11+CA13*CB13+CA15*CB15)/CA17,"")</f>
        <v>2.4</v>
      </c>
      <c r="CC17" s="144">
        <f t="shared" ref="CC17" si="531">IFERROR(SUM(CC11,CC13,CC15),"")</f>
        <v>1960</v>
      </c>
      <c r="CD17" s="145">
        <f t="shared" ref="CD17" si="532">IFERROR((CC11*CD11+CC13*CD13+CC15*CD15)/CC17,"")</f>
        <v>2.95</v>
      </c>
      <c r="CE17" s="144">
        <f t="shared" ref="CE17" si="533">IFERROR(SUM(CE11,CE13,CE15),"")</f>
        <v>0</v>
      </c>
      <c r="CF17" s="145" t="str">
        <f t="shared" ref="CF17" si="534">IFERROR((CE11*CF11+CE13*CF13+CE15*CF15)/CE17,"")</f>
        <v/>
      </c>
      <c r="CG17" s="144">
        <f t="shared" ref="CG17" si="535">IFERROR(SUM(CG11,CG13,CG15),"")</f>
        <v>0</v>
      </c>
      <c r="CH17" s="145" t="str">
        <f t="shared" ref="CH17" si="536">IFERROR((CG11*CH11+CG13*CH13+CG15*CH15)/CG17,"")</f>
        <v/>
      </c>
      <c r="CI17" s="144">
        <f t="shared" ref="CI17" si="537">IFERROR(SUM(CI11,CI13,CI15),"")</f>
        <v>0</v>
      </c>
      <c r="CJ17" s="145" t="str">
        <f t="shared" ref="CJ17" si="538">IFERROR((CI11*CJ11+CI13*CJ13+CI15*CJ15)/CI17,"")</f>
        <v/>
      </c>
      <c r="CK17" s="144">
        <f t="shared" ref="CK17" si="539">IFERROR(SUM(CK11,CK13,CK15),"")</f>
        <v>0</v>
      </c>
      <c r="CL17" s="145" t="str">
        <f t="shared" ref="CL17" si="540">IFERROR((CK11*CL11+CK13*CL13+CK15*CL15)/CK17,"")</f>
        <v/>
      </c>
      <c r="CM17" s="144">
        <f t="shared" ref="CM17" si="541">IFERROR(SUM(CM11,CM13,CM15),"")</f>
        <v>0</v>
      </c>
      <c r="CN17" s="145" t="str">
        <f t="shared" ref="CN17" si="542">IFERROR((CM11*CN11+CM13*CN13+CM15*CN15)/CM17,"")</f>
        <v/>
      </c>
      <c r="CO17" s="144">
        <f t="shared" ref="CO17" si="543">IFERROR(SUM(CO11,CO13,CO15),"")</f>
        <v>0</v>
      </c>
      <c r="CP17" s="145" t="str">
        <f t="shared" ref="CP17" si="544">IFERROR((CO11*CP11+CO13*CP13+CO15*CP15)/CO17,"")</f>
        <v/>
      </c>
      <c r="CQ17" s="144">
        <f t="shared" ref="CQ17" si="545">IFERROR(SUM(CQ11,CQ13,CQ15),"")</f>
        <v>0</v>
      </c>
      <c r="CR17" s="145" t="str">
        <f t="shared" ref="CR17" si="546">IFERROR((CQ11*CR11+CQ13*CR13+CQ15*CR15)/CQ17,"")</f>
        <v/>
      </c>
      <c r="CS17" s="144"/>
      <c r="CT17" s="145"/>
      <c r="CU17" s="144"/>
      <c r="CV17" s="145"/>
      <c r="CW17" s="144"/>
      <c r="CX17" s="145"/>
      <c r="CY17" s="144">
        <f t="shared" ref="CY17" si="547">IFERROR(SUM(CY11,CY13,CY15),"")</f>
        <v>0</v>
      </c>
      <c r="CZ17" s="145" t="str">
        <f t="shared" ref="CZ17" si="548">IFERROR((CY11*CZ11+CY13*CZ13+CY15*CZ15)/CY17,"")</f>
        <v/>
      </c>
      <c r="DA17" s="144">
        <f t="shared" ref="DA17" si="549">IFERROR(SUM(DA11,DA13,DA15),"")</f>
        <v>0</v>
      </c>
      <c r="DB17" s="145" t="str">
        <f t="shared" ref="DB17" si="550">IFERROR((DA11*DB11+DA13*DB13+DA15*DB15)/DA17,"")</f>
        <v/>
      </c>
      <c r="DC17" s="144">
        <f t="shared" ref="DC17" si="551">IFERROR(SUM(DC11,DC13,DC15),"")</f>
        <v>0</v>
      </c>
      <c r="DD17" s="145" t="str">
        <f t="shared" ref="DD17" si="552">IFERROR((DC11*DD11+DC13*DD13+DC15*DD15)/DC17,"")</f>
        <v/>
      </c>
      <c r="DE17" s="144">
        <f t="shared" ref="DE17" si="553">IFERROR(SUM(DE11,DE13,DE15),"")</f>
        <v>0</v>
      </c>
      <c r="DF17" s="145" t="str">
        <f t="shared" ref="DF17" si="554">IFERROR((DE11*DF11+DE13*DF13+DE15*DF15)/DE17,"")</f>
        <v/>
      </c>
      <c r="DG17" s="144">
        <f t="shared" ref="DG17" si="555">IFERROR(SUM(DG11,DG13,DG15),"")</f>
        <v>0</v>
      </c>
      <c r="DH17" s="145" t="str">
        <f t="shared" ref="DH17" si="556">IFERROR((DG11*DH11+DG13*DH13+DG15*DH15)/DG17,"")</f>
        <v/>
      </c>
      <c r="DI17" s="144">
        <f t="shared" ref="DI17" si="557">IFERROR(SUM(DI11,DI13,DI15),"")</f>
        <v>0</v>
      </c>
      <c r="DJ17" s="145" t="str">
        <f t="shared" ref="DJ17" si="558">IFERROR((DI11*DJ11+DI13*DJ13+DI15*DJ15)/DI17,"")</f>
        <v/>
      </c>
      <c r="DK17" s="144">
        <f t="shared" ref="DK17" si="559">IFERROR(SUM(DK11,DK13,DK15),"")</f>
        <v>0</v>
      </c>
      <c r="DL17" s="145" t="str">
        <f t="shared" ref="DL17" si="560">IFERROR((DK11*DL11+DK13*DL13+DK15*DL15)/DK17,"")</f>
        <v/>
      </c>
      <c r="DM17" s="144">
        <f t="shared" ref="DM17" si="561">IFERROR(SUM(DM11,DM13,DM15),"")</f>
        <v>0</v>
      </c>
      <c r="DN17" s="145" t="str">
        <f t="shared" ref="DN17" si="562">IFERROR((DM11*DN11+DM13*DN13+DM15*DN15)/DM17,"")</f>
        <v/>
      </c>
      <c r="DO17" s="144">
        <f t="shared" ref="DO17" si="563">IFERROR(SUM(DO11,DO13,DO15),"")</f>
        <v>0</v>
      </c>
      <c r="DP17" s="145" t="str">
        <f t="shared" ref="DP17" si="564">IFERROR((DO11*DP11+DO13*DP13+DO15*DP15)/DO17,"")</f>
        <v/>
      </c>
      <c r="DQ17" s="144">
        <f t="shared" ref="DQ17" si="565">IFERROR(SUM(DQ11,DQ13,DQ15),"")</f>
        <v>0</v>
      </c>
      <c r="DR17" s="145" t="str">
        <f t="shared" ref="DR17" si="566">IFERROR((DQ11*DR11+DQ13*DR13+DQ15*DR15)/DQ17,"")</f>
        <v/>
      </c>
      <c r="DS17" s="144">
        <f t="shared" ref="DS17" si="567">IFERROR(SUM(DS11,DS13,DS15),"")</f>
        <v>0</v>
      </c>
      <c r="DT17" s="145" t="str">
        <f t="shared" ref="DT17" si="568">IFERROR((DS11*DT11+DS13*DT13+DS15*DT15)/DS17,"")</f>
        <v/>
      </c>
      <c r="DU17" s="144">
        <f t="shared" ref="DU17" si="569">IFERROR(SUM(DU11,DU13,DU15),"")</f>
        <v>0</v>
      </c>
      <c r="DV17" s="145" t="str">
        <f t="shared" ref="DV17" si="570">IFERROR((DU11*DV11+DU13*DV13+DU15*DV15)/DU17,"")</f>
        <v/>
      </c>
      <c r="DW17" s="144">
        <f t="shared" ref="DW17" si="571">IFERROR(SUM(DW11,DW13,DW15),"")</f>
        <v>0</v>
      </c>
      <c r="DX17" s="145" t="str">
        <f t="shared" ref="DX17" si="572">IFERROR((DW11*DX11+DW13*DX13+DW15*DX15)/DW17,"")</f>
        <v/>
      </c>
      <c r="DY17" s="144">
        <f t="shared" ref="DY17" si="573">IFERROR(SUM(DY11,DY13,DY15),"")</f>
        <v>0</v>
      </c>
      <c r="DZ17" s="145" t="str">
        <f t="shared" ref="DZ17" si="574">IFERROR((DY11*DZ11+DY13*DZ13+DY15*DZ15)/DY17,"")</f>
        <v/>
      </c>
      <c r="EA17" s="144">
        <f t="shared" ref="EA17" si="575">IFERROR(SUM(EA11,EA13,EA15),"")</f>
        <v>0</v>
      </c>
      <c r="EB17" s="145" t="str">
        <f t="shared" ref="EB17" si="576">IFERROR((EA11*EB11+EA13*EB13+EA15*EB15)/EA17,"")</f>
        <v/>
      </c>
      <c r="EC17" s="144">
        <f t="shared" ref="EC17" si="577">IFERROR(SUM(EC11,EC13,EC15),"")</f>
        <v>0</v>
      </c>
      <c r="ED17" s="145" t="str">
        <f t="shared" ref="ED17" si="578">IFERROR((EC11*ED11+EC13*ED13+EC15*ED15)/EC17,"")</f>
        <v/>
      </c>
      <c r="EE17" s="144">
        <f t="shared" ref="EE17" si="579">IFERROR(SUM(EE11,EE13,EE15),"")</f>
        <v>0</v>
      </c>
      <c r="EF17" s="145" t="str">
        <f t="shared" ref="EF17" si="580">IFERROR((EE11*EF11+EE13*EF13+EE15*EF15)/EE17,"")</f>
        <v/>
      </c>
      <c r="EG17" s="144">
        <f t="shared" ref="EG17" si="581">IFERROR(SUM(EG11,EG13,EG15),"")</f>
        <v>0</v>
      </c>
      <c r="EH17" s="145" t="str">
        <f t="shared" ref="EH17" si="582">IFERROR((EG11*EH11+EG13*EH13+EG15*EH15)/EG17,"")</f>
        <v/>
      </c>
      <c r="EI17" s="144">
        <f t="shared" ref="EI17" si="583">IFERROR(SUM(EI11,EI13,EI15),"")</f>
        <v>0</v>
      </c>
      <c r="EJ17" s="145" t="str">
        <f t="shared" ref="EJ17" si="584">IFERROR((EI11*EJ11+EI13*EJ13+EI15*EJ15)/EI17,"")</f>
        <v/>
      </c>
      <c r="EK17" s="144">
        <f t="shared" ref="EK17" si="585">IFERROR(SUM(EK11,EK13,EK15),"")</f>
        <v>0</v>
      </c>
      <c r="EL17" s="145" t="str">
        <f t="shared" ref="EL17" si="586">IFERROR((EK11*EL11+EK13*EL13+EK15*EL15)/EK17,"")</f>
        <v/>
      </c>
      <c r="EM17" s="144">
        <f t="shared" ref="EM17" si="587">IFERROR(SUM(EM11,EM13,EM15),"")</f>
        <v>0</v>
      </c>
      <c r="EN17" s="145" t="str">
        <f t="shared" ref="EN17" si="588">IFERROR((EM11*EN11+EM13*EN13+EM15*EN15)/EM17,"")</f>
        <v/>
      </c>
      <c r="EO17" s="144">
        <f t="shared" ref="EO17" si="589">IFERROR(SUM(EO11,EO13,EO15),"")</f>
        <v>0</v>
      </c>
      <c r="EP17" s="145" t="str">
        <f t="shared" ref="EP17" si="590">IFERROR((EO11*EP11+EO13*EP13+EO15*EP15)/EO17,"")</f>
        <v/>
      </c>
      <c r="EQ17" s="144">
        <f t="shared" ref="EQ17" si="591">IFERROR(SUM(EQ11,EQ13,EQ15),"")</f>
        <v>0</v>
      </c>
      <c r="ER17" s="145" t="str">
        <f t="shared" ref="ER17" si="592">IFERROR((EQ11*ER11+EQ13*ER13+EQ15*ER15)/EQ17,"")</f>
        <v/>
      </c>
      <c r="ES17" s="144"/>
      <c r="ET17" s="145"/>
      <c r="EU17" s="144">
        <f t="shared" ref="EU17" si="593">IFERROR(SUM(EU11,EU13,EU15),"")</f>
        <v>0</v>
      </c>
      <c r="EV17" s="145" t="str">
        <f t="shared" ref="EV17" si="594">IFERROR((EU11*EV11+EU13*EV13+EU15*EV15)/EU17,"")</f>
        <v/>
      </c>
      <c r="EW17" s="144"/>
      <c r="EX17" s="145"/>
      <c r="EY17" s="144">
        <f t="shared" ref="EY17" si="595">IFERROR(SUM(EY11,EY13,EY15),"")</f>
        <v>0</v>
      </c>
      <c r="EZ17" s="145" t="str">
        <f t="shared" ref="EZ17" si="596">IFERROR((EY11*EZ11+EY13*EZ13+EY15*EZ15)/EY17,"")</f>
        <v/>
      </c>
      <c r="FA17" s="144">
        <f t="shared" ref="FA17" si="597">IFERROR(SUM(FA11,FA13,FA15),"")</f>
        <v>0</v>
      </c>
      <c r="FB17" s="145" t="str">
        <f t="shared" ref="FB17" si="598">IFERROR((FA11*FB11+FA13*FB13+FA15*FB15)/FA17,"")</f>
        <v/>
      </c>
      <c r="FC17" s="144">
        <f t="shared" ref="FC17" si="599">IFERROR(SUM(FC11,FC13,FC15),"")</f>
        <v>0</v>
      </c>
      <c r="FD17" s="145" t="str">
        <f t="shared" ref="FD17" si="600">IFERROR((FC11*FD11+FC13*FD13+FC15*FD15)/FC17,"")</f>
        <v/>
      </c>
      <c r="FE17" s="144">
        <f t="shared" ref="FE17" si="601">IFERROR(SUM(FE11,FE13,FE15),"")</f>
        <v>0</v>
      </c>
      <c r="FF17" s="145" t="str">
        <f t="shared" ref="FF17" si="602">IFERROR((FE11*FF11+FE13*FF13+FE15*FF15)/FE17,"")</f>
        <v/>
      </c>
      <c r="FG17" s="144">
        <f t="shared" ref="FG17" si="603">IFERROR(SUM(FG11,FG13,FG15),"")</f>
        <v>0</v>
      </c>
      <c r="FH17" s="145" t="str">
        <f t="shared" ref="FH17" si="604">IFERROR((FG11*FH11+FG13*FH13+FG15*FH15)/FG17,"")</f>
        <v/>
      </c>
      <c r="FI17" s="144">
        <f t="shared" ref="FI17" si="605">IFERROR(SUM(FI11,FI13,FI15),"")</f>
        <v>0</v>
      </c>
      <c r="FJ17" s="145" t="str">
        <f t="shared" ref="FJ17" si="606">IFERROR((FI11*FJ11+FI13*FJ13+FI15*FJ15)/FI17,"")</f>
        <v/>
      </c>
      <c r="FK17" s="144">
        <f t="shared" ref="FK17" si="607">IFERROR(SUM(FK11,FK13,FK15),"")</f>
        <v>0</v>
      </c>
      <c r="FL17" s="145" t="str">
        <f t="shared" ref="FL17" si="608">IFERROR((FK11*FL11+FK13*FL13+FK15*FL15)/FK17,"")</f>
        <v/>
      </c>
      <c r="FM17" s="144">
        <f t="shared" ref="FM17" si="609">IFERROR(SUM(FM11,FM13,FM15),"")</f>
        <v>0</v>
      </c>
      <c r="FN17" s="145" t="str">
        <f t="shared" ref="FN17" si="610">IFERROR((FM11*FN11+FM13*FN13+FM15*FN15)/FM17,"")</f>
        <v/>
      </c>
      <c r="FO17" s="144">
        <f t="shared" ref="FO17" si="611">IFERROR(SUM(FO11,FO13,FO15),"")</f>
        <v>0</v>
      </c>
      <c r="FP17" s="145" t="str">
        <f t="shared" ref="FP17" si="612">IFERROR((FO11*FP11+FO13*FP13+FO15*FP15)/FO17,"")</f>
        <v/>
      </c>
      <c r="FQ17" s="144">
        <f t="shared" ref="FQ17" si="613">IFERROR(SUM(FQ11,FQ13,FQ15),"")</f>
        <v>0</v>
      </c>
      <c r="FR17" s="145" t="str">
        <f t="shared" ref="FR17" si="614">IFERROR((FQ11*FR11+FQ13*FR13+FQ15*FR15)/FQ17,"")</f>
        <v/>
      </c>
      <c r="FS17" s="144">
        <f t="shared" ref="FS17" si="615">IFERROR(SUM(FS11,FS13,FS15),"")</f>
        <v>0</v>
      </c>
      <c r="FT17" s="145" t="str">
        <f t="shared" ref="FT17" si="616">IFERROR((FS11*FT11+FS13*FT13+FS15*FT15)/FS17,"")</f>
        <v/>
      </c>
      <c r="FU17" s="144">
        <f t="shared" ref="FU17" si="617">IFERROR(SUM(FU11,FU13,FU15),"")</f>
        <v>0</v>
      </c>
      <c r="FV17" s="145" t="str">
        <f t="shared" ref="FV17" si="618">IFERROR((FU11*FV11+FU13*FV13+FU15*FV15)/FU17,"")</f>
        <v/>
      </c>
      <c r="FW17" s="144">
        <f t="shared" ref="FW17" si="619">IFERROR(SUM(FW11,FW13,FW15),"")</f>
        <v>0</v>
      </c>
      <c r="FX17" s="145" t="str">
        <f t="shared" ref="FX17" si="620">IFERROR((FW11*FX11+FW13*FX13+FW15*FX15)/FW17,"")</f>
        <v/>
      </c>
      <c r="FY17" s="144">
        <f t="shared" ref="FY17" si="621">IFERROR(SUM(FY11,FY13,FY15),"")</f>
        <v>0</v>
      </c>
      <c r="FZ17" s="145" t="str">
        <f t="shared" ref="FZ17" si="622">IFERROR((FY11*FZ11+FY13*FZ13+FY15*FZ15)/FY17,"")</f>
        <v/>
      </c>
      <c r="GA17" s="144">
        <f t="shared" ref="GA17" si="623">IFERROR(SUM(GA11,GA13,GA15),"")</f>
        <v>0</v>
      </c>
      <c r="GB17" s="145" t="str">
        <f t="shared" ref="GB17" si="624">IFERROR((GA11*GB11+GA13*GB13+GA15*GB15)/GA17,"")</f>
        <v/>
      </c>
      <c r="GC17" s="144">
        <f t="shared" ref="GC17" si="625">IFERROR(SUM(GC11,GC13,GC15),"")</f>
        <v>0</v>
      </c>
      <c r="GD17" s="145" t="str">
        <f t="shared" ref="GD17" si="626">IFERROR((GC11*GD11+GC13*GD13+GC15*GD15)/GC17,"")</f>
        <v/>
      </c>
      <c r="GE17" s="144">
        <f t="shared" ref="GE17" si="627">IFERROR(SUM(GE11,GE13,GE15),"")</f>
        <v>0</v>
      </c>
      <c r="GF17" s="145" t="str">
        <f t="shared" ref="GF17" si="628">IFERROR((GE11*GF11+GE13*GF13+GE15*GF15)/GE17,"")</f>
        <v/>
      </c>
      <c r="GG17" s="144">
        <f t="shared" ref="GG17" si="629">IFERROR(SUM(GG11,GG13,GG15),"")</f>
        <v>0</v>
      </c>
      <c r="GH17" s="145" t="str">
        <f t="shared" ref="GH17" si="630">IFERROR((GG11*GH11+GG13*GH13+GG15*GH15)/GG17,"")</f>
        <v/>
      </c>
      <c r="GI17" s="144">
        <f t="shared" ref="GI17" si="631">IFERROR(SUM(GI11,GI13,GI15),"")</f>
        <v>0</v>
      </c>
      <c r="GJ17" s="145" t="str">
        <f t="shared" ref="GJ17" si="632">IFERROR((GI11*GJ11+GI13*GJ13+GI15*GJ15)/GI17,"")</f>
        <v/>
      </c>
      <c r="GK17" s="144">
        <f t="shared" ref="GK17" si="633">IFERROR(SUM(GK11,GK13,GK15),"")</f>
        <v>0</v>
      </c>
      <c r="GL17" s="145" t="str">
        <f t="shared" ref="GL17" si="634">IFERROR((GK11*GL11+GK13*GL13+GK15*GL15)/GK17,"")</f>
        <v/>
      </c>
      <c r="GM17" s="144">
        <f t="shared" ref="GM17" si="635">IFERROR(SUM(GM11,GM13,GM15),"")</f>
        <v>0</v>
      </c>
      <c r="GN17" s="145" t="str">
        <f t="shared" ref="GN17" si="636">IFERROR((GM11*GN11+GM13*GN13+GM15*GN15)/GM17,"")</f>
        <v/>
      </c>
      <c r="GO17" s="144">
        <f t="shared" ref="GO17" si="637">IFERROR(SUM(GO11,GO13,GO15),"")</f>
        <v>0</v>
      </c>
      <c r="GP17" s="145" t="str">
        <f t="shared" ref="GP17" si="638">IFERROR((GO11*GP11+GO13*GP13+GO15*GP15)/GO17,"")</f>
        <v/>
      </c>
      <c r="GQ17" s="144">
        <f t="shared" ref="GQ17" si="639">IFERROR(SUM(GQ11,GQ13,GQ15),"")</f>
        <v>0</v>
      </c>
      <c r="GR17" s="145" t="str">
        <f t="shared" ref="GR17" si="640">IFERROR((GQ11*GR11+GQ13*GR13+GQ15*GR15)/GQ17,"")</f>
        <v/>
      </c>
      <c r="GS17" s="144">
        <f t="shared" ref="GS17" si="641">IFERROR(SUM(GS11,GS13,GS15),"")</f>
        <v>0</v>
      </c>
      <c r="GT17" s="145" t="str">
        <f t="shared" ref="GT17" si="642">IFERROR((GS11*GT11+GS13*GT13+GS15*GT15)/GS17,"")</f>
        <v/>
      </c>
      <c r="GU17" s="144">
        <f t="shared" ref="GU17" si="643">IFERROR(SUM(GU11,GU13,GU15),"")</f>
        <v>0</v>
      </c>
      <c r="GV17" s="145" t="str">
        <f t="shared" ref="GV17" si="644">IFERROR((GU11*GV11+GU13*GV13+GU15*GV15)/GU17,"")</f>
        <v/>
      </c>
      <c r="GW17" s="144">
        <f t="shared" ref="GW17" si="645">IFERROR(SUM(GW11,GW13,GW15),"")</f>
        <v>0</v>
      </c>
      <c r="GX17" s="145" t="str">
        <f t="shared" ref="GX17" si="646">IFERROR((GW11*GX11+GW13*GX13+GW15*GX15)/GW17,"")</f>
        <v/>
      </c>
      <c r="GY17" s="144">
        <f t="shared" ref="GY17" si="647">IFERROR(SUM(GY11,GY13,GY15),"")</f>
        <v>0</v>
      </c>
      <c r="GZ17" s="145" t="str">
        <f t="shared" ref="GZ17" si="648">IFERROR((GY11*GZ11+GY13*GZ13+GY15*GZ15)/GY17,"")</f>
        <v/>
      </c>
      <c r="HA17" s="144">
        <f t="shared" ref="HA17" si="649">IFERROR(SUM(HA11,HA13,HA15),"")</f>
        <v>0</v>
      </c>
      <c r="HB17" s="145" t="str">
        <f t="shared" ref="HB17" si="650">IFERROR((HA11*HB11+HA13*HB13+HA15*HB15)/HA17,"")</f>
        <v/>
      </c>
      <c r="HC17" s="144">
        <f t="shared" ref="HC17" si="651">IFERROR(SUM(HC11,HC13,HC15),"")</f>
        <v>0</v>
      </c>
      <c r="HD17" s="145" t="str">
        <f t="shared" ref="HD17" si="652">IFERROR((HC11*HD11+HC13*HD13+HC15*HD15)/HC17,"")</f>
        <v/>
      </c>
      <c r="HE17" s="144">
        <f t="shared" ref="HE17" si="653">IFERROR(SUM(HE11,HE13,HE15),"")</f>
        <v>0</v>
      </c>
      <c r="HF17" s="145" t="str">
        <f t="shared" ref="HF17" si="654">IFERROR((HE11*HF11+HE13*HF13+HE15*HF15)/HE17,"")</f>
        <v/>
      </c>
      <c r="HG17" s="144">
        <f t="shared" ref="HG17" si="655">IFERROR(SUM(HG11,HG13,HG15),"")</f>
        <v>0</v>
      </c>
      <c r="HH17" s="145" t="str">
        <f t="shared" ref="HH17" si="656">IFERROR((HG11*HH11+HG13*HH13+HG15*HH15)/HG17,"")</f>
        <v/>
      </c>
      <c r="HI17" s="144">
        <f t="shared" ref="HI17" si="657">IFERROR(SUM(HI11,HI13,HI15),"")</f>
        <v>0</v>
      </c>
      <c r="HJ17" s="145" t="str">
        <f t="shared" ref="HJ17" si="658">IFERROR((HI11*HJ11+HI13*HJ13+HI15*HJ15)/HI17,"")</f>
        <v/>
      </c>
      <c r="HK17" s="144">
        <f t="shared" ref="HK17" si="659">IFERROR(SUM(HK11,HK13,HK15),"")</f>
        <v>0</v>
      </c>
      <c r="HL17" s="145" t="str">
        <f t="shared" ref="HL17" si="660">IFERROR((HK11*HL11+HK13*HL13+HK15*HL15)/HK17,"")</f>
        <v/>
      </c>
      <c r="HM17" s="144">
        <f t="shared" ref="HM17" si="661">IFERROR(SUM(HM11,HM13,HM15),"")</f>
        <v>0</v>
      </c>
      <c r="HN17" s="145" t="str">
        <f t="shared" ref="HN17" si="662">IFERROR((HM11*HN11+HM13*HN13+HM15*HN15)/HM17,"")</f>
        <v/>
      </c>
      <c r="HO17" s="144">
        <f t="shared" ref="HO17" si="663">IFERROR(SUM(HO11,HO13,HO15),"")</f>
        <v>0</v>
      </c>
      <c r="HP17" s="145" t="str">
        <f t="shared" ref="HP17" si="664">IFERROR((HO11*HP11+HO13*HP13+HO15*HP15)/HO17,"")</f>
        <v/>
      </c>
      <c r="HQ17" s="144">
        <f t="shared" ref="HQ17" si="665">IFERROR(SUM(HQ11,HQ13,HQ15),"")</f>
        <v>0</v>
      </c>
      <c r="HR17" s="145" t="str">
        <f t="shared" ref="HR17" si="666">IFERROR((HQ11*HR11+HQ13*HR13+HQ15*HR15)/HQ17,"")</f>
        <v/>
      </c>
      <c r="HS17" s="144">
        <f t="shared" ref="HS17" si="667">IFERROR(SUM(HS11,HS13,HS15),"")</f>
        <v>0</v>
      </c>
      <c r="HT17" s="145" t="str">
        <f t="shared" ref="HT17" si="668">IFERROR((HS11*HT11+HS13*HT13+HS15*HT15)/HS17,"")</f>
        <v/>
      </c>
      <c r="HU17" s="144">
        <f t="shared" ref="HU17" si="669">IFERROR(SUM(HU11,HU13,HU15),"")</f>
        <v>0</v>
      </c>
      <c r="HV17" s="145" t="str">
        <f t="shared" ref="HV17" si="670">IFERROR((HU11*HV11+HU13*HV13+HU15*HV15)/HU17,"")</f>
        <v/>
      </c>
      <c r="HW17" s="144">
        <f t="shared" ref="HW17" si="671">IFERROR(SUM(HW11,HW13,HW15),"")</f>
        <v>0</v>
      </c>
      <c r="HX17" s="145" t="str">
        <f t="shared" ref="HX17" si="672">IFERROR((HW11*HX11+HW13*HX13+HW15*HX15)/HW17,"")</f>
        <v/>
      </c>
      <c r="HY17" s="144">
        <f t="shared" ref="HY17" si="673">IFERROR(SUM(HY11,HY13,HY15),"")</f>
        <v>0</v>
      </c>
      <c r="HZ17" s="145" t="str">
        <f t="shared" ref="HZ17" si="674">IFERROR((HY11*HZ11+HY13*HZ13+HY15*HZ15)/HY17,"")</f>
        <v/>
      </c>
      <c r="IA17" s="144">
        <f t="shared" ref="IA17" si="675">IFERROR(SUM(IA11,IA13,IA15),"")</f>
        <v>0</v>
      </c>
      <c r="IB17" s="145" t="str">
        <f t="shared" ref="IB17" si="676">IFERROR((IA11*IB11+IA13*IB13+IA15*IB15)/IA17,"")</f>
        <v/>
      </c>
      <c r="IC17" s="144">
        <f t="shared" ref="IC17" si="677">IFERROR(SUM(IC11,IC13,IC15),"")</f>
        <v>0</v>
      </c>
      <c r="ID17" s="145" t="str">
        <f t="shared" ref="ID17" si="678">IFERROR((IC11*ID11+IC13*ID13+IC15*ID15)/IC17,"")</f>
        <v/>
      </c>
      <c r="IE17" s="144">
        <f t="shared" ref="IE17" si="679">IFERROR(SUM(IE11,IE13,IE15),"")</f>
        <v>0</v>
      </c>
      <c r="IF17" s="145" t="str">
        <f t="shared" ref="IF17" si="680">IFERROR((IE11*IF11+IE13*IF13+IE15*IF15)/IE17,"")</f>
        <v/>
      </c>
      <c r="IG17" s="144">
        <f t="shared" ref="IG17" si="681">IFERROR(SUM(IG11,IG13,IG15),"")</f>
        <v>0</v>
      </c>
      <c r="IH17" s="145" t="str">
        <f t="shared" ref="IH17" si="682">IFERROR((IG11*IH11+IG13*IH13+IG15*IH15)/IG17,"")</f>
        <v/>
      </c>
      <c r="II17" s="144">
        <f t="shared" ref="II17" si="683">IFERROR(SUM(II11,II13,II15),"")</f>
        <v>0</v>
      </c>
      <c r="IJ17" s="145" t="str">
        <f t="shared" ref="IJ17" si="684">IFERROR((II11*IJ11+II13*IJ13+II15*IJ15)/II17,"")</f>
        <v/>
      </c>
      <c r="IK17" s="144">
        <f t="shared" ref="IK17" si="685">IFERROR(SUM(IK11,IK13,IK15),"")</f>
        <v>0</v>
      </c>
      <c r="IL17" s="145" t="str">
        <f t="shared" ref="IL17" si="686">IFERROR((IK11*IL11+IK13*IL13+IK15*IL15)/IK17,"")</f>
        <v/>
      </c>
      <c r="IM17" s="144">
        <f t="shared" ref="IM17" si="687">IFERROR(SUM(IM11,IM13,IM15),"")</f>
        <v>0</v>
      </c>
      <c r="IN17" s="145" t="str">
        <f t="shared" ref="IN17" si="688">IFERROR((IM11*IN11+IM13*IN13+IM15*IN15)/IM17,"")</f>
        <v/>
      </c>
      <c r="IO17" s="144">
        <f t="shared" ref="IO17" si="689">IFERROR(SUM(IO11,IO13,IO15),"")</f>
        <v>0</v>
      </c>
      <c r="IP17" s="145" t="str">
        <f t="shared" ref="IP17" si="690">IFERROR((IO11*IP11+IO13*IP13+IO15*IP15)/IO17,"")</f>
        <v/>
      </c>
      <c r="IQ17" s="144">
        <f t="shared" ref="IQ17" si="691">IFERROR(SUM(IQ11,IQ13,IQ15),"")</f>
        <v>0</v>
      </c>
      <c r="IR17" s="145" t="str">
        <f t="shared" ref="IR17" si="692">IFERROR((IQ11*IR11+IQ13*IR13+IQ15*IR15)/IQ17,"")</f>
        <v/>
      </c>
      <c r="IS17" s="144">
        <f t="shared" ref="IS17" si="693">IFERROR(SUM(IS11,IS13,IS15),"")</f>
        <v>0</v>
      </c>
      <c r="IT17" s="145" t="str">
        <f t="shared" ref="IT17" si="694">IFERROR((IS11*IT11+IS13*IT13+IS15*IT15)/IS17,"")</f>
        <v/>
      </c>
      <c r="IU17" s="144">
        <f t="shared" ref="IU17" si="695">IFERROR(SUM(IU11,IU13,IU15),"")</f>
        <v>0</v>
      </c>
      <c r="IV17" s="145" t="str">
        <f t="shared" ref="IV17" si="696">IFERROR((IU11*IV11+IU13*IV13+IU15*IV15)/IU17,"")</f>
        <v/>
      </c>
      <c r="IW17" s="144">
        <f t="shared" ref="IW17" si="697">IFERROR(SUM(IW11,IW13,IW15),"")</f>
        <v>0</v>
      </c>
      <c r="IX17" s="145" t="str">
        <f t="shared" ref="IX17" si="698">IFERROR((IW11*IX11+IW13*IX13+IW15*IX15)/IW17,"")</f>
        <v/>
      </c>
      <c r="IY17" s="144">
        <f t="shared" ref="IY17" si="699">IFERROR(SUM(IY11,IY13,IY15),"")</f>
        <v>0</v>
      </c>
      <c r="IZ17" s="145" t="str">
        <f t="shared" ref="IZ17:IZ18" si="700">IFERROR((IY11*IZ11+IY13*IZ13+IY15*IZ15)/IY17,"")</f>
        <v/>
      </c>
    </row>
    <row r="18" spans="1:260" x14ac:dyDescent="0.25">
      <c r="A18" s="1585"/>
      <c r="B18" s="130" t="s">
        <v>5</v>
      </c>
      <c r="C18" s="131">
        <f>SUM(C12,C14,C16)</f>
        <v>56661.58</v>
      </c>
      <c r="D18" s="132">
        <f>(C12*D12+C14*D14+C16*D16)/C18</f>
        <v>1.8071811062398178</v>
      </c>
      <c r="E18" s="144">
        <f>IFERROR(SUM(E12,E14,E16),"")</f>
        <v>0</v>
      </c>
      <c r="F18" s="145" t="str">
        <f>IFERROR((E12*F12+E14*F14+E16*F16)/E18,"")</f>
        <v/>
      </c>
      <c r="G18" s="144">
        <f t="shared" ref="G18" si="701">IFERROR(SUM(G12,G14,G16),"")</f>
        <v>0</v>
      </c>
      <c r="H18" s="145" t="str">
        <f t="shared" ref="H18" si="702">IFERROR((G12*H12+G14*H14+G16*H16)/G18,"")</f>
        <v/>
      </c>
      <c r="I18" s="144">
        <f t="shared" ref="I18" si="703">IFERROR(SUM(I12,I14,I16),"")</f>
        <v>0</v>
      </c>
      <c r="J18" s="145" t="str">
        <f t="shared" ref="J18" si="704">IFERROR((I12*J12+I14*J14+I16*J16)/I18,"")</f>
        <v/>
      </c>
      <c r="K18" s="144">
        <f t="shared" ref="K18" si="705">IFERROR(SUM(K12,K14,K16),"")</f>
        <v>0</v>
      </c>
      <c r="L18" s="145" t="str">
        <f t="shared" ref="L18" si="706">IFERROR((K12*L12+K14*L14+K16*L16)/K18,"")</f>
        <v/>
      </c>
      <c r="M18" s="144">
        <f t="shared" ref="M18" si="707">IFERROR(SUM(M12,M14,M16),"")</f>
        <v>7769.8</v>
      </c>
      <c r="N18" s="145">
        <f t="shared" ref="N18" si="708">IFERROR((M12*N12+M14*N14+M16*N16)/M18,"")</f>
        <v>1.2822017274275941</v>
      </c>
      <c r="O18" s="144">
        <f t="shared" ref="O18" si="709">IFERROR(SUM(O12,O14,O16),"")</f>
        <v>0</v>
      </c>
      <c r="P18" s="145" t="str">
        <f t="shared" ref="P18" si="710">IFERROR((O12*P12+O14*P14+O16*P16)/O18,"")</f>
        <v/>
      </c>
      <c r="Q18" s="144">
        <f t="shared" ref="Q18" si="711">IFERROR(SUM(Q12,Q14,Q16),"")</f>
        <v>5448.2</v>
      </c>
      <c r="R18" s="145">
        <f t="shared" si="468"/>
        <v>1.7018893700533391</v>
      </c>
      <c r="S18" s="144">
        <f t="shared" ref="S18" si="712">IFERROR(SUM(S12,S14,S16),"")</f>
        <v>0</v>
      </c>
      <c r="T18" s="145" t="str">
        <f t="shared" ref="T18" si="713">IFERROR((S12*T12+S14*T14+S16*T16)/S18,"")</f>
        <v/>
      </c>
      <c r="U18" s="144">
        <f t="shared" ref="U18" si="714">IFERROR(SUM(U12,U14,U16),"")</f>
        <v>0</v>
      </c>
      <c r="V18" s="145" t="str">
        <f t="shared" ref="V18" si="715">IFERROR((U12*V12+U14*V14+U16*V16)/U18,"")</f>
        <v/>
      </c>
      <c r="W18" s="144">
        <f t="shared" ref="W18" si="716">IFERROR(SUM(W12,W14,W16),"")</f>
        <v>0</v>
      </c>
      <c r="X18" s="145" t="str">
        <f t="shared" ref="X18" si="717">IFERROR((W12*X12+W14*X14+W16*X16)/W18,"")</f>
        <v/>
      </c>
      <c r="Y18" s="144">
        <f t="shared" ref="Y18" si="718">IFERROR(SUM(Y12,Y14,Y16),"")</f>
        <v>0</v>
      </c>
      <c r="Z18" s="145" t="str">
        <f t="shared" ref="Z18" si="719">IFERROR((Y12*Z12+Y14*Z14+Y16*Z16)/Y18,"")</f>
        <v/>
      </c>
      <c r="AA18" s="144">
        <f t="shared" ref="AA18" si="720">IFERROR(SUM(AA12,AA14,AA16),"")</f>
        <v>0</v>
      </c>
      <c r="AB18" s="145" t="str">
        <f t="shared" ref="AB18" si="721">IFERROR((AA12*AB12+AA14*AB14+AA16*AB16)/AA18,"")</f>
        <v/>
      </c>
      <c r="AC18" s="144">
        <f t="shared" ref="AC18" si="722">IFERROR(SUM(AC12,AC14,AC16),"")</f>
        <v>0</v>
      </c>
      <c r="AD18" s="145" t="str">
        <f t="shared" ref="AD18" si="723">IFERROR((AC12*AD12+AC14*AD14+AC16*AD16)/AC18,"")</f>
        <v/>
      </c>
      <c r="AE18" s="144">
        <f t="shared" ref="AE18" si="724">IFERROR(SUM(AE12,AE14,AE16),"")</f>
        <v>0</v>
      </c>
      <c r="AF18" s="145" t="str">
        <f t="shared" ref="AF18" si="725">IFERROR((AE12*AF12+AE14*AF14+AE16*AF16)/AE18,"")</f>
        <v/>
      </c>
      <c r="AG18" s="144">
        <f t="shared" ref="AG18" si="726">IFERROR(SUM(AG12,AG14,AG16),"")</f>
        <v>0</v>
      </c>
      <c r="AH18" s="145" t="str">
        <f t="shared" ref="AH18" si="727">IFERROR((AG12*AH12+AG14*AH14+AG16*AH16)/AG18,"")</f>
        <v/>
      </c>
      <c r="AI18" s="144">
        <f t="shared" ref="AI18" si="728">IFERROR(SUM(AI12,AI14,AI16),"")</f>
        <v>0</v>
      </c>
      <c r="AJ18" s="145" t="str">
        <f t="shared" ref="AJ18" si="729">IFERROR((AI12*AJ12+AI14*AJ14+AI16*AJ16)/AI18,"")</f>
        <v/>
      </c>
      <c r="AK18" s="144">
        <f t="shared" ref="AK18" si="730">IFERROR(SUM(AK12,AK14,AK16),"")</f>
        <v>0</v>
      </c>
      <c r="AL18" s="145" t="str">
        <f t="shared" ref="AL18" si="731">IFERROR((AK12*AL12+AK14*AL14+AK16*AL16)/AK18,"")</f>
        <v/>
      </c>
      <c r="AM18" s="144">
        <f t="shared" ref="AM18" si="732">IFERROR(SUM(AM12,AM14,AM16),"")</f>
        <v>0</v>
      </c>
      <c r="AN18" s="145" t="str">
        <f t="shared" ref="AN18" si="733">IFERROR((AM12*AN12+AM14*AN14+AM16*AN16)/AM18,"")</f>
        <v/>
      </c>
      <c r="AO18" s="144">
        <f t="shared" ref="AO18" si="734">IFERROR(SUM(AO12,AO14,AO16),"")</f>
        <v>0</v>
      </c>
      <c r="AP18" s="145" t="str">
        <f t="shared" ref="AP18" si="735">IFERROR((AO12*AP12+AO14*AP14+AO16*AP16)/AO18,"")</f>
        <v/>
      </c>
      <c r="AQ18" s="144">
        <f t="shared" ref="AQ18" si="736">IFERROR(SUM(AQ12,AQ14,AQ16),"")</f>
        <v>0</v>
      </c>
      <c r="AR18" s="145" t="str">
        <f t="shared" ref="AR18" si="737">IFERROR((AQ12*AR12+AQ14*AR14+AQ16*AR16)/AQ18,"")</f>
        <v/>
      </c>
      <c r="AS18" s="144">
        <f t="shared" ref="AS18" si="738">IFERROR(SUM(AS12,AS14,AS16),"")</f>
        <v>1075</v>
      </c>
      <c r="AT18" s="145">
        <f t="shared" ref="AT18" si="739">IFERROR((AS12*AT12+AS14*AT14+AS16*AT16)/AS18,"")</f>
        <v>3.3388800697952568</v>
      </c>
      <c r="AU18" s="144">
        <f t="shared" ref="AU18" si="740">IFERROR(SUM(AU12,AU14,AU16),"")</f>
        <v>0</v>
      </c>
      <c r="AV18" s="145" t="str">
        <f t="shared" ref="AV18" si="741">IFERROR((AU12*AV12+AU14*AV14+AU16*AV16)/AU18,"")</f>
        <v/>
      </c>
      <c r="AW18" s="144">
        <f t="shared" ref="AW18" si="742">IFERROR(SUM(AW12,AW14,AW16),"")</f>
        <v>0</v>
      </c>
      <c r="AX18" s="145" t="str">
        <f t="shared" ref="AX18" si="743">IFERROR((AW12*AX12+AW14*AX14+AW16*AX16)/AW18,"")</f>
        <v/>
      </c>
      <c r="AY18" s="144">
        <f t="shared" ref="AY18" si="744">IFERROR(SUM(AY12,AY14,AY16),"")</f>
        <v>0</v>
      </c>
      <c r="AZ18" s="145" t="str">
        <f t="shared" ref="AZ18" si="745">IFERROR((AY12*AZ12+AY14*AZ14+AY16*AZ16)/AY18,"")</f>
        <v/>
      </c>
      <c r="BA18" s="144">
        <f t="shared" ref="BA18" si="746">IFERROR(SUM(BA12,BA14,BA16),"")</f>
        <v>66</v>
      </c>
      <c r="BB18" s="145">
        <f t="shared" ref="BB18" si="747">IFERROR((BA12*BB12+BA14*BB14+BA16*BB16)/BA18,"")</f>
        <v>2.061818181818182</v>
      </c>
      <c r="BC18" s="144">
        <f t="shared" ref="BC18" si="748">IFERROR(SUM(BC12,BC14,BC16),"")</f>
        <v>0</v>
      </c>
      <c r="BD18" s="145" t="str">
        <f t="shared" ref="BD18" si="749">IFERROR((BC12*BD12+BC14*BD14+BC16*BD16)/BC18,"")</f>
        <v/>
      </c>
      <c r="BE18" s="144">
        <f t="shared" ref="BE18" si="750">IFERROR(SUM(BE12,BE14,BE16),"")</f>
        <v>3303</v>
      </c>
      <c r="BF18" s="145">
        <f t="shared" ref="BF18" si="751">IFERROR((BE12*BF12+BE14*BF14+BE16*BF16)/BE18,"")</f>
        <v>1.5671237391125479</v>
      </c>
      <c r="BG18" s="144">
        <f t="shared" ref="BG18" si="752">IFERROR(SUM(BG12,BG14,BG16),"")</f>
        <v>0</v>
      </c>
      <c r="BH18" s="145" t="str">
        <f t="shared" ref="BH18" si="753">IFERROR((BG12*BH12+BG14*BH14+BG16*BH16)/BG18,"")</f>
        <v/>
      </c>
      <c r="BI18" s="144">
        <f t="shared" ref="BI18" si="754">IFERROR(SUM(BI12,BI14,BI16),"")</f>
        <v>3091.8</v>
      </c>
      <c r="BJ18" s="145">
        <f t="shared" ref="BJ18" si="755">IFERROR((BI12*BJ12+BI14*BJ14+BI16*BJ16)/BI18,"")</f>
        <v>1.6790215849802423</v>
      </c>
      <c r="BK18" s="144">
        <f t="shared" ref="BK18" si="756">IFERROR(SUM(BK12,BK14,BK16),"")</f>
        <v>746.8</v>
      </c>
      <c r="BL18" s="145">
        <f t="shared" ref="BL18" si="757">IFERROR((BK12*BL12+BK14*BL14+BK16*BL16)/BK18,"")</f>
        <v>1.4487568701195914</v>
      </c>
      <c r="BM18" s="144">
        <f t="shared" ref="BM18" si="758">IFERROR(SUM(BM12,BM14,BM16),"")</f>
        <v>4858</v>
      </c>
      <c r="BN18" s="145">
        <f t="shared" ref="BN18" si="759">IFERROR((BM12*BN12+BM14*BN14+BM16*BN16)/BM18,"")</f>
        <v>1.4261725732539026</v>
      </c>
      <c r="BO18" s="144">
        <f t="shared" ref="BO18" si="760">IFERROR(SUM(BO12,BO14,BO16),"")</f>
        <v>2518.1999999999998</v>
      </c>
      <c r="BP18" s="145">
        <f t="shared" ref="BP18" si="761">IFERROR((BO12*BP12+BO14*BP14+BO16*BP16)/BO18,"")</f>
        <v>1.9968539721020959</v>
      </c>
      <c r="BQ18" s="144">
        <f t="shared" ref="BQ18" si="762">IFERROR(SUM(BQ12,BQ14,BQ16),"")</f>
        <v>9801.4</v>
      </c>
      <c r="BR18" s="145">
        <f t="shared" ref="BR18" si="763">IFERROR((BQ12*BR12+BQ14*BR14+BQ16*BR16)/BQ18,"")</f>
        <v>2.0003551203542096</v>
      </c>
      <c r="BS18" s="144">
        <f t="shared" ref="BS18" si="764">IFERROR(SUM(BS12,BS14,BS16),"")</f>
        <v>0</v>
      </c>
      <c r="BT18" s="145" t="str">
        <f t="shared" ref="BT18" si="765">IFERROR((BS12*BT12+BS14*BT14+BS16*BT16)/BS18,"")</f>
        <v/>
      </c>
      <c r="BU18" s="144">
        <f t="shared" ref="BU18" si="766">IFERROR(SUM(BU12,BU14,BU16),"")</f>
        <v>6684.6</v>
      </c>
      <c r="BV18" s="145">
        <f t="shared" ref="BV18" si="767">IFERROR((BU12*BV12+BU14*BV14+BU16*BV16)/BU18,"")</f>
        <v>1.5525178827752808</v>
      </c>
      <c r="BW18" s="144">
        <f t="shared" ref="BW18" si="768">IFERROR(SUM(BW12,BW14,BW16),"")</f>
        <v>4560.8</v>
      </c>
      <c r="BX18" s="145">
        <f t="shared" ref="BX18" si="769">IFERROR((BW12*BX12+BW14*BX14+BW16*BX16)/BW18,"")</f>
        <v>2.0771690761128783</v>
      </c>
      <c r="BY18" s="144">
        <f t="shared" ref="BY18" si="770">IFERROR(SUM(BY12,BY14,BY16),"")</f>
        <v>0</v>
      </c>
      <c r="BZ18" s="145" t="str">
        <f t="shared" ref="BZ18" si="771">IFERROR((BY12*BZ12+BY14*BZ14+BY16*BZ16)/BY18,"")</f>
        <v/>
      </c>
      <c r="CA18" s="144">
        <f t="shared" ref="CA18" si="772">IFERROR(SUM(CA12,CA14,CA16),"")</f>
        <v>1170.4000000000001</v>
      </c>
      <c r="CB18" s="145">
        <f t="shared" ref="CB18" si="773">IFERROR((CA12*CB12+CA14*CB14+CA16*CB16)/CA18,"")</f>
        <v>2.1323995503528228</v>
      </c>
      <c r="CC18" s="144">
        <f t="shared" ref="CC18" si="774">IFERROR(SUM(CC12,CC14,CC16),"")</f>
        <v>5197.8</v>
      </c>
      <c r="CD18" s="145">
        <f t="shared" ref="CD18" si="775">IFERROR((CC12*CD12+CC14*CD14+CC16*CD16)/CC18,"")</f>
        <v>2.6204483795344671</v>
      </c>
      <c r="CE18" s="144">
        <f t="shared" ref="CE18" si="776">IFERROR(SUM(CE12,CE14,CE16),"")</f>
        <v>0</v>
      </c>
      <c r="CF18" s="145" t="str">
        <f t="shared" ref="CF18" si="777">IFERROR((CE12*CF12+CE14*CF14+CE16*CF16)/CE18,"")</f>
        <v/>
      </c>
      <c r="CG18" s="144">
        <f t="shared" ref="CG18" si="778">IFERROR(SUM(CG12,CG14,CG16),"")</f>
        <v>0</v>
      </c>
      <c r="CH18" s="145" t="str">
        <f t="shared" ref="CH18" si="779">IFERROR((CG12*CH12+CG14*CH14+CG16*CH16)/CG18,"")</f>
        <v/>
      </c>
      <c r="CI18" s="144">
        <f t="shared" ref="CI18" si="780">IFERROR(SUM(CI12,CI14,CI16),"")</f>
        <v>0</v>
      </c>
      <c r="CJ18" s="145" t="str">
        <f t="shared" ref="CJ18" si="781">IFERROR((CI12*CJ12+CI14*CJ14+CI16*CJ16)/CI18,"")</f>
        <v/>
      </c>
      <c r="CK18" s="144">
        <f t="shared" ref="CK18" si="782">IFERROR(SUM(CK12,CK14,CK16),"")</f>
        <v>0</v>
      </c>
      <c r="CL18" s="145" t="str">
        <f t="shared" ref="CL18" si="783">IFERROR((CK12*CL12+CK14*CL14+CK16*CL16)/CK18,"")</f>
        <v/>
      </c>
      <c r="CM18" s="144">
        <f t="shared" ref="CM18" si="784">IFERROR(SUM(CM12,CM14,CM16),"")</f>
        <v>0</v>
      </c>
      <c r="CN18" s="145" t="str">
        <f t="shared" ref="CN18" si="785">IFERROR((CM12*CN12+CM14*CN14+CM16*CN16)/CM18,"")</f>
        <v/>
      </c>
      <c r="CO18" s="144">
        <f t="shared" ref="CO18" si="786">IFERROR(SUM(CO12,CO14,CO16),"")</f>
        <v>0</v>
      </c>
      <c r="CP18" s="145" t="str">
        <f t="shared" ref="CP18" si="787">IFERROR((CO12*CP12+CO14*CP14+CO16*CP16)/CO18,"")</f>
        <v/>
      </c>
      <c r="CQ18" s="144">
        <f t="shared" ref="CQ18" si="788">IFERROR(SUM(CQ12,CQ14,CQ16),"")</f>
        <v>0</v>
      </c>
      <c r="CR18" s="145" t="str">
        <f t="shared" ref="CR18" si="789">IFERROR((CQ12*CR12+CQ14*CR14+CQ16*CR16)/CQ18,"")</f>
        <v/>
      </c>
      <c r="CS18" s="144"/>
      <c r="CT18" s="145"/>
      <c r="CU18" s="144"/>
      <c r="CV18" s="145"/>
      <c r="CW18" s="144"/>
      <c r="CX18" s="145"/>
      <c r="CY18" s="144">
        <f t="shared" ref="CY18" si="790">IFERROR(SUM(CY12,CY14,CY16),"")</f>
        <v>0</v>
      </c>
      <c r="CZ18" s="145" t="str">
        <f t="shared" ref="CZ18" si="791">IFERROR((CY12*CZ12+CY14*CZ14+CY16*CZ16)/CY18,"")</f>
        <v/>
      </c>
      <c r="DA18" s="144">
        <f t="shared" ref="DA18" si="792">IFERROR(SUM(DA12,DA14,DA16),"")</f>
        <v>369.78</v>
      </c>
      <c r="DB18" s="145">
        <f t="shared" ref="DB18" si="793">IFERROR((DA12*DB12+DA14*DB14+DA16*DB16)/DA18,"")</f>
        <v>1.2369255589036321</v>
      </c>
      <c r="DC18" s="144">
        <f t="shared" ref="DC18" si="794">IFERROR(SUM(DC12,DC14,DC16),"")</f>
        <v>0</v>
      </c>
      <c r="DD18" s="145" t="str">
        <f t="shared" ref="DD18" si="795">IFERROR((DC12*DD12+DC14*DD14+DC16*DD16)/DC18,"")</f>
        <v/>
      </c>
      <c r="DE18" s="144">
        <f t="shared" ref="DE18" si="796">IFERROR(SUM(DE12,DE14,DE16),"")</f>
        <v>0</v>
      </c>
      <c r="DF18" s="145" t="str">
        <f t="shared" ref="DF18" si="797">IFERROR((DE12*DF12+DE14*DF14+DE16*DF16)/DE18,"")</f>
        <v/>
      </c>
      <c r="DG18" s="144">
        <f t="shared" ref="DG18" si="798">IFERROR(SUM(DG12,DG14,DG16),"")</f>
        <v>0</v>
      </c>
      <c r="DH18" s="145" t="str">
        <f t="shared" ref="DH18" si="799">IFERROR((DG12*DH12+DG14*DH14+DG16*DH16)/DG18,"")</f>
        <v/>
      </c>
      <c r="DI18" s="144">
        <f t="shared" ref="DI18" si="800">IFERROR(SUM(DI12,DI14,DI16),"")</f>
        <v>0</v>
      </c>
      <c r="DJ18" s="145" t="str">
        <f t="shared" ref="DJ18" si="801">IFERROR((DI12*DJ12+DI14*DJ14+DI16*DJ16)/DI18,"")</f>
        <v/>
      </c>
      <c r="DK18" s="144">
        <f t="shared" ref="DK18" si="802">IFERROR(SUM(DK12,DK14,DK16),"")</f>
        <v>0</v>
      </c>
      <c r="DL18" s="145" t="str">
        <f t="shared" ref="DL18" si="803">IFERROR((DK12*DL12+DK14*DL14+DK16*DL16)/DK18,"")</f>
        <v/>
      </c>
      <c r="DM18" s="144">
        <f t="shared" ref="DM18" si="804">IFERROR(SUM(DM12,DM14,DM16),"")</f>
        <v>0</v>
      </c>
      <c r="DN18" s="145" t="str">
        <f t="shared" ref="DN18" si="805">IFERROR((DM12*DN12+DM14*DN14+DM16*DN16)/DM18,"")</f>
        <v/>
      </c>
      <c r="DO18" s="144">
        <f t="shared" ref="DO18" si="806">IFERROR(SUM(DO12,DO14,DO16),"")</f>
        <v>0</v>
      </c>
      <c r="DP18" s="145" t="str">
        <f t="shared" ref="DP18" si="807">IFERROR((DO12*DP12+DO14*DP14+DO16*DP16)/DO18,"")</f>
        <v/>
      </c>
      <c r="DQ18" s="144">
        <f t="shared" ref="DQ18" si="808">IFERROR(SUM(DQ12,DQ14,DQ16),"")</f>
        <v>0</v>
      </c>
      <c r="DR18" s="145" t="str">
        <f t="shared" ref="DR18" si="809">IFERROR((DQ12*DR12+DQ14*DR14+DQ16*DR16)/DQ18,"")</f>
        <v/>
      </c>
      <c r="DS18" s="144">
        <f t="shared" ref="DS18" si="810">IFERROR(SUM(DS12,DS14,DS16),"")</f>
        <v>0</v>
      </c>
      <c r="DT18" s="145" t="str">
        <f t="shared" ref="DT18" si="811">IFERROR((DS12*DT12+DS14*DT14+DS16*DT16)/DS18,"")</f>
        <v/>
      </c>
      <c r="DU18" s="144">
        <f t="shared" ref="DU18" si="812">IFERROR(SUM(DU12,DU14,DU16),"")</f>
        <v>0</v>
      </c>
      <c r="DV18" s="145" t="str">
        <f t="shared" ref="DV18" si="813">IFERROR((DU12*DV12+DU14*DV14+DU16*DV16)/DU18,"")</f>
        <v/>
      </c>
      <c r="DW18" s="144">
        <f t="shared" ref="DW18" si="814">IFERROR(SUM(DW12,DW14,DW16),"")</f>
        <v>0</v>
      </c>
      <c r="DX18" s="145" t="str">
        <f t="shared" ref="DX18" si="815">IFERROR((DW12*DX12+DW14*DX14+DW16*DX16)/DW18,"")</f>
        <v/>
      </c>
      <c r="DY18" s="144">
        <f t="shared" ref="DY18" si="816">IFERROR(SUM(DY12,DY14,DY16),"")</f>
        <v>0</v>
      </c>
      <c r="DZ18" s="145" t="str">
        <f t="shared" ref="DZ18" si="817">IFERROR((DY12*DZ12+DY14*DZ14+DY16*DZ16)/DY18,"")</f>
        <v/>
      </c>
      <c r="EA18" s="144">
        <f t="shared" ref="EA18" si="818">IFERROR(SUM(EA12,EA14,EA16),"")</f>
        <v>0</v>
      </c>
      <c r="EB18" s="145" t="str">
        <f t="shared" ref="EB18" si="819">IFERROR((EA12*EB12+EA14*EB14+EA16*EB16)/EA18,"")</f>
        <v/>
      </c>
      <c r="EC18" s="144">
        <f t="shared" ref="EC18" si="820">IFERROR(SUM(EC12,EC14,EC16),"")</f>
        <v>0</v>
      </c>
      <c r="ED18" s="145" t="str">
        <f t="shared" ref="ED18" si="821">IFERROR((EC12*ED12+EC14*ED14+EC16*ED16)/EC18,"")</f>
        <v/>
      </c>
      <c r="EE18" s="144">
        <f t="shared" ref="EE18" si="822">IFERROR(SUM(EE12,EE14,EE16),"")</f>
        <v>0</v>
      </c>
      <c r="EF18" s="145" t="str">
        <f t="shared" ref="EF18" si="823">IFERROR((EE12*EF12+EE14*EF14+EE16*EF16)/EE18,"")</f>
        <v/>
      </c>
      <c r="EG18" s="144">
        <f t="shared" ref="EG18" si="824">IFERROR(SUM(EG12,EG14,EG16),"")</f>
        <v>0</v>
      </c>
      <c r="EH18" s="145" t="str">
        <f t="shared" ref="EH18" si="825">IFERROR((EG12*EH12+EG14*EH14+EG16*EH16)/EG18,"")</f>
        <v/>
      </c>
      <c r="EI18" s="144">
        <f t="shared" ref="EI18" si="826">IFERROR(SUM(EI12,EI14,EI16),"")</f>
        <v>0</v>
      </c>
      <c r="EJ18" s="145" t="str">
        <f t="shared" ref="EJ18" si="827">IFERROR((EI12*EJ12+EI14*EJ14+EI16*EJ16)/EI18,"")</f>
        <v/>
      </c>
      <c r="EK18" s="144">
        <f t="shared" ref="EK18" si="828">IFERROR(SUM(EK12,EK14,EK16),"")</f>
        <v>0</v>
      </c>
      <c r="EL18" s="145" t="str">
        <f t="shared" ref="EL18" si="829">IFERROR((EK12*EL12+EK14*EL14+EK16*EL16)/EK18,"")</f>
        <v/>
      </c>
      <c r="EM18" s="144">
        <f t="shared" ref="EM18" si="830">IFERROR(SUM(EM12,EM14,EM16),"")</f>
        <v>0</v>
      </c>
      <c r="EN18" s="145" t="str">
        <f t="shared" ref="EN18" si="831">IFERROR((EM12*EN12+EM14*EN14+EM16*EN16)/EM18,"")</f>
        <v/>
      </c>
      <c r="EO18" s="144">
        <f t="shared" ref="EO18" si="832">IFERROR(SUM(EO12,EO14,EO16),"")</f>
        <v>0</v>
      </c>
      <c r="EP18" s="145" t="str">
        <f t="shared" ref="EP18" si="833">IFERROR((EO12*EP12+EO14*EP14+EO16*EP16)/EO18,"")</f>
        <v/>
      </c>
      <c r="EQ18" s="144">
        <f t="shared" ref="EQ18" si="834">IFERROR(SUM(EQ12,EQ14,EQ16),"")</f>
        <v>0</v>
      </c>
      <c r="ER18" s="145" t="str">
        <f t="shared" ref="ER18" si="835">IFERROR((EQ12*ER12+EQ14*ER14+EQ16*ER16)/EQ18,"")</f>
        <v/>
      </c>
      <c r="ES18" s="144"/>
      <c r="ET18" s="145"/>
      <c r="EU18" s="144">
        <f t="shared" ref="EU18" si="836">IFERROR(SUM(EU12,EU14,EU16),"")</f>
        <v>0</v>
      </c>
      <c r="EV18" s="145" t="str">
        <f t="shared" ref="EV18" si="837">IFERROR((EU12*EV12+EU14*EV14+EU16*EV16)/EU18,"")</f>
        <v/>
      </c>
      <c r="EW18" s="144"/>
      <c r="EX18" s="145"/>
      <c r="EY18" s="144">
        <f t="shared" ref="EY18" si="838">IFERROR(SUM(EY12,EY14,EY16),"")</f>
        <v>0</v>
      </c>
      <c r="EZ18" s="145" t="str">
        <f t="shared" ref="EZ18" si="839">IFERROR((EY12*EZ12+EY14*EZ14+EY16*EZ16)/EY18,"")</f>
        <v/>
      </c>
      <c r="FA18" s="144">
        <f t="shared" ref="FA18" si="840">IFERROR(SUM(FA12,FA14,FA16),"")</f>
        <v>0</v>
      </c>
      <c r="FB18" s="145" t="str">
        <f t="shared" ref="FB18" si="841">IFERROR((FA12*FB12+FA14*FB14+FA16*FB16)/FA18,"")</f>
        <v/>
      </c>
      <c r="FC18" s="144">
        <f t="shared" ref="FC18" si="842">IFERROR(SUM(FC12,FC14,FC16),"")</f>
        <v>0</v>
      </c>
      <c r="FD18" s="145" t="str">
        <f t="shared" ref="FD18" si="843">IFERROR((FC12*FD12+FC14*FD14+FC16*FD16)/FC18,"")</f>
        <v/>
      </c>
      <c r="FE18" s="144">
        <f t="shared" ref="FE18" si="844">IFERROR(SUM(FE12,FE14,FE16),"")</f>
        <v>0</v>
      </c>
      <c r="FF18" s="145" t="str">
        <f t="shared" ref="FF18" si="845">IFERROR((FE12*FF12+FE14*FF14+FE16*FF16)/FE18,"")</f>
        <v/>
      </c>
      <c r="FG18" s="144">
        <f t="shared" ref="FG18" si="846">IFERROR(SUM(FG12,FG14,FG16),"")</f>
        <v>0</v>
      </c>
      <c r="FH18" s="145" t="str">
        <f t="shared" ref="FH18" si="847">IFERROR((FG12*FH12+FG14*FH14+FG16*FH16)/FG18,"")</f>
        <v/>
      </c>
      <c r="FI18" s="144">
        <f t="shared" ref="FI18" si="848">IFERROR(SUM(FI12,FI14,FI16),"")</f>
        <v>0</v>
      </c>
      <c r="FJ18" s="145" t="str">
        <f t="shared" ref="FJ18" si="849">IFERROR((FI12*FJ12+FI14*FJ14+FI16*FJ16)/FI18,"")</f>
        <v/>
      </c>
      <c r="FK18" s="144">
        <f t="shared" ref="FK18" si="850">IFERROR(SUM(FK12,FK14,FK16),"")</f>
        <v>0</v>
      </c>
      <c r="FL18" s="145" t="str">
        <f t="shared" ref="FL18" si="851">IFERROR((FK12*FL12+FK14*FL14+FK16*FL16)/FK18,"")</f>
        <v/>
      </c>
      <c r="FM18" s="144">
        <f t="shared" ref="FM18" si="852">IFERROR(SUM(FM12,FM14,FM16),"")</f>
        <v>0</v>
      </c>
      <c r="FN18" s="145" t="str">
        <f t="shared" ref="FN18" si="853">IFERROR((FM12*FN12+FM14*FN14+FM16*FN16)/FM18,"")</f>
        <v/>
      </c>
      <c r="FO18" s="144">
        <f t="shared" ref="FO18" si="854">IFERROR(SUM(FO12,FO14,FO16),"")</f>
        <v>0</v>
      </c>
      <c r="FP18" s="145" t="str">
        <f t="shared" ref="FP18" si="855">IFERROR((FO12*FP12+FO14*FP14+FO16*FP16)/FO18,"")</f>
        <v/>
      </c>
      <c r="FQ18" s="144">
        <f t="shared" ref="FQ18" si="856">IFERROR(SUM(FQ12,FQ14,FQ16),"")</f>
        <v>0</v>
      </c>
      <c r="FR18" s="145" t="str">
        <f t="shared" ref="FR18" si="857">IFERROR((FQ12*FR12+FQ14*FR14+FQ16*FR16)/FQ18,"")</f>
        <v/>
      </c>
      <c r="FS18" s="144">
        <f t="shared" ref="FS18" si="858">IFERROR(SUM(FS12,FS14,FS16),"")</f>
        <v>0</v>
      </c>
      <c r="FT18" s="145" t="str">
        <f t="shared" ref="FT18" si="859">IFERROR((FS12*FT12+FS14*FT14+FS16*FT16)/FS18,"")</f>
        <v/>
      </c>
      <c r="FU18" s="144">
        <f t="shared" ref="FU18" si="860">IFERROR(SUM(FU12,FU14,FU16),"")</f>
        <v>0</v>
      </c>
      <c r="FV18" s="145" t="str">
        <f t="shared" ref="FV18" si="861">IFERROR((FU12*FV12+FU14*FV14+FU16*FV16)/FU18,"")</f>
        <v/>
      </c>
      <c r="FW18" s="144">
        <f t="shared" ref="FW18" si="862">IFERROR(SUM(FW12,FW14,FW16),"")</f>
        <v>0</v>
      </c>
      <c r="FX18" s="145" t="str">
        <f t="shared" ref="FX18" si="863">IFERROR((FW12*FX12+FW14*FX14+FW16*FX16)/FW18,"")</f>
        <v/>
      </c>
      <c r="FY18" s="144">
        <f t="shared" ref="FY18" si="864">IFERROR(SUM(FY12,FY14,FY16),"")</f>
        <v>0</v>
      </c>
      <c r="FZ18" s="145" t="str">
        <f t="shared" ref="FZ18" si="865">IFERROR((FY12*FZ12+FY14*FZ14+FY16*FZ16)/FY18,"")</f>
        <v/>
      </c>
      <c r="GA18" s="144">
        <f t="shared" ref="GA18" si="866">IFERROR(SUM(GA12,GA14,GA16),"")</f>
        <v>0</v>
      </c>
      <c r="GB18" s="145" t="str">
        <f t="shared" ref="GB18" si="867">IFERROR((GA12*GB12+GA14*GB14+GA16*GB16)/GA18,"")</f>
        <v/>
      </c>
      <c r="GC18" s="144">
        <f t="shared" ref="GC18" si="868">IFERROR(SUM(GC12,GC14,GC16),"")</f>
        <v>0</v>
      </c>
      <c r="GD18" s="145" t="str">
        <f t="shared" ref="GD18" si="869">IFERROR((GC12*GD12+GC14*GD14+GC16*GD16)/GC18,"")</f>
        <v/>
      </c>
      <c r="GE18" s="144">
        <f t="shared" ref="GE18" si="870">IFERROR(SUM(GE12,GE14,GE16),"")</f>
        <v>0</v>
      </c>
      <c r="GF18" s="145" t="str">
        <f t="shared" ref="GF18" si="871">IFERROR((GE12*GF12+GE14*GF14+GE16*GF16)/GE18,"")</f>
        <v/>
      </c>
      <c r="GG18" s="144">
        <f t="shared" ref="GG18" si="872">IFERROR(SUM(GG12,GG14,GG16),"")</f>
        <v>0</v>
      </c>
      <c r="GH18" s="145" t="str">
        <f t="shared" ref="GH18" si="873">IFERROR((GG12*GH12+GG14*GH14+GG16*GH16)/GG18,"")</f>
        <v/>
      </c>
      <c r="GI18" s="144">
        <f t="shared" ref="GI18" si="874">IFERROR(SUM(GI12,GI14,GI16),"")</f>
        <v>0</v>
      </c>
      <c r="GJ18" s="145" t="str">
        <f t="shared" ref="GJ18" si="875">IFERROR((GI12*GJ12+GI14*GJ14+GI16*GJ16)/GI18,"")</f>
        <v/>
      </c>
      <c r="GK18" s="144">
        <f t="shared" ref="GK18" si="876">IFERROR(SUM(GK12,GK14,GK16),"")</f>
        <v>0</v>
      </c>
      <c r="GL18" s="145" t="str">
        <f t="shared" ref="GL18" si="877">IFERROR((GK12*GL12+GK14*GL14+GK16*GL16)/GK18,"")</f>
        <v/>
      </c>
      <c r="GM18" s="144">
        <f t="shared" ref="GM18" si="878">IFERROR(SUM(GM12,GM14,GM16),"")</f>
        <v>0</v>
      </c>
      <c r="GN18" s="145" t="str">
        <f t="shared" ref="GN18" si="879">IFERROR((GM12*GN12+GM14*GN14+GM16*GN16)/GM18,"")</f>
        <v/>
      </c>
      <c r="GO18" s="144">
        <f t="shared" ref="GO18" si="880">IFERROR(SUM(GO12,GO14,GO16),"")</f>
        <v>0</v>
      </c>
      <c r="GP18" s="145" t="str">
        <f t="shared" ref="GP18" si="881">IFERROR((GO12*GP12+GO14*GP14+GO16*GP16)/GO18,"")</f>
        <v/>
      </c>
      <c r="GQ18" s="144">
        <f t="shared" ref="GQ18" si="882">IFERROR(SUM(GQ12,GQ14,GQ16),"")</f>
        <v>0</v>
      </c>
      <c r="GR18" s="145" t="str">
        <f t="shared" ref="GR18" si="883">IFERROR((GQ12*GR12+GQ14*GR14+GQ16*GR16)/GQ18,"")</f>
        <v/>
      </c>
      <c r="GS18" s="144">
        <f t="shared" ref="GS18" si="884">IFERROR(SUM(GS12,GS14,GS16),"")</f>
        <v>0</v>
      </c>
      <c r="GT18" s="145" t="str">
        <f t="shared" ref="GT18" si="885">IFERROR((GS12*GT12+GS14*GT14+GS16*GT16)/GS18,"")</f>
        <v/>
      </c>
      <c r="GU18" s="144">
        <f t="shared" ref="GU18" si="886">IFERROR(SUM(GU12,GU14,GU16),"")</f>
        <v>0</v>
      </c>
      <c r="GV18" s="145" t="str">
        <f t="shared" ref="GV18" si="887">IFERROR((GU12*GV12+GU14*GV14+GU16*GV16)/GU18,"")</f>
        <v/>
      </c>
      <c r="GW18" s="144">
        <f t="shared" ref="GW18" si="888">IFERROR(SUM(GW12,GW14,GW16),"")</f>
        <v>0</v>
      </c>
      <c r="GX18" s="145" t="str">
        <f t="shared" ref="GX18" si="889">IFERROR((GW12*GX12+GW14*GX14+GW16*GX16)/GW18,"")</f>
        <v/>
      </c>
      <c r="GY18" s="144">
        <f t="shared" ref="GY18" si="890">IFERROR(SUM(GY12,GY14,GY16),"")</f>
        <v>0</v>
      </c>
      <c r="GZ18" s="145" t="str">
        <f t="shared" ref="GZ18" si="891">IFERROR((GY12*GZ12+GY14*GZ14+GY16*GZ16)/GY18,"")</f>
        <v/>
      </c>
      <c r="HA18" s="144">
        <f t="shared" ref="HA18" si="892">IFERROR(SUM(HA12,HA14,HA16),"")</f>
        <v>0</v>
      </c>
      <c r="HB18" s="145" t="str">
        <f t="shared" ref="HB18" si="893">IFERROR((HA12*HB12+HA14*HB14+HA16*HB16)/HA18,"")</f>
        <v/>
      </c>
      <c r="HC18" s="144">
        <f t="shared" ref="HC18" si="894">IFERROR(SUM(HC12,HC14,HC16),"")</f>
        <v>0</v>
      </c>
      <c r="HD18" s="145" t="str">
        <f t="shared" ref="HD18" si="895">IFERROR((HC12*HD12+HC14*HD14+HC16*HD16)/HC18,"")</f>
        <v/>
      </c>
      <c r="HE18" s="144">
        <f t="shared" ref="HE18" si="896">IFERROR(SUM(HE12,HE14,HE16),"")</f>
        <v>0</v>
      </c>
      <c r="HF18" s="145" t="str">
        <f t="shared" ref="HF18" si="897">IFERROR((HE12*HF12+HE14*HF14+HE16*HF16)/HE18,"")</f>
        <v/>
      </c>
      <c r="HG18" s="144">
        <f t="shared" ref="HG18" si="898">IFERROR(SUM(HG12,HG14,HG16),"")</f>
        <v>0</v>
      </c>
      <c r="HH18" s="145" t="str">
        <f t="shared" ref="HH18" si="899">IFERROR((HG12*HH12+HG14*HH14+HG16*HH16)/HG18,"")</f>
        <v/>
      </c>
      <c r="HI18" s="144">
        <f t="shared" ref="HI18" si="900">IFERROR(SUM(HI12,HI14,HI16),"")</f>
        <v>0</v>
      </c>
      <c r="HJ18" s="145" t="str">
        <f t="shared" ref="HJ18" si="901">IFERROR((HI12*HJ12+HI14*HJ14+HI16*HJ16)/HI18,"")</f>
        <v/>
      </c>
      <c r="HK18" s="144">
        <f t="shared" ref="HK18" si="902">IFERROR(SUM(HK12,HK14,HK16),"")</f>
        <v>0</v>
      </c>
      <c r="HL18" s="145" t="str">
        <f t="shared" ref="HL18" si="903">IFERROR((HK12*HL12+HK14*HL14+HK16*HL16)/HK18,"")</f>
        <v/>
      </c>
      <c r="HM18" s="144">
        <f t="shared" ref="HM18" si="904">IFERROR(SUM(HM12,HM14,HM16),"")</f>
        <v>0</v>
      </c>
      <c r="HN18" s="145" t="str">
        <f t="shared" ref="HN18" si="905">IFERROR((HM12*HN12+HM14*HN14+HM16*HN16)/HM18,"")</f>
        <v/>
      </c>
      <c r="HO18" s="144">
        <f t="shared" ref="HO18" si="906">IFERROR(SUM(HO12,HO14,HO16),"")</f>
        <v>0</v>
      </c>
      <c r="HP18" s="145" t="str">
        <f t="shared" ref="HP18" si="907">IFERROR((HO12*HP12+HO14*HP14+HO16*HP16)/HO18,"")</f>
        <v/>
      </c>
      <c r="HQ18" s="144">
        <f t="shared" ref="HQ18" si="908">IFERROR(SUM(HQ12,HQ14,HQ16),"")</f>
        <v>0</v>
      </c>
      <c r="HR18" s="145" t="str">
        <f t="shared" ref="HR18" si="909">IFERROR((HQ12*HR12+HQ14*HR14+HQ16*HR16)/HQ18,"")</f>
        <v/>
      </c>
      <c r="HS18" s="144">
        <f t="shared" ref="HS18" si="910">IFERROR(SUM(HS12,HS14,HS16),"")</f>
        <v>0</v>
      </c>
      <c r="HT18" s="145" t="str">
        <f t="shared" ref="HT18" si="911">IFERROR((HS12*HT12+HS14*HT14+HS16*HT16)/HS18,"")</f>
        <v/>
      </c>
      <c r="HU18" s="144">
        <f t="shared" ref="HU18" si="912">IFERROR(SUM(HU12,HU14,HU16),"")</f>
        <v>0</v>
      </c>
      <c r="HV18" s="145" t="str">
        <f t="shared" ref="HV18" si="913">IFERROR((HU12*HV12+HU14*HV14+HU16*HV16)/HU18,"")</f>
        <v/>
      </c>
      <c r="HW18" s="144">
        <f t="shared" ref="HW18" si="914">IFERROR(SUM(HW12,HW14,HW16),"")</f>
        <v>0</v>
      </c>
      <c r="HX18" s="145" t="str">
        <f t="shared" ref="HX18" si="915">IFERROR((HW12*HX12+HW14*HX14+HW16*HX16)/HW18,"")</f>
        <v/>
      </c>
      <c r="HY18" s="144">
        <f t="shared" ref="HY18" si="916">IFERROR(SUM(HY12,HY14,HY16),"")</f>
        <v>0</v>
      </c>
      <c r="HZ18" s="145" t="str">
        <f t="shared" ref="HZ18" si="917">IFERROR((HY12*HZ12+HY14*HZ14+HY16*HZ16)/HY18,"")</f>
        <v/>
      </c>
      <c r="IA18" s="144">
        <f t="shared" ref="IA18" si="918">IFERROR(SUM(IA12,IA14,IA16),"")</f>
        <v>0</v>
      </c>
      <c r="IB18" s="145" t="str">
        <f t="shared" ref="IB18" si="919">IFERROR((IA12*IB12+IA14*IB14+IA16*IB16)/IA18,"")</f>
        <v/>
      </c>
      <c r="IC18" s="144">
        <f t="shared" ref="IC18" si="920">IFERROR(SUM(IC12,IC14,IC16),"")</f>
        <v>0</v>
      </c>
      <c r="ID18" s="145" t="str">
        <f t="shared" ref="ID18" si="921">IFERROR((IC12*ID12+IC14*ID14+IC16*ID16)/IC18,"")</f>
        <v/>
      </c>
      <c r="IE18" s="144">
        <f t="shared" ref="IE18" si="922">IFERROR(SUM(IE12,IE14,IE16),"")</f>
        <v>0</v>
      </c>
      <c r="IF18" s="145" t="str">
        <f t="shared" ref="IF18" si="923">IFERROR((IE12*IF12+IE14*IF14+IE16*IF16)/IE18,"")</f>
        <v/>
      </c>
      <c r="IG18" s="144">
        <f t="shared" ref="IG18" si="924">IFERROR(SUM(IG12,IG14,IG16),"")</f>
        <v>0</v>
      </c>
      <c r="IH18" s="145" t="str">
        <f t="shared" ref="IH18" si="925">IFERROR((IG12*IH12+IG14*IH14+IG16*IH16)/IG18,"")</f>
        <v/>
      </c>
      <c r="II18" s="144">
        <f t="shared" ref="II18" si="926">IFERROR(SUM(II12,II14,II16),"")</f>
        <v>0</v>
      </c>
      <c r="IJ18" s="145" t="str">
        <f t="shared" ref="IJ18" si="927">IFERROR((II12*IJ12+II14*IJ14+II16*IJ16)/II18,"")</f>
        <v/>
      </c>
      <c r="IK18" s="144">
        <f t="shared" ref="IK18" si="928">IFERROR(SUM(IK12,IK14,IK16),"")</f>
        <v>0</v>
      </c>
      <c r="IL18" s="145" t="str">
        <f t="shared" ref="IL18" si="929">IFERROR((IK12*IL12+IK14*IL14+IK16*IL16)/IK18,"")</f>
        <v/>
      </c>
      <c r="IM18" s="144">
        <f t="shared" ref="IM18" si="930">IFERROR(SUM(IM12,IM14,IM16),"")</f>
        <v>0</v>
      </c>
      <c r="IN18" s="145" t="str">
        <f t="shared" ref="IN18" si="931">IFERROR((IM12*IN12+IM14*IN14+IM16*IN16)/IM18,"")</f>
        <v/>
      </c>
      <c r="IO18" s="144">
        <f t="shared" ref="IO18" si="932">IFERROR(SUM(IO12,IO14,IO16),"")</f>
        <v>0</v>
      </c>
      <c r="IP18" s="145" t="str">
        <f t="shared" ref="IP18" si="933">IFERROR((IO12*IP12+IO14*IP14+IO16*IP16)/IO18,"")</f>
        <v/>
      </c>
      <c r="IQ18" s="144">
        <f t="shared" ref="IQ18" si="934">IFERROR(SUM(IQ12,IQ14,IQ16),"")</f>
        <v>0</v>
      </c>
      <c r="IR18" s="145" t="str">
        <f t="shared" ref="IR18" si="935">IFERROR((IQ12*IR12+IQ14*IR14+IQ16*IR16)/IQ18,"")</f>
        <v/>
      </c>
      <c r="IS18" s="144">
        <f t="shared" ref="IS18" si="936">IFERROR(SUM(IS12,IS14,IS16),"")</f>
        <v>0</v>
      </c>
      <c r="IT18" s="145" t="str">
        <f t="shared" ref="IT18" si="937">IFERROR((IS12*IT12+IS14*IT14+IS16*IT16)/IS18,"")</f>
        <v/>
      </c>
      <c r="IU18" s="144">
        <f t="shared" ref="IU18" si="938">IFERROR(SUM(IU12,IU14,IU16),"")</f>
        <v>0</v>
      </c>
      <c r="IV18" s="145" t="str">
        <f t="shared" ref="IV18" si="939">IFERROR((IU12*IV12+IU14*IV14+IU16*IV16)/IU18,"")</f>
        <v/>
      </c>
      <c r="IW18" s="144">
        <f t="shared" ref="IW18" si="940">IFERROR(SUM(IW12,IW14,IW16),"")</f>
        <v>0</v>
      </c>
      <c r="IX18" s="145" t="str">
        <f t="shared" ref="IX18" si="941">IFERROR((IW12*IX12+IW14*IX14+IW16*IX16)/IW18,"")</f>
        <v/>
      </c>
      <c r="IY18" s="144">
        <f t="shared" ref="IY18" si="942">IFERROR(SUM(IY12,IY14,IY16),"")</f>
        <v>0</v>
      </c>
      <c r="IZ18" s="145" t="str">
        <f t="shared" si="700"/>
        <v/>
      </c>
    </row>
    <row r="19" spans="1:260" x14ac:dyDescent="0.25">
      <c r="A19" s="1586">
        <v>45474</v>
      </c>
      <c r="B19" s="11" t="s">
        <v>211</v>
      </c>
      <c r="C19" s="19" cm="1">
        <f t="array" ref="C19">SUM(_xlfn._xlws.FILTER(E19:IZ19, MOD(COLUMN(E19:IZ19)-COLUMN(E19)+1,2)=1))</f>
        <v>23870</v>
      </c>
      <c r="D19" s="26" cm="1">
        <f t="array" ref="D19">SUMPRODUCT(_xlfn._xlws.FILTER(E19:IZ19, MOD(COLUMN(E19:IZ19)-COLUMN(E19)+1,2)=1), _xlfn._xlws.FILTER(E19:IZ19, MOD(COLUMN(E19:IZ19)-COLUMN(E19)+1,2)=0))/C19</f>
        <v>1.6786363636363637</v>
      </c>
      <c r="E19" s="142"/>
      <c r="F19" s="143"/>
      <c r="G19" s="142"/>
      <c r="H19" s="143"/>
      <c r="I19" s="142"/>
      <c r="J19" s="143"/>
      <c r="K19" s="142"/>
      <c r="L19" s="143"/>
      <c r="M19" s="142">
        <v>0</v>
      </c>
      <c r="N19" s="143">
        <v>0</v>
      </c>
      <c r="O19" s="142"/>
      <c r="P19" s="143"/>
      <c r="Q19" s="142">
        <v>0</v>
      </c>
      <c r="R19" s="143">
        <v>0</v>
      </c>
      <c r="S19" s="142">
        <v>2170</v>
      </c>
      <c r="T19" s="143">
        <v>1.49</v>
      </c>
      <c r="U19" s="142">
        <v>3255</v>
      </c>
      <c r="V19" s="143">
        <v>1.49</v>
      </c>
      <c r="W19" s="142"/>
      <c r="X19" s="143"/>
      <c r="Y19" s="142"/>
      <c r="Z19" s="143"/>
      <c r="AA19" s="142"/>
      <c r="AB19" s="143"/>
      <c r="AC19" s="142"/>
      <c r="AD19" s="143"/>
      <c r="AE19" s="142"/>
      <c r="AF19" s="143"/>
      <c r="AG19" s="142"/>
      <c r="AH19" s="143"/>
      <c r="AI19" s="142"/>
      <c r="AJ19" s="143"/>
      <c r="AK19" s="142"/>
      <c r="AL19" s="143"/>
      <c r="AM19" s="142">
        <v>0</v>
      </c>
      <c r="AN19" s="143">
        <v>0</v>
      </c>
      <c r="AO19" s="142"/>
      <c r="AP19" s="143"/>
      <c r="AQ19" s="142"/>
      <c r="AR19" s="143"/>
      <c r="AS19" s="142"/>
      <c r="AT19" s="143"/>
      <c r="AU19" s="142">
        <v>2170</v>
      </c>
      <c r="AV19" s="143">
        <v>1.33</v>
      </c>
      <c r="AW19" s="142"/>
      <c r="AX19" s="143"/>
      <c r="AY19" s="142"/>
      <c r="AZ19" s="143"/>
      <c r="BA19" s="142"/>
      <c r="BB19" s="143"/>
      <c r="BC19" s="142"/>
      <c r="BD19" s="143"/>
      <c r="BE19" s="142"/>
      <c r="BF19" s="143"/>
      <c r="BG19" s="142">
        <v>2170</v>
      </c>
      <c r="BH19" s="143">
        <v>1.54</v>
      </c>
      <c r="BI19" s="142"/>
      <c r="BJ19" s="143"/>
      <c r="BK19" s="142">
        <v>3255</v>
      </c>
      <c r="BL19" s="143">
        <v>2.15</v>
      </c>
      <c r="BM19" s="142">
        <v>0</v>
      </c>
      <c r="BN19" s="143">
        <v>0</v>
      </c>
      <c r="BO19" s="142"/>
      <c r="BP19" s="143"/>
      <c r="BQ19" s="142"/>
      <c r="BR19" s="143"/>
      <c r="BS19" s="142"/>
      <c r="BT19" s="143"/>
      <c r="BU19" s="142"/>
      <c r="BV19" s="143"/>
      <c r="BW19" s="142">
        <v>4340</v>
      </c>
      <c r="BX19" s="175">
        <v>1.87</v>
      </c>
      <c r="BY19" s="142"/>
      <c r="BZ19" s="175"/>
      <c r="CA19" s="142">
        <v>3255</v>
      </c>
      <c r="CB19" s="175">
        <v>1.82</v>
      </c>
      <c r="CC19" s="142">
        <v>1085</v>
      </c>
      <c r="CD19" s="175">
        <v>0.91</v>
      </c>
      <c r="CE19" s="142">
        <v>2170</v>
      </c>
      <c r="CF19" s="175">
        <v>1.72</v>
      </c>
      <c r="CG19" s="142"/>
      <c r="CH19" s="175"/>
      <c r="CI19" s="142"/>
      <c r="CJ19" s="143"/>
      <c r="CK19" s="142"/>
      <c r="CL19" s="143"/>
      <c r="CM19" s="142"/>
      <c r="CN19" s="175"/>
      <c r="CO19" s="142"/>
      <c r="CP19" s="143"/>
      <c r="CQ19" s="142"/>
      <c r="CR19" s="175"/>
      <c r="CS19" s="142"/>
      <c r="CT19" s="175"/>
      <c r="CU19" s="142"/>
      <c r="CV19" s="175"/>
      <c r="CW19" s="142"/>
      <c r="CX19" s="175"/>
      <c r="CY19" s="142"/>
      <c r="CZ19" s="143"/>
      <c r="DA19" s="142"/>
      <c r="DB19" s="175"/>
      <c r="DC19" s="142"/>
      <c r="DD19" s="175"/>
      <c r="DE19" s="142"/>
      <c r="DF19" s="175"/>
      <c r="DG19" s="142"/>
      <c r="DH19" s="143"/>
      <c r="DI19" s="142"/>
      <c r="DJ19" s="143"/>
      <c r="DK19" s="142"/>
      <c r="DL19" s="143"/>
      <c r="DM19" s="142"/>
      <c r="DN19" s="143"/>
      <c r="DO19" s="142"/>
      <c r="DP19" s="143"/>
      <c r="DQ19" s="142"/>
      <c r="DR19" s="143"/>
      <c r="DS19" s="142"/>
      <c r="DT19" s="143"/>
      <c r="DU19" s="142"/>
      <c r="DV19" s="143"/>
      <c r="DW19" s="142"/>
      <c r="DX19" s="143"/>
      <c r="DY19" s="142"/>
      <c r="DZ19" s="143"/>
      <c r="EA19" s="142"/>
      <c r="EB19" s="143"/>
      <c r="EC19" s="142"/>
      <c r="ED19" s="143"/>
      <c r="EE19" s="142"/>
      <c r="EF19" s="143"/>
      <c r="EG19" s="142"/>
      <c r="EH19" s="143"/>
      <c r="EI19" s="142"/>
      <c r="EJ19" s="143"/>
      <c r="EK19" s="142"/>
      <c r="EL19" s="143"/>
      <c r="EM19" s="142"/>
      <c r="EN19" s="143"/>
      <c r="EO19" s="142"/>
      <c r="EP19" s="143"/>
      <c r="EQ19" s="142"/>
      <c r="ER19" s="143"/>
      <c r="ES19" s="142"/>
      <c r="ET19" s="175"/>
      <c r="EU19" s="142"/>
      <c r="EV19" s="143"/>
      <c r="EW19" s="142"/>
      <c r="EX19" s="175"/>
      <c r="EY19" s="142"/>
      <c r="EZ19" s="143"/>
      <c r="FA19" s="142"/>
      <c r="FB19" s="143"/>
      <c r="FC19" s="142"/>
      <c r="FD19" s="143"/>
      <c r="FE19" s="142"/>
      <c r="FF19" s="143"/>
      <c r="FG19" s="142"/>
      <c r="FH19" s="143"/>
      <c r="FI19" s="142"/>
      <c r="FJ19" s="143"/>
      <c r="FK19" s="142"/>
      <c r="FL19" s="143"/>
      <c r="FM19" s="142"/>
      <c r="FN19" s="143"/>
      <c r="FO19" s="142"/>
      <c r="FP19" s="143"/>
      <c r="FQ19" s="142"/>
      <c r="FR19" s="143"/>
      <c r="FS19" s="142"/>
      <c r="FT19" s="143"/>
      <c r="FU19" s="142"/>
      <c r="FV19" s="143"/>
      <c r="FW19" s="142"/>
      <c r="FX19" s="143"/>
      <c r="FY19" s="142"/>
      <c r="FZ19" s="143"/>
      <c r="GA19" s="142"/>
      <c r="GB19" s="143"/>
      <c r="GC19" s="142"/>
      <c r="GD19" s="143"/>
      <c r="GE19" s="142"/>
      <c r="GF19" s="143"/>
      <c r="GG19" s="142"/>
      <c r="GH19" s="143"/>
      <c r="GI19" s="142"/>
      <c r="GJ19" s="143"/>
      <c r="GK19" s="142"/>
      <c r="GL19" s="143"/>
      <c r="GM19" s="142"/>
      <c r="GN19" s="143"/>
      <c r="GO19" s="142"/>
      <c r="GP19" s="143"/>
      <c r="GQ19" s="142"/>
      <c r="GR19" s="143"/>
      <c r="GS19" s="142"/>
      <c r="GT19" s="143"/>
      <c r="GU19" s="142"/>
      <c r="GV19" s="143"/>
      <c r="GW19" s="142"/>
      <c r="GX19" s="143"/>
      <c r="GY19" s="142"/>
      <c r="GZ19" s="143"/>
      <c r="HA19" s="142"/>
      <c r="HB19" s="143"/>
      <c r="HC19" s="142"/>
      <c r="HD19" s="143"/>
      <c r="HE19" s="142"/>
      <c r="HF19" s="143"/>
      <c r="HG19" s="142"/>
      <c r="HH19" s="143"/>
      <c r="HI19" s="142"/>
      <c r="HJ19" s="143"/>
      <c r="HK19" s="142"/>
      <c r="HL19" s="143"/>
      <c r="HM19" s="142"/>
      <c r="HN19" s="143"/>
      <c r="HO19" s="142"/>
      <c r="HP19" s="143"/>
      <c r="HQ19" s="142"/>
      <c r="HR19" s="143"/>
      <c r="HS19" s="142"/>
      <c r="HT19" s="143"/>
      <c r="HU19" s="142"/>
      <c r="HV19" s="143"/>
      <c r="HW19" s="142"/>
      <c r="HX19" s="143"/>
      <c r="HY19" s="142"/>
      <c r="HZ19" s="143"/>
      <c r="IA19" s="142"/>
      <c r="IB19" s="143"/>
      <c r="IC19" s="142"/>
      <c r="ID19" s="143"/>
      <c r="IE19" s="142"/>
      <c r="IF19" s="143"/>
      <c r="IG19" s="142"/>
      <c r="IH19" s="143"/>
      <c r="II19" s="142"/>
      <c r="IJ19" s="143"/>
      <c r="IK19" s="142"/>
      <c r="IL19" s="143"/>
      <c r="IM19" s="142"/>
      <c r="IN19" s="143"/>
      <c r="IO19" s="142"/>
      <c r="IP19" s="143"/>
      <c r="IQ19" s="142"/>
      <c r="IR19" s="143"/>
      <c r="IS19" s="142"/>
      <c r="IT19" s="143"/>
      <c r="IU19" s="142"/>
      <c r="IV19" s="143"/>
      <c r="IW19" s="142"/>
      <c r="IX19" s="143"/>
      <c r="IY19" s="142"/>
      <c r="IZ19" s="143"/>
    </row>
    <row r="20" spans="1:260" x14ac:dyDescent="0.25">
      <c r="A20" s="1587"/>
      <c r="B20" s="11" t="s">
        <v>5</v>
      </c>
      <c r="C20" s="19" cm="1">
        <f t="array" ref="C20">SUM(_xlfn._xlws.FILTER(E20:IZ20, MOD(COLUMN(E20:IZ20)-COLUMN(E20)+1,2)=1))</f>
        <v>19576.199999999997</v>
      </c>
      <c r="D20" s="26" cm="1">
        <f t="array" ref="D20">SUMPRODUCT(_xlfn._xlws.FILTER(E20:IZ20, MOD(COLUMN(E20:IZ20)-COLUMN(E20)+1,2)=1), _xlfn._xlws.FILTER(E20:IZ20, MOD(COLUMN(E20:IZ20)-COLUMN(E20)+1,2)=0))/C20</f>
        <v>1.378246274368871</v>
      </c>
      <c r="E20" s="140"/>
      <c r="F20" s="141"/>
      <c r="G20" s="140"/>
      <c r="H20" s="141"/>
      <c r="I20" s="140"/>
      <c r="J20" s="141"/>
      <c r="K20" s="140"/>
      <c r="L20" s="141"/>
      <c r="M20" s="140">
        <v>0</v>
      </c>
      <c r="N20" s="141">
        <v>0</v>
      </c>
      <c r="O20" s="140"/>
      <c r="P20" s="141"/>
      <c r="Q20" s="140">
        <v>0</v>
      </c>
      <c r="R20" s="141">
        <v>0</v>
      </c>
      <c r="S20" s="140">
        <v>0</v>
      </c>
      <c r="T20" s="141">
        <v>0</v>
      </c>
      <c r="U20" s="140">
        <v>3289.2</v>
      </c>
      <c r="V20" s="141">
        <v>1.2739732816225988</v>
      </c>
      <c r="W20" s="140"/>
      <c r="X20" s="141"/>
      <c r="Y20" s="140"/>
      <c r="Z20" s="141"/>
      <c r="AA20" s="140"/>
      <c r="AB20" s="141"/>
      <c r="AC20" s="140"/>
      <c r="AD20" s="141"/>
      <c r="AE20" s="140"/>
      <c r="AF20" s="141"/>
      <c r="AG20" s="140"/>
      <c r="AH20" s="141"/>
      <c r="AI20" s="140"/>
      <c r="AJ20" s="141"/>
      <c r="AK20" s="140"/>
      <c r="AL20" s="141"/>
      <c r="AM20" s="140">
        <v>549.39999999999986</v>
      </c>
      <c r="AN20" s="141">
        <v>1.1537871229789576</v>
      </c>
      <c r="AO20" s="140"/>
      <c r="AP20" s="141"/>
      <c r="AQ20" s="140"/>
      <c r="AR20" s="141"/>
      <c r="AS20" s="140"/>
      <c r="AT20" s="141"/>
      <c r="AU20" s="140">
        <v>2480</v>
      </c>
      <c r="AV20" s="141">
        <v>1.2980105133513273</v>
      </c>
      <c r="AW20" s="140"/>
      <c r="AX20" s="141"/>
      <c r="AY20" s="140"/>
      <c r="AZ20" s="141"/>
      <c r="BA20" s="140"/>
      <c r="BB20" s="141"/>
      <c r="BC20" s="140"/>
      <c r="BD20" s="141"/>
      <c r="BE20" s="140"/>
      <c r="BF20" s="141"/>
      <c r="BG20" s="140">
        <v>1878</v>
      </c>
      <c r="BH20" s="141">
        <v>1.2579484604701134</v>
      </c>
      <c r="BI20" s="140"/>
      <c r="BJ20" s="141"/>
      <c r="BK20" s="140">
        <v>3222.6</v>
      </c>
      <c r="BL20" s="141">
        <v>1.5063331883336391</v>
      </c>
      <c r="BM20" s="140">
        <v>144</v>
      </c>
      <c r="BN20" s="141">
        <v>0</v>
      </c>
      <c r="BO20" s="140"/>
      <c r="BP20" s="141"/>
      <c r="BQ20" s="140"/>
      <c r="BR20" s="141"/>
      <c r="BS20" s="140"/>
      <c r="BT20" s="141"/>
      <c r="BU20" s="140"/>
      <c r="BV20" s="141"/>
      <c r="BW20" s="140">
        <v>3566</v>
      </c>
      <c r="BX20" s="178">
        <v>1.4983207777573964</v>
      </c>
      <c r="BY20" s="140"/>
      <c r="BZ20" s="178"/>
      <c r="CA20" s="140">
        <v>3110.2</v>
      </c>
      <c r="CB20" s="178">
        <v>1.4582587248761827</v>
      </c>
      <c r="CC20" s="140">
        <v>0</v>
      </c>
      <c r="CD20" s="178">
        <v>0</v>
      </c>
      <c r="CE20" s="140">
        <v>1336.8000000000002</v>
      </c>
      <c r="CF20" s="178">
        <v>1.3781346191137549</v>
      </c>
      <c r="CG20" s="140"/>
      <c r="CH20" s="178"/>
      <c r="CI20" s="140"/>
      <c r="CJ20" s="141"/>
      <c r="CK20" s="140"/>
      <c r="CL20" s="141"/>
      <c r="CM20" s="140"/>
      <c r="CN20" s="178"/>
      <c r="CO20" s="140"/>
      <c r="CP20" s="141"/>
      <c r="CQ20" s="140"/>
      <c r="CR20" s="178"/>
      <c r="CS20" s="140"/>
      <c r="CT20" s="178"/>
      <c r="CU20" s="140"/>
      <c r="CV20" s="178"/>
      <c r="CW20" s="140"/>
      <c r="CX20" s="178"/>
      <c r="CY20" s="140"/>
      <c r="CZ20" s="141"/>
      <c r="DA20" s="140"/>
      <c r="DB20" s="178"/>
      <c r="DC20" s="140"/>
      <c r="DD20" s="178"/>
      <c r="DE20" s="140"/>
      <c r="DF20" s="178"/>
      <c r="DG20" s="140"/>
      <c r="DH20" s="141"/>
      <c r="DI20" s="140"/>
      <c r="DJ20" s="141"/>
      <c r="DK20" s="140"/>
      <c r="DL20" s="141"/>
      <c r="DM20" s="140"/>
      <c r="DN20" s="141"/>
      <c r="DO20" s="140"/>
      <c r="DP20" s="141"/>
      <c r="DQ20" s="140"/>
      <c r="DR20" s="141"/>
      <c r="DS20" s="140"/>
      <c r="DT20" s="141"/>
      <c r="DU20" s="140"/>
      <c r="DV20" s="141"/>
      <c r="DW20" s="140"/>
      <c r="DX20" s="141"/>
      <c r="DY20" s="140"/>
      <c r="DZ20" s="141"/>
      <c r="EA20" s="140"/>
      <c r="EB20" s="141"/>
      <c r="EC20" s="140"/>
      <c r="ED20" s="141"/>
      <c r="EE20" s="140"/>
      <c r="EF20" s="141"/>
      <c r="EG20" s="140"/>
      <c r="EH20" s="141"/>
      <c r="EI20" s="140"/>
      <c r="EJ20" s="141"/>
      <c r="EK20" s="140"/>
      <c r="EL20" s="141"/>
      <c r="EM20" s="140"/>
      <c r="EN20" s="141"/>
      <c r="EO20" s="140"/>
      <c r="EP20" s="141"/>
      <c r="EQ20" s="140"/>
      <c r="ER20" s="141"/>
      <c r="ES20" s="140"/>
      <c r="ET20" s="178"/>
      <c r="EU20" s="140"/>
      <c r="EV20" s="141"/>
      <c r="EW20" s="140"/>
      <c r="EX20" s="178"/>
      <c r="EY20" s="140"/>
      <c r="EZ20" s="141"/>
      <c r="FA20" s="140"/>
      <c r="FB20" s="141"/>
      <c r="FC20" s="140"/>
      <c r="FD20" s="141"/>
      <c r="FE20" s="140"/>
      <c r="FF20" s="141"/>
      <c r="FG20" s="140"/>
      <c r="FH20" s="141"/>
      <c r="FI20" s="140"/>
      <c r="FJ20" s="141"/>
      <c r="FK20" s="140"/>
      <c r="FL20" s="141"/>
      <c r="FM20" s="140"/>
      <c r="FN20" s="141"/>
      <c r="FO20" s="140"/>
      <c r="FP20" s="141"/>
      <c r="FQ20" s="140"/>
      <c r="FR20" s="141"/>
      <c r="FS20" s="140"/>
      <c r="FT20" s="141"/>
      <c r="FU20" s="140"/>
      <c r="FV20" s="141"/>
      <c r="FW20" s="140"/>
      <c r="FX20" s="141"/>
      <c r="FY20" s="140"/>
      <c r="FZ20" s="141"/>
      <c r="GA20" s="140"/>
      <c r="GB20" s="141"/>
      <c r="GC20" s="140"/>
      <c r="GD20" s="141"/>
      <c r="GE20" s="140"/>
      <c r="GF20" s="141"/>
      <c r="GG20" s="140"/>
      <c r="GH20" s="141"/>
      <c r="GI20" s="140"/>
      <c r="GJ20" s="141"/>
      <c r="GK20" s="140"/>
      <c r="GL20" s="141"/>
      <c r="GM20" s="140"/>
      <c r="GN20" s="141"/>
      <c r="GO20" s="140"/>
      <c r="GP20" s="141"/>
      <c r="GQ20" s="140"/>
      <c r="GR20" s="141"/>
      <c r="GS20" s="140"/>
      <c r="GT20" s="141"/>
      <c r="GU20" s="140"/>
      <c r="GV20" s="141"/>
      <c r="GW20" s="140"/>
      <c r="GX20" s="141"/>
      <c r="GY20" s="140"/>
      <c r="GZ20" s="141"/>
      <c r="HA20" s="140"/>
      <c r="HB20" s="141"/>
      <c r="HC20" s="140"/>
      <c r="HD20" s="141"/>
      <c r="HE20" s="140"/>
      <c r="HF20" s="141"/>
      <c r="HG20" s="140"/>
      <c r="HH20" s="141"/>
      <c r="HI20" s="140"/>
      <c r="HJ20" s="141"/>
      <c r="HK20" s="140"/>
      <c r="HL20" s="141"/>
      <c r="HM20" s="140"/>
      <c r="HN20" s="141"/>
      <c r="HO20" s="140"/>
      <c r="HP20" s="141"/>
      <c r="HQ20" s="140"/>
      <c r="HR20" s="141"/>
      <c r="HS20" s="140"/>
      <c r="HT20" s="141"/>
      <c r="HU20" s="140"/>
      <c r="HV20" s="141"/>
      <c r="HW20" s="140"/>
      <c r="HX20" s="141"/>
      <c r="HY20" s="140"/>
      <c r="HZ20" s="141"/>
      <c r="IA20" s="140"/>
      <c r="IB20" s="141"/>
      <c r="IC20" s="140"/>
      <c r="ID20" s="141"/>
      <c r="IE20" s="140"/>
      <c r="IF20" s="141"/>
      <c r="IG20" s="140"/>
      <c r="IH20" s="141"/>
      <c r="II20" s="140"/>
      <c r="IJ20" s="141"/>
      <c r="IK20" s="140"/>
      <c r="IL20" s="141"/>
      <c r="IM20" s="140"/>
      <c r="IN20" s="141"/>
      <c r="IO20" s="140"/>
      <c r="IP20" s="141"/>
      <c r="IQ20" s="140"/>
      <c r="IR20" s="141"/>
      <c r="IS20" s="140"/>
      <c r="IT20" s="141"/>
      <c r="IU20" s="140"/>
      <c r="IV20" s="141"/>
      <c r="IW20" s="140"/>
      <c r="IX20" s="141"/>
      <c r="IY20" s="140"/>
      <c r="IZ20" s="141"/>
    </row>
    <row r="21" spans="1:260" x14ac:dyDescent="0.25">
      <c r="A21" s="1586">
        <v>45505</v>
      </c>
      <c r="B21" s="11" t="s">
        <v>211</v>
      </c>
      <c r="C21" s="19" cm="1">
        <f t="array" ref="C21">SUM(_xlfn._xlws.FILTER(E21:IZ21, MOD(COLUMN(E21:IZ21)-COLUMN(E21)+1,2)=1))</f>
        <v>22348</v>
      </c>
      <c r="D21" s="26" cm="1">
        <f t="array" ref="D21">SUMPRODUCT(_xlfn._xlws.FILTER(E21:IZ21, MOD(COLUMN(E21:IZ21)-COLUMN(E21)+1,2)=1), _xlfn._xlws.FILTER(E21:IZ21, MOD(COLUMN(E21:IZ21)-COLUMN(E21)+1,2)=0))/C21</f>
        <v>1.8181640415249687</v>
      </c>
      <c r="E21" s="142"/>
      <c r="F21" s="143"/>
      <c r="G21" s="142"/>
      <c r="H21" s="143"/>
      <c r="I21" s="142"/>
      <c r="J21" s="143"/>
      <c r="K21" s="142"/>
      <c r="L21" s="143"/>
      <c r="M21" s="142">
        <v>0</v>
      </c>
      <c r="N21" s="143">
        <v>0</v>
      </c>
      <c r="O21" s="142"/>
      <c r="P21" s="143"/>
      <c r="Q21" s="142">
        <v>0</v>
      </c>
      <c r="R21" s="143">
        <v>0</v>
      </c>
      <c r="S21" s="142">
        <v>2030</v>
      </c>
      <c r="T21" s="143">
        <v>1.59</v>
      </c>
      <c r="U21" s="142">
        <v>3045</v>
      </c>
      <c r="V21" s="143">
        <v>2.0099999999999998</v>
      </c>
      <c r="W21" s="142"/>
      <c r="X21" s="143"/>
      <c r="Y21" s="142"/>
      <c r="Z21" s="143"/>
      <c r="AA21" s="142"/>
      <c r="AB21" s="143"/>
      <c r="AC21" s="142"/>
      <c r="AD21" s="143"/>
      <c r="AE21" s="142"/>
      <c r="AF21" s="143"/>
      <c r="AG21" s="142"/>
      <c r="AH21" s="143"/>
      <c r="AI21" s="142"/>
      <c r="AJ21" s="143"/>
      <c r="AK21" s="142"/>
      <c r="AL21" s="143"/>
      <c r="AM21" s="142">
        <v>0</v>
      </c>
      <c r="AN21" s="143">
        <v>0</v>
      </c>
      <c r="AO21" s="142"/>
      <c r="AP21" s="143"/>
      <c r="AQ21" s="142"/>
      <c r="AR21" s="143"/>
      <c r="AS21" s="142"/>
      <c r="AT21" s="143"/>
      <c r="AU21" s="142">
        <v>2030</v>
      </c>
      <c r="AV21" s="143">
        <v>1.3</v>
      </c>
      <c r="AW21" s="142"/>
      <c r="AX21" s="143"/>
      <c r="AY21" s="142"/>
      <c r="AZ21" s="143"/>
      <c r="BA21" s="142"/>
      <c r="BB21" s="143"/>
      <c r="BC21" s="142"/>
      <c r="BD21" s="143"/>
      <c r="BE21" s="142"/>
      <c r="BF21" s="143"/>
      <c r="BG21" s="142">
        <v>0</v>
      </c>
      <c r="BH21" s="143">
        <v>0</v>
      </c>
      <c r="BI21" s="142"/>
      <c r="BJ21" s="143"/>
      <c r="BK21" s="142">
        <v>2030</v>
      </c>
      <c r="BL21" s="143">
        <v>1.99</v>
      </c>
      <c r="BM21" s="142">
        <v>3045</v>
      </c>
      <c r="BN21" s="143">
        <v>2.87</v>
      </c>
      <c r="BO21" s="142"/>
      <c r="BP21" s="143"/>
      <c r="BQ21" s="142"/>
      <c r="BR21" s="143"/>
      <c r="BS21" s="142"/>
      <c r="BT21" s="143"/>
      <c r="BU21" s="142"/>
      <c r="BV21" s="143"/>
      <c r="BW21" s="142">
        <v>3063</v>
      </c>
      <c r="BX21" s="175">
        <v>2.36</v>
      </c>
      <c r="BY21" s="142">
        <v>3045</v>
      </c>
      <c r="BZ21" s="175">
        <v>1.9299999999999995</v>
      </c>
      <c r="CA21" s="142"/>
      <c r="CB21" s="175"/>
      <c r="CC21" s="142"/>
      <c r="CD21" s="175"/>
      <c r="CE21" s="142">
        <v>2030</v>
      </c>
      <c r="CF21" s="175">
        <v>1.36</v>
      </c>
      <c r="CG21" s="142"/>
      <c r="CH21" s="175"/>
      <c r="CI21" s="142"/>
      <c r="CJ21" s="143"/>
      <c r="CK21" s="142"/>
      <c r="CL21" s="143"/>
      <c r="CM21" s="142">
        <v>2030</v>
      </c>
      <c r="CN21" s="175">
        <v>0</v>
      </c>
      <c r="CO21" s="142">
        <v>0</v>
      </c>
      <c r="CP21" s="143">
        <v>0</v>
      </c>
      <c r="CQ21" s="142"/>
      <c r="CR21" s="175"/>
      <c r="CS21" s="142"/>
      <c r="CT21" s="175"/>
      <c r="CU21" s="142"/>
      <c r="CV21" s="175"/>
      <c r="CW21" s="142"/>
      <c r="CX21" s="175"/>
      <c r="CY21" s="142"/>
      <c r="CZ21" s="143"/>
      <c r="DA21" s="142"/>
      <c r="DB21" s="175"/>
      <c r="DC21" s="142"/>
      <c r="DD21" s="175"/>
      <c r="DE21" s="142"/>
      <c r="DF21" s="175"/>
      <c r="DG21" s="142"/>
      <c r="DH21" s="143"/>
      <c r="DI21" s="142"/>
      <c r="DJ21" s="143"/>
      <c r="DK21" s="142"/>
      <c r="DL21" s="143"/>
      <c r="DM21" s="142"/>
      <c r="DN21" s="143"/>
      <c r="DO21" s="142"/>
      <c r="DP21" s="143"/>
      <c r="DQ21" s="142"/>
      <c r="DR21" s="143"/>
      <c r="DS21" s="142"/>
      <c r="DT21" s="143"/>
      <c r="DU21" s="142"/>
      <c r="DV21" s="143"/>
      <c r="DW21" s="142"/>
      <c r="DX21" s="143"/>
      <c r="DY21" s="142"/>
      <c r="DZ21" s="143"/>
      <c r="EA21" s="142"/>
      <c r="EB21" s="143"/>
      <c r="EC21" s="142"/>
      <c r="ED21" s="143"/>
      <c r="EE21" s="142"/>
      <c r="EF21" s="143"/>
      <c r="EG21" s="142"/>
      <c r="EH21" s="143"/>
      <c r="EI21" s="142"/>
      <c r="EJ21" s="143"/>
      <c r="EK21" s="142"/>
      <c r="EL21" s="143"/>
      <c r="EM21" s="142"/>
      <c r="EN21" s="143"/>
      <c r="EO21" s="142"/>
      <c r="EP21" s="143"/>
      <c r="EQ21" s="142"/>
      <c r="ER21" s="143"/>
      <c r="ES21" s="142"/>
      <c r="ET21" s="175"/>
      <c r="EU21" s="142"/>
      <c r="EV21" s="143"/>
      <c r="EW21" s="142"/>
      <c r="EX21" s="175"/>
      <c r="EY21" s="142"/>
      <c r="EZ21" s="143"/>
      <c r="FA21" s="142"/>
      <c r="FB21" s="143"/>
      <c r="FC21" s="142"/>
      <c r="FD21" s="143"/>
      <c r="FE21" s="142"/>
      <c r="FF21" s="143"/>
      <c r="FG21" s="142"/>
      <c r="FH21" s="143"/>
      <c r="FI21" s="142"/>
      <c r="FJ21" s="143"/>
      <c r="FK21" s="142"/>
      <c r="FL21" s="143"/>
      <c r="FM21" s="142"/>
      <c r="FN21" s="143"/>
      <c r="FO21" s="142"/>
      <c r="FP21" s="143"/>
      <c r="FQ21" s="142"/>
      <c r="FR21" s="143"/>
      <c r="FS21" s="142"/>
      <c r="FT21" s="143"/>
      <c r="FU21" s="142"/>
      <c r="FV21" s="143"/>
      <c r="FW21" s="142"/>
      <c r="FX21" s="143"/>
      <c r="FY21" s="142"/>
      <c r="FZ21" s="143"/>
      <c r="GA21" s="142"/>
      <c r="GB21" s="143"/>
      <c r="GC21" s="142"/>
      <c r="GD21" s="143"/>
      <c r="GE21" s="142"/>
      <c r="GF21" s="143"/>
      <c r="GG21" s="142"/>
      <c r="GH21" s="143"/>
      <c r="GI21" s="142"/>
      <c r="GJ21" s="143"/>
      <c r="GK21" s="142"/>
      <c r="GL21" s="143"/>
      <c r="GM21" s="142"/>
      <c r="GN21" s="143"/>
      <c r="GO21" s="142"/>
      <c r="GP21" s="143"/>
      <c r="GQ21" s="142"/>
      <c r="GR21" s="143"/>
      <c r="GS21" s="142"/>
      <c r="GT21" s="143"/>
      <c r="GU21" s="142"/>
      <c r="GV21" s="143"/>
      <c r="GW21" s="142"/>
      <c r="GX21" s="143"/>
      <c r="GY21" s="142"/>
      <c r="GZ21" s="143"/>
      <c r="HA21" s="142"/>
      <c r="HB21" s="143"/>
      <c r="HC21" s="142"/>
      <c r="HD21" s="143"/>
      <c r="HE21" s="142"/>
      <c r="HF21" s="143"/>
      <c r="HG21" s="142"/>
      <c r="HH21" s="143"/>
      <c r="HI21" s="142"/>
      <c r="HJ21" s="143"/>
      <c r="HK21" s="142"/>
      <c r="HL21" s="143"/>
      <c r="HM21" s="142"/>
      <c r="HN21" s="143"/>
      <c r="HO21" s="142"/>
      <c r="HP21" s="143"/>
      <c r="HQ21" s="142"/>
      <c r="HR21" s="143"/>
      <c r="HS21" s="142"/>
      <c r="HT21" s="143"/>
      <c r="HU21" s="142"/>
      <c r="HV21" s="143"/>
      <c r="HW21" s="142"/>
      <c r="HX21" s="143"/>
      <c r="HY21" s="142"/>
      <c r="HZ21" s="143"/>
      <c r="IA21" s="142"/>
      <c r="IB21" s="143"/>
      <c r="IC21" s="142"/>
      <c r="ID21" s="143"/>
      <c r="IE21" s="142"/>
      <c r="IF21" s="143"/>
      <c r="IG21" s="142"/>
      <c r="IH21" s="143"/>
      <c r="II21" s="142"/>
      <c r="IJ21" s="143"/>
      <c r="IK21" s="142"/>
      <c r="IL21" s="143"/>
      <c r="IM21" s="142"/>
      <c r="IN21" s="143"/>
      <c r="IO21" s="142"/>
      <c r="IP21" s="143"/>
      <c r="IQ21" s="142"/>
      <c r="IR21" s="143"/>
      <c r="IS21" s="142"/>
      <c r="IT21" s="143"/>
      <c r="IU21" s="142"/>
      <c r="IV21" s="143"/>
      <c r="IW21" s="142"/>
      <c r="IX21" s="143"/>
      <c r="IY21" s="142"/>
      <c r="IZ21" s="143"/>
    </row>
    <row r="22" spans="1:260" x14ac:dyDescent="0.25">
      <c r="A22" s="1587"/>
      <c r="B22" s="11" t="s">
        <v>5</v>
      </c>
      <c r="C22" s="19" cm="1">
        <f t="array" ref="C22">SUM(_xlfn._xlws.FILTER(E22:IZ22, MOD(COLUMN(E22:IZ22)-COLUMN(E22)+1,2)=1))</f>
        <v>15887.6</v>
      </c>
      <c r="D22" s="26" cm="1">
        <f t="array" ref="D22">SUMPRODUCT(_xlfn._xlws.FILTER(E22:IZ22, MOD(COLUMN(E22:IZ22)-COLUMN(E22)+1,2)=1), _xlfn._xlws.FILTER(E22:IZ22, MOD(COLUMN(E22:IZ22)-COLUMN(E22)+1,2)=0))/C22</f>
        <v>2.1995803400887919</v>
      </c>
      <c r="E22" s="140"/>
      <c r="F22" s="141"/>
      <c r="G22" s="140"/>
      <c r="H22" s="141"/>
      <c r="I22" s="140"/>
      <c r="J22" s="141"/>
      <c r="K22" s="140"/>
      <c r="L22" s="141"/>
      <c r="M22" s="140">
        <v>0</v>
      </c>
      <c r="N22" s="141">
        <v>0</v>
      </c>
      <c r="O22" s="140"/>
      <c r="P22" s="141"/>
      <c r="Q22" s="140">
        <v>0</v>
      </c>
      <c r="R22" s="141">
        <v>0</v>
      </c>
      <c r="S22" s="140">
        <v>0</v>
      </c>
      <c r="T22" s="141">
        <v>0</v>
      </c>
      <c r="U22" s="140">
        <v>3149.7999999999997</v>
      </c>
      <c r="V22" s="141">
        <v>1.2903291541489252</v>
      </c>
      <c r="W22" s="140"/>
      <c r="X22" s="141"/>
      <c r="Y22" s="140"/>
      <c r="Z22" s="141"/>
      <c r="AA22" s="140"/>
      <c r="AB22" s="141"/>
      <c r="AC22" s="140"/>
      <c r="AD22" s="141"/>
      <c r="AE22" s="140"/>
      <c r="AF22" s="141"/>
      <c r="AG22" s="140"/>
      <c r="AH22" s="141"/>
      <c r="AI22" s="140"/>
      <c r="AJ22" s="141"/>
      <c r="AK22" s="140"/>
      <c r="AL22" s="141"/>
      <c r="AM22" s="140">
        <v>35</v>
      </c>
      <c r="AN22" s="141">
        <v>0.8361332918885036</v>
      </c>
      <c r="AO22" s="140"/>
      <c r="AP22" s="141"/>
      <c r="AQ22" s="140"/>
      <c r="AR22" s="141"/>
      <c r="AS22" s="140"/>
      <c r="AT22" s="141"/>
      <c r="AU22" s="140">
        <v>2264</v>
      </c>
      <c r="AV22" s="141">
        <v>1.4864591855795619</v>
      </c>
      <c r="AW22" s="140"/>
      <c r="AX22" s="141"/>
      <c r="AY22" s="140"/>
      <c r="AZ22" s="141"/>
      <c r="BA22" s="140"/>
      <c r="BB22" s="141"/>
      <c r="BC22" s="140"/>
      <c r="BD22" s="141"/>
      <c r="BE22" s="140"/>
      <c r="BF22" s="141"/>
      <c r="BG22" s="140">
        <v>850</v>
      </c>
      <c r="BH22" s="141">
        <v>1.4245233861804134</v>
      </c>
      <c r="BI22" s="140"/>
      <c r="BJ22" s="141"/>
      <c r="BK22" s="140">
        <v>1464.6</v>
      </c>
      <c r="BL22" s="141">
        <v>2.384528276867214</v>
      </c>
      <c r="BM22" s="140">
        <v>2252</v>
      </c>
      <c r="BN22" s="141">
        <v>1.7032344834765811</v>
      </c>
      <c r="BO22" s="140"/>
      <c r="BP22" s="141"/>
      <c r="BQ22" s="140"/>
      <c r="BR22" s="141"/>
      <c r="BS22" s="140"/>
      <c r="BT22" s="141"/>
      <c r="BU22" s="140"/>
      <c r="BV22" s="141"/>
      <c r="BW22" s="140">
        <v>1636</v>
      </c>
      <c r="BX22" s="178">
        <v>1.9509776810731752</v>
      </c>
      <c r="BY22" s="140">
        <v>3288.6000000000004</v>
      </c>
      <c r="BZ22" s="178">
        <v>4.2838927917744325</v>
      </c>
      <c r="CA22" s="140"/>
      <c r="CB22" s="178"/>
      <c r="CC22" s="140"/>
      <c r="CD22" s="178"/>
      <c r="CE22" s="140">
        <v>300</v>
      </c>
      <c r="CF22" s="178">
        <v>1.6619439505438158</v>
      </c>
      <c r="CG22" s="140"/>
      <c r="CH22" s="178"/>
      <c r="CI22" s="140"/>
      <c r="CJ22" s="141"/>
      <c r="CK22" s="140"/>
      <c r="CL22" s="141"/>
      <c r="CM22" s="140">
        <v>0</v>
      </c>
      <c r="CN22" s="178">
        <v>0</v>
      </c>
      <c r="CO22" s="140">
        <v>647.59999999999991</v>
      </c>
      <c r="CP22" s="141">
        <v>1.8064608158084954</v>
      </c>
      <c r="CQ22" s="140"/>
      <c r="CR22" s="178"/>
      <c r="CS22" s="140"/>
      <c r="CT22" s="178"/>
      <c r="CU22" s="140"/>
      <c r="CV22" s="178"/>
      <c r="CW22" s="140"/>
      <c r="CX22" s="178"/>
      <c r="CY22" s="140"/>
      <c r="CZ22" s="141"/>
      <c r="DA22" s="140"/>
      <c r="DB22" s="178"/>
      <c r="DC22" s="140"/>
      <c r="DD22" s="178"/>
      <c r="DE22" s="140"/>
      <c r="DF22" s="178"/>
      <c r="DG22" s="140"/>
      <c r="DH22" s="141"/>
      <c r="DI22" s="140"/>
      <c r="DJ22" s="141"/>
      <c r="DK22" s="140"/>
      <c r="DL22" s="141"/>
      <c r="DM22" s="140"/>
      <c r="DN22" s="141"/>
      <c r="DO22" s="140"/>
      <c r="DP22" s="141"/>
      <c r="DQ22" s="140"/>
      <c r="DR22" s="141"/>
      <c r="DS22" s="140"/>
      <c r="DT22" s="141"/>
      <c r="DU22" s="140"/>
      <c r="DV22" s="141"/>
      <c r="DW22" s="140"/>
      <c r="DX22" s="141"/>
      <c r="DY22" s="140"/>
      <c r="DZ22" s="141"/>
      <c r="EA22" s="140"/>
      <c r="EB22" s="141"/>
      <c r="EC22" s="140"/>
      <c r="ED22" s="141"/>
      <c r="EE22" s="140"/>
      <c r="EF22" s="141"/>
      <c r="EG22" s="140"/>
      <c r="EH22" s="141"/>
      <c r="EI22" s="140"/>
      <c r="EJ22" s="141"/>
      <c r="EK22" s="140"/>
      <c r="EL22" s="141"/>
      <c r="EM22" s="140"/>
      <c r="EN22" s="141"/>
      <c r="EO22" s="140"/>
      <c r="EP22" s="141"/>
      <c r="EQ22" s="140"/>
      <c r="ER22" s="141"/>
      <c r="ES22" s="140"/>
      <c r="ET22" s="178"/>
      <c r="EU22" s="140"/>
      <c r="EV22" s="141"/>
      <c r="EW22" s="140"/>
      <c r="EX22" s="178"/>
      <c r="EY22" s="140"/>
      <c r="EZ22" s="141"/>
      <c r="FA22" s="140"/>
      <c r="FB22" s="141"/>
      <c r="FC22" s="140"/>
      <c r="FD22" s="141"/>
      <c r="FE22" s="140"/>
      <c r="FF22" s="141"/>
      <c r="FG22" s="140"/>
      <c r="FH22" s="141"/>
      <c r="FI22" s="140"/>
      <c r="FJ22" s="141"/>
      <c r="FK22" s="140"/>
      <c r="FL22" s="141"/>
      <c r="FM22" s="140"/>
      <c r="FN22" s="141"/>
      <c r="FO22" s="140"/>
      <c r="FP22" s="141"/>
      <c r="FQ22" s="140"/>
      <c r="FR22" s="141"/>
      <c r="FS22" s="140"/>
      <c r="FT22" s="141"/>
      <c r="FU22" s="140"/>
      <c r="FV22" s="141"/>
      <c r="FW22" s="140"/>
      <c r="FX22" s="141"/>
      <c r="FY22" s="140"/>
      <c r="FZ22" s="141"/>
      <c r="GA22" s="140"/>
      <c r="GB22" s="141"/>
      <c r="GC22" s="140"/>
      <c r="GD22" s="141"/>
      <c r="GE22" s="140"/>
      <c r="GF22" s="141"/>
      <c r="GG22" s="140"/>
      <c r="GH22" s="141"/>
      <c r="GI22" s="140"/>
      <c r="GJ22" s="141"/>
      <c r="GK22" s="140"/>
      <c r="GL22" s="141"/>
      <c r="GM22" s="140"/>
      <c r="GN22" s="141"/>
      <c r="GO22" s="140"/>
      <c r="GP22" s="141"/>
      <c r="GQ22" s="140"/>
      <c r="GR22" s="141"/>
      <c r="GS22" s="140"/>
      <c r="GT22" s="141"/>
      <c r="GU22" s="140"/>
      <c r="GV22" s="141"/>
      <c r="GW22" s="140"/>
      <c r="GX22" s="141"/>
      <c r="GY22" s="140"/>
      <c r="GZ22" s="141"/>
      <c r="HA22" s="140"/>
      <c r="HB22" s="141"/>
      <c r="HC22" s="140"/>
      <c r="HD22" s="141"/>
      <c r="HE22" s="140"/>
      <c r="HF22" s="141"/>
      <c r="HG22" s="140"/>
      <c r="HH22" s="141"/>
      <c r="HI22" s="140"/>
      <c r="HJ22" s="141"/>
      <c r="HK22" s="140"/>
      <c r="HL22" s="141"/>
      <c r="HM22" s="140"/>
      <c r="HN22" s="141"/>
      <c r="HO22" s="140"/>
      <c r="HP22" s="141"/>
      <c r="HQ22" s="140"/>
      <c r="HR22" s="141"/>
      <c r="HS22" s="140"/>
      <c r="HT22" s="141"/>
      <c r="HU22" s="140"/>
      <c r="HV22" s="141"/>
      <c r="HW22" s="140"/>
      <c r="HX22" s="141"/>
      <c r="HY22" s="140"/>
      <c r="HZ22" s="141"/>
      <c r="IA22" s="140"/>
      <c r="IB22" s="141"/>
      <c r="IC22" s="140"/>
      <c r="ID22" s="141"/>
      <c r="IE22" s="140"/>
      <c r="IF22" s="141"/>
      <c r="IG22" s="140"/>
      <c r="IH22" s="141"/>
      <c r="II22" s="140"/>
      <c r="IJ22" s="141"/>
      <c r="IK22" s="140"/>
      <c r="IL22" s="141"/>
      <c r="IM22" s="140"/>
      <c r="IN22" s="141"/>
      <c r="IO22" s="140"/>
      <c r="IP22" s="141"/>
      <c r="IQ22" s="140"/>
      <c r="IR22" s="141"/>
      <c r="IS22" s="140"/>
      <c r="IT22" s="141"/>
      <c r="IU22" s="140"/>
      <c r="IV22" s="141"/>
      <c r="IW22" s="140"/>
      <c r="IX22" s="141"/>
      <c r="IY22" s="140"/>
      <c r="IZ22" s="141"/>
    </row>
    <row r="23" spans="1:260" x14ac:dyDescent="0.25">
      <c r="A23" s="1586">
        <v>45536</v>
      </c>
      <c r="B23" s="16" t="s">
        <v>211</v>
      </c>
      <c r="C23" s="22">
        <v>23396.93</v>
      </c>
      <c r="D23" s="29">
        <v>2.0345551446279493</v>
      </c>
      <c r="E23" s="146"/>
      <c r="F23" s="147"/>
      <c r="G23" s="146"/>
      <c r="H23" s="147"/>
      <c r="I23" s="146"/>
      <c r="J23" s="147"/>
      <c r="K23" s="146"/>
      <c r="L23" s="147"/>
      <c r="M23" s="146"/>
      <c r="N23" s="147"/>
      <c r="O23" s="146"/>
      <c r="P23" s="147"/>
      <c r="Q23" s="146"/>
      <c r="R23" s="147"/>
      <c r="S23" s="146"/>
      <c r="T23" s="147"/>
      <c r="U23" s="146"/>
      <c r="V23" s="147"/>
      <c r="W23" s="146"/>
      <c r="X23" s="147"/>
      <c r="Y23" s="146"/>
      <c r="Z23" s="147"/>
      <c r="AA23" s="146"/>
      <c r="AB23" s="147"/>
      <c r="AC23" s="146"/>
      <c r="AD23" s="147"/>
      <c r="AE23" s="146"/>
      <c r="AF23" s="147"/>
      <c r="AG23" s="146"/>
      <c r="AH23" s="147"/>
      <c r="AI23" s="146"/>
      <c r="AJ23" s="147"/>
      <c r="AK23" s="146"/>
      <c r="AL23" s="147"/>
      <c r="AM23" s="146"/>
      <c r="AN23" s="147"/>
      <c r="AO23" s="146"/>
      <c r="AP23" s="147"/>
      <c r="AQ23" s="146"/>
      <c r="AR23" s="147"/>
      <c r="AS23" s="146"/>
      <c r="AT23" s="147"/>
      <c r="AU23" s="146"/>
      <c r="AV23" s="147"/>
      <c r="AW23" s="146"/>
      <c r="AX23" s="147"/>
      <c r="AY23" s="146"/>
      <c r="AZ23" s="147"/>
      <c r="BA23" s="146"/>
      <c r="BB23" s="147"/>
      <c r="BC23" s="146"/>
      <c r="BD23" s="147"/>
      <c r="BE23" s="146"/>
      <c r="BF23" s="147"/>
      <c r="BG23" s="146"/>
      <c r="BH23" s="147"/>
      <c r="BI23" s="146"/>
      <c r="BJ23" s="147"/>
      <c r="BK23" s="146"/>
      <c r="BL23" s="147"/>
      <c r="BM23" s="146"/>
      <c r="BN23" s="147"/>
      <c r="BO23" s="146"/>
      <c r="BP23" s="147"/>
      <c r="BQ23" s="146"/>
      <c r="BR23" s="147"/>
      <c r="BS23" s="146"/>
      <c r="BT23" s="147"/>
      <c r="BU23" s="146"/>
      <c r="BV23" s="147"/>
      <c r="BW23" s="146"/>
      <c r="BX23" s="179"/>
      <c r="BY23" s="146"/>
      <c r="BZ23" s="179"/>
      <c r="CA23" s="146"/>
      <c r="CB23" s="179"/>
      <c r="CC23" s="146"/>
      <c r="CD23" s="179"/>
      <c r="CE23" s="146"/>
      <c r="CF23" s="179"/>
      <c r="CG23" s="146"/>
      <c r="CH23" s="179"/>
      <c r="CI23" s="146"/>
      <c r="CJ23" s="147"/>
      <c r="CK23" s="146"/>
      <c r="CL23" s="147"/>
      <c r="CM23" s="146"/>
      <c r="CN23" s="179"/>
      <c r="CO23" s="146"/>
      <c r="CP23" s="147"/>
      <c r="CQ23" s="146"/>
      <c r="CR23" s="179"/>
      <c r="CS23" s="146"/>
      <c r="CT23" s="179"/>
      <c r="CU23" s="146"/>
      <c r="CV23" s="179"/>
      <c r="CW23" s="146"/>
      <c r="CX23" s="179"/>
      <c r="CY23" s="146"/>
      <c r="CZ23" s="147"/>
      <c r="DA23" s="146"/>
      <c r="DB23" s="179"/>
      <c r="DC23" s="146"/>
      <c r="DD23" s="179"/>
      <c r="DE23" s="146"/>
      <c r="DF23" s="179"/>
      <c r="DG23" s="146"/>
      <c r="DH23" s="147"/>
      <c r="DI23" s="146"/>
      <c r="DJ23" s="147"/>
      <c r="DK23" s="146"/>
      <c r="DL23" s="147"/>
      <c r="DM23" s="146"/>
      <c r="DN23" s="147"/>
      <c r="DO23" s="146"/>
      <c r="DP23" s="147"/>
      <c r="DQ23" s="146"/>
      <c r="DR23" s="147"/>
      <c r="DS23" s="146"/>
      <c r="DT23" s="147"/>
      <c r="DU23" s="146"/>
      <c r="DV23" s="147"/>
      <c r="DW23" s="146"/>
      <c r="DX23" s="147"/>
      <c r="DY23" s="146"/>
      <c r="DZ23" s="147"/>
      <c r="EA23" s="146"/>
      <c r="EB23" s="147"/>
      <c r="EC23" s="146"/>
      <c r="ED23" s="147"/>
      <c r="EE23" s="146"/>
      <c r="EF23" s="147"/>
      <c r="EG23" s="146"/>
      <c r="EH23" s="147"/>
      <c r="EI23" s="146"/>
      <c r="EJ23" s="147"/>
      <c r="EK23" s="146"/>
      <c r="EL23" s="147"/>
      <c r="EM23" s="146"/>
      <c r="EN23" s="147"/>
      <c r="EO23" s="146"/>
      <c r="EP23" s="147"/>
      <c r="EQ23" s="146"/>
      <c r="ER23" s="147"/>
      <c r="ES23" s="146"/>
      <c r="ET23" s="179"/>
      <c r="EU23" s="146"/>
      <c r="EV23" s="147"/>
      <c r="EW23" s="146"/>
      <c r="EX23" s="179"/>
      <c r="EY23" s="146"/>
      <c r="EZ23" s="147"/>
      <c r="FA23" s="146"/>
      <c r="FB23" s="147"/>
      <c r="FC23" s="146"/>
      <c r="FD23" s="147"/>
      <c r="FE23" s="146"/>
      <c r="FF23" s="147"/>
      <c r="FG23" s="146"/>
      <c r="FH23" s="147"/>
      <c r="FI23" s="146"/>
      <c r="FJ23" s="147"/>
      <c r="FK23" s="146"/>
      <c r="FL23" s="147"/>
      <c r="FM23" s="146"/>
      <c r="FN23" s="147"/>
      <c r="FO23" s="146"/>
      <c r="FP23" s="147"/>
      <c r="FQ23" s="146"/>
      <c r="FR23" s="147"/>
      <c r="FS23" s="146"/>
      <c r="FT23" s="147"/>
      <c r="FU23" s="146"/>
      <c r="FV23" s="147"/>
      <c r="FW23" s="146"/>
      <c r="FX23" s="147"/>
      <c r="FY23" s="146"/>
      <c r="FZ23" s="147"/>
      <c r="GA23" s="146"/>
      <c r="GB23" s="147"/>
      <c r="GC23" s="146"/>
      <c r="GD23" s="147"/>
      <c r="GE23" s="146"/>
      <c r="GF23" s="147"/>
      <c r="GG23" s="146"/>
      <c r="GH23" s="147"/>
      <c r="GI23" s="146"/>
      <c r="GJ23" s="147"/>
      <c r="GK23" s="146"/>
      <c r="GL23" s="147"/>
      <c r="GM23" s="146"/>
      <c r="GN23" s="147"/>
      <c r="GO23" s="146"/>
      <c r="GP23" s="147"/>
      <c r="GQ23" s="146"/>
      <c r="GR23" s="147"/>
      <c r="GS23" s="146"/>
      <c r="GT23" s="147"/>
      <c r="GU23" s="146"/>
      <c r="GV23" s="147"/>
      <c r="GW23" s="146"/>
      <c r="GX23" s="147"/>
      <c r="GY23" s="146"/>
      <c r="GZ23" s="147"/>
      <c r="HA23" s="146"/>
      <c r="HB23" s="147"/>
      <c r="HC23" s="146"/>
      <c r="HD23" s="147"/>
      <c r="HE23" s="146"/>
      <c r="HF23" s="147"/>
      <c r="HG23" s="146"/>
      <c r="HH23" s="147"/>
      <c r="HI23" s="146"/>
      <c r="HJ23" s="147"/>
      <c r="HK23" s="146"/>
      <c r="HL23" s="147"/>
      <c r="HM23" s="146"/>
      <c r="HN23" s="147"/>
      <c r="HO23" s="146"/>
      <c r="HP23" s="147"/>
      <c r="HQ23" s="146"/>
      <c r="HR23" s="147"/>
      <c r="HS23" s="146"/>
      <c r="HT23" s="147"/>
      <c r="HU23" s="146"/>
      <c r="HV23" s="147"/>
      <c r="HW23" s="146"/>
      <c r="HX23" s="147"/>
      <c r="HY23" s="146"/>
      <c r="HZ23" s="147"/>
      <c r="IA23" s="146"/>
      <c r="IB23" s="147"/>
      <c r="IC23" s="146"/>
      <c r="ID23" s="147"/>
      <c r="IE23" s="146"/>
      <c r="IF23" s="147"/>
      <c r="IG23" s="146"/>
      <c r="IH23" s="147"/>
      <c r="II23" s="146"/>
      <c r="IJ23" s="147"/>
      <c r="IK23" s="146"/>
      <c r="IL23" s="147"/>
      <c r="IM23" s="146"/>
      <c r="IN23" s="147"/>
      <c r="IO23" s="146"/>
      <c r="IP23" s="147"/>
      <c r="IQ23" s="146"/>
      <c r="IR23" s="147"/>
      <c r="IS23" s="146"/>
      <c r="IT23" s="147"/>
      <c r="IU23" s="146"/>
      <c r="IV23" s="147"/>
      <c r="IW23" s="146"/>
      <c r="IX23" s="147"/>
      <c r="IY23" s="146"/>
      <c r="IZ23" s="147"/>
    </row>
    <row r="24" spans="1:260" x14ac:dyDescent="0.25">
      <c r="A24" s="1587"/>
      <c r="B24" s="16" t="s">
        <v>5</v>
      </c>
      <c r="C24" s="22">
        <v>15200</v>
      </c>
      <c r="D24" s="30">
        <v>1.75</v>
      </c>
      <c r="E24" s="146"/>
      <c r="F24" s="147"/>
      <c r="G24" s="146"/>
      <c r="H24" s="147"/>
      <c r="I24" s="146"/>
      <c r="J24" s="147"/>
      <c r="K24" s="146"/>
      <c r="L24" s="147"/>
      <c r="M24" s="146"/>
      <c r="N24" s="147"/>
      <c r="O24" s="146"/>
      <c r="P24" s="147"/>
      <c r="Q24" s="146"/>
      <c r="R24" s="147"/>
      <c r="S24" s="146"/>
      <c r="T24" s="147"/>
      <c r="U24" s="146"/>
      <c r="V24" s="147"/>
      <c r="W24" s="146"/>
      <c r="X24" s="147"/>
      <c r="Y24" s="146"/>
      <c r="Z24" s="147"/>
      <c r="AA24" s="146"/>
      <c r="AB24" s="147"/>
      <c r="AC24" s="146"/>
      <c r="AD24" s="147"/>
      <c r="AE24" s="146"/>
      <c r="AF24" s="147"/>
      <c r="AG24" s="146"/>
      <c r="AH24" s="147"/>
      <c r="AI24" s="146"/>
      <c r="AJ24" s="147"/>
      <c r="AK24" s="146"/>
      <c r="AL24" s="147"/>
      <c r="AM24" s="146"/>
      <c r="AN24" s="147"/>
      <c r="AO24" s="146"/>
      <c r="AP24" s="147"/>
      <c r="AQ24" s="146"/>
      <c r="AR24" s="147"/>
      <c r="AS24" s="146"/>
      <c r="AT24" s="147"/>
      <c r="AU24" s="146"/>
      <c r="AV24" s="147"/>
      <c r="AW24" s="146"/>
      <c r="AX24" s="147"/>
      <c r="AY24" s="146"/>
      <c r="AZ24" s="147"/>
      <c r="BA24" s="146"/>
      <c r="BB24" s="147"/>
      <c r="BC24" s="146"/>
      <c r="BD24" s="147"/>
      <c r="BE24" s="146"/>
      <c r="BF24" s="147"/>
      <c r="BG24" s="146"/>
      <c r="BH24" s="147"/>
      <c r="BI24" s="146"/>
      <c r="BJ24" s="147"/>
      <c r="BK24" s="146"/>
      <c r="BL24" s="147"/>
      <c r="BM24" s="146"/>
      <c r="BN24" s="147"/>
      <c r="BO24" s="146"/>
      <c r="BP24" s="147"/>
      <c r="BQ24" s="146"/>
      <c r="BR24" s="147"/>
      <c r="BS24" s="146"/>
      <c r="BT24" s="147"/>
      <c r="BU24" s="146"/>
      <c r="BV24" s="147"/>
      <c r="BW24" s="146"/>
      <c r="BX24" s="179"/>
      <c r="BY24" s="146"/>
      <c r="BZ24" s="179"/>
      <c r="CA24" s="146"/>
      <c r="CB24" s="179"/>
      <c r="CC24" s="146"/>
      <c r="CD24" s="179"/>
      <c r="CE24" s="146"/>
      <c r="CF24" s="179"/>
      <c r="CG24" s="146"/>
      <c r="CH24" s="179"/>
      <c r="CI24" s="146"/>
      <c r="CJ24" s="147"/>
      <c r="CK24" s="146"/>
      <c r="CL24" s="147"/>
      <c r="CM24" s="146"/>
      <c r="CN24" s="179"/>
      <c r="CO24" s="146"/>
      <c r="CP24" s="147"/>
      <c r="CQ24" s="146"/>
      <c r="CR24" s="179"/>
      <c r="CS24" s="146"/>
      <c r="CT24" s="179"/>
      <c r="CU24" s="146"/>
      <c r="CV24" s="179"/>
      <c r="CW24" s="146"/>
      <c r="CX24" s="179"/>
      <c r="CY24" s="146"/>
      <c r="CZ24" s="147"/>
      <c r="DA24" s="146"/>
      <c r="DB24" s="179"/>
      <c r="DC24" s="146"/>
      <c r="DD24" s="179"/>
      <c r="DE24" s="146"/>
      <c r="DF24" s="179"/>
      <c r="DG24" s="146"/>
      <c r="DH24" s="147"/>
      <c r="DI24" s="146"/>
      <c r="DJ24" s="147"/>
      <c r="DK24" s="146"/>
      <c r="DL24" s="147"/>
      <c r="DM24" s="146"/>
      <c r="DN24" s="147"/>
      <c r="DO24" s="146"/>
      <c r="DP24" s="147"/>
      <c r="DQ24" s="146"/>
      <c r="DR24" s="147"/>
      <c r="DS24" s="146"/>
      <c r="DT24" s="147"/>
      <c r="DU24" s="146"/>
      <c r="DV24" s="147"/>
      <c r="DW24" s="146"/>
      <c r="DX24" s="147"/>
      <c r="DY24" s="146"/>
      <c r="DZ24" s="147"/>
      <c r="EA24" s="146"/>
      <c r="EB24" s="147"/>
      <c r="EC24" s="146"/>
      <c r="ED24" s="147"/>
      <c r="EE24" s="146"/>
      <c r="EF24" s="147"/>
      <c r="EG24" s="146"/>
      <c r="EH24" s="147"/>
      <c r="EI24" s="146"/>
      <c r="EJ24" s="147"/>
      <c r="EK24" s="146"/>
      <c r="EL24" s="147"/>
      <c r="EM24" s="146"/>
      <c r="EN24" s="147"/>
      <c r="EO24" s="146"/>
      <c r="EP24" s="147"/>
      <c r="EQ24" s="146"/>
      <c r="ER24" s="147"/>
      <c r="ES24" s="146"/>
      <c r="ET24" s="179"/>
      <c r="EU24" s="146"/>
      <c r="EV24" s="147"/>
      <c r="EW24" s="146"/>
      <c r="EX24" s="179"/>
      <c r="EY24" s="146"/>
      <c r="EZ24" s="147"/>
      <c r="FA24" s="146"/>
      <c r="FB24" s="147"/>
      <c r="FC24" s="146"/>
      <c r="FD24" s="147"/>
      <c r="FE24" s="146"/>
      <c r="FF24" s="147"/>
      <c r="FG24" s="146"/>
      <c r="FH24" s="147"/>
      <c r="FI24" s="146"/>
      <c r="FJ24" s="147"/>
      <c r="FK24" s="146"/>
      <c r="FL24" s="147"/>
      <c r="FM24" s="146"/>
      <c r="FN24" s="147"/>
      <c r="FO24" s="146"/>
      <c r="FP24" s="147"/>
      <c r="FQ24" s="146"/>
      <c r="FR24" s="147"/>
      <c r="FS24" s="146"/>
      <c r="FT24" s="147"/>
      <c r="FU24" s="146"/>
      <c r="FV24" s="147"/>
      <c r="FW24" s="146"/>
      <c r="FX24" s="147"/>
      <c r="FY24" s="146"/>
      <c r="FZ24" s="147"/>
      <c r="GA24" s="146"/>
      <c r="GB24" s="147"/>
      <c r="GC24" s="146"/>
      <c r="GD24" s="147"/>
      <c r="GE24" s="146"/>
      <c r="GF24" s="147"/>
      <c r="GG24" s="146"/>
      <c r="GH24" s="147"/>
      <c r="GI24" s="146"/>
      <c r="GJ24" s="147"/>
      <c r="GK24" s="146"/>
      <c r="GL24" s="147"/>
      <c r="GM24" s="146"/>
      <c r="GN24" s="147"/>
      <c r="GO24" s="146"/>
      <c r="GP24" s="147"/>
      <c r="GQ24" s="146"/>
      <c r="GR24" s="147"/>
      <c r="GS24" s="146"/>
      <c r="GT24" s="147"/>
      <c r="GU24" s="146"/>
      <c r="GV24" s="147"/>
      <c r="GW24" s="146"/>
      <c r="GX24" s="147"/>
      <c r="GY24" s="146"/>
      <c r="GZ24" s="147"/>
      <c r="HA24" s="146"/>
      <c r="HB24" s="147"/>
      <c r="HC24" s="146"/>
      <c r="HD24" s="147"/>
      <c r="HE24" s="146"/>
      <c r="HF24" s="147"/>
      <c r="HG24" s="146"/>
      <c r="HH24" s="147"/>
      <c r="HI24" s="146"/>
      <c r="HJ24" s="147"/>
      <c r="HK24" s="146"/>
      <c r="HL24" s="147"/>
      <c r="HM24" s="146"/>
      <c r="HN24" s="147"/>
      <c r="HO24" s="146"/>
      <c r="HP24" s="147"/>
      <c r="HQ24" s="146"/>
      <c r="HR24" s="147"/>
      <c r="HS24" s="146"/>
      <c r="HT24" s="147"/>
      <c r="HU24" s="146"/>
      <c r="HV24" s="147"/>
      <c r="HW24" s="146"/>
      <c r="HX24" s="147"/>
      <c r="HY24" s="146"/>
      <c r="HZ24" s="147"/>
      <c r="IA24" s="146"/>
      <c r="IB24" s="147"/>
      <c r="IC24" s="146"/>
      <c r="ID24" s="147"/>
      <c r="IE24" s="146"/>
      <c r="IF24" s="147"/>
      <c r="IG24" s="146"/>
      <c r="IH24" s="147"/>
      <c r="II24" s="146"/>
      <c r="IJ24" s="147"/>
      <c r="IK24" s="146"/>
      <c r="IL24" s="147"/>
      <c r="IM24" s="146"/>
      <c r="IN24" s="147"/>
      <c r="IO24" s="146"/>
      <c r="IP24" s="147"/>
      <c r="IQ24" s="146"/>
      <c r="IR24" s="147"/>
      <c r="IS24" s="146"/>
      <c r="IT24" s="147"/>
      <c r="IU24" s="146"/>
      <c r="IV24" s="147"/>
      <c r="IW24" s="146"/>
      <c r="IX24" s="147"/>
      <c r="IY24" s="146"/>
      <c r="IZ24" s="147"/>
    </row>
    <row r="25" spans="1:260" x14ac:dyDescent="0.25">
      <c r="A25" s="1577" t="s">
        <v>214</v>
      </c>
      <c r="B25" s="130" t="s">
        <v>211</v>
      </c>
      <c r="C25" s="131">
        <f>SUM(C19,C21,C23)</f>
        <v>69614.929999999993</v>
      </c>
      <c r="D25" s="132">
        <f>((C19*D19)+(C21*D21)+(C23*D23))/C25</f>
        <v>1.8430489594688957</v>
      </c>
      <c r="E25" s="144">
        <f>IFERROR(SUM(E19,E21,E23),"")</f>
        <v>0</v>
      </c>
      <c r="F25" s="145" t="str">
        <f>IFERROR((E19*F19+E21*F21+E23*F23)/E25,"")</f>
        <v/>
      </c>
      <c r="G25" s="144">
        <f t="shared" ref="G25" si="943">IFERROR(SUM(G19,G21,G23),"")</f>
        <v>0</v>
      </c>
      <c r="H25" s="145" t="str">
        <f>IFERROR((G19*H19+G21*H21+G23*H23)/G25,"")</f>
        <v/>
      </c>
      <c r="I25" s="144">
        <f t="shared" ref="I25" si="944">IFERROR(SUM(I19,I21,I23),"")</f>
        <v>0</v>
      </c>
      <c r="J25" s="145" t="str">
        <f t="shared" ref="J25" si="945">IFERROR((I19*J19+I21*J21+I23*J23)/I25,"")</f>
        <v/>
      </c>
      <c r="K25" s="144">
        <f t="shared" ref="K25" si="946">IFERROR(SUM(K19,K21,K23),"")</f>
        <v>0</v>
      </c>
      <c r="L25" s="145" t="str">
        <f t="shared" ref="L25" si="947">IFERROR((K19*L19+K21*L21+K23*L23)/K25,"")</f>
        <v/>
      </c>
      <c r="M25" s="144">
        <f t="shared" ref="M25" si="948">IFERROR(SUM(M19,M21,M23),"")</f>
        <v>0</v>
      </c>
      <c r="N25" s="145" t="str">
        <f t="shared" ref="N25" si="949">IFERROR((M19*N19+M21*N21+M23*N23)/M25,"")</f>
        <v/>
      </c>
      <c r="O25" s="144">
        <f t="shared" ref="O25" si="950">IFERROR(SUM(O19,O21,O23),"")</f>
        <v>0</v>
      </c>
      <c r="P25" s="145" t="str">
        <f t="shared" ref="P25" si="951">IFERROR((O19*P19+O21*P21+O23*P23)/O25,"")</f>
        <v/>
      </c>
      <c r="Q25" s="144">
        <f t="shared" ref="Q25" si="952">IFERROR(SUM(Q19,Q21,Q23),"")</f>
        <v>0</v>
      </c>
      <c r="R25" s="145" t="str">
        <f t="shared" ref="R25:R26" si="953">IFERROR((Q19*R19+Q21*R21+Q23*R23)/Q25,"")</f>
        <v/>
      </c>
      <c r="S25" s="144">
        <f t="shared" ref="S25" si="954">IFERROR(SUM(S19,S21,S23),"")</f>
        <v>4200</v>
      </c>
      <c r="T25" s="145">
        <f t="shared" ref="T25" si="955">IFERROR((S19*T19+S21*T21+S23*T23)/S25,"")</f>
        <v>1.5383333333333333</v>
      </c>
      <c r="U25" s="144">
        <f t="shared" ref="U25" si="956">IFERROR(SUM(U19,U21,U23),"")</f>
        <v>6300</v>
      </c>
      <c r="V25" s="145">
        <f t="shared" ref="V25" si="957">IFERROR((U19*V19+U21*V21+U23*V23)/U25,"")</f>
        <v>1.741333333333333</v>
      </c>
      <c r="W25" s="144">
        <f t="shared" ref="W25" si="958">IFERROR(SUM(W19,W21,W23),"")</f>
        <v>0</v>
      </c>
      <c r="X25" s="145" t="str">
        <f t="shared" ref="X25" si="959">IFERROR((W19*X19+W21*X21+W23*X23)/W25,"")</f>
        <v/>
      </c>
      <c r="Y25" s="144">
        <f t="shared" ref="Y25" si="960">IFERROR(SUM(Y19,Y21,Y23),"")</f>
        <v>0</v>
      </c>
      <c r="Z25" s="145" t="str">
        <f t="shared" ref="Z25" si="961">IFERROR((Y19*Z19+Y21*Z21+Y23*Z23)/Y25,"")</f>
        <v/>
      </c>
      <c r="AA25" s="144">
        <f t="shared" ref="AA25" si="962">IFERROR(SUM(AA19,AA21,AA23),"")</f>
        <v>0</v>
      </c>
      <c r="AB25" s="145" t="str">
        <f t="shared" ref="AB25" si="963">IFERROR((AA19*AB19+AA21*AB21+AA23*AB23)/AA25,"")</f>
        <v/>
      </c>
      <c r="AC25" s="144">
        <f t="shared" ref="AC25" si="964">IFERROR(SUM(AC19,AC21,AC23),"")</f>
        <v>0</v>
      </c>
      <c r="AD25" s="145" t="str">
        <f t="shared" ref="AD25" si="965">IFERROR((AC19*AD19+AC21*AD21+AC23*AD23)/AC25,"")</f>
        <v/>
      </c>
      <c r="AE25" s="144">
        <f t="shared" ref="AE25" si="966">IFERROR(SUM(AE19,AE21,AE23),"")</f>
        <v>0</v>
      </c>
      <c r="AF25" s="145" t="str">
        <f t="shared" ref="AF25" si="967">IFERROR((AE19*AF19+AE21*AF21+AE23*AF23)/AE25,"")</f>
        <v/>
      </c>
      <c r="AG25" s="144">
        <f t="shared" ref="AG25" si="968">IFERROR(SUM(AG19,AG21,AG23),"")</f>
        <v>0</v>
      </c>
      <c r="AH25" s="145" t="str">
        <f t="shared" ref="AH25" si="969">IFERROR((AG19*AH19+AG21*AH21+AG23*AH23)/AG25,"")</f>
        <v/>
      </c>
      <c r="AI25" s="144">
        <f t="shared" ref="AI25" si="970">IFERROR(SUM(AI19,AI21,AI23),"")</f>
        <v>0</v>
      </c>
      <c r="AJ25" s="145" t="str">
        <f t="shared" ref="AJ25" si="971">IFERROR((AI19*AJ19+AI21*AJ21+AI23*AJ23)/AI25,"")</f>
        <v/>
      </c>
      <c r="AK25" s="144">
        <f t="shared" ref="AK25" si="972">IFERROR(SUM(AK19,AK21,AK23),"")</f>
        <v>0</v>
      </c>
      <c r="AL25" s="145" t="str">
        <f t="shared" ref="AL25" si="973">IFERROR((AK19*AL19+AK21*AL21+AK23*AL23)/AK25,"")</f>
        <v/>
      </c>
      <c r="AM25" s="144">
        <f t="shared" ref="AM25" si="974">IFERROR(SUM(AM19,AM21,AM23),"")</f>
        <v>0</v>
      </c>
      <c r="AN25" s="145" t="str">
        <f t="shared" ref="AN25" si="975">IFERROR((AM19*AN19+AM21*AN21+AM23*AN23)/AM25,"")</f>
        <v/>
      </c>
      <c r="AO25" s="144">
        <f t="shared" ref="AO25" si="976">IFERROR(SUM(AO19,AO21,AO23),"")</f>
        <v>0</v>
      </c>
      <c r="AP25" s="145" t="str">
        <f t="shared" ref="AP25" si="977">IFERROR((AO19*AP19+AO21*AP21+AO23*AP23)/AO25,"")</f>
        <v/>
      </c>
      <c r="AQ25" s="144">
        <f t="shared" ref="AQ25" si="978">IFERROR(SUM(AQ19,AQ21,AQ23),"")</f>
        <v>0</v>
      </c>
      <c r="AR25" s="145" t="str">
        <f t="shared" ref="AR25" si="979">IFERROR((AQ19*AR19+AQ21*AR21+AQ23*AR23)/AQ25,"")</f>
        <v/>
      </c>
      <c r="AS25" s="144">
        <f t="shared" ref="AS25" si="980">IFERROR(SUM(AS19,AS21,AS23),"")</f>
        <v>0</v>
      </c>
      <c r="AT25" s="145" t="str">
        <f t="shared" ref="AT25" si="981">IFERROR((AS19*AT19+AS21*AT21+AS23*AT23)/AS25,"")</f>
        <v/>
      </c>
      <c r="AU25" s="144">
        <f t="shared" ref="AU25" si="982">IFERROR(SUM(AU19,AU21,AU23),"")</f>
        <v>4200</v>
      </c>
      <c r="AV25" s="145">
        <f t="shared" ref="AV25" si="983">IFERROR((AU19*AV19+AU21*AV21+AU23*AV23)/AU25,"")</f>
        <v>1.3155000000000001</v>
      </c>
      <c r="AW25" s="144">
        <f t="shared" ref="AW25" si="984">IFERROR(SUM(AW19,AW21,AW23),"")</f>
        <v>0</v>
      </c>
      <c r="AX25" s="145" t="str">
        <f t="shared" ref="AX25" si="985">IFERROR((AW19*AX19+AW21*AX21+AW23*AX23)/AW25,"")</f>
        <v/>
      </c>
      <c r="AY25" s="144">
        <f t="shared" ref="AY25" si="986">IFERROR(SUM(AY19,AY21,AY23),"")</f>
        <v>0</v>
      </c>
      <c r="AZ25" s="145" t="str">
        <f t="shared" ref="AZ25" si="987">IFERROR((AY19*AZ19+AY21*AZ21+AY23*AZ23)/AY25,"")</f>
        <v/>
      </c>
      <c r="BA25" s="144">
        <f t="shared" ref="BA25" si="988">IFERROR(SUM(BA19,BA21,BA23),"")</f>
        <v>0</v>
      </c>
      <c r="BB25" s="145" t="str">
        <f t="shared" ref="BB25" si="989">IFERROR((BA19*BB19+BA21*BB21+BA23*BB23)/BA25,"")</f>
        <v/>
      </c>
      <c r="BC25" s="144">
        <f t="shared" ref="BC25" si="990">IFERROR(SUM(BC19,BC21,BC23),"")</f>
        <v>0</v>
      </c>
      <c r="BD25" s="145" t="str">
        <f t="shared" ref="BD25" si="991">IFERROR((BC19*BD19+BC21*BD21+BC23*BD23)/BC25,"")</f>
        <v/>
      </c>
      <c r="BE25" s="144">
        <f t="shared" ref="BE25" si="992">IFERROR(SUM(BE19,BE21,BE23),"")</f>
        <v>0</v>
      </c>
      <c r="BF25" s="145" t="str">
        <f t="shared" ref="BF25" si="993">IFERROR((BE19*BF19+BE21*BF21+BE23*BF23)/BE25,"")</f>
        <v/>
      </c>
      <c r="BG25" s="144">
        <f t="shared" ref="BG25" si="994">IFERROR(SUM(BG19,BG21,BG23),"")</f>
        <v>2170</v>
      </c>
      <c r="BH25" s="145">
        <f t="shared" ref="BH25" si="995">IFERROR((BG19*BH19+BG21*BH21+BG23*BH23)/BG25,"")</f>
        <v>1.54</v>
      </c>
      <c r="BI25" s="144">
        <f t="shared" ref="BI25" si="996">IFERROR(SUM(BI19,BI21,BI23),"")</f>
        <v>0</v>
      </c>
      <c r="BJ25" s="145" t="str">
        <f t="shared" ref="BJ25" si="997">IFERROR((BI19*BJ19+BI21*BJ21+BI23*BJ23)/BI25,"")</f>
        <v/>
      </c>
      <c r="BK25" s="144">
        <f t="shared" ref="BK25" si="998">IFERROR(SUM(BK19,BK21,BK23),"")</f>
        <v>5285</v>
      </c>
      <c r="BL25" s="145">
        <f t="shared" ref="BL25" si="999">IFERROR((BK19*BL19+BK21*BL21+BK23*BL23)/BK25,"")</f>
        <v>2.088543046357616</v>
      </c>
      <c r="BM25" s="144">
        <f t="shared" ref="BM25" si="1000">IFERROR(SUM(BM19,BM21,BM23),"")</f>
        <v>3045</v>
      </c>
      <c r="BN25" s="145">
        <f t="shared" ref="BN25" si="1001">IFERROR((BM19*BN19+BM21*BN21+BM23*BN23)/BM25,"")</f>
        <v>2.8699999999999997</v>
      </c>
      <c r="BO25" s="144">
        <f t="shared" ref="BO25" si="1002">IFERROR(SUM(BO19,BO21,BO23),"")</f>
        <v>0</v>
      </c>
      <c r="BP25" s="145" t="str">
        <f t="shared" ref="BP25" si="1003">IFERROR((BO19*BP19+BO21*BP21+BO23*BP23)/BO25,"")</f>
        <v/>
      </c>
      <c r="BQ25" s="144">
        <f t="shared" ref="BQ25" si="1004">IFERROR(SUM(BQ19,BQ21,BQ23),"")</f>
        <v>0</v>
      </c>
      <c r="BR25" s="145" t="str">
        <f t="shared" ref="BR25" si="1005">IFERROR((BQ19*BR19+BQ21*BR21+BQ23*BR23)/BQ25,"")</f>
        <v/>
      </c>
      <c r="BS25" s="144">
        <f t="shared" ref="BS25" si="1006">IFERROR(SUM(BS19,BS21,BS23),"")</f>
        <v>0</v>
      </c>
      <c r="BT25" s="145" t="str">
        <f t="shared" ref="BT25" si="1007">IFERROR((BS19*BT19+BS21*BT21+BS23*BT23)/BS25,"")</f>
        <v/>
      </c>
      <c r="BU25" s="144">
        <f t="shared" ref="BU25" si="1008">IFERROR(SUM(BU19,BU21,BU23),"")</f>
        <v>0</v>
      </c>
      <c r="BV25" s="145" t="str">
        <f t="shared" ref="BV25" si="1009">IFERROR((BU19*BV19+BU21*BV21+BU23*BV23)/BU25,"")</f>
        <v/>
      </c>
      <c r="BW25" s="144">
        <f t="shared" ref="BW25" si="1010">IFERROR(SUM(BW19,BW21,BW23),"")</f>
        <v>7403</v>
      </c>
      <c r="BX25" s="145">
        <f t="shared" ref="BX25" si="1011">IFERROR((BW19*BX19+BW21*BX21+BW23*BX23)/BW25,"")</f>
        <v>2.0727380791570984</v>
      </c>
      <c r="BY25" s="144">
        <f t="shared" ref="BY25" si="1012">IFERROR(SUM(BY19,BY21,BY23),"")</f>
        <v>3045</v>
      </c>
      <c r="BZ25" s="145">
        <f t="shared" ref="BZ25" si="1013">IFERROR((BY19*BZ19+BY21*BZ21+BY23*BZ23)/BY25,"")</f>
        <v>1.9299999999999995</v>
      </c>
      <c r="CA25" s="144">
        <f t="shared" ref="CA25" si="1014">IFERROR(SUM(CA19,CA21,CA23),"")</f>
        <v>3255</v>
      </c>
      <c r="CB25" s="145">
        <f t="shared" ref="CB25" si="1015">IFERROR((CA19*CB19+CA21*CB21+CA23*CB23)/CA25,"")</f>
        <v>1.82</v>
      </c>
      <c r="CC25" s="144">
        <f t="shared" ref="CC25" si="1016">IFERROR(SUM(CC19,CC21,CC23),"")</f>
        <v>1085</v>
      </c>
      <c r="CD25" s="145">
        <f t="shared" ref="CD25" si="1017">IFERROR((CC19*CD19+CC21*CD21+CC23*CD23)/CC25,"")</f>
        <v>0.91</v>
      </c>
      <c r="CE25" s="144">
        <f t="shared" ref="CE25" si="1018">IFERROR(SUM(CE19,CE21,CE23),"")</f>
        <v>4200</v>
      </c>
      <c r="CF25" s="145">
        <f t="shared" ref="CF25" si="1019">IFERROR((CE19*CF19+CE21*CF21+CE23*CF23)/CE25,"")</f>
        <v>1.5460000000000003</v>
      </c>
      <c r="CG25" s="144">
        <f t="shared" ref="CG25" si="1020">IFERROR(SUM(CG19,CG21,CG23),"")</f>
        <v>0</v>
      </c>
      <c r="CH25" s="145" t="str">
        <f t="shared" ref="CH25" si="1021">IFERROR((CG19*CH19+CG21*CH21+CG23*CH23)/CG25,"")</f>
        <v/>
      </c>
      <c r="CI25" s="144">
        <f t="shared" ref="CI25" si="1022">IFERROR(SUM(CI19,CI21,CI23),"")</f>
        <v>0</v>
      </c>
      <c r="CJ25" s="145" t="str">
        <f t="shared" ref="CJ25" si="1023">IFERROR((CI19*CJ19+CI21*CJ21+CI23*CJ23)/CI25,"")</f>
        <v/>
      </c>
      <c r="CK25" s="144">
        <f t="shared" ref="CK25" si="1024">IFERROR(SUM(CK19,CK21,CK23),"")</f>
        <v>0</v>
      </c>
      <c r="CL25" s="145" t="str">
        <f t="shared" ref="CL25" si="1025">IFERROR((CK19*CL19+CK21*CL21+CK23*CL23)/CK25,"")</f>
        <v/>
      </c>
      <c r="CM25" s="144">
        <f t="shared" ref="CM25" si="1026">IFERROR(SUM(CM19,CM21,CM23),"")</f>
        <v>2030</v>
      </c>
      <c r="CN25" s="145">
        <f t="shared" ref="CN25" si="1027">IFERROR((CM19*CN19+CM21*CN21+CM23*CN23)/CM25,"")</f>
        <v>0</v>
      </c>
      <c r="CO25" s="144">
        <f t="shared" ref="CO25" si="1028">IFERROR(SUM(CO19,CO21,CO23),"")</f>
        <v>0</v>
      </c>
      <c r="CP25" s="145" t="str">
        <f t="shared" ref="CP25" si="1029">IFERROR((CO19*CP19+CO21*CP21+CO23*CP23)/CO25,"")</f>
        <v/>
      </c>
      <c r="CQ25" s="144">
        <f t="shared" ref="CQ25" si="1030">IFERROR(SUM(CQ19,CQ21,CQ23),"")</f>
        <v>0</v>
      </c>
      <c r="CR25" s="145" t="str">
        <f t="shared" ref="CR25" si="1031">IFERROR((CQ19*CR19+CQ21*CR21+CQ23*CR23)/CQ25,"")</f>
        <v/>
      </c>
      <c r="CS25" s="144"/>
      <c r="CT25" s="145"/>
      <c r="CU25" s="144"/>
      <c r="CV25" s="145"/>
      <c r="CW25" s="144"/>
      <c r="CX25" s="145"/>
      <c r="CY25" s="144">
        <f t="shared" ref="CY25" si="1032">IFERROR(SUM(CY19,CY21,CY23),"")</f>
        <v>0</v>
      </c>
      <c r="CZ25" s="145" t="str">
        <f t="shared" ref="CZ25" si="1033">IFERROR((CY19*CZ19+CY21*CZ21+CY23*CZ23)/CY25,"")</f>
        <v/>
      </c>
      <c r="DA25" s="144">
        <f t="shared" ref="DA25" si="1034">IFERROR(SUM(DA19,DA21,DA23),"")</f>
        <v>0</v>
      </c>
      <c r="DB25" s="145" t="str">
        <f t="shared" ref="DB25" si="1035">IFERROR((DA19*DB19+DA21*DB21+DA23*DB23)/DA25,"")</f>
        <v/>
      </c>
      <c r="DC25" s="144">
        <f t="shared" ref="DC25" si="1036">IFERROR(SUM(DC19,DC21,DC23),"")</f>
        <v>0</v>
      </c>
      <c r="DD25" s="145" t="str">
        <f t="shared" ref="DD25" si="1037">IFERROR((DC19*DD19+DC21*DD21+DC23*DD23)/DC25,"")</f>
        <v/>
      </c>
      <c r="DE25" s="144">
        <f t="shared" ref="DE25" si="1038">IFERROR(SUM(DE19,DE21,DE23),"")</f>
        <v>0</v>
      </c>
      <c r="DF25" s="145" t="str">
        <f t="shared" ref="DF25" si="1039">IFERROR((DE19*DF19+DE21*DF21+DE23*DF23)/DE25,"")</f>
        <v/>
      </c>
      <c r="DG25" s="144">
        <f t="shared" ref="DG25" si="1040">IFERROR(SUM(DG19,DG21,DG23),"")</f>
        <v>0</v>
      </c>
      <c r="DH25" s="145" t="str">
        <f t="shared" ref="DH25" si="1041">IFERROR((DG19*DH19+DG21*DH21+DG23*DH23)/DG25,"")</f>
        <v/>
      </c>
      <c r="DI25" s="144">
        <f t="shared" ref="DI25" si="1042">IFERROR(SUM(DI19,DI21,DI23),"")</f>
        <v>0</v>
      </c>
      <c r="DJ25" s="145" t="str">
        <f t="shared" ref="DJ25" si="1043">IFERROR((DI19*DJ19+DI21*DJ21+DI23*DJ23)/DI25,"")</f>
        <v/>
      </c>
      <c r="DK25" s="144">
        <f t="shared" ref="DK25" si="1044">IFERROR(SUM(DK19,DK21,DK23),"")</f>
        <v>0</v>
      </c>
      <c r="DL25" s="145" t="str">
        <f t="shared" ref="DL25" si="1045">IFERROR((DK19*DL19+DK21*DL21+DK23*DL23)/DK25,"")</f>
        <v/>
      </c>
      <c r="DM25" s="144">
        <f t="shared" ref="DM25" si="1046">IFERROR(SUM(DM19,DM21,DM23),"")</f>
        <v>0</v>
      </c>
      <c r="DN25" s="145" t="str">
        <f t="shared" ref="DN25" si="1047">IFERROR((DM19*DN19+DM21*DN21+DM23*DN23)/DM25,"")</f>
        <v/>
      </c>
      <c r="DO25" s="144">
        <f t="shared" ref="DO25" si="1048">IFERROR(SUM(DO19,DO21,DO23),"")</f>
        <v>0</v>
      </c>
      <c r="DP25" s="145" t="str">
        <f t="shared" ref="DP25" si="1049">IFERROR((DO19*DP19+DO21*DP21+DO23*DP23)/DO25,"")</f>
        <v/>
      </c>
      <c r="DQ25" s="144">
        <f t="shared" ref="DQ25" si="1050">IFERROR(SUM(DQ19,DQ21,DQ23),"")</f>
        <v>0</v>
      </c>
      <c r="DR25" s="145" t="str">
        <f t="shared" ref="DR25" si="1051">IFERROR((DQ19*DR19+DQ21*DR21+DQ23*DR23)/DQ25,"")</f>
        <v/>
      </c>
      <c r="DS25" s="144">
        <f t="shared" ref="DS25" si="1052">IFERROR(SUM(DS19,DS21,DS23),"")</f>
        <v>0</v>
      </c>
      <c r="DT25" s="145" t="str">
        <f t="shared" ref="DT25" si="1053">IFERROR((DS19*DT19+DS21*DT21+DS23*DT23)/DS25,"")</f>
        <v/>
      </c>
      <c r="DU25" s="144">
        <f t="shared" ref="DU25" si="1054">IFERROR(SUM(DU19,DU21,DU23),"")</f>
        <v>0</v>
      </c>
      <c r="DV25" s="145" t="str">
        <f t="shared" ref="DV25" si="1055">IFERROR((DU19*DV19+DU21*DV21+DU23*DV23)/DU25,"")</f>
        <v/>
      </c>
      <c r="DW25" s="144">
        <f t="shared" ref="DW25" si="1056">IFERROR(SUM(DW19,DW21,DW23),"")</f>
        <v>0</v>
      </c>
      <c r="DX25" s="145" t="str">
        <f t="shared" ref="DX25" si="1057">IFERROR((DW19*DX19+DW21*DX21+DW23*DX23)/DW25,"")</f>
        <v/>
      </c>
      <c r="DY25" s="144">
        <f t="shared" ref="DY25" si="1058">IFERROR(SUM(DY19,DY21,DY23),"")</f>
        <v>0</v>
      </c>
      <c r="DZ25" s="145" t="str">
        <f t="shared" ref="DZ25" si="1059">IFERROR((DY19*DZ19+DY21*DZ21+DY23*DZ23)/DY25,"")</f>
        <v/>
      </c>
      <c r="EA25" s="144">
        <f t="shared" ref="EA25" si="1060">IFERROR(SUM(EA19,EA21,EA23),"")</f>
        <v>0</v>
      </c>
      <c r="EB25" s="145" t="str">
        <f t="shared" ref="EB25" si="1061">IFERROR((EA19*EB19+EA21*EB21+EA23*EB23)/EA25,"")</f>
        <v/>
      </c>
      <c r="EC25" s="144">
        <f t="shared" ref="EC25" si="1062">IFERROR(SUM(EC19,EC21,EC23),"")</f>
        <v>0</v>
      </c>
      <c r="ED25" s="145" t="str">
        <f t="shared" ref="ED25" si="1063">IFERROR((EC19*ED19+EC21*ED21+EC23*ED23)/EC25,"")</f>
        <v/>
      </c>
      <c r="EE25" s="144">
        <f t="shared" ref="EE25" si="1064">IFERROR(SUM(EE19,EE21,EE23),"")</f>
        <v>0</v>
      </c>
      <c r="EF25" s="145" t="str">
        <f t="shared" ref="EF25" si="1065">IFERROR((EE19*EF19+EE21*EF21+EE23*EF23)/EE25,"")</f>
        <v/>
      </c>
      <c r="EG25" s="144">
        <f t="shared" ref="EG25" si="1066">IFERROR(SUM(EG19,EG21,EG23),"")</f>
        <v>0</v>
      </c>
      <c r="EH25" s="145" t="str">
        <f t="shared" ref="EH25" si="1067">IFERROR((EG19*EH19+EG21*EH21+EG23*EH23)/EG25,"")</f>
        <v/>
      </c>
      <c r="EI25" s="144">
        <f t="shared" ref="EI25" si="1068">IFERROR(SUM(EI19,EI21,EI23),"")</f>
        <v>0</v>
      </c>
      <c r="EJ25" s="145" t="str">
        <f t="shared" ref="EJ25" si="1069">IFERROR((EI19*EJ19+EI21*EJ21+EI23*EJ23)/EI25,"")</f>
        <v/>
      </c>
      <c r="EK25" s="144">
        <f t="shared" ref="EK25" si="1070">IFERROR(SUM(EK19,EK21,EK23),"")</f>
        <v>0</v>
      </c>
      <c r="EL25" s="145" t="str">
        <f t="shared" ref="EL25" si="1071">IFERROR((EK19*EL19+EK21*EL21+EK23*EL23)/EK25,"")</f>
        <v/>
      </c>
      <c r="EM25" s="144">
        <f t="shared" ref="EM25" si="1072">IFERROR(SUM(EM19,EM21,EM23),"")</f>
        <v>0</v>
      </c>
      <c r="EN25" s="145" t="str">
        <f t="shared" ref="EN25" si="1073">IFERROR((EM19*EN19+EM21*EN21+EM23*EN23)/EM25,"")</f>
        <v/>
      </c>
      <c r="EO25" s="144">
        <f t="shared" ref="EO25" si="1074">IFERROR(SUM(EO19,EO21,EO23),"")</f>
        <v>0</v>
      </c>
      <c r="EP25" s="145" t="str">
        <f t="shared" ref="EP25" si="1075">IFERROR((EO19*EP19+EO21*EP21+EO23*EP23)/EO25,"")</f>
        <v/>
      </c>
      <c r="EQ25" s="144">
        <f t="shared" ref="EQ25" si="1076">IFERROR(SUM(EQ19,EQ21,EQ23),"")</f>
        <v>0</v>
      </c>
      <c r="ER25" s="145" t="str">
        <f t="shared" ref="ER25" si="1077">IFERROR((EQ19*ER19+EQ21*ER21+EQ23*ER23)/EQ25,"")</f>
        <v/>
      </c>
      <c r="ES25" s="144"/>
      <c r="ET25" s="145"/>
      <c r="EU25" s="144">
        <f t="shared" ref="EU25" si="1078">IFERROR(SUM(EU19,EU21,EU23),"")</f>
        <v>0</v>
      </c>
      <c r="EV25" s="145" t="str">
        <f t="shared" ref="EV25" si="1079">IFERROR((EU19*EV19+EU21*EV21+EU23*EV23)/EU25,"")</f>
        <v/>
      </c>
      <c r="EW25" s="144"/>
      <c r="EX25" s="145"/>
      <c r="EY25" s="144">
        <f t="shared" ref="EY25" si="1080">IFERROR(SUM(EY19,EY21,EY23),"")</f>
        <v>0</v>
      </c>
      <c r="EZ25" s="145" t="str">
        <f t="shared" ref="EZ25" si="1081">IFERROR((EY19*EZ19+EY21*EZ21+EY23*EZ23)/EY25,"")</f>
        <v/>
      </c>
      <c r="FA25" s="144">
        <f t="shared" ref="FA25" si="1082">IFERROR(SUM(FA19,FA21,FA23),"")</f>
        <v>0</v>
      </c>
      <c r="FB25" s="145" t="str">
        <f t="shared" ref="FB25" si="1083">IFERROR((FA19*FB19+FA21*FB21+FA23*FB23)/FA25,"")</f>
        <v/>
      </c>
      <c r="FC25" s="144">
        <f t="shared" ref="FC25" si="1084">IFERROR(SUM(FC19,FC21,FC23),"")</f>
        <v>0</v>
      </c>
      <c r="FD25" s="145" t="str">
        <f t="shared" ref="FD25" si="1085">IFERROR((FC19*FD19+FC21*FD21+FC23*FD23)/FC25,"")</f>
        <v/>
      </c>
      <c r="FE25" s="144">
        <f t="shared" ref="FE25" si="1086">IFERROR(SUM(FE19,FE21,FE23),"")</f>
        <v>0</v>
      </c>
      <c r="FF25" s="145" t="str">
        <f t="shared" ref="FF25" si="1087">IFERROR((FE19*FF19+FE21*FF21+FE23*FF23)/FE25,"")</f>
        <v/>
      </c>
      <c r="FG25" s="144">
        <f t="shared" ref="FG25" si="1088">IFERROR(SUM(FG19,FG21,FG23),"")</f>
        <v>0</v>
      </c>
      <c r="FH25" s="145" t="str">
        <f t="shared" ref="FH25" si="1089">IFERROR((FG19*FH19+FG21*FH21+FG23*FH23)/FG25,"")</f>
        <v/>
      </c>
      <c r="FI25" s="144">
        <f t="shared" ref="FI25" si="1090">IFERROR(SUM(FI19,FI21,FI23),"")</f>
        <v>0</v>
      </c>
      <c r="FJ25" s="145" t="str">
        <f t="shared" ref="FJ25" si="1091">IFERROR((FI19*FJ19+FI21*FJ21+FI23*FJ23)/FI25,"")</f>
        <v/>
      </c>
      <c r="FK25" s="144">
        <f t="shared" ref="FK25" si="1092">IFERROR(SUM(FK19,FK21,FK23),"")</f>
        <v>0</v>
      </c>
      <c r="FL25" s="145" t="str">
        <f t="shared" ref="FL25" si="1093">IFERROR((FK19*FL19+FK21*FL21+FK23*FL23)/FK25,"")</f>
        <v/>
      </c>
      <c r="FM25" s="144">
        <f t="shared" ref="FM25" si="1094">IFERROR(SUM(FM19,FM21,FM23),"")</f>
        <v>0</v>
      </c>
      <c r="FN25" s="145" t="str">
        <f t="shared" ref="FN25" si="1095">IFERROR((FM19*FN19+FM21*FN21+FM23*FN23)/FM25,"")</f>
        <v/>
      </c>
      <c r="FO25" s="144">
        <f t="shared" ref="FO25" si="1096">IFERROR(SUM(FO19,FO21,FO23),"")</f>
        <v>0</v>
      </c>
      <c r="FP25" s="145" t="str">
        <f t="shared" ref="FP25" si="1097">IFERROR((FO19*FP19+FO21*FP21+FO23*FP23)/FO25,"")</f>
        <v/>
      </c>
      <c r="FQ25" s="144">
        <f t="shared" ref="FQ25" si="1098">IFERROR(SUM(FQ19,FQ21,FQ23),"")</f>
        <v>0</v>
      </c>
      <c r="FR25" s="145" t="str">
        <f t="shared" ref="FR25" si="1099">IFERROR((FQ19*FR19+FQ21*FR21+FQ23*FR23)/FQ25,"")</f>
        <v/>
      </c>
      <c r="FS25" s="144">
        <f t="shared" ref="FS25" si="1100">IFERROR(SUM(FS19,FS21,FS23),"")</f>
        <v>0</v>
      </c>
      <c r="FT25" s="145" t="str">
        <f t="shared" ref="FT25" si="1101">IFERROR((FS19*FT19+FS21*FT21+FS23*FT23)/FS25,"")</f>
        <v/>
      </c>
      <c r="FU25" s="144">
        <f t="shared" ref="FU25" si="1102">IFERROR(SUM(FU19,FU21,FU23),"")</f>
        <v>0</v>
      </c>
      <c r="FV25" s="145" t="str">
        <f t="shared" ref="FV25" si="1103">IFERROR((FU19*FV19+FU21*FV21+FU23*FV23)/FU25,"")</f>
        <v/>
      </c>
      <c r="FW25" s="144">
        <f t="shared" ref="FW25" si="1104">IFERROR(SUM(FW19,FW21,FW23),"")</f>
        <v>0</v>
      </c>
      <c r="FX25" s="145" t="str">
        <f t="shared" ref="FX25" si="1105">IFERROR((FW19*FX19+FW21*FX21+FW23*FX23)/FW25,"")</f>
        <v/>
      </c>
      <c r="FY25" s="144">
        <f t="shared" ref="FY25" si="1106">IFERROR(SUM(FY19,FY21,FY23),"")</f>
        <v>0</v>
      </c>
      <c r="FZ25" s="145" t="str">
        <f t="shared" ref="FZ25" si="1107">IFERROR((FY19*FZ19+FY21*FZ21+FY23*FZ23)/FY25,"")</f>
        <v/>
      </c>
      <c r="GA25" s="144">
        <f t="shared" ref="GA25" si="1108">IFERROR(SUM(GA19,GA21,GA23),"")</f>
        <v>0</v>
      </c>
      <c r="GB25" s="145" t="str">
        <f t="shared" ref="GB25" si="1109">IFERROR((GA19*GB19+GA21*GB21+GA23*GB23)/GA25,"")</f>
        <v/>
      </c>
      <c r="GC25" s="144">
        <f t="shared" ref="GC25" si="1110">IFERROR(SUM(GC19,GC21,GC23),"")</f>
        <v>0</v>
      </c>
      <c r="GD25" s="145" t="str">
        <f t="shared" ref="GD25" si="1111">IFERROR((GC19*GD19+GC21*GD21+GC23*GD23)/GC25,"")</f>
        <v/>
      </c>
      <c r="GE25" s="144">
        <f t="shared" ref="GE25" si="1112">IFERROR(SUM(GE19,GE21,GE23),"")</f>
        <v>0</v>
      </c>
      <c r="GF25" s="145" t="str">
        <f t="shared" ref="GF25" si="1113">IFERROR((GE19*GF19+GE21*GF21+GE23*GF23)/GE25,"")</f>
        <v/>
      </c>
      <c r="GG25" s="144">
        <f t="shared" ref="GG25" si="1114">IFERROR(SUM(GG19,GG21,GG23),"")</f>
        <v>0</v>
      </c>
      <c r="GH25" s="145" t="str">
        <f t="shared" ref="GH25" si="1115">IFERROR((GG19*GH19+GG21*GH21+GG23*GH23)/GG25,"")</f>
        <v/>
      </c>
      <c r="GI25" s="144">
        <f t="shared" ref="GI25" si="1116">IFERROR(SUM(GI19,GI21,GI23),"")</f>
        <v>0</v>
      </c>
      <c r="GJ25" s="145" t="str">
        <f t="shared" ref="GJ25" si="1117">IFERROR((GI19*GJ19+GI21*GJ21+GI23*GJ23)/GI25,"")</f>
        <v/>
      </c>
      <c r="GK25" s="144">
        <f t="shared" ref="GK25" si="1118">IFERROR(SUM(GK19,GK21,GK23),"")</f>
        <v>0</v>
      </c>
      <c r="GL25" s="145" t="str">
        <f t="shared" ref="GL25" si="1119">IFERROR((GK19*GL19+GK21*GL21+GK23*GL23)/GK25,"")</f>
        <v/>
      </c>
      <c r="GM25" s="144">
        <f t="shared" ref="GM25" si="1120">IFERROR(SUM(GM19,GM21,GM23),"")</f>
        <v>0</v>
      </c>
      <c r="GN25" s="145" t="str">
        <f t="shared" ref="GN25" si="1121">IFERROR((GM19*GN19+GM21*GN21+GM23*GN23)/GM25,"")</f>
        <v/>
      </c>
      <c r="GO25" s="144">
        <f t="shared" ref="GO25" si="1122">IFERROR(SUM(GO19,GO21,GO23),"")</f>
        <v>0</v>
      </c>
      <c r="GP25" s="145" t="str">
        <f t="shared" ref="GP25" si="1123">IFERROR((GO19*GP19+GO21*GP21+GO23*GP23)/GO25,"")</f>
        <v/>
      </c>
      <c r="GQ25" s="144">
        <f t="shared" ref="GQ25" si="1124">IFERROR(SUM(GQ19,GQ21,GQ23),"")</f>
        <v>0</v>
      </c>
      <c r="GR25" s="145" t="str">
        <f t="shared" ref="GR25" si="1125">IFERROR((GQ19*GR19+GQ21*GR21+GQ23*GR23)/GQ25,"")</f>
        <v/>
      </c>
      <c r="GS25" s="144">
        <f t="shared" ref="GS25" si="1126">IFERROR(SUM(GS19,GS21,GS23),"")</f>
        <v>0</v>
      </c>
      <c r="GT25" s="145" t="str">
        <f t="shared" ref="GT25" si="1127">IFERROR((GS19*GT19+GS21*GT21+GS23*GT23)/GS25,"")</f>
        <v/>
      </c>
      <c r="GU25" s="144">
        <f t="shared" ref="GU25" si="1128">IFERROR(SUM(GU19,GU21,GU23),"")</f>
        <v>0</v>
      </c>
      <c r="GV25" s="145" t="str">
        <f t="shared" ref="GV25" si="1129">IFERROR((GU19*GV19+GU21*GV21+GU23*GV23)/GU25,"")</f>
        <v/>
      </c>
      <c r="GW25" s="144">
        <f t="shared" ref="GW25" si="1130">IFERROR(SUM(GW19,GW21,GW23),"")</f>
        <v>0</v>
      </c>
      <c r="GX25" s="145" t="str">
        <f t="shared" ref="GX25" si="1131">IFERROR((GW19*GX19+GW21*GX21+GW23*GX23)/GW25,"")</f>
        <v/>
      </c>
      <c r="GY25" s="144">
        <f t="shared" ref="GY25" si="1132">IFERROR(SUM(GY19,GY21,GY23),"")</f>
        <v>0</v>
      </c>
      <c r="GZ25" s="145" t="str">
        <f t="shared" ref="GZ25" si="1133">IFERROR((GY19*GZ19+GY21*GZ21+GY23*GZ23)/GY25,"")</f>
        <v/>
      </c>
      <c r="HA25" s="144">
        <f t="shared" ref="HA25" si="1134">IFERROR(SUM(HA19,HA21,HA23),"")</f>
        <v>0</v>
      </c>
      <c r="HB25" s="145" t="str">
        <f t="shared" ref="HB25" si="1135">IFERROR((HA19*HB19+HA21*HB21+HA23*HB23)/HA25,"")</f>
        <v/>
      </c>
      <c r="HC25" s="144">
        <f t="shared" ref="HC25" si="1136">IFERROR(SUM(HC19,HC21,HC23),"")</f>
        <v>0</v>
      </c>
      <c r="HD25" s="145" t="str">
        <f t="shared" ref="HD25" si="1137">IFERROR((HC19*HD19+HC21*HD21+HC23*HD23)/HC25,"")</f>
        <v/>
      </c>
      <c r="HE25" s="144">
        <f t="shared" ref="HE25" si="1138">IFERROR(SUM(HE19,HE21,HE23),"")</f>
        <v>0</v>
      </c>
      <c r="HF25" s="145" t="str">
        <f t="shared" ref="HF25" si="1139">IFERROR((HE19*HF19+HE21*HF21+HE23*HF23)/HE25,"")</f>
        <v/>
      </c>
      <c r="HG25" s="144">
        <f t="shared" ref="HG25" si="1140">IFERROR(SUM(HG19,HG21,HG23),"")</f>
        <v>0</v>
      </c>
      <c r="HH25" s="145" t="str">
        <f t="shared" ref="HH25" si="1141">IFERROR((HG19*HH19+HG21*HH21+HG23*HH23)/HG25,"")</f>
        <v/>
      </c>
      <c r="HI25" s="144">
        <f t="shared" ref="HI25" si="1142">IFERROR(SUM(HI19,HI21,HI23),"")</f>
        <v>0</v>
      </c>
      <c r="HJ25" s="145" t="str">
        <f t="shared" ref="HJ25" si="1143">IFERROR((HI19*HJ19+HI21*HJ21+HI23*HJ23)/HI25,"")</f>
        <v/>
      </c>
      <c r="HK25" s="144">
        <f t="shared" ref="HK25" si="1144">IFERROR(SUM(HK19,HK21,HK23),"")</f>
        <v>0</v>
      </c>
      <c r="HL25" s="145" t="str">
        <f t="shared" ref="HL25" si="1145">IFERROR((HK19*HL19+HK21*HL21+HK23*HL23)/HK25,"")</f>
        <v/>
      </c>
      <c r="HM25" s="144">
        <f t="shared" ref="HM25" si="1146">IFERROR(SUM(HM19,HM21,HM23),"")</f>
        <v>0</v>
      </c>
      <c r="HN25" s="145" t="str">
        <f t="shared" ref="HN25" si="1147">IFERROR((HM19*HN19+HM21*HN21+HM23*HN23)/HM25,"")</f>
        <v/>
      </c>
      <c r="HO25" s="144">
        <f t="shared" ref="HO25" si="1148">IFERROR(SUM(HO19,HO21,HO23),"")</f>
        <v>0</v>
      </c>
      <c r="HP25" s="145" t="str">
        <f t="shared" ref="HP25" si="1149">IFERROR((HO19*HP19+HO21*HP21+HO23*HP23)/HO25,"")</f>
        <v/>
      </c>
      <c r="HQ25" s="144">
        <f t="shared" ref="HQ25" si="1150">IFERROR(SUM(HQ19,HQ21,HQ23),"")</f>
        <v>0</v>
      </c>
      <c r="HR25" s="145" t="str">
        <f t="shared" ref="HR25" si="1151">IFERROR((HQ19*HR19+HQ21*HR21+HQ23*HR23)/HQ25,"")</f>
        <v/>
      </c>
      <c r="HS25" s="144">
        <f t="shared" ref="HS25" si="1152">IFERROR(SUM(HS19,HS21,HS23),"")</f>
        <v>0</v>
      </c>
      <c r="HT25" s="145" t="str">
        <f t="shared" ref="HT25" si="1153">IFERROR((HS19*HT19+HS21*HT21+HS23*HT23)/HS25,"")</f>
        <v/>
      </c>
      <c r="HU25" s="144">
        <f t="shared" ref="HU25" si="1154">IFERROR(SUM(HU19,HU21,HU23),"")</f>
        <v>0</v>
      </c>
      <c r="HV25" s="145" t="str">
        <f t="shared" ref="HV25" si="1155">IFERROR((HU19*HV19+HU21*HV21+HU23*HV23)/HU25,"")</f>
        <v/>
      </c>
      <c r="HW25" s="144">
        <f t="shared" ref="HW25" si="1156">IFERROR(SUM(HW19,HW21,HW23),"")</f>
        <v>0</v>
      </c>
      <c r="HX25" s="145" t="str">
        <f t="shared" ref="HX25" si="1157">IFERROR((HW19*HX19+HW21*HX21+HW23*HX23)/HW25,"")</f>
        <v/>
      </c>
      <c r="HY25" s="144">
        <f t="shared" ref="HY25" si="1158">IFERROR(SUM(HY19,HY21,HY23),"")</f>
        <v>0</v>
      </c>
      <c r="HZ25" s="145" t="str">
        <f t="shared" ref="HZ25" si="1159">IFERROR((HY19*HZ19+HY21*HZ21+HY23*HZ23)/HY25,"")</f>
        <v/>
      </c>
      <c r="IA25" s="144">
        <f t="shared" ref="IA25" si="1160">IFERROR(SUM(IA19,IA21,IA23),"")</f>
        <v>0</v>
      </c>
      <c r="IB25" s="145" t="str">
        <f t="shared" ref="IB25" si="1161">IFERROR((IA19*IB19+IA21*IB21+IA23*IB23)/IA25,"")</f>
        <v/>
      </c>
      <c r="IC25" s="144">
        <f t="shared" ref="IC25" si="1162">IFERROR(SUM(IC19,IC21,IC23),"")</f>
        <v>0</v>
      </c>
      <c r="ID25" s="145" t="str">
        <f t="shared" ref="ID25" si="1163">IFERROR((IC19*ID19+IC21*ID21+IC23*ID23)/IC25,"")</f>
        <v/>
      </c>
      <c r="IE25" s="144">
        <f t="shared" ref="IE25" si="1164">IFERROR(SUM(IE19,IE21,IE23),"")</f>
        <v>0</v>
      </c>
      <c r="IF25" s="145" t="str">
        <f t="shared" ref="IF25" si="1165">IFERROR((IE19*IF19+IE21*IF21+IE23*IF23)/IE25,"")</f>
        <v/>
      </c>
      <c r="IG25" s="144">
        <f t="shared" ref="IG25" si="1166">IFERROR(SUM(IG19,IG21,IG23),"")</f>
        <v>0</v>
      </c>
      <c r="IH25" s="145" t="str">
        <f t="shared" ref="IH25" si="1167">IFERROR((IG19*IH19+IG21*IH21+IG23*IH23)/IG25,"")</f>
        <v/>
      </c>
      <c r="II25" s="144">
        <f t="shared" ref="II25" si="1168">IFERROR(SUM(II19,II21,II23),"")</f>
        <v>0</v>
      </c>
      <c r="IJ25" s="145" t="str">
        <f t="shared" ref="IJ25" si="1169">IFERROR((II19*IJ19+II21*IJ21+II23*IJ23)/II25,"")</f>
        <v/>
      </c>
      <c r="IK25" s="144">
        <f t="shared" ref="IK25" si="1170">IFERROR(SUM(IK19,IK21,IK23),"")</f>
        <v>0</v>
      </c>
      <c r="IL25" s="145" t="str">
        <f t="shared" ref="IL25" si="1171">IFERROR((IK19*IL19+IK21*IL21+IK23*IL23)/IK25,"")</f>
        <v/>
      </c>
      <c r="IM25" s="144">
        <f t="shared" ref="IM25" si="1172">IFERROR(SUM(IM19,IM21,IM23),"")</f>
        <v>0</v>
      </c>
      <c r="IN25" s="145" t="str">
        <f t="shared" ref="IN25" si="1173">IFERROR((IM19*IN19+IM21*IN21+IM23*IN23)/IM25,"")</f>
        <v/>
      </c>
      <c r="IO25" s="144">
        <f t="shared" ref="IO25" si="1174">IFERROR(SUM(IO19,IO21,IO23),"")</f>
        <v>0</v>
      </c>
      <c r="IP25" s="145" t="str">
        <f t="shared" ref="IP25" si="1175">IFERROR((IO19*IP19+IO21*IP21+IO23*IP23)/IO25,"")</f>
        <v/>
      </c>
      <c r="IQ25" s="144">
        <f t="shared" ref="IQ25" si="1176">IFERROR(SUM(IQ19,IQ21,IQ23),"")</f>
        <v>0</v>
      </c>
      <c r="IR25" s="145" t="str">
        <f t="shared" ref="IR25" si="1177">IFERROR((IQ19*IR19+IQ21*IR21+IQ23*IR23)/IQ25,"")</f>
        <v/>
      </c>
      <c r="IS25" s="144">
        <f t="shared" ref="IS25" si="1178">IFERROR(SUM(IS19,IS21,IS23),"")</f>
        <v>0</v>
      </c>
      <c r="IT25" s="145" t="str">
        <f t="shared" ref="IT25" si="1179">IFERROR((IS19*IT19+IS21*IT21+IS23*IT23)/IS25,"")</f>
        <v/>
      </c>
      <c r="IU25" s="144">
        <f t="shared" ref="IU25" si="1180">IFERROR(SUM(IU19,IU21,IU23),"")</f>
        <v>0</v>
      </c>
      <c r="IV25" s="145" t="str">
        <f t="shared" ref="IV25" si="1181">IFERROR((IU19*IV19+IU21*IV21+IU23*IV23)/IU25,"")</f>
        <v/>
      </c>
      <c r="IW25" s="144">
        <f t="shared" ref="IW25" si="1182">IFERROR(SUM(IW19,IW21,IW23),"")</f>
        <v>0</v>
      </c>
      <c r="IX25" s="145" t="str">
        <f t="shared" ref="IX25" si="1183">IFERROR((IW19*IX19+IW21*IX21+IW23*IX23)/IW25,"")</f>
        <v/>
      </c>
      <c r="IY25" s="144">
        <f t="shared" ref="IY25" si="1184">IFERROR(SUM(IY19,IY21,IY23),"")</f>
        <v>0</v>
      </c>
      <c r="IZ25" s="145" t="str">
        <f t="shared" ref="IZ25:IZ26" si="1185">IFERROR((IY19*IZ19+IY21*IZ21+IY23*IZ23)/IY25,"")</f>
        <v/>
      </c>
    </row>
    <row r="26" spans="1:260" x14ac:dyDescent="0.25">
      <c r="A26" s="1577"/>
      <c r="B26" s="130" t="s">
        <v>5</v>
      </c>
      <c r="C26" s="131">
        <f>SUM(C20,C22,C24)</f>
        <v>50663.799999999996</v>
      </c>
      <c r="D26" s="132">
        <f>(C20*D20+C22*D22+C24*D24)/C26</f>
        <v>1.7473398625348788</v>
      </c>
      <c r="E26" s="144">
        <f>IFERROR(SUM(E20,E22,E24),"")</f>
        <v>0</v>
      </c>
      <c r="F26" s="145" t="str">
        <f>IFERROR((E20*F20+E22*F22+E24*F24)/E26,"")</f>
        <v/>
      </c>
      <c r="G26" s="144">
        <f t="shared" ref="G26" si="1186">IFERROR(SUM(G20,G22,G24),"")</f>
        <v>0</v>
      </c>
      <c r="H26" s="145" t="str">
        <f t="shared" ref="H26" si="1187">IFERROR((G20*H20+G22*H22+G24*H24)/G26,"")</f>
        <v/>
      </c>
      <c r="I26" s="144">
        <f t="shared" ref="I26" si="1188">IFERROR(SUM(I20,I22,I24),"")</f>
        <v>0</v>
      </c>
      <c r="J26" s="145" t="str">
        <f t="shared" ref="J26" si="1189">IFERROR((I20*J20+I22*J22+I24*J24)/I26,"")</f>
        <v/>
      </c>
      <c r="K26" s="144">
        <f t="shared" ref="K26" si="1190">IFERROR(SUM(K20,K22,K24),"")</f>
        <v>0</v>
      </c>
      <c r="L26" s="145" t="str">
        <f t="shared" ref="L26" si="1191">IFERROR((K20*L20+K22*L22+K24*L24)/K26,"")</f>
        <v/>
      </c>
      <c r="M26" s="144">
        <f t="shared" ref="M26" si="1192">IFERROR(SUM(M20,M22,M24),"")</f>
        <v>0</v>
      </c>
      <c r="N26" s="145" t="str">
        <f t="shared" ref="N26" si="1193">IFERROR((M20*N20+M22*N22+M24*N24)/M26,"")</f>
        <v/>
      </c>
      <c r="O26" s="144">
        <f t="shared" ref="O26" si="1194">IFERROR(SUM(O20,O22,O24),"")</f>
        <v>0</v>
      </c>
      <c r="P26" s="145" t="str">
        <f t="shared" ref="P26" si="1195">IFERROR((O20*P20+O22*P22+O24*P24)/O26,"")</f>
        <v/>
      </c>
      <c r="Q26" s="144">
        <f t="shared" ref="Q26" si="1196">IFERROR(SUM(Q20,Q22,Q24),"")</f>
        <v>0</v>
      </c>
      <c r="R26" s="145" t="str">
        <f t="shared" si="953"/>
        <v/>
      </c>
      <c r="S26" s="144">
        <f t="shared" ref="S26" si="1197">IFERROR(SUM(S20,S22,S24),"")</f>
        <v>0</v>
      </c>
      <c r="T26" s="145" t="str">
        <f t="shared" ref="T26" si="1198">IFERROR((S20*T20+S22*T22+S24*T24)/S26,"")</f>
        <v/>
      </c>
      <c r="U26" s="144">
        <f t="shared" ref="U26" si="1199">IFERROR(SUM(U20,U22,U24),"")</f>
        <v>6439</v>
      </c>
      <c r="V26" s="145">
        <f t="shared" ref="V26" si="1200">IFERROR((U20*V20+U22*V22+U24*V24)/U26,"")</f>
        <v>1.2819741710904389</v>
      </c>
      <c r="W26" s="144">
        <f t="shared" ref="W26" si="1201">IFERROR(SUM(W20,W22,W24),"")</f>
        <v>0</v>
      </c>
      <c r="X26" s="145" t="str">
        <f t="shared" ref="X26" si="1202">IFERROR((W20*X20+W22*X22+W24*X24)/W26,"")</f>
        <v/>
      </c>
      <c r="Y26" s="144">
        <f t="shared" ref="Y26" si="1203">IFERROR(SUM(Y20,Y22,Y24),"")</f>
        <v>0</v>
      </c>
      <c r="Z26" s="145" t="str">
        <f t="shared" ref="Z26" si="1204">IFERROR((Y20*Z20+Y22*Z22+Y24*Z24)/Y26,"")</f>
        <v/>
      </c>
      <c r="AA26" s="144">
        <f t="shared" ref="AA26" si="1205">IFERROR(SUM(AA20,AA22,AA24),"")</f>
        <v>0</v>
      </c>
      <c r="AB26" s="145" t="str">
        <f t="shared" ref="AB26" si="1206">IFERROR((AA20*AB20+AA22*AB22+AA24*AB24)/AA26,"")</f>
        <v/>
      </c>
      <c r="AC26" s="144">
        <f t="shared" ref="AC26" si="1207">IFERROR(SUM(AC20,AC22,AC24),"")</f>
        <v>0</v>
      </c>
      <c r="AD26" s="145" t="str">
        <f t="shared" ref="AD26" si="1208">IFERROR((AC20*AD20+AC22*AD22+AC24*AD24)/AC26,"")</f>
        <v/>
      </c>
      <c r="AE26" s="144">
        <f t="shared" ref="AE26" si="1209">IFERROR(SUM(AE20,AE22,AE24),"")</f>
        <v>0</v>
      </c>
      <c r="AF26" s="145" t="str">
        <f t="shared" ref="AF26" si="1210">IFERROR((AE20*AF20+AE22*AF22+AE24*AF24)/AE26,"")</f>
        <v/>
      </c>
      <c r="AG26" s="144">
        <f t="shared" ref="AG26" si="1211">IFERROR(SUM(AG20,AG22,AG24),"")</f>
        <v>0</v>
      </c>
      <c r="AH26" s="145" t="str">
        <f t="shared" ref="AH26" si="1212">IFERROR((AG20*AH20+AG22*AH22+AG24*AH24)/AG26,"")</f>
        <v/>
      </c>
      <c r="AI26" s="144">
        <f t="shared" ref="AI26" si="1213">IFERROR(SUM(AI20,AI22,AI24),"")</f>
        <v>0</v>
      </c>
      <c r="AJ26" s="145" t="str">
        <f t="shared" ref="AJ26" si="1214">IFERROR((AI20*AJ20+AI22*AJ22+AI24*AJ24)/AI26,"")</f>
        <v/>
      </c>
      <c r="AK26" s="144">
        <f t="shared" ref="AK26" si="1215">IFERROR(SUM(AK20,AK22,AK24),"")</f>
        <v>0</v>
      </c>
      <c r="AL26" s="145" t="str">
        <f t="shared" ref="AL26" si="1216">IFERROR((AK20*AL20+AK22*AL22+AK24*AL24)/AK26,"")</f>
        <v/>
      </c>
      <c r="AM26" s="144">
        <f t="shared" ref="AM26" si="1217">IFERROR(SUM(AM20,AM22,AM24),"")</f>
        <v>584.39999999999986</v>
      </c>
      <c r="AN26" s="145">
        <f t="shared" ref="AN26" si="1218">IFERROR((AM20*AN20+AM22*AN22+AM24*AN24)/AM26,"")</f>
        <v>1.1347626806651898</v>
      </c>
      <c r="AO26" s="144">
        <f t="shared" ref="AO26" si="1219">IFERROR(SUM(AO20,AO22,AO24),"")</f>
        <v>0</v>
      </c>
      <c r="AP26" s="145" t="str">
        <f t="shared" ref="AP26" si="1220">IFERROR((AO20*AP20+AO22*AP22+AO24*AP24)/AO26,"")</f>
        <v/>
      </c>
      <c r="AQ26" s="144">
        <f t="shared" ref="AQ26" si="1221">IFERROR(SUM(AQ20,AQ22,AQ24),"")</f>
        <v>0</v>
      </c>
      <c r="AR26" s="145" t="str">
        <f t="shared" ref="AR26" si="1222">IFERROR((AQ20*AR20+AQ22*AR22+AQ24*AR24)/AQ26,"")</f>
        <v/>
      </c>
      <c r="AS26" s="144">
        <f t="shared" ref="AS26" si="1223">IFERROR(SUM(AS20,AS22,AS24),"")</f>
        <v>0</v>
      </c>
      <c r="AT26" s="145" t="str">
        <f t="shared" ref="AT26" si="1224">IFERROR((AS20*AT20+AS22*AT22+AS24*AT24)/AS26,"")</f>
        <v/>
      </c>
      <c r="AU26" s="144">
        <f t="shared" ref="AU26" si="1225">IFERROR(SUM(AU20,AU22,AU24),"")</f>
        <v>4744</v>
      </c>
      <c r="AV26" s="145">
        <f t="shared" ref="AV26" si="1226">IFERROR((AU20*AV20+AU22*AV22+AU24*AV24)/AU26,"")</f>
        <v>1.3879447026271963</v>
      </c>
      <c r="AW26" s="144">
        <f t="shared" ref="AW26" si="1227">IFERROR(SUM(AW20,AW22,AW24),"")</f>
        <v>0</v>
      </c>
      <c r="AX26" s="145" t="str">
        <f t="shared" ref="AX26" si="1228">IFERROR((AW20*AX20+AW22*AX22+AW24*AX24)/AW26,"")</f>
        <v/>
      </c>
      <c r="AY26" s="144">
        <f t="shared" ref="AY26" si="1229">IFERROR(SUM(AY20,AY22,AY24),"")</f>
        <v>0</v>
      </c>
      <c r="AZ26" s="145" t="str">
        <f t="shared" ref="AZ26" si="1230">IFERROR((AY20*AZ20+AY22*AZ22+AY24*AZ24)/AY26,"")</f>
        <v/>
      </c>
      <c r="BA26" s="144">
        <f t="shared" ref="BA26" si="1231">IFERROR(SUM(BA20,BA22,BA24),"")</f>
        <v>0</v>
      </c>
      <c r="BB26" s="145" t="str">
        <f t="shared" ref="BB26" si="1232">IFERROR((BA20*BB20+BA22*BB22+BA24*BB24)/BA26,"")</f>
        <v/>
      </c>
      <c r="BC26" s="144">
        <f t="shared" ref="BC26" si="1233">IFERROR(SUM(BC20,BC22,BC24),"")</f>
        <v>0</v>
      </c>
      <c r="BD26" s="145" t="str">
        <f t="shared" ref="BD26" si="1234">IFERROR((BC20*BD20+BC22*BD22+BC24*BD24)/BC26,"")</f>
        <v/>
      </c>
      <c r="BE26" s="144">
        <f t="shared" ref="BE26" si="1235">IFERROR(SUM(BE20,BE22,BE24),"")</f>
        <v>0</v>
      </c>
      <c r="BF26" s="145" t="str">
        <f t="shared" ref="BF26" si="1236">IFERROR((BE20*BF20+BE22*BF22+BE24*BF24)/BE26,"")</f>
        <v/>
      </c>
      <c r="BG26" s="144">
        <f t="shared" ref="BG26" si="1237">IFERROR(SUM(BG20,BG22,BG24),"")</f>
        <v>2728</v>
      </c>
      <c r="BH26" s="145">
        <f t="shared" ref="BH26" si="1238">IFERROR((BG20*BH20+BG22*BH22+BG24*BH24)/BG26,"")</f>
        <v>1.3098504717801409</v>
      </c>
      <c r="BI26" s="144">
        <f t="shared" ref="BI26" si="1239">IFERROR(SUM(BI20,BI22,BI24),"")</f>
        <v>0</v>
      </c>
      <c r="BJ26" s="145" t="str">
        <f t="shared" ref="BJ26" si="1240">IFERROR((BI20*BJ20+BI22*BJ22+BI24*BJ24)/BI26,"")</f>
        <v/>
      </c>
      <c r="BK26" s="144">
        <f t="shared" ref="BK26" si="1241">IFERROR(SUM(BK20,BK22,BK24),"")</f>
        <v>4687.2</v>
      </c>
      <c r="BL26" s="145">
        <f t="shared" ref="BL26" si="1242">IFERROR((BK20*BL20+BK22*BL22+BK24*BL24)/BK26,"")</f>
        <v>1.7807410494588893</v>
      </c>
      <c r="BM26" s="144">
        <f t="shared" ref="BM26" si="1243">IFERROR(SUM(BM20,BM22,BM24),"")</f>
        <v>2396</v>
      </c>
      <c r="BN26" s="145">
        <f t="shared" ref="BN26" si="1244">IFERROR((BM20*BN20+BM22*BN22+BM24*BN24)/BM26,"")</f>
        <v>1.6008698066733142</v>
      </c>
      <c r="BO26" s="144">
        <f t="shared" ref="BO26" si="1245">IFERROR(SUM(BO20,BO22,BO24),"")</f>
        <v>0</v>
      </c>
      <c r="BP26" s="145" t="str">
        <f t="shared" ref="BP26" si="1246">IFERROR((BO20*BP20+BO22*BP22+BO24*BP24)/BO26,"")</f>
        <v/>
      </c>
      <c r="BQ26" s="144">
        <f t="shared" ref="BQ26" si="1247">IFERROR(SUM(BQ20,BQ22,BQ24),"")</f>
        <v>0</v>
      </c>
      <c r="BR26" s="145" t="str">
        <f t="shared" ref="BR26" si="1248">IFERROR((BQ20*BR20+BQ22*BR22+BQ24*BR24)/BQ26,"")</f>
        <v/>
      </c>
      <c r="BS26" s="144">
        <f t="shared" ref="BS26" si="1249">IFERROR(SUM(BS20,BS22,BS24),"")</f>
        <v>0</v>
      </c>
      <c r="BT26" s="145" t="str">
        <f t="shared" ref="BT26" si="1250">IFERROR((BS20*BT20+BS22*BT22+BS24*BT24)/BS26,"")</f>
        <v/>
      </c>
      <c r="BU26" s="144">
        <f t="shared" ref="BU26" si="1251">IFERROR(SUM(BU20,BU22,BU24),"")</f>
        <v>0</v>
      </c>
      <c r="BV26" s="145" t="str">
        <f t="shared" ref="BV26" si="1252">IFERROR((BU20*BV20+BU22*BV22+BU24*BV24)/BU26,"")</f>
        <v/>
      </c>
      <c r="BW26" s="144">
        <f t="shared" ref="BW26" si="1253">IFERROR(SUM(BW20,BW22,BW24),"")</f>
        <v>5202</v>
      </c>
      <c r="BX26" s="145">
        <f t="shared" ref="BX26" si="1254">IFERROR((BW20*BX20+BW22*BX22+BW24*BX24)/BW26,"")</f>
        <v>1.6406788503880412</v>
      </c>
      <c r="BY26" s="144">
        <f t="shared" ref="BY26" si="1255">IFERROR(SUM(BY20,BY22,BY24),"")</f>
        <v>3288.6000000000004</v>
      </c>
      <c r="BZ26" s="145">
        <f t="shared" ref="BZ26" si="1256">IFERROR((BY20*BZ20+BY22*BZ22+BY24*BZ24)/BY26,"")</f>
        <v>4.2838927917744325</v>
      </c>
      <c r="CA26" s="144">
        <f t="shared" ref="CA26" si="1257">IFERROR(SUM(CA20,CA22,CA24),"")</f>
        <v>3110.2</v>
      </c>
      <c r="CB26" s="145">
        <f t="shared" ref="CB26" si="1258">IFERROR((CA20*CB20+CA22*CB22+CA24*CB24)/CA26,"")</f>
        <v>1.4582587248761827</v>
      </c>
      <c r="CC26" s="144">
        <f t="shared" ref="CC26" si="1259">IFERROR(SUM(CC20,CC22,CC24),"")</f>
        <v>0</v>
      </c>
      <c r="CD26" s="145" t="str">
        <f t="shared" ref="CD26" si="1260">IFERROR((CC20*CD20+CC22*CD22+CC24*CD24)/CC26,"")</f>
        <v/>
      </c>
      <c r="CE26" s="144">
        <f t="shared" ref="CE26" si="1261">IFERROR(SUM(CE20,CE22,CE24),"")</f>
        <v>1636.8000000000002</v>
      </c>
      <c r="CF26" s="145">
        <f t="shared" ref="CF26" si="1262">IFERROR((CE20*CF20+CE22*CF22+CE24*CF24)/CE26,"")</f>
        <v>1.4301524584521093</v>
      </c>
      <c r="CG26" s="144">
        <f t="shared" ref="CG26" si="1263">IFERROR(SUM(CG20,CG22,CG24),"")</f>
        <v>0</v>
      </c>
      <c r="CH26" s="145" t="str">
        <f t="shared" ref="CH26" si="1264">IFERROR((CG20*CH20+CG22*CH22+CG24*CH24)/CG26,"")</f>
        <v/>
      </c>
      <c r="CI26" s="144">
        <f t="shared" ref="CI26" si="1265">IFERROR(SUM(CI20,CI22,CI24),"")</f>
        <v>0</v>
      </c>
      <c r="CJ26" s="145" t="str">
        <f t="shared" ref="CJ26" si="1266">IFERROR((CI20*CJ20+CI22*CJ22+CI24*CJ24)/CI26,"")</f>
        <v/>
      </c>
      <c r="CK26" s="144">
        <f t="shared" ref="CK26" si="1267">IFERROR(SUM(CK20,CK22,CK24),"")</f>
        <v>0</v>
      </c>
      <c r="CL26" s="145" t="str">
        <f t="shared" ref="CL26" si="1268">IFERROR((CK20*CL20+CK22*CL22+CK24*CL24)/CK26,"")</f>
        <v/>
      </c>
      <c r="CM26" s="144">
        <f t="shared" ref="CM26" si="1269">IFERROR(SUM(CM20,CM22,CM24),"")</f>
        <v>0</v>
      </c>
      <c r="CN26" s="145" t="str">
        <f t="shared" ref="CN26" si="1270">IFERROR((CM20*CN20+CM22*CN22+CM24*CN24)/CM26,"")</f>
        <v/>
      </c>
      <c r="CO26" s="144">
        <f t="shared" ref="CO26" si="1271">IFERROR(SUM(CO20,CO22,CO24),"")</f>
        <v>647.59999999999991</v>
      </c>
      <c r="CP26" s="145">
        <f t="shared" ref="CP26" si="1272">IFERROR((CO20*CP20+CO22*CP22+CO24*CP24)/CO26,"")</f>
        <v>1.8064608158084954</v>
      </c>
      <c r="CQ26" s="144">
        <f t="shared" ref="CQ26" si="1273">IFERROR(SUM(CQ20,CQ22,CQ24),"")</f>
        <v>0</v>
      </c>
      <c r="CR26" s="145" t="str">
        <f t="shared" ref="CR26" si="1274">IFERROR((CQ20*CR20+CQ22*CR22+CQ24*CR24)/CQ26,"")</f>
        <v/>
      </c>
      <c r="CS26" s="144"/>
      <c r="CT26" s="145"/>
      <c r="CU26" s="144"/>
      <c r="CV26" s="145"/>
      <c r="CW26" s="144"/>
      <c r="CX26" s="145"/>
      <c r="CY26" s="144">
        <f t="shared" ref="CY26" si="1275">IFERROR(SUM(CY20,CY22,CY24),"")</f>
        <v>0</v>
      </c>
      <c r="CZ26" s="145" t="str">
        <f t="shared" ref="CZ26" si="1276">IFERROR((CY20*CZ20+CY22*CZ22+CY24*CZ24)/CY26,"")</f>
        <v/>
      </c>
      <c r="DA26" s="144">
        <f t="shared" ref="DA26" si="1277">IFERROR(SUM(DA20,DA22,DA24),"")</f>
        <v>0</v>
      </c>
      <c r="DB26" s="145" t="str">
        <f t="shared" ref="DB26" si="1278">IFERROR((DA20*DB20+DA22*DB22+DA24*DB24)/DA26,"")</f>
        <v/>
      </c>
      <c r="DC26" s="144">
        <f t="shared" ref="DC26" si="1279">IFERROR(SUM(DC20,DC22,DC24),"")</f>
        <v>0</v>
      </c>
      <c r="DD26" s="145" t="str">
        <f t="shared" ref="DD26" si="1280">IFERROR((DC20*DD20+DC22*DD22+DC24*DD24)/DC26,"")</f>
        <v/>
      </c>
      <c r="DE26" s="144">
        <f t="shared" ref="DE26" si="1281">IFERROR(SUM(DE20,DE22,DE24),"")</f>
        <v>0</v>
      </c>
      <c r="DF26" s="145" t="str">
        <f t="shared" ref="DF26" si="1282">IFERROR((DE20*DF20+DE22*DF22+DE24*DF24)/DE26,"")</f>
        <v/>
      </c>
      <c r="DG26" s="144">
        <f t="shared" ref="DG26" si="1283">IFERROR(SUM(DG20,DG22,DG24),"")</f>
        <v>0</v>
      </c>
      <c r="DH26" s="145" t="str">
        <f t="shared" ref="DH26" si="1284">IFERROR((DG20*DH20+DG22*DH22+DG24*DH24)/DG26,"")</f>
        <v/>
      </c>
      <c r="DI26" s="144">
        <f t="shared" ref="DI26" si="1285">IFERROR(SUM(DI20,DI22,DI24),"")</f>
        <v>0</v>
      </c>
      <c r="DJ26" s="145" t="str">
        <f t="shared" ref="DJ26" si="1286">IFERROR((DI20*DJ20+DI22*DJ22+DI24*DJ24)/DI26,"")</f>
        <v/>
      </c>
      <c r="DK26" s="144">
        <f t="shared" ref="DK26" si="1287">IFERROR(SUM(DK20,DK22,DK24),"")</f>
        <v>0</v>
      </c>
      <c r="DL26" s="145" t="str">
        <f t="shared" ref="DL26" si="1288">IFERROR((DK20*DL20+DK22*DL22+DK24*DL24)/DK26,"")</f>
        <v/>
      </c>
      <c r="DM26" s="144">
        <f t="shared" ref="DM26" si="1289">IFERROR(SUM(DM20,DM22,DM24),"")</f>
        <v>0</v>
      </c>
      <c r="DN26" s="145" t="str">
        <f t="shared" ref="DN26" si="1290">IFERROR((DM20*DN20+DM22*DN22+DM24*DN24)/DM26,"")</f>
        <v/>
      </c>
      <c r="DO26" s="144">
        <f t="shared" ref="DO26" si="1291">IFERROR(SUM(DO20,DO22,DO24),"")</f>
        <v>0</v>
      </c>
      <c r="DP26" s="145" t="str">
        <f t="shared" ref="DP26" si="1292">IFERROR((DO20*DP20+DO22*DP22+DO24*DP24)/DO26,"")</f>
        <v/>
      </c>
      <c r="DQ26" s="144">
        <f t="shared" ref="DQ26" si="1293">IFERROR(SUM(DQ20,DQ22,DQ24),"")</f>
        <v>0</v>
      </c>
      <c r="DR26" s="145" t="str">
        <f t="shared" ref="DR26" si="1294">IFERROR((DQ20*DR20+DQ22*DR22+DQ24*DR24)/DQ26,"")</f>
        <v/>
      </c>
      <c r="DS26" s="144">
        <f t="shared" ref="DS26" si="1295">IFERROR(SUM(DS20,DS22,DS24),"")</f>
        <v>0</v>
      </c>
      <c r="DT26" s="145" t="str">
        <f t="shared" ref="DT26" si="1296">IFERROR((DS20*DT20+DS22*DT22+DS24*DT24)/DS26,"")</f>
        <v/>
      </c>
      <c r="DU26" s="144">
        <f t="shared" ref="DU26" si="1297">IFERROR(SUM(DU20,DU22,DU24),"")</f>
        <v>0</v>
      </c>
      <c r="DV26" s="145" t="str">
        <f t="shared" ref="DV26" si="1298">IFERROR((DU20*DV20+DU22*DV22+DU24*DV24)/DU26,"")</f>
        <v/>
      </c>
      <c r="DW26" s="144">
        <f t="shared" ref="DW26" si="1299">IFERROR(SUM(DW20,DW22,DW24),"")</f>
        <v>0</v>
      </c>
      <c r="DX26" s="145" t="str">
        <f t="shared" ref="DX26" si="1300">IFERROR((DW20*DX20+DW22*DX22+DW24*DX24)/DW26,"")</f>
        <v/>
      </c>
      <c r="DY26" s="144">
        <f t="shared" ref="DY26" si="1301">IFERROR(SUM(DY20,DY22,DY24),"")</f>
        <v>0</v>
      </c>
      <c r="DZ26" s="145" t="str">
        <f t="shared" ref="DZ26" si="1302">IFERROR((DY20*DZ20+DY22*DZ22+DY24*DZ24)/DY26,"")</f>
        <v/>
      </c>
      <c r="EA26" s="144">
        <f t="shared" ref="EA26" si="1303">IFERROR(SUM(EA20,EA22,EA24),"")</f>
        <v>0</v>
      </c>
      <c r="EB26" s="145" t="str">
        <f t="shared" ref="EB26" si="1304">IFERROR((EA20*EB20+EA22*EB22+EA24*EB24)/EA26,"")</f>
        <v/>
      </c>
      <c r="EC26" s="144">
        <f t="shared" ref="EC26" si="1305">IFERROR(SUM(EC20,EC22,EC24),"")</f>
        <v>0</v>
      </c>
      <c r="ED26" s="145" t="str">
        <f t="shared" ref="ED26" si="1306">IFERROR((EC20*ED20+EC22*ED22+EC24*ED24)/EC26,"")</f>
        <v/>
      </c>
      <c r="EE26" s="144">
        <f t="shared" ref="EE26" si="1307">IFERROR(SUM(EE20,EE22,EE24),"")</f>
        <v>0</v>
      </c>
      <c r="EF26" s="145" t="str">
        <f t="shared" ref="EF26" si="1308">IFERROR((EE20*EF20+EE22*EF22+EE24*EF24)/EE26,"")</f>
        <v/>
      </c>
      <c r="EG26" s="144">
        <f t="shared" ref="EG26" si="1309">IFERROR(SUM(EG20,EG22,EG24),"")</f>
        <v>0</v>
      </c>
      <c r="EH26" s="145" t="str">
        <f t="shared" ref="EH26" si="1310">IFERROR((EG20*EH20+EG22*EH22+EG24*EH24)/EG26,"")</f>
        <v/>
      </c>
      <c r="EI26" s="144">
        <f t="shared" ref="EI26" si="1311">IFERROR(SUM(EI20,EI22,EI24),"")</f>
        <v>0</v>
      </c>
      <c r="EJ26" s="145" t="str">
        <f t="shared" ref="EJ26" si="1312">IFERROR((EI20*EJ20+EI22*EJ22+EI24*EJ24)/EI26,"")</f>
        <v/>
      </c>
      <c r="EK26" s="144">
        <f t="shared" ref="EK26" si="1313">IFERROR(SUM(EK20,EK22,EK24),"")</f>
        <v>0</v>
      </c>
      <c r="EL26" s="145" t="str">
        <f t="shared" ref="EL26" si="1314">IFERROR((EK20*EL20+EK22*EL22+EK24*EL24)/EK26,"")</f>
        <v/>
      </c>
      <c r="EM26" s="144">
        <f t="shared" ref="EM26" si="1315">IFERROR(SUM(EM20,EM22,EM24),"")</f>
        <v>0</v>
      </c>
      <c r="EN26" s="145" t="str">
        <f t="shared" ref="EN26" si="1316">IFERROR((EM20*EN20+EM22*EN22+EM24*EN24)/EM26,"")</f>
        <v/>
      </c>
      <c r="EO26" s="144">
        <f t="shared" ref="EO26" si="1317">IFERROR(SUM(EO20,EO22,EO24),"")</f>
        <v>0</v>
      </c>
      <c r="EP26" s="145" t="str">
        <f t="shared" ref="EP26" si="1318">IFERROR((EO20*EP20+EO22*EP22+EO24*EP24)/EO26,"")</f>
        <v/>
      </c>
      <c r="EQ26" s="144">
        <f t="shared" ref="EQ26" si="1319">IFERROR(SUM(EQ20,EQ22,EQ24),"")</f>
        <v>0</v>
      </c>
      <c r="ER26" s="145" t="str">
        <f t="shared" ref="ER26" si="1320">IFERROR((EQ20*ER20+EQ22*ER22+EQ24*ER24)/EQ26,"")</f>
        <v/>
      </c>
      <c r="ES26" s="144"/>
      <c r="ET26" s="145"/>
      <c r="EU26" s="144">
        <f t="shared" ref="EU26" si="1321">IFERROR(SUM(EU20,EU22,EU24),"")</f>
        <v>0</v>
      </c>
      <c r="EV26" s="145" t="str">
        <f t="shared" ref="EV26" si="1322">IFERROR((EU20*EV20+EU22*EV22+EU24*EV24)/EU26,"")</f>
        <v/>
      </c>
      <c r="EW26" s="144"/>
      <c r="EX26" s="145"/>
      <c r="EY26" s="144">
        <f t="shared" ref="EY26" si="1323">IFERROR(SUM(EY20,EY22,EY24),"")</f>
        <v>0</v>
      </c>
      <c r="EZ26" s="145" t="str">
        <f t="shared" ref="EZ26" si="1324">IFERROR((EY20*EZ20+EY22*EZ22+EY24*EZ24)/EY26,"")</f>
        <v/>
      </c>
      <c r="FA26" s="144">
        <f t="shared" ref="FA26" si="1325">IFERROR(SUM(FA20,FA22,FA24),"")</f>
        <v>0</v>
      </c>
      <c r="FB26" s="145" t="str">
        <f t="shared" ref="FB26" si="1326">IFERROR((FA20*FB20+FA22*FB22+FA24*FB24)/FA26,"")</f>
        <v/>
      </c>
      <c r="FC26" s="144">
        <f t="shared" ref="FC26" si="1327">IFERROR(SUM(FC20,FC22,FC24),"")</f>
        <v>0</v>
      </c>
      <c r="FD26" s="145" t="str">
        <f t="shared" ref="FD26" si="1328">IFERROR((FC20*FD20+FC22*FD22+FC24*FD24)/FC26,"")</f>
        <v/>
      </c>
      <c r="FE26" s="144">
        <f t="shared" ref="FE26" si="1329">IFERROR(SUM(FE20,FE22,FE24),"")</f>
        <v>0</v>
      </c>
      <c r="FF26" s="145" t="str">
        <f t="shared" ref="FF26" si="1330">IFERROR((FE20*FF20+FE22*FF22+FE24*FF24)/FE26,"")</f>
        <v/>
      </c>
      <c r="FG26" s="144">
        <f t="shared" ref="FG26" si="1331">IFERROR(SUM(FG20,FG22,FG24),"")</f>
        <v>0</v>
      </c>
      <c r="FH26" s="145" t="str">
        <f t="shared" ref="FH26" si="1332">IFERROR((FG20*FH20+FG22*FH22+FG24*FH24)/FG26,"")</f>
        <v/>
      </c>
      <c r="FI26" s="144">
        <f t="shared" ref="FI26" si="1333">IFERROR(SUM(FI20,FI22,FI24),"")</f>
        <v>0</v>
      </c>
      <c r="FJ26" s="145" t="str">
        <f t="shared" ref="FJ26" si="1334">IFERROR((FI20*FJ20+FI22*FJ22+FI24*FJ24)/FI26,"")</f>
        <v/>
      </c>
      <c r="FK26" s="144">
        <f t="shared" ref="FK26" si="1335">IFERROR(SUM(FK20,FK22,FK24),"")</f>
        <v>0</v>
      </c>
      <c r="FL26" s="145" t="str">
        <f t="shared" ref="FL26" si="1336">IFERROR((FK20*FL20+FK22*FL22+FK24*FL24)/FK26,"")</f>
        <v/>
      </c>
      <c r="FM26" s="144">
        <f t="shared" ref="FM26" si="1337">IFERROR(SUM(FM20,FM22,FM24),"")</f>
        <v>0</v>
      </c>
      <c r="FN26" s="145" t="str">
        <f t="shared" ref="FN26" si="1338">IFERROR((FM20*FN20+FM22*FN22+FM24*FN24)/FM26,"")</f>
        <v/>
      </c>
      <c r="FO26" s="144">
        <f t="shared" ref="FO26" si="1339">IFERROR(SUM(FO20,FO22,FO24),"")</f>
        <v>0</v>
      </c>
      <c r="FP26" s="145" t="str">
        <f t="shared" ref="FP26" si="1340">IFERROR((FO20*FP20+FO22*FP22+FO24*FP24)/FO26,"")</f>
        <v/>
      </c>
      <c r="FQ26" s="144">
        <f t="shared" ref="FQ26" si="1341">IFERROR(SUM(FQ20,FQ22,FQ24),"")</f>
        <v>0</v>
      </c>
      <c r="FR26" s="145" t="str">
        <f t="shared" ref="FR26" si="1342">IFERROR((FQ20*FR20+FQ22*FR22+FQ24*FR24)/FQ26,"")</f>
        <v/>
      </c>
      <c r="FS26" s="144">
        <f t="shared" ref="FS26" si="1343">IFERROR(SUM(FS20,FS22,FS24),"")</f>
        <v>0</v>
      </c>
      <c r="FT26" s="145" t="str">
        <f t="shared" ref="FT26" si="1344">IFERROR((FS20*FT20+FS22*FT22+FS24*FT24)/FS26,"")</f>
        <v/>
      </c>
      <c r="FU26" s="144">
        <f t="shared" ref="FU26" si="1345">IFERROR(SUM(FU20,FU22,FU24),"")</f>
        <v>0</v>
      </c>
      <c r="FV26" s="145" t="str">
        <f t="shared" ref="FV26" si="1346">IFERROR((FU20*FV20+FU22*FV22+FU24*FV24)/FU26,"")</f>
        <v/>
      </c>
      <c r="FW26" s="144">
        <f t="shared" ref="FW26" si="1347">IFERROR(SUM(FW20,FW22,FW24),"")</f>
        <v>0</v>
      </c>
      <c r="FX26" s="145" t="str">
        <f t="shared" ref="FX26" si="1348">IFERROR((FW20*FX20+FW22*FX22+FW24*FX24)/FW26,"")</f>
        <v/>
      </c>
      <c r="FY26" s="144">
        <f t="shared" ref="FY26" si="1349">IFERROR(SUM(FY20,FY22,FY24),"")</f>
        <v>0</v>
      </c>
      <c r="FZ26" s="145" t="str">
        <f t="shared" ref="FZ26" si="1350">IFERROR((FY20*FZ20+FY22*FZ22+FY24*FZ24)/FY26,"")</f>
        <v/>
      </c>
      <c r="GA26" s="144">
        <f t="shared" ref="GA26" si="1351">IFERROR(SUM(GA20,GA22,GA24),"")</f>
        <v>0</v>
      </c>
      <c r="GB26" s="145" t="str">
        <f t="shared" ref="GB26" si="1352">IFERROR((GA20*GB20+GA22*GB22+GA24*GB24)/GA26,"")</f>
        <v/>
      </c>
      <c r="GC26" s="144">
        <f t="shared" ref="GC26" si="1353">IFERROR(SUM(GC20,GC22,GC24),"")</f>
        <v>0</v>
      </c>
      <c r="GD26" s="145" t="str">
        <f t="shared" ref="GD26" si="1354">IFERROR((GC20*GD20+GC22*GD22+GC24*GD24)/GC26,"")</f>
        <v/>
      </c>
      <c r="GE26" s="144">
        <f t="shared" ref="GE26" si="1355">IFERROR(SUM(GE20,GE22,GE24),"")</f>
        <v>0</v>
      </c>
      <c r="GF26" s="145" t="str">
        <f t="shared" ref="GF26" si="1356">IFERROR((GE20*GF20+GE22*GF22+GE24*GF24)/GE26,"")</f>
        <v/>
      </c>
      <c r="GG26" s="144">
        <f t="shared" ref="GG26" si="1357">IFERROR(SUM(GG20,GG22,GG24),"")</f>
        <v>0</v>
      </c>
      <c r="GH26" s="145" t="str">
        <f t="shared" ref="GH26" si="1358">IFERROR((GG20*GH20+GG22*GH22+GG24*GH24)/GG26,"")</f>
        <v/>
      </c>
      <c r="GI26" s="144">
        <f t="shared" ref="GI26" si="1359">IFERROR(SUM(GI20,GI22,GI24),"")</f>
        <v>0</v>
      </c>
      <c r="GJ26" s="145" t="str">
        <f t="shared" ref="GJ26" si="1360">IFERROR((GI20*GJ20+GI22*GJ22+GI24*GJ24)/GI26,"")</f>
        <v/>
      </c>
      <c r="GK26" s="144">
        <f t="shared" ref="GK26" si="1361">IFERROR(SUM(GK20,GK22,GK24),"")</f>
        <v>0</v>
      </c>
      <c r="GL26" s="145" t="str">
        <f t="shared" ref="GL26" si="1362">IFERROR((GK20*GL20+GK22*GL22+GK24*GL24)/GK26,"")</f>
        <v/>
      </c>
      <c r="GM26" s="144">
        <f t="shared" ref="GM26" si="1363">IFERROR(SUM(GM20,GM22,GM24),"")</f>
        <v>0</v>
      </c>
      <c r="GN26" s="145" t="str">
        <f t="shared" ref="GN26" si="1364">IFERROR((GM20*GN20+GM22*GN22+GM24*GN24)/GM26,"")</f>
        <v/>
      </c>
      <c r="GO26" s="144">
        <f t="shared" ref="GO26" si="1365">IFERROR(SUM(GO20,GO22,GO24),"")</f>
        <v>0</v>
      </c>
      <c r="GP26" s="145" t="str">
        <f t="shared" ref="GP26" si="1366">IFERROR((GO20*GP20+GO22*GP22+GO24*GP24)/GO26,"")</f>
        <v/>
      </c>
      <c r="GQ26" s="144">
        <f t="shared" ref="GQ26" si="1367">IFERROR(SUM(GQ20,GQ22,GQ24),"")</f>
        <v>0</v>
      </c>
      <c r="GR26" s="145" t="str">
        <f t="shared" ref="GR26" si="1368">IFERROR((GQ20*GR20+GQ22*GR22+GQ24*GR24)/GQ26,"")</f>
        <v/>
      </c>
      <c r="GS26" s="144">
        <f t="shared" ref="GS26" si="1369">IFERROR(SUM(GS20,GS22,GS24),"")</f>
        <v>0</v>
      </c>
      <c r="GT26" s="145" t="str">
        <f t="shared" ref="GT26" si="1370">IFERROR((GS20*GT20+GS22*GT22+GS24*GT24)/GS26,"")</f>
        <v/>
      </c>
      <c r="GU26" s="144">
        <f t="shared" ref="GU26" si="1371">IFERROR(SUM(GU20,GU22,GU24),"")</f>
        <v>0</v>
      </c>
      <c r="GV26" s="145" t="str">
        <f t="shared" ref="GV26" si="1372">IFERROR((GU20*GV20+GU22*GV22+GU24*GV24)/GU26,"")</f>
        <v/>
      </c>
      <c r="GW26" s="144">
        <f t="shared" ref="GW26" si="1373">IFERROR(SUM(GW20,GW22,GW24),"")</f>
        <v>0</v>
      </c>
      <c r="GX26" s="145" t="str">
        <f t="shared" ref="GX26" si="1374">IFERROR((GW20*GX20+GW22*GX22+GW24*GX24)/GW26,"")</f>
        <v/>
      </c>
      <c r="GY26" s="144">
        <f t="shared" ref="GY26" si="1375">IFERROR(SUM(GY20,GY22,GY24),"")</f>
        <v>0</v>
      </c>
      <c r="GZ26" s="145" t="str">
        <f t="shared" ref="GZ26" si="1376">IFERROR((GY20*GZ20+GY22*GZ22+GY24*GZ24)/GY26,"")</f>
        <v/>
      </c>
      <c r="HA26" s="144">
        <f t="shared" ref="HA26" si="1377">IFERROR(SUM(HA20,HA22,HA24),"")</f>
        <v>0</v>
      </c>
      <c r="HB26" s="145" t="str">
        <f t="shared" ref="HB26" si="1378">IFERROR((HA20*HB20+HA22*HB22+HA24*HB24)/HA26,"")</f>
        <v/>
      </c>
      <c r="HC26" s="144">
        <f t="shared" ref="HC26" si="1379">IFERROR(SUM(HC20,HC22,HC24),"")</f>
        <v>0</v>
      </c>
      <c r="HD26" s="145" t="str">
        <f t="shared" ref="HD26" si="1380">IFERROR((HC20*HD20+HC22*HD22+HC24*HD24)/HC26,"")</f>
        <v/>
      </c>
      <c r="HE26" s="144">
        <f t="shared" ref="HE26" si="1381">IFERROR(SUM(HE20,HE22,HE24),"")</f>
        <v>0</v>
      </c>
      <c r="HF26" s="145" t="str">
        <f t="shared" ref="HF26" si="1382">IFERROR((HE20*HF20+HE22*HF22+HE24*HF24)/HE26,"")</f>
        <v/>
      </c>
      <c r="HG26" s="144">
        <f t="shared" ref="HG26" si="1383">IFERROR(SUM(HG20,HG22,HG24),"")</f>
        <v>0</v>
      </c>
      <c r="HH26" s="145" t="str">
        <f t="shared" ref="HH26" si="1384">IFERROR((HG20*HH20+HG22*HH22+HG24*HH24)/HG26,"")</f>
        <v/>
      </c>
      <c r="HI26" s="144">
        <f t="shared" ref="HI26" si="1385">IFERROR(SUM(HI20,HI22,HI24),"")</f>
        <v>0</v>
      </c>
      <c r="HJ26" s="145" t="str">
        <f t="shared" ref="HJ26" si="1386">IFERROR((HI20*HJ20+HI22*HJ22+HI24*HJ24)/HI26,"")</f>
        <v/>
      </c>
      <c r="HK26" s="144">
        <f t="shared" ref="HK26" si="1387">IFERROR(SUM(HK20,HK22,HK24),"")</f>
        <v>0</v>
      </c>
      <c r="HL26" s="145" t="str">
        <f t="shared" ref="HL26" si="1388">IFERROR((HK20*HL20+HK22*HL22+HK24*HL24)/HK26,"")</f>
        <v/>
      </c>
      <c r="HM26" s="144">
        <f t="shared" ref="HM26" si="1389">IFERROR(SUM(HM20,HM22,HM24),"")</f>
        <v>0</v>
      </c>
      <c r="HN26" s="145" t="str">
        <f t="shared" ref="HN26" si="1390">IFERROR((HM20*HN20+HM22*HN22+HM24*HN24)/HM26,"")</f>
        <v/>
      </c>
      <c r="HO26" s="144">
        <f t="shared" ref="HO26" si="1391">IFERROR(SUM(HO20,HO22,HO24),"")</f>
        <v>0</v>
      </c>
      <c r="HP26" s="145" t="str">
        <f t="shared" ref="HP26" si="1392">IFERROR((HO20*HP20+HO22*HP22+HO24*HP24)/HO26,"")</f>
        <v/>
      </c>
      <c r="HQ26" s="144">
        <f t="shared" ref="HQ26" si="1393">IFERROR(SUM(HQ20,HQ22,HQ24),"")</f>
        <v>0</v>
      </c>
      <c r="HR26" s="145" t="str">
        <f t="shared" ref="HR26" si="1394">IFERROR((HQ20*HR20+HQ22*HR22+HQ24*HR24)/HQ26,"")</f>
        <v/>
      </c>
      <c r="HS26" s="144">
        <f t="shared" ref="HS26" si="1395">IFERROR(SUM(HS20,HS22,HS24),"")</f>
        <v>0</v>
      </c>
      <c r="HT26" s="145" t="str">
        <f t="shared" ref="HT26" si="1396">IFERROR((HS20*HT20+HS22*HT22+HS24*HT24)/HS26,"")</f>
        <v/>
      </c>
      <c r="HU26" s="144">
        <f t="shared" ref="HU26" si="1397">IFERROR(SUM(HU20,HU22,HU24),"")</f>
        <v>0</v>
      </c>
      <c r="HV26" s="145" t="str">
        <f t="shared" ref="HV26" si="1398">IFERROR((HU20*HV20+HU22*HV22+HU24*HV24)/HU26,"")</f>
        <v/>
      </c>
      <c r="HW26" s="144">
        <f t="shared" ref="HW26" si="1399">IFERROR(SUM(HW20,HW22,HW24),"")</f>
        <v>0</v>
      </c>
      <c r="HX26" s="145" t="str">
        <f t="shared" ref="HX26" si="1400">IFERROR((HW20*HX20+HW22*HX22+HW24*HX24)/HW26,"")</f>
        <v/>
      </c>
      <c r="HY26" s="144">
        <f t="shared" ref="HY26" si="1401">IFERROR(SUM(HY20,HY22,HY24),"")</f>
        <v>0</v>
      </c>
      <c r="HZ26" s="145" t="str">
        <f t="shared" ref="HZ26" si="1402">IFERROR((HY20*HZ20+HY22*HZ22+HY24*HZ24)/HY26,"")</f>
        <v/>
      </c>
      <c r="IA26" s="144">
        <f t="shared" ref="IA26" si="1403">IFERROR(SUM(IA20,IA22,IA24),"")</f>
        <v>0</v>
      </c>
      <c r="IB26" s="145" t="str">
        <f t="shared" ref="IB26" si="1404">IFERROR((IA20*IB20+IA22*IB22+IA24*IB24)/IA26,"")</f>
        <v/>
      </c>
      <c r="IC26" s="144">
        <f t="shared" ref="IC26" si="1405">IFERROR(SUM(IC20,IC22,IC24),"")</f>
        <v>0</v>
      </c>
      <c r="ID26" s="145" t="str">
        <f t="shared" ref="ID26" si="1406">IFERROR((IC20*ID20+IC22*ID22+IC24*ID24)/IC26,"")</f>
        <v/>
      </c>
      <c r="IE26" s="144">
        <f t="shared" ref="IE26" si="1407">IFERROR(SUM(IE20,IE22,IE24),"")</f>
        <v>0</v>
      </c>
      <c r="IF26" s="145" t="str">
        <f t="shared" ref="IF26" si="1408">IFERROR((IE20*IF20+IE22*IF22+IE24*IF24)/IE26,"")</f>
        <v/>
      </c>
      <c r="IG26" s="144">
        <f t="shared" ref="IG26" si="1409">IFERROR(SUM(IG20,IG22,IG24),"")</f>
        <v>0</v>
      </c>
      <c r="IH26" s="145" t="str">
        <f t="shared" ref="IH26" si="1410">IFERROR((IG20*IH20+IG22*IH22+IG24*IH24)/IG26,"")</f>
        <v/>
      </c>
      <c r="II26" s="144">
        <f t="shared" ref="II26" si="1411">IFERROR(SUM(II20,II22,II24),"")</f>
        <v>0</v>
      </c>
      <c r="IJ26" s="145" t="str">
        <f t="shared" ref="IJ26" si="1412">IFERROR((II20*IJ20+II22*IJ22+II24*IJ24)/II26,"")</f>
        <v/>
      </c>
      <c r="IK26" s="144">
        <f t="shared" ref="IK26" si="1413">IFERROR(SUM(IK20,IK22,IK24),"")</f>
        <v>0</v>
      </c>
      <c r="IL26" s="145" t="str">
        <f t="shared" ref="IL26" si="1414">IFERROR((IK20*IL20+IK22*IL22+IK24*IL24)/IK26,"")</f>
        <v/>
      </c>
      <c r="IM26" s="144">
        <f t="shared" ref="IM26" si="1415">IFERROR(SUM(IM20,IM22,IM24),"")</f>
        <v>0</v>
      </c>
      <c r="IN26" s="145" t="str">
        <f t="shared" ref="IN26" si="1416">IFERROR((IM20*IN20+IM22*IN22+IM24*IN24)/IM26,"")</f>
        <v/>
      </c>
      <c r="IO26" s="144">
        <f t="shared" ref="IO26" si="1417">IFERROR(SUM(IO20,IO22,IO24),"")</f>
        <v>0</v>
      </c>
      <c r="IP26" s="145" t="str">
        <f t="shared" ref="IP26" si="1418">IFERROR((IO20*IP20+IO22*IP22+IO24*IP24)/IO26,"")</f>
        <v/>
      </c>
      <c r="IQ26" s="144">
        <f t="shared" ref="IQ26" si="1419">IFERROR(SUM(IQ20,IQ22,IQ24),"")</f>
        <v>0</v>
      </c>
      <c r="IR26" s="145" t="str">
        <f t="shared" ref="IR26" si="1420">IFERROR((IQ20*IR20+IQ22*IR22+IQ24*IR24)/IQ26,"")</f>
        <v/>
      </c>
      <c r="IS26" s="144">
        <f t="shared" ref="IS26" si="1421">IFERROR(SUM(IS20,IS22,IS24),"")</f>
        <v>0</v>
      </c>
      <c r="IT26" s="145" t="str">
        <f t="shared" ref="IT26" si="1422">IFERROR((IS20*IT20+IS22*IT22+IS24*IT24)/IS26,"")</f>
        <v/>
      </c>
      <c r="IU26" s="144">
        <f t="shared" ref="IU26" si="1423">IFERROR(SUM(IU20,IU22,IU24),"")</f>
        <v>0</v>
      </c>
      <c r="IV26" s="145" t="str">
        <f t="shared" ref="IV26" si="1424">IFERROR((IU20*IV20+IU22*IV22+IU24*IV24)/IU26,"")</f>
        <v/>
      </c>
      <c r="IW26" s="144">
        <f t="shared" ref="IW26" si="1425">IFERROR(SUM(IW20,IW22,IW24),"")</f>
        <v>0</v>
      </c>
      <c r="IX26" s="145" t="str">
        <f t="shared" ref="IX26" si="1426">IFERROR((IW20*IX20+IW22*IX22+IW24*IX24)/IW26,"")</f>
        <v/>
      </c>
      <c r="IY26" s="144">
        <f t="shared" ref="IY26" si="1427">IFERROR(SUM(IY20,IY22,IY24),"")</f>
        <v>0</v>
      </c>
      <c r="IZ26" s="145" t="str">
        <f t="shared" si="1185"/>
        <v/>
      </c>
    </row>
    <row r="27" spans="1:260" x14ac:dyDescent="0.25">
      <c r="A27" s="1586">
        <v>45566</v>
      </c>
      <c r="B27" s="11" t="s">
        <v>211</v>
      </c>
      <c r="C27" s="19" cm="1">
        <f t="array" ref="C27">SUM(_xlfn._xlws.FILTER(E27:IZ27, MOD(COLUMN(E27:IZ27)-COLUMN(E27)+1,2)=1))</f>
        <v>22180</v>
      </c>
      <c r="D27" s="26" cm="1">
        <f t="array" ref="D27">SUMPRODUCT(_xlfn._xlws.FILTER(E27:IZ27, MOD(COLUMN(E27:IZ27)-COLUMN(E27)+1,2)=1), _xlfn._xlws.FILTER(E27:IZ27, MOD(COLUMN(E27:IZ27)-COLUMN(E27)+1,2)=0))/C27</f>
        <v>1.9532754733994591</v>
      </c>
      <c r="E27" s="142"/>
      <c r="F27" s="143"/>
      <c r="G27" s="142"/>
      <c r="H27" s="143"/>
      <c r="I27" s="142"/>
      <c r="J27" s="143"/>
      <c r="K27" s="142"/>
      <c r="L27" s="143"/>
      <c r="M27" s="142"/>
      <c r="N27" s="143"/>
      <c r="O27" s="142">
        <v>2100</v>
      </c>
      <c r="P27" s="143">
        <v>1.8</v>
      </c>
      <c r="Q27" s="142"/>
      <c r="R27" s="143"/>
      <c r="S27" s="142">
        <v>2170</v>
      </c>
      <c r="T27" s="143">
        <v>1.1299999999999992</v>
      </c>
      <c r="U27" s="142">
        <v>3255</v>
      </c>
      <c r="V27" s="143">
        <v>1.1600000000000006</v>
      </c>
      <c r="W27" s="142"/>
      <c r="X27" s="143"/>
      <c r="Y27" s="142"/>
      <c r="Z27" s="143"/>
      <c r="AA27" s="142"/>
      <c r="AB27" s="143"/>
      <c r="AC27" s="142"/>
      <c r="AD27" s="143"/>
      <c r="AE27" s="142"/>
      <c r="AF27" s="143"/>
      <c r="AG27" s="142"/>
      <c r="AH27" s="143"/>
      <c r="AI27" s="142"/>
      <c r="AJ27" s="143"/>
      <c r="AK27" s="142"/>
      <c r="AL27" s="143"/>
      <c r="AM27" s="142"/>
      <c r="AN27" s="143"/>
      <c r="AO27" s="142"/>
      <c r="AP27" s="143"/>
      <c r="AQ27" s="142"/>
      <c r="AR27" s="143"/>
      <c r="AS27" s="142"/>
      <c r="AT27" s="143"/>
      <c r="AU27" s="142"/>
      <c r="AV27" s="143"/>
      <c r="AW27" s="142"/>
      <c r="AX27" s="143"/>
      <c r="AY27" s="142"/>
      <c r="AZ27" s="143"/>
      <c r="BA27" s="142">
        <v>1085</v>
      </c>
      <c r="BB27" s="143">
        <v>1.39</v>
      </c>
      <c r="BC27" s="142"/>
      <c r="BD27" s="143"/>
      <c r="BE27" s="142"/>
      <c r="BF27" s="143"/>
      <c r="BG27" s="142">
        <v>0</v>
      </c>
      <c r="BH27" s="143">
        <v>0</v>
      </c>
      <c r="BI27" s="142"/>
      <c r="BJ27" s="143"/>
      <c r="BK27" s="142"/>
      <c r="BL27" s="143"/>
      <c r="BM27" s="142">
        <v>2480</v>
      </c>
      <c r="BN27" s="143">
        <v>2.84</v>
      </c>
      <c r="BO27" s="142">
        <v>2170</v>
      </c>
      <c r="BP27" s="143">
        <v>2.84</v>
      </c>
      <c r="BQ27" s="142"/>
      <c r="BR27" s="143"/>
      <c r="BS27" s="142"/>
      <c r="BT27" s="143"/>
      <c r="BU27" s="142"/>
      <c r="BV27" s="143"/>
      <c r="BW27" s="142"/>
      <c r="BX27" s="175"/>
      <c r="BY27" s="142">
        <v>0</v>
      </c>
      <c r="BZ27" s="175">
        <v>0</v>
      </c>
      <c r="CA27" s="142">
        <v>1240</v>
      </c>
      <c r="CB27" s="175">
        <v>2.98</v>
      </c>
      <c r="CC27" s="142"/>
      <c r="CD27" s="175"/>
      <c r="CE27" s="142"/>
      <c r="CF27" s="175"/>
      <c r="CG27" s="142">
        <v>1240</v>
      </c>
      <c r="CH27" s="175">
        <v>2.98</v>
      </c>
      <c r="CI27" s="142"/>
      <c r="CJ27" s="143"/>
      <c r="CK27" s="142"/>
      <c r="CL27" s="143"/>
      <c r="CM27" s="142">
        <v>2170</v>
      </c>
      <c r="CN27" s="175">
        <v>1.92</v>
      </c>
      <c r="CO27" s="142"/>
      <c r="CP27" s="143"/>
      <c r="CQ27" s="142">
        <v>2170</v>
      </c>
      <c r="CR27" s="175">
        <v>1.64</v>
      </c>
      <c r="CS27" s="142"/>
      <c r="CT27" s="175"/>
      <c r="CU27" s="142"/>
      <c r="CV27" s="175"/>
      <c r="CW27" s="142"/>
      <c r="CX27" s="175"/>
      <c r="CY27" s="142"/>
      <c r="CZ27" s="143"/>
      <c r="DA27" s="142"/>
      <c r="DB27" s="175"/>
      <c r="DC27" s="142"/>
      <c r="DD27" s="175"/>
      <c r="DE27" s="142">
        <v>2100</v>
      </c>
      <c r="DF27" s="175">
        <v>1.66</v>
      </c>
      <c r="DG27" s="142"/>
      <c r="DH27" s="143"/>
      <c r="DI27" s="142"/>
      <c r="DJ27" s="143"/>
      <c r="DK27" s="142"/>
      <c r="DL27" s="143"/>
      <c r="DM27" s="142"/>
      <c r="DN27" s="143"/>
      <c r="DO27" s="142"/>
      <c r="DP27" s="143"/>
      <c r="DQ27" s="142"/>
      <c r="DR27" s="143"/>
      <c r="DS27" s="142"/>
      <c r="DT27" s="143"/>
      <c r="DU27" s="142"/>
      <c r="DV27" s="143"/>
      <c r="DW27" s="142"/>
      <c r="DX27" s="143"/>
      <c r="DY27" s="142"/>
      <c r="DZ27" s="143"/>
      <c r="EA27" s="142"/>
      <c r="EB27" s="143"/>
      <c r="EC27" s="142"/>
      <c r="ED27" s="143"/>
      <c r="EE27" s="142"/>
      <c r="EF27" s="143"/>
      <c r="EG27" s="142"/>
      <c r="EH27" s="143"/>
      <c r="EI27" s="142"/>
      <c r="EJ27" s="143"/>
      <c r="EK27" s="142"/>
      <c r="EL27" s="143"/>
      <c r="EM27" s="142"/>
      <c r="EN27" s="143"/>
      <c r="EO27" s="142"/>
      <c r="EP27" s="143"/>
      <c r="EQ27" s="142"/>
      <c r="ER27" s="143"/>
      <c r="ES27" s="142"/>
      <c r="ET27" s="175"/>
      <c r="EU27" s="142"/>
      <c r="EV27" s="143"/>
      <c r="EW27" s="142"/>
      <c r="EX27" s="175"/>
      <c r="EY27" s="142"/>
      <c r="EZ27" s="143"/>
      <c r="FA27" s="142"/>
      <c r="FB27" s="143"/>
      <c r="FC27" s="142"/>
      <c r="FD27" s="143"/>
      <c r="FE27" s="142"/>
      <c r="FF27" s="143"/>
      <c r="FG27" s="142"/>
      <c r="FH27" s="143"/>
      <c r="FI27" s="142"/>
      <c r="FJ27" s="143"/>
      <c r="FK27" s="142"/>
      <c r="FL27" s="143"/>
      <c r="FM27" s="142"/>
      <c r="FN27" s="143"/>
      <c r="FO27" s="142"/>
      <c r="FP27" s="143"/>
      <c r="FQ27" s="142"/>
      <c r="FR27" s="143"/>
      <c r="FS27" s="142"/>
      <c r="FT27" s="143"/>
      <c r="FU27" s="142"/>
      <c r="FV27" s="143"/>
      <c r="FW27" s="142"/>
      <c r="FX27" s="143"/>
      <c r="FY27" s="142"/>
      <c r="FZ27" s="143"/>
      <c r="GA27" s="142"/>
      <c r="GB27" s="143"/>
      <c r="GC27" s="142"/>
      <c r="GD27" s="143"/>
      <c r="GE27" s="142"/>
      <c r="GF27" s="143"/>
      <c r="GG27" s="142"/>
      <c r="GH27" s="143"/>
      <c r="GI27" s="142"/>
      <c r="GJ27" s="143"/>
      <c r="GK27" s="142"/>
      <c r="GL27" s="143"/>
      <c r="GM27" s="142"/>
      <c r="GN27" s="143"/>
      <c r="GO27" s="142"/>
      <c r="GP27" s="143"/>
      <c r="GQ27" s="142"/>
      <c r="GR27" s="143"/>
      <c r="GS27" s="142"/>
      <c r="GT27" s="143"/>
      <c r="GU27" s="142"/>
      <c r="GV27" s="143"/>
      <c r="GW27" s="142"/>
      <c r="GX27" s="143"/>
      <c r="GY27" s="142"/>
      <c r="GZ27" s="143"/>
      <c r="HA27" s="142"/>
      <c r="HB27" s="143"/>
      <c r="HC27" s="142"/>
      <c r="HD27" s="143"/>
      <c r="HE27" s="142"/>
      <c r="HF27" s="143"/>
      <c r="HG27" s="142"/>
      <c r="HH27" s="143"/>
      <c r="HI27" s="142"/>
      <c r="HJ27" s="143"/>
      <c r="HK27" s="142"/>
      <c r="HL27" s="143"/>
      <c r="HM27" s="142"/>
      <c r="HN27" s="143"/>
      <c r="HO27" s="142"/>
      <c r="HP27" s="143"/>
      <c r="HQ27" s="142"/>
      <c r="HR27" s="143"/>
      <c r="HS27" s="142"/>
      <c r="HT27" s="143"/>
      <c r="HU27" s="142"/>
      <c r="HV27" s="143"/>
      <c r="HW27" s="142"/>
      <c r="HX27" s="143"/>
      <c r="HY27" s="142"/>
      <c r="HZ27" s="143"/>
      <c r="IA27" s="142"/>
      <c r="IB27" s="143"/>
      <c r="IC27" s="142"/>
      <c r="ID27" s="143"/>
      <c r="IE27" s="142"/>
      <c r="IF27" s="143"/>
      <c r="IG27" s="142"/>
      <c r="IH27" s="143"/>
      <c r="II27" s="142"/>
      <c r="IJ27" s="143"/>
      <c r="IK27" s="142"/>
      <c r="IL27" s="143"/>
      <c r="IM27" s="142"/>
      <c r="IN27" s="143"/>
      <c r="IO27" s="142"/>
      <c r="IP27" s="143"/>
      <c r="IQ27" s="142"/>
      <c r="IR27" s="143"/>
      <c r="IS27" s="142"/>
      <c r="IT27" s="143"/>
      <c r="IU27" s="142"/>
      <c r="IV27" s="143"/>
      <c r="IW27" s="142"/>
      <c r="IX27" s="143"/>
      <c r="IY27" s="142"/>
      <c r="IZ27" s="143"/>
    </row>
    <row r="28" spans="1:260" x14ac:dyDescent="0.25">
      <c r="A28" s="1587"/>
      <c r="B28" s="11" t="s">
        <v>5</v>
      </c>
      <c r="C28" s="19" cm="1">
        <f t="array" ref="C28">SUM(_xlfn._xlws.FILTER(E28:IZ28, MOD(COLUMN(E28:IZ28)-COLUMN(E28)+1,2)=1))</f>
        <v>20423.100000000002</v>
      </c>
      <c r="D28" s="26" cm="1">
        <f t="array" ref="D28">SUMPRODUCT(_xlfn._xlws.FILTER(E28:IZ28, MOD(COLUMN(E28:IZ28)-COLUMN(E28)+1,2)=1), _xlfn._xlws.FILTER(E28:IZ28, MOD(COLUMN(E28:IZ28)-COLUMN(E28)+1,2)=0))/C28</f>
        <v>2.8604722524995001</v>
      </c>
      <c r="E28" s="140"/>
      <c r="F28" s="141"/>
      <c r="G28" s="140"/>
      <c r="H28" s="141"/>
      <c r="I28" s="140"/>
      <c r="J28" s="141"/>
      <c r="K28" s="140"/>
      <c r="L28" s="141"/>
      <c r="M28" s="140"/>
      <c r="N28" s="141"/>
      <c r="O28" s="140">
        <v>0</v>
      </c>
      <c r="P28" s="141">
        <v>0</v>
      </c>
      <c r="Q28" s="140"/>
      <c r="R28" s="141"/>
      <c r="S28" s="140">
        <v>0</v>
      </c>
      <c r="T28" s="141">
        <v>0</v>
      </c>
      <c r="U28" s="140">
        <v>4939.3</v>
      </c>
      <c r="V28" s="141">
        <v>2.729374863475261</v>
      </c>
      <c r="W28" s="140"/>
      <c r="X28" s="141"/>
      <c r="Y28" s="140"/>
      <c r="Z28" s="141"/>
      <c r="AA28" s="140"/>
      <c r="AB28" s="141"/>
      <c r="AC28" s="140"/>
      <c r="AD28" s="141"/>
      <c r="AE28" s="140"/>
      <c r="AF28" s="141"/>
      <c r="AG28" s="140"/>
      <c r="AH28" s="141"/>
      <c r="AI28" s="140"/>
      <c r="AJ28" s="141"/>
      <c r="AK28" s="140"/>
      <c r="AL28" s="141"/>
      <c r="AM28" s="140"/>
      <c r="AN28" s="141"/>
      <c r="AO28" s="140"/>
      <c r="AP28" s="141"/>
      <c r="AQ28" s="140"/>
      <c r="AR28" s="141"/>
      <c r="AS28" s="140"/>
      <c r="AT28" s="141"/>
      <c r="AU28" s="140"/>
      <c r="AV28" s="141"/>
      <c r="AW28" s="140"/>
      <c r="AX28" s="141"/>
      <c r="AY28" s="140"/>
      <c r="AZ28" s="141"/>
      <c r="BA28" s="140">
        <v>0</v>
      </c>
      <c r="BB28" s="141">
        <v>0</v>
      </c>
      <c r="BC28" s="140"/>
      <c r="BD28" s="141"/>
      <c r="BE28" s="140"/>
      <c r="BF28" s="141"/>
      <c r="BG28" s="140">
        <v>1913.8</v>
      </c>
      <c r="BH28" s="141">
        <v>1.155806702390034</v>
      </c>
      <c r="BI28" s="140"/>
      <c r="BJ28" s="141"/>
      <c r="BK28" s="140"/>
      <c r="BL28" s="141"/>
      <c r="BM28" s="140">
        <v>1406</v>
      </c>
      <c r="BN28" s="141">
        <v>2.019180383693433</v>
      </c>
      <c r="BO28" s="140">
        <v>0</v>
      </c>
      <c r="BP28" s="141">
        <v>0</v>
      </c>
      <c r="BQ28" s="140"/>
      <c r="BR28" s="141"/>
      <c r="BS28" s="140"/>
      <c r="BT28" s="141"/>
      <c r="BU28" s="140"/>
      <c r="BV28" s="141"/>
      <c r="BW28" s="140"/>
      <c r="BX28" s="178"/>
      <c r="BY28" s="140">
        <v>2258.6</v>
      </c>
      <c r="BZ28" s="178">
        <v>1.7824488904328233</v>
      </c>
      <c r="CA28" s="140">
        <v>2636.7</v>
      </c>
      <c r="CB28" s="178">
        <v>2.5622702799971844</v>
      </c>
      <c r="CC28" s="140"/>
      <c r="CD28" s="178"/>
      <c r="CE28" s="140"/>
      <c r="CF28" s="178"/>
      <c r="CG28" s="140">
        <v>1587</v>
      </c>
      <c r="CH28" s="178">
        <v>3.328166287605038</v>
      </c>
      <c r="CI28" s="140"/>
      <c r="CJ28" s="141"/>
      <c r="CK28" s="140"/>
      <c r="CL28" s="141"/>
      <c r="CM28" s="140">
        <v>926</v>
      </c>
      <c r="CN28" s="178">
        <v>3.2585393778225051</v>
      </c>
      <c r="CO28" s="140"/>
      <c r="CP28" s="141"/>
      <c r="CQ28" s="140">
        <v>3500.7</v>
      </c>
      <c r="CR28" s="178">
        <v>4.5257491358645909</v>
      </c>
      <c r="CS28" s="140"/>
      <c r="CT28" s="178"/>
      <c r="CU28" s="140"/>
      <c r="CV28" s="178"/>
      <c r="CW28" s="140"/>
      <c r="CX28" s="178"/>
      <c r="CY28" s="140"/>
      <c r="CZ28" s="141"/>
      <c r="DA28" s="140"/>
      <c r="DB28" s="178"/>
      <c r="DC28" s="140"/>
      <c r="DD28" s="178"/>
      <c r="DE28" s="140">
        <v>1255</v>
      </c>
      <c r="DF28" s="178">
        <v>3.9548084756478263</v>
      </c>
      <c r="DG28" s="140"/>
      <c r="DH28" s="141"/>
      <c r="DI28" s="140"/>
      <c r="DJ28" s="141"/>
      <c r="DK28" s="140"/>
      <c r="DL28" s="141"/>
      <c r="DM28" s="140"/>
      <c r="DN28" s="141"/>
      <c r="DO28" s="140"/>
      <c r="DP28" s="141"/>
      <c r="DQ28" s="140"/>
      <c r="DR28" s="141"/>
      <c r="DS28" s="140"/>
      <c r="DT28" s="141"/>
      <c r="DU28" s="140"/>
      <c r="DV28" s="141"/>
      <c r="DW28" s="140"/>
      <c r="DX28" s="141"/>
      <c r="DY28" s="140"/>
      <c r="DZ28" s="141"/>
      <c r="EA28" s="140"/>
      <c r="EB28" s="141"/>
      <c r="EC28" s="140"/>
      <c r="ED28" s="141"/>
      <c r="EE28" s="140"/>
      <c r="EF28" s="141"/>
      <c r="EG28" s="140"/>
      <c r="EH28" s="141"/>
      <c r="EI28" s="140"/>
      <c r="EJ28" s="141"/>
      <c r="EK28" s="140"/>
      <c r="EL28" s="141"/>
      <c r="EM28" s="140"/>
      <c r="EN28" s="141"/>
      <c r="EO28" s="140"/>
      <c r="EP28" s="141"/>
      <c r="EQ28" s="140"/>
      <c r="ER28" s="141"/>
      <c r="ES28" s="140"/>
      <c r="ET28" s="178"/>
      <c r="EU28" s="140"/>
      <c r="EV28" s="141"/>
      <c r="EW28" s="140"/>
      <c r="EX28" s="178"/>
      <c r="EY28" s="140"/>
      <c r="EZ28" s="141"/>
      <c r="FA28" s="140"/>
      <c r="FB28" s="141"/>
      <c r="FC28" s="140"/>
      <c r="FD28" s="141"/>
      <c r="FE28" s="140"/>
      <c r="FF28" s="141"/>
      <c r="FG28" s="140"/>
      <c r="FH28" s="141"/>
      <c r="FI28" s="140"/>
      <c r="FJ28" s="141"/>
      <c r="FK28" s="140"/>
      <c r="FL28" s="141"/>
      <c r="FM28" s="140"/>
      <c r="FN28" s="141"/>
      <c r="FO28" s="140"/>
      <c r="FP28" s="141"/>
      <c r="FQ28" s="140"/>
      <c r="FR28" s="141"/>
      <c r="FS28" s="140"/>
      <c r="FT28" s="141"/>
      <c r="FU28" s="140"/>
      <c r="FV28" s="141"/>
      <c r="FW28" s="140"/>
      <c r="FX28" s="141"/>
      <c r="FY28" s="140"/>
      <c r="FZ28" s="141"/>
      <c r="GA28" s="140"/>
      <c r="GB28" s="141"/>
      <c r="GC28" s="140"/>
      <c r="GD28" s="141"/>
      <c r="GE28" s="140"/>
      <c r="GF28" s="141"/>
      <c r="GG28" s="140"/>
      <c r="GH28" s="141"/>
      <c r="GI28" s="140"/>
      <c r="GJ28" s="141"/>
      <c r="GK28" s="140"/>
      <c r="GL28" s="141"/>
      <c r="GM28" s="140"/>
      <c r="GN28" s="141"/>
      <c r="GO28" s="140"/>
      <c r="GP28" s="141"/>
      <c r="GQ28" s="140"/>
      <c r="GR28" s="141"/>
      <c r="GS28" s="140"/>
      <c r="GT28" s="141"/>
      <c r="GU28" s="140"/>
      <c r="GV28" s="141"/>
      <c r="GW28" s="140"/>
      <c r="GX28" s="141"/>
      <c r="GY28" s="140"/>
      <c r="GZ28" s="141"/>
      <c r="HA28" s="140"/>
      <c r="HB28" s="141"/>
      <c r="HC28" s="140"/>
      <c r="HD28" s="141"/>
      <c r="HE28" s="140"/>
      <c r="HF28" s="141"/>
      <c r="HG28" s="140"/>
      <c r="HH28" s="141"/>
      <c r="HI28" s="140"/>
      <c r="HJ28" s="141"/>
      <c r="HK28" s="140"/>
      <c r="HL28" s="141"/>
      <c r="HM28" s="140"/>
      <c r="HN28" s="141"/>
      <c r="HO28" s="140"/>
      <c r="HP28" s="141"/>
      <c r="HQ28" s="140"/>
      <c r="HR28" s="141"/>
      <c r="HS28" s="140"/>
      <c r="HT28" s="141"/>
      <c r="HU28" s="140"/>
      <c r="HV28" s="141"/>
      <c r="HW28" s="140"/>
      <c r="HX28" s="141"/>
      <c r="HY28" s="140"/>
      <c r="HZ28" s="141"/>
      <c r="IA28" s="140"/>
      <c r="IB28" s="141"/>
      <c r="IC28" s="140"/>
      <c r="ID28" s="141"/>
      <c r="IE28" s="140"/>
      <c r="IF28" s="141"/>
      <c r="IG28" s="140"/>
      <c r="IH28" s="141"/>
      <c r="II28" s="140"/>
      <c r="IJ28" s="141"/>
      <c r="IK28" s="140"/>
      <c r="IL28" s="141"/>
      <c r="IM28" s="140"/>
      <c r="IN28" s="141"/>
      <c r="IO28" s="140"/>
      <c r="IP28" s="141"/>
      <c r="IQ28" s="140"/>
      <c r="IR28" s="141"/>
      <c r="IS28" s="140"/>
      <c r="IT28" s="141"/>
      <c r="IU28" s="140"/>
      <c r="IV28" s="141"/>
      <c r="IW28" s="140"/>
      <c r="IX28" s="141"/>
      <c r="IY28" s="140"/>
      <c r="IZ28" s="141"/>
    </row>
    <row r="29" spans="1:260" x14ac:dyDescent="0.25">
      <c r="A29" s="1586">
        <v>45597</v>
      </c>
      <c r="B29" s="11" t="s">
        <v>211</v>
      </c>
      <c r="C29" s="19" cm="1">
        <f t="array" ref="C29">SUM(_xlfn._xlws.FILTER(E29:IZ29, MOD(COLUMN(E29:IZ29)-COLUMN(E29)+1,2)=1))</f>
        <v>19950</v>
      </c>
      <c r="D29" s="26" cm="1">
        <f t="array" ref="D29">SUMPRODUCT(_xlfn._xlws.FILTER(E29:IZ29, MOD(COLUMN(E29:IZ29)-COLUMN(E29)+1,2)=1), _xlfn._xlws.FILTER(E29:IZ29, MOD(COLUMN(E29:IZ29)-COLUMN(E29)+1,2)=0))/C29</f>
        <v>2.0694736842105264</v>
      </c>
      <c r="E29" s="142"/>
      <c r="F29" s="143"/>
      <c r="G29" s="142"/>
      <c r="H29" s="143"/>
      <c r="I29" s="142"/>
      <c r="J29" s="143"/>
      <c r="K29" s="142"/>
      <c r="L29" s="143"/>
      <c r="M29" s="142"/>
      <c r="N29" s="143"/>
      <c r="O29" s="142">
        <v>2100</v>
      </c>
      <c r="P29" s="143">
        <v>1.8</v>
      </c>
      <c r="Q29" s="142"/>
      <c r="R29" s="143"/>
      <c r="S29" s="142">
        <v>0</v>
      </c>
      <c r="T29" s="143">
        <v>0</v>
      </c>
      <c r="U29" s="142">
        <v>4200</v>
      </c>
      <c r="V29" s="143">
        <v>1.86</v>
      </c>
      <c r="W29" s="142">
        <v>2100</v>
      </c>
      <c r="X29" s="143">
        <v>1.59</v>
      </c>
      <c r="Y29" s="142"/>
      <c r="Z29" s="143"/>
      <c r="AA29" s="142"/>
      <c r="AB29" s="143"/>
      <c r="AC29" s="142"/>
      <c r="AD29" s="143"/>
      <c r="AE29" s="142"/>
      <c r="AF29" s="143"/>
      <c r="AG29" s="142"/>
      <c r="AH29" s="143"/>
      <c r="AI29" s="142"/>
      <c r="AJ29" s="143"/>
      <c r="AK29" s="142"/>
      <c r="AL29" s="143"/>
      <c r="AM29" s="142"/>
      <c r="AN29" s="143"/>
      <c r="AO29" s="142"/>
      <c r="AP29" s="143"/>
      <c r="AQ29" s="142"/>
      <c r="AR29" s="143"/>
      <c r="AS29" s="142"/>
      <c r="AT29" s="143"/>
      <c r="AU29" s="142"/>
      <c r="AV29" s="143"/>
      <c r="AW29" s="142"/>
      <c r="AX29" s="143"/>
      <c r="AY29" s="142"/>
      <c r="AZ29" s="143"/>
      <c r="BA29" s="142">
        <v>0</v>
      </c>
      <c r="BB29" s="143">
        <v>0</v>
      </c>
      <c r="BC29" s="142"/>
      <c r="BD29" s="143"/>
      <c r="BE29" s="142"/>
      <c r="BF29" s="143"/>
      <c r="BG29" s="142"/>
      <c r="BH29" s="143"/>
      <c r="BI29" s="142"/>
      <c r="BJ29" s="143"/>
      <c r="BK29" s="142"/>
      <c r="BL29" s="143"/>
      <c r="BM29" s="142"/>
      <c r="BN29" s="143"/>
      <c r="BO29" s="142">
        <v>2100</v>
      </c>
      <c r="BP29" s="143">
        <v>1.4</v>
      </c>
      <c r="BQ29" s="142"/>
      <c r="BR29" s="143"/>
      <c r="BS29" s="142"/>
      <c r="BT29" s="143"/>
      <c r="BU29" s="142"/>
      <c r="BV29" s="143"/>
      <c r="BW29" s="142"/>
      <c r="BX29" s="175"/>
      <c r="BY29" s="142">
        <v>0</v>
      </c>
      <c r="BZ29" s="175">
        <v>0</v>
      </c>
      <c r="CA29" s="142">
        <v>2100</v>
      </c>
      <c r="CB29" s="175">
        <v>1.4</v>
      </c>
      <c r="CC29" s="142"/>
      <c r="CD29" s="175"/>
      <c r="CE29" s="142"/>
      <c r="CF29" s="175"/>
      <c r="CG29" s="142">
        <v>1050</v>
      </c>
      <c r="CH29" s="175">
        <v>2.48</v>
      </c>
      <c r="CI29" s="142"/>
      <c r="CJ29" s="143"/>
      <c r="CK29" s="142"/>
      <c r="CL29" s="143"/>
      <c r="CM29" s="142">
        <v>0</v>
      </c>
      <c r="CN29" s="175">
        <v>0</v>
      </c>
      <c r="CO29" s="142"/>
      <c r="CP29" s="143"/>
      <c r="CQ29" s="142">
        <v>4200</v>
      </c>
      <c r="CR29" s="175">
        <v>3.17</v>
      </c>
      <c r="CS29" s="142"/>
      <c r="CT29" s="175"/>
      <c r="CU29" s="142"/>
      <c r="CV29" s="175"/>
      <c r="CW29" s="142"/>
      <c r="CX29" s="175"/>
      <c r="CY29" s="142"/>
      <c r="CZ29" s="143"/>
      <c r="DA29" s="142"/>
      <c r="DB29" s="175"/>
      <c r="DC29" s="142"/>
      <c r="DD29" s="175"/>
      <c r="DE29" s="142">
        <v>2100</v>
      </c>
      <c r="DF29" s="175">
        <v>2.17</v>
      </c>
      <c r="DG29" s="142"/>
      <c r="DH29" s="143"/>
      <c r="DI29" s="142"/>
      <c r="DJ29" s="143"/>
      <c r="DK29" s="142"/>
      <c r="DL29" s="143"/>
      <c r="DM29" s="142"/>
      <c r="DN29" s="143"/>
      <c r="DO29" s="142"/>
      <c r="DP29" s="143"/>
      <c r="DQ29" s="142"/>
      <c r="DR29" s="143"/>
      <c r="DS29" s="142"/>
      <c r="DT29" s="143"/>
      <c r="DU29" s="142"/>
      <c r="DV29" s="143"/>
      <c r="DW29" s="142"/>
      <c r="DX29" s="143"/>
      <c r="DY29" s="142"/>
      <c r="DZ29" s="143"/>
      <c r="EA29" s="142"/>
      <c r="EB29" s="143"/>
      <c r="EC29" s="142"/>
      <c r="ED29" s="143"/>
      <c r="EE29" s="142"/>
      <c r="EF29" s="143"/>
      <c r="EG29" s="142"/>
      <c r="EH29" s="143"/>
      <c r="EI29" s="142"/>
      <c r="EJ29" s="143"/>
      <c r="EK29" s="142"/>
      <c r="EL29" s="143"/>
      <c r="EM29" s="142"/>
      <c r="EN29" s="143"/>
      <c r="EO29" s="142"/>
      <c r="EP29" s="143"/>
      <c r="EQ29" s="142"/>
      <c r="ER29" s="143"/>
      <c r="ES29" s="142"/>
      <c r="ET29" s="175"/>
      <c r="EU29" s="142"/>
      <c r="EV29" s="143"/>
      <c r="EW29" s="142"/>
      <c r="EX29" s="175"/>
      <c r="EY29" s="142"/>
      <c r="EZ29" s="143"/>
      <c r="FA29" s="142"/>
      <c r="FB29" s="143"/>
      <c r="FC29" s="142"/>
      <c r="FD29" s="143"/>
      <c r="FE29" s="142"/>
      <c r="FF29" s="143"/>
      <c r="FG29" s="142"/>
      <c r="FH29" s="143"/>
      <c r="FI29" s="142"/>
      <c r="FJ29" s="143"/>
      <c r="FK29" s="142"/>
      <c r="FL29" s="143"/>
      <c r="FM29" s="142"/>
      <c r="FN29" s="143"/>
      <c r="FO29" s="142"/>
      <c r="FP29" s="143"/>
      <c r="FQ29" s="142"/>
      <c r="FR29" s="143"/>
      <c r="FS29" s="142"/>
      <c r="FT29" s="143"/>
      <c r="FU29" s="142"/>
      <c r="FV29" s="143"/>
      <c r="FW29" s="142"/>
      <c r="FX29" s="143"/>
      <c r="FY29" s="142"/>
      <c r="FZ29" s="143"/>
      <c r="GA29" s="142"/>
      <c r="GB29" s="143"/>
      <c r="GC29" s="142"/>
      <c r="GD29" s="143"/>
      <c r="GE29" s="142"/>
      <c r="GF29" s="143"/>
      <c r="GG29" s="142"/>
      <c r="GH29" s="143"/>
      <c r="GI29" s="142"/>
      <c r="GJ29" s="143"/>
      <c r="GK29" s="142"/>
      <c r="GL29" s="143"/>
      <c r="GM29" s="142"/>
      <c r="GN29" s="143"/>
      <c r="GO29" s="142"/>
      <c r="GP29" s="143"/>
      <c r="GQ29" s="142"/>
      <c r="GR29" s="143"/>
      <c r="GS29" s="142"/>
      <c r="GT29" s="143"/>
      <c r="GU29" s="142"/>
      <c r="GV29" s="143"/>
      <c r="GW29" s="142"/>
      <c r="GX29" s="143"/>
      <c r="GY29" s="142"/>
      <c r="GZ29" s="143"/>
      <c r="HA29" s="142"/>
      <c r="HB29" s="143"/>
      <c r="HC29" s="142"/>
      <c r="HD29" s="143"/>
      <c r="HE29" s="142"/>
      <c r="HF29" s="143"/>
      <c r="HG29" s="142"/>
      <c r="HH29" s="143"/>
      <c r="HI29" s="142"/>
      <c r="HJ29" s="143"/>
      <c r="HK29" s="142"/>
      <c r="HL29" s="143"/>
      <c r="HM29" s="142"/>
      <c r="HN29" s="143"/>
      <c r="HO29" s="142"/>
      <c r="HP29" s="143"/>
      <c r="HQ29" s="142"/>
      <c r="HR29" s="143"/>
      <c r="HS29" s="142"/>
      <c r="HT29" s="143"/>
      <c r="HU29" s="142"/>
      <c r="HV29" s="143"/>
      <c r="HW29" s="142"/>
      <c r="HX29" s="143"/>
      <c r="HY29" s="142"/>
      <c r="HZ29" s="143"/>
      <c r="IA29" s="142"/>
      <c r="IB29" s="143"/>
      <c r="IC29" s="142"/>
      <c r="ID29" s="143"/>
      <c r="IE29" s="142"/>
      <c r="IF29" s="143"/>
      <c r="IG29" s="142"/>
      <c r="IH29" s="143"/>
      <c r="II29" s="142"/>
      <c r="IJ29" s="143"/>
      <c r="IK29" s="142"/>
      <c r="IL29" s="143"/>
      <c r="IM29" s="142"/>
      <c r="IN29" s="143"/>
      <c r="IO29" s="142"/>
      <c r="IP29" s="143"/>
      <c r="IQ29" s="142"/>
      <c r="IR29" s="143"/>
      <c r="IS29" s="142"/>
      <c r="IT29" s="143"/>
      <c r="IU29" s="142"/>
      <c r="IV29" s="143"/>
      <c r="IW29" s="142"/>
      <c r="IX29" s="143"/>
      <c r="IY29" s="142"/>
      <c r="IZ29" s="143"/>
    </row>
    <row r="30" spans="1:260" x14ac:dyDescent="0.25">
      <c r="A30" s="1587"/>
      <c r="B30" s="11" t="s">
        <v>5</v>
      </c>
      <c r="C30" s="19" cm="1">
        <f t="array" ref="C30">SUM(_xlfn._xlws.FILTER(E30:IZ30, MOD(COLUMN(E30:IZ30)-COLUMN(E30)+1,2)=1))</f>
        <v>18891.7</v>
      </c>
      <c r="D30" s="26" cm="1">
        <f t="array" ref="D30">SUMPRODUCT(_xlfn._xlws.FILTER(E30:IZ30, MOD(COLUMN(E30:IZ30)-COLUMN(E30)+1,2)=1), _xlfn._xlws.FILTER(E30:IZ30, MOD(COLUMN(E30:IZ30)-COLUMN(E30)+1,2)=0))/C30</f>
        <v>1.9859109394566945</v>
      </c>
      <c r="E30" s="140"/>
      <c r="F30" s="141"/>
      <c r="G30" s="140"/>
      <c r="H30" s="141"/>
      <c r="I30" s="140"/>
      <c r="J30" s="141"/>
      <c r="K30" s="140"/>
      <c r="L30" s="141"/>
      <c r="M30" s="140"/>
      <c r="N30" s="141"/>
      <c r="O30" s="140">
        <v>0</v>
      </c>
      <c r="P30" s="141">
        <v>0</v>
      </c>
      <c r="Q30" s="140"/>
      <c r="R30" s="141"/>
      <c r="S30" s="140">
        <v>259</v>
      </c>
      <c r="T30" s="141">
        <v>1.7470859077380949</v>
      </c>
      <c r="U30" s="140">
        <v>2757</v>
      </c>
      <c r="V30" s="141">
        <v>2.0504720833333332</v>
      </c>
      <c r="W30" s="140">
        <v>1546.7</v>
      </c>
      <c r="X30" s="141">
        <v>1.0024969040515581</v>
      </c>
      <c r="Y30" s="140"/>
      <c r="Z30" s="141"/>
      <c r="AA30" s="140"/>
      <c r="AB30" s="141"/>
      <c r="AC30" s="140"/>
      <c r="AD30" s="141"/>
      <c r="AE30" s="140"/>
      <c r="AF30" s="141"/>
      <c r="AG30" s="140"/>
      <c r="AH30" s="141"/>
      <c r="AI30" s="140"/>
      <c r="AJ30" s="141"/>
      <c r="AK30" s="140"/>
      <c r="AL30" s="141"/>
      <c r="AM30" s="140"/>
      <c r="AN30" s="141"/>
      <c r="AO30" s="140"/>
      <c r="AP30" s="141"/>
      <c r="AQ30" s="140"/>
      <c r="AR30" s="141"/>
      <c r="AS30" s="140"/>
      <c r="AT30" s="141"/>
      <c r="AU30" s="140"/>
      <c r="AV30" s="141"/>
      <c r="AW30" s="140"/>
      <c r="AX30" s="141"/>
      <c r="AY30" s="140"/>
      <c r="AZ30" s="141"/>
      <c r="BA30" s="140">
        <v>597</v>
      </c>
      <c r="BB30" s="141">
        <v>1.4855461011904763</v>
      </c>
      <c r="BC30" s="140"/>
      <c r="BD30" s="141"/>
      <c r="BE30" s="140"/>
      <c r="BF30" s="141"/>
      <c r="BG30" s="140"/>
      <c r="BH30" s="141"/>
      <c r="BI30" s="140"/>
      <c r="BJ30" s="141"/>
      <c r="BK30" s="140"/>
      <c r="BL30" s="141"/>
      <c r="BM30" s="140"/>
      <c r="BN30" s="141"/>
      <c r="BO30" s="140">
        <v>1715</v>
      </c>
      <c r="BP30" s="141">
        <v>1.8307786458333333</v>
      </c>
      <c r="BQ30" s="140"/>
      <c r="BR30" s="141"/>
      <c r="BS30" s="140"/>
      <c r="BT30" s="141"/>
      <c r="BU30" s="140"/>
      <c r="BV30" s="141"/>
      <c r="BW30" s="140"/>
      <c r="BX30" s="178"/>
      <c r="BY30" s="140">
        <v>895</v>
      </c>
      <c r="BZ30" s="178">
        <v>2.0400104910714285</v>
      </c>
      <c r="CA30" s="140">
        <v>4371</v>
      </c>
      <c r="CB30" s="178">
        <v>1.8307786458333333</v>
      </c>
      <c r="CC30" s="140"/>
      <c r="CD30" s="178"/>
      <c r="CE30" s="140"/>
      <c r="CF30" s="178"/>
      <c r="CG30" s="140">
        <v>295</v>
      </c>
      <c r="CH30" s="178">
        <v>1.6006236160714287</v>
      </c>
      <c r="CI30" s="140"/>
      <c r="CJ30" s="141"/>
      <c r="CK30" s="140"/>
      <c r="CL30" s="141"/>
      <c r="CM30" s="140">
        <v>581</v>
      </c>
      <c r="CN30" s="178">
        <v>1.5587772470238095</v>
      </c>
      <c r="CO30" s="140"/>
      <c r="CP30" s="141"/>
      <c r="CQ30" s="140">
        <v>4385</v>
      </c>
      <c r="CR30" s="178">
        <v>2.6677060267857144</v>
      </c>
      <c r="CS30" s="140"/>
      <c r="CT30" s="178"/>
      <c r="CU30" s="140"/>
      <c r="CV30" s="178"/>
      <c r="CW30" s="140"/>
      <c r="CX30" s="178"/>
      <c r="CY30" s="140"/>
      <c r="CZ30" s="141"/>
      <c r="DA30" s="140"/>
      <c r="DB30" s="178"/>
      <c r="DC30" s="140"/>
      <c r="DD30" s="178"/>
      <c r="DE30" s="140">
        <v>1490</v>
      </c>
      <c r="DF30" s="178">
        <v>1.9667793452380951</v>
      </c>
      <c r="DG30" s="140"/>
      <c r="DH30" s="141"/>
      <c r="DI30" s="140"/>
      <c r="DJ30" s="141"/>
      <c r="DK30" s="140"/>
      <c r="DL30" s="141"/>
      <c r="DM30" s="140"/>
      <c r="DN30" s="141"/>
      <c r="DO30" s="140"/>
      <c r="DP30" s="141"/>
      <c r="DQ30" s="140"/>
      <c r="DR30" s="141"/>
      <c r="DS30" s="140"/>
      <c r="DT30" s="141"/>
      <c r="DU30" s="140"/>
      <c r="DV30" s="141"/>
      <c r="DW30" s="140"/>
      <c r="DX30" s="141"/>
      <c r="DY30" s="140"/>
      <c r="DZ30" s="141"/>
      <c r="EA30" s="140"/>
      <c r="EB30" s="141"/>
      <c r="EC30" s="140"/>
      <c r="ED30" s="141"/>
      <c r="EE30" s="140"/>
      <c r="EF30" s="141"/>
      <c r="EG30" s="140"/>
      <c r="EH30" s="141"/>
      <c r="EI30" s="140"/>
      <c r="EJ30" s="141"/>
      <c r="EK30" s="140"/>
      <c r="EL30" s="141"/>
      <c r="EM30" s="140"/>
      <c r="EN30" s="141"/>
      <c r="EO30" s="140"/>
      <c r="EP30" s="141"/>
      <c r="EQ30" s="140"/>
      <c r="ER30" s="141"/>
      <c r="ES30" s="140"/>
      <c r="ET30" s="178"/>
      <c r="EU30" s="140"/>
      <c r="EV30" s="141"/>
      <c r="EW30" s="140"/>
      <c r="EX30" s="178"/>
      <c r="EY30" s="140"/>
      <c r="EZ30" s="141"/>
      <c r="FA30" s="140"/>
      <c r="FB30" s="141"/>
      <c r="FC30" s="140"/>
      <c r="FD30" s="141"/>
      <c r="FE30" s="140"/>
      <c r="FF30" s="141"/>
      <c r="FG30" s="140"/>
      <c r="FH30" s="141"/>
      <c r="FI30" s="140"/>
      <c r="FJ30" s="141"/>
      <c r="FK30" s="140"/>
      <c r="FL30" s="141"/>
      <c r="FM30" s="140"/>
      <c r="FN30" s="141"/>
      <c r="FO30" s="140"/>
      <c r="FP30" s="141"/>
      <c r="FQ30" s="140"/>
      <c r="FR30" s="141"/>
      <c r="FS30" s="140"/>
      <c r="FT30" s="141"/>
      <c r="FU30" s="140"/>
      <c r="FV30" s="141"/>
      <c r="FW30" s="140"/>
      <c r="FX30" s="141"/>
      <c r="FY30" s="140"/>
      <c r="FZ30" s="141"/>
      <c r="GA30" s="140"/>
      <c r="GB30" s="141"/>
      <c r="GC30" s="140"/>
      <c r="GD30" s="141"/>
      <c r="GE30" s="140"/>
      <c r="GF30" s="141"/>
      <c r="GG30" s="140"/>
      <c r="GH30" s="141"/>
      <c r="GI30" s="140"/>
      <c r="GJ30" s="141"/>
      <c r="GK30" s="140"/>
      <c r="GL30" s="141"/>
      <c r="GM30" s="140"/>
      <c r="GN30" s="141"/>
      <c r="GO30" s="140"/>
      <c r="GP30" s="141"/>
      <c r="GQ30" s="140"/>
      <c r="GR30" s="141"/>
      <c r="GS30" s="140"/>
      <c r="GT30" s="141"/>
      <c r="GU30" s="140"/>
      <c r="GV30" s="141"/>
      <c r="GW30" s="140"/>
      <c r="GX30" s="141"/>
      <c r="GY30" s="140"/>
      <c r="GZ30" s="141"/>
      <c r="HA30" s="140"/>
      <c r="HB30" s="141"/>
      <c r="HC30" s="140"/>
      <c r="HD30" s="141"/>
      <c r="HE30" s="140"/>
      <c r="HF30" s="141"/>
      <c r="HG30" s="140"/>
      <c r="HH30" s="141"/>
      <c r="HI30" s="140"/>
      <c r="HJ30" s="141"/>
      <c r="HK30" s="140"/>
      <c r="HL30" s="141"/>
      <c r="HM30" s="140"/>
      <c r="HN30" s="141"/>
      <c r="HO30" s="140"/>
      <c r="HP30" s="141"/>
      <c r="HQ30" s="140"/>
      <c r="HR30" s="141"/>
      <c r="HS30" s="140"/>
      <c r="HT30" s="141"/>
      <c r="HU30" s="140"/>
      <c r="HV30" s="141"/>
      <c r="HW30" s="140"/>
      <c r="HX30" s="141"/>
      <c r="HY30" s="140"/>
      <c r="HZ30" s="141"/>
      <c r="IA30" s="140"/>
      <c r="IB30" s="141"/>
      <c r="IC30" s="140"/>
      <c r="ID30" s="141"/>
      <c r="IE30" s="140"/>
      <c r="IF30" s="141"/>
      <c r="IG30" s="140"/>
      <c r="IH30" s="141"/>
      <c r="II30" s="140"/>
      <c r="IJ30" s="141"/>
      <c r="IK30" s="140"/>
      <c r="IL30" s="141"/>
      <c r="IM30" s="140"/>
      <c r="IN30" s="141"/>
      <c r="IO30" s="140"/>
      <c r="IP30" s="141"/>
      <c r="IQ30" s="140"/>
      <c r="IR30" s="141"/>
      <c r="IS30" s="140"/>
      <c r="IT30" s="141"/>
      <c r="IU30" s="140"/>
      <c r="IV30" s="141"/>
      <c r="IW30" s="140"/>
      <c r="IX30" s="141"/>
      <c r="IY30" s="140"/>
      <c r="IZ30" s="141"/>
    </row>
    <row r="31" spans="1:260" x14ac:dyDescent="0.25">
      <c r="A31" s="1586">
        <v>45627</v>
      </c>
      <c r="B31" s="11" t="s">
        <v>211</v>
      </c>
      <c r="C31" s="19" cm="1">
        <f t="array" ref="C31">SUM(_xlfn._xlws.FILTER(E31:IZ31, MOD(COLUMN(E31:IZ31)-COLUMN(E31)+1,2)=1))</f>
        <v>26110</v>
      </c>
      <c r="D31" s="26" cm="1">
        <f t="array" ref="D31">SUMPRODUCT(_xlfn._xlws.FILTER(E31:IZ31, MOD(COLUMN(E31:IZ31)-COLUMN(E31)+1,2)=1), _xlfn._xlws.FILTER(E31:IZ31, MOD(COLUMN(E31:IZ31)-COLUMN(E31)+1,2)=0))/C31</f>
        <v>2.1249061662198394</v>
      </c>
      <c r="E31" s="142"/>
      <c r="F31" s="143"/>
      <c r="G31" s="142"/>
      <c r="H31" s="143"/>
      <c r="I31" s="142"/>
      <c r="J31" s="143"/>
      <c r="K31" s="142"/>
      <c r="L31" s="143"/>
      <c r="M31" s="142"/>
      <c r="N31" s="143"/>
      <c r="O31" s="142"/>
      <c r="P31" s="143"/>
      <c r="Q31" s="142"/>
      <c r="R31" s="143"/>
      <c r="S31" s="142">
        <v>4060</v>
      </c>
      <c r="T31" s="143">
        <v>2.0299999999999998</v>
      </c>
      <c r="U31" s="142">
        <v>0</v>
      </c>
      <c r="V31" s="143">
        <v>0</v>
      </c>
      <c r="W31" s="142"/>
      <c r="X31" s="143"/>
      <c r="Y31" s="142"/>
      <c r="Z31" s="143"/>
      <c r="AA31" s="142"/>
      <c r="AB31" s="143"/>
      <c r="AC31" s="142"/>
      <c r="AD31" s="143"/>
      <c r="AE31" s="142"/>
      <c r="AF31" s="143"/>
      <c r="AG31" s="142"/>
      <c r="AH31" s="143"/>
      <c r="AI31" s="142"/>
      <c r="AJ31" s="143"/>
      <c r="AK31" s="142"/>
      <c r="AL31" s="143"/>
      <c r="AM31" s="142"/>
      <c r="AN31" s="143"/>
      <c r="AO31" s="142"/>
      <c r="AP31" s="143"/>
      <c r="AQ31" s="142"/>
      <c r="AR31" s="143"/>
      <c r="AS31" s="142"/>
      <c r="AT31" s="143"/>
      <c r="AU31" s="142"/>
      <c r="AV31" s="143"/>
      <c r="AW31" s="142"/>
      <c r="AX31" s="143"/>
      <c r="AY31" s="142"/>
      <c r="AZ31" s="143"/>
      <c r="BA31" s="142"/>
      <c r="BB31" s="143"/>
      <c r="BC31" s="142"/>
      <c r="BD31" s="143"/>
      <c r="BE31" s="142"/>
      <c r="BF31" s="143"/>
      <c r="BG31" s="142"/>
      <c r="BH31" s="143"/>
      <c r="BI31" s="142"/>
      <c r="BJ31" s="143"/>
      <c r="BK31" s="142"/>
      <c r="BL31" s="143"/>
      <c r="BM31" s="142"/>
      <c r="BN31" s="143"/>
      <c r="BO31" s="142">
        <v>2030</v>
      </c>
      <c r="BP31" s="143">
        <v>1.4</v>
      </c>
      <c r="BQ31" s="142"/>
      <c r="BR31" s="143"/>
      <c r="BS31" s="142"/>
      <c r="BT31" s="143"/>
      <c r="BU31" s="142"/>
      <c r="BV31" s="143"/>
      <c r="BW31" s="142"/>
      <c r="BX31" s="175"/>
      <c r="BY31" s="142">
        <v>1015</v>
      </c>
      <c r="BZ31" s="175">
        <v>2.35</v>
      </c>
      <c r="CA31" s="142">
        <v>3045</v>
      </c>
      <c r="CB31" s="175">
        <v>2.85</v>
      </c>
      <c r="CC31" s="142"/>
      <c r="CD31" s="175"/>
      <c r="CE31" s="142"/>
      <c r="CF31" s="175"/>
      <c r="CG31" s="142"/>
      <c r="CH31" s="175"/>
      <c r="CI31" s="142"/>
      <c r="CJ31" s="143"/>
      <c r="CK31" s="142"/>
      <c r="CL31" s="143"/>
      <c r="CM31" s="142"/>
      <c r="CN31" s="175"/>
      <c r="CO31" s="142"/>
      <c r="CP31" s="143"/>
      <c r="CQ31" s="142">
        <v>5075</v>
      </c>
      <c r="CR31" s="175">
        <v>2.44</v>
      </c>
      <c r="CS31" s="142"/>
      <c r="CT31" s="175"/>
      <c r="CU31" s="142"/>
      <c r="CV31" s="175"/>
      <c r="CW31" s="142"/>
      <c r="CX31" s="175"/>
      <c r="CY31" s="142"/>
      <c r="CZ31" s="143"/>
      <c r="DA31" s="142"/>
      <c r="DB31" s="175"/>
      <c r="DC31" s="142"/>
      <c r="DD31" s="175"/>
      <c r="DE31" s="142">
        <v>980</v>
      </c>
      <c r="DF31" s="175">
        <v>1.86</v>
      </c>
      <c r="DG31" s="142"/>
      <c r="DH31" s="143"/>
      <c r="DI31" s="142"/>
      <c r="DJ31" s="143"/>
      <c r="DK31" s="142"/>
      <c r="DL31" s="143"/>
      <c r="DM31" s="142"/>
      <c r="DN31" s="143"/>
      <c r="DO31" s="142"/>
      <c r="DP31" s="143"/>
      <c r="DQ31" s="142">
        <v>3920</v>
      </c>
      <c r="DR31" s="143">
        <v>1.86</v>
      </c>
      <c r="DS31" s="142"/>
      <c r="DT31" s="143"/>
      <c r="DU31" s="142">
        <v>0</v>
      </c>
      <c r="DV31" s="143">
        <v>0</v>
      </c>
      <c r="DW31" s="142"/>
      <c r="DX31" s="143"/>
      <c r="DY31" s="142"/>
      <c r="DZ31" s="143"/>
      <c r="EA31" s="142"/>
      <c r="EB31" s="143"/>
      <c r="EC31" s="142"/>
      <c r="ED31" s="143"/>
      <c r="EE31" s="142"/>
      <c r="EF31" s="143"/>
      <c r="EG31" s="142"/>
      <c r="EH31" s="143"/>
      <c r="EI31" s="142"/>
      <c r="EJ31" s="143"/>
      <c r="EK31" s="142"/>
      <c r="EL31" s="143"/>
      <c r="EM31" s="142"/>
      <c r="EN31" s="143"/>
      <c r="EO31" s="142">
        <v>1330</v>
      </c>
      <c r="EP31" s="143">
        <v>2.12</v>
      </c>
      <c r="EQ31" s="142">
        <v>665</v>
      </c>
      <c r="ER31" s="143">
        <v>2.0499999999999998</v>
      </c>
      <c r="ES31" s="142"/>
      <c r="ET31" s="175"/>
      <c r="EU31" s="142"/>
      <c r="EV31" s="143"/>
      <c r="EW31" s="142"/>
      <c r="EX31" s="175"/>
      <c r="EY31" s="142"/>
      <c r="EZ31" s="143"/>
      <c r="FA31" s="142"/>
      <c r="FB31" s="143"/>
      <c r="FC31" s="142">
        <v>665</v>
      </c>
      <c r="FD31" s="143">
        <v>1.66</v>
      </c>
      <c r="FE31" s="142">
        <v>1330</v>
      </c>
      <c r="FF31" s="143">
        <v>2.1800000000000002</v>
      </c>
      <c r="FG31" s="142"/>
      <c r="FH31" s="143"/>
      <c r="FI31" s="142">
        <v>1330</v>
      </c>
      <c r="FJ31" s="143">
        <v>1.85</v>
      </c>
      <c r="FK31" s="142"/>
      <c r="FL31" s="143"/>
      <c r="FM31" s="142">
        <v>665</v>
      </c>
      <c r="FN31" s="143">
        <v>1.79</v>
      </c>
      <c r="FO31" s="142"/>
      <c r="FP31" s="143"/>
      <c r="FQ31" s="142"/>
      <c r="FR31" s="143"/>
      <c r="FS31" s="142"/>
      <c r="FT31" s="143"/>
      <c r="FU31" s="142"/>
      <c r="FV31" s="143"/>
      <c r="FW31" s="142"/>
      <c r="FX31" s="143"/>
      <c r="FY31" s="142"/>
      <c r="FZ31" s="143"/>
      <c r="GA31" s="142"/>
      <c r="GB31" s="143"/>
      <c r="GC31" s="142"/>
      <c r="GD31" s="143"/>
      <c r="GE31" s="142"/>
      <c r="GF31" s="143"/>
      <c r="GG31" s="142"/>
      <c r="GH31" s="143"/>
      <c r="GI31" s="142"/>
      <c r="GJ31" s="143"/>
      <c r="GK31" s="142"/>
      <c r="GL31" s="143"/>
      <c r="GM31" s="142"/>
      <c r="GN31" s="143"/>
      <c r="GO31" s="142"/>
      <c r="GP31" s="143"/>
      <c r="GQ31" s="142"/>
      <c r="GR31" s="143"/>
      <c r="GS31" s="142"/>
      <c r="GT31" s="143"/>
      <c r="GU31" s="142"/>
      <c r="GV31" s="143"/>
      <c r="GW31" s="142"/>
      <c r="GX31" s="143"/>
      <c r="GY31" s="142"/>
      <c r="GZ31" s="143"/>
      <c r="HA31" s="142"/>
      <c r="HB31" s="143"/>
      <c r="HC31" s="142"/>
      <c r="HD31" s="143"/>
      <c r="HE31" s="142"/>
      <c r="HF31" s="143"/>
      <c r="HG31" s="142"/>
      <c r="HH31" s="143"/>
      <c r="HI31" s="142"/>
      <c r="HJ31" s="143"/>
      <c r="HK31" s="142"/>
      <c r="HL31" s="143"/>
      <c r="HM31" s="142"/>
      <c r="HN31" s="143"/>
      <c r="HO31" s="142"/>
      <c r="HP31" s="143"/>
      <c r="HQ31" s="142"/>
      <c r="HR31" s="143"/>
      <c r="HS31" s="142"/>
      <c r="HT31" s="143"/>
      <c r="HU31" s="142"/>
      <c r="HV31" s="143"/>
      <c r="HW31" s="142"/>
      <c r="HX31" s="143"/>
      <c r="HY31" s="142"/>
      <c r="HZ31" s="143"/>
      <c r="IA31" s="142"/>
      <c r="IB31" s="143"/>
      <c r="IC31" s="142"/>
      <c r="ID31" s="143"/>
      <c r="IE31" s="142"/>
      <c r="IF31" s="143"/>
      <c r="IG31" s="142"/>
      <c r="IH31" s="143"/>
      <c r="II31" s="142"/>
      <c r="IJ31" s="143"/>
      <c r="IK31" s="142"/>
      <c r="IL31" s="143"/>
      <c r="IM31" s="142"/>
      <c r="IN31" s="143"/>
      <c r="IO31" s="142"/>
      <c r="IP31" s="143"/>
      <c r="IQ31" s="142"/>
      <c r="IR31" s="143"/>
      <c r="IS31" s="142"/>
      <c r="IT31" s="143"/>
      <c r="IU31" s="142"/>
      <c r="IV31" s="143"/>
      <c r="IW31" s="142"/>
      <c r="IX31" s="143"/>
      <c r="IY31" s="142"/>
      <c r="IZ31" s="143"/>
    </row>
    <row r="32" spans="1:260" x14ac:dyDescent="0.25">
      <c r="A32" s="1587"/>
      <c r="B32" s="11" t="s">
        <v>5</v>
      </c>
      <c r="C32" s="19" cm="1">
        <f t="array" ref="C32">SUM(_xlfn._xlws.FILTER(E32:IZ32, MOD(COLUMN(E32:IZ32)-COLUMN(E32)+1,2)=1))</f>
        <v>20366</v>
      </c>
      <c r="D32" s="26" cm="1">
        <f t="array" ref="D32">SUMPRODUCT(_xlfn._xlws.FILTER(E32:IZ32, MOD(COLUMN(E32:IZ32)-COLUMN(E32)+1,2)=1), _xlfn._xlws.FILTER(E32:IZ32, MOD(COLUMN(E32:IZ32)-COLUMN(E32)+1,2)=0))/C32</f>
        <v>1.8504428950211138</v>
      </c>
      <c r="E32" s="140"/>
      <c r="F32" s="141"/>
      <c r="G32" s="140"/>
      <c r="H32" s="141"/>
      <c r="I32" s="140"/>
      <c r="J32" s="141"/>
      <c r="K32" s="140"/>
      <c r="L32" s="141"/>
      <c r="M32" s="140"/>
      <c r="N32" s="141"/>
      <c r="O32" s="140"/>
      <c r="P32" s="141"/>
      <c r="Q32" s="140"/>
      <c r="R32" s="141"/>
      <c r="S32" s="140">
        <v>0</v>
      </c>
      <c r="T32" s="141">
        <v>0</v>
      </c>
      <c r="U32" s="140">
        <v>2822</v>
      </c>
      <c r="V32" s="141">
        <v>3.15</v>
      </c>
      <c r="W32" s="140"/>
      <c r="X32" s="141"/>
      <c r="Y32" s="140"/>
      <c r="Z32" s="141"/>
      <c r="AA32" s="140"/>
      <c r="AB32" s="141"/>
      <c r="AC32" s="140"/>
      <c r="AD32" s="141"/>
      <c r="AE32" s="140"/>
      <c r="AF32" s="141"/>
      <c r="AG32" s="140"/>
      <c r="AH32" s="141"/>
      <c r="AI32" s="140"/>
      <c r="AJ32" s="141"/>
      <c r="AK32" s="140"/>
      <c r="AL32" s="141"/>
      <c r="AM32" s="140"/>
      <c r="AN32" s="141"/>
      <c r="AO32" s="140"/>
      <c r="AP32" s="141"/>
      <c r="AQ32" s="140"/>
      <c r="AR32" s="141"/>
      <c r="AS32" s="140"/>
      <c r="AT32" s="141"/>
      <c r="AU32" s="140"/>
      <c r="AV32" s="141"/>
      <c r="AW32" s="140"/>
      <c r="AX32" s="141"/>
      <c r="AY32" s="140"/>
      <c r="AZ32" s="141"/>
      <c r="BA32" s="140"/>
      <c r="BB32" s="141"/>
      <c r="BC32" s="140"/>
      <c r="BD32" s="141"/>
      <c r="BE32" s="140"/>
      <c r="BF32" s="141"/>
      <c r="BG32" s="140"/>
      <c r="BH32" s="141"/>
      <c r="BI32" s="140"/>
      <c r="BJ32" s="141"/>
      <c r="BK32" s="140"/>
      <c r="BL32" s="141"/>
      <c r="BM32" s="140"/>
      <c r="BN32" s="141"/>
      <c r="BO32" s="140">
        <v>1516</v>
      </c>
      <c r="BP32" s="141">
        <v>0.78</v>
      </c>
      <c r="BQ32" s="140"/>
      <c r="BR32" s="141"/>
      <c r="BS32" s="140"/>
      <c r="BT32" s="141"/>
      <c r="BU32" s="140"/>
      <c r="BV32" s="141"/>
      <c r="BW32" s="140"/>
      <c r="BX32" s="178"/>
      <c r="BY32" s="140">
        <v>1341</v>
      </c>
      <c r="BZ32" s="178">
        <v>0.89</v>
      </c>
      <c r="CA32" s="140">
        <v>2008</v>
      </c>
      <c r="CB32" s="178">
        <v>0.95</v>
      </c>
      <c r="CC32" s="140"/>
      <c r="CD32" s="178"/>
      <c r="CE32" s="140"/>
      <c r="CF32" s="178"/>
      <c r="CG32" s="140"/>
      <c r="CH32" s="178"/>
      <c r="CI32" s="140"/>
      <c r="CJ32" s="141"/>
      <c r="CK32" s="140"/>
      <c r="CL32" s="141"/>
      <c r="CM32" s="140"/>
      <c r="CN32" s="178"/>
      <c r="CO32" s="140"/>
      <c r="CP32" s="141"/>
      <c r="CQ32" s="140">
        <v>6166</v>
      </c>
      <c r="CR32" s="178">
        <v>1.98</v>
      </c>
      <c r="CS32" s="140"/>
      <c r="CT32" s="178"/>
      <c r="CU32" s="140"/>
      <c r="CV32" s="178"/>
      <c r="CW32" s="140"/>
      <c r="CX32" s="178"/>
      <c r="CY32" s="140"/>
      <c r="CZ32" s="141"/>
      <c r="DA32" s="140"/>
      <c r="DB32" s="178"/>
      <c r="DC32" s="140"/>
      <c r="DD32" s="178"/>
      <c r="DE32" s="140">
        <v>999</v>
      </c>
      <c r="DF32" s="178">
        <v>1.83</v>
      </c>
      <c r="DG32" s="140"/>
      <c r="DH32" s="141"/>
      <c r="DI32" s="140"/>
      <c r="DJ32" s="141"/>
      <c r="DK32" s="140"/>
      <c r="DL32" s="141"/>
      <c r="DM32" s="140"/>
      <c r="DN32" s="141"/>
      <c r="DO32" s="140"/>
      <c r="DP32" s="141"/>
      <c r="DQ32" s="140">
        <v>2601</v>
      </c>
      <c r="DR32" s="141">
        <v>1.68</v>
      </c>
      <c r="DS32" s="140"/>
      <c r="DT32" s="141"/>
      <c r="DU32" s="140">
        <v>227</v>
      </c>
      <c r="DV32" s="141">
        <v>3.02</v>
      </c>
      <c r="DW32" s="140"/>
      <c r="DX32" s="141"/>
      <c r="DY32" s="140"/>
      <c r="DZ32" s="141"/>
      <c r="EA32" s="140"/>
      <c r="EB32" s="141"/>
      <c r="EC32" s="140"/>
      <c r="ED32" s="141"/>
      <c r="EE32" s="140"/>
      <c r="EF32" s="141"/>
      <c r="EG32" s="140"/>
      <c r="EH32" s="141"/>
      <c r="EI32" s="140"/>
      <c r="EJ32" s="141"/>
      <c r="EK32" s="140"/>
      <c r="EL32" s="141"/>
      <c r="EM32" s="140"/>
      <c r="EN32" s="141"/>
      <c r="EO32" s="140">
        <v>732</v>
      </c>
      <c r="EP32" s="141">
        <v>1.56</v>
      </c>
      <c r="EQ32" s="140">
        <v>0</v>
      </c>
      <c r="ER32" s="141">
        <v>0</v>
      </c>
      <c r="ES32" s="140"/>
      <c r="ET32" s="178"/>
      <c r="EU32" s="140"/>
      <c r="EV32" s="141"/>
      <c r="EW32" s="140"/>
      <c r="EX32" s="178"/>
      <c r="EY32" s="140"/>
      <c r="EZ32" s="141"/>
      <c r="FA32" s="140"/>
      <c r="FB32" s="141"/>
      <c r="FC32" s="140">
        <v>0</v>
      </c>
      <c r="FD32" s="141">
        <v>0</v>
      </c>
      <c r="FE32" s="140">
        <v>1954</v>
      </c>
      <c r="FF32" s="141">
        <v>2.19</v>
      </c>
      <c r="FG32" s="140"/>
      <c r="FH32" s="141"/>
      <c r="FI32" s="140">
        <v>0</v>
      </c>
      <c r="FJ32" s="141">
        <v>0</v>
      </c>
      <c r="FK32" s="140"/>
      <c r="FL32" s="141"/>
      <c r="FM32" s="140">
        <v>0</v>
      </c>
      <c r="FN32" s="141">
        <v>0</v>
      </c>
      <c r="FO32" s="140"/>
      <c r="FP32" s="141"/>
      <c r="FQ32" s="140"/>
      <c r="FR32" s="141"/>
      <c r="FS32" s="140"/>
      <c r="FT32" s="141"/>
      <c r="FU32" s="140"/>
      <c r="FV32" s="141"/>
      <c r="FW32" s="140"/>
      <c r="FX32" s="141"/>
      <c r="FY32" s="140"/>
      <c r="FZ32" s="141"/>
      <c r="GA32" s="140"/>
      <c r="GB32" s="141"/>
      <c r="GC32" s="140"/>
      <c r="GD32" s="141"/>
      <c r="GE32" s="140"/>
      <c r="GF32" s="141"/>
      <c r="GG32" s="140"/>
      <c r="GH32" s="141"/>
      <c r="GI32" s="140"/>
      <c r="GJ32" s="141"/>
      <c r="GK32" s="140"/>
      <c r="GL32" s="141"/>
      <c r="GM32" s="140"/>
      <c r="GN32" s="141"/>
      <c r="GO32" s="140"/>
      <c r="GP32" s="141"/>
      <c r="GQ32" s="140"/>
      <c r="GR32" s="141"/>
      <c r="GS32" s="140"/>
      <c r="GT32" s="141"/>
      <c r="GU32" s="140"/>
      <c r="GV32" s="141"/>
      <c r="GW32" s="140"/>
      <c r="GX32" s="141"/>
      <c r="GY32" s="140"/>
      <c r="GZ32" s="141"/>
      <c r="HA32" s="140"/>
      <c r="HB32" s="141"/>
      <c r="HC32" s="140"/>
      <c r="HD32" s="141"/>
      <c r="HE32" s="140"/>
      <c r="HF32" s="141"/>
      <c r="HG32" s="140"/>
      <c r="HH32" s="141"/>
      <c r="HI32" s="140"/>
      <c r="HJ32" s="141"/>
      <c r="HK32" s="140"/>
      <c r="HL32" s="141"/>
      <c r="HM32" s="140"/>
      <c r="HN32" s="141"/>
      <c r="HO32" s="140"/>
      <c r="HP32" s="141"/>
      <c r="HQ32" s="140"/>
      <c r="HR32" s="141"/>
      <c r="HS32" s="140"/>
      <c r="HT32" s="141"/>
      <c r="HU32" s="140"/>
      <c r="HV32" s="141"/>
      <c r="HW32" s="140"/>
      <c r="HX32" s="141"/>
      <c r="HY32" s="140"/>
      <c r="HZ32" s="141"/>
      <c r="IA32" s="140"/>
      <c r="IB32" s="141"/>
      <c r="IC32" s="140"/>
      <c r="ID32" s="141"/>
      <c r="IE32" s="140"/>
      <c r="IF32" s="141"/>
      <c r="IG32" s="140"/>
      <c r="IH32" s="141"/>
      <c r="II32" s="140"/>
      <c r="IJ32" s="141"/>
      <c r="IK32" s="140"/>
      <c r="IL32" s="141"/>
      <c r="IM32" s="140"/>
      <c r="IN32" s="141"/>
      <c r="IO32" s="140"/>
      <c r="IP32" s="141"/>
      <c r="IQ32" s="140"/>
      <c r="IR32" s="141"/>
      <c r="IS32" s="140"/>
      <c r="IT32" s="141"/>
      <c r="IU32" s="140"/>
      <c r="IV32" s="141"/>
      <c r="IW32" s="140"/>
      <c r="IX32" s="141"/>
      <c r="IY32" s="140"/>
      <c r="IZ32" s="141"/>
    </row>
    <row r="33" spans="1:260" x14ac:dyDescent="0.25">
      <c r="A33" s="1577" t="s">
        <v>215</v>
      </c>
      <c r="B33" s="130" t="s">
        <v>211</v>
      </c>
      <c r="C33" s="131">
        <f>SUM(C27,C29,C31)</f>
        <v>68240</v>
      </c>
      <c r="D33" s="132">
        <f>(C27*D27+C29*D29+C31*D31)/C33</f>
        <v>2.0529154454865184</v>
      </c>
      <c r="E33" s="144">
        <f>IFERROR(SUM(E27,E29,E31),"")</f>
        <v>0</v>
      </c>
      <c r="F33" s="145" t="str">
        <f>IFERROR((E27*F27+E29*F29+E31*F31)/E33,"")</f>
        <v/>
      </c>
      <c r="G33" s="144">
        <f t="shared" ref="G33" si="1428">IFERROR(SUM(G27,G29,G31),"")</f>
        <v>0</v>
      </c>
      <c r="H33" s="145" t="str">
        <f>IFERROR((G27*H27+G29*H29+G31*H31)/G33,"")</f>
        <v/>
      </c>
      <c r="I33" s="144">
        <f t="shared" ref="I33" si="1429">IFERROR(SUM(I27,I29,I31),"")</f>
        <v>0</v>
      </c>
      <c r="J33" s="145" t="str">
        <f t="shared" ref="J33" si="1430">IFERROR((I27*J27+I29*J29+I31*J31)/I33,"")</f>
        <v/>
      </c>
      <c r="K33" s="144">
        <f t="shared" ref="K33" si="1431">IFERROR(SUM(K27,K29,K31),"")</f>
        <v>0</v>
      </c>
      <c r="L33" s="145" t="str">
        <f t="shared" ref="L33" si="1432">IFERROR((K27*L27+K29*L29+K31*L31)/K33,"")</f>
        <v/>
      </c>
      <c r="M33" s="144">
        <f t="shared" ref="M33" si="1433">IFERROR(SUM(M27,M29,M31),"")</f>
        <v>0</v>
      </c>
      <c r="N33" s="145" t="str">
        <f t="shared" ref="N33" si="1434">IFERROR((M27*N27+M29*N29+M31*N31)/M33,"")</f>
        <v/>
      </c>
      <c r="O33" s="144">
        <f t="shared" ref="O33" si="1435">IFERROR(SUM(O27,O29,O31),"")</f>
        <v>4200</v>
      </c>
      <c r="P33" s="145">
        <f t="shared" ref="P33" si="1436">IFERROR((O27*P27+O29*P29+O31*P31)/O33,"")</f>
        <v>1.8</v>
      </c>
      <c r="Q33" s="144">
        <f t="shared" ref="Q33" si="1437">IFERROR(SUM(Q27,Q29,Q31),"")</f>
        <v>0</v>
      </c>
      <c r="R33" s="145" t="str">
        <f t="shared" ref="R33:R34" si="1438">IFERROR((Q27*R27+Q29*R29+Q31*R31)/Q33,"")</f>
        <v/>
      </c>
      <c r="S33" s="144">
        <f t="shared" ref="S33" si="1439">IFERROR(SUM(S27,S29,S31),"")</f>
        <v>6230</v>
      </c>
      <c r="T33" s="145">
        <f t="shared" ref="T33" si="1440">IFERROR((S27*T27+S29*T29+S31*T31)/S33,"")</f>
        <v>1.7165168539325839</v>
      </c>
      <c r="U33" s="144">
        <f t="shared" ref="U33" si="1441">IFERROR(SUM(U27,U29,U31),"")</f>
        <v>7455</v>
      </c>
      <c r="V33" s="145">
        <f t="shared" ref="V33" si="1442">IFERROR((U27*V27+U29*V29+U31*V31)/U33,"")</f>
        <v>1.5543661971830989</v>
      </c>
      <c r="W33" s="144">
        <f t="shared" ref="W33" si="1443">IFERROR(SUM(W27,W29,W31),"")</f>
        <v>2100</v>
      </c>
      <c r="X33" s="145">
        <f t="shared" ref="X33" si="1444">IFERROR((W27*X27+W29*X29+W31*X31)/W33,"")</f>
        <v>1.59</v>
      </c>
      <c r="Y33" s="144">
        <f t="shared" ref="Y33" si="1445">IFERROR(SUM(Y27,Y29,Y31),"")</f>
        <v>0</v>
      </c>
      <c r="Z33" s="145" t="str">
        <f t="shared" ref="Z33" si="1446">IFERROR((Y27*Z27+Y29*Z29+Y31*Z31)/Y33,"")</f>
        <v/>
      </c>
      <c r="AA33" s="144">
        <f t="shared" ref="AA33" si="1447">IFERROR(SUM(AA27,AA29,AA31),"")</f>
        <v>0</v>
      </c>
      <c r="AB33" s="145" t="str">
        <f t="shared" ref="AB33" si="1448">IFERROR((AA27*AB27+AA29*AB29+AA31*AB31)/AA33,"")</f>
        <v/>
      </c>
      <c r="AC33" s="144">
        <f t="shared" ref="AC33" si="1449">IFERROR(SUM(AC27,AC29,AC31),"")</f>
        <v>0</v>
      </c>
      <c r="AD33" s="145" t="str">
        <f t="shared" ref="AD33" si="1450">IFERROR((AC27*AD27+AC29*AD29+AC31*AD31)/AC33,"")</f>
        <v/>
      </c>
      <c r="AE33" s="144">
        <f t="shared" ref="AE33" si="1451">IFERROR(SUM(AE27,AE29,AE31),"")</f>
        <v>0</v>
      </c>
      <c r="AF33" s="145" t="str">
        <f t="shared" ref="AF33" si="1452">IFERROR((AE27*AF27+AE29*AF29+AE31*AF31)/AE33,"")</f>
        <v/>
      </c>
      <c r="AG33" s="144">
        <f t="shared" ref="AG33" si="1453">IFERROR(SUM(AG27,AG29,AG31),"")</f>
        <v>0</v>
      </c>
      <c r="AH33" s="145" t="str">
        <f t="shared" ref="AH33" si="1454">IFERROR((AG27*AH27+AG29*AH29+AG31*AH31)/AG33,"")</f>
        <v/>
      </c>
      <c r="AI33" s="144">
        <f t="shared" ref="AI33" si="1455">IFERROR(SUM(AI27,AI29,AI31),"")</f>
        <v>0</v>
      </c>
      <c r="AJ33" s="145" t="str">
        <f t="shared" ref="AJ33" si="1456">IFERROR((AI27*AJ27+AI29*AJ29+AI31*AJ31)/AI33,"")</f>
        <v/>
      </c>
      <c r="AK33" s="144">
        <f t="shared" ref="AK33" si="1457">IFERROR(SUM(AK27,AK29,AK31),"")</f>
        <v>0</v>
      </c>
      <c r="AL33" s="145" t="str">
        <f t="shared" ref="AL33" si="1458">IFERROR((AK27*AL27+AK29*AL29+AK31*AL31)/AK33,"")</f>
        <v/>
      </c>
      <c r="AM33" s="144">
        <f t="shared" ref="AM33" si="1459">IFERROR(SUM(AM27,AM29,AM31),"")</f>
        <v>0</v>
      </c>
      <c r="AN33" s="145" t="str">
        <f t="shared" ref="AN33" si="1460">IFERROR((AM27*AN27+AM29*AN29+AM31*AN31)/AM33,"")</f>
        <v/>
      </c>
      <c r="AO33" s="144">
        <f t="shared" ref="AO33" si="1461">IFERROR(SUM(AO27,AO29,AO31),"")</f>
        <v>0</v>
      </c>
      <c r="AP33" s="145" t="str">
        <f t="shared" ref="AP33" si="1462">IFERROR((AO27*AP27+AO29*AP29+AO31*AP31)/AO33,"")</f>
        <v/>
      </c>
      <c r="AQ33" s="144">
        <f t="shared" ref="AQ33" si="1463">IFERROR(SUM(AQ27,AQ29,AQ31),"")</f>
        <v>0</v>
      </c>
      <c r="AR33" s="145" t="str">
        <f t="shared" ref="AR33" si="1464">IFERROR((AQ27*AR27+AQ29*AR29+AQ31*AR31)/AQ33,"")</f>
        <v/>
      </c>
      <c r="AS33" s="144">
        <f t="shared" ref="AS33" si="1465">IFERROR(SUM(AS27,AS29,AS31),"")</f>
        <v>0</v>
      </c>
      <c r="AT33" s="145" t="str">
        <f t="shared" ref="AT33" si="1466">IFERROR((AS27*AT27+AS29*AT29+AS31*AT31)/AS33,"")</f>
        <v/>
      </c>
      <c r="AU33" s="144">
        <f t="shared" ref="AU33" si="1467">IFERROR(SUM(AU27,AU29,AU31),"")</f>
        <v>0</v>
      </c>
      <c r="AV33" s="145" t="str">
        <f t="shared" ref="AV33" si="1468">IFERROR((AU27*AV27+AU29*AV29+AU31*AV31)/AU33,"")</f>
        <v/>
      </c>
      <c r="AW33" s="144">
        <f t="shared" ref="AW33" si="1469">IFERROR(SUM(AW27,AW29,AW31),"")</f>
        <v>0</v>
      </c>
      <c r="AX33" s="145" t="str">
        <f t="shared" ref="AX33" si="1470">IFERROR((AW27*AX27+AW29*AX29+AW31*AX31)/AW33,"")</f>
        <v/>
      </c>
      <c r="AY33" s="144">
        <f t="shared" ref="AY33" si="1471">IFERROR(SUM(AY27,AY29,AY31),"")</f>
        <v>0</v>
      </c>
      <c r="AZ33" s="145" t="str">
        <f t="shared" ref="AZ33" si="1472">IFERROR((AY27*AZ27+AY29*AZ29+AY31*AZ31)/AY33,"")</f>
        <v/>
      </c>
      <c r="BA33" s="144">
        <f t="shared" ref="BA33" si="1473">IFERROR(SUM(BA27,BA29,BA31),"")</f>
        <v>1085</v>
      </c>
      <c r="BB33" s="145">
        <f t="shared" ref="BB33" si="1474">IFERROR((BA27*BB27+BA29*BB29+BA31*BB31)/BA33,"")</f>
        <v>1.39</v>
      </c>
      <c r="BC33" s="144">
        <f t="shared" ref="BC33" si="1475">IFERROR(SUM(BC27,BC29,BC31),"")</f>
        <v>0</v>
      </c>
      <c r="BD33" s="145" t="str">
        <f t="shared" ref="BD33" si="1476">IFERROR((BC27*BD27+BC29*BD29+BC31*BD31)/BC33,"")</f>
        <v/>
      </c>
      <c r="BE33" s="144">
        <f t="shared" ref="BE33" si="1477">IFERROR(SUM(BE27,BE29,BE31),"")</f>
        <v>0</v>
      </c>
      <c r="BF33" s="145" t="str">
        <f t="shared" ref="BF33" si="1478">IFERROR((BE27*BF27+BE29*BF29+BE31*BF31)/BE33,"")</f>
        <v/>
      </c>
      <c r="BG33" s="144">
        <f t="shared" ref="BG33" si="1479">IFERROR(SUM(BG27,BG29,BG31),"")</f>
        <v>0</v>
      </c>
      <c r="BH33" s="145" t="str">
        <f t="shared" ref="BH33" si="1480">IFERROR((BG27*BH27+BG29*BH29+BG31*BH31)/BG33,"")</f>
        <v/>
      </c>
      <c r="BI33" s="144">
        <f t="shared" ref="BI33" si="1481">IFERROR(SUM(BI27,BI29,BI31),"")</f>
        <v>0</v>
      </c>
      <c r="BJ33" s="145" t="str">
        <f t="shared" ref="BJ33" si="1482">IFERROR((BI27*BJ27+BI29*BJ29+BI31*BJ31)/BI33,"")</f>
        <v/>
      </c>
      <c r="BK33" s="144">
        <f t="shared" ref="BK33" si="1483">IFERROR(SUM(BK27,BK29,BK31),"")</f>
        <v>0</v>
      </c>
      <c r="BL33" s="145" t="str">
        <f t="shared" ref="BL33" si="1484">IFERROR((BK27*BL27+BK29*BL29+BK31*BL31)/BK33,"")</f>
        <v/>
      </c>
      <c r="BM33" s="144">
        <f t="shared" ref="BM33" si="1485">IFERROR(SUM(BM27,BM29,BM31),"")</f>
        <v>2480</v>
      </c>
      <c r="BN33" s="145">
        <f t="shared" ref="BN33" si="1486">IFERROR((BM27*BN27+BM29*BN29+BM31*BN31)/BM33,"")</f>
        <v>2.84</v>
      </c>
      <c r="BO33" s="144">
        <f t="shared" ref="BO33" si="1487">IFERROR(SUM(BO27,BO29,BO31),"")</f>
        <v>6300</v>
      </c>
      <c r="BP33" s="145">
        <f t="shared" ref="BP33" si="1488">IFERROR((BO27*BP27+BO29*BP29+BO31*BP31)/BO33,"")</f>
        <v>1.8959999999999999</v>
      </c>
      <c r="BQ33" s="144">
        <f t="shared" ref="BQ33" si="1489">IFERROR(SUM(BQ27,BQ29,BQ31),"")</f>
        <v>0</v>
      </c>
      <c r="BR33" s="145" t="str">
        <f t="shared" ref="BR33" si="1490">IFERROR((BQ27*BR27+BQ29*BR29+BQ31*BR31)/BQ33,"")</f>
        <v/>
      </c>
      <c r="BS33" s="144">
        <f t="shared" ref="BS33" si="1491">IFERROR(SUM(BS27,BS29,BS31),"")</f>
        <v>0</v>
      </c>
      <c r="BT33" s="145" t="str">
        <f t="shared" ref="BT33" si="1492">IFERROR((BS27*BT27+BS29*BT29+BS31*BT31)/BS33,"")</f>
        <v/>
      </c>
      <c r="BU33" s="144">
        <f t="shared" ref="BU33" si="1493">IFERROR(SUM(BU27,BU29,BU31),"")</f>
        <v>0</v>
      </c>
      <c r="BV33" s="145" t="str">
        <f t="shared" ref="BV33" si="1494">IFERROR((BU27*BV27+BU29*BV29+BU31*BV31)/BU33,"")</f>
        <v/>
      </c>
      <c r="BW33" s="144">
        <f t="shared" ref="BW33" si="1495">IFERROR(SUM(BW27,BW29,BW31),"")</f>
        <v>0</v>
      </c>
      <c r="BX33" s="145" t="str">
        <f t="shared" ref="BX33" si="1496">IFERROR((BW27*BX27+BW29*BX29+BW31*BX31)/BW33,"")</f>
        <v/>
      </c>
      <c r="BY33" s="144">
        <f t="shared" ref="BY33" si="1497">IFERROR(SUM(BY27,BY29,BY31),"")</f>
        <v>1015</v>
      </c>
      <c r="BZ33" s="145">
        <f t="shared" ref="BZ33" si="1498">IFERROR((BY27*BZ27+BY29*BZ29+BY31*BZ31)/BY33,"")</f>
        <v>2.35</v>
      </c>
      <c r="CA33" s="144">
        <f t="shared" ref="CA33" si="1499">IFERROR(SUM(CA27,CA29,CA31),"")</f>
        <v>6385</v>
      </c>
      <c r="CB33" s="145">
        <f t="shared" ref="CB33" si="1500">IFERROR((CA27*CB27+CA29*CB29+CA31*CB31)/CA33,"")</f>
        <v>2.3983476898981988</v>
      </c>
      <c r="CC33" s="144">
        <f t="shared" ref="CC33" si="1501">IFERROR(SUM(CC27,CC29,CC31),"")</f>
        <v>0</v>
      </c>
      <c r="CD33" s="145" t="str">
        <f t="shared" ref="CD33" si="1502">IFERROR((CC27*CD27+CC29*CD29+CC31*CD31)/CC33,"")</f>
        <v/>
      </c>
      <c r="CE33" s="144">
        <f t="shared" ref="CE33" si="1503">IFERROR(SUM(CE27,CE29,CE31),"")</f>
        <v>0</v>
      </c>
      <c r="CF33" s="145" t="str">
        <f t="shared" ref="CF33" si="1504">IFERROR((CE27*CF27+CE29*CF29+CE31*CF31)/CE33,"")</f>
        <v/>
      </c>
      <c r="CG33" s="144">
        <f t="shared" ref="CG33" si="1505">IFERROR(SUM(CG27,CG29,CG31),"")</f>
        <v>2290</v>
      </c>
      <c r="CH33" s="145">
        <f t="shared" ref="CH33" si="1506">IFERROR((CG27*CH27+CG29*CH29+CG31*CH31)/CG33,"")</f>
        <v>2.7507423580786026</v>
      </c>
      <c r="CI33" s="144">
        <f t="shared" ref="CI33" si="1507">IFERROR(SUM(CI27,CI29,CI31),"")</f>
        <v>0</v>
      </c>
      <c r="CJ33" s="145" t="str">
        <f t="shared" ref="CJ33" si="1508">IFERROR((CI27*CJ27+CI29*CJ29+CI31*CJ31)/CI33,"")</f>
        <v/>
      </c>
      <c r="CK33" s="144">
        <f t="shared" ref="CK33" si="1509">IFERROR(SUM(CK27,CK29,CK31),"")</f>
        <v>0</v>
      </c>
      <c r="CL33" s="145" t="str">
        <f t="shared" ref="CL33" si="1510">IFERROR((CK27*CL27+CK29*CL29+CK31*CL31)/CK33,"")</f>
        <v/>
      </c>
      <c r="CM33" s="144">
        <f t="shared" ref="CM33" si="1511">IFERROR(SUM(CM27,CM29,CM31),"")</f>
        <v>2170</v>
      </c>
      <c r="CN33" s="145">
        <f t="shared" ref="CN33" si="1512">IFERROR((CM27*CN27+CM29*CN29+CM31*CN31)/CM33,"")</f>
        <v>1.92</v>
      </c>
      <c r="CO33" s="144">
        <f t="shared" ref="CO33" si="1513">IFERROR(SUM(CO27,CO29,CO31),"")</f>
        <v>0</v>
      </c>
      <c r="CP33" s="145" t="str">
        <f t="shared" ref="CP33" si="1514">IFERROR((CO27*CP27+CO29*CP29+CO31*CP31)/CO33,"")</f>
        <v/>
      </c>
      <c r="CQ33" s="144">
        <f t="shared" ref="CQ33" si="1515">IFERROR(SUM(CQ27,CQ29,CQ31),"")</f>
        <v>11445</v>
      </c>
      <c r="CR33" s="145">
        <f t="shared" ref="CR33" si="1516">IFERROR((CQ27*CR27+CQ29*CR29+CQ31*CR31)/CQ33,"")</f>
        <v>2.5562079510703364</v>
      </c>
      <c r="CS33" s="144"/>
      <c r="CT33" s="145"/>
      <c r="CU33" s="144"/>
      <c r="CV33" s="145"/>
      <c r="CW33" s="144"/>
      <c r="CX33" s="145"/>
      <c r="CY33" s="144">
        <f t="shared" ref="CY33" si="1517">IFERROR(SUM(CY27,CY29,CY31),"")</f>
        <v>0</v>
      </c>
      <c r="CZ33" s="145" t="str">
        <f t="shared" ref="CZ33" si="1518">IFERROR((CY27*CZ27+CY29*CZ29+CY31*CZ31)/CY33,"")</f>
        <v/>
      </c>
      <c r="DA33" s="144">
        <f t="shared" ref="DA33" si="1519">IFERROR(SUM(DA27,DA29,DA31),"")</f>
        <v>0</v>
      </c>
      <c r="DB33" s="145" t="str">
        <f t="shared" ref="DB33" si="1520">IFERROR((DA27*DB27+DA29*DB29+DA31*DB31)/DA33,"")</f>
        <v/>
      </c>
      <c r="DC33" s="144">
        <f t="shared" ref="DC33" si="1521">IFERROR(SUM(DC27,DC29,DC31),"")</f>
        <v>0</v>
      </c>
      <c r="DD33" s="145" t="str">
        <f t="shared" ref="DD33" si="1522">IFERROR((DC27*DD27+DC29*DD29+DC31*DD31)/DC33,"")</f>
        <v/>
      </c>
      <c r="DE33" s="144">
        <f t="shared" ref="DE33" si="1523">IFERROR(SUM(DE27,DE29,DE31),"")</f>
        <v>5180</v>
      </c>
      <c r="DF33" s="145">
        <f t="shared" ref="DF33" si="1524">IFERROR((DE27*DF27+DE29*DF29+DE31*DF31)/DE33,"")</f>
        <v>1.9045945945945943</v>
      </c>
      <c r="DG33" s="144">
        <f t="shared" ref="DG33" si="1525">IFERROR(SUM(DG27,DG29,DG31),"")</f>
        <v>0</v>
      </c>
      <c r="DH33" s="145" t="str">
        <f t="shared" ref="DH33" si="1526">IFERROR((DG27*DH27+DG29*DH29+DG31*DH31)/DG33,"")</f>
        <v/>
      </c>
      <c r="DI33" s="144">
        <f t="shared" ref="DI33" si="1527">IFERROR(SUM(DI27,DI29,DI31),"")</f>
        <v>0</v>
      </c>
      <c r="DJ33" s="145" t="str">
        <f t="shared" ref="DJ33" si="1528">IFERROR((DI27*DJ27+DI29*DJ29+DI31*DJ31)/DI33,"")</f>
        <v/>
      </c>
      <c r="DK33" s="144">
        <f t="shared" ref="DK33" si="1529">IFERROR(SUM(DK27,DK29,DK31),"")</f>
        <v>0</v>
      </c>
      <c r="DL33" s="145" t="str">
        <f t="shared" ref="DL33" si="1530">IFERROR((DK27*DL27+DK29*DL29+DK31*DL31)/DK33,"")</f>
        <v/>
      </c>
      <c r="DM33" s="144">
        <f t="shared" ref="DM33" si="1531">IFERROR(SUM(DM27,DM29,DM31),"")</f>
        <v>0</v>
      </c>
      <c r="DN33" s="145" t="str">
        <f t="shared" ref="DN33" si="1532">IFERROR((DM27*DN27+DM29*DN29+DM31*DN31)/DM33,"")</f>
        <v/>
      </c>
      <c r="DO33" s="144">
        <f t="shared" ref="DO33" si="1533">IFERROR(SUM(DO27,DO29,DO31),"")</f>
        <v>0</v>
      </c>
      <c r="DP33" s="145" t="str">
        <f t="shared" ref="DP33" si="1534">IFERROR((DO27*DP27+DO29*DP29+DO31*DP31)/DO33,"")</f>
        <v/>
      </c>
      <c r="DQ33" s="144">
        <f t="shared" ref="DQ33" si="1535">IFERROR(SUM(DQ27,DQ29,DQ31),"")</f>
        <v>3920</v>
      </c>
      <c r="DR33" s="145">
        <f t="shared" ref="DR33" si="1536">IFERROR((DQ27*DR27+DQ29*DR29+DQ31*DR31)/DQ33,"")</f>
        <v>1.86</v>
      </c>
      <c r="DS33" s="144">
        <f t="shared" ref="DS33" si="1537">IFERROR(SUM(DS27,DS29,DS31),"")</f>
        <v>0</v>
      </c>
      <c r="DT33" s="145" t="str">
        <f t="shared" ref="DT33" si="1538">IFERROR((DS27*DT27+DS29*DT29+DS31*DT31)/DS33,"")</f>
        <v/>
      </c>
      <c r="DU33" s="144">
        <f t="shared" ref="DU33" si="1539">IFERROR(SUM(DU27,DU29,DU31),"")</f>
        <v>0</v>
      </c>
      <c r="DV33" s="145" t="str">
        <f t="shared" ref="DV33" si="1540">IFERROR((DU27*DV27+DU29*DV29+DU31*DV31)/DU33,"")</f>
        <v/>
      </c>
      <c r="DW33" s="144">
        <f t="shared" ref="DW33" si="1541">IFERROR(SUM(DW27,DW29,DW31),"")</f>
        <v>0</v>
      </c>
      <c r="DX33" s="145" t="str">
        <f t="shared" ref="DX33" si="1542">IFERROR((DW27*DX27+DW29*DX29+DW31*DX31)/DW33,"")</f>
        <v/>
      </c>
      <c r="DY33" s="144">
        <f t="shared" ref="DY33" si="1543">IFERROR(SUM(DY27,DY29,DY31),"")</f>
        <v>0</v>
      </c>
      <c r="DZ33" s="145" t="str">
        <f t="shared" ref="DZ33" si="1544">IFERROR((DY27*DZ27+DY29*DZ29+DY31*DZ31)/DY33,"")</f>
        <v/>
      </c>
      <c r="EA33" s="144">
        <f t="shared" ref="EA33" si="1545">IFERROR(SUM(EA27,EA29,EA31),"")</f>
        <v>0</v>
      </c>
      <c r="EB33" s="145" t="str">
        <f t="shared" ref="EB33" si="1546">IFERROR((EA27*EB27+EA29*EB29+EA31*EB31)/EA33,"")</f>
        <v/>
      </c>
      <c r="EC33" s="144">
        <f t="shared" ref="EC33" si="1547">IFERROR(SUM(EC27,EC29,EC31),"")</f>
        <v>0</v>
      </c>
      <c r="ED33" s="145" t="str">
        <f t="shared" ref="ED33" si="1548">IFERROR((EC27*ED27+EC29*ED29+EC31*ED31)/EC33,"")</f>
        <v/>
      </c>
      <c r="EE33" s="144">
        <f t="shared" ref="EE33" si="1549">IFERROR(SUM(EE27,EE29,EE31),"")</f>
        <v>0</v>
      </c>
      <c r="EF33" s="145" t="str">
        <f t="shared" ref="EF33" si="1550">IFERROR((EE27*EF27+EE29*EF29+EE31*EF31)/EE33,"")</f>
        <v/>
      </c>
      <c r="EG33" s="144">
        <f t="shared" ref="EG33" si="1551">IFERROR(SUM(EG27,EG29,EG31),"")</f>
        <v>0</v>
      </c>
      <c r="EH33" s="145" t="str">
        <f t="shared" ref="EH33" si="1552">IFERROR((EG27*EH27+EG29*EH29+EG31*EH31)/EG33,"")</f>
        <v/>
      </c>
      <c r="EI33" s="144">
        <f t="shared" ref="EI33" si="1553">IFERROR(SUM(EI27,EI29,EI31),"")</f>
        <v>0</v>
      </c>
      <c r="EJ33" s="145" t="str">
        <f t="shared" ref="EJ33" si="1554">IFERROR((EI27*EJ27+EI29*EJ29+EI31*EJ31)/EI33,"")</f>
        <v/>
      </c>
      <c r="EK33" s="144">
        <f t="shared" ref="EK33" si="1555">IFERROR(SUM(EK27,EK29,EK31),"")</f>
        <v>0</v>
      </c>
      <c r="EL33" s="145" t="str">
        <f t="shared" ref="EL33" si="1556">IFERROR((EK27*EL27+EK29*EL29+EK31*EL31)/EK33,"")</f>
        <v/>
      </c>
      <c r="EM33" s="144">
        <f t="shared" ref="EM33" si="1557">IFERROR(SUM(EM27,EM29,EM31),"")</f>
        <v>0</v>
      </c>
      <c r="EN33" s="145" t="str">
        <f t="shared" ref="EN33" si="1558">IFERROR((EM27*EN27+EM29*EN29+EM31*EN31)/EM33,"")</f>
        <v/>
      </c>
      <c r="EO33" s="144">
        <f t="shared" ref="EO33" si="1559">IFERROR(SUM(EO27,EO29,EO31),"")</f>
        <v>1330</v>
      </c>
      <c r="EP33" s="145">
        <f t="shared" ref="EP33" si="1560">IFERROR((EO27*EP27+EO29*EP29+EO31*EP31)/EO33,"")</f>
        <v>2.12</v>
      </c>
      <c r="EQ33" s="144">
        <f t="shared" ref="EQ33" si="1561">IFERROR(SUM(EQ27,EQ29,EQ31),"")</f>
        <v>665</v>
      </c>
      <c r="ER33" s="145">
        <f t="shared" ref="ER33" si="1562">IFERROR((EQ27*ER27+EQ29*ER29+EQ31*ER31)/EQ33,"")</f>
        <v>2.0499999999999998</v>
      </c>
      <c r="ES33" s="144"/>
      <c r="ET33" s="145"/>
      <c r="EU33" s="144">
        <f t="shared" ref="EU33" si="1563">IFERROR(SUM(EU27,EU29,EU31),"")</f>
        <v>0</v>
      </c>
      <c r="EV33" s="145" t="str">
        <f t="shared" ref="EV33" si="1564">IFERROR((EU27*EV27+EU29*EV29+EU31*EV31)/EU33,"")</f>
        <v/>
      </c>
      <c r="EW33" s="144"/>
      <c r="EX33" s="145"/>
      <c r="EY33" s="144">
        <f t="shared" ref="EY33" si="1565">IFERROR(SUM(EY27,EY29,EY31),"")</f>
        <v>0</v>
      </c>
      <c r="EZ33" s="145" t="str">
        <f t="shared" ref="EZ33" si="1566">IFERROR((EY27*EZ27+EY29*EZ29+EY31*EZ31)/EY33,"")</f>
        <v/>
      </c>
      <c r="FA33" s="144">
        <f t="shared" ref="FA33" si="1567">IFERROR(SUM(FA27,FA29,FA31),"")</f>
        <v>0</v>
      </c>
      <c r="FB33" s="145" t="str">
        <f t="shared" ref="FB33" si="1568">IFERROR((FA27*FB27+FA29*FB29+FA31*FB31)/FA33,"")</f>
        <v/>
      </c>
      <c r="FC33" s="144">
        <f t="shared" ref="FC33" si="1569">IFERROR(SUM(FC27,FC29,FC31),"")</f>
        <v>665</v>
      </c>
      <c r="FD33" s="145">
        <f t="shared" ref="FD33" si="1570">IFERROR((FC27*FD27+FC29*FD29+FC31*FD31)/FC33,"")</f>
        <v>1.6599999999999997</v>
      </c>
      <c r="FE33" s="144">
        <f t="shared" ref="FE33" si="1571">IFERROR(SUM(FE27,FE29,FE31),"")</f>
        <v>1330</v>
      </c>
      <c r="FF33" s="145">
        <f t="shared" ref="FF33" si="1572">IFERROR((FE27*FF27+FE29*FF29+FE31*FF31)/FE33,"")</f>
        <v>2.1800000000000002</v>
      </c>
      <c r="FG33" s="144">
        <f t="shared" ref="FG33" si="1573">IFERROR(SUM(FG27,FG29,FG31),"")</f>
        <v>0</v>
      </c>
      <c r="FH33" s="145" t="str">
        <f t="shared" ref="FH33" si="1574">IFERROR((FG27*FH27+FG29*FH29+FG31*FH31)/FG33,"")</f>
        <v/>
      </c>
      <c r="FI33" s="144">
        <f t="shared" ref="FI33" si="1575">IFERROR(SUM(FI27,FI29,FI31),"")</f>
        <v>1330</v>
      </c>
      <c r="FJ33" s="145">
        <f t="shared" ref="FJ33" si="1576">IFERROR((FI27*FJ27+FI29*FJ29+FI31*FJ31)/FI33,"")</f>
        <v>1.85</v>
      </c>
      <c r="FK33" s="144">
        <f t="shared" ref="FK33" si="1577">IFERROR(SUM(FK27,FK29,FK31),"")</f>
        <v>0</v>
      </c>
      <c r="FL33" s="145" t="str">
        <f t="shared" ref="FL33" si="1578">IFERROR((FK27*FL27+FK29*FL29+FK31*FL31)/FK33,"")</f>
        <v/>
      </c>
      <c r="FM33" s="144">
        <f t="shared" ref="FM33" si="1579">IFERROR(SUM(FM27,FM29,FM31),"")</f>
        <v>665</v>
      </c>
      <c r="FN33" s="145">
        <f t="shared" ref="FN33" si="1580">IFERROR((FM27*FN27+FM29*FN29+FM31*FN31)/FM33,"")</f>
        <v>1.7900000000000003</v>
      </c>
      <c r="FO33" s="144">
        <f t="shared" ref="FO33" si="1581">IFERROR(SUM(FO27,FO29,FO31),"")</f>
        <v>0</v>
      </c>
      <c r="FP33" s="145" t="str">
        <f t="shared" ref="FP33" si="1582">IFERROR((FO27*FP27+FO29*FP29+FO31*FP31)/FO33,"")</f>
        <v/>
      </c>
      <c r="FQ33" s="144">
        <f t="shared" ref="FQ33" si="1583">IFERROR(SUM(FQ27,FQ29,FQ31),"")</f>
        <v>0</v>
      </c>
      <c r="FR33" s="145" t="str">
        <f t="shared" ref="FR33" si="1584">IFERROR((FQ27*FR27+FQ29*FR29+FQ31*FR31)/FQ33,"")</f>
        <v/>
      </c>
      <c r="FS33" s="144">
        <f t="shared" ref="FS33" si="1585">IFERROR(SUM(FS27,FS29,FS31),"")</f>
        <v>0</v>
      </c>
      <c r="FT33" s="145" t="str">
        <f t="shared" ref="FT33" si="1586">IFERROR((FS27*FT27+FS29*FT29+FS31*FT31)/FS33,"")</f>
        <v/>
      </c>
      <c r="FU33" s="144">
        <f t="shared" ref="FU33" si="1587">IFERROR(SUM(FU27,FU29,FU31),"")</f>
        <v>0</v>
      </c>
      <c r="FV33" s="145" t="str">
        <f t="shared" ref="FV33" si="1588">IFERROR((FU27*FV27+FU29*FV29+FU31*FV31)/FU33,"")</f>
        <v/>
      </c>
      <c r="FW33" s="144">
        <f t="shared" ref="FW33" si="1589">IFERROR(SUM(FW27,FW29,FW31),"")</f>
        <v>0</v>
      </c>
      <c r="FX33" s="145" t="str">
        <f t="shared" ref="FX33" si="1590">IFERROR((FW27*FX27+FW29*FX29+FW31*FX31)/FW33,"")</f>
        <v/>
      </c>
      <c r="FY33" s="144">
        <f t="shared" ref="FY33" si="1591">IFERROR(SUM(FY27,FY29,FY31),"")</f>
        <v>0</v>
      </c>
      <c r="FZ33" s="145" t="str">
        <f t="shared" ref="FZ33" si="1592">IFERROR((FY27*FZ27+FY29*FZ29+FY31*FZ31)/FY33,"")</f>
        <v/>
      </c>
      <c r="GA33" s="144">
        <f t="shared" ref="GA33" si="1593">IFERROR(SUM(GA27,GA29,GA31),"")</f>
        <v>0</v>
      </c>
      <c r="GB33" s="145" t="str">
        <f t="shared" ref="GB33" si="1594">IFERROR((GA27*GB27+GA29*GB29+GA31*GB31)/GA33,"")</f>
        <v/>
      </c>
      <c r="GC33" s="144">
        <f t="shared" ref="GC33" si="1595">IFERROR(SUM(GC27,GC29,GC31),"")</f>
        <v>0</v>
      </c>
      <c r="GD33" s="145" t="str">
        <f t="shared" ref="GD33" si="1596">IFERROR((GC27*GD27+GC29*GD29+GC31*GD31)/GC33,"")</f>
        <v/>
      </c>
      <c r="GE33" s="144">
        <f t="shared" ref="GE33" si="1597">IFERROR(SUM(GE27,GE29,GE31),"")</f>
        <v>0</v>
      </c>
      <c r="GF33" s="145" t="str">
        <f t="shared" ref="GF33" si="1598">IFERROR((GE27*GF27+GE29*GF29+GE31*GF31)/GE33,"")</f>
        <v/>
      </c>
      <c r="GG33" s="144">
        <f t="shared" ref="GG33" si="1599">IFERROR(SUM(GG27,GG29,GG31),"")</f>
        <v>0</v>
      </c>
      <c r="GH33" s="145" t="str">
        <f t="shared" ref="GH33" si="1600">IFERROR((GG27*GH27+GG29*GH29+GG31*GH31)/GG33,"")</f>
        <v/>
      </c>
      <c r="GI33" s="144">
        <f t="shared" ref="GI33" si="1601">IFERROR(SUM(GI27,GI29,GI31),"")</f>
        <v>0</v>
      </c>
      <c r="GJ33" s="145" t="str">
        <f t="shared" ref="GJ33" si="1602">IFERROR((GI27*GJ27+GI29*GJ29+GI31*GJ31)/GI33,"")</f>
        <v/>
      </c>
      <c r="GK33" s="144">
        <f t="shared" ref="GK33" si="1603">IFERROR(SUM(GK27,GK29,GK31),"")</f>
        <v>0</v>
      </c>
      <c r="GL33" s="145" t="str">
        <f t="shared" ref="GL33" si="1604">IFERROR((GK27*GL27+GK29*GL29+GK31*GL31)/GK33,"")</f>
        <v/>
      </c>
      <c r="GM33" s="144">
        <f t="shared" ref="GM33" si="1605">IFERROR(SUM(GM27,GM29,GM31),"")</f>
        <v>0</v>
      </c>
      <c r="GN33" s="145" t="str">
        <f t="shared" ref="GN33" si="1606">IFERROR((GM27*GN27+GM29*GN29+GM31*GN31)/GM33,"")</f>
        <v/>
      </c>
      <c r="GO33" s="144">
        <f t="shared" ref="GO33" si="1607">IFERROR(SUM(GO27,GO29,GO31),"")</f>
        <v>0</v>
      </c>
      <c r="GP33" s="145" t="str">
        <f t="shared" ref="GP33" si="1608">IFERROR((GO27*GP27+GO29*GP29+GO31*GP31)/GO33,"")</f>
        <v/>
      </c>
      <c r="GQ33" s="144">
        <f t="shared" ref="GQ33" si="1609">IFERROR(SUM(GQ27,GQ29,GQ31),"")</f>
        <v>0</v>
      </c>
      <c r="GR33" s="145" t="str">
        <f t="shared" ref="GR33" si="1610">IFERROR((GQ27*GR27+GQ29*GR29+GQ31*GR31)/GQ33,"")</f>
        <v/>
      </c>
      <c r="GS33" s="144">
        <f t="shared" ref="GS33" si="1611">IFERROR(SUM(GS27,GS29,GS31),"")</f>
        <v>0</v>
      </c>
      <c r="GT33" s="145" t="str">
        <f t="shared" ref="GT33" si="1612">IFERROR((GS27*GT27+GS29*GT29+GS31*GT31)/GS33,"")</f>
        <v/>
      </c>
      <c r="GU33" s="144">
        <f t="shared" ref="GU33" si="1613">IFERROR(SUM(GU27,GU29,GU31),"")</f>
        <v>0</v>
      </c>
      <c r="GV33" s="145" t="str">
        <f t="shared" ref="GV33" si="1614">IFERROR((GU27*GV27+GU29*GV29+GU31*GV31)/GU33,"")</f>
        <v/>
      </c>
      <c r="GW33" s="144">
        <f t="shared" ref="GW33" si="1615">IFERROR(SUM(GW27,GW29,GW31),"")</f>
        <v>0</v>
      </c>
      <c r="GX33" s="145" t="str">
        <f t="shared" ref="GX33" si="1616">IFERROR((GW27*GX27+GW29*GX29+GW31*GX31)/GW33,"")</f>
        <v/>
      </c>
      <c r="GY33" s="144">
        <f t="shared" ref="GY33" si="1617">IFERROR(SUM(GY27,GY29,GY31),"")</f>
        <v>0</v>
      </c>
      <c r="GZ33" s="145" t="str">
        <f t="shared" ref="GZ33" si="1618">IFERROR((GY27*GZ27+GY29*GZ29+GY31*GZ31)/GY33,"")</f>
        <v/>
      </c>
      <c r="HA33" s="144">
        <f t="shared" ref="HA33" si="1619">IFERROR(SUM(HA27,HA29,HA31),"")</f>
        <v>0</v>
      </c>
      <c r="HB33" s="145" t="str">
        <f t="shared" ref="HB33" si="1620">IFERROR((HA27*HB27+HA29*HB29+HA31*HB31)/HA33,"")</f>
        <v/>
      </c>
      <c r="HC33" s="144">
        <f t="shared" ref="HC33" si="1621">IFERROR(SUM(HC27,HC29,HC31),"")</f>
        <v>0</v>
      </c>
      <c r="HD33" s="145" t="str">
        <f t="shared" ref="HD33" si="1622">IFERROR((HC27*HD27+HC29*HD29+HC31*HD31)/HC33,"")</f>
        <v/>
      </c>
      <c r="HE33" s="144">
        <f t="shared" ref="HE33" si="1623">IFERROR(SUM(HE27,HE29,HE31),"")</f>
        <v>0</v>
      </c>
      <c r="HF33" s="145" t="str">
        <f t="shared" ref="HF33" si="1624">IFERROR((HE27*HF27+HE29*HF29+HE31*HF31)/HE33,"")</f>
        <v/>
      </c>
      <c r="HG33" s="144">
        <f t="shared" ref="HG33" si="1625">IFERROR(SUM(HG27,HG29,HG31),"")</f>
        <v>0</v>
      </c>
      <c r="HH33" s="145" t="str">
        <f t="shared" ref="HH33" si="1626">IFERROR((HG27*HH27+HG29*HH29+HG31*HH31)/HG33,"")</f>
        <v/>
      </c>
      <c r="HI33" s="144">
        <f t="shared" ref="HI33" si="1627">IFERROR(SUM(HI27,HI29,HI31),"")</f>
        <v>0</v>
      </c>
      <c r="HJ33" s="145" t="str">
        <f t="shared" ref="HJ33" si="1628">IFERROR((HI27*HJ27+HI29*HJ29+HI31*HJ31)/HI33,"")</f>
        <v/>
      </c>
      <c r="HK33" s="144">
        <f t="shared" ref="HK33" si="1629">IFERROR(SUM(HK27,HK29,HK31),"")</f>
        <v>0</v>
      </c>
      <c r="HL33" s="145" t="str">
        <f t="shared" ref="HL33" si="1630">IFERROR((HK27*HL27+HK29*HL29+HK31*HL31)/HK33,"")</f>
        <v/>
      </c>
      <c r="HM33" s="144">
        <f t="shared" ref="HM33" si="1631">IFERROR(SUM(HM27,HM29,HM31),"")</f>
        <v>0</v>
      </c>
      <c r="HN33" s="145" t="str">
        <f t="shared" ref="HN33" si="1632">IFERROR((HM27*HN27+HM29*HN29+HM31*HN31)/HM33,"")</f>
        <v/>
      </c>
      <c r="HO33" s="144">
        <f t="shared" ref="HO33" si="1633">IFERROR(SUM(HO27,HO29,HO31),"")</f>
        <v>0</v>
      </c>
      <c r="HP33" s="145" t="str">
        <f t="shared" ref="HP33" si="1634">IFERROR((HO27*HP27+HO29*HP29+HO31*HP31)/HO33,"")</f>
        <v/>
      </c>
      <c r="HQ33" s="144">
        <f t="shared" ref="HQ33" si="1635">IFERROR(SUM(HQ27,HQ29,HQ31),"")</f>
        <v>0</v>
      </c>
      <c r="HR33" s="145" t="str">
        <f t="shared" ref="HR33" si="1636">IFERROR((HQ27*HR27+HQ29*HR29+HQ31*HR31)/HQ33,"")</f>
        <v/>
      </c>
      <c r="HS33" s="144">
        <f t="shared" ref="HS33" si="1637">IFERROR(SUM(HS27,HS29,HS31),"")</f>
        <v>0</v>
      </c>
      <c r="HT33" s="145" t="str">
        <f t="shared" ref="HT33" si="1638">IFERROR((HS27*HT27+HS29*HT29+HS31*HT31)/HS33,"")</f>
        <v/>
      </c>
      <c r="HU33" s="144">
        <f t="shared" ref="HU33" si="1639">IFERROR(SUM(HU27,HU29,HU31),"")</f>
        <v>0</v>
      </c>
      <c r="HV33" s="145" t="str">
        <f t="shared" ref="HV33" si="1640">IFERROR((HU27*HV27+HU29*HV29+HU31*HV31)/HU33,"")</f>
        <v/>
      </c>
      <c r="HW33" s="144">
        <f t="shared" ref="HW33" si="1641">IFERROR(SUM(HW27,HW29,HW31),"")</f>
        <v>0</v>
      </c>
      <c r="HX33" s="145" t="str">
        <f t="shared" ref="HX33" si="1642">IFERROR((HW27*HX27+HW29*HX29+HW31*HX31)/HW33,"")</f>
        <v/>
      </c>
      <c r="HY33" s="144">
        <f t="shared" ref="HY33" si="1643">IFERROR(SUM(HY27,HY29,HY31),"")</f>
        <v>0</v>
      </c>
      <c r="HZ33" s="145" t="str">
        <f t="shared" ref="HZ33" si="1644">IFERROR((HY27*HZ27+HY29*HZ29+HY31*HZ31)/HY33,"")</f>
        <v/>
      </c>
      <c r="IA33" s="144">
        <f t="shared" ref="IA33" si="1645">IFERROR(SUM(IA27,IA29,IA31),"")</f>
        <v>0</v>
      </c>
      <c r="IB33" s="145" t="str">
        <f t="shared" ref="IB33" si="1646">IFERROR((IA27*IB27+IA29*IB29+IA31*IB31)/IA33,"")</f>
        <v/>
      </c>
      <c r="IC33" s="144">
        <f t="shared" ref="IC33" si="1647">IFERROR(SUM(IC27,IC29,IC31),"")</f>
        <v>0</v>
      </c>
      <c r="ID33" s="145" t="str">
        <f t="shared" ref="ID33" si="1648">IFERROR((IC27*ID27+IC29*ID29+IC31*ID31)/IC33,"")</f>
        <v/>
      </c>
      <c r="IE33" s="144">
        <f t="shared" ref="IE33" si="1649">IFERROR(SUM(IE27,IE29,IE31),"")</f>
        <v>0</v>
      </c>
      <c r="IF33" s="145" t="str">
        <f t="shared" ref="IF33" si="1650">IFERROR((IE27*IF27+IE29*IF29+IE31*IF31)/IE33,"")</f>
        <v/>
      </c>
      <c r="IG33" s="144">
        <f t="shared" ref="IG33" si="1651">IFERROR(SUM(IG27,IG29,IG31),"")</f>
        <v>0</v>
      </c>
      <c r="IH33" s="145" t="str">
        <f t="shared" ref="IH33" si="1652">IFERROR((IG27*IH27+IG29*IH29+IG31*IH31)/IG33,"")</f>
        <v/>
      </c>
      <c r="II33" s="144">
        <f t="shared" ref="II33" si="1653">IFERROR(SUM(II27,II29,II31),"")</f>
        <v>0</v>
      </c>
      <c r="IJ33" s="145" t="str">
        <f t="shared" ref="IJ33" si="1654">IFERROR((II27*IJ27+II29*IJ29+II31*IJ31)/II33,"")</f>
        <v/>
      </c>
      <c r="IK33" s="144">
        <f t="shared" ref="IK33" si="1655">IFERROR(SUM(IK27,IK29,IK31),"")</f>
        <v>0</v>
      </c>
      <c r="IL33" s="145" t="str">
        <f t="shared" ref="IL33" si="1656">IFERROR((IK27*IL27+IK29*IL29+IK31*IL31)/IK33,"")</f>
        <v/>
      </c>
      <c r="IM33" s="144">
        <f t="shared" ref="IM33" si="1657">IFERROR(SUM(IM27,IM29,IM31),"")</f>
        <v>0</v>
      </c>
      <c r="IN33" s="145" t="str">
        <f t="shared" ref="IN33" si="1658">IFERROR((IM27*IN27+IM29*IN29+IM31*IN31)/IM33,"")</f>
        <v/>
      </c>
      <c r="IO33" s="144">
        <f t="shared" ref="IO33" si="1659">IFERROR(SUM(IO27,IO29,IO31),"")</f>
        <v>0</v>
      </c>
      <c r="IP33" s="145" t="str">
        <f t="shared" ref="IP33" si="1660">IFERROR((IO27*IP27+IO29*IP29+IO31*IP31)/IO33,"")</f>
        <v/>
      </c>
      <c r="IQ33" s="144">
        <f t="shared" ref="IQ33" si="1661">IFERROR(SUM(IQ27,IQ29,IQ31),"")</f>
        <v>0</v>
      </c>
      <c r="IR33" s="145" t="str">
        <f t="shared" ref="IR33" si="1662">IFERROR((IQ27*IR27+IQ29*IR29+IQ31*IR31)/IQ33,"")</f>
        <v/>
      </c>
      <c r="IS33" s="144">
        <f t="shared" ref="IS33" si="1663">IFERROR(SUM(IS27,IS29,IS31),"")</f>
        <v>0</v>
      </c>
      <c r="IT33" s="145" t="str">
        <f t="shared" ref="IT33" si="1664">IFERROR((IS27*IT27+IS29*IT29+IS31*IT31)/IS33,"")</f>
        <v/>
      </c>
      <c r="IU33" s="144">
        <f t="shared" ref="IU33" si="1665">IFERROR(SUM(IU27,IU29,IU31),"")</f>
        <v>0</v>
      </c>
      <c r="IV33" s="145" t="str">
        <f t="shared" ref="IV33" si="1666">IFERROR((IU27*IV27+IU29*IV29+IU31*IV31)/IU33,"")</f>
        <v/>
      </c>
      <c r="IW33" s="144">
        <f t="shared" ref="IW33" si="1667">IFERROR(SUM(IW27,IW29,IW31),"")</f>
        <v>0</v>
      </c>
      <c r="IX33" s="145" t="str">
        <f t="shared" ref="IX33" si="1668">IFERROR((IW27*IX27+IW29*IX29+IW31*IX31)/IW33,"")</f>
        <v/>
      </c>
      <c r="IY33" s="144">
        <f t="shared" ref="IY33" si="1669">IFERROR(SUM(IY27,IY29,IY31),"")</f>
        <v>0</v>
      </c>
      <c r="IZ33" s="145" t="str">
        <f t="shared" ref="IZ33:IZ34" si="1670">IFERROR((IY27*IZ27+IY29*IZ29+IY31*IZ31)/IY33,"")</f>
        <v/>
      </c>
    </row>
    <row r="34" spans="1:260" x14ac:dyDescent="0.25">
      <c r="A34" s="1577"/>
      <c r="B34" s="130" t="s">
        <v>5</v>
      </c>
      <c r="C34" s="131">
        <f>SUM(C28,C30,C32)</f>
        <v>59680.800000000003</v>
      </c>
      <c r="D34" s="132">
        <f>(C28*D28+C30*D30+C32*D32)/C34</f>
        <v>2.2389623556479905</v>
      </c>
      <c r="E34" s="144">
        <f>IFERROR(SUM(E28,E30,E32),"")</f>
        <v>0</v>
      </c>
      <c r="F34" s="145" t="str">
        <f>IFERROR((E28*F28+E30*F30+E32*F32)/E34,"")</f>
        <v/>
      </c>
      <c r="G34" s="144">
        <f t="shared" ref="G34" si="1671">IFERROR(SUM(G28,G30,G32),"")</f>
        <v>0</v>
      </c>
      <c r="H34" s="145" t="str">
        <f t="shared" ref="H34" si="1672">IFERROR((G28*H28+G30*H30+G32*H32)/G34,"")</f>
        <v/>
      </c>
      <c r="I34" s="144">
        <f t="shared" ref="I34" si="1673">IFERROR(SUM(I28,I30,I32),"")</f>
        <v>0</v>
      </c>
      <c r="J34" s="145" t="str">
        <f t="shared" ref="J34" si="1674">IFERROR((I28*J28+I30*J30+I32*J32)/I34,"")</f>
        <v/>
      </c>
      <c r="K34" s="144">
        <f t="shared" ref="K34" si="1675">IFERROR(SUM(K28,K30,K32),"")</f>
        <v>0</v>
      </c>
      <c r="L34" s="145" t="str">
        <f t="shared" ref="L34" si="1676">IFERROR((K28*L28+K30*L30+K32*L32)/K34,"")</f>
        <v/>
      </c>
      <c r="M34" s="144">
        <f t="shared" ref="M34" si="1677">IFERROR(SUM(M28,M30,M32),"")</f>
        <v>0</v>
      </c>
      <c r="N34" s="145" t="str">
        <f t="shared" ref="N34" si="1678">IFERROR((M28*N28+M30*N30+M32*N32)/M34,"")</f>
        <v/>
      </c>
      <c r="O34" s="144">
        <f t="shared" ref="O34" si="1679">IFERROR(SUM(O28,O30,O32),"")</f>
        <v>0</v>
      </c>
      <c r="P34" s="145" t="str">
        <f t="shared" ref="P34" si="1680">IFERROR((O28*P28+O30*P30+O32*P32)/O34,"")</f>
        <v/>
      </c>
      <c r="Q34" s="144">
        <f t="shared" ref="Q34" si="1681">IFERROR(SUM(Q28,Q30,Q32),"")</f>
        <v>0</v>
      </c>
      <c r="R34" s="145" t="str">
        <f t="shared" si="1438"/>
        <v/>
      </c>
      <c r="S34" s="144">
        <f t="shared" ref="S34" si="1682">IFERROR(SUM(S28,S30,S32),"")</f>
        <v>259</v>
      </c>
      <c r="T34" s="145">
        <f t="shared" ref="T34" si="1683">IFERROR((S28*T28+S30*T30+S32*T32)/S34,"")</f>
        <v>1.7470859077380949</v>
      </c>
      <c r="U34" s="144">
        <f t="shared" ref="U34" si="1684">IFERROR(SUM(U28,U30,U32),"")</f>
        <v>10518.3</v>
      </c>
      <c r="V34" s="145">
        <f t="shared" ref="V34" si="1685">IFERROR((U28*V28+U30*V30+U32*V32)/U34,"")</f>
        <v>2.6642758617755113</v>
      </c>
      <c r="W34" s="144">
        <f t="shared" ref="W34" si="1686">IFERROR(SUM(W28,W30,W32),"")</f>
        <v>1546.7</v>
      </c>
      <c r="X34" s="145">
        <f t="shared" ref="X34" si="1687">IFERROR((W28*X28+W30*X30+W32*X32)/W34,"")</f>
        <v>1.0024969040515581</v>
      </c>
      <c r="Y34" s="144">
        <f t="shared" ref="Y34" si="1688">IFERROR(SUM(Y28,Y30,Y32),"")</f>
        <v>0</v>
      </c>
      <c r="Z34" s="145" t="str">
        <f t="shared" ref="Z34" si="1689">IFERROR((Y28*Z28+Y30*Z30+Y32*Z32)/Y34,"")</f>
        <v/>
      </c>
      <c r="AA34" s="144">
        <f t="shared" ref="AA34" si="1690">IFERROR(SUM(AA28,AA30,AA32),"")</f>
        <v>0</v>
      </c>
      <c r="AB34" s="145" t="str">
        <f t="shared" ref="AB34" si="1691">IFERROR((AA28*AB28+AA30*AB30+AA32*AB32)/AA34,"")</f>
        <v/>
      </c>
      <c r="AC34" s="144">
        <f t="shared" ref="AC34" si="1692">IFERROR(SUM(AC28,AC30,AC32),"")</f>
        <v>0</v>
      </c>
      <c r="AD34" s="145" t="str">
        <f t="shared" ref="AD34" si="1693">IFERROR((AC28*AD28+AC30*AD30+AC32*AD32)/AC34,"")</f>
        <v/>
      </c>
      <c r="AE34" s="144">
        <f t="shared" ref="AE34" si="1694">IFERROR(SUM(AE28,AE30,AE32),"")</f>
        <v>0</v>
      </c>
      <c r="AF34" s="145" t="str">
        <f t="shared" ref="AF34" si="1695">IFERROR((AE28*AF28+AE30*AF30+AE32*AF32)/AE34,"")</f>
        <v/>
      </c>
      <c r="AG34" s="144">
        <f t="shared" ref="AG34" si="1696">IFERROR(SUM(AG28,AG30,AG32),"")</f>
        <v>0</v>
      </c>
      <c r="AH34" s="145" t="str">
        <f t="shared" ref="AH34" si="1697">IFERROR((AG28*AH28+AG30*AH30+AG32*AH32)/AG34,"")</f>
        <v/>
      </c>
      <c r="AI34" s="144">
        <f t="shared" ref="AI34" si="1698">IFERROR(SUM(AI28,AI30,AI32),"")</f>
        <v>0</v>
      </c>
      <c r="AJ34" s="145" t="str">
        <f t="shared" ref="AJ34" si="1699">IFERROR((AI28*AJ28+AI30*AJ30+AI32*AJ32)/AI34,"")</f>
        <v/>
      </c>
      <c r="AK34" s="144">
        <f t="shared" ref="AK34" si="1700">IFERROR(SUM(AK28,AK30,AK32),"")</f>
        <v>0</v>
      </c>
      <c r="AL34" s="145" t="str">
        <f t="shared" ref="AL34" si="1701">IFERROR((AK28*AL28+AK30*AL30+AK32*AL32)/AK34,"")</f>
        <v/>
      </c>
      <c r="AM34" s="144">
        <f t="shared" ref="AM34" si="1702">IFERROR(SUM(AM28,AM30,AM32),"")</f>
        <v>0</v>
      </c>
      <c r="AN34" s="145" t="str">
        <f t="shared" ref="AN34" si="1703">IFERROR((AM28*AN28+AM30*AN30+AM32*AN32)/AM34,"")</f>
        <v/>
      </c>
      <c r="AO34" s="144">
        <f t="shared" ref="AO34" si="1704">IFERROR(SUM(AO28,AO30,AO32),"")</f>
        <v>0</v>
      </c>
      <c r="AP34" s="145" t="str">
        <f t="shared" ref="AP34" si="1705">IFERROR((AO28*AP28+AO30*AP30+AO32*AP32)/AO34,"")</f>
        <v/>
      </c>
      <c r="AQ34" s="144">
        <f t="shared" ref="AQ34" si="1706">IFERROR(SUM(AQ28,AQ30,AQ32),"")</f>
        <v>0</v>
      </c>
      <c r="AR34" s="145" t="str">
        <f t="shared" ref="AR34" si="1707">IFERROR((AQ28*AR28+AQ30*AR30+AQ32*AR32)/AQ34,"")</f>
        <v/>
      </c>
      <c r="AS34" s="144">
        <f t="shared" ref="AS34" si="1708">IFERROR(SUM(AS28,AS30,AS32),"")</f>
        <v>0</v>
      </c>
      <c r="AT34" s="145" t="str">
        <f t="shared" ref="AT34" si="1709">IFERROR((AS28*AT28+AS30*AT30+AS32*AT32)/AS34,"")</f>
        <v/>
      </c>
      <c r="AU34" s="144">
        <f t="shared" ref="AU34" si="1710">IFERROR(SUM(AU28,AU30,AU32),"")</f>
        <v>0</v>
      </c>
      <c r="AV34" s="145" t="str">
        <f t="shared" ref="AV34" si="1711">IFERROR((AU28*AV28+AU30*AV30+AU32*AV32)/AU34,"")</f>
        <v/>
      </c>
      <c r="AW34" s="144">
        <f t="shared" ref="AW34" si="1712">IFERROR(SUM(AW28,AW30,AW32),"")</f>
        <v>0</v>
      </c>
      <c r="AX34" s="145" t="str">
        <f t="shared" ref="AX34" si="1713">IFERROR((AW28*AX28+AW30*AX30+AW32*AX32)/AW34,"")</f>
        <v/>
      </c>
      <c r="AY34" s="144">
        <f t="shared" ref="AY34" si="1714">IFERROR(SUM(AY28,AY30,AY32),"")</f>
        <v>0</v>
      </c>
      <c r="AZ34" s="145" t="str">
        <f t="shared" ref="AZ34" si="1715">IFERROR((AY28*AZ28+AY30*AZ30+AY32*AZ32)/AY34,"")</f>
        <v/>
      </c>
      <c r="BA34" s="144">
        <f t="shared" ref="BA34" si="1716">IFERROR(SUM(BA28,BA30,BA32),"")</f>
        <v>597</v>
      </c>
      <c r="BB34" s="145">
        <f t="shared" ref="BB34" si="1717">IFERROR((BA28*BB28+BA30*BB30+BA32*BB32)/BA34,"")</f>
        <v>1.4855461011904763</v>
      </c>
      <c r="BC34" s="144">
        <f t="shared" ref="BC34" si="1718">IFERROR(SUM(BC28,BC30,BC32),"")</f>
        <v>0</v>
      </c>
      <c r="BD34" s="145" t="str">
        <f t="shared" ref="BD34" si="1719">IFERROR((BC28*BD28+BC30*BD30+BC32*BD32)/BC34,"")</f>
        <v/>
      </c>
      <c r="BE34" s="144">
        <f t="shared" ref="BE34" si="1720">IFERROR(SUM(BE28,BE30,BE32),"")</f>
        <v>0</v>
      </c>
      <c r="BF34" s="145" t="str">
        <f t="shared" ref="BF34" si="1721">IFERROR((BE28*BF28+BE30*BF30+BE32*BF32)/BE34,"")</f>
        <v/>
      </c>
      <c r="BG34" s="144">
        <f t="shared" ref="BG34" si="1722">IFERROR(SUM(BG28,BG30,BG32),"")</f>
        <v>1913.8</v>
      </c>
      <c r="BH34" s="145">
        <f t="shared" ref="BH34" si="1723">IFERROR((BG28*BH28+BG30*BH30+BG32*BH32)/BG34,"")</f>
        <v>1.155806702390034</v>
      </c>
      <c r="BI34" s="144">
        <f t="shared" ref="BI34" si="1724">IFERROR(SUM(BI28,BI30,BI32),"")</f>
        <v>0</v>
      </c>
      <c r="BJ34" s="145" t="str">
        <f t="shared" ref="BJ34" si="1725">IFERROR((BI28*BJ28+BI30*BJ30+BI32*BJ32)/BI34,"")</f>
        <v/>
      </c>
      <c r="BK34" s="144">
        <f t="shared" ref="BK34" si="1726">IFERROR(SUM(BK28,BK30,BK32),"")</f>
        <v>0</v>
      </c>
      <c r="BL34" s="145" t="str">
        <f t="shared" ref="BL34" si="1727">IFERROR((BK28*BL28+BK30*BL30+BK32*BL32)/BK34,"")</f>
        <v/>
      </c>
      <c r="BM34" s="144">
        <f t="shared" ref="BM34" si="1728">IFERROR(SUM(BM28,BM30,BM32),"")</f>
        <v>1406</v>
      </c>
      <c r="BN34" s="145">
        <f t="shared" ref="BN34" si="1729">IFERROR((BM28*BN28+BM30*BN30+BM32*BN32)/BM34,"")</f>
        <v>2.019180383693433</v>
      </c>
      <c r="BO34" s="144">
        <f t="shared" ref="BO34" si="1730">IFERROR(SUM(BO28,BO30,BO32),"")</f>
        <v>3231</v>
      </c>
      <c r="BP34" s="145">
        <f t="shared" ref="BP34" si="1731">IFERROR((BO28*BP28+BO30*BP30+BO32*BP32)/BO34,"")</f>
        <v>1.3377484919851954</v>
      </c>
      <c r="BQ34" s="144">
        <f t="shared" ref="BQ34" si="1732">IFERROR(SUM(BQ28,BQ30,BQ32),"")</f>
        <v>0</v>
      </c>
      <c r="BR34" s="145" t="str">
        <f t="shared" ref="BR34" si="1733">IFERROR((BQ28*BR28+BQ30*BR30+BQ32*BR32)/BQ34,"")</f>
        <v/>
      </c>
      <c r="BS34" s="144">
        <f t="shared" ref="BS34" si="1734">IFERROR(SUM(BS28,BS30,BS32),"")</f>
        <v>0</v>
      </c>
      <c r="BT34" s="145" t="str">
        <f t="shared" ref="BT34" si="1735">IFERROR((BS28*BT28+BS30*BT30+BS32*BT32)/BS34,"")</f>
        <v/>
      </c>
      <c r="BU34" s="144">
        <f t="shared" ref="BU34" si="1736">IFERROR(SUM(BU28,BU30,BU32),"")</f>
        <v>0</v>
      </c>
      <c r="BV34" s="145" t="str">
        <f t="shared" ref="BV34" si="1737">IFERROR((BU28*BV28+BU30*BV30+BU32*BV32)/BU34,"")</f>
        <v/>
      </c>
      <c r="BW34" s="144">
        <f t="shared" ref="BW34" si="1738">IFERROR(SUM(BW28,BW30,BW32),"")</f>
        <v>0</v>
      </c>
      <c r="BX34" s="145" t="str">
        <f t="shared" ref="BX34" si="1739">IFERROR((BW28*BX28+BW30*BX30+BW32*BX32)/BW34,"")</f>
        <v/>
      </c>
      <c r="BY34" s="144">
        <f t="shared" ref="BY34" si="1740">IFERROR(SUM(BY28,BY30,BY32),"")</f>
        <v>4494.6000000000004</v>
      </c>
      <c r="BZ34" s="145">
        <f t="shared" ref="BZ34" si="1741">IFERROR((BY28*BZ28+BY30*BZ30+BY32*BZ32)/BY34,"")</f>
        <v>1.567467283727251</v>
      </c>
      <c r="CA34" s="144">
        <f t="shared" ref="CA34" si="1742">IFERROR(SUM(CA28,CA30,CA32),"")</f>
        <v>9015.7000000000007</v>
      </c>
      <c r="CB34" s="145">
        <f t="shared" ref="CB34" si="1743">IFERROR((CA28*CB28+CA30*CB30+CA32*CB32)/CA34,"")</f>
        <v>1.8485388276235979</v>
      </c>
      <c r="CC34" s="144">
        <f t="shared" ref="CC34" si="1744">IFERROR(SUM(CC28,CC30,CC32),"")</f>
        <v>0</v>
      </c>
      <c r="CD34" s="145" t="str">
        <f t="shared" ref="CD34" si="1745">IFERROR((CC28*CD28+CC30*CD30+CC32*CD32)/CC34,"")</f>
        <v/>
      </c>
      <c r="CE34" s="144">
        <f t="shared" ref="CE34" si="1746">IFERROR(SUM(CE28,CE30,CE32),"")</f>
        <v>0</v>
      </c>
      <c r="CF34" s="145" t="str">
        <f t="shared" ref="CF34" si="1747">IFERROR((CE28*CF28+CE30*CF30+CE32*CF32)/CE34,"")</f>
        <v/>
      </c>
      <c r="CG34" s="144">
        <f t="shared" ref="CG34" si="1748">IFERROR(SUM(CG28,CG30,CG32),"")</f>
        <v>1882</v>
      </c>
      <c r="CH34" s="145">
        <f t="shared" ref="CH34" si="1749">IFERROR((CG28*CH28+CG30*CH30+CG32*CH32)/CG34,"")</f>
        <v>3.0573771865941906</v>
      </c>
      <c r="CI34" s="144">
        <f t="shared" ref="CI34" si="1750">IFERROR(SUM(CI28,CI30,CI32),"")</f>
        <v>0</v>
      </c>
      <c r="CJ34" s="145" t="str">
        <f t="shared" ref="CJ34" si="1751">IFERROR((CI28*CJ28+CI30*CJ30+CI32*CJ32)/CI34,"")</f>
        <v/>
      </c>
      <c r="CK34" s="144">
        <f t="shared" ref="CK34" si="1752">IFERROR(SUM(CK28,CK30,CK32),"")</f>
        <v>0</v>
      </c>
      <c r="CL34" s="145" t="str">
        <f t="shared" ref="CL34" si="1753">IFERROR((CK28*CL28+CK30*CL30+CK32*CL32)/CK34,"")</f>
        <v/>
      </c>
      <c r="CM34" s="144">
        <f t="shared" ref="CM34" si="1754">IFERROR(SUM(CM28,CM30,CM32),"")</f>
        <v>1507</v>
      </c>
      <c r="CN34" s="145">
        <f t="shared" ref="CN34" si="1755">IFERROR((CM28*CN28+CM30*CN30+CM32*CN32)/CM34,"")</f>
        <v>2.6032229889744345</v>
      </c>
      <c r="CO34" s="144">
        <f t="shared" ref="CO34" si="1756">IFERROR(SUM(CO28,CO30,CO32),"")</f>
        <v>0</v>
      </c>
      <c r="CP34" s="145" t="str">
        <f t="shared" ref="CP34" si="1757">IFERROR((CO28*CP28+CO30*CP30+CO32*CP32)/CO34,"")</f>
        <v/>
      </c>
      <c r="CQ34" s="144">
        <f t="shared" ref="CQ34" si="1758">IFERROR(SUM(CQ28,CQ30,CQ32),"")</f>
        <v>14051.7</v>
      </c>
      <c r="CR34" s="145">
        <f t="shared" ref="CR34" si="1759">IFERROR((CQ28*CR28+CQ30*CR30+CQ32*CR32)/CQ34,"")</f>
        <v>2.8288293179740909</v>
      </c>
      <c r="CS34" s="144"/>
      <c r="CT34" s="145"/>
      <c r="CU34" s="144"/>
      <c r="CV34" s="145"/>
      <c r="CW34" s="144"/>
      <c r="CX34" s="145"/>
      <c r="CY34" s="144">
        <f t="shared" ref="CY34" si="1760">IFERROR(SUM(CY28,CY30,CY32),"")</f>
        <v>0</v>
      </c>
      <c r="CZ34" s="145" t="str">
        <f t="shared" ref="CZ34" si="1761">IFERROR((CY28*CZ28+CY30*CZ30+CY32*CZ32)/CY34,"")</f>
        <v/>
      </c>
      <c r="DA34" s="144">
        <f t="shared" ref="DA34" si="1762">IFERROR(SUM(DA28,DA30,DA32),"")</f>
        <v>0</v>
      </c>
      <c r="DB34" s="145" t="str">
        <f t="shared" ref="DB34" si="1763">IFERROR((DA28*DB28+DA30*DB30+DA32*DB32)/DA34,"")</f>
        <v/>
      </c>
      <c r="DC34" s="144">
        <f t="shared" ref="DC34" si="1764">IFERROR(SUM(DC28,DC30,DC32),"")</f>
        <v>0</v>
      </c>
      <c r="DD34" s="145" t="str">
        <f t="shared" ref="DD34" si="1765">IFERROR((DC28*DD28+DC30*DD30+DC32*DD32)/DC34,"")</f>
        <v/>
      </c>
      <c r="DE34" s="144">
        <f t="shared" ref="DE34" si="1766">IFERROR(SUM(DE28,DE30,DE32),"")</f>
        <v>3744</v>
      </c>
      <c r="DF34" s="145">
        <f t="shared" ref="DF34" si="1767">IFERROR((DE28*DF28+DE30*DF30+DE32*DF32)/DE34,"")</f>
        <v>2.5966762450167691</v>
      </c>
      <c r="DG34" s="144">
        <f t="shared" ref="DG34" si="1768">IFERROR(SUM(DG28,DG30,DG32),"")</f>
        <v>0</v>
      </c>
      <c r="DH34" s="145" t="str">
        <f t="shared" ref="DH34" si="1769">IFERROR((DG28*DH28+DG30*DH30+DG32*DH32)/DG34,"")</f>
        <v/>
      </c>
      <c r="DI34" s="144">
        <f t="shared" ref="DI34" si="1770">IFERROR(SUM(DI28,DI30,DI32),"")</f>
        <v>0</v>
      </c>
      <c r="DJ34" s="145" t="str">
        <f t="shared" ref="DJ34" si="1771">IFERROR((DI28*DJ28+DI30*DJ30+DI32*DJ32)/DI34,"")</f>
        <v/>
      </c>
      <c r="DK34" s="144">
        <f t="shared" ref="DK34" si="1772">IFERROR(SUM(DK28,DK30,DK32),"")</f>
        <v>0</v>
      </c>
      <c r="DL34" s="145" t="str">
        <f t="shared" ref="DL34" si="1773">IFERROR((DK28*DL28+DK30*DL30+DK32*DL32)/DK34,"")</f>
        <v/>
      </c>
      <c r="DM34" s="144">
        <f t="shared" ref="DM34" si="1774">IFERROR(SUM(DM28,DM30,DM32),"")</f>
        <v>0</v>
      </c>
      <c r="DN34" s="145" t="str">
        <f t="shared" ref="DN34" si="1775">IFERROR((DM28*DN28+DM30*DN30+DM32*DN32)/DM34,"")</f>
        <v/>
      </c>
      <c r="DO34" s="144">
        <f t="shared" ref="DO34" si="1776">IFERROR(SUM(DO28,DO30,DO32),"")</f>
        <v>0</v>
      </c>
      <c r="DP34" s="145" t="str">
        <f t="shared" ref="DP34" si="1777">IFERROR((DO28*DP28+DO30*DP30+DO32*DP32)/DO34,"")</f>
        <v/>
      </c>
      <c r="DQ34" s="144">
        <f t="shared" ref="DQ34" si="1778">IFERROR(SUM(DQ28,DQ30,DQ32),"")</f>
        <v>2601</v>
      </c>
      <c r="DR34" s="145">
        <f t="shared" ref="DR34" si="1779">IFERROR((DQ28*DR28+DQ30*DR30+DQ32*DR32)/DQ34,"")</f>
        <v>1.6800000000000002</v>
      </c>
      <c r="DS34" s="144">
        <f t="shared" ref="DS34" si="1780">IFERROR(SUM(DS28,DS30,DS32),"")</f>
        <v>0</v>
      </c>
      <c r="DT34" s="145" t="str">
        <f t="shared" ref="DT34" si="1781">IFERROR((DS28*DT28+DS30*DT30+DS32*DT32)/DS34,"")</f>
        <v/>
      </c>
      <c r="DU34" s="144">
        <f t="shared" ref="DU34" si="1782">IFERROR(SUM(DU28,DU30,DU32),"")</f>
        <v>227</v>
      </c>
      <c r="DV34" s="145">
        <f t="shared" ref="DV34" si="1783">IFERROR((DU28*DV28+DU30*DV30+DU32*DV32)/DU34,"")</f>
        <v>3.02</v>
      </c>
      <c r="DW34" s="144">
        <f t="shared" ref="DW34" si="1784">IFERROR(SUM(DW28,DW30,DW32),"")</f>
        <v>0</v>
      </c>
      <c r="DX34" s="145" t="str">
        <f t="shared" ref="DX34" si="1785">IFERROR((DW28*DX28+DW30*DX30+DW32*DX32)/DW34,"")</f>
        <v/>
      </c>
      <c r="DY34" s="144">
        <f t="shared" ref="DY34" si="1786">IFERROR(SUM(DY28,DY30,DY32),"")</f>
        <v>0</v>
      </c>
      <c r="DZ34" s="145" t="str">
        <f t="shared" ref="DZ34" si="1787">IFERROR((DY28*DZ28+DY30*DZ30+DY32*DZ32)/DY34,"")</f>
        <v/>
      </c>
      <c r="EA34" s="144">
        <f t="shared" ref="EA34" si="1788">IFERROR(SUM(EA28,EA30,EA32),"")</f>
        <v>0</v>
      </c>
      <c r="EB34" s="145" t="str">
        <f t="shared" ref="EB34" si="1789">IFERROR((EA28*EB28+EA30*EB30+EA32*EB32)/EA34,"")</f>
        <v/>
      </c>
      <c r="EC34" s="144">
        <f t="shared" ref="EC34" si="1790">IFERROR(SUM(EC28,EC30,EC32),"")</f>
        <v>0</v>
      </c>
      <c r="ED34" s="145" t="str">
        <f t="shared" ref="ED34" si="1791">IFERROR((EC28*ED28+EC30*ED30+EC32*ED32)/EC34,"")</f>
        <v/>
      </c>
      <c r="EE34" s="144">
        <f t="shared" ref="EE34" si="1792">IFERROR(SUM(EE28,EE30,EE32),"")</f>
        <v>0</v>
      </c>
      <c r="EF34" s="145" t="str">
        <f t="shared" ref="EF34" si="1793">IFERROR((EE28*EF28+EE30*EF30+EE32*EF32)/EE34,"")</f>
        <v/>
      </c>
      <c r="EG34" s="144">
        <f t="shared" ref="EG34" si="1794">IFERROR(SUM(EG28,EG30,EG32),"")</f>
        <v>0</v>
      </c>
      <c r="EH34" s="145" t="str">
        <f t="shared" ref="EH34" si="1795">IFERROR((EG28*EH28+EG30*EH30+EG32*EH32)/EG34,"")</f>
        <v/>
      </c>
      <c r="EI34" s="144">
        <f t="shared" ref="EI34" si="1796">IFERROR(SUM(EI28,EI30,EI32),"")</f>
        <v>0</v>
      </c>
      <c r="EJ34" s="145" t="str">
        <f t="shared" ref="EJ34" si="1797">IFERROR((EI28*EJ28+EI30*EJ30+EI32*EJ32)/EI34,"")</f>
        <v/>
      </c>
      <c r="EK34" s="144">
        <f t="shared" ref="EK34" si="1798">IFERROR(SUM(EK28,EK30,EK32),"")</f>
        <v>0</v>
      </c>
      <c r="EL34" s="145" t="str">
        <f t="shared" ref="EL34" si="1799">IFERROR((EK28*EL28+EK30*EL30+EK32*EL32)/EK34,"")</f>
        <v/>
      </c>
      <c r="EM34" s="144">
        <f t="shared" ref="EM34" si="1800">IFERROR(SUM(EM28,EM30,EM32),"")</f>
        <v>0</v>
      </c>
      <c r="EN34" s="145" t="str">
        <f t="shared" ref="EN34" si="1801">IFERROR((EM28*EN28+EM30*EN30+EM32*EN32)/EM34,"")</f>
        <v/>
      </c>
      <c r="EO34" s="144">
        <f t="shared" ref="EO34" si="1802">IFERROR(SUM(EO28,EO30,EO32),"")</f>
        <v>732</v>
      </c>
      <c r="EP34" s="145">
        <f t="shared" ref="EP34" si="1803">IFERROR((EO28*EP28+EO30*EP30+EO32*EP32)/EO34,"")</f>
        <v>1.56</v>
      </c>
      <c r="EQ34" s="144">
        <f t="shared" ref="EQ34" si="1804">IFERROR(SUM(EQ28,EQ30,EQ32),"")</f>
        <v>0</v>
      </c>
      <c r="ER34" s="145" t="str">
        <f t="shared" ref="ER34" si="1805">IFERROR((EQ28*ER28+EQ30*ER30+EQ32*ER32)/EQ34,"")</f>
        <v/>
      </c>
      <c r="ES34" s="144"/>
      <c r="ET34" s="145"/>
      <c r="EU34" s="144">
        <f t="shared" ref="EU34" si="1806">IFERROR(SUM(EU28,EU30,EU32),"")</f>
        <v>0</v>
      </c>
      <c r="EV34" s="145" t="str">
        <f t="shared" ref="EV34" si="1807">IFERROR((EU28*EV28+EU30*EV30+EU32*EV32)/EU34,"")</f>
        <v/>
      </c>
      <c r="EW34" s="144"/>
      <c r="EX34" s="145"/>
      <c r="EY34" s="144">
        <f t="shared" ref="EY34" si="1808">IFERROR(SUM(EY28,EY30,EY32),"")</f>
        <v>0</v>
      </c>
      <c r="EZ34" s="145" t="str">
        <f t="shared" ref="EZ34" si="1809">IFERROR((EY28*EZ28+EY30*EZ30+EY32*EZ32)/EY34,"")</f>
        <v/>
      </c>
      <c r="FA34" s="144">
        <f t="shared" ref="FA34" si="1810">IFERROR(SUM(FA28,FA30,FA32),"")</f>
        <v>0</v>
      </c>
      <c r="FB34" s="145" t="str">
        <f t="shared" ref="FB34" si="1811">IFERROR((FA28*FB28+FA30*FB30+FA32*FB32)/FA34,"")</f>
        <v/>
      </c>
      <c r="FC34" s="144">
        <f t="shared" ref="FC34" si="1812">IFERROR(SUM(FC28,FC30,FC32),"")</f>
        <v>0</v>
      </c>
      <c r="FD34" s="145" t="str">
        <f t="shared" ref="FD34" si="1813">IFERROR((FC28*FD28+FC30*FD30+FC32*FD32)/FC34,"")</f>
        <v/>
      </c>
      <c r="FE34" s="144">
        <f t="shared" ref="FE34" si="1814">IFERROR(SUM(FE28,FE30,FE32),"")</f>
        <v>1954</v>
      </c>
      <c r="FF34" s="145">
        <f t="shared" ref="FF34" si="1815">IFERROR((FE28*FF28+FE30*FF30+FE32*FF32)/FE34,"")</f>
        <v>2.19</v>
      </c>
      <c r="FG34" s="144">
        <f t="shared" ref="FG34" si="1816">IFERROR(SUM(FG28,FG30,FG32),"")</f>
        <v>0</v>
      </c>
      <c r="FH34" s="145" t="str">
        <f t="shared" ref="FH34" si="1817">IFERROR((FG28*FH28+FG30*FH30+FG32*FH32)/FG34,"")</f>
        <v/>
      </c>
      <c r="FI34" s="144">
        <f t="shared" ref="FI34" si="1818">IFERROR(SUM(FI28,FI30,FI32),"")</f>
        <v>0</v>
      </c>
      <c r="FJ34" s="145" t="str">
        <f t="shared" ref="FJ34" si="1819">IFERROR((FI28*FJ28+FI30*FJ30+FI32*FJ32)/FI34,"")</f>
        <v/>
      </c>
      <c r="FK34" s="144">
        <f t="shared" ref="FK34" si="1820">IFERROR(SUM(FK28,FK30,FK32),"")</f>
        <v>0</v>
      </c>
      <c r="FL34" s="145" t="str">
        <f t="shared" ref="FL34" si="1821">IFERROR((FK28*FL28+FK30*FL30+FK32*FL32)/FK34,"")</f>
        <v/>
      </c>
      <c r="FM34" s="144">
        <f t="shared" ref="FM34" si="1822">IFERROR(SUM(FM28,FM30,FM32),"")</f>
        <v>0</v>
      </c>
      <c r="FN34" s="145" t="str">
        <f t="shared" ref="FN34" si="1823">IFERROR((FM28*FN28+FM30*FN30+FM32*FN32)/FM34,"")</f>
        <v/>
      </c>
      <c r="FO34" s="144">
        <f t="shared" ref="FO34" si="1824">IFERROR(SUM(FO28,FO30,FO32),"")</f>
        <v>0</v>
      </c>
      <c r="FP34" s="145" t="str">
        <f t="shared" ref="FP34" si="1825">IFERROR((FO28*FP28+FO30*FP30+FO32*FP32)/FO34,"")</f>
        <v/>
      </c>
      <c r="FQ34" s="144">
        <f t="shared" ref="FQ34" si="1826">IFERROR(SUM(FQ28,FQ30,FQ32),"")</f>
        <v>0</v>
      </c>
      <c r="FR34" s="145" t="str">
        <f t="shared" ref="FR34" si="1827">IFERROR((FQ28*FR28+FQ30*FR30+FQ32*FR32)/FQ34,"")</f>
        <v/>
      </c>
      <c r="FS34" s="144">
        <f t="shared" ref="FS34" si="1828">IFERROR(SUM(FS28,FS30,FS32),"")</f>
        <v>0</v>
      </c>
      <c r="FT34" s="145" t="str">
        <f t="shared" ref="FT34" si="1829">IFERROR((FS28*FT28+FS30*FT30+FS32*FT32)/FS34,"")</f>
        <v/>
      </c>
      <c r="FU34" s="144">
        <f t="shared" ref="FU34" si="1830">IFERROR(SUM(FU28,FU30,FU32),"")</f>
        <v>0</v>
      </c>
      <c r="FV34" s="145" t="str">
        <f t="shared" ref="FV34" si="1831">IFERROR((FU28*FV28+FU30*FV30+FU32*FV32)/FU34,"")</f>
        <v/>
      </c>
      <c r="FW34" s="144">
        <f t="shared" ref="FW34" si="1832">IFERROR(SUM(FW28,FW30,FW32),"")</f>
        <v>0</v>
      </c>
      <c r="FX34" s="145" t="str">
        <f t="shared" ref="FX34" si="1833">IFERROR((FW28*FX28+FW30*FX30+FW32*FX32)/FW34,"")</f>
        <v/>
      </c>
      <c r="FY34" s="144">
        <f t="shared" ref="FY34" si="1834">IFERROR(SUM(FY28,FY30,FY32),"")</f>
        <v>0</v>
      </c>
      <c r="FZ34" s="145" t="str">
        <f t="shared" ref="FZ34" si="1835">IFERROR((FY28*FZ28+FY30*FZ30+FY32*FZ32)/FY34,"")</f>
        <v/>
      </c>
      <c r="GA34" s="144">
        <f t="shared" ref="GA34" si="1836">IFERROR(SUM(GA28,GA30,GA32),"")</f>
        <v>0</v>
      </c>
      <c r="GB34" s="145" t="str">
        <f t="shared" ref="GB34" si="1837">IFERROR((GA28*GB28+GA30*GB30+GA32*GB32)/GA34,"")</f>
        <v/>
      </c>
      <c r="GC34" s="144">
        <f t="shared" ref="GC34" si="1838">IFERROR(SUM(GC28,GC30,GC32),"")</f>
        <v>0</v>
      </c>
      <c r="GD34" s="145" t="str">
        <f t="shared" ref="GD34" si="1839">IFERROR((GC28*GD28+GC30*GD30+GC32*GD32)/GC34,"")</f>
        <v/>
      </c>
      <c r="GE34" s="144">
        <f t="shared" ref="GE34" si="1840">IFERROR(SUM(GE28,GE30,GE32),"")</f>
        <v>0</v>
      </c>
      <c r="GF34" s="145" t="str">
        <f t="shared" ref="GF34" si="1841">IFERROR((GE28*GF28+GE30*GF30+GE32*GF32)/GE34,"")</f>
        <v/>
      </c>
      <c r="GG34" s="144">
        <f t="shared" ref="GG34" si="1842">IFERROR(SUM(GG28,GG30,GG32),"")</f>
        <v>0</v>
      </c>
      <c r="GH34" s="145" t="str">
        <f t="shared" ref="GH34" si="1843">IFERROR((GG28*GH28+GG30*GH30+GG32*GH32)/GG34,"")</f>
        <v/>
      </c>
      <c r="GI34" s="144">
        <f t="shared" ref="GI34" si="1844">IFERROR(SUM(GI28,GI30,GI32),"")</f>
        <v>0</v>
      </c>
      <c r="GJ34" s="145" t="str">
        <f t="shared" ref="GJ34" si="1845">IFERROR((GI28*GJ28+GI30*GJ30+GI32*GJ32)/GI34,"")</f>
        <v/>
      </c>
      <c r="GK34" s="144">
        <f t="shared" ref="GK34" si="1846">IFERROR(SUM(GK28,GK30,GK32),"")</f>
        <v>0</v>
      </c>
      <c r="GL34" s="145" t="str">
        <f t="shared" ref="GL34" si="1847">IFERROR((GK28*GL28+GK30*GL30+GK32*GL32)/GK34,"")</f>
        <v/>
      </c>
      <c r="GM34" s="144">
        <f t="shared" ref="GM34" si="1848">IFERROR(SUM(GM28,GM30,GM32),"")</f>
        <v>0</v>
      </c>
      <c r="GN34" s="145" t="str">
        <f t="shared" ref="GN34" si="1849">IFERROR((GM28*GN28+GM30*GN30+GM32*GN32)/GM34,"")</f>
        <v/>
      </c>
      <c r="GO34" s="144">
        <f t="shared" ref="GO34" si="1850">IFERROR(SUM(GO28,GO30,GO32),"")</f>
        <v>0</v>
      </c>
      <c r="GP34" s="145" t="str">
        <f t="shared" ref="GP34" si="1851">IFERROR((GO28*GP28+GO30*GP30+GO32*GP32)/GO34,"")</f>
        <v/>
      </c>
      <c r="GQ34" s="144">
        <f t="shared" ref="GQ34" si="1852">IFERROR(SUM(GQ28,GQ30,GQ32),"")</f>
        <v>0</v>
      </c>
      <c r="GR34" s="145" t="str">
        <f t="shared" ref="GR34" si="1853">IFERROR((GQ28*GR28+GQ30*GR30+GQ32*GR32)/GQ34,"")</f>
        <v/>
      </c>
      <c r="GS34" s="144">
        <f t="shared" ref="GS34" si="1854">IFERROR(SUM(GS28,GS30,GS32),"")</f>
        <v>0</v>
      </c>
      <c r="GT34" s="145" t="str">
        <f t="shared" ref="GT34" si="1855">IFERROR((GS28*GT28+GS30*GT30+GS32*GT32)/GS34,"")</f>
        <v/>
      </c>
      <c r="GU34" s="144">
        <f t="shared" ref="GU34" si="1856">IFERROR(SUM(GU28,GU30,GU32),"")</f>
        <v>0</v>
      </c>
      <c r="GV34" s="145" t="str">
        <f t="shared" ref="GV34" si="1857">IFERROR((GU28*GV28+GU30*GV30+GU32*GV32)/GU34,"")</f>
        <v/>
      </c>
      <c r="GW34" s="144">
        <f t="shared" ref="GW34" si="1858">IFERROR(SUM(GW28,GW30,GW32),"")</f>
        <v>0</v>
      </c>
      <c r="GX34" s="145" t="str">
        <f t="shared" ref="GX34" si="1859">IFERROR((GW28*GX28+GW30*GX30+GW32*GX32)/GW34,"")</f>
        <v/>
      </c>
      <c r="GY34" s="144">
        <f t="shared" ref="GY34" si="1860">IFERROR(SUM(GY28,GY30,GY32),"")</f>
        <v>0</v>
      </c>
      <c r="GZ34" s="145" t="str">
        <f t="shared" ref="GZ34" si="1861">IFERROR((GY28*GZ28+GY30*GZ30+GY32*GZ32)/GY34,"")</f>
        <v/>
      </c>
      <c r="HA34" s="144">
        <f t="shared" ref="HA34" si="1862">IFERROR(SUM(HA28,HA30,HA32),"")</f>
        <v>0</v>
      </c>
      <c r="HB34" s="145" t="str">
        <f t="shared" ref="HB34" si="1863">IFERROR((HA28*HB28+HA30*HB30+HA32*HB32)/HA34,"")</f>
        <v/>
      </c>
      <c r="HC34" s="144">
        <f t="shared" ref="HC34" si="1864">IFERROR(SUM(HC28,HC30,HC32),"")</f>
        <v>0</v>
      </c>
      <c r="HD34" s="145" t="str">
        <f t="shared" ref="HD34" si="1865">IFERROR((HC28*HD28+HC30*HD30+HC32*HD32)/HC34,"")</f>
        <v/>
      </c>
      <c r="HE34" s="144">
        <f t="shared" ref="HE34" si="1866">IFERROR(SUM(HE28,HE30,HE32),"")</f>
        <v>0</v>
      </c>
      <c r="HF34" s="145" t="str">
        <f t="shared" ref="HF34" si="1867">IFERROR((HE28*HF28+HE30*HF30+HE32*HF32)/HE34,"")</f>
        <v/>
      </c>
      <c r="HG34" s="144">
        <f t="shared" ref="HG34" si="1868">IFERROR(SUM(HG28,HG30,HG32),"")</f>
        <v>0</v>
      </c>
      <c r="HH34" s="145" t="str">
        <f t="shared" ref="HH34" si="1869">IFERROR((HG28*HH28+HG30*HH30+HG32*HH32)/HG34,"")</f>
        <v/>
      </c>
      <c r="HI34" s="144">
        <f t="shared" ref="HI34" si="1870">IFERROR(SUM(HI28,HI30,HI32),"")</f>
        <v>0</v>
      </c>
      <c r="HJ34" s="145" t="str">
        <f t="shared" ref="HJ34" si="1871">IFERROR((HI28*HJ28+HI30*HJ30+HI32*HJ32)/HI34,"")</f>
        <v/>
      </c>
      <c r="HK34" s="144">
        <f t="shared" ref="HK34" si="1872">IFERROR(SUM(HK28,HK30,HK32),"")</f>
        <v>0</v>
      </c>
      <c r="HL34" s="145" t="str">
        <f t="shared" ref="HL34" si="1873">IFERROR((HK28*HL28+HK30*HL30+HK32*HL32)/HK34,"")</f>
        <v/>
      </c>
      <c r="HM34" s="144">
        <f t="shared" ref="HM34" si="1874">IFERROR(SUM(HM28,HM30,HM32),"")</f>
        <v>0</v>
      </c>
      <c r="HN34" s="145" t="str">
        <f t="shared" ref="HN34" si="1875">IFERROR((HM28*HN28+HM30*HN30+HM32*HN32)/HM34,"")</f>
        <v/>
      </c>
      <c r="HO34" s="144">
        <f t="shared" ref="HO34" si="1876">IFERROR(SUM(HO28,HO30,HO32),"")</f>
        <v>0</v>
      </c>
      <c r="HP34" s="145" t="str">
        <f t="shared" ref="HP34" si="1877">IFERROR((HO28*HP28+HO30*HP30+HO32*HP32)/HO34,"")</f>
        <v/>
      </c>
      <c r="HQ34" s="144">
        <f t="shared" ref="HQ34" si="1878">IFERROR(SUM(HQ28,HQ30,HQ32),"")</f>
        <v>0</v>
      </c>
      <c r="HR34" s="145" t="str">
        <f t="shared" ref="HR34" si="1879">IFERROR((HQ28*HR28+HQ30*HR30+HQ32*HR32)/HQ34,"")</f>
        <v/>
      </c>
      <c r="HS34" s="144">
        <f t="shared" ref="HS34" si="1880">IFERROR(SUM(HS28,HS30,HS32),"")</f>
        <v>0</v>
      </c>
      <c r="HT34" s="145" t="str">
        <f t="shared" ref="HT34" si="1881">IFERROR((HS28*HT28+HS30*HT30+HS32*HT32)/HS34,"")</f>
        <v/>
      </c>
      <c r="HU34" s="144">
        <f t="shared" ref="HU34" si="1882">IFERROR(SUM(HU28,HU30,HU32),"")</f>
        <v>0</v>
      </c>
      <c r="HV34" s="145" t="str">
        <f t="shared" ref="HV34" si="1883">IFERROR((HU28*HV28+HU30*HV30+HU32*HV32)/HU34,"")</f>
        <v/>
      </c>
      <c r="HW34" s="144">
        <f t="shared" ref="HW34" si="1884">IFERROR(SUM(HW28,HW30,HW32),"")</f>
        <v>0</v>
      </c>
      <c r="HX34" s="145" t="str">
        <f t="shared" ref="HX34" si="1885">IFERROR((HW28*HX28+HW30*HX30+HW32*HX32)/HW34,"")</f>
        <v/>
      </c>
      <c r="HY34" s="144">
        <f t="shared" ref="HY34" si="1886">IFERROR(SUM(HY28,HY30,HY32),"")</f>
        <v>0</v>
      </c>
      <c r="HZ34" s="145" t="str">
        <f t="shared" ref="HZ34" si="1887">IFERROR((HY28*HZ28+HY30*HZ30+HY32*HZ32)/HY34,"")</f>
        <v/>
      </c>
      <c r="IA34" s="144">
        <f t="shared" ref="IA34" si="1888">IFERROR(SUM(IA28,IA30,IA32),"")</f>
        <v>0</v>
      </c>
      <c r="IB34" s="145" t="str">
        <f t="shared" ref="IB34" si="1889">IFERROR((IA28*IB28+IA30*IB30+IA32*IB32)/IA34,"")</f>
        <v/>
      </c>
      <c r="IC34" s="144">
        <f t="shared" ref="IC34" si="1890">IFERROR(SUM(IC28,IC30,IC32),"")</f>
        <v>0</v>
      </c>
      <c r="ID34" s="145" t="str">
        <f t="shared" ref="ID34" si="1891">IFERROR((IC28*ID28+IC30*ID30+IC32*ID32)/IC34,"")</f>
        <v/>
      </c>
      <c r="IE34" s="144">
        <f t="shared" ref="IE34" si="1892">IFERROR(SUM(IE28,IE30,IE32),"")</f>
        <v>0</v>
      </c>
      <c r="IF34" s="145" t="str">
        <f t="shared" ref="IF34" si="1893">IFERROR((IE28*IF28+IE30*IF30+IE32*IF32)/IE34,"")</f>
        <v/>
      </c>
      <c r="IG34" s="144">
        <f t="shared" ref="IG34" si="1894">IFERROR(SUM(IG28,IG30,IG32),"")</f>
        <v>0</v>
      </c>
      <c r="IH34" s="145" t="str">
        <f t="shared" ref="IH34" si="1895">IFERROR((IG28*IH28+IG30*IH30+IG32*IH32)/IG34,"")</f>
        <v/>
      </c>
      <c r="II34" s="144">
        <f t="shared" ref="II34" si="1896">IFERROR(SUM(II28,II30,II32),"")</f>
        <v>0</v>
      </c>
      <c r="IJ34" s="145" t="str">
        <f t="shared" ref="IJ34" si="1897">IFERROR((II28*IJ28+II30*IJ30+II32*IJ32)/II34,"")</f>
        <v/>
      </c>
      <c r="IK34" s="144">
        <f t="shared" ref="IK34" si="1898">IFERROR(SUM(IK28,IK30,IK32),"")</f>
        <v>0</v>
      </c>
      <c r="IL34" s="145" t="str">
        <f t="shared" ref="IL34" si="1899">IFERROR((IK28*IL28+IK30*IL30+IK32*IL32)/IK34,"")</f>
        <v/>
      </c>
      <c r="IM34" s="144">
        <f t="shared" ref="IM34" si="1900">IFERROR(SUM(IM28,IM30,IM32),"")</f>
        <v>0</v>
      </c>
      <c r="IN34" s="145" t="str">
        <f t="shared" ref="IN34" si="1901">IFERROR((IM28*IN28+IM30*IN30+IM32*IN32)/IM34,"")</f>
        <v/>
      </c>
      <c r="IO34" s="144">
        <f t="shared" ref="IO34" si="1902">IFERROR(SUM(IO28,IO30,IO32),"")</f>
        <v>0</v>
      </c>
      <c r="IP34" s="145" t="str">
        <f t="shared" ref="IP34" si="1903">IFERROR((IO28*IP28+IO30*IP30+IO32*IP32)/IO34,"")</f>
        <v/>
      </c>
      <c r="IQ34" s="144">
        <f t="shared" ref="IQ34" si="1904">IFERROR(SUM(IQ28,IQ30,IQ32),"")</f>
        <v>0</v>
      </c>
      <c r="IR34" s="145" t="str">
        <f t="shared" ref="IR34" si="1905">IFERROR((IQ28*IR28+IQ30*IR30+IQ32*IR32)/IQ34,"")</f>
        <v/>
      </c>
      <c r="IS34" s="144">
        <f t="shared" ref="IS34" si="1906">IFERROR(SUM(IS28,IS30,IS32),"")</f>
        <v>0</v>
      </c>
      <c r="IT34" s="145" t="str">
        <f t="shared" ref="IT34" si="1907">IFERROR((IS28*IT28+IS30*IT30+IS32*IT32)/IS34,"")</f>
        <v/>
      </c>
      <c r="IU34" s="144">
        <f t="shared" ref="IU34" si="1908">IFERROR(SUM(IU28,IU30,IU32),"")</f>
        <v>0</v>
      </c>
      <c r="IV34" s="145" t="str">
        <f t="shared" ref="IV34" si="1909">IFERROR((IU28*IV28+IU30*IV30+IU32*IV32)/IU34,"")</f>
        <v/>
      </c>
      <c r="IW34" s="144">
        <f t="shared" ref="IW34" si="1910">IFERROR(SUM(IW28,IW30,IW32),"")</f>
        <v>0</v>
      </c>
      <c r="IX34" s="145" t="str">
        <f t="shared" ref="IX34" si="1911">IFERROR((IW28*IX28+IW30*IX30+IW32*IX32)/IW34,"")</f>
        <v/>
      </c>
      <c r="IY34" s="144">
        <f t="shared" ref="IY34" si="1912">IFERROR(SUM(IY28,IY30,IY32),"")</f>
        <v>0</v>
      </c>
      <c r="IZ34" s="145" t="str">
        <f t="shared" si="1670"/>
        <v/>
      </c>
    </row>
    <row r="35" spans="1:260" ht="15.75" thickBot="1" x14ac:dyDescent="0.3">
      <c r="A35" s="126"/>
      <c r="B35" s="14"/>
      <c r="C35" s="19"/>
      <c r="D35" s="31"/>
      <c r="E35" s="148"/>
      <c r="F35" s="149"/>
      <c r="G35" s="148"/>
      <c r="H35" s="149"/>
      <c r="I35" s="148"/>
      <c r="J35" s="149"/>
      <c r="K35" s="148"/>
      <c r="L35" s="149"/>
      <c r="M35" s="148"/>
      <c r="N35" s="149"/>
      <c r="O35" s="148"/>
      <c r="P35" s="149"/>
      <c r="Q35" s="148"/>
      <c r="R35" s="149"/>
      <c r="S35" s="148"/>
      <c r="T35" s="149"/>
      <c r="U35" s="148"/>
      <c r="V35" s="149"/>
      <c r="W35" s="148"/>
      <c r="X35" s="149"/>
      <c r="Y35" s="148"/>
      <c r="Z35" s="149"/>
      <c r="AA35" s="148"/>
      <c r="AB35" s="149"/>
      <c r="AC35" s="148"/>
      <c r="AD35" s="149"/>
      <c r="AE35" s="148"/>
      <c r="AF35" s="149"/>
      <c r="AG35" s="148"/>
      <c r="AH35" s="149"/>
      <c r="AI35" s="148"/>
      <c r="AJ35" s="149"/>
      <c r="AK35" s="148"/>
      <c r="AL35" s="149"/>
      <c r="AM35" s="148"/>
      <c r="AN35" s="149"/>
      <c r="AO35" s="148"/>
      <c r="AP35" s="149"/>
      <c r="AQ35" s="148"/>
      <c r="AR35" s="149"/>
      <c r="AS35" s="148"/>
      <c r="AT35" s="149"/>
      <c r="AU35" s="148"/>
      <c r="AV35" s="149"/>
      <c r="AW35" s="148"/>
      <c r="AX35" s="149"/>
      <c r="AY35" s="148"/>
      <c r="AZ35" s="149"/>
      <c r="BA35" s="148"/>
      <c r="BB35" s="149"/>
      <c r="BC35" s="148"/>
      <c r="BD35" s="149"/>
      <c r="BE35" s="148"/>
      <c r="BF35" s="149"/>
      <c r="BG35" s="148"/>
      <c r="BH35" s="149"/>
      <c r="BI35" s="148"/>
      <c r="BJ35" s="149"/>
      <c r="BK35" s="148"/>
      <c r="BL35" s="149"/>
      <c r="BM35" s="148"/>
      <c r="BN35" s="149"/>
      <c r="BO35" s="148"/>
      <c r="BP35" s="149"/>
      <c r="BQ35" s="148"/>
      <c r="BR35" s="149"/>
      <c r="BS35" s="148"/>
      <c r="BT35" s="149"/>
      <c r="BU35" s="148"/>
      <c r="BV35" s="149"/>
      <c r="BW35" s="148"/>
      <c r="BX35" s="180"/>
      <c r="BY35" s="148"/>
      <c r="BZ35" s="180"/>
      <c r="CA35" s="148"/>
      <c r="CB35" s="180"/>
      <c r="CC35" s="148"/>
      <c r="CD35" s="180"/>
      <c r="CE35" s="148"/>
      <c r="CF35" s="180"/>
      <c r="CG35" s="148"/>
      <c r="CH35" s="180"/>
      <c r="CI35" s="148"/>
      <c r="CJ35" s="149"/>
      <c r="CK35" s="148"/>
      <c r="CL35" s="149"/>
      <c r="CM35" s="148"/>
      <c r="CN35" s="180"/>
      <c r="CO35" s="148"/>
      <c r="CP35" s="149"/>
      <c r="CQ35" s="148"/>
      <c r="CR35" s="180"/>
      <c r="CS35" s="148"/>
      <c r="CT35" s="180"/>
      <c r="CU35" s="148"/>
      <c r="CV35" s="180"/>
      <c r="CW35" s="148"/>
      <c r="CX35" s="180"/>
      <c r="CY35" s="148"/>
      <c r="CZ35" s="149"/>
      <c r="DA35" s="148"/>
      <c r="DB35" s="180"/>
      <c r="DC35" s="148"/>
      <c r="DD35" s="180"/>
      <c r="DE35" s="148"/>
      <c r="DF35" s="180"/>
      <c r="DG35" s="148"/>
      <c r="DH35" s="149"/>
      <c r="DI35" s="148"/>
      <c r="DJ35" s="149"/>
      <c r="DK35" s="148"/>
      <c r="DL35" s="149"/>
      <c r="DM35" s="148"/>
      <c r="DN35" s="149"/>
      <c r="DO35" s="148"/>
      <c r="DP35" s="149"/>
      <c r="DQ35" s="148"/>
      <c r="DR35" s="149"/>
      <c r="DS35" s="148"/>
      <c r="DT35" s="149"/>
      <c r="DU35" s="148"/>
      <c r="DV35" s="149"/>
      <c r="DW35" s="148"/>
      <c r="DX35" s="149"/>
      <c r="DY35" s="148"/>
      <c r="DZ35" s="149"/>
      <c r="EA35" s="148"/>
      <c r="EB35" s="149"/>
      <c r="EC35" s="148"/>
      <c r="ED35" s="149"/>
      <c r="EE35" s="148"/>
      <c r="EF35" s="149"/>
      <c r="EG35" s="148"/>
      <c r="EH35" s="149"/>
      <c r="EI35" s="148"/>
      <c r="EJ35" s="149"/>
      <c r="EK35" s="148"/>
      <c r="EL35" s="149"/>
      <c r="EM35" s="148"/>
      <c r="EN35" s="149"/>
      <c r="EO35" s="148"/>
      <c r="EP35" s="149"/>
      <c r="EQ35" s="148"/>
      <c r="ER35" s="149"/>
      <c r="ES35" s="148"/>
      <c r="ET35" s="180"/>
      <c r="EU35" s="148"/>
      <c r="EV35" s="149"/>
      <c r="EW35" s="148"/>
      <c r="EX35" s="180"/>
      <c r="EY35" s="148"/>
      <c r="EZ35" s="149"/>
      <c r="FA35" s="148"/>
      <c r="FB35" s="149"/>
      <c r="FC35" s="148"/>
      <c r="FD35" s="149"/>
      <c r="FE35" s="148"/>
      <c r="FF35" s="149"/>
      <c r="FG35" s="148"/>
      <c r="FH35" s="149"/>
      <c r="FI35" s="148"/>
      <c r="FJ35" s="149"/>
      <c r="FK35" s="148"/>
      <c r="FL35" s="149"/>
      <c r="FM35" s="148"/>
      <c r="FN35" s="149"/>
      <c r="FO35" s="148"/>
      <c r="FP35" s="149"/>
      <c r="FQ35" s="148"/>
      <c r="FR35" s="149"/>
      <c r="FS35" s="148"/>
      <c r="FT35" s="149"/>
      <c r="FU35" s="148"/>
      <c r="FV35" s="149"/>
      <c r="FW35" s="148"/>
      <c r="FX35" s="149"/>
      <c r="FY35" s="148"/>
      <c r="FZ35" s="149"/>
      <c r="GA35" s="148"/>
      <c r="GB35" s="149"/>
      <c r="GC35" s="148"/>
      <c r="GD35" s="149"/>
      <c r="GE35" s="148"/>
      <c r="GF35" s="149"/>
      <c r="GG35" s="148"/>
      <c r="GH35" s="149"/>
      <c r="GI35" s="148"/>
      <c r="GJ35" s="149"/>
      <c r="GK35" s="148"/>
      <c r="GL35" s="149"/>
      <c r="GM35" s="148"/>
      <c r="GN35" s="149"/>
      <c r="GO35" s="148"/>
      <c r="GP35" s="149"/>
      <c r="GQ35" s="148"/>
      <c r="GR35" s="149"/>
      <c r="GS35" s="148"/>
      <c r="GT35" s="149"/>
      <c r="GU35" s="148"/>
      <c r="GV35" s="149"/>
      <c r="GW35" s="148"/>
      <c r="GX35" s="149"/>
      <c r="GY35" s="148"/>
      <c r="GZ35" s="149"/>
      <c r="HA35" s="148"/>
      <c r="HB35" s="149"/>
      <c r="HC35" s="148"/>
      <c r="HD35" s="149"/>
      <c r="HE35" s="148"/>
      <c r="HF35" s="149"/>
      <c r="HG35" s="148"/>
      <c r="HH35" s="149"/>
      <c r="HI35" s="148"/>
      <c r="HJ35" s="149"/>
      <c r="HK35" s="148"/>
      <c r="HL35" s="149"/>
      <c r="HM35" s="148"/>
      <c r="HN35" s="149"/>
      <c r="HO35" s="148"/>
      <c r="HP35" s="149"/>
      <c r="HQ35" s="148"/>
      <c r="HR35" s="149"/>
      <c r="HS35" s="148"/>
      <c r="HT35" s="149"/>
      <c r="HU35" s="148"/>
      <c r="HV35" s="149"/>
      <c r="HW35" s="148"/>
      <c r="HX35" s="149"/>
      <c r="HY35" s="148"/>
      <c r="HZ35" s="149"/>
      <c r="IA35" s="148"/>
      <c r="IB35" s="149"/>
      <c r="IC35" s="148"/>
      <c r="ID35" s="149"/>
      <c r="IE35" s="148"/>
      <c r="IF35" s="149"/>
      <c r="IG35" s="148"/>
      <c r="IH35" s="149"/>
      <c r="II35" s="148"/>
      <c r="IJ35" s="149"/>
      <c r="IK35" s="148"/>
      <c r="IL35" s="149"/>
      <c r="IM35" s="148"/>
      <c r="IN35" s="149"/>
      <c r="IO35" s="148"/>
      <c r="IP35" s="149"/>
      <c r="IQ35" s="148"/>
      <c r="IR35" s="149"/>
      <c r="IS35" s="148"/>
      <c r="IT35" s="149"/>
      <c r="IU35" s="148"/>
      <c r="IV35" s="149"/>
      <c r="IW35" s="148"/>
      <c r="IX35" s="149"/>
      <c r="IY35" s="148"/>
      <c r="IZ35" s="149"/>
    </row>
    <row r="36" spans="1:260" ht="15.75" thickTop="1" x14ac:dyDescent="0.25">
      <c r="A36" s="1578" t="s">
        <v>216</v>
      </c>
      <c r="B36" s="74" t="s">
        <v>211</v>
      </c>
      <c r="C36" s="133">
        <f>SUM(C25,C17,C9,C33)</f>
        <v>269944.93</v>
      </c>
      <c r="D36" s="137">
        <f>(C9*D9+C17*D17+C25*D25+C33*D33)/C36</f>
        <v>2.1992042017607072</v>
      </c>
      <c r="E36" s="150"/>
      <c r="F36" s="151"/>
      <c r="G36" s="150"/>
      <c r="H36" s="151"/>
      <c r="I36" s="150"/>
      <c r="J36" s="151"/>
      <c r="K36" s="150"/>
      <c r="L36" s="151"/>
      <c r="M36" s="150">
        <v>6230</v>
      </c>
      <c r="N36" s="151">
        <v>2.9</v>
      </c>
      <c r="O36" s="150">
        <v>4200</v>
      </c>
      <c r="P36" s="151">
        <v>1.8</v>
      </c>
      <c r="Q36" s="150">
        <v>4060</v>
      </c>
      <c r="R36" s="151">
        <v>2.2337931034482761</v>
      </c>
      <c r="S36" s="150">
        <v>10430</v>
      </c>
      <c r="T36" s="151">
        <v>1.6447651006711408</v>
      </c>
      <c r="U36" s="150">
        <v>13755</v>
      </c>
      <c r="V36" s="151">
        <v>1.6400000000000001</v>
      </c>
      <c r="W36" s="150">
        <v>2100</v>
      </c>
      <c r="X36" s="151">
        <v>1.59</v>
      </c>
      <c r="Y36" s="150"/>
      <c r="Z36" s="151"/>
      <c r="AA36" s="150"/>
      <c r="AB36" s="151"/>
      <c r="AC36" s="150"/>
      <c r="AD36" s="151"/>
      <c r="AE36" s="150"/>
      <c r="AF36" s="151"/>
      <c r="AG36" s="150"/>
      <c r="AH36" s="151"/>
      <c r="AI36" s="150"/>
      <c r="AJ36" s="151"/>
      <c r="AK36" s="150"/>
      <c r="AL36" s="151"/>
      <c r="AM36" s="150">
        <v>0</v>
      </c>
      <c r="AN36" s="151" t="s">
        <v>217</v>
      </c>
      <c r="AO36" s="150">
        <v>0</v>
      </c>
      <c r="AP36" s="151" t="s">
        <v>217</v>
      </c>
      <c r="AQ36" s="150">
        <v>0</v>
      </c>
      <c r="AR36" s="151" t="s">
        <v>217</v>
      </c>
      <c r="AS36" s="150">
        <v>5740</v>
      </c>
      <c r="AT36" s="159">
        <v>2.2858536585365856</v>
      </c>
      <c r="AU36" s="150">
        <v>14420</v>
      </c>
      <c r="AV36" s="159">
        <v>1.710436893203884</v>
      </c>
      <c r="AW36" s="150"/>
      <c r="AX36" s="151"/>
      <c r="AY36" s="150">
        <v>10325</v>
      </c>
      <c r="AZ36" s="159">
        <v>2.3126779661016945</v>
      </c>
      <c r="BA36" s="150">
        <v>1085</v>
      </c>
      <c r="BB36" s="159">
        <v>1.39</v>
      </c>
      <c r="BC36" s="150">
        <v>0</v>
      </c>
      <c r="BD36" s="151" t="s">
        <v>217</v>
      </c>
      <c r="BE36" s="150">
        <v>10080</v>
      </c>
      <c r="BF36" s="159">
        <v>2.1397222222222223</v>
      </c>
      <c r="BG36" s="150">
        <v>2170</v>
      </c>
      <c r="BH36" s="159">
        <v>1.54</v>
      </c>
      <c r="BI36" s="150">
        <v>3080</v>
      </c>
      <c r="BJ36" s="159">
        <v>1.9700000000000006</v>
      </c>
      <c r="BK36" s="150">
        <v>22645</v>
      </c>
      <c r="BL36" s="159">
        <v>2.401221020092736</v>
      </c>
      <c r="BM36" s="150">
        <v>7485</v>
      </c>
      <c r="BN36" s="159">
        <v>2.5798730794923177</v>
      </c>
      <c r="BO36" s="150">
        <v>9310</v>
      </c>
      <c r="BP36" s="159">
        <v>1.948345864661654</v>
      </c>
      <c r="BQ36" s="150">
        <v>11235</v>
      </c>
      <c r="BR36" s="159">
        <v>2.345732087227415</v>
      </c>
      <c r="BS36" s="150">
        <v>8190</v>
      </c>
      <c r="BT36" s="159">
        <v>2.448034188034188</v>
      </c>
      <c r="BU36" s="150">
        <v>8190</v>
      </c>
      <c r="BV36" s="159">
        <v>2.3136752136752148</v>
      </c>
      <c r="BW36" s="150">
        <v>22768</v>
      </c>
      <c r="BX36" s="159">
        <v>2.4186920238931835</v>
      </c>
      <c r="BY36" s="150">
        <v>4060</v>
      </c>
      <c r="BZ36" s="159">
        <v>2.0349999999999997</v>
      </c>
      <c r="CA36" s="150">
        <v>11600</v>
      </c>
      <c r="CB36" s="159">
        <v>2.2363405172413793</v>
      </c>
      <c r="CC36" s="150">
        <v>5075</v>
      </c>
      <c r="CD36" s="159">
        <v>2.3258620689655176</v>
      </c>
      <c r="CE36" s="150">
        <v>4200</v>
      </c>
      <c r="CF36" s="159">
        <v>1.5460000000000003</v>
      </c>
      <c r="CG36" s="150">
        <v>2290</v>
      </c>
      <c r="CH36" s="159">
        <v>2.7507423580786026</v>
      </c>
      <c r="CI36" s="150"/>
      <c r="CJ36" s="151"/>
      <c r="CK36" s="150"/>
      <c r="CL36" s="151"/>
      <c r="CM36" s="150">
        <v>4200</v>
      </c>
      <c r="CN36" s="159">
        <v>0.99199999999999988</v>
      </c>
      <c r="CO36" s="150">
        <v>0</v>
      </c>
      <c r="CP36" s="151" t="s">
        <v>217</v>
      </c>
      <c r="CQ36" s="150">
        <v>11445</v>
      </c>
      <c r="CR36" s="159">
        <v>2.5562079510703364</v>
      </c>
      <c r="CS36" s="150"/>
      <c r="CT36" s="159"/>
      <c r="CU36" s="150"/>
      <c r="CV36" s="159"/>
      <c r="CW36" s="150"/>
      <c r="CX36" s="159"/>
      <c r="CY36" s="150"/>
      <c r="CZ36" s="151"/>
      <c r="DA36" s="150">
        <v>3080</v>
      </c>
      <c r="DB36" s="159">
        <v>3.4838636363636359</v>
      </c>
      <c r="DC36" s="150">
        <v>8015</v>
      </c>
      <c r="DD36" s="159">
        <v>3.7393449781659376</v>
      </c>
      <c r="DE36" s="150">
        <v>5180</v>
      </c>
      <c r="DF36" s="159">
        <v>1.9045945945945943</v>
      </c>
      <c r="DG36" s="150"/>
      <c r="DH36" s="151"/>
      <c r="DI36" s="150"/>
      <c r="DJ36" s="151"/>
      <c r="DK36" s="150"/>
      <c r="DL36" s="151"/>
      <c r="DM36" s="150"/>
      <c r="DN36" s="151"/>
      <c r="DO36" s="150"/>
      <c r="DP36" s="151"/>
      <c r="DQ36" s="150">
        <v>3920</v>
      </c>
      <c r="DR36" s="151">
        <v>1.86</v>
      </c>
      <c r="DS36" s="150"/>
      <c r="DT36" s="151"/>
      <c r="DU36" s="150">
        <v>0</v>
      </c>
      <c r="DV36" s="151" t="s">
        <v>217</v>
      </c>
      <c r="DW36" s="150"/>
      <c r="DX36" s="151"/>
      <c r="DY36" s="150"/>
      <c r="DZ36" s="151"/>
      <c r="EA36" s="150"/>
      <c r="EB36" s="151"/>
      <c r="EC36" s="150"/>
      <c r="ED36" s="151"/>
      <c r="EE36" s="150"/>
      <c r="EF36" s="151"/>
      <c r="EG36" s="150"/>
      <c r="EH36" s="151"/>
      <c r="EI36" s="150"/>
      <c r="EJ36" s="151"/>
      <c r="EK36" s="150"/>
      <c r="EL36" s="151"/>
      <c r="EM36" s="150"/>
      <c r="EN36" s="151"/>
      <c r="EO36" s="150">
        <v>1330</v>
      </c>
      <c r="EP36" s="151">
        <v>2.12</v>
      </c>
      <c r="EQ36" s="150">
        <v>665</v>
      </c>
      <c r="ER36" s="151">
        <v>2.0499999999999998</v>
      </c>
      <c r="ES36" s="150"/>
      <c r="ET36" s="159"/>
      <c r="EU36" s="150"/>
      <c r="EV36" s="151"/>
      <c r="EW36" s="150"/>
      <c r="EX36" s="151"/>
      <c r="EY36" s="150"/>
      <c r="EZ36" s="151"/>
      <c r="FA36" s="150"/>
      <c r="FB36" s="151"/>
      <c r="FC36" s="150">
        <v>665</v>
      </c>
      <c r="FD36" s="151">
        <v>1.6599999999999997</v>
      </c>
      <c r="FE36" s="150">
        <v>1330</v>
      </c>
      <c r="FF36" s="151">
        <v>2.1800000000000002</v>
      </c>
      <c r="FG36" s="150"/>
      <c r="FH36" s="151"/>
      <c r="FI36" s="150">
        <v>1330</v>
      </c>
      <c r="FJ36" s="151">
        <v>1.85</v>
      </c>
      <c r="FK36" s="150"/>
      <c r="FL36" s="151"/>
      <c r="FM36" s="150">
        <v>665</v>
      </c>
      <c r="FN36" s="151">
        <v>1.7900000000000003</v>
      </c>
      <c r="FO36" s="150"/>
      <c r="FP36" s="151"/>
      <c r="FQ36" s="150"/>
      <c r="FR36" s="151"/>
      <c r="FS36" s="150"/>
      <c r="FT36" s="151"/>
      <c r="FU36" s="150"/>
      <c r="FV36" s="151"/>
      <c r="FW36" s="150"/>
      <c r="FX36" s="151"/>
      <c r="FY36" s="150"/>
      <c r="FZ36" s="151"/>
      <c r="GA36" s="150"/>
      <c r="GB36" s="151"/>
      <c r="GC36" s="150"/>
      <c r="GD36" s="151"/>
      <c r="GE36" s="150"/>
      <c r="GF36" s="151"/>
      <c r="GG36" s="150"/>
      <c r="GH36" s="151"/>
      <c r="GI36" s="150"/>
      <c r="GJ36" s="151"/>
      <c r="GK36" s="150"/>
      <c r="GL36" s="151"/>
      <c r="GM36" s="150"/>
      <c r="GN36" s="151"/>
      <c r="GO36" s="150"/>
      <c r="GP36" s="151"/>
      <c r="GQ36" s="150"/>
      <c r="GR36" s="151"/>
      <c r="GS36" s="150"/>
      <c r="GT36" s="151"/>
      <c r="GU36" s="150"/>
      <c r="GV36" s="151"/>
      <c r="GW36" s="150"/>
      <c r="GX36" s="151"/>
      <c r="GY36" s="150"/>
      <c r="GZ36" s="151"/>
      <c r="HA36" s="150"/>
      <c r="HB36" s="151"/>
      <c r="HC36" s="150"/>
      <c r="HD36" s="151"/>
      <c r="HE36" s="150"/>
      <c r="HF36" s="151"/>
      <c r="HG36" s="150"/>
      <c r="HH36" s="151"/>
      <c r="HI36" s="150"/>
      <c r="HJ36" s="151"/>
      <c r="HK36" s="150"/>
      <c r="HL36" s="151"/>
      <c r="HM36" s="150"/>
      <c r="HN36" s="151"/>
      <c r="HO36" s="150"/>
      <c r="HP36" s="151"/>
      <c r="HQ36" s="150"/>
      <c r="HR36" s="151"/>
      <c r="HS36" s="150"/>
      <c r="HT36" s="151"/>
      <c r="HU36" s="150"/>
      <c r="HV36" s="151"/>
      <c r="HW36" s="150"/>
      <c r="HX36" s="151"/>
      <c r="HY36" s="150"/>
      <c r="HZ36" s="151"/>
      <c r="IA36" s="150"/>
      <c r="IB36" s="151"/>
      <c r="IC36" s="150"/>
      <c r="ID36" s="151"/>
      <c r="IE36" s="150"/>
      <c r="IF36" s="151"/>
      <c r="IG36" s="150"/>
      <c r="IH36" s="151"/>
      <c r="II36" s="150"/>
      <c r="IJ36" s="151"/>
      <c r="IK36" s="150"/>
      <c r="IL36" s="151"/>
      <c r="IM36" s="150"/>
      <c r="IN36" s="151"/>
      <c r="IO36" s="150"/>
      <c r="IP36" s="151"/>
      <c r="IQ36" s="150"/>
      <c r="IR36" s="151"/>
      <c r="IS36" s="150"/>
      <c r="IT36" s="151"/>
      <c r="IU36" s="150"/>
      <c r="IV36" s="151"/>
      <c r="IW36" s="150"/>
      <c r="IX36" s="151"/>
      <c r="IY36" s="150"/>
      <c r="IZ36" s="151"/>
    </row>
    <row r="37" spans="1:260" x14ac:dyDescent="0.25">
      <c r="A37" s="1578"/>
      <c r="B37" s="74" t="s">
        <v>5</v>
      </c>
      <c r="C37" s="133">
        <f>SUM(C26,C18,C10,C34)</f>
        <v>232304.37400000001</v>
      </c>
      <c r="D37" s="137">
        <f>(C10*D10+C18*D18+C26*D26+C34*D34)/C37</f>
        <v>2.0811344768658859</v>
      </c>
      <c r="E37" s="150"/>
      <c r="F37" s="151"/>
      <c r="G37" s="150"/>
      <c r="H37" s="151"/>
      <c r="I37" s="150"/>
      <c r="J37" s="151"/>
      <c r="K37" s="150"/>
      <c r="L37" s="151"/>
      <c r="M37" s="150">
        <v>7769.8</v>
      </c>
      <c r="N37" s="151">
        <v>1.2822017274275941</v>
      </c>
      <c r="O37" s="150">
        <v>0</v>
      </c>
      <c r="P37" s="151" t="s">
        <v>217</v>
      </c>
      <c r="Q37" s="150">
        <v>8962.2000000000007</v>
      </c>
      <c r="R37" s="151">
        <v>2.2362894898489882</v>
      </c>
      <c r="S37" s="150">
        <v>259</v>
      </c>
      <c r="T37" s="151">
        <v>1.7470859077380949</v>
      </c>
      <c r="U37" s="150">
        <v>16957.3</v>
      </c>
      <c r="V37" s="151">
        <v>2.1393903796338267</v>
      </c>
      <c r="W37" s="150">
        <v>1546.7</v>
      </c>
      <c r="X37" s="151">
        <v>1.0024969040515581</v>
      </c>
      <c r="Y37" s="150"/>
      <c r="Z37" s="151"/>
      <c r="AA37" s="150"/>
      <c r="AB37" s="151"/>
      <c r="AC37" s="150"/>
      <c r="AD37" s="151"/>
      <c r="AE37" s="150"/>
      <c r="AF37" s="151"/>
      <c r="AG37" s="150"/>
      <c r="AH37" s="151"/>
      <c r="AI37" s="150"/>
      <c r="AJ37" s="151"/>
      <c r="AK37" s="150"/>
      <c r="AL37" s="151"/>
      <c r="AM37" s="150">
        <v>584.39999999999986</v>
      </c>
      <c r="AN37" s="159">
        <v>1.1347626806651898</v>
      </c>
      <c r="AO37" s="150">
        <v>2471.9389999999999</v>
      </c>
      <c r="AP37" s="159">
        <v>2.35</v>
      </c>
      <c r="AQ37" s="150">
        <v>1027.2550000000001</v>
      </c>
      <c r="AR37" s="159">
        <v>2.2999999999999998</v>
      </c>
      <c r="AS37" s="150">
        <v>2567</v>
      </c>
      <c r="AT37" s="159">
        <v>2.4153860829878848</v>
      </c>
      <c r="AU37" s="150">
        <v>7176</v>
      </c>
      <c r="AV37" s="159">
        <v>1.5903176796632414</v>
      </c>
      <c r="AW37" s="150"/>
      <c r="AX37" s="151"/>
      <c r="AY37" s="150">
        <v>1734</v>
      </c>
      <c r="AZ37" s="159">
        <v>1.9829411764705882</v>
      </c>
      <c r="BA37" s="150">
        <v>1126</v>
      </c>
      <c r="BB37" s="159">
        <v>1.6033934479668868</v>
      </c>
      <c r="BC37" s="150">
        <v>211</v>
      </c>
      <c r="BD37" s="159">
        <v>2.6</v>
      </c>
      <c r="BE37" s="150">
        <v>7081</v>
      </c>
      <c r="BF37" s="159">
        <v>1.4728780836447881</v>
      </c>
      <c r="BG37" s="150">
        <v>4641.8</v>
      </c>
      <c r="BH37" s="159">
        <v>1.2463386949136694</v>
      </c>
      <c r="BI37" s="150">
        <v>3314.8</v>
      </c>
      <c r="BJ37" s="159">
        <v>1.7685618850132474</v>
      </c>
      <c r="BK37" s="150">
        <v>17427</v>
      </c>
      <c r="BL37" s="159">
        <v>2.3668532207281237</v>
      </c>
      <c r="BM37" s="150">
        <v>10869</v>
      </c>
      <c r="BN37" s="159">
        <v>1.7250867639276553</v>
      </c>
      <c r="BO37" s="150">
        <v>8015.2</v>
      </c>
      <c r="BP37" s="159">
        <v>1.8310014784598843</v>
      </c>
      <c r="BQ37" s="150">
        <v>10516.4</v>
      </c>
      <c r="BR37" s="159">
        <v>1.958177767737985</v>
      </c>
      <c r="BS37" s="150">
        <v>0</v>
      </c>
      <c r="BT37" s="151" t="s">
        <v>217</v>
      </c>
      <c r="BU37" s="150">
        <v>8306.6</v>
      </c>
      <c r="BV37" s="159">
        <v>1.9132690919509359</v>
      </c>
      <c r="BW37" s="150">
        <v>19695.8</v>
      </c>
      <c r="BX37" s="159">
        <v>1.8207731649414698</v>
      </c>
      <c r="BY37" s="150">
        <v>7783.2000000000007</v>
      </c>
      <c r="BZ37" s="159">
        <v>2.7152261651338661</v>
      </c>
      <c r="CA37" s="150">
        <v>14911.3</v>
      </c>
      <c r="CB37" s="159">
        <v>1.8794678014692834</v>
      </c>
      <c r="CC37" s="150">
        <v>7393.8</v>
      </c>
      <c r="CD37" s="159">
        <v>2.4183514007877212</v>
      </c>
      <c r="CE37" s="150">
        <v>1636.8000000000002</v>
      </c>
      <c r="CF37" s="159">
        <v>1.4301524584521093</v>
      </c>
      <c r="CG37" s="150">
        <v>1882</v>
      </c>
      <c r="CH37" s="159">
        <v>3.0573771865941906</v>
      </c>
      <c r="CI37" s="150"/>
      <c r="CJ37" s="151"/>
      <c r="CK37" s="150"/>
      <c r="CL37" s="151"/>
      <c r="CM37" s="150">
        <v>1507</v>
      </c>
      <c r="CN37" s="159">
        <v>2.6032229889744345</v>
      </c>
      <c r="CO37" s="150">
        <v>647.59999999999991</v>
      </c>
      <c r="CP37" s="151">
        <v>1.8064608158084954</v>
      </c>
      <c r="CQ37" s="150">
        <v>14051.7</v>
      </c>
      <c r="CR37" s="159">
        <v>2.8288293179740909</v>
      </c>
      <c r="CS37" s="150"/>
      <c r="CT37" s="159"/>
      <c r="CU37" s="150"/>
      <c r="CV37" s="159"/>
      <c r="CW37" s="150"/>
      <c r="CX37" s="159"/>
      <c r="CY37" s="150"/>
      <c r="CZ37" s="151"/>
      <c r="DA37" s="150">
        <v>1997.78</v>
      </c>
      <c r="DB37" s="159">
        <v>2.5921724780363129</v>
      </c>
      <c r="DC37" s="150">
        <v>13775</v>
      </c>
      <c r="DD37" s="159">
        <v>3.0402722323049001</v>
      </c>
      <c r="DE37" s="150">
        <v>3744</v>
      </c>
      <c r="DF37" s="159">
        <v>2.5966762450167691</v>
      </c>
      <c r="DG37" s="150"/>
      <c r="DH37" s="151"/>
      <c r="DI37" s="150"/>
      <c r="DJ37" s="151"/>
      <c r="DK37" s="150"/>
      <c r="DL37" s="151"/>
      <c r="DM37" s="150"/>
      <c r="DN37" s="151"/>
      <c r="DO37" s="150"/>
      <c r="DP37" s="151"/>
      <c r="DQ37" s="150">
        <v>2601</v>
      </c>
      <c r="DR37" s="151">
        <v>1.6800000000000002</v>
      </c>
      <c r="DS37" s="150"/>
      <c r="DT37" s="151"/>
      <c r="DU37" s="150">
        <v>227</v>
      </c>
      <c r="DV37" s="151">
        <v>3.02</v>
      </c>
      <c r="DW37" s="150"/>
      <c r="DX37" s="151"/>
      <c r="DY37" s="150"/>
      <c r="DZ37" s="151"/>
      <c r="EA37" s="150"/>
      <c r="EB37" s="151"/>
      <c r="EC37" s="150"/>
      <c r="ED37" s="151"/>
      <c r="EE37" s="150"/>
      <c r="EF37" s="151"/>
      <c r="EG37" s="150"/>
      <c r="EH37" s="151"/>
      <c r="EI37" s="150"/>
      <c r="EJ37" s="151"/>
      <c r="EK37" s="150"/>
      <c r="EL37" s="151"/>
      <c r="EM37" s="150"/>
      <c r="EN37" s="151"/>
      <c r="EO37" s="150">
        <v>732</v>
      </c>
      <c r="EP37" s="151">
        <v>1.56</v>
      </c>
      <c r="EQ37" s="150">
        <v>0</v>
      </c>
      <c r="ER37" s="151" t="s">
        <v>217</v>
      </c>
      <c r="ES37" s="150"/>
      <c r="ET37" s="159"/>
      <c r="EU37" s="150"/>
      <c r="EV37" s="151"/>
      <c r="EW37" s="150"/>
      <c r="EX37" s="151"/>
      <c r="EY37" s="150"/>
      <c r="EZ37" s="151"/>
      <c r="FA37" s="150"/>
      <c r="FB37" s="151"/>
      <c r="FC37" s="150">
        <v>0</v>
      </c>
      <c r="FD37" s="151" t="s">
        <v>217</v>
      </c>
      <c r="FE37" s="150">
        <v>1954</v>
      </c>
      <c r="FF37" s="151">
        <v>2.19</v>
      </c>
      <c r="FG37" s="150"/>
      <c r="FH37" s="151"/>
      <c r="FI37" s="150">
        <v>0</v>
      </c>
      <c r="FJ37" s="151" t="s">
        <v>217</v>
      </c>
      <c r="FK37" s="150"/>
      <c r="FL37" s="151"/>
      <c r="FM37" s="150">
        <v>0</v>
      </c>
      <c r="FN37" s="151" t="s">
        <v>217</v>
      </c>
      <c r="FO37" s="150"/>
      <c r="FP37" s="151"/>
      <c r="FQ37" s="150"/>
      <c r="FR37" s="151"/>
      <c r="FS37" s="150"/>
      <c r="FT37" s="151"/>
      <c r="FU37" s="150"/>
      <c r="FV37" s="151"/>
      <c r="FW37" s="150"/>
      <c r="FX37" s="151"/>
      <c r="FY37" s="150"/>
      <c r="FZ37" s="151"/>
      <c r="GA37" s="150"/>
      <c r="GB37" s="151"/>
      <c r="GC37" s="150"/>
      <c r="GD37" s="151"/>
      <c r="GE37" s="150"/>
      <c r="GF37" s="151"/>
      <c r="GG37" s="150"/>
      <c r="GH37" s="151"/>
      <c r="GI37" s="150"/>
      <c r="GJ37" s="151"/>
      <c r="GK37" s="150"/>
      <c r="GL37" s="151"/>
      <c r="GM37" s="150"/>
      <c r="GN37" s="151"/>
      <c r="GO37" s="150"/>
      <c r="GP37" s="151"/>
      <c r="GQ37" s="150"/>
      <c r="GR37" s="151"/>
      <c r="GS37" s="150"/>
      <c r="GT37" s="151"/>
      <c r="GU37" s="150"/>
      <c r="GV37" s="151"/>
      <c r="GW37" s="150"/>
      <c r="GX37" s="151"/>
      <c r="GY37" s="150"/>
      <c r="GZ37" s="151"/>
      <c r="HA37" s="150"/>
      <c r="HB37" s="151"/>
      <c r="HC37" s="150"/>
      <c r="HD37" s="151"/>
      <c r="HE37" s="150"/>
      <c r="HF37" s="151"/>
      <c r="HG37" s="150"/>
      <c r="HH37" s="151"/>
      <c r="HI37" s="150"/>
      <c r="HJ37" s="151"/>
      <c r="HK37" s="150"/>
      <c r="HL37" s="151"/>
      <c r="HM37" s="150"/>
      <c r="HN37" s="151"/>
      <c r="HO37" s="150"/>
      <c r="HP37" s="151"/>
      <c r="HQ37" s="150"/>
      <c r="HR37" s="151"/>
      <c r="HS37" s="150"/>
      <c r="HT37" s="151"/>
      <c r="HU37" s="150"/>
      <c r="HV37" s="151"/>
      <c r="HW37" s="150"/>
      <c r="HX37" s="151"/>
      <c r="HY37" s="150"/>
      <c r="HZ37" s="151"/>
      <c r="IA37" s="150"/>
      <c r="IB37" s="151"/>
      <c r="IC37" s="150"/>
      <c r="ID37" s="151"/>
      <c r="IE37" s="150"/>
      <c r="IF37" s="151"/>
      <c r="IG37" s="150"/>
      <c r="IH37" s="151"/>
      <c r="II37" s="150"/>
      <c r="IJ37" s="151"/>
      <c r="IK37" s="150"/>
      <c r="IL37" s="151"/>
      <c r="IM37" s="150"/>
      <c r="IN37" s="151"/>
      <c r="IO37" s="150"/>
      <c r="IP37" s="151"/>
      <c r="IQ37" s="150"/>
      <c r="IR37" s="151"/>
      <c r="IS37" s="150"/>
      <c r="IT37" s="151"/>
      <c r="IU37" s="150"/>
      <c r="IV37" s="151"/>
      <c r="IW37" s="150"/>
      <c r="IX37" s="151"/>
      <c r="IY37" s="150"/>
      <c r="IZ37" s="151"/>
    </row>
    <row r="38" spans="1:260" ht="15.75" thickBot="1" x14ac:dyDescent="0.3">
      <c r="A38" s="127"/>
      <c r="B38" s="17"/>
      <c r="C38" s="32"/>
      <c r="D38" s="32"/>
      <c r="E38" s="152"/>
      <c r="F38" s="153"/>
      <c r="G38" s="152"/>
      <c r="H38" s="153"/>
      <c r="I38" s="152"/>
      <c r="J38" s="153"/>
      <c r="K38" s="152"/>
      <c r="L38" s="153"/>
      <c r="M38" s="152"/>
      <c r="N38" s="153"/>
      <c r="O38" s="152"/>
      <c r="P38" s="153"/>
      <c r="Q38" s="152"/>
      <c r="R38" s="153"/>
      <c r="S38" s="152"/>
      <c r="T38" s="153"/>
      <c r="U38" s="152"/>
      <c r="V38" s="153"/>
      <c r="W38" s="152"/>
      <c r="X38" s="153"/>
      <c r="Y38" s="152"/>
      <c r="Z38" s="153"/>
      <c r="AA38" s="152"/>
      <c r="AB38" s="153"/>
      <c r="AC38" s="152"/>
      <c r="AD38" s="153"/>
      <c r="AE38" s="152"/>
      <c r="AF38" s="153"/>
      <c r="AG38" s="152"/>
      <c r="AH38" s="153"/>
      <c r="AI38" s="152"/>
      <c r="AJ38" s="153"/>
      <c r="AK38" s="152"/>
      <c r="AL38" s="153"/>
      <c r="AM38" s="152"/>
      <c r="AN38" s="153"/>
      <c r="AO38" s="152"/>
      <c r="AP38" s="153"/>
      <c r="AQ38" s="152"/>
      <c r="AR38" s="153"/>
      <c r="AS38" s="152"/>
      <c r="AT38" s="153"/>
      <c r="AU38" s="152"/>
      <c r="AV38" s="153"/>
      <c r="AW38" s="152"/>
      <c r="AX38" s="153"/>
      <c r="AY38" s="152"/>
      <c r="AZ38" s="153"/>
      <c r="BA38" s="152"/>
      <c r="BB38" s="153"/>
      <c r="BC38" s="152"/>
      <c r="BD38" s="153"/>
      <c r="BE38" s="152"/>
      <c r="BF38" s="153"/>
      <c r="BG38" s="152"/>
      <c r="BH38" s="153"/>
      <c r="BI38" s="152"/>
      <c r="BJ38" s="153"/>
      <c r="BK38" s="152"/>
      <c r="BL38" s="153"/>
      <c r="BM38" s="152"/>
      <c r="BN38" s="153"/>
      <c r="BO38" s="152"/>
      <c r="BP38" s="153"/>
      <c r="BQ38" s="152"/>
      <c r="BR38" s="153"/>
      <c r="BS38" s="152"/>
      <c r="BT38" s="153"/>
      <c r="BU38" s="152"/>
      <c r="BV38" s="153"/>
      <c r="BW38" s="152"/>
      <c r="BX38" s="153"/>
      <c r="BY38" s="152"/>
      <c r="BZ38" s="153"/>
      <c r="CA38" s="152"/>
      <c r="CB38" s="153"/>
      <c r="CC38" s="152"/>
      <c r="CD38" s="153"/>
      <c r="CE38" s="152"/>
      <c r="CF38" s="153"/>
      <c r="CG38" s="152"/>
      <c r="CH38" s="153"/>
      <c r="CI38" s="152"/>
      <c r="CJ38" s="153"/>
      <c r="CK38" s="152"/>
      <c r="CL38" s="153"/>
      <c r="CM38" s="152"/>
      <c r="CN38" s="153"/>
      <c r="CO38" s="152"/>
      <c r="CP38" s="153"/>
      <c r="CQ38" s="152"/>
      <c r="CR38" s="153"/>
      <c r="CS38" s="152"/>
      <c r="CT38" s="153"/>
      <c r="CU38" s="152"/>
      <c r="CV38" s="153"/>
      <c r="CW38" s="152"/>
      <c r="CX38" s="153"/>
      <c r="CY38" s="152"/>
      <c r="CZ38" s="153"/>
      <c r="DA38" s="152"/>
      <c r="DB38" s="153"/>
      <c r="DC38" s="152"/>
      <c r="DD38" s="153"/>
      <c r="DE38" s="152"/>
      <c r="DF38" s="153"/>
      <c r="DG38" s="152"/>
      <c r="DH38" s="153"/>
      <c r="DI38" s="152"/>
      <c r="DJ38" s="153"/>
      <c r="DK38" s="152"/>
      <c r="DL38" s="153"/>
      <c r="DM38" s="152"/>
      <c r="DN38" s="153"/>
      <c r="DO38" s="152"/>
      <c r="DP38" s="153"/>
      <c r="DQ38" s="152"/>
      <c r="DR38" s="153"/>
      <c r="DS38" s="152"/>
      <c r="DT38" s="153"/>
      <c r="DU38" s="152"/>
      <c r="DV38" s="153"/>
      <c r="DW38" s="152"/>
      <c r="DX38" s="153"/>
      <c r="DY38" s="152"/>
      <c r="DZ38" s="153"/>
      <c r="EA38" s="152"/>
      <c r="EB38" s="153"/>
      <c r="EC38" s="152"/>
      <c r="ED38" s="153"/>
      <c r="EE38" s="152"/>
      <c r="EF38" s="153"/>
      <c r="EG38" s="152"/>
      <c r="EH38" s="153"/>
      <c r="EI38" s="152"/>
      <c r="EJ38" s="153"/>
      <c r="EK38" s="152"/>
      <c r="EL38" s="153"/>
      <c r="EM38" s="152"/>
      <c r="EN38" s="153"/>
      <c r="EO38" s="152"/>
      <c r="EP38" s="153"/>
      <c r="EQ38" s="152"/>
      <c r="ER38" s="153"/>
      <c r="ES38" s="152"/>
      <c r="ET38" s="153"/>
      <c r="EU38" s="152"/>
      <c r="EV38" s="153"/>
      <c r="EW38" s="32"/>
      <c r="EX38" s="32"/>
      <c r="EY38" s="152"/>
      <c r="EZ38" s="153"/>
      <c r="FA38" s="152"/>
      <c r="FB38" s="153"/>
      <c r="FC38" s="152"/>
      <c r="FD38" s="153"/>
      <c r="FE38" s="152"/>
      <c r="FF38" s="153"/>
      <c r="FG38" s="152"/>
      <c r="FH38" s="153"/>
      <c r="FI38" s="152"/>
      <c r="FJ38" s="153"/>
      <c r="FK38" s="152"/>
      <c r="FL38" s="153"/>
      <c r="FM38" s="152"/>
      <c r="FN38" s="153"/>
      <c r="FO38" s="152"/>
      <c r="FP38" s="153"/>
      <c r="FQ38" s="152"/>
      <c r="FR38" s="153"/>
      <c r="FS38" s="152"/>
      <c r="FT38" s="153"/>
      <c r="FU38" s="152"/>
      <c r="FV38" s="153"/>
      <c r="FW38" s="152"/>
      <c r="FX38" s="153"/>
      <c r="FY38" s="152"/>
      <c r="FZ38" s="153"/>
      <c r="GA38" s="152"/>
      <c r="GB38" s="153"/>
      <c r="GC38" s="152"/>
      <c r="GD38" s="153"/>
      <c r="GE38" s="152"/>
      <c r="GF38" s="153"/>
      <c r="GG38" s="152"/>
      <c r="GH38" s="153"/>
      <c r="GI38" s="152"/>
      <c r="GJ38" s="153"/>
      <c r="GK38" s="152"/>
      <c r="GL38" s="153"/>
      <c r="GM38" s="152"/>
      <c r="GN38" s="153"/>
      <c r="GO38" s="152"/>
      <c r="GP38" s="153"/>
      <c r="GQ38" s="152"/>
      <c r="GR38" s="153"/>
      <c r="GS38" s="152"/>
      <c r="GT38" s="153"/>
      <c r="GU38" s="152"/>
      <c r="GV38" s="153"/>
      <c r="GW38" s="152"/>
      <c r="GX38" s="153"/>
      <c r="GY38" s="152"/>
      <c r="GZ38" s="153"/>
      <c r="HA38" s="152"/>
      <c r="HB38" s="153"/>
      <c r="HC38" s="152"/>
      <c r="HD38" s="153"/>
      <c r="HE38" s="152"/>
      <c r="HF38" s="153"/>
      <c r="HG38" s="152"/>
      <c r="HH38" s="153"/>
      <c r="HI38" s="152"/>
      <c r="HJ38" s="153"/>
      <c r="HK38" s="152"/>
      <c r="HL38" s="153"/>
      <c r="HM38" s="152"/>
      <c r="HN38" s="153"/>
      <c r="HO38" s="152"/>
      <c r="HP38" s="153"/>
      <c r="HQ38" s="152"/>
      <c r="HR38" s="153"/>
      <c r="HS38" s="152"/>
      <c r="HT38" s="153"/>
      <c r="HU38" s="152"/>
      <c r="HV38" s="153"/>
      <c r="HW38" s="152"/>
      <c r="HX38" s="153"/>
      <c r="HY38" s="152"/>
      <c r="HZ38" s="153"/>
      <c r="IA38" s="152"/>
      <c r="IB38" s="153"/>
      <c r="IC38" s="152"/>
      <c r="ID38" s="153"/>
      <c r="IE38" s="152"/>
      <c r="IF38" s="153"/>
      <c r="IG38" s="152"/>
      <c r="IH38" s="153"/>
      <c r="II38" s="152"/>
      <c r="IJ38" s="153"/>
      <c r="IK38" s="152"/>
      <c r="IL38" s="153"/>
      <c r="IM38" s="152"/>
      <c r="IN38" s="153"/>
      <c r="IO38" s="152"/>
      <c r="IP38" s="153"/>
      <c r="IQ38" s="152"/>
      <c r="IR38" s="153"/>
      <c r="IS38" s="152"/>
      <c r="IT38" s="153"/>
      <c r="IU38" s="152"/>
      <c r="IV38" s="153"/>
      <c r="IW38" s="152"/>
      <c r="IX38" s="153"/>
      <c r="IY38" s="152"/>
      <c r="IZ38" s="153"/>
    </row>
    <row r="39" spans="1:260" x14ac:dyDescent="0.25">
      <c r="A39" s="1589">
        <v>45658</v>
      </c>
      <c r="B39" s="162" t="s">
        <v>218</v>
      </c>
      <c r="C39" s="163" cm="1">
        <f t="array" ref="C39">SUM(_xlfn._xlws.FILTER(E39:IZ39, MOD(COLUMN(E39:IZ39)-COLUMN(E39)+1,2)=1))</f>
        <v>26210</v>
      </c>
      <c r="D39" s="164" cm="1">
        <f t="array" ref="D39">SUMPRODUCT(_xlfn._xlws.FILTER(E39:IZ39, MOD(COLUMN(E39:IZ39)-COLUMN(E39)+1,2)=1), _xlfn._xlws.FILTER(E39:IZ39, MOD(COLUMN(E39:IZ39)-COLUMN(E39)+1,2)=0))/C39</f>
        <v>2.2263113315528424</v>
      </c>
      <c r="E39" s="165">
        <f>INDEX('STOPE SUMMARY PIVOT'!$D$1538:$D$1665,MATCH(E$1,'STOPE SUMMARY PIVOT'!$A$1538:$A$1665,0))</f>
        <v>0</v>
      </c>
      <c r="F39" s="174">
        <f>INDEX('STOPE SUMMARY PIVOT'!$E$1538:$E$1665, MATCH(E$1,'STOPE SUMMARY PIVOT'!$A$1538:$A$1665, 0))</f>
        <v>0</v>
      </c>
      <c r="G39" s="165">
        <f>INDEX('STOPE SUMMARY PIVOT'!$D$1538:$D$1665,MATCH(G$1,'STOPE SUMMARY PIVOT'!$A$1538:$A$1665,0))</f>
        <v>0</v>
      </c>
      <c r="H39" s="174">
        <f>INDEX('STOPE SUMMARY PIVOT'!$E$1538:$E$1665, MATCH(G$1,'STOPE SUMMARY PIVOT'!$A$1538:$A$1665, 0))</f>
        <v>0</v>
      </c>
      <c r="I39" s="165">
        <f>INDEX('STOPE SUMMARY PIVOT'!$D$1538:$D$1665,MATCH(I$1,'STOPE SUMMARY PIVOT'!$A$1538:$A$1665,0))</f>
        <v>0</v>
      </c>
      <c r="J39" s="166">
        <f>INDEX('STOPE SUMMARY PIVOT'!$E$1538:$E$1665, MATCH(I$1,'STOPE SUMMARY PIVOT'!$A$1538:$A$1665, 0))</f>
        <v>0</v>
      </c>
      <c r="K39" s="165">
        <f>INDEX('STOPE SUMMARY PIVOT'!$D$1538:$D$1665,MATCH(K$1,'STOPE SUMMARY PIVOT'!$A$1538:$A$1665,0))</f>
        <v>0</v>
      </c>
      <c r="L39" s="166">
        <f>INDEX('STOPE SUMMARY PIVOT'!$E$1538:$E$1665, MATCH(K$1,'STOPE SUMMARY PIVOT'!$A$1538:$A$1665, 0))</f>
        <v>0</v>
      </c>
      <c r="M39" s="165">
        <f>INDEX('STOPE SUMMARY PIVOT'!$D$1538:$D$1665,MATCH(M$1,'STOPE SUMMARY PIVOT'!$A$1538:$A$1665,0))</f>
        <v>0</v>
      </c>
      <c r="N39" s="166">
        <f>INDEX('STOPE SUMMARY PIVOT'!$E$1538:$E$1665, MATCH(M$1,'STOPE SUMMARY PIVOT'!$A$1538:$A$1665, 0))</f>
        <v>0</v>
      </c>
      <c r="O39" s="165">
        <f>INDEX('STOPE SUMMARY PIVOT'!$D$1538:$D$1665,MATCH(O$1,'STOPE SUMMARY PIVOT'!$A$1538:$A$1665,0))</f>
        <v>0</v>
      </c>
      <c r="P39" s="166">
        <f>INDEX('STOPE SUMMARY PIVOT'!$E$1538:$E$1665, MATCH(O$1,'STOPE SUMMARY PIVOT'!$A$1538:$A$1665, 0))</f>
        <v>0</v>
      </c>
      <c r="Q39" s="165">
        <f>INDEX('STOPE SUMMARY PIVOT'!$D$1538:$D$1665,MATCH(Q$1,'STOPE SUMMARY PIVOT'!$A$1538:$A$1665,0))</f>
        <v>0</v>
      </c>
      <c r="R39" s="166">
        <f>INDEX('STOPE SUMMARY PIVOT'!$E$1538:$E$1665, MATCH(Q$1,'STOPE SUMMARY PIVOT'!$A$1538:$A$1665, 0))</f>
        <v>0</v>
      </c>
      <c r="S39" s="165">
        <f>INDEX('STOPE SUMMARY PIVOT'!$D$1538:$D$1665,MATCH(S$1,'STOPE SUMMARY PIVOT'!$A$1538:$A$1665,0))</f>
        <v>0</v>
      </c>
      <c r="T39" s="166">
        <f>INDEX('STOPE SUMMARY PIVOT'!$E$1538:$E$1665, MATCH(S$1,'STOPE SUMMARY PIVOT'!$A$1538:$A$1665, 0))</f>
        <v>0</v>
      </c>
      <c r="U39" s="165">
        <f>INDEX('STOPE SUMMARY PIVOT'!$D$1538:$D$1665,MATCH(U$1,'STOPE SUMMARY PIVOT'!$A$1538:$A$1665,0))</f>
        <v>521</v>
      </c>
      <c r="V39" s="174">
        <f>INDEX('STOPE SUMMARY PIVOT'!$E$1538:$E$1665, MATCH(U$1,'STOPE SUMMARY PIVOT'!$A$1538:$A$1665, 0))</f>
        <v>3.11</v>
      </c>
      <c r="W39" s="165">
        <f>INDEX('STOPE SUMMARY PIVOT'!$D$1538:$D$1665,MATCH(W$1,'STOPE SUMMARY PIVOT'!$A$1538:$A$1665,0))</f>
        <v>0</v>
      </c>
      <c r="X39" s="174">
        <f>INDEX('STOPE SUMMARY PIVOT'!$E$1538:$E$1665, MATCH(W$1,'STOPE SUMMARY PIVOT'!$A$1538:$A$1665, 0))</f>
        <v>0</v>
      </c>
      <c r="Y39" s="165">
        <f>INDEX('STOPE SUMMARY PIVOT'!$D$1538:$D$1665,MATCH(Y$1,'STOPE SUMMARY PIVOT'!$A$1538:$A$1665,0))</f>
        <v>658</v>
      </c>
      <c r="Z39" s="174">
        <f>INDEX('STOPE SUMMARY PIVOT'!$E$1538:$E$1665, MATCH(Y$1,'STOPE SUMMARY PIVOT'!$A$1538:$A$1665, 0))</f>
        <v>2.5499999999999998</v>
      </c>
      <c r="AA39" s="165">
        <f>INDEX('STOPE SUMMARY PIVOT'!$D$1538:$D$1665,MATCH(AA$1,'STOPE SUMMARY PIVOT'!$A$1538:$A$1665,0))</f>
        <v>0</v>
      </c>
      <c r="AB39" s="174">
        <f>INDEX('STOPE SUMMARY PIVOT'!$E$1538:$E$1665, MATCH(AA$1,'STOPE SUMMARY PIVOT'!$A$1538:$A$1665, 0))</f>
        <v>0</v>
      </c>
      <c r="AC39" s="165">
        <f>INDEX('STOPE SUMMARY PIVOT'!$D$1538:$D$1665,MATCH(AC$1,'STOPE SUMMARY PIVOT'!$A$1538:$A$1665,0))</f>
        <v>0</v>
      </c>
      <c r="AD39" s="174">
        <f>INDEX('STOPE SUMMARY PIVOT'!$E$1538:$E$1665, MATCH(AC$1,'STOPE SUMMARY PIVOT'!$A$1538:$A$1665, 0))</f>
        <v>0</v>
      </c>
      <c r="AE39" s="165">
        <f>INDEX('STOPE SUMMARY PIVOT'!$D$1538:$D$1665,MATCH(AE$1,'STOPE SUMMARY PIVOT'!$A$1538:$A$1665,0))</f>
        <v>0</v>
      </c>
      <c r="AF39" s="174">
        <f>INDEX('STOPE SUMMARY PIVOT'!$E$1538:$E$1665, MATCH(AE$1,'STOPE SUMMARY PIVOT'!$A$1538:$A$1665, 0))</f>
        <v>0</v>
      </c>
      <c r="AG39" s="165">
        <f>INDEX('STOPE SUMMARY PIVOT'!$D$1538:$D$1665,MATCH(AG$1,'STOPE SUMMARY PIVOT'!$A$1538:$A$1665,0))</f>
        <v>0</v>
      </c>
      <c r="AH39" s="174">
        <f>INDEX('STOPE SUMMARY PIVOT'!$E$1538:$E$1665, MATCH(AG$1,'STOPE SUMMARY PIVOT'!$A$1538:$A$1665, 0))</f>
        <v>0</v>
      </c>
      <c r="AI39" s="165">
        <f>INDEX('STOPE SUMMARY PIVOT'!$D$1538:$D$1665,MATCH(AI$1,'STOPE SUMMARY PIVOT'!$A$1538:$A$1665,0))</f>
        <v>0</v>
      </c>
      <c r="AJ39" s="174">
        <f>INDEX('STOPE SUMMARY PIVOT'!$E$1538:$E$1665, MATCH(AI$1,'STOPE SUMMARY PIVOT'!$A$1538:$A$1665, 0))</f>
        <v>0</v>
      </c>
      <c r="AK39" s="165">
        <f>INDEX('STOPE SUMMARY PIVOT'!$D$1538:$D$1665,MATCH(AK$1,'STOPE SUMMARY PIVOT'!$A$1538:$A$1665,0))</f>
        <v>0</v>
      </c>
      <c r="AL39" s="174">
        <f>INDEX('STOPE SUMMARY PIVOT'!$E$1538:$E$1665, MATCH(AK$1,'STOPE SUMMARY PIVOT'!$A$1538:$A$1665, 0))</f>
        <v>0</v>
      </c>
      <c r="AM39" s="165">
        <f>INDEX('STOPE SUMMARY PIVOT'!$D$1538:$D$1665,MATCH(AM$1,'STOPE SUMMARY PIVOT'!$A$1538:$A$1665,0))</f>
        <v>0</v>
      </c>
      <c r="AN39" s="174">
        <f>INDEX('STOPE SUMMARY PIVOT'!$E$1538:$E$1665, MATCH(AM$1,'STOPE SUMMARY PIVOT'!$A$1538:$A$1665, 0))</f>
        <v>0</v>
      </c>
      <c r="AO39" s="165">
        <f>INDEX('STOPE SUMMARY PIVOT'!$D$1538:$D$1665,MATCH(AO$1,'STOPE SUMMARY PIVOT'!$A$1538:$A$1665,0))</f>
        <v>0</v>
      </c>
      <c r="AP39" s="174">
        <f>INDEX('STOPE SUMMARY PIVOT'!$E$1538:$E$1665, MATCH(AO$1,'STOPE SUMMARY PIVOT'!$A$1538:$A$1665, 0))</f>
        <v>0</v>
      </c>
      <c r="AQ39" s="165">
        <f>INDEX('STOPE SUMMARY PIVOT'!$D$1538:$D$1665,MATCH(AQ$1,'STOPE SUMMARY PIVOT'!$A$1538:$A$1665,0))</f>
        <v>0</v>
      </c>
      <c r="AR39" s="174">
        <f>INDEX('STOPE SUMMARY PIVOT'!$E$1538:$E$1665, MATCH(AQ$1,'STOPE SUMMARY PIVOT'!$A$1538:$A$1665, 0))</f>
        <v>0</v>
      </c>
      <c r="AS39" s="165">
        <f>INDEX('STOPE SUMMARY PIVOT'!$D$1538:$D$1665,MATCH(AS$1,'STOPE SUMMARY PIVOT'!$A$1538:$A$1665,0))</f>
        <v>0</v>
      </c>
      <c r="AT39" s="174">
        <f>INDEX('STOPE SUMMARY PIVOT'!$E$1538:$E$1665, MATCH(AS$1,'STOPE SUMMARY PIVOT'!$A$1538:$A$1665, 0))</f>
        <v>0</v>
      </c>
      <c r="AU39" s="165">
        <f>INDEX('STOPE SUMMARY PIVOT'!$D$1538:$D$1665,MATCH(AU$1,'STOPE SUMMARY PIVOT'!$A$1538:$A$1665,0))</f>
        <v>0</v>
      </c>
      <c r="AV39" s="174">
        <f>INDEX('STOPE SUMMARY PIVOT'!$E$1538:$E$1665, MATCH(AU$1,'STOPE SUMMARY PIVOT'!$A$1538:$A$1665, 0))</f>
        <v>0</v>
      </c>
      <c r="AW39" s="165">
        <f>INDEX('STOPE SUMMARY PIVOT'!$D$1538:$D$1665,MATCH(AW$1,'STOPE SUMMARY PIVOT'!$A$1538:$A$1665,0))</f>
        <v>0</v>
      </c>
      <c r="AX39" s="174">
        <f>INDEX('STOPE SUMMARY PIVOT'!$E$1538:$E$1665, MATCH(AW$1,'STOPE SUMMARY PIVOT'!$A$1538:$A$1665, 0))</f>
        <v>0</v>
      </c>
      <c r="AY39" s="165">
        <f>INDEX('STOPE SUMMARY PIVOT'!$D$1538:$D$1665,MATCH(AY$1,'STOPE SUMMARY PIVOT'!$A$1538:$A$1665,0))</f>
        <v>0</v>
      </c>
      <c r="AZ39" s="174">
        <f>INDEX('STOPE SUMMARY PIVOT'!$E$1538:$E$1665, MATCH(AY$1,'STOPE SUMMARY PIVOT'!$A$1538:$A$1665, 0))</f>
        <v>0</v>
      </c>
      <c r="BA39" s="165">
        <f>INDEX('STOPE SUMMARY PIVOT'!$D$1538:$D$1665,MATCH(BA$1,'STOPE SUMMARY PIVOT'!$A$1538:$A$1665,0))</f>
        <v>0</v>
      </c>
      <c r="BB39" s="174">
        <f>INDEX('STOPE SUMMARY PIVOT'!$E$1538:$E$1665, MATCH(BA$1,'STOPE SUMMARY PIVOT'!$A$1538:$A$1665, 0))</f>
        <v>0</v>
      </c>
      <c r="BC39" s="165">
        <f>INDEX('STOPE SUMMARY PIVOT'!$D$1538:$D$1665,MATCH(BC$1,'STOPE SUMMARY PIVOT'!$A$1538:$A$1665,0))</f>
        <v>0</v>
      </c>
      <c r="BD39" s="174">
        <f>INDEX('STOPE SUMMARY PIVOT'!$E$1538:$E$1665, MATCH(BC$1,'STOPE SUMMARY PIVOT'!$A$1538:$A$1665, 0))</f>
        <v>0</v>
      </c>
      <c r="BE39" s="165">
        <f>INDEX('STOPE SUMMARY PIVOT'!$D$1538:$D$1665,MATCH(BE$1,'STOPE SUMMARY PIVOT'!$A$1538:$A$1665,0))</f>
        <v>0</v>
      </c>
      <c r="BF39" s="174">
        <f>INDEX('STOPE SUMMARY PIVOT'!$E$1538:$E$1665, MATCH(BE$1,'STOPE SUMMARY PIVOT'!$A$1538:$A$1665, 0))</f>
        <v>0</v>
      </c>
      <c r="BG39" s="165">
        <f>INDEX('STOPE SUMMARY PIVOT'!$D$1538:$D$1665,MATCH(BG$1,'STOPE SUMMARY PIVOT'!$A$1538:$A$1665,0))</f>
        <v>0</v>
      </c>
      <c r="BH39" s="174">
        <f>INDEX('STOPE SUMMARY PIVOT'!$E$1538:$E$1665, MATCH(BG$1,'STOPE SUMMARY PIVOT'!$A$1538:$A$1665, 0))</f>
        <v>0</v>
      </c>
      <c r="BI39" s="165">
        <f>INDEX('STOPE SUMMARY PIVOT'!$D$1538:$D$1665,MATCH(BI$1,'STOPE SUMMARY PIVOT'!$A$1538:$A$1665,0))</f>
        <v>0</v>
      </c>
      <c r="BJ39" s="174">
        <f>INDEX('STOPE SUMMARY PIVOT'!$E$1538:$E$1665, MATCH(BI$1,'STOPE SUMMARY PIVOT'!$A$1538:$A$1665, 0))</f>
        <v>0</v>
      </c>
      <c r="BK39" s="165">
        <f>INDEX('STOPE SUMMARY PIVOT'!$D$1538:$D$1665,MATCH(BK$1,'STOPE SUMMARY PIVOT'!$A$1538:$A$1665,0))</f>
        <v>0</v>
      </c>
      <c r="BL39" s="174">
        <f>INDEX('STOPE SUMMARY PIVOT'!$E$1538:$E$1665, MATCH(BK$1,'STOPE SUMMARY PIVOT'!$A$1538:$A$1665, 0))</f>
        <v>0</v>
      </c>
      <c r="BM39" s="165">
        <f>INDEX('STOPE SUMMARY PIVOT'!$D$1538:$D$1665,MATCH(BM$1,'STOPE SUMMARY PIVOT'!$A$1538:$A$1665,0))</f>
        <v>0</v>
      </c>
      <c r="BN39" s="174">
        <f>INDEX('STOPE SUMMARY PIVOT'!$E$1538:$E$1665, MATCH(BM$1,'STOPE SUMMARY PIVOT'!$A$1538:$A$1665, 0))</f>
        <v>0</v>
      </c>
      <c r="BO39" s="165">
        <f>INDEX('STOPE SUMMARY PIVOT'!$D$1538:$D$1665,MATCH(BO$1,'STOPE SUMMARY PIVOT'!$A$1538:$A$1665,0))</f>
        <v>0</v>
      </c>
      <c r="BP39" s="174">
        <f>INDEX('STOPE SUMMARY PIVOT'!$E$1538:$E$1665, MATCH(BO$1,'STOPE SUMMARY PIVOT'!$A$1538:$A$1665, 0))</f>
        <v>0</v>
      </c>
      <c r="BQ39" s="165">
        <f>INDEX('STOPE SUMMARY PIVOT'!$D$1538:$D$1665,MATCH(BQ$1,'STOPE SUMMARY PIVOT'!$A$1538:$A$1665,0))</f>
        <v>0</v>
      </c>
      <c r="BR39" s="174">
        <f>INDEX('STOPE SUMMARY PIVOT'!$E$1538:$E$1665, MATCH(BQ$1,'STOPE SUMMARY PIVOT'!$A$1538:$A$1665, 0))</f>
        <v>0</v>
      </c>
      <c r="BS39" s="165">
        <f>INDEX('STOPE SUMMARY PIVOT'!$D$1538:$D$1665,MATCH(BS$1,'STOPE SUMMARY PIVOT'!$A$1538:$A$1665,0))</f>
        <v>2921</v>
      </c>
      <c r="BT39" s="174">
        <f>INDEX('STOPE SUMMARY PIVOT'!$E$1538:$E$1665, MATCH(BS$1,'STOPE SUMMARY PIVOT'!$A$1538:$A$1665, 0))</f>
        <v>2.71</v>
      </c>
      <c r="BU39" s="165">
        <f>INDEX('STOPE SUMMARY PIVOT'!$D$1538:$D$1665,MATCH(BU$1,'STOPE SUMMARY PIVOT'!$A$1538:$A$1665,0))</f>
        <v>1947</v>
      </c>
      <c r="BV39" s="174">
        <f>INDEX('STOPE SUMMARY PIVOT'!$E$1538:$E$1665, MATCH(BU$1,'STOPE SUMMARY PIVOT'!$A$1538:$A$1665, 0))</f>
        <v>1.4</v>
      </c>
      <c r="BW39" s="165">
        <f>INDEX('STOPE SUMMARY PIVOT'!$D$1538:$D$1665,MATCH(BW$1,'STOPE SUMMARY PIVOT'!$A$1538:$A$1665,0))</f>
        <v>0</v>
      </c>
      <c r="BX39" s="174">
        <f>INDEX('STOPE SUMMARY PIVOT'!$E$1538:$E$1665, MATCH(BW$1,'STOPE SUMMARY PIVOT'!$A$1538:$A$1665, 0))</f>
        <v>0</v>
      </c>
      <c r="BY39" s="165">
        <f>INDEX('STOPE SUMMARY PIVOT'!$D$1538:$D$1665,MATCH(BY$1,'STOPE SUMMARY PIVOT'!$A$1538:$A$1665,0))</f>
        <v>408</v>
      </c>
      <c r="BZ39" s="174">
        <f>INDEX('STOPE SUMMARY PIVOT'!$E$1538:$E$1665, MATCH(BY$1,'STOPE SUMMARY PIVOT'!$A$1538:$A$1665, 0))</f>
        <v>1.28</v>
      </c>
      <c r="CA39" s="165">
        <f>INDEX('STOPE SUMMARY PIVOT'!$D$1538:$D$1665,MATCH(CA$1,'STOPE SUMMARY PIVOT'!$A$1538:$A$1665,0))</f>
        <v>0</v>
      </c>
      <c r="CB39" s="174">
        <f>INDEX('STOPE SUMMARY PIVOT'!$E$1538:$E$1665, MATCH(CA$1,'STOPE SUMMARY PIVOT'!$A$1538:$A$1665, 0))</f>
        <v>0</v>
      </c>
      <c r="CC39" s="165">
        <f>INDEX('STOPE SUMMARY PIVOT'!$D$1538:$D$1665,MATCH(CC$1,'STOPE SUMMARY PIVOT'!$A$1538:$A$1665,0))</f>
        <v>0</v>
      </c>
      <c r="CD39" s="174">
        <f>INDEX('STOPE SUMMARY PIVOT'!$E$1538:$E$1665, MATCH(CC$1,'STOPE SUMMARY PIVOT'!$A$1538:$A$1665, 0))</f>
        <v>0</v>
      </c>
      <c r="CE39" s="165">
        <f>INDEX('STOPE SUMMARY PIVOT'!$D$1538:$D$1665,MATCH(CE$1,'STOPE SUMMARY PIVOT'!$A$1538:$A$1665,0))</f>
        <v>0</v>
      </c>
      <c r="CF39" s="174">
        <f>INDEX('STOPE SUMMARY PIVOT'!$E$1538:$E$1665, MATCH(CE$1,'STOPE SUMMARY PIVOT'!$A$1538:$A$1665, 0))</f>
        <v>0</v>
      </c>
      <c r="CG39" s="165">
        <f>INDEX('STOPE SUMMARY PIVOT'!$D$1538:$D$1665,MATCH(CG$1,'STOPE SUMMARY PIVOT'!$A$1538:$A$1665,0))</f>
        <v>0</v>
      </c>
      <c r="CH39" s="174">
        <f>INDEX('STOPE SUMMARY PIVOT'!$E$1538:$E$1665, MATCH(CG$1,'STOPE SUMMARY PIVOT'!$A$1538:$A$1665, 0))</f>
        <v>0</v>
      </c>
      <c r="CI39" s="165">
        <f>INDEX('STOPE SUMMARY PIVOT'!$D$1538:$D$1665,MATCH(CI$1,'STOPE SUMMARY PIVOT'!$A$1538:$A$1665,0))</f>
        <v>0</v>
      </c>
      <c r="CJ39" s="174">
        <f>INDEX('STOPE SUMMARY PIVOT'!$E$1538:$E$1665, MATCH(CI$1,'STOPE SUMMARY PIVOT'!$A$1538:$A$1665, 0))</f>
        <v>0</v>
      </c>
      <c r="CK39" s="165">
        <f>INDEX('STOPE SUMMARY PIVOT'!$D$1538:$D$1665,MATCH(CK$1,'STOPE SUMMARY PIVOT'!$A$1538:$A$1665,0))</f>
        <v>0</v>
      </c>
      <c r="CL39" s="174">
        <f>INDEX('STOPE SUMMARY PIVOT'!$E$1538:$E$1665, MATCH(CK$1,'STOPE SUMMARY PIVOT'!$A$1538:$A$1665, 0))</f>
        <v>0</v>
      </c>
      <c r="CM39" s="165">
        <f>INDEX('STOPE SUMMARY PIVOT'!$D$1538:$D$1665,MATCH(CM$1,'STOPE SUMMARY PIVOT'!$A$1538:$A$1665,0))</f>
        <v>0</v>
      </c>
      <c r="CN39" s="174">
        <f>INDEX('STOPE SUMMARY PIVOT'!$E$1538:$E$1665, MATCH(CM$1,'STOPE SUMMARY PIVOT'!$A$1538:$A$1665, 0))</f>
        <v>0</v>
      </c>
      <c r="CO39" s="165">
        <f>INDEX('STOPE SUMMARY PIVOT'!$D$1538:$D$1665,MATCH(CO$1,'STOPE SUMMARY PIVOT'!$A$1538:$A$1665,0))</f>
        <v>0</v>
      </c>
      <c r="CP39" s="174">
        <f>INDEX('STOPE SUMMARY PIVOT'!$E$1538:$E$1665, MATCH(CO$1,'STOPE SUMMARY PIVOT'!$A$1538:$A$1665, 0))</f>
        <v>0</v>
      </c>
      <c r="CQ39" s="165">
        <f>INDEX('STOPE SUMMARY PIVOT'!$D$1538:$D$1665,MATCH(CQ$1,'STOPE SUMMARY PIVOT'!$A$1538:$A$1665,0))</f>
        <v>3033</v>
      </c>
      <c r="CR39" s="174">
        <f>INDEX('STOPE SUMMARY PIVOT'!$E$1538:$E$1665, MATCH(CQ$1,'STOPE SUMMARY PIVOT'!$A$1538:$A$1665, 0))</f>
        <v>1.81</v>
      </c>
      <c r="CS39" s="165">
        <f>INDEX('STOPE SUMMARY PIVOT'!$D$1538:$D$1665,MATCH(CS$1,'STOPE SUMMARY PIVOT'!$A$1538:$A$1665,0))</f>
        <v>0</v>
      </c>
      <c r="CT39" s="174">
        <f>INDEX('STOPE SUMMARY PIVOT'!$E$1538:$E$1665, MATCH(CS$1,'STOPE SUMMARY PIVOT'!$A$1538:$A$1665, 0))</f>
        <v>0</v>
      </c>
      <c r="CU39" s="165">
        <f>INDEX('STOPE SUMMARY PIVOT'!$D$1538:$D$1665,MATCH(CU$1,'STOPE SUMMARY PIVOT'!$A$1538:$A$1665,0))</f>
        <v>0</v>
      </c>
      <c r="CV39" s="174">
        <f>INDEX('STOPE SUMMARY PIVOT'!$E$1538:$E$1665, MATCH(CU$1,'STOPE SUMMARY PIVOT'!$A$1538:$A$1665, 0))</f>
        <v>0</v>
      </c>
      <c r="CW39" s="165">
        <f>INDEX('STOPE SUMMARY PIVOT'!$D$1538:$D$1665,MATCH(CW$1,'STOPE SUMMARY PIVOT'!$A$1538:$A$1665,0))</f>
        <v>0</v>
      </c>
      <c r="CX39" s="174">
        <f>INDEX('STOPE SUMMARY PIVOT'!$E$1538:$E$1665, MATCH(CW$1,'STOPE SUMMARY PIVOT'!$A$1538:$A$1665, 0))</f>
        <v>0</v>
      </c>
      <c r="CY39" s="165">
        <f>INDEX('STOPE SUMMARY PIVOT'!$D$1538:$D$1665,MATCH(CY$1,'STOPE SUMMARY PIVOT'!$A$1538:$A$1665,0))</f>
        <v>0</v>
      </c>
      <c r="CZ39" s="174">
        <f>INDEX('STOPE SUMMARY PIVOT'!$E$1538:$E$1665, MATCH(CY$1,'STOPE SUMMARY PIVOT'!$A$1538:$A$1665, 0))</f>
        <v>0</v>
      </c>
      <c r="DA39" s="165">
        <f>INDEX('STOPE SUMMARY PIVOT'!$D$1538:$D$1665,MATCH(DA$1,'STOPE SUMMARY PIVOT'!$A$1538:$A$1665,0))</f>
        <v>0</v>
      </c>
      <c r="DB39" s="174">
        <f>INDEX('STOPE SUMMARY PIVOT'!$E$1538:$E$1665, MATCH(DA$1,'STOPE SUMMARY PIVOT'!$A$1538:$A$1665, 0))</f>
        <v>0</v>
      </c>
      <c r="DC39" s="165">
        <f>INDEX('STOPE SUMMARY PIVOT'!$D$1538:$D$1665,MATCH(DC$1,'STOPE SUMMARY PIVOT'!$A$1538:$A$1665,0))</f>
        <v>0</v>
      </c>
      <c r="DD39" s="174">
        <f>INDEX('STOPE SUMMARY PIVOT'!$E$1538:$E$1665, MATCH(DC$1,'STOPE SUMMARY PIVOT'!$A$1538:$A$1665, 0))</f>
        <v>0</v>
      </c>
      <c r="DE39" s="165">
        <f>INDEX('STOPE SUMMARY PIVOT'!$D$1538:$D$1665,MATCH(DE$1,'STOPE SUMMARY PIVOT'!$A$1538:$A$1665,0))</f>
        <v>0</v>
      </c>
      <c r="DF39" s="174">
        <f>INDEX('STOPE SUMMARY PIVOT'!$E$1538:$E$1665, MATCH(DE$1,'STOPE SUMMARY PIVOT'!$A$1538:$A$1665, 0))</f>
        <v>0</v>
      </c>
      <c r="DG39" s="165">
        <f>INDEX('STOPE SUMMARY PIVOT'!$D$1538:$D$1665,MATCH(DG$1,'STOPE SUMMARY PIVOT'!$A$1538:$A$1665,0))</f>
        <v>351</v>
      </c>
      <c r="DH39" s="174">
        <f>INDEX('STOPE SUMMARY PIVOT'!$E$1538:$E$1665, MATCH(DG$1,'STOPE SUMMARY PIVOT'!$A$1538:$A$1665, 0))</f>
        <v>1.82</v>
      </c>
      <c r="DI39" s="165">
        <f>INDEX('STOPE SUMMARY PIVOT'!$D$1538:$D$1665,MATCH(DI$1,'STOPE SUMMARY PIVOT'!$A$1538:$A$1665,0))</f>
        <v>0</v>
      </c>
      <c r="DJ39" s="174">
        <f>INDEX('STOPE SUMMARY PIVOT'!$E$1538:$E$1665, MATCH(DI$1,'STOPE SUMMARY PIVOT'!$A$1538:$A$1665, 0))</f>
        <v>0</v>
      </c>
      <c r="DK39" s="165">
        <f>INDEX('STOPE SUMMARY PIVOT'!$D$1538:$D$1665,MATCH(DK$1,'STOPE SUMMARY PIVOT'!$A$1538:$A$1665,0))</f>
        <v>0</v>
      </c>
      <c r="DL39" s="174">
        <f>INDEX('STOPE SUMMARY PIVOT'!$E$1538:$E$1665, MATCH(DK$1,'STOPE SUMMARY PIVOT'!$A$1538:$A$1665, 0))</f>
        <v>0</v>
      </c>
      <c r="DM39" s="165">
        <f>INDEX('STOPE SUMMARY PIVOT'!$D$1538:$D$1665,MATCH(DM$1,'STOPE SUMMARY PIVOT'!$A$1538:$A$1665,0))</f>
        <v>1908</v>
      </c>
      <c r="DN39" s="174">
        <f>INDEX('STOPE SUMMARY PIVOT'!$E$1538:$E$1665, MATCH(DM$1,'STOPE SUMMARY PIVOT'!$A$1538:$A$1665, 0))</f>
        <v>0.92</v>
      </c>
      <c r="DO39" s="165">
        <f>INDEX('STOPE SUMMARY PIVOT'!$D$1538:$D$1665,MATCH(DO$1,'STOPE SUMMARY PIVOT'!$A$1538:$A$1665,0))</f>
        <v>1947</v>
      </c>
      <c r="DP39" s="174">
        <f>INDEX('STOPE SUMMARY PIVOT'!$E$1538:$E$1665, MATCH(DO$1,'STOPE SUMMARY PIVOT'!$A$1538:$A$1665, 0))</f>
        <v>0.53</v>
      </c>
      <c r="DQ39" s="165">
        <f>INDEX('STOPE SUMMARY PIVOT'!$D$1538:$D$1665,MATCH(DQ$1,'STOPE SUMMARY PIVOT'!$A$1538:$A$1665,0))</f>
        <v>0</v>
      </c>
      <c r="DR39" s="174">
        <f>INDEX('STOPE SUMMARY PIVOT'!$E$1538:$E$1665, MATCH(DQ$1,'STOPE SUMMARY PIVOT'!$A$1538:$A$1665, 0))</f>
        <v>0</v>
      </c>
      <c r="DS39" s="165">
        <f>INDEX('STOPE SUMMARY PIVOT'!$D$1538:$D$1665,MATCH(DS$1,'STOPE SUMMARY PIVOT'!$A$1538:$A$1665,0))</f>
        <v>0</v>
      </c>
      <c r="DT39" s="174">
        <f>INDEX('STOPE SUMMARY PIVOT'!$E$1538:$E$1665, MATCH(DS$1,'STOPE SUMMARY PIVOT'!$A$1538:$A$1665, 0))</f>
        <v>0</v>
      </c>
      <c r="DU39" s="165">
        <f>INDEX('STOPE SUMMARY PIVOT'!$D$1538:$D$1665,MATCH(DU$1,'STOPE SUMMARY PIVOT'!$A$1538:$A$1665,0))</f>
        <v>0</v>
      </c>
      <c r="DV39" s="174">
        <f>INDEX('STOPE SUMMARY PIVOT'!$E$1538:$E$1665, MATCH(DU$1,'STOPE SUMMARY PIVOT'!$A$1538:$A$1665, 0))</f>
        <v>0</v>
      </c>
      <c r="DW39" s="165">
        <f>INDEX('STOPE SUMMARY PIVOT'!$D$1538:$D$1665,MATCH(DW$1,'STOPE SUMMARY PIVOT'!$A$1538:$A$1665,0))</f>
        <v>0</v>
      </c>
      <c r="DX39" s="174">
        <f>INDEX('STOPE SUMMARY PIVOT'!$E$1538:$E$1665, MATCH(DW$1,'STOPE SUMMARY PIVOT'!$A$1538:$A$1665, 0))</f>
        <v>0</v>
      </c>
      <c r="DY39" s="165">
        <f>INDEX('STOPE SUMMARY PIVOT'!$D$1538:$D$1665,MATCH(DY$1,'STOPE SUMMARY PIVOT'!$A$1538:$A$1665,0))</f>
        <v>0</v>
      </c>
      <c r="DZ39" s="174">
        <f>INDEX('STOPE SUMMARY PIVOT'!$E$1538:$E$1665, MATCH(DY$1,'STOPE SUMMARY PIVOT'!$A$1538:$A$1665, 0))</f>
        <v>0</v>
      </c>
      <c r="EA39" s="165">
        <f>INDEX('STOPE SUMMARY PIVOT'!$D$1538:$D$1665,MATCH(EA$1,'STOPE SUMMARY PIVOT'!$A$1538:$A$1665,0))</f>
        <v>0</v>
      </c>
      <c r="EB39" s="174">
        <f>INDEX('STOPE SUMMARY PIVOT'!$E$1538:$E$1665, MATCH(EA$1,'STOPE SUMMARY PIVOT'!$A$1538:$A$1665, 0))</f>
        <v>0</v>
      </c>
      <c r="EC39" s="165">
        <f>INDEX('STOPE SUMMARY PIVOT'!$D$1538:$D$1665,MATCH(EC$1,'STOPE SUMMARY PIVOT'!$A$1538:$A$1665,0))</f>
        <v>0</v>
      </c>
      <c r="ED39" s="174">
        <f>INDEX('STOPE SUMMARY PIVOT'!$E$1538:$E$1665, MATCH(EC$1,'STOPE SUMMARY PIVOT'!$A$1538:$A$1665, 0))</f>
        <v>0</v>
      </c>
      <c r="EE39" s="165">
        <f>INDEX('STOPE SUMMARY PIVOT'!$D$1538:$D$1665,MATCH(EE$1,'STOPE SUMMARY PIVOT'!$A$1538:$A$1665,0))</f>
        <v>0</v>
      </c>
      <c r="EF39" s="174">
        <f>INDEX('STOPE SUMMARY PIVOT'!$E$1538:$E$1665, MATCH(EE$1,'STOPE SUMMARY PIVOT'!$A$1538:$A$1665, 0))</f>
        <v>0</v>
      </c>
      <c r="EG39" s="165">
        <f>INDEX('STOPE SUMMARY PIVOT'!$D$1538:$D$1665,MATCH(EG$1,'STOPE SUMMARY PIVOT'!$A$1538:$A$1665,0))</f>
        <v>0</v>
      </c>
      <c r="EH39" s="174">
        <f>INDEX('STOPE SUMMARY PIVOT'!$E$1538:$E$1665, MATCH(EG$1,'STOPE SUMMARY PIVOT'!$A$1538:$A$1665, 0))</f>
        <v>0</v>
      </c>
      <c r="EI39" s="165">
        <f>INDEX('STOPE SUMMARY PIVOT'!$D$1538:$D$1665,MATCH(EI$1,'STOPE SUMMARY PIVOT'!$A$1538:$A$1665,0))</f>
        <v>0</v>
      </c>
      <c r="EJ39" s="174">
        <f>INDEX('STOPE SUMMARY PIVOT'!$E$1538:$E$1665, MATCH(EI$1,'STOPE SUMMARY PIVOT'!$A$1538:$A$1665, 0))</f>
        <v>0</v>
      </c>
      <c r="EK39" s="165">
        <f>INDEX('STOPE SUMMARY PIVOT'!$D$1538:$D$1665,MATCH(EK$1,'STOPE SUMMARY PIVOT'!$A$1538:$A$1665,0))</f>
        <v>0</v>
      </c>
      <c r="EL39" s="174">
        <f>INDEX('STOPE SUMMARY PIVOT'!$E$1538:$E$1665, MATCH(EK$1,'STOPE SUMMARY PIVOT'!$A$1538:$A$1665, 0))</f>
        <v>0</v>
      </c>
      <c r="EM39" s="165">
        <f>INDEX('STOPE SUMMARY PIVOT'!$D$1538:$D$1665,MATCH(EM$1,'STOPE SUMMARY PIVOT'!$A$1538:$A$1665,0))</f>
        <v>0</v>
      </c>
      <c r="EN39" s="174">
        <f>INDEX('STOPE SUMMARY PIVOT'!$E$1538:$E$1665, MATCH(EM$1,'STOPE SUMMARY PIVOT'!$A$1538:$A$1665, 0))</f>
        <v>0</v>
      </c>
      <c r="EO39" s="165">
        <f>INDEX('STOPE SUMMARY PIVOT'!$D$1538:$D$1665,MATCH(EO$1,'STOPE SUMMARY PIVOT'!$A$1538:$A$1665,0))</f>
        <v>2921</v>
      </c>
      <c r="EP39" s="174">
        <f>INDEX('STOPE SUMMARY PIVOT'!$E$1538:$E$1665, MATCH(EO$1,'STOPE SUMMARY PIVOT'!$A$1538:$A$1665, 0))</f>
        <v>2.83</v>
      </c>
      <c r="EQ39" s="165">
        <f>INDEX('STOPE SUMMARY PIVOT'!$D$1538:$D$1665,MATCH(EQ$1,'STOPE SUMMARY PIVOT'!$A$1538:$A$1665,0))</f>
        <v>0</v>
      </c>
      <c r="ER39" s="174">
        <f>INDEX('STOPE SUMMARY PIVOT'!$E$1538:$E$1665, MATCH(EQ$1,'STOPE SUMMARY PIVOT'!$A$1538:$A$1665, 0))</f>
        <v>0</v>
      </c>
      <c r="ES39" s="165">
        <f>INDEX('STOPE SUMMARY PIVOT'!$D$1538:$D$1665,MATCH(ES$1,'STOPE SUMMARY PIVOT'!$A$1538:$A$1665,0))</f>
        <v>0</v>
      </c>
      <c r="ET39" s="174">
        <f>INDEX('STOPE SUMMARY PIVOT'!$E$1538:$E$1665, MATCH(ES$1,'STOPE SUMMARY PIVOT'!$A$1538:$A$1665, 0))</f>
        <v>0</v>
      </c>
      <c r="EU39" s="165">
        <f>INDEX('STOPE SUMMARY PIVOT'!$D$1538:$D$1665,MATCH(EU$1,'STOPE SUMMARY PIVOT'!$A$1538:$A$1665,0))</f>
        <v>0</v>
      </c>
      <c r="EV39" s="174">
        <f>INDEX('STOPE SUMMARY PIVOT'!$E$1538:$E$1665, MATCH(EU$1,'STOPE SUMMARY PIVOT'!$A$1538:$A$1665, 0))</f>
        <v>0</v>
      </c>
      <c r="EW39" s="165">
        <f>INDEX('STOPE SUMMARY PIVOT'!$D$1538:$D$1665,MATCH(EW$1,'STOPE SUMMARY PIVOT'!$A$1538:$A$1665,0))</f>
        <v>0</v>
      </c>
      <c r="EX39" s="174">
        <f>INDEX('STOPE SUMMARY PIVOT'!$E$1538:$E$1665, MATCH(EW$1,'STOPE SUMMARY PIVOT'!$A$1538:$A$1665, 0))</f>
        <v>0</v>
      </c>
      <c r="EY39" s="165">
        <f>INDEX('STOPE SUMMARY PIVOT'!$D$1538:$D$1665,MATCH(EY$1,'STOPE SUMMARY PIVOT'!$A$1538:$A$1665,0))</f>
        <v>0</v>
      </c>
      <c r="EZ39" s="174">
        <f>INDEX('STOPE SUMMARY PIVOT'!$E$1538:$E$1665, MATCH(EY$1,'STOPE SUMMARY PIVOT'!$A$1538:$A$1665, 0))</f>
        <v>0</v>
      </c>
      <c r="FA39" s="165">
        <f>INDEX('STOPE SUMMARY PIVOT'!$D$1538:$D$1665,MATCH(FA$1,'STOPE SUMMARY PIVOT'!$A$1538:$A$1665,0))</f>
        <v>0</v>
      </c>
      <c r="FB39" s="174">
        <f>INDEX('STOPE SUMMARY PIVOT'!$E$1538:$E$1665, MATCH(FA$1,'STOPE SUMMARY PIVOT'!$A$1538:$A$1665, 0))</f>
        <v>0</v>
      </c>
      <c r="FC39" s="165">
        <f>INDEX('STOPE SUMMARY PIVOT'!$D$1538:$D$1665,MATCH(FC$1,'STOPE SUMMARY PIVOT'!$A$1538:$A$1665,0))</f>
        <v>0</v>
      </c>
      <c r="FD39" s="174">
        <f>INDEX('STOPE SUMMARY PIVOT'!$E$1538:$E$1665, MATCH(FC$1,'STOPE SUMMARY PIVOT'!$A$1538:$A$1665, 0))</f>
        <v>0</v>
      </c>
      <c r="FE39" s="165">
        <f>INDEX('STOPE SUMMARY PIVOT'!$D$1538:$D$1665,MATCH(FE$1,'STOPE SUMMARY PIVOT'!$A$1538:$A$1665,0))</f>
        <v>1947</v>
      </c>
      <c r="FF39" s="174">
        <f>INDEX('STOPE SUMMARY PIVOT'!$E$1538:$E$1665, MATCH(FE$1,'STOPE SUMMARY PIVOT'!$A$1538:$A$1665, 0))</f>
        <v>3.06</v>
      </c>
      <c r="FG39" s="165">
        <f>INDEX('STOPE SUMMARY PIVOT'!$D$1538:$D$1665,MATCH(FG$1,'STOPE SUMMARY PIVOT'!$A$1538:$A$1665,0))</f>
        <v>1807</v>
      </c>
      <c r="FH39" s="174">
        <f>INDEX('STOPE SUMMARY PIVOT'!$E$1538:$E$1665, MATCH(FG$1,'STOPE SUMMARY PIVOT'!$A$1538:$A$1665, 0))</f>
        <v>1.57</v>
      </c>
      <c r="FI39" s="165">
        <f>INDEX('STOPE SUMMARY PIVOT'!$D$1538:$D$1665,MATCH(FI$1,'STOPE SUMMARY PIVOT'!$A$1538:$A$1665,0))</f>
        <v>1947</v>
      </c>
      <c r="FJ39" s="174">
        <f>INDEX('STOPE SUMMARY PIVOT'!$E$1538:$E$1665, MATCH(FI$1,'STOPE SUMMARY PIVOT'!$A$1538:$A$1665, 0))</f>
        <v>2.7</v>
      </c>
      <c r="FK39" s="165">
        <f>INDEX('STOPE SUMMARY PIVOT'!$D$1538:$D$1665,MATCH(FK$1,'STOPE SUMMARY PIVOT'!$A$1538:$A$1665,0))</f>
        <v>0</v>
      </c>
      <c r="FL39" s="174">
        <f>INDEX('STOPE SUMMARY PIVOT'!$E$1538:$E$1665, MATCH(FK$1,'STOPE SUMMARY PIVOT'!$A$1538:$A$1665, 0))</f>
        <v>0</v>
      </c>
      <c r="FM39" s="165">
        <f>INDEX('STOPE SUMMARY PIVOT'!$D$1538:$D$1665,MATCH(FM$1,'STOPE SUMMARY PIVOT'!$A$1538:$A$1665,0))</f>
        <v>1947</v>
      </c>
      <c r="FN39" s="174">
        <f>INDEX('STOPE SUMMARY PIVOT'!$E$1538:$E$1665, MATCH(FM$1,'STOPE SUMMARY PIVOT'!$A$1538:$A$1665, 0))</f>
        <v>3.63</v>
      </c>
      <c r="FO39" s="165">
        <f>INDEX('STOPE SUMMARY PIVOT'!$D$1538:$D$1665,MATCH(FO$1,'STOPE SUMMARY PIVOT'!$A$1538:$A$1665,0))</f>
        <v>1947</v>
      </c>
      <c r="FP39" s="174">
        <f>INDEX('STOPE SUMMARY PIVOT'!$E$1538:$E$1665, MATCH(FO$1,'STOPE SUMMARY PIVOT'!$A$1538:$A$1665, 0))</f>
        <v>2.87</v>
      </c>
      <c r="FQ39" s="165">
        <f>INDEX('STOPE SUMMARY PIVOT'!$D$1538:$D$1665,MATCH(FQ$1,'STOPE SUMMARY PIVOT'!$A$1538:$A$1665,0))</f>
        <v>0</v>
      </c>
      <c r="FR39" s="174">
        <f>INDEX('STOPE SUMMARY PIVOT'!$E$1538:$E$1665, MATCH(FQ$1,'STOPE SUMMARY PIVOT'!$A$1538:$A$1665, 0))</f>
        <v>0</v>
      </c>
      <c r="FS39" s="165">
        <f>INDEX('STOPE SUMMARY PIVOT'!$D$1538:$D$1665,MATCH(FS$1,'STOPE SUMMARY PIVOT'!$A$1538:$A$1665,0))</f>
        <v>0</v>
      </c>
      <c r="FT39" s="174">
        <f>INDEX('STOPE SUMMARY PIVOT'!$E$1538:$E$1665, MATCH(FS$1,'STOPE SUMMARY PIVOT'!$A$1538:$A$1665, 0))</f>
        <v>0</v>
      </c>
      <c r="FU39" s="165">
        <f>INDEX('STOPE SUMMARY PIVOT'!$D$1538:$D$1665,MATCH(FU$1,'STOPE SUMMARY PIVOT'!$A$1538:$A$1665,0))</f>
        <v>0</v>
      </c>
      <c r="FV39" s="174">
        <f>INDEX('STOPE SUMMARY PIVOT'!$E$1538:$E$1665, MATCH(FU$1,'STOPE SUMMARY PIVOT'!$A$1538:$A$1665, 0))</f>
        <v>0</v>
      </c>
      <c r="FW39" s="165">
        <f>INDEX('STOPE SUMMARY PIVOT'!$D$1538:$D$1665,MATCH(FW$1,'STOPE SUMMARY PIVOT'!$A$1538:$A$1665,0))</f>
        <v>0</v>
      </c>
      <c r="FX39" s="174">
        <f>INDEX('STOPE SUMMARY PIVOT'!$E$1538:$E$1665, MATCH(FW$1,'STOPE SUMMARY PIVOT'!$A$1538:$A$1665, 0))</f>
        <v>0</v>
      </c>
      <c r="FY39" s="165">
        <f>INDEX('STOPE SUMMARY PIVOT'!$D$1538:$D$1665,MATCH(FY$1,'STOPE SUMMARY PIVOT'!$A$1538:$A$1665,0))</f>
        <v>0</v>
      </c>
      <c r="FZ39" s="174">
        <f>INDEX('STOPE SUMMARY PIVOT'!$E$1538:$E$1665, MATCH(FY$1,'STOPE SUMMARY PIVOT'!$A$1538:$A$1665, 0))</f>
        <v>0</v>
      </c>
      <c r="GA39" s="165">
        <f>INDEX('STOPE SUMMARY PIVOT'!$D$1538:$D$1665,MATCH(GA$1,'STOPE SUMMARY PIVOT'!$A$1538:$A$1665,0))</f>
        <v>0</v>
      </c>
      <c r="GB39" s="174">
        <f>INDEX('STOPE SUMMARY PIVOT'!$E$1538:$E$1665, MATCH(GA$1,'STOPE SUMMARY PIVOT'!$A$1538:$A$1665, 0))</f>
        <v>0</v>
      </c>
      <c r="GC39" s="165">
        <f>INDEX('STOPE SUMMARY PIVOT'!$D$1538:$D$1665,MATCH(GC$1,'STOPE SUMMARY PIVOT'!$A$1538:$A$1665,0))</f>
        <v>0</v>
      </c>
      <c r="GD39" s="174">
        <f>INDEX('STOPE SUMMARY PIVOT'!$E$1538:$E$1665, MATCH(GC$1,'STOPE SUMMARY PIVOT'!$A$1538:$A$1665, 0))</f>
        <v>0</v>
      </c>
      <c r="GE39" s="165">
        <f>INDEX('STOPE SUMMARY PIVOT'!$D$1538:$D$1665,MATCH(GE$1,'STOPE SUMMARY PIVOT'!$A$1538:$A$1665,0))</f>
        <v>0</v>
      </c>
      <c r="GF39" s="174">
        <f>INDEX('STOPE SUMMARY PIVOT'!$E$1538:$E$1665, MATCH(GE$1,'STOPE SUMMARY PIVOT'!$A$1538:$A$1665, 0))</f>
        <v>0</v>
      </c>
      <c r="GG39" s="165">
        <f>INDEX('STOPE SUMMARY PIVOT'!$D$1538:$D$1665,MATCH(GG$1,'STOPE SUMMARY PIVOT'!$A$1538:$A$1665,0))</f>
        <v>0</v>
      </c>
      <c r="GH39" s="174">
        <f>INDEX('STOPE SUMMARY PIVOT'!$E$1538:$E$1665, MATCH(GG$1,'STOPE SUMMARY PIVOT'!$A$1538:$A$1665, 0))</f>
        <v>0</v>
      </c>
      <c r="GI39" s="165">
        <f>INDEX('STOPE SUMMARY PIVOT'!$D$1538:$D$1665,MATCH(GI$1,'STOPE SUMMARY PIVOT'!$A$1538:$A$1665,0))</f>
        <v>0</v>
      </c>
      <c r="GJ39" s="174">
        <f>INDEX('STOPE SUMMARY PIVOT'!$E$1538:$E$1665, MATCH(GI$1,'STOPE SUMMARY PIVOT'!$A$1538:$A$1665, 0))</f>
        <v>0</v>
      </c>
      <c r="GK39" s="165">
        <f>INDEX('STOPE SUMMARY PIVOT'!$D$1538:$D$1665,MATCH(GK$1,'STOPE SUMMARY PIVOT'!$A$1538:$A$1665,0))</f>
        <v>0</v>
      </c>
      <c r="GL39" s="174">
        <f>INDEX('STOPE SUMMARY PIVOT'!$E$1538:$E$1665, MATCH(GK$1,'STOPE SUMMARY PIVOT'!$A$1538:$A$1665, 0))</f>
        <v>0</v>
      </c>
      <c r="GM39" s="165">
        <f>INDEX('STOPE SUMMARY PIVOT'!$D$1538:$D$1665,MATCH(GM$1,'STOPE SUMMARY PIVOT'!$A$1538:$A$1665,0))</f>
        <v>0</v>
      </c>
      <c r="GN39" s="174">
        <f>INDEX('STOPE SUMMARY PIVOT'!$E$1538:$E$1665, MATCH(GM$1,'STOPE SUMMARY PIVOT'!$A$1538:$A$1665, 0))</f>
        <v>0</v>
      </c>
      <c r="GO39" s="165">
        <f>INDEX('STOPE SUMMARY PIVOT'!$D$1538:$D$1665,MATCH(GO$1,'STOPE SUMMARY PIVOT'!$A$1538:$A$1665,0))</f>
        <v>0</v>
      </c>
      <c r="GP39" s="174">
        <f>INDEX('STOPE SUMMARY PIVOT'!$E$1538:$E$1665, MATCH(GO$1,'STOPE SUMMARY PIVOT'!$A$1538:$A$1665, 0))</f>
        <v>0</v>
      </c>
      <c r="GQ39" s="165">
        <f>INDEX('STOPE SUMMARY PIVOT'!$D$1538:$D$1665,MATCH(GQ$1,'STOPE SUMMARY PIVOT'!$A$1538:$A$1665,0))</f>
        <v>0</v>
      </c>
      <c r="GR39" s="174">
        <f>INDEX('STOPE SUMMARY PIVOT'!$E$1538:$E$1665, MATCH(GQ$1,'STOPE SUMMARY PIVOT'!$A$1538:$A$1665, 0))</f>
        <v>0</v>
      </c>
      <c r="GS39" s="165">
        <f>INDEX('STOPE SUMMARY PIVOT'!$D$1538:$D$1665,MATCH(GS$1,'STOPE SUMMARY PIVOT'!$A$1538:$A$1665,0))</f>
        <v>0</v>
      </c>
      <c r="GT39" s="174">
        <f>INDEX('STOPE SUMMARY PIVOT'!$E$1538:$E$1665, MATCH(GS$1,'STOPE SUMMARY PIVOT'!$A$1538:$A$1665, 0))</f>
        <v>0</v>
      </c>
      <c r="GU39" s="165">
        <f>INDEX('STOPE SUMMARY PIVOT'!$D$1538:$D$1665,MATCH(GU$1,'STOPE SUMMARY PIVOT'!$A$1538:$A$1665,0))</f>
        <v>0</v>
      </c>
      <c r="GV39" s="174">
        <f>INDEX('STOPE SUMMARY PIVOT'!$E$1538:$E$1665, MATCH(GU$1,'STOPE SUMMARY PIVOT'!$A$1538:$A$1665, 0))</f>
        <v>0</v>
      </c>
      <c r="GW39" s="165">
        <f>INDEX('STOPE SUMMARY PIVOT'!$D$1538:$D$1665,MATCH(GW$1,'STOPE SUMMARY PIVOT'!$A$1538:$A$1665,0))</f>
        <v>0</v>
      </c>
      <c r="GX39" s="174">
        <f>INDEX('STOPE SUMMARY PIVOT'!$E$1538:$E$1665, MATCH(GW$1,'STOPE SUMMARY PIVOT'!$A$1538:$A$1665, 0))</f>
        <v>0</v>
      </c>
      <c r="GY39" s="165">
        <f>INDEX('STOPE SUMMARY PIVOT'!$D$1538:$D$1665,MATCH(GY$1,'STOPE SUMMARY PIVOT'!$A$1538:$A$1665,0))</f>
        <v>0</v>
      </c>
      <c r="GZ39" s="174">
        <f>INDEX('STOPE SUMMARY PIVOT'!$E$1538:$E$1665, MATCH(GY$1,'STOPE SUMMARY PIVOT'!$A$1538:$A$1665, 0))</f>
        <v>0</v>
      </c>
      <c r="HA39" s="165">
        <f>INDEX('STOPE SUMMARY PIVOT'!$D$1538:$D$1665,MATCH(HA$1,'STOPE SUMMARY PIVOT'!$A$1538:$A$1665,0))</f>
        <v>0</v>
      </c>
      <c r="HB39" s="174">
        <f>INDEX('STOPE SUMMARY PIVOT'!$E$1538:$E$1665, MATCH(HA$1,'STOPE SUMMARY PIVOT'!$A$1538:$A$1665, 0))</f>
        <v>0</v>
      </c>
      <c r="HC39" s="165">
        <f>INDEX('STOPE SUMMARY PIVOT'!$D$1538:$D$1665,MATCH(HC$1,'STOPE SUMMARY PIVOT'!$A$1538:$A$1665,0))</f>
        <v>0</v>
      </c>
      <c r="HD39" s="174">
        <f>INDEX('STOPE SUMMARY PIVOT'!$E$1538:$E$1665, MATCH(HC$1,'STOPE SUMMARY PIVOT'!$A$1538:$A$1665, 0))</f>
        <v>0</v>
      </c>
      <c r="HE39" s="165">
        <f>INDEX('STOPE SUMMARY PIVOT'!$D$1538:$D$1665,MATCH(HE$1,'STOPE SUMMARY PIVOT'!$A$1538:$A$1665,0))</f>
        <v>0</v>
      </c>
      <c r="HF39" s="174">
        <f>INDEX('STOPE SUMMARY PIVOT'!$E$1538:$E$1665, MATCH(HE$1,'STOPE SUMMARY PIVOT'!$A$1538:$A$1665, 0))</f>
        <v>0</v>
      </c>
      <c r="HG39" s="165">
        <f>INDEX('STOPE SUMMARY PIVOT'!$D$1538:$D$1665,MATCH(HG$1,'STOPE SUMMARY PIVOT'!$A$1538:$A$1665,0))</f>
        <v>0</v>
      </c>
      <c r="HH39" s="174">
        <f>INDEX('STOPE SUMMARY PIVOT'!$E$1538:$E$1665, MATCH(HG$1,'STOPE SUMMARY PIVOT'!$A$1538:$A$1665, 0))</f>
        <v>0</v>
      </c>
      <c r="HI39" s="165">
        <f>INDEX('STOPE SUMMARY PIVOT'!$D$1538:$D$1665,MATCH(HI$1,'STOPE SUMMARY PIVOT'!$A$1538:$A$1665,0))</f>
        <v>0</v>
      </c>
      <c r="HJ39" s="174">
        <f>INDEX('STOPE SUMMARY PIVOT'!$E$1538:$E$1665, MATCH(HI$1,'STOPE SUMMARY PIVOT'!$A$1538:$A$1665, 0))</f>
        <v>0</v>
      </c>
      <c r="HK39" s="165">
        <f>INDEX('STOPE SUMMARY PIVOT'!$D$1538:$D$1665,MATCH(HK$1,'STOPE SUMMARY PIVOT'!$A$1538:$A$1665,0))</f>
        <v>0</v>
      </c>
      <c r="HL39" s="174">
        <f>INDEX('STOPE SUMMARY PIVOT'!$E$1538:$E$1665, MATCH(HK$1,'STOPE SUMMARY PIVOT'!$A$1538:$A$1665, 0))</f>
        <v>0</v>
      </c>
      <c r="HM39" s="165">
        <f>INDEX('STOPE SUMMARY PIVOT'!$D$1538:$D$1665,MATCH(HM$1,'STOPE SUMMARY PIVOT'!$A$1538:$A$1665,0))</f>
        <v>0</v>
      </c>
      <c r="HN39" s="174">
        <f>INDEX('STOPE SUMMARY PIVOT'!$E$1538:$E$1665, MATCH(HM$1,'STOPE SUMMARY PIVOT'!$A$1538:$A$1665, 0))</f>
        <v>0</v>
      </c>
      <c r="HO39" s="165">
        <f>INDEX('STOPE SUMMARY PIVOT'!$D$1538:$D$1665,MATCH(HO$1,'STOPE SUMMARY PIVOT'!$A$1538:$A$1665,0))</f>
        <v>0</v>
      </c>
      <c r="HP39" s="174">
        <f>INDEX('STOPE SUMMARY PIVOT'!$E$1538:$E$1665, MATCH(HO$1,'STOPE SUMMARY PIVOT'!$A$1538:$A$1665, 0))</f>
        <v>0</v>
      </c>
      <c r="HQ39" s="165">
        <f>INDEX('STOPE SUMMARY PIVOT'!$D$1538:$D$1665,MATCH(HQ$1,'STOPE SUMMARY PIVOT'!$A$1538:$A$1665,0))</f>
        <v>0</v>
      </c>
      <c r="HR39" s="174">
        <f>INDEX('STOPE SUMMARY PIVOT'!$E$1538:$E$1665, MATCH(HQ$1,'STOPE SUMMARY PIVOT'!$A$1538:$A$1665, 0))</f>
        <v>0</v>
      </c>
      <c r="HS39" s="165">
        <f>INDEX('STOPE SUMMARY PIVOT'!$D$1538:$D$1665,MATCH(HS$1,'STOPE SUMMARY PIVOT'!$A$1538:$A$1665,0))</f>
        <v>0</v>
      </c>
      <c r="HT39" s="174">
        <f>INDEX('STOPE SUMMARY PIVOT'!$E$1538:$E$1665, MATCH(HS$1,'STOPE SUMMARY PIVOT'!$A$1538:$A$1665, 0))</f>
        <v>0</v>
      </c>
      <c r="HU39" s="165">
        <f>INDEX('STOPE SUMMARY PIVOT'!$D$1538:$D$1665,MATCH(HU$1,'STOPE SUMMARY PIVOT'!$A$1538:$A$1665,0))</f>
        <v>0</v>
      </c>
      <c r="HV39" s="174">
        <f>INDEX('STOPE SUMMARY PIVOT'!$E$1538:$E$1665, MATCH(HU$1,'STOPE SUMMARY PIVOT'!$A$1538:$A$1665, 0))</f>
        <v>0</v>
      </c>
      <c r="HW39" s="165">
        <f>INDEX('STOPE SUMMARY PIVOT'!$D$1538:$D$1665,MATCH(HW$1,'STOPE SUMMARY PIVOT'!$A$1538:$A$1665,0))</f>
        <v>0</v>
      </c>
      <c r="HX39" s="174">
        <f>INDEX('STOPE SUMMARY PIVOT'!$E$1538:$E$1665, MATCH(HW$1,'STOPE SUMMARY PIVOT'!$A$1538:$A$1665, 0))</f>
        <v>0</v>
      </c>
      <c r="HY39" s="165">
        <f>INDEX('STOPE SUMMARY PIVOT'!$D$1538:$D$1665,MATCH(HY$1,'STOPE SUMMARY PIVOT'!$A$1538:$A$1665,0))</f>
        <v>0</v>
      </c>
      <c r="HZ39" s="174">
        <f>INDEX('STOPE SUMMARY PIVOT'!$E$1538:$E$1665, MATCH(HY$1,'STOPE SUMMARY PIVOT'!$A$1538:$A$1665, 0))</f>
        <v>0</v>
      </c>
      <c r="IA39" s="165">
        <f>INDEX('STOPE SUMMARY PIVOT'!$D$1538:$D$1665,MATCH(IA$1,'STOPE SUMMARY PIVOT'!$A$1538:$A$1665,0))</f>
        <v>0</v>
      </c>
      <c r="IB39" s="174">
        <f>INDEX('STOPE SUMMARY PIVOT'!$E$1538:$E$1665, MATCH(IA$1,'STOPE SUMMARY PIVOT'!$A$1538:$A$1665, 0))</f>
        <v>0</v>
      </c>
      <c r="IC39" s="165">
        <f>INDEX('STOPE SUMMARY PIVOT'!$D$1538:$D$1665,MATCH(IC$1,'STOPE SUMMARY PIVOT'!$A$1538:$A$1665,0))</f>
        <v>0</v>
      </c>
      <c r="ID39" s="174">
        <f>INDEX('STOPE SUMMARY PIVOT'!$E$1538:$E$1665, MATCH(IC$1,'STOPE SUMMARY PIVOT'!$A$1538:$A$1665, 0))</f>
        <v>0</v>
      </c>
      <c r="IE39" s="165">
        <f>INDEX('STOPE SUMMARY PIVOT'!$D$1538:$D$1665,MATCH(IE$1,'STOPE SUMMARY PIVOT'!$A$1538:$A$1665,0))</f>
        <v>0</v>
      </c>
      <c r="IF39" s="174">
        <f>INDEX('STOPE SUMMARY PIVOT'!$E$1538:$E$1665, MATCH(IE$1,'STOPE SUMMARY PIVOT'!$A$1538:$A$1665, 0))</f>
        <v>0</v>
      </c>
      <c r="IG39" s="165">
        <f>INDEX('STOPE SUMMARY PIVOT'!$D$1538:$D$1665,MATCH(IG$1,'STOPE SUMMARY PIVOT'!$A$1538:$A$1665,0))</f>
        <v>0</v>
      </c>
      <c r="IH39" s="174">
        <f>INDEX('STOPE SUMMARY PIVOT'!$E$1538:$E$1665, MATCH(IG$1,'STOPE SUMMARY PIVOT'!$A$1538:$A$1665, 0))</f>
        <v>0</v>
      </c>
      <c r="II39" s="165">
        <f>INDEX('STOPE SUMMARY PIVOT'!$D$1538:$D$1665,MATCH(II$1,'STOPE SUMMARY PIVOT'!$A$1538:$A$1665,0))</f>
        <v>0</v>
      </c>
      <c r="IJ39" s="174">
        <f>INDEX('STOPE SUMMARY PIVOT'!$E$1538:$E$1665, MATCH(II$1,'STOPE SUMMARY PIVOT'!$A$1538:$A$1665, 0))</f>
        <v>0</v>
      </c>
      <c r="IK39" s="165">
        <f>INDEX('STOPE SUMMARY PIVOT'!$D$1538:$D$1665,MATCH(IK$1,'STOPE SUMMARY PIVOT'!$A$1538:$A$1665,0))</f>
        <v>0</v>
      </c>
      <c r="IL39" s="174">
        <f>INDEX('STOPE SUMMARY PIVOT'!$E$1538:$E$1665, MATCH(IK$1,'STOPE SUMMARY PIVOT'!$A$1538:$A$1665, 0))</f>
        <v>0</v>
      </c>
      <c r="IM39" s="165">
        <f>INDEX('STOPE SUMMARY PIVOT'!$D$1538:$D$1665,MATCH(IM$1,'STOPE SUMMARY PIVOT'!$A$1538:$A$1665,0))</f>
        <v>0</v>
      </c>
      <c r="IN39" s="174">
        <f>INDEX('STOPE SUMMARY PIVOT'!$E$1538:$E$1665, MATCH(IM$1,'STOPE SUMMARY PIVOT'!$A$1538:$A$1665, 0))</f>
        <v>0</v>
      </c>
      <c r="IO39" s="165">
        <f>INDEX('STOPE SUMMARY PIVOT'!$D$1538:$D$1665,MATCH(IO$1,'STOPE SUMMARY PIVOT'!$A$1538:$A$1665,0))</f>
        <v>0</v>
      </c>
      <c r="IP39" s="174">
        <f>INDEX('STOPE SUMMARY PIVOT'!$E$1538:$E$1665, MATCH(IO$1,'STOPE SUMMARY PIVOT'!$A$1538:$A$1665, 0))</f>
        <v>0</v>
      </c>
      <c r="IQ39" s="165">
        <f>INDEX('STOPE SUMMARY PIVOT'!$D$1538:$D$1665,MATCH(IQ$1,'STOPE SUMMARY PIVOT'!$A$1538:$A$1665,0))</f>
        <v>0</v>
      </c>
      <c r="IR39" s="174">
        <f>INDEX('STOPE SUMMARY PIVOT'!$E$1538:$E$1665, MATCH(IQ$1,'STOPE SUMMARY PIVOT'!$A$1538:$A$1665, 0))</f>
        <v>0</v>
      </c>
      <c r="IS39" s="165">
        <f>INDEX('STOPE SUMMARY PIVOT'!$D$1538:$D$1665,MATCH(IS$1,'STOPE SUMMARY PIVOT'!$A$1538:$A$1665,0))</f>
        <v>0</v>
      </c>
      <c r="IT39" s="174">
        <f>INDEX('STOPE SUMMARY PIVOT'!$E$1538:$E$1665, MATCH(IS$1,'STOPE SUMMARY PIVOT'!$A$1538:$A$1665, 0))</f>
        <v>0</v>
      </c>
      <c r="IU39" s="165">
        <f>INDEX('STOPE SUMMARY PIVOT'!$D$1538:$D$1665,MATCH(IU$1,'STOPE SUMMARY PIVOT'!$A$1538:$A$1665,0))</f>
        <v>0</v>
      </c>
      <c r="IV39" s="174">
        <f>INDEX('STOPE SUMMARY PIVOT'!$E$1538:$E$1665, MATCH(IU$1,'STOPE SUMMARY PIVOT'!$A$1538:$A$1665, 0))</f>
        <v>0</v>
      </c>
      <c r="IW39" s="165">
        <f>INDEX('STOPE SUMMARY PIVOT'!$D$1538:$D$1665,MATCH(IW$1,'STOPE SUMMARY PIVOT'!$A$1538:$A$1665,0))</f>
        <v>0</v>
      </c>
      <c r="IX39" s="174">
        <f>INDEX('STOPE SUMMARY PIVOT'!$E$1538:$E$1665, MATCH(IW$1,'STOPE SUMMARY PIVOT'!$A$1538:$A$1665, 0))</f>
        <v>0</v>
      </c>
      <c r="IY39" s="165">
        <f>INDEX('STOPE SUMMARY PIVOT'!$D$1538:$D$1665,MATCH(IY$1,'STOPE SUMMARY PIVOT'!$A$1538:$A$1665,0))</f>
        <v>0</v>
      </c>
      <c r="IZ39" s="174">
        <f>INDEX('STOPE SUMMARY PIVOT'!$E$1538:$E$1665, MATCH(IY$1,'STOPE SUMMARY PIVOT'!$A$1538:$A$1665, 0))</f>
        <v>0</v>
      </c>
    </row>
    <row r="40" spans="1:260" x14ac:dyDescent="0.25">
      <c r="A40" s="1590"/>
      <c r="B40" s="167" t="s">
        <v>219</v>
      </c>
      <c r="C40" s="168" cm="1">
        <f t="array" ref="C40">SUM(_xlfn._xlws.FILTER(E40:IZ40, MOD(COLUMN(E40:IZ40)-COLUMN(E40)+1,2)=1))</f>
        <v>24395</v>
      </c>
      <c r="D40" s="26" cm="1">
        <f t="array" ref="D40">SUMPRODUCT(_xlfn._xlws.FILTER(E40:IZ40, MOD(COLUMN(E40:IZ40)-COLUMN(E40)+1,2)=1), _xlfn._xlws.FILTER(E40:IZ40, MOD(COLUMN(E40:IZ40)-COLUMN(E40)+1,2)=0))/C40</f>
        <v>2.2554734576757527</v>
      </c>
      <c r="E40" s="154">
        <f>INDEX('STOPE SUMMARY PIVOT'!$G$1538:$G$1665, MATCH(E$1,'STOPE SUMMARY PIVOT'!$A$1538:$A$1665, 0))</f>
        <v>0</v>
      </c>
      <c r="F40" s="175">
        <f>INDEX('STOPE SUMMARY PIVOT'!$H$1538:$H$1665, MATCH(E$1,'STOPE SUMMARY PIVOT'!$A$1538:$A$1665, 0))</f>
        <v>0</v>
      </c>
      <c r="G40" s="154">
        <f>INDEX('STOPE SUMMARY PIVOT'!$G$1538:$G$1665, MATCH(G$1,'STOPE SUMMARY PIVOT'!$A$1538:$A$1665, 0))</f>
        <v>0</v>
      </c>
      <c r="H40" s="175">
        <f>INDEX('STOPE SUMMARY PIVOT'!$H$1538:$H$1665, MATCH(G$1,'STOPE SUMMARY PIVOT'!$A$1538:$A$1665, 0))</f>
        <v>0</v>
      </c>
      <c r="I40" s="154">
        <f>INDEX('STOPE SUMMARY PIVOT'!$G$1538:$G$1665, MATCH(I$1,'STOPE SUMMARY PIVOT'!$A$1538:$A$1665, 0))</f>
        <v>0</v>
      </c>
      <c r="J40" s="143">
        <f>INDEX('STOPE SUMMARY PIVOT'!$H$1538:$H$1665, MATCH(I$1,'STOPE SUMMARY PIVOT'!$A$1538:$A$1665, 0))</f>
        <v>0</v>
      </c>
      <c r="K40" s="154">
        <f>INDEX('STOPE SUMMARY PIVOT'!$G$1538:$G$1665, MATCH(K$1,'STOPE SUMMARY PIVOT'!$A$1538:$A$1665, 0))</f>
        <v>0</v>
      </c>
      <c r="L40" s="143">
        <f>INDEX('STOPE SUMMARY PIVOT'!$H$1538:$H$1665, MATCH(K$1,'STOPE SUMMARY PIVOT'!$A$1538:$A$1665, 0))</f>
        <v>0</v>
      </c>
      <c r="M40" s="154">
        <f>INDEX('STOPE SUMMARY PIVOT'!$G$1538:$G$1665, MATCH(M$1,'STOPE SUMMARY PIVOT'!$A$1538:$A$1665, 0))</f>
        <v>0</v>
      </c>
      <c r="N40" s="143">
        <f>INDEX('STOPE SUMMARY PIVOT'!$H$1538:$H$1665, MATCH(M$1,'STOPE SUMMARY PIVOT'!$A$1538:$A$1665, 0))</f>
        <v>0</v>
      </c>
      <c r="O40" s="154">
        <f>INDEX('STOPE SUMMARY PIVOT'!$G$1538:$G$1665, MATCH(O$1,'STOPE SUMMARY PIVOT'!$A$1538:$A$1665, 0))</f>
        <v>0</v>
      </c>
      <c r="P40" s="143">
        <f>INDEX('STOPE SUMMARY PIVOT'!$H$1538:$H$1665, MATCH(O$1,'STOPE SUMMARY PIVOT'!$A$1538:$A$1665, 0))</f>
        <v>0</v>
      </c>
      <c r="Q40" s="154">
        <f>INDEX('STOPE SUMMARY PIVOT'!$G$1538:$G$1665, MATCH(Q$1,'STOPE SUMMARY PIVOT'!$A$1538:$A$1665, 0))</f>
        <v>0</v>
      </c>
      <c r="R40" s="143">
        <f>INDEX('STOPE SUMMARY PIVOT'!$H$1538:$H$1665, MATCH(Q$1,'STOPE SUMMARY PIVOT'!$A$1538:$A$1665, 0))</f>
        <v>0</v>
      </c>
      <c r="S40" s="154">
        <f>INDEX('STOPE SUMMARY PIVOT'!$G$1538:$G$1665, MATCH(S$1,'STOPE SUMMARY PIVOT'!$A$1538:$A$1665, 0))</f>
        <v>0</v>
      </c>
      <c r="T40" s="143">
        <f>INDEX('STOPE SUMMARY PIVOT'!$H$1538:$H$1665, MATCH(S$1,'STOPE SUMMARY PIVOT'!$A$1538:$A$1665, 0))</f>
        <v>0</v>
      </c>
      <c r="U40" s="154">
        <f>INDEX('STOPE SUMMARY PIVOT'!$G$1538:$G$1665, MATCH(U$1,'STOPE SUMMARY PIVOT'!$A$1538:$A$1665, 0))</f>
        <v>0</v>
      </c>
      <c r="V40" s="175">
        <f>INDEX('STOPE SUMMARY PIVOT'!$H$1538:$H$1665, MATCH(U$1,'STOPE SUMMARY PIVOT'!$A$1538:$A$1665, 0))</f>
        <v>0</v>
      </c>
      <c r="W40" s="154">
        <f>INDEX('STOPE SUMMARY PIVOT'!$G$1538:$G$1665, MATCH(W$1,'STOPE SUMMARY PIVOT'!$A$1538:$A$1665, 0))</f>
        <v>0</v>
      </c>
      <c r="X40" s="175">
        <f>INDEX('STOPE SUMMARY PIVOT'!$H$1538:$H$1665, MATCH(W$1,'STOPE SUMMARY PIVOT'!$A$1538:$A$1665, 0))</f>
        <v>0</v>
      </c>
      <c r="Y40" s="154">
        <f>INDEX('STOPE SUMMARY PIVOT'!$G$1538:$G$1665, MATCH(Y$1,'STOPE SUMMARY PIVOT'!$A$1538:$A$1665, 0))</f>
        <v>0</v>
      </c>
      <c r="Z40" s="175">
        <f>INDEX('STOPE SUMMARY PIVOT'!$H$1538:$H$1665, MATCH(Y$1,'STOPE SUMMARY PIVOT'!$A$1538:$A$1665, 0))</f>
        <v>0</v>
      </c>
      <c r="AA40" s="154">
        <f>INDEX('STOPE SUMMARY PIVOT'!$G$1538:$G$1665, MATCH(AA$1,'STOPE SUMMARY PIVOT'!$A$1538:$A$1665, 0))</f>
        <v>0</v>
      </c>
      <c r="AB40" s="175">
        <f>INDEX('STOPE SUMMARY PIVOT'!$H$1538:$H$1665, MATCH(AA$1,'STOPE SUMMARY PIVOT'!$A$1538:$A$1665, 0))</f>
        <v>0</v>
      </c>
      <c r="AC40" s="154">
        <f>INDEX('STOPE SUMMARY PIVOT'!$G$1538:$G$1665, MATCH(AC$1,'STOPE SUMMARY PIVOT'!$A$1538:$A$1665, 0))</f>
        <v>0</v>
      </c>
      <c r="AD40" s="175">
        <f>INDEX('STOPE SUMMARY PIVOT'!$H$1538:$H$1665, MATCH(AC$1,'STOPE SUMMARY PIVOT'!$A$1538:$A$1665, 0))</f>
        <v>0</v>
      </c>
      <c r="AE40" s="154">
        <f>INDEX('STOPE SUMMARY PIVOT'!$G$1538:$G$1665, MATCH(AE$1,'STOPE SUMMARY PIVOT'!$A$1538:$A$1665, 0))</f>
        <v>0</v>
      </c>
      <c r="AF40" s="175">
        <f>INDEX('STOPE SUMMARY PIVOT'!$H$1538:$H$1665, MATCH(AE$1,'STOPE SUMMARY PIVOT'!$A$1538:$A$1665, 0))</f>
        <v>0</v>
      </c>
      <c r="AG40" s="154">
        <f>INDEX('STOPE SUMMARY PIVOT'!$G$1538:$G$1665, MATCH(AG$1,'STOPE SUMMARY PIVOT'!$A$1538:$A$1665, 0))</f>
        <v>0</v>
      </c>
      <c r="AH40" s="175">
        <f>INDEX('STOPE SUMMARY PIVOT'!$H$1538:$H$1665, MATCH(AG$1,'STOPE SUMMARY PIVOT'!$A$1538:$A$1665, 0))</f>
        <v>0</v>
      </c>
      <c r="AI40" s="154">
        <f>INDEX('STOPE SUMMARY PIVOT'!$G$1538:$G$1665, MATCH(AI$1,'STOPE SUMMARY PIVOT'!$A$1538:$A$1665, 0))</f>
        <v>0</v>
      </c>
      <c r="AJ40" s="175">
        <f>INDEX('STOPE SUMMARY PIVOT'!$H$1538:$H$1665, MATCH(AI$1,'STOPE SUMMARY PIVOT'!$A$1538:$A$1665, 0))</f>
        <v>0</v>
      </c>
      <c r="AK40" s="154">
        <f>INDEX('STOPE SUMMARY PIVOT'!$G$1538:$G$1665, MATCH(AK$1,'STOPE SUMMARY PIVOT'!$A$1538:$A$1665, 0))</f>
        <v>0</v>
      </c>
      <c r="AL40" s="175">
        <f>INDEX('STOPE SUMMARY PIVOT'!$H$1538:$H$1665, MATCH(AK$1,'STOPE SUMMARY PIVOT'!$A$1538:$A$1665, 0))</f>
        <v>0</v>
      </c>
      <c r="AM40" s="154">
        <f>INDEX('STOPE SUMMARY PIVOT'!$G$1538:$G$1665, MATCH(AM$1,'STOPE SUMMARY PIVOT'!$A$1538:$A$1665, 0))</f>
        <v>0</v>
      </c>
      <c r="AN40" s="175">
        <f>INDEX('STOPE SUMMARY PIVOT'!$H$1538:$H$1665, MATCH(AM$1,'STOPE SUMMARY PIVOT'!$A$1538:$A$1665, 0))</f>
        <v>0</v>
      </c>
      <c r="AO40" s="154">
        <f>INDEX('STOPE SUMMARY PIVOT'!$G$1538:$G$1665, MATCH(AO$1,'STOPE SUMMARY PIVOT'!$A$1538:$A$1665, 0))</f>
        <v>0</v>
      </c>
      <c r="AP40" s="175">
        <f>INDEX('STOPE SUMMARY PIVOT'!$H$1538:$H$1665, MATCH(AO$1,'STOPE SUMMARY PIVOT'!$A$1538:$A$1665, 0))</f>
        <v>0</v>
      </c>
      <c r="AQ40" s="154">
        <f>INDEX('STOPE SUMMARY PIVOT'!$G$1538:$G$1665, MATCH(AQ$1,'STOPE SUMMARY PIVOT'!$A$1538:$A$1665, 0))</f>
        <v>0</v>
      </c>
      <c r="AR40" s="175">
        <f>INDEX('STOPE SUMMARY PIVOT'!$H$1538:$H$1665, MATCH(AQ$1,'STOPE SUMMARY PIVOT'!$A$1538:$A$1665, 0))</f>
        <v>0</v>
      </c>
      <c r="AS40" s="154">
        <f>INDEX('STOPE SUMMARY PIVOT'!$G$1538:$G$1665, MATCH(AS$1,'STOPE SUMMARY PIVOT'!$A$1538:$A$1665, 0))</f>
        <v>0</v>
      </c>
      <c r="AT40" s="175">
        <f>INDEX('STOPE SUMMARY PIVOT'!$H$1538:$H$1665, MATCH(AS$1,'STOPE SUMMARY PIVOT'!$A$1538:$A$1665, 0))</f>
        <v>0</v>
      </c>
      <c r="AU40" s="154">
        <f>INDEX('STOPE SUMMARY PIVOT'!$G$1538:$G$1665, MATCH(AU$1,'STOPE SUMMARY PIVOT'!$A$1538:$A$1665, 0))</f>
        <v>0</v>
      </c>
      <c r="AV40" s="175">
        <f>INDEX('STOPE SUMMARY PIVOT'!$H$1538:$H$1665, MATCH(AU$1,'STOPE SUMMARY PIVOT'!$A$1538:$A$1665, 0))</f>
        <v>0</v>
      </c>
      <c r="AW40" s="154">
        <f>INDEX('STOPE SUMMARY PIVOT'!$G$1538:$G$1665, MATCH(AW$1,'STOPE SUMMARY PIVOT'!$A$1538:$A$1665, 0))</f>
        <v>0</v>
      </c>
      <c r="AX40" s="175">
        <f>INDEX('STOPE SUMMARY PIVOT'!$H$1538:$H$1665, MATCH(AW$1,'STOPE SUMMARY PIVOT'!$A$1538:$A$1665, 0))</f>
        <v>0</v>
      </c>
      <c r="AY40" s="154">
        <f>INDEX('STOPE SUMMARY PIVOT'!$G$1538:$G$1665, MATCH(AY$1,'STOPE SUMMARY PIVOT'!$A$1538:$A$1665, 0))</f>
        <v>0</v>
      </c>
      <c r="AZ40" s="175">
        <f>INDEX('STOPE SUMMARY PIVOT'!$H$1538:$H$1665, MATCH(AY$1,'STOPE SUMMARY PIVOT'!$A$1538:$A$1665, 0))</f>
        <v>0</v>
      </c>
      <c r="BA40" s="154">
        <f>INDEX('STOPE SUMMARY PIVOT'!$G$1538:$G$1665, MATCH(BA$1,'STOPE SUMMARY PIVOT'!$A$1538:$A$1665, 0))</f>
        <v>0</v>
      </c>
      <c r="BB40" s="175">
        <f>INDEX('STOPE SUMMARY PIVOT'!$H$1538:$H$1665, MATCH(BA$1,'STOPE SUMMARY PIVOT'!$A$1538:$A$1665, 0))</f>
        <v>0</v>
      </c>
      <c r="BC40" s="154">
        <f>INDEX('STOPE SUMMARY PIVOT'!$G$1538:$G$1665, MATCH(BC$1,'STOPE SUMMARY PIVOT'!$A$1538:$A$1665, 0))</f>
        <v>0</v>
      </c>
      <c r="BD40" s="175">
        <f>INDEX('STOPE SUMMARY PIVOT'!$H$1538:$H$1665, MATCH(BC$1,'STOPE SUMMARY PIVOT'!$A$1538:$A$1665, 0))</f>
        <v>0</v>
      </c>
      <c r="BE40" s="154">
        <f>INDEX('STOPE SUMMARY PIVOT'!$G$1538:$G$1665, MATCH(BE$1,'STOPE SUMMARY PIVOT'!$A$1538:$A$1665, 0))</f>
        <v>0</v>
      </c>
      <c r="BF40" s="175">
        <f>INDEX('STOPE SUMMARY PIVOT'!$H$1538:$H$1665, MATCH(BE$1,'STOPE SUMMARY PIVOT'!$A$1538:$A$1665, 0))</f>
        <v>0</v>
      </c>
      <c r="BG40" s="154">
        <f>INDEX('STOPE SUMMARY PIVOT'!$G$1538:$G$1665, MATCH(BG$1,'STOPE SUMMARY PIVOT'!$A$1538:$A$1665, 0))</f>
        <v>0</v>
      </c>
      <c r="BH40" s="175">
        <f>INDEX('STOPE SUMMARY PIVOT'!$H$1538:$H$1665, MATCH(BG$1,'STOPE SUMMARY PIVOT'!$A$1538:$A$1665, 0))</f>
        <v>0</v>
      </c>
      <c r="BI40" s="154">
        <f>INDEX('STOPE SUMMARY PIVOT'!$G$1538:$G$1665, MATCH(BI$1,'STOPE SUMMARY PIVOT'!$A$1538:$A$1665, 0))</f>
        <v>0</v>
      </c>
      <c r="BJ40" s="175">
        <f>INDEX('STOPE SUMMARY PIVOT'!$H$1538:$H$1665, MATCH(BI$1,'STOPE SUMMARY PIVOT'!$A$1538:$A$1665, 0))</f>
        <v>0</v>
      </c>
      <c r="BK40" s="154">
        <f>INDEX('STOPE SUMMARY PIVOT'!$G$1538:$G$1665, MATCH(BK$1,'STOPE SUMMARY PIVOT'!$A$1538:$A$1665, 0))</f>
        <v>0</v>
      </c>
      <c r="BL40" s="175">
        <f>INDEX('STOPE SUMMARY PIVOT'!$H$1538:$H$1665, MATCH(BK$1,'STOPE SUMMARY PIVOT'!$A$1538:$A$1665, 0))</f>
        <v>0</v>
      </c>
      <c r="BM40" s="154">
        <f>INDEX('STOPE SUMMARY PIVOT'!$G$1538:$G$1665, MATCH(BM$1,'STOPE SUMMARY PIVOT'!$A$1538:$A$1665, 0))</f>
        <v>0</v>
      </c>
      <c r="BN40" s="175">
        <f>INDEX('STOPE SUMMARY PIVOT'!$H$1538:$H$1665, MATCH(BM$1,'STOPE SUMMARY PIVOT'!$A$1538:$A$1665, 0))</f>
        <v>0</v>
      </c>
      <c r="BO40" s="154">
        <f>INDEX('STOPE SUMMARY PIVOT'!$G$1538:$G$1665, MATCH(BO$1,'STOPE SUMMARY PIVOT'!$A$1538:$A$1665, 0))</f>
        <v>0</v>
      </c>
      <c r="BP40" s="175">
        <f>INDEX('STOPE SUMMARY PIVOT'!$H$1538:$H$1665, MATCH(BO$1,'STOPE SUMMARY PIVOT'!$A$1538:$A$1665, 0))</f>
        <v>0</v>
      </c>
      <c r="BQ40" s="154">
        <f>INDEX('STOPE SUMMARY PIVOT'!$G$1538:$G$1665, MATCH(BQ$1,'STOPE SUMMARY PIVOT'!$A$1538:$A$1665, 0))</f>
        <v>0</v>
      </c>
      <c r="BR40" s="175">
        <f>INDEX('STOPE SUMMARY PIVOT'!$H$1538:$H$1665, MATCH(BQ$1,'STOPE SUMMARY PIVOT'!$A$1538:$A$1665, 0))</f>
        <v>0</v>
      </c>
      <c r="BS40" s="154">
        <f>INDEX('STOPE SUMMARY PIVOT'!$G$1538:$G$1665, MATCH(BS$1,'STOPE SUMMARY PIVOT'!$A$1538:$A$1665, 0))</f>
        <v>0</v>
      </c>
      <c r="BT40" s="175">
        <f>INDEX('STOPE SUMMARY PIVOT'!$H$1538:$H$1665, MATCH(BS$1,'STOPE SUMMARY PIVOT'!$A$1538:$A$1665, 0))</f>
        <v>0</v>
      </c>
      <c r="BU40" s="154">
        <f>INDEX('STOPE SUMMARY PIVOT'!$G$1538:$G$1665, MATCH(BU$1,'STOPE SUMMARY PIVOT'!$A$1538:$A$1665, 0))</f>
        <v>0</v>
      </c>
      <c r="BV40" s="175">
        <f>INDEX('STOPE SUMMARY PIVOT'!$H$1538:$H$1665, MATCH(BU$1,'STOPE SUMMARY PIVOT'!$A$1538:$A$1665, 0))</f>
        <v>0</v>
      </c>
      <c r="BW40" s="154">
        <f>INDEX('STOPE SUMMARY PIVOT'!$G$1538:$G$1665, MATCH(BW$1,'STOPE SUMMARY PIVOT'!$A$1538:$A$1665, 0))</f>
        <v>0</v>
      </c>
      <c r="BX40" s="175">
        <f>INDEX('STOPE SUMMARY PIVOT'!$H$1538:$H$1665, MATCH(BW$1,'STOPE SUMMARY PIVOT'!$A$1538:$A$1665, 0))</f>
        <v>0</v>
      </c>
      <c r="BY40" s="154">
        <f>INDEX('STOPE SUMMARY PIVOT'!$G$1538:$G$1665, MATCH(BY$1,'STOPE SUMMARY PIVOT'!$A$1538:$A$1665, 0))</f>
        <v>0</v>
      </c>
      <c r="BZ40" s="175">
        <f>INDEX('STOPE SUMMARY PIVOT'!$H$1538:$H$1665, MATCH(BY$1,'STOPE SUMMARY PIVOT'!$A$1538:$A$1665, 0))</f>
        <v>0</v>
      </c>
      <c r="CA40" s="154">
        <f>INDEX('STOPE SUMMARY PIVOT'!$G$1538:$G$1665, MATCH(CA$1,'STOPE SUMMARY PIVOT'!$A$1538:$A$1665, 0))</f>
        <v>0</v>
      </c>
      <c r="CB40" s="175">
        <f>INDEX('STOPE SUMMARY PIVOT'!$H$1538:$H$1665, MATCH(CA$1,'STOPE SUMMARY PIVOT'!$A$1538:$A$1665, 0))</f>
        <v>0</v>
      </c>
      <c r="CC40" s="154">
        <f>INDEX('STOPE SUMMARY PIVOT'!$G$1538:$G$1665, MATCH(CC$1,'STOPE SUMMARY PIVOT'!$A$1538:$A$1665, 0))</f>
        <v>0</v>
      </c>
      <c r="CD40" s="175">
        <f>INDEX('STOPE SUMMARY PIVOT'!$H$1538:$H$1665, MATCH(CC$1,'STOPE SUMMARY PIVOT'!$A$1538:$A$1665, 0))</f>
        <v>0</v>
      </c>
      <c r="CE40" s="154">
        <f>INDEX('STOPE SUMMARY PIVOT'!$G$1538:$G$1665, MATCH(CE$1,'STOPE SUMMARY PIVOT'!$A$1538:$A$1665, 0))</f>
        <v>0</v>
      </c>
      <c r="CF40" s="175">
        <f>INDEX('STOPE SUMMARY PIVOT'!$H$1538:$H$1665, MATCH(CE$1,'STOPE SUMMARY PIVOT'!$A$1538:$A$1665, 0))</f>
        <v>0</v>
      </c>
      <c r="CG40" s="154">
        <f>INDEX('STOPE SUMMARY PIVOT'!$G$1538:$G$1665, MATCH(CG$1,'STOPE SUMMARY PIVOT'!$A$1538:$A$1665, 0))</f>
        <v>0</v>
      </c>
      <c r="CH40" s="175">
        <f>INDEX('STOPE SUMMARY PIVOT'!$H$1538:$H$1665, MATCH(CG$1,'STOPE SUMMARY PIVOT'!$A$1538:$A$1665, 0))</f>
        <v>0</v>
      </c>
      <c r="CI40" s="154">
        <f>INDEX('STOPE SUMMARY PIVOT'!$G$1538:$G$1665, MATCH(CI$1,'STOPE SUMMARY PIVOT'!$A$1538:$A$1665, 0))</f>
        <v>0</v>
      </c>
      <c r="CJ40" s="175">
        <f>INDEX('STOPE SUMMARY PIVOT'!$H$1538:$H$1665, MATCH(CI$1,'STOPE SUMMARY PIVOT'!$A$1538:$A$1665, 0))</f>
        <v>0</v>
      </c>
      <c r="CK40" s="154">
        <f>INDEX('STOPE SUMMARY PIVOT'!$G$1538:$G$1665, MATCH(CK$1,'STOPE SUMMARY PIVOT'!$A$1538:$A$1665, 0))</f>
        <v>0</v>
      </c>
      <c r="CL40" s="175">
        <f>INDEX('STOPE SUMMARY PIVOT'!$H$1538:$H$1665, MATCH(CK$1,'STOPE SUMMARY PIVOT'!$A$1538:$A$1665, 0))</f>
        <v>0</v>
      </c>
      <c r="CM40" s="154">
        <f>INDEX('STOPE SUMMARY PIVOT'!$G$1538:$G$1665, MATCH(CM$1,'STOPE SUMMARY PIVOT'!$A$1538:$A$1665, 0))</f>
        <v>0</v>
      </c>
      <c r="CN40" s="175">
        <f>INDEX('STOPE SUMMARY PIVOT'!$H$1538:$H$1665, MATCH(CM$1,'STOPE SUMMARY PIVOT'!$A$1538:$A$1665, 0))</f>
        <v>0</v>
      </c>
      <c r="CO40" s="154">
        <f>INDEX('STOPE SUMMARY PIVOT'!$G$1538:$G$1665, MATCH(CO$1,'STOPE SUMMARY PIVOT'!$A$1538:$A$1665, 0))</f>
        <v>0</v>
      </c>
      <c r="CP40" s="175">
        <f>INDEX('STOPE SUMMARY PIVOT'!$H$1538:$H$1665, MATCH(CO$1,'STOPE SUMMARY PIVOT'!$A$1538:$A$1665, 0))</f>
        <v>0</v>
      </c>
      <c r="CQ40" s="154">
        <f>INDEX('STOPE SUMMARY PIVOT'!$G$1538:$G$1665, MATCH(CQ$1,'STOPE SUMMARY PIVOT'!$A$1538:$A$1665, 0))</f>
        <v>6510</v>
      </c>
      <c r="CR40" s="175">
        <f>INDEX('STOPE SUMMARY PIVOT'!$H$1538:$H$1665, MATCH(CQ$1,'STOPE SUMMARY PIVOT'!$A$1538:$A$1665, 0))</f>
        <v>2.4399999999999986</v>
      </c>
      <c r="CS40" s="154">
        <f>INDEX('STOPE SUMMARY PIVOT'!$G$1538:$G$1665, MATCH(CS$1,'STOPE SUMMARY PIVOT'!$A$1538:$A$1665, 0))</f>
        <v>0</v>
      </c>
      <c r="CT40" s="175">
        <f>INDEX('STOPE SUMMARY PIVOT'!$H$1538:$H$1665, MATCH(CS$1,'STOPE SUMMARY PIVOT'!$A$1538:$A$1665, 0))</f>
        <v>0</v>
      </c>
      <c r="CU40" s="154">
        <f>INDEX('STOPE SUMMARY PIVOT'!$G$1538:$G$1665, MATCH(CU$1,'STOPE SUMMARY PIVOT'!$A$1538:$A$1665, 0))</f>
        <v>0</v>
      </c>
      <c r="CV40" s="175">
        <f>INDEX('STOPE SUMMARY PIVOT'!$H$1538:$H$1665, MATCH(CU$1,'STOPE SUMMARY PIVOT'!$A$1538:$A$1665, 0))</f>
        <v>0</v>
      </c>
      <c r="CW40" s="154">
        <f>INDEX('STOPE SUMMARY PIVOT'!$G$1538:$G$1665, MATCH(CW$1,'STOPE SUMMARY PIVOT'!$A$1538:$A$1665, 0))</f>
        <v>0</v>
      </c>
      <c r="CX40" s="175">
        <f>INDEX('STOPE SUMMARY PIVOT'!$H$1538:$H$1665, MATCH(CW$1,'STOPE SUMMARY PIVOT'!$A$1538:$A$1665, 0))</f>
        <v>0</v>
      </c>
      <c r="CY40" s="154">
        <f>INDEX('STOPE SUMMARY PIVOT'!$G$1538:$G$1665, MATCH(CY$1,'STOPE SUMMARY PIVOT'!$A$1538:$A$1665, 0))</f>
        <v>1085</v>
      </c>
      <c r="CZ40" s="175">
        <f>INDEX('STOPE SUMMARY PIVOT'!$H$1538:$H$1665, MATCH(CY$1,'STOPE SUMMARY PIVOT'!$A$1538:$A$1665, 0))</f>
        <v>2.12</v>
      </c>
      <c r="DA40" s="154">
        <f>INDEX('STOPE SUMMARY PIVOT'!$G$1538:$G$1665, MATCH(DA$1,'STOPE SUMMARY PIVOT'!$A$1538:$A$1665, 0))</f>
        <v>0</v>
      </c>
      <c r="DB40" s="175">
        <f>INDEX('STOPE SUMMARY PIVOT'!$H$1538:$H$1665, MATCH(DA$1,'STOPE SUMMARY PIVOT'!$A$1538:$A$1665, 0))</f>
        <v>0</v>
      </c>
      <c r="DC40" s="154">
        <f>INDEX('STOPE SUMMARY PIVOT'!$G$1538:$G$1665, MATCH(DC$1,'STOPE SUMMARY PIVOT'!$A$1538:$A$1665, 0))</f>
        <v>0</v>
      </c>
      <c r="DD40" s="175">
        <f>INDEX('STOPE SUMMARY PIVOT'!$H$1538:$H$1665, MATCH(DC$1,'STOPE SUMMARY PIVOT'!$A$1538:$A$1665, 0))</f>
        <v>0</v>
      </c>
      <c r="DE40" s="154">
        <f>INDEX('STOPE SUMMARY PIVOT'!$G$1538:$G$1665, MATCH(DE$1,'STOPE SUMMARY PIVOT'!$A$1538:$A$1665, 0))</f>
        <v>1085</v>
      </c>
      <c r="DF40" s="175">
        <f>INDEX('STOPE SUMMARY PIVOT'!$H$1538:$H$1665, MATCH(DE$1,'STOPE SUMMARY PIVOT'!$A$1538:$A$1665, 0))</f>
        <v>1.8599999999999988</v>
      </c>
      <c r="DG40" s="154">
        <f>INDEX('STOPE SUMMARY PIVOT'!$G$1538:$G$1665, MATCH(DG$1,'STOPE SUMMARY PIVOT'!$A$1538:$A$1665, 0))</f>
        <v>0</v>
      </c>
      <c r="DH40" s="175">
        <f>INDEX('STOPE SUMMARY PIVOT'!$H$1538:$H$1665, MATCH(DG$1,'STOPE SUMMARY PIVOT'!$A$1538:$A$1665, 0))</f>
        <v>0</v>
      </c>
      <c r="DI40" s="154">
        <f>INDEX('STOPE SUMMARY PIVOT'!$G$1538:$G$1665, MATCH(DI$1,'STOPE SUMMARY PIVOT'!$A$1538:$A$1665, 0))</f>
        <v>0</v>
      </c>
      <c r="DJ40" s="175">
        <f>INDEX('STOPE SUMMARY PIVOT'!$H$1538:$H$1665, MATCH(DI$1,'STOPE SUMMARY PIVOT'!$A$1538:$A$1665, 0))</f>
        <v>0</v>
      </c>
      <c r="DK40" s="154">
        <f>INDEX('STOPE SUMMARY PIVOT'!$G$1538:$G$1665, MATCH(DK$1,'STOPE SUMMARY PIVOT'!$A$1538:$A$1665, 0))</f>
        <v>0</v>
      </c>
      <c r="DL40" s="175">
        <f>INDEX('STOPE SUMMARY PIVOT'!$H$1538:$H$1665, MATCH(DK$1,'STOPE SUMMARY PIVOT'!$A$1538:$A$1665, 0))</f>
        <v>0</v>
      </c>
      <c r="DM40" s="154">
        <f>INDEX('STOPE SUMMARY PIVOT'!$G$1538:$G$1665, MATCH(DM$1,'STOPE SUMMARY PIVOT'!$A$1538:$A$1665, 0))</f>
        <v>0</v>
      </c>
      <c r="DN40" s="175">
        <f>INDEX('STOPE SUMMARY PIVOT'!$H$1538:$H$1665, MATCH(DM$1,'STOPE SUMMARY PIVOT'!$A$1538:$A$1665, 0))</f>
        <v>0</v>
      </c>
      <c r="DO40" s="154">
        <f>INDEX('STOPE SUMMARY PIVOT'!$G$1538:$G$1665, MATCH(DO$1,'STOPE SUMMARY PIVOT'!$A$1538:$A$1665, 0))</f>
        <v>4060</v>
      </c>
      <c r="DP40" s="175">
        <f>INDEX('STOPE SUMMARY PIVOT'!$H$1538:$H$1665, MATCH(DO$1,'STOPE SUMMARY PIVOT'!$A$1538:$A$1665, 0))</f>
        <v>2.0099999999999989</v>
      </c>
      <c r="DQ40" s="154">
        <f>INDEX('STOPE SUMMARY PIVOT'!$G$1538:$G$1665, MATCH(DQ$1,'STOPE SUMMARY PIVOT'!$A$1538:$A$1665, 0))</f>
        <v>0</v>
      </c>
      <c r="DR40" s="175">
        <f>INDEX('STOPE SUMMARY PIVOT'!$H$1538:$H$1665, MATCH(DQ$1,'STOPE SUMMARY PIVOT'!$A$1538:$A$1665, 0))</f>
        <v>0</v>
      </c>
      <c r="DS40" s="154">
        <f>INDEX('STOPE SUMMARY PIVOT'!$G$1538:$G$1665, MATCH(DS$1,'STOPE SUMMARY PIVOT'!$A$1538:$A$1665, 0))</f>
        <v>3255</v>
      </c>
      <c r="DT40" s="175">
        <f>INDEX('STOPE SUMMARY PIVOT'!$H$1538:$H$1665, MATCH(DS$1,'STOPE SUMMARY PIVOT'!$A$1538:$A$1665, 0))</f>
        <v>1.8</v>
      </c>
      <c r="DU40" s="154">
        <f>INDEX('STOPE SUMMARY PIVOT'!$G$1538:$G$1665, MATCH(DU$1,'STOPE SUMMARY PIVOT'!$A$1538:$A$1665, 0))</f>
        <v>0</v>
      </c>
      <c r="DV40" s="175">
        <f>INDEX('STOPE SUMMARY PIVOT'!$H$1538:$H$1665, MATCH(DU$1,'STOPE SUMMARY PIVOT'!$A$1538:$A$1665, 0))</f>
        <v>0</v>
      </c>
      <c r="DW40" s="154">
        <f>INDEX('STOPE SUMMARY PIVOT'!$G$1538:$G$1665, MATCH(DW$1,'STOPE SUMMARY PIVOT'!$A$1538:$A$1665, 0))</f>
        <v>0</v>
      </c>
      <c r="DX40" s="175">
        <f>INDEX('STOPE SUMMARY PIVOT'!$H$1538:$H$1665, MATCH(DW$1,'STOPE SUMMARY PIVOT'!$A$1538:$A$1665, 0))</f>
        <v>0</v>
      </c>
      <c r="DY40" s="154">
        <f>INDEX('STOPE SUMMARY PIVOT'!$G$1538:$G$1665, MATCH(DY$1,'STOPE SUMMARY PIVOT'!$A$1538:$A$1665, 0))</f>
        <v>0</v>
      </c>
      <c r="DZ40" s="175">
        <f>INDEX('STOPE SUMMARY PIVOT'!$H$1538:$H$1665, MATCH(DY$1,'STOPE SUMMARY PIVOT'!$A$1538:$A$1665, 0))</f>
        <v>0</v>
      </c>
      <c r="EA40" s="154">
        <f>INDEX('STOPE SUMMARY PIVOT'!$G$1538:$G$1665, MATCH(EA$1,'STOPE SUMMARY PIVOT'!$A$1538:$A$1665, 0))</f>
        <v>0</v>
      </c>
      <c r="EB40" s="175">
        <f>INDEX('STOPE SUMMARY PIVOT'!$H$1538:$H$1665, MATCH(EA$1,'STOPE SUMMARY PIVOT'!$A$1538:$A$1665, 0))</f>
        <v>0</v>
      </c>
      <c r="EC40" s="154">
        <f>INDEX('STOPE SUMMARY PIVOT'!$G$1538:$G$1665, MATCH(EC$1,'STOPE SUMMARY PIVOT'!$A$1538:$A$1665, 0))</f>
        <v>0</v>
      </c>
      <c r="ED40" s="175">
        <f>INDEX('STOPE SUMMARY PIVOT'!$H$1538:$H$1665, MATCH(EC$1,'STOPE SUMMARY PIVOT'!$A$1538:$A$1665, 0))</f>
        <v>0</v>
      </c>
      <c r="EE40" s="154">
        <f>INDEX('STOPE SUMMARY PIVOT'!$G$1538:$G$1665, MATCH(EE$1,'STOPE SUMMARY PIVOT'!$A$1538:$A$1665, 0))</f>
        <v>0</v>
      </c>
      <c r="EF40" s="175">
        <f>INDEX('STOPE SUMMARY PIVOT'!$H$1538:$H$1665, MATCH(EE$1,'STOPE SUMMARY PIVOT'!$A$1538:$A$1665, 0))</f>
        <v>0</v>
      </c>
      <c r="EG40" s="154">
        <f>INDEX('STOPE SUMMARY PIVOT'!$G$1538:$G$1665, MATCH(EG$1,'STOPE SUMMARY PIVOT'!$A$1538:$A$1665, 0))</f>
        <v>0</v>
      </c>
      <c r="EH40" s="175">
        <f>INDEX('STOPE SUMMARY PIVOT'!$H$1538:$H$1665, MATCH(EG$1,'STOPE SUMMARY PIVOT'!$A$1538:$A$1665, 0))</f>
        <v>0</v>
      </c>
      <c r="EI40" s="154">
        <f>INDEX('STOPE SUMMARY PIVOT'!$G$1538:$G$1665, MATCH(EI$1,'STOPE SUMMARY PIVOT'!$A$1538:$A$1665, 0))</f>
        <v>0</v>
      </c>
      <c r="EJ40" s="175">
        <f>INDEX('STOPE SUMMARY PIVOT'!$H$1538:$H$1665, MATCH(EI$1,'STOPE SUMMARY PIVOT'!$A$1538:$A$1665, 0))</f>
        <v>0</v>
      </c>
      <c r="EK40" s="154">
        <f>INDEX('STOPE SUMMARY PIVOT'!$G$1538:$G$1665, MATCH(EK$1,'STOPE SUMMARY PIVOT'!$A$1538:$A$1665, 0))</f>
        <v>0</v>
      </c>
      <c r="EL40" s="175">
        <f>INDEX('STOPE SUMMARY PIVOT'!$H$1538:$H$1665, MATCH(EK$1,'STOPE SUMMARY PIVOT'!$A$1538:$A$1665, 0))</f>
        <v>0</v>
      </c>
      <c r="EM40" s="154">
        <f>INDEX('STOPE SUMMARY PIVOT'!$G$1538:$G$1665, MATCH(EM$1,'STOPE SUMMARY PIVOT'!$A$1538:$A$1665, 0))</f>
        <v>0</v>
      </c>
      <c r="EN40" s="175">
        <f>INDEX('STOPE SUMMARY PIVOT'!$H$1538:$H$1665, MATCH(EM$1,'STOPE SUMMARY PIVOT'!$A$1538:$A$1665, 0))</f>
        <v>0</v>
      </c>
      <c r="EO40" s="154">
        <f>INDEX('STOPE SUMMARY PIVOT'!$G$1538:$G$1665, MATCH(EO$1,'STOPE SUMMARY PIVOT'!$A$1538:$A$1665, 0))</f>
        <v>2100</v>
      </c>
      <c r="EP40" s="175">
        <f>INDEX('STOPE SUMMARY PIVOT'!$H$1538:$H$1665, MATCH(EO$1,'STOPE SUMMARY PIVOT'!$A$1538:$A$1665, 0))</f>
        <v>3.1620000000000013</v>
      </c>
      <c r="EQ40" s="154">
        <f>INDEX('STOPE SUMMARY PIVOT'!$G$1538:$G$1665, MATCH(EQ$1,'STOPE SUMMARY PIVOT'!$A$1538:$A$1665, 0))</f>
        <v>1050</v>
      </c>
      <c r="ER40" s="175">
        <f>INDEX('STOPE SUMMARY PIVOT'!$H$1538:$H$1665, MATCH(EQ$1,'STOPE SUMMARY PIVOT'!$A$1538:$A$1665, 0))</f>
        <v>1.05</v>
      </c>
      <c r="ES40" s="154">
        <f>INDEX('STOPE SUMMARY PIVOT'!$G$1538:$G$1665, MATCH(ES$1,'STOPE SUMMARY PIVOT'!$A$1538:$A$1665, 0))</f>
        <v>0</v>
      </c>
      <c r="ET40" s="175">
        <f>INDEX('STOPE SUMMARY PIVOT'!$H$1538:$H$1665, MATCH(ES$1,'STOPE SUMMARY PIVOT'!$A$1538:$A$1665, 0))</f>
        <v>0</v>
      </c>
      <c r="EU40" s="154">
        <f>INDEX('STOPE SUMMARY PIVOT'!$G$1538:$G$1665, MATCH(EU$1,'STOPE SUMMARY PIVOT'!$A$1538:$A$1665, 0))</f>
        <v>0</v>
      </c>
      <c r="EV40" s="175">
        <f>INDEX('STOPE SUMMARY PIVOT'!$H$1538:$H$1665, MATCH(EU$1,'STOPE SUMMARY PIVOT'!$A$1538:$A$1665, 0))</f>
        <v>0</v>
      </c>
      <c r="EW40" s="154">
        <f>INDEX('STOPE SUMMARY PIVOT'!$G$1538:$G$1665, MATCH(EW$1,'STOPE SUMMARY PIVOT'!$A$1538:$A$1665, 0))</f>
        <v>0</v>
      </c>
      <c r="EX40" s="175">
        <f>INDEX('STOPE SUMMARY PIVOT'!$H$1538:$H$1665, MATCH(EW$1,'STOPE SUMMARY PIVOT'!$A$1538:$A$1665, 0))</f>
        <v>0</v>
      </c>
      <c r="EY40" s="154">
        <f>INDEX('STOPE SUMMARY PIVOT'!$G$1538:$G$1665, MATCH(EY$1,'STOPE SUMMARY PIVOT'!$A$1538:$A$1665, 0))</f>
        <v>0</v>
      </c>
      <c r="EZ40" s="175">
        <f>INDEX('STOPE SUMMARY PIVOT'!$H$1538:$H$1665, MATCH(EY$1,'STOPE SUMMARY PIVOT'!$A$1538:$A$1665, 0))</f>
        <v>0</v>
      </c>
      <c r="FA40" s="154">
        <f>INDEX('STOPE SUMMARY PIVOT'!$G$1538:$G$1665, MATCH(FA$1,'STOPE SUMMARY PIVOT'!$A$1538:$A$1665, 0))</f>
        <v>1050</v>
      </c>
      <c r="FB40" s="175">
        <f>INDEX('STOPE SUMMARY PIVOT'!$H$1538:$H$1665, MATCH(FA$1,'STOPE SUMMARY PIVOT'!$A$1538:$A$1665, 0))</f>
        <v>2.728499999999999</v>
      </c>
      <c r="FC40" s="154">
        <f>INDEX('STOPE SUMMARY PIVOT'!$G$1538:$G$1665, MATCH(FC$1,'STOPE SUMMARY PIVOT'!$A$1538:$A$1665, 0))</f>
        <v>2100</v>
      </c>
      <c r="FD40" s="175">
        <f>INDEX('STOPE SUMMARY PIVOT'!$H$1538:$H$1665, MATCH(FC$1,'STOPE SUMMARY PIVOT'!$A$1538:$A$1665, 0))</f>
        <v>2.1930000000000014</v>
      </c>
      <c r="FE40" s="154">
        <f>INDEX('STOPE SUMMARY PIVOT'!$G$1538:$G$1665, MATCH(FE$1,'STOPE SUMMARY PIVOT'!$A$1538:$A$1665, 0))</f>
        <v>2100</v>
      </c>
      <c r="FF40" s="175">
        <f>INDEX('STOPE SUMMARY PIVOT'!$H$1538:$H$1665, MATCH(FE$1,'STOPE SUMMARY PIVOT'!$A$1538:$A$1665, 0))</f>
        <v>2.6604999999999994</v>
      </c>
      <c r="FG40" s="154">
        <f>INDEX('STOPE SUMMARY PIVOT'!$G$1538:$G$1665, MATCH(FG$1,'STOPE SUMMARY PIVOT'!$A$1538:$A$1665, 0))</f>
        <v>0</v>
      </c>
      <c r="FH40" s="175">
        <f>INDEX('STOPE SUMMARY PIVOT'!$H$1538:$H$1665, MATCH(FG$1,'STOPE SUMMARY PIVOT'!$A$1538:$A$1665, 0))</f>
        <v>0</v>
      </c>
      <c r="FI40" s="154">
        <f>INDEX('STOPE SUMMARY PIVOT'!$G$1538:$G$1665, MATCH(FI$1,'STOPE SUMMARY PIVOT'!$A$1538:$A$1665, 0))</f>
        <v>0</v>
      </c>
      <c r="FJ40" s="175">
        <f>INDEX('STOPE SUMMARY PIVOT'!$H$1538:$H$1665, MATCH(FI$1,'STOPE SUMMARY PIVOT'!$A$1538:$A$1665, 0))</f>
        <v>0</v>
      </c>
      <c r="FK40" s="154">
        <f>INDEX('STOPE SUMMARY PIVOT'!$G$1538:$G$1665, MATCH(FK$1,'STOPE SUMMARY PIVOT'!$A$1538:$A$1665, 0))</f>
        <v>0</v>
      </c>
      <c r="FL40" s="175">
        <f>INDEX('STOPE SUMMARY PIVOT'!$H$1538:$H$1665, MATCH(FK$1,'STOPE SUMMARY PIVOT'!$A$1538:$A$1665, 0))</f>
        <v>0</v>
      </c>
      <c r="FM40" s="154">
        <f>INDEX('STOPE SUMMARY PIVOT'!$G$1538:$G$1665, MATCH(FM$1,'STOPE SUMMARY PIVOT'!$A$1538:$A$1665, 0))</f>
        <v>0</v>
      </c>
      <c r="FN40" s="175">
        <f>INDEX('STOPE SUMMARY PIVOT'!$H$1538:$H$1665, MATCH(FM$1,'STOPE SUMMARY PIVOT'!$A$1538:$A$1665, 0))</f>
        <v>0</v>
      </c>
      <c r="FO40" s="154">
        <f>INDEX('STOPE SUMMARY PIVOT'!$G$1538:$G$1665, MATCH(FO$1,'STOPE SUMMARY PIVOT'!$A$1538:$A$1665, 0))</f>
        <v>0</v>
      </c>
      <c r="FP40" s="175">
        <f>INDEX('STOPE SUMMARY PIVOT'!$H$1538:$H$1665, MATCH(FO$1,'STOPE SUMMARY PIVOT'!$A$1538:$A$1665, 0))</f>
        <v>0</v>
      </c>
      <c r="FQ40" s="154">
        <f>INDEX('STOPE SUMMARY PIVOT'!$G$1538:$G$1665, MATCH(FQ$1,'STOPE SUMMARY PIVOT'!$A$1538:$A$1665, 0))</f>
        <v>0</v>
      </c>
      <c r="FR40" s="175">
        <f>INDEX('STOPE SUMMARY PIVOT'!$H$1538:$H$1665, MATCH(FQ$1,'STOPE SUMMARY PIVOT'!$A$1538:$A$1665, 0))</f>
        <v>0</v>
      </c>
      <c r="FS40" s="154">
        <f>INDEX('STOPE SUMMARY PIVOT'!$G$1538:$G$1665, MATCH(FS$1,'STOPE SUMMARY PIVOT'!$A$1538:$A$1665, 0))</f>
        <v>0</v>
      </c>
      <c r="FT40" s="175">
        <f>INDEX('STOPE SUMMARY PIVOT'!$H$1538:$H$1665, MATCH(FS$1,'STOPE SUMMARY PIVOT'!$A$1538:$A$1665, 0))</f>
        <v>0</v>
      </c>
      <c r="FU40" s="154">
        <f>INDEX('STOPE SUMMARY PIVOT'!$G$1538:$G$1665, MATCH(FU$1,'STOPE SUMMARY PIVOT'!$A$1538:$A$1665, 0))</f>
        <v>0</v>
      </c>
      <c r="FV40" s="175">
        <f>INDEX('STOPE SUMMARY PIVOT'!$H$1538:$H$1665, MATCH(FU$1,'STOPE SUMMARY PIVOT'!$A$1538:$A$1665, 0))</f>
        <v>0</v>
      </c>
      <c r="FW40" s="154">
        <f>INDEX('STOPE SUMMARY PIVOT'!$G$1538:$G$1665, MATCH(FW$1,'STOPE SUMMARY PIVOT'!$A$1538:$A$1665, 0))</f>
        <v>0</v>
      </c>
      <c r="FX40" s="175">
        <f>INDEX('STOPE SUMMARY PIVOT'!$H$1538:$H$1665, MATCH(FW$1,'STOPE SUMMARY PIVOT'!$A$1538:$A$1665, 0))</f>
        <v>0</v>
      </c>
      <c r="FY40" s="154">
        <f>INDEX('STOPE SUMMARY PIVOT'!$G$1538:$G$1665, MATCH(FY$1,'STOPE SUMMARY PIVOT'!$A$1538:$A$1665, 0))</f>
        <v>0</v>
      </c>
      <c r="FZ40" s="175">
        <f>INDEX('STOPE SUMMARY PIVOT'!$H$1538:$H$1665, MATCH(FY$1,'STOPE SUMMARY PIVOT'!$A$1538:$A$1665, 0))</f>
        <v>0</v>
      </c>
      <c r="GA40" s="154">
        <f>INDEX('STOPE SUMMARY PIVOT'!$G$1538:$G$1665, MATCH(GA$1,'STOPE SUMMARY PIVOT'!$A$1538:$A$1665, 0))</f>
        <v>0</v>
      </c>
      <c r="GB40" s="175">
        <f>INDEX('STOPE SUMMARY PIVOT'!$H$1538:$H$1665, MATCH(GA$1,'STOPE SUMMARY PIVOT'!$A$1538:$A$1665, 0))</f>
        <v>0</v>
      </c>
      <c r="GC40" s="154">
        <f>INDEX('STOPE SUMMARY PIVOT'!$G$1538:$G$1665, MATCH(GC$1,'STOPE SUMMARY PIVOT'!$A$1538:$A$1665, 0))</f>
        <v>0</v>
      </c>
      <c r="GD40" s="175">
        <f>INDEX('STOPE SUMMARY PIVOT'!$H$1538:$H$1665, MATCH(GC$1,'STOPE SUMMARY PIVOT'!$A$1538:$A$1665, 0))</f>
        <v>0</v>
      </c>
      <c r="GE40" s="154">
        <f>INDEX('STOPE SUMMARY PIVOT'!$G$1538:$G$1665, MATCH(GE$1,'STOPE SUMMARY PIVOT'!$A$1538:$A$1665, 0))</f>
        <v>0</v>
      </c>
      <c r="GF40" s="175">
        <f>INDEX('STOPE SUMMARY PIVOT'!$H$1538:$H$1665, MATCH(GE$1,'STOPE SUMMARY PIVOT'!$A$1538:$A$1665, 0))</f>
        <v>0</v>
      </c>
      <c r="GG40" s="154">
        <f>INDEX('STOPE SUMMARY PIVOT'!$G$1538:$G$1665, MATCH(GG$1,'STOPE SUMMARY PIVOT'!$A$1538:$A$1665, 0))</f>
        <v>0</v>
      </c>
      <c r="GH40" s="175">
        <f>INDEX('STOPE SUMMARY PIVOT'!$H$1538:$H$1665, MATCH(GG$1,'STOPE SUMMARY PIVOT'!$A$1538:$A$1665, 0))</f>
        <v>0</v>
      </c>
      <c r="GI40" s="154">
        <f>INDEX('STOPE SUMMARY PIVOT'!$G$1538:$G$1665, MATCH(GI$1,'STOPE SUMMARY PIVOT'!$A$1538:$A$1665, 0))</f>
        <v>0</v>
      </c>
      <c r="GJ40" s="175">
        <f>INDEX('STOPE SUMMARY PIVOT'!$H$1538:$H$1665, MATCH(GI$1,'STOPE SUMMARY PIVOT'!$A$1538:$A$1665, 0))</f>
        <v>0</v>
      </c>
      <c r="GK40" s="154">
        <f>INDEX('STOPE SUMMARY PIVOT'!$G$1538:$G$1665, MATCH(GK$1,'STOPE SUMMARY PIVOT'!$A$1538:$A$1665, 0))</f>
        <v>0</v>
      </c>
      <c r="GL40" s="175">
        <f>INDEX('STOPE SUMMARY PIVOT'!$H$1538:$H$1665, MATCH(GK$1,'STOPE SUMMARY PIVOT'!$A$1538:$A$1665, 0))</f>
        <v>0</v>
      </c>
      <c r="GM40" s="154">
        <f>INDEX('STOPE SUMMARY PIVOT'!$G$1538:$G$1665, MATCH(GM$1,'STOPE SUMMARY PIVOT'!$A$1538:$A$1665, 0))</f>
        <v>0</v>
      </c>
      <c r="GN40" s="175">
        <f>INDEX('STOPE SUMMARY PIVOT'!$H$1538:$H$1665, MATCH(GM$1,'STOPE SUMMARY PIVOT'!$A$1538:$A$1665, 0))</f>
        <v>0</v>
      </c>
      <c r="GO40" s="154">
        <f>INDEX('STOPE SUMMARY PIVOT'!$G$1538:$G$1665, MATCH(GO$1,'STOPE SUMMARY PIVOT'!$A$1538:$A$1665, 0))</f>
        <v>0</v>
      </c>
      <c r="GP40" s="175">
        <f>INDEX('STOPE SUMMARY PIVOT'!$H$1538:$H$1665, MATCH(GO$1,'STOPE SUMMARY PIVOT'!$A$1538:$A$1665, 0))</f>
        <v>0</v>
      </c>
      <c r="GQ40" s="154">
        <f>INDEX('STOPE SUMMARY PIVOT'!$G$1538:$G$1665, MATCH(GQ$1,'STOPE SUMMARY PIVOT'!$A$1538:$A$1665, 0))</f>
        <v>0</v>
      </c>
      <c r="GR40" s="175">
        <f>INDEX('STOPE SUMMARY PIVOT'!$H$1538:$H$1665, MATCH(GQ$1,'STOPE SUMMARY PIVOT'!$A$1538:$A$1665, 0))</f>
        <v>0</v>
      </c>
      <c r="GS40" s="154">
        <f>INDEX('STOPE SUMMARY PIVOT'!$G$1538:$G$1665, MATCH(GS$1,'STOPE SUMMARY PIVOT'!$A$1538:$A$1665, 0))</f>
        <v>0</v>
      </c>
      <c r="GT40" s="175">
        <f>INDEX('STOPE SUMMARY PIVOT'!$H$1538:$H$1665, MATCH(GS$1,'STOPE SUMMARY PIVOT'!$A$1538:$A$1665, 0))</f>
        <v>0</v>
      </c>
      <c r="GU40" s="154">
        <f>INDEX('STOPE SUMMARY PIVOT'!$G$1538:$G$1665, MATCH(GU$1,'STOPE SUMMARY PIVOT'!$A$1538:$A$1665, 0))</f>
        <v>0</v>
      </c>
      <c r="GV40" s="175">
        <f>INDEX('STOPE SUMMARY PIVOT'!$H$1538:$H$1665, MATCH(GU$1,'STOPE SUMMARY PIVOT'!$A$1538:$A$1665, 0))</f>
        <v>0</v>
      </c>
      <c r="GW40" s="154">
        <f>INDEX('STOPE SUMMARY PIVOT'!$G$1538:$G$1665, MATCH(GW$1,'STOPE SUMMARY PIVOT'!$A$1538:$A$1665, 0))</f>
        <v>0</v>
      </c>
      <c r="GX40" s="175">
        <f>INDEX('STOPE SUMMARY PIVOT'!$H$1538:$H$1665, MATCH(GW$1,'STOPE SUMMARY PIVOT'!$A$1538:$A$1665, 0))</f>
        <v>0</v>
      </c>
      <c r="GY40" s="154">
        <f>INDEX('STOPE SUMMARY PIVOT'!$G$1538:$G$1665, MATCH(GY$1,'STOPE SUMMARY PIVOT'!$A$1538:$A$1665, 0))</f>
        <v>0</v>
      </c>
      <c r="GZ40" s="175">
        <f>INDEX('STOPE SUMMARY PIVOT'!$H$1538:$H$1665, MATCH(GY$1,'STOPE SUMMARY PIVOT'!$A$1538:$A$1665, 0))</f>
        <v>0</v>
      </c>
      <c r="HA40" s="154">
        <f>INDEX('STOPE SUMMARY PIVOT'!$G$1538:$G$1665, MATCH(HA$1,'STOPE SUMMARY PIVOT'!$A$1538:$A$1665, 0))</f>
        <v>0</v>
      </c>
      <c r="HB40" s="175">
        <f>INDEX('STOPE SUMMARY PIVOT'!$H$1538:$H$1665, MATCH(HA$1,'STOPE SUMMARY PIVOT'!$A$1538:$A$1665, 0))</f>
        <v>0</v>
      </c>
      <c r="HC40" s="154">
        <f>INDEX('STOPE SUMMARY PIVOT'!$G$1538:$G$1665, MATCH(HC$1,'STOPE SUMMARY PIVOT'!$A$1538:$A$1665, 0))</f>
        <v>0</v>
      </c>
      <c r="HD40" s="175">
        <f>INDEX('STOPE SUMMARY PIVOT'!$H$1538:$H$1665, MATCH(HC$1,'STOPE SUMMARY PIVOT'!$A$1538:$A$1665, 0))</f>
        <v>0</v>
      </c>
      <c r="HE40" s="154">
        <f>INDEX('STOPE SUMMARY PIVOT'!$G$1538:$G$1665, MATCH(HE$1,'STOPE SUMMARY PIVOT'!$A$1538:$A$1665, 0))</f>
        <v>0</v>
      </c>
      <c r="HF40" s="175">
        <f>INDEX('STOPE SUMMARY PIVOT'!$H$1538:$H$1665, MATCH(HE$1,'STOPE SUMMARY PIVOT'!$A$1538:$A$1665, 0))</f>
        <v>0</v>
      </c>
      <c r="HG40" s="154">
        <f>INDEX('STOPE SUMMARY PIVOT'!$G$1538:$G$1665, MATCH(HG$1,'STOPE SUMMARY PIVOT'!$A$1538:$A$1665, 0))</f>
        <v>0</v>
      </c>
      <c r="HH40" s="175">
        <f>INDEX('STOPE SUMMARY PIVOT'!$H$1538:$H$1665, MATCH(HG$1,'STOPE SUMMARY PIVOT'!$A$1538:$A$1665, 0))</f>
        <v>0</v>
      </c>
      <c r="HI40" s="154">
        <f>INDEX('STOPE SUMMARY PIVOT'!$G$1538:$G$1665, MATCH(HI$1,'STOPE SUMMARY PIVOT'!$A$1538:$A$1665, 0))</f>
        <v>0</v>
      </c>
      <c r="HJ40" s="175">
        <f>INDEX('STOPE SUMMARY PIVOT'!$H$1538:$H$1665, MATCH(HI$1,'STOPE SUMMARY PIVOT'!$A$1538:$A$1665, 0))</f>
        <v>0</v>
      </c>
      <c r="HK40" s="154">
        <f>INDEX('STOPE SUMMARY PIVOT'!$G$1538:$G$1665, MATCH(HK$1,'STOPE SUMMARY PIVOT'!$A$1538:$A$1665, 0))</f>
        <v>0</v>
      </c>
      <c r="HL40" s="175">
        <f>INDEX('STOPE SUMMARY PIVOT'!$H$1538:$H$1665, MATCH(HK$1,'STOPE SUMMARY PIVOT'!$A$1538:$A$1665, 0))</f>
        <v>0</v>
      </c>
      <c r="HM40" s="154">
        <f>INDEX('STOPE SUMMARY PIVOT'!$G$1538:$G$1665, MATCH(HM$1,'STOPE SUMMARY PIVOT'!$A$1538:$A$1665, 0))</f>
        <v>0</v>
      </c>
      <c r="HN40" s="175">
        <f>INDEX('STOPE SUMMARY PIVOT'!$H$1538:$H$1665, MATCH(HM$1,'STOPE SUMMARY PIVOT'!$A$1538:$A$1665, 0))</f>
        <v>0</v>
      </c>
      <c r="HO40" s="154">
        <f>INDEX('STOPE SUMMARY PIVOT'!$G$1538:$G$1665, MATCH(HO$1,'STOPE SUMMARY PIVOT'!$A$1538:$A$1665, 0))</f>
        <v>0</v>
      </c>
      <c r="HP40" s="175">
        <f>INDEX('STOPE SUMMARY PIVOT'!$H$1538:$H$1665, MATCH(HO$1,'STOPE SUMMARY PIVOT'!$A$1538:$A$1665, 0))</f>
        <v>0</v>
      </c>
      <c r="HQ40" s="154">
        <f>INDEX('STOPE SUMMARY PIVOT'!$G$1538:$G$1665, MATCH(HQ$1,'STOPE SUMMARY PIVOT'!$A$1538:$A$1665, 0))</f>
        <v>0</v>
      </c>
      <c r="HR40" s="175">
        <f>INDEX('STOPE SUMMARY PIVOT'!$H$1538:$H$1665, MATCH(HQ$1,'STOPE SUMMARY PIVOT'!$A$1538:$A$1665, 0))</f>
        <v>0</v>
      </c>
      <c r="HS40" s="154">
        <f>INDEX('STOPE SUMMARY PIVOT'!$G$1538:$G$1665, MATCH(HS$1,'STOPE SUMMARY PIVOT'!$A$1538:$A$1665, 0))</f>
        <v>0</v>
      </c>
      <c r="HT40" s="175">
        <f>INDEX('STOPE SUMMARY PIVOT'!$H$1538:$H$1665, MATCH(HS$1,'STOPE SUMMARY PIVOT'!$A$1538:$A$1665, 0))</f>
        <v>0</v>
      </c>
      <c r="HU40" s="154">
        <f>INDEX('STOPE SUMMARY PIVOT'!$G$1538:$G$1665, MATCH(HU$1,'STOPE SUMMARY PIVOT'!$A$1538:$A$1665, 0))</f>
        <v>0</v>
      </c>
      <c r="HV40" s="175">
        <f>INDEX('STOPE SUMMARY PIVOT'!$H$1538:$H$1665, MATCH(HU$1,'STOPE SUMMARY PIVOT'!$A$1538:$A$1665, 0))</f>
        <v>0</v>
      </c>
      <c r="HW40" s="154">
        <f>INDEX('STOPE SUMMARY PIVOT'!$G$1538:$G$1665, MATCH(HW$1,'STOPE SUMMARY PIVOT'!$A$1538:$A$1665, 0))</f>
        <v>0</v>
      </c>
      <c r="HX40" s="175">
        <f>INDEX('STOPE SUMMARY PIVOT'!$H$1538:$H$1665, MATCH(HW$1,'STOPE SUMMARY PIVOT'!$A$1538:$A$1665, 0))</f>
        <v>0</v>
      </c>
      <c r="HY40" s="154">
        <f>INDEX('STOPE SUMMARY PIVOT'!$G$1538:$G$1665, MATCH(HY$1,'STOPE SUMMARY PIVOT'!$A$1538:$A$1665, 0))</f>
        <v>0</v>
      </c>
      <c r="HZ40" s="175">
        <f>INDEX('STOPE SUMMARY PIVOT'!$H$1538:$H$1665, MATCH(HY$1,'STOPE SUMMARY PIVOT'!$A$1538:$A$1665, 0))</f>
        <v>0</v>
      </c>
      <c r="IA40" s="154">
        <f>INDEX('STOPE SUMMARY PIVOT'!$G$1538:$G$1665, MATCH(IA$1,'STOPE SUMMARY PIVOT'!$A$1538:$A$1665, 0))</f>
        <v>0</v>
      </c>
      <c r="IB40" s="175">
        <f>INDEX('STOPE SUMMARY PIVOT'!$H$1538:$H$1665, MATCH(IA$1,'STOPE SUMMARY PIVOT'!$A$1538:$A$1665, 0))</f>
        <v>0</v>
      </c>
      <c r="IC40" s="154">
        <f>INDEX('STOPE SUMMARY PIVOT'!$G$1538:$G$1665, MATCH(IC$1,'STOPE SUMMARY PIVOT'!$A$1538:$A$1665, 0))</f>
        <v>0</v>
      </c>
      <c r="ID40" s="175">
        <f>INDEX('STOPE SUMMARY PIVOT'!$H$1538:$H$1665, MATCH(IC$1,'STOPE SUMMARY PIVOT'!$A$1538:$A$1665, 0))</f>
        <v>0</v>
      </c>
      <c r="IE40" s="154">
        <f>INDEX('STOPE SUMMARY PIVOT'!$G$1538:$G$1665, MATCH(IE$1,'STOPE SUMMARY PIVOT'!$A$1538:$A$1665, 0))</f>
        <v>0</v>
      </c>
      <c r="IF40" s="175">
        <f>INDEX('STOPE SUMMARY PIVOT'!$H$1538:$H$1665, MATCH(IE$1,'STOPE SUMMARY PIVOT'!$A$1538:$A$1665, 0))</f>
        <v>0</v>
      </c>
      <c r="IG40" s="154">
        <f>INDEX('STOPE SUMMARY PIVOT'!$G$1538:$G$1665, MATCH(IG$1,'STOPE SUMMARY PIVOT'!$A$1538:$A$1665, 0))</f>
        <v>0</v>
      </c>
      <c r="IH40" s="175">
        <f>INDEX('STOPE SUMMARY PIVOT'!$H$1538:$H$1665, MATCH(IG$1,'STOPE SUMMARY PIVOT'!$A$1538:$A$1665, 0))</f>
        <v>0</v>
      </c>
      <c r="II40" s="154">
        <f>INDEX('STOPE SUMMARY PIVOT'!$G$1538:$G$1665, MATCH(II$1,'STOPE SUMMARY PIVOT'!$A$1538:$A$1665, 0))</f>
        <v>0</v>
      </c>
      <c r="IJ40" s="175">
        <f>INDEX('STOPE SUMMARY PIVOT'!$H$1538:$H$1665, MATCH(II$1,'STOPE SUMMARY PIVOT'!$A$1538:$A$1665, 0))</f>
        <v>0</v>
      </c>
      <c r="IK40" s="154">
        <f>INDEX('STOPE SUMMARY PIVOT'!$G$1538:$G$1665, MATCH(IK$1,'STOPE SUMMARY PIVOT'!$A$1538:$A$1665, 0))</f>
        <v>0</v>
      </c>
      <c r="IL40" s="175">
        <f>INDEX('STOPE SUMMARY PIVOT'!$H$1538:$H$1665, MATCH(IK$1,'STOPE SUMMARY PIVOT'!$A$1538:$A$1665, 0))</f>
        <v>0</v>
      </c>
      <c r="IM40" s="154">
        <f>INDEX('STOPE SUMMARY PIVOT'!$G$1538:$G$1665, MATCH(IM$1,'STOPE SUMMARY PIVOT'!$A$1538:$A$1665, 0))</f>
        <v>0</v>
      </c>
      <c r="IN40" s="175">
        <f>INDEX('STOPE SUMMARY PIVOT'!$H$1538:$H$1665, MATCH(IM$1,'STOPE SUMMARY PIVOT'!$A$1538:$A$1665, 0))</f>
        <v>0</v>
      </c>
      <c r="IO40" s="154">
        <f>INDEX('STOPE SUMMARY PIVOT'!$G$1538:$G$1665, MATCH(IO$1,'STOPE SUMMARY PIVOT'!$A$1538:$A$1665, 0))</f>
        <v>0</v>
      </c>
      <c r="IP40" s="175">
        <f>INDEX('STOPE SUMMARY PIVOT'!$H$1538:$H$1665, MATCH(IO$1,'STOPE SUMMARY PIVOT'!$A$1538:$A$1665, 0))</f>
        <v>0</v>
      </c>
      <c r="IQ40" s="154">
        <f>INDEX('STOPE SUMMARY PIVOT'!$G$1538:$G$1665, MATCH(IQ$1,'STOPE SUMMARY PIVOT'!$A$1538:$A$1665, 0))</f>
        <v>0</v>
      </c>
      <c r="IR40" s="175">
        <f>INDEX('STOPE SUMMARY PIVOT'!$H$1538:$H$1665, MATCH(IQ$1,'STOPE SUMMARY PIVOT'!$A$1538:$A$1665, 0))</f>
        <v>0</v>
      </c>
      <c r="IS40" s="154">
        <f>INDEX('STOPE SUMMARY PIVOT'!$G$1538:$G$1665, MATCH(IS$1,'STOPE SUMMARY PIVOT'!$A$1538:$A$1665, 0))</f>
        <v>0</v>
      </c>
      <c r="IT40" s="175">
        <f>INDEX('STOPE SUMMARY PIVOT'!$H$1538:$H$1665, MATCH(IS$1,'STOPE SUMMARY PIVOT'!$A$1538:$A$1665, 0))</f>
        <v>0</v>
      </c>
      <c r="IU40" s="154">
        <f>INDEX('STOPE SUMMARY PIVOT'!$G$1538:$G$1665, MATCH(IU$1,'STOPE SUMMARY PIVOT'!$A$1538:$A$1665, 0))</f>
        <v>0</v>
      </c>
      <c r="IV40" s="175">
        <f>INDEX('STOPE SUMMARY PIVOT'!$H$1538:$H$1665, MATCH(IU$1,'STOPE SUMMARY PIVOT'!$A$1538:$A$1665, 0))</f>
        <v>0</v>
      </c>
      <c r="IW40" s="154">
        <f>INDEX('STOPE SUMMARY PIVOT'!$G$1538:$G$1665, MATCH(IW$1,'STOPE SUMMARY PIVOT'!$A$1538:$A$1665, 0))</f>
        <v>0</v>
      </c>
      <c r="IX40" s="175">
        <f>INDEX('STOPE SUMMARY PIVOT'!$H$1538:$H$1665, MATCH(IW$1,'STOPE SUMMARY PIVOT'!$A$1538:$A$1665, 0))</f>
        <v>0</v>
      </c>
      <c r="IY40" s="154">
        <f>INDEX('STOPE SUMMARY PIVOT'!$G$1538:$G$1665, MATCH(IY$1,'STOPE SUMMARY PIVOT'!$A$1538:$A$1665, 0))</f>
        <v>0</v>
      </c>
      <c r="IZ40" s="175">
        <f>INDEX('STOPE SUMMARY PIVOT'!$H$1538:$H$1665, MATCH(IY$1,'STOPE SUMMARY PIVOT'!$A$1538:$A$1665, 0))</f>
        <v>0</v>
      </c>
    </row>
    <row r="41" spans="1:260" ht="15.75" thickBot="1" x14ac:dyDescent="0.3">
      <c r="A41" s="1591"/>
      <c r="B41" s="169" t="s">
        <v>5</v>
      </c>
      <c r="C41" s="170" cm="1">
        <f t="array" ref="C41">SUM(_xlfn._xlws.FILTER(E41:IZ41, MOD(COLUMN(E41:IZ41)-COLUMN(E41)+1,2)=1))</f>
        <v>23871.200000000001</v>
      </c>
      <c r="D41" s="171" cm="1">
        <f t="array" ref="D41">SUMPRODUCT(_xlfn._xlws.FILTER(E41:IZ41, MOD(COLUMN(E41:IZ41)-COLUMN(E41)+1,2)=1), _xlfn._xlws.FILTER(E41:IZ41, MOD(COLUMN(E41:IZ41)-COLUMN(E41)+1,2)=0))/C41</f>
        <v>2.470122155568216</v>
      </c>
      <c r="E41" s="172">
        <f>INDEX('STOPE SUMMARY PIVOT'!$J$1538:$J$1665, MATCH(E$1,'STOPE SUMMARY PIVOT'!$A$1538:$A$1665, 0))</f>
        <v>0</v>
      </c>
      <c r="F41" s="176">
        <f>INDEX('STOPE SUMMARY PIVOT'!$K$1538:$K$1665, MATCH(E$1,'STOPE SUMMARY PIVOT'!$A$1538:$A$1665, 0))</f>
        <v>0</v>
      </c>
      <c r="G41" s="172">
        <f>INDEX('STOPE SUMMARY PIVOT'!$J$1538:$J$1665, MATCH(G$1,'STOPE SUMMARY PIVOT'!$A$1538:$A$1665, 0))</f>
        <v>0</v>
      </c>
      <c r="H41" s="176">
        <f>INDEX('STOPE SUMMARY PIVOT'!$K$1538:$K$1665, MATCH(G$1,'STOPE SUMMARY PIVOT'!$A$1538:$A$1665, 0))</f>
        <v>0</v>
      </c>
      <c r="I41" s="172">
        <f>INDEX('STOPE SUMMARY PIVOT'!$J$1538:$J$1665, MATCH(I$1,'STOPE SUMMARY PIVOT'!$A$1538:$A$1665, 0))</f>
        <v>0</v>
      </c>
      <c r="J41" s="173">
        <f>INDEX('STOPE SUMMARY PIVOT'!$K$1538:$K$1665, MATCH(I$1,'STOPE SUMMARY PIVOT'!$A$1538:$A$1665, 0))</f>
        <v>0</v>
      </c>
      <c r="K41" s="172">
        <f>INDEX('STOPE SUMMARY PIVOT'!$J$1538:$J$1665, MATCH(K$1,'STOPE SUMMARY PIVOT'!$A$1538:$A$1665, 0))</f>
        <v>0</v>
      </c>
      <c r="L41" s="173">
        <f>INDEX('STOPE SUMMARY PIVOT'!$K$1538:$K$1665, MATCH(K$1,'STOPE SUMMARY PIVOT'!$A$1538:$A$1665, 0))</f>
        <v>0</v>
      </c>
      <c r="M41" s="172">
        <f>INDEX('STOPE SUMMARY PIVOT'!$J$1538:$J$1665, MATCH(M$1,'STOPE SUMMARY PIVOT'!$A$1538:$A$1665, 0))</f>
        <v>0</v>
      </c>
      <c r="N41" s="173">
        <f>INDEX('STOPE SUMMARY PIVOT'!$K$1538:$K$1665, MATCH(M$1,'STOPE SUMMARY PIVOT'!$A$1538:$A$1665, 0))</f>
        <v>0</v>
      </c>
      <c r="O41" s="172">
        <f>INDEX('STOPE SUMMARY PIVOT'!$J$1538:$J$1665, MATCH(O$1,'STOPE SUMMARY PIVOT'!$A$1538:$A$1665, 0))</f>
        <v>0</v>
      </c>
      <c r="P41" s="173">
        <f>INDEX('STOPE SUMMARY PIVOT'!$K$1538:$K$1665, MATCH(O$1,'STOPE SUMMARY PIVOT'!$A$1538:$A$1665, 0))</f>
        <v>0</v>
      </c>
      <c r="Q41" s="172">
        <f>INDEX('STOPE SUMMARY PIVOT'!$J$1538:$J$1665, MATCH(Q$1,'STOPE SUMMARY PIVOT'!$A$1538:$A$1665, 0))</f>
        <v>0</v>
      </c>
      <c r="R41" s="173">
        <f>INDEX('STOPE SUMMARY PIVOT'!$K$1538:$K$1665, MATCH(Q$1,'STOPE SUMMARY PIVOT'!$A$1538:$A$1665, 0))</f>
        <v>0</v>
      </c>
      <c r="S41" s="172">
        <f>INDEX('STOPE SUMMARY PIVOT'!$J$1538:$J$1665, MATCH(S$1,'STOPE SUMMARY PIVOT'!$A$1538:$A$1665, 0))</f>
        <v>0</v>
      </c>
      <c r="T41" s="173">
        <f>INDEX('STOPE SUMMARY PIVOT'!$K$1538:$K$1665, MATCH(S$1,'STOPE SUMMARY PIVOT'!$A$1538:$A$1665, 0))</f>
        <v>0</v>
      </c>
      <c r="U41" s="172">
        <f>INDEX('STOPE SUMMARY PIVOT'!$J$1538:$J$1665, MATCH(U$1,'STOPE SUMMARY PIVOT'!$A$1538:$A$1665, 0))</f>
        <v>0</v>
      </c>
      <c r="V41" s="176">
        <f>INDEX('STOPE SUMMARY PIVOT'!$K$1538:$K$1665, MATCH(U$1,'STOPE SUMMARY PIVOT'!$A$1538:$A$1665, 0))</f>
        <v>0</v>
      </c>
      <c r="W41" s="172">
        <f>INDEX('STOPE SUMMARY PIVOT'!$J$1538:$J$1665, MATCH(W$1,'STOPE SUMMARY PIVOT'!$A$1538:$A$1665, 0))</f>
        <v>0</v>
      </c>
      <c r="X41" s="176">
        <f>INDEX('STOPE SUMMARY PIVOT'!$K$1538:$K$1665, MATCH(W$1,'STOPE SUMMARY PIVOT'!$A$1538:$A$1665, 0))</f>
        <v>0</v>
      </c>
      <c r="Y41" s="172">
        <f>INDEX('STOPE SUMMARY PIVOT'!$J$1538:$J$1665, MATCH(Y$1,'STOPE SUMMARY PIVOT'!$A$1538:$A$1665, 0))</f>
        <v>0</v>
      </c>
      <c r="Z41" s="176">
        <f>INDEX('STOPE SUMMARY PIVOT'!$K$1538:$K$1665, MATCH(Y$1,'STOPE SUMMARY PIVOT'!$A$1538:$A$1665, 0))</f>
        <v>0</v>
      </c>
      <c r="AA41" s="172">
        <f>INDEX('STOPE SUMMARY PIVOT'!$J$1538:$J$1665, MATCH(AA$1,'STOPE SUMMARY PIVOT'!$A$1538:$A$1665, 0))</f>
        <v>0</v>
      </c>
      <c r="AB41" s="176">
        <f>INDEX('STOPE SUMMARY PIVOT'!$K$1538:$K$1665, MATCH(AA$1,'STOPE SUMMARY PIVOT'!$A$1538:$A$1665, 0))</f>
        <v>0</v>
      </c>
      <c r="AC41" s="172">
        <f>INDEX('STOPE SUMMARY PIVOT'!$J$1538:$J$1665, MATCH(AC$1,'STOPE SUMMARY PIVOT'!$A$1538:$A$1665, 0))</f>
        <v>0</v>
      </c>
      <c r="AD41" s="176">
        <f>INDEX('STOPE SUMMARY PIVOT'!$K$1538:$K$1665, MATCH(AC$1,'STOPE SUMMARY PIVOT'!$A$1538:$A$1665, 0))</f>
        <v>0</v>
      </c>
      <c r="AE41" s="172">
        <f>INDEX('STOPE SUMMARY PIVOT'!$J$1538:$J$1665, MATCH(AE$1,'STOPE SUMMARY PIVOT'!$A$1538:$A$1665, 0))</f>
        <v>0</v>
      </c>
      <c r="AF41" s="176">
        <f>INDEX('STOPE SUMMARY PIVOT'!$K$1538:$K$1665, MATCH(AE$1,'STOPE SUMMARY PIVOT'!$A$1538:$A$1665, 0))</f>
        <v>0</v>
      </c>
      <c r="AG41" s="172">
        <f>INDEX('STOPE SUMMARY PIVOT'!$J$1538:$J$1665, MATCH(AG$1,'STOPE SUMMARY PIVOT'!$A$1538:$A$1665, 0))</f>
        <v>0</v>
      </c>
      <c r="AH41" s="176">
        <f>INDEX('STOPE SUMMARY PIVOT'!$K$1538:$K$1665, MATCH(AG$1,'STOPE SUMMARY PIVOT'!$A$1538:$A$1665, 0))</f>
        <v>0</v>
      </c>
      <c r="AI41" s="172">
        <f>INDEX('STOPE SUMMARY PIVOT'!$J$1538:$J$1665, MATCH(AI$1,'STOPE SUMMARY PIVOT'!$A$1538:$A$1665, 0))</f>
        <v>0</v>
      </c>
      <c r="AJ41" s="176">
        <f>INDEX('STOPE SUMMARY PIVOT'!$K$1538:$K$1665, MATCH(AI$1,'STOPE SUMMARY PIVOT'!$A$1538:$A$1665, 0))</f>
        <v>0</v>
      </c>
      <c r="AK41" s="172">
        <f>INDEX('STOPE SUMMARY PIVOT'!$J$1538:$J$1665, MATCH(AK$1,'STOPE SUMMARY PIVOT'!$A$1538:$A$1665, 0))</f>
        <v>0</v>
      </c>
      <c r="AL41" s="176">
        <f>INDEX('STOPE SUMMARY PIVOT'!$K$1538:$K$1665, MATCH(AK$1,'STOPE SUMMARY PIVOT'!$A$1538:$A$1665, 0))</f>
        <v>0</v>
      </c>
      <c r="AM41" s="172">
        <f>INDEX('STOPE SUMMARY PIVOT'!$J$1538:$J$1665, MATCH(AM$1,'STOPE SUMMARY PIVOT'!$A$1538:$A$1665, 0))</f>
        <v>0</v>
      </c>
      <c r="AN41" s="176">
        <f>INDEX('STOPE SUMMARY PIVOT'!$K$1538:$K$1665, MATCH(AM$1,'STOPE SUMMARY PIVOT'!$A$1538:$A$1665, 0))</f>
        <v>0</v>
      </c>
      <c r="AO41" s="172">
        <f>INDEX('STOPE SUMMARY PIVOT'!$J$1538:$J$1665, MATCH(AO$1,'STOPE SUMMARY PIVOT'!$A$1538:$A$1665, 0))</f>
        <v>0</v>
      </c>
      <c r="AP41" s="176">
        <f>INDEX('STOPE SUMMARY PIVOT'!$K$1538:$K$1665, MATCH(AO$1,'STOPE SUMMARY PIVOT'!$A$1538:$A$1665, 0))</f>
        <v>0</v>
      </c>
      <c r="AQ41" s="172">
        <f>INDEX('STOPE SUMMARY PIVOT'!$J$1538:$J$1665, MATCH(AQ$1,'STOPE SUMMARY PIVOT'!$A$1538:$A$1665, 0))</f>
        <v>0</v>
      </c>
      <c r="AR41" s="176">
        <f>INDEX('STOPE SUMMARY PIVOT'!$K$1538:$K$1665, MATCH(AQ$1,'STOPE SUMMARY PIVOT'!$A$1538:$A$1665, 0))</f>
        <v>0</v>
      </c>
      <c r="AS41" s="172">
        <f>INDEX('STOPE SUMMARY PIVOT'!$J$1538:$J$1665, MATCH(AS$1,'STOPE SUMMARY PIVOT'!$A$1538:$A$1665, 0))</f>
        <v>0</v>
      </c>
      <c r="AT41" s="176">
        <f>INDEX('STOPE SUMMARY PIVOT'!$K$1538:$K$1665, MATCH(AS$1,'STOPE SUMMARY PIVOT'!$A$1538:$A$1665, 0))</f>
        <v>0</v>
      </c>
      <c r="AU41" s="172">
        <f>INDEX('STOPE SUMMARY PIVOT'!$J$1538:$J$1665, MATCH(AU$1,'STOPE SUMMARY PIVOT'!$A$1538:$A$1665, 0))</f>
        <v>0</v>
      </c>
      <c r="AV41" s="176">
        <f>INDEX('STOPE SUMMARY PIVOT'!$K$1538:$K$1665, MATCH(AU$1,'STOPE SUMMARY PIVOT'!$A$1538:$A$1665, 0))</f>
        <v>0</v>
      </c>
      <c r="AW41" s="172">
        <f>INDEX('STOPE SUMMARY PIVOT'!$J$1538:$J$1665, MATCH(AW$1,'STOPE SUMMARY PIVOT'!$A$1538:$A$1665, 0))</f>
        <v>0</v>
      </c>
      <c r="AX41" s="176">
        <f>INDEX('STOPE SUMMARY PIVOT'!$K$1538:$K$1665, MATCH(AW$1,'STOPE SUMMARY PIVOT'!$A$1538:$A$1665, 0))</f>
        <v>0</v>
      </c>
      <c r="AY41" s="172">
        <f>INDEX('STOPE SUMMARY PIVOT'!$J$1538:$J$1665, MATCH(AY$1,'STOPE SUMMARY PIVOT'!$A$1538:$A$1665, 0))</f>
        <v>0</v>
      </c>
      <c r="AZ41" s="176">
        <f>INDEX('STOPE SUMMARY PIVOT'!$K$1538:$K$1665, MATCH(AY$1,'STOPE SUMMARY PIVOT'!$A$1538:$A$1665, 0))</f>
        <v>0</v>
      </c>
      <c r="BA41" s="172">
        <f>INDEX('STOPE SUMMARY PIVOT'!$J$1538:$J$1665, MATCH(BA$1,'STOPE SUMMARY PIVOT'!$A$1538:$A$1665, 0))</f>
        <v>0</v>
      </c>
      <c r="BB41" s="176">
        <f>INDEX('STOPE SUMMARY PIVOT'!$K$1538:$K$1665, MATCH(BA$1,'STOPE SUMMARY PIVOT'!$A$1538:$A$1665, 0))</f>
        <v>0</v>
      </c>
      <c r="BC41" s="172">
        <f>INDEX('STOPE SUMMARY PIVOT'!$J$1538:$J$1665, MATCH(BC$1,'STOPE SUMMARY PIVOT'!$A$1538:$A$1665, 0))</f>
        <v>0</v>
      </c>
      <c r="BD41" s="176">
        <f>INDEX('STOPE SUMMARY PIVOT'!$K$1538:$K$1665, MATCH(BC$1,'STOPE SUMMARY PIVOT'!$A$1538:$A$1665, 0))</f>
        <v>0</v>
      </c>
      <c r="BE41" s="172">
        <f>INDEX('STOPE SUMMARY PIVOT'!$J$1538:$J$1665, MATCH(BE$1,'STOPE SUMMARY PIVOT'!$A$1538:$A$1665, 0))</f>
        <v>0</v>
      </c>
      <c r="BF41" s="176">
        <f>INDEX('STOPE SUMMARY PIVOT'!$K$1538:$K$1665, MATCH(BE$1,'STOPE SUMMARY PIVOT'!$A$1538:$A$1665, 0))</f>
        <v>0</v>
      </c>
      <c r="BG41" s="172">
        <f>INDEX('STOPE SUMMARY PIVOT'!$J$1538:$J$1665, MATCH(BG$1,'STOPE SUMMARY PIVOT'!$A$1538:$A$1665, 0))</f>
        <v>0</v>
      </c>
      <c r="BH41" s="176">
        <f>INDEX('STOPE SUMMARY PIVOT'!$K$1538:$K$1665, MATCH(BG$1,'STOPE SUMMARY PIVOT'!$A$1538:$A$1665, 0))</f>
        <v>0</v>
      </c>
      <c r="BI41" s="172">
        <f>INDEX('STOPE SUMMARY PIVOT'!$J$1538:$J$1665, MATCH(BI$1,'STOPE SUMMARY PIVOT'!$A$1538:$A$1665, 0))</f>
        <v>0</v>
      </c>
      <c r="BJ41" s="176">
        <f>INDEX('STOPE SUMMARY PIVOT'!$K$1538:$K$1665, MATCH(BI$1,'STOPE SUMMARY PIVOT'!$A$1538:$A$1665, 0))</f>
        <v>0</v>
      </c>
      <c r="BK41" s="172">
        <f>INDEX('STOPE SUMMARY PIVOT'!$J$1538:$J$1665, MATCH(BK$1,'STOPE SUMMARY PIVOT'!$A$1538:$A$1665, 0))</f>
        <v>0</v>
      </c>
      <c r="BL41" s="176">
        <f>INDEX('STOPE SUMMARY PIVOT'!$K$1538:$K$1665, MATCH(BK$1,'STOPE SUMMARY PIVOT'!$A$1538:$A$1665, 0))</f>
        <v>0</v>
      </c>
      <c r="BM41" s="172">
        <f>INDEX('STOPE SUMMARY PIVOT'!$J$1538:$J$1665, MATCH(BM$1,'STOPE SUMMARY PIVOT'!$A$1538:$A$1665, 0))</f>
        <v>0</v>
      </c>
      <c r="BN41" s="176">
        <f>INDEX('STOPE SUMMARY PIVOT'!$K$1538:$K$1665, MATCH(BM$1,'STOPE SUMMARY PIVOT'!$A$1538:$A$1665, 0))</f>
        <v>0</v>
      </c>
      <c r="BO41" s="172">
        <f>INDEX('STOPE SUMMARY PIVOT'!$J$1538:$J$1665, MATCH(BO$1,'STOPE SUMMARY PIVOT'!$A$1538:$A$1665, 0))</f>
        <v>0</v>
      </c>
      <c r="BP41" s="176">
        <f>INDEX('STOPE SUMMARY PIVOT'!$K$1538:$K$1665, MATCH(BO$1,'STOPE SUMMARY PIVOT'!$A$1538:$A$1665, 0))</f>
        <v>0</v>
      </c>
      <c r="BQ41" s="172">
        <f>INDEX('STOPE SUMMARY PIVOT'!$J$1538:$J$1665, MATCH(BQ$1,'STOPE SUMMARY PIVOT'!$A$1538:$A$1665, 0))</f>
        <v>0</v>
      </c>
      <c r="BR41" s="176">
        <f>INDEX('STOPE SUMMARY PIVOT'!$K$1538:$K$1665, MATCH(BQ$1,'STOPE SUMMARY PIVOT'!$A$1538:$A$1665, 0))</f>
        <v>0</v>
      </c>
      <c r="BS41" s="172">
        <f>INDEX('STOPE SUMMARY PIVOT'!$J$1538:$J$1665, MATCH(BS$1,'STOPE SUMMARY PIVOT'!$A$1538:$A$1665, 0))</f>
        <v>0</v>
      </c>
      <c r="BT41" s="176">
        <f>INDEX('STOPE SUMMARY PIVOT'!$K$1538:$K$1665, MATCH(BS$1,'STOPE SUMMARY PIVOT'!$A$1538:$A$1665, 0))</f>
        <v>0</v>
      </c>
      <c r="BU41" s="172">
        <f>INDEX('STOPE SUMMARY PIVOT'!$J$1538:$J$1665, MATCH(BU$1,'STOPE SUMMARY PIVOT'!$A$1538:$A$1665, 0))</f>
        <v>0</v>
      </c>
      <c r="BV41" s="176">
        <f>INDEX('STOPE SUMMARY PIVOT'!$K$1538:$K$1665, MATCH(BU$1,'STOPE SUMMARY PIVOT'!$A$1538:$A$1665, 0))</f>
        <v>0</v>
      </c>
      <c r="BW41" s="172">
        <f>INDEX('STOPE SUMMARY PIVOT'!$J$1538:$J$1665, MATCH(BW$1,'STOPE SUMMARY PIVOT'!$A$1538:$A$1665, 0))</f>
        <v>0</v>
      </c>
      <c r="BX41" s="176">
        <f>INDEX('STOPE SUMMARY PIVOT'!$K$1538:$K$1665, MATCH(BW$1,'STOPE SUMMARY PIVOT'!$A$1538:$A$1665, 0))</f>
        <v>0</v>
      </c>
      <c r="BY41" s="172">
        <f>INDEX('STOPE SUMMARY PIVOT'!$J$1538:$J$1665, MATCH(BY$1,'STOPE SUMMARY PIVOT'!$A$1538:$A$1665, 0))</f>
        <v>0</v>
      </c>
      <c r="BZ41" s="176">
        <f>INDEX('STOPE SUMMARY PIVOT'!$K$1538:$K$1665, MATCH(BY$1,'STOPE SUMMARY PIVOT'!$A$1538:$A$1665, 0))</f>
        <v>0</v>
      </c>
      <c r="CA41" s="172">
        <f>INDEX('STOPE SUMMARY PIVOT'!$J$1538:$J$1665, MATCH(CA$1,'STOPE SUMMARY PIVOT'!$A$1538:$A$1665, 0))</f>
        <v>0</v>
      </c>
      <c r="CB41" s="176">
        <f>INDEX('STOPE SUMMARY PIVOT'!$K$1538:$K$1665, MATCH(CA$1,'STOPE SUMMARY PIVOT'!$A$1538:$A$1665, 0))</f>
        <v>0</v>
      </c>
      <c r="CC41" s="172">
        <f>INDEX('STOPE SUMMARY PIVOT'!$J$1538:$J$1665, MATCH(CC$1,'STOPE SUMMARY PIVOT'!$A$1538:$A$1665, 0))</f>
        <v>0</v>
      </c>
      <c r="CD41" s="176">
        <f>INDEX('STOPE SUMMARY PIVOT'!$K$1538:$K$1665, MATCH(CC$1,'STOPE SUMMARY PIVOT'!$A$1538:$A$1665, 0))</f>
        <v>0</v>
      </c>
      <c r="CE41" s="172">
        <f>INDEX('STOPE SUMMARY PIVOT'!$J$1538:$J$1665, MATCH(CE$1,'STOPE SUMMARY PIVOT'!$A$1538:$A$1665, 0))</f>
        <v>0</v>
      </c>
      <c r="CF41" s="176">
        <f>INDEX('STOPE SUMMARY PIVOT'!$K$1538:$K$1665, MATCH(CE$1,'STOPE SUMMARY PIVOT'!$A$1538:$A$1665, 0))</f>
        <v>0</v>
      </c>
      <c r="CG41" s="172">
        <f>INDEX('STOPE SUMMARY PIVOT'!$J$1538:$J$1665, MATCH(CG$1,'STOPE SUMMARY PIVOT'!$A$1538:$A$1665, 0))</f>
        <v>0</v>
      </c>
      <c r="CH41" s="176">
        <f>INDEX('STOPE SUMMARY PIVOT'!$K$1538:$K$1665, MATCH(CG$1,'STOPE SUMMARY PIVOT'!$A$1538:$A$1665, 0))</f>
        <v>0</v>
      </c>
      <c r="CI41" s="172">
        <f>INDEX('STOPE SUMMARY PIVOT'!$J$1538:$J$1665, MATCH(CI$1,'STOPE SUMMARY PIVOT'!$A$1538:$A$1665, 0))</f>
        <v>0</v>
      </c>
      <c r="CJ41" s="176">
        <f>INDEX('STOPE SUMMARY PIVOT'!$K$1538:$K$1665, MATCH(CI$1,'STOPE SUMMARY PIVOT'!$A$1538:$A$1665, 0))</f>
        <v>0</v>
      </c>
      <c r="CK41" s="172">
        <f>INDEX('STOPE SUMMARY PIVOT'!$J$1538:$J$1665, MATCH(CK$1,'STOPE SUMMARY PIVOT'!$A$1538:$A$1665, 0))</f>
        <v>0</v>
      </c>
      <c r="CL41" s="176">
        <f>INDEX('STOPE SUMMARY PIVOT'!$K$1538:$K$1665, MATCH(CK$1,'STOPE SUMMARY PIVOT'!$A$1538:$A$1665, 0))</f>
        <v>0</v>
      </c>
      <c r="CM41" s="172">
        <f>INDEX('STOPE SUMMARY PIVOT'!$J$1538:$J$1665, MATCH(CM$1,'STOPE SUMMARY PIVOT'!$A$1538:$A$1665, 0))</f>
        <v>0</v>
      </c>
      <c r="CN41" s="176">
        <f>INDEX('STOPE SUMMARY PIVOT'!$K$1538:$K$1665, MATCH(CM$1,'STOPE SUMMARY PIVOT'!$A$1538:$A$1665, 0))</f>
        <v>0</v>
      </c>
      <c r="CO41" s="172">
        <f>INDEX('STOPE SUMMARY PIVOT'!$J$1538:$J$1665, MATCH(CO$1,'STOPE SUMMARY PIVOT'!$A$1538:$A$1665, 0))</f>
        <v>0</v>
      </c>
      <c r="CP41" s="176">
        <f>INDEX('STOPE SUMMARY PIVOT'!$K$1538:$K$1665, MATCH(CO$1,'STOPE SUMMARY PIVOT'!$A$1538:$A$1665, 0))</f>
        <v>0</v>
      </c>
      <c r="CQ41" s="172">
        <f>INDEX('STOPE SUMMARY PIVOT'!$J$1538:$J$1665, MATCH(CQ$1,'STOPE SUMMARY PIVOT'!$A$1538:$A$1665, 0))</f>
        <v>6179</v>
      </c>
      <c r="CR41" s="176">
        <f>INDEX('STOPE SUMMARY PIVOT'!$K$1538:$K$1665, MATCH(CQ$1,'STOPE SUMMARY PIVOT'!$A$1538:$A$1665, 0))</f>
        <v>3.2601958245670826</v>
      </c>
      <c r="CS41" s="172">
        <f>INDEX('STOPE SUMMARY PIVOT'!$J$1538:$J$1665, MATCH(CS$1,'STOPE SUMMARY PIVOT'!$A$1538:$A$1665, 0))</f>
        <v>0</v>
      </c>
      <c r="CT41" s="176">
        <f>INDEX('STOPE SUMMARY PIVOT'!$K$1538:$K$1665, MATCH(CS$1,'STOPE SUMMARY PIVOT'!$A$1538:$A$1665, 0))</f>
        <v>0</v>
      </c>
      <c r="CU41" s="172">
        <f>INDEX('STOPE SUMMARY PIVOT'!$J$1538:$J$1665, MATCH(CU$1,'STOPE SUMMARY PIVOT'!$A$1538:$A$1665, 0))</f>
        <v>0</v>
      </c>
      <c r="CV41" s="176">
        <f>INDEX('STOPE SUMMARY PIVOT'!$K$1538:$K$1665, MATCH(CU$1,'STOPE SUMMARY PIVOT'!$A$1538:$A$1665, 0))</f>
        <v>0</v>
      </c>
      <c r="CW41" s="172">
        <f>INDEX('STOPE SUMMARY PIVOT'!$J$1538:$J$1665, MATCH(CW$1,'STOPE SUMMARY PIVOT'!$A$1538:$A$1665, 0))</f>
        <v>0</v>
      </c>
      <c r="CX41" s="176">
        <f>INDEX('STOPE SUMMARY PIVOT'!$K$1538:$K$1665, MATCH(CW$1,'STOPE SUMMARY PIVOT'!$A$1538:$A$1665, 0))</f>
        <v>0</v>
      </c>
      <c r="CY41" s="172">
        <f>INDEX('STOPE SUMMARY PIVOT'!$J$1538:$J$1665, MATCH(CY$1,'STOPE SUMMARY PIVOT'!$A$1538:$A$1665, 0))</f>
        <v>1458</v>
      </c>
      <c r="CZ41" s="176">
        <f>INDEX('STOPE SUMMARY PIVOT'!$K$1538:$K$1665, MATCH(CY$1,'STOPE SUMMARY PIVOT'!$A$1538:$A$1665, 0))</f>
        <v>1.2119204389574763</v>
      </c>
      <c r="DA41" s="172">
        <f>INDEX('STOPE SUMMARY PIVOT'!$J$1538:$J$1665, MATCH(DA$1,'STOPE SUMMARY PIVOT'!$A$1538:$A$1665, 0))</f>
        <v>0</v>
      </c>
      <c r="DB41" s="176">
        <f>INDEX('STOPE SUMMARY PIVOT'!$K$1538:$K$1665, MATCH(DA$1,'STOPE SUMMARY PIVOT'!$A$1538:$A$1665, 0))</f>
        <v>0</v>
      </c>
      <c r="DC41" s="172">
        <f>INDEX('STOPE SUMMARY PIVOT'!$J$1538:$J$1665, MATCH(DC$1,'STOPE SUMMARY PIVOT'!$A$1538:$A$1665, 0))</f>
        <v>0</v>
      </c>
      <c r="DD41" s="176">
        <f>INDEX('STOPE SUMMARY PIVOT'!$K$1538:$K$1665, MATCH(DC$1,'STOPE SUMMARY PIVOT'!$A$1538:$A$1665, 0))</f>
        <v>0</v>
      </c>
      <c r="DE41" s="172">
        <f>INDEX('STOPE SUMMARY PIVOT'!$J$1538:$J$1665, MATCH(DE$1,'STOPE SUMMARY PIVOT'!$A$1538:$A$1665, 0))</f>
        <v>754</v>
      </c>
      <c r="DF41" s="176">
        <f>INDEX('STOPE SUMMARY PIVOT'!$K$1538:$K$1665, MATCH(DE$1,'STOPE SUMMARY PIVOT'!$A$1538:$A$1665, 0))</f>
        <v>0.46722811671087527</v>
      </c>
      <c r="DG41" s="172">
        <f>INDEX('STOPE SUMMARY PIVOT'!$J$1538:$J$1665, MATCH(DG$1,'STOPE SUMMARY PIVOT'!$A$1538:$A$1665, 0))</f>
        <v>0</v>
      </c>
      <c r="DH41" s="176">
        <f>INDEX('STOPE SUMMARY PIVOT'!$K$1538:$K$1665, MATCH(DG$1,'STOPE SUMMARY PIVOT'!$A$1538:$A$1665, 0))</f>
        <v>0</v>
      </c>
      <c r="DI41" s="172">
        <f>INDEX('STOPE SUMMARY PIVOT'!$J$1538:$J$1665, MATCH(DI$1,'STOPE SUMMARY PIVOT'!$A$1538:$A$1665, 0))</f>
        <v>0</v>
      </c>
      <c r="DJ41" s="176">
        <f>INDEX('STOPE SUMMARY PIVOT'!$K$1538:$K$1665, MATCH(DI$1,'STOPE SUMMARY PIVOT'!$A$1538:$A$1665, 0))</f>
        <v>0</v>
      </c>
      <c r="DK41" s="172">
        <f>INDEX('STOPE SUMMARY PIVOT'!$J$1538:$J$1665, MATCH(DK$1,'STOPE SUMMARY PIVOT'!$A$1538:$A$1665, 0))</f>
        <v>0</v>
      </c>
      <c r="DL41" s="176">
        <f>INDEX('STOPE SUMMARY PIVOT'!$K$1538:$K$1665, MATCH(DK$1,'STOPE SUMMARY PIVOT'!$A$1538:$A$1665, 0))</f>
        <v>0</v>
      </c>
      <c r="DM41" s="172">
        <f>INDEX('STOPE SUMMARY PIVOT'!$J$1538:$J$1665, MATCH(DM$1,'STOPE SUMMARY PIVOT'!$A$1538:$A$1665, 0))</f>
        <v>0</v>
      </c>
      <c r="DN41" s="176">
        <f>INDEX('STOPE SUMMARY PIVOT'!$K$1538:$K$1665, MATCH(DM$1,'STOPE SUMMARY PIVOT'!$A$1538:$A$1665, 0))</f>
        <v>0</v>
      </c>
      <c r="DO41" s="172">
        <f>INDEX('STOPE SUMMARY PIVOT'!$J$1538:$J$1665, MATCH(DO$1,'STOPE SUMMARY PIVOT'!$A$1538:$A$1665, 0))</f>
        <v>4555</v>
      </c>
      <c r="DP41" s="176">
        <f>INDEX('STOPE SUMMARY PIVOT'!$K$1538:$K$1665, MATCH(DO$1,'STOPE SUMMARY PIVOT'!$A$1538:$A$1665, 0))</f>
        <v>1.8785049396267839</v>
      </c>
      <c r="DQ41" s="172">
        <f>INDEX('STOPE SUMMARY PIVOT'!$J$1538:$J$1665, MATCH(DQ$1,'STOPE SUMMARY PIVOT'!$A$1538:$A$1665, 0))</f>
        <v>0</v>
      </c>
      <c r="DR41" s="176">
        <f>INDEX('STOPE SUMMARY PIVOT'!$K$1538:$K$1665, MATCH(DQ$1,'STOPE SUMMARY PIVOT'!$A$1538:$A$1665, 0))</f>
        <v>0</v>
      </c>
      <c r="DS41" s="172">
        <f>INDEX('STOPE SUMMARY PIVOT'!$J$1538:$J$1665, MATCH(DS$1,'STOPE SUMMARY PIVOT'!$A$1538:$A$1665, 0))</f>
        <v>2609.5</v>
      </c>
      <c r="DT41" s="176">
        <f>INDEX('STOPE SUMMARY PIVOT'!$K$1538:$K$1665, MATCH(DS$1,'STOPE SUMMARY PIVOT'!$A$1538:$A$1665, 0))</f>
        <v>2.4268116497413295</v>
      </c>
      <c r="DU41" s="172">
        <f>INDEX('STOPE SUMMARY PIVOT'!$J$1538:$J$1665, MATCH(DU$1,'STOPE SUMMARY PIVOT'!$A$1538:$A$1665, 0))</f>
        <v>0</v>
      </c>
      <c r="DV41" s="176">
        <f>INDEX('STOPE SUMMARY PIVOT'!$K$1538:$K$1665, MATCH(DU$1,'STOPE SUMMARY PIVOT'!$A$1538:$A$1665, 0))</f>
        <v>0</v>
      </c>
      <c r="DW41" s="172">
        <f>INDEX('STOPE SUMMARY PIVOT'!$J$1538:$J$1665, MATCH(DW$1,'STOPE SUMMARY PIVOT'!$A$1538:$A$1665, 0))</f>
        <v>0</v>
      </c>
      <c r="DX41" s="176">
        <f>INDEX('STOPE SUMMARY PIVOT'!$K$1538:$K$1665, MATCH(DW$1,'STOPE SUMMARY PIVOT'!$A$1538:$A$1665, 0))</f>
        <v>0</v>
      </c>
      <c r="DY41" s="172">
        <f>INDEX('STOPE SUMMARY PIVOT'!$J$1538:$J$1665, MATCH(DY$1,'STOPE SUMMARY PIVOT'!$A$1538:$A$1665, 0))</f>
        <v>0</v>
      </c>
      <c r="DZ41" s="176">
        <f>INDEX('STOPE SUMMARY PIVOT'!$K$1538:$K$1665, MATCH(DY$1,'STOPE SUMMARY PIVOT'!$A$1538:$A$1665, 0))</f>
        <v>0</v>
      </c>
      <c r="EA41" s="172">
        <f>INDEX('STOPE SUMMARY PIVOT'!$J$1538:$J$1665, MATCH(EA$1,'STOPE SUMMARY PIVOT'!$A$1538:$A$1665, 0))</f>
        <v>0</v>
      </c>
      <c r="EB41" s="176">
        <f>INDEX('STOPE SUMMARY PIVOT'!$K$1538:$K$1665, MATCH(EA$1,'STOPE SUMMARY PIVOT'!$A$1538:$A$1665, 0))</f>
        <v>0</v>
      </c>
      <c r="EC41" s="172">
        <f>INDEX('STOPE SUMMARY PIVOT'!$J$1538:$J$1665, MATCH(EC$1,'STOPE SUMMARY PIVOT'!$A$1538:$A$1665, 0))</f>
        <v>0</v>
      </c>
      <c r="ED41" s="176">
        <f>INDEX('STOPE SUMMARY PIVOT'!$K$1538:$K$1665, MATCH(EC$1,'STOPE SUMMARY PIVOT'!$A$1538:$A$1665, 0))</f>
        <v>0</v>
      </c>
      <c r="EE41" s="172">
        <f>INDEX('STOPE SUMMARY PIVOT'!$J$1538:$J$1665, MATCH(EE$1,'STOPE SUMMARY PIVOT'!$A$1538:$A$1665, 0))</f>
        <v>0</v>
      </c>
      <c r="EF41" s="176">
        <f>INDEX('STOPE SUMMARY PIVOT'!$K$1538:$K$1665, MATCH(EE$1,'STOPE SUMMARY PIVOT'!$A$1538:$A$1665, 0))</f>
        <v>0</v>
      </c>
      <c r="EG41" s="172">
        <f>INDEX('STOPE SUMMARY PIVOT'!$J$1538:$J$1665, MATCH(EG$1,'STOPE SUMMARY PIVOT'!$A$1538:$A$1665, 0))</f>
        <v>0</v>
      </c>
      <c r="EH41" s="176">
        <f>INDEX('STOPE SUMMARY PIVOT'!$K$1538:$K$1665, MATCH(EG$1,'STOPE SUMMARY PIVOT'!$A$1538:$A$1665, 0))</f>
        <v>0</v>
      </c>
      <c r="EI41" s="172">
        <f>INDEX('STOPE SUMMARY PIVOT'!$J$1538:$J$1665, MATCH(EI$1,'STOPE SUMMARY PIVOT'!$A$1538:$A$1665, 0))</f>
        <v>0</v>
      </c>
      <c r="EJ41" s="176">
        <f>INDEX('STOPE SUMMARY PIVOT'!$K$1538:$K$1665, MATCH(EI$1,'STOPE SUMMARY PIVOT'!$A$1538:$A$1665, 0))</f>
        <v>0</v>
      </c>
      <c r="EK41" s="172">
        <f>INDEX('STOPE SUMMARY PIVOT'!$J$1538:$J$1665, MATCH(EK$1,'STOPE SUMMARY PIVOT'!$A$1538:$A$1665, 0))</f>
        <v>0</v>
      </c>
      <c r="EL41" s="176">
        <f>INDEX('STOPE SUMMARY PIVOT'!$K$1538:$K$1665, MATCH(EK$1,'STOPE SUMMARY PIVOT'!$A$1538:$A$1665, 0))</f>
        <v>0</v>
      </c>
      <c r="EM41" s="172">
        <f>INDEX('STOPE SUMMARY PIVOT'!$J$1538:$J$1665, MATCH(EM$1,'STOPE SUMMARY PIVOT'!$A$1538:$A$1665, 0))</f>
        <v>0</v>
      </c>
      <c r="EN41" s="176">
        <f>INDEX('STOPE SUMMARY PIVOT'!$K$1538:$K$1665, MATCH(EM$1,'STOPE SUMMARY PIVOT'!$A$1538:$A$1665, 0))</f>
        <v>0</v>
      </c>
      <c r="EO41" s="172">
        <f>INDEX('STOPE SUMMARY PIVOT'!$J$1538:$J$1665, MATCH(EO$1,'STOPE SUMMARY PIVOT'!$A$1538:$A$1665, 0))</f>
        <v>2028.2</v>
      </c>
      <c r="EP41" s="176">
        <f>INDEX('STOPE SUMMARY PIVOT'!$K$1538:$K$1665, MATCH(EO$1,'STOPE SUMMARY PIVOT'!$A$1538:$A$1665, 0))</f>
        <v>3.1833892121092591</v>
      </c>
      <c r="EQ41" s="172">
        <f>INDEX('STOPE SUMMARY PIVOT'!$J$1538:$J$1665, MATCH(EQ$1,'STOPE SUMMARY PIVOT'!$A$1538:$A$1665, 0))</f>
        <v>0</v>
      </c>
      <c r="ER41" s="176">
        <f>INDEX('STOPE SUMMARY PIVOT'!$K$1538:$K$1665, MATCH(EQ$1,'STOPE SUMMARY PIVOT'!$A$1538:$A$1665, 0))</f>
        <v>0</v>
      </c>
      <c r="ES41" s="172">
        <f>INDEX('STOPE SUMMARY PIVOT'!$J$1538:$J$1665, MATCH(ES$1,'STOPE SUMMARY PIVOT'!$A$1538:$A$1665, 0))</f>
        <v>0</v>
      </c>
      <c r="ET41" s="176">
        <f>INDEX('STOPE SUMMARY PIVOT'!$K$1538:$K$1665, MATCH(ES$1,'STOPE SUMMARY PIVOT'!$A$1538:$A$1665, 0))</f>
        <v>0</v>
      </c>
      <c r="EU41" s="172">
        <f>INDEX('STOPE SUMMARY PIVOT'!$J$1538:$J$1665, MATCH(EU$1,'STOPE SUMMARY PIVOT'!$A$1538:$A$1665, 0))</f>
        <v>0</v>
      </c>
      <c r="EV41" s="176">
        <f>INDEX('STOPE SUMMARY PIVOT'!$K$1538:$K$1665, MATCH(EU$1,'STOPE SUMMARY PIVOT'!$A$1538:$A$1665, 0))</f>
        <v>0</v>
      </c>
      <c r="EW41" s="172">
        <f>INDEX('STOPE SUMMARY PIVOT'!$J$1538:$J$1665, MATCH(EW$1,'STOPE SUMMARY PIVOT'!$A$1538:$A$1665, 0))</f>
        <v>0</v>
      </c>
      <c r="EX41" s="176">
        <f>INDEX('STOPE SUMMARY PIVOT'!$K$1538:$K$1665, MATCH(EW$1,'STOPE SUMMARY PIVOT'!$A$1538:$A$1665, 0))</f>
        <v>0</v>
      </c>
      <c r="EY41" s="172">
        <f>INDEX('STOPE SUMMARY PIVOT'!$J$1538:$J$1665, MATCH(EY$1,'STOPE SUMMARY PIVOT'!$A$1538:$A$1665, 0))</f>
        <v>0</v>
      </c>
      <c r="EZ41" s="176">
        <f>INDEX('STOPE SUMMARY PIVOT'!$K$1538:$K$1665, MATCH(EY$1,'STOPE SUMMARY PIVOT'!$A$1538:$A$1665, 0))</f>
        <v>0</v>
      </c>
      <c r="FA41" s="172">
        <f>INDEX('STOPE SUMMARY PIVOT'!$J$1538:$J$1665, MATCH(FA$1,'STOPE SUMMARY PIVOT'!$A$1538:$A$1665, 0))</f>
        <v>1949</v>
      </c>
      <c r="FB41" s="176">
        <f>INDEX('STOPE SUMMARY PIVOT'!$K$1538:$K$1665, MATCH(FA$1,'STOPE SUMMARY PIVOT'!$A$1538:$A$1665, 0))</f>
        <v>2.7855515649050795</v>
      </c>
      <c r="FC41" s="172">
        <f>INDEX('STOPE SUMMARY PIVOT'!$J$1538:$J$1665, MATCH(FC$1,'STOPE SUMMARY PIVOT'!$A$1538:$A$1665, 0))</f>
        <v>804</v>
      </c>
      <c r="FD41" s="176">
        <f>INDEX('STOPE SUMMARY PIVOT'!$K$1538:$K$1665, MATCH(FC$1,'STOPE SUMMARY PIVOT'!$A$1538:$A$1665, 0))</f>
        <v>2.6023756218905474</v>
      </c>
      <c r="FE41" s="172">
        <f>INDEX('STOPE SUMMARY PIVOT'!$J$1538:$J$1665, MATCH(FE$1,'STOPE SUMMARY PIVOT'!$A$1538:$A$1665, 0))</f>
        <v>3534.5</v>
      </c>
      <c r="FF41" s="176">
        <f>INDEX('STOPE SUMMARY PIVOT'!$K$1538:$K$1665, MATCH(FE$1,'STOPE SUMMARY PIVOT'!$A$1538:$A$1665, 0))</f>
        <v>2.2162979204979485</v>
      </c>
      <c r="FG41" s="172">
        <f>INDEX('STOPE SUMMARY PIVOT'!$J$1538:$J$1665, MATCH(FG$1,'STOPE SUMMARY PIVOT'!$A$1538:$A$1665, 0))</f>
        <v>0</v>
      </c>
      <c r="FH41" s="176">
        <f>INDEX('STOPE SUMMARY PIVOT'!$K$1538:$K$1665, MATCH(FG$1,'STOPE SUMMARY PIVOT'!$A$1538:$A$1665, 0))</f>
        <v>0</v>
      </c>
      <c r="FI41" s="172">
        <f>INDEX('STOPE SUMMARY PIVOT'!$J$1538:$J$1665, MATCH(FI$1,'STOPE SUMMARY PIVOT'!$A$1538:$A$1665, 0))</f>
        <v>0</v>
      </c>
      <c r="FJ41" s="176">
        <f>INDEX('STOPE SUMMARY PIVOT'!$K$1538:$K$1665, MATCH(FI$1,'STOPE SUMMARY PIVOT'!$A$1538:$A$1665, 0))</f>
        <v>0</v>
      </c>
      <c r="FK41" s="172">
        <f>INDEX('STOPE SUMMARY PIVOT'!$J$1538:$J$1665, MATCH(FK$1,'STOPE SUMMARY PIVOT'!$A$1538:$A$1665, 0))</f>
        <v>0</v>
      </c>
      <c r="FL41" s="176">
        <f>INDEX('STOPE SUMMARY PIVOT'!$K$1538:$K$1665, MATCH(FK$1,'STOPE SUMMARY PIVOT'!$A$1538:$A$1665, 0))</f>
        <v>0</v>
      </c>
      <c r="FM41" s="172">
        <f>INDEX('STOPE SUMMARY PIVOT'!$J$1538:$J$1665, MATCH(FM$1,'STOPE SUMMARY PIVOT'!$A$1538:$A$1665, 0))</f>
        <v>0</v>
      </c>
      <c r="FN41" s="176">
        <f>INDEX('STOPE SUMMARY PIVOT'!$K$1538:$K$1665, MATCH(FM$1,'STOPE SUMMARY PIVOT'!$A$1538:$A$1665, 0))</f>
        <v>0</v>
      </c>
      <c r="FO41" s="172">
        <f>INDEX('STOPE SUMMARY PIVOT'!$J$1538:$J$1665, MATCH(FO$1,'STOPE SUMMARY PIVOT'!$A$1538:$A$1665, 0))</f>
        <v>0</v>
      </c>
      <c r="FP41" s="176">
        <f>INDEX('STOPE SUMMARY PIVOT'!$K$1538:$K$1665, MATCH(FO$1,'STOPE SUMMARY PIVOT'!$A$1538:$A$1665, 0))</f>
        <v>0</v>
      </c>
      <c r="FQ41" s="172">
        <f>INDEX('STOPE SUMMARY PIVOT'!$J$1538:$J$1665, MATCH(FQ$1,'STOPE SUMMARY PIVOT'!$A$1538:$A$1665, 0))</f>
        <v>0</v>
      </c>
      <c r="FR41" s="176">
        <f>INDEX('STOPE SUMMARY PIVOT'!$K$1538:$K$1665, MATCH(FQ$1,'STOPE SUMMARY PIVOT'!$A$1538:$A$1665, 0))</f>
        <v>0</v>
      </c>
      <c r="FS41" s="172">
        <f>INDEX('STOPE SUMMARY PIVOT'!$J$1538:$J$1665, MATCH(FS$1,'STOPE SUMMARY PIVOT'!$A$1538:$A$1665, 0))</f>
        <v>0</v>
      </c>
      <c r="FT41" s="176">
        <f>INDEX('STOPE SUMMARY PIVOT'!$K$1538:$K$1665, MATCH(FS$1,'STOPE SUMMARY PIVOT'!$A$1538:$A$1665, 0))</f>
        <v>0</v>
      </c>
      <c r="FU41" s="172">
        <f>INDEX('STOPE SUMMARY PIVOT'!$J$1538:$J$1665, MATCH(FU$1,'STOPE SUMMARY PIVOT'!$A$1538:$A$1665, 0))</f>
        <v>0</v>
      </c>
      <c r="FV41" s="176">
        <f>INDEX('STOPE SUMMARY PIVOT'!$K$1538:$K$1665, MATCH(FU$1,'STOPE SUMMARY PIVOT'!$A$1538:$A$1665, 0))</f>
        <v>0</v>
      </c>
      <c r="FW41" s="172">
        <f>INDEX('STOPE SUMMARY PIVOT'!$J$1538:$J$1665, MATCH(FW$1,'STOPE SUMMARY PIVOT'!$A$1538:$A$1665, 0))</f>
        <v>0</v>
      </c>
      <c r="FX41" s="176">
        <f>INDEX('STOPE SUMMARY PIVOT'!$K$1538:$K$1665, MATCH(FW$1,'STOPE SUMMARY PIVOT'!$A$1538:$A$1665, 0))</f>
        <v>0</v>
      </c>
      <c r="FY41" s="172">
        <f>INDEX('STOPE SUMMARY PIVOT'!$J$1538:$J$1665, MATCH(FY$1,'STOPE SUMMARY PIVOT'!$A$1538:$A$1665, 0))</f>
        <v>0</v>
      </c>
      <c r="FZ41" s="176">
        <f>INDEX('STOPE SUMMARY PIVOT'!$K$1538:$K$1665, MATCH(FY$1,'STOPE SUMMARY PIVOT'!$A$1538:$A$1665, 0))</f>
        <v>0</v>
      </c>
      <c r="GA41" s="172">
        <f>INDEX('STOPE SUMMARY PIVOT'!$J$1538:$J$1665, MATCH(GA$1,'STOPE SUMMARY PIVOT'!$A$1538:$A$1665, 0))</f>
        <v>0</v>
      </c>
      <c r="GB41" s="176">
        <f>INDEX('STOPE SUMMARY PIVOT'!$K$1538:$K$1665, MATCH(GA$1,'STOPE SUMMARY PIVOT'!$A$1538:$A$1665, 0))</f>
        <v>0</v>
      </c>
      <c r="GC41" s="172">
        <f>INDEX('STOPE SUMMARY PIVOT'!$J$1538:$J$1665, MATCH(GC$1,'STOPE SUMMARY PIVOT'!$A$1538:$A$1665, 0))</f>
        <v>0</v>
      </c>
      <c r="GD41" s="176">
        <f>INDEX('STOPE SUMMARY PIVOT'!$K$1538:$K$1665, MATCH(GC$1,'STOPE SUMMARY PIVOT'!$A$1538:$A$1665, 0))</f>
        <v>0</v>
      </c>
      <c r="GE41" s="172">
        <f>INDEX('STOPE SUMMARY PIVOT'!$J$1538:$J$1665, MATCH(GE$1,'STOPE SUMMARY PIVOT'!$A$1538:$A$1665, 0))</f>
        <v>0</v>
      </c>
      <c r="GF41" s="176">
        <f>INDEX('STOPE SUMMARY PIVOT'!$K$1538:$K$1665, MATCH(GE$1,'STOPE SUMMARY PIVOT'!$A$1538:$A$1665, 0))</f>
        <v>0</v>
      </c>
      <c r="GG41" s="172">
        <f>INDEX('STOPE SUMMARY PIVOT'!$J$1538:$J$1665, MATCH(GG$1,'STOPE SUMMARY PIVOT'!$A$1538:$A$1665, 0))</f>
        <v>0</v>
      </c>
      <c r="GH41" s="176">
        <f>INDEX('STOPE SUMMARY PIVOT'!$K$1538:$K$1665, MATCH(GG$1,'STOPE SUMMARY PIVOT'!$A$1538:$A$1665, 0))</f>
        <v>0</v>
      </c>
      <c r="GI41" s="172">
        <f>INDEX('STOPE SUMMARY PIVOT'!$J$1538:$J$1665, MATCH(GI$1,'STOPE SUMMARY PIVOT'!$A$1538:$A$1665, 0))</f>
        <v>0</v>
      </c>
      <c r="GJ41" s="176">
        <f>INDEX('STOPE SUMMARY PIVOT'!$K$1538:$K$1665, MATCH(GI$1,'STOPE SUMMARY PIVOT'!$A$1538:$A$1665, 0))</f>
        <v>0</v>
      </c>
      <c r="GK41" s="172">
        <f>INDEX('STOPE SUMMARY PIVOT'!$J$1538:$J$1665, MATCH(GK$1,'STOPE SUMMARY PIVOT'!$A$1538:$A$1665, 0))</f>
        <v>0</v>
      </c>
      <c r="GL41" s="176">
        <f>INDEX('STOPE SUMMARY PIVOT'!$K$1538:$K$1665, MATCH(GK$1,'STOPE SUMMARY PIVOT'!$A$1538:$A$1665, 0))</f>
        <v>0</v>
      </c>
      <c r="GM41" s="172">
        <f>INDEX('STOPE SUMMARY PIVOT'!$J$1538:$J$1665, MATCH(GM$1,'STOPE SUMMARY PIVOT'!$A$1538:$A$1665, 0))</f>
        <v>0</v>
      </c>
      <c r="GN41" s="176">
        <f>INDEX('STOPE SUMMARY PIVOT'!$K$1538:$K$1665, MATCH(GM$1,'STOPE SUMMARY PIVOT'!$A$1538:$A$1665, 0))</f>
        <v>0</v>
      </c>
      <c r="GO41" s="172">
        <f>INDEX('STOPE SUMMARY PIVOT'!$J$1538:$J$1665, MATCH(GO$1,'STOPE SUMMARY PIVOT'!$A$1538:$A$1665, 0))</f>
        <v>0</v>
      </c>
      <c r="GP41" s="176">
        <f>INDEX('STOPE SUMMARY PIVOT'!$K$1538:$K$1665, MATCH(GO$1,'STOPE SUMMARY PIVOT'!$A$1538:$A$1665, 0))</f>
        <v>0</v>
      </c>
      <c r="GQ41" s="172">
        <f>INDEX('STOPE SUMMARY PIVOT'!$J$1538:$J$1665, MATCH(GQ$1,'STOPE SUMMARY PIVOT'!$A$1538:$A$1665, 0))</f>
        <v>0</v>
      </c>
      <c r="GR41" s="176">
        <f>INDEX('STOPE SUMMARY PIVOT'!$K$1538:$K$1665, MATCH(GQ$1,'STOPE SUMMARY PIVOT'!$A$1538:$A$1665, 0))</f>
        <v>0</v>
      </c>
      <c r="GS41" s="172">
        <f>INDEX('STOPE SUMMARY PIVOT'!$J$1538:$J$1665, MATCH(GS$1,'STOPE SUMMARY PIVOT'!$A$1538:$A$1665, 0))</f>
        <v>0</v>
      </c>
      <c r="GT41" s="176">
        <f>INDEX('STOPE SUMMARY PIVOT'!$K$1538:$K$1665, MATCH(GS$1,'STOPE SUMMARY PIVOT'!$A$1538:$A$1665, 0))</f>
        <v>0</v>
      </c>
      <c r="GU41" s="172">
        <f>INDEX('STOPE SUMMARY PIVOT'!$J$1538:$J$1665, MATCH(GU$1,'STOPE SUMMARY PIVOT'!$A$1538:$A$1665, 0))</f>
        <v>0</v>
      </c>
      <c r="GV41" s="176">
        <f>INDEX('STOPE SUMMARY PIVOT'!$K$1538:$K$1665, MATCH(GU$1,'STOPE SUMMARY PIVOT'!$A$1538:$A$1665, 0))</f>
        <v>0</v>
      </c>
      <c r="GW41" s="172">
        <f>INDEX('STOPE SUMMARY PIVOT'!$J$1538:$J$1665, MATCH(GW$1,'STOPE SUMMARY PIVOT'!$A$1538:$A$1665, 0))</f>
        <v>0</v>
      </c>
      <c r="GX41" s="176">
        <f>INDEX('STOPE SUMMARY PIVOT'!$K$1538:$K$1665, MATCH(GW$1,'STOPE SUMMARY PIVOT'!$A$1538:$A$1665, 0))</f>
        <v>0</v>
      </c>
      <c r="GY41" s="172">
        <f>INDEX('STOPE SUMMARY PIVOT'!$J$1538:$J$1665, MATCH(GY$1,'STOPE SUMMARY PIVOT'!$A$1538:$A$1665, 0))</f>
        <v>0</v>
      </c>
      <c r="GZ41" s="176">
        <f>INDEX('STOPE SUMMARY PIVOT'!$K$1538:$K$1665, MATCH(GY$1,'STOPE SUMMARY PIVOT'!$A$1538:$A$1665, 0))</f>
        <v>0</v>
      </c>
      <c r="HA41" s="172">
        <f>INDEX('STOPE SUMMARY PIVOT'!$J$1538:$J$1665, MATCH(HA$1,'STOPE SUMMARY PIVOT'!$A$1538:$A$1665, 0))</f>
        <v>0</v>
      </c>
      <c r="HB41" s="176">
        <f>INDEX('STOPE SUMMARY PIVOT'!$K$1538:$K$1665, MATCH(HA$1,'STOPE SUMMARY PIVOT'!$A$1538:$A$1665, 0))</f>
        <v>0</v>
      </c>
      <c r="HC41" s="172">
        <f>INDEX('STOPE SUMMARY PIVOT'!$J$1538:$J$1665, MATCH(HC$1,'STOPE SUMMARY PIVOT'!$A$1538:$A$1665, 0))</f>
        <v>0</v>
      </c>
      <c r="HD41" s="176">
        <f>INDEX('STOPE SUMMARY PIVOT'!$K$1538:$K$1665, MATCH(HC$1,'STOPE SUMMARY PIVOT'!$A$1538:$A$1665, 0))</f>
        <v>0</v>
      </c>
      <c r="HE41" s="172">
        <f>INDEX('STOPE SUMMARY PIVOT'!$J$1538:$J$1665, MATCH(HE$1,'STOPE SUMMARY PIVOT'!$A$1538:$A$1665, 0))</f>
        <v>0</v>
      </c>
      <c r="HF41" s="176">
        <f>INDEX('STOPE SUMMARY PIVOT'!$K$1538:$K$1665, MATCH(HE$1,'STOPE SUMMARY PIVOT'!$A$1538:$A$1665, 0))</f>
        <v>0</v>
      </c>
      <c r="HG41" s="172">
        <f>INDEX('STOPE SUMMARY PIVOT'!$J$1538:$J$1665, MATCH(HG$1,'STOPE SUMMARY PIVOT'!$A$1538:$A$1665, 0))</f>
        <v>0</v>
      </c>
      <c r="HH41" s="176">
        <f>INDEX('STOPE SUMMARY PIVOT'!$K$1538:$K$1665, MATCH(HG$1,'STOPE SUMMARY PIVOT'!$A$1538:$A$1665, 0))</f>
        <v>0</v>
      </c>
      <c r="HI41" s="172">
        <f>INDEX('STOPE SUMMARY PIVOT'!$J$1538:$J$1665, MATCH(HI$1,'STOPE SUMMARY PIVOT'!$A$1538:$A$1665, 0))</f>
        <v>0</v>
      </c>
      <c r="HJ41" s="176">
        <f>INDEX('STOPE SUMMARY PIVOT'!$K$1538:$K$1665, MATCH(HI$1,'STOPE SUMMARY PIVOT'!$A$1538:$A$1665, 0))</f>
        <v>0</v>
      </c>
      <c r="HK41" s="172">
        <f>INDEX('STOPE SUMMARY PIVOT'!$J$1538:$J$1665, MATCH(HK$1,'STOPE SUMMARY PIVOT'!$A$1538:$A$1665, 0))</f>
        <v>0</v>
      </c>
      <c r="HL41" s="176">
        <f>INDEX('STOPE SUMMARY PIVOT'!$K$1538:$K$1665, MATCH(HK$1,'STOPE SUMMARY PIVOT'!$A$1538:$A$1665, 0))</f>
        <v>0</v>
      </c>
      <c r="HM41" s="172">
        <f>INDEX('STOPE SUMMARY PIVOT'!$J$1538:$J$1665, MATCH(HM$1,'STOPE SUMMARY PIVOT'!$A$1538:$A$1665, 0))</f>
        <v>0</v>
      </c>
      <c r="HN41" s="176">
        <f>INDEX('STOPE SUMMARY PIVOT'!$K$1538:$K$1665, MATCH(HM$1,'STOPE SUMMARY PIVOT'!$A$1538:$A$1665, 0))</f>
        <v>0</v>
      </c>
      <c r="HO41" s="172">
        <f>INDEX('STOPE SUMMARY PIVOT'!$J$1538:$J$1665, MATCH(HO$1,'STOPE SUMMARY PIVOT'!$A$1538:$A$1665, 0))</f>
        <v>0</v>
      </c>
      <c r="HP41" s="176">
        <f>INDEX('STOPE SUMMARY PIVOT'!$K$1538:$K$1665, MATCH(HO$1,'STOPE SUMMARY PIVOT'!$A$1538:$A$1665, 0))</f>
        <v>0</v>
      </c>
      <c r="HQ41" s="172">
        <f>INDEX('STOPE SUMMARY PIVOT'!$J$1538:$J$1665, MATCH(HQ$1,'STOPE SUMMARY PIVOT'!$A$1538:$A$1665, 0))</f>
        <v>0</v>
      </c>
      <c r="HR41" s="176">
        <f>INDEX('STOPE SUMMARY PIVOT'!$K$1538:$K$1665, MATCH(HQ$1,'STOPE SUMMARY PIVOT'!$A$1538:$A$1665, 0))</f>
        <v>0</v>
      </c>
      <c r="HS41" s="172">
        <f>INDEX('STOPE SUMMARY PIVOT'!$J$1538:$J$1665, MATCH(HS$1,'STOPE SUMMARY PIVOT'!$A$1538:$A$1665, 0))</f>
        <v>0</v>
      </c>
      <c r="HT41" s="176">
        <f>INDEX('STOPE SUMMARY PIVOT'!$K$1538:$K$1665, MATCH(HS$1,'STOPE SUMMARY PIVOT'!$A$1538:$A$1665, 0))</f>
        <v>0</v>
      </c>
      <c r="HU41" s="172">
        <f>INDEX('STOPE SUMMARY PIVOT'!$J$1538:$J$1665, MATCH(HU$1,'STOPE SUMMARY PIVOT'!$A$1538:$A$1665, 0))</f>
        <v>0</v>
      </c>
      <c r="HV41" s="176">
        <f>INDEX('STOPE SUMMARY PIVOT'!$K$1538:$K$1665, MATCH(HU$1,'STOPE SUMMARY PIVOT'!$A$1538:$A$1665, 0))</f>
        <v>0</v>
      </c>
      <c r="HW41" s="172">
        <f>INDEX('STOPE SUMMARY PIVOT'!$J$1538:$J$1665, MATCH(HW$1,'STOPE SUMMARY PIVOT'!$A$1538:$A$1665, 0))</f>
        <v>0</v>
      </c>
      <c r="HX41" s="176">
        <f>INDEX('STOPE SUMMARY PIVOT'!$K$1538:$K$1665, MATCH(HW$1,'STOPE SUMMARY PIVOT'!$A$1538:$A$1665, 0))</f>
        <v>0</v>
      </c>
      <c r="HY41" s="172">
        <f>INDEX('STOPE SUMMARY PIVOT'!$J$1538:$J$1665, MATCH(HY$1,'STOPE SUMMARY PIVOT'!$A$1538:$A$1665, 0))</f>
        <v>0</v>
      </c>
      <c r="HZ41" s="176">
        <f>INDEX('STOPE SUMMARY PIVOT'!$K$1538:$K$1665, MATCH(HY$1,'STOPE SUMMARY PIVOT'!$A$1538:$A$1665, 0))</f>
        <v>0</v>
      </c>
      <c r="IA41" s="172">
        <f>INDEX('STOPE SUMMARY PIVOT'!$J$1538:$J$1665, MATCH(IA$1,'STOPE SUMMARY PIVOT'!$A$1538:$A$1665, 0))</f>
        <v>0</v>
      </c>
      <c r="IB41" s="176">
        <f>INDEX('STOPE SUMMARY PIVOT'!$K$1538:$K$1665, MATCH(IA$1,'STOPE SUMMARY PIVOT'!$A$1538:$A$1665, 0))</f>
        <v>0</v>
      </c>
      <c r="IC41" s="172">
        <f>INDEX('STOPE SUMMARY PIVOT'!$J$1538:$J$1665, MATCH(IC$1,'STOPE SUMMARY PIVOT'!$A$1538:$A$1665, 0))</f>
        <v>0</v>
      </c>
      <c r="ID41" s="176">
        <f>INDEX('STOPE SUMMARY PIVOT'!$K$1538:$K$1665, MATCH(IC$1,'STOPE SUMMARY PIVOT'!$A$1538:$A$1665, 0))</f>
        <v>0</v>
      </c>
      <c r="IE41" s="172">
        <f>INDEX('STOPE SUMMARY PIVOT'!$J$1538:$J$1665, MATCH(IE$1,'STOPE SUMMARY PIVOT'!$A$1538:$A$1665, 0))</f>
        <v>0</v>
      </c>
      <c r="IF41" s="176">
        <f>INDEX('STOPE SUMMARY PIVOT'!$K$1538:$K$1665, MATCH(IE$1,'STOPE SUMMARY PIVOT'!$A$1538:$A$1665, 0))</f>
        <v>0</v>
      </c>
      <c r="IG41" s="172">
        <f>INDEX('STOPE SUMMARY PIVOT'!$J$1538:$J$1665, MATCH(IG$1,'STOPE SUMMARY PIVOT'!$A$1538:$A$1665, 0))</f>
        <v>0</v>
      </c>
      <c r="IH41" s="176">
        <f>INDEX('STOPE SUMMARY PIVOT'!$K$1538:$K$1665, MATCH(IG$1,'STOPE SUMMARY PIVOT'!$A$1538:$A$1665, 0))</f>
        <v>0</v>
      </c>
      <c r="II41" s="172">
        <f>INDEX('STOPE SUMMARY PIVOT'!$J$1538:$J$1665, MATCH(II$1,'STOPE SUMMARY PIVOT'!$A$1538:$A$1665, 0))</f>
        <v>0</v>
      </c>
      <c r="IJ41" s="176">
        <f>INDEX('STOPE SUMMARY PIVOT'!$K$1538:$K$1665, MATCH(II$1,'STOPE SUMMARY PIVOT'!$A$1538:$A$1665, 0))</f>
        <v>0</v>
      </c>
      <c r="IK41" s="172">
        <f>INDEX('STOPE SUMMARY PIVOT'!$J$1538:$J$1665, MATCH(IK$1,'STOPE SUMMARY PIVOT'!$A$1538:$A$1665, 0))</f>
        <v>0</v>
      </c>
      <c r="IL41" s="176">
        <f>INDEX('STOPE SUMMARY PIVOT'!$K$1538:$K$1665, MATCH(IK$1,'STOPE SUMMARY PIVOT'!$A$1538:$A$1665, 0))</f>
        <v>0</v>
      </c>
      <c r="IM41" s="172">
        <f>INDEX('STOPE SUMMARY PIVOT'!$J$1538:$J$1665, MATCH(IM$1,'STOPE SUMMARY PIVOT'!$A$1538:$A$1665, 0))</f>
        <v>0</v>
      </c>
      <c r="IN41" s="176">
        <f>INDEX('STOPE SUMMARY PIVOT'!$K$1538:$K$1665, MATCH(IM$1,'STOPE SUMMARY PIVOT'!$A$1538:$A$1665, 0))</f>
        <v>0</v>
      </c>
      <c r="IO41" s="172">
        <f>INDEX('STOPE SUMMARY PIVOT'!$J$1538:$J$1665, MATCH(IO$1,'STOPE SUMMARY PIVOT'!$A$1538:$A$1665, 0))</f>
        <v>0</v>
      </c>
      <c r="IP41" s="176">
        <f>INDEX('STOPE SUMMARY PIVOT'!$K$1538:$K$1665, MATCH(IO$1,'STOPE SUMMARY PIVOT'!$A$1538:$A$1665, 0))</f>
        <v>0</v>
      </c>
      <c r="IQ41" s="172">
        <f>INDEX('STOPE SUMMARY PIVOT'!$J$1538:$J$1665, MATCH(IQ$1,'STOPE SUMMARY PIVOT'!$A$1538:$A$1665, 0))</f>
        <v>0</v>
      </c>
      <c r="IR41" s="176">
        <f>INDEX('STOPE SUMMARY PIVOT'!$K$1538:$K$1665, MATCH(IQ$1,'STOPE SUMMARY PIVOT'!$A$1538:$A$1665, 0))</f>
        <v>0</v>
      </c>
      <c r="IS41" s="172">
        <f>INDEX('STOPE SUMMARY PIVOT'!$J$1538:$J$1665, MATCH(IS$1,'STOPE SUMMARY PIVOT'!$A$1538:$A$1665, 0))</f>
        <v>0</v>
      </c>
      <c r="IT41" s="176">
        <f>INDEX('STOPE SUMMARY PIVOT'!$K$1538:$K$1665, MATCH(IS$1,'STOPE SUMMARY PIVOT'!$A$1538:$A$1665, 0))</f>
        <v>0</v>
      </c>
      <c r="IU41" s="172">
        <f>INDEX('STOPE SUMMARY PIVOT'!$J$1538:$J$1665, MATCH(IU$1,'STOPE SUMMARY PIVOT'!$A$1538:$A$1665, 0))</f>
        <v>0</v>
      </c>
      <c r="IV41" s="176">
        <f>INDEX('STOPE SUMMARY PIVOT'!$K$1538:$K$1665, MATCH(IU$1,'STOPE SUMMARY PIVOT'!$A$1538:$A$1665, 0))</f>
        <v>0</v>
      </c>
      <c r="IW41" s="172">
        <f>INDEX('STOPE SUMMARY PIVOT'!$J$1538:$J$1665, MATCH(IW$1,'STOPE SUMMARY PIVOT'!$A$1538:$A$1665, 0))</f>
        <v>0</v>
      </c>
      <c r="IX41" s="176">
        <f>INDEX('STOPE SUMMARY PIVOT'!$K$1538:$K$1665, MATCH(IW$1,'STOPE SUMMARY PIVOT'!$A$1538:$A$1665, 0))</f>
        <v>0</v>
      </c>
      <c r="IY41" s="172">
        <f>INDEX('STOPE SUMMARY PIVOT'!$J$1538:$J$1665, MATCH(IY$1,'STOPE SUMMARY PIVOT'!$A$1538:$A$1665, 0))</f>
        <v>0</v>
      </c>
      <c r="IZ41" s="176">
        <f>INDEX('STOPE SUMMARY PIVOT'!$K$1538:$K$1665, MATCH(IY$1,'STOPE SUMMARY PIVOT'!$A$1538:$A$1665, 0))</f>
        <v>0</v>
      </c>
    </row>
    <row r="42" spans="1:260" x14ac:dyDescent="0.25">
      <c r="A42" s="1589">
        <v>45689</v>
      </c>
      <c r="B42" s="162" t="s">
        <v>218</v>
      </c>
      <c r="C42" s="163" cm="1">
        <f t="array" ref="C42">SUM(_xlfn._xlws.FILTER(E42:IZ42, MOD(COLUMN(E42:IZ42)-COLUMN(E42)+1,2)=1))</f>
        <v>20790</v>
      </c>
      <c r="D42" s="164" cm="1">
        <f t="array" ref="D42">SUMPRODUCT(_xlfn._xlws.FILTER(E42:IZ42, MOD(COLUMN(E42:IZ42)-COLUMN(E42)+1,2)=1), _xlfn._xlws.FILTER(E42:IZ42, MOD(COLUMN(E42:IZ42)-COLUMN(E42)+1,2)=0))/C42</f>
        <v>1.953590187590188</v>
      </c>
      <c r="E42" s="165">
        <f>INDEX('STOPE SUMMARY PIVOT'!$D1666:$D1793, MATCH(E$1,'STOPE SUMMARY PIVOT'!$A$1666:$A$1793, 0))</f>
        <v>0</v>
      </c>
      <c r="F42" s="174">
        <f>INDEX('STOPE SUMMARY PIVOT'!$E$1666:$E$1793, MATCH(E$1,'STOPE SUMMARY PIVOT'!$A$1666:$A$1793, 0))</f>
        <v>0</v>
      </c>
      <c r="G42" s="165">
        <f>INDEX('STOPE SUMMARY PIVOT'!$D1666:$D1793, MATCH(G$1,'STOPE SUMMARY PIVOT'!$A$1666:$A$1793, 0))</f>
        <v>0</v>
      </c>
      <c r="H42" s="174">
        <f>INDEX('STOPE SUMMARY PIVOT'!$E$1666:$E$1793, MATCH(G$1,'STOPE SUMMARY PIVOT'!$A$1666:$A$1793, 0))</f>
        <v>0</v>
      </c>
      <c r="I42" s="165">
        <f>INDEX('STOPE SUMMARY PIVOT'!$D1666:$D1793, MATCH(I$1,'STOPE SUMMARY PIVOT'!$A$1666:$A$1793, 0))</f>
        <v>0</v>
      </c>
      <c r="J42" s="166">
        <f>INDEX('STOPE SUMMARY PIVOT'!$E$1666:$E$1793, MATCH(I$1,'STOPE SUMMARY PIVOT'!$A$1666:$A$1793, 0))</f>
        <v>0</v>
      </c>
      <c r="K42" s="165">
        <f>INDEX('STOPE SUMMARY PIVOT'!$D1666:$D1793, MATCH(K$1,'STOPE SUMMARY PIVOT'!$A$1666:$A$1793, 0))</f>
        <v>0</v>
      </c>
      <c r="L42" s="166">
        <f>INDEX('STOPE SUMMARY PIVOT'!$E$1666:$E$1793, MATCH(K$1,'STOPE SUMMARY PIVOT'!$A$1666:$A$1793, 0))</f>
        <v>0</v>
      </c>
      <c r="M42" s="165">
        <f>INDEX('STOPE SUMMARY PIVOT'!$D1666:$D1793, MATCH(M$1,'STOPE SUMMARY PIVOT'!$A$1666:$A$1793, 0))</f>
        <v>0</v>
      </c>
      <c r="N42" s="166">
        <f>INDEX('STOPE SUMMARY PIVOT'!$E$1666:$E$1793, MATCH(M$1,'STOPE SUMMARY PIVOT'!$A$1666:$A$1793, 0))</f>
        <v>0</v>
      </c>
      <c r="O42" s="165">
        <f>INDEX('STOPE SUMMARY PIVOT'!$D1666:$D1793, MATCH(O$1,'STOPE SUMMARY PIVOT'!$A$1666:$A$1793, 0))</f>
        <v>0</v>
      </c>
      <c r="P42" s="166">
        <f>INDEX('STOPE SUMMARY PIVOT'!$E$1666:$E$1793, MATCH(O$1,'STOPE SUMMARY PIVOT'!$A$1666:$A$1793, 0))</f>
        <v>0</v>
      </c>
      <c r="Q42" s="165">
        <f>INDEX('STOPE SUMMARY PIVOT'!$D1666:$D1793, MATCH(Q$1,'STOPE SUMMARY PIVOT'!$A$1666:$A$1793, 0))</f>
        <v>0</v>
      </c>
      <c r="R42" s="166">
        <f>INDEX('STOPE SUMMARY PIVOT'!$E$1666:$E$1793, MATCH(Q$1,'STOPE SUMMARY PIVOT'!$A$1666:$A$1793, 0))</f>
        <v>0</v>
      </c>
      <c r="S42" s="165">
        <f>INDEX('STOPE SUMMARY PIVOT'!$D1666:$D1793, MATCH(S$1,'STOPE SUMMARY PIVOT'!$A$1666:$A$1793, 0))</f>
        <v>0</v>
      </c>
      <c r="T42" s="166">
        <f>INDEX('STOPE SUMMARY PIVOT'!$E$1666:$E$1793, MATCH(S$1,'STOPE SUMMARY PIVOT'!$A$1666:$A$1793, 0))</f>
        <v>0</v>
      </c>
      <c r="U42" s="165">
        <f>INDEX('STOPE SUMMARY PIVOT'!$D1666:$D1793, MATCH(U$1,'STOPE SUMMARY PIVOT'!$A$1666:$A$1793, 0))</f>
        <v>0</v>
      </c>
      <c r="V42" s="174">
        <f>INDEX('STOPE SUMMARY PIVOT'!$E$1666:$E$1793, MATCH(U$1,'STOPE SUMMARY PIVOT'!$A$1666:$A$1793, 0))</f>
        <v>0</v>
      </c>
      <c r="W42" s="165">
        <f>INDEX('STOPE SUMMARY PIVOT'!$D1666:$D1793, MATCH(W$1,'STOPE SUMMARY PIVOT'!$A$1666:$A$1793, 0))</f>
        <v>0</v>
      </c>
      <c r="X42" s="174">
        <f>INDEX('STOPE SUMMARY PIVOT'!$E$1666:$E$1793, MATCH(W$1,'STOPE SUMMARY PIVOT'!$A$1666:$A$1793, 0))</f>
        <v>0</v>
      </c>
      <c r="Y42" s="165">
        <f>INDEX('STOPE SUMMARY PIVOT'!$D1666:$D1793, MATCH(Y$1,'STOPE SUMMARY PIVOT'!$A$1666:$A$1793, 0))</f>
        <v>2696</v>
      </c>
      <c r="Z42" s="174">
        <f>INDEX('STOPE SUMMARY PIVOT'!$E$1666:$E$1793, MATCH(Y$1,'STOPE SUMMARY PIVOT'!$A$1666:$A$1793, 0))</f>
        <v>2.5499999999999998</v>
      </c>
      <c r="AA42" s="165">
        <f>INDEX('STOPE SUMMARY PIVOT'!$D1666:$D1793, MATCH(AA$1,'STOPE SUMMARY PIVOT'!$A$1666:$A$1793, 0))</f>
        <v>1700</v>
      </c>
      <c r="AB42" s="174">
        <f>INDEX('STOPE SUMMARY PIVOT'!$E$1666:$E$1793, MATCH(AA$1,'STOPE SUMMARY PIVOT'!$A$1666:$A$1793, 0))</f>
        <v>0.8</v>
      </c>
      <c r="AC42" s="165">
        <f>INDEX('STOPE SUMMARY PIVOT'!$D1666:$D1793, MATCH(AC$1,'STOPE SUMMARY PIVOT'!$A$1666:$A$1793, 0))</f>
        <v>0</v>
      </c>
      <c r="AD42" s="174">
        <f>INDEX('STOPE SUMMARY PIVOT'!$E$1666:$E$1793, MATCH(AC$1,'STOPE SUMMARY PIVOT'!$A$1666:$A$1793, 0))</f>
        <v>0</v>
      </c>
      <c r="AE42" s="165">
        <f>INDEX('STOPE SUMMARY PIVOT'!$D1666:$D1793, MATCH(AE$1,'STOPE SUMMARY PIVOT'!$A$1666:$A$1793, 0))</f>
        <v>0</v>
      </c>
      <c r="AF42" s="174">
        <f>INDEX('STOPE SUMMARY PIVOT'!$E$1666:$E$1793, MATCH(AE$1,'STOPE SUMMARY PIVOT'!$A$1666:$A$1793, 0))</f>
        <v>0</v>
      </c>
      <c r="AG42" s="165">
        <f>INDEX('STOPE SUMMARY PIVOT'!$D1666:$D1793, MATCH(AG$1,'STOPE SUMMARY PIVOT'!$A$1666:$A$1793, 0))</f>
        <v>0</v>
      </c>
      <c r="AH42" s="174">
        <f>INDEX('STOPE SUMMARY PIVOT'!$E$1666:$E$1793, MATCH(AG$1,'STOPE SUMMARY PIVOT'!$A$1666:$A$1793, 0))</f>
        <v>0</v>
      </c>
      <c r="AI42" s="165">
        <f>INDEX('STOPE SUMMARY PIVOT'!$D1666:$D1793, MATCH(AI$1,'STOPE SUMMARY PIVOT'!$A$1666:$A$1793, 0))</f>
        <v>0</v>
      </c>
      <c r="AJ42" s="174">
        <f>INDEX('STOPE SUMMARY PIVOT'!$E$1666:$E$1793, MATCH(AI$1,'STOPE SUMMARY PIVOT'!$A$1666:$A$1793, 0))</f>
        <v>0</v>
      </c>
      <c r="AK42" s="165">
        <f>INDEX('STOPE SUMMARY PIVOT'!$D1666:$D1793, MATCH(AK$1,'STOPE SUMMARY PIVOT'!$A$1666:$A$1793, 0))</f>
        <v>0</v>
      </c>
      <c r="AL42" s="174">
        <f>INDEX('STOPE SUMMARY PIVOT'!$E$1666:$E$1793, MATCH(AK$1,'STOPE SUMMARY PIVOT'!$A$1666:$A$1793, 0))</f>
        <v>0</v>
      </c>
      <c r="AM42" s="165">
        <f>INDEX('STOPE SUMMARY PIVOT'!$D1666:$D1793, MATCH(AM$1,'STOPE SUMMARY PIVOT'!$A$1666:$A$1793, 0))</f>
        <v>0</v>
      </c>
      <c r="AN42" s="174">
        <f>INDEX('STOPE SUMMARY PIVOT'!$E$1666:$E$1793, MATCH(AM$1,'STOPE SUMMARY PIVOT'!$A$1666:$A$1793, 0))</f>
        <v>0</v>
      </c>
      <c r="AO42" s="165">
        <f>INDEX('STOPE SUMMARY PIVOT'!$D1666:$D1793, MATCH(AO$1,'STOPE SUMMARY PIVOT'!$A$1666:$A$1793, 0))</f>
        <v>0</v>
      </c>
      <c r="AP42" s="174">
        <f>INDEX('STOPE SUMMARY PIVOT'!$E$1666:$E$1793, MATCH(AO$1,'STOPE SUMMARY PIVOT'!$A$1666:$A$1793, 0))</f>
        <v>0</v>
      </c>
      <c r="AQ42" s="165">
        <f>INDEX('STOPE SUMMARY PIVOT'!$D1666:$D1793, MATCH(AQ$1,'STOPE SUMMARY PIVOT'!$A$1666:$A$1793, 0))</f>
        <v>0</v>
      </c>
      <c r="AR42" s="174">
        <f>INDEX('STOPE SUMMARY PIVOT'!$E$1666:$E$1793, MATCH(AQ$1,'STOPE SUMMARY PIVOT'!$A$1666:$A$1793, 0))</f>
        <v>0</v>
      </c>
      <c r="AS42" s="165">
        <f>INDEX('STOPE SUMMARY PIVOT'!$D1666:$D1793, MATCH(AS$1,'STOPE SUMMARY PIVOT'!$A$1666:$A$1793, 0))</f>
        <v>0</v>
      </c>
      <c r="AT42" s="174">
        <f>INDEX('STOPE SUMMARY PIVOT'!$E$1666:$E$1793, MATCH(AS$1,'STOPE SUMMARY PIVOT'!$A$1666:$A$1793, 0))</f>
        <v>0</v>
      </c>
      <c r="AU42" s="165">
        <f>INDEX('STOPE SUMMARY PIVOT'!$D1666:$D1793, MATCH(AU$1,'STOPE SUMMARY PIVOT'!$A$1666:$A$1793, 0))</f>
        <v>0</v>
      </c>
      <c r="AV42" s="174">
        <f>INDEX('STOPE SUMMARY PIVOT'!$E$1666:$E$1793, MATCH(AU$1,'STOPE SUMMARY PIVOT'!$A$1666:$A$1793, 0))</f>
        <v>0</v>
      </c>
      <c r="AW42" s="165">
        <f>INDEX('STOPE SUMMARY PIVOT'!$D1666:$D1793, MATCH(AW$1,'STOPE SUMMARY PIVOT'!$A$1666:$A$1793, 0))</f>
        <v>0</v>
      </c>
      <c r="AX42" s="174">
        <f>INDEX('STOPE SUMMARY PIVOT'!$E$1666:$E$1793, MATCH(AW$1,'STOPE SUMMARY PIVOT'!$A$1666:$A$1793, 0))</f>
        <v>0</v>
      </c>
      <c r="AY42" s="165">
        <f>INDEX('STOPE SUMMARY PIVOT'!$D1666:$D1793, MATCH(AY$1,'STOPE SUMMARY PIVOT'!$A$1666:$A$1793, 0))</f>
        <v>0</v>
      </c>
      <c r="AZ42" s="174">
        <f>INDEX('STOPE SUMMARY PIVOT'!$E$1666:$E$1793, MATCH(AY$1,'STOPE SUMMARY PIVOT'!$A$1666:$A$1793, 0))</f>
        <v>0</v>
      </c>
      <c r="BA42" s="165">
        <f>INDEX('STOPE SUMMARY PIVOT'!$D1666:$D1793, MATCH(BA$1,'STOPE SUMMARY PIVOT'!$A$1666:$A$1793, 0))</f>
        <v>0</v>
      </c>
      <c r="BB42" s="174">
        <f>INDEX('STOPE SUMMARY PIVOT'!$E$1666:$E$1793, MATCH(BA$1,'STOPE SUMMARY PIVOT'!$A$1666:$A$1793, 0))</f>
        <v>0</v>
      </c>
      <c r="BC42" s="165">
        <f>INDEX('STOPE SUMMARY PIVOT'!$D1666:$D1793, MATCH(BC$1,'STOPE SUMMARY PIVOT'!$A$1666:$A$1793, 0))</f>
        <v>0</v>
      </c>
      <c r="BD42" s="174">
        <f>INDEX('STOPE SUMMARY PIVOT'!$E$1666:$E$1793, MATCH(BC$1,'STOPE SUMMARY PIVOT'!$A$1666:$A$1793, 0))</f>
        <v>0</v>
      </c>
      <c r="BE42" s="165">
        <f>INDEX('STOPE SUMMARY PIVOT'!$D1666:$D1793, MATCH(BE$1,'STOPE SUMMARY PIVOT'!$A$1666:$A$1793, 0))</f>
        <v>0</v>
      </c>
      <c r="BF42" s="174">
        <f>INDEX('STOPE SUMMARY PIVOT'!$E$1666:$E$1793, MATCH(BE$1,'STOPE SUMMARY PIVOT'!$A$1666:$A$1793, 0))</f>
        <v>0</v>
      </c>
      <c r="BG42" s="165">
        <f>INDEX('STOPE SUMMARY PIVOT'!$D1666:$D1793, MATCH(BG$1,'STOPE SUMMARY PIVOT'!$A$1666:$A$1793, 0))</f>
        <v>0</v>
      </c>
      <c r="BH42" s="174">
        <f>INDEX('STOPE SUMMARY PIVOT'!$E$1666:$E$1793, MATCH(BG$1,'STOPE SUMMARY PIVOT'!$A$1666:$A$1793, 0))</f>
        <v>0</v>
      </c>
      <c r="BI42" s="165">
        <f>INDEX('STOPE SUMMARY PIVOT'!$D1666:$D1793, MATCH(BI$1,'STOPE SUMMARY PIVOT'!$A$1666:$A$1793, 0))</f>
        <v>0</v>
      </c>
      <c r="BJ42" s="174">
        <f>INDEX('STOPE SUMMARY PIVOT'!$E$1666:$E$1793, MATCH(BI$1,'STOPE SUMMARY PIVOT'!$A$1666:$A$1793, 0))</f>
        <v>0</v>
      </c>
      <c r="BK42" s="165">
        <f>INDEX('STOPE SUMMARY PIVOT'!$D1666:$D1793, MATCH(BK$1,'STOPE SUMMARY PIVOT'!$A$1666:$A$1793, 0))</f>
        <v>0</v>
      </c>
      <c r="BL42" s="174">
        <f>INDEX('STOPE SUMMARY PIVOT'!$E$1666:$E$1793, MATCH(BK$1,'STOPE SUMMARY PIVOT'!$A$1666:$A$1793, 0))</f>
        <v>0</v>
      </c>
      <c r="BM42" s="165">
        <f>INDEX('STOPE SUMMARY PIVOT'!$D1666:$D1793, MATCH(BM$1,'STOPE SUMMARY PIVOT'!$A$1666:$A$1793, 0))</f>
        <v>0</v>
      </c>
      <c r="BN42" s="174">
        <f>INDEX('STOPE SUMMARY PIVOT'!$E$1666:$E$1793, MATCH(BM$1,'STOPE SUMMARY PIVOT'!$A$1666:$A$1793, 0))</f>
        <v>0</v>
      </c>
      <c r="BO42" s="165">
        <f>INDEX('STOPE SUMMARY PIVOT'!$D1666:$D1793, MATCH(BO$1,'STOPE SUMMARY PIVOT'!$A$1666:$A$1793, 0))</f>
        <v>0</v>
      </c>
      <c r="BP42" s="174">
        <f>INDEX('STOPE SUMMARY PIVOT'!$E$1666:$E$1793, MATCH(BO$1,'STOPE SUMMARY PIVOT'!$A$1666:$A$1793, 0))</f>
        <v>0</v>
      </c>
      <c r="BQ42" s="165">
        <f>INDEX('STOPE SUMMARY PIVOT'!$D1666:$D1793, MATCH(BQ$1,'STOPE SUMMARY PIVOT'!$A$1666:$A$1793, 0))</f>
        <v>0</v>
      </c>
      <c r="BR42" s="174">
        <f>INDEX('STOPE SUMMARY PIVOT'!$E$1666:$E$1793, MATCH(BQ$1,'STOPE SUMMARY PIVOT'!$A$1666:$A$1793, 0))</f>
        <v>0</v>
      </c>
      <c r="BS42" s="165">
        <f>INDEX('STOPE SUMMARY PIVOT'!$D1666:$D1793, MATCH(BS$1,'STOPE SUMMARY PIVOT'!$A$1666:$A$1793, 0))</f>
        <v>345</v>
      </c>
      <c r="BT42" s="174">
        <f>INDEX('STOPE SUMMARY PIVOT'!$E$1666:$E$1793, MATCH(BS$1,'STOPE SUMMARY PIVOT'!$A$1666:$A$1793, 0))</f>
        <v>2.71</v>
      </c>
      <c r="BU42" s="165">
        <f>INDEX('STOPE SUMMARY PIVOT'!$D1666:$D1793, MATCH(BU$1,'STOPE SUMMARY PIVOT'!$A$1666:$A$1793, 0))</f>
        <v>1723</v>
      </c>
      <c r="BV42" s="174">
        <f>INDEX('STOPE SUMMARY PIVOT'!$E$1666:$E$1793, MATCH(BU$1,'STOPE SUMMARY PIVOT'!$A$1666:$A$1793, 0))</f>
        <v>1.4</v>
      </c>
      <c r="BW42" s="165">
        <f>INDEX('STOPE SUMMARY PIVOT'!$D1666:$D1793, MATCH(BW$1,'STOPE SUMMARY PIVOT'!$A$1666:$A$1793, 0))</f>
        <v>0</v>
      </c>
      <c r="BX42" s="174">
        <f>INDEX('STOPE SUMMARY PIVOT'!$E$1666:$E$1793, MATCH(BW$1,'STOPE SUMMARY PIVOT'!$A$1666:$A$1793, 0))</f>
        <v>0</v>
      </c>
      <c r="BY42" s="165">
        <f>INDEX('STOPE SUMMARY PIVOT'!$D1666:$D1793, MATCH(BY$1,'STOPE SUMMARY PIVOT'!$A$1666:$A$1793, 0))</f>
        <v>0</v>
      </c>
      <c r="BZ42" s="174">
        <f>INDEX('STOPE SUMMARY PIVOT'!$E$1666:$E$1793, MATCH(BY$1,'STOPE SUMMARY PIVOT'!$A$1666:$A$1793, 0))</f>
        <v>0</v>
      </c>
      <c r="CA42" s="165">
        <f>INDEX('STOPE SUMMARY PIVOT'!$D1666:$D1793, MATCH(CA$1,'STOPE SUMMARY PIVOT'!$A$1666:$A$1793, 0))</f>
        <v>0</v>
      </c>
      <c r="CB42" s="174">
        <f>INDEX('STOPE SUMMARY PIVOT'!$E$1666:$E$1793, MATCH(CA$1,'STOPE SUMMARY PIVOT'!$A$1666:$A$1793, 0))</f>
        <v>0</v>
      </c>
      <c r="CC42" s="165">
        <f>INDEX('STOPE SUMMARY PIVOT'!$D1666:$D1793, MATCH(CC$1,'STOPE SUMMARY PIVOT'!$A$1666:$A$1793, 0))</f>
        <v>0</v>
      </c>
      <c r="CD42" s="174">
        <f>INDEX('STOPE SUMMARY PIVOT'!$E$1666:$E$1793, MATCH(CC$1,'STOPE SUMMARY PIVOT'!$A$1666:$A$1793, 0))</f>
        <v>0</v>
      </c>
      <c r="CE42" s="165">
        <f>INDEX('STOPE SUMMARY PIVOT'!$D1666:$D1793, MATCH(CE$1,'STOPE SUMMARY PIVOT'!$A$1666:$A$1793, 0))</f>
        <v>0</v>
      </c>
      <c r="CF42" s="174">
        <f>INDEX('STOPE SUMMARY PIVOT'!$E$1666:$E$1793, MATCH(CE$1,'STOPE SUMMARY PIVOT'!$A$1666:$A$1793, 0))</f>
        <v>0</v>
      </c>
      <c r="CG42" s="165">
        <f>INDEX('STOPE SUMMARY PIVOT'!$D1666:$D1793, MATCH(CG$1,'STOPE SUMMARY PIVOT'!$A$1666:$A$1793, 0))</f>
        <v>0</v>
      </c>
      <c r="CH42" s="174">
        <f>INDEX('STOPE SUMMARY PIVOT'!$E$1666:$E$1793, MATCH(CG$1,'STOPE SUMMARY PIVOT'!$A$1666:$A$1793, 0))</f>
        <v>0</v>
      </c>
      <c r="CI42" s="165">
        <f>INDEX('STOPE SUMMARY PIVOT'!$D1666:$D1793, MATCH(CI$1,'STOPE SUMMARY PIVOT'!$A$1666:$A$1793, 0))</f>
        <v>0</v>
      </c>
      <c r="CJ42" s="174">
        <f>INDEX('STOPE SUMMARY PIVOT'!$E$1666:$E$1793, MATCH(CI$1,'STOPE SUMMARY PIVOT'!$A$1666:$A$1793, 0))</f>
        <v>0</v>
      </c>
      <c r="CK42" s="165">
        <f>INDEX('STOPE SUMMARY PIVOT'!$D1666:$D1793, MATCH(CK$1,'STOPE SUMMARY PIVOT'!$A$1666:$A$1793, 0))</f>
        <v>0</v>
      </c>
      <c r="CL42" s="174">
        <f>INDEX('STOPE SUMMARY PIVOT'!$E$1666:$E$1793, MATCH(CK$1,'STOPE SUMMARY PIVOT'!$A$1666:$A$1793, 0))</f>
        <v>0</v>
      </c>
      <c r="CM42" s="165">
        <f>INDEX('STOPE SUMMARY PIVOT'!$D1666:$D1793, MATCH(CM$1,'STOPE SUMMARY PIVOT'!$A$1666:$A$1793, 0))</f>
        <v>0</v>
      </c>
      <c r="CN42" s="174">
        <f>INDEX('STOPE SUMMARY PIVOT'!$E$1666:$E$1793, MATCH(CM$1,'STOPE SUMMARY PIVOT'!$A$1666:$A$1793, 0))</f>
        <v>0</v>
      </c>
      <c r="CO42" s="165">
        <f>INDEX('STOPE SUMMARY PIVOT'!$D1666:$D1793, MATCH(CO$1,'STOPE SUMMARY PIVOT'!$A$1666:$A$1793, 0))</f>
        <v>0</v>
      </c>
      <c r="CP42" s="174">
        <f>INDEX('STOPE SUMMARY PIVOT'!$E$1666:$E$1793, MATCH(CO$1,'STOPE SUMMARY PIVOT'!$A$1666:$A$1793, 0))</f>
        <v>0</v>
      </c>
      <c r="CQ42" s="165">
        <f>INDEX('STOPE SUMMARY PIVOT'!$D1666:$D1793, MATCH(CQ$1,'STOPE SUMMARY PIVOT'!$A$1666:$A$1793, 0))</f>
        <v>2921</v>
      </c>
      <c r="CR42" s="174">
        <f>INDEX('STOPE SUMMARY PIVOT'!$E$1666:$E$1793, MATCH(CQ$1,'STOPE SUMMARY PIVOT'!$A$1666:$A$1793, 0))</f>
        <v>1.81</v>
      </c>
      <c r="CS42" s="165">
        <f>INDEX('STOPE SUMMARY PIVOT'!$D1666:$D1793, MATCH(CS$1,'STOPE SUMMARY PIVOT'!$A$1666:$A$1793, 0))</f>
        <v>0</v>
      </c>
      <c r="CT42" s="174">
        <f>INDEX('STOPE SUMMARY PIVOT'!$E$1666:$E$1793, MATCH(CS$1,'STOPE SUMMARY PIVOT'!$A$1666:$A$1793, 0))</f>
        <v>0</v>
      </c>
      <c r="CU42" s="165">
        <f>INDEX('STOPE SUMMARY PIVOT'!$D1666:$D1793, MATCH(CU$1,'STOPE SUMMARY PIVOT'!$A$1666:$A$1793, 0))</f>
        <v>0</v>
      </c>
      <c r="CV42" s="174">
        <f>INDEX('STOPE SUMMARY PIVOT'!$E$1666:$E$1793, MATCH(CU$1,'STOPE SUMMARY PIVOT'!$A$1666:$A$1793, 0))</f>
        <v>0</v>
      </c>
      <c r="CW42" s="165">
        <f>INDEX('STOPE SUMMARY PIVOT'!$D1666:$D1793, MATCH(CW$1,'STOPE SUMMARY PIVOT'!$A$1666:$A$1793, 0))</f>
        <v>0</v>
      </c>
      <c r="CX42" s="174">
        <f>INDEX('STOPE SUMMARY PIVOT'!$E$1666:$E$1793, MATCH(CW$1,'STOPE SUMMARY PIVOT'!$A$1666:$A$1793, 0))</f>
        <v>0</v>
      </c>
      <c r="CY42" s="165">
        <f>INDEX('STOPE SUMMARY PIVOT'!$D1666:$D1793, MATCH(CY$1,'STOPE SUMMARY PIVOT'!$A$1666:$A$1793, 0))</f>
        <v>0</v>
      </c>
      <c r="CZ42" s="174">
        <f>INDEX('STOPE SUMMARY PIVOT'!$E$1666:$E$1793, MATCH(CY$1,'STOPE SUMMARY PIVOT'!$A$1666:$A$1793, 0))</f>
        <v>0</v>
      </c>
      <c r="DA42" s="165">
        <f>INDEX('STOPE SUMMARY PIVOT'!$D1666:$D1793, MATCH(DA$1,'STOPE SUMMARY PIVOT'!$A$1666:$A$1793, 0))</f>
        <v>0</v>
      </c>
      <c r="DB42" s="174">
        <f>INDEX('STOPE SUMMARY PIVOT'!$E$1666:$E$1793, MATCH(DA$1,'STOPE SUMMARY PIVOT'!$A$1666:$A$1793, 0))</f>
        <v>0</v>
      </c>
      <c r="DC42" s="165">
        <f>INDEX('STOPE SUMMARY PIVOT'!$D1666:$D1793, MATCH(DC$1,'STOPE SUMMARY PIVOT'!$A$1666:$A$1793, 0))</f>
        <v>0</v>
      </c>
      <c r="DD42" s="174">
        <f>INDEX('STOPE SUMMARY PIVOT'!$E$1666:$E$1793, MATCH(DC$1,'STOPE SUMMARY PIVOT'!$A$1666:$A$1793, 0))</f>
        <v>0</v>
      </c>
      <c r="DE42" s="165">
        <f>INDEX('STOPE SUMMARY PIVOT'!$D1666:$D1793, MATCH(DE$1,'STOPE SUMMARY PIVOT'!$A$1666:$A$1793, 0))</f>
        <v>0</v>
      </c>
      <c r="DF42" s="174">
        <f>INDEX('STOPE SUMMARY PIVOT'!$E$1666:$E$1793, MATCH(DE$1,'STOPE SUMMARY PIVOT'!$A$1666:$A$1793, 0))</f>
        <v>0</v>
      </c>
      <c r="DG42" s="165">
        <f>INDEX('STOPE SUMMARY PIVOT'!$D1666:$D1793, MATCH(DG$1,'STOPE SUMMARY PIVOT'!$A$1666:$A$1793, 0))</f>
        <v>0</v>
      </c>
      <c r="DH42" s="174">
        <f>INDEX('STOPE SUMMARY PIVOT'!$E$1666:$E$1793, MATCH(DG$1,'STOPE SUMMARY PIVOT'!$A$1666:$A$1793, 0))</f>
        <v>0</v>
      </c>
      <c r="DI42" s="165">
        <f>INDEX('STOPE SUMMARY PIVOT'!$D1666:$D1793, MATCH(DI$1,'STOPE SUMMARY PIVOT'!$A$1666:$A$1793, 0))</f>
        <v>0</v>
      </c>
      <c r="DJ42" s="174">
        <f>INDEX('STOPE SUMMARY PIVOT'!$E$1666:$E$1793, MATCH(DI$1,'STOPE SUMMARY PIVOT'!$A$1666:$A$1793, 0))</f>
        <v>0</v>
      </c>
      <c r="DK42" s="165">
        <f>INDEX('STOPE SUMMARY PIVOT'!$D1666:$D1793, MATCH(DK$1,'STOPE SUMMARY PIVOT'!$A$1666:$A$1793, 0))</f>
        <v>1723</v>
      </c>
      <c r="DL42" s="174">
        <f>INDEX('STOPE SUMMARY PIVOT'!$E$1666:$E$1793, MATCH(DK$1,'STOPE SUMMARY PIVOT'!$A$1666:$A$1793, 0))</f>
        <v>0.82</v>
      </c>
      <c r="DM42" s="165">
        <f>INDEX('STOPE SUMMARY PIVOT'!$D1666:$D1793, MATCH(DM$1,'STOPE SUMMARY PIVOT'!$A$1666:$A$1793, 0))</f>
        <v>0</v>
      </c>
      <c r="DN42" s="174">
        <f>INDEX('STOPE SUMMARY PIVOT'!$E$1666:$E$1793, MATCH(DM$1,'STOPE SUMMARY PIVOT'!$A$1666:$A$1793, 0))</f>
        <v>0</v>
      </c>
      <c r="DO42" s="165">
        <f>INDEX('STOPE SUMMARY PIVOT'!$D1666:$D1793, MATCH(DO$1,'STOPE SUMMARY PIVOT'!$A$1666:$A$1793, 0))</f>
        <v>1010</v>
      </c>
      <c r="DP42" s="174">
        <f>INDEX('STOPE SUMMARY PIVOT'!$E$1666:$E$1793, MATCH(DO$1,'STOPE SUMMARY PIVOT'!$A$1666:$A$1793, 0))</f>
        <v>0.53</v>
      </c>
      <c r="DQ42" s="165">
        <f>INDEX('STOPE SUMMARY PIVOT'!$D1666:$D1793, MATCH(DQ$1,'STOPE SUMMARY PIVOT'!$A$1666:$A$1793, 0))</f>
        <v>0</v>
      </c>
      <c r="DR42" s="174">
        <f>INDEX('STOPE SUMMARY PIVOT'!$E$1666:$E$1793, MATCH(DQ$1,'STOPE SUMMARY PIVOT'!$A$1666:$A$1793, 0))</f>
        <v>0</v>
      </c>
      <c r="DS42" s="165">
        <f>INDEX('STOPE SUMMARY PIVOT'!$D1666:$D1793, MATCH(DS$1,'STOPE SUMMARY PIVOT'!$A$1666:$A$1793, 0))</f>
        <v>712</v>
      </c>
      <c r="DT42" s="174">
        <f>INDEX('STOPE SUMMARY PIVOT'!$E$1666:$E$1793, MATCH(DS$1,'STOPE SUMMARY PIVOT'!$A$1666:$A$1793, 0))</f>
        <v>3.3</v>
      </c>
      <c r="DU42" s="165">
        <f>INDEX('STOPE SUMMARY PIVOT'!$D1666:$D1793, MATCH(DU$1,'STOPE SUMMARY PIVOT'!$A$1666:$A$1793, 0))</f>
        <v>0</v>
      </c>
      <c r="DV42" s="174">
        <f>INDEX('STOPE SUMMARY PIVOT'!$E$1666:$E$1793, MATCH(DU$1,'STOPE SUMMARY PIVOT'!$A$1666:$A$1793, 0))</f>
        <v>0</v>
      </c>
      <c r="DW42" s="165">
        <f>INDEX('STOPE SUMMARY PIVOT'!$D1666:$D1793, MATCH(DW$1,'STOPE SUMMARY PIVOT'!$A$1666:$A$1793, 0))</f>
        <v>0</v>
      </c>
      <c r="DX42" s="174">
        <f>INDEX('STOPE SUMMARY PIVOT'!$E$1666:$E$1793, MATCH(DW$1,'STOPE SUMMARY PIVOT'!$A$1666:$A$1793, 0))</f>
        <v>0</v>
      </c>
      <c r="DY42" s="165">
        <f>INDEX('STOPE SUMMARY PIVOT'!$D1666:$D1793, MATCH(DY$1,'STOPE SUMMARY PIVOT'!$A$1666:$A$1793, 0))</f>
        <v>0</v>
      </c>
      <c r="DZ42" s="174">
        <f>INDEX('STOPE SUMMARY PIVOT'!$E$1666:$E$1793, MATCH(DY$1,'STOPE SUMMARY PIVOT'!$A$1666:$A$1793, 0))</f>
        <v>0</v>
      </c>
      <c r="EA42" s="165">
        <f>INDEX('STOPE SUMMARY PIVOT'!$D1666:$D1793, MATCH(EA$1,'STOPE SUMMARY PIVOT'!$A$1666:$A$1793, 0))</f>
        <v>0</v>
      </c>
      <c r="EB42" s="174">
        <f>INDEX('STOPE SUMMARY PIVOT'!$E$1666:$E$1793, MATCH(EA$1,'STOPE SUMMARY PIVOT'!$A$1666:$A$1793, 0))</f>
        <v>0</v>
      </c>
      <c r="EC42" s="165">
        <f>INDEX('STOPE SUMMARY PIVOT'!$D1666:$D1793, MATCH(EC$1,'STOPE SUMMARY PIVOT'!$A$1666:$A$1793, 0))</f>
        <v>0</v>
      </c>
      <c r="ED42" s="174">
        <f>INDEX('STOPE SUMMARY PIVOT'!$E$1666:$E$1793, MATCH(EC$1,'STOPE SUMMARY PIVOT'!$A$1666:$A$1793, 0))</f>
        <v>0</v>
      </c>
      <c r="EE42" s="165">
        <f>INDEX('STOPE SUMMARY PIVOT'!$D1666:$D1793, MATCH(EE$1,'STOPE SUMMARY PIVOT'!$A$1666:$A$1793, 0))</f>
        <v>0</v>
      </c>
      <c r="EF42" s="174">
        <f>INDEX('STOPE SUMMARY PIVOT'!$E$1666:$E$1793, MATCH(EE$1,'STOPE SUMMARY PIVOT'!$A$1666:$A$1793, 0))</f>
        <v>0</v>
      </c>
      <c r="EG42" s="165">
        <f>INDEX('STOPE SUMMARY PIVOT'!$D1666:$D1793, MATCH(EG$1,'STOPE SUMMARY PIVOT'!$A$1666:$A$1793, 0))</f>
        <v>0</v>
      </c>
      <c r="EH42" s="174">
        <f>INDEX('STOPE SUMMARY PIVOT'!$E$1666:$E$1793, MATCH(EG$1,'STOPE SUMMARY PIVOT'!$A$1666:$A$1793, 0))</f>
        <v>0</v>
      </c>
      <c r="EI42" s="165">
        <f>INDEX('STOPE SUMMARY PIVOT'!$D1666:$D1793, MATCH(EI$1,'STOPE SUMMARY PIVOT'!$A$1666:$A$1793, 0))</f>
        <v>0</v>
      </c>
      <c r="EJ42" s="174">
        <f>INDEX('STOPE SUMMARY PIVOT'!$E$1666:$E$1793, MATCH(EI$1,'STOPE SUMMARY PIVOT'!$A$1666:$A$1793, 0))</f>
        <v>0</v>
      </c>
      <c r="EK42" s="165">
        <f>INDEX('STOPE SUMMARY PIVOT'!$D1666:$D1793, MATCH(EK$1,'STOPE SUMMARY PIVOT'!$A$1666:$A$1793, 0))</f>
        <v>0</v>
      </c>
      <c r="EL42" s="174">
        <f>INDEX('STOPE SUMMARY PIVOT'!$E$1666:$E$1793, MATCH(EK$1,'STOPE SUMMARY PIVOT'!$A$1666:$A$1793, 0))</f>
        <v>0</v>
      </c>
      <c r="EM42" s="165">
        <f>INDEX('STOPE SUMMARY PIVOT'!$D1666:$D1793, MATCH(EM$1,'STOPE SUMMARY PIVOT'!$A$1666:$A$1793, 0))</f>
        <v>0</v>
      </c>
      <c r="EN42" s="174">
        <f>INDEX('STOPE SUMMARY PIVOT'!$E$1666:$E$1793, MATCH(EM$1,'STOPE SUMMARY PIVOT'!$A$1666:$A$1793, 0))</f>
        <v>0</v>
      </c>
      <c r="EO42" s="165">
        <f>INDEX('STOPE SUMMARY PIVOT'!$D1666:$D1793, MATCH(EO$1,'STOPE SUMMARY PIVOT'!$A$1666:$A$1793, 0))</f>
        <v>2584</v>
      </c>
      <c r="EP42" s="174">
        <f>INDEX('STOPE SUMMARY PIVOT'!$E$1666:$E$1793, MATCH(EO$1,'STOPE SUMMARY PIVOT'!$A$1666:$A$1793, 0))</f>
        <v>2.83</v>
      </c>
      <c r="EQ42" s="165">
        <f>INDEX('STOPE SUMMARY PIVOT'!$D1666:$D1793, MATCH(EQ$1,'STOPE SUMMARY PIVOT'!$A$1666:$A$1793, 0))</f>
        <v>0</v>
      </c>
      <c r="ER42" s="174">
        <f>INDEX('STOPE SUMMARY PIVOT'!$E$1666:$E$1793, MATCH(EQ$1,'STOPE SUMMARY PIVOT'!$A$1666:$A$1793, 0))</f>
        <v>0</v>
      </c>
      <c r="ES42" s="165">
        <f>INDEX('STOPE SUMMARY PIVOT'!$D1666:$D1793, MATCH(ES$1,'STOPE SUMMARY PIVOT'!$A$1666:$A$1793, 0))</f>
        <v>0</v>
      </c>
      <c r="ET42" s="174">
        <f>INDEX('STOPE SUMMARY PIVOT'!$E$1666:$E$1793, MATCH(ES$1,'STOPE SUMMARY PIVOT'!$A$1666:$A$1793, 0))</f>
        <v>0</v>
      </c>
      <c r="EU42" s="165">
        <f>INDEX('STOPE SUMMARY PIVOT'!$D1666:$D1793, MATCH(EU$1,'STOPE SUMMARY PIVOT'!$A$1666:$A$1793, 0))</f>
        <v>0</v>
      </c>
      <c r="EV42" s="174">
        <f>INDEX('STOPE SUMMARY PIVOT'!$E$1666:$E$1793, MATCH(EU$1,'STOPE SUMMARY PIVOT'!$A$1666:$A$1793, 0))</f>
        <v>0</v>
      </c>
      <c r="EW42" s="165">
        <f>INDEX('STOPE SUMMARY PIVOT'!$D1666:$D1793, MATCH(EW$1,'STOPE SUMMARY PIVOT'!$A$1666:$A$1793, 0))</f>
        <v>0</v>
      </c>
      <c r="EX42" s="174">
        <f>INDEX('STOPE SUMMARY PIVOT'!$E$1666:$E$1793, MATCH(EW$1,'STOPE SUMMARY PIVOT'!$A$1666:$A$1793, 0))</f>
        <v>0</v>
      </c>
      <c r="EY42" s="165">
        <f>INDEX('STOPE SUMMARY PIVOT'!$D1666:$D1793, MATCH(EY$1,'STOPE SUMMARY PIVOT'!$A$1666:$A$1793, 0))</f>
        <v>0</v>
      </c>
      <c r="EZ42" s="174">
        <f>INDEX('STOPE SUMMARY PIVOT'!$E$1666:$E$1793, MATCH(EY$1,'STOPE SUMMARY PIVOT'!$A$1666:$A$1793, 0))</f>
        <v>0</v>
      </c>
      <c r="FA42" s="165">
        <f>INDEX('STOPE SUMMARY PIVOT'!$D1666:$D1793, MATCH(FA$1,'STOPE SUMMARY PIVOT'!$A$1666:$A$1793, 0))</f>
        <v>0</v>
      </c>
      <c r="FB42" s="174">
        <f>INDEX('STOPE SUMMARY PIVOT'!$E$1666:$E$1793, MATCH(FA$1,'STOPE SUMMARY PIVOT'!$A$1666:$A$1793, 0))</f>
        <v>0</v>
      </c>
      <c r="FC42" s="165">
        <f>INDEX('STOPE SUMMARY PIVOT'!$D1666:$D1793, MATCH(FC$1,'STOPE SUMMARY PIVOT'!$A$1666:$A$1793, 0))</f>
        <v>0</v>
      </c>
      <c r="FD42" s="174">
        <f>INDEX('STOPE SUMMARY PIVOT'!$E$1666:$E$1793, MATCH(FC$1,'STOPE SUMMARY PIVOT'!$A$1666:$A$1793, 0))</f>
        <v>0</v>
      </c>
      <c r="FE42" s="165">
        <f>INDEX('STOPE SUMMARY PIVOT'!$D1666:$D1793, MATCH(FE$1,'STOPE SUMMARY PIVOT'!$A$1666:$A$1793, 0))</f>
        <v>1723</v>
      </c>
      <c r="FF42" s="174">
        <f>INDEX('STOPE SUMMARY PIVOT'!$E$1666:$E$1793, MATCH(FE$1,'STOPE SUMMARY PIVOT'!$A$1666:$A$1793, 0))</f>
        <v>1.34</v>
      </c>
      <c r="FG42" s="165">
        <f>INDEX('STOPE SUMMARY PIVOT'!$D1666:$D1793, MATCH(FG$1,'STOPE SUMMARY PIVOT'!$A$1666:$A$1793, 0))</f>
        <v>0</v>
      </c>
      <c r="FH42" s="174">
        <f>INDEX('STOPE SUMMARY PIVOT'!$E$1666:$E$1793, MATCH(FG$1,'STOPE SUMMARY PIVOT'!$A$1666:$A$1793, 0))</f>
        <v>0</v>
      </c>
      <c r="FI42" s="165">
        <f>INDEX('STOPE SUMMARY PIVOT'!$D1666:$D1793, MATCH(FI$1,'STOPE SUMMARY PIVOT'!$A$1666:$A$1793, 0))</f>
        <v>1723</v>
      </c>
      <c r="FJ42" s="174">
        <f>INDEX('STOPE SUMMARY PIVOT'!$E$1666:$E$1793, MATCH(FI$1,'STOPE SUMMARY PIVOT'!$A$1666:$A$1793, 0))</f>
        <v>2.7</v>
      </c>
      <c r="FK42" s="165">
        <f>INDEX('STOPE SUMMARY PIVOT'!$D1666:$D1793, MATCH(FK$1,'STOPE SUMMARY PIVOT'!$A$1666:$A$1793, 0))</f>
        <v>0</v>
      </c>
      <c r="FL42" s="174">
        <f>INDEX('STOPE SUMMARY PIVOT'!$E$1666:$E$1793, MATCH(FK$1,'STOPE SUMMARY PIVOT'!$A$1666:$A$1793, 0))</f>
        <v>0</v>
      </c>
      <c r="FM42" s="165">
        <f>INDEX('STOPE SUMMARY PIVOT'!$D1666:$D1793, MATCH(FM$1,'STOPE SUMMARY PIVOT'!$A$1666:$A$1793, 0))</f>
        <v>207</v>
      </c>
      <c r="FN42" s="174">
        <f>INDEX('STOPE SUMMARY PIVOT'!$E$1666:$E$1793, MATCH(FM$1,'STOPE SUMMARY PIVOT'!$A$1666:$A$1793, 0))</f>
        <v>3.63</v>
      </c>
      <c r="FO42" s="165">
        <f>INDEX('STOPE SUMMARY PIVOT'!$D1666:$D1793, MATCH(FO$1,'STOPE SUMMARY PIVOT'!$A$1666:$A$1793, 0))</f>
        <v>481</v>
      </c>
      <c r="FP42" s="174">
        <f>INDEX('STOPE SUMMARY PIVOT'!$E$1666:$E$1793, MATCH(FO$1,'STOPE SUMMARY PIVOT'!$A$1666:$A$1793, 0))</f>
        <v>2.87</v>
      </c>
      <c r="FQ42" s="165">
        <f>INDEX('STOPE SUMMARY PIVOT'!$D1666:$D1793, MATCH(FQ$1,'STOPE SUMMARY PIVOT'!$A$1666:$A$1793, 0))</f>
        <v>1242</v>
      </c>
      <c r="FR42" s="174">
        <f>INDEX('STOPE SUMMARY PIVOT'!$E$1666:$E$1793, MATCH(FQ$1,'STOPE SUMMARY PIVOT'!$A$1666:$A$1793, 0))</f>
        <v>2.4500000000000002</v>
      </c>
      <c r="FS42" s="165">
        <f>INDEX('STOPE SUMMARY PIVOT'!$D1666:$D1793, MATCH(FS$1,'STOPE SUMMARY PIVOT'!$A$1666:$A$1793, 0))</f>
        <v>0</v>
      </c>
      <c r="FT42" s="174">
        <f>INDEX('STOPE SUMMARY PIVOT'!$E$1666:$E$1793, MATCH(FS$1,'STOPE SUMMARY PIVOT'!$A$1666:$A$1793, 0))</f>
        <v>0</v>
      </c>
      <c r="FU42" s="165">
        <f>INDEX('STOPE SUMMARY PIVOT'!$D1666:$D1793, MATCH(FU$1,'STOPE SUMMARY PIVOT'!$A$1666:$A$1793, 0))</f>
        <v>0</v>
      </c>
      <c r="FV42" s="174">
        <f>INDEX('STOPE SUMMARY PIVOT'!$E$1666:$E$1793, MATCH(FU$1,'STOPE SUMMARY PIVOT'!$A$1666:$A$1793, 0))</f>
        <v>0</v>
      </c>
      <c r="FW42" s="165">
        <f>INDEX('STOPE SUMMARY PIVOT'!$D1666:$D1793, MATCH(FW$1,'STOPE SUMMARY PIVOT'!$A$1666:$A$1793, 0))</f>
        <v>0</v>
      </c>
      <c r="FX42" s="174">
        <f>INDEX('STOPE SUMMARY PIVOT'!$E$1666:$E$1793, MATCH(FW$1,'STOPE SUMMARY PIVOT'!$A$1666:$A$1793, 0))</f>
        <v>0</v>
      </c>
      <c r="FY42" s="165">
        <f>INDEX('STOPE SUMMARY PIVOT'!$D1666:$D1793, MATCH(FY$1,'STOPE SUMMARY PIVOT'!$A$1666:$A$1793, 0))</f>
        <v>0</v>
      </c>
      <c r="FZ42" s="174">
        <f>INDEX('STOPE SUMMARY PIVOT'!$E$1666:$E$1793, MATCH(FY$1,'STOPE SUMMARY PIVOT'!$A$1666:$A$1793, 0))</f>
        <v>0</v>
      </c>
      <c r="GA42" s="165">
        <f>INDEX('STOPE SUMMARY PIVOT'!$D1666:$D1793, MATCH(GA$1,'STOPE SUMMARY PIVOT'!$A$1666:$A$1793, 0))</f>
        <v>0</v>
      </c>
      <c r="GB42" s="174">
        <f>INDEX('STOPE SUMMARY PIVOT'!$E$1666:$E$1793, MATCH(GA$1,'STOPE SUMMARY PIVOT'!$A$1666:$A$1793, 0))</f>
        <v>0</v>
      </c>
      <c r="GC42" s="165">
        <f>INDEX('STOPE SUMMARY PIVOT'!$D1666:$D1793, MATCH(GC$1,'STOPE SUMMARY PIVOT'!$A$1666:$A$1793, 0))</f>
        <v>0</v>
      </c>
      <c r="GD42" s="174">
        <f>INDEX('STOPE SUMMARY PIVOT'!$E$1666:$E$1793, MATCH(GC$1,'STOPE SUMMARY PIVOT'!$A$1666:$A$1793, 0))</f>
        <v>0</v>
      </c>
      <c r="GE42" s="165">
        <f>INDEX('STOPE SUMMARY PIVOT'!$D1666:$D1793, MATCH(GE$1,'STOPE SUMMARY PIVOT'!$A$1666:$A$1793, 0))</f>
        <v>0</v>
      </c>
      <c r="GF42" s="174">
        <f>INDEX('STOPE SUMMARY PIVOT'!$E$1666:$E$1793, MATCH(GE$1,'STOPE SUMMARY PIVOT'!$A$1666:$A$1793, 0))</f>
        <v>0</v>
      </c>
      <c r="GG42" s="165">
        <f>INDEX('STOPE SUMMARY PIVOT'!$D1666:$D1793, MATCH(GG$1,'STOPE SUMMARY PIVOT'!$A$1666:$A$1793, 0))</f>
        <v>0</v>
      </c>
      <c r="GH42" s="174">
        <f>INDEX('STOPE SUMMARY PIVOT'!$E$1666:$E$1793, MATCH(GG$1,'STOPE SUMMARY PIVOT'!$A$1666:$A$1793, 0))</f>
        <v>0</v>
      </c>
      <c r="GI42" s="165">
        <f>INDEX('STOPE SUMMARY PIVOT'!$D1666:$D1793, MATCH(GI$1,'STOPE SUMMARY PIVOT'!$A$1666:$A$1793, 0))</f>
        <v>0</v>
      </c>
      <c r="GJ42" s="174">
        <f>INDEX('STOPE SUMMARY PIVOT'!$E$1666:$E$1793, MATCH(GI$1,'STOPE SUMMARY PIVOT'!$A$1666:$A$1793, 0))</f>
        <v>0</v>
      </c>
      <c r="GK42" s="165">
        <f>INDEX('STOPE SUMMARY PIVOT'!$D1666:$D1793, MATCH(GK$1,'STOPE SUMMARY PIVOT'!$A$1666:$A$1793, 0))</f>
        <v>0</v>
      </c>
      <c r="GL42" s="174">
        <f>INDEX('STOPE SUMMARY PIVOT'!$E$1666:$E$1793, MATCH(GK$1,'STOPE SUMMARY PIVOT'!$A$1666:$A$1793, 0))</f>
        <v>0</v>
      </c>
      <c r="GM42" s="165">
        <f>INDEX('STOPE SUMMARY PIVOT'!$D1666:$D1793, MATCH(GM$1,'STOPE SUMMARY PIVOT'!$A$1666:$A$1793, 0))</f>
        <v>0</v>
      </c>
      <c r="GN42" s="174">
        <f>INDEX('STOPE SUMMARY PIVOT'!$E$1666:$E$1793, MATCH(GM$1,'STOPE SUMMARY PIVOT'!$A$1666:$A$1793, 0))</f>
        <v>0</v>
      </c>
      <c r="GO42" s="165">
        <f>INDEX('STOPE SUMMARY PIVOT'!$D1666:$D1793, MATCH(GO$1,'STOPE SUMMARY PIVOT'!$A$1666:$A$1793, 0))</f>
        <v>0</v>
      </c>
      <c r="GP42" s="174">
        <f>INDEX('STOPE SUMMARY PIVOT'!$E$1666:$E$1793, MATCH(GO$1,'STOPE SUMMARY PIVOT'!$A$1666:$A$1793, 0))</f>
        <v>0</v>
      </c>
      <c r="GQ42" s="165">
        <f>INDEX('STOPE SUMMARY PIVOT'!$D1666:$D1793, MATCH(GQ$1,'STOPE SUMMARY PIVOT'!$A$1666:$A$1793, 0))</f>
        <v>0</v>
      </c>
      <c r="GR42" s="174">
        <f>INDEX('STOPE SUMMARY PIVOT'!$E$1666:$E$1793, MATCH(GQ$1,'STOPE SUMMARY PIVOT'!$A$1666:$A$1793, 0))</f>
        <v>0</v>
      </c>
      <c r="GS42" s="165">
        <f>INDEX('STOPE SUMMARY PIVOT'!$D1666:$D1793, MATCH(GS$1,'STOPE SUMMARY PIVOT'!$A$1666:$A$1793, 0))</f>
        <v>0</v>
      </c>
      <c r="GT42" s="174">
        <f>INDEX('STOPE SUMMARY PIVOT'!$E$1666:$E$1793, MATCH(GS$1,'STOPE SUMMARY PIVOT'!$A$1666:$A$1793, 0))</f>
        <v>0</v>
      </c>
      <c r="GU42" s="165">
        <f>INDEX('STOPE SUMMARY PIVOT'!$D1666:$D1793, MATCH(GU$1,'STOPE SUMMARY PIVOT'!$A$1666:$A$1793, 0))</f>
        <v>0</v>
      </c>
      <c r="GV42" s="174">
        <f>INDEX('STOPE SUMMARY PIVOT'!$E$1666:$E$1793, MATCH(GU$1,'STOPE SUMMARY PIVOT'!$A$1666:$A$1793, 0))</f>
        <v>0</v>
      </c>
      <c r="GW42" s="165">
        <f>INDEX('STOPE SUMMARY PIVOT'!$D1666:$D1793, MATCH(GW$1,'STOPE SUMMARY PIVOT'!$A$1666:$A$1793, 0))</f>
        <v>0</v>
      </c>
      <c r="GX42" s="174">
        <f>INDEX('STOPE SUMMARY PIVOT'!$E$1666:$E$1793, MATCH(GW$1,'STOPE SUMMARY PIVOT'!$A$1666:$A$1793, 0))</f>
        <v>0</v>
      </c>
      <c r="GY42" s="165">
        <f>INDEX('STOPE SUMMARY PIVOT'!$D1666:$D1793, MATCH(GY$1,'STOPE SUMMARY PIVOT'!$A$1666:$A$1793, 0))</f>
        <v>0</v>
      </c>
      <c r="GZ42" s="174">
        <f>INDEX('STOPE SUMMARY PIVOT'!$E$1666:$E$1793, MATCH(GY$1,'STOPE SUMMARY PIVOT'!$A$1666:$A$1793, 0))</f>
        <v>0</v>
      </c>
      <c r="HA42" s="165">
        <f>INDEX('STOPE SUMMARY PIVOT'!$D1666:$D1793, MATCH(HA$1,'STOPE SUMMARY PIVOT'!$A$1666:$A$1793, 0))</f>
        <v>0</v>
      </c>
      <c r="HB42" s="174">
        <f>INDEX('STOPE SUMMARY PIVOT'!$E$1666:$E$1793, MATCH(HA$1,'STOPE SUMMARY PIVOT'!$A$1666:$A$1793, 0))</f>
        <v>0</v>
      </c>
      <c r="HC42" s="165">
        <f>INDEX('STOPE SUMMARY PIVOT'!$D1666:$D1793, MATCH(HC$1,'STOPE SUMMARY PIVOT'!$A$1666:$A$1793, 0))</f>
        <v>0</v>
      </c>
      <c r="HD42" s="174">
        <f>INDEX('STOPE SUMMARY PIVOT'!$E$1666:$E$1793, MATCH(HC$1,'STOPE SUMMARY PIVOT'!$A$1666:$A$1793, 0))</f>
        <v>0</v>
      </c>
      <c r="HE42" s="165">
        <f>INDEX('STOPE SUMMARY PIVOT'!$D1666:$D1793, MATCH(HE$1,'STOPE SUMMARY PIVOT'!$A$1666:$A$1793, 0))</f>
        <v>0</v>
      </c>
      <c r="HF42" s="174">
        <f>INDEX('STOPE SUMMARY PIVOT'!$E$1666:$E$1793, MATCH(HE$1,'STOPE SUMMARY PIVOT'!$A$1666:$A$1793, 0))</f>
        <v>0</v>
      </c>
      <c r="HG42" s="165">
        <f>INDEX('STOPE SUMMARY PIVOT'!$D1666:$D1793, MATCH(HG$1,'STOPE SUMMARY PIVOT'!$A$1666:$A$1793, 0))</f>
        <v>0</v>
      </c>
      <c r="HH42" s="174">
        <f>INDEX('STOPE SUMMARY PIVOT'!$E$1666:$E$1793, MATCH(HG$1,'STOPE SUMMARY PIVOT'!$A$1666:$A$1793, 0))</f>
        <v>0</v>
      </c>
      <c r="HI42" s="165">
        <f>INDEX('STOPE SUMMARY PIVOT'!$D1666:$D1793, MATCH(HI$1,'STOPE SUMMARY PIVOT'!$A$1666:$A$1793, 0))</f>
        <v>0</v>
      </c>
      <c r="HJ42" s="174">
        <f>INDEX('STOPE SUMMARY PIVOT'!$E$1666:$E$1793, MATCH(HI$1,'STOPE SUMMARY PIVOT'!$A$1666:$A$1793, 0))</f>
        <v>0</v>
      </c>
      <c r="HK42" s="165">
        <f>INDEX('STOPE SUMMARY PIVOT'!$D1666:$D1793, MATCH(HK$1,'STOPE SUMMARY PIVOT'!$A$1666:$A$1793, 0))</f>
        <v>0</v>
      </c>
      <c r="HL42" s="174">
        <f>INDEX('STOPE SUMMARY PIVOT'!$E$1666:$E$1793, MATCH(HK$1,'STOPE SUMMARY PIVOT'!$A$1666:$A$1793, 0))</f>
        <v>0</v>
      </c>
      <c r="HM42" s="165">
        <f>INDEX('STOPE SUMMARY PIVOT'!$D1666:$D1793, MATCH(HM$1,'STOPE SUMMARY PIVOT'!$A$1666:$A$1793, 0))</f>
        <v>0</v>
      </c>
      <c r="HN42" s="174">
        <f>INDEX('STOPE SUMMARY PIVOT'!$E$1666:$E$1793, MATCH(HM$1,'STOPE SUMMARY PIVOT'!$A$1666:$A$1793, 0))</f>
        <v>0</v>
      </c>
      <c r="HO42" s="165">
        <f>INDEX('STOPE SUMMARY PIVOT'!$D1666:$D1793, MATCH(HO$1,'STOPE SUMMARY PIVOT'!$A$1666:$A$1793, 0))</f>
        <v>0</v>
      </c>
      <c r="HP42" s="174">
        <f>INDEX('STOPE SUMMARY PIVOT'!$E$1666:$E$1793, MATCH(HO$1,'STOPE SUMMARY PIVOT'!$A$1666:$A$1793, 0))</f>
        <v>0</v>
      </c>
      <c r="HQ42" s="165">
        <f>INDEX('STOPE SUMMARY PIVOT'!$D1666:$D1793, MATCH(HQ$1,'STOPE SUMMARY PIVOT'!$A$1666:$A$1793, 0))</f>
        <v>0</v>
      </c>
      <c r="HR42" s="174">
        <f>INDEX('STOPE SUMMARY PIVOT'!$E$1666:$E$1793, MATCH(HQ$1,'STOPE SUMMARY PIVOT'!$A$1666:$A$1793, 0))</f>
        <v>0</v>
      </c>
      <c r="HS42" s="165">
        <f>INDEX('STOPE SUMMARY PIVOT'!$D1666:$D1793, MATCH(HS$1,'STOPE SUMMARY PIVOT'!$A$1666:$A$1793, 0))</f>
        <v>0</v>
      </c>
      <c r="HT42" s="174">
        <f>INDEX('STOPE SUMMARY PIVOT'!$E$1666:$E$1793, MATCH(HS$1,'STOPE SUMMARY PIVOT'!$A$1666:$A$1793, 0))</f>
        <v>0</v>
      </c>
      <c r="HU42" s="165">
        <f>INDEX('STOPE SUMMARY PIVOT'!$D1666:$D1793, MATCH(HU$1,'STOPE SUMMARY PIVOT'!$A$1666:$A$1793, 0))</f>
        <v>0</v>
      </c>
      <c r="HV42" s="174">
        <f>INDEX('STOPE SUMMARY PIVOT'!$E$1666:$E$1793, MATCH(HU$1,'STOPE SUMMARY PIVOT'!$A$1666:$A$1793, 0))</f>
        <v>0</v>
      </c>
      <c r="HW42" s="165">
        <f>INDEX('STOPE SUMMARY PIVOT'!$D1666:$D1793, MATCH(HW$1,'STOPE SUMMARY PIVOT'!$A$1666:$A$1793, 0))</f>
        <v>0</v>
      </c>
      <c r="HX42" s="174">
        <f>INDEX('STOPE SUMMARY PIVOT'!$E$1666:$E$1793, MATCH(HW$1,'STOPE SUMMARY PIVOT'!$A$1666:$A$1793, 0))</f>
        <v>0</v>
      </c>
      <c r="HY42" s="165">
        <f>INDEX('STOPE SUMMARY PIVOT'!$D1666:$D1793, MATCH(HY$1,'STOPE SUMMARY PIVOT'!$A$1666:$A$1793, 0))</f>
        <v>0</v>
      </c>
      <c r="HZ42" s="174">
        <f>INDEX('STOPE SUMMARY PIVOT'!$E$1666:$E$1793, MATCH(HY$1,'STOPE SUMMARY PIVOT'!$A$1666:$A$1793, 0))</f>
        <v>0</v>
      </c>
      <c r="IA42" s="165">
        <f>INDEX('STOPE SUMMARY PIVOT'!$D1666:$D1793, MATCH(IA$1,'STOPE SUMMARY PIVOT'!$A$1666:$A$1793, 0))</f>
        <v>0</v>
      </c>
      <c r="IB42" s="174">
        <f>INDEX('STOPE SUMMARY PIVOT'!$E$1666:$E$1793, MATCH(IA$1,'STOPE SUMMARY PIVOT'!$A$1666:$A$1793, 0))</f>
        <v>0</v>
      </c>
      <c r="IC42" s="165">
        <f>INDEX('STOPE SUMMARY PIVOT'!$D1666:$D1793, MATCH(IC$1,'STOPE SUMMARY PIVOT'!$A$1666:$A$1793, 0))</f>
        <v>0</v>
      </c>
      <c r="ID42" s="174">
        <f>INDEX('STOPE SUMMARY PIVOT'!$E$1666:$E$1793, MATCH(IC$1,'STOPE SUMMARY PIVOT'!$A$1666:$A$1793, 0))</f>
        <v>0</v>
      </c>
      <c r="IE42" s="165">
        <f>INDEX('STOPE SUMMARY PIVOT'!$D1666:$D1793, MATCH(IE$1,'STOPE SUMMARY PIVOT'!$A$1666:$A$1793, 0))</f>
        <v>0</v>
      </c>
      <c r="IF42" s="174">
        <f>INDEX('STOPE SUMMARY PIVOT'!$E$1666:$E$1793, MATCH(IE$1,'STOPE SUMMARY PIVOT'!$A$1666:$A$1793, 0))</f>
        <v>0</v>
      </c>
      <c r="IG42" s="165">
        <f>INDEX('STOPE SUMMARY PIVOT'!$D1666:$D1793, MATCH(IG$1,'STOPE SUMMARY PIVOT'!$A$1666:$A$1793, 0))</f>
        <v>0</v>
      </c>
      <c r="IH42" s="174">
        <f>INDEX('STOPE SUMMARY PIVOT'!$E$1666:$E$1793, MATCH(IG$1,'STOPE SUMMARY PIVOT'!$A$1666:$A$1793, 0))</f>
        <v>0</v>
      </c>
      <c r="II42" s="165">
        <f>INDEX('STOPE SUMMARY PIVOT'!$D1666:$D1793, MATCH(II$1,'STOPE SUMMARY PIVOT'!$A$1666:$A$1793, 0))</f>
        <v>0</v>
      </c>
      <c r="IJ42" s="174">
        <f>INDEX('STOPE SUMMARY PIVOT'!$E$1666:$E$1793, MATCH(II$1,'STOPE SUMMARY PIVOT'!$A$1666:$A$1793, 0))</f>
        <v>0</v>
      </c>
      <c r="IK42" s="165">
        <f>INDEX('STOPE SUMMARY PIVOT'!$D1666:$D1793, MATCH(IK$1,'STOPE SUMMARY PIVOT'!$A$1666:$A$1793, 0))</f>
        <v>0</v>
      </c>
      <c r="IL42" s="174">
        <f>INDEX('STOPE SUMMARY PIVOT'!$E$1666:$E$1793, MATCH(IK$1,'STOPE SUMMARY PIVOT'!$A$1666:$A$1793, 0))</f>
        <v>0</v>
      </c>
      <c r="IM42" s="165">
        <f>INDEX('STOPE SUMMARY PIVOT'!$D1666:$D1793, MATCH(IM$1,'STOPE SUMMARY PIVOT'!$A$1666:$A$1793, 0))</f>
        <v>0</v>
      </c>
      <c r="IN42" s="174">
        <f>INDEX('STOPE SUMMARY PIVOT'!$E$1666:$E$1793, MATCH(IM$1,'STOPE SUMMARY PIVOT'!$A$1666:$A$1793, 0))</f>
        <v>0</v>
      </c>
      <c r="IO42" s="165">
        <f>INDEX('STOPE SUMMARY PIVOT'!$D1666:$D1793, MATCH(IO$1,'STOPE SUMMARY PIVOT'!$A$1666:$A$1793, 0))</f>
        <v>0</v>
      </c>
      <c r="IP42" s="174">
        <f>INDEX('STOPE SUMMARY PIVOT'!$E$1666:$E$1793, MATCH(IO$1,'STOPE SUMMARY PIVOT'!$A$1666:$A$1793, 0))</f>
        <v>0</v>
      </c>
      <c r="IQ42" s="165">
        <f>INDEX('STOPE SUMMARY PIVOT'!$D1666:$D1793, MATCH(IQ$1,'STOPE SUMMARY PIVOT'!$A$1666:$A$1793, 0))</f>
        <v>0</v>
      </c>
      <c r="IR42" s="174">
        <f>INDEX('STOPE SUMMARY PIVOT'!$E$1666:$E$1793, MATCH(IQ$1,'STOPE SUMMARY PIVOT'!$A$1666:$A$1793, 0))</f>
        <v>0</v>
      </c>
      <c r="IS42" s="165">
        <f>INDEX('STOPE SUMMARY PIVOT'!$D1666:$D1793, MATCH(IS$1,'STOPE SUMMARY PIVOT'!$A$1666:$A$1793, 0))</f>
        <v>0</v>
      </c>
      <c r="IT42" s="174">
        <f>INDEX('STOPE SUMMARY PIVOT'!$E$1666:$E$1793, MATCH(IS$1,'STOPE SUMMARY PIVOT'!$A$1666:$A$1793, 0))</f>
        <v>0</v>
      </c>
      <c r="IU42" s="165">
        <f>INDEX('STOPE SUMMARY PIVOT'!$D1666:$D1793, MATCH(IU$1,'STOPE SUMMARY PIVOT'!$A$1666:$A$1793, 0))</f>
        <v>0</v>
      </c>
      <c r="IV42" s="174">
        <f>INDEX('STOPE SUMMARY PIVOT'!$E$1666:$E$1793, MATCH(IU$1,'STOPE SUMMARY PIVOT'!$A$1666:$A$1793, 0))</f>
        <v>0</v>
      </c>
      <c r="IW42" s="165">
        <f>INDEX('STOPE SUMMARY PIVOT'!$D1666:$D1793, MATCH(IW$1,'STOPE SUMMARY PIVOT'!$A$1666:$A$1793, 0))</f>
        <v>0</v>
      </c>
      <c r="IX42" s="174">
        <f>INDEX('STOPE SUMMARY PIVOT'!$E$1666:$E$1793, MATCH(IW$1,'STOPE SUMMARY PIVOT'!$A$1666:$A$1793, 0))</f>
        <v>0</v>
      </c>
      <c r="IY42" s="165">
        <f>INDEX('STOPE SUMMARY PIVOT'!$D1666:$D1793, MATCH(IY$1,'STOPE SUMMARY PIVOT'!$A$1666:$A$1793, 0))</f>
        <v>0</v>
      </c>
      <c r="IZ42" s="174">
        <f>INDEX('STOPE SUMMARY PIVOT'!$E$1666:$E$1793, MATCH(IY$1,'STOPE SUMMARY PIVOT'!$A$1666:$A$1793, 0))</f>
        <v>0</v>
      </c>
    </row>
    <row r="43" spans="1:260" x14ac:dyDescent="0.25">
      <c r="A43" s="1590"/>
      <c r="B43" s="167" t="s">
        <v>219</v>
      </c>
      <c r="C43" s="168" cm="1">
        <f t="array" ref="C43">SUM(_xlfn._xlws.FILTER(E43:IZ43, MOD(COLUMN(E43:IZ43)-COLUMN(E43)+1,2)=1))</f>
        <v>25480</v>
      </c>
      <c r="D43" s="26" cm="1">
        <f t="array" ref="D43">SUMPRODUCT(_xlfn._xlws.FILTER(E43:IZ43, MOD(COLUMN(E43:IZ43)-COLUMN(E43)+1,2)=1), _xlfn._xlws.FILTER(E43:IZ43, MOD(COLUMN(E43:IZ43)-COLUMN(E43)+1,2)=0))/C43</f>
        <v>2.6634615384615383</v>
      </c>
      <c r="E43" s="154">
        <f>INDEX('STOPE SUMMARY PIVOT'!$G1666:$G1793, MATCH(E$1,'STOPE SUMMARY PIVOT'!$A$1666:$A$1793, 0))</f>
        <v>0</v>
      </c>
      <c r="F43" s="175">
        <f>INDEX('STOPE SUMMARY PIVOT'!$H$1666:$H$1793, MATCH(E$1,'STOPE SUMMARY PIVOT'!$A$1666:$A$1793, 0))</f>
        <v>0</v>
      </c>
      <c r="G43" s="154">
        <f>INDEX('STOPE SUMMARY PIVOT'!$G1666:$G1793, MATCH(G$1,'STOPE SUMMARY PIVOT'!$A$1666:$A$1793, 0))</f>
        <v>0</v>
      </c>
      <c r="H43" s="175">
        <f>INDEX('STOPE SUMMARY PIVOT'!$H$1666:$H$1793, MATCH(G$1,'STOPE SUMMARY PIVOT'!$A$1666:$A$1793, 0))</f>
        <v>0</v>
      </c>
      <c r="I43" s="154">
        <f>INDEX('STOPE SUMMARY PIVOT'!$G1666:$G1793, MATCH(I$1,'STOPE SUMMARY PIVOT'!$A$1666:$A$1793, 0))</f>
        <v>0</v>
      </c>
      <c r="J43" s="143">
        <f>INDEX('STOPE SUMMARY PIVOT'!$H$1666:$H$1793, MATCH(I$1,'STOPE SUMMARY PIVOT'!$A$1666:$A$1793, 0))</f>
        <v>0</v>
      </c>
      <c r="K43" s="154">
        <f>INDEX('STOPE SUMMARY PIVOT'!$G1666:$G1793, MATCH(K$1,'STOPE SUMMARY PIVOT'!$A$1666:$A$1793, 0))</f>
        <v>0</v>
      </c>
      <c r="L43" s="143">
        <f>INDEX('STOPE SUMMARY PIVOT'!$H$1666:$H$1793, MATCH(K$1,'STOPE SUMMARY PIVOT'!$A$1666:$A$1793, 0))</f>
        <v>0</v>
      </c>
      <c r="M43" s="154">
        <f>INDEX('STOPE SUMMARY PIVOT'!$G1666:$G1793, MATCH(M$1,'STOPE SUMMARY PIVOT'!$A$1666:$A$1793, 0))</f>
        <v>0</v>
      </c>
      <c r="N43" s="143">
        <f>INDEX('STOPE SUMMARY PIVOT'!$H$1666:$H$1793, MATCH(M$1,'STOPE SUMMARY PIVOT'!$A$1666:$A$1793, 0))</f>
        <v>0</v>
      </c>
      <c r="O43" s="154">
        <f>INDEX('STOPE SUMMARY PIVOT'!$G1666:$G1793, MATCH(O$1,'STOPE SUMMARY PIVOT'!$A$1666:$A$1793, 0))</f>
        <v>0</v>
      </c>
      <c r="P43" s="143">
        <f>INDEX('STOPE SUMMARY PIVOT'!$H$1666:$H$1793, MATCH(O$1,'STOPE SUMMARY PIVOT'!$A$1666:$A$1793, 0))</f>
        <v>0</v>
      </c>
      <c r="Q43" s="154">
        <f>INDEX('STOPE SUMMARY PIVOT'!$G1666:$G1793, MATCH(Q$1,'STOPE SUMMARY PIVOT'!$A$1666:$A$1793, 0))</f>
        <v>0</v>
      </c>
      <c r="R43" s="143">
        <f>INDEX('STOPE SUMMARY PIVOT'!$H$1666:$H$1793, MATCH(Q$1,'STOPE SUMMARY PIVOT'!$A$1666:$A$1793, 0))</f>
        <v>0</v>
      </c>
      <c r="S43" s="154">
        <f>INDEX('STOPE SUMMARY PIVOT'!$G1666:$G1793, MATCH(S$1,'STOPE SUMMARY PIVOT'!$A$1666:$A$1793, 0))</f>
        <v>0</v>
      </c>
      <c r="T43" s="143">
        <f>INDEX('STOPE SUMMARY PIVOT'!$H$1666:$H$1793, MATCH(S$1,'STOPE SUMMARY PIVOT'!$A$1666:$A$1793, 0))</f>
        <v>0</v>
      </c>
      <c r="U43" s="154">
        <f>INDEX('STOPE SUMMARY PIVOT'!$G1666:$G1793, MATCH(U$1,'STOPE SUMMARY PIVOT'!$A$1666:$A$1793, 0))</f>
        <v>0</v>
      </c>
      <c r="V43" s="175">
        <f>INDEX('STOPE SUMMARY PIVOT'!$H$1666:$H$1793, MATCH(U$1,'STOPE SUMMARY PIVOT'!$A$1666:$A$1793, 0))</f>
        <v>0</v>
      </c>
      <c r="W43" s="154">
        <f>INDEX('STOPE SUMMARY PIVOT'!$G1666:$G1793, MATCH(W$1,'STOPE SUMMARY PIVOT'!$A$1666:$A$1793, 0))</f>
        <v>0</v>
      </c>
      <c r="X43" s="175">
        <f>INDEX('STOPE SUMMARY PIVOT'!$H$1666:$H$1793, MATCH(W$1,'STOPE SUMMARY PIVOT'!$A$1666:$A$1793, 0))</f>
        <v>0</v>
      </c>
      <c r="Y43" s="154">
        <f>INDEX('STOPE SUMMARY PIVOT'!$G1666:$G1793, MATCH(Y$1,'STOPE SUMMARY PIVOT'!$A$1666:$A$1793, 0))</f>
        <v>1960</v>
      </c>
      <c r="Z43" s="175">
        <f>INDEX('STOPE SUMMARY PIVOT'!$H$1666:$H$1793, MATCH(Y$1,'STOPE SUMMARY PIVOT'!$A$1666:$A$1793, 0))</f>
        <v>2.85</v>
      </c>
      <c r="AA43" s="154">
        <f>INDEX('STOPE SUMMARY PIVOT'!$G1666:$G1793, MATCH(AA$1,'STOPE SUMMARY PIVOT'!$A$1666:$A$1793, 0))</f>
        <v>980</v>
      </c>
      <c r="AB43" s="175">
        <f>INDEX('STOPE SUMMARY PIVOT'!$H$1666:$H$1793, MATCH(AA$1,'STOPE SUMMARY PIVOT'!$A$1666:$A$1793, 0))</f>
        <v>1.8099999999999992</v>
      </c>
      <c r="AC43" s="154">
        <f>INDEX('STOPE SUMMARY PIVOT'!$G1666:$G1793, MATCH(AC$1,'STOPE SUMMARY PIVOT'!$A$1666:$A$1793, 0))</f>
        <v>0</v>
      </c>
      <c r="AD43" s="175">
        <f>INDEX('STOPE SUMMARY PIVOT'!$H$1666:$H$1793, MATCH(AC$1,'STOPE SUMMARY PIVOT'!$A$1666:$A$1793, 0))</f>
        <v>0</v>
      </c>
      <c r="AE43" s="154">
        <f>INDEX('STOPE SUMMARY PIVOT'!$G1666:$G1793, MATCH(AE$1,'STOPE SUMMARY PIVOT'!$A$1666:$A$1793, 0))</f>
        <v>0</v>
      </c>
      <c r="AF43" s="175">
        <f>INDEX('STOPE SUMMARY PIVOT'!$H$1666:$H$1793, MATCH(AE$1,'STOPE SUMMARY PIVOT'!$A$1666:$A$1793, 0))</f>
        <v>0</v>
      </c>
      <c r="AG43" s="154">
        <f>INDEX('STOPE SUMMARY PIVOT'!$G1666:$G1793, MATCH(AG$1,'STOPE SUMMARY PIVOT'!$A$1666:$A$1793, 0))</f>
        <v>0</v>
      </c>
      <c r="AH43" s="175">
        <f>INDEX('STOPE SUMMARY PIVOT'!$H$1666:$H$1793, MATCH(AG$1,'STOPE SUMMARY PIVOT'!$A$1666:$A$1793, 0))</f>
        <v>0</v>
      </c>
      <c r="AI43" s="154">
        <f>INDEX('STOPE SUMMARY PIVOT'!$G1666:$G1793, MATCH(AI$1,'STOPE SUMMARY PIVOT'!$A$1666:$A$1793, 0))</f>
        <v>0</v>
      </c>
      <c r="AJ43" s="175">
        <f>INDEX('STOPE SUMMARY PIVOT'!$H$1666:$H$1793, MATCH(AI$1,'STOPE SUMMARY PIVOT'!$A$1666:$A$1793, 0))</f>
        <v>0</v>
      </c>
      <c r="AK43" s="154">
        <f>INDEX('STOPE SUMMARY PIVOT'!$G1666:$G1793, MATCH(AK$1,'STOPE SUMMARY PIVOT'!$A$1666:$A$1793, 0))</f>
        <v>0</v>
      </c>
      <c r="AL43" s="175">
        <f>INDEX('STOPE SUMMARY PIVOT'!$H$1666:$H$1793, MATCH(AK$1,'STOPE SUMMARY PIVOT'!$A$1666:$A$1793, 0))</f>
        <v>0</v>
      </c>
      <c r="AM43" s="154">
        <f>INDEX('STOPE SUMMARY PIVOT'!$G1666:$G1793, MATCH(AM$1,'STOPE SUMMARY PIVOT'!$A$1666:$A$1793, 0))</f>
        <v>0</v>
      </c>
      <c r="AN43" s="175">
        <f>INDEX('STOPE SUMMARY PIVOT'!$H$1666:$H$1793, MATCH(AM$1,'STOPE SUMMARY PIVOT'!$A$1666:$A$1793, 0))</f>
        <v>0</v>
      </c>
      <c r="AO43" s="154">
        <f>INDEX('STOPE SUMMARY PIVOT'!$G1666:$G1793, MATCH(AO$1,'STOPE SUMMARY PIVOT'!$A$1666:$A$1793, 0))</f>
        <v>0</v>
      </c>
      <c r="AP43" s="175">
        <f>INDEX('STOPE SUMMARY PIVOT'!$H$1666:$H$1793, MATCH(AO$1,'STOPE SUMMARY PIVOT'!$A$1666:$A$1793, 0))</f>
        <v>0</v>
      </c>
      <c r="AQ43" s="154">
        <f>INDEX('STOPE SUMMARY PIVOT'!$G1666:$G1793, MATCH(AQ$1,'STOPE SUMMARY PIVOT'!$A$1666:$A$1793, 0))</f>
        <v>0</v>
      </c>
      <c r="AR43" s="175">
        <f>INDEX('STOPE SUMMARY PIVOT'!$H$1666:$H$1793, MATCH(AQ$1,'STOPE SUMMARY PIVOT'!$A$1666:$A$1793, 0))</f>
        <v>0</v>
      </c>
      <c r="AS43" s="154">
        <f>INDEX('STOPE SUMMARY PIVOT'!$G1666:$G1793, MATCH(AS$1,'STOPE SUMMARY PIVOT'!$A$1666:$A$1793, 0))</f>
        <v>0</v>
      </c>
      <c r="AT43" s="175">
        <f>INDEX('STOPE SUMMARY PIVOT'!$H$1666:$H$1793, MATCH(AS$1,'STOPE SUMMARY PIVOT'!$A$1666:$A$1793, 0))</f>
        <v>0</v>
      </c>
      <c r="AU43" s="154">
        <f>INDEX('STOPE SUMMARY PIVOT'!$G1666:$G1793, MATCH(AU$1,'STOPE SUMMARY PIVOT'!$A$1666:$A$1793, 0))</f>
        <v>0</v>
      </c>
      <c r="AV43" s="175">
        <f>INDEX('STOPE SUMMARY PIVOT'!$H$1666:$H$1793, MATCH(AU$1,'STOPE SUMMARY PIVOT'!$A$1666:$A$1793, 0))</f>
        <v>0</v>
      </c>
      <c r="AW43" s="154">
        <f>INDEX('STOPE SUMMARY PIVOT'!$G1666:$G1793, MATCH(AW$1,'STOPE SUMMARY PIVOT'!$A$1666:$A$1793, 0))</f>
        <v>0</v>
      </c>
      <c r="AX43" s="175">
        <f>INDEX('STOPE SUMMARY PIVOT'!$H$1666:$H$1793, MATCH(AW$1,'STOPE SUMMARY PIVOT'!$A$1666:$A$1793, 0))</f>
        <v>0</v>
      </c>
      <c r="AY43" s="154">
        <f>INDEX('STOPE SUMMARY PIVOT'!$G1666:$G1793, MATCH(AY$1,'STOPE SUMMARY PIVOT'!$A$1666:$A$1793, 0))</f>
        <v>0</v>
      </c>
      <c r="AZ43" s="175">
        <f>INDEX('STOPE SUMMARY PIVOT'!$H$1666:$H$1793, MATCH(AY$1,'STOPE SUMMARY PIVOT'!$A$1666:$A$1793, 0))</f>
        <v>0</v>
      </c>
      <c r="BA43" s="154">
        <f>INDEX('STOPE SUMMARY PIVOT'!$G1666:$G1793, MATCH(BA$1,'STOPE SUMMARY PIVOT'!$A$1666:$A$1793, 0))</f>
        <v>0</v>
      </c>
      <c r="BB43" s="175">
        <f>INDEX('STOPE SUMMARY PIVOT'!$H$1666:$H$1793, MATCH(BA$1,'STOPE SUMMARY PIVOT'!$A$1666:$A$1793, 0))</f>
        <v>0</v>
      </c>
      <c r="BC43" s="154">
        <f>INDEX('STOPE SUMMARY PIVOT'!$G1666:$G1793, MATCH(BC$1,'STOPE SUMMARY PIVOT'!$A$1666:$A$1793, 0))</f>
        <v>0</v>
      </c>
      <c r="BD43" s="175">
        <f>INDEX('STOPE SUMMARY PIVOT'!$H$1666:$H$1793, MATCH(BC$1,'STOPE SUMMARY PIVOT'!$A$1666:$A$1793, 0))</f>
        <v>0</v>
      </c>
      <c r="BE43" s="154">
        <f>INDEX('STOPE SUMMARY PIVOT'!$G1666:$G1793, MATCH(BE$1,'STOPE SUMMARY PIVOT'!$A$1666:$A$1793, 0))</f>
        <v>0</v>
      </c>
      <c r="BF43" s="175">
        <f>INDEX('STOPE SUMMARY PIVOT'!$H$1666:$H$1793, MATCH(BE$1,'STOPE SUMMARY PIVOT'!$A$1666:$A$1793, 0))</f>
        <v>0</v>
      </c>
      <c r="BG43" s="154">
        <f>INDEX('STOPE SUMMARY PIVOT'!$G1666:$G1793, MATCH(BG$1,'STOPE SUMMARY PIVOT'!$A$1666:$A$1793, 0))</f>
        <v>0</v>
      </c>
      <c r="BH43" s="175">
        <f>INDEX('STOPE SUMMARY PIVOT'!$H$1666:$H$1793, MATCH(BG$1,'STOPE SUMMARY PIVOT'!$A$1666:$A$1793, 0))</f>
        <v>0</v>
      </c>
      <c r="BI43" s="154">
        <f>INDEX('STOPE SUMMARY PIVOT'!$G1666:$G1793, MATCH(BI$1,'STOPE SUMMARY PIVOT'!$A$1666:$A$1793, 0))</f>
        <v>0</v>
      </c>
      <c r="BJ43" s="175">
        <f>INDEX('STOPE SUMMARY PIVOT'!$H$1666:$H$1793, MATCH(BI$1,'STOPE SUMMARY PIVOT'!$A$1666:$A$1793, 0))</f>
        <v>0</v>
      </c>
      <c r="BK43" s="154">
        <f>INDEX('STOPE SUMMARY PIVOT'!$G1666:$G1793, MATCH(BK$1,'STOPE SUMMARY PIVOT'!$A$1666:$A$1793, 0))</f>
        <v>0</v>
      </c>
      <c r="BL43" s="175">
        <f>INDEX('STOPE SUMMARY PIVOT'!$H$1666:$H$1793, MATCH(BK$1,'STOPE SUMMARY PIVOT'!$A$1666:$A$1793, 0))</f>
        <v>0</v>
      </c>
      <c r="BM43" s="154">
        <f>INDEX('STOPE SUMMARY PIVOT'!$G1666:$G1793, MATCH(BM$1,'STOPE SUMMARY PIVOT'!$A$1666:$A$1793, 0))</f>
        <v>0</v>
      </c>
      <c r="BN43" s="175">
        <f>INDEX('STOPE SUMMARY PIVOT'!$H$1666:$H$1793, MATCH(BM$1,'STOPE SUMMARY PIVOT'!$A$1666:$A$1793, 0))</f>
        <v>0</v>
      </c>
      <c r="BO43" s="154">
        <f>INDEX('STOPE SUMMARY PIVOT'!$G1666:$G1793, MATCH(BO$1,'STOPE SUMMARY PIVOT'!$A$1666:$A$1793, 0))</f>
        <v>0</v>
      </c>
      <c r="BP43" s="175">
        <f>INDEX('STOPE SUMMARY PIVOT'!$H$1666:$H$1793, MATCH(BO$1,'STOPE SUMMARY PIVOT'!$A$1666:$A$1793, 0))</f>
        <v>0</v>
      </c>
      <c r="BQ43" s="154">
        <f>INDEX('STOPE SUMMARY PIVOT'!$G1666:$G1793, MATCH(BQ$1,'STOPE SUMMARY PIVOT'!$A$1666:$A$1793, 0))</f>
        <v>0</v>
      </c>
      <c r="BR43" s="175">
        <f>INDEX('STOPE SUMMARY PIVOT'!$H$1666:$H$1793, MATCH(BQ$1,'STOPE SUMMARY PIVOT'!$A$1666:$A$1793, 0))</f>
        <v>0</v>
      </c>
      <c r="BS43" s="154">
        <f>INDEX('STOPE SUMMARY PIVOT'!$G1666:$G1793, MATCH(BS$1,'STOPE SUMMARY PIVOT'!$A$1666:$A$1793, 0))</f>
        <v>0</v>
      </c>
      <c r="BT43" s="175">
        <f>INDEX('STOPE SUMMARY PIVOT'!$H$1666:$H$1793, MATCH(BS$1,'STOPE SUMMARY PIVOT'!$A$1666:$A$1793, 0))</f>
        <v>0</v>
      </c>
      <c r="BU43" s="154">
        <f>INDEX('STOPE SUMMARY PIVOT'!$G1666:$G1793, MATCH(BU$1,'STOPE SUMMARY PIVOT'!$A$1666:$A$1793, 0))</f>
        <v>0</v>
      </c>
      <c r="BV43" s="175">
        <f>INDEX('STOPE SUMMARY PIVOT'!$H$1666:$H$1793, MATCH(BU$1,'STOPE SUMMARY PIVOT'!$A$1666:$A$1793, 0))</f>
        <v>0</v>
      </c>
      <c r="BW43" s="154">
        <f>INDEX('STOPE SUMMARY PIVOT'!$G1666:$G1793, MATCH(BW$1,'STOPE SUMMARY PIVOT'!$A$1666:$A$1793, 0))</f>
        <v>0</v>
      </c>
      <c r="BX43" s="175">
        <f>INDEX('STOPE SUMMARY PIVOT'!$H$1666:$H$1793, MATCH(BW$1,'STOPE SUMMARY PIVOT'!$A$1666:$A$1793, 0))</f>
        <v>0</v>
      </c>
      <c r="BY43" s="154">
        <f>INDEX('STOPE SUMMARY PIVOT'!$G1666:$G1793, MATCH(BY$1,'STOPE SUMMARY PIVOT'!$A$1666:$A$1793, 0))</f>
        <v>0</v>
      </c>
      <c r="BZ43" s="175">
        <f>INDEX('STOPE SUMMARY PIVOT'!$H$1666:$H$1793, MATCH(BY$1,'STOPE SUMMARY PIVOT'!$A$1666:$A$1793, 0))</f>
        <v>0</v>
      </c>
      <c r="CA43" s="154">
        <f>INDEX('STOPE SUMMARY PIVOT'!$G1666:$G1793, MATCH(CA$1,'STOPE SUMMARY PIVOT'!$A$1666:$A$1793, 0))</f>
        <v>0</v>
      </c>
      <c r="CB43" s="175">
        <f>INDEX('STOPE SUMMARY PIVOT'!$H$1666:$H$1793, MATCH(CA$1,'STOPE SUMMARY PIVOT'!$A$1666:$A$1793, 0))</f>
        <v>0</v>
      </c>
      <c r="CC43" s="154">
        <f>INDEX('STOPE SUMMARY PIVOT'!$G1666:$G1793, MATCH(CC$1,'STOPE SUMMARY PIVOT'!$A$1666:$A$1793, 0))</f>
        <v>0</v>
      </c>
      <c r="CD43" s="175">
        <f>INDEX('STOPE SUMMARY PIVOT'!$H$1666:$H$1793, MATCH(CC$1,'STOPE SUMMARY PIVOT'!$A$1666:$A$1793, 0))</f>
        <v>0</v>
      </c>
      <c r="CE43" s="154">
        <f>INDEX('STOPE SUMMARY PIVOT'!$G1666:$G1793, MATCH(CE$1,'STOPE SUMMARY PIVOT'!$A$1666:$A$1793, 0))</f>
        <v>0</v>
      </c>
      <c r="CF43" s="175">
        <f>INDEX('STOPE SUMMARY PIVOT'!$H$1666:$H$1793, MATCH(CE$1,'STOPE SUMMARY PIVOT'!$A$1666:$A$1793, 0))</f>
        <v>0</v>
      </c>
      <c r="CG43" s="154">
        <f>INDEX('STOPE SUMMARY PIVOT'!$G1666:$G1793, MATCH(CG$1,'STOPE SUMMARY PIVOT'!$A$1666:$A$1793, 0))</f>
        <v>0</v>
      </c>
      <c r="CH43" s="175">
        <f>INDEX('STOPE SUMMARY PIVOT'!$H$1666:$H$1793, MATCH(CG$1,'STOPE SUMMARY PIVOT'!$A$1666:$A$1793, 0))</f>
        <v>0</v>
      </c>
      <c r="CI43" s="154">
        <f>INDEX('STOPE SUMMARY PIVOT'!$G1666:$G1793, MATCH(CI$1,'STOPE SUMMARY PIVOT'!$A$1666:$A$1793, 0))</f>
        <v>0</v>
      </c>
      <c r="CJ43" s="175">
        <f>INDEX('STOPE SUMMARY PIVOT'!$H$1666:$H$1793, MATCH(CI$1,'STOPE SUMMARY PIVOT'!$A$1666:$A$1793, 0))</f>
        <v>0</v>
      </c>
      <c r="CK43" s="154">
        <f>INDEX('STOPE SUMMARY PIVOT'!$G1666:$G1793, MATCH(CK$1,'STOPE SUMMARY PIVOT'!$A$1666:$A$1793, 0))</f>
        <v>0</v>
      </c>
      <c r="CL43" s="175">
        <f>INDEX('STOPE SUMMARY PIVOT'!$H$1666:$H$1793, MATCH(CK$1,'STOPE SUMMARY PIVOT'!$A$1666:$A$1793, 0))</f>
        <v>0</v>
      </c>
      <c r="CM43" s="154">
        <f>INDEX('STOPE SUMMARY PIVOT'!$G1666:$G1793, MATCH(CM$1,'STOPE SUMMARY PIVOT'!$A$1666:$A$1793, 0))</f>
        <v>0</v>
      </c>
      <c r="CN43" s="175">
        <f>INDEX('STOPE SUMMARY PIVOT'!$H$1666:$H$1793, MATCH(CM$1,'STOPE SUMMARY PIVOT'!$A$1666:$A$1793, 0))</f>
        <v>0</v>
      </c>
      <c r="CO43" s="154">
        <f>INDEX('STOPE SUMMARY PIVOT'!$G1666:$G1793, MATCH(CO$1,'STOPE SUMMARY PIVOT'!$A$1666:$A$1793, 0))</f>
        <v>0</v>
      </c>
      <c r="CP43" s="175">
        <f>INDEX('STOPE SUMMARY PIVOT'!$H$1666:$H$1793, MATCH(CO$1,'STOPE SUMMARY PIVOT'!$A$1666:$A$1793, 0))</f>
        <v>0</v>
      </c>
      <c r="CQ43" s="154">
        <f>INDEX('STOPE SUMMARY PIVOT'!$G1666:$G1793, MATCH(CQ$1,'STOPE SUMMARY PIVOT'!$A$1666:$A$1793, 0))</f>
        <v>2940</v>
      </c>
      <c r="CR43" s="175">
        <f>INDEX('STOPE SUMMARY PIVOT'!$H$1666:$H$1793, MATCH(CQ$1,'STOPE SUMMARY PIVOT'!$A$1666:$A$1793, 0))</f>
        <v>3.54</v>
      </c>
      <c r="CS43" s="154">
        <f>INDEX('STOPE SUMMARY PIVOT'!$G1666:$G1793, MATCH(CS$1,'STOPE SUMMARY PIVOT'!$A$1666:$A$1793, 0))</f>
        <v>0</v>
      </c>
      <c r="CT43" s="175">
        <f>INDEX('STOPE SUMMARY PIVOT'!$H$1666:$H$1793, MATCH(CS$1,'STOPE SUMMARY PIVOT'!$A$1666:$A$1793, 0))</f>
        <v>0</v>
      </c>
      <c r="CU43" s="154">
        <f>INDEX('STOPE SUMMARY PIVOT'!$G1666:$G1793, MATCH(CU$1,'STOPE SUMMARY PIVOT'!$A$1666:$A$1793, 0))</f>
        <v>0</v>
      </c>
      <c r="CV43" s="175">
        <f>INDEX('STOPE SUMMARY PIVOT'!$H$1666:$H$1793, MATCH(CU$1,'STOPE SUMMARY PIVOT'!$A$1666:$A$1793, 0))</f>
        <v>0</v>
      </c>
      <c r="CW43" s="154">
        <f>INDEX('STOPE SUMMARY PIVOT'!$G1666:$G1793, MATCH(CW$1,'STOPE SUMMARY PIVOT'!$A$1666:$A$1793, 0))</f>
        <v>0</v>
      </c>
      <c r="CX43" s="175">
        <f>INDEX('STOPE SUMMARY PIVOT'!$H$1666:$H$1793, MATCH(CW$1,'STOPE SUMMARY PIVOT'!$A$1666:$A$1793, 0))</f>
        <v>0</v>
      </c>
      <c r="CY43" s="154">
        <f>INDEX('STOPE SUMMARY PIVOT'!$G1666:$G1793, MATCH(CY$1,'STOPE SUMMARY PIVOT'!$A$1666:$A$1793, 0))</f>
        <v>1960</v>
      </c>
      <c r="CZ43" s="175">
        <f>INDEX('STOPE SUMMARY PIVOT'!$H$1666:$H$1793, MATCH(CY$1,'STOPE SUMMARY PIVOT'!$A$1666:$A$1793, 0))</f>
        <v>1.31</v>
      </c>
      <c r="DA43" s="154">
        <f>INDEX('STOPE SUMMARY PIVOT'!$G1666:$G1793, MATCH(DA$1,'STOPE SUMMARY PIVOT'!$A$1666:$A$1793, 0))</f>
        <v>0</v>
      </c>
      <c r="DB43" s="175">
        <f>INDEX('STOPE SUMMARY PIVOT'!$H$1666:$H$1793, MATCH(DA$1,'STOPE SUMMARY PIVOT'!$A$1666:$A$1793, 0))</f>
        <v>0</v>
      </c>
      <c r="DC43" s="154">
        <f>INDEX('STOPE SUMMARY PIVOT'!$G1666:$G1793, MATCH(DC$1,'STOPE SUMMARY PIVOT'!$A$1666:$A$1793, 0))</f>
        <v>0</v>
      </c>
      <c r="DD43" s="175">
        <f>INDEX('STOPE SUMMARY PIVOT'!$H$1666:$H$1793, MATCH(DC$1,'STOPE SUMMARY PIVOT'!$A$1666:$A$1793, 0))</f>
        <v>0</v>
      </c>
      <c r="DE43" s="154">
        <f>INDEX('STOPE SUMMARY PIVOT'!$G1666:$G1793, MATCH(DE$1,'STOPE SUMMARY PIVOT'!$A$1666:$A$1793, 0))</f>
        <v>0</v>
      </c>
      <c r="DF43" s="175">
        <f>INDEX('STOPE SUMMARY PIVOT'!$H$1666:$H$1793, MATCH(DE$1,'STOPE SUMMARY PIVOT'!$A$1666:$A$1793, 0))</f>
        <v>0</v>
      </c>
      <c r="DG43" s="154">
        <f>INDEX('STOPE SUMMARY PIVOT'!$G1666:$G1793, MATCH(DG$1,'STOPE SUMMARY PIVOT'!$A$1666:$A$1793, 0))</f>
        <v>0</v>
      </c>
      <c r="DH43" s="175">
        <f>INDEX('STOPE SUMMARY PIVOT'!$H$1666:$H$1793, MATCH(DG$1,'STOPE SUMMARY PIVOT'!$A$1666:$A$1793, 0))</f>
        <v>0</v>
      </c>
      <c r="DI43" s="154">
        <f>INDEX('STOPE SUMMARY PIVOT'!$G1666:$G1793, MATCH(DI$1,'STOPE SUMMARY PIVOT'!$A$1666:$A$1793, 0))</f>
        <v>0</v>
      </c>
      <c r="DJ43" s="175">
        <f>INDEX('STOPE SUMMARY PIVOT'!$H$1666:$H$1793, MATCH(DI$1,'STOPE SUMMARY PIVOT'!$A$1666:$A$1793, 0))</f>
        <v>0</v>
      </c>
      <c r="DK43" s="154">
        <f>INDEX('STOPE SUMMARY PIVOT'!$G1666:$G1793, MATCH(DK$1,'STOPE SUMMARY PIVOT'!$A$1666:$A$1793, 0))</f>
        <v>0</v>
      </c>
      <c r="DL43" s="175">
        <f>INDEX('STOPE SUMMARY PIVOT'!$H$1666:$H$1793, MATCH(DK$1,'STOPE SUMMARY PIVOT'!$A$1666:$A$1793, 0))</f>
        <v>0</v>
      </c>
      <c r="DM43" s="154">
        <f>INDEX('STOPE SUMMARY PIVOT'!$G1666:$G1793, MATCH(DM$1,'STOPE SUMMARY PIVOT'!$A$1666:$A$1793, 0))</f>
        <v>0</v>
      </c>
      <c r="DN43" s="175">
        <f>INDEX('STOPE SUMMARY PIVOT'!$H$1666:$H$1793, MATCH(DM$1,'STOPE SUMMARY PIVOT'!$A$1666:$A$1793, 0))</f>
        <v>0</v>
      </c>
      <c r="DO43" s="154">
        <f>INDEX('STOPE SUMMARY PIVOT'!$G1666:$G1793, MATCH(DO$1,'STOPE SUMMARY PIVOT'!$A$1666:$A$1793, 0))</f>
        <v>1960</v>
      </c>
      <c r="DP43" s="175">
        <f>INDEX('STOPE SUMMARY PIVOT'!$H$1666:$H$1793, MATCH(DO$1,'STOPE SUMMARY PIVOT'!$A$1666:$A$1793, 0))</f>
        <v>1.6900000000000008</v>
      </c>
      <c r="DQ43" s="154">
        <f>INDEX('STOPE SUMMARY PIVOT'!$G1666:$G1793, MATCH(DQ$1,'STOPE SUMMARY PIVOT'!$A$1666:$A$1793, 0))</f>
        <v>0</v>
      </c>
      <c r="DR43" s="175">
        <f>INDEX('STOPE SUMMARY PIVOT'!$H$1666:$H$1793, MATCH(DQ$1,'STOPE SUMMARY PIVOT'!$A$1666:$A$1793, 0))</f>
        <v>0</v>
      </c>
      <c r="DS43" s="154">
        <f>INDEX('STOPE SUMMARY PIVOT'!$G1666:$G1793, MATCH(DS$1,'STOPE SUMMARY PIVOT'!$A$1666:$A$1793, 0))</f>
        <v>3920</v>
      </c>
      <c r="DT43" s="175">
        <f>INDEX('STOPE SUMMARY PIVOT'!$H$1666:$H$1793, MATCH(DS$1,'STOPE SUMMARY PIVOT'!$A$1666:$A$1793, 0))</f>
        <v>2.8699999999999997</v>
      </c>
      <c r="DU43" s="154">
        <f>INDEX('STOPE SUMMARY PIVOT'!$G1666:$G1793, MATCH(DU$1,'STOPE SUMMARY PIVOT'!$A$1666:$A$1793, 0))</f>
        <v>0</v>
      </c>
      <c r="DV43" s="175">
        <f>INDEX('STOPE SUMMARY PIVOT'!$H$1666:$H$1793, MATCH(DU$1,'STOPE SUMMARY PIVOT'!$A$1666:$A$1793, 0))</f>
        <v>0</v>
      </c>
      <c r="DW43" s="154">
        <f>INDEX('STOPE SUMMARY PIVOT'!$G1666:$G1793, MATCH(DW$1,'STOPE SUMMARY PIVOT'!$A$1666:$A$1793, 0))</f>
        <v>0</v>
      </c>
      <c r="DX43" s="175">
        <f>INDEX('STOPE SUMMARY PIVOT'!$H$1666:$H$1793, MATCH(DW$1,'STOPE SUMMARY PIVOT'!$A$1666:$A$1793, 0))</f>
        <v>0</v>
      </c>
      <c r="DY43" s="154">
        <f>INDEX('STOPE SUMMARY PIVOT'!$G1666:$G1793, MATCH(DY$1,'STOPE SUMMARY PIVOT'!$A$1666:$A$1793, 0))</f>
        <v>0</v>
      </c>
      <c r="DZ43" s="175">
        <f>INDEX('STOPE SUMMARY PIVOT'!$H$1666:$H$1793, MATCH(DY$1,'STOPE SUMMARY PIVOT'!$A$1666:$A$1793, 0))</f>
        <v>0</v>
      </c>
      <c r="EA43" s="154">
        <f>INDEX('STOPE SUMMARY PIVOT'!$G1666:$G1793, MATCH(EA$1,'STOPE SUMMARY PIVOT'!$A$1666:$A$1793, 0))</f>
        <v>0</v>
      </c>
      <c r="EB43" s="175">
        <f>INDEX('STOPE SUMMARY PIVOT'!$H$1666:$H$1793, MATCH(EA$1,'STOPE SUMMARY PIVOT'!$A$1666:$A$1793, 0))</f>
        <v>0</v>
      </c>
      <c r="EC43" s="154">
        <f>INDEX('STOPE SUMMARY PIVOT'!$G1666:$G1793, MATCH(EC$1,'STOPE SUMMARY PIVOT'!$A$1666:$A$1793, 0))</f>
        <v>0</v>
      </c>
      <c r="ED43" s="175">
        <f>INDEX('STOPE SUMMARY PIVOT'!$H$1666:$H$1793, MATCH(EC$1,'STOPE SUMMARY PIVOT'!$A$1666:$A$1793, 0))</f>
        <v>0</v>
      </c>
      <c r="EE43" s="154">
        <f>INDEX('STOPE SUMMARY PIVOT'!$G1666:$G1793, MATCH(EE$1,'STOPE SUMMARY PIVOT'!$A$1666:$A$1793, 0))</f>
        <v>0</v>
      </c>
      <c r="EF43" s="175">
        <f>INDEX('STOPE SUMMARY PIVOT'!$H$1666:$H$1793, MATCH(EE$1,'STOPE SUMMARY PIVOT'!$A$1666:$A$1793, 0))</f>
        <v>0</v>
      </c>
      <c r="EG43" s="154">
        <f>INDEX('STOPE SUMMARY PIVOT'!$G1666:$G1793, MATCH(EG$1,'STOPE SUMMARY PIVOT'!$A$1666:$A$1793, 0))</f>
        <v>0</v>
      </c>
      <c r="EH43" s="175">
        <f>INDEX('STOPE SUMMARY PIVOT'!$H$1666:$H$1793, MATCH(EG$1,'STOPE SUMMARY PIVOT'!$A$1666:$A$1793, 0))</f>
        <v>0</v>
      </c>
      <c r="EI43" s="154">
        <f>INDEX('STOPE SUMMARY PIVOT'!$G1666:$G1793, MATCH(EI$1,'STOPE SUMMARY PIVOT'!$A$1666:$A$1793, 0))</f>
        <v>0</v>
      </c>
      <c r="EJ43" s="175">
        <f>INDEX('STOPE SUMMARY PIVOT'!$H$1666:$H$1793, MATCH(EI$1,'STOPE SUMMARY PIVOT'!$A$1666:$A$1793, 0))</f>
        <v>0</v>
      </c>
      <c r="EK43" s="154">
        <f>INDEX('STOPE SUMMARY PIVOT'!$G1666:$G1793, MATCH(EK$1,'STOPE SUMMARY PIVOT'!$A$1666:$A$1793, 0))</f>
        <v>0</v>
      </c>
      <c r="EL43" s="175">
        <f>INDEX('STOPE SUMMARY PIVOT'!$H$1666:$H$1793, MATCH(EK$1,'STOPE SUMMARY PIVOT'!$A$1666:$A$1793, 0))</f>
        <v>0</v>
      </c>
      <c r="EM43" s="154">
        <f>INDEX('STOPE SUMMARY PIVOT'!$G1666:$G1793, MATCH(EM$1,'STOPE SUMMARY PIVOT'!$A$1666:$A$1793, 0))</f>
        <v>0</v>
      </c>
      <c r="EN43" s="175">
        <f>INDEX('STOPE SUMMARY PIVOT'!$H$1666:$H$1793, MATCH(EM$1,'STOPE SUMMARY PIVOT'!$A$1666:$A$1793, 0))</f>
        <v>0</v>
      </c>
      <c r="EO43" s="154">
        <f>INDEX('STOPE SUMMARY PIVOT'!$G1666:$G1793, MATCH(EO$1,'STOPE SUMMARY PIVOT'!$A$1666:$A$1793, 0))</f>
        <v>2940</v>
      </c>
      <c r="EP43" s="175">
        <f>INDEX('STOPE SUMMARY PIVOT'!$H$1666:$H$1793, MATCH(EO$1,'STOPE SUMMARY PIVOT'!$A$1666:$A$1793, 0))</f>
        <v>3.2299999999999982</v>
      </c>
      <c r="EQ43" s="154">
        <f>INDEX('STOPE SUMMARY PIVOT'!$G1666:$G1793, MATCH(EQ$1,'STOPE SUMMARY PIVOT'!$A$1666:$A$1793, 0))</f>
        <v>0</v>
      </c>
      <c r="ER43" s="175">
        <f>INDEX('STOPE SUMMARY PIVOT'!$H$1666:$H$1793, MATCH(EQ$1,'STOPE SUMMARY PIVOT'!$A$1666:$A$1793, 0))</f>
        <v>0</v>
      </c>
      <c r="ES43" s="154">
        <f>INDEX('STOPE SUMMARY PIVOT'!$G1666:$G1793, MATCH(ES$1,'STOPE SUMMARY PIVOT'!$A$1666:$A$1793, 0))</f>
        <v>0</v>
      </c>
      <c r="ET43" s="175">
        <f>INDEX('STOPE SUMMARY PIVOT'!$H$1666:$H$1793, MATCH(ES$1,'STOPE SUMMARY PIVOT'!$A$1666:$A$1793, 0))</f>
        <v>0</v>
      </c>
      <c r="EU43" s="154">
        <f>INDEX('STOPE SUMMARY PIVOT'!$G1666:$G1793, MATCH(EU$1,'STOPE SUMMARY PIVOT'!$A$1666:$A$1793, 0))</f>
        <v>0</v>
      </c>
      <c r="EV43" s="175">
        <f>INDEX('STOPE SUMMARY PIVOT'!$H$1666:$H$1793, MATCH(EU$1,'STOPE SUMMARY PIVOT'!$A$1666:$A$1793, 0))</f>
        <v>0</v>
      </c>
      <c r="EW43" s="154">
        <f>INDEX('STOPE SUMMARY PIVOT'!$G1666:$G1793, MATCH(EW$1,'STOPE SUMMARY PIVOT'!$A$1666:$A$1793, 0))</f>
        <v>0</v>
      </c>
      <c r="EX43" s="175">
        <f>INDEX('STOPE SUMMARY PIVOT'!$H$1666:$H$1793, MATCH(EW$1,'STOPE SUMMARY PIVOT'!$A$1666:$A$1793, 0))</f>
        <v>0</v>
      </c>
      <c r="EY43" s="154">
        <f>INDEX('STOPE SUMMARY PIVOT'!$G1666:$G1793, MATCH(EY$1,'STOPE SUMMARY PIVOT'!$A$1666:$A$1793, 0))</f>
        <v>0</v>
      </c>
      <c r="EZ43" s="175">
        <f>INDEX('STOPE SUMMARY PIVOT'!$H$1666:$H$1793, MATCH(EY$1,'STOPE SUMMARY PIVOT'!$A$1666:$A$1793, 0))</f>
        <v>0</v>
      </c>
      <c r="FA43" s="154">
        <f>INDEX('STOPE SUMMARY PIVOT'!$G1666:$G1793, MATCH(FA$1,'STOPE SUMMARY PIVOT'!$A$1666:$A$1793, 0))</f>
        <v>980</v>
      </c>
      <c r="FB43" s="175">
        <f>INDEX('STOPE SUMMARY PIVOT'!$H$1666:$H$1793, MATCH(FA$1,'STOPE SUMMARY PIVOT'!$A$1666:$A$1793, 0))</f>
        <v>2.9099999999999988</v>
      </c>
      <c r="FC43" s="154">
        <f>INDEX('STOPE SUMMARY PIVOT'!$G1666:$G1793, MATCH(FC$1,'STOPE SUMMARY PIVOT'!$A$1666:$A$1793, 0))</f>
        <v>1960</v>
      </c>
      <c r="FD43" s="175">
        <f>INDEX('STOPE SUMMARY PIVOT'!$H$1666:$H$1793, MATCH(FC$1,'STOPE SUMMARY PIVOT'!$A$1666:$A$1793, 0))</f>
        <v>2.6</v>
      </c>
      <c r="FE43" s="154">
        <f>INDEX('STOPE SUMMARY PIVOT'!$G1666:$G1793, MATCH(FE$1,'STOPE SUMMARY PIVOT'!$A$1666:$A$1793, 0))</f>
        <v>2940</v>
      </c>
      <c r="FF43" s="175">
        <f>INDEX('STOPE SUMMARY PIVOT'!$H$1666:$H$1793, MATCH(FE$1,'STOPE SUMMARY PIVOT'!$A$1666:$A$1793, 0))</f>
        <v>2.5299999999999989</v>
      </c>
      <c r="FG43" s="154">
        <f>INDEX('STOPE SUMMARY PIVOT'!$G1666:$G1793, MATCH(FG$1,'STOPE SUMMARY PIVOT'!$A$1666:$A$1793, 0))</f>
        <v>980</v>
      </c>
      <c r="FH43" s="175">
        <f>INDEX('STOPE SUMMARY PIVOT'!$H$1666:$H$1793, MATCH(FG$1,'STOPE SUMMARY PIVOT'!$A$1666:$A$1793, 0))</f>
        <v>2.75</v>
      </c>
      <c r="FI43" s="154">
        <f>INDEX('STOPE SUMMARY PIVOT'!$G1666:$G1793, MATCH(FI$1,'STOPE SUMMARY PIVOT'!$A$1666:$A$1793, 0))</f>
        <v>0</v>
      </c>
      <c r="FJ43" s="175">
        <f>INDEX('STOPE SUMMARY PIVOT'!$H$1666:$H$1793, MATCH(FI$1,'STOPE SUMMARY PIVOT'!$A$1666:$A$1793, 0))</f>
        <v>0</v>
      </c>
      <c r="FK43" s="154">
        <f>INDEX('STOPE SUMMARY PIVOT'!$G1666:$G1793, MATCH(FK$1,'STOPE SUMMARY PIVOT'!$A$1666:$A$1793, 0))</f>
        <v>1960</v>
      </c>
      <c r="FL43" s="175">
        <f>INDEX('STOPE SUMMARY PIVOT'!$H$1666:$H$1793, MATCH(FK$1,'STOPE SUMMARY PIVOT'!$A$1666:$A$1793, 0))</f>
        <v>2.75</v>
      </c>
      <c r="FM43" s="154">
        <f>INDEX('STOPE SUMMARY PIVOT'!$G1666:$G1793, MATCH(FM$1,'STOPE SUMMARY PIVOT'!$A$1666:$A$1793, 0))</f>
        <v>0</v>
      </c>
      <c r="FN43" s="175">
        <f>INDEX('STOPE SUMMARY PIVOT'!$H$1666:$H$1793, MATCH(FM$1,'STOPE SUMMARY PIVOT'!$A$1666:$A$1793, 0))</f>
        <v>0</v>
      </c>
      <c r="FO43" s="154">
        <f>INDEX('STOPE SUMMARY PIVOT'!$G1666:$G1793, MATCH(FO$1,'STOPE SUMMARY PIVOT'!$A$1666:$A$1793, 0))</f>
        <v>0</v>
      </c>
      <c r="FP43" s="175">
        <f>INDEX('STOPE SUMMARY PIVOT'!$H$1666:$H$1793, MATCH(FO$1,'STOPE SUMMARY PIVOT'!$A$1666:$A$1793, 0))</f>
        <v>0</v>
      </c>
      <c r="FQ43" s="154">
        <f>INDEX('STOPE SUMMARY PIVOT'!$G1666:$G1793, MATCH(FQ$1,'STOPE SUMMARY PIVOT'!$A$1666:$A$1793, 0))</f>
        <v>0</v>
      </c>
      <c r="FR43" s="175">
        <f>INDEX('STOPE SUMMARY PIVOT'!$H$1666:$H$1793, MATCH(FQ$1,'STOPE SUMMARY PIVOT'!$A$1666:$A$1793, 0))</f>
        <v>0</v>
      </c>
      <c r="FS43" s="154">
        <f>INDEX('STOPE SUMMARY PIVOT'!$G1666:$G1793, MATCH(FS$1,'STOPE SUMMARY PIVOT'!$A$1666:$A$1793, 0))</f>
        <v>0</v>
      </c>
      <c r="FT43" s="175">
        <f>INDEX('STOPE SUMMARY PIVOT'!$H$1666:$H$1793, MATCH(FS$1,'STOPE SUMMARY PIVOT'!$A$1666:$A$1793, 0))</f>
        <v>0</v>
      </c>
      <c r="FU43" s="154">
        <f>INDEX('STOPE SUMMARY PIVOT'!$G1666:$G1793, MATCH(FU$1,'STOPE SUMMARY PIVOT'!$A$1666:$A$1793, 0))</f>
        <v>0</v>
      </c>
      <c r="FV43" s="175">
        <f>INDEX('STOPE SUMMARY PIVOT'!$H$1666:$H$1793, MATCH(FU$1,'STOPE SUMMARY PIVOT'!$A$1666:$A$1793, 0))</f>
        <v>0</v>
      </c>
      <c r="FW43" s="154">
        <f>INDEX('STOPE SUMMARY PIVOT'!$G1666:$G1793, MATCH(FW$1,'STOPE SUMMARY PIVOT'!$A$1666:$A$1793, 0))</f>
        <v>0</v>
      </c>
      <c r="FX43" s="175">
        <f>INDEX('STOPE SUMMARY PIVOT'!$H$1666:$H$1793, MATCH(FW$1,'STOPE SUMMARY PIVOT'!$A$1666:$A$1793, 0))</f>
        <v>0</v>
      </c>
      <c r="FY43" s="154">
        <f>INDEX('STOPE SUMMARY PIVOT'!$G1666:$G1793, MATCH(FY$1,'STOPE SUMMARY PIVOT'!$A$1666:$A$1793, 0))</f>
        <v>0</v>
      </c>
      <c r="FZ43" s="175">
        <f>INDEX('STOPE SUMMARY PIVOT'!$H$1666:$H$1793, MATCH(FY$1,'STOPE SUMMARY PIVOT'!$A$1666:$A$1793, 0))</f>
        <v>0</v>
      </c>
      <c r="GA43" s="154">
        <f>INDEX('STOPE SUMMARY PIVOT'!$G1666:$G1793, MATCH(GA$1,'STOPE SUMMARY PIVOT'!$A$1666:$A$1793, 0))</f>
        <v>0</v>
      </c>
      <c r="GB43" s="175">
        <f>INDEX('STOPE SUMMARY PIVOT'!$H$1666:$H$1793, MATCH(GA$1,'STOPE SUMMARY PIVOT'!$A$1666:$A$1793, 0))</f>
        <v>0</v>
      </c>
      <c r="GC43" s="154">
        <f>INDEX('STOPE SUMMARY PIVOT'!$G1666:$G1793, MATCH(GC$1,'STOPE SUMMARY PIVOT'!$A$1666:$A$1793, 0))</f>
        <v>0</v>
      </c>
      <c r="GD43" s="175">
        <f>INDEX('STOPE SUMMARY PIVOT'!$H$1666:$H$1793, MATCH(GC$1,'STOPE SUMMARY PIVOT'!$A$1666:$A$1793, 0))</f>
        <v>0</v>
      </c>
      <c r="GE43" s="154">
        <f>INDEX('STOPE SUMMARY PIVOT'!$G1666:$G1793, MATCH(GE$1,'STOPE SUMMARY PIVOT'!$A$1666:$A$1793, 0))</f>
        <v>0</v>
      </c>
      <c r="GF43" s="175">
        <f>INDEX('STOPE SUMMARY PIVOT'!$H$1666:$H$1793, MATCH(GE$1,'STOPE SUMMARY PIVOT'!$A$1666:$A$1793, 0))</f>
        <v>0</v>
      </c>
      <c r="GG43" s="154">
        <f>INDEX('STOPE SUMMARY PIVOT'!$G1666:$G1793, MATCH(GG$1,'STOPE SUMMARY PIVOT'!$A$1666:$A$1793, 0))</f>
        <v>0</v>
      </c>
      <c r="GH43" s="175">
        <f>INDEX('STOPE SUMMARY PIVOT'!$H$1666:$H$1793, MATCH(GG$1,'STOPE SUMMARY PIVOT'!$A$1666:$A$1793, 0))</f>
        <v>0</v>
      </c>
      <c r="GI43" s="154">
        <f>INDEX('STOPE SUMMARY PIVOT'!$G1666:$G1793, MATCH(GI$1,'STOPE SUMMARY PIVOT'!$A$1666:$A$1793, 0))</f>
        <v>0</v>
      </c>
      <c r="GJ43" s="175">
        <f>INDEX('STOPE SUMMARY PIVOT'!$H$1666:$H$1793, MATCH(GI$1,'STOPE SUMMARY PIVOT'!$A$1666:$A$1793, 0))</f>
        <v>0</v>
      </c>
      <c r="GK43" s="154">
        <f>INDEX('STOPE SUMMARY PIVOT'!$G1666:$G1793, MATCH(GK$1,'STOPE SUMMARY PIVOT'!$A$1666:$A$1793, 0))</f>
        <v>0</v>
      </c>
      <c r="GL43" s="175">
        <f>INDEX('STOPE SUMMARY PIVOT'!$H$1666:$H$1793, MATCH(GK$1,'STOPE SUMMARY PIVOT'!$A$1666:$A$1793, 0))</f>
        <v>0</v>
      </c>
      <c r="GM43" s="154">
        <f>INDEX('STOPE SUMMARY PIVOT'!$G1666:$G1793, MATCH(GM$1,'STOPE SUMMARY PIVOT'!$A$1666:$A$1793, 0))</f>
        <v>0</v>
      </c>
      <c r="GN43" s="175">
        <f>INDEX('STOPE SUMMARY PIVOT'!$H$1666:$H$1793, MATCH(GM$1,'STOPE SUMMARY PIVOT'!$A$1666:$A$1793, 0))</f>
        <v>0</v>
      </c>
      <c r="GO43" s="154">
        <f>INDEX('STOPE SUMMARY PIVOT'!$G1666:$G1793, MATCH(GO$1,'STOPE SUMMARY PIVOT'!$A$1666:$A$1793, 0))</f>
        <v>0</v>
      </c>
      <c r="GP43" s="175">
        <f>INDEX('STOPE SUMMARY PIVOT'!$H$1666:$H$1793, MATCH(GO$1,'STOPE SUMMARY PIVOT'!$A$1666:$A$1793, 0))</f>
        <v>0</v>
      </c>
      <c r="GQ43" s="154">
        <f>INDEX('STOPE SUMMARY PIVOT'!$G1666:$G1793, MATCH(GQ$1,'STOPE SUMMARY PIVOT'!$A$1666:$A$1793, 0))</f>
        <v>0</v>
      </c>
      <c r="GR43" s="175">
        <f>INDEX('STOPE SUMMARY PIVOT'!$H$1666:$H$1793, MATCH(GQ$1,'STOPE SUMMARY PIVOT'!$A$1666:$A$1793, 0))</f>
        <v>0</v>
      </c>
      <c r="GS43" s="154">
        <f>INDEX('STOPE SUMMARY PIVOT'!$G1666:$G1793, MATCH(GS$1,'STOPE SUMMARY PIVOT'!$A$1666:$A$1793, 0))</f>
        <v>0</v>
      </c>
      <c r="GT43" s="175">
        <f>INDEX('STOPE SUMMARY PIVOT'!$H$1666:$H$1793, MATCH(GS$1,'STOPE SUMMARY PIVOT'!$A$1666:$A$1793, 0))</f>
        <v>0</v>
      </c>
      <c r="GU43" s="154">
        <f>INDEX('STOPE SUMMARY PIVOT'!$G1666:$G1793, MATCH(GU$1,'STOPE SUMMARY PIVOT'!$A$1666:$A$1793, 0))</f>
        <v>0</v>
      </c>
      <c r="GV43" s="175">
        <f>INDEX('STOPE SUMMARY PIVOT'!$H$1666:$H$1793, MATCH(GU$1,'STOPE SUMMARY PIVOT'!$A$1666:$A$1793, 0))</f>
        <v>0</v>
      </c>
      <c r="GW43" s="154">
        <f>INDEX('STOPE SUMMARY PIVOT'!$G1666:$G1793, MATCH(GW$1,'STOPE SUMMARY PIVOT'!$A$1666:$A$1793, 0))</f>
        <v>0</v>
      </c>
      <c r="GX43" s="175">
        <f>INDEX('STOPE SUMMARY PIVOT'!$H$1666:$H$1793, MATCH(GW$1,'STOPE SUMMARY PIVOT'!$A$1666:$A$1793, 0))</f>
        <v>0</v>
      </c>
      <c r="GY43" s="154">
        <f>INDEX('STOPE SUMMARY PIVOT'!$G1666:$G1793, MATCH(GY$1,'STOPE SUMMARY PIVOT'!$A$1666:$A$1793, 0))</f>
        <v>0</v>
      </c>
      <c r="GZ43" s="175">
        <f>INDEX('STOPE SUMMARY PIVOT'!$H$1666:$H$1793, MATCH(GY$1,'STOPE SUMMARY PIVOT'!$A$1666:$A$1793, 0))</f>
        <v>0</v>
      </c>
      <c r="HA43" s="154">
        <f>INDEX('STOPE SUMMARY PIVOT'!$G1666:$G1793, MATCH(HA$1,'STOPE SUMMARY PIVOT'!$A$1666:$A$1793, 0))</f>
        <v>0</v>
      </c>
      <c r="HB43" s="175">
        <f>INDEX('STOPE SUMMARY PIVOT'!$H$1666:$H$1793, MATCH(HA$1,'STOPE SUMMARY PIVOT'!$A$1666:$A$1793, 0))</f>
        <v>0</v>
      </c>
      <c r="HC43" s="154">
        <f>INDEX('STOPE SUMMARY PIVOT'!$G1666:$G1793, MATCH(HC$1,'STOPE SUMMARY PIVOT'!$A$1666:$A$1793, 0))</f>
        <v>0</v>
      </c>
      <c r="HD43" s="175">
        <f>INDEX('STOPE SUMMARY PIVOT'!$H$1666:$H$1793, MATCH(HC$1,'STOPE SUMMARY PIVOT'!$A$1666:$A$1793, 0))</f>
        <v>0</v>
      </c>
      <c r="HE43" s="154">
        <f>INDEX('STOPE SUMMARY PIVOT'!$G1666:$G1793, MATCH(HE$1,'STOPE SUMMARY PIVOT'!$A$1666:$A$1793, 0))</f>
        <v>0</v>
      </c>
      <c r="HF43" s="175">
        <f>INDEX('STOPE SUMMARY PIVOT'!$H$1666:$H$1793, MATCH(HE$1,'STOPE SUMMARY PIVOT'!$A$1666:$A$1793, 0))</f>
        <v>0</v>
      </c>
      <c r="HG43" s="154">
        <f>INDEX('STOPE SUMMARY PIVOT'!$G1666:$G1793, MATCH(HG$1,'STOPE SUMMARY PIVOT'!$A$1666:$A$1793, 0))</f>
        <v>0</v>
      </c>
      <c r="HH43" s="175">
        <f>INDEX('STOPE SUMMARY PIVOT'!$H$1666:$H$1793, MATCH(HG$1,'STOPE SUMMARY PIVOT'!$A$1666:$A$1793, 0))</f>
        <v>0</v>
      </c>
      <c r="HI43" s="154">
        <f>INDEX('STOPE SUMMARY PIVOT'!$G1666:$G1793, MATCH(HI$1,'STOPE SUMMARY PIVOT'!$A$1666:$A$1793, 0))</f>
        <v>0</v>
      </c>
      <c r="HJ43" s="175">
        <f>INDEX('STOPE SUMMARY PIVOT'!$H$1666:$H$1793, MATCH(HI$1,'STOPE SUMMARY PIVOT'!$A$1666:$A$1793, 0))</f>
        <v>0</v>
      </c>
      <c r="HK43" s="154">
        <f>INDEX('STOPE SUMMARY PIVOT'!$G1666:$G1793, MATCH(HK$1,'STOPE SUMMARY PIVOT'!$A$1666:$A$1793, 0))</f>
        <v>0</v>
      </c>
      <c r="HL43" s="175">
        <f>INDEX('STOPE SUMMARY PIVOT'!$H$1666:$H$1793, MATCH(HK$1,'STOPE SUMMARY PIVOT'!$A$1666:$A$1793, 0))</f>
        <v>0</v>
      </c>
      <c r="HM43" s="154">
        <f>INDEX('STOPE SUMMARY PIVOT'!$G1666:$G1793, MATCH(HM$1,'STOPE SUMMARY PIVOT'!$A$1666:$A$1793, 0))</f>
        <v>0</v>
      </c>
      <c r="HN43" s="175">
        <f>INDEX('STOPE SUMMARY PIVOT'!$H$1666:$H$1793, MATCH(HM$1,'STOPE SUMMARY PIVOT'!$A$1666:$A$1793, 0))</f>
        <v>0</v>
      </c>
      <c r="HO43" s="154">
        <f>INDEX('STOPE SUMMARY PIVOT'!$G1666:$G1793, MATCH(HO$1,'STOPE SUMMARY PIVOT'!$A$1666:$A$1793, 0))</f>
        <v>0</v>
      </c>
      <c r="HP43" s="175">
        <f>INDEX('STOPE SUMMARY PIVOT'!$H$1666:$H$1793, MATCH(HO$1,'STOPE SUMMARY PIVOT'!$A$1666:$A$1793, 0))</f>
        <v>0</v>
      </c>
      <c r="HQ43" s="154">
        <f>INDEX('STOPE SUMMARY PIVOT'!$G1666:$G1793, MATCH(HQ$1,'STOPE SUMMARY PIVOT'!$A$1666:$A$1793, 0))</f>
        <v>0</v>
      </c>
      <c r="HR43" s="175">
        <f>INDEX('STOPE SUMMARY PIVOT'!$H$1666:$H$1793, MATCH(HQ$1,'STOPE SUMMARY PIVOT'!$A$1666:$A$1793, 0))</f>
        <v>0</v>
      </c>
      <c r="HS43" s="154">
        <f>INDEX('STOPE SUMMARY PIVOT'!$G1666:$G1793, MATCH(HS$1,'STOPE SUMMARY PIVOT'!$A$1666:$A$1793, 0))</f>
        <v>0</v>
      </c>
      <c r="HT43" s="175">
        <f>INDEX('STOPE SUMMARY PIVOT'!$H$1666:$H$1793, MATCH(HS$1,'STOPE SUMMARY PIVOT'!$A$1666:$A$1793, 0))</f>
        <v>0</v>
      </c>
      <c r="HU43" s="154">
        <f>INDEX('STOPE SUMMARY PIVOT'!$G1666:$G1793, MATCH(HU$1,'STOPE SUMMARY PIVOT'!$A$1666:$A$1793, 0))</f>
        <v>0</v>
      </c>
      <c r="HV43" s="175">
        <f>INDEX('STOPE SUMMARY PIVOT'!$H$1666:$H$1793, MATCH(HU$1,'STOPE SUMMARY PIVOT'!$A$1666:$A$1793, 0))</f>
        <v>0</v>
      </c>
      <c r="HW43" s="154">
        <f>INDEX('STOPE SUMMARY PIVOT'!$G1666:$G1793, MATCH(HW$1,'STOPE SUMMARY PIVOT'!$A$1666:$A$1793, 0))</f>
        <v>0</v>
      </c>
      <c r="HX43" s="175">
        <f>INDEX('STOPE SUMMARY PIVOT'!$H$1666:$H$1793, MATCH(HW$1,'STOPE SUMMARY PIVOT'!$A$1666:$A$1793, 0))</f>
        <v>0</v>
      </c>
      <c r="HY43" s="154">
        <f>INDEX('STOPE SUMMARY PIVOT'!$G1666:$G1793, MATCH(HY$1,'STOPE SUMMARY PIVOT'!$A$1666:$A$1793, 0))</f>
        <v>0</v>
      </c>
      <c r="HZ43" s="175">
        <f>INDEX('STOPE SUMMARY PIVOT'!$H$1666:$H$1793, MATCH(HY$1,'STOPE SUMMARY PIVOT'!$A$1666:$A$1793, 0))</f>
        <v>0</v>
      </c>
      <c r="IA43" s="154">
        <f>INDEX('STOPE SUMMARY PIVOT'!$G1666:$G1793, MATCH(IA$1,'STOPE SUMMARY PIVOT'!$A$1666:$A$1793, 0))</f>
        <v>0</v>
      </c>
      <c r="IB43" s="175">
        <f>INDEX('STOPE SUMMARY PIVOT'!$H$1666:$H$1793, MATCH(IA$1,'STOPE SUMMARY PIVOT'!$A$1666:$A$1793, 0))</f>
        <v>0</v>
      </c>
      <c r="IC43" s="154">
        <f>INDEX('STOPE SUMMARY PIVOT'!$G1666:$G1793, MATCH(IC$1,'STOPE SUMMARY PIVOT'!$A$1666:$A$1793, 0))</f>
        <v>0</v>
      </c>
      <c r="ID43" s="175">
        <f>INDEX('STOPE SUMMARY PIVOT'!$H$1666:$H$1793, MATCH(IC$1,'STOPE SUMMARY PIVOT'!$A$1666:$A$1793, 0))</f>
        <v>0</v>
      </c>
      <c r="IE43" s="154">
        <f>INDEX('STOPE SUMMARY PIVOT'!$G1666:$G1793, MATCH(IE$1,'STOPE SUMMARY PIVOT'!$A$1666:$A$1793, 0))</f>
        <v>0</v>
      </c>
      <c r="IF43" s="175">
        <f>INDEX('STOPE SUMMARY PIVOT'!$H$1666:$H$1793, MATCH(IE$1,'STOPE SUMMARY PIVOT'!$A$1666:$A$1793, 0))</f>
        <v>0</v>
      </c>
      <c r="IG43" s="154">
        <f>INDEX('STOPE SUMMARY PIVOT'!$G1666:$G1793, MATCH(IG$1,'STOPE SUMMARY PIVOT'!$A$1666:$A$1793, 0))</f>
        <v>0</v>
      </c>
      <c r="IH43" s="175">
        <f>INDEX('STOPE SUMMARY PIVOT'!$H$1666:$H$1793, MATCH(IG$1,'STOPE SUMMARY PIVOT'!$A$1666:$A$1793, 0))</f>
        <v>0</v>
      </c>
      <c r="II43" s="154">
        <f>INDEX('STOPE SUMMARY PIVOT'!$G1666:$G1793, MATCH(II$1,'STOPE SUMMARY PIVOT'!$A$1666:$A$1793, 0))</f>
        <v>0</v>
      </c>
      <c r="IJ43" s="175">
        <f>INDEX('STOPE SUMMARY PIVOT'!$H$1666:$H$1793, MATCH(II$1,'STOPE SUMMARY PIVOT'!$A$1666:$A$1793, 0))</f>
        <v>0</v>
      </c>
      <c r="IK43" s="154">
        <f>INDEX('STOPE SUMMARY PIVOT'!$G1666:$G1793, MATCH(IK$1,'STOPE SUMMARY PIVOT'!$A$1666:$A$1793, 0))</f>
        <v>0</v>
      </c>
      <c r="IL43" s="175">
        <f>INDEX('STOPE SUMMARY PIVOT'!$H$1666:$H$1793, MATCH(IK$1,'STOPE SUMMARY PIVOT'!$A$1666:$A$1793, 0))</f>
        <v>0</v>
      </c>
      <c r="IM43" s="154">
        <f>INDEX('STOPE SUMMARY PIVOT'!$G1666:$G1793, MATCH(IM$1,'STOPE SUMMARY PIVOT'!$A$1666:$A$1793, 0))</f>
        <v>0</v>
      </c>
      <c r="IN43" s="175">
        <f>INDEX('STOPE SUMMARY PIVOT'!$H$1666:$H$1793, MATCH(IM$1,'STOPE SUMMARY PIVOT'!$A$1666:$A$1793, 0))</f>
        <v>0</v>
      </c>
      <c r="IO43" s="154">
        <f>INDEX('STOPE SUMMARY PIVOT'!$G1666:$G1793, MATCH(IO$1,'STOPE SUMMARY PIVOT'!$A$1666:$A$1793, 0))</f>
        <v>0</v>
      </c>
      <c r="IP43" s="175">
        <f>INDEX('STOPE SUMMARY PIVOT'!$H$1666:$H$1793, MATCH(IO$1,'STOPE SUMMARY PIVOT'!$A$1666:$A$1793, 0))</f>
        <v>0</v>
      </c>
      <c r="IQ43" s="154">
        <f>INDEX('STOPE SUMMARY PIVOT'!$G1666:$G1793, MATCH(IQ$1,'STOPE SUMMARY PIVOT'!$A$1666:$A$1793, 0))</f>
        <v>0</v>
      </c>
      <c r="IR43" s="175">
        <f>INDEX('STOPE SUMMARY PIVOT'!$H$1666:$H$1793, MATCH(IQ$1,'STOPE SUMMARY PIVOT'!$A$1666:$A$1793, 0))</f>
        <v>0</v>
      </c>
      <c r="IS43" s="154">
        <f>INDEX('STOPE SUMMARY PIVOT'!$G1666:$G1793, MATCH(IS$1,'STOPE SUMMARY PIVOT'!$A$1666:$A$1793, 0))</f>
        <v>0</v>
      </c>
      <c r="IT43" s="175">
        <f>INDEX('STOPE SUMMARY PIVOT'!$H$1666:$H$1793, MATCH(IS$1,'STOPE SUMMARY PIVOT'!$A$1666:$A$1793, 0))</f>
        <v>0</v>
      </c>
      <c r="IU43" s="154">
        <f>INDEX('STOPE SUMMARY PIVOT'!$G1666:$G1793, MATCH(IU$1,'STOPE SUMMARY PIVOT'!$A$1666:$A$1793, 0))</f>
        <v>0</v>
      </c>
      <c r="IV43" s="175">
        <f>INDEX('STOPE SUMMARY PIVOT'!$H$1666:$H$1793, MATCH(IU$1,'STOPE SUMMARY PIVOT'!$A$1666:$A$1793, 0))</f>
        <v>0</v>
      </c>
      <c r="IW43" s="154">
        <f>INDEX('STOPE SUMMARY PIVOT'!$G1666:$G1793, MATCH(IW$1,'STOPE SUMMARY PIVOT'!$A$1666:$A$1793, 0))</f>
        <v>0</v>
      </c>
      <c r="IX43" s="175">
        <f>INDEX('STOPE SUMMARY PIVOT'!$H$1666:$H$1793, MATCH(IW$1,'STOPE SUMMARY PIVOT'!$A$1666:$A$1793, 0))</f>
        <v>0</v>
      </c>
      <c r="IY43" s="154">
        <f>INDEX('STOPE SUMMARY PIVOT'!$G1666:$G1793, MATCH(IY$1,'STOPE SUMMARY PIVOT'!$A$1666:$A$1793, 0))</f>
        <v>0</v>
      </c>
      <c r="IZ43" s="175">
        <f>INDEX('STOPE SUMMARY PIVOT'!$H$1666:$H$1793, MATCH(IY$1,'STOPE SUMMARY PIVOT'!$A$1666:$A$1793, 0))</f>
        <v>0</v>
      </c>
    </row>
    <row r="44" spans="1:260" ht="15.75" thickBot="1" x14ac:dyDescent="0.3">
      <c r="A44" s="1591"/>
      <c r="B44" s="169" t="s">
        <v>5</v>
      </c>
      <c r="C44" s="170" cm="1">
        <f t="array" ref="C44">SUM(_xlfn._xlws.FILTER(E44:IZ44, MOD(COLUMN(E44:IZ44)-COLUMN(E44)+1,2)=1))</f>
        <v>24997</v>
      </c>
      <c r="D44" s="171" cm="1">
        <f t="array" ref="D44">IFERROR(SUMPRODUCT(_xlfn._xlws.FILTER(E44:IZ44, MOD(COLUMN(E44:IZ44)-COLUMN(E44)+1,2)=1), _xlfn._xlws.FILTER(E44:IZ44, MOD(COLUMN(E44:IZ44)-COLUMN(E44)+1,2)=0))/C44,"")</f>
        <v>2.875675881105733</v>
      </c>
      <c r="E44" s="172">
        <f>INDEX('STOPE SUMMARY PIVOT'!$J1666:$J1793, MATCH(E$1,'STOPE SUMMARY PIVOT'!$A$1666:$A$1793, 0))</f>
        <v>0</v>
      </c>
      <c r="F44" s="176">
        <f>INDEX('STOPE SUMMARY PIVOT'!$K$1666:$K$1793, MATCH(E$1,'STOPE SUMMARY PIVOT'!$A$1666:$A$1793, 0))</f>
        <v>0</v>
      </c>
      <c r="G44" s="172">
        <f>INDEX('STOPE SUMMARY PIVOT'!$J1666:$J1793, MATCH(G$1,'STOPE SUMMARY PIVOT'!$A$1666:$A$1793, 0))</f>
        <v>0</v>
      </c>
      <c r="H44" s="176">
        <f>INDEX('STOPE SUMMARY PIVOT'!$K$1666:$K$1793, MATCH(G$1,'STOPE SUMMARY PIVOT'!$A$1666:$A$1793, 0))</f>
        <v>0</v>
      </c>
      <c r="I44" s="172">
        <f>INDEX('STOPE SUMMARY PIVOT'!$J1666:$J1793, MATCH(I$1,'STOPE SUMMARY PIVOT'!$A$1666:$A$1793, 0))</f>
        <v>0</v>
      </c>
      <c r="J44" s="173">
        <f>INDEX('STOPE SUMMARY PIVOT'!$K$1666:$K$1793, MATCH(I$1,'STOPE SUMMARY PIVOT'!$A$1666:$A$1793, 0))</f>
        <v>0</v>
      </c>
      <c r="K44" s="172">
        <f>INDEX('STOPE SUMMARY PIVOT'!$J1666:$J1793, MATCH(K$1,'STOPE SUMMARY PIVOT'!$A$1666:$A$1793, 0))</f>
        <v>0</v>
      </c>
      <c r="L44" s="173">
        <f>INDEX('STOPE SUMMARY PIVOT'!$K$1666:$K$1793, MATCH(K$1,'STOPE SUMMARY PIVOT'!$A$1666:$A$1793, 0))</f>
        <v>0</v>
      </c>
      <c r="M44" s="172">
        <f>INDEX('STOPE SUMMARY PIVOT'!$J1666:$J1793, MATCH(M$1,'STOPE SUMMARY PIVOT'!$A$1666:$A$1793, 0))</f>
        <v>0</v>
      </c>
      <c r="N44" s="173">
        <f>INDEX('STOPE SUMMARY PIVOT'!$K$1666:$K$1793, MATCH(M$1,'STOPE SUMMARY PIVOT'!$A$1666:$A$1793, 0))</f>
        <v>0</v>
      </c>
      <c r="O44" s="172">
        <f>INDEX('STOPE SUMMARY PIVOT'!$J1666:$J1793, MATCH(O$1,'STOPE SUMMARY PIVOT'!$A$1666:$A$1793, 0))</f>
        <v>0</v>
      </c>
      <c r="P44" s="173">
        <f>INDEX('STOPE SUMMARY PIVOT'!$K$1666:$K$1793, MATCH(O$1,'STOPE SUMMARY PIVOT'!$A$1666:$A$1793, 0))</f>
        <v>0</v>
      </c>
      <c r="Q44" s="172">
        <f>INDEX('STOPE SUMMARY PIVOT'!$J1666:$J1793, MATCH(Q$1,'STOPE SUMMARY PIVOT'!$A$1666:$A$1793, 0))</f>
        <v>0</v>
      </c>
      <c r="R44" s="173">
        <f>INDEX('STOPE SUMMARY PIVOT'!$K$1666:$K$1793, MATCH(Q$1,'STOPE SUMMARY PIVOT'!$A$1666:$A$1793, 0))</f>
        <v>0</v>
      </c>
      <c r="S44" s="172">
        <f>INDEX('STOPE SUMMARY PIVOT'!$J1666:$J1793, MATCH(S$1,'STOPE SUMMARY PIVOT'!$A$1666:$A$1793, 0))</f>
        <v>0</v>
      </c>
      <c r="T44" s="173">
        <f>INDEX('STOPE SUMMARY PIVOT'!$K$1666:$K$1793, MATCH(S$1,'STOPE SUMMARY PIVOT'!$A$1666:$A$1793, 0))</f>
        <v>0</v>
      </c>
      <c r="U44" s="172">
        <f>INDEX('STOPE SUMMARY PIVOT'!$J1666:$J1793, MATCH(U$1,'STOPE SUMMARY PIVOT'!$A$1666:$A$1793, 0))</f>
        <v>0</v>
      </c>
      <c r="V44" s="176">
        <f>INDEX('STOPE SUMMARY PIVOT'!$K$1666:$K$1793, MATCH(U$1,'STOPE SUMMARY PIVOT'!$A$1666:$A$1793, 0))</f>
        <v>0</v>
      </c>
      <c r="W44" s="172">
        <f>INDEX('STOPE SUMMARY PIVOT'!$J1666:$J1793, MATCH(W$1,'STOPE SUMMARY PIVOT'!$A$1666:$A$1793, 0))</f>
        <v>0</v>
      </c>
      <c r="X44" s="176">
        <f>INDEX('STOPE SUMMARY PIVOT'!$K$1666:$K$1793, MATCH(W$1,'STOPE SUMMARY PIVOT'!$A$1666:$A$1793, 0))</f>
        <v>0</v>
      </c>
      <c r="Y44" s="172">
        <f>INDEX('STOPE SUMMARY PIVOT'!$J1666:$J1793, MATCH(Y$1,'STOPE SUMMARY PIVOT'!$A$1666:$A$1793, 0))</f>
        <v>1564</v>
      </c>
      <c r="Z44" s="176">
        <f>INDEX('STOPE SUMMARY PIVOT'!$K$1666:$K$1793, MATCH(Y$1,'STOPE SUMMARY PIVOT'!$A$1666:$A$1793, 0))</f>
        <v>1.9371099744245526</v>
      </c>
      <c r="AA44" s="172">
        <f>INDEX('STOPE SUMMARY PIVOT'!$J1666:$J1793, MATCH(AA$1,'STOPE SUMMARY PIVOT'!$A$1666:$A$1793, 0))</f>
        <v>0</v>
      </c>
      <c r="AB44" s="176">
        <f>INDEX('STOPE SUMMARY PIVOT'!$K$1666:$K$1793, MATCH(AA$1,'STOPE SUMMARY PIVOT'!$A$1666:$A$1793, 0))</f>
        <v>0</v>
      </c>
      <c r="AC44" s="172">
        <f>INDEX('STOPE SUMMARY PIVOT'!$J1666:$J1793, MATCH(AC$1,'STOPE SUMMARY PIVOT'!$A$1666:$A$1793, 0))</f>
        <v>0</v>
      </c>
      <c r="AD44" s="176">
        <f>INDEX('STOPE SUMMARY PIVOT'!$K$1666:$K$1793, MATCH(AC$1,'STOPE SUMMARY PIVOT'!$A$1666:$A$1793, 0))</f>
        <v>0</v>
      </c>
      <c r="AE44" s="172">
        <f>INDEX('STOPE SUMMARY PIVOT'!$J1666:$J1793, MATCH(AE$1,'STOPE SUMMARY PIVOT'!$A$1666:$A$1793, 0))</f>
        <v>0</v>
      </c>
      <c r="AF44" s="176">
        <f>INDEX('STOPE SUMMARY PIVOT'!$K$1666:$K$1793, MATCH(AE$1,'STOPE SUMMARY PIVOT'!$A$1666:$A$1793, 0))</f>
        <v>0</v>
      </c>
      <c r="AG44" s="172">
        <f>INDEX('STOPE SUMMARY PIVOT'!$J1666:$J1793, MATCH(AG$1,'STOPE SUMMARY PIVOT'!$A$1666:$A$1793, 0))</f>
        <v>0</v>
      </c>
      <c r="AH44" s="176">
        <f>INDEX('STOPE SUMMARY PIVOT'!$K$1666:$K$1793, MATCH(AG$1,'STOPE SUMMARY PIVOT'!$A$1666:$A$1793, 0))</f>
        <v>0</v>
      </c>
      <c r="AI44" s="172">
        <f>INDEX('STOPE SUMMARY PIVOT'!$J1666:$J1793, MATCH(AI$1,'STOPE SUMMARY PIVOT'!$A$1666:$A$1793, 0))</f>
        <v>0</v>
      </c>
      <c r="AJ44" s="176">
        <f>INDEX('STOPE SUMMARY PIVOT'!$K$1666:$K$1793, MATCH(AI$1,'STOPE SUMMARY PIVOT'!$A$1666:$A$1793, 0))</f>
        <v>0</v>
      </c>
      <c r="AK44" s="172">
        <f>INDEX('STOPE SUMMARY PIVOT'!$J1666:$J1793, MATCH(AK$1,'STOPE SUMMARY PIVOT'!$A$1666:$A$1793, 0))</f>
        <v>0</v>
      </c>
      <c r="AL44" s="176">
        <f>INDEX('STOPE SUMMARY PIVOT'!$K$1666:$K$1793, MATCH(AK$1,'STOPE SUMMARY PIVOT'!$A$1666:$A$1793, 0))</f>
        <v>0</v>
      </c>
      <c r="AM44" s="172">
        <f>INDEX('STOPE SUMMARY PIVOT'!$J1666:$J1793, MATCH(AM$1,'STOPE SUMMARY PIVOT'!$A$1666:$A$1793, 0))</f>
        <v>0</v>
      </c>
      <c r="AN44" s="176">
        <f>INDEX('STOPE SUMMARY PIVOT'!$K$1666:$K$1793, MATCH(AM$1,'STOPE SUMMARY PIVOT'!$A$1666:$A$1793, 0))</f>
        <v>0</v>
      </c>
      <c r="AO44" s="172">
        <f>INDEX('STOPE SUMMARY PIVOT'!$J1666:$J1793, MATCH(AO$1,'STOPE SUMMARY PIVOT'!$A$1666:$A$1793, 0))</f>
        <v>0</v>
      </c>
      <c r="AP44" s="176">
        <f>INDEX('STOPE SUMMARY PIVOT'!$K$1666:$K$1793, MATCH(AO$1,'STOPE SUMMARY PIVOT'!$A$1666:$A$1793, 0))</f>
        <v>0</v>
      </c>
      <c r="AQ44" s="172">
        <f>INDEX('STOPE SUMMARY PIVOT'!$J1666:$J1793, MATCH(AQ$1,'STOPE SUMMARY PIVOT'!$A$1666:$A$1793, 0))</f>
        <v>0</v>
      </c>
      <c r="AR44" s="176">
        <f>INDEX('STOPE SUMMARY PIVOT'!$K$1666:$K$1793, MATCH(AQ$1,'STOPE SUMMARY PIVOT'!$A$1666:$A$1793, 0))</f>
        <v>0</v>
      </c>
      <c r="AS44" s="172">
        <f>INDEX('STOPE SUMMARY PIVOT'!$J1666:$J1793, MATCH(AS$1,'STOPE SUMMARY PIVOT'!$A$1666:$A$1793, 0))</f>
        <v>0</v>
      </c>
      <c r="AT44" s="176">
        <f>INDEX('STOPE SUMMARY PIVOT'!$K$1666:$K$1793, MATCH(AS$1,'STOPE SUMMARY PIVOT'!$A$1666:$A$1793, 0))</f>
        <v>0</v>
      </c>
      <c r="AU44" s="172">
        <f>INDEX('STOPE SUMMARY PIVOT'!$J1666:$J1793, MATCH(AU$1,'STOPE SUMMARY PIVOT'!$A$1666:$A$1793, 0))</f>
        <v>0</v>
      </c>
      <c r="AV44" s="176">
        <f>INDEX('STOPE SUMMARY PIVOT'!$K$1666:$K$1793, MATCH(AU$1,'STOPE SUMMARY PIVOT'!$A$1666:$A$1793, 0))</f>
        <v>0</v>
      </c>
      <c r="AW44" s="172">
        <f>INDEX('STOPE SUMMARY PIVOT'!$J1666:$J1793, MATCH(AW$1,'STOPE SUMMARY PIVOT'!$A$1666:$A$1793, 0))</f>
        <v>0</v>
      </c>
      <c r="AX44" s="176">
        <f>INDEX('STOPE SUMMARY PIVOT'!$K$1666:$K$1793, MATCH(AW$1,'STOPE SUMMARY PIVOT'!$A$1666:$A$1793, 0))</f>
        <v>0</v>
      </c>
      <c r="AY44" s="172">
        <f>INDEX('STOPE SUMMARY PIVOT'!$J1666:$J1793, MATCH(AY$1,'STOPE SUMMARY PIVOT'!$A$1666:$A$1793, 0))</f>
        <v>0</v>
      </c>
      <c r="AZ44" s="176">
        <f>INDEX('STOPE SUMMARY PIVOT'!$K$1666:$K$1793, MATCH(AY$1,'STOPE SUMMARY PIVOT'!$A$1666:$A$1793, 0))</f>
        <v>0</v>
      </c>
      <c r="BA44" s="172">
        <f>INDEX('STOPE SUMMARY PIVOT'!$J1666:$J1793, MATCH(BA$1,'STOPE SUMMARY PIVOT'!$A$1666:$A$1793, 0))</f>
        <v>0</v>
      </c>
      <c r="BB44" s="176">
        <f>INDEX('STOPE SUMMARY PIVOT'!$K$1666:$K$1793, MATCH(BA$1,'STOPE SUMMARY PIVOT'!$A$1666:$A$1793, 0))</f>
        <v>0</v>
      </c>
      <c r="BC44" s="172">
        <f>INDEX('STOPE SUMMARY PIVOT'!$J1666:$J1793, MATCH(BC$1,'STOPE SUMMARY PIVOT'!$A$1666:$A$1793, 0))</f>
        <v>0</v>
      </c>
      <c r="BD44" s="176">
        <f>INDEX('STOPE SUMMARY PIVOT'!$K$1666:$K$1793, MATCH(BC$1,'STOPE SUMMARY PIVOT'!$A$1666:$A$1793, 0))</f>
        <v>0</v>
      </c>
      <c r="BE44" s="172">
        <f>INDEX('STOPE SUMMARY PIVOT'!$J1666:$J1793, MATCH(BE$1,'STOPE SUMMARY PIVOT'!$A$1666:$A$1793, 0))</f>
        <v>0</v>
      </c>
      <c r="BF44" s="176">
        <f>INDEX('STOPE SUMMARY PIVOT'!$K$1666:$K$1793, MATCH(BE$1,'STOPE SUMMARY PIVOT'!$A$1666:$A$1793, 0))</f>
        <v>0</v>
      </c>
      <c r="BG44" s="172">
        <f>INDEX('STOPE SUMMARY PIVOT'!$J1666:$J1793, MATCH(BG$1,'STOPE SUMMARY PIVOT'!$A$1666:$A$1793, 0))</f>
        <v>0</v>
      </c>
      <c r="BH44" s="176">
        <f>INDEX('STOPE SUMMARY PIVOT'!$K$1666:$K$1793, MATCH(BG$1,'STOPE SUMMARY PIVOT'!$A$1666:$A$1793, 0))</f>
        <v>0</v>
      </c>
      <c r="BI44" s="172">
        <f>INDEX('STOPE SUMMARY PIVOT'!$J1666:$J1793, MATCH(BI$1,'STOPE SUMMARY PIVOT'!$A$1666:$A$1793, 0))</f>
        <v>0</v>
      </c>
      <c r="BJ44" s="176">
        <f>INDEX('STOPE SUMMARY PIVOT'!$K$1666:$K$1793, MATCH(BI$1,'STOPE SUMMARY PIVOT'!$A$1666:$A$1793, 0))</f>
        <v>0</v>
      </c>
      <c r="BK44" s="172">
        <f>INDEX('STOPE SUMMARY PIVOT'!$J1666:$J1793, MATCH(BK$1,'STOPE SUMMARY PIVOT'!$A$1666:$A$1793, 0))</f>
        <v>0</v>
      </c>
      <c r="BL44" s="176">
        <f>INDEX('STOPE SUMMARY PIVOT'!$K$1666:$K$1793, MATCH(BK$1,'STOPE SUMMARY PIVOT'!$A$1666:$A$1793, 0))</f>
        <v>0</v>
      </c>
      <c r="BM44" s="172">
        <f>INDEX('STOPE SUMMARY PIVOT'!$J1666:$J1793, MATCH(BM$1,'STOPE SUMMARY PIVOT'!$A$1666:$A$1793, 0))</f>
        <v>0</v>
      </c>
      <c r="BN44" s="176">
        <f>INDEX('STOPE SUMMARY PIVOT'!$K$1666:$K$1793, MATCH(BM$1,'STOPE SUMMARY PIVOT'!$A$1666:$A$1793, 0))</f>
        <v>0</v>
      </c>
      <c r="BO44" s="172">
        <f>INDEX('STOPE SUMMARY PIVOT'!$J1666:$J1793, MATCH(BO$1,'STOPE SUMMARY PIVOT'!$A$1666:$A$1793, 0))</f>
        <v>0</v>
      </c>
      <c r="BP44" s="176">
        <f>INDEX('STOPE SUMMARY PIVOT'!$K$1666:$K$1793, MATCH(BO$1,'STOPE SUMMARY PIVOT'!$A$1666:$A$1793, 0))</f>
        <v>0</v>
      </c>
      <c r="BQ44" s="172">
        <f>INDEX('STOPE SUMMARY PIVOT'!$J1666:$J1793, MATCH(BQ$1,'STOPE SUMMARY PIVOT'!$A$1666:$A$1793, 0))</f>
        <v>0</v>
      </c>
      <c r="BR44" s="176">
        <f>INDEX('STOPE SUMMARY PIVOT'!$K$1666:$K$1793, MATCH(BQ$1,'STOPE SUMMARY PIVOT'!$A$1666:$A$1793, 0))</f>
        <v>0</v>
      </c>
      <c r="BS44" s="172">
        <f>INDEX('STOPE SUMMARY PIVOT'!$J1666:$J1793, MATCH(BS$1,'STOPE SUMMARY PIVOT'!$A$1666:$A$1793, 0))</f>
        <v>0</v>
      </c>
      <c r="BT44" s="176">
        <f>INDEX('STOPE SUMMARY PIVOT'!$K$1666:$K$1793, MATCH(BS$1,'STOPE SUMMARY PIVOT'!$A$1666:$A$1793, 0))</f>
        <v>0</v>
      </c>
      <c r="BU44" s="172">
        <f>INDEX('STOPE SUMMARY PIVOT'!$J1666:$J1793, MATCH(BU$1,'STOPE SUMMARY PIVOT'!$A$1666:$A$1793, 0))</f>
        <v>0</v>
      </c>
      <c r="BV44" s="176">
        <f>INDEX('STOPE SUMMARY PIVOT'!$K$1666:$K$1793, MATCH(BU$1,'STOPE SUMMARY PIVOT'!$A$1666:$A$1793, 0))</f>
        <v>0</v>
      </c>
      <c r="BW44" s="172">
        <f>INDEX('STOPE SUMMARY PIVOT'!$J1666:$J1793, MATCH(BW$1,'STOPE SUMMARY PIVOT'!$A$1666:$A$1793, 0))</f>
        <v>0</v>
      </c>
      <c r="BX44" s="176">
        <f>INDEX('STOPE SUMMARY PIVOT'!$K$1666:$K$1793, MATCH(BW$1,'STOPE SUMMARY PIVOT'!$A$1666:$A$1793, 0))</f>
        <v>0</v>
      </c>
      <c r="BY44" s="172">
        <f>INDEX('STOPE SUMMARY PIVOT'!$J1666:$J1793, MATCH(BY$1,'STOPE SUMMARY PIVOT'!$A$1666:$A$1793, 0))</f>
        <v>0</v>
      </c>
      <c r="BZ44" s="176">
        <f>INDEX('STOPE SUMMARY PIVOT'!$K$1666:$K$1793, MATCH(BY$1,'STOPE SUMMARY PIVOT'!$A$1666:$A$1793, 0))</f>
        <v>0</v>
      </c>
      <c r="CA44" s="172">
        <f>INDEX('STOPE SUMMARY PIVOT'!$J1666:$J1793, MATCH(CA$1,'STOPE SUMMARY PIVOT'!$A$1666:$A$1793, 0))</f>
        <v>0</v>
      </c>
      <c r="CB44" s="176">
        <f>INDEX('STOPE SUMMARY PIVOT'!$K$1666:$K$1793, MATCH(CA$1,'STOPE SUMMARY PIVOT'!$A$1666:$A$1793, 0))</f>
        <v>0</v>
      </c>
      <c r="CC44" s="172">
        <f>INDEX('STOPE SUMMARY PIVOT'!$J1666:$J1793, MATCH(CC$1,'STOPE SUMMARY PIVOT'!$A$1666:$A$1793, 0))</f>
        <v>0</v>
      </c>
      <c r="CD44" s="176">
        <f>INDEX('STOPE SUMMARY PIVOT'!$K$1666:$K$1793, MATCH(CC$1,'STOPE SUMMARY PIVOT'!$A$1666:$A$1793, 0))</f>
        <v>0</v>
      </c>
      <c r="CE44" s="172">
        <f>INDEX('STOPE SUMMARY PIVOT'!$J1666:$J1793, MATCH(CE$1,'STOPE SUMMARY PIVOT'!$A$1666:$A$1793, 0))</f>
        <v>0</v>
      </c>
      <c r="CF44" s="176">
        <f>INDEX('STOPE SUMMARY PIVOT'!$K$1666:$K$1793, MATCH(CE$1,'STOPE SUMMARY PIVOT'!$A$1666:$A$1793, 0))</f>
        <v>0</v>
      </c>
      <c r="CG44" s="172">
        <f>INDEX('STOPE SUMMARY PIVOT'!$J1666:$J1793, MATCH(CG$1,'STOPE SUMMARY PIVOT'!$A$1666:$A$1793, 0))</f>
        <v>0</v>
      </c>
      <c r="CH44" s="176">
        <f>INDEX('STOPE SUMMARY PIVOT'!$K$1666:$K$1793, MATCH(CG$1,'STOPE SUMMARY PIVOT'!$A$1666:$A$1793, 0))</f>
        <v>0</v>
      </c>
      <c r="CI44" s="172">
        <f>INDEX('STOPE SUMMARY PIVOT'!$J1666:$J1793, MATCH(CI$1,'STOPE SUMMARY PIVOT'!$A$1666:$A$1793, 0))</f>
        <v>0</v>
      </c>
      <c r="CJ44" s="176">
        <f>INDEX('STOPE SUMMARY PIVOT'!$K$1666:$K$1793, MATCH(CI$1,'STOPE SUMMARY PIVOT'!$A$1666:$A$1793, 0))</f>
        <v>0</v>
      </c>
      <c r="CK44" s="172">
        <f>INDEX('STOPE SUMMARY PIVOT'!$J1666:$J1793, MATCH(CK$1,'STOPE SUMMARY PIVOT'!$A$1666:$A$1793, 0))</f>
        <v>0</v>
      </c>
      <c r="CL44" s="176">
        <f>INDEX('STOPE SUMMARY PIVOT'!$K$1666:$K$1793, MATCH(CK$1,'STOPE SUMMARY PIVOT'!$A$1666:$A$1793, 0))</f>
        <v>0</v>
      </c>
      <c r="CM44" s="172">
        <f>INDEX('STOPE SUMMARY PIVOT'!$J1666:$J1793, MATCH(CM$1,'STOPE SUMMARY PIVOT'!$A$1666:$A$1793, 0))</f>
        <v>0</v>
      </c>
      <c r="CN44" s="176">
        <f>INDEX('STOPE SUMMARY PIVOT'!$K$1666:$K$1793, MATCH(CM$1,'STOPE SUMMARY PIVOT'!$A$1666:$A$1793, 0))</f>
        <v>0</v>
      </c>
      <c r="CO44" s="172">
        <f>INDEX('STOPE SUMMARY PIVOT'!$J1666:$J1793, MATCH(CO$1,'STOPE SUMMARY PIVOT'!$A$1666:$A$1793, 0))</f>
        <v>0</v>
      </c>
      <c r="CP44" s="176">
        <f>INDEX('STOPE SUMMARY PIVOT'!$K$1666:$K$1793, MATCH(CO$1,'STOPE SUMMARY PIVOT'!$A$1666:$A$1793, 0))</f>
        <v>0</v>
      </c>
      <c r="CQ44" s="172">
        <f>INDEX('STOPE SUMMARY PIVOT'!$J1666:$J1793, MATCH(CQ$1,'STOPE SUMMARY PIVOT'!$A$1666:$A$1793, 0))</f>
        <v>5794</v>
      </c>
      <c r="CR44" s="176">
        <f>INDEX('STOPE SUMMARY PIVOT'!$K$1666:$K$1793, MATCH(CQ$1,'STOPE SUMMARY PIVOT'!$A$1666:$A$1793, 0))</f>
        <v>2.9553227476700035</v>
      </c>
      <c r="CS44" s="172">
        <f>INDEX('STOPE SUMMARY PIVOT'!$J1666:$J1793, MATCH(CS$1,'STOPE SUMMARY PIVOT'!$A$1666:$A$1793, 0))</f>
        <v>0</v>
      </c>
      <c r="CT44" s="176">
        <f>INDEX('STOPE SUMMARY PIVOT'!$K$1666:$K$1793, MATCH(CS$1,'STOPE SUMMARY PIVOT'!$A$1666:$A$1793, 0))</f>
        <v>0</v>
      </c>
      <c r="CU44" s="172">
        <f>INDEX('STOPE SUMMARY PIVOT'!$J1666:$J1793, MATCH(CU$1,'STOPE SUMMARY PIVOT'!$A$1666:$A$1793, 0))</f>
        <v>0</v>
      </c>
      <c r="CV44" s="176">
        <f>INDEX('STOPE SUMMARY PIVOT'!$K$1666:$K$1793, MATCH(CU$1,'STOPE SUMMARY PIVOT'!$A$1666:$A$1793, 0))</f>
        <v>0</v>
      </c>
      <c r="CW44" s="172">
        <f>INDEX('STOPE SUMMARY PIVOT'!$J1666:$J1793, MATCH(CW$1,'STOPE SUMMARY PIVOT'!$A$1666:$A$1793, 0))</f>
        <v>0</v>
      </c>
      <c r="CX44" s="176">
        <f>INDEX('STOPE SUMMARY PIVOT'!$K$1666:$K$1793, MATCH(CW$1,'STOPE SUMMARY PIVOT'!$A$1666:$A$1793, 0))</f>
        <v>0</v>
      </c>
      <c r="CY44" s="172">
        <f>INDEX('STOPE SUMMARY PIVOT'!$J1666:$J1793, MATCH(CY$1,'STOPE SUMMARY PIVOT'!$A$1666:$A$1793, 0))</f>
        <v>1105</v>
      </c>
      <c r="CZ44" s="176">
        <f>INDEX('STOPE SUMMARY PIVOT'!$K$1666:$K$1793, MATCH(CY$1,'STOPE SUMMARY PIVOT'!$A$1666:$A$1793, 0))</f>
        <v>1.0324524886877826</v>
      </c>
      <c r="DA44" s="172">
        <f>INDEX('STOPE SUMMARY PIVOT'!$J1666:$J1793, MATCH(DA$1,'STOPE SUMMARY PIVOT'!$A$1666:$A$1793, 0))</f>
        <v>0</v>
      </c>
      <c r="DB44" s="176">
        <f>INDEX('STOPE SUMMARY PIVOT'!$K$1666:$K$1793, MATCH(DA$1,'STOPE SUMMARY PIVOT'!$A$1666:$A$1793, 0))</f>
        <v>0</v>
      </c>
      <c r="DC44" s="172">
        <f>INDEX('STOPE SUMMARY PIVOT'!$J1666:$J1793, MATCH(DC$1,'STOPE SUMMARY PIVOT'!$A$1666:$A$1793, 0))</f>
        <v>0</v>
      </c>
      <c r="DD44" s="176">
        <f>INDEX('STOPE SUMMARY PIVOT'!$K$1666:$K$1793, MATCH(DC$1,'STOPE SUMMARY PIVOT'!$A$1666:$A$1793, 0))</f>
        <v>0</v>
      </c>
      <c r="DE44" s="172">
        <f>INDEX('STOPE SUMMARY PIVOT'!$J1666:$J1793, MATCH(DE$1,'STOPE SUMMARY PIVOT'!$A$1666:$A$1793, 0))</f>
        <v>0</v>
      </c>
      <c r="DF44" s="176">
        <f>INDEX('STOPE SUMMARY PIVOT'!$K$1666:$K$1793, MATCH(DE$1,'STOPE SUMMARY PIVOT'!$A$1666:$A$1793, 0))</f>
        <v>0</v>
      </c>
      <c r="DG44" s="172">
        <f>INDEX('STOPE SUMMARY PIVOT'!$J1666:$J1793, MATCH(DG$1,'STOPE SUMMARY PIVOT'!$A$1666:$A$1793, 0))</f>
        <v>0</v>
      </c>
      <c r="DH44" s="176">
        <f>INDEX('STOPE SUMMARY PIVOT'!$K$1666:$K$1793, MATCH(DG$1,'STOPE SUMMARY PIVOT'!$A$1666:$A$1793, 0))</f>
        <v>0</v>
      </c>
      <c r="DI44" s="172">
        <f>INDEX('STOPE SUMMARY PIVOT'!$J1666:$J1793, MATCH(DI$1,'STOPE SUMMARY PIVOT'!$A$1666:$A$1793, 0))</f>
        <v>0</v>
      </c>
      <c r="DJ44" s="176">
        <f>INDEX('STOPE SUMMARY PIVOT'!$K$1666:$K$1793, MATCH(DI$1,'STOPE SUMMARY PIVOT'!$A$1666:$A$1793, 0))</f>
        <v>0</v>
      </c>
      <c r="DK44" s="172">
        <f>INDEX('STOPE SUMMARY PIVOT'!$J1666:$J1793, MATCH(DK$1,'STOPE SUMMARY PIVOT'!$A$1666:$A$1793, 0))</f>
        <v>0</v>
      </c>
      <c r="DL44" s="176">
        <f>INDEX('STOPE SUMMARY PIVOT'!$K$1666:$K$1793, MATCH(DK$1,'STOPE SUMMARY PIVOT'!$A$1666:$A$1793, 0))</f>
        <v>0</v>
      </c>
      <c r="DM44" s="172">
        <f>INDEX('STOPE SUMMARY PIVOT'!$J1666:$J1793, MATCH(DM$1,'STOPE SUMMARY PIVOT'!$A$1666:$A$1793, 0))</f>
        <v>0</v>
      </c>
      <c r="DN44" s="176">
        <f>INDEX('STOPE SUMMARY PIVOT'!$K$1666:$K$1793, MATCH(DM$1,'STOPE SUMMARY PIVOT'!$A$1666:$A$1793, 0))</f>
        <v>0</v>
      </c>
      <c r="DO44" s="172">
        <f>INDEX('STOPE SUMMARY PIVOT'!$J1666:$J1793, MATCH(DO$1,'STOPE SUMMARY PIVOT'!$A$1666:$A$1793, 0))</f>
        <v>2689</v>
      </c>
      <c r="DP44" s="176">
        <f>INDEX('STOPE SUMMARY PIVOT'!$K$1666:$K$1793, MATCH(DO$1,'STOPE SUMMARY PIVOT'!$A$1666:$A$1793, 0))</f>
        <v>2.1631721829676462</v>
      </c>
      <c r="DQ44" s="172">
        <f>INDEX('STOPE SUMMARY PIVOT'!$J1666:$J1793, MATCH(DQ$1,'STOPE SUMMARY PIVOT'!$A$1666:$A$1793, 0))</f>
        <v>0</v>
      </c>
      <c r="DR44" s="176">
        <f>INDEX('STOPE SUMMARY PIVOT'!$K$1666:$K$1793, MATCH(DQ$1,'STOPE SUMMARY PIVOT'!$A$1666:$A$1793, 0))</f>
        <v>0</v>
      </c>
      <c r="DS44" s="172">
        <f>INDEX('STOPE SUMMARY PIVOT'!$J1666:$J1793, MATCH(DS$1,'STOPE SUMMARY PIVOT'!$A$1666:$A$1793, 0))</f>
        <v>1603</v>
      </c>
      <c r="DT44" s="176">
        <f>INDEX('STOPE SUMMARY PIVOT'!$K$1666:$K$1793, MATCH(DS$1,'STOPE SUMMARY PIVOT'!$A$1666:$A$1793, 0))</f>
        <v>2.2452339363693072</v>
      </c>
      <c r="DU44" s="172">
        <f>INDEX('STOPE SUMMARY PIVOT'!$J1666:$J1793, MATCH(DU$1,'STOPE SUMMARY PIVOT'!$A$1666:$A$1793, 0))</f>
        <v>0</v>
      </c>
      <c r="DV44" s="176">
        <f>INDEX('STOPE SUMMARY PIVOT'!$K$1666:$K$1793, MATCH(DU$1,'STOPE SUMMARY PIVOT'!$A$1666:$A$1793, 0))</f>
        <v>0</v>
      </c>
      <c r="DW44" s="172">
        <f>INDEX('STOPE SUMMARY PIVOT'!$J1666:$J1793, MATCH(DW$1,'STOPE SUMMARY PIVOT'!$A$1666:$A$1793, 0))</f>
        <v>0</v>
      </c>
      <c r="DX44" s="176">
        <f>INDEX('STOPE SUMMARY PIVOT'!$K$1666:$K$1793, MATCH(DW$1,'STOPE SUMMARY PIVOT'!$A$1666:$A$1793, 0))</f>
        <v>0</v>
      </c>
      <c r="DY44" s="172">
        <f>INDEX('STOPE SUMMARY PIVOT'!$J1666:$J1793, MATCH(DY$1,'STOPE SUMMARY PIVOT'!$A$1666:$A$1793, 0))</f>
        <v>0</v>
      </c>
      <c r="DZ44" s="176">
        <f>INDEX('STOPE SUMMARY PIVOT'!$K$1666:$K$1793, MATCH(DY$1,'STOPE SUMMARY PIVOT'!$A$1666:$A$1793, 0))</f>
        <v>0</v>
      </c>
      <c r="EA44" s="172">
        <f>INDEX('STOPE SUMMARY PIVOT'!$J1666:$J1793, MATCH(EA$1,'STOPE SUMMARY PIVOT'!$A$1666:$A$1793, 0))</f>
        <v>0</v>
      </c>
      <c r="EB44" s="176">
        <f>INDEX('STOPE SUMMARY PIVOT'!$K$1666:$K$1793, MATCH(EA$1,'STOPE SUMMARY PIVOT'!$A$1666:$A$1793, 0))</f>
        <v>0</v>
      </c>
      <c r="EC44" s="172">
        <f>INDEX('STOPE SUMMARY PIVOT'!$J1666:$J1793, MATCH(EC$1,'STOPE SUMMARY PIVOT'!$A$1666:$A$1793, 0))</f>
        <v>0</v>
      </c>
      <c r="ED44" s="176">
        <f>INDEX('STOPE SUMMARY PIVOT'!$K$1666:$K$1793, MATCH(EC$1,'STOPE SUMMARY PIVOT'!$A$1666:$A$1793, 0))</f>
        <v>0</v>
      </c>
      <c r="EE44" s="172">
        <f>INDEX('STOPE SUMMARY PIVOT'!$J1666:$J1793, MATCH(EE$1,'STOPE SUMMARY PIVOT'!$A$1666:$A$1793, 0))</f>
        <v>0</v>
      </c>
      <c r="EF44" s="176">
        <f>INDEX('STOPE SUMMARY PIVOT'!$K$1666:$K$1793, MATCH(EE$1,'STOPE SUMMARY PIVOT'!$A$1666:$A$1793, 0))</f>
        <v>0</v>
      </c>
      <c r="EG44" s="172">
        <f>INDEX('STOPE SUMMARY PIVOT'!$J1666:$J1793, MATCH(EG$1,'STOPE SUMMARY PIVOT'!$A$1666:$A$1793, 0))</f>
        <v>0</v>
      </c>
      <c r="EH44" s="176">
        <f>INDEX('STOPE SUMMARY PIVOT'!$K$1666:$K$1793, MATCH(EG$1,'STOPE SUMMARY PIVOT'!$A$1666:$A$1793, 0))</f>
        <v>0</v>
      </c>
      <c r="EI44" s="172">
        <f>INDEX('STOPE SUMMARY PIVOT'!$J1666:$J1793, MATCH(EI$1,'STOPE SUMMARY PIVOT'!$A$1666:$A$1793, 0))</f>
        <v>0</v>
      </c>
      <c r="EJ44" s="176">
        <f>INDEX('STOPE SUMMARY PIVOT'!$K$1666:$K$1793, MATCH(EI$1,'STOPE SUMMARY PIVOT'!$A$1666:$A$1793, 0))</f>
        <v>0</v>
      </c>
      <c r="EK44" s="172">
        <f>INDEX('STOPE SUMMARY PIVOT'!$J1666:$J1793, MATCH(EK$1,'STOPE SUMMARY PIVOT'!$A$1666:$A$1793, 0))</f>
        <v>0</v>
      </c>
      <c r="EL44" s="176">
        <f>INDEX('STOPE SUMMARY PIVOT'!$K$1666:$K$1793, MATCH(EK$1,'STOPE SUMMARY PIVOT'!$A$1666:$A$1793, 0))</f>
        <v>0</v>
      </c>
      <c r="EM44" s="172">
        <f>INDEX('STOPE SUMMARY PIVOT'!$J1666:$J1793, MATCH(EM$1,'STOPE SUMMARY PIVOT'!$A$1666:$A$1793, 0))</f>
        <v>0</v>
      </c>
      <c r="EN44" s="176">
        <f>INDEX('STOPE SUMMARY PIVOT'!$K$1666:$K$1793, MATCH(EM$1,'STOPE SUMMARY PIVOT'!$A$1666:$A$1793, 0))</f>
        <v>0</v>
      </c>
      <c r="EO44" s="172">
        <f>INDEX('STOPE SUMMARY PIVOT'!$J1666:$J1793, MATCH(EO$1,'STOPE SUMMARY PIVOT'!$A$1666:$A$1793, 0))</f>
        <v>4343</v>
      </c>
      <c r="EP44" s="176">
        <f>INDEX('STOPE SUMMARY PIVOT'!$K$1666:$K$1793, MATCH(EO$1,'STOPE SUMMARY PIVOT'!$A$1666:$A$1793, 0))</f>
        <v>3.6885033387059631</v>
      </c>
      <c r="EQ44" s="172">
        <f>INDEX('STOPE SUMMARY PIVOT'!$J1666:$J1793, MATCH(EQ$1,'STOPE SUMMARY PIVOT'!$A$1666:$A$1793, 0))</f>
        <v>0</v>
      </c>
      <c r="ER44" s="176">
        <f>INDEX('STOPE SUMMARY PIVOT'!$K$1666:$K$1793, MATCH(EQ$1,'STOPE SUMMARY PIVOT'!$A$1666:$A$1793, 0))</f>
        <v>0</v>
      </c>
      <c r="ES44" s="172">
        <f>INDEX('STOPE SUMMARY PIVOT'!$J1666:$J1793, MATCH(ES$1,'STOPE SUMMARY PIVOT'!$A$1666:$A$1793, 0))</f>
        <v>0</v>
      </c>
      <c r="ET44" s="176">
        <f>INDEX('STOPE SUMMARY PIVOT'!$K$1666:$K$1793, MATCH(ES$1,'STOPE SUMMARY PIVOT'!$A$1666:$A$1793, 0))</f>
        <v>0</v>
      </c>
      <c r="EU44" s="172">
        <f>INDEX('STOPE SUMMARY PIVOT'!$J1666:$J1793, MATCH(EU$1,'STOPE SUMMARY PIVOT'!$A$1666:$A$1793, 0))</f>
        <v>0</v>
      </c>
      <c r="EV44" s="176">
        <f>INDEX('STOPE SUMMARY PIVOT'!$K$1666:$K$1793, MATCH(EU$1,'STOPE SUMMARY PIVOT'!$A$1666:$A$1793, 0))</f>
        <v>0</v>
      </c>
      <c r="EW44" s="172">
        <f>INDEX('STOPE SUMMARY PIVOT'!$J1666:$J1793, MATCH(EW$1,'STOPE SUMMARY PIVOT'!$A$1666:$A$1793, 0))</f>
        <v>0</v>
      </c>
      <c r="EX44" s="176">
        <f>INDEX('STOPE SUMMARY PIVOT'!$K$1666:$K$1793, MATCH(EW$1,'STOPE SUMMARY PIVOT'!$A$1666:$A$1793, 0))</f>
        <v>0</v>
      </c>
      <c r="EY44" s="172">
        <f>INDEX('STOPE SUMMARY PIVOT'!$J1666:$J1793, MATCH(EY$1,'STOPE SUMMARY PIVOT'!$A$1666:$A$1793, 0))</f>
        <v>0</v>
      </c>
      <c r="EZ44" s="176">
        <f>INDEX('STOPE SUMMARY PIVOT'!$K$1666:$K$1793, MATCH(EY$1,'STOPE SUMMARY PIVOT'!$A$1666:$A$1793, 0))</f>
        <v>0</v>
      </c>
      <c r="FA44" s="172">
        <f>INDEX('STOPE SUMMARY PIVOT'!$J1666:$J1793, MATCH(FA$1,'STOPE SUMMARY PIVOT'!$A$1666:$A$1793, 0))</f>
        <v>2329</v>
      </c>
      <c r="FB44" s="176">
        <f>INDEX('STOPE SUMMARY PIVOT'!$K$1666:$K$1793, MATCH(FA$1,'STOPE SUMMARY PIVOT'!$A$1666:$A$1793, 0))</f>
        <v>4.1762516101331046</v>
      </c>
      <c r="FC44" s="172">
        <f>INDEX('STOPE SUMMARY PIVOT'!$J1666:$J1793, MATCH(FC$1,'STOPE SUMMARY PIVOT'!$A$1666:$A$1793, 0))</f>
        <v>353</v>
      </c>
      <c r="FD44" s="176">
        <f>INDEX('STOPE SUMMARY PIVOT'!$K$1666:$K$1793, MATCH(FC$1,'STOPE SUMMARY PIVOT'!$A$1666:$A$1793, 0))</f>
        <v>2.5405665722379602</v>
      </c>
      <c r="FE44" s="172">
        <f>INDEX('STOPE SUMMARY PIVOT'!$J1666:$J1793, MATCH(FE$1,'STOPE SUMMARY PIVOT'!$A$1666:$A$1793, 0))</f>
        <v>4489</v>
      </c>
      <c r="FF44" s="176">
        <f>INDEX('STOPE SUMMARY PIVOT'!$K$1666:$K$1793, MATCH(FE$1,'STOPE SUMMARY PIVOT'!$A$1666:$A$1793, 0))</f>
        <v>3.0416930274003122</v>
      </c>
      <c r="FG44" s="172">
        <f>INDEX('STOPE SUMMARY PIVOT'!$J1666:$J1793, MATCH(FG$1,'STOPE SUMMARY PIVOT'!$A$1666:$A$1793, 0))</f>
        <v>660</v>
      </c>
      <c r="FH44" s="176">
        <f>INDEX('STOPE SUMMARY PIVOT'!$K$1666:$K$1793, MATCH(FG$1,'STOPE SUMMARY PIVOT'!$A$1666:$A$1793, 0))</f>
        <v>1.2471969696969698</v>
      </c>
      <c r="FI44" s="172">
        <f>INDEX('STOPE SUMMARY PIVOT'!$J1666:$J1793, MATCH(FI$1,'STOPE SUMMARY PIVOT'!$A$1666:$A$1793, 0))</f>
        <v>0</v>
      </c>
      <c r="FJ44" s="176">
        <f>INDEX('STOPE SUMMARY PIVOT'!$K$1666:$K$1793, MATCH(FI$1,'STOPE SUMMARY PIVOT'!$A$1666:$A$1793, 0))</f>
        <v>0</v>
      </c>
      <c r="FK44" s="172">
        <f>INDEX('STOPE SUMMARY PIVOT'!$J1666:$J1793, MATCH(FK$1,'STOPE SUMMARY PIVOT'!$A$1666:$A$1793, 0))</f>
        <v>68</v>
      </c>
      <c r="FL44" s="176">
        <f>INDEX('STOPE SUMMARY PIVOT'!$K$1666:$K$1793, MATCH(FK$1,'STOPE SUMMARY PIVOT'!$A$1666:$A$1793, 0))</f>
        <v>0.79352941176470582</v>
      </c>
      <c r="FM44" s="172">
        <f>INDEX('STOPE SUMMARY PIVOT'!$J1666:$J1793, MATCH(FM$1,'STOPE SUMMARY PIVOT'!$A$1666:$A$1793, 0))</f>
        <v>0</v>
      </c>
      <c r="FN44" s="176">
        <f>INDEX('STOPE SUMMARY PIVOT'!$K$1666:$K$1793, MATCH(FM$1,'STOPE SUMMARY PIVOT'!$A$1666:$A$1793, 0))</f>
        <v>0</v>
      </c>
      <c r="FO44" s="172">
        <f>INDEX('STOPE SUMMARY PIVOT'!$J1666:$J1793, MATCH(FO$1,'STOPE SUMMARY PIVOT'!$A$1666:$A$1793, 0))</f>
        <v>0</v>
      </c>
      <c r="FP44" s="176">
        <f>INDEX('STOPE SUMMARY PIVOT'!$K$1666:$K$1793, MATCH(FO$1,'STOPE SUMMARY PIVOT'!$A$1666:$A$1793, 0))</f>
        <v>0</v>
      </c>
      <c r="FQ44" s="172">
        <f>INDEX('STOPE SUMMARY PIVOT'!$J1666:$J1793, MATCH(FQ$1,'STOPE SUMMARY PIVOT'!$A$1666:$A$1793, 0))</f>
        <v>0</v>
      </c>
      <c r="FR44" s="176">
        <f>INDEX('STOPE SUMMARY PIVOT'!$K$1666:$K$1793, MATCH(FQ$1,'STOPE SUMMARY PIVOT'!$A$1666:$A$1793, 0))</f>
        <v>0</v>
      </c>
      <c r="FS44" s="172">
        <f>INDEX('STOPE SUMMARY PIVOT'!$J1666:$J1793, MATCH(FS$1,'STOPE SUMMARY PIVOT'!$A$1666:$A$1793, 0))</f>
        <v>0</v>
      </c>
      <c r="FT44" s="176">
        <f>INDEX('STOPE SUMMARY PIVOT'!$K$1666:$K$1793, MATCH(FS$1,'STOPE SUMMARY PIVOT'!$A$1666:$A$1793, 0))</f>
        <v>0</v>
      </c>
      <c r="FU44" s="172">
        <f>INDEX('STOPE SUMMARY PIVOT'!$J1666:$J1793, MATCH(FU$1,'STOPE SUMMARY PIVOT'!$A$1666:$A$1793, 0))</f>
        <v>0</v>
      </c>
      <c r="FV44" s="176">
        <f>INDEX('STOPE SUMMARY PIVOT'!$K$1666:$K$1793, MATCH(FU$1,'STOPE SUMMARY PIVOT'!$A$1666:$A$1793, 0))</f>
        <v>0</v>
      </c>
      <c r="FW44" s="172">
        <f>INDEX('STOPE SUMMARY PIVOT'!$J1666:$J1793, MATCH(FW$1,'STOPE SUMMARY PIVOT'!$A$1666:$A$1793, 0))</f>
        <v>0</v>
      </c>
      <c r="FX44" s="176">
        <f>INDEX('STOPE SUMMARY PIVOT'!$K$1666:$K$1793, MATCH(FW$1,'STOPE SUMMARY PIVOT'!$A$1666:$A$1793, 0))</f>
        <v>0</v>
      </c>
      <c r="FY44" s="172">
        <f>INDEX('STOPE SUMMARY PIVOT'!$J1666:$J1793, MATCH(FY$1,'STOPE SUMMARY PIVOT'!$A$1666:$A$1793, 0))</f>
        <v>0</v>
      </c>
      <c r="FZ44" s="176">
        <f>INDEX('STOPE SUMMARY PIVOT'!$K$1666:$K$1793, MATCH(FY$1,'STOPE SUMMARY PIVOT'!$A$1666:$A$1793, 0))</f>
        <v>0</v>
      </c>
      <c r="GA44" s="172">
        <f>INDEX('STOPE SUMMARY PIVOT'!$J1666:$J1793, MATCH(GA$1,'STOPE SUMMARY PIVOT'!$A$1666:$A$1793, 0))</f>
        <v>0</v>
      </c>
      <c r="GB44" s="176">
        <f>INDEX('STOPE SUMMARY PIVOT'!$K$1666:$K$1793, MATCH(GA$1,'STOPE SUMMARY PIVOT'!$A$1666:$A$1793, 0))</f>
        <v>0</v>
      </c>
      <c r="GC44" s="172">
        <f>INDEX('STOPE SUMMARY PIVOT'!$J1666:$J1793, MATCH(GC$1,'STOPE SUMMARY PIVOT'!$A$1666:$A$1793, 0))</f>
        <v>0</v>
      </c>
      <c r="GD44" s="176">
        <f>INDEX('STOPE SUMMARY PIVOT'!$K$1666:$K$1793, MATCH(GC$1,'STOPE SUMMARY PIVOT'!$A$1666:$A$1793, 0))</f>
        <v>0</v>
      </c>
      <c r="GE44" s="172">
        <f>INDEX('STOPE SUMMARY PIVOT'!$J1666:$J1793, MATCH(GE$1,'STOPE SUMMARY PIVOT'!$A$1666:$A$1793, 0))</f>
        <v>0</v>
      </c>
      <c r="GF44" s="176">
        <f>INDEX('STOPE SUMMARY PIVOT'!$K$1666:$K$1793, MATCH(GE$1,'STOPE SUMMARY PIVOT'!$A$1666:$A$1793, 0))</f>
        <v>0</v>
      </c>
      <c r="GG44" s="172">
        <f>INDEX('STOPE SUMMARY PIVOT'!$J1666:$J1793, MATCH(GG$1,'STOPE SUMMARY PIVOT'!$A$1666:$A$1793, 0))</f>
        <v>0</v>
      </c>
      <c r="GH44" s="176">
        <f>INDEX('STOPE SUMMARY PIVOT'!$K$1666:$K$1793, MATCH(GG$1,'STOPE SUMMARY PIVOT'!$A$1666:$A$1793, 0))</f>
        <v>0</v>
      </c>
      <c r="GI44" s="172">
        <f>INDEX('STOPE SUMMARY PIVOT'!$J1666:$J1793, MATCH(GI$1,'STOPE SUMMARY PIVOT'!$A$1666:$A$1793, 0))</f>
        <v>0</v>
      </c>
      <c r="GJ44" s="176">
        <f>INDEX('STOPE SUMMARY PIVOT'!$K$1666:$K$1793, MATCH(GI$1,'STOPE SUMMARY PIVOT'!$A$1666:$A$1793, 0))</f>
        <v>0</v>
      </c>
      <c r="GK44" s="172">
        <f>INDEX('STOPE SUMMARY PIVOT'!$J1666:$J1793, MATCH(GK$1,'STOPE SUMMARY PIVOT'!$A$1666:$A$1793, 0))</f>
        <v>0</v>
      </c>
      <c r="GL44" s="176">
        <f>INDEX('STOPE SUMMARY PIVOT'!$K$1666:$K$1793, MATCH(GK$1,'STOPE SUMMARY PIVOT'!$A$1666:$A$1793, 0))</f>
        <v>0</v>
      </c>
      <c r="GM44" s="172">
        <f>INDEX('STOPE SUMMARY PIVOT'!$J1666:$J1793, MATCH(GM$1,'STOPE SUMMARY PIVOT'!$A$1666:$A$1793, 0))</f>
        <v>0</v>
      </c>
      <c r="GN44" s="176">
        <f>INDEX('STOPE SUMMARY PIVOT'!$K$1666:$K$1793, MATCH(GM$1,'STOPE SUMMARY PIVOT'!$A$1666:$A$1793, 0))</f>
        <v>0</v>
      </c>
      <c r="GO44" s="172">
        <f>INDEX('STOPE SUMMARY PIVOT'!$J1666:$J1793, MATCH(GO$1,'STOPE SUMMARY PIVOT'!$A$1666:$A$1793, 0))</f>
        <v>0</v>
      </c>
      <c r="GP44" s="176">
        <f>INDEX('STOPE SUMMARY PIVOT'!$K$1666:$K$1793, MATCH(GO$1,'STOPE SUMMARY PIVOT'!$A$1666:$A$1793, 0))</f>
        <v>0</v>
      </c>
      <c r="GQ44" s="172">
        <f>INDEX('STOPE SUMMARY PIVOT'!$J1666:$J1793, MATCH(GQ$1,'STOPE SUMMARY PIVOT'!$A$1666:$A$1793, 0))</f>
        <v>0</v>
      </c>
      <c r="GR44" s="176">
        <f>INDEX('STOPE SUMMARY PIVOT'!$K$1666:$K$1793, MATCH(GQ$1,'STOPE SUMMARY PIVOT'!$A$1666:$A$1793, 0))</f>
        <v>0</v>
      </c>
      <c r="GS44" s="172">
        <f>INDEX('STOPE SUMMARY PIVOT'!$J1666:$J1793, MATCH(GS$1,'STOPE SUMMARY PIVOT'!$A$1666:$A$1793, 0))</f>
        <v>0</v>
      </c>
      <c r="GT44" s="176">
        <f>INDEX('STOPE SUMMARY PIVOT'!$K$1666:$K$1793, MATCH(GS$1,'STOPE SUMMARY PIVOT'!$A$1666:$A$1793, 0))</f>
        <v>0</v>
      </c>
      <c r="GU44" s="172">
        <f>INDEX('STOPE SUMMARY PIVOT'!$J1666:$J1793, MATCH(GU$1,'STOPE SUMMARY PIVOT'!$A$1666:$A$1793, 0))</f>
        <v>0</v>
      </c>
      <c r="GV44" s="176">
        <f>INDEX('STOPE SUMMARY PIVOT'!$K$1666:$K$1793, MATCH(GU$1,'STOPE SUMMARY PIVOT'!$A$1666:$A$1793, 0))</f>
        <v>0</v>
      </c>
      <c r="GW44" s="172">
        <f>INDEX('STOPE SUMMARY PIVOT'!$J1666:$J1793, MATCH(GW$1,'STOPE SUMMARY PIVOT'!$A$1666:$A$1793, 0))</f>
        <v>0</v>
      </c>
      <c r="GX44" s="176">
        <f>INDEX('STOPE SUMMARY PIVOT'!$K$1666:$K$1793, MATCH(GW$1,'STOPE SUMMARY PIVOT'!$A$1666:$A$1793, 0))</f>
        <v>0</v>
      </c>
      <c r="GY44" s="172">
        <f>INDEX('STOPE SUMMARY PIVOT'!$J1666:$J1793, MATCH(GY$1,'STOPE SUMMARY PIVOT'!$A$1666:$A$1793, 0))</f>
        <v>0</v>
      </c>
      <c r="GZ44" s="176">
        <f>INDEX('STOPE SUMMARY PIVOT'!$K$1666:$K$1793, MATCH(GY$1,'STOPE SUMMARY PIVOT'!$A$1666:$A$1793, 0))</f>
        <v>0</v>
      </c>
      <c r="HA44" s="172">
        <f>INDEX('STOPE SUMMARY PIVOT'!$J1666:$J1793, MATCH(HA$1,'STOPE SUMMARY PIVOT'!$A$1666:$A$1793, 0))</f>
        <v>0</v>
      </c>
      <c r="HB44" s="176">
        <f>INDEX('STOPE SUMMARY PIVOT'!$K$1666:$K$1793, MATCH(HA$1,'STOPE SUMMARY PIVOT'!$A$1666:$A$1793, 0))</f>
        <v>0</v>
      </c>
      <c r="HC44" s="172">
        <f>INDEX('STOPE SUMMARY PIVOT'!$J1666:$J1793, MATCH(HC$1,'STOPE SUMMARY PIVOT'!$A$1666:$A$1793, 0))</f>
        <v>0</v>
      </c>
      <c r="HD44" s="176">
        <f>INDEX('STOPE SUMMARY PIVOT'!$K$1666:$K$1793, MATCH(HC$1,'STOPE SUMMARY PIVOT'!$A$1666:$A$1793, 0))</f>
        <v>0</v>
      </c>
      <c r="HE44" s="172">
        <f>INDEX('STOPE SUMMARY PIVOT'!$J1666:$J1793, MATCH(HE$1,'STOPE SUMMARY PIVOT'!$A$1666:$A$1793, 0))</f>
        <v>0</v>
      </c>
      <c r="HF44" s="176">
        <f>INDEX('STOPE SUMMARY PIVOT'!$K$1666:$K$1793, MATCH(HE$1,'STOPE SUMMARY PIVOT'!$A$1666:$A$1793, 0))</f>
        <v>0</v>
      </c>
      <c r="HG44" s="172">
        <f>INDEX('STOPE SUMMARY PIVOT'!$J1666:$J1793, MATCH(HG$1,'STOPE SUMMARY PIVOT'!$A$1666:$A$1793, 0))</f>
        <v>0</v>
      </c>
      <c r="HH44" s="176">
        <f>INDEX('STOPE SUMMARY PIVOT'!$K$1666:$K$1793, MATCH(HG$1,'STOPE SUMMARY PIVOT'!$A$1666:$A$1793, 0))</f>
        <v>0</v>
      </c>
      <c r="HI44" s="172">
        <f>INDEX('STOPE SUMMARY PIVOT'!$J1666:$J1793, MATCH(HI$1,'STOPE SUMMARY PIVOT'!$A$1666:$A$1793, 0))</f>
        <v>0</v>
      </c>
      <c r="HJ44" s="176">
        <f>INDEX('STOPE SUMMARY PIVOT'!$K$1666:$K$1793, MATCH(HI$1,'STOPE SUMMARY PIVOT'!$A$1666:$A$1793, 0))</f>
        <v>0</v>
      </c>
      <c r="HK44" s="172">
        <f>INDEX('STOPE SUMMARY PIVOT'!$J1666:$J1793, MATCH(HK$1,'STOPE SUMMARY PIVOT'!$A$1666:$A$1793, 0))</f>
        <v>0</v>
      </c>
      <c r="HL44" s="176">
        <f>INDEX('STOPE SUMMARY PIVOT'!$K$1666:$K$1793, MATCH(HK$1,'STOPE SUMMARY PIVOT'!$A$1666:$A$1793, 0))</f>
        <v>0</v>
      </c>
      <c r="HM44" s="172">
        <f>INDEX('STOPE SUMMARY PIVOT'!$J1666:$J1793, MATCH(HM$1,'STOPE SUMMARY PIVOT'!$A$1666:$A$1793, 0))</f>
        <v>0</v>
      </c>
      <c r="HN44" s="176">
        <f>INDEX('STOPE SUMMARY PIVOT'!$K$1666:$K$1793, MATCH(HM$1,'STOPE SUMMARY PIVOT'!$A$1666:$A$1793, 0))</f>
        <v>0</v>
      </c>
      <c r="HO44" s="172">
        <f>INDEX('STOPE SUMMARY PIVOT'!$J1666:$J1793, MATCH(HO$1,'STOPE SUMMARY PIVOT'!$A$1666:$A$1793, 0))</f>
        <v>0</v>
      </c>
      <c r="HP44" s="176">
        <f>INDEX('STOPE SUMMARY PIVOT'!$K$1666:$K$1793, MATCH(HO$1,'STOPE SUMMARY PIVOT'!$A$1666:$A$1793, 0))</f>
        <v>0</v>
      </c>
      <c r="HQ44" s="172">
        <f>INDEX('STOPE SUMMARY PIVOT'!$J1666:$J1793, MATCH(HQ$1,'STOPE SUMMARY PIVOT'!$A$1666:$A$1793, 0))</f>
        <v>0</v>
      </c>
      <c r="HR44" s="176">
        <f>INDEX('STOPE SUMMARY PIVOT'!$K$1666:$K$1793, MATCH(HQ$1,'STOPE SUMMARY PIVOT'!$A$1666:$A$1793, 0))</f>
        <v>0</v>
      </c>
      <c r="HS44" s="172">
        <f>INDEX('STOPE SUMMARY PIVOT'!$J1666:$J1793, MATCH(HS$1,'STOPE SUMMARY PIVOT'!$A$1666:$A$1793, 0))</f>
        <v>0</v>
      </c>
      <c r="HT44" s="176">
        <f>INDEX('STOPE SUMMARY PIVOT'!$K$1666:$K$1793, MATCH(HS$1,'STOPE SUMMARY PIVOT'!$A$1666:$A$1793, 0))</f>
        <v>0</v>
      </c>
      <c r="HU44" s="172">
        <f>INDEX('STOPE SUMMARY PIVOT'!$J1666:$J1793, MATCH(HU$1,'STOPE SUMMARY PIVOT'!$A$1666:$A$1793, 0))</f>
        <v>0</v>
      </c>
      <c r="HV44" s="176">
        <f>INDEX('STOPE SUMMARY PIVOT'!$K$1666:$K$1793, MATCH(HU$1,'STOPE SUMMARY PIVOT'!$A$1666:$A$1793, 0))</f>
        <v>0</v>
      </c>
      <c r="HW44" s="172">
        <f>INDEX('STOPE SUMMARY PIVOT'!$J1666:$J1793, MATCH(HW$1,'STOPE SUMMARY PIVOT'!$A$1666:$A$1793, 0))</f>
        <v>0</v>
      </c>
      <c r="HX44" s="176">
        <f>INDEX('STOPE SUMMARY PIVOT'!$K$1666:$K$1793, MATCH(HW$1,'STOPE SUMMARY PIVOT'!$A$1666:$A$1793, 0))</f>
        <v>0</v>
      </c>
      <c r="HY44" s="172">
        <f>INDEX('STOPE SUMMARY PIVOT'!$J1666:$J1793, MATCH(HY$1,'STOPE SUMMARY PIVOT'!$A$1666:$A$1793, 0))</f>
        <v>0</v>
      </c>
      <c r="HZ44" s="176">
        <f>INDEX('STOPE SUMMARY PIVOT'!$K$1666:$K$1793, MATCH(HY$1,'STOPE SUMMARY PIVOT'!$A$1666:$A$1793, 0))</f>
        <v>0</v>
      </c>
      <c r="IA44" s="172">
        <f>INDEX('STOPE SUMMARY PIVOT'!$J1666:$J1793, MATCH(IA$1,'STOPE SUMMARY PIVOT'!$A$1666:$A$1793, 0))</f>
        <v>0</v>
      </c>
      <c r="IB44" s="176">
        <f>INDEX('STOPE SUMMARY PIVOT'!$K$1666:$K$1793, MATCH(IA$1,'STOPE SUMMARY PIVOT'!$A$1666:$A$1793, 0))</f>
        <v>0</v>
      </c>
      <c r="IC44" s="172">
        <f>INDEX('STOPE SUMMARY PIVOT'!$J1666:$J1793, MATCH(IC$1,'STOPE SUMMARY PIVOT'!$A$1666:$A$1793, 0))</f>
        <v>0</v>
      </c>
      <c r="ID44" s="176">
        <f>INDEX('STOPE SUMMARY PIVOT'!$K$1666:$K$1793, MATCH(IC$1,'STOPE SUMMARY PIVOT'!$A$1666:$A$1793, 0))</f>
        <v>0</v>
      </c>
      <c r="IE44" s="172">
        <f>INDEX('STOPE SUMMARY PIVOT'!$J1666:$J1793, MATCH(IE$1,'STOPE SUMMARY PIVOT'!$A$1666:$A$1793, 0))</f>
        <v>0</v>
      </c>
      <c r="IF44" s="176">
        <f>INDEX('STOPE SUMMARY PIVOT'!$K$1666:$K$1793, MATCH(IE$1,'STOPE SUMMARY PIVOT'!$A$1666:$A$1793, 0))</f>
        <v>0</v>
      </c>
      <c r="IG44" s="172">
        <f>INDEX('STOPE SUMMARY PIVOT'!$J1666:$J1793, MATCH(IG$1,'STOPE SUMMARY PIVOT'!$A$1666:$A$1793, 0))</f>
        <v>0</v>
      </c>
      <c r="IH44" s="176">
        <f>INDEX('STOPE SUMMARY PIVOT'!$K$1666:$K$1793, MATCH(IG$1,'STOPE SUMMARY PIVOT'!$A$1666:$A$1793, 0))</f>
        <v>0</v>
      </c>
      <c r="II44" s="172">
        <f>INDEX('STOPE SUMMARY PIVOT'!$J1666:$J1793, MATCH(II$1,'STOPE SUMMARY PIVOT'!$A$1666:$A$1793, 0))</f>
        <v>0</v>
      </c>
      <c r="IJ44" s="176">
        <f>INDEX('STOPE SUMMARY PIVOT'!$K$1666:$K$1793, MATCH(II$1,'STOPE SUMMARY PIVOT'!$A$1666:$A$1793, 0))</f>
        <v>0</v>
      </c>
      <c r="IK44" s="172">
        <f>INDEX('STOPE SUMMARY PIVOT'!$J1666:$J1793, MATCH(IK$1,'STOPE SUMMARY PIVOT'!$A$1666:$A$1793, 0))</f>
        <v>0</v>
      </c>
      <c r="IL44" s="176">
        <f>INDEX('STOPE SUMMARY PIVOT'!$K$1666:$K$1793, MATCH(IK$1,'STOPE SUMMARY PIVOT'!$A$1666:$A$1793, 0))</f>
        <v>0</v>
      </c>
      <c r="IM44" s="172">
        <f>INDEX('STOPE SUMMARY PIVOT'!$J1666:$J1793, MATCH(IM$1,'STOPE SUMMARY PIVOT'!$A$1666:$A$1793, 0))</f>
        <v>0</v>
      </c>
      <c r="IN44" s="176">
        <f>INDEX('STOPE SUMMARY PIVOT'!$K$1666:$K$1793, MATCH(IM$1,'STOPE SUMMARY PIVOT'!$A$1666:$A$1793, 0))</f>
        <v>0</v>
      </c>
      <c r="IO44" s="172">
        <f>INDEX('STOPE SUMMARY PIVOT'!$J1666:$J1793, MATCH(IO$1,'STOPE SUMMARY PIVOT'!$A$1666:$A$1793, 0))</f>
        <v>0</v>
      </c>
      <c r="IP44" s="176">
        <f>INDEX('STOPE SUMMARY PIVOT'!$K$1666:$K$1793, MATCH(IO$1,'STOPE SUMMARY PIVOT'!$A$1666:$A$1793, 0))</f>
        <v>0</v>
      </c>
      <c r="IQ44" s="172">
        <f>INDEX('STOPE SUMMARY PIVOT'!$J1666:$J1793, MATCH(IQ$1,'STOPE SUMMARY PIVOT'!$A$1666:$A$1793, 0))</f>
        <v>0</v>
      </c>
      <c r="IR44" s="176">
        <f>INDEX('STOPE SUMMARY PIVOT'!$K$1666:$K$1793, MATCH(IQ$1,'STOPE SUMMARY PIVOT'!$A$1666:$A$1793, 0))</f>
        <v>0</v>
      </c>
      <c r="IS44" s="172">
        <f>INDEX('STOPE SUMMARY PIVOT'!$J1666:$J1793, MATCH(IS$1,'STOPE SUMMARY PIVOT'!$A$1666:$A$1793, 0))</f>
        <v>0</v>
      </c>
      <c r="IT44" s="176">
        <f>INDEX('STOPE SUMMARY PIVOT'!$K$1666:$K$1793, MATCH(IS$1,'STOPE SUMMARY PIVOT'!$A$1666:$A$1793, 0))</f>
        <v>0</v>
      </c>
      <c r="IU44" s="172">
        <f>INDEX('STOPE SUMMARY PIVOT'!$J1666:$J1793, MATCH(IU$1,'STOPE SUMMARY PIVOT'!$A$1666:$A$1793, 0))</f>
        <v>0</v>
      </c>
      <c r="IV44" s="176">
        <f>INDEX('STOPE SUMMARY PIVOT'!$K$1666:$K$1793, MATCH(IU$1,'STOPE SUMMARY PIVOT'!$A$1666:$A$1793, 0))</f>
        <v>0</v>
      </c>
      <c r="IW44" s="172">
        <f>INDEX('STOPE SUMMARY PIVOT'!$J1666:$J1793, MATCH(IW$1,'STOPE SUMMARY PIVOT'!$A$1666:$A$1793, 0))</f>
        <v>0</v>
      </c>
      <c r="IX44" s="176">
        <f>INDEX('STOPE SUMMARY PIVOT'!$K$1666:$K$1793, MATCH(IW$1,'STOPE SUMMARY PIVOT'!$A$1666:$A$1793, 0))</f>
        <v>0</v>
      </c>
      <c r="IY44" s="172">
        <f>INDEX('STOPE SUMMARY PIVOT'!$J1666:$J1793, MATCH(IY$1,'STOPE SUMMARY PIVOT'!$A$1666:$A$1793, 0))</f>
        <v>0</v>
      </c>
      <c r="IZ44" s="176">
        <f>INDEX('STOPE SUMMARY PIVOT'!$K$1666:$K$1793, MATCH(IY$1,'STOPE SUMMARY PIVOT'!$A$1666:$A$1793, 0))</f>
        <v>0</v>
      </c>
    </row>
    <row r="45" spans="1:260" x14ac:dyDescent="0.25">
      <c r="A45" s="1589">
        <v>45717</v>
      </c>
      <c r="B45" s="162" t="s">
        <v>218</v>
      </c>
      <c r="C45" s="163" cm="1">
        <f t="array" ref="C45">SUM(_xlfn._xlws.FILTER(E45:IZ45, MOD(COLUMN(E45:IZ45)-COLUMN(E45)+1,2)=1))</f>
        <v>23397</v>
      </c>
      <c r="D45" s="164" cm="1">
        <f t="array" ref="D45">IFERROR(SUMPRODUCT(_xlfn._xlws.FILTER(E45:IZ45, MOD(COLUMN(E45:IZ45)-COLUMN(E45)+1,2)=1), _xlfn._xlws.FILTER(E45:IZ45, MOD(COLUMN(E45:IZ45)-COLUMN(E45)+1,2)=0))/C45,"")</f>
        <v>1.9949570457750989</v>
      </c>
      <c r="E45" s="165">
        <f>INDEX('STOPE SUMMARY PIVOT'!$D$1794:$D$1921, MATCH(E$1,'STOPE SUMMARY PIVOT'!$A$1794:$A$1921, 0))</f>
        <v>0</v>
      </c>
      <c r="F45" s="174">
        <f>INDEX('STOPE SUMMARY PIVOT'!$E$1794:$E$1921, MATCH(E$1,'STOPE SUMMARY PIVOT'!$A$1794:$A$1921, 0))</f>
        <v>0</v>
      </c>
      <c r="G45" s="165">
        <f>INDEX('STOPE SUMMARY PIVOT'!$D$1794:$D$1921, MATCH(G$1,'STOPE SUMMARY PIVOT'!$A$1794:$A$1921, 0))</f>
        <v>0</v>
      </c>
      <c r="H45" s="174">
        <f>INDEX('STOPE SUMMARY PIVOT'!$E$1794:$E$1921, MATCH(G$1,'STOPE SUMMARY PIVOT'!$A$1794:$A$1921, 0))</f>
        <v>0</v>
      </c>
      <c r="I45" s="165">
        <f>INDEX('STOPE SUMMARY PIVOT'!$D$1794:$D$1921, MATCH(I$1,'STOPE SUMMARY PIVOT'!$A$1794:$A$1921, 0))</f>
        <v>0</v>
      </c>
      <c r="J45" s="166">
        <f>INDEX('STOPE SUMMARY PIVOT'!$E$1794:$E$1921, MATCH(I$1,'STOPE SUMMARY PIVOT'!$A$1794:$A$1921, 0))</f>
        <v>0</v>
      </c>
      <c r="K45" s="165">
        <f>INDEX('STOPE SUMMARY PIVOT'!$D$1794:$D$1921, MATCH(K$1,'STOPE SUMMARY PIVOT'!$A$1794:$A$1921, 0))</f>
        <v>0</v>
      </c>
      <c r="L45" s="166">
        <f>INDEX('STOPE SUMMARY PIVOT'!$E$1794:$E$1921, MATCH(K$1,'STOPE SUMMARY PIVOT'!$A$1794:$A$1921, 0))</f>
        <v>0</v>
      </c>
      <c r="M45" s="165">
        <f>INDEX('STOPE SUMMARY PIVOT'!$D$1794:$D$1921, MATCH(M$1,'STOPE SUMMARY PIVOT'!$A$1794:$A$1921, 0))</f>
        <v>0</v>
      </c>
      <c r="N45" s="166">
        <f>INDEX('STOPE SUMMARY PIVOT'!$E$1794:$E$1921, MATCH(M$1,'STOPE SUMMARY PIVOT'!$A$1794:$A$1921, 0))</f>
        <v>0</v>
      </c>
      <c r="O45" s="165">
        <f>INDEX('STOPE SUMMARY PIVOT'!$D$1794:$D$1921, MATCH(O$1,'STOPE SUMMARY PIVOT'!$A$1794:$A$1921, 0))</f>
        <v>0</v>
      </c>
      <c r="P45" s="166">
        <f>INDEX('STOPE SUMMARY PIVOT'!$E$1794:$E$1921, MATCH(O$1,'STOPE SUMMARY PIVOT'!$A$1794:$A$1921, 0))</f>
        <v>0</v>
      </c>
      <c r="Q45" s="165">
        <f>INDEX('STOPE SUMMARY PIVOT'!$D$1794:$D$1921, MATCH(Q$1,'STOPE SUMMARY PIVOT'!$A$1794:$A$1921, 0))</f>
        <v>0</v>
      </c>
      <c r="R45" s="166">
        <f>INDEX('STOPE SUMMARY PIVOT'!$E$1794:$E$1921, MATCH(Q$1,'STOPE SUMMARY PIVOT'!$A$1794:$A$1921, 0))</f>
        <v>0</v>
      </c>
      <c r="S45" s="165">
        <f>INDEX('STOPE SUMMARY PIVOT'!$D$1794:$D$1921, MATCH(S$1,'STOPE SUMMARY PIVOT'!$A$1794:$A$1921, 0))</f>
        <v>0</v>
      </c>
      <c r="T45" s="166">
        <f>INDEX('STOPE SUMMARY PIVOT'!$E$1794:$E$1921, MATCH(S$1,'STOPE SUMMARY PIVOT'!$A$1794:$A$1921, 0))</f>
        <v>0</v>
      </c>
      <c r="U45" s="165">
        <f>INDEX('STOPE SUMMARY PIVOT'!$D$1794:$D$1921, MATCH(U$1,'STOPE SUMMARY PIVOT'!$A$1794:$A$1921, 0))</f>
        <v>0</v>
      </c>
      <c r="V45" s="174">
        <f>INDEX('STOPE SUMMARY PIVOT'!$E$1794:$E$1921, MATCH(U$1,'STOPE SUMMARY PIVOT'!$A$1794:$A$1921, 0))</f>
        <v>0</v>
      </c>
      <c r="W45" s="165">
        <f>INDEX('STOPE SUMMARY PIVOT'!$D$1794:$D$1921, MATCH(W$1,'STOPE SUMMARY PIVOT'!$A$1794:$A$1921, 0))</f>
        <v>0</v>
      </c>
      <c r="X45" s="174">
        <f>INDEX('STOPE SUMMARY PIVOT'!$E$1794:$E$1921, MATCH(W$1,'STOPE SUMMARY PIVOT'!$A$1794:$A$1921, 0))</f>
        <v>0</v>
      </c>
      <c r="Y45" s="165">
        <f>INDEX('STOPE SUMMARY PIVOT'!$D$1794:$D$1921, MATCH(Y$1,'STOPE SUMMARY PIVOT'!$A$1794:$A$1921, 0))</f>
        <v>2921</v>
      </c>
      <c r="Z45" s="174">
        <f>INDEX('STOPE SUMMARY PIVOT'!$E$1794:$E$1921, MATCH(Y$1,'STOPE SUMMARY PIVOT'!$A$1794:$A$1921, 0))</f>
        <v>2.5499999999999998</v>
      </c>
      <c r="AA45" s="165">
        <f>INDEX('STOPE SUMMARY PIVOT'!$D$1794:$D$1921, MATCH(AA$1,'STOPE SUMMARY PIVOT'!$A$1794:$A$1921, 0))</f>
        <v>1947</v>
      </c>
      <c r="AB45" s="174">
        <f>INDEX('STOPE SUMMARY PIVOT'!$E$1794:$E$1921, MATCH(AA$1,'STOPE SUMMARY PIVOT'!$A$1794:$A$1921, 0))</f>
        <v>0.8</v>
      </c>
      <c r="AC45" s="165">
        <f>INDEX('STOPE SUMMARY PIVOT'!$D$1794:$D$1921, MATCH(AC$1,'STOPE SUMMARY PIVOT'!$A$1794:$A$1921, 0))</f>
        <v>1947</v>
      </c>
      <c r="AD45" s="174">
        <f>INDEX('STOPE SUMMARY PIVOT'!$E$1794:$E$1921, MATCH(AC$1,'STOPE SUMMARY PIVOT'!$A$1794:$A$1921, 0))</f>
        <v>1.72</v>
      </c>
      <c r="AE45" s="165">
        <f>INDEX('STOPE SUMMARY PIVOT'!$D$1794:$D$1921, MATCH(AE$1,'STOPE SUMMARY PIVOT'!$A$1794:$A$1921, 0))</f>
        <v>0</v>
      </c>
      <c r="AF45" s="174">
        <f>INDEX('STOPE SUMMARY PIVOT'!$E$1794:$E$1921, MATCH(AE$1,'STOPE SUMMARY PIVOT'!$A$1794:$A$1921, 0))</f>
        <v>0</v>
      </c>
      <c r="AG45" s="165">
        <f>INDEX('STOPE SUMMARY PIVOT'!$D$1794:$D$1921, MATCH(AG$1,'STOPE SUMMARY PIVOT'!$A$1794:$A$1921, 0))</f>
        <v>0</v>
      </c>
      <c r="AH45" s="174">
        <f>INDEX('STOPE SUMMARY PIVOT'!$E$1794:$E$1921, MATCH(AG$1,'STOPE SUMMARY PIVOT'!$A$1794:$A$1921, 0))</f>
        <v>0</v>
      </c>
      <c r="AI45" s="165">
        <f>INDEX('STOPE SUMMARY PIVOT'!$D$1794:$D$1921, MATCH(AI$1,'STOPE SUMMARY PIVOT'!$A$1794:$A$1921, 0))</f>
        <v>0</v>
      </c>
      <c r="AJ45" s="174">
        <f>INDEX('STOPE SUMMARY PIVOT'!$E$1794:$E$1921, MATCH(AI$1,'STOPE SUMMARY PIVOT'!$A$1794:$A$1921, 0))</f>
        <v>0</v>
      </c>
      <c r="AK45" s="165">
        <f>INDEX('STOPE SUMMARY PIVOT'!$D$1794:$D$1921, MATCH(AK$1,'STOPE SUMMARY PIVOT'!$A$1794:$A$1921, 0))</f>
        <v>0</v>
      </c>
      <c r="AL45" s="174">
        <f>INDEX('STOPE SUMMARY PIVOT'!$E$1794:$E$1921, MATCH(AK$1,'STOPE SUMMARY PIVOT'!$A$1794:$A$1921, 0))</f>
        <v>0</v>
      </c>
      <c r="AM45" s="165">
        <f>INDEX('STOPE SUMMARY PIVOT'!$D$1794:$D$1921, MATCH(AM$1,'STOPE SUMMARY PIVOT'!$A$1794:$A$1921, 0))</f>
        <v>0</v>
      </c>
      <c r="AN45" s="174">
        <f>INDEX('STOPE SUMMARY PIVOT'!$E$1794:$E$1921, MATCH(AM$1,'STOPE SUMMARY PIVOT'!$A$1794:$A$1921, 0))</f>
        <v>0</v>
      </c>
      <c r="AO45" s="165">
        <f>INDEX('STOPE SUMMARY PIVOT'!$D$1794:$D$1921, MATCH(AO$1,'STOPE SUMMARY PIVOT'!$A$1794:$A$1921, 0))</f>
        <v>0</v>
      </c>
      <c r="AP45" s="174">
        <f>INDEX('STOPE SUMMARY PIVOT'!$E$1794:$E$1921, MATCH(AO$1,'STOPE SUMMARY PIVOT'!$A$1794:$A$1921, 0))</f>
        <v>0</v>
      </c>
      <c r="AQ45" s="165">
        <f>INDEX('STOPE SUMMARY PIVOT'!$D$1794:$D$1921, MATCH(AQ$1,'STOPE SUMMARY PIVOT'!$A$1794:$A$1921, 0))</f>
        <v>0</v>
      </c>
      <c r="AR45" s="174">
        <f>INDEX('STOPE SUMMARY PIVOT'!$E$1794:$E$1921, MATCH(AQ$1,'STOPE SUMMARY PIVOT'!$A$1794:$A$1921, 0))</f>
        <v>0</v>
      </c>
      <c r="AS45" s="165">
        <f>INDEX('STOPE SUMMARY PIVOT'!$D$1794:$D$1921, MATCH(AS$1,'STOPE SUMMARY PIVOT'!$A$1794:$A$1921, 0))</f>
        <v>0</v>
      </c>
      <c r="AT45" s="174">
        <f>INDEX('STOPE SUMMARY PIVOT'!$E$1794:$E$1921, MATCH(AS$1,'STOPE SUMMARY PIVOT'!$A$1794:$A$1921, 0))</f>
        <v>0</v>
      </c>
      <c r="AU45" s="165">
        <f>INDEX('STOPE SUMMARY PIVOT'!$D$1794:$D$1921, MATCH(AU$1,'STOPE SUMMARY PIVOT'!$A$1794:$A$1921, 0))</f>
        <v>0</v>
      </c>
      <c r="AV45" s="174">
        <f>INDEX('STOPE SUMMARY PIVOT'!$E$1794:$E$1921, MATCH(AU$1,'STOPE SUMMARY PIVOT'!$A$1794:$A$1921, 0))</f>
        <v>0</v>
      </c>
      <c r="AW45" s="165">
        <f>INDEX('STOPE SUMMARY PIVOT'!$D$1794:$D$1921, MATCH(AW$1,'STOPE SUMMARY PIVOT'!$A$1794:$A$1921, 0))</f>
        <v>0</v>
      </c>
      <c r="AX45" s="174">
        <f>INDEX('STOPE SUMMARY PIVOT'!$E$1794:$E$1921, MATCH(AW$1,'STOPE SUMMARY PIVOT'!$A$1794:$A$1921, 0))</f>
        <v>0</v>
      </c>
      <c r="AY45" s="165">
        <f>INDEX('STOPE SUMMARY PIVOT'!$D$1794:$D$1921, MATCH(AY$1,'STOPE SUMMARY PIVOT'!$A$1794:$A$1921, 0))</f>
        <v>0</v>
      </c>
      <c r="AZ45" s="174">
        <f>INDEX('STOPE SUMMARY PIVOT'!$E$1794:$E$1921, MATCH(AY$1,'STOPE SUMMARY PIVOT'!$A$1794:$A$1921, 0))</f>
        <v>0</v>
      </c>
      <c r="BA45" s="165">
        <f>INDEX('STOPE SUMMARY PIVOT'!$D$1794:$D$1921, MATCH(BA$1,'STOPE SUMMARY PIVOT'!$A$1794:$A$1921, 0))</f>
        <v>0</v>
      </c>
      <c r="BB45" s="174">
        <f>INDEX('STOPE SUMMARY PIVOT'!$E$1794:$E$1921, MATCH(BA$1,'STOPE SUMMARY PIVOT'!$A$1794:$A$1921, 0))</f>
        <v>0</v>
      </c>
      <c r="BC45" s="165">
        <f>INDEX('STOPE SUMMARY PIVOT'!$D$1794:$D$1921, MATCH(BC$1,'STOPE SUMMARY PIVOT'!$A$1794:$A$1921, 0))</f>
        <v>0</v>
      </c>
      <c r="BD45" s="174">
        <f>INDEX('STOPE SUMMARY PIVOT'!$E$1794:$E$1921, MATCH(BC$1,'STOPE SUMMARY PIVOT'!$A$1794:$A$1921, 0))</f>
        <v>0</v>
      </c>
      <c r="BE45" s="165">
        <f>INDEX('STOPE SUMMARY PIVOT'!$D$1794:$D$1921, MATCH(BE$1,'STOPE SUMMARY PIVOT'!$A$1794:$A$1921, 0))</f>
        <v>0</v>
      </c>
      <c r="BF45" s="174">
        <f>INDEX('STOPE SUMMARY PIVOT'!$E$1794:$E$1921, MATCH(BE$1,'STOPE SUMMARY PIVOT'!$A$1794:$A$1921, 0))</f>
        <v>0</v>
      </c>
      <c r="BG45" s="165">
        <f>INDEX('STOPE SUMMARY PIVOT'!$D$1794:$D$1921, MATCH(BG$1,'STOPE SUMMARY PIVOT'!$A$1794:$A$1921, 0))</f>
        <v>0</v>
      </c>
      <c r="BH45" s="174">
        <f>INDEX('STOPE SUMMARY PIVOT'!$E$1794:$E$1921, MATCH(BG$1,'STOPE SUMMARY PIVOT'!$A$1794:$A$1921, 0))</f>
        <v>0</v>
      </c>
      <c r="BI45" s="165">
        <f>INDEX('STOPE SUMMARY PIVOT'!$D$1794:$D$1921, MATCH(BI$1,'STOPE SUMMARY PIVOT'!$A$1794:$A$1921, 0))</f>
        <v>0</v>
      </c>
      <c r="BJ45" s="174">
        <f>INDEX('STOPE SUMMARY PIVOT'!$E$1794:$E$1921, MATCH(BI$1,'STOPE SUMMARY PIVOT'!$A$1794:$A$1921, 0))</f>
        <v>0</v>
      </c>
      <c r="BK45" s="165">
        <f>INDEX('STOPE SUMMARY PIVOT'!$D$1794:$D$1921, MATCH(BK$1,'STOPE SUMMARY PIVOT'!$A$1794:$A$1921, 0))</f>
        <v>0</v>
      </c>
      <c r="BL45" s="174">
        <f>INDEX('STOPE SUMMARY PIVOT'!$E$1794:$E$1921, MATCH(BK$1,'STOPE SUMMARY PIVOT'!$A$1794:$A$1921, 0))</f>
        <v>0</v>
      </c>
      <c r="BM45" s="165">
        <f>INDEX('STOPE SUMMARY PIVOT'!$D$1794:$D$1921, MATCH(BM$1,'STOPE SUMMARY PIVOT'!$A$1794:$A$1921, 0))</f>
        <v>0</v>
      </c>
      <c r="BN45" s="174">
        <f>INDEX('STOPE SUMMARY PIVOT'!$E$1794:$E$1921, MATCH(BM$1,'STOPE SUMMARY PIVOT'!$A$1794:$A$1921, 0))</f>
        <v>0</v>
      </c>
      <c r="BO45" s="165">
        <f>INDEX('STOPE SUMMARY PIVOT'!$D$1794:$D$1921, MATCH(BO$1,'STOPE SUMMARY PIVOT'!$A$1794:$A$1921, 0))</f>
        <v>0</v>
      </c>
      <c r="BP45" s="174">
        <f>INDEX('STOPE SUMMARY PIVOT'!$E$1794:$E$1921, MATCH(BO$1,'STOPE SUMMARY PIVOT'!$A$1794:$A$1921, 0))</f>
        <v>0</v>
      </c>
      <c r="BQ45" s="165">
        <f>INDEX('STOPE SUMMARY PIVOT'!$D$1794:$D$1921, MATCH(BQ$1,'STOPE SUMMARY PIVOT'!$A$1794:$A$1921, 0))</f>
        <v>0</v>
      </c>
      <c r="BR45" s="174">
        <f>INDEX('STOPE SUMMARY PIVOT'!$E$1794:$E$1921, MATCH(BQ$1,'STOPE SUMMARY PIVOT'!$A$1794:$A$1921, 0))</f>
        <v>0</v>
      </c>
      <c r="BS45" s="165">
        <f>INDEX('STOPE SUMMARY PIVOT'!$D$1794:$D$1921, MATCH(BS$1,'STOPE SUMMARY PIVOT'!$A$1794:$A$1921, 0))</f>
        <v>0</v>
      </c>
      <c r="BT45" s="174">
        <f>INDEX('STOPE SUMMARY PIVOT'!$E$1794:$E$1921, MATCH(BS$1,'STOPE SUMMARY PIVOT'!$A$1794:$A$1921, 0))</f>
        <v>0</v>
      </c>
      <c r="BU45" s="165">
        <f>INDEX('STOPE SUMMARY PIVOT'!$D$1794:$D$1921, MATCH(BU$1,'STOPE SUMMARY PIVOT'!$A$1794:$A$1921, 0))</f>
        <v>1798</v>
      </c>
      <c r="BV45" s="174">
        <f>INDEX('STOPE SUMMARY PIVOT'!$E$1794:$E$1921, MATCH(BU$1,'STOPE SUMMARY PIVOT'!$A$1794:$A$1921, 0))</f>
        <v>1.4</v>
      </c>
      <c r="BW45" s="165">
        <f>INDEX('STOPE SUMMARY PIVOT'!$D$1794:$D$1921, MATCH(BW$1,'STOPE SUMMARY PIVOT'!$A$1794:$A$1921, 0))</f>
        <v>0</v>
      </c>
      <c r="BX45" s="174">
        <f>INDEX('STOPE SUMMARY PIVOT'!$E$1794:$E$1921, MATCH(BW$1,'STOPE SUMMARY PIVOT'!$A$1794:$A$1921, 0))</f>
        <v>0</v>
      </c>
      <c r="BY45" s="165">
        <f>INDEX('STOPE SUMMARY PIVOT'!$D$1794:$D$1921, MATCH(BY$1,'STOPE SUMMARY PIVOT'!$A$1794:$A$1921, 0))</f>
        <v>0</v>
      </c>
      <c r="BZ45" s="174">
        <f>INDEX('STOPE SUMMARY PIVOT'!$E$1794:$E$1921, MATCH(BY$1,'STOPE SUMMARY PIVOT'!$A$1794:$A$1921, 0))</f>
        <v>0</v>
      </c>
      <c r="CA45" s="165">
        <f>INDEX('STOPE SUMMARY PIVOT'!$D$1794:$D$1921, MATCH(CA$1,'STOPE SUMMARY PIVOT'!$A$1794:$A$1921, 0))</f>
        <v>0</v>
      </c>
      <c r="CB45" s="174">
        <f>INDEX('STOPE SUMMARY PIVOT'!$E$1794:$E$1921, MATCH(CA$1,'STOPE SUMMARY PIVOT'!$A$1794:$A$1921, 0))</f>
        <v>0</v>
      </c>
      <c r="CC45" s="165">
        <f>INDEX('STOPE SUMMARY PIVOT'!$D$1794:$D$1921, MATCH(CC$1,'STOPE SUMMARY PIVOT'!$A$1794:$A$1921, 0))</f>
        <v>0</v>
      </c>
      <c r="CD45" s="174">
        <f>INDEX('STOPE SUMMARY PIVOT'!$E$1794:$E$1921, MATCH(CC$1,'STOPE SUMMARY PIVOT'!$A$1794:$A$1921, 0))</f>
        <v>0</v>
      </c>
      <c r="CE45" s="165">
        <f>INDEX('STOPE SUMMARY PIVOT'!$D$1794:$D$1921, MATCH(CE$1,'STOPE SUMMARY PIVOT'!$A$1794:$A$1921, 0))</f>
        <v>0</v>
      </c>
      <c r="CF45" s="174">
        <f>INDEX('STOPE SUMMARY PIVOT'!$E$1794:$E$1921, MATCH(CE$1,'STOPE SUMMARY PIVOT'!$A$1794:$A$1921, 0))</f>
        <v>0</v>
      </c>
      <c r="CG45" s="165">
        <f>INDEX('STOPE SUMMARY PIVOT'!$D$1794:$D$1921, MATCH(CG$1,'STOPE SUMMARY PIVOT'!$A$1794:$A$1921, 0))</f>
        <v>0</v>
      </c>
      <c r="CH45" s="174">
        <f>INDEX('STOPE SUMMARY PIVOT'!$E$1794:$E$1921, MATCH(CG$1,'STOPE SUMMARY PIVOT'!$A$1794:$A$1921, 0))</f>
        <v>0</v>
      </c>
      <c r="CI45" s="165">
        <f>INDEX('STOPE SUMMARY PIVOT'!$D$1794:$D$1921, MATCH(CI$1,'STOPE SUMMARY PIVOT'!$A$1794:$A$1921, 0))</f>
        <v>0</v>
      </c>
      <c r="CJ45" s="174">
        <f>INDEX('STOPE SUMMARY PIVOT'!$E$1794:$E$1921, MATCH(CI$1,'STOPE SUMMARY PIVOT'!$A$1794:$A$1921, 0))</f>
        <v>0</v>
      </c>
      <c r="CK45" s="165">
        <f>INDEX('STOPE SUMMARY PIVOT'!$D$1794:$D$1921, MATCH(CK$1,'STOPE SUMMARY PIVOT'!$A$1794:$A$1921, 0))</f>
        <v>0</v>
      </c>
      <c r="CL45" s="174">
        <f>INDEX('STOPE SUMMARY PIVOT'!$E$1794:$E$1921, MATCH(CK$1,'STOPE SUMMARY PIVOT'!$A$1794:$A$1921, 0))</f>
        <v>0</v>
      </c>
      <c r="CM45" s="165">
        <f>INDEX('STOPE SUMMARY PIVOT'!$D$1794:$D$1921, MATCH(CM$1,'STOPE SUMMARY PIVOT'!$A$1794:$A$1921, 0))</f>
        <v>0</v>
      </c>
      <c r="CN45" s="174">
        <f>INDEX('STOPE SUMMARY PIVOT'!$E$1794:$E$1921, MATCH(CM$1,'STOPE SUMMARY PIVOT'!$A$1794:$A$1921, 0))</f>
        <v>0</v>
      </c>
      <c r="CO45" s="165">
        <f>INDEX('STOPE SUMMARY PIVOT'!$D$1794:$D$1921, MATCH(CO$1,'STOPE SUMMARY PIVOT'!$A$1794:$A$1921, 0))</f>
        <v>0</v>
      </c>
      <c r="CP45" s="174">
        <f>INDEX('STOPE SUMMARY PIVOT'!$E$1794:$E$1921, MATCH(CO$1,'STOPE SUMMARY PIVOT'!$A$1794:$A$1921, 0))</f>
        <v>0</v>
      </c>
      <c r="CQ45" s="165">
        <f>INDEX('STOPE SUMMARY PIVOT'!$D$1794:$D$1921, MATCH(CQ$1,'STOPE SUMMARY PIVOT'!$A$1794:$A$1921, 0))</f>
        <v>2534</v>
      </c>
      <c r="CR45" s="174">
        <f>INDEX('STOPE SUMMARY PIVOT'!$E$1794:$E$1921, MATCH(CQ$1,'STOPE SUMMARY PIVOT'!$A$1794:$A$1921, 0))</f>
        <v>1.81</v>
      </c>
      <c r="CS45" s="165">
        <f>INDEX('STOPE SUMMARY PIVOT'!$D$1794:$D$1921, MATCH(CS$1,'STOPE SUMMARY PIVOT'!$A$1794:$A$1921, 0))</f>
        <v>0</v>
      </c>
      <c r="CT45" s="174">
        <f>INDEX('STOPE SUMMARY PIVOT'!$E$1794:$E$1921, MATCH(CS$1,'STOPE SUMMARY PIVOT'!$A$1794:$A$1921, 0))</f>
        <v>0</v>
      </c>
      <c r="CU45" s="165">
        <f>INDEX('STOPE SUMMARY PIVOT'!$D$1794:$D$1921, MATCH(CU$1,'STOPE SUMMARY PIVOT'!$A$1794:$A$1921, 0))</f>
        <v>0</v>
      </c>
      <c r="CV45" s="174">
        <f>INDEX('STOPE SUMMARY PIVOT'!$E$1794:$E$1921, MATCH(CU$1,'STOPE SUMMARY PIVOT'!$A$1794:$A$1921, 0))</f>
        <v>0</v>
      </c>
      <c r="CW45" s="165">
        <f>INDEX('STOPE SUMMARY PIVOT'!$D$1794:$D$1921, MATCH(CW$1,'STOPE SUMMARY PIVOT'!$A$1794:$A$1921, 0))</f>
        <v>0</v>
      </c>
      <c r="CX45" s="174">
        <f>INDEX('STOPE SUMMARY PIVOT'!$E$1794:$E$1921, MATCH(CW$1,'STOPE SUMMARY PIVOT'!$A$1794:$A$1921, 0))</f>
        <v>0</v>
      </c>
      <c r="CY45" s="165">
        <f>INDEX('STOPE SUMMARY PIVOT'!$D$1794:$D$1921, MATCH(CY$1,'STOPE SUMMARY PIVOT'!$A$1794:$A$1921, 0))</f>
        <v>0</v>
      </c>
      <c r="CZ45" s="174">
        <f>INDEX('STOPE SUMMARY PIVOT'!$E$1794:$E$1921, MATCH(CY$1,'STOPE SUMMARY PIVOT'!$A$1794:$A$1921, 0))</f>
        <v>0</v>
      </c>
      <c r="DA45" s="165">
        <f>INDEX('STOPE SUMMARY PIVOT'!$D$1794:$D$1921, MATCH(DA$1,'STOPE SUMMARY PIVOT'!$A$1794:$A$1921, 0))</f>
        <v>0</v>
      </c>
      <c r="DB45" s="174">
        <f>INDEX('STOPE SUMMARY PIVOT'!$E$1794:$E$1921, MATCH(DA$1,'STOPE SUMMARY PIVOT'!$A$1794:$A$1921, 0))</f>
        <v>0</v>
      </c>
      <c r="DC45" s="165">
        <f>INDEX('STOPE SUMMARY PIVOT'!$D$1794:$D$1921, MATCH(DC$1,'STOPE SUMMARY PIVOT'!$A$1794:$A$1921, 0))</f>
        <v>0</v>
      </c>
      <c r="DD45" s="174">
        <f>INDEX('STOPE SUMMARY PIVOT'!$E$1794:$E$1921, MATCH(DC$1,'STOPE SUMMARY PIVOT'!$A$1794:$A$1921, 0))</f>
        <v>0</v>
      </c>
      <c r="DE45" s="165">
        <f>INDEX('STOPE SUMMARY PIVOT'!$D$1794:$D$1921, MATCH(DE$1,'STOPE SUMMARY PIVOT'!$A$1794:$A$1921, 0))</f>
        <v>0</v>
      </c>
      <c r="DF45" s="174">
        <f>INDEX('STOPE SUMMARY PIVOT'!$E$1794:$E$1921, MATCH(DE$1,'STOPE SUMMARY PIVOT'!$A$1794:$A$1921, 0))</f>
        <v>0</v>
      </c>
      <c r="DG45" s="165">
        <f>INDEX('STOPE SUMMARY PIVOT'!$D$1794:$D$1921, MATCH(DG$1,'STOPE SUMMARY PIVOT'!$A$1794:$A$1921, 0))</f>
        <v>0</v>
      </c>
      <c r="DH45" s="174">
        <f>INDEX('STOPE SUMMARY PIVOT'!$E$1794:$E$1921, MATCH(DG$1,'STOPE SUMMARY PIVOT'!$A$1794:$A$1921, 0))</f>
        <v>0</v>
      </c>
      <c r="DI45" s="165">
        <f>INDEX('STOPE SUMMARY PIVOT'!$D$1794:$D$1921, MATCH(DI$1,'STOPE SUMMARY PIVOT'!$A$1794:$A$1921, 0))</f>
        <v>0</v>
      </c>
      <c r="DJ45" s="174">
        <f>INDEX('STOPE SUMMARY PIVOT'!$E$1794:$E$1921, MATCH(DI$1,'STOPE SUMMARY PIVOT'!$A$1794:$A$1921, 0))</f>
        <v>0</v>
      </c>
      <c r="DK45" s="165">
        <f>INDEX('STOPE SUMMARY PIVOT'!$D$1794:$D$1921, MATCH(DK$1,'STOPE SUMMARY PIVOT'!$A$1794:$A$1921, 0))</f>
        <v>184</v>
      </c>
      <c r="DL45" s="174">
        <f>INDEX('STOPE SUMMARY PIVOT'!$E$1794:$E$1921, MATCH(DK$1,'STOPE SUMMARY PIVOT'!$A$1794:$A$1921, 0))</f>
        <v>0.82</v>
      </c>
      <c r="DM45" s="165">
        <f>INDEX('STOPE SUMMARY PIVOT'!$D$1794:$D$1921, MATCH(DM$1,'STOPE SUMMARY PIVOT'!$A$1794:$A$1921, 0))</f>
        <v>0</v>
      </c>
      <c r="DN45" s="174">
        <f>INDEX('STOPE SUMMARY PIVOT'!$E$1794:$E$1921, MATCH(DM$1,'STOPE SUMMARY PIVOT'!$A$1794:$A$1921, 0))</f>
        <v>0</v>
      </c>
      <c r="DO45" s="165">
        <f>INDEX('STOPE SUMMARY PIVOT'!$D$1794:$D$1921, MATCH(DO$1,'STOPE SUMMARY PIVOT'!$A$1794:$A$1921, 0))</f>
        <v>0</v>
      </c>
      <c r="DP45" s="174">
        <f>INDEX('STOPE SUMMARY PIVOT'!$E$1794:$E$1921, MATCH(DO$1,'STOPE SUMMARY PIVOT'!$A$1794:$A$1921, 0))</f>
        <v>0</v>
      </c>
      <c r="DQ45" s="165">
        <f>INDEX('STOPE SUMMARY PIVOT'!$D$1794:$D$1921, MATCH(DQ$1,'STOPE SUMMARY PIVOT'!$A$1794:$A$1921, 0))</f>
        <v>1792</v>
      </c>
      <c r="DR45" s="174">
        <f>INDEX('STOPE SUMMARY PIVOT'!$E$1794:$E$1921, MATCH(DQ$1,'STOPE SUMMARY PIVOT'!$A$1794:$A$1921, 0))</f>
        <v>0.69</v>
      </c>
      <c r="DS45" s="165">
        <f>INDEX('STOPE SUMMARY PIVOT'!$D$1794:$D$1921, MATCH(DS$1,'STOPE SUMMARY PIVOT'!$A$1794:$A$1921, 0))</f>
        <v>1798</v>
      </c>
      <c r="DT45" s="174">
        <f>INDEX('STOPE SUMMARY PIVOT'!$E$1794:$E$1921, MATCH(DS$1,'STOPE SUMMARY PIVOT'!$A$1794:$A$1921, 0))</f>
        <v>3.3</v>
      </c>
      <c r="DU45" s="165">
        <f>INDEX('STOPE SUMMARY PIVOT'!$D$1794:$D$1921, MATCH(DU$1,'STOPE SUMMARY PIVOT'!$A$1794:$A$1921, 0))</f>
        <v>0</v>
      </c>
      <c r="DV45" s="174">
        <f>INDEX('STOPE SUMMARY PIVOT'!$E$1794:$E$1921, MATCH(DU$1,'STOPE SUMMARY PIVOT'!$A$1794:$A$1921, 0))</f>
        <v>0</v>
      </c>
      <c r="DW45" s="165">
        <f>INDEX('STOPE SUMMARY PIVOT'!$D$1794:$D$1921, MATCH(DW$1,'STOPE SUMMARY PIVOT'!$A$1794:$A$1921, 0))</f>
        <v>85</v>
      </c>
      <c r="DX45" s="174">
        <f>INDEX('STOPE SUMMARY PIVOT'!$E$1794:$E$1921, MATCH(DW$1,'STOPE SUMMARY PIVOT'!$A$1794:$A$1921, 0))</f>
        <v>3.33</v>
      </c>
      <c r="DY45" s="165">
        <f>INDEX('STOPE SUMMARY PIVOT'!$D$1794:$D$1921, MATCH(DY$1,'STOPE SUMMARY PIVOT'!$A$1794:$A$1921, 0))</f>
        <v>85</v>
      </c>
      <c r="DZ45" s="174">
        <f>INDEX('STOPE SUMMARY PIVOT'!$E$1794:$E$1921, MATCH(DY$1,'STOPE SUMMARY PIVOT'!$A$1794:$A$1921, 0))</f>
        <v>2.94</v>
      </c>
      <c r="EA45" s="165">
        <f>INDEX('STOPE SUMMARY PIVOT'!$D$1794:$D$1921, MATCH(EA$1,'STOPE SUMMARY PIVOT'!$A$1794:$A$1921, 0))</f>
        <v>0</v>
      </c>
      <c r="EB45" s="174">
        <f>INDEX('STOPE SUMMARY PIVOT'!$E$1794:$E$1921, MATCH(EA$1,'STOPE SUMMARY PIVOT'!$A$1794:$A$1921, 0))</f>
        <v>0</v>
      </c>
      <c r="EC45" s="165">
        <f>INDEX('STOPE SUMMARY PIVOT'!$D$1794:$D$1921, MATCH(EC$1,'STOPE SUMMARY PIVOT'!$A$1794:$A$1921, 0))</f>
        <v>0</v>
      </c>
      <c r="ED45" s="174">
        <f>INDEX('STOPE SUMMARY PIVOT'!$E$1794:$E$1921, MATCH(EC$1,'STOPE SUMMARY PIVOT'!$A$1794:$A$1921, 0))</f>
        <v>0</v>
      </c>
      <c r="EE45" s="165">
        <f>INDEX('STOPE SUMMARY PIVOT'!$D$1794:$D$1921, MATCH(EE$1,'STOPE SUMMARY PIVOT'!$A$1794:$A$1921, 0))</f>
        <v>0</v>
      </c>
      <c r="EF45" s="174">
        <f>INDEX('STOPE SUMMARY PIVOT'!$E$1794:$E$1921, MATCH(EE$1,'STOPE SUMMARY PIVOT'!$A$1794:$A$1921, 0))</f>
        <v>0</v>
      </c>
      <c r="EG45" s="165">
        <f>INDEX('STOPE SUMMARY PIVOT'!$D$1794:$D$1921, MATCH(EG$1,'STOPE SUMMARY PIVOT'!$A$1794:$A$1921, 0))</f>
        <v>0</v>
      </c>
      <c r="EH45" s="174">
        <f>INDEX('STOPE SUMMARY PIVOT'!$E$1794:$E$1921, MATCH(EG$1,'STOPE SUMMARY PIVOT'!$A$1794:$A$1921, 0))</f>
        <v>0</v>
      </c>
      <c r="EI45" s="165">
        <f>INDEX('STOPE SUMMARY PIVOT'!$D$1794:$D$1921, MATCH(EI$1,'STOPE SUMMARY PIVOT'!$A$1794:$A$1921, 0))</f>
        <v>0</v>
      </c>
      <c r="EJ45" s="174">
        <f>INDEX('STOPE SUMMARY PIVOT'!$E$1794:$E$1921, MATCH(EI$1,'STOPE SUMMARY PIVOT'!$A$1794:$A$1921, 0))</f>
        <v>0</v>
      </c>
      <c r="EK45" s="165">
        <f>INDEX('STOPE SUMMARY PIVOT'!$D$1794:$D$1921, MATCH(EK$1,'STOPE SUMMARY PIVOT'!$A$1794:$A$1921, 0))</f>
        <v>0</v>
      </c>
      <c r="EL45" s="174">
        <f>INDEX('STOPE SUMMARY PIVOT'!$E$1794:$E$1921, MATCH(EK$1,'STOPE SUMMARY PIVOT'!$A$1794:$A$1921, 0))</f>
        <v>0</v>
      </c>
      <c r="EM45" s="165">
        <f>INDEX('STOPE SUMMARY PIVOT'!$D$1794:$D$1921, MATCH(EM$1,'STOPE SUMMARY PIVOT'!$A$1794:$A$1921, 0))</f>
        <v>0</v>
      </c>
      <c r="EN45" s="174">
        <f>INDEX('STOPE SUMMARY PIVOT'!$E$1794:$E$1921, MATCH(EM$1,'STOPE SUMMARY PIVOT'!$A$1794:$A$1921, 0))</f>
        <v>0</v>
      </c>
      <c r="EO45" s="165">
        <f>INDEX('STOPE SUMMARY PIVOT'!$D$1794:$D$1921, MATCH(EO$1,'STOPE SUMMARY PIVOT'!$A$1794:$A$1921, 0))</f>
        <v>2696</v>
      </c>
      <c r="EP45" s="174">
        <f>INDEX('STOPE SUMMARY PIVOT'!$E$1794:$E$1921, MATCH(EO$1,'STOPE SUMMARY PIVOT'!$A$1794:$A$1921, 0))</f>
        <v>2.83</v>
      </c>
      <c r="EQ45" s="165">
        <f>INDEX('STOPE SUMMARY PIVOT'!$D$1794:$D$1921, MATCH(EQ$1,'STOPE SUMMARY PIVOT'!$A$1794:$A$1921, 0))</f>
        <v>0</v>
      </c>
      <c r="ER45" s="174">
        <f>INDEX('STOPE SUMMARY PIVOT'!$E$1794:$E$1921, MATCH(EQ$1,'STOPE SUMMARY PIVOT'!$A$1794:$A$1921, 0))</f>
        <v>0</v>
      </c>
      <c r="ES45" s="165">
        <f>INDEX('STOPE SUMMARY PIVOT'!$D$1794:$D$1921, MATCH(ES$1,'STOPE SUMMARY PIVOT'!$A$1794:$A$1921, 0))</f>
        <v>0</v>
      </c>
      <c r="ET45" s="174">
        <f>INDEX('STOPE SUMMARY PIVOT'!$E$1794:$E$1921, MATCH(ES$1,'STOPE SUMMARY PIVOT'!$A$1794:$A$1921, 0))</f>
        <v>0</v>
      </c>
      <c r="EU45" s="165">
        <f>INDEX('STOPE SUMMARY PIVOT'!$D$1794:$D$1921, MATCH(EU$1,'STOPE SUMMARY PIVOT'!$A$1794:$A$1921, 0))</f>
        <v>0</v>
      </c>
      <c r="EV45" s="174">
        <f>INDEX('STOPE SUMMARY PIVOT'!$E$1794:$E$1921, MATCH(EU$1,'STOPE SUMMARY PIVOT'!$A$1794:$A$1921, 0))</f>
        <v>0</v>
      </c>
      <c r="EW45" s="165">
        <f>INDEX('STOPE SUMMARY PIVOT'!$D$1794:$D$1921, MATCH(EW$1,'STOPE SUMMARY PIVOT'!$A$1794:$A$1921, 0))</f>
        <v>0</v>
      </c>
      <c r="EX45" s="174">
        <f>INDEX('STOPE SUMMARY PIVOT'!$E$1794:$E$1921, MATCH(EW$1,'STOPE SUMMARY PIVOT'!$A$1794:$A$1921, 0))</f>
        <v>0</v>
      </c>
      <c r="EY45" s="165">
        <f>INDEX('STOPE SUMMARY PIVOT'!$D$1794:$D$1921, MATCH(EY$1,'STOPE SUMMARY PIVOT'!$A$1794:$A$1921, 0))</f>
        <v>0</v>
      </c>
      <c r="EZ45" s="174">
        <f>INDEX('STOPE SUMMARY PIVOT'!$E$1794:$E$1921, MATCH(EY$1,'STOPE SUMMARY PIVOT'!$A$1794:$A$1921, 0))</f>
        <v>0</v>
      </c>
      <c r="FA45" s="165">
        <f>INDEX('STOPE SUMMARY PIVOT'!$D$1794:$D$1921, MATCH(FA$1,'STOPE SUMMARY PIVOT'!$A$1794:$A$1921, 0))</f>
        <v>0</v>
      </c>
      <c r="FB45" s="174">
        <f>INDEX('STOPE SUMMARY PIVOT'!$E$1794:$E$1921, MATCH(FA$1,'STOPE SUMMARY PIVOT'!$A$1794:$A$1921, 0))</f>
        <v>0</v>
      </c>
      <c r="FC45" s="165">
        <f>INDEX('STOPE SUMMARY PIVOT'!$D$1794:$D$1921, MATCH(FC$1,'STOPE SUMMARY PIVOT'!$A$1794:$A$1921, 0))</f>
        <v>945</v>
      </c>
      <c r="FD45" s="174">
        <f>INDEX('STOPE SUMMARY PIVOT'!$E$1794:$E$1921, MATCH(FC$1,'STOPE SUMMARY PIVOT'!$A$1794:$A$1921, 0))</f>
        <v>2.41</v>
      </c>
      <c r="FE45" s="165">
        <f>INDEX('STOPE SUMMARY PIVOT'!$D$1794:$D$1921, MATCH(FE$1,'STOPE SUMMARY PIVOT'!$A$1794:$A$1921, 0))</f>
        <v>1710</v>
      </c>
      <c r="FF45" s="174">
        <f>INDEX('STOPE SUMMARY PIVOT'!$E$1794:$E$1921, MATCH(FE$1,'STOPE SUMMARY PIVOT'!$A$1794:$A$1921, 0))</f>
        <v>1.5451929824561406</v>
      </c>
      <c r="FG45" s="165">
        <f>INDEX('STOPE SUMMARY PIVOT'!$D$1794:$D$1921, MATCH(FG$1,'STOPE SUMMARY PIVOT'!$A$1794:$A$1921, 0))</f>
        <v>0</v>
      </c>
      <c r="FH45" s="174">
        <f>INDEX('STOPE SUMMARY PIVOT'!$E$1794:$E$1921, MATCH(FG$1,'STOPE SUMMARY PIVOT'!$A$1794:$A$1921, 0))</f>
        <v>0</v>
      </c>
      <c r="FI45" s="165">
        <f>INDEX('STOPE SUMMARY PIVOT'!$D$1794:$D$1921, MATCH(FI$1,'STOPE SUMMARY PIVOT'!$A$1794:$A$1921, 0))</f>
        <v>121</v>
      </c>
      <c r="FJ45" s="174">
        <f>INDEX('STOPE SUMMARY PIVOT'!$E$1794:$E$1921, MATCH(FI$1,'STOPE SUMMARY PIVOT'!$A$1794:$A$1921, 0))</f>
        <v>2.7</v>
      </c>
      <c r="FK45" s="165">
        <f>INDEX('STOPE SUMMARY PIVOT'!$D$1794:$D$1921, MATCH(FK$1,'STOPE SUMMARY PIVOT'!$A$1794:$A$1921, 0))</f>
        <v>0</v>
      </c>
      <c r="FL45" s="174">
        <f>INDEX('STOPE SUMMARY PIVOT'!$E$1794:$E$1921, MATCH(FK$1,'STOPE SUMMARY PIVOT'!$A$1794:$A$1921, 0))</f>
        <v>0</v>
      </c>
      <c r="FM45" s="165">
        <f>INDEX('STOPE SUMMARY PIVOT'!$D$1794:$D$1921, MATCH(FM$1,'STOPE SUMMARY PIVOT'!$A$1794:$A$1921, 0))</f>
        <v>0</v>
      </c>
      <c r="FN45" s="174">
        <f>INDEX('STOPE SUMMARY PIVOT'!$E$1794:$E$1921, MATCH(FM$1,'STOPE SUMMARY PIVOT'!$A$1794:$A$1921, 0))</f>
        <v>0</v>
      </c>
      <c r="FO45" s="165">
        <f>INDEX('STOPE SUMMARY PIVOT'!$D$1794:$D$1921, MATCH(FO$1,'STOPE SUMMARY PIVOT'!$A$1794:$A$1921, 0))</f>
        <v>0</v>
      </c>
      <c r="FP45" s="174">
        <f>INDEX('STOPE SUMMARY PIVOT'!$E$1794:$E$1921, MATCH(FO$1,'STOPE SUMMARY PIVOT'!$A$1794:$A$1921, 0))</f>
        <v>0</v>
      </c>
      <c r="FQ45" s="165">
        <f>INDEX('STOPE SUMMARY PIVOT'!$D$1794:$D$1921, MATCH(FQ$1,'STOPE SUMMARY PIVOT'!$A$1794:$A$1921, 0))</f>
        <v>1798</v>
      </c>
      <c r="FR45" s="174">
        <f>INDEX('STOPE SUMMARY PIVOT'!$E$1794:$E$1921, MATCH(FQ$1,'STOPE SUMMARY PIVOT'!$A$1794:$A$1921, 0))</f>
        <v>2.4500000000000002</v>
      </c>
      <c r="FS45" s="165">
        <f>INDEX('STOPE SUMMARY PIVOT'!$D$1794:$D$1921, MATCH(FS$1,'STOPE SUMMARY PIVOT'!$A$1794:$A$1921, 0))</f>
        <v>0</v>
      </c>
      <c r="FT45" s="174">
        <f>INDEX('STOPE SUMMARY PIVOT'!$E$1794:$E$1921, MATCH(FS$1,'STOPE SUMMARY PIVOT'!$A$1794:$A$1921, 0))</f>
        <v>0</v>
      </c>
      <c r="FU45" s="165">
        <f>INDEX('STOPE SUMMARY PIVOT'!$D$1794:$D$1921, MATCH(FU$1,'STOPE SUMMARY PIVOT'!$A$1794:$A$1921, 0))</f>
        <v>0</v>
      </c>
      <c r="FV45" s="174">
        <f>INDEX('STOPE SUMMARY PIVOT'!$E$1794:$E$1921, MATCH(FU$1,'STOPE SUMMARY PIVOT'!$A$1794:$A$1921, 0))</f>
        <v>0</v>
      </c>
      <c r="FW45" s="165">
        <f>INDEX('STOPE SUMMARY PIVOT'!$D$1794:$D$1921, MATCH(FW$1,'STOPE SUMMARY PIVOT'!$A$1794:$A$1921, 0))</f>
        <v>0</v>
      </c>
      <c r="FX45" s="174">
        <f>INDEX('STOPE SUMMARY PIVOT'!$E$1794:$E$1921, MATCH(FW$1,'STOPE SUMMARY PIVOT'!$A$1794:$A$1921, 0))</f>
        <v>0</v>
      </c>
      <c r="FY45" s="165">
        <f>INDEX('STOPE SUMMARY PIVOT'!$D$1794:$D$1921, MATCH(FY$1,'STOPE SUMMARY PIVOT'!$A$1794:$A$1921, 0))</f>
        <v>0</v>
      </c>
      <c r="FZ45" s="174">
        <f>INDEX('STOPE SUMMARY PIVOT'!$E$1794:$E$1921, MATCH(FY$1,'STOPE SUMMARY PIVOT'!$A$1794:$A$1921, 0))</f>
        <v>0</v>
      </c>
      <c r="GA45" s="165">
        <f>INDEX('STOPE SUMMARY PIVOT'!$D$1794:$D$1921, MATCH(GA$1,'STOPE SUMMARY PIVOT'!$A$1794:$A$1921, 0))</f>
        <v>0</v>
      </c>
      <c r="GB45" s="174">
        <f>INDEX('STOPE SUMMARY PIVOT'!$E$1794:$E$1921, MATCH(GA$1,'STOPE SUMMARY PIVOT'!$A$1794:$A$1921, 0))</f>
        <v>0</v>
      </c>
      <c r="GC45" s="165">
        <f>INDEX('STOPE SUMMARY PIVOT'!$D$1794:$D$1921, MATCH(GC$1,'STOPE SUMMARY PIVOT'!$A$1794:$A$1921, 0))</f>
        <v>0</v>
      </c>
      <c r="GD45" s="174">
        <f>INDEX('STOPE SUMMARY PIVOT'!$E$1794:$E$1921, MATCH(GC$1,'STOPE SUMMARY PIVOT'!$A$1794:$A$1921, 0))</f>
        <v>0</v>
      </c>
      <c r="GE45" s="165">
        <f>INDEX('STOPE SUMMARY PIVOT'!$D$1794:$D$1921, MATCH(GE$1,'STOPE SUMMARY PIVOT'!$A$1794:$A$1921, 0))</f>
        <v>0</v>
      </c>
      <c r="GF45" s="174">
        <f>INDEX('STOPE SUMMARY PIVOT'!$E$1794:$E$1921, MATCH(GE$1,'STOPE SUMMARY PIVOT'!$A$1794:$A$1921, 0))</f>
        <v>0</v>
      </c>
      <c r="GG45" s="165">
        <f>INDEX('STOPE SUMMARY PIVOT'!$D$1794:$D$1921, MATCH(GG$1,'STOPE SUMMARY PIVOT'!$A$1794:$A$1921, 0))</f>
        <v>0</v>
      </c>
      <c r="GH45" s="174">
        <f>INDEX('STOPE SUMMARY PIVOT'!$E$1794:$E$1921, MATCH(GG$1,'STOPE SUMMARY PIVOT'!$A$1794:$A$1921, 0))</f>
        <v>0</v>
      </c>
      <c r="GI45" s="165">
        <f>INDEX('STOPE SUMMARY PIVOT'!$D$1794:$D$1921, MATCH(GI$1,'STOPE SUMMARY PIVOT'!$A$1794:$A$1921, 0))</f>
        <v>0</v>
      </c>
      <c r="GJ45" s="174">
        <f>INDEX('STOPE SUMMARY PIVOT'!$E$1794:$E$1921, MATCH(GI$1,'STOPE SUMMARY PIVOT'!$A$1794:$A$1921, 0))</f>
        <v>0</v>
      </c>
      <c r="GK45" s="165">
        <f>INDEX('STOPE SUMMARY PIVOT'!$D$1794:$D$1921, MATCH(GK$1,'STOPE SUMMARY PIVOT'!$A$1794:$A$1921, 0))</f>
        <v>1036</v>
      </c>
      <c r="GL45" s="174">
        <f>INDEX('STOPE SUMMARY PIVOT'!$E$1794:$E$1921, MATCH(GK$1,'STOPE SUMMARY PIVOT'!$A$1794:$A$1921, 0))</f>
        <v>2.0099999999999998</v>
      </c>
      <c r="GM45" s="165">
        <f>INDEX('STOPE SUMMARY PIVOT'!$D$1794:$D$1921, MATCH(GM$1,'STOPE SUMMARY PIVOT'!$A$1794:$A$1921, 0))</f>
        <v>0</v>
      </c>
      <c r="GN45" s="174">
        <f>INDEX('STOPE SUMMARY PIVOT'!$E$1794:$E$1921, MATCH(GM$1,'STOPE SUMMARY PIVOT'!$A$1794:$A$1921, 0))</f>
        <v>0</v>
      </c>
      <c r="GO45" s="165">
        <f>INDEX('STOPE SUMMARY PIVOT'!$D$1794:$D$1921, MATCH(GO$1,'STOPE SUMMARY PIVOT'!$A$1794:$A$1921, 0))</f>
        <v>0</v>
      </c>
      <c r="GP45" s="174">
        <f>INDEX('STOPE SUMMARY PIVOT'!$E$1794:$E$1921, MATCH(GO$1,'STOPE SUMMARY PIVOT'!$A$1794:$A$1921, 0))</f>
        <v>0</v>
      </c>
      <c r="GQ45" s="165">
        <f>INDEX('STOPE SUMMARY PIVOT'!$D$1794:$D$1921, MATCH(GQ$1,'STOPE SUMMARY PIVOT'!$A$1794:$A$1921, 0))</f>
        <v>0</v>
      </c>
      <c r="GR45" s="174">
        <f>INDEX('STOPE SUMMARY PIVOT'!$E$1794:$E$1921, MATCH(GQ$1,'STOPE SUMMARY PIVOT'!$A$1794:$A$1921, 0))</f>
        <v>0</v>
      </c>
      <c r="GS45" s="165">
        <f>INDEX('STOPE SUMMARY PIVOT'!$D$1794:$D$1921, MATCH(GS$1,'STOPE SUMMARY PIVOT'!$A$1794:$A$1921, 0))</f>
        <v>0</v>
      </c>
      <c r="GT45" s="174">
        <f>INDEX('STOPE SUMMARY PIVOT'!$E$1794:$E$1921, MATCH(GS$1,'STOPE SUMMARY PIVOT'!$A$1794:$A$1921, 0))</f>
        <v>0</v>
      </c>
      <c r="GU45" s="165">
        <f>INDEX('STOPE SUMMARY PIVOT'!$D$1794:$D$1921, MATCH(GU$1,'STOPE SUMMARY PIVOT'!$A$1794:$A$1921, 0))</f>
        <v>0</v>
      </c>
      <c r="GV45" s="174">
        <f>INDEX('STOPE SUMMARY PIVOT'!$E$1794:$E$1921, MATCH(GU$1,'STOPE SUMMARY PIVOT'!$A$1794:$A$1921, 0))</f>
        <v>0</v>
      </c>
      <c r="GW45" s="165">
        <f>INDEX('STOPE SUMMARY PIVOT'!$D$1794:$D$1921, MATCH(GW$1,'STOPE SUMMARY PIVOT'!$A$1794:$A$1921, 0))</f>
        <v>0</v>
      </c>
      <c r="GX45" s="174">
        <f>INDEX('STOPE SUMMARY PIVOT'!$E$1794:$E$1921, MATCH(GW$1,'STOPE SUMMARY PIVOT'!$A$1794:$A$1921, 0))</f>
        <v>0</v>
      </c>
      <c r="GY45" s="165">
        <f>INDEX('STOPE SUMMARY PIVOT'!$D$1794:$D$1921, MATCH(GY$1,'STOPE SUMMARY PIVOT'!$A$1794:$A$1921, 0))</f>
        <v>0</v>
      </c>
      <c r="GZ45" s="174">
        <f>INDEX('STOPE SUMMARY PIVOT'!$E$1794:$E$1921, MATCH(GY$1,'STOPE SUMMARY PIVOT'!$A$1794:$A$1921, 0))</f>
        <v>0</v>
      </c>
      <c r="HA45" s="165">
        <f>INDEX('STOPE SUMMARY PIVOT'!$D$1794:$D$1921, MATCH(HA$1,'STOPE SUMMARY PIVOT'!$A$1794:$A$1921, 0))</f>
        <v>0</v>
      </c>
      <c r="HB45" s="174">
        <f>INDEX('STOPE SUMMARY PIVOT'!$E$1794:$E$1921, MATCH(HA$1,'STOPE SUMMARY PIVOT'!$A$1794:$A$1921, 0))</f>
        <v>0</v>
      </c>
      <c r="HC45" s="165">
        <f>INDEX('STOPE SUMMARY PIVOT'!$D$1794:$D$1921, MATCH(HC$1,'STOPE SUMMARY PIVOT'!$A$1794:$A$1921, 0))</f>
        <v>0</v>
      </c>
      <c r="HD45" s="174">
        <f>INDEX('STOPE SUMMARY PIVOT'!$E$1794:$E$1921, MATCH(HC$1,'STOPE SUMMARY PIVOT'!$A$1794:$A$1921, 0))</f>
        <v>0</v>
      </c>
      <c r="HE45" s="165">
        <f>INDEX('STOPE SUMMARY PIVOT'!$D$1794:$D$1921, MATCH(HE$1,'STOPE SUMMARY PIVOT'!$A$1794:$A$1921, 0))</f>
        <v>0</v>
      </c>
      <c r="HF45" s="174">
        <f>INDEX('STOPE SUMMARY PIVOT'!$E$1794:$E$1921, MATCH(HE$1,'STOPE SUMMARY PIVOT'!$A$1794:$A$1921, 0))</f>
        <v>0</v>
      </c>
      <c r="HG45" s="165">
        <f>INDEX('STOPE SUMMARY PIVOT'!$D$1794:$D$1921, MATCH(HG$1,'STOPE SUMMARY PIVOT'!$A$1794:$A$1921, 0))</f>
        <v>0</v>
      </c>
      <c r="HH45" s="174">
        <f>INDEX('STOPE SUMMARY PIVOT'!$E$1794:$E$1921, MATCH(HG$1,'STOPE SUMMARY PIVOT'!$A$1794:$A$1921, 0))</f>
        <v>0</v>
      </c>
      <c r="HI45" s="165">
        <f>INDEX('STOPE SUMMARY PIVOT'!$D$1794:$D$1921, MATCH(HI$1,'STOPE SUMMARY PIVOT'!$A$1794:$A$1921, 0))</f>
        <v>0</v>
      </c>
      <c r="HJ45" s="174">
        <f>INDEX('STOPE SUMMARY PIVOT'!$E$1794:$E$1921, MATCH(HI$1,'STOPE SUMMARY PIVOT'!$A$1794:$A$1921, 0))</f>
        <v>0</v>
      </c>
      <c r="HK45" s="165">
        <f>INDEX('STOPE SUMMARY PIVOT'!$D$1794:$D$1921, MATCH(HK$1,'STOPE SUMMARY PIVOT'!$A$1794:$A$1921, 0))</f>
        <v>0</v>
      </c>
      <c r="HL45" s="174">
        <f>INDEX('STOPE SUMMARY PIVOT'!$E$1794:$E$1921, MATCH(HK$1,'STOPE SUMMARY PIVOT'!$A$1794:$A$1921, 0))</f>
        <v>0</v>
      </c>
      <c r="HM45" s="165">
        <f>INDEX('STOPE SUMMARY PIVOT'!$D$1794:$D$1921, MATCH(HM$1,'STOPE SUMMARY PIVOT'!$A$1794:$A$1921, 0))</f>
        <v>0</v>
      </c>
      <c r="HN45" s="174">
        <f>INDEX('STOPE SUMMARY PIVOT'!$E$1794:$E$1921, MATCH(HM$1,'STOPE SUMMARY PIVOT'!$A$1794:$A$1921, 0))</f>
        <v>0</v>
      </c>
      <c r="HO45" s="165">
        <f>INDEX('STOPE SUMMARY PIVOT'!$D$1794:$D$1921, MATCH(HO$1,'STOPE SUMMARY PIVOT'!$A$1794:$A$1921, 0))</f>
        <v>0</v>
      </c>
      <c r="HP45" s="174">
        <f>INDEX('STOPE SUMMARY PIVOT'!$E$1794:$E$1921, MATCH(HO$1,'STOPE SUMMARY PIVOT'!$A$1794:$A$1921, 0))</f>
        <v>0</v>
      </c>
      <c r="HQ45" s="165">
        <f>INDEX('STOPE SUMMARY PIVOT'!$D$1794:$D$1921, MATCH(HQ$1,'STOPE SUMMARY PIVOT'!$A$1794:$A$1921, 0))</f>
        <v>0</v>
      </c>
      <c r="HR45" s="174">
        <f>INDEX('STOPE SUMMARY PIVOT'!$E$1794:$E$1921, MATCH(HQ$1,'STOPE SUMMARY PIVOT'!$A$1794:$A$1921, 0))</f>
        <v>0</v>
      </c>
      <c r="HS45" s="165">
        <f>INDEX('STOPE SUMMARY PIVOT'!$D$1794:$D$1921, MATCH(HS$1,'STOPE SUMMARY PIVOT'!$A$1794:$A$1921, 0))</f>
        <v>0</v>
      </c>
      <c r="HT45" s="174">
        <f>INDEX('STOPE SUMMARY PIVOT'!$E$1794:$E$1921, MATCH(HS$1,'STOPE SUMMARY PIVOT'!$A$1794:$A$1921, 0))</f>
        <v>0</v>
      </c>
      <c r="HU45" s="165">
        <f>INDEX('STOPE SUMMARY PIVOT'!$D$1794:$D$1921, MATCH(HU$1,'STOPE SUMMARY PIVOT'!$A$1794:$A$1921, 0))</f>
        <v>0</v>
      </c>
      <c r="HV45" s="174">
        <f>INDEX('STOPE SUMMARY PIVOT'!$E$1794:$E$1921, MATCH(HU$1,'STOPE SUMMARY PIVOT'!$A$1794:$A$1921, 0))</f>
        <v>0</v>
      </c>
      <c r="HW45" s="165">
        <f>INDEX('STOPE SUMMARY PIVOT'!$D$1794:$D$1921, MATCH(HW$1,'STOPE SUMMARY PIVOT'!$A$1794:$A$1921, 0))</f>
        <v>0</v>
      </c>
      <c r="HX45" s="174">
        <f>INDEX('STOPE SUMMARY PIVOT'!$E$1794:$E$1921, MATCH(HW$1,'STOPE SUMMARY PIVOT'!$A$1794:$A$1921, 0))</f>
        <v>0</v>
      </c>
      <c r="HY45" s="165">
        <f>INDEX('STOPE SUMMARY PIVOT'!$D$1794:$D$1921, MATCH(HY$1,'STOPE SUMMARY PIVOT'!$A$1794:$A$1921, 0))</f>
        <v>0</v>
      </c>
      <c r="HZ45" s="174">
        <f>INDEX('STOPE SUMMARY PIVOT'!$E$1794:$E$1921, MATCH(HY$1,'STOPE SUMMARY PIVOT'!$A$1794:$A$1921, 0))</f>
        <v>0</v>
      </c>
      <c r="IA45" s="165">
        <f>INDEX('STOPE SUMMARY PIVOT'!$D$1794:$D$1921, MATCH(IA$1,'STOPE SUMMARY PIVOT'!$A$1794:$A$1921, 0))</f>
        <v>0</v>
      </c>
      <c r="IB45" s="174">
        <f>INDEX('STOPE SUMMARY PIVOT'!$E$1794:$E$1921, MATCH(IA$1,'STOPE SUMMARY PIVOT'!$A$1794:$A$1921, 0))</f>
        <v>0</v>
      </c>
      <c r="IC45" s="165">
        <f>INDEX('STOPE SUMMARY PIVOT'!$D$1794:$D$1921, MATCH(IC$1,'STOPE SUMMARY PIVOT'!$A$1794:$A$1921, 0))</f>
        <v>0</v>
      </c>
      <c r="ID45" s="174">
        <f>INDEX('STOPE SUMMARY PIVOT'!$E$1794:$E$1921, MATCH(IC$1,'STOPE SUMMARY PIVOT'!$A$1794:$A$1921, 0))</f>
        <v>0</v>
      </c>
      <c r="IE45" s="165">
        <f>INDEX('STOPE SUMMARY PIVOT'!$D$1794:$D$1921, MATCH(IE$1,'STOPE SUMMARY PIVOT'!$A$1794:$A$1921, 0))</f>
        <v>0</v>
      </c>
      <c r="IF45" s="174">
        <f>INDEX('STOPE SUMMARY PIVOT'!$E$1794:$E$1921, MATCH(IE$1,'STOPE SUMMARY PIVOT'!$A$1794:$A$1921, 0))</f>
        <v>0</v>
      </c>
      <c r="IG45" s="165">
        <f>INDEX('STOPE SUMMARY PIVOT'!$D$1794:$D$1921, MATCH(IG$1,'STOPE SUMMARY PIVOT'!$A$1794:$A$1921, 0))</f>
        <v>0</v>
      </c>
      <c r="IH45" s="174">
        <f>INDEX('STOPE SUMMARY PIVOT'!$E$1794:$E$1921, MATCH(IG$1,'STOPE SUMMARY PIVOT'!$A$1794:$A$1921, 0))</f>
        <v>0</v>
      </c>
      <c r="II45" s="165">
        <f>INDEX('STOPE SUMMARY PIVOT'!$D$1794:$D$1921, MATCH(II$1,'STOPE SUMMARY PIVOT'!$A$1794:$A$1921, 0))</f>
        <v>0</v>
      </c>
      <c r="IJ45" s="174">
        <f>INDEX('STOPE SUMMARY PIVOT'!$E$1794:$E$1921, MATCH(II$1,'STOPE SUMMARY PIVOT'!$A$1794:$A$1921, 0))</f>
        <v>0</v>
      </c>
      <c r="IK45" s="165">
        <f>INDEX('STOPE SUMMARY PIVOT'!$D$1794:$D$1921, MATCH(IK$1,'STOPE SUMMARY PIVOT'!$A$1794:$A$1921, 0))</f>
        <v>0</v>
      </c>
      <c r="IL45" s="174">
        <f>INDEX('STOPE SUMMARY PIVOT'!$E$1794:$E$1921, MATCH(IK$1,'STOPE SUMMARY PIVOT'!$A$1794:$A$1921, 0))</f>
        <v>0</v>
      </c>
      <c r="IM45" s="165">
        <f>INDEX('STOPE SUMMARY PIVOT'!$D$1794:$D$1921, MATCH(IM$1,'STOPE SUMMARY PIVOT'!$A$1794:$A$1921, 0))</f>
        <v>0</v>
      </c>
      <c r="IN45" s="174">
        <f>INDEX('STOPE SUMMARY PIVOT'!$E$1794:$E$1921, MATCH(IM$1,'STOPE SUMMARY PIVOT'!$A$1794:$A$1921, 0))</f>
        <v>0</v>
      </c>
      <c r="IO45" s="165">
        <f>INDEX('STOPE SUMMARY PIVOT'!$D$1794:$D$1921, MATCH(IO$1,'STOPE SUMMARY PIVOT'!$A$1794:$A$1921, 0))</f>
        <v>0</v>
      </c>
      <c r="IP45" s="174">
        <f>INDEX('STOPE SUMMARY PIVOT'!$E$1794:$E$1921, MATCH(IO$1,'STOPE SUMMARY PIVOT'!$A$1794:$A$1921, 0))</f>
        <v>0</v>
      </c>
      <c r="IQ45" s="165">
        <f>INDEX('STOPE SUMMARY PIVOT'!$D$1794:$D$1921, MATCH(IQ$1,'STOPE SUMMARY PIVOT'!$A$1794:$A$1921, 0))</f>
        <v>0</v>
      </c>
      <c r="IR45" s="174">
        <f>INDEX('STOPE SUMMARY PIVOT'!$E$1794:$E$1921, MATCH(IQ$1,'STOPE SUMMARY PIVOT'!$A$1794:$A$1921, 0))</f>
        <v>0</v>
      </c>
      <c r="IS45" s="165">
        <f>INDEX('STOPE SUMMARY PIVOT'!$D$1794:$D$1921, MATCH(IS$1,'STOPE SUMMARY PIVOT'!$A$1794:$A$1921, 0))</f>
        <v>0</v>
      </c>
      <c r="IT45" s="174">
        <f>INDEX('STOPE SUMMARY PIVOT'!$E$1794:$E$1921, MATCH(IS$1,'STOPE SUMMARY PIVOT'!$A$1794:$A$1921, 0))</f>
        <v>0</v>
      </c>
      <c r="IU45" s="165">
        <f>INDEX('STOPE SUMMARY PIVOT'!$D$1794:$D$1921, MATCH(IU$1,'STOPE SUMMARY PIVOT'!$A$1794:$A$1921, 0))</f>
        <v>0</v>
      </c>
      <c r="IV45" s="174">
        <f>INDEX('STOPE SUMMARY PIVOT'!$E$1794:$E$1921, MATCH(IU$1,'STOPE SUMMARY PIVOT'!$A$1794:$A$1921, 0))</f>
        <v>0</v>
      </c>
      <c r="IW45" s="165">
        <f>INDEX('STOPE SUMMARY PIVOT'!$D$1794:$D$1921, MATCH(IW$1,'STOPE SUMMARY PIVOT'!$A$1794:$A$1921, 0))</f>
        <v>0</v>
      </c>
      <c r="IX45" s="174">
        <f>INDEX('STOPE SUMMARY PIVOT'!$E$1794:$E$1921, MATCH(IW$1,'STOPE SUMMARY PIVOT'!$A$1794:$A$1921, 0))</f>
        <v>0</v>
      </c>
      <c r="IY45" s="165">
        <f>INDEX('STOPE SUMMARY PIVOT'!$D$1794:$D$1921, MATCH(IY$1,'STOPE SUMMARY PIVOT'!$A$1794:$A$1921, 0))</f>
        <v>0</v>
      </c>
      <c r="IZ45" s="174">
        <f>INDEX('STOPE SUMMARY PIVOT'!$E$1794:$E$1921, MATCH(IY$1,'STOPE SUMMARY PIVOT'!$A$1794:$A$1921, 0))</f>
        <v>0</v>
      </c>
    </row>
    <row r="46" spans="1:260" x14ac:dyDescent="0.25">
      <c r="A46" s="1590"/>
      <c r="B46" s="167" t="s">
        <v>219</v>
      </c>
      <c r="C46" s="168" cm="1">
        <f t="array" ref="C46">SUM(_xlfn._xlws.FILTER(E46:IZ46, MOD(COLUMN(E46:IZ46)-COLUMN(E46)+1,2)=1))</f>
        <v>28910</v>
      </c>
      <c r="D46" s="26" cm="1">
        <f t="array" ref="D46">IFERROR(SUMPRODUCT(_xlfn._xlws.FILTER(E46:IZ46, MOD(COLUMN(E46:IZ46)-COLUMN(E46)+1,2)=1), _xlfn._xlws.FILTER(E46:IZ46, MOD(COLUMN(E46:IZ46)-COLUMN(E46)+1,2)=0))/C46,"")</f>
        <v>2.4611160643569954</v>
      </c>
      <c r="E46" s="154">
        <f>INDEX('STOPE SUMMARY PIVOT'!$G$1794:$G$1921, MATCH(E$1,'STOPE SUMMARY PIVOT'!$A$1794:$A$1921, 0))</f>
        <v>1085</v>
      </c>
      <c r="F46" s="175">
        <f>INDEX('STOPE SUMMARY PIVOT'!$H$1794:$H$1921, MATCH(E$1,'STOPE SUMMARY PIVOT'!$A$1794:$A$1921, 0))</f>
        <v>1.8271028037383188</v>
      </c>
      <c r="G46" s="154">
        <f>INDEX('STOPE SUMMARY PIVOT'!$G$1794:$G$1921, MATCH(G$1,'STOPE SUMMARY PIVOT'!$A$1794:$A$1921, 0))</f>
        <v>0</v>
      </c>
      <c r="H46" s="175">
        <f>INDEX('STOPE SUMMARY PIVOT'!$H$1794:$H$1921, MATCH(G$1,'STOPE SUMMARY PIVOT'!$A$1794:$A$1921, 0))</f>
        <v>0</v>
      </c>
      <c r="I46" s="154">
        <f>INDEX('STOPE SUMMARY PIVOT'!$G$1794:$G$1921, MATCH(I$1,'STOPE SUMMARY PIVOT'!$A$1794:$A$1921, 0))</f>
        <v>0</v>
      </c>
      <c r="J46" s="143">
        <f>INDEX('STOPE SUMMARY PIVOT'!$H$1794:$H$1921, MATCH(I$1,'STOPE SUMMARY PIVOT'!$A$1794:$A$1921, 0))</f>
        <v>0</v>
      </c>
      <c r="K46" s="154">
        <f>INDEX('STOPE SUMMARY PIVOT'!$G$1794:$G$1921, MATCH(K$1,'STOPE SUMMARY PIVOT'!$A$1794:$A$1921, 0))</f>
        <v>0</v>
      </c>
      <c r="L46" s="143">
        <f>INDEX('STOPE SUMMARY PIVOT'!$H$1794:$H$1921, MATCH(K$1,'STOPE SUMMARY PIVOT'!$A$1794:$A$1921, 0))</f>
        <v>0</v>
      </c>
      <c r="M46" s="154">
        <f>INDEX('STOPE SUMMARY PIVOT'!$G$1794:$G$1921, MATCH(M$1,'STOPE SUMMARY PIVOT'!$A$1794:$A$1921, 0))</f>
        <v>0</v>
      </c>
      <c r="N46" s="143">
        <f>INDEX('STOPE SUMMARY PIVOT'!$H$1794:$H$1921, MATCH(M$1,'STOPE SUMMARY PIVOT'!$A$1794:$A$1921, 0))</f>
        <v>0</v>
      </c>
      <c r="O46" s="154">
        <f>INDEX('STOPE SUMMARY PIVOT'!$G$1794:$G$1921, MATCH(O$1,'STOPE SUMMARY PIVOT'!$A$1794:$A$1921, 0))</f>
        <v>0</v>
      </c>
      <c r="P46" s="143">
        <f>INDEX('STOPE SUMMARY PIVOT'!$H$1794:$H$1921, MATCH(O$1,'STOPE SUMMARY PIVOT'!$A$1794:$A$1921, 0))</f>
        <v>0</v>
      </c>
      <c r="Q46" s="154">
        <f>INDEX('STOPE SUMMARY PIVOT'!$G$1794:$G$1921, MATCH(Q$1,'STOPE SUMMARY PIVOT'!$A$1794:$A$1921, 0))</f>
        <v>0</v>
      </c>
      <c r="R46" s="143">
        <f>INDEX('STOPE SUMMARY PIVOT'!$H$1794:$H$1921, MATCH(Q$1,'STOPE SUMMARY PIVOT'!$A$1794:$A$1921, 0))</f>
        <v>0</v>
      </c>
      <c r="S46" s="154">
        <f>INDEX('STOPE SUMMARY PIVOT'!$G$1794:$G$1921, MATCH(S$1,'STOPE SUMMARY PIVOT'!$A$1794:$A$1921, 0))</f>
        <v>0</v>
      </c>
      <c r="T46" s="143">
        <f>INDEX('STOPE SUMMARY PIVOT'!$H$1794:$H$1921, MATCH(S$1,'STOPE SUMMARY PIVOT'!$A$1794:$A$1921, 0))</f>
        <v>0</v>
      </c>
      <c r="U46" s="154">
        <f>INDEX('STOPE SUMMARY PIVOT'!$G$1794:$G$1921, MATCH(U$1,'STOPE SUMMARY PIVOT'!$A$1794:$A$1921, 0))</f>
        <v>0</v>
      </c>
      <c r="V46" s="175">
        <f>INDEX('STOPE SUMMARY PIVOT'!$H$1794:$H$1921, MATCH(U$1,'STOPE SUMMARY PIVOT'!$A$1794:$A$1921, 0))</f>
        <v>0</v>
      </c>
      <c r="W46" s="154">
        <f>INDEX('STOPE SUMMARY PIVOT'!$G$1794:$G$1921, MATCH(W$1,'STOPE SUMMARY PIVOT'!$A$1794:$A$1921, 0))</f>
        <v>0</v>
      </c>
      <c r="X46" s="175">
        <f>INDEX('STOPE SUMMARY PIVOT'!$H$1794:$H$1921, MATCH(W$1,'STOPE SUMMARY PIVOT'!$A$1794:$A$1921, 0))</f>
        <v>0</v>
      </c>
      <c r="Y46" s="154">
        <f>INDEX('STOPE SUMMARY PIVOT'!$G$1794:$G$1921, MATCH(Y$1,'STOPE SUMMARY PIVOT'!$A$1794:$A$1921, 0))</f>
        <v>1260</v>
      </c>
      <c r="Z46" s="175">
        <f>INDEX('STOPE SUMMARY PIVOT'!$H$1794:$H$1921, MATCH(Y$1,'STOPE SUMMARY PIVOT'!$A$1794:$A$1921, 0))</f>
        <v>3.0584112149532694</v>
      </c>
      <c r="AA46" s="154">
        <f>INDEX('STOPE SUMMARY PIVOT'!$G$1794:$G$1921, MATCH(AA$1,'STOPE SUMMARY PIVOT'!$A$1794:$A$1921, 0))</f>
        <v>0</v>
      </c>
      <c r="AB46" s="175">
        <f>INDEX('STOPE SUMMARY PIVOT'!$H$1794:$H$1921, MATCH(AA$1,'STOPE SUMMARY PIVOT'!$A$1794:$A$1921, 0))</f>
        <v>0</v>
      </c>
      <c r="AC46" s="154">
        <f>INDEX('STOPE SUMMARY PIVOT'!$G$1794:$G$1921, MATCH(AC$1,'STOPE SUMMARY PIVOT'!$A$1794:$A$1921, 0))</f>
        <v>0</v>
      </c>
      <c r="AD46" s="175">
        <f>INDEX('STOPE SUMMARY PIVOT'!$H$1794:$H$1921, MATCH(AC$1,'STOPE SUMMARY PIVOT'!$A$1794:$A$1921, 0))</f>
        <v>0</v>
      </c>
      <c r="AE46" s="154">
        <f>INDEX('STOPE SUMMARY PIVOT'!$G$1794:$G$1921, MATCH(AE$1,'STOPE SUMMARY PIVOT'!$A$1794:$A$1921, 0))</f>
        <v>0</v>
      </c>
      <c r="AF46" s="175">
        <f>INDEX('STOPE SUMMARY PIVOT'!$H$1794:$H$1921, MATCH(AE$1,'STOPE SUMMARY PIVOT'!$A$1794:$A$1921, 0))</f>
        <v>0</v>
      </c>
      <c r="AG46" s="154">
        <f>INDEX('STOPE SUMMARY PIVOT'!$G$1794:$G$1921, MATCH(AG$1,'STOPE SUMMARY PIVOT'!$A$1794:$A$1921, 0))</f>
        <v>0</v>
      </c>
      <c r="AH46" s="175">
        <f>INDEX('STOPE SUMMARY PIVOT'!$H$1794:$H$1921, MATCH(AG$1,'STOPE SUMMARY PIVOT'!$A$1794:$A$1921, 0))</f>
        <v>0</v>
      </c>
      <c r="AI46" s="154">
        <f>INDEX('STOPE SUMMARY PIVOT'!$G$1794:$G$1921, MATCH(AI$1,'STOPE SUMMARY PIVOT'!$A$1794:$A$1921, 0))</f>
        <v>0</v>
      </c>
      <c r="AJ46" s="175">
        <f>INDEX('STOPE SUMMARY PIVOT'!$H$1794:$H$1921, MATCH(AI$1,'STOPE SUMMARY PIVOT'!$A$1794:$A$1921, 0))</f>
        <v>0</v>
      </c>
      <c r="AK46" s="154">
        <f>INDEX('STOPE SUMMARY PIVOT'!$G$1794:$G$1921, MATCH(AK$1,'STOPE SUMMARY PIVOT'!$A$1794:$A$1921, 0))</f>
        <v>0</v>
      </c>
      <c r="AL46" s="175">
        <f>INDEX('STOPE SUMMARY PIVOT'!$H$1794:$H$1921, MATCH(AK$1,'STOPE SUMMARY PIVOT'!$A$1794:$A$1921, 0))</f>
        <v>0</v>
      </c>
      <c r="AM46" s="154">
        <f>INDEX('STOPE SUMMARY PIVOT'!$G$1794:$G$1921, MATCH(AM$1,'STOPE SUMMARY PIVOT'!$A$1794:$A$1921, 0))</f>
        <v>0</v>
      </c>
      <c r="AN46" s="175">
        <f>INDEX('STOPE SUMMARY PIVOT'!$H$1794:$H$1921, MATCH(AM$1,'STOPE SUMMARY PIVOT'!$A$1794:$A$1921, 0))</f>
        <v>0</v>
      </c>
      <c r="AO46" s="154">
        <f>INDEX('STOPE SUMMARY PIVOT'!$G$1794:$G$1921, MATCH(AO$1,'STOPE SUMMARY PIVOT'!$A$1794:$A$1921, 0))</f>
        <v>0</v>
      </c>
      <c r="AP46" s="175">
        <f>INDEX('STOPE SUMMARY PIVOT'!$H$1794:$H$1921, MATCH(AO$1,'STOPE SUMMARY PIVOT'!$A$1794:$A$1921, 0))</f>
        <v>0</v>
      </c>
      <c r="AQ46" s="154">
        <f>INDEX('STOPE SUMMARY PIVOT'!$G$1794:$G$1921, MATCH(AQ$1,'STOPE SUMMARY PIVOT'!$A$1794:$A$1921, 0))</f>
        <v>0</v>
      </c>
      <c r="AR46" s="175">
        <f>INDEX('STOPE SUMMARY PIVOT'!$H$1794:$H$1921, MATCH(AQ$1,'STOPE SUMMARY PIVOT'!$A$1794:$A$1921, 0))</f>
        <v>0</v>
      </c>
      <c r="AS46" s="154">
        <f>INDEX('STOPE SUMMARY PIVOT'!$G$1794:$G$1921, MATCH(AS$1,'STOPE SUMMARY PIVOT'!$A$1794:$A$1921, 0))</f>
        <v>0</v>
      </c>
      <c r="AT46" s="175">
        <f>INDEX('STOPE SUMMARY PIVOT'!$H$1794:$H$1921, MATCH(AS$1,'STOPE SUMMARY PIVOT'!$A$1794:$A$1921, 0))</f>
        <v>0</v>
      </c>
      <c r="AU46" s="154">
        <f>INDEX('STOPE SUMMARY PIVOT'!$G$1794:$G$1921, MATCH(AU$1,'STOPE SUMMARY PIVOT'!$A$1794:$A$1921, 0))</f>
        <v>0</v>
      </c>
      <c r="AV46" s="175">
        <f>INDEX('STOPE SUMMARY PIVOT'!$H$1794:$H$1921, MATCH(AU$1,'STOPE SUMMARY PIVOT'!$A$1794:$A$1921, 0))</f>
        <v>0</v>
      </c>
      <c r="AW46" s="154">
        <f>INDEX('STOPE SUMMARY PIVOT'!$G$1794:$G$1921, MATCH(AW$1,'STOPE SUMMARY PIVOT'!$A$1794:$A$1921, 0))</f>
        <v>0</v>
      </c>
      <c r="AX46" s="175">
        <f>INDEX('STOPE SUMMARY PIVOT'!$H$1794:$H$1921, MATCH(AW$1,'STOPE SUMMARY PIVOT'!$A$1794:$A$1921, 0))</f>
        <v>0</v>
      </c>
      <c r="AY46" s="154">
        <f>INDEX('STOPE SUMMARY PIVOT'!$G$1794:$G$1921, MATCH(AY$1,'STOPE SUMMARY PIVOT'!$A$1794:$A$1921, 0))</f>
        <v>0</v>
      </c>
      <c r="AZ46" s="175">
        <f>INDEX('STOPE SUMMARY PIVOT'!$H$1794:$H$1921, MATCH(AY$1,'STOPE SUMMARY PIVOT'!$A$1794:$A$1921, 0))</f>
        <v>0</v>
      </c>
      <c r="BA46" s="154">
        <f>INDEX('STOPE SUMMARY PIVOT'!$G$1794:$G$1921, MATCH(BA$1,'STOPE SUMMARY PIVOT'!$A$1794:$A$1921, 0))</f>
        <v>0</v>
      </c>
      <c r="BB46" s="175">
        <f>INDEX('STOPE SUMMARY PIVOT'!$H$1794:$H$1921, MATCH(BA$1,'STOPE SUMMARY PIVOT'!$A$1794:$A$1921, 0))</f>
        <v>0</v>
      </c>
      <c r="BC46" s="154">
        <f>INDEX('STOPE SUMMARY PIVOT'!$G$1794:$G$1921, MATCH(BC$1,'STOPE SUMMARY PIVOT'!$A$1794:$A$1921, 0))</f>
        <v>0</v>
      </c>
      <c r="BD46" s="175">
        <f>INDEX('STOPE SUMMARY PIVOT'!$H$1794:$H$1921, MATCH(BC$1,'STOPE SUMMARY PIVOT'!$A$1794:$A$1921, 0))</f>
        <v>0</v>
      </c>
      <c r="BE46" s="154">
        <f>INDEX('STOPE SUMMARY PIVOT'!$G$1794:$G$1921, MATCH(BE$1,'STOPE SUMMARY PIVOT'!$A$1794:$A$1921, 0))</f>
        <v>0</v>
      </c>
      <c r="BF46" s="175">
        <f>INDEX('STOPE SUMMARY PIVOT'!$H$1794:$H$1921, MATCH(BE$1,'STOPE SUMMARY PIVOT'!$A$1794:$A$1921, 0))</f>
        <v>0</v>
      </c>
      <c r="BG46" s="154">
        <f>INDEX('STOPE SUMMARY PIVOT'!$G$1794:$G$1921, MATCH(BG$1,'STOPE SUMMARY PIVOT'!$A$1794:$A$1921, 0))</f>
        <v>0</v>
      </c>
      <c r="BH46" s="175">
        <f>INDEX('STOPE SUMMARY PIVOT'!$H$1794:$H$1921, MATCH(BG$1,'STOPE SUMMARY PIVOT'!$A$1794:$A$1921, 0))</f>
        <v>0</v>
      </c>
      <c r="BI46" s="154">
        <f>INDEX('STOPE SUMMARY PIVOT'!$G$1794:$G$1921, MATCH(BI$1,'STOPE SUMMARY PIVOT'!$A$1794:$A$1921, 0))</f>
        <v>0</v>
      </c>
      <c r="BJ46" s="175">
        <f>INDEX('STOPE SUMMARY PIVOT'!$H$1794:$H$1921, MATCH(BI$1,'STOPE SUMMARY PIVOT'!$A$1794:$A$1921, 0))</f>
        <v>0</v>
      </c>
      <c r="BK46" s="154">
        <f>INDEX('STOPE SUMMARY PIVOT'!$G$1794:$G$1921, MATCH(BK$1,'STOPE SUMMARY PIVOT'!$A$1794:$A$1921, 0))</f>
        <v>0</v>
      </c>
      <c r="BL46" s="175">
        <f>INDEX('STOPE SUMMARY PIVOT'!$H$1794:$H$1921, MATCH(BK$1,'STOPE SUMMARY PIVOT'!$A$1794:$A$1921, 0))</f>
        <v>0</v>
      </c>
      <c r="BM46" s="154">
        <f>INDEX('STOPE SUMMARY PIVOT'!$G$1794:$G$1921, MATCH(BM$1,'STOPE SUMMARY PIVOT'!$A$1794:$A$1921, 0))</f>
        <v>0</v>
      </c>
      <c r="BN46" s="175">
        <f>INDEX('STOPE SUMMARY PIVOT'!$H$1794:$H$1921, MATCH(BM$1,'STOPE SUMMARY PIVOT'!$A$1794:$A$1921, 0))</f>
        <v>0</v>
      </c>
      <c r="BO46" s="154">
        <f>INDEX('STOPE SUMMARY PIVOT'!$G$1794:$G$1921, MATCH(BO$1,'STOPE SUMMARY PIVOT'!$A$1794:$A$1921, 0))</f>
        <v>0</v>
      </c>
      <c r="BP46" s="175">
        <f>INDEX('STOPE SUMMARY PIVOT'!$H$1794:$H$1921, MATCH(BO$1,'STOPE SUMMARY PIVOT'!$A$1794:$A$1921, 0))</f>
        <v>0</v>
      </c>
      <c r="BQ46" s="154">
        <f>INDEX('STOPE SUMMARY PIVOT'!$G$1794:$G$1921, MATCH(BQ$1,'STOPE SUMMARY PIVOT'!$A$1794:$A$1921, 0))</f>
        <v>0</v>
      </c>
      <c r="BR46" s="175">
        <f>INDEX('STOPE SUMMARY PIVOT'!$H$1794:$H$1921, MATCH(BQ$1,'STOPE SUMMARY PIVOT'!$A$1794:$A$1921, 0))</f>
        <v>0</v>
      </c>
      <c r="BS46" s="154">
        <f>INDEX('STOPE SUMMARY PIVOT'!$G$1794:$G$1921, MATCH(BS$1,'STOPE SUMMARY PIVOT'!$A$1794:$A$1921, 0))</f>
        <v>0</v>
      </c>
      <c r="BT46" s="175">
        <f>INDEX('STOPE SUMMARY PIVOT'!$H$1794:$H$1921, MATCH(BS$1,'STOPE SUMMARY PIVOT'!$A$1794:$A$1921, 0))</f>
        <v>0</v>
      </c>
      <c r="BU46" s="154">
        <f>INDEX('STOPE SUMMARY PIVOT'!$G$1794:$G$1921, MATCH(BU$1,'STOPE SUMMARY PIVOT'!$A$1794:$A$1921, 0))</f>
        <v>0</v>
      </c>
      <c r="BV46" s="175">
        <f>INDEX('STOPE SUMMARY PIVOT'!$H$1794:$H$1921, MATCH(BU$1,'STOPE SUMMARY PIVOT'!$A$1794:$A$1921, 0))</f>
        <v>0</v>
      </c>
      <c r="BW46" s="154">
        <f>INDEX('STOPE SUMMARY PIVOT'!$G$1794:$G$1921, MATCH(BW$1,'STOPE SUMMARY PIVOT'!$A$1794:$A$1921, 0))</f>
        <v>0</v>
      </c>
      <c r="BX46" s="175">
        <f>INDEX('STOPE SUMMARY PIVOT'!$H$1794:$H$1921, MATCH(BW$1,'STOPE SUMMARY PIVOT'!$A$1794:$A$1921, 0))</f>
        <v>0</v>
      </c>
      <c r="BY46" s="154">
        <f>INDEX('STOPE SUMMARY PIVOT'!$G$1794:$G$1921, MATCH(BY$1,'STOPE SUMMARY PIVOT'!$A$1794:$A$1921, 0))</f>
        <v>0</v>
      </c>
      <c r="BZ46" s="175">
        <f>INDEX('STOPE SUMMARY PIVOT'!$H$1794:$H$1921, MATCH(BY$1,'STOPE SUMMARY PIVOT'!$A$1794:$A$1921, 0))</f>
        <v>0</v>
      </c>
      <c r="CA46" s="154">
        <f>INDEX('STOPE SUMMARY PIVOT'!$G$1794:$G$1921, MATCH(CA$1,'STOPE SUMMARY PIVOT'!$A$1794:$A$1921, 0))</f>
        <v>0</v>
      </c>
      <c r="CB46" s="175">
        <f>INDEX('STOPE SUMMARY PIVOT'!$H$1794:$H$1921, MATCH(CA$1,'STOPE SUMMARY PIVOT'!$A$1794:$A$1921, 0))</f>
        <v>0</v>
      </c>
      <c r="CC46" s="154">
        <f>INDEX('STOPE SUMMARY PIVOT'!$G$1794:$G$1921, MATCH(CC$1,'STOPE SUMMARY PIVOT'!$A$1794:$A$1921, 0))</f>
        <v>0</v>
      </c>
      <c r="CD46" s="175">
        <f>INDEX('STOPE SUMMARY PIVOT'!$H$1794:$H$1921, MATCH(CC$1,'STOPE SUMMARY PIVOT'!$A$1794:$A$1921, 0))</f>
        <v>0</v>
      </c>
      <c r="CE46" s="154">
        <f>INDEX('STOPE SUMMARY PIVOT'!$G$1794:$G$1921, MATCH(CE$1,'STOPE SUMMARY PIVOT'!$A$1794:$A$1921, 0))</f>
        <v>0</v>
      </c>
      <c r="CF46" s="175">
        <f>INDEX('STOPE SUMMARY PIVOT'!$H$1794:$H$1921, MATCH(CE$1,'STOPE SUMMARY PIVOT'!$A$1794:$A$1921, 0))</f>
        <v>0</v>
      </c>
      <c r="CG46" s="154">
        <f>INDEX('STOPE SUMMARY PIVOT'!$G$1794:$G$1921, MATCH(CG$1,'STOPE SUMMARY PIVOT'!$A$1794:$A$1921, 0))</f>
        <v>0</v>
      </c>
      <c r="CH46" s="175">
        <f>INDEX('STOPE SUMMARY PIVOT'!$H$1794:$H$1921, MATCH(CG$1,'STOPE SUMMARY PIVOT'!$A$1794:$A$1921, 0))</f>
        <v>0</v>
      </c>
      <c r="CI46" s="154">
        <f>INDEX('STOPE SUMMARY PIVOT'!$G$1794:$G$1921, MATCH(CI$1,'STOPE SUMMARY PIVOT'!$A$1794:$A$1921, 0))</f>
        <v>0</v>
      </c>
      <c r="CJ46" s="175">
        <f>INDEX('STOPE SUMMARY PIVOT'!$H$1794:$H$1921, MATCH(CI$1,'STOPE SUMMARY PIVOT'!$A$1794:$A$1921, 0))</f>
        <v>0</v>
      </c>
      <c r="CK46" s="154">
        <f>INDEX('STOPE SUMMARY PIVOT'!$G$1794:$G$1921, MATCH(CK$1,'STOPE SUMMARY PIVOT'!$A$1794:$A$1921, 0))</f>
        <v>0</v>
      </c>
      <c r="CL46" s="175">
        <f>INDEX('STOPE SUMMARY PIVOT'!$H$1794:$H$1921, MATCH(CK$1,'STOPE SUMMARY PIVOT'!$A$1794:$A$1921, 0))</f>
        <v>0</v>
      </c>
      <c r="CM46" s="154">
        <f>INDEX('STOPE SUMMARY PIVOT'!$G$1794:$G$1921, MATCH(CM$1,'STOPE SUMMARY PIVOT'!$A$1794:$A$1921, 0))</f>
        <v>0</v>
      </c>
      <c r="CN46" s="175">
        <f>INDEX('STOPE SUMMARY PIVOT'!$H$1794:$H$1921, MATCH(CM$1,'STOPE SUMMARY PIVOT'!$A$1794:$A$1921, 0))</f>
        <v>0</v>
      </c>
      <c r="CO46" s="154">
        <f>INDEX('STOPE SUMMARY PIVOT'!$G$1794:$G$1921, MATCH(CO$1,'STOPE SUMMARY PIVOT'!$A$1794:$A$1921, 0))</f>
        <v>0</v>
      </c>
      <c r="CP46" s="175">
        <f>INDEX('STOPE SUMMARY PIVOT'!$H$1794:$H$1921, MATCH(CO$1,'STOPE SUMMARY PIVOT'!$A$1794:$A$1921, 0))</f>
        <v>0</v>
      </c>
      <c r="CQ46" s="154">
        <f>INDEX('STOPE SUMMARY PIVOT'!$G$1794:$G$1921, MATCH(CQ$1,'STOPE SUMMARY PIVOT'!$A$1794:$A$1921, 0))</f>
        <v>2660</v>
      </c>
      <c r="CR46" s="175">
        <f>INDEX('STOPE SUMMARY PIVOT'!$H$1794:$H$1921, MATCH(CQ$1,'STOPE SUMMARY PIVOT'!$A$1794:$A$1921, 0))</f>
        <v>2.8121495327102815</v>
      </c>
      <c r="CS46" s="154">
        <f>INDEX('STOPE SUMMARY PIVOT'!$G$1794:$G$1921, MATCH(CS$1,'STOPE SUMMARY PIVOT'!$A$1794:$A$1921, 0))</f>
        <v>4340</v>
      </c>
      <c r="CT46" s="175">
        <f>INDEX('STOPE SUMMARY PIVOT'!$H$1794:$H$1921, MATCH(CS$1,'STOPE SUMMARY PIVOT'!$A$1794:$A$1921, 0))</f>
        <v>3.0584112149532698</v>
      </c>
      <c r="CU46" s="154">
        <f>INDEX('STOPE SUMMARY PIVOT'!$G$1794:$G$1921, MATCH(CU$1,'STOPE SUMMARY PIVOT'!$A$1794:$A$1921, 0))</f>
        <v>0</v>
      </c>
      <c r="CV46" s="175">
        <f>INDEX('STOPE SUMMARY PIVOT'!$H$1794:$H$1921, MATCH(CU$1,'STOPE SUMMARY PIVOT'!$A$1794:$A$1921, 0))</f>
        <v>0</v>
      </c>
      <c r="CW46" s="154">
        <f>INDEX('STOPE SUMMARY PIVOT'!$G$1794:$G$1921, MATCH(CW$1,'STOPE SUMMARY PIVOT'!$A$1794:$A$1921, 0))</f>
        <v>0</v>
      </c>
      <c r="CX46" s="175">
        <f>INDEX('STOPE SUMMARY PIVOT'!$H$1794:$H$1921, MATCH(CW$1,'STOPE SUMMARY PIVOT'!$A$1794:$A$1921, 0))</f>
        <v>0</v>
      </c>
      <c r="CY46" s="154">
        <f>INDEX('STOPE SUMMARY PIVOT'!$G$1794:$G$1921, MATCH(CY$1,'STOPE SUMMARY PIVOT'!$A$1794:$A$1921, 0))</f>
        <v>1085</v>
      </c>
      <c r="CZ46" s="175">
        <f>INDEX('STOPE SUMMARY PIVOT'!$H$1794:$H$1921, MATCH(CY$1,'STOPE SUMMARY PIVOT'!$A$1794:$A$1921, 0))</f>
        <v>1.6841121495327112</v>
      </c>
      <c r="DA46" s="154">
        <f>INDEX('STOPE SUMMARY PIVOT'!$G$1794:$G$1921, MATCH(DA$1,'STOPE SUMMARY PIVOT'!$A$1794:$A$1921, 0))</f>
        <v>0</v>
      </c>
      <c r="DB46" s="175">
        <f>INDEX('STOPE SUMMARY PIVOT'!$H$1794:$H$1921, MATCH(DA$1,'STOPE SUMMARY PIVOT'!$A$1794:$A$1921, 0))</f>
        <v>0</v>
      </c>
      <c r="DC46" s="154">
        <f>INDEX('STOPE SUMMARY PIVOT'!$G$1794:$G$1921, MATCH(DC$1,'STOPE SUMMARY PIVOT'!$A$1794:$A$1921, 0))</f>
        <v>0</v>
      </c>
      <c r="DD46" s="175">
        <f>INDEX('STOPE SUMMARY PIVOT'!$H$1794:$H$1921, MATCH(DC$1,'STOPE SUMMARY PIVOT'!$A$1794:$A$1921, 0))</f>
        <v>0</v>
      </c>
      <c r="DE46" s="154">
        <f>INDEX('STOPE SUMMARY PIVOT'!$G$1794:$G$1921, MATCH(DE$1,'STOPE SUMMARY PIVOT'!$A$1794:$A$1921, 0))</f>
        <v>0</v>
      </c>
      <c r="DF46" s="175">
        <f>INDEX('STOPE SUMMARY PIVOT'!$H$1794:$H$1921, MATCH(DE$1,'STOPE SUMMARY PIVOT'!$A$1794:$A$1921, 0))</f>
        <v>0</v>
      </c>
      <c r="DG46" s="154">
        <f>INDEX('STOPE SUMMARY PIVOT'!$G$1794:$G$1921, MATCH(DG$1,'STOPE SUMMARY PIVOT'!$A$1794:$A$1921, 0))</f>
        <v>0</v>
      </c>
      <c r="DH46" s="175">
        <f>INDEX('STOPE SUMMARY PIVOT'!$H$1794:$H$1921, MATCH(DG$1,'STOPE SUMMARY PIVOT'!$A$1794:$A$1921, 0))</f>
        <v>0</v>
      </c>
      <c r="DI46" s="154">
        <f>INDEX('STOPE SUMMARY PIVOT'!$G$1794:$G$1921, MATCH(DI$1,'STOPE SUMMARY PIVOT'!$A$1794:$A$1921, 0))</f>
        <v>0</v>
      </c>
      <c r="DJ46" s="175">
        <f>INDEX('STOPE SUMMARY PIVOT'!$H$1794:$H$1921, MATCH(DI$1,'STOPE SUMMARY PIVOT'!$A$1794:$A$1921, 0))</f>
        <v>0</v>
      </c>
      <c r="DK46" s="154">
        <f>INDEX('STOPE SUMMARY PIVOT'!$G$1794:$G$1921, MATCH(DK$1,'STOPE SUMMARY PIVOT'!$A$1794:$A$1921, 0))</f>
        <v>0</v>
      </c>
      <c r="DL46" s="175">
        <f>INDEX('STOPE SUMMARY PIVOT'!$H$1794:$H$1921, MATCH(DK$1,'STOPE SUMMARY PIVOT'!$A$1794:$A$1921, 0))</f>
        <v>0</v>
      </c>
      <c r="DM46" s="154">
        <f>INDEX('STOPE SUMMARY PIVOT'!$G$1794:$G$1921, MATCH(DM$1,'STOPE SUMMARY PIVOT'!$A$1794:$A$1921, 0))</f>
        <v>0</v>
      </c>
      <c r="DN46" s="175">
        <f>INDEX('STOPE SUMMARY PIVOT'!$H$1794:$H$1921, MATCH(DM$1,'STOPE SUMMARY PIVOT'!$A$1794:$A$1921, 0))</f>
        <v>0</v>
      </c>
      <c r="DO46" s="154">
        <f>INDEX('STOPE SUMMARY PIVOT'!$G$1794:$G$1921, MATCH(DO$1,'STOPE SUMMARY PIVOT'!$A$1794:$A$1921, 0))</f>
        <v>0</v>
      </c>
      <c r="DP46" s="175">
        <f>INDEX('STOPE SUMMARY PIVOT'!$H$1794:$H$1921, MATCH(DO$1,'STOPE SUMMARY PIVOT'!$A$1794:$A$1921, 0))</f>
        <v>0</v>
      </c>
      <c r="DQ46" s="154">
        <f>INDEX('STOPE SUMMARY PIVOT'!$G$1794:$G$1921, MATCH(DQ$1,'STOPE SUMMARY PIVOT'!$A$1794:$A$1921, 0))</f>
        <v>2170</v>
      </c>
      <c r="DR46" s="175">
        <f>INDEX('STOPE SUMMARY PIVOT'!$H$1794:$H$1921, MATCH(DQ$1,'STOPE SUMMARY PIVOT'!$A$1794:$A$1921, 0))</f>
        <v>1.6900000000000008</v>
      </c>
      <c r="DS46" s="154">
        <f>INDEX('STOPE SUMMARY PIVOT'!$G$1794:$G$1921, MATCH(DS$1,'STOPE SUMMARY PIVOT'!$A$1794:$A$1921, 0))</f>
        <v>1120</v>
      </c>
      <c r="DT46" s="175">
        <f>INDEX('STOPE SUMMARY PIVOT'!$H$1794:$H$1921, MATCH(DS$1,'STOPE SUMMARY PIVOT'!$A$1794:$A$1921, 0))</f>
        <v>1.604672897196262</v>
      </c>
      <c r="DU46" s="154">
        <f>INDEX('STOPE SUMMARY PIVOT'!$G$1794:$G$1921, MATCH(DU$1,'STOPE SUMMARY PIVOT'!$A$1794:$A$1921, 0))</f>
        <v>0</v>
      </c>
      <c r="DV46" s="175">
        <f>INDEX('STOPE SUMMARY PIVOT'!$H$1794:$H$1921, MATCH(DU$1,'STOPE SUMMARY PIVOT'!$A$1794:$A$1921, 0))</f>
        <v>0</v>
      </c>
      <c r="DW46" s="154">
        <f>INDEX('STOPE SUMMARY PIVOT'!$G$1794:$G$1921, MATCH(DW$1,'STOPE SUMMARY PIVOT'!$A$1794:$A$1921, 0))</f>
        <v>0</v>
      </c>
      <c r="DX46" s="175">
        <f>INDEX('STOPE SUMMARY PIVOT'!$H$1794:$H$1921, MATCH(DW$1,'STOPE SUMMARY PIVOT'!$A$1794:$A$1921, 0))</f>
        <v>0</v>
      </c>
      <c r="DY46" s="154">
        <f>INDEX('STOPE SUMMARY PIVOT'!$G$1794:$G$1921, MATCH(DY$1,'STOPE SUMMARY PIVOT'!$A$1794:$A$1921, 0))</f>
        <v>0</v>
      </c>
      <c r="DZ46" s="175">
        <f>INDEX('STOPE SUMMARY PIVOT'!$H$1794:$H$1921, MATCH(DY$1,'STOPE SUMMARY PIVOT'!$A$1794:$A$1921, 0))</f>
        <v>0</v>
      </c>
      <c r="EA46" s="154">
        <f>INDEX('STOPE SUMMARY PIVOT'!$G$1794:$G$1921, MATCH(EA$1,'STOPE SUMMARY PIVOT'!$A$1794:$A$1921, 0))</f>
        <v>0</v>
      </c>
      <c r="EB46" s="175">
        <f>INDEX('STOPE SUMMARY PIVOT'!$H$1794:$H$1921, MATCH(EA$1,'STOPE SUMMARY PIVOT'!$A$1794:$A$1921, 0))</f>
        <v>0</v>
      </c>
      <c r="EC46" s="154">
        <f>INDEX('STOPE SUMMARY PIVOT'!$G$1794:$G$1921, MATCH(EC$1,'STOPE SUMMARY PIVOT'!$A$1794:$A$1921, 0))</f>
        <v>0</v>
      </c>
      <c r="ED46" s="175">
        <f>INDEX('STOPE SUMMARY PIVOT'!$H$1794:$H$1921, MATCH(EC$1,'STOPE SUMMARY PIVOT'!$A$1794:$A$1921, 0))</f>
        <v>0</v>
      </c>
      <c r="EE46" s="154">
        <f>INDEX('STOPE SUMMARY PIVOT'!$G$1794:$G$1921, MATCH(EE$1,'STOPE SUMMARY PIVOT'!$A$1794:$A$1921, 0))</f>
        <v>0</v>
      </c>
      <c r="EF46" s="175">
        <f>INDEX('STOPE SUMMARY PIVOT'!$H$1794:$H$1921, MATCH(EE$1,'STOPE SUMMARY PIVOT'!$A$1794:$A$1921, 0))</f>
        <v>0</v>
      </c>
      <c r="EG46" s="154">
        <f>INDEX('STOPE SUMMARY PIVOT'!$G$1794:$G$1921, MATCH(EG$1,'STOPE SUMMARY PIVOT'!$A$1794:$A$1921, 0))</f>
        <v>0</v>
      </c>
      <c r="EH46" s="175">
        <f>INDEX('STOPE SUMMARY PIVOT'!$H$1794:$H$1921, MATCH(EG$1,'STOPE SUMMARY PIVOT'!$A$1794:$A$1921, 0))</f>
        <v>0</v>
      </c>
      <c r="EI46" s="154">
        <f>INDEX('STOPE SUMMARY PIVOT'!$G$1794:$G$1921, MATCH(EI$1,'STOPE SUMMARY PIVOT'!$A$1794:$A$1921, 0))</f>
        <v>0</v>
      </c>
      <c r="EJ46" s="175">
        <f>INDEX('STOPE SUMMARY PIVOT'!$H$1794:$H$1921, MATCH(EI$1,'STOPE SUMMARY PIVOT'!$A$1794:$A$1921, 0))</f>
        <v>0</v>
      </c>
      <c r="EK46" s="154">
        <f>INDEX('STOPE SUMMARY PIVOT'!$G$1794:$G$1921, MATCH(EK$1,'STOPE SUMMARY PIVOT'!$A$1794:$A$1921, 0))</f>
        <v>0</v>
      </c>
      <c r="EL46" s="175">
        <f>INDEX('STOPE SUMMARY PIVOT'!$H$1794:$H$1921, MATCH(EK$1,'STOPE SUMMARY PIVOT'!$A$1794:$A$1921, 0))</f>
        <v>0</v>
      </c>
      <c r="EM46" s="154">
        <f>INDEX('STOPE SUMMARY PIVOT'!$G$1794:$G$1921, MATCH(EM$1,'STOPE SUMMARY PIVOT'!$A$1794:$A$1921, 0))</f>
        <v>0</v>
      </c>
      <c r="EN46" s="175">
        <f>INDEX('STOPE SUMMARY PIVOT'!$H$1794:$H$1921, MATCH(EM$1,'STOPE SUMMARY PIVOT'!$A$1794:$A$1921, 0))</f>
        <v>0</v>
      </c>
      <c r="EO46" s="154">
        <f>INDEX('STOPE SUMMARY PIVOT'!$G$1794:$G$1921, MATCH(EO$1,'STOPE SUMMARY PIVOT'!$A$1794:$A$1921, 0))</f>
        <v>2170</v>
      </c>
      <c r="EP46" s="175">
        <f>INDEX('STOPE SUMMARY PIVOT'!$H$1794:$H$1921, MATCH(EO$1,'STOPE SUMMARY PIVOT'!$A$1794:$A$1921, 0))</f>
        <v>3.0901869158878492</v>
      </c>
      <c r="EQ46" s="154">
        <f>INDEX('STOPE SUMMARY PIVOT'!$G$1794:$G$1921, MATCH(EQ$1,'STOPE SUMMARY PIVOT'!$A$1794:$A$1921, 0))</f>
        <v>0</v>
      </c>
      <c r="ER46" s="175">
        <f>INDEX('STOPE SUMMARY PIVOT'!$H$1794:$H$1921, MATCH(EQ$1,'STOPE SUMMARY PIVOT'!$A$1794:$A$1921, 0))</f>
        <v>0</v>
      </c>
      <c r="ES46" s="154">
        <f>INDEX('STOPE SUMMARY PIVOT'!$G$1794:$G$1921, MATCH(ES$1,'STOPE SUMMARY PIVOT'!$A$1794:$A$1921, 0))</f>
        <v>3255</v>
      </c>
      <c r="ET46" s="175">
        <f>INDEX('STOPE SUMMARY PIVOT'!$H$1794:$H$1921, MATCH(ES$1,'STOPE SUMMARY PIVOT'!$A$1794:$A$1921, 0))</f>
        <v>3.0901869158878479</v>
      </c>
      <c r="EU46" s="154">
        <f>INDEX('STOPE SUMMARY PIVOT'!$G$1794:$G$1921, MATCH(EU$1,'STOPE SUMMARY PIVOT'!$A$1794:$A$1921, 0))</f>
        <v>2170</v>
      </c>
      <c r="EV46" s="175">
        <f>INDEX('STOPE SUMMARY PIVOT'!$H$1794:$H$1921, MATCH(EU$1,'STOPE SUMMARY PIVOT'!$A$1794:$A$1921, 0))</f>
        <v>2.3116822429906541</v>
      </c>
      <c r="EW46" s="154">
        <f>INDEX('STOPE SUMMARY PIVOT'!$G$1794:$G$1921, MATCH(EW$1,'STOPE SUMMARY PIVOT'!$A$1794:$A$1921, 0))</f>
        <v>0</v>
      </c>
      <c r="EX46" s="175">
        <f>INDEX('STOPE SUMMARY PIVOT'!$H$1794:$H$1921, MATCH(EW$1,'STOPE SUMMARY PIVOT'!$A$1794:$A$1921, 0))</f>
        <v>0</v>
      </c>
      <c r="EY46" s="154">
        <f>INDEX('STOPE SUMMARY PIVOT'!$G$1794:$G$1921, MATCH(EY$1,'STOPE SUMMARY PIVOT'!$A$1794:$A$1921, 0))</f>
        <v>0</v>
      </c>
      <c r="EZ46" s="175">
        <f>INDEX('STOPE SUMMARY PIVOT'!$H$1794:$H$1921, MATCH(EY$1,'STOPE SUMMARY PIVOT'!$A$1794:$A$1921, 0))</f>
        <v>0</v>
      </c>
      <c r="FA46" s="154">
        <f>INDEX('STOPE SUMMARY PIVOT'!$G$1794:$G$1921, MATCH(FA$1,'STOPE SUMMARY PIVOT'!$A$1794:$A$1921, 0))</f>
        <v>0</v>
      </c>
      <c r="FB46" s="175">
        <f>INDEX('STOPE SUMMARY PIVOT'!$H$1794:$H$1921, MATCH(FA$1,'STOPE SUMMARY PIVOT'!$A$1794:$A$1921, 0))</f>
        <v>0</v>
      </c>
      <c r="FC46" s="154">
        <f>INDEX('STOPE SUMMARY PIVOT'!$G$1794:$G$1921, MATCH(FC$1,'STOPE SUMMARY PIVOT'!$A$1794:$A$1921, 0))</f>
        <v>2170</v>
      </c>
      <c r="FD46" s="175">
        <f>INDEX('STOPE SUMMARY PIVOT'!$H$1794:$H$1921, MATCH(FC$1,'STOPE SUMMARY PIVOT'!$A$1794:$A$1921, 0))</f>
        <v>2.2560747663551406</v>
      </c>
      <c r="FE46" s="154">
        <f>INDEX('STOPE SUMMARY PIVOT'!$G$1794:$G$1921, MATCH(FE$1,'STOPE SUMMARY PIVOT'!$A$1794:$A$1921, 0))</f>
        <v>4340</v>
      </c>
      <c r="FF46" s="175">
        <f>INDEX('STOPE SUMMARY PIVOT'!$H$1794:$H$1921, MATCH(FE$1,'STOPE SUMMARY PIVOT'!$A$1794:$A$1921, 0))</f>
        <v>2.0098130841121482</v>
      </c>
      <c r="FG46" s="154">
        <f>INDEX('STOPE SUMMARY PIVOT'!$G$1794:$G$1921, MATCH(FG$1,'STOPE SUMMARY PIVOT'!$A$1794:$A$1921, 0))</f>
        <v>1085</v>
      </c>
      <c r="FH46" s="175">
        <f>INDEX('STOPE SUMMARY PIVOT'!$H$1794:$H$1921, MATCH(FG$1,'STOPE SUMMARY PIVOT'!$A$1794:$A$1921, 0))</f>
        <v>1.7238317757009356</v>
      </c>
      <c r="FI46" s="154">
        <f>INDEX('STOPE SUMMARY PIVOT'!$G$1794:$G$1921, MATCH(FI$1,'STOPE SUMMARY PIVOT'!$A$1794:$A$1921, 0))</f>
        <v>0</v>
      </c>
      <c r="FJ46" s="175">
        <f>INDEX('STOPE SUMMARY PIVOT'!$H$1794:$H$1921, MATCH(FI$1,'STOPE SUMMARY PIVOT'!$A$1794:$A$1921, 0))</f>
        <v>0</v>
      </c>
      <c r="FK46" s="154">
        <f>INDEX('STOPE SUMMARY PIVOT'!$G$1794:$G$1921, MATCH(FK$1,'STOPE SUMMARY PIVOT'!$A$1794:$A$1921, 0))</f>
        <v>0</v>
      </c>
      <c r="FL46" s="175">
        <f>INDEX('STOPE SUMMARY PIVOT'!$H$1794:$H$1921, MATCH(FK$1,'STOPE SUMMARY PIVOT'!$A$1794:$A$1921, 0))</f>
        <v>0</v>
      </c>
      <c r="FM46" s="154">
        <f>INDEX('STOPE SUMMARY PIVOT'!$G$1794:$G$1921, MATCH(FM$1,'STOPE SUMMARY PIVOT'!$A$1794:$A$1921, 0))</f>
        <v>0</v>
      </c>
      <c r="FN46" s="175">
        <f>INDEX('STOPE SUMMARY PIVOT'!$H$1794:$H$1921, MATCH(FM$1,'STOPE SUMMARY PIVOT'!$A$1794:$A$1921, 0))</f>
        <v>0</v>
      </c>
      <c r="FO46" s="154">
        <f>INDEX('STOPE SUMMARY PIVOT'!$G$1794:$G$1921, MATCH(FO$1,'STOPE SUMMARY PIVOT'!$A$1794:$A$1921, 0))</f>
        <v>0</v>
      </c>
      <c r="FP46" s="175">
        <f>INDEX('STOPE SUMMARY PIVOT'!$H$1794:$H$1921, MATCH(FO$1,'STOPE SUMMARY PIVOT'!$A$1794:$A$1921, 0))</f>
        <v>0</v>
      </c>
      <c r="FQ46" s="154">
        <f>INDEX('STOPE SUMMARY PIVOT'!$G$1794:$G$1921, MATCH(FQ$1,'STOPE SUMMARY PIVOT'!$A$1794:$A$1921, 0))</f>
        <v>0</v>
      </c>
      <c r="FR46" s="175">
        <f>INDEX('STOPE SUMMARY PIVOT'!$H$1794:$H$1921, MATCH(FQ$1,'STOPE SUMMARY PIVOT'!$A$1794:$A$1921, 0))</f>
        <v>0</v>
      </c>
      <c r="FS46" s="154">
        <f>INDEX('STOPE SUMMARY PIVOT'!$G$1794:$G$1921, MATCH(FS$1,'STOPE SUMMARY PIVOT'!$A$1794:$A$1921, 0))</f>
        <v>0</v>
      </c>
      <c r="FT46" s="175">
        <f>INDEX('STOPE SUMMARY PIVOT'!$H$1794:$H$1921, MATCH(FS$1,'STOPE SUMMARY PIVOT'!$A$1794:$A$1921, 0))</f>
        <v>0</v>
      </c>
      <c r="FU46" s="154">
        <f>INDEX('STOPE SUMMARY PIVOT'!$G$1794:$G$1921, MATCH(FU$1,'STOPE SUMMARY PIVOT'!$A$1794:$A$1921, 0))</f>
        <v>0</v>
      </c>
      <c r="FV46" s="175">
        <f>INDEX('STOPE SUMMARY PIVOT'!$H$1794:$H$1921, MATCH(FU$1,'STOPE SUMMARY PIVOT'!$A$1794:$A$1921, 0))</f>
        <v>0</v>
      </c>
      <c r="FW46" s="154">
        <f>INDEX('STOPE SUMMARY PIVOT'!$G$1794:$G$1921, MATCH(FW$1,'STOPE SUMMARY PIVOT'!$A$1794:$A$1921, 0))</f>
        <v>0</v>
      </c>
      <c r="FX46" s="175">
        <f>INDEX('STOPE SUMMARY PIVOT'!$H$1794:$H$1921, MATCH(FW$1,'STOPE SUMMARY PIVOT'!$A$1794:$A$1921, 0))</f>
        <v>0</v>
      </c>
      <c r="FY46" s="154">
        <f>INDEX('STOPE SUMMARY PIVOT'!$G$1794:$G$1921, MATCH(FY$1,'STOPE SUMMARY PIVOT'!$A$1794:$A$1921, 0))</f>
        <v>0</v>
      </c>
      <c r="FZ46" s="175">
        <f>INDEX('STOPE SUMMARY PIVOT'!$H$1794:$H$1921, MATCH(FY$1,'STOPE SUMMARY PIVOT'!$A$1794:$A$1921, 0))</f>
        <v>0</v>
      </c>
      <c r="GA46" s="154">
        <f>INDEX('STOPE SUMMARY PIVOT'!$G$1794:$G$1921, MATCH(GA$1,'STOPE SUMMARY PIVOT'!$A$1794:$A$1921, 0))</f>
        <v>0</v>
      </c>
      <c r="GB46" s="175">
        <f>INDEX('STOPE SUMMARY PIVOT'!$H$1794:$H$1921, MATCH(GA$1,'STOPE SUMMARY PIVOT'!$A$1794:$A$1921, 0))</f>
        <v>0</v>
      </c>
      <c r="GC46" s="154">
        <f>INDEX('STOPE SUMMARY PIVOT'!$G$1794:$G$1921, MATCH(GC$1,'STOPE SUMMARY PIVOT'!$A$1794:$A$1921, 0))</f>
        <v>0</v>
      </c>
      <c r="GD46" s="175">
        <f>INDEX('STOPE SUMMARY PIVOT'!$H$1794:$H$1921, MATCH(GC$1,'STOPE SUMMARY PIVOT'!$A$1794:$A$1921, 0))</f>
        <v>0</v>
      </c>
      <c r="GE46" s="154">
        <f>INDEX('STOPE SUMMARY PIVOT'!$G$1794:$G$1921, MATCH(GE$1,'STOPE SUMMARY PIVOT'!$A$1794:$A$1921, 0))</f>
        <v>0</v>
      </c>
      <c r="GF46" s="175">
        <f>INDEX('STOPE SUMMARY PIVOT'!$H$1794:$H$1921, MATCH(GE$1,'STOPE SUMMARY PIVOT'!$A$1794:$A$1921, 0))</f>
        <v>0</v>
      </c>
      <c r="GG46" s="154">
        <f>INDEX('STOPE SUMMARY PIVOT'!$G$1794:$G$1921, MATCH(GG$1,'STOPE SUMMARY PIVOT'!$A$1794:$A$1921, 0))</f>
        <v>0</v>
      </c>
      <c r="GH46" s="175">
        <f>INDEX('STOPE SUMMARY PIVOT'!$H$1794:$H$1921, MATCH(GG$1,'STOPE SUMMARY PIVOT'!$A$1794:$A$1921, 0))</f>
        <v>0</v>
      </c>
      <c r="GI46" s="154">
        <f>INDEX('STOPE SUMMARY PIVOT'!$G$1794:$G$1921, MATCH(GI$1,'STOPE SUMMARY PIVOT'!$A$1794:$A$1921, 0))</f>
        <v>0</v>
      </c>
      <c r="GJ46" s="175">
        <f>INDEX('STOPE SUMMARY PIVOT'!$H$1794:$H$1921, MATCH(GI$1,'STOPE SUMMARY PIVOT'!$A$1794:$A$1921, 0))</f>
        <v>0</v>
      </c>
      <c r="GK46" s="154">
        <f>INDEX('STOPE SUMMARY PIVOT'!$G$1794:$G$1921, MATCH(GK$1,'STOPE SUMMARY PIVOT'!$A$1794:$A$1921, 0))</f>
        <v>0</v>
      </c>
      <c r="GL46" s="175">
        <f>INDEX('STOPE SUMMARY PIVOT'!$H$1794:$H$1921, MATCH(GK$1,'STOPE SUMMARY PIVOT'!$A$1794:$A$1921, 0))</f>
        <v>0</v>
      </c>
      <c r="GM46" s="154">
        <f>INDEX('STOPE SUMMARY PIVOT'!$G$1794:$G$1921, MATCH(GM$1,'STOPE SUMMARY PIVOT'!$A$1794:$A$1921, 0))</f>
        <v>0</v>
      </c>
      <c r="GN46" s="175">
        <f>INDEX('STOPE SUMMARY PIVOT'!$H$1794:$H$1921, MATCH(GM$1,'STOPE SUMMARY PIVOT'!$A$1794:$A$1921, 0))</f>
        <v>0</v>
      </c>
      <c r="GO46" s="154">
        <f>INDEX('STOPE SUMMARY PIVOT'!$G$1794:$G$1921, MATCH(GO$1,'STOPE SUMMARY PIVOT'!$A$1794:$A$1921, 0))</f>
        <v>0</v>
      </c>
      <c r="GP46" s="175">
        <f>INDEX('STOPE SUMMARY PIVOT'!$H$1794:$H$1921, MATCH(GO$1,'STOPE SUMMARY PIVOT'!$A$1794:$A$1921, 0))</f>
        <v>0</v>
      </c>
      <c r="GQ46" s="154">
        <f>INDEX('STOPE SUMMARY PIVOT'!$G$1794:$G$1921, MATCH(GQ$1,'STOPE SUMMARY PIVOT'!$A$1794:$A$1921, 0))</f>
        <v>0</v>
      </c>
      <c r="GR46" s="175">
        <f>INDEX('STOPE SUMMARY PIVOT'!$H$1794:$H$1921, MATCH(GQ$1,'STOPE SUMMARY PIVOT'!$A$1794:$A$1921, 0))</f>
        <v>0</v>
      </c>
      <c r="GS46" s="154">
        <f>INDEX('STOPE SUMMARY PIVOT'!$G$1794:$G$1921, MATCH(GS$1,'STOPE SUMMARY PIVOT'!$A$1794:$A$1921, 0))</f>
        <v>0</v>
      </c>
      <c r="GT46" s="175">
        <f>INDEX('STOPE SUMMARY PIVOT'!$H$1794:$H$1921, MATCH(GS$1,'STOPE SUMMARY PIVOT'!$A$1794:$A$1921, 0))</f>
        <v>0</v>
      </c>
      <c r="GU46" s="154">
        <f>INDEX('STOPE SUMMARY PIVOT'!$G$1794:$G$1921, MATCH(GU$1,'STOPE SUMMARY PIVOT'!$A$1794:$A$1921, 0))</f>
        <v>0</v>
      </c>
      <c r="GV46" s="175">
        <f>INDEX('STOPE SUMMARY PIVOT'!$H$1794:$H$1921, MATCH(GU$1,'STOPE SUMMARY PIVOT'!$A$1794:$A$1921, 0))</f>
        <v>0</v>
      </c>
      <c r="GW46" s="154">
        <f>INDEX('STOPE SUMMARY PIVOT'!$G$1794:$G$1921, MATCH(GW$1,'STOPE SUMMARY PIVOT'!$A$1794:$A$1921, 0))</f>
        <v>0</v>
      </c>
      <c r="GX46" s="175">
        <f>INDEX('STOPE SUMMARY PIVOT'!$H$1794:$H$1921, MATCH(GW$1,'STOPE SUMMARY PIVOT'!$A$1794:$A$1921, 0))</f>
        <v>0</v>
      </c>
      <c r="GY46" s="154">
        <f>INDEX('STOPE SUMMARY PIVOT'!$G$1794:$G$1921, MATCH(GY$1,'STOPE SUMMARY PIVOT'!$A$1794:$A$1921, 0))</f>
        <v>0</v>
      </c>
      <c r="GZ46" s="175">
        <f>INDEX('STOPE SUMMARY PIVOT'!$H$1794:$H$1921, MATCH(GY$1,'STOPE SUMMARY PIVOT'!$A$1794:$A$1921, 0))</f>
        <v>0</v>
      </c>
      <c r="HA46" s="154">
        <f>INDEX('STOPE SUMMARY PIVOT'!$G$1794:$G$1921, MATCH(HA$1,'STOPE SUMMARY PIVOT'!$A$1794:$A$1921, 0))</f>
        <v>0</v>
      </c>
      <c r="HB46" s="175">
        <f>INDEX('STOPE SUMMARY PIVOT'!$H$1794:$H$1921, MATCH(HA$1,'STOPE SUMMARY PIVOT'!$A$1794:$A$1921, 0))</f>
        <v>0</v>
      </c>
      <c r="HC46" s="154">
        <f>INDEX('STOPE SUMMARY PIVOT'!$G$1794:$G$1921, MATCH(HC$1,'STOPE SUMMARY PIVOT'!$A$1794:$A$1921, 0))</f>
        <v>0</v>
      </c>
      <c r="HD46" s="175">
        <f>INDEX('STOPE SUMMARY PIVOT'!$H$1794:$H$1921, MATCH(HC$1,'STOPE SUMMARY PIVOT'!$A$1794:$A$1921, 0))</f>
        <v>0</v>
      </c>
      <c r="HE46" s="154">
        <f>INDEX('STOPE SUMMARY PIVOT'!$G$1794:$G$1921, MATCH(HE$1,'STOPE SUMMARY PIVOT'!$A$1794:$A$1921, 0))</f>
        <v>0</v>
      </c>
      <c r="HF46" s="175">
        <f>INDEX('STOPE SUMMARY PIVOT'!$H$1794:$H$1921, MATCH(HE$1,'STOPE SUMMARY PIVOT'!$A$1794:$A$1921, 0))</f>
        <v>0</v>
      </c>
      <c r="HG46" s="154">
        <f>INDEX('STOPE SUMMARY PIVOT'!$G$1794:$G$1921, MATCH(HG$1,'STOPE SUMMARY PIVOT'!$A$1794:$A$1921, 0))</f>
        <v>0</v>
      </c>
      <c r="HH46" s="175">
        <f>INDEX('STOPE SUMMARY PIVOT'!$H$1794:$H$1921, MATCH(HG$1,'STOPE SUMMARY PIVOT'!$A$1794:$A$1921, 0))</f>
        <v>0</v>
      </c>
      <c r="HI46" s="154">
        <f>INDEX('STOPE SUMMARY PIVOT'!$G$1794:$G$1921, MATCH(HI$1,'STOPE SUMMARY PIVOT'!$A$1794:$A$1921, 0))</f>
        <v>0</v>
      </c>
      <c r="HJ46" s="175">
        <f>INDEX('STOPE SUMMARY PIVOT'!$H$1794:$H$1921, MATCH(HI$1,'STOPE SUMMARY PIVOT'!$A$1794:$A$1921, 0))</f>
        <v>0</v>
      </c>
      <c r="HK46" s="154">
        <f>INDEX('STOPE SUMMARY PIVOT'!$G$1794:$G$1921, MATCH(HK$1,'STOPE SUMMARY PIVOT'!$A$1794:$A$1921, 0))</f>
        <v>0</v>
      </c>
      <c r="HL46" s="175">
        <f>INDEX('STOPE SUMMARY PIVOT'!$H$1794:$H$1921, MATCH(HK$1,'STOPE SUMMARY PIVOT'!$A$1794:$A$1921, 0))</f>
        <v>0</v>
      </c>
      <c r="HM46" s="154">
        <f>INDEX('STOPE SUMMARY PIVOT'!$G$1794:$G$1921, MATCH(HM$1,'STOPE SUMMARY PIVOT'!$A$1794:$A$1921, 0))</f>
        <v>0</v>
      </c>
      <c r="HN46" s="175">
        <f>INDEX('STOPE SUMMARY PIVOT'!$H$1794:$H$1921, MATCH(HM$1,'STOPE SUMMARY PIVOT'!$A$1794:$A$1921, 0))</f>
        <v>0</v>
      </c>
      <c r="HO46" s="154">
        <f>INDEX('STOPE SUMMARY PIVOT'!$G$1794:$G$1921, MATCH(HO$1,'STOPE SUMMARY PIVOT'!$A$1794:$A$1921, 0))</f>
        <v>0</v>
      </c>
      <c r="HP46" s="175">
        <f>INDEX('STOPE SUMMARY PIVOT'!$H$1794:$H$1921, MATCH(HO$1,'STOPE SUMMARY PIVOT'!$A$1794:$A$1921, 0))</f>
        <v>0</v>
      </c>
      <c r="HQ46" s="154">
        <f>INDEX('STOPE SUMMARY PIVOT'!$G$1794:$G$1921, MATCH(HQ$1,'STOPE SUMMARY PIVOT'!$A$1794:$A$1921, 0))</f>
        <v>0</v>
      </c>
      <c r="HR46" s="175">
        <f>INDEX('STOPE SUMMARY PIVOT'!$H$1794:$H$1921, MATCH(HQ$1,'STOPE SUMMARY PIVOT'!$A$1794:$A$1921, 0))</f>
        <v>0</v>
      </c>
      <c r="HS46" s="154">
        <f>INDEX('STOPE SUMMARY PIVOT'!$G$1794:$G$1921, MATCH(HS$1,'STOPE SUMMARY PIVOT'!$A$1794:$A$1921, 0))</f>
        <v>0</v>
      </c>
      <c r="HT46" s="175">
        <f>INDEX('STOPE SUMMARY PIVOT'!$H$1794:$H$1921, MATCH(HS$1,'STOPE SUMMARY PIVOT'!$A$1794:$A$1921, 0))</f>
        <v>0</v>
      </c>
      <c r="HU46" s="154">
        <f>INDEX('STOPE SUMMARY PIVOT'!$G$1794:$G$1921, MATCH(HU$1,'STOPE SUMMARY PIVOT'!$A$1794:$A$1921, 0))</f>
        <v>0</v>
      </c>
      <c r="HV46" s="175">
        <f>INDEX('STOPE SUMMARY PIVOT'!$H$1794:$H$1921, MATCH(HU$1,'STOPE SUMMARY PIVOT'!$A$1794:$A$1921, 0))</f>
        <v>0</v>
      </c>
      <c r="HW46" s="154">
        <f>INDEX('STOPE SUMMARY PIVOT'!$G$1794:$G$1921, MATCH(HW$1,'STOPE SUMMARY PIVOT'!$A$1794:$A$1921, 0))</f>
        <v>0</v>
      </c>
      <c r="HX46" s="175">
        <f>INDEX('STOPE SUMMARY PIVOT'!$H$1794:$H$1921, MATCH(HW$1,'STOPE SUMMARY PIVOT'!$A$1794:$A$1921, 0))</f>
        <v>0</v>
      </c>
      <c r="HY46" s="154">
        <f>INDEX('STOPE SUMMARY PIVOT'!$G$1794:$G$1921, MATCH(HY$1,'STOPE SUMMARY PIVOT'!$A$1794:$A$1921, 0))</f>
        <v>0</v>
      </c>
      <c r="HZ46" s="175">
        <f>INDEX('STOPE SUMMARY PIVOT'!$H$1794:$H$1921, MATCH(HY$1,'STOPE SUMMARY PIVOT'!$A$1794:$A$1921, 0))</f>
        <v>0</v>
      </c>
      <c r="IA46" s="154">
        <f>INDEX('STOPE SUMMARY PIVOT'!$G$1794:$G$1921, MATCH(IA$1,'STOPE SUMMARY PIVOT'!$A$1794:$A$1921, 0))</f>
        <v>0</v>
      </c>
      <c r="IB46" s="175">
        <f>INDEX('STOPE SUMMARY PIVOT'!$H$1794:$H$1921, MATCH(IA$1,'STOPE SUMMARY PIVOT'!$A$1794:$A$1921, 0))</f>
        <v>0</v>
      </c>
      <c r="IC46" s="154">
        <f>INDEX('STOPE SUMMARY PIVOT'!$G$1794:$G$1921, MATCH(IC$1,'STOPE SUMMARY PIVOT'!$A$1794:$A$1921, 0))</f>
        <v>0</v>
      </c>
      <c r="ID46" s="175">
        <f>INDEX('STOPE SUMMARY PIVOT'!$H$1794:$H$1921, MATCH(IC$1,'STOPE SUMMARY PIVOT'!$A$1794:$A$1921, 0))</f>
        <v>0</v>
      </c>
      <c r="IE46" s="154">
        <f>INDEX('STOPE SUMMARY PIVOT'!$G$1794:$G$1921, MATCH(IE$1,'STOPE SUMMARY PIVOT'!$A$1794:$A$1921, 0))</f>
        <v>0</v>
      </c>
      <c r="IF46" s="175">
        <f>INDEX('STOPE SUMMARY PIVOT'!$H$1794:$H$1921, MATCH(IE$1,'STOPE SUMMARY PIVOT'!$A$1794:$A$1921, 0))</f>
        <v>0</v>
      </c>
      <c r="IG46" s="154">
        <f>INDEX('STOPE SUMMARY PIVOT'!$G$1794:$G$1921, MATCH(IG$1,'STOPE SUMMARY PIVOT'!$A$1794:$A$1921, 0))</f>
        <v>0</v>
      </c>
      <c r="IH46" s="175">
        <f>INDEX('STOPE SUMMARY PIVOT'!$H$1794:$H$1921, MATCH(IG$1,'STOPE SUMMARY PIVOT'!$A$1794:$A$1921, 0))</f>
        <v>0</v>
      </c>
      <c r="II46" s="154">
        <f>INDEX('STOPE SUMMARY PIVOT'!$G$1794:$G$1921, MATCH(II$1,'STOPE SUMMARY PIVOT'!$A$1794:$A$1921, 0))</f>
        <v>0</v>
      </c>
      <c r="IJ46" s="175">
        <f>INDEX('STOPE SUMMARY PIVOT'!$H$1794:$H$1921, MATCH(II$1,'STOPE SUMMARY PIVOT'!$A$1794:$A$1921, 0))</f>
        <v>0</v>
      </c>
      <c r="IK46" s="154">
        <f>INDEX('STOPE SUMMARY PIVOT'!$G$1794:$G$1921, MATCH(IK$1,'STOPE SUMMARY PIVOT'!$A$1794:$A$1921, 0))</f>
        <v>0</v>
      </c>
      <c r="IL46" s="175">
        <f>INDEX('STOPE SUMMARY PIVOT'!$H$1794:$H$1921, MATCH(IK$1,'STOPE SUMMARY PIVOT'!$A$1794:$A$1921, 0))</f>
        <v>0</v>
      </c>
      <c r="IM46" s="154">
        <f>INDEX('STOPE SUMMARY PIVOT'!$G$1794:$G$1921, MATCH(IM$1,'STOPE SUMMARY PIVOT'!$A$1794:$A$1921, 0))</f>
        <v>0</v>
      </c>
      <c r="IN46" s="175">
        <f>INDEX('STOPE SUMMARY PIVOT'!$H$1794:$H$1921, MATCH(IM$1,'STOPE SUMMARY PIVOT'!$A$1794:$A$1921, 0))</f>
        <v>0</v>
      </c>
      <c r="IO46" s="154">
        <f>INDEX('STOPE SUMMARY PIVOT'!$G$1794:$G$1921, MATCH(IO$1,'STOPE SUMMARY PIVOT'!$A$1794:$A$1921, 0))</f>
        <v>0</v>
      </c>
      <c r="IP46" s="175">
        <f>INDEX('STOPE SUMMARY PIVOT'!$H$1794:$H$1921, MATCH(IO$1,'STOPE SUMMARY PIVOT'!$A$1794:$A$1921, 0))</f>
        <v>0</v>
      </c>
      <c r="IQ46" s="154">
        <f>INDEX('STOPE SUMMARY PIVOT'!$G$1794:$G$1921, MATCH(IQ$1,'STOPE SUMMARY PIVOT'!$A$1794:$A$1921, 0))</f>
        <v>0</v>
      </c>
      <c r="IR46" s="175">
        <f>INDEX('STOPE SUMMARY PIVOT'!$H$1794:$H$1921, MATCH(IQ$1,'STOPE SUMMARY PIVOT'!$A$1794:$A$1921, 0))</f>
        <v>0</v>
      </c>
      <c r="IS46" s="154">
        <f>INDEX('STOPE SUMMARY PIVOT'!$G$1794:$G$1921, MATCH(IS$1,'STOPE SUMMARY PIVOT'!$A$1794:$A$1921, 0))</f>
        <v>0</v>
      </c>
      <c r="IT46" s="175">
        <f>INDEX('STOPE SUMMARY PIVOT'!$H$1794:$H$1921, MATCH(IS$1,'STOPE SUMMARY PIVOT'!$A$1794:$A$1921, 0))</f>
        <v>0</v>
      </c>
      <c r="IU46" s="154">
        <f>INDEX('STOPE SUMMARY PIVOT'!$G$1794:$G$1921, MATCH(IU$1,'STOPE SUMMARY PIVOT'!$A$1794:$A$1921, 0))</f>
        <v>0</v>
      </c>
      <c r="IV46" s="175">
        <f>INDEX('STOPE SUMMARY PIVOT'!$H$1794:$H$1921, MATCH(IU$1,'STOPE SUMMARY PIVOT'!$A$1794:$A$1921, 0))</f>
        <v>0</v>
      </c>
      <c r="IW46" s="154">
        <f>INDEX('STOPE SUMMARY PIVOT'!$G$1794:$G$1921, MATCH(IW$1,'STOPE SUMMARY PIVOT'!$A$1794:$A$1921, 0))</f>
        <v>0</v>
      </c>
      <c r="IX46" s="175">
        <f>INDEX('STOPE SUMMARY PIVOT'!$H$1794:$H$1921, MATCH(IW$1,'STOPE SUMMARY PIVOT'!$A$1794:$A$1921, 0))</f>
        <v>0</v>
      </c>
      <c r="IY46" s="154">
        <f>INDEX('STOPE SUMMARY PIVOT'!$G$1794:$G$1921, MATCH(IY$1,'STOPE SUMMARY PIVOT'!$A$1794:$A$1921, 0))</f>
        <v>0</v>
      </c>
      <c r="IZ46" s="175">
        <f>INDEX('STOPE SUMMARY PIVOT'!$H$1794:$H$1921, MATCH(IY$1,'STOPE SUMMARY PIVOT'!$A$1794:$A$1921, 0))</f>
        <v>0</v>
      </c>
    </row>
    <row r="47" spans="1:260" ht="15.75" thickBot="1" x14ac:dyDescent="0.3">
      <c r="A47" s="1591"/>
      <c r="B47" s="169" t="s">
        <v>5</v>
      </c>
      <c r="C47" s="170" cm="1">
        <f t="array" ref="C47">SUM(_xlfn._xlws.FILTER(E47:IZ47, MOD(COLUMN(E47:IZ47)-COLUMN(E47)+1,2)=1))</f>
        <v>27002.799999999996</v>
      </c>
      <c r="D47" s="171" cm="1">
        <f t="array" ref="D47">IFERROR(SUMPRODUCT(_xlfn._xlws.FILTER(E47:IZ47, MOD(COLUMN(E47:IZ47)-COLUMN(E47)+1,2)=1), _xlfn._xlws.FILTER(E47:IZ47, MOD(COLUMN(E47:IZ47)-COLUMN(E47)+1,2)=0))/C47,"")</f>
        <v>2.5672741715673935</v>
      </c>
      <c r="E47" s="172">
        <f>INDEX('STOPE SUMMARY PIVOT'!$J$1794:$J$1921, MATCH(E$1,'STOPE SUMMARY PIVOT'!$A$1794:$A$1921, 0))</f>
        <v>279</v>
      </c>
      <c r="F47" s="176">
        <f>INDEX('STOPE SUMMARY PIVOT'!$K$1794:$K$1921, MATCH(E$1,'STOPE SUMMARY PIVOT'!$A$1794:$A$1921, 0))</f>
        <v>1.1235125448028676</v>
      </c>
      <c r="G47" s="172">
        <f>INDEX('STOPE SUMMARY PIVOT'!$J$1794:$J$1921, MATCH(G$1,'STOPE SUMMARY PIVOT'!$A$1794:$A$1921, 0))</f>
        <v>0</v>
      </c>
      <c r="H47" s="176">
        <f>INDEX('STOPE SUMMARY PIVOT'!$K$1794:$K$1921, MATCH(G$1,'STOPE SUMMARY PIVOT'!$A$1794:$A$1921, 0))</f>
        <v>0</v>
      </c>
      <c r="I47" s="172">
        <f>INDEX('STOPE SUMMARY PIVOT'!$J$1794:$J$1921, MATCH(I$1,'STOPE SUMMARY PIVOT'!$A$1794:$A$1921, 0))</f>
        <v>0</v>
      </c>
      <c r="J47" s="173">
        <f>INDEX('STOPE SUMMARY PIVOT'!$K$1794:$K$1921, MATCH(I$1,'STOPE SUMMARY PIVOT'!$A$1794:$A$1921, 0))</f>
        <v>0</v>
      </c>
      <c r="K47" s="172">
        <f>INDEX('STOPE SUMMARY PIVOT'!$J$1794:$J$1921, MATCH(K$1,'STOPE SUMMARY PIVOT'!$A$1794:$A$1921, 0))</f>
        <v>0</v>
      </c>
      <c r="L47" s="173">
        <f>INDEX('STOPE SUMMARY PIVOT'!$K$1794:$K$1921, MATCH(K$1,'STOPE SUMMARY PIVOT'!$A$1794:$A$1921, 0))</f>
        <v>0</v>
      </c>
      <c r="M47" s="172">
        <f>INDEX('STOPE SUMMARY PIVOT'!$J$1794:$J$1921, MATCH(M$1,'STOPE SUMMARY PIVOT'!$A$1794:$A$1921, 0))</f>
        <v>0</v>
      </c>
      <c r="N47" s="173">
        <f>INDEX('STOPE SUMMARY PIVOT'!$K$1794:$K$1921, MATCH(M$1,'STOPE SUMMARY PIVOT'!$A$1794:$A$1921, 0))</f>
        <v>0</v>
      </c>
      <c r="O47" s="172">
        <f>INDEX('STOPE SUMMARY PIVOT'!$J$1794:$J$1921, MATCH(O$1,'STOPE SUMMARY PIVOT'!$A$1794:$A$1921, 0))</f>
        <v>0</v>
      </c>
      <c r="P47" s="173">
        <f>INDEX('STOPE SUMMARY PIVOT'!$K$1794:$K$1921, MATCH(O$1,'STOPE SUMMARY PIVOT'!$A$1794:$A$1921, 0))</f>
        <v>0</v>
      </c>
      <c r="Q47" s="172">
        <f>INDEX('STOPE SUMMARY PIVOT'!$J$1794:$J$1921, MATCH(Q$1,'STOPE SUMMARY PIVOT'!$A$1794:$A$1921, 0))</f>
        <v>0</v>
      </c>
      <c r="R47" s="173">
        <f>INDEX('STOPE SUMMARY PIVOT'!$K$1794:$K$1921, MATCH(Q$1,'STOPE SUMMARY PIVOT'!$A$1794:$A$1921, 0))</f>
        <v>0</v>
      </c>
      <c r="S47" s="172">
        <f>INDEX('STOPE SUMMARY PIVOT'!$J$1794:$J$1921, MATCH(S$1,'STOPE SUMMARY PIVOT'!$A$1794:$A$1921, 0))</f>
        <v>0</v>
      </c>
      <c r="T47" s="173">
        <f>INDEX('STOPE SUMMARY PIVOT'!$K$1794:$K$1921, MATCH(S$1,'STOPE SUMMARY PIVOT'!$A$1794:$A$1921, 0))</f>
        <v>0</v>
      </c>
      <c r="U47" s="172">
        <f>INDEX('STOPE SUMMARY PIVOT'!$J$1794:$J$1921, MATCH(U$1,'STOPE SUMMARY PIVOT'!$A$1794:$A$1921, 0))</f>
        <v>0</v>
      </c>
      <c r="V47" s="176">
        <f>INDEX('STOPE SUMMARY PIVOT'!$K$1794:$K$1921, MATCH(U$1,'STOPE SUMMARY PIVOT'!$A$1794:$A$1921, 0))</f>
        <v>0</v>
      </c>
      <c r="W47" s="172">
        <f>INDEX('STOPE SUMMARY PIVOT'!$J$1794:$J$1921, MATCH(W$1,'STOPE SUMMARY PIVOT'!$A$1794:$A$1921, 0))</f>
        <v>0</v>
      </c>
      <c r="X47" s="176">
        <f>INDEX('STOPE SUMMARY PIVOT'!$K$1794:$K$1921, MATCH(W$1,'STOPE SUMMARY PIVOT'!$A$1794:$A$1921, 0))</f>
        <v>0</v>
      </c>
      <c r="Y47" s="172">
        <f>INDEX('STOPE SUMMARY PIVOT'!$J$1794:$J$1921, MATCH(Y$1,'STOPE SUMMARY PIVOT'!$A$1794:$A$1921, 0))</f>
        <v>1294</v>
      </c>
      <c r="Z47" s="176">
        <f>INDEX('STOPE SUMMARY PIVOT'!$K$1794:$K$1921, MATCH(Y$1,'STOPE SUMMARY PIVOT'!$A$1794:$A$1921, 0))</f>
        <v>3.3226816074188563</v>
      </c>
      <c r="AA47" s="172">
        <f>INDEX('STOPE SUMMARY PIVOT'!$J$1794:$J$1921, MATCH(AA$1,'STOPE SUMMARY PIVOT'!$A$1794:$A$1921, 0))</f>
        <v>0</v>
      </c>
      <c r="AB47" s="176">
        <f>INDEX('STOPE SUMMARY PIVOT'!$K$1794:$K$1921, MATCH(AA$1,'STOPE SUMMARY PIVOT'!$A$1794:$A$1921, 0))</f>
        <v>0</v>
      </c>
      <c r="AC47" s="172">
        <f>INDEX('STOPE SUMMARY PIVOT'!$J$1794:$J$1921, MATCH(AC$1,'STOPE SUMMARY PIVOT'!$A$1794:$A$1921, 0))</f>
        <v>0</v>
      </c>
      <c r="AD47" s="176">
        <f>INDEX('STOPE SUMMARY PIVOT'!$K$1794:$K$1921, MATCH(AC$1,'STOPE SUMMARY PIVOT'!$A$1794:$A$1921, 0))</f>
        <v>0</v>
      </c>
      <c r="AE47" s="172">
        <f>INDEX('STOPE SUMMARY PIVOT'!$J$1794:$J$1921, MATCH(AE$1,'STOPE SUMMARY PIVOT'!$A$1794:$A$1921, 0))</f>
        <v>0</v>
      </c>
      <c r="AF47" s="176">
        <f>INDEX('STOPE SUMMARY PIVOT'!$K$1794:$K$1921, MATCH(AE$1,'STOPE SUMMARY PIVOT'!$A$1794:$A$1921, 0))</f>
        <v>0</v>
      </c>
      <c r="AG47" s="172">
        <f>INDEX('STOPE SUMMARY PIVOT'!$J$1794:$J$1921, MATCH(AG$1,'STOPE SUMMARY PIVOT'!$A$1794:$A$1921, 0))</f>
        <v>0</v>
      </c>
      <c r="AH47" s="176">
        <f>INDEX('STOPE SUMMARY PIVOT'!$K$1794:$K$1921, MATCH(AG$1,'STOPE SUMMARY PIVOT'!$A$1794:$A$1921, 0))</f>
        <v>0</v>
      </c>
      <c r="AI47" s="172">
        <f>INDEX('STOPE SUMMARY PIVOT'!$J$1794:$J$1921, MATCH(AI$1,'STOPE SUMMARY PIVOT'!$A$1794:$A$1921, 0))</f>
        <v>0</v>
      </c>
      <c r="AJ47" s="176">
        <f>INDEX('STOPE SUMMARY PIVOT'!$K$1794:$K$1921, MATCH(AI$1,'STOPE SUMMARY PIVOT'!$A$1794:$A$1921, 0))</f>
        <v>0</v>
      </c>
      <c r="AK47" s="172">
        <f>INDEX('STOPE SUMMARY PIVOT'!$J$1794:$J$1921, MATCH(AK$1,'STOPE SUMMARY PIVOT'!$A$1794:$A$1921, 0))</f>
        <v>0</v>
      </c>
      <c r="AL47" s="176">
        <f>INDEX('STOPE SUMMARY PIVOT'!$K$1794:$K$1921, MATCH(AK$1,'STOPE SUMMARY PIVOT'!$A$1794:$A$1921, 0))</f>
        <v>0</v>
      </c>
      <c r="AM47" s="172">
        <f>INDEX('STOPE SUMMARY PIVOT'!$J$1794:$J$1921, MATCH(AM$1,'STOPE SUMMARY PIVOT'!$A$1794:$A$1921, 0))</f>
        <v>0</v>
      </c>
      <c r="AN47" s="176">
        <f>INDEX('STOPE SUMMARY PIVOT'!$K$1794:$K$1921, MATCH(AM$1,'STOPE SUMMARY PIVOT'!$A$1794:$A$1921, 0))</f>
        <v>0</v>
      </c>
      <c r="AO47" s="172">
        <f>INDEX('STOPE SUMMARY PIVOT'!$J$1794:$J$1921, MATCH(AO$1,'STOPE SUMMARY PIVOT'!$A$1794:$A$1921, 0))</f>
        <v>0</v>
      </c>
      <c r="AP47" s="176">
        <f>INDEX('STOPE SUMMARY PIVOT'!$K$1794:$K$1921, MATCH(AO$1,'STOPE SUMMARY PIVOT'!$A$1794:$A$1921, 0))</f>
        <v>0</v>
      </c>
      <c r="AQ47" s="172">
        <f>INDEX('STOPE SUMMARY PIVOT'!$J$1794:$J$1921, MATCH(AQ$1,'STOPE SUMMARY PIVOT'!$A$1794:$A$1921, 0))</f>
        <v>0</v>
      </c>
      <c r="AR47" s="176">
        <f>INDEX('STOPE SUMMARY PIVOT'!$K$1794:$K$1921, MATCH(AQ$1,'STOPE SUMMARY PIVOT'!$A$1794:$A$1921, 0))</f>
        <v>0</v>
      </c>
      <c r="AS47" s="172">
        <f>INDEX('STOPE SUMMARY PIVOT'!$J$1794:$J$1921, MATCH(AS$1,'STOPE SUMMARY PIVOT'!$A$1794:$A$1921, 0))</f>
        <v>0</v>
      </c>
      <c r="AT47" s="176">
        <f>INDEX('STOPE SUMMARY PIVOT'!$K$1794:$K$1921, MATCH(AS$1,'STOPE SUMMARY PIVOT'!$A$1794:$A$1921, 0))</f>
        <v>0</v>
      </c>
      <c r="AU47" s="172">
        <f>INDEX('STOPE SUMMARY PIVOT'!$J$1794:$J$1921, MATCH(AU$1,'STOPE SUMMARY PIVOT'!$A$1794:$A$1921, 0))</f>
        <v>0</v>
      </c>
      <c r="AV47" s="176">
        <f>INDEX('STOPE SUMMARY PIVOT'!$K$1794:$K$1921, MATCH(AU$1,'STOPE SUMMARY PIVOT'!$A$1794:$A$1921, 0))</f>
        <v>0</v>
      </c>
      <c r="AW47" s="172">
        <f>INDEX('STOPE SUMMARY PIVOT'!$J$1794:$J$1921, MATCH(AW$1,'STOPE SUMMARY PIVOT'!$A$1794:$A$1921, 0))</f>
        <v>0</v>
      </c>
      <c r="AX47" s="176">
        <f>INDEX('STOPE SUMMARY PIVOT'!$K$1794:$K$1921, MATCH(AW$1,'STOPE SUMMARY PIVOT'!$A$1794:$A$1921, 0))</f>
        <v>0</v>
      </c>
      <c r="AY47" s="172">
        <f>INDEX('STOPE SUMMARY PIVOT'!$J$1794:$J$1921, MATCH(AY$1,'STOPE SUMMARY PIVOT'!$A$1794:$A$1921, 0))</f>
        <v>0</v>
      </c>
      <c r="AZ47" s="176">
        <f>INDEX('STOPE SUMMARY PIVOT'!$K$1794:$K$1921, MATCH(AY$1,'STOPE SUMMARY PIVOT'!$A$1794:$A$1921, 0))</f>
        <v>0</v>
      </c>
      <c r="BA47" s="172">
        <f>INDEX('STOPE SUMMARY PIVOT'!$J$1794:$J$1921, MATCH(BA$1,'STOPE SUMMARY PIVOT'!$A$1794:$A$1921, 0))</f>
        <v>0</v>
      </c>
      <c r="BB47" s="176">
        <f>INDEX('STOPE SUMMARY PIVOT'!$K$1794:$K$1921, MATCH(BA$1,'STOPE SUMMARY PIVOT'!$A$1794:$A$1921, 0))</f>
        <v>0</v>
      </c>
      <c r="BC47" s="172">
        <f>INDEX('STOPE SUMMARY PIVOT'!$J$1794:$J$1921, MATCH(BC$1,'STOPE SUMMARY PIVOT'!$A$1794:$A$1921, 0))</f>
        <v>0</v>
      </c>
      <c r="BD47" s="176">
        <f>INDEX('STOPE SUMMARY PIVOT'!$K$1794:$K$1921, MATCH(BC$1,'STOPE SUMMARY PIVOT'!$A$1794:$A$1921, 0))</f>
        <v>0</v>
      </c>
      <c r="BE47" s="172">
        <f>INDEX('STOPE SUMMARY PIVOT'!$J$1794:$J$1921, MATCH(BE$1,'STOPE SUMMARY PIVOT'!$A$1794:$A$1921, 0))</f>
        <v>0</v>
      </c>
      <c r="BF47" s="176">
        <f>INDEX('STOPE SUMMARY PIVOT'!$K$1794:$K$1921, MATCH(BE$1,'STOPE SUMMARY PIVOT'!$A$1794:$A$1921, 0))</f>
        <v>0</v>
      </c>
      <c r="BG47" s="172">
        <f>INDEX('STOPE SUMMARY PIVOT'!$J$1794:$J$1921, MATCH(BG$1,'STOPE SUMMARY PIVOT'!$A$1794:$A$1921, 0))</f>
        <v>0</v>
      </c>
      <c r="BH47" s="176">
        <f>INDEX('STOPE SUMMARY PIVOT'!$K$1794:$K$1921, MATCH(BG$1,'STOPE SUMMARY PIVOT'!$A$1794:$A$1921, 0))</f>
        <v>0</v>
      </c>
      <c r="BI47" s="172">
        <f>INDEX('STOPE SUMMARY PIVOT'!$J$1794:$J$1921, MATCH(BI$1,'STOPE SUMMARY PIVOT'!$A$1794:$A$1921, 0))</f>
        <v>0</v>
      </c>
      <c r="BJ47" s="176">
        <f>INDEX('STOPE SUMMARY PIVOT'!$K$1794:$K$1921, MATCH(BI$1,'STOPE SUMMARY PIVOT'!$A$1794:$A$1921, 0))</f>
        <v>0</v>
      </c>
      <c r="BK47" s="172">
        <f>INDEX('STOPE SUMMARY PIVOT'!$J$1794:$J$1921, MATCH(BK$1,'STOPE SUMMARY PIVOT'!$A$1794:$A$1921, 0))</f>
        <v>0</v>
      </c>
      <c r="BL47" s="176">
        <f>INDEX('STOPE SUMMARY PIVOT'!$K$1794:$K$1921, MATCH(BK$1,'STOPE SUMMARY PIVOT'!$A$1794:$A$1921, 0))</f>
        <v>0</v>
      </c>
      <c r="BM47" s="172">
        <f>INDEX('STOPE SUMMARY PIVOT'!$J$1794:$J$1921, MATCH(BM$1,'STOPE SUMMARY PIVOT'!$A$1794:$A$1921, 0))</f>
        <v>0</v>
      </c>
      <c r="BN47" s="176">
        <f>INDEX('STOPE SUMMARY PIVOT'!$K$1794:$K$1921, MATCH(BM$1,'STOPE SUMMARY PIVOT'!$A$1794:$A$1921, 0))</f>
        <v>0</v>
      </c>
      <c r="BO47" s="172">
        <f>INDEX('STOPE SUMMARY PIVOT'!$J$1794:$J$1921, MATCH(BO$1,'STOPE SUMMARY PIVOT'!$A$1794:$A$1921, 0))</f>
        <v>0</v>
      </c>
      <c r="BP47" s="176">
        <f>INDEX('STOPE SUMMARY PIVOT'!$K$1794:$K$1921, MATCH(BO$1,'STOPE SUMMARY PIVOT'!$A$1794:$A$1921, 0))</f>
        <v>0</v>
      </c>
      <c r="BQ47" s="172">
        <f>INDEX('STOPE SUMMARY PIVOT'!$J$1794:$J$1921, MATCH(BQ$1,'STOPE SUMMARY PIVOT'!$A$1794:$A$1921, 0))</f>
        <v>0</v>
      </c>
      <c r="BR47" s="176">
        <f>INDEX('STOPE SUMMARY PIVOT'!$K$1794:$K$1921, MATCH(BQ$1,'STOPE SUMMARY PIVOT'!$A$1794:$A$1921, 0))</f>
        <v>0</v>
      </c>
      <c r="BS47" s="172">
        <f>INDEX('STOPE SUMMARY PIVOT'!$J$1794:$J$1921, MATCH(BS$1,'STOPE SUMMARY PIVOT'!$A$1794:$A$1921, 0))</f>
        <v>0</v>
      </c>
      <c r="BT47" s="176">
        <f>INDEX('STOPE SUMMARY PIVOT'!$K$1794:$K$1921, MATCH(BS$1,'STOPE SUMMARY PIVOT'!$A$1794:$A$1921, 0))</f>
        <v>0</v>
      </c>
      <c r="BU47" s="172">
        <f>INDEX('STOPE SUMMARY PIVOT'!$J$1794:$J$1921, MATCH(BU$1,'STOPE SUMMARY PIVOT'!$A$1794:$A$1921, 0))</f>
        <v>0</v>
      </c>
      <c r="BV47" s="176">
        <f>INDEX('STOPE SUMMARY PIVOT'!$K$1794:$K$1921, MATCH(BU$1,'STOPE SUMMARY PIVOT'!$A$1794:$A$1921, 0))</f>
        <v>0</v>
      </c>
      <c r="BW47" s="172">
        <f>INDEX('STOPE SUMMARY PIVOT'!$J$1794:$J$1921, MATCH(BW$1,'STOPE SUMMARY PIVOT'!$A$1794:$A$1921, 0))</f>
        <v>0</v>
      </c>
      <c r="BX47" s="176">
        <f>INDEX('STOPE SUMMARY PIVOT'!$K$1794:$K$1921, MATCH(BW$1,'STOPE SUMMARY PIVOT'!$A$1794:$A$1921, 0))</f>
        <v>0</v>
      </c>
      <c r="BY47" s="172">
        <f>INDEX('STOPE SUMMARY PIVOT'!$J$1794:$J$1921, MATCH(BY$1,'STOPE SUMMARY PIVOT'!$A$1794:$A$1921, 0))</f>
        <v>0</v>
      </c>
      <c r="BZ47" s="176">
        <f>INDEX('STOPE SUMMARY PIVOT'!$K$1794:$K$1921, MATCH(BY$1,'STOPE SUMMARY PIVOT'!$A$1794:$A$1921, 0))</f>
        <v>0</v>
      </c>
      <c r="CA47" s="172">
        <f>INDEX('STOPE SUMMARY PIVOT'!$J$1794:$J$1921, MATCH(CA$1,'STOPE SUMMARY PIVOT'!$A$1794:$A$1921, 0))</f>
        <v>0</v>
      </c>
      <c r="CB47" s="176">
        <f>INDEX('STOPE SUMMARY PIVOT'!$K$1794:$K$1921, MATCH(CA$1,'STOPE SUMMARY PIVOT'!$A$1794:$A$1921, 0))</f>
        <v>0</v>
      </c>
      <c r="CC47" s="172">
        <f>INDEX('STOPE SUMMARY PIVOT'!$J$1794:$J$1921, MATCH(CC$1,'STOPE SUMMARY PIVOT'!$A$1794:$A$1921, 0))</f>
        <v>0</v>
      </c>
      <c r="CD47" s="176">
        <f>INDEX('STOPE SUMMARY PIVOT'!$K$1794:$K$1921, MATCH(CC$1,'STOPE SUMMARY PIVOT'!$A$1794:$A$1921, 0))</f>
        <v>0</v>
      </c>
      <c r="CE47" s="172">
        <f>INDEX('STOPE SUMMARY PIVOT'!$J$1794:$J$1921, MATCH(CE$1,'STOPE SUMMARY PIVOT'!$A$1794:$A$1921, 0))</f>
        <v>0</v>
      </c>
      <c r="CF47" s="176">
        <f>INDEX('STOPE SUMMARY PIVOT'!$K$1794:$K$1921, MATCH(CE$1,'STOPE SUMMARY PIVOT'!$A$1794:$A$1921, 0))</f>
        <v>0</v>
      </c>
      <c r="CG47" s="172">
        <f>INDEX('STOPE SUMMARY PIVOT'!$J$1794:$J$1921, MATCH(CG$1,'STOPE SUMMARY PIVOT'!$A$1794:$A$1921, 0))</f>
        <v>0</v>
      </c>
      <c r="CH47" s="176">
        <f>INDEX('STOPE SUMMARY PIVOT'!$K$1794:$K$1921, MATCH(CG$1,'STOPE SUMMARY PIVOT'!$A$1794:$A$1921, 0))</f>
        <v>0</v>
      </c>
      <c r="CI47" s="172">
        <f>INDEX('STOPE SUMMARY PIVOT'!$J$1794:$J$1921, MATCH(CI$1,'STOPE SUMMARY PIVOT'!$A$1794:$A$1921, 0))</f>
        <v>0</v>
      </c>
      <c r="CJ47" s="176">
        <f>INDEX('STOPE SUMMARY PIVOT'!$K$1794:$K$1921, MATCH(CI$1,'STOPE SUMMARY PIVOT'!$A$1794:$A$1921, 0))</f>
        <v>0</v>
      </c>
      <c r="CK47" s="172">
        <f>INDEX('STOPE SUMMARY PIVOT'!$J$1794:$J$1921, MATCH(CK$1,'STOPE SUMMARY PIVOT'!$A$1794:$A$1921, 0))</f>
        <v>0</v>
      </c>
      <c r="CL47" s="176">
        <f>INDEX('STOPE SUMMARY PIVOT'!$K$1794:$K$1921, MATCH(CK$1,'STOPE SUMMARY PIVOT'!$A$1794:$A$1921, 0))</f>
        <v>0</v>
      </c>
      <c r="CM47" s="172">
        <f>INDEX('STOPE SUMMARY PIVOT'!$J$1794:$J$1921, MATCH(CM$1,'STOPE SUMMARY PIVOT'!$A$1794:$A$1921, 0))</f>
        <v>0</v>
      </c>
      <c r="CN47" s="176">
        <f>INDEX('STOPE SUMMARY PIVOT'!$K$1794:$K$1921, MATCH(CM$1,'STOPE SUMMARY PIVOT'!$A$1794:$A$1921, 0))</f>
        <v>0</v>
      </c>
      <c r="CO47" s="172">
        <f>INDEX('STOPE SUMMARY PIVOT'!$J$1794:$J$1921, MATCH(CO$1,'STOPE SUMMARY PIVOT'!$A$1794:$A$1921, 0))</f>
        <v>0</v>
      </c>
      <c r="CP47" s="176">
        <f>INDEX('STOPE SUMMARY PIVOT'!$K$1794:$K$1921, MATCH(CO$1,'STOPE SUMMARY PIVOT'!$A$1794:$A$1921, 0))</f>
        <v>0</v>
      </c>
      <c r="CQ47" s="172">
        <f>INDEX('STOPE SUMMARY PIVOT'!$J$1794:$J$1921, MATCH(CQ$1,'STOPE SUMMARY PIVOT'!$A$1794:$A$1921, 0))</f>
        <v>2821</v>
      </c>
      <c r="CR47" s="176">
        <f>INDEX('STOPE SUMMARY PIVOT'!$K$1794:$K$1921, MATCH(CQ$1,'STOPE SUMMARY PIVOT'!$A$1794:$A$1921, 0))</f>
        <v>2.590361573909961</v>
      </c>
      <c r="CS47" s="172">
        <f>INDEX('STOPE SUMMARY PIVOT'!$J$1794:$J$1921, MATCH(CS$1,'STOPE SUMMARY PIVOT'!$A$1794:$A$1921, 0))</f>
        <v>4581</v>
      </c>
      <c r="CT47" s="176">
        <f>INDEX('STOPE SUMMARY PIVOT'!$K$1794:$K$1921, MATCH(CS$1,'STOPE SUMMARY PIVOT'!$A$1794:$A$1921, 0))</f>
        <v>2.7069286182056325</v>
      </c>
      <c r="CU47" s="172">
        <f>INDEX('STOPE SUMMARY PIVOT'!$J$1794:$J$1921, MATCH(CU$1,'STOPE SUMMARY PIVOT'!$A$1794:$A$1921, 0))</f>
        <v>0</v>
      </c>
      <c r="CV47" s="176">
        <f>INDEX('STOPE SUMMARY PIVOT'!$K$1794:$K$1921, MATCH(CU$1,'STOPE SUMMARY PIVOT'!$A$1794:$A$1921, 0))</f>
        <v>0</v>
      </c>
      <c r="CW47" s="172">
        <f>INDEX('STOPE SUMMARY PIVOT'!$J$1794:$J$1921, MATCH(CW$1,'STOPE SUMMARY PIVOT'!$A$1794:$A$1921, 0))</f>
        <v>0</v>
      </c>
      <c r="CX47" s="176">
        <f>INDEX('STOPE SUMMARY PIVOT'!$K$1794:$K$1921, MATCH(CW$1,'STOPE SUMMARY PIVOT'!$A$1794:$A$1921, 0))</f>
        <v>0</v>
      </c>
      <c r="CY47" s="172">
        <f>INDEX('STOPE SUMMARY PIVOT'!$J$1794:$J$1921, MATCH(CY$1,'STOPE SUMMARY PIVOT'!$A$1794:$A$1921, 0))</f>
        <v>1258</v>
      </c>
      <c r="CZ47" s="176">
        <f>INDEX('STOPE SUMMARY PIVOT'!$K$1794:$K$1921, MATCH(CY$1,'STOPE SUMMARY PIVOT'!$A$1794:$A$1921, 0))</f>
        <v>1.9284737678855326</v>
      </c>
      <c r="DA47" s="172">
        <f>INDEX('STOPE SUMMARY PIVOT'!$J$1794:$J$1921, MATCH(DA$1,'STOPE SUMMARY PIVOT'!$A$1794:$A$1921, 0))</f>
        <v>0</v>
      </c>
      <c r="DB47" s="176">
        <f>INDEX('STOPE SUMMARY PIVOT'!$K$1794:$K$1921, MATCH(DA$1,'STOPE SUMMARY PIVOT'!$A$1794:$A$1921, 0))</f>
        <v>0</v>
      </c>
      <c r="DC47" s="172">
        <f>INDEX('STOPE SUMMARY PIVOT'!$J$1794:$J$1921, MATCH(DC$1,'STOPE SUMMARY PIVOT'!$A$1794:$A$1921, 0))</f>
        <v>0</v>
      </c>
      <c r="DD47" s="176">
        <f>INDEX('STOPE SUMMARY PIVOT'!$K$1794:$K$1921, MATCH(DC$1,'STOPE SUMMARY PIVOT'!$A$1794:$A$1921, 0))</f>
        <v>0</v>
      </c>
      <c r="DE47" s="172">
        <f>INDEX('STOPE SUMMARY PIVOT'!$J$1794:$J$1921, MATCH(DE$1,'STOPE SUMMARY PIVOT'!$A$1794:$A$1921, 0))</f>
        <v>0</v>
      </c>
      <c r="DF47" s="176">
        <f>INDEX('STOPE SUMMARY PIVOT'!$K$1794:$K$1921, MATCH(DE$1,'STOPE SUMMARY PIVOT'!$A$1794:$A$1921, 0))</f>
        <v>0</v>
      </c>
      <c r="DG47" s="172">
        <f>INDEX('STOPE SUMMARY PIVOT'!$J$1794:$J$1921, MATCH(DG$1,'STOPE SUMMARY PIVOT'!$A$1794:$A$1921, 0))</f>
        <v>0</v>
      </c>
      <c r="DH47" s="176">
        <f>INDEX('STOPE SUMMARY PIVOT'!$K$1794:$K$1921, MATCH(DG$1,'STOPE SUMMARY PIVOT'!$A$1794:$A$1921, 0))</f>
        <v>0</v>
      </c>
      <c r="DI47" s="172">
        <f>INDEX('STOPE SUMMARY PIVOT'!$J$1794:$J$1921, MATCH(DI$1,'STOPE SUMMARY PIVOT'!$A$1794:$A$1921, 0))</f>
        <v>0</v>
      </c>
      <c r="DJ47" s="176">
        <f>INDEX('STOPE SUMMARY PIVOT'!$K$1794:$K$1921, MATCH(DI$1,'STOPE SUMMARY PIVOT'!$A$1794:$A$1921, 0))</f>
        <v>0</v>
      </c>
      <c r="DK47" s="172">
        <f>INDEX('STOPE SUMMARY PIVOT'!$J$1794:$J$1921, MATCH(DK$1,'STOPE SUMMARY PIVOT'!$A$1794:$A$1921, 0))</f>
        <v>0</v>
      </c>
      <c r="DL47" s="176">
        <f>INDEX('STOPE SUMMARY PIVOT'!$K$1794:$K$1921, MATCH(DK$1,'STOPE SUMMARY PIVOT'!$A$1794:$A$1921, 0))</f>
        <v>0</v>
      </c>
      <c r="DM47" s="172">
        <f>INDEX('STOPE SUMMARY PIVOT'!$J$1794:$J$1921, MATCH(DM$1,'STOPE SUMMARY PIVOT'!$A$1794:$A$1921, 0))</f>
        <v>0</v>
      </c>
      <c r="DN47" s="176">
        <f>INDEX('STOPE SUMMARY PIVOT'!$K$1794:$K$1921, MATCH(DM$1,'STOPE SUMMARY PIVOT'!$A$1794:$A$1921, 0))</f>
        <v>0</v>
      </c>
      <c r="DO47" s="172">
        <f>INDEX('STOPE SUMMARY PIVOT'!$J$1794:$J$1921, MATCH(DO$1,'STOPE SUMMARY PIVOT'!$A$1794:$A$1921, 0))</f>
        <v>0</v>
      </c>
      <c r="DP47" s="176">
        <f>INDEX('STOPE SUMMARY PIVOT'!$K$1794:$K$1921, MATCH(DO$1,'STOPE SUMMARY PIVOT'!$A$1794:$A$1921, 0))</f>
        <v>0</v>
      </c>
      <c r="DQ47" s="172">
        <f>INDEX('STOPE SUMMARY PIVOT'!$J$1794:$J$1921, MATCH(DQ$1,'STOPE SUMMARY PIVOT'!$A$1794:$A$1921, 0))</f>
        <v>2587</v>
      </c>
      <c r="DR47" s="176">
        <f>INDEX('STOPE SUMMARY PIVOT'!$K$1794:$K$1921, MATCH(DQ$1,'STOPE SUMMARY PIVOT'!$A$1794:$A$1921, 0))</f>
        <v>2.1497680711248552</v>
      </c>
      <c r="DS47" s="172">
        <f>INDEX('STOPE SUMMARY PIVOT'!$J$1794:$J$1921, MATCH(DS$1,'STOPE SUMMARY PIVOT'!$A$1794:$A$1921, 0))</f>
        <v>778</v>
      </c>
      <c r="DT47" s="176">
        <f>INDEX('STOPE SUMMARY PIVOT'!$K$1794:$K$1921, MATCH(DS$1,'STOPE SUMMARY PIVOT'!$A$1794:$A$1921, 0))</f>
        <v>1.5569922879177376</v>
      </c>
      <c r="DU47" s="172">
        <f>INDEX('STOPE SUMMARY PIVOT'!$J$1794:$J$1921, MATCH(DU$1,'STOPE SUMMARY PIVOT'!$A$1794:$A$1921, 0))</f>
        <v>0</v>
      </c>
      <c r="DV47" s="176">
        <f>INDEX('STOPE SUMMARY PIVOT'!$K$1794:$K$1921, MATCH(DU$1,'STOPE SUMMARY PIVOT'!$A$1794:$A$1921, 0))</f>
        <v>0</v>
      </c>
      <c r="DW47" s="172">
        <f>INDEX('STOPE SUMMARY PIVOT'!$J$1794:$J$1921, MATCH(DW$1,'STOPE SUMMARY PIVOT'!$A$1794:$A$1921, 0))</f>
        <v>0</v>
      </c>
      <c r="DX47" s="176">
        <f>INDEX('STOPE SUMMARY PIVOT'!$K$1794:$K$1921, MATCH(DW$1,'STOPE SUMMARY PIVOT'!$A$1794:$A$1921, 0))</f>
        <v>0</v>
      </c>
      <c r="DY47" s="172">
        <f>INDEX('STOPE SUMMARY PIVOT'!$J$1794:$J$1921, MATCH(DY$1,'STOPE SUMMARY PIVOT'!$A$1794:$A$1921, 0))</f>
        <v>0</v>
      </c>
      <c r="DZ47" s="176">
        <f>INDEX('STOPE SUMMARY PIVOT'!$K$1794:$K$1921, MATCH(DY$1,'STOPE SUMMARY PIVOT'!$A$1794:$A$1921, 0))</f>
        <v>0</v>
      </c>
      <c r="EA47" s="172">
        <f>INDEX('STOPE SUMMARY PIVOT'!$J$1794:$J$1921, MATCH(EA$1,'STOPE SUMMARY PIVOT'!$A$1794:$A$1921, 0))</f>
        <v>0</v>
      </c>
      <c r="EB47" s="176">
        <f>INDEX('STOPE SUMMARY PIVOT'!$K$1794:$K$1921, MATCH(EA$1,'STOPE SUMMARY PIVOT'!$A$1794:$A$1921, 0))</f>
        <v>0</v>
      </c>
      <c r="EC47" s="172">
        <f>INDEX('STOPE SUMMARY PIVOT'!$J$1794:$J$1921, MATCH(EC$1,'STOPE SUMMARY PIVOT'!$A$1794:$A$1921, 0))</f>
        <v>0</v>
      </c>
      <c r="ED47" s="176">
        <f>INDEX('STOPE SUMMARY PIVOT'!$K$1794:$K$1921, MATCH(EC$1,'STOPE SUMMARY PIVOT'!$A$1794:$A$1921, 0))</f>
        <v>0</v>
      </c>
      <c r="EE47" s="172">
        <f>INDEX('STOPE SUMMARY PIVOT'!$J$1794:$J$1921, MATCH(EE$1,'STOPE SUMMARY PIVOT'!$A$1794:$A$1921, 0))</f>
        <v>0</v>
      </c>
      <c r="EF47" s="176">
        <f>INDEX('STOPE SUMMARY PIVOT'!$K$1794:$K$1921, MATCH(EE$1,'STOPE SUMMARY PIVOT'!$A$1794:$A$1921, 0))</f>
        <v>0</v>
      </c>
      <c r="EG47" s="172">
        <f>INDEX('STOPE SUMMARY PIVOT'!$J$1794:$J$1921, MATCH(EG$1,'STOPE SUMMARY PIVOT'!$A$1794:$A$1921, 0))</f>
        <v>0</v>
      </c>
      <c r="EH47" s="176">
        <f>INDEX('STOPE SUMMARY PIVOT'!$K$1794:$K$1921, MATCH(EG$1,'STOPE SUMMARY PIVOT'!$A$1794:$A$1921, 0))</f>
        <v>0</v>
      </c>
      <c r="EI47" s="172">
        <f>INDEX('STOPE SUMMARY PIVOT'!$J$1794:$J$1921, MATCH(EI$1,'STOPE SUMMARY PIVOT'!$A$1794:$A$1921, 0))</f>
        <v>0</v>
      </c>
      <c r="EJ47" s="176">
        <f>INDEX('STOPE SUMMARY PIVOT'!$K$1794:$K$1921, MATCH(EI$1,'STOPE SUMMARY PIVOT'!$A$1794:$A$1921, 0))</f>
        <v>0</v>
      </c>
      <c r="EK47" s="172">
        <f>INDEX('STOPE SUMMARY PIVOT'!$J$1794:$J$1921, MATCH(EK$1,'STOPE SUMMARY PIVOT'!$A$1794:$A$1921, 0))</f>
        <v>0</v>
      </c>
      <c r="EL47" s="176">
        <f>INDEX('STOPE SUMMARY PIVOT'!$K$1794:$K$1921, MATCH(EK$1,'STOPE SUMMARY PIVOT'!$A$1794:$A$1921, 0))</f>
        <v>0</v>
      </c>
      <c r="EM47" s="172">
        <f>INDEX('STOPE SUMMARY PIVOT'!$J$1794:$J$1921, MATCH(EM$1,'STOPE SUMMARY PIVOT'!$A$1794:$A$1921, 0))</f>
        <v>0</v>
      </c>
      <c r="EN47" s="176">
        <f>INDEX('STOPE SUMMARY PIVOT'!$K$1794:$K$1921, MATCH(EM$1,'STOPE SUMMARY PIVOT'!$A$1794:$A$1921, 0))</f>
        <v>0</v>
      </c>
      <c r="EO47" s="172">
        <f>INDEX('STOPE SUMMARY PIVOT'!$J$1794:$J$1921, MATCH(EO$1,'STOPE SUMMARY PIVOT'!$A$1794:$A$1921, 0))</f>
        <v>2738.2</v>
      </c>
      <c r="EP47" s="176">
        <f>INDEX('STOPE SUMMARY PIVOT'!$K$1794:$K$1921, MATCH(EO$1,'STOPE SUMMARY PIVOT'!$A$1794:$A$1921, 0))</f>
        <v>3.2370144620553654</v>
      </c>
      <c r="EQ47" s="172">
        <f>INDEX('STOPE SUMMARY PIVOT'!$J$1794:$J$1921, MATCH(EQ$1,'STOPE SUMMARY PIVOT'!$A$1794:$A$1921, 0))</f>
        <v>0</v>
      </c>
      <c r="ER47" s="176">
        <f>INDEX('STOPE SUMMARY PIVOT'!$K$1794:$K$1921, MATCH(EQ$1,'STOPE SUMMARY PIVOT'!$A$1794:$A$1921, 0))</f>
        <v>0</v>
      </c>
      <c r="ES47" s="172">
        <f>INDEX('STOPE SUMMARY PIVOT'!$J$1794:$J$1921, MATCH(ES$1,'STOPE SUMMARY PIVOT'!$A$1794:$A$1921, 0))</f>
        <v>2814.1</v>
      </c>
      <c r="ET47" s="176">
        <f>INDEX('STOPE SUMMARY PIVOT'!$K$1794:$K$1921, MATCH(ES$1,'STOPE SUMMARY PIVOT'!$A$1794:$A$1921, 0))</f>
        <v>2.6445158309939236</v>
      </c>
      <c r="EU47" s="172">
        <f>INDEX('STOPE SUMMARY PIVOT'!$J$1794:$J$1921, MATCH(EU$1,'STOPE SUMMARY PIVOT'!$A$1794:$A$1921, 0))</f>
        <v>2103.1</v>
      </c>
      <c r="EV47" s="176">
        <f>INDEX('STOPE SUMMARY PIVOT'!$K$1794:$K$1921, MATCH(EU$1,'STOPE SUMMARY PIVOT'!$A$1794:$A$1921, 0))</f>
        <v>2.5423327468974373</v>
      </c>
      <c r="EW47" s="172">
        <f>INDEX('STOPE SUMMARY PIVOT'!$J$1794:$J$1921, MATCH(EW$1,'STOPE SUMMARY PIVOT'!$A$1794:$A$1921, 0))</f>
        <v>0</v>
      </c>
      <c r="EX47" s="176">
        <f>INDEX('STOPE SUMMARY PIVOT'!$K$1794:$K$1921, MATCH(EW$1,'STOPE SUMMARY PIVOT'!$A$1794:$A$1921, 0))</f>
        <v>0</v>
      </c>
      <c r="EY47" s="172">
        <f>INDEX('STOPE SUMMARY PIVOT'!$J$1794:$J$1921, MATCH(EY$1,'STOPE SUMMARY PIVOT'!$A$1794:$A$1921, 0))</f>
        <v>0</v>
      </c>
      <c r="EZ47" s="176">
        <f>INDEX('STOPE SUMMARY PIVOT'!$K$1794:$K$1921, MATCH(EY$1,'STOPE SUMMARY PIVOT'!$A$1794:$A$1921, 0))</f>
        <v>0</v>
      </c>
      <c r="FA47" s="172">
        <f>INDEX('STOPE SUMMARY PIVOT'!$J$1794:$J$1921, MATCH(FA$1,'STOPE SUMMARY PIVOT'!$A$1794:$A$1921, 0))</f>
        <v>0</v>
      </c>
      <c r="FB47" s="176">
        <f>INDEX('STOPE SUMMARY PIVOT'!$K$1794:$K$1921, MATCH(FA$1,'STOPE SUMMARY PIVOT'!$A$1794:$A$1921, 0))</f>
        <v>0</v>
      </c>
      <c r="FC47" s="172">
        <f>INDEX('STOPE SUMMARY PIVOT'!$J$1794:$J$1921, MATCH(FC$1,'STOPE SUMMARY PIVOT'!$A$1794:$A$1921, 0))</f>
        <v>530.79999999999995</v>
      </c>
      <c r="FD47" s="176">
        <f>INDEX('STOPE SUMMARY PIVOT'!$K$1794:$K$1921, MATCH(FC$1,'STOPE SUMMARY PIVOT'!$A$1794:$A$1921, 0))</f>
        <v>1.9271590052750567</v>
      </c>
      <c r="FE47" s="172">
        <f>INDEX('STOPE SUMMARY PIVOT'!$J$1794:$J$1921, MATCH(FE$1,'STOPE SUMMARY PIVOT'!$A$1794:$A$1921, 0))</f>
        <v>5164.5999999999995</v>
      </c>
      <c r="FF47" s="176">
        <f>INDEX('STOPE SUMMARY PIVOT'!$K$1794:$K$1921, MATCH(FE$1,'STOPE SUMMARY PIVOT'!$A$1794:$A$1921, 0))</f>
        <v>2.4794214459977546</v>
      </c>
      <c r="FG47" s="172">
        <f>INDEX('STOPE SUMMARY PIVOT'!$J$1794:$J$1921, MATCH(FG$1,'STOPE SUMMARY PIVOT'!$A$1794:$A$1921, 0))</f>
        <v>54</v>
      </c>
      <c r="FH47" s="176">
        <f>INDEX('STOPE SUMMARY PIVOT'!$K$1794:$K$1921, MATCH(FG$1,'STOPE SUMMARY PIVOT'!$A$1794:$A$1921, 0))</f>
        <v>5.9900000000000011</v>
      </c>
      <c r="FI47" s="172">
        <f>INDEX('STOPE SUMMARY PIVOT'!$J$1794:$J$1921, MATCH(FI$1,'STOPE SUMMARY PIVOT'!$A$1794:$A$1921, 0))</f>
        <v>0</v>
      </c>
      <c r="FJ47" s="176">
        <f>INDEX('STOPE SUMMARY PIVOT'!$K$1794:$K$1921, MATCH(FI$1,'STOPE SUMMARY PIVOT'!$A$1794:$A$1921, 0))</f>
        <v>0</v>
      </c>
      <c r="FK47" s="172">
        <f>INDEX('STOPE SUMMARY PIVOT'!$J$1794:$J$1921, MATCH(FK$1,'STOPE SUMMARY PIVOT'!$A$1794:$A$1921, 0))</f>
        <v>0</v>
      </c>
      <c r="FL47" s="176">
        <f>INDEX('STOPE SUMMARY PIVOT'!$K$1794:$K$1921, MATCH(FK$1,'STOPE SUMMARY PIVOT'!$A$1794:$A$1921, 0))</f>
        <v>0</v>
      </c>
      <c r="FM47" s="172">
        <f>INDEX('STOPE SUMMARY PIVOT'!$J$1794:$J$1921, MATCH(FM$1,'STOPE SUMMARY PIVOT'!$A$1794:$A$1921, 0))</f>
        <v>0</v>
      </c>
      <c r="FN47" s="176">
        <f>INDEX('STOPE SUMMARY PIVOT'!$K$1794:$K$1921, MATCH(FM$1,'STOPE SUMMARY PIVOT'!$A$1794:$A$1921, 0))</f>
        <v>0</v>
      </c>
      <c r="FO47" s="172">
        <f>INDEX('STOPE SUMMARY PIVOT'!$J$1794:$J$1921, MATCH(FO$1,'STOPE SUMMARY PIVOT'!$A$1794:$A$1921, 0))</f>
        <v>0</v>
      </c>
      <c r="FP47" s="176">
        <f>INDEX('STOPE SUMMARY PIVOT'!$K$1794:$K$1921, MATCH(FO$1,'STOPE SUMMARY PIVOT'!$A$1794:$A$1921, 0))</f>
        <v>0</v>
      </c>
      <c r="FQ47" s="172">
        <f>INDEX('STOPE SUMMARY PIVOT'!$J$1794:$J$1921, MATCH(FQ$1,'STOPE SUMMARY PIVOT'!$A$1794:$A$1921, 0))</f>
        <v>0</v>
      </c>
      <c r="FR47" s="176">
        <f>INDEX('STOPE SUMMARY PIVOT'!$K$1794:$K$1921, MATCH(FQ$1,'STOPE SUMMARY PIVOT'!$A$1794:$A$1921, 0))</f>
        <v>0</v>
      </c>
      <c r="FS47" s="172">
        <f>INDEX('STOPE SUMMARY PIVOT'!$J$1794:$J$1921, MATCH(FS$1,'STOPE SUMMARY PIVOT'!$A$1794:$A$1921, 0))</f>
        <v>0</v>
      </c>
      <c r="FT47" s="176">
        <f>INDEX('STOPE SUMMARY PIVOT'!$K$1794:$K$1921, MATCH(FS$1,'STOPE SUMMARY PIVOT'!$A$1794:$A$1921, 0))</f>
        <v>0</v>
      </c>
      <c r="FU47" s="172">
        <f>INDEX('STOPE SUMMARY PIVOT'!$J$1794:$J$1921, MATCH(FU$1,'STOPE SUMMARY PIVOT'!$A$1794:$A$1921, 0))</f>
        <v>0</v>
      </c>
      <c r="FV47" s="176">
        <f>INDEX('STOPE SUMMARY PIVOT'!$K$1794:$K$1921, MATCH(FU$1,'STOPE SUMMARY PIVOT'!$A$1794:$A$1921, 0))</f>
        <v>0</v>
      </c>
      <c r="FW47" s="172">
        <f>INDEX('STOPE SUMMARY PIVOT'!$J$1794:$J$1921, MATCH(FW$1,'STOPE SUMMARY PIVOT'!$A$1794:$A$1921, 0))</f>
        <v>0</v>
      </c>
      <c r="FX47" s="176">
        <f>INDEX('STOPE SUMMARY PIVOT'!$K$1794:$K$1921, MATCH(FW$1,'STOPE SUMMARY PIVOT'!$A$1794:$A$1921, 0))</f>
        <v>0</v>
      </c>
      <c r="FY47" s="172">
        <f>INDEX('STOPE SUMMARY PIVOT'!$J$1794:$J$1921, MATCH(FY$1,'STOPE SUMMARY PIVOT'!$A$1794:$A$1921, 0))</f>
        <v>0</v>
      </c>
      <c r="FZ47" s="176">
        <f>INDEX('STOPE SUMMARY PIVOT'!$K$1794:$K$1921, MATCH(FY$1,'STOPE SUMMARY PIVOT'!$A$1794:$A$1921, 0))</f>
        <v>0</v>
      </c>
      <c r="GA47" s="172">
        <f>INDEX('STOPE SUMMARY PIVOT'!$J$1794:$J$1921, MATCH(GA$1,'STOPE SUMMARY PIVOT'!$A$1794:$A$1921, 0))</f>
        <v>0</v>
      </c>
      <c r="GB47" s="176">
        <f>INDEX('STOPE SUMMARY PIVOT'!$K$1794:$K$1921, MATCH(GA$1,'STOPE SUMMARY PIVOT'!$A$1794:$A$1921, 0))</f>
        <v>0</v>
      </c>
      <c r="GC47" s="172">
        <f>INDEX('STOPE SUMMARY PIVOT'!$J$1794:$J$1921, MATCH(GC$1,'STOPE SUMMARY PIVOT'!$A$1794:$A$1921, 0))</f>
        <v>0</v>
      </c>
      <c r="GD47" s="176">
        <f>INDEX('STOPE SUMMARY PIVOT'!$K$1794:$K$1921, MATCH(GC$1,'STOPE SUMMARY PIVOT'!$A$1794:$A$1921, 0))</f>
        <v>0</v>
      </c>
      <c r="GE47" s="172">
        <f>INDEX('STOPE SUMMARY PIVOT'!$J$1794:$J$1921, MATCH(GE$1,'STOPE SUMMARY PIVOT'!$A$1794:$A$1921, 0))</f>
        <v>0</v>
      </c>
      <c r="GF47" s="176">
        <f>INDEX('STOPE SUMMARY PIVOT'!$K$1794:$K$1921, MATCH(GE$1,'STOPE SUMMARY PIVOT'!$A$1794:$A$1921, 0))</f>
        <v>0</v>
      </c>
      <c r="GG47" s="172">
        <f>INDEX('STOPE SUMMARY PIVOT'!$J$1794:$J$1921, MATCH(GG$1,'STOPE SUMMARY PIVOT'!$A$1794:$A$1921, 0))</f>
        <v>0</v>
      </c>
      <c r="GH47" s="176">
        <f>INDEX('STOPE SUMMARY PIVOT'!$K$1794:$K$1921, MATCH(GG$1,'STOPE SUMMARY PIVOT'!$A$1794:$A$1921, 0))</f>
        <v>0</v>
      </c>
      <c r="GI47" s="172">
        <f>INDEX('STOPE SUMMARY PIVOT'!$J$1794:$J$1921, MATCH(GI$1,'STOPE SUMMARY PIVOT'!$A$1794:$A$1921, 0))</f>
        <v>0</v>
      </c>
      <c r="GJ47" s="176">
        <f>INDEX('STOPE SUMMARY PIVOT'!$K$1794:$K$1921, MATCH(GI$1,'STOPE SUMMARY PIVOT'!$A$1794:$A$1921, 0))</f>
        <v>0</v>
      </c>
      <c r="GK47" s="172">
        <f>INDEX('STOPE SUMMARY PIVOT'!$J$1794:$J$1921, MATCH(GK$1,'STOPE SUMMARY PIVOT'!$A$1794:$A$1921, 0))</f>
        <v>0</v>
      </c>
      <c r="GL47" s="176">
        <f>INDEX('STOPE SUMMARY PIVOT'!$K$1794:$K$1921, MATCH(GK$1,'STOPE SUMMARY PIVOT'!$A$1794:$A$1921, 0))</f>
        <v>0</v>
      </c>
      <c r="GM47" s="172">
        <f>INDEX('STOPE SUMMARY PIVOT'!$J$1794:$J$1921, MATCH(GM$1,'STOPE SUMMARY PIVOT'!$A$1794:$A$1921, 0))</f>
        <v>0</v>
      </c>
      <c r="GN47" s="176">
        <f>INDEX('STOPE SUMMARY PIVOT'!$K$1794:$K$1921, MATCH(GM$1,'STOPE SUMMARY PIVOT'!$A$1794:$A$1921, 0))</f>
        <v>0</v>
      </c>
      <c r="GO47" s="172">
        <f>INDEX('STOPE SUMMARY PIVOT'!$J$1794:$J$1921, MATCH(GO$1,'STOPE SUMMARY PIVOT'!$A$1794:$A$1921, 0))</f>
        <v>0</v>
      </c>
      <c r="GP47" s="176">
        <f>INDEX('STOPE SUMMARY PIVOT'!$K$1794:$K$1921, MATCH(GO$1,'STOPE SUMMARY PIVOT'!$A$1794:$A$1921, 0))</f>
        <v>0</v>
      </c>
      <c r="GQ47" s="172">
        <f>INDEX('STOPE SUMMARY PIVOT'!$J$1794:$J$1921, MATCH(GQ$1,'STOPE SUMMARY PIVOT'!$A$1794:$A$1921, 0))</f>
        <v>0</v>
      </c>
      <c r="GR47" s="176">
        <f>INDEX('STOPE SUMMARY PIVOT'!$K$1794:$K$1921, MATCH(GQ$1,'STOPE SUMMARY PIVOT'!$A$1794:$A$1921, 0))</f>
        <v>0</v>
      </c>
      <c r="GS47" s="172">
        <f>INDEX('STOPE SUMMARY PIVOT'!$J$1794:$J$1921, MATCH(GS$1,'STOPE SUMMARY PIVOT'!$A$1794:$A$1921, 0))</f>
        <v>0</v>
      </c>
      <c r="GT47" s="176">
        <f>INDEX('STOPE SUMMARY PIVOT'!$K$1794:$K$1921, MATCH(GS$1,'STOPE SUMMARY PIVOT'!$A$1794:$A$1921, 0))</f>
        <v>0</v>
      </c>
      <c r="GU47" s="172">
        <f>INDEX('STOPE SUMMARY PIVOT'!$J$1794:$J$1921, MATCH(GU$1,'STOPE SUMMARY PIVOT'!$A$1794:$A$1921, 0))</f>
        <v>0</v>
      </c>
      <c r="GV47" s="176">
        <f>INDEX('STOPE SUMMARY PIVOT'!$K$1794:$K$1921, MATCH(GU$1,'STOPE SUMMARY PIVOT'!$A$1794:$A$1921, 0))</f>
        <v>0</v>
      </c>
      <c r="GW47" s="172">
        <f>INDEX('STOPE SUMMARY PIVOT'!$J$1794:$J$1921, MATCH(GW$1,'STOPE SUMMARY PIVOT'!$A$1794:$A$1921, 0))</f>
        <v>0</v>
      </c>
      <c r="GX47" s="176">
        <f>INDEX('STOPE SUMMARY PIVOT'!$K$1794:$K$1921, MATCH(GW$1,'STOPE SUMMARY PIVOT'!$A$1794:$A$1921, 0))</f>
        <v>0</v>
      </c>
      <c r="GY47" s="172">
        <f>INDEX('STOPE SUMMARY PIVOT'!$J$1794:$J$1921, MATCH(GY$1,'STOPE SUMMARY PIVOT'!$A$1794:$A$1921, 0))</f>
        <v>0</v>
      </c>
      <c r="GZ47" s="176">
        <f>INDEX('STOPE SUMMARY PIVOT'!$K$1794:$K$1921, MATCH(GY$1,'STOPE SUMMARY PIVOT'!$A$1794:$A$1921, 0))</f>
        <v>0</v>
      </c>
      <c r="HA47" s="172">
        <f>INDEX('STOPE SUMMARY PIVOT'!$J$1794:$J$1921, MATCH(HA$1,'STOPE SUMMARY PIVOT'!$A$1794:$A$1921, 0))</f>
        <v>0</v>
      </c>
      <c r="HB47" s="176">
        <f>INDEX('STOPE SUMMARY PIVOT'!$K$1794:$K$1921, MATCH(HA$1,'STOPE SUMMARY PIVOT'!$A$1794:$A$1921, 0))</f>
        <v>0</v>
      </c>
      <c r="HC47" s="172">
        <f>INDEX('STOPE SUMMARY PIVOT'!$J$1794:$J$1921, MATCH(HC$1,'STOPE SUMMARY PIVOT'!$A$1794:$A$1921, 0))</f>
        <v>0</v>
      </c>
      <c r="HD47" s="176">
        <f>INDEX('STOPE SUMMARY PIVOT'!$K$1794:$K$1921, MATCH(HC$1,'STOPE SUMMARY PIVOT'!$A$1794:$A$1921, 0))</f>
        <v>0</v>
      </c>
      <c r="HE47" s="172">
        <f>INDEX('STOPE SUMMARY PIVOT'!$J$1794:$J$1921, MATCH(HE$1,'STOPE SUMMARY PIVOT'!$A$1794:$A$1921, 0))</f>
        <v>0</v>
      </c>
      <c r="HF47" s="176">
        <f>INDEX('STOPE SUMMARY PIVOT'!$K$1794:$K$1921, MATCH(HE$1,'STOPE SUMMARY PIVOT'!$A$1794:$A$1921, 0))</f>
        <v>0</v>
      </c>
      <c r="HG47" s="172">
        <f>INDEX('STOPE SUMMARY PIVOT'!$J$1794:$J$1921, MATCH(HG$1,'STOPE SUMMARY PIVOT'!$A$1794:$A$1921, 0))</f>
        <v>0</v>
      </c>
      <c r="HH47" s="176">
        <f>INDEX('STOPE SUMMARY PIVOT'!$K$1794:$K$1921, MATCH(HG$1,'STOPE SUMMARY PIVOT'!$A$1794:$A$1921, 0))</f>
        <v>0</v>
      </c>
      <c r="HI47" s="172">
        <f>INDEX('STOPE SUMMARY PIVOT'!$J$1794:$J$1921, MATCH(HI$1,'STOPE SUMMARY PIVOT'!$A$1794:$A$1921, 0))</f>
        <v>0</v>
      </c>
      <c r="HJ47" s="176">
        <f>INDEX('STOPE SUMMARY PIVOT'!$K$1794:$K$1921, MATCH(HI$1,'STOPE SUMMARY PIVOT'!$A$1794:$A$1921, 0))</f>
        <v>0</v>
      </c>
      <c r="HK47" s="172">
        <f>INDEX('STOPE SUMMARY PIVOT'!$J$1794:$J$1921, MATCH(HK$1,'STOPE SUMMARY PIVOT'!$A$1794:$A$1921, 0))</f>
        <v>0</v>
      </c>
      <c r="HL47" s="176">
        <f>INDEX('STOPE SUMMARY PIVOT'!$K$1794:$K$1921, MATCH(HK$1,'STOPE SUMMARY PIVOT'!$A$1794:$A$1921, 0))</f>
        <v>0</v>
      </c>
      <c r="HM47" s="172">
        <f>INDEX('STOPE SUMMARY PIVOT'!$J$1794:$J$1921, MATCH(HM$1,'STOPE SUMMARY PIVOT'!$A$1794:$A$1921, 0))</f>
        <v>0</v>
      </c>
      <c r="HN47" s="176">
        <f>INDEX('STOPE SUMMARY PIVOT'!$K$1794:$K$1921, MATCH(HM$1,'STOPE SUMMARY PIVOT'!$A$1794:$A$1921, 0))</f>
        <v>0</v>
      </c>
      <c r="HO47" s="172">
        <f>INDEX('STOPE SUMMARY PIVOT'!$J$1794:$J$1921, MATCH(HO$1,'STOPE SUMMARY PIVOT'!$A$1794:$A$1921, 0))</f>
        <v>0</v>
      </c>
      <c r="HP47" s="176">
        <f>INDEX('STOPE SUMMARY PIVOT'!$K$1794:$K$1921, MATCH(HO$1,'STOPE SUMMARY PIVOT'!$A$1794:$A$1921, 0))</f>
        <v>0</v>
      </c>
      <c r="HQ47" s="172">
        <f>INDEX('STOPE SUMMARY PIVOT'!$J$1794:$J$1921, MATCH(HQ$1,'STOPE SUMMARY PIVOT'!$A$1794:$A$1921, 0))</f>
        <v>0</v>
      </c>
      <c r="HR47" s="176">
        <f>INDEX('STOPE SUMMARY PIVOT'!$K$1794:$K$1921, MATCH(HQ$1,'STOPE SUMMARY PIVOT'!$A$1794:$A$1921, 0))</f>
        <v>0</v>
      </c>
      <c r="HS47" s="172">
        <f>INDEX('STOPE SUMMARY PIVOT'!$J$1794:$J$1921, MATCH(HS$1,'STOPE SUMMARY PIVOT'!$A$1794:$A$1921, 0))</f>
        <v>0</v>
      </c>
      <c r="HT47" s="176">
        <f>INDEX('STOPE SUMMARY PIVOT'!$K$1794:$K$1921, MATCH(HS$1,'STOPE SUMMARY PIVOT'!$A$1794:$A$1921, 0))</f>
        <v>0</v>
      </c>
      <c r="HU47" s="172">
        <f>INDEX('STOPE SUMMARY PIVOT'!$J$1794:$J$1921, MATCH(HU$1,'STOPE SUMMARY PIVOT'!$A$1794:$A$1921, 0))</f>
        <v>0</v>
      </c>
      <c r="HV47" s="176">
        <f>INDEX('STOPE SUMMARY PIVOT'!$K$1794:$K$1921, MATCH(HU$1,'STOPE SUMMARY PIVOT'!$A$1794:$A$1921, 0))</f>
        <v>0</v>
      </c>
      <c r="HW47" s="172">
        <f>INDEX('STOPE SUMMARY PIVOT'!$J$1794:$J$1921, MATCH(HW$1,'STOPE SUMMARY PIVOT'!$A$1794:$A$1921, 0))</f>
        <v>0</v>
      </c>
      <c r="HX47" s="176">
        <f>INDEX('STOPE SUMMARY PIVOT'!$K$1794:$K$1921, MATCH(HW$1,'STOPE SUMMARY PIVOT'!$A$1794:$A$1921, 0))</f>
        <v>0</v>
      </c>
      <c r="HY47" s="172">
        <f>INDEX('STOPE SUMMARY PIVOT'!$J$1794:$J$1921, MATCH(HY$1,'STOPE SUMMARY PIVOT'!$A$1794:$A$1921, 0))</f>
        <v>0</v>
      </c>
      <c r="HZ47" s="176">
        <f>INDEX('STOPE SUMMARY PIVOT'!$K$1794:$K$1921, MATCH(HY$1,'STOPE SUMMARY PIVOT'!$A$1794:$A$1921, 0))</f>
        <v>0</v>
      </c>
      <c r="IA47" s="172">
        <f>INDEX('STOPE SUMMARY PIVOT'!$J$1794:$J$1921, MATCH(IA$1,'STOPE SUMMARY PIVOT'!$A$1794:$A$1921, 0))</f>
        <v>0</v>
      </c>
      <c r="IB47" s="176">
        <f>INDEX('STOPE SUMMARY PIVOT'!$K$1794:$K$1921, MATCH(IA$1,'STOPE SUMMARY PIVOT'!$A$1794:$A$1921, 0))</f>
        <v>0</v>
      </c>
      <c r="IC47" s="172">
        <f>INDEX('STOPE SUMMARY PIVOT'!$J$1794:$J$1921, MATCH(IC$1,'STOPE SUMMARY PIVOT'!$A$1794:$A$1921, 0))</f>
        <v>0</v>
      </c>
      <c r="ID47" s="176">
        <f>INDEX('STOPE SUMMARY PIVOT'!$K$1794:$K$1921, MATCH(IC$1,'STOPE SUMMARY PIVOT'!$A$1794:$A$1921, 0))</f>
        <v>0</v>
      </c>
      <c r="IE47" s="172">
        <f>INDEX('STOPE SUMMARY PIVOT'!$J$1794:$J$1921, MATCH(IE$1,'STOPE SUMMARY PIVOT'!$A$1794:$A$1921, 0))</f>
        <v>0</v>
      </c>
      <c r="IF47" s="176">
        <f>INDEX('STOPE SUMMARY PIVOT'!$K$1794:$K$1921, MATCH(IE$1,'STOPE SUMMARY PIVOT'!$A$1794:$A$1921, 0))</f>
        <v>0</v>
      </c>
      <c r="IG47" s="172">
        <f>INDEX('STOPE SUMMARY PIVOT'!$J$1794:$J$1921, MATCH(IG$1,'STOPE SUMMARY PIVOT'!$A$1794:$A$1921, 0))</f>
        <v>0</v>
      </c>
      <c r="IH47" s="176">
        <f>INDEX('STOPE SUMMARY PIVOT'!$K$1794:$K$1921, MATCH(IG$1,'STOPE SUMMARY PIVOT'!$A$1794:$A$1921, 0))</f>
        <v>0</v>
      </c>
      <c r="II47" s="172">
        <f>INDEX('STOPE SUMMARY PIVOT'!$J$1794:$J$1921, MATCH(II$1,'STOPE SUMMARY PIVOT'!$A$1794:$A$1921, 0))</f>
        <v>0</v>
      </c>
      <c r="IJ47" s="176">
        <f>INDEX('STOPE SUMMARY PIVOT'!$K$1794:$K$1921, MATCH(II$1,'STOPE SUMMARY PIVOT'!$A$1794:$A$1921, 0))</f>
        <v>0</v>
      </c>
      <c r="IK47" s="172">
        <f>INDEX('STOPE SUMMARY PIVOT'!$J$1794:$J$1921, MATCH(IK$1,'STOPE SUMMARY PIVOT'!$A$1794:$A$1921, 0))</f>
        <v>0</v>
      </c>
      <c r="IL47" s="176">
        <f>INDEX('STOPE SUMMARY PIVOT'!$K$1794:$K$1921, MATCH(IK$1,'STOPE SUMMARY PIVOT'!$A$1794:$A$1921, 0))</f>
        <v>0</v>
      </c>
      <c r="IM47" s="172">
        <f>INDEX('STOPE SUMMARY PIVOT'!$J$1794:$J$1921, MATCH(IM$1,'STOPE SUMMARY PIVOT'!$A$1794:$A$1921, 0))</f>
        <v>0</v>
      </c>
      <c r="IN47" s="176">
        <f>INDEX('STOPE SUMMARY PIVOT'!$K$1794:$K$1921, MATCH(IM$1,'STOPE SUMMARY PIVOT'!$A$1794:$A$1921, 0))</f>
        <v>0</v>
      </c>
      <c r="IO47" s="172">
        <f>INDEX('STOPE SUMMARY PIVOT'!$J$1794:$J$1921, MATCH(IO$1,'STOPE SUMMARY PIVOT'!$A$1794:$A$1921, 0))</f>
        <v>0</v>
      </c>
      <c r="IP47" s="176">
        <f>INDEX('STOPE SUMMARY PIVOT'!$K$1794:$K$1921, MATCH(IO$1,'STOPE SUMMARY PIVOT'!$A$1794:$A$1921, 0))</f>
        <v>0</v>
      </c>
      <c r="IQ47" s="172">
        <f>INDEX('STOPE SUMMARY PIVOT'!$J$1794:$J$1921, MATCH(IQ$1,'STOPE SUMMARY PIVOT'!$A$1794:$A$1921, 0))</f>
        <v>0</v>
      </c>
      <c r="IR47" s="176">
        <f>INDEX('STOPE SUMMARY PIVOT'!$K$1794:$K$1921, MATCH(IQ$1,'STOPE SUMMARY PIVOT'!$A$1794:$A$1921, 0))</f>
        <v>0</v>
      </c>
      <c r="IS47" s="172">
        <f>INDEX('STOPE SUMMARY PIVOT'!$J$1794:$J$1921, MATCH(IS$1,'STOPE SUMMARY PIVOT'!$A$1794:$A$1921, 0))</f>
        <v>0</v>
      </c>
      <c r="IT47" s="176">
        <f>INDEX('STOPE SUMMARY PIVOT'!$K$1794:$K$1921, MATCH(IS$1,'STOPE SUMMARY PIVOT'!$A$1794:$A$1921, 0))</f>
        <v>0</v>
      </c>
      <c r="IU47" s="172">
        <f>INDEX('STOPE SUMMARY PIVOT'!$J$1794:$J$1921, MATCH(IU$1,'STOPE SUMMARY PIVOT'!$A$1794:$A$1921, 0))</f>
        <v>0</v>
      </c>
      <c r="IV47" s="176">
        <f>INDEX('STOPE SUMMARY PIVOT'!$K$1794:$K$1921, MATCH(IU$1,'STOPE SUMMARY PIVOT'!$A$1794:$A$1921, 0))</f>
        <v>0</v>
      </c>
      <c r="IW47" s="172">
        <f>INDEX('STOPE SUMMARY PIVOT'!$J$1794:$J$1921, MATCH(IW$1,'STOPE SUMMARY PIVOT'!$A$1794:$A$1921, 0))</f>
        <v>0</v>
      </c>
      <c r="IX47" s="176">
        <f>INDEX('STOPE SUMMARY PIVOT'!$K$1794:$K$1921, MATCH(IW$1,'STOPE SUMMARY PIVOT'!$A$1794:$A$1921, 0))</f>
        <v>0</v>
      </c>
      <c r="IY47" s="172">
        <f>INDEX('STOPE SUMMARY PIVOT'!$J$1794:$J$1921, MATCH(IY$1,'STOPE SUMMARY PIVOT'!$A$1794:$A$1921, 0))</f>
        <v>0</v>
      </c>
      <c r="IZ47" s="176">
        <f>INDEX('STOPE SUMMARY PIVOT'!$K$1794:$K$1921, MATCH(IY$1,'STOPE SUMMARY PIVOT'!$A$1794:$A$1921, 0))</f>
        <v>0</v>
      </c>
    </row>
    <row r="48" spans="1:260" x14ac:dyDescent="0.25">
      <c r="A48" s="1577" t="s">
        <v>212</v>
      </c>
      <c r="B48" s="13" t="s">
        <v>218</v>
      </c>
      <c r="C48" s="131">
        <f>SUM(C39,C42,C45)</f>
        <v>70397</v>
      </c>
      <c r="D48" s="132">
        <f>(C39*D39+C42*D42+C45*D45)/C48</f>
        <v>2.0688775089847575</v>
      </c>
      <c r="E48" s="155">
        <f t="shared" ref="E48:W50" si="1913">SUM(E39,E42,E45)</f>
        <v>0</v>
      </c>
      <c r="F48" s="156" t="str">
        <f t="shared" ref="F48:X50" si="1914">IFERROR((F39*E39+E42*F42+E45*F45)/E48,"")</f>
        <v/>
      </c>
      <c r="G48" s="155">
        <f t="shared" ref="G48" si="1915">SUM(G39,G42,G45)</f>
        <v>0</v>
      </c>
      <c r="H48" s="156" t="str">
        <f t="shared" ref="H48" si="1916">IFERROR((H39*G39+G42*H42+G45*H45)/G48,"")</f>
        <v/>
      </c>
      <c r="I48" s="155">
        <f t="shared" ref="I48" si="1917">SUM(I39,I42,I45)</f>
        <v>0</v>
      </c>
      <c r="J48" s="156" t="str">
        <f t="shared" ref="J48" si="1918">IFERROR((J39*I39+I42*J42+I45*J45)/I48,"")</f>
        <v/>
      </c>
      <c r="K48" s="155">
        <f t="shared" ref="K48" si="1919">SUM(K39,K42,K45)</f>
        <v>0</v>
      </c>
      <c r="L48" s="156" t="str">
        <f t="shared" ref="L48" si="1920">IFERROR((L39*K39+K42*L42+K45*L45)/K48,"")</f>
        <v/>
      </c>
      <c r="M48" s="155">
        <f t="shared" ref="M48" si="1921">SUM(M39,M42,M45)</f>
        <v>0</v>
      </c>
      <c r="N48" s="156" t="str">
        <f t="shared" ref="N48" si="1922">IFERROR((N39*M39+M42*N42+M45*N45)/M48,"")</f>
        <v/>
      </c>
      <c r="O48" s="155">
        <f t="shared" ref="O48" si="1923">SUM(O39,O42,O45)</f>
        <v>0</v>
      </c>
      <c r="P48" s="156" t="str">
        <f t="shared" ref="P48" si="1924">IFERROR((P39*O39+O42*P42+O45*P45)/O48,"")</f>
        <v/>
      </c>
      <c r="Q48" s="155">
        <f t="shared" ref="Q48" si="1925">SUM(Q39,Q42,Q45)</f>
        <v>0</v>
      </c>
      <c r="R48" s="156" t="str">
        <f t="shared" ref="R48" si="1926">IFERROR((R39*Q39+Q42*R42+Q45*R45)/Q48,"")</f>
        <v/>
      </c>
      <c r="S48" s="155">
        <f t="shared" ref="S48" si="1927">SUM(S39,S42,S45)</f>
        <v>0</v>
      </c>
      <c r="T48" s="156" t="str">
        <f t="shared" ref="T48" si="1928">IFERROR((T39*S39+S42*T42+S45*T45)/S48,"")</f>
        <v/>
      </c>
      <c r="U48" s="155">
        <f t="shared" ref="U48" si="1929">SUM(U39,U42,U45)</f>
        <v>521</v>
      </c>
      <c r="V48" s="156">
        <f t="shared" ref="V48" si="1930">IFERROR((V39*U39+U42*V42+U45*V45)/U48,"")</f>
        <v>3.11</v>
      </c>
      <c r="W48" s="155">
        <f t="shared" ref="W48" si="1931">SUM(W39,W42,W45)</f>
        <v>0</v>
      </c>
      <c r="X48" s="156" t="str">
        <f t="shared" ref="X48" si="1932">IFERROR((X39*W39+W42*X42+W45*X45)/W48,"")</f>
        <v/>
      </c>
      <c r="Y48" s="155">
        <f>SUM(Y39,Y42,Y45)</f>
        <v>6275</v>
      </c>
      <c r="Z48" s="156">
        <f>IFERROR((Z39*Y39+Y42*Z42+Y45*Z45)/Y48,"")</f>
        <v>2.5499999999999998</v>
      </c>
      <c r="AA48" s="155">
        <f t="shared" ref="AA48" si="1933">SUM(AA39,AA42,AA45)</f>
        <v>3647</v>
      </c>
      <c r="AB48" s="156">
        <f t="shared" ref="AB48" si="1934">IFERROR((AB39*AA39+AA42*AB42+AA45*AB45)/AA48,"")</f>
        <v>0.8</v>
      </c>
      <c r="AC48" s="155">
        <f t="shared" ref="AC48" si="1935">SUM(AC39,AC42,AC45)</f>
        <v>1947</v>
      </c>
      <c r="AD48" s="156">
        <f t="shared" ref="AD48" si="1936">IFERROR((AD39*AC39+AC42*AD42+AC45*AD45)/AC48,"")</f>
        <v>1.72</v>
      </c>
      <c r="AE48" s="155">
        <f t="shared" ref="AE48" si="1937">SUM(AE39,AE42,AE45)</f>
        <v>0</v>
      </c>
      <c r="AF48" s="156" t="str">
        <f t="shared" ref="AF48" si="1938">IFERROR((AF39*AE39+AE42*AF42+AE45*AF45)/AE48,"")</f>
        <v/>
      </c>
      <c r="AG48" s="155">
        <f t="shared" ref="AG48" si="1939">SUM(AG39,AG42,AG45)</f>
        <v>0</v>
      </c>
      <c r="AH48" s="156" t="str">
        <f t="shared" ref="AH48" si="1940">IFERROR((AH39*AG39+AG42*AH42+AG45*AH45)/AG48,"")</f>
        <v/>
      </c>
      <c r="AI48" s="155">
        <f t="shared" ref="AI48" si="1941">SUM(AI39,AI42,AI45)</f>
        <v>0</v>
      </c>
      <c r="AJ48" s="156" t="str">
        <f t="shared" ref="AJ48" si="1942">IFERROR((AJ39*AI39+AI42*AJ42+AI45*AJ45)/AI48,"")</f>
        <v/>
      </c>
      <c r="AK48" s="155">
        <f t="shared" ref="AK48" si="1943">SUM(AK39,AK42,AK45)</f>
        <v>0</v>
      </c>
      <c r="AL48" s="156" t="str">
        <f t="shared" ref="AL48" si="1944">IFERROR((AL39*AK39+AK42*AL42+AK45*AL45)/AK48,"")</f>
        <v/>
      </c>
      <c r="AM48" s="155">
        <f t="shared" ref="AM48" si="1945">SUM(AM39,AM42,AM45)</f>
        <v>0</v>
      </c>
      <c r="AN48" s="156" t="str">
        <f t="shared" ref="AN48" si="1946">IFERROR((AN39*AM39+AM42*AN42+AM45*AN45)/AM48,"")</f>
        <v/>
      </c>
      <c r="AO48" s="155">
        <f t="shared" ref="AO48:DE50" si="1947">SUM(AO39,AO42,AO45)</f>
        <v>0</v>
      </c>
      <c r="AP48" s="156" t="str">
        <f t="shared" ref="AP48:DF50" si="1948">IFERROR((AP39*AO39+AO42*AP42+AO45*AP45)/AO48,"")</f>
        <v/>
      </c>
      <c r="AQ48" s="155">
        <f t="shared" ref="AQ48" si="1949">SUM(AQ39,AQ42,AQ45)</f>
        <v>0</v>
      </c>
      <c r="AR48" s="156" t="str">
        <f t="shared" ref="AR48" si="1950">IFERROR((AR39*AQ39+AQ42*AR42+AQ45*AR45)/AQ48,"")</f>
        <v/>
      </c>
      <c r="AS48" s="155">
        <f t="shared" ref="AS48" si="1951">SUM(AS39,AS42,AS45)</f>
        <v>0</v>
      </c>
      <c r="AT48" s="156" t="str">
        <f t="shared" ref="AT48" si="1952">IFERROR((AT39*AS39+AS42*AT42+AS45*AT45)/AS48,"")</f>
        <v/>
      </c>
      <c r="AU48" s="155">
        <f t="shared" ref="AU48" si="1953">SUM(AU39,AU42,AU45)</f>
        <v>0</v>
      </c>
      <c r="AV48" s="156" t="str">
        <f t="shared" ref="AV48" si="1954">IFERROR((AV39*AU39+AU42*AV42+AU45*AV45)/AU48,"")</f>
        <v/>
      </c>
      <c r="AW48" s="155">
        <f t="shared" ref="AW48" si="1955">SUM(AW39,AW42,AW45)</f>
        <v>0</v>
      </c>
      <c r="AX48" s="156" t="str">
        <f t="shared" ref="AX48" si="1956">IFERROR((AX39*AW39+AW42*AX42+AW45*AX45)/AW48,"")</f>
        <v/>
      </c>
      <c r="AY48" s="155">
        <f t="shared" ref="AY48" si="1957">SUM(AY39,AY42,AY45)</f>
        <v>0</v>
      </c>
      <c r="AZ48" s="156" t="str">
        <f t="shared" ref="AZ48" si="1958">IFERROR((AZ39*AY39+AY42*AZ42+AY45*AZ45)/AY48,"")</f>
        <v/>
      </c>
      <c r="BA48" s="155">
        <f t="shared" ref="BA48" si="1959">SUM(BA39,BA42,BA45)</f>
        <v>0</v>
      </c>
      <c r="BB48" s="156" t="str">
        <f t="shared" ref="BB48" si="1960">IFERROR((BB39*BA39+BA42*BB42+BA45*BB45)/BA48,"")</f>
        <v/>
      </c>
      <c r="BC48" s="155">
        <f t="shared" ref="BC48" si="1961">SUM(BC39,BC42,BC45)</f>
        <v>0</v>
      </c>
      <c r="BD48" s="156" t="str">
        <f t="shared" ref="BD48" si="1962">IFERROR((BD39*BC39+BC42*BD42+BC45*BD45)/BC48,"")</f>
        <v/>
      </c>
      <c r="BE48" s="155">
        <f t="shared" ref="BE48" si="1963">SUM(BE39,BE42,BE45)</f>
        <v>0</v>
      </c>
      <c r="BF48" s="156" t="str">
        <f t="shared" ref="BF48" si="1964">IFERROR((BF39*BE39+BE42*BF42+BE45*BF45)/BE48,"")</f>
        <v/>
      </c>
      <c r="BG48" s="155">
        <f t="shared" ref="BG48" si="1965">SUM(BG39,BG42,BG45)</f>
        <v>0</v>
      </c>
      <c r="BH48" s="156" t="str">
        <f t="shared" ref="BH48" si="1966">IFERROR((BH39*BG39+BG42*BH42+BG45*BH45)/BG48,"")</f>
        <v/>
      </c>
      <c r="BI48" s="155">
        <f t="shared" ref="BI48" si="1967">SUM(BI39,BI42,BI45)</f>
        <v>0</v>
      </c>
      <c r="BJ48" s="156" t="str">
        <f t="shared" ref="BJ48" si="1968">IFERROR((BJ39*BI39+BI42*BJ42+BI45*BJ45)/BI48,"")</f>
        <v/>
      </c>
      <c r="BK48" s="155">
        <f t="shared" ref="BK48" si="1969">SUM(BK39,BK42,BK45)</f>
        <v>0</v>
      </c>
      <c r="BL48" s="156" t="str">
        <f t="shared" ref="BL48" si="1970">IFERROR((BL39*BK39+BK42*BL42+BK45*BL45)/BK48,"")</f>
        <v/>
      </c>
      <c r="BM48" s="155">
        <f t="shared" ref="BM48" si="1971">SUM(BM39,BM42,BM45)</f>
        <v>0</v>
      </c>
      <c r="BN48" s="156" t="str">
        <f t="shared" ref="BN48" si="1972">IFERROR((BN39*BM39+BM42*BN42+BM45*BN45)/BM48,"")</f>
        <v/>
      </c>
      <c r="BO48" s="155">
        <f t="shared" ref="BO48" si="1973">SUM(BO39,BO42,BO45)</f>
        <v>0</v>
      </c>
      <c r="BP48" s="156" t="str">
        <f t="shared" ref="BP48" si="1974">IFERROR((BP39*BO39+BO42*BP42+BO45*BP45)/BO48,"")</f>
        <v/>
      </c>
      <c r="BQ48" s="155">
        <f t="shared" ref="BQ48" si="1975">SUM(BQ39,BQ42,BQ45)</f>
        <v>0</v>
      </c>
      <c r="BR48" s="156" t="str">
        <f t="shared" ref="BR48" si="1976">IFERROR((BR39*BQ39+BQ42*BR42+BQ45*BR45)/BQ48,"")</f>
        <v/>
      </c>
      <c r="BS48" s="155">
        <f t="shared" ref="BS48" si="1977">SUM(BS39,BS42,BS45)</f>
        <v>3266</v>
      </c>
      <c r="BT48" s="156">
        <f t="shared" ref="BT48" si="1978">IFERROR((BT39*BS39+BS42*BT42+BS45*BT45)/BS48,"")</f>
        <v>2.71</v>
      </c>
      <c r="BU48" s="155">
        <f t="shared" ref="BU48" si="1979">SUM(BU39,BU42,BU45)</f>
        <v>5468</v>
      </c>
      <c r="BV48" s="156">
        <f t="shared" ref="BV48" si="1980">IFERROR((BV39*BU39+BU42*BV42+BU45*BV45)/BU48,"")</f>
        <v>1.4</v>
      </c>
      <c r="BW48" s="155">
        <f t="shared" ref="BW48" si="1981">SUM(BW39,BW42,BW45)</f>
        <v>0</v>
      </c>
      <c r="BX48" s="156" t="str">
        <f t="shared" ref="BX48" si="1982">IFERROR((BX39*BW39+BW42*BX42+BW45*BX45)/BW48,"")</f>
        <v/>
      </c>
      <c r="BY48" s="155">
        <f t="shared" ref="BY48" si="1983">SUM(BY39,BY42,BY45)</f>
        <v>408</v>
      </c>
      <c r="BZ48" s="156">
        <f t="shared" ref="BZ48" si="1984">IFERROR((BZ39*BY39+BY42*BZ42+BY45*BZ45)/BY48,"")</f>
        <v>1.28</v>
      </c>
      <c r="CA48" s="155">
        <f t="shared" ref="CA48" si="1985">SUM(CA39,CA42,CA45)</f>
        <v>0</v>
      </c>
      <c r="CB48" s="156" t="str">
        <f t="shared" ref="CB48" si="1986">IFERROR((CB39*CA39+CA42*CB42+CA45*CB45)/CA48,"")</f>
        <v/>
      </c>
      <c r="CC48" s="155">
        <f t="shared" ref="CC48" si="1987">SUM(CC39,CC42,CC45)</f>
        <v>0</v>
      </c>
      <c r="CD48" s="156" t="str">
        <f t="shared" ref="CD48" si="1988">IFERROR((CD39*CC39+CC42*CD42+CC45*CD45)/CC48,"")</f>
        <v/>
      </c>
      <c r="CE48" s="155">
        <f t="shared" ref="CE48" si="1989">SUM(CE39,CE42,CE45)</f>
        <v>0</v>
      </c>
      <c r="CF48" s="156" t="str">
        <f t="shared" ref="CF48" si="1990">IFERROR((CF39*CE39+CE42*CF42+CE45*CF45)/CE48,"")</f>
        <v/>
      </c>
      <c r="CG48" s="155">
        <f t="shared" ref="CG48" si="1991">SUM(CG39,CG42,CG45)</f>
        <v>0</v>
      </c>
      <c r="CH48" s="156" t="str">
        <f t="shared" ref="CH48" si="1992">IFERROR((CH39*CG39+CG42*CH42+CG45*CH45)/CG48,"")</f>
        <v/>
      </c>
      <c r="CI48" s="155">
        <f t="shared" ref="CI48" si="1993">SUM(CI39,CI42,CI45)</f>
        <v>0</v>
      </c>
      <c r="CJ48" s="156" t="str">
        <f t="shared" ref="CJ48" si="1994">IFERROR((CJ39*CI39+CI42*CJ42+CI45*CJ45)/CI48,"")</f>
        <v/>
      </c>
      <c r="CK48" s="155">
        <f t="shared" ref="CK48" si="1995">SUM(CK39,CK42,CK45)</f>
        <v>0</v>
      </c>
      <c r="CL48" s="156" t="str">
        <f t="shared" ref="CL48" si="1996">IFERROR((CL39*CK39+CK42*CL42+CK45*CL45)/CK48,"")</f>
        <v/>
      </c>
      <c r="CM48" s="155">
        <f t="shared" ref="CM48" si="1997">SUM(CM39,CM42,CM45)</f>
        <v>0</v>
      </c>
      <c r="CN48" s="156" t="str">
        <f t="shared" ref="CN48" si="1998">IFERROR((CN39*CM39+CM42*CN42+CM45*CN45)/CM48,"")</f>
        <v/>
      </c>
      <c r="CO48" s="155">
        <f t="shared" ref="CO48" si="1999">SUM(CO39,CO42,CO45)</f>
        <v>0</v>
      </c>
      <c r="CP48" s="156" t="str">
        <f t="shared" ref="CP48" si="2000">IFERROR((CP39*CO39+CO42*CP42+CO45*CP45)/CO48,"")</f>
        <v/>
      </c>
      <c r="CQ48" s="155">
        <f t="shared" ref="CQ48:CW48" si="2001">SUM(CQ39,CQ42,CQ45)</f>
        <v>8488</v>
      </c>
      <c r="CR48" s="156">
        <f t="shared" ref="CR48" si="2002">IFERROR((CR39*CQ39+CQ42*CR42+CQ45*CR45)/CQ48,"")</f>
        <v>1.8100000000000003</v>
      </c>
      <c r="CS48" s="155">
        <f t="shared" ref="CS48" si="2003">SUM(CS39,CS42,CS45)</f>
        <v>0</v>
      </c>
      <c r="CT48" s="156" t="str">
        <f t="shared" ref="CT48:CT50" si="2004">IFERROR((CT39*CS39+CS42*CT42+CS45*CT45)/CS48,"")</f>
        <v/>
      </c>
      <c r="CU48" s="155">
        <f t="shared" si="2001"/>
        <v>0</v>
      </c>
      <c r="CV48" s="156" t="str">
        <f t="shared" ref="CV48:CV50" si="2005">IFERROR((CV39*CU39+CU42*CV42+CU45*CV45)/CU48,"")</f>
        <v/>
      </c>
      <c r="CW48" s="155">
        <f t="shared" si="2001"/>
        <v>0</v>
      </c>
      <c r="CX48" s="156" t="str">
        <f t="shared" ref="CX48:CX50" si="2006">IFERROR((CX39*CW39+CW42*CX42+CW45*CX45)/CW48,"")</f>
        <v/>
      </c>
      <c r="CY48" s="155">
        <f t="shared" ref="CY48" si="2007">SUM(CY39,CY42,CY45)</f>
        <v>0</v>
      </c>
      <c r="CZ48" s="156" t="str">
        <f t="shared" ref="CZ48" si="2008">IFERROR((CZ39*CY39+CY42*CZ42+CY45*CZ45)/CY48,"")</f>
        <v/>
      </c>
      <c r="DA48" s="155">
        <f t="shared" ref="DA48" si="2009">SUM(DA39,DA42,DA45)</f>
        <v>0</v>
      </c>
      <c r="DB48" s="156" t="str">
        <f t="shared" ref="DB48" si="2010">IFERROR((DB39*DA39+DA42*DB42+DA45*DB45)/DA48,"")</f>
        <v/>
      </c>
      <c r="DC48" s="155">
        <f t="shared" ref="DC48" si="2011">SUM(DC39,DC42,DC45)</f>
        <v>0</v>
      </c>
      <c r="DD48" s="156" t="str">
        <f t="shared" ref="DD48" si="2012">IFERROR((DD39*DC39+DC42*DD42+DC45*DD45)/DC48,"")</f>
        <v/>
      </c>
      <c r="DE48" s="155">
        <f t="shared" ref="DE48" si="2013">SUM(DE39,DE42,DE45)</f>
        <v>0</v>
      </c>
      <c r="DF48" s="156" t="str">
        <f t="shared" ref="DF48" si="2014">IFERROR((DF39*DE39+DE42*DF42+DE45*DF45)/DE48,"")</f>
        <v/>
      </c>
      <c r="DG48" s="155">
        <f t="shared" ref="DG48:EK50" si="2015">SUM(DG39,DG42,DG45)</f>
        <v>351</v>
      </c>
      <c r="DH48" s="156">
        <f t="shared" ref="DH48:EL50" si="2016">IFERROR((DH39*DG39+DG42*DH42+DG45*DH45)/DG48,"")</f>
        <v>1.82</v>
      </c>
      <c r="DI48" s="155">
        <f t="shared" ref="DI48" si="2017">SUM(DI39,DI42,DI45)</f>
        <v>0</v>
      </c>
      <c r="DJ48" s="156" t="str">
        <f t="shared" ref="DJ48" si="2018">IFERROR((DJ39*DI39+DI42*DJ42+DI45*DJ45)/DI48,"")</f>
        <v/>
      </c>
      <c r="DK48" s="155">
        <f t="shared" ref="DK48" si="2019">SUM(DK39,DK42,DK45)</f>
        <v>1907</v>
      </c>
      <c r="DL48" s="156">
        <f t="shared" ref="DL48" si="2020">IFERROR((DL39*DK39+DK42*DL42+DK45*DL45)/DK48,"")</f>
        <v>0.81999999999999984</v>
      </c>
      <c r="DM48" s="155">
        <f t="shared" ref="DM48" si="2021">SUM(DM39,DM42,DM45)</f>
        <v>1908</v>
      </c>
      <c r="DN48" s="156">
        <f t="shared" ref="DN48" si="2022">IFERROR((DN39*DM39+DM42*DN42+DM45*DN45)/DM48,"")</f>
        <v>0.92</v>
      </c>
      <c r="DO48" s="155">
        <f t="shared" ref="DO48" si="2023">SUM(DO39,DO42,DO45)</f>
        <v>2957</v>
      </c>
      <c r="DP48" s="156">
        <f t="shared" ref="DP48" si="2024">IFERROR((DP39*DO39+DO42*DP42+DO45*DP45)/DO48,"")</f>
        <v>0.53</v>
      </c>
      <c r="DQ48" s="155">
        <f t="shared" ref="DQ48" si="2025">SUM(DQ39,DQ42,DQ45)</f>
        <v>1792</v>
      </c>
      <c r="DR48" s="156">
        <f t="shared" ref="DR48" si="2026">IFERROR((DR39*DQ39+DQ42*DR42+DQ45*DR45)/DQ48,"")</f>
        <v>0.69000000000000006</v>
      </c>
      <c r="DS48" s="155">
        <f t="shared" ref="DS48" si="2027">SUM(DS39,DS42,DS45)</f>
        <v>2510</v>
      </c>
      <c r="DT48" s="156">
        <f t="shared" ref="DT48" si="2028">IFERROR((DT39*DS39+DS42*DT42+DS45*DT45)/DS48,"")</f>
        <v>3.3</v>
      </c>
      <c r="DU48" s="155">
        <f t="shared" ref="DU48" si="2029">SUM(DU39,DU42,DU45)</f>
        <v>0</v>
      </c>
      <c r="DV48" s="156" t="str">
        <f t="shared" ref="DV48" si="2030">IFERROR((DV39*DU39+DU42*DV42+DU45*DV45)/DU48,"")</f>
        <v/>
      </c>
      <c r="DW48" s="155">
        <f t="shared" ref="DW48" si="2031">SUM(DW39,DW42,DW45)</f>
        <v>85</v>
      </c>
      <c r="DX48" s="156">
        <f t="shared" ref="DX48" si="2032">IFERROR((DX39*DW39+DW42*DX42+DW45*DX45)/DW48,"")</f>
        <v>3.33</v>
      </c>
      <c r="DY48" s="155">
        <f t="shared" ref="DY48" si="2033">SUM(DY39,DY42,DY45)</f>
        <v>85</v>
      </c>
      <c r="DZ48" s="156">
        <f t="shared" ref="DZ48" si="2034">IFERROR((DZ39*DY39+DY42*DZ42+DY45*DZ45)/DY48,"")</f>
        <v>2.94</v>
      </c>
      <c r="EA48" s="155">
        <f t="shared" ref="EA48" si="2035">SUM(EA39,EA42,EA45)</f>
        <v>0</v>
      </c>
      <c r="EB48" s="156" t="str">
        <f t="shared" ref="EB48" si="2036">IFERROR((EB39*EA39+EA42*EB42+EA45*EB45)/EA48,"")</f>
        <v/>
      </c>
      <c r="EC48" s="155">
        <f t="shared" ref="EC48" si="2037">SUM(EC39,EC42,EC45)</f>
        <v>0</v>
      </c>
      <c r="ED48" s="156" t="str">
        <f t="shared" ref="ED48" si="2038">IFERROR((ED39*EC39+EC42*ED42+EC45*ED45)/EC48,"")</f>
        <v/>
      </c>
      <c r="EE48" s="155">
        <f t="shared" ref="EE48" si="2039">SUM(EE39,EE42,EE45)</f>
        <v>0</v>
      </c>
      <c r="EF48" s="156" t="str">
        <f t="shared" ref="EF48" si="2040">IFERROR((EF39*EE39+EE42*EF42+EE45*EF45)/EE48,"")</f>
        <v/>
      </c>
      <c r="EG48" s="155">
        <f t="shared" ref="EG48" si="2041">SUM(EG39,EG42,EG45)</f>
        <v>0</v>
      </c>
      <c r="EH48" s="156" t="str">
        <f t="shared" ref="EH48" si="2042">IFERROR((EH39*EG39+EG42*EH42+EG45*EH45)/EG48,"")</f>
        <v/>
      </c>
      <c r="EI48" s="155">
        <f t="shared" ref="EI48" si="2043">SUM(EI39,EI42,EI45)</f>
        <v>0</v>
      </c>
      <c r="EJ48" s="156" t="str">
        <f t="shared" ref="EJ48" si="2044">IFERROR((EJ39*EI39+EI42*EJ42+EI45*EJ45)/EI48,"")</f>
        <v/>
      </c>
      <c r="EK48" s="155">
        <f t="shared" ref="EK48" si="2045">SUM(EK39,EK42,EK45)</f>
        <v>0</v>
      </c>
      <c r="EL48" s="156" t="str">
        <f t="shared" ref="EL48" si="2046">IFERROR((EL39*EK39+EK42*EL42+EK45*EL45)/EK48,"")</f>
        <v/>
      </c>
      <c r="EM48" s="155">
        <f t="shared" ref="EM48:FU50" si="2047">SUM(EM39,EM42,EM45)</f>
        <v>0</v>
      </c>
      <c r="EN48" s="156" t="str">
        <f t="shared" ref="EN48:FV50" si="2048">IFERROR((EN39*EM39+EM42*EN42+EM45*EN45)/EM48,"")</f>
        <v/>
      </c>
      <c r="EO48" s="155">
        <f t="shared" ref="EO48" si="2049">SUM(EO39,EO42,EO45)</f>
        <v>8201</v>
      </c>
      <c r="EP48" s="156">
        <f t="shared" ref="EP48" si="2050">IFERROR((EP39*EO39+EO42*EP42+EO45*EP45)/EO48,"")</f>
        <v>2.83</v>
      </c>
      <c r="EQ48" s="155">
        <f t="shared" ref="EQ48:ES48" si="2051">SUM(EQ39,EQ42,EQ45)</f>
        <v>0</v>
      </c>
      <c r="ER48" s="156" t="str">
        <f t="shared" ref="ER48" si="2052">IFERROR((ER39*EQ39+EQ42*ER42+EQ45*ER45)/EQ48,"")</f>
        <v/>
      </c>
      <c r="ES48" s="155">
        <f t="shared" si="2051"/>
        <v>0</v>
      </c>
      <c r="ET48" s="156" t="str">
        <f t="shared" ref="ET48:ET50" si="2053">IFERROR((ET39*ES39+ES42*ET42+ES45*ET45)/ES48,"")</f>
        <v/>
      </c>
      <c r="EU48" s="155">
        <f t="shared" ref="EU48" si="2054">SUM(EU39,EU42,EU45)</f>
        <v>0</v>
      </c>
      <c r="EV48" s="156" t="str">
        <f t="shared" ref="EV48" si="2055">IFERROR((EV39*EU39+EU42*EV42+EU45*EV45)/EU48,"")</f>
        <v/>
      </c>
      <c r="EW48" s="155">
        <f t="shared" ref="EW48" si="2056">SUM(EW39,EW42,EW45)</f>
        <v>0</v>
      </c>
      <c r="EX48" s="156" t="str">
        <f t="shared" ref="EX48:EX50" si="2057">IFERROR((EX39*EW39+EW42*EX42+EW45*EX45)/EW48,"")</f>
        <v/>
      </c>
      <c r="EY48" s="155">
        <f t="shared" ref="EY48" si="2058">SUM(EY39,EY42,EY45)</f>
        <v>0</v>
      </c>
      <c r="EZ48" s="156" t="str">
        <f t="shared" ref="EZ48" si="2059">IFERROR((EZ39*EY39+EY42*EZ42+EY45*EZ45)/EY48,"")</f>
        <v/>
      </c>
      <c r="FA48" s="155">
        <f t="shared" ref="FA48" si="2060">SUM(FA39,FA42,FA45)</f>
        <v>0</v>
      </c>
      <c r="FB48" s="156" t="str">
        <f t="shared" ref="FB48" si="2061">IFERROR((FB39*FA39+FA42*FB42+FA45*FB45)/FA48,"")</f>
        <v/>
      </c>
      <c r="FC48" s="155">
        <f t="shared" ref="FC48" si="2062">SUM(FC39,FC42,FC45)</f>
        <v>945</v>
      </c>
      <c r="FD48" s="156">
        <f t="shared" ref="FD48" si="2063">IFERROR((FD39*FC39+FC42*FD42+FC45*FD45)/FC48,"")</f>
        <v>2.41</v>
      </c>
      <c r="FE48" s="155">
        <f t="shared" ref="FE48" si="2064">SUM(FE39,FE42,FE45)</f>
        <v>5380</v>
      </c>
      <c r="FF48" s="156">
        <f t="shared" ref="FF48" si="2065">IFERROR((FF39*FE39+FE42*FF42+FE45*FF45)/FE48,"")</f>
        <v>2.0276802973977697</v>
      </c>
      <c r="FG48" s="155">
        <f t="shared" ref="FG48" si="2066">SUM(FG39,FG42,FG45)</f>
        <v>1807</v>
      </c>
      <c r="FH48" s="156">
        <f t="shared" ref="FH48" si="2067">IFERROR((FH39*FG39+FG42*FH42+FG45*FH45)/FG48,"")</f>
        <v>1.57</v>
      </c>
      <c r="FI48" s="155">
        <f t="shared" ref="FI48" si="2068">SUM(FI39,FI42,FI45)</f>
        <v>3791</v>
      </c>
      <c r="FJ48" s="156">
        <f t="shared" ref="FJ48" si="2069">IFERROR((FJ39*FI39+FI42*FJ42+FI45*FJ45)/FI48,"")</f>
        <v>2.7</v>
      </c>
      <c r="FK48" s="155">
        <f t="shared" ref="FK48" si="2070">SUM(FK39,FK42,FK45)</f>
        <v>0</v>
      </c>
      <c r="FL48" s="156" t="str">
        <f t="shared" ref="FL48" si="2071">IFERROR((FL39*FK39+FK42*FL42+FK45*FL45)/FK48,"")</f>
        <v/>
      </c>
      <c r="FM48" s="155">
        <f t="shared" ref="FM48" si="2072">SUM(FM39,FM42,FM45)</f>
        <v>2154</v>
      </c>
      <c r="FN48" s="156">
        <f t="shared" ref="FN48" si="2073">IFERROR((FN39*FM39+FM42*FN42+FM45*FN45)/FM48,"")</f>
        <v>3.63</v>
      </c>
      <c r="FO48" s="155">
        <f t="shared" ref="FO48" si="2074">SUM(FO39,FO42,FO45)</f>
        <v>2428</v>
      </c>
      <c r="FP48" s="156">
        <f t="shared" ref="FP48" si="2075">IFERROR((FP39*FO39+FO42*FP42+FO45*FP45)/FO48,"")</f>
        <v>2.87</v>
      </c>
      <c r="FQ48" s="155">
        <f t="shared" ref="FQ48" si="2076">SUM(FQ39,FQ42,FQ45)</f>
        <v>3040</v>
      </c>
      <c r="FR48" s="156">
        <f t="shared" ref="FR48" si="2077">IFERROR((FR39*FQ39+FQ42*FR42+FQ45*FR45)/FQ48,"")</f>
        <v>2.4500000000000002</v>
      </c>
      <c r="FS48" s="155">
        <f t="shared" ref="FS48" si="2078">SUM(FS39,FS42,FS45)</f>
        <v>0</v>
      </c>
      <c r="FT48" s="156" t="str">
        <f t="shared" ref="FT48" si="2079">IFERROR((FT39*FS39+FS42*FT42+FS45*FT45)/FS48,"")</f>
        <v/>
      </c>
      <c r="FU48" s="155">
        <f t="shared" ref="FU48" si="2080">SUM(FU39,FU42,FU45)</f>
        <v>0</v>
      </c>
      <c r="FV48" s="156" t="str">
        <f t="shared" ref="FV48" si="2081">IFERROR((FV39*FU39+FU42*FV42+FU45*FV45)/FU48,"")</f>
        <v/>
      </c>
      <c r="FW48" s="155">
        <f t="shared" ref="FW48:HA50" si="2082">SUM(FW39,FW42,FW45)</f>
        <v>0</v>
      </c>
      <c r="FX48" s="156" t="str">
        <f t="shared" ref="FX48:HB50" si="2083">IFERROR((FX39*FW39+FW42*FX42+FW45*FX45)/FW48,"")</f>
        <v/>
      </c>
      <c r="FY48" s="155">
        <f t="shared" ref="FY48" si="2084">SUM(FY39,FY42,FY45)</f>
        <v>0</v>
      </c>
      <c r="FZ48" s="156" t="str">
        <f t="shared" ref="FZ48" si="2085">IFERROR((FZ39*FY39+FY42*FZ42+FY45*FZ45)/FY48,"")</f>
        <v/>
      </c>
      <c r="GA48" s="155">
        <f t="shared" ref="GA48" si="2086">SUM(GA39,GA42,GA45)</f>
        <v>0</v>
      </c>
      <c r="GB48" s="156" t="str">
        <f t="shared" ref="GB48" si="2087">IFERROR((GB39*GA39+GA42*GB42+GA45*GB45)/GA48,"")</f>
        <v/>
      </c>
      <c r="GC48" s="155">
        <f t="shared" ref="GC48" si="2088">SUM(GC39,GC42,GC45)</f>
        <v>0</v>
      </c>
      <c r="GD48" s="156" t="str">
        <f t="shared" ref="GD48" si="2089">IFERROR((GD39*GC39+GC42*GD42+GC45*GD45)/GC48,"")</f>
        <v/>
      </c>
      <c r="GE48" s="155">
        <f t="shared" ref="GE48" si="2090">SUM(GE39,GE42,GE45)</f>
        <v>0</v>
      </c>
      <c r="GF48" s="156" t="str">
        <f t="shared" ref="GF48" si="2091">IFERROR((GF39*GE39+GE42*GF42+GE45*GF45)/GE48,"")</f>
        <v/>
      </c>
      <c r="GG48" s="155">
        <f t="shared" ref="GG48" si="2092">SUM(GG39,GG42,GG45)</f>
        <v>0</v>
      </c>
      <c r="GH48" s="156" t="str">
        <f t="shared" ref="GH48" si="2093">IFERROR((GH39*GG39+GG42*GH42+GG45*GH45)/GG48,"")</f>
        <v/>
      </c>
      <c r="GI48" s="155">
        <f t="shared" ref="GI48" si="2094">SUM(GI39,GI42,GI45)</f>
        <v>0</v>
      </c>
      <c r="GJ48" s="156" t="str">
        <f t="shared" ref="GJ48" si="2095">IFERROR((GJ39*GI39+GI42*GJ42+GI45*GJ45)/GI48,"")</f>
        <v/>
      </c>
      <c r="GK48" s="155">
        <f t="shared" ref="GK48" si="2096">SUM(GK39,GK42,GK45)</f>
        <v>1036</v>
      </c>
      <c r="GL48" s="156">
        <f t="shared" ref="GL48" si="2097">IFERROR((GL39*GK39+GK42*GL42+GK45*GL45)/GK48,"")</f>
        <v>2.0099999999999998</v>
      </c>
      <c r="GM48" s="155">
        <f t="shared" ref="GM48" si="2098">SUM(GM39,GM42,GM45)</f>
        <v>0</v>
      </c>
      <c r="GN48" s="156" t="str">
        <f t="shared" ref="GN48" si="2099">IFERROR((GN39*GM39+GM42*GN42+GM45*GN45)/GM48,"")</f>
        <v/>
      </c>
      <c r="GO48" s="155">
        <f t="shared" ref="GO48" si="2100">SUM(GO39,GO42,GO45)</f>
        <v>0</v>
      </c>
      <c r="GP48" s="156" t="str">
        <f t="shared" ref="GP48" si="2101">IFERROR((GP39*GO39+GO42*GP42+GO45*GP45)/GO48,"")</f>
        <v/>
      </c>
      <c r="GQ48" s="155">
        <f t="shared" ref="GQ48" si="2102">SUM(GQ39,GQ42,GQ45)</f>
        <v>0</v>
      </c>
      <c r="GR48" s="156" t="str">
        <f t="shared" ref="GR48" si="2103">IFERROR((GR39*GQ39+GQ42*GR42+GQ45*GR45)/GQ48,"")</f>
        <v/>
      </c>
      <c r="GS48" s="155">
        <f t="shared" ref="GS48" si="2104">SUM(GS39,GS42,GS45)</f>
        <v>0</v>
      </c>
      <c r="GT48" s="156" t="str">
        <f t="shared" ref="GT48" si="2105">IFERROR((GT39*GS39+GS42*GT42+GS45*GT45)/GS48,"")</f>
        <v/>
      </c>
      <c r="GU48" s="155">
        <f t="shared" ref="GU48" si="2106">SUM(GU39,GU42,GU45)</f>
        <v>0</v>
      </c>
      <c r="GV48" s="156" t="str">
        <f t="shared" ref="GV48" si="2107">IFERROR((GV39*GU39+GU42*GV42+GU45*GV45)/GU48,"")</f>
        <v/>
      </c>
      <c r="GW48" s="155">
        <f t="shared" ref="GW48" si="2108">SUM(GW39,GW42,GW45)</f>
        <v>0</v>
      </c>
      <c r="GX48" s="156" t="str">
        <f t="shared" ref="GX48" si="2109">IFERROR((GX39*GW39+GW42*GX42+GW45*GX45)/GW48,"")</f>
        <v/>
      </c>
      <c r="GY48" s="155">
        <f t="shared" ref="GY48" si="2110">SUM(GY39,GY42,GY45)</f>
        <v>0</v>
      </c>
      <c r="GZ48" s="156" t="str">
        <f t="shared" ref="GZ48" si="2111">IFERROR((GZ39*GY39+GY42*GZ42+GY45*GZ45)/GY48,"")</f>
        <v/>
      </c>
      <c r="HA48" s="155">
        <f t="shared" ref="HA48" si="2112">SUM(HA39,HA42,HA45)</f>
        <v>0</v>
      </c>
      <c r="HB48" s="156" t="str">
        <f t="shared" ref="HB48" si="2113">IFERROR((HB39*HA39+HA42*HB42+HA45*HB45)/HA48,"")</f>
        <v/>
      </c>
      <c r="HC48" s="155">
        <f t="shared" ref="HC48:IG50" si="2114">SUM(HC39,HC42,HC45)</f>
        <v>0</v>
      </c>
      <c r="HD48" s="156" t="str">
        <f t="shared" ref="HD48:IH50" si="2115">IFERROR((HD39*HC39+HC42*HD42+HC45*HD45)/HC48,"")</f>
        <v/>
      </c>
      <c r="HE48" s="155">
        <f t="shared" ref="HE48" si="2116">SUM(HE39,HE42,HE45)</f>
        <v>0</v>
      </c>
      <c r="HF48" s="156" t="str">
        <f t="shared" ref="HF48" si="2117">IFERROR((HF39*HE39+HE42*HF42+HE45*HF45)/HE48,"")</f>
        <v/>
      </c>
      <c r="HG48" s="155">
        <f t="shared" ref="HG48" si="2118">SUM(HG39,HG42,HG45)</f>
        <v>0</v>
      </c>
      <c r="HH48" s="156" t="str">
        <f t="shared" ref="HH48" si="2119">IFERROR((HH39*HG39+HG42*HH42+HG45*HH45)/HG48,"")</f>
        <v/>
      </c>
      <c r="HI48" s="155">
        <f t="shared" ref="HI48" si="2120">SUM(HI39,HI42,HI45)</f>
        <v>0</v>
      </c>
      <c r="HJ48" s="156" t="str">
        <f t="shared" ref="HJ48" si="2121">IFERROR((HJ39*HI39+HI42*HJ42+HI45*HJ45)/HI48,"")</f>
        <v/>
      </c>
      <c r="HK48" s="155">
        <f t="shared" ref="HK48" si="2122">SUM(HK39,HK42,HK45)</f>
        <v>0</v>
      </c>
      <c r="HL48" s="156" t="str">
        <f t="shared" ref="HL48" si="2123">IFERROR((HL39*HK39+HK42*HL42+HK45*HL45)/HK48,"")</f>
        <v/>
      </c>
      <c r="HM48" s="155">
        <f t="shared" ref="HM48" si="2124">SUM(HM39,HM42,HM45)</f>
        <v>0</v>
      </c>
      <c r="HN48" s="156" t="str">
        <f t="shared" ref="HN48" si="2125">IFERROR((HN39*HM39+HM42*HN42+HM45*HN45)/HM48,"")</f>
        <v/>
      </c>
      <c r="HO48" s="155">
        <f t="shared" ref="HO48" si="2126">SUM(HO39,HO42,HO45)</f>
        <v>0</v>
      </c>
      <c r="HP48" s="156" t="str">
        <f t="shared" ref="HP48" si="2127">IFERROR((HP39*HO39+HO42*HP42+HO45*HP45)/HO48,"")</f>
        <v/>
      </c>
      <c r="HQ48" s="155">
        <f t="shared" ref="HQ48" si="2128">SUM(HQ39,HQ42,HQ45)</f>
        <v>0</v>
      </c>
      <c r="HR48" s="156" t="str">
        <f t="shared" ref="HR48" si="2129">IFERROR((HR39*HQ39+HQ42*HR42+HQ45*HR45)/HQ48,"")</f>
        <v/>
      </c>
      <c r="HS48" s="155">
        <f t="shared" ref="HS48" si="2130">SUM(HS39,HS42,HS45)</f>
        <v>0</v>
      </c>
      <c r="HT48" s="156" t="str">
        <f t="shared" ref="HT48" si="2131">IFERROR((HT39*HS39+HS42*HT42+HS45*HT45)/HS48,"")</f>
        <v/>
      </c>
      <c r="HU48" s="155">
        <f t="shared" ref="HU48" si="2132">SUM(HU39,HU42,HU45)</f>
        <v>0</v>
      </c>
      <c r="HV48" s="156" t="str">
        <f t="shared" ref="HV48" si="2133">IFERROR((HV39*HU39+HU42*HV42+HU45*HV45)/HU48,"")</f>
        <v/>
      </c>
      <c r="HW48" s="155">
        <f t="shared" ref="HW48" si="2134">SUM(HW39,HW42,HW45)</f>
        <v>0</v>
      </c>
      <c r="HX48" s="156" t="str">
        <f t="shared" ref="HX48" si="2135">IFERROR((HX39*HW39+HW42*HX42+HW45*HX45)/HW48,"")</f>
        <v/>
      </c>
      <c r="HY48" s="155">
        <f t="shared" ref="HY48" si="2136">SUM(HY39,HY42,HY45)</f>
        <v>0</v>
      </c>
      <c r="HZ48" s="156" t="str">
        <f t="shared" ref="HZ48" si="2137">IFERROR((HZ39*HY39+HY42*HZ42+HY45*HZ45)/HY48,"")</f>
        <v/>
      </c>
      <c r="IA48" s="155">
        <f t="shared" ref="IA48" si="2138">SUM(IA39,IA42,IA45)</f>
        <v>0</v>
      </c>
      <c r="IB48" s="156" t="str">
        <f t="shared" ref="IB48" si="2139">IFERROR((IB39*IA39+IA42*IB42+IA45*IB45)/IA48,"")</f>
        <v/>
      </c>
      <c r="IC48" s="155">
        <f t="shared" ref="IC48" si="2140">SUM(IC39,IC42,IC45)</f>
        <v>0</v>
      </c>
      <c r="ID48" s="156" t="str">
        <f t="shared" ref="ID48" si="2141">IFERROR((ID39*IC39+IC42*ID42+IC45*ID45)/IC48,"")</f>
        <v/>
      </c>
      <c r="IE48" s="155">
        <f t="shared" ref="IE48" si="2142">SUM(IE39,IE42,IE45)</f>
        <v>0</v>
      </c>
      <c r="IF48" s="156" t="str">
        <f t="shared" ref="IF48" si="2143">IFERROR((IF39*IE39+IE42*IF42+IE45*IF45)/IE48,"")</f>
        <v/>
      </c>
      <c r="IG48" s="155">
        <f t="shared" ref="IG48" si="2144">SUM(IG39,IG42,IG45)</f>
        <v>0</v>
      </c>
      <c r="IH48" s="156" t="str">
        <f t="shared" ref="IH48" si="2145">IFERROR((IH39*IG39+IG42*IH42+IG45*IH45)/IG48,"")</f>
        <v/>
      </c>
      <c r="II48" s="155">
        <f t="shared" ref="II48:IY50" si="2146">SUM(II39,II42,II45)</f>
        <v>0</v>
      </c>
      <c r="IJ48" s="156" t="str">
        <f t="shared" ref="IJ48:IZ50" si="2147">IFERROR((IJ39*II39+II42*IJ42+II45*IJ45)/II48,"")</f>
        <v/>
      </c>
      <c r="IK48" s="155">
        <f t="shared" ref="IK48" si="2148">SUM(IK39,IK42,IK45)</f>
        <v>0</v>
      </c>
      <c r="IL48" s="156" t="str">
        <f t="shared" ref="IL48" si="2149">IFERROR((IL39*IK39+IK42*IL42+IK45*IL45)/IK48,"")</f>
        <v/>
      </c>
      <c r="IM48" s="155">
        <f t="shared" ref="IM48" si="2150">SUM(IM39,IM42,IM45)</f>
        <v>0</v>
      </c>
      <c r="IN48" s="156" t="str">
        <f t="shared" ref="IN48" si="2151">IFERROR((IN39*IM39+IM42*IN42+IM45*IN45)/IM48,"")</f>
        <v/>
      </c>
      <c r="IO48" s="155">
        <f t="shared" ref="IO48" si="2152">SUM(IO39,IO42,IO45)</f>
        <v>0</v>
      </c>
      <c r="IP48" s="156" t="str">
        <f t="shared" ref="IP48" si="2153">IFERROR((IP39*IO39+IO42*IP42+IO45*IP45)/IO48,"")</f>
        <v/>
      </c>
      <c r="IQ48" s="155">
        <f t="shared" ref="IQ48" si="2154">SUM(IQ39,IQ42,IQ45)</f>
        <v>0</v>
      </c>
      <c r="IR48" s="156" t="str">
        <f t="shared" ref="IR48" si="2155">IFERROR((IR39*IQ39+IQ42*IR42+IQ45*IR45)/IQ48,"")</f>
        <v/>
      </c>
      <c r="IS48" s="155">
        <f t="shared" ref="IS48" si="2156">SUM(IS39,IS42,IS45)</f>
        <v>0</v>
      </c>
      <c r="IT48" s="156" t="str">
        <f t="shared" ref="IT48" si="2157">IFERROR((IT39*IS39+IS42*IT42+IS45*IT45)/IS48,"")</f>
        <v/>
      </c>
      <c r="IU48" s="155">
        <f t="shared" ref="IU48" si="2158">SUM(IU39,IU42,IU45)</f>
        <v>0</v>
      </c>
      <c r="IV48" s="156" t="str">
        <f t="shared" ref="IV48" si="2159">IFERROR((IV39*IU39+IU42*IV42+IU45*IV45)/IU48,"")</f>
        <v/>
      </c>
      <c r="IW48" s="155">
        <f t="shared" ref="IW48" si="2160">SUM(IW39,IW42,IW45)</f>
        <v>0</v>
      </c>
      <c r="IX48" s="156" t="str">
        <f t="shared" ref="IX48" si="2161">IFERROR((IX39*IW39+IW42*IX42+IW45*IX45)/IW48,"")</f>
        <v/>
      </c>
      <c r="IY48" s="155">
        <f t="shared" ref="IY48" si="2162">SUM(IY39,IY42,IY45)</f>
        <v>0</v>
      </c>
      <c r="IZ48" s="156" t="str">
        <f t="shared" ref="IZ48" si="2163">IFERROR((IZ39*IY39+IY42*IZ42+IY45*IZ45)/IY48,"")</f>
        <v/>
      </c>
    </row>
    <row r="49" spans="1:260" x14ac:dyDescent="0.25">
      <c r="A49" s="1577"/>
      <c r="B49" s="13" t="s">
        <v>211</v>
      </c>
      <c r="C49" s="131">
        <f>SUM(C40,C43,C46)</f>
        <v>78785</v>
      </c>
      <c r="D49" s="132">
        <f>IFERROR((C40*D40+C43*D43+C46*D46)/C49,"")</f>
        <v>2.4628817721718694</v>
      </c>
      <c r="E49" s="155">
        <f t="shared" si="1913"/>
        <v>1085</v>
      </c>
      <c r="F49" s="156">
        <f t="shared" si="1914"/>
        <v>1.8271028037383188</v>
      </c>
      <c r="G49" s="155">
        <f t="shared" si="1913"/>
        <v>0</v>
      </c>
      <c r="H49" s="156" t="str">
        <f t="shared" si="1914"/>
        <v/>
      </c>
      <c r="I49" s="155">
        <f t="shared" si="1913"/>
        <v>0</v>
      </c>
      <c r="J49" s="156" t="str">
        <f t="shared" si="1914"/>
        <v/>
      </c>
      <c r="K49" s="155">
        <f t="shared" si="1913"/>
        <v>0</v>
      </c>
      <c r="L49" s="156" t="str">
        <f t="shared" si="1914"/>
        <v/>
      </c>
      <c r="M49" s="155">
        <f t="shared" si="1913"/>
        <v>0</v>
      </c>
      <c r="N49" s="156" t="str">
        <f t="shared" si="1914"/>
        <v/>
      </c>
      <c r="O49" s="155">
        <f t="shared" si="1913"/>
        <v>0</v>
      </c>
      <c r="P49" s="156" t="str">
        <f t="shared" si="1914"/>
        <v/>
      </c>
      <c r="Q49" s="155">
        <f t="shared" si="1913"/>
        <v>0</v>
      </c>
      <c r="R49" s="156" t="str">
        <f t="shared" si="1914"/>
        <v/>
      </c>
      <c r="S49" s="155">
        <f t="shared" si="1913"/>
        <v>0</v>
      </c>
      <c r="T49" s="156" t="str">
        <f t="shared" si="1914"/>
        <v/>
      </c>
      <c r="U49" s="155">
        <f t="shared" si="1913"/>
        <v>0</v>
      </c>
      <c r="V49" s="156" t="str">
        <f t="shared" si="1914"/>
        <v/>
      </c>
      <c r="W49" s="155">
        <f t="shared" si="1913"/>
        <v>0</v>
      </c>
      <c r="X49" s="156" t="str">
        <f t="shared" si="1914"/>
        <v/>
      </c>
      <c r="Y49" s="155">
        <f t="shared" ref="Y49:AM50" si="2164">SUM(Y40,Y43,Y46)</f>
        <v>3220</v>
      </c>
      <c r="Z49" s="156">
        <f t="shared" ref="Z49:AN50" si="2165">IFERROR((Z40*Y40+Y43*Z43+Y46*Z46)/Y49,"")</f>
        <v>2.9315522145469313</v>
      </c>
      <c r="AA49" s="155">
        <f t="shared" si="2164"/>
        <v>980</v>
      </c>
      <c r="AB49" s="156">
        <f t="shared" si="2165"/>
        <v>1.8099999999999992</v>
      </c>
      <c r="AC49" s="155">
        <f t="shared" si="2164"/>
        <v>0</v>
      </c>
      <c r="AD49" s="156" t="str">
        <f t="shared" si="2165"/>
        <v/>
      </c>
      <c r="AE49" s="155">
        <f t="shared" si="2164"/>
        <v>0</v>
      </c>
      <c r="AF49" s="156" t="str">
        <f t="shared" si="2165"/>
        <v/>
      </c>
      <c r="AG49" s="155">
        <f t="shared" si="2164"/>
        <v>0</v>
      </c>
      <c r="AH49" s="156" t="str">
        <f t="shared" si="2165"/>
        <v/>
      </c>
      <c r="AI49" s="155">
        <f t="shared" si="2164"/>
        <v>0</v>
      </c>
      <c r="AJ49" s="156" t="str">
        <f t="shared" si="2165"/>
        <v/>
      </c>
      <c r="AK49" s="155">
        <f t="shared" si="2164"/>
        <v>0</v>
      </c>
      <c r="AL49" s="156" t="str">
        <f t="shared" si="2165"/>
        <v/>
      </c>
      <c r="AM49" s="155">
        <f t="shared" si="2164"/>
        <v>0</v>
      </c>
      <c r="AN49" s="156" t="str">
        <f t="shared" si="2165"/>
        <v/>
      </c>
      <c r="AO49" s="155">
        <f t="shared" si="1947"/>
        <v>0</v>
      </c>
      <c r="AP49" s="156" t="str">
        <f t="shared" si="1948"/>
        <v/>
      </c>
      <c r="AQ49" s="155">
        <f t="shared" si="1947"/>
        <v>0</v>
      </c>
      <c r="AR49" s="156" t="str">
        <f t="shared" si="1948"/>
        <v/>
      </c>
      <c r="AS49" s="155">
        <f t="shared" si="1947"/>
        <v>0</v>
      </c>
      <c r="AT49" s="156" t="str">
        <f t="shared" si="1948"/>
        <v/>
      </c>
      <c r="AU49" s="155">
        <f t="shared" si="1947"/>
        <v>0</v>
      </c>
      <c r="AV49" s="156" t="str">
        <f t="shared" si="1948"/>
        <v/>
      </c>
      <c r="AW49" s="155">
        <f t="shared" si="1947"/>
        <v>0</v>
      </c>
      <c r="AX49" s="156" t="str">
        <f t="shared" si="1948"/>
        <v/>
      </c>
      <c r="AY49" s="155">
        <f t="shared" si="1947"/>
        <v>0</v>
      </c>
      <c r="AZ49" s="156" t="str">
        <f t="shared" si="1948"/>
        <v/>
      </c>
      <c r="BA49" s="155">
        <f t="shared" si="1947"/>
        <v>0</v>
      </c>
      <c r="BB49" s="156" t="str">
        <f t="shared" si="1948"/>
        <v/>
      </c>
      <c r="BC49" s="155">
        <f t="shared" si="1947"/>
        <v>0</v>
      </c>
      <c r="BD49" s="156" t="str">
        <f t="shared" si="1948"/>
        <v/>
      </c>
      <c r="BE49" s="155">
        <f t="shared" si="1947"/>
        <v>0</v>
      </c>
      <c r="BF49" s="156" t="str">
        <f t="shared" si="1948"/>
        <v/>
      </c>
      <c r="BG49" s="155">
        <f t="shared" si="1947"/>
        <v>0</v>
      </c>
      <c r="BH49" s="156" t="str">
        <f t="shared" si="1948"/>
        <v/>
      </c>
      <c r="BI49" s="155">
        <f t="shared" si="1947"/>
        <v>0</v>
      </c>
      <c r="BJ49" s="156" t="str">
        <f t="shared" si="1948"/>
        <v/>
      </c>
      <c r="BK49" s="155">
        <f t="shared" si="1947"/>
        <v>0</v>
      </c>
      <c r="BL49" s="156" t="str">
        <f t="shared" si="1948"/>
        <v/>
      </c>
      <c r="BM49" s="155">
        <f t="shared" si="1947"/>
        <v>0</v>
      </c>
      <c r="BN49" s="156" t="str">
        <f t="shared" si="1948"/>
        <v/>
      </c>
      <c r="BO49" s="155">
        <f t="shared" si="1947"/>
        <v>0</v>
      </c>
      <c r="BP49" s="156" t="str">
        <f t="shared" si="1948"/>
        <v/>
      </c>
      <c r="BQ49" s="155">
        <f t="shared" si="1947"/>
        <v>0</v>
      </c>
      <c r="BR49" s="156" t="str">
        <f t="shared" si="1948"/>
        <v/>
      </c>
      <c r="BS49" s="155">
        <f t="shared" si="1947"/>
        <v>0</v>
      </c>
      <c r="BT49" s="156" t="str">
        <f t="shared" si="1948"/>
        <v/>
      </c>
      <c r="BU49" s="155">
        <f t="shared" si="1947"/>
        <v>0</v>
      </c>
      <c r="BV49" s="156" t="str">
        <f t="shared" si="1948"/>
        <v/>
      </c>
      <c r="BW49" s="155">
        <f t="shared" si="1947"/>
        <v>0</v>
      </c>
      <c r="BX49" s="156" t="str">
        <f t="shared" si="1948"/>
        <v/>
      </c>
      <c r="BY49" s="155">
        <f t="shared" si="1947"/>
        <v>0</v>
      </c>
      <c r="BZ49" s="156" t="str">
        <f t="shared" si="1948"/>
        <v/>
      </c>
      <c r="CA49" s="155">
        <f t="shared" si="1947"/>
        <v>0</v>
      </c>
      <c r="CB49" s="156" t="str">
        <f t="shared" si="1948"/>
        <v/>
      </c>
      <c r="CC49" s="155">
        <f t="shared" si="1947"/>
        <v>0</v>
      </c>
      <c r="CD49" s="156" t="str">
        <f t="shared" si="1948"/>
        <v/>
      </c>
      <c r="CE49" s="155">
        <f t="shared" si="1947"/>
        <v>0</v>
      </c>
      <c r="CF49" s="156" t="str">
        <f t="shared" si="1948"/>
        <v/>
      </c>
      <c r="CG49" s="155">
        <f t="shared" si="1947"/>
        <v>0</v>
      </c>
      <c r="CH49" s="156" t="str">
        <f t="shared" si="1948"/>
        <v/>
      </c>
      <c r="CI49" s="155">
        <f t="shared" si="1947"/>
        <v>0</v>
      </c>
      <c r="CJ49" s="156" t="str">
        <f t="shared" si="1948"/>
        <v/>
      </c>
      <c r="CK49" s="155">
        <f t="shared" si="1947"/>
        <v>0</v>
      </c>
      <c r="CL49" s="156" t="str">
        <f t="shared" si="1948"/>
        <v/>
      </c>
      <c r="CM49" s="155">
        <f t="shared" si="1947"/>
        <v>0</v>
      </c>
      <c r="CN49" s="156" t="str">
        <f t="shared" si="1948"/>
        <v/>
      </c>
      <c r="CO49" s="155">
        <f t="shared" si="1947"/>
        <v>0</v>
      </c>
      <c r="CP49" s="156" t="str">
        <f t="shared" si="1948"/>
        <v/>
      </c>
      <c r="CQ49" s="155">
        <f t="shared" si="1947"/>
        <v>12110</v>
      </c>
      <c r="CR49" s="156">
        <f t="shared" si="1948"/>
        <v>2.7887958511155522</v>
      </c>
      <c r="CS49" s="155">
        <f t="shared" ref="CS49" si="2166">SUM(CS40,CS43,CS46)</f>
        <v>4340</v>
      </c>
      <c r="CT49" s="156">
        <f t="shared" si="2004"/>
        <v>3.0584112149532698</v>
      </c>
      <c r="CU49" s="155">
        <f t="shared" ref="CU49" si="2167">SUM(CU40,CU43,CU46)</f>
        <v>0</v>
      </c>
      <c r="CV49" s="156" t="str">
        <f t="shared" si="2005"/>
        <v/>
      </c>
      <c r="CW49" s="155">
        <f t="shared" ref="CW49" si="2168">SUM(CW40,CW43,CW46)</f>
        <v>0</v>
      </c>
      <c r="CX49" s="156" t="str">
        <f t="shared" si="2006"/>
        <v/>
      </c>
      <c r="CY49" s="155">
        <f t="shared" si="1947"/>
        <v>4130</v>
      </c>
      <c r="CZ49" s="156">
        <f t="shared" si="1948"/>
        <v>1.6210803104704581</v>
      </c>
      <c r="DA49" s="155">
        <f t="shared" si="1947"/>
        <v>0</v>
      </c>
      <c r="DB49" s="156" t="str">
        <f t="shared" si="1948"/>
        <v/>
      </c>
      <c r="DC49" s="155">
        <f t="shared" si="1947"/>
        <v>0</v>
      </c>
      <c r="DD49" s="156" t="str">
        <f t="shared" si="1948"/>
        <v/>
      </c>
      <c r="DE49" s="155">
        <f t="shared" si="1947"/>
        <v>1085</v>
      </c>
      <c r="DF49" s="156">
        <f t="shared" si="1948"/>
        <v>1.8599999999999988</v>
      </c>
      <c r="DG49" s="155">
        <f t="shared" si="2015"/>
        <v>0</v>
      </c>
      <c r="DH49" s="156" t="str">
        <f t="shared" si="2016"/>
        <v/>
      </c>
      <c r="DI49" s="155">
        <f t="shared" si="2015"/>
        <v>0</v>
      </c>
      <c r="DJ49" s="156" t="str">
        <f t="shared" si="2016"/>
        <v/>
      </c>
      <c r="DK49" s="155">
        <f t="shared" si="2015"/>
        <v>0</v>
      </c>
      <c r="DL49" s="156" t="str">
        <f t="shared" si="2016"/>
        <v/>
      </c>
      <c r="DM49" s="155">
        <f t="shared" si="2015"/>
        <v>0</v>
      </c>
      <c r="DN49" s="156" t="str">
        <f t="shared" si="2016"/>
        <v/>
      </c>
      <c r="DO49" s="155">
        <f t="shared" si="2015"/>
        <v>6020</v>
      </c>
      <c r="DP49" s="156">
        <f t="shared" si="2016"/>
        <v>1.9058139534883716</v>
      </c>
      <c r="DQ49" s="155">
        <f t="shared" si="2015"/>
        <v>2170</v>
      </c>
      <c r="DR49" s="156">
        <f t="shared" si="2016"/>
        <v>1.6900000000000008</v>
      </c>
      <c r="DS49" s="155">
        <f t="shared" si="2015"/>
        <v>8295</v>
      </c>
      <c r="DT49" s="156">
        <f t="shared" si="2016"/>
        <v>2.27928072873536</v>
      </c>
      <c r="DU49" s="155">
        <f t="shared" si="2015"/>
        <v>0</v>
      </c>
      <c r="DV49" s="156" t="str">
        <f t="shared" si="2016"/>
        <v/>
      </c>
      <c r="DW49" s="155">
        <f t="shared" si="2015"/>
        <v>0</v>
      </c>
      <c r="DX49" s="156" t="str">
        <f t="shared" si="2016"/>
        <v/>
      </c>
      <c r="DY49" s="155">
        <f t="shared" si="2015"/>
        <v>0</v>
      </c>
      <c r="DZ49" s="156" t="str">
        <f t="shared" si="2016"/>
        <v/>
      </c>
      <c r="EA49" s="155">
        <f t="shared" si="2015"/>
        <v>0</v>
      </c>
      <c r="EB49" s="156" t="str">
        <f t="shared" si="2016"/>
        <v/>
      </c>
      <c r="EC49" s="155">
        <f t="shared" si="2015"/>
        <v>0</v>
      </c>
      <c r="ED49" s="156" t="str">
        <f t="shared" si="2016"/>
        <v/>
      </c>
      <c r="EE49" s="155">
        <f t="shared" si="2015"/>
        <v>0</v>
      </c>
      <c r="EF49" s="156" t="str">
        <f t="shared" si="2016"/>
        <v/>
      </c>
      <c r="EG49" s="155">
        <f t="shared" si="2015"/>
        <v>0</v>
      </c>
      <c r="EH49" s="156" t="str">
        <f t="shared" si="2016"/>
        <v/>
      </c>
      <c r="EI49" s="155">
        <f t="shared" si="2015"/>
        <v>0</v>
      </c>
      <c r="EJ49" s="156" t="str">
        <f t="shared" si="2016"/>
        <v/>
      </c>
      <c r="EK49" s="155">
        <f t="shared" si="2015"/>
        <v>0</v>
      </c>
      <c r="EL49" s="156" t="str">
        <f t="shared" si="2016"/>
        <v/>
      </c>
      <c r="EM49" s="155">
        <f t="shared" si="2047"/>
        <v>0</v>
      </c>
      <c r="EN49" s="156" t="str">
        <f t="shared" si="2048"/>
        <v/>
      </c>
      <c r="EO49" s="155">
        <f t="shared" si="2047"/>
        <v>7210</v>
      </c>
      <c r="EP49" s="156">
        <f t="shared" si="2048"/>
        <v>3.1681145086652749</v>
      </c>
      <c r="EQ49" s="155">
        <f t="shared" si="2047"/>
        <v>1050</v>
      </c>
      <c r="ER49" s="156">
        <f t="shared" si="2048"/>
        <v>1.05</v>
      </c>
      <c r="ES49" s="155">
        <f t="shared" ref="ES49" si="2169">SUM(ES40,ES43,ES46)</f>
        <v>3255</v>
      </c>
      <c r="ET49" s="156">
        <f t="shared" si="2053"/>
        <v>3.0901869158878479</v>
      </c>
      <c r="EU49" s="155">
        <f t="shared" si="2047"/>
        <v>2170</v>
      </c>
      <c r="EV49" s="156">
        <f t="shared" si="2048"/>
        <v>2.3116822429906541</v>
      </c>
      <c r="EW49" s="155">
        <f t="shared" ref="EW49" si="2170">SUM(EW40,EW43,EW46)</f>
        <v>0</v>
      </c>
      <c r="EX49" s="156" t="str">
        <f t="shared" si="2057"/>
        <v/>
      </c>
      <c r="EY49" s="155">
        <f t="shared" si="2047"/>
        <v>0</v>
      </c>
      <c r="EZ49" s="156" t="str">
        <f t="shared" si="2048"/>
        <v/>
      </c>
      <c r="FA49" s="155">
        <f t="shared" si="2047"/>
        <v>2030</v>
      </c>
      <c r="FB49" s="156">
        <f t="shared" si="2048"/>
        <v>2.8161206896551714</v>
      </c>
      <c r="FC49" s="155">
        <f t="shared" si="2047"/>
        <v>6230</v>
      </c>
      <c r="FD49" s="156">
        <f t="shared" si="2048"/>
        <v>2.3430148062585325</v>
      </c>
      <c r="FE49" s="155">
        <f t="shared" si="2047"/>
        <v>9380</v>
      </c>
      <c r="FF49" s="156">
        <f t="shared" si="2048"/>
        <v>2.3185329195145754</v>
      </c>
      <c r="FG49" s="155">
        <f t="shared" si="2047"/>
        <v>2065</v>
      </c>
      <c r="FH49" s="156">
        <f t="shared" si="2048"/>
        <v>2.2108268651987966</v>
      </c>
      <c r="FI49" s="155">
        <f t="shared" si="2047"/>
        <v>0</v>
      </c>
      <c r="FJ49" s="156" t="str">
        <f t="shared" si="2048"/>
        <v/>
      </c>
      <c r="FK49" s="155">
        <f t="shared" si="2047"/>
        <v>1960</v>
      </c>
      <c r="FL49" s="156">
        <f t="shared" si="2048"/>
        <v>2.75</v>
      </c>
      <c r="FM49" s="155">
        <f t="shared" si="2047"/>
        <v>0</v>
      </c>
      <c r="FN49" s="156" t="str">
        <f t="shared" si="2048"/>
        <v/>
      </c>
      <c r="FO49" s="155">
        <f t="shared" si="2047"/>
        <v>0</v>
      </c>
      <c r="FP49" s="156" t="str">
        <f t="shared" si="2048"/>
        <v/>
      </c>
      <c r="FQ49" s="155">
        <f t="shared" si="2047"/>
        <v>0</v>
      </c>
      <c r="FR49" s="156" t="str">
        <f t="shared" si="2048"/>
        <v/>
      </c>
      <c r="FS49" s="155">
        <f t="shared" si="2047"/>
        <v>0</v>
      </c>
      <c r="FT49" s="156" t="str">
        <f t="shared" si="2048"/>
        <v/>
      </c>
      <c r="FU49" s="155">
        <f t="shared" si="2047"/>
        <v>0</v>
      </c>
      <c r="FV49" s="156" t="str">
        <f t="shared" si="2048"/>
        <v/>
      </c>
      <c r="FW49" s="155">
        <f t="shared" si="2082"/>
        <v>0</v>
      </c>
      <c r="FX49" s="156" t="str">
        <f t="shared" si="2083"/>
        <v/>
      </c>
      <c r="FY49" s="155">
        <f t="shared" si="2082"/>
        <v>0</v>
      </c>
      <c r="FZ49" s="156" t="str">
        <f t="shared" si="2083"/>
        <v/>
      </c>
      <c r="GA49" s="155">
        <f t="shared" si="2082"/>
        <v>0</v>
      </c>
      <c r="GB49" s="156" t="str">
        <f t="shared" si="2083"/>
        <v/>
      </c>
      <c r="GC49" s="155">
        <f t="shared" si="2082"/>
        <v>0</v>
      </c>
      <c r="GD49" s="156" t="str">
        <f t="shared" si="2083"/>
        <v/>
      </c>
      <c r="GE49" s="155">
        <f t="shared" si="2082"/>
        <v>0</v>
      </c>
      <c r="GF49" s="156" t="str">
        <f t="shared" si="2083"/>
        <v/>
      </c>
      <c r="GG49" s="155">
        <f t="shared" si="2082"/>
        <v>0</v>
      </c>
      <c r="GH49" s="156" t="str">
        <f t="shared" si="2083"/>
        <v/>
      </c>
      <c r="GI49" s="155">
        <f t="shared" si="2082"/>
        <v>0</v>
      </c>
      <c r="GJ49" s="156" t="str">
        <f t="shared" si="2083"/>
        <v/>
      </c>
      <c r="GK49" s="155">
        <f t="shared" si="2082"/>
        <v>0</v>
      </c>
      <c r="GL49" s="156" t="str">
        <f t="shared" si="2083"/>
        <v/>
      </c>
      <c r="GM49" s="155">
        <f t="shared" si="2082"/>
        <v>0</v>
      </c>
      <c r="GN49" s="156" t="str">
        <f t="shared" si="2083"/>
        <v/>
      </c>
      <c r="GO49" s="155">
        <f t="shared" si="2082"/>
        <v>0</v>
      </c>
      <c r="GP49" s="156" t="str">
        <f t="shared" si="2083"/>
        <v/>
      </c>
      <c r="GQ49" s="155">
        <f t="shared" si="2082"/>
        <v>0</v>
      </c>
      <c r="GR49" s="156" t="str">
        <f t="shared" si="2083"/>
        <v/>
      </c>
      <c r="GS49" s="155">
        <f t="shared" si="2082"/>
        <v>0</v>
      </c>
      <c r="GT49" s="156" t="str">
        <f t="shared" si="2083"/>
        <v/>
      </c>
      <c r="GU49" s="155">
        <f t="shared" si="2082"/>
        <v>0</v>
      </c>
      <c r="GV49" s="156" t="str">
        <f t="shared" si="2083"/>
        <v/>
      </c>
      <c r="GW49" s="155">
        <f t="shared" si="2082"/>
        <v>0</v>
      </c>
      <c r="GX49" s="156" t="str">
        <f t="shared" si="2083"/>
        <v/>
      </c>
      <c r="GY49" s="155">
        <f t="shared" si="2082"/>
        <v>0</v>
      </c>
      <c r="GZ49" s="156" t="str">
        <f t="shared" si="2083"/>
        <v/>
      </c>
      <c r="HA49" s="155">
        <f t="shared" si="2082"/>
        <v>0</v>
      </c>
      <c r="HB49" s="156" t="str">
        <f t="shared" si="2083"/>
        <v/>
      </c>
      <c r="HC49" s="155">
        <f t="shared" si="2114"/>
        <v>0</v>
      </c>
      <c r="HD49" s="156" t="str">
        <f t="shared" si="2115"/>
        <v/>
      </c>
      <c r="HE49" s="155">
        <f t="shared" si="2114"/>
        <v>0</v>
      </c>
      <c r="HF49" s="156" t="str">
        <f t="shared" si="2115"/>
        <v/>
      </c>
      <c r="HG49" s="155">
        <f t="shared" si="2114"/>
        <v>0</v>
      </c>
      <c r="HH49" s="156" t="str">
        <f t="shared" si="2115"/>
        <v/>
      </c>
      <c r="HI49" s="155">
        <f t="shared" si="2114"/>
        <v>0</v>
      </c>
      <c r="HJ49" s="156" t="str">
        <f t="shared" si="2115"/>
        <v/>
      </c>
      <c r="HK49" s="155">
        <f t="shared" si="2114"/>
        <v>0</v>
      </c>
      <c r="HL49" s="156" t="str">
        <f t="shared" si="2115"/>
        <v/>
      </c>
      <c r="HM49" s="155">
        <f t="shared" si="2114"/>
        <v>0</v>
      </c>
      <c r="HN49" s="156" t="str">
        <f t="shared" si="2115"/>
        <v/>
      </c>
      <c r="HO49" s="155">
        <f t="shared" si="2114"/>
        <v>0</v>
      </c>
      <c r="HP49" s="156" t="str">
        <f t="shared" si="2115"/>
        <v/>
      </c>
      <c r="HQ49" s="155">
        <f t="shared" si="2114"/>
        <v>0</v>
      </c>
      <c r="HR49" s="156" t="str">
        <f t="shared" si="2115"/>
        <v/>
      </c>
      <c r="HS49" s="155">
        <f t="shared" si="2114"/>
        <v>0</v>
      </c>
      <c r="HT49" s="156" t="str">
        <f t="shared" si="2115"/>
        <v/>
      </c>
      <c r="HU49" s="155">
        <f t="shared" si="2114"/>
        <v>0</v>
      </c>
      <c r="HV49" s="156" t="str">
        <f t="shared" si="2115"/>
        <v/>
      </c>
      <c r="HW49" s="155">
        <f t="shared" si="2114"/>
        <v>0</v>
      </c>
      <c r="HX49" s="156" t="str">
        <f t="shared" si="2115"/>
        <v/>
      </c>
      <c r="HY49" s="155">
        <f t="shared" si="2114"/>
        <v>0</v>
      </c>
      <c r="HZ49" s="156" t="str">
        <f t="shared" si="2115"/>
        <v/>
      </c>
      <c r="IA49" s="155">
        <f t="shared" si="2114"/>
        <v>0</v>
      </c>
      <c r="IB49" s="156" t="str">
        <f t="shared" si="2115"/>
        <v/>
      </c>
      <c r="IC49" s="155">
        <f t="shared" si="2114"/>
        <v>0</v>
      </c>
      <c r="ID49" s="156" t="str">
        <f t="shared" si="2115"/>
        <v/>
      </c>
      <c r="IE49" s="155">
        <f t="shared" si="2114"/>
        <v>0</v>
      </c>
      <c r="IF49" s="156" t="str">
        <f t="shared" si="2115"/>
        <v/>
      </c>
      <c r="IG49" s="155">
        <f t="shared" si="2114"/>
        <v>0</v>
      </c>
      <c r="IH49" s="156" t="str">
        <f t="shared" si="2115"/>
        <v/>
      </c>
      <c r="II49" s="155">
        <f t="shared" si="2146"/>
        <v>0</v>
      </c>
      <c r="IJ49" s="156" t="str">
        <f t="shared" si="2147"/>
        <v/>
      </c>
      <c r="IK49" s="155">
        <f t="shared" si="2146"/>
        <v>0</v>
      </c>
      <c r="IL49" s="156" t="str">
        <f t="shared" si="2147"/>
        <v/>
      </c>
      <c r="IM49" s="155">
        <f t="shared" si="2146"/>
        <v>0</v>
      </c>
      <c r="IN49" s="156" t="str">
        <f t="shared" si="2147"/>
        <v/>
      </c>
      <c r="IO49" s="155">
        <f t="shared" si="2146"/>
        <v>0</v>
      </c>
      <c r="IP49" s="156" t="str">
        <f t="shared" si="2147"/>
        <v/>
      </c>
      <c r="IQ49" s="155">
        <f t="shared" si="2146"/>
        <v>0</v>
      </c>
      <c r="IR49" s="156" t="str">
        <f t="shared" si="2147"/>
        <v/>
      </c>
      <c r="IS49" s="155">
        <f t="shared" si="2146"/>
        <v>0</v>
      </c>
      <c r="IT49" s="156" t="str">
        <f t="shared" si="2147"/>
        <v/>
      </c>
      <c r="IU49" s="155">
        <f t="shared" si="2146"/>
        <v>0</v>
      </c>
      <c r="IV49" s="156" t="str">
        <f t="shared" si="2147"/>
        <v/>
      </c>
      <c r="IW49" s="155">
        <f t="shared" si="2146"/>
        <v>0</v>
      </c>
      <c r="IX49" s="156" t="str">
        <f t="shared" si="2147"/>
        <v/>
      </c>
      <c r="IY49" s="155">
        <f t="shared" si="2146"/>
        <v>0</v>
      </c>
      <c r="IZ49" s="156" t="str">
        <f t="shared" si="2147"/>
        <v/>
      </c>
    </row>
    <row r="50" spans="1:260" ht="15.75" thickBot="1" x14ac:dyDescent="0.3">
      <c r="A50" s="1577"/>
      <c r="B50" s="13" t="s">
        <v>5</v>
      </c>
      <c r="C50" s="131">
        <f>SUM(C41,C44,C47)</f>
        <v>75871</v>
      </c>
      <c r="D50" s="132">
        <f>IFERROR((C41*D41+C44*D44+C47*D47)/C50,"")</f>
        <v>2.6383155751209291</v>
      </c>
      <c r="E50" s="155">
        <f t="shared" si="1913"/>
        <v>279</v>
      </c>
      <c r="F50" s="156">
        <f t="shared" si="1914"/>
        <v>1.1235125448028676</v>
      </c>
      <c r="G50" s="155">
        <f t="shared" si="1913"/>
        <v>0</v>
      </c>
      <c r="H50" s="156" t="str">
        <f t="shared" si="1914"/>
        <v/>
      </c>
      <c r="I50" s="155">
        <f t="shared" si="1913"/>
        <v>0</v>
      </c>
      <c r="J50" s="156" t="str">
        <f t="shared" si="1914"/>
        <v/>
      </c>
      <c r="K50" s="155">
        <f t="shared" si="1913"/>
        <v>0</v>
      </c>
      <c r="L50" s="156" t="str">
        <f t="shared" si="1914"/>
        <v/>
      </c>
      <c r="M50" s="155">
        <f t="shared" si="1913"/>
        <v>0</v>
      </c>
      <c r="N50" s="156" t="str">
        <f t="shared" si="1914"/>
        <v/>
      </c>
      <c r="O50" s="155">
        <f t="shared" si="1913"/>
        <v>0</v>
      </c>
      <c r="P50" s="156" t="str">
        <f t="shared" si="1914"/>
        <v/>
      </c>
      <c r="Q50" s="155">
        <f t="shared" si="1913"/>
        <v>0</v>
      </c>
      <c r="R50" s="156" t="str">
        <f t="shared" si="1914"/>
        <v/>
      </c>
      <c r="S50" s="155">
        <f t="shared" si="1913"/>
        <v>0</v>
      </c>
      <c r="T50" s="156" t="str">
        <f t="shared" si="1914"/>
        <v/>
      </c>
      <c r="U50" s="155">
        <f t="shared" si="1913"/>
        <v>0</v>
      </c>
      <c r="V50" s="156" t="str">
        <f t="shared" si="1914"/>
        <v/>
      </c>
      <c r="W50" s="155">
        <f t="shared" si="1913"/>
        <v>0</v>
      </c>
      <c r="X50" s="156" t="str">
        <f t="shared" si="1914"/>
        <v/>
      </c>
      <c r="Y50" s="155">
        <f t="shared" si="2164"/>
        <v>2858</v>
      </c>
      <c r="Z50" s="156">
        <f t="shared" si="2165"/>
        <v>2.564447165850245</v>
      </c>
      <c r="AA50" s="155">
        <f t="shared" ref="AA50:CK50" si="2171">SUM(AA41,AA44,AA47)</f>
        <v>0</v>
      </c>
      <c r="AB50" s="156" t="str">
        <f t="shared" ref="AB50:CL50" si="2172">IFERROR((AB41*AA41+AA44*AB44+AA47*AB47)/AA50,"")</f>
        <v/>
      </c>
      <c r="AC50" s="155">
        <f t="shared" si="2171"/>
        <v>0</v>
      </c>
      <c r="AD50" s="156" t="str">
        <f t="shared" si="2172"/>
        <v/>
      </c>
      <c r="AE50" s="155">
        <f t="shared" si="2171"/>
        <v>0</v>
      </c>
      <c r="AF50" s="156" t="str">
        <f t="shared" si="2172"/>
        <v/>
      </c>
      <c r="AG50" s="155">
        <f t="shared" si="2171"/>
        <v>0</v>
      </c>
      <c r="AH50" s="156" t="str">
        <f t="shared" si="2172"/>
        <v/>
      </c>
      <c r="AI50" s="155">
        <f t="shared" si="2171"/>
        <v>0</v>
      </c>
      <c r="AJ50" s="156" t="str">
        <f t="shared" si="2172"/>
        <v/>
      </c>
      <c r="AK50" s="155">
        <f t="shared" si="2171"/>
        <v>0</v>
      </c>
      <c r="AL50" s="156" t="str">
        <f t="shared" si="2172"/>
        <v/>
      </c>
      <c r="AM50" s="155">
        <f t="shared" si="2171"/>
        <v>0</v>
      </c>
      <c r="AN50" s="156" t="str">
        <f t="shared" si="2172"/>
        <v/>
      </c>
      <c r="AO50" s="155">
        <f t="shared" si="2171"/>
        <v>0</v>
      </c>
      <c r="AP50" s="156" t="str">
        <f t="shared" si="2172"/>
        <v/>
      </c>
      <c r="AQ50" s="155">
        <f t="shared" si="2171"/>
        <v>0</v>
      </c>
      <c r="AR50" s="156" t="str">
        <f t="shared" si="2172"/>
        <v/>
      </c>
      <c r="AS50" s="155">
        <f t="shared" si="2171"/>
        <v>0</v>
      </c>
      <c r="AT50" s="156" t="str">
        <f t="shared" si="2172"/>
        <v/>
      </c>
      <c r="AU50" s="155">
        <f t="shared" si="2171"/>
        <v>0</v>
      </c>
      <c r="AV50" s="156" t="str">
        <f t="shared" si="2172"/>
        <v/>
      </c>
      <c r="AW50" s="155">
        <f t="shared" si="2171"/>
        <v>0</v>
      </c>
      <c r="AX50" s="156" t="str">
        <f t="shared" si="2172"/>
        <v/>
      </c>
      <c r="AY50" s="155">
        <f t="shared" si="2171"/>
        <v>0</v>
      </c>
      <c r="AZ50" s="156" t="str">
        <f t="shared" si="2172"/>
        <v/>
      </c>
      <c r="BA50" s="155">
        <f t="shared" si="2171"/>
        <v>0</v>
      </c>
      <c r="BB50" s="156" t="str">
        <f t="shared" si="2172"/>
        <v/>
      </c>
      <c r="BC50" s="155">
        <f t="shared" si="2171"/>
        <v>0</v>
      </c>
      <c r="BD50" s="156" t="str">
        <f t="shared" si="2172"/>
        <v/>
      </c>
      <c r="BE50" s="155">
        <f t="shared" si="2171"/>
        <v>0</v>
      </c>
      <c r="BF50" s="156" t="str">
        <f t="shared" si="2172"/>
        <v/>
      </c>
      <c r="BG50" s="155">
        <f t="shared" si="2171"/>
        <v>0</v>
      </c>
      <c r="BH50" s="156" t="str">
        <f t="shared" si="2172"/>
        <v/>
      </c>
      <c r="BI50" s="155">
        <f t="shared" si="2171"/>
        <v>0</v>
      </c>
      <c r="BJ50" s="156" t="str">
        <f t="shared" si="2172"/>
        <v/>
      </c>
      <c r="BK50" s="155">
        <f t="shared" si="2171"/>
        <v>0</v>
      </c>
      <c r="BL50" s="156" t="str">
        <f t="shared" si="2172"/>
        <v/>
      </c>
      <c r="BM50" s="155">
        <f t="shared" si="2171"/>
        <v>0</v>
      </c>
      <c r="BN50" s="156" t="str">
        <f t="shared" si="2172"/>
        <v/>
      </c>
      <c r="BO50" s="155">
        <f t="shared" si="2171"/>
        <v>0</v>
      </c>
      <c r="BP50" s="156" t="str">
        <f t="shared" si="2172"/>
        <v/>
      </c>
      <c r="BQ50" s="155">
        <f t="shared" si="2171"/>
        <v>0</v>
      </c>
      <c r="BR50" s="156" t="str">
        <f t="shared" si="2172"/>
        <v/>
      </c>
      <c r="BS50" s="155">
        <f t="shared" si="2171"/>
        <v>0</v>
      </c>
      <c r="BT50" s="156" t="str">
        <f t="shared" si="2172"/>
        <v/>
      </c>
      <c r="BU50" s="155">
        <f t="shared" si="2171"/>
        <v>0</v>
      </c>
      <c r="BV50" s="156" t="str">
        <f t="shared" si="2172"/>
        <v/>
      </c>
      <c r="BW50" s="155">
        <f t="shared" si="2171"/>
        <v>0</v>
      </c>
      <c r="BX50" s="156" t="str">
        <f t="shared" si="2172"/>
        <v/>
      </c>
      <c r="BY50" s="155">
        <f t="shared" si="2171"/>
        <v>0</v>
      </c>
      <c r="BZ50" s="156" t="str">
        <f t="shared" si="2172"/>
        <v/>
      </c>
      <c r="CA50" s="155">
        <f t="shared" si="2171"/>
        <v>0</v>
      </c>
      <c r="CB50" s="156" t="str">
        <f t="shared" si="2172"/>
        <v/>
      </c>
      <c r="CC50" s="155">
        <f t="shared" si="2171"/>
        <v>0</v>
      </c>
      <c r="CD50" s="156" t="str">
        <f t="shared" si="2172"/>
        <v/>
      </c>
      <c r="CE50" s="155">
        <f t="shared" si="2171"/>
        <v>0</v>
      </c>
      <c r="CF50" s="156" t="str">
        <f t="shared" si="2172"/>
        <v/>
      </c>
      <c r="CG50" s="155">
        <f t="shared" si="2171"/>
        <v>0</v>
      </c>
      <c r="CH50" s="156" t="str">
        <f t="shared" si="2172"/>
        <v/>
      </c>
      <c r="CI50" s="155">
        <f t="shared" si="2171"/>
        <v>0</v>
      </c>
      <c r="CJ50" s="156" t="str">
        <f t="shared" si="2172"/>
        <v/>
      </c>
      <c r="CK50" s="155">
        <f t="shared" si="2171"/>
        <v>0</v>
      </c>
      <c r="CL50" s="156" t="str">
        <f t="shared" si="2172"/>
        <v/>
      </c>
      <c r="CM50" s="155">
        <f t="shared" si="1947"/>
        <v>0</v>
      </c>
      <c r="CN50" s="156" t="str">
        <f t="shared" si="1948"/>
        <v/>
      </c>
      <c r="CO50" s="155">
        <f t="shared" si="1947"/>
        <v>0</v>
      </c>
      <c r="CP50" s="156" t="str">
        <f t="shared" si="1948"/>
        <v/>
      </c>
      <c r="CQ50" s="155">
        <f t="shared" si="1947"/>
        <v>14794</v>
      </c>
      <c r="CR50" s="156">
        <f t="shared" si="1948"/>
        <v>3.0130661078815737</v>
      </c>
      <c r="CS50" s="155">
        <f t="shared" ref="CS50" si="2173">SUM(CS41,CS44,CS47)</f>
        <v>4581</v>
      </c>
      <c r="CT50" s="156">
        <f t="shared" si="2004"/>
        <v>2.7069286182056325</v>
      </c>
      <c r="CU50" s="155">
        <f t="shared" ref="CU50" si="2174">SUM(CU41,CU44,CU47)</f>
        <v>0</v>
      </c>
      <c r="CV50" s="156" t="str">
        <f t="shared" si="2005"/>
        <v/>
      </c>
      <c r="CW50" s="155">
        <f t="shared" ref="CW50" si="2175">SUM(CW41,CW44,CW47)</f>
        <v>0</v>
      </c>
      <c r="CX50" s="156" t="str">
        <f t="shared" si="2006"/>
        <v/>
      </c>
      <c r="CY50" s="155">
        <f t="shared" si="1947"/>
        <v>3821</v>
      </c>
      <c r="CZ50" s="156">
        <f t="shared" si="1948"/>
        <v>1.3959330018319813</v>
      </c>
      <c r="DA50" s="155">
        <f t="shared" si="1947"/>
        <v>0</v>
      </c>
      <c r="DB50" s="156" t="str">
        <f t="shared" si="1948"/>
        <v/>
      </c>
      <c r="DC50" s="155">
        <f t="shared" si="1947"/>
        <v>0</v>
      </c>
      <c r="DD50" s="156" t="str">
        <f t="shared" si="1948"/>
        <v/>
      </c>
      <c r="DE50" s="155">
        <f t="shared" si="1947"/>
        <v>754</v>
      </c>
      <c r="DF50" s="156">
        <f t="shared" si="1948"/>
        <v>0.46722811671087527</v>
      </c>
      <c r="DG50" s="155">
        <f t="shared" si="2015"/>
        <v>0</v>
      </c>
      <c r="DH50" s="156" t="str">
        <f t="shared" si="2016"/>
        <v/>
      </c>
      <c r="DI50" s="155">
        <f t="shared" si="2015"/>
        <v>0</v>
      </c>
      <c r="DJ50" s="156" t="str">
        <f t="shared" si="2016"/>
        <v/>
      </c>
      <c r="DK50" s="155">
        <f t="shared" si="2015"/>
        <v>0</v>
      </c>
      <c r="DL50" s="156" t="str">
        <f t="shared" si="2016"/>
        <v/>
      </c>
      <c r="DM50" s="155">
        <f t="shared" si="2015"/>
        <v>0</v>
      </c>
      <c r="DN50" s="156" t="str">
        <f t="shared" si="2016"/>
        <v/>
      </c>
      <c r="DO50" s="155">
        <f t="shared" si="2015"/>
        <v>7244</v>
      </c>
      <c r="DP50" s="156">
        <f t="shared" si="2016"/>
        <v>1.9841744892324684</v>
      </c>
      <c r="DQ50" s="155">
        <f t="shared" si="2015"/>
        <v>2587</v>
      </c>
      <c r="DR50" s="156">
        <f t="shared" si="2016"/>
        <v>2.1497680711248552</v>
      </c>
      <c r="DS50" s="155">
        <f t="shared" si="2015"/>
        <v>4990.5</v>
      </c>
      <c r="DT50" s="156">
        <f t="shared" si="2016"/>
        <v>2.2328854824165916</v>
      </c>
      <c r="DU50" s="155">
        <f t="shared" si="2015"/>
        <v>0</v>
      </c>
      <c r="DV50" s="156" t="str">
        <f t="shared" si="2016"/>
        <v/>
      </c>
      <c r="DW50" s="155">
        <f t="shared" si="2015"/>
        <v>0</v>
      </c>
      <c r="DX50" s="156" t="str">
        <f t="shared" si="2016"/>
        <v/>
      </c>
      <c r="DY50" s="155">
        <f t="shared" si="2015"/>
        <v>0</v>
      </c>
      <c r="DZ50" s="156" t="str">
        <f t="shared" si="2016"/>
        <v/>
      </c>
      <c r="EA50" s="155">
        <f t="shared" si="2015"/>
        <v>0</v>
      </c>
      <c r="EB50" s="156" t="str">
        <f t="shared" si="2016"/>
        <v/>
      </c>
      <c r="EC50" s="155">
        <f t="shared" si="2015"/>
        <v>0</v>
      </c>
      <c r="ED50" s="156" t="str">
        <f t="shared" si="2016"/>
        <v/>
      </c>
      <c r="EE50" s="155">
        <f t="shared" si="2015"/>
        <v>0</v>
      </c>
      <c r="EF50" s="156" t="str">
        <f t="shared" si="2016"/>
        <v/>
      </c>
      <c r="EG50" s="155">
        <f t="shared" si="2015"/>
        <v>0</v>
      </c>
      <c r="EH50" s="156" t="str">
        <f t="shared" si="2016"/>
        <v/>
      </c>
      <c r="EI50" s="155">
        <f t="shared" si="2015"/>
        <v>0</v>
      </c>
      <c r="EJ50" s="156" t="str">
        <f t="shared" si="2016"/>
        <v/>
      </c>
      <c r="EK50" s="155">
        <f t="shared" si="2015"/>
        <v>0</v>
      </c>
      <c r="EL50" s="156" t="str">
        <f t="shared" si="2016"/>
        <v/>
      </c>
      <c r="EM50" s="155">
        <f t="shared" si="2047"/>
        <v>0</v>
      </c>
      <c r="EN50" s="156" t="str">
        <f t="shared" si="2048"/>
        <v/>
      </c>
      <c r="EO50" s="155">
        <f t="shared" si="2047"/>
        <v>9109.4</v>
      </c>
      <c r="EP50" s="156">
        <f t="shared" si="2048"/>
        <v>3.4403268052780644</v>
      </c>
      <c r="EQ50" s="155">
        <f t="shared" si="2047"/>
        <v>0</v>
      </c>
      <c r="ER50" s="156" t="str">
        <f t="shared" si="2048"/>
        <v/>
      </c>
      <c r="ES50" s="155">
        <f t="shared" ref="ES50" si="2176">SUM(ES41,ES44,ES47)</f>
        <v>2814.1</v>
      </c>
      <c r="ET50" s="156">
        <f t="shared" si="2053"/>
        <v>2.6445158309939236</v>
      </c>
      <c r="EU50" s="155">
        <f t="shared" si="2047"/>
        <v>2103.1</v>
      </c>
      <c r="EV50" s="156">
        <f t="shared" si="2048"/>
        <v>2.5423327468974373</v>
      </c>
      <c r="EW50" s="155">
        <f t="shared" ref="EW50" si="2177">SUM(EW41,EW44,EW47)</f>
        <v>0</v>
      </c>
      <c r="EX50" s="156" t="str">
        <f t="shared" si="2057"/>
        <v/>
      </c>
      <c r="EY50" s="155">
        <f t="shared" si="2047"/>
        <v>0</v>
      </c>
      <c r="EZ50" s="156" t="str">
        <f t="shared" si="2048"/>
        <v/>
      </c>
      <c r="FA50" s="155">
        <f t="shared" si="2047"/>
        <v>4278</v>
      </c>
      <c r="FB50" s="156">
        <f t="shared" si="2048"/>
        <v>3.5426671341748488</v>
      </c>
      <c r="FC50" s="155">
        <f t="shared" si="2047"/>
        <v>1687.8</v>
      </c>
      <c r="FD50" s="156">
        <f t="shared" si="2048"/>
        <v>2.3770979973930562</v>
      </c>
      <c r="FE50" s="155">
        <f t="shared" si="2047"/>
        <v>13188.099999999999</v>
      </c>
      <c r="FF50" s="156">
        <f t="shared" si="2048"/>
        <v>2.6002900341974966</v>
      </c>
      <c r="FG50" s="155">
        <f t="shared" si="2047"/>
        <v>714</v>
      </c>
      <c r="FH50" s="156">
        <f t="shared" si="2048"/>
        <v>1.6058963585434176</v>
      </c>
      <c r="FI50" s="155">
        <f t="shared" si="2047"/>
        <v>0</v>
      </c>
      <c r="FJ50" s="156" t="str">
        <f t="shared" si="2048"/>
        <v/>
      </c>
      <c r="FK50" s="155">
        <f t="shared" si="2047"/>
        <v>68</v>
      </c>
      <c r="FL50" s="156">
        <f t="shared" si="2048"/>
        <v>0.79352941176470582</v>
      </c>
      <c r="FM50" s="155">
        <f t="shared" si="2047"/>
        <v>0</v>
      </c>
      <c r="FN50" s="156" t="str">
        <f t="shared" si="2048"/>
        <v/>
      </c>
      <c r="FO50" s="155">
        <f t="shared" si="2047"/>
        <v>0</v>
      </c>
      <c r="FP50" s="156" t="str">
        <f t="shared" si="2048"/>
        <v/>
      </c>
      <c r="FQ50" s="155">
        <f t="shared" si="2047"/>
        <v>0</v>
      </c>
      <c r="FR50" s="156" t="str">
        <f t="shared" si="2048"/>
        <v/>
      </c>
      <c r="FS50" s="155">
        <f t="shared" si="2047"/>
        <v>0</v>
      </c>
      <c r="FT50" s="156" t="str">
        <f t="shared" si="2048"/>
        <v/>
      </c>
      <c r="FU50" s="155">
        <f t="shared" si="2047"/>
        <v>0</v>
      </c>
      <c r="FV50" s="156" t="str">
        <f t="shared" si="2048"/>
        <v/>
      </c>
      <c r="FW50" s="155">
        <f t="shared" si="2082"/>
        <v>0</v>
      </c>
      <c r="FX50" s="156" t="str">
        <f t="shared" si="2083"/>
        <v/>
      </c>
      <c r="FY50" s="155">
        <f t="shared" si="2082"/>
        <v>0</v>
      </c>
      <c r="FZ50" s="156" t="str">
        <f t="shared" si="2083"/>
        <v/>
      </c>
      <c r="GA50" s="155">
        <f t="shared" si="2082"/>
        <v>0</v>
      </c>
      <c r="GB50" s="156" t="str">
        <f t="shared" si="2083"/>
        <v/>
      </c>
      <c r="GC50" s="155">
        <f t="shared" si="2082"/>
        <v>0</v>
      </c>
      <c r="GD50" s="156" t="str">
        <f t="shared" si="2083"/>
        <v/>
      </c>
      <c r="GE50" s="155">
        <f t="shared" si="2082"/>
        <v>0</v>
      </c>
      <c r="GF50" s="156" t="str">
        <f t="shared" si="2083"/>
        <v/>
      </c>
      <c r="GG50" s="155">
        <f t="shared" si="2082"/>
        <v>0</v>
      </c>
      <c r="GH50" s="156" t="str">
        <f t="shared" si="2083"/>
        <v/>
      </c>
      <c r="GI50" s="155">
        <f t="shared" si="2082"/>
        <v>0</v>
      </c>
      <c r="GJ50" s="156" t="str">
        <f t="shared" si="2083"/>
        <v/>
      </c>
      <c r="GK50" s="155">
        <f t="shared" si="2082"/>
        <v>0</v>
      </c>
      <c r="GL50" s="156" t="str">
        <f t="shared" si="2083"/>
        <v/>
      </c>
      <c r="GM50" s="155">
        <f t="shared" si="2082"/>
        <v>0</v>
      </c>
      <c r="GN50" s="156" t="str">
        <f t="shared" si="2083"/>
        <v/>
      </c>
      <c r="GO50" s="155">
        <f t="shared" si="2082"/>
        <v>0</v>
      </c>
      <c r="GP50" s="156" t="str">
        <f t="shared" si="2083"/>
        <v/>
      </c>
      <c r="GQ50" s="155">
        <f t="shared" si="2082"/>
        <v>0</v>
      </c>
      <c r="GR50" s="156" t="str">
        <f t="shared" si="2083"/>
        <v/>
      </c>
      <c r="GS50" s="155">
        <f t="shared" si="2082"/>
        <v>0</v>
      </c>
      <c r="GT50" s="156" t="str">
        <f t="shared" si="2083"/>
        <v/>
      </c>
      <c r="GU50" s="155">
        <f t="shared" si="2082"/>
        <v>0</v>
      </c>
      <c r="GV50" s="156" t="str">
        <f t="shared" si="2083"/>
        <v/>
      </c>
      <c r="GW50" s="155">
        <f t="shared" si="2082"/>
        <v>0</v>
      </c>
      <c r="GX50" s="156" t="str">
        <f t="shared" si="2083"/>
        <v/>
      </c>
      <c r="GY50" s="155">
        <f t="shared" si="2082"/>
        <v>0</v>
      </c>
      <c r="GZ50" s="156" t="str">
        <f t="shared" si="2083"/>
        <v/>
      </c>
      <c r="HA50" s="155">
        <f t="shared" si="2082"/>
        <v>0</v>
      </c>
      <c r="HB50" s="156" t="str">
        <f t="shared" si="2083"/>
        <v/>
      </c>
      <c r="HC50" s="155">
        <f t="shared" si="2114"/>
        <v>0</v>
      </c>
      <c r="HD50" s="156" t="str">
        <f t="shared" si="2115"/>
        <v/>
      </c>
      <c r="HE50" s="155">
        <f t="shared" si="2114"/>
        <v>0</v>
      </c>
      <c r="HF50" s="156" t="str">
        <f t="shared" si="2115"/>
        <v/>
      </c>
      <c r="HG50" s="155">
        <f t="shared" si="2114"/>
        <v>0</v>
      </c>
      <c r="HH50" s="156" t="str">
        <f t="shared" si="2115"/>
        <v/>
      </c>
      <c r="HI50" s="155">
        <f t="shared" si="2114"/>
        <v>0</v>
      </c>
      <c r="HJ50" s="156" t="str">
        <f t="shared" si="2115"/>
        <v/>
      </c>
      <c r="HK50" s="155">
        <f t="shared" si="2114"/>
        <v>0</v>
      </c>
      <c r="HL50" s="156" t="str">
        <f t="shared" si="2115"/>
        <v/>
      </c>
      <c r="HM50" s="155">
        <f t="shared" si="2114"/>
        <v>0</v>
      </c>
      <c r="HN50" s="156" t="str">
        <f t="shared" si="2115"/>
        <v/>
      </c>
      <c r="HO50" s="155">
        <f t="shared" si="2114"/>
        <v>0</v>
      </c>
      <c r="HP50" s="156" t="str">
        <f t="shared" si="2115"/>
        <v/>
      </c>
      <c r="HQ50" s="155">
        <f t="shared" si="2114"/>
        <v>0</v>
      </c>
      <c r="HR50" s="156" t="str">
        <f t="shared" si="2115"/>
        <v/>
      </c>
      <c r="HS50" s="155">
        <f t="shared" si="2114"/>
        <v>0</v>
      </c>
      <c r="HT50" s="156" t="str">
        <f t="shared" si="2115"/>
        <v/>
      </c>
      <c r="HU50" s="155">
        <f t="shared" si="2114"/>
        <v>0</v>
      </c>
      <c r="HV50" s="156" t="str">
        <f t="shared" si="2115"/>
        <v/>
      </c>
      <c r="HW50" s="155">
        <f t="shared" si="2114"/>
        <v>0</v>
      </c>
      <c r="HX50" s="156" t="str">
        <f t="shared" si="2115"/>
        <v/>
      </c>
      <c r="HY50" s="155">
        <f t="shared" si="2114"/>
        <v>0</v>
      </c>
      <c r="HZ50" s="156" t="str">
        <f t="shared" si="2115"/>
        <v/>
      </c>
      <c r="IA50" s="155">
        <f t="shared" si="2114"/>
        <v>0</v>
      </c>
      <c r="IB50" s="156" t="str">
        <f t="shared" si="2115"/>
        <v/>
      </c>
      <c r="IC50" s="155">
        <f t="shared" si="2114"/>
        <v>0</v>
      </c>
      <c r="ID50" s="156" t="str">
        <f t="shared" si="2115"/>
        <v/>
      </c>
      <c r="IE50" s="155">
        <f t="shared" si="2114"/>
        <v>0</v>
      </c>
      <c r="IF50" s="156" t="str">
        <f t="shared" si="2115"/>
        <v/>
      </c>
      <c r="IG50" s="155">
        <f t="shared" si="2114"/>
        <v>0</v>
      </c>
      <c r="IH50" s="156" t="str">
        <f t="shared" si="2115"/>
        <v/>
      </c>
      <c r="II50" s="155">
        <f t="shared" si="2146"/>
        <v>0</v>
      </c>
      <c r="IJ50" s="156" t="str">
        <f t="shared" si="2147"/>
        <v/>
      </c>
      <c r="IK50" s="155">
        <f t="shared" si="2146"/>
        <v>0</v>
      </c>
      <c r="IL50" s="156" t="str">
        <f t="shared" si="2147"/>
        <v/>
      </c>
      <c r="IM50" s="155">
        <f t="shared" si="2146"/>
        <v>0</v>
      </c>
      <c r="IN50" s="156" t="str">
        <f t="shared" si="2147"/>
        <v/>
      </c>
      <c r="IO50" s="155">
        <f t="shared" si="2146"/>
        <v>0</v>
      </c>
      <c r="IP50" s="156" t="str">
        <f t="shared" si="2147"/>
        <v/>
      </c>
      <c r="IQ50" s="155">
        <f t="shared" si="2146"/>
        <v>0</v>
      </c>
      <c r="IR50" s="156" t="str">
        <f t="shared" si="2147"/>
        <v/>
      </c>
      <c r="IS50" s="155">
        <f t="shared" si="2146"/>
        <v>0</v>
      </c>
      <c r="IT50" s="156" t="str">
        <f t="shared" si="2147"/>
        <v/>
      </c>
      <c r="IU50" s="155">
        <f t="shared" si="2146"/>
        <v>0</v>
      </c>
      <c r="IV50" s="156" t="str">
        <f t="shared" si="2147"/>
        <v/>
      </c>
      <c r="IW50" s="155">
        <f t="shared" si="2146"/>
        <v>0</v>
      </c>
      <c r="IX50" s="156" t="str">
        <f t="shared" si="2147"/>
        <v/>
      </c>
      <c r="IY50" s="155">
        <f t="shared" si="2146"/>
        <v>0</v>
      </c>
      <c r="IZ50" s="156" t="str">
        <f t="shared" si="2147"/>
        <v/>
      </c>
    </row>
    <row r="51" spans="1:260" x14ac:dyDescent="0.25">
      <c r="A51" s="1589">
        <v>45748</v>
      </c>
      <c r="B51" s="162" t="s">
        <v>218</v>
      </c>
      <c r="C51" s="163" cm="1">
        <f t="array" ref="C51">SUM(_xlfn._xlws.FILTER(E51:IZ51, MOD(COLUMN(E51:IZ51)-COLUMN(E51)+1,2)=1))</f>
        <v>22771</v>
      </c>
      <c r="D51" s="164" cm="1">
        <f t="array" ref="D51">SUMPRODUCT(_xlfn._xlws.FILTER(E51:IZ51, MOD(COLUMN(E51:IZ51)-COLUMN(E51)+1,2)=1), _xlfn._xlws.FILTER(E51:IZ51, MOD(COLUMN(E51:IZ51)-COLUMN(E51)+1,2)=0))/C51</f>
        <v>2.324749022879979</v>
      </c>
      <c r="E51" s="165">
        <f>INDEX('STOPE SUMMARY PIVOT'!$D$1922:$D$2049, MATCH(E$1,'STOPE SUMMARY PIVOT'!$A$1922:$A$2049, 0))</f>
        <v>0</v>
      </c>
      <c r="F51" s="174">
        <f>INDEX('STOPE SUMMARY PIVOT'!$E$1922:$E$2049, MATCH(E$1,'STOPE SUMMARY PIVOT'!$A$1922:$A$2049, 0))</f>
        <v>0</v>
      </c>
      <c r="G51" s="165">
        <f>INDEX('STOPE SUMMARY PIVOT'!$D$1922:$D$2049, MATCH(G$1,'STOPE SUMMARY PIVOT'!$A$1922:$A$2049, 0))</f>
        <v>0</v>
      </c>
      <c r="H51" s="174">
        <f>INDEX('STOPE SUMMARY PIVOT'!$E$1922:$E$2049, MATCH(G$1,'STOPE SUMMARY PIVOT'!$A$1922:$A$2049, 0))</f>
        <v>0</v>
      </c>
      <c r="I51" s="165">
        <f>INDEX('STOPE SUMMARY PIVOT'!$D$1922:$D$2049, MATCH(I$1,'STOPE SUMMARY PIVOT'!$A$1922:$A$2049, 0))</f>
        <v>0</v>
      </c>
      <c r="J51" s="166">
        <f>INDEX('STOPE SUMMARY PIVOT'!$E$1922:$E$2049, MATCH(I$1,'STOPE SUMMARY PIVOT'!$A$1922:$A$2049, 0))</f>
        <v>0</v>
      </c>
      <c r="K51" s="165">
        <f>INDEX('STOPE SUMMARY PIVOT'!$D$1922:$D$2049, MATCH(K$1,'STOPE SUMMARY PIVOT'!$A$1922:$A$2049, 0))</f>
        <v>0</v>
      </c>
      <c r="L51" s="166">
        <f>INDEX('STOPE SUMMARY PIVOT'!$E$1922:$E$2049, MATCH(K$1,'STOPE SUMMARY PIVOT'!$A$1922:$A$2049, 0))</f>
        <v>0</v>
      </c>
      <c r="M51" s="165">
        <f>INDEX('STOPE SUMMARY PIVOT'!$D$1922:$D$2049, MATCH(M$1,'STOPE SUMMARY PIVOT'!$A$1922:$A$2049, 0))</f>
        <v>0</v>
      </c>
      <c r="N51" s="166">
        <f>INDEX('STOPE SUMMARY PIVOT'!$E$1922:$E$2049, MATCH(M$1,'STOPE SUMMARY PIVOT'!$A$1922:$A$2049, 0))</f>
        <v>0</v>
      </c>
      <c r="O51" s="165">
        <f>INDEX('STOPE SUMMARY PIVOT'!$D$1922:$D$2049, MATCH(O$1,'STOPE SUMMARY PIVOT'!$A$1922:$A$2049, 0))</f>
        <v>0</v>
      </c>
      <c r="P51" s="166">
        <f>INDEX('STOPE SUMMARY PIVOT'!$E$1922:$E$2049, MATCH(O$1,'STOPE SUMMARY PIVOT'!$A$1922:$A$2049, 0))</f>
        <v>0</v>
      </c>
      <c r="Q51" s="165">
        <f>INDEX('STOPE SUMMARY PIVOT'!$D$1922:$D$2049, MATCH(Q$1,'STOPE SUMMARY PIVOT'!$A$1922:$A$2049, 0))</f>
        <v>0</v>
      </c>
      <c r="R51" s="166">
        <f>INDEX('STOPE SUMMARY PIVOT'!$E$1922:$E$2049, MATCH(Q$1,'STOPE SUMMARY PIVOT'!$A$1922:$A$2049, 0))</f>
        <v>0</v>
      </c>
      <c r="S51" s="165">
        <f>INDEX('STOPE SUMMARY PIVOT'!$D$1922:$D$2049, MATCH(S$1,'STOPE SUMMARY PIVOT'!$A$1922:$A$2049, 0))</f>
        <v>0</v>
      </c>
      <c r="T51" s="166">
        <f>INDEX('STOPE SUMMARY PIVOT'!$E$1922:$E$2049, MATCH(S$1,'STOPE SUMMARY PIVOT'!$A$1922:$A$2049, 0))</f>
        <v>0</v>
      </c>
      <c r="U51" s="165">
        <f>INDEX('STOPE SUMMARY PIVOT'!$D$1922:$D$2049, MATCH(U$1,'STOPE SUMMARY PIVOT'!$A$1922:$A$2049, 0))</f>
        <v>0</v>
      </c>
      <c r="V51" s="174">
        <f>INDEX('STOPE SUMMARY PIVOT'!$E$1922:$E$2049, MATCH(U$1,'STOPE SUMMARY PIVOT'!$A$1922:$A$2049, 0))</f>
        <v>0</v>
      </c>
      <c r="W51" s="165">
        <f>INDEX('STOPE SUMMARY PIVOT'!$D$1922:$D$2049, MATCH(W$1,'STOPE SUMMARY PIVOT'!$A$1922:$A$2049, 0))</f>
        <v>0</v>
      </c>
      <c r="X51" s="174">
        <f>INDEX('STOPE SUMMARY PIVOT'!$E$1922:$E$2049, MATCH(W$1,'STOPE SUMMARY PIVOT'!$A$1922:$A$2049, 0))</f>
        <v>0</v>
      </c>
      <c r="Y51" s="165">
        <f>INDEX('STOPE SUMMARY PIVOT'!$D$1922:$D$2049, MATCH(Y$1,'STOPE SUMMARY PIVOT'!$A$1922:$A$2049, 0))</f>
        <v>2584</v>
      </c>
      <c r="Z51" s="174">
        <f>INDEX('STOPE SUMMARY PIVOT'!$E$1922:$E$2049, MATCH(Y$1,'STOPE SUMMARY PIVOT'!$A$1922:$A$2049, 0))</f>
        <v>2.5499999999999998</v>
      </c>
      <c r="AA51" s="165">
        <f>INDEX('STOPE SUMMARY PIVOT'!$D$1922:$D$2049, MATCH(AA$1,'STOPE SUMMARY PIVOT'!$A$1922:$A$2049, 0))</f>
        <v>1496</v>
      </c>
      <c r="AB51" s="174">
        <f>INDEX('STOPE SUMMARY PIVOT'!$E$1922:$E$2049, MATCH(AA$1,'STOPE SUMMARY PIVOT'!$A$1922:$A$2049, 0))</f>
        <v>0.8</v>
      </c>
      <c r="AC51" s="165">
        <f>INDEX('STOPE SUMMARY PIVOT'!$D$1922:$D$2049, MATCH(AC$1,'STOPE SUMMARY PIVOT'!$A$1922:$A$2049, 0))</f>
        <v>1723</v>
      </c>
      <c r="AD51" s="174">
        <f>INDEX('STOPE SUMMARY PIVOT'!$E$1922:$E$2049, MATCH(AC$1,'STOPE SUMMARY PIVOT'!$A$1922:$A$2049, 0))</f>
        <v>1.72</v>
      </c>
      <c r="AE51" s="165">
        <f>INDEX('STOPE SUMMARY PIVOT'!$D$1922:$D$2049, MATCH(AE$1,'STOPE SUMMARY PIVOT'!$A$1922:$A$2049, 0))</f>
        <v>0</v>
      </c>
      <c r="AF51" s="174">
        <f>INDEX('STOPE SUMMARY PIVOT'!$E$1922:$E$2049, MATCH(AE$1,'STOPE SUMMARY PIVOT'!$A$1922:$A$2049, 0))</f>
        <v>0</v>
      </c>
      <c r="AG51" s="165">
        <f>INDEX('STOPE SUMMARY PIVOT'!$D$1922:$D$2049, MATCH(AG$1,'STOPE SUMMARY PIVOT'!$A$1922:$A$2049, 0))</f>
        <v>0</v>
      </c>
      <c r="AH51" s="174">
        <f>INDEX('STOPE SUMMARY PIVOT'!$E$1922:$E$2049, MATCH(AG$1,'STOPE SUMMARY PIVOT'!$A$1922:$A$2049, 0))</f>
        <v>0</v>
      </c>
      <c r="AI51" s="165">
        <f>INDEX('STOPE SUMMARY PIVOT'!$D$1922:$D$2049, MATCH(AI$1,'STOPE SUMMARY PIVOT'!$A$1922:$A$2049, 0))</f>
        <v>0</v>
      </c>
      <c r="AJ51" s="174">
        <f>INDEX('STOPE SUMMARY PIVOT'!$E$1922:$E$2049, MATCH(AI$1,'STOPE SUMMARY PIVOT'!$A$1922:$A$2049, 0))</f>
        <v>0</v>
      </c>
      <c r="AK51" s="165">
        <f>INDEX('STOPE SUMMARY PIVOT'!$D$1922:$D$2049, MATCH(AK$1,'STOPE SUMMARY PIVOT'!$A$1922:$A$2049, 0))</f>
        <v>0</v>
      </c>
      <c r="AL51" s="174">
        <f>INDEX('STOPE SUMMARY PIVOT'!$E$1922:$E$2049, MATCH(AK$1,'STOPE SUMMARY PIVOT'!$A$1922:$A$2049, 0))</f>
        <v>0</v>
      </c>
      <c r="AM51" s="165">
        <f>INDEX('STOPE SUMMARY PIVOT'!$D$1922:$D$2049, MATCH(AM$1,'STOPE SUMMARY PIVOT'!$A$1922:$A$2049, 0))</f>
        <v>0</v>
      </c>
      <c r="AN51" s="174">
        <f>INDEX('STOPE SUMMARY PIVOT'!$E$1922:$E$2049, MATCH(AM$1,'STOPE SUMMARY PIVOT'!$A$1922:$A$2049, 0))</f>
        <v>0</v>
      </c>
      <c r="AO51" s="165">
        <f>INDEX('STOPE SUMMARY PIVOT'!$D$1922:$D$2049, MATCH(AO$1,'STOPE SUMMARY PIVOT'!$A$1922:$A$2049, 0))</f>
        <v>0</v>
      </c>
      <c r="AP51" s="174">
        <f>INDEX('STOPE SUMMARY PIVOT'!$E$1922:$E$2049, MATCH(AO$1,'STOPE SUMMARY PIVOT'!$A$1922:$A$2049, 0))</f>
        <v>0</v>
      </c>
      <c r="AQ51" s="165">
        <f>INDEX('STOPE SUMMARY PIVOT'!$D$1922:$D$2049, MATCH(AQ$1,'STOPE SUMMARY PIVOT'!$A$1922:$A$2049, 0))</f>
        <v>0</v>
      </c>
      <c r="AR51" s="174">
        <f>INDEX('STOPE SUMMARY PIVOT'!$E$1922:$E$2049, MATCH(AQ$1,'STOPE SUMMARY PIVOT'!$A$1922:$A$2049, 0))</f>
        <v>0</v>
      </c>
      <c r="AS51" s="165">
        <f>INDEX('STOPE SUMMARY PIVOT'!$D$1922:$D$2049, MATCH(AS$1,'STOPE SUMMARY PIVOT'!$A$1922:$A$2049, 0))</f>
        <v>0</v>
      </c>
      <c r="AT51" s="174">
        <f>INDEX('STOPE SUMMARY PIVOT'!$E$1922:$E$2049, MATCH(AS$1,'STOPE SUMMARY PIVOT'!$A$1922:$A$2049, 0))</f>
        <v>0</v>
      </c>
      <c r="AU51" s="165">
        <f>INDEX('STOPE SUMMARY PIVOT'!$D$1922:$D$2049, MATCH(AU$1,'STOPE SUMMARY PIVOT'!$A$1922:$A$2049, 0))</f>
        <v>0</v>
      </c>
      <c r="AV51" s="174">
        <f>INDEX('STOPE SUMMARY PIVOT'!$E$1922:$E$2049, MATCH(AU$1,'STOPE SUMMARY PIVOT'!$A$1922:$A$2049, 0))</f>
        <v>0</v>
      </c>
      <c r="AW51" s="165">
        <f>INDEX('STOPE SUMMARY PIVOT'!$D$1922:$D$2049, MATCH(AW$1,'STOPE SUMMARY PIVOT'!$A$1922:$A$2049, 0))</f>
        <v>0</v>
      </c>
      <c r="AX51" s="174">
        <f>INDEX('STOPE SUMMARY PIVOT'!$E$1922:$E$2049, MATCH(AW$1,'STOPE SUMMARY PIVOT'!$A$1922:$A$2049, 0))</f>
        <v>0</v>
      </c>
      <c r="AY51" s="165">
        <f>INDEX('STOPE SUMMARY PIVOT'!$D$1922:$D$2049, MATCH(AY$1,'STOPE SUMMARY PIVOT'!$A$1922:$A$2049, 0))</f>
        <v>0</v>
      </c>
      <c r="AZ51" s="174">
        <f>INDEX('STOPE SUMMARY PIVOT'!$E$1922:$E$2049, MATCH(AY$1,'STOPE SUMMARY PIVOT'!$A$1922:$A$2049, 0))</f>
        <v>0</v>
      </c>
      <c r="BA51" s="165">
        <f>INDEX('STOPE SUMMARY PIVOT'!$D$1922:$D$2049, MATCH(BA$1,'STOPE SUMMARY PIVOT'!$A$1922:$A$2049, 0))</f>
        <v>0</v>
      </c>
      <c r="BB51" s="174">
        <f>INDEX('STOPE SUMMARY PIVOT'!$E$1922:$E$2049, MATCH(BA$1,'STOPE SUMMARY PIVOT'!$A$1922:$A$2049, 0))</f>
        <v>0</v>
      </c>
      <c r="BC51" s="165">
        <f>INDEX('STOPE SUMMARY PIVOT'!$D$1922:$D$2049, MATCH(BC$1,'STOPE SUMMARY PIVOT'!$A$1922:$A$2049, 0))</f>
        <v>0</v>
      </c>
      <c r="BD51" s="174">
        <f>INDEX('STOPE SUMMARY PIVOT'!$E$1922:$E$2049, MATCH(BC$1,'STOPE SUMMARY PIVOT'!$A$1922:$A$2049, 0))</f>
        <v>0</v>
      </c>
      <c r="BE51" s="165">
        <f>INDEX('STOPE SUMMARY PIVOT'!$D$1922:$D$2049, MATCH(BE$1,'STOPE SUMMARY PIVOT'!$A$1922:$A$2049, 0))</f>
        <v>0</v>
      </c>
      <c r="BF51" s="174">
        <f>INDEX('STOPE SUMMARY PIVOT'!$E$1922:$E$2049, MATCH(BE$1,'STOPE SUMMARY PIVOT'!$A$1922:$A$2049, 0))</f>
        <v>0</v>
      </c>
      <c r="BG51" s="165">
        <f>INDEX('STOPE SUMMARY PIVOT'!$D$1922:$D$2049, MATCH(BG$1,'STOPE SUMMARY PIVOT'!$A$1922:$A$2049, 0))</f>
        <v>0</v>
      </c>
      <c r="BH51" s="174">
        <f>INDEX('STOPE SUMMARY PIVOT'!$E$1922:$E$2049, MATCH(BG$1,'STOPE SUMMARY PIVOT'!$A$1922:$A$2049, 0))</f>
        <v>0</v>
      </c>
      <c r="BI51" s="165">
        <f>INDEX('STOPE SUMMARY PIVOT'!$D$1922:$D$2049, MATCH(BI$1,'STOPE SUMMARY PIVOT'!$A$1922:$A$2049, 0))</f>
        <v>0</v>
      </c>
      <c r="BJ51" s="174">
        <f>INDEX('STOPE SUMMARY PIVOT'!$E$1922:$E$2049, MATCH(BI$1,'STOPE SUMMARY PIVOT'!$A$1922:$A$2049, 0))</f>
        <v>0</v>
      </c>
      <c r="BK51" s="165">
        <f>INDEX('STOPE SUMMARY PIVOT'!$D$1922:$D$2049, MATCH(BK$1,'STOPE SUMMARY PIVOT'!$A$1922:$A$2049, 0))</f>
        <v>0</v>
      </c>
      <c r="BL51" s="174">
        <f>INDEX('STOPE SUMMARY PIVOT'!$E$1922:$E$2049, MATCH(BK$1,'STOPE SUMMARY PIVOT'!$A$1922:$A$2049, 0))</f>
        <v>0</v>
      </c>
      <c r="BM51" s="165">
        <f>INDEX('STOPE SUMMARY PIVOT'!$D$1922:$D$2049, MATCH(BM$1,'STOPE SUMMARY PIVOT'!$A$1922:$A$2049, 0))</f>
        <v>0</v>
      </c>
      <c r="BN51" s="174">
        <f>INDEX('STOPE SUMMARY PIVOT'!$E$1922:$E$2049, MATCH(BM$1,'STOPE SUMMARY PIVOT'!$A$1922:$A$2049, 0))</f>
        <v>0</v>
      </c>
      <c r="BO51" s="165">
        <f>INDEX('STOPE SUMMARY PIVOT'!$D$1922:$D$2049, MATCH(BO$1,'STOPE SUMMARY PIVOT'!$A$1922:$A$2049, 0))</f>
        <v>0</v>
      </c>
      <c r="BP51" s="174">
        <f>INDEX('STOPE SUMMARY PIVOT'!$E$1922:$E$2049, MATCH(BO$1,'STOPE SUMMARY PIVOT'!$A$1922:$A$2049, 0))</f>
        <v>0</v>
      </c>
      <c r="BQ51" s="165">
        <f>INDEX('STOPE SUMMARY PIVOT'!$D$1922:$D$2049, MATCH(BQ$1,'STOPE SUMMARY PIVOT'!$A$1922:$A$2049, 0))</f>
        <v>0</v>
      </c>
      <c r="BR51" s="174">
        <f>INDEX('STOPE SUMMARY PIVOT'!$E$1922:$E$2049, MATCH(BQ$1,'STOPE SUMMARY PIVOT'!$A$1922:$A$2049, 0))</f>
        <v>0</v>
      </c>
      <c r="BS51" s="165">
        <f>INDEX('STOPE SUMMARY PIVOT'!$D$1922:$D$2049, MATCH(BS$1,'STOPE SUMMARY PIVOT'!$A$1922:$A$2049, 0))</f>
        <v>0</v>
      </c>
      <c r="BT51" s="174">
        <f>INDEX('STOPE SUMMARY PIVOT'!$E$1922:$E$2049, MATCH(BS$1,'STOPE SUMMARY PIVOT'!$A$1922:$A$2049, 0))</f>
        <v>0</v>
      </c>
      <c r="BU51" s="165">
        <f>INDEX('STOPE SUMMARY PIVOT'!$D$1922:$D$2049, MATCH(BU$1,'STOPE SUMMARY PIVOT'!$A$1922:$A$2049, 0))</f>
        <v>1873</v>
      </c>
      <c r="BV51" s="174">
        <f>INDEX('STOPE SUMMARY PIVOT'!$E$1922:$E$2049, MATCH(BU$1,'STOPE SUMMARY PIVOT'!$A$1922:$A$2049, 0))</f>
        <v>1.4</v>
      </c>
      <c r="BW51" s="165">
        <f>INDEX('STOPE SUMMARY PIVOT'!$D$1922:$D$2049, MATCH(BW$1,'STOPE SUMMARY PIVOT'!$A$1922:$A$2049, 0))</f>
        <v>0</v>
      </c>
      <c r="BX51" s="174">
        <f>INDEX('STOPE SUMMARY PIVOT'!$E$1922:$E$2049, MATCH(BW$1,'STOPE SUMMARY PIVOT'!$A$1922:$A$2049, 0))</f>
        <v>0</v>
      </c>
      <c r="BY51" s="165">
        <f>INDEX('STOPE SUMMARY PIVOT'!$D$1922:$D$2049, MATCH(BY$1,'STOPE SUMMARY PIVOT'!$A$1922:$A$2049, 0))</f>
        <v>0</v>
      </c>
      <c r="BZ51" s="174">
        <f>INDEX('STOPE SUMMARY PIVOT'!$E$1922:$E$2049, MATCH(BY$1,'STOPE SUMMARY PIVOT'!$A$1922:$A$2049, 0))</f>
        <v>0</v>
      </c>
      <c r="CA51" s="165">
        <f>INDEX('STOPE SUMMARY PIVOT'!$D$1922:$D$2049, MATCH(CA$1,'STOPE SUMMARY PIVOT'!$A$1922:$A$2049, 0))</f>
        <v>0</v>
      </c>
      <c r="CB51" s="174">
        <f>INDEX('STOPE SUMMARY PIVOT'!$E$1922:$E$2049, MATCH(CA$1,'STOPE SUMMARY PIVOT'!$A$1922:$A$2049, 0))</f>
        <v>0</v>
      </c>
      <c r="CC51" s="165">
        <f>INDEX('STOPE SUMMARY PIVOT'!$D$1922:$D$2049, MATCH(CC$1,'STOPE SUMMARY PIVOT'!$A$1922:$A$2049, 0))</f>
        <v>0</v>
      </c>
      <c r="CD51" s="174">
        <f>INDEX('STOPE SUMMARY PIVOT'!$E$1922:$E$2049, MATCH(CC$1,'STOPE SUMMARY PIVOT'!$A$1922:$A$2049, 0))</f>
        <v>0</v>
      </c>
      <c r="CE51" s="165">
        <f>INDEX('STOPE SUMMARY PIVOT'!$D$1922:$D$2049, MATCH(CE$1,'STOPE SUMMARY PIVOT'!$A$1922:$A$2049, 0))</f>
        <v>0</v>
      </c>
      <c r="CF51" s="174">
        <f>INDEX('STOPE SUMMARY PIVOT'!$E$1922:$E$2049, MATCH(CE$1,'STOPE SUMMARY PIVOT'!$A$1922:$A$2049, 0))</f>
        <v>0</v>
      </c>
      <c r="CG51" s="165">
        <f>INDEX('STOPE SUMMARY PIVOT'!$D$1922:$D$2049, MATCH(CG$1,'STOPE SUMMARY PIVOT'!$A$1922:$A$2049, 0))</f>
        <v>0</v>
      </c>
      <c r="CH51" s="174">
        <f>INDEX('STOPE SUMMARY PIVOT'!$E$1922:$E$2049, MATCH(CG$1,'STOPE SUMMARY PIVOT'!$A$1922:$A$2049, 0))</f>
        <v>0</v>
      </c>
      <c r="CI51" s="165">
        <f>INDEX('STOPE SUMMARY PIVOT'!$D$1922:$D$2049, MATCH(CI$1,'STOPE SUMMARY PIVOT'!$A$1922:$A$2049, 0))</f>
        <v>0</v>
      </c>
      <c r="CJ51" s="174">
        <f>INDEX('STOPE SUMMARY PIVOT'!$E$1922:$E$2049, MATCH(CI$1,'STOPE SUMMARY PIVOT'!$A$1922:$A$2049, 0))</f>
        <v>0</v>
      </c>
      <c r="CK51" s="165">
        <f>INDEX('STOPE SUMMARY PIVOT'!$D$1922:$D$2049, MATCH(CK$1,'STOPE SUMMARY PIVOT'!$A$1922:$A$2049, 0))</f>
        <v>0</v>
      </c>
      <c r="CL51" s="174">
        <f>INDEX('STOPE SUMMARY PIVOT'!$E$1922:$E$2049, MATCH(CK$1,'STOPE SUMMARY PIVOT'!$A$1922:$A$2049, 0))</f>
        <v>0</v>
      </c>
      <c r="CM51" s="165">
        <f>INDEX('STOPE SUMMARY PIVOT'!$D$1922:$D$2049, MATCH(CM$1,'STOPE SUMMARY PIVOT'!$A$1922:$A$2049, 0))</f>
        <v>0</v>
      </c>
      <c r="CN51" s="174">
        <f>INDEX('STOPE SUMMARY PIVOT'!$E$1922:$E$2049, MATCH(CM$1,'STOPE SUMMARY PIVOT'!$A$1922:$A$2049, 0))</f>
        <v>0</v>
      </c>
      <c r="CO51" s="165">
        <f>INDEX('STOPE SUMMARY PIVOT'!$D$1922:$D$2049, MATCH(CO$1,'STOPE SUMMARY PIVOT'!$A$1922:$A$2049, 0))</f>
        <v>0</v>
      </c>
      <c r="CP51" s="174">
        <f>INDEX('STOPE SUMMARY PIVOT'!$E$1922:$E$2049, MATCH(CO$1,'STOPE SUMMARY PIVOT'!$A$1922:$A$2049, 0))</f>
        <v>0</v>
      </c>
      <c r="CQ51" s="165">
        <f>INDEX('STOPE SUMMARY PIVOT'!$D$1922:$D$2049, MATCH(CQ$1,'STOPE SUMMARY PIVOT'!$A$1922:$A$2049, 0))</f>
        <v>0</v>
      </c>
      <c r="CR51" s="174">
        <f>INDEX('STOPE SUMMARY PIVOT'!$E$1922:$E$2049, MATCH(CQ$1,'STOPE SUMMARY PIVOT'!$A$1922:$A$2049, 0))</f>
        <v>0</v>
      </c>
      <c r="CS51" s="165">
        <f>INDEX('STOPE SUMMARY PIVOT'!$D$1922:$D$2049, MATCH(CS$1,'STOPE SUMMARY PIVOT'!$A$1922:$A$2049, 0))</f>
        <v>0</v>
      </c>
      <c r="CT51" s="174">
        <f>INDEX('STOPE SUMMARY PIVOT'!$E$1922:$E$2049, MATCH(CS$1,'STOPE SUMMARY PIVOT'!$A$1922:$A$2049, 0))</f>
        <v>0</v>
      </c>
      <c r="CU51" s="165">
        <f>INDEX('STOPE SUMMARY PIVOT'!$D$1922:$D$2049, MATCH(CU$1,'STOPE SUMMARY PIVOT'!$A$1922:$A$2049, 0))</f>
        <v>0</v>
      </c>
      <c r="CV51" s="174">
        <f>INDEX('STOPE SUMMARY PIVOT'!$E$1922:$E$2049, MATCH(CU$1,'STOPE SUMMARY PIVOT'!$A$1922:$A$2049, 0))</f>
        <v>0</v>
      </c>
      <c r="CW51" s="165">
        <f>INDEX('STOPE SUMMARY PIVOT'!$D$1922:$D$2049, MATCH(CW$1,'STOPE SUMMARY PIVOT'!$A$1922:$A$2049, 0))</f>
        <v>0</v>
      </c>
      <c r="CX51" s="174">
        <f>INDEX('STOPE SUMMARY PIVOT'!$E$1922:$E$2049, MATCH(CW$1,'STOPE SUMMARY PIVOT'!$A$1922:$A$2049, 0))</f>
        <v>0</v>
      </c>
      <c r="CY51" s="165">
        <f>INDEX('STOPE SUMMARY PIVOT'!$D$1922:$D$2049, MATCH(CY$1,'STOPE SUMMARY PIVOT'!$A$1922:$A$2049, 0))</f>
        <v>0</v>
      </c>
      <c r="CZ51" s="174">
        <f>INDEX('STOPE SUMMARY PIVOT'!$E$1922:$E$2049, MATCH(CY$1,'STOPE SUMMARY PIVOT'!$A$1922:$A$2049, 0))</f>
        <v>0</v>
      </c>
      <c r="DA51" s="165">
        <f>INDEX('STOPE SUMMARY PIVOT'!$D$1922:$D$2049, MATCH(DA$1,'STOPE SUMMARY PIVOT'!$A$1922:$A$2049, 0))</f>
        <v>0</v>
      </c>
      <c r="DB51" s="174">
        <f>INDEX('STOPE SUMMARY PIVOT'!$E$1922:$E$2049, MATCH(DA$1,'STOPE SUMMARY PIVOT'!$A$1922:$A$2049, 0))</f>
        <v>0</v>
      </c>
      <c r="DC51" s="165">
        <f>INDEX('STOPE SUMMARY PIVOT'!$D$1922:$D$2049, MATCH(DC$1,'STOPE SUMMARY PIVOT'!$A$1922:$A$2049, 0))</f>
        <v>0</v>
      </c>
      <c r="DD51" s="174">
        <f>INDEX('STOPE SUMMARY PIVOT'!$E$1922:$E$2049, MATCH(DC$1,'STOPE SUMMARY PIVOT'!$A$1922:$A$2049, 0))</f>
        <v>0</v>
      </c>
      <c r="DE51" s="165">
        <f>INDEX('STOPE SUMMARY PIVOT'!$D$1922:$D$2049, MATCH(DE$1,'STOPE SUMMARY PIVOT'!$A$1922:$A$2049, 0))</f>
        <v>0</v>
      </c>
      <c r="DF51" s="174">
        <f>INDEX('STOPE SUMMARY PIVOT'!$E$1922:$E$2049, MATCH(DE$1,'STOPE SUMMARY PIVOT'!$A$1922:$A$2049, 0))</f>
        <v>0</v>
      </c>
      <c r="DG51" s="165">
        <f>INDEX('STOPE SUMMARY PIVOT'!$D$1922:$D$2049, MATCH(DG$1,'STOPE SUMMARY PIVOT'!$A$1922:$A$2049, 0))</f>
        <v>0</v>
      </c>
      <c r="DH51" s="174">
        <f>INDEX('STOPE SUMMARY PIVOT'!$E$1922:$E$2049, MATCH(DG$1,'STOPE SUMMARY PIVOT'!$A$1922:$A$2049, 0))</f>
        <v>0</v>
      </c>
      <c r="DI51" s="165">
        <f>INDEX('STOPE SUMMARY PIVOT'!$D$1922:$D$2049, MATCH(DI$1,'STOPE SUMMARY PIVOT'!$A$1922:$A$2049, 0))</f>
        <v>0</v>
      </c>
      <c r="DJ51" s="174">
        <f>INDEX('STOPE SUMMARY PIVOT'!$E$1922:$E$2049, MATCH(DI$1,'STOPE SUMMARY PIVOT'!$A$1922:$A$2049, 0))</f>
        <v>0</v>
      </c>
      <c r="DK51" s="165">
        <f>INDEX('STOPE SUMMARY PIVOT'!$D$1922:$D$2049, MATCH(DK$1,'STOPE SUMMARY PIVOT'!$A$1922:$A$2049, 0))</f>
        <v>0</v>
      </c>
      <c r="DL51" s="174">
        <f>INDEX('STOPE SUMMARY PIVOT'!$E$1922:$E$2049, MATCH(DK$1,'STOPE SUMMARY PIVOT'!$A$1922:$A$2049, 0))</f>
        <v>0</v>
      </c>
      <c r="DM51" s="165">
        <f>INDEX('STOPE SUMMARY PIVOT'!$D$1922:$D$2049, MATCH(DM$1,'STOPE SUMMARY PIVOT'!$A$1922:$A$2049, 0))</f>
        <v>0</v>
      </c>
      <c r="DN51" s="174">
        <f>INDEX('STOPE SUMMARY PIVOT'!$E$1922:$E$2049, MATCH(DM$1,'STOPE SUMMARY PIVOT'!$A$1922:$A$2049, 0))</f>
        <v>0</v>
      </c>
      <c r="DO51" s="165">
        <f>INDEX('STOPE SUMMARY PIVOT'!$D$1922:$D$2049, MATCH(DO$1,'STOPE SUMMARY PIVOT'!$A$1922:$A$2049, 0))</f>
        <v>0</v>
      </c>
      <c r="DP51" s="174">
        <f>INDEX('STOPE SUMMARY PIVOT'!$E$1922:$E$2049, MATCH(DO$1,'STOPE SUMMARY PIVOT'!$A$1922:$A$2049, 0))</f>
        <v>0</v>
      </c>
      <c r="DQ51" s="165">
        <f>INDEX('STOPE SUMMARY PIVOT'!$D$1922:$D$2049, MATCH(DQ$1,'STOPE SUMMARY PIVOT'!$A$1922:$A$2049, 0))</f>
        <v>1147</v>
      </c>
      <c r="DR51" s="174">
        <f>INDEX('STOPE SUMMARY PIVOT'!$E$1922:$E$2049, MATCH(DQ$1,'STOPE SUMMARY PIVOT'!$A$1922:$A$2049, 0))</f>
        <v>0.69</v>
      </c>
      <c r="DS51" s="165">
        <f>INDEX('STOPE SUMMARY PIVOT'!$D$1922:$D$2049, MATCH(DS$1,'STOPE SUMMARY PIVOT'!$A$1922:$A$2049, 0))</f>
        <v>1872</v>
      </c>
      <c r="DT51" s="174">
        <f>INDEX('STOPE SUMMARY PIVOT'!$E$1922:$E$2049, MATCH(DS$1,'STOPE SUMMARY PIVOT'!$A$1922:$A$2049, 0))</f>
        <v>3.3</v>
      </c>
      <c r="DU51" s="165">
        <f>INDEX('STOPE SUMMARY PIVOT'!$D$1922:$D$2049, MATCH(DU$1,'STOPE SUMMARY PIVOT'!$A$1922:$A$2049, 0))</f>
        <v>725</v>
      </c>
      <c r="DV51" s="174">
        <f>INDEX('STOPE SUMMARY PIVOT'!$E$1922:$E$2049, MATCH(DU$1,'STOPE SUMMARY PIVOT'!$A$1922:$A$2049, 0))</f>
        <v>3.97</v>
      </c>
      <c r="DW51" s="165">
        <f>INDEX('STOPE SUMMARY PIVOT'!$D$1922:$D$2049, MATCH(DW$1,'STOPE SUMMARY PIVOT'!$A$1922:$A$2049, 0))</f>
        <v>1872</v>
      </c>
      <c r="DX51" s="174">
        <f>INDEX('STOPE SUMMARY PIVOT'!$E$1922:$E$2049, MATCH(DW$1,'STOPE SUMMARY PIVOT'!$A$1922:$A$2049, 0))</f>
        <v>3.33</v>
      </c>
      <c r="DY51" s="165">
        <f>INDEX('STOPE SUMMARY PIVOT'!$D$1922:$D$2049, MATCH(DY$1,'STOPE SUMMARY PIVOT'!$A$1922:$A$2049, 0))</f>
        <v>1873</v>
      </c>
      <c r="DZ51" s="174">
        <f>INDEX('STOPE SUMMARY PIVOT'!$E$1922:$E$2049, MATCH(DY$1,'STOPE SUMMARY PIVOT'!$A$1922:$A$2049, 0))</f>
        <v>2.94</v>
      </c>
      <c r="EA51" s="165">
        <f>INDEX('STOPE SUMMARY PIVOT'!$D$1922:$D$2049, MATCH(EA$1,'STOPE SUMMARY PIVOT'!$A$1922:$A$2049, 0))</f>
        <v>0</v>
      </c>
      <c r="EB51" s="174">
        <f>INDEX('STOPE SUMMARY PIVOT'!$E$1922:$E$2049, MATCH(EA$1,'STOPE SUMMARY PIVOT'!$A$1922:$A$2049, 0))</f>
        <v>0</v>
      </c>
      <c r="EC51" s="165">
        <f>INDEX('STOPE SUMMARY PIVOT'!$D$1922:$D$2049, MATCH(EC$1,'STOPE SUMMARY PIVOT'!$A$1922:$A$2049, 0))</f>
        <v>0</v>
      </c>
      <c r="ED51" s="174">
        <f>INDEX('STOPE SUMMARY PIVOT'!$E$1922:$E$2049, MATCH(EC$1,'STOPE SUMMARY PIVOT'!$A$1922:$A$2049, 0))</f>
        <v>0</v>
      </c>
      <c r="EE51" s="165">
        <f>INDEX('STOPE SUMMARY PIVOT'!$D$1922:$D$2049, MATCH(EE$1,'STOPE SUMMARY PIVOT'!$A$1922:$A$2049, 0))</f>
        <v>0</v>
      </c>
      <c r="EF51" s="174">
        <f>INDEX('STOPE SUMMARY PIVOT'!$E$1922:$E$2049, MATCH(EE$1,'STOPE SUMMARY PIVOT'!$A$1922:$A$2049, 0))</f>
        <v>0</v>
      </c>
      <c r="EG51" s="165">
        <f>INDEX('STOPE SUMMARY PIVOT'!$D$1922:$D$2049, MATCH(EG$1,'STOPE SUMMARY PIVOT'!$A$1922:$A$2049, 0))</f>
        <v>0</v>
      </c>
      <c r="EH51" s="174">
        <f>INDEX('STOPE SUMMARY PIVOT'!$E$1922:$E$2049, MATCH(EG$1,'STOPE SUMMARY PIVOT'!$A$1922:$A$2049, 0))</f>
        <v>0</v>
      </c>
      <c r="EI51" s="165">
        <f>INDEX('STOPE SUMMARY PIVOT'!$D$1922:$D$2049, MATCH(EI$1,'STOPE SUMMARY PIVOT'!$A$1922:$A$2049, 0))</f>
        <v>0</v>
      </c>
      <c r="EJ51" s="174">
        <f>INDEX('STOPE SUMMARY PIVOT'!$E$1922:$E$2049, MATCH(EI$1,'STOPE SUMMARY PIVOT'!$A$1922:$A$2049, 0))</f>
        <v>0</v>
      </c>
      <c r="EK51" s="165">
        <f>INDEX('STOPE SUMMARY PIVOT'!$D$1922:$D$2049, MATCH(EK$1,'STOPE SUMMARY PIVOT'!$A$1922:$A$2049, 0))</f>
        <v>0</v>
      </c>
      <c r="EL51" s="174">
        <f>INDEX('STOPE SUMMARY PIVOT'!$E$1922:$E$2049, MATCH(EK$1,'STOPE SUMMARY PIVOT'!$A$1922:$A$2049, 0))</f>
        <v>0</v>
      </c>
      <c r="EM51" s="165">
        <f>INDEX('STOPE SUMMARY PIVOT'!$D$1922:$D$2049, MATCH(EM$1,'STOPE SUMMARY PIVOT'!$A$1922:$A$2049, 0))</f>
        <v>0</v>
      </c>
      <c r="EN51" s="174">
        <f>INDEX('STOPE SUMMARY PIVOT'!$E$1922:$E$2049, MATCH(EM$1,'STOPE SUMMARY PIVOT'!$A$1922:$A$2049, 0))</f>
        <v>0</v>
      </c>
      <c r="EO51" s="165">
        <f>INDEX('STOPE SUMMARY PIVOT'!$D$1922:$D$2049, MATCH(EO$1,'STOPE SUMMARY PIVOT'!$A$1922:$A$2049, 0))</f>
        <v>0</v>
      </c>
      <c r="EP51" s="174">
        <f>INDEX('STOPE SUMMARY PIVOT'!$E$1922:$E$2049, MATCH(EO$1,'STOPE SUMMARY PIVOT'!$A$1922:$A$2049, 0))</f>
        <v>0</v>
      </c>
      <c r="EQ51" s="165">
        <f>INDEX('STOPE SUMMARY PIVOT'!$D$1922:$D$2049, MATCH(EQ$1,'STOPE SUMMARY PIVOT'!$A$1922:$A$2049, 0))</f>
        <v>0</v>
      </c>
      <c r="ER51" s="174">
        <f>INDEX('STOPE SUMMARY PIVOT'!$E$1922:$E$2049, MATCH(EQ$1,'STOPE SUMMARY PIVOT'!$A$1922:$A$2049, 0))</f>
        <v>0</v>
      </c>
      <c r="ES51" s="165">
        <f>INDEX('STOPE SUMMARY PIVOT'!$D$1922:$D$2049, MATCH(ES$1,'STOPE SUMMARY PIVOT'!$A$1922:$A$2049, 0))</f>
        <v>0</v>
      </c>
      <c r="ET51" s="174">
        <f>INDEX('STOPE SUMMARY PIVOT'!$E$1922:$E$2049, MATCH(ES$1,'STOPE SUMMARY PIVOT'!$A$1922:$A$2049, 0))</f>
        <v>0</v>
      </c>
      <c r="EU51" s="165">
        <f>INDEX('STOPE SUMMARY PIVOT'!$D$1922:$D$2049, MATCH(EU$1,'STOPE SUMMARY PIVOT'!$A$1922:$A$2049, 0))</f>
        <v>0</v>
      </c>
      <c r="EV51" s="174">
        <f>INDEX('STOPE SUMMARY PIVOT'!$E$1922:$E$2049, MATCH(EU$1,'STOPE SUMMARY PIVOT'!$A$1922:$A$2049, 0))</f>
        <v>0</v>
      </c>
      <c r="EW51" s="165">
        <f>INDEX('STOPE SUMMARY PIVOT'!$D$1922:$D$2049, MATCH(EW$1,'STOPE SUMMARY PIVOT'!$A$1922:$A$2049, 0))</f>
        <v>0</v>
      </c>
      <c r="EX51" s="174">
        <f>INDEX('STOPE SUMMARY PIVOT'!$E$1922:$E$2049, MATCH(EW$1,'STOPE SUMMARY PIVOT'!$A$1922:$A$2049, 0))</f>
        <v>0</v>
      </c>
      <c r="EY51" s="165">
        <f>INDEX('STOPE SUMMARY PIVOT'!$D$1922:$D$2049, MATCH(EY$1,'STOPE SUMMARY PIVOT'!$A$1922:$A$2049, 0))</f>
        <v>2809</v>
      </c>
      <c r="EZ51" s="174">
        <f>INDEX('STOPE SUMMARY PIVOT'!$E$1922:$E$2049, MATCH(EY$1,'STOPE SUMMARY PIVOT'!$A$1922:$A$2049, 0))</f>
        <v>2.31</v>
      </c>
      <c r="FA51" s="165">
        <f>INDEX('STOPE SUMMARY PIVOT'!$D$1922:$D$2049, MATCH(FA$1,'STOPE SUMMARY PIVOT'!$A$1922:$A$2049, 0))</f>
        <v>0</v>
      </c>
      <c r="FB51" s="174">
        <f>INDEX('STOPE SUMMARY PIVOT'!$E$1922:$E$2049, MATCH(FA$1,'STOPE SUMMARY PIVOT'!$A$1922:$A$2049, 0))</f>
        <v>0</v>
      </c>
      <c r="FC51" s="165">
        <f>INDEX('STOPE SUMMARY PIVOT'!$D$1922:$D$2049, MATCH(FC$1,'STOPE SUMMARY PIVOT'!$A$1922:$A$2049, 0))</f>
        <v>1873</v>
      </c>
      <c r="FD51" s="174">
        <f>INDEX('STOPE SUMMARY PIVOT'!$E$1922:$E$2049, MATCH(FC$1,'STOPE SUMMARY PIVOT'!$A$1922:$A$2049, 0))</f>
        <v>2.41</v>
      </c>
      <c r="FE51" s="165">
        <f>INDEX('STOPE SUMMARY PIVOT'!$D$1922:$D$2049, MATCH(FE$1,'STOPE SUMMARY PIVOT'!$A$1922:$A$2049, 0))</f>
        <v>0</v>
      </c>
      <c r="FF51" s="174">
        <f>INDEX('STOPE SUMMARY PIVOT'!$E$1922:$E$2049, MATCH(FE$1,'STOPE SUMMARY PIVOT'!$A$1922:$A$2049, 0))</f>
        <v>0</v>
      </c>
      <c r="FG51" s="165">
        <f>INDEX('STOPE SUMMARY PIVOT'!$D$1922:$D$2049, MATCH(FG$1,'STOPE SUMMARY PIVOT'!$A$1922:$A$2049, 0))</f>
        <v>0</v>
      </c>
      <c r="FH51" s="174">
        <f>INDEX('STOPE SUMMARY PIVOT'!$E$1922:$E$2049, MATCH(FG$1,'STOPE SUMMARY PIVOT'!$A$1922:$A$2049, 0))</f>
        <v>0</v>
      </c>
      <c r="FI51" s="165">
        <f>INDEX('STOPE SUMMARY PIVOT'!$D$1922:$D$2049, MATCH(FI$1,'STOPE SUMMARY PIVOT'!$A$1922:$A$2049, 0))</f>
        <v>0</v>
      </c>
      <c r="FJ51" s="174">
        <f>INDEX('STOPE SUMMARY PIVOT'!$E$1922:$E$2049, MATCH(FI$1,'STOPE SUMMARY PIVOT'!$A$1922:$A$2049, 0))</f>
        <v>0</v>
      </c>
      <c r="FK51" s="165">
        <f>INDEX('STOPE SUMMARY PIVOT'!$D$1922:$D$2049, MATCH(FK$1,'STOPE SUMMARY PIVOT'!$A$1922:$A$2049, 0))</f>
        <v>0</v>
      </c>
      <c r="FL51" s="174">
        <f>INDEX('STOPE SUMMARY PIVOT'!$E$1922:$E$2049, MATCH(FK$1,'STOPE SUMMARY PIVOT'!$A$1922:$A$2049, 0))</f>
        <v>0</v>
      </c>
      <c r="FM51" s="165">
        <f>INDEX('STOPE SUMMARY PIVOT'!$D$1922:$D$2049, MATCH(FM$1,'STOPE SUMMARY PIVOT'!$A$1922:$A$2049, 0))</f>
        <v>0</v>
      </c>
      <c r="FN51" s="174">
        <f>INDEX('STOPE SUMMARY PIVOT'!$E$1922:$E$2049, MATCH(FM$1,'STOPE SUMMARY PIVOT'!$A$1922:$A$2049, 0))</f>
        <v>0</v>
      </c>
      <c r="FO51" s="165">
        <f>INDEX('STOPE SUMMARY PIVOT'!$D$1922:$D$2049, MATCH(FO$1,'STOPE SUMMARY PIVOT'!$A$1922:$A$2049, 0))</f>
        <v>0</v>
      </c>
      <c r="FP51" s="174">
        <f>INDEX('STOPE SUMMARY PIVOT'!$E$1922:$E$2049, MATCH(FO$1,'STOPE SUMMARY PIVOT'!$A$1922:$A$2049, 0))</f>
        <v>0</v>
      </c>
      <c r="FQ51" s="165">
        <f>INDEX('STOPE SUMMARY PIVOT'!$D$1922:$D$2049, MATCH(FQ$1,'STOPE SUMMARY PIVOT'!$A$1922:$A$2049, 0))</f>
        <v>1282</v>
      </c>
      <c r="FR51" s="174">
        <f>INDEX('STOPE SUMMARY PIVOT'!$E$1922:$E$2049, MATCH(FQ$1,'STOPE SUMMARY PIVOT'!$A$1922:$A$2049, 0))</f>
        <v>2.4500000000000002</v>
      </c>
      <c r="FS51" s="165">
        <f>INDEX('STOPE SUMMARY PIVOT'!$D$1922:$D$2049, MATCH(FS$1,'STOPE SUMMARY PIVOT'!$A$1922:$A$2049, 0))</f>
        <v>0</v>
      </c>
      <c r="FT51" s="174">
        <f>INDEX('STOPE SUMMARY PIVOT'!$E$1922:$E$2049, MATCH(FS$1,'STOPE SUMMARY PIVOT'!$A$1922:$A$2049, 0))</f>
        <v>0</v>
      </c>
      <c r="FU51" s="165">
        <f>INDEX('STOPE SUMMARY PIVOT'!$D$1922:$D$2049, MATCH(FU$1,'STOPE SUMMARY PIVOT'!$A$1922:$A$2049, 0))</f>
        <v>0</v>
      </c>
      <c r="FV51" s="174">
        <f>INDEX('STOPE SUMMARY PIVOT'!$E$1922:$E$2049, MATCH(FU$1,'STOPE SUMMARY PIVOT'!$A$1922:$A$2049, 0))</f>
        <v>0</v>
      </c>
      <c r="FW51" s="165">
        <f>INDEX('STOPE SUMMARY PIVOT'!$D$1922:$D$2049, MATCH(FW$1,'STOPE SUMMARY PIVOT'!$A$1922:$A$2049, 0))</f>
        <v>0</v>
      </c>
      <c r="FX51" s="174">
        <f>INDEX('STOPE SUMMARY PIVOT'!$E$1922:$E$2049, MATCH(FW$1,'STOPE SUMMARY PIVOT'!$A$1922:$A$2049, 0))</f>
        <v>0</v>
      </c>
      <c r="FY51" s="165">
        <f>INDEX('STOPE SUMMARY PIVOT'!$D$1922:$D$2049, MATCH(FY$1,'STOPE SUMMARY PIVOT'!$A$1922:$A$2049, 0))</f>
        <v>635</v>
      </c>
      <c r="FZ51" s="174">
        <f>INDEX('STOPE SUMMARY PIVOT'!$E$1922:$E$2049, MATCH(FY$1,'STOPE SUMMARY PIVOT'!$A$1922:$A$2049, 0))</f>
        <v>2.85</v>
      </c>
      <c r="GA51" s="165">
        <f>INDEX('STOPE SUMMARY PIVOT'!$D$1922:$D$2049, MATCH(GA$1,'STOPE SUMMARY PIVOT'!$A$1922:$A$2049, 0))</f>
        <v>0</v>
      </c>
      <c r="GB51" s="174">
        <f>INDEX('STOPE SUMMARY PIVOT'!$E$1922:$E$2049, MATCH(GA$1,'STOPE SUMMARY PIVOT'!$A$1922:$A$2049, 0))</f>
        <v>0</v>
      </c>
      <c r="GC51" s="165">
        <f>INDEX('STOPE SUMMARY PIVOT'!$D$1922:$D$2049, MATCH(GC$1,'STOPE SUMMARY PIVOT'!$A$1922:$A$2049, 0))</f>
        <v>0</v>
      </c>
      <c r="GD51" s="174">
        <f>INDEX('STOPE SUMMARY PIVOT'!$E$1922:$E$2049, MATCH(GC$1,'STOPE SUMMARY PIVOT'!$A$1922:$A$2049, 0))</f>
        <v>0</v>
      </c>
      <c r="GE51" s="165">
        <f>INDEX('STOPE SUMMARY PIVOT'!$D$1922:$D$2049, MATCH(GE$1,'STOPE SUMMARY PIVOT'!$A$1922:$A$2049, 0))</f>
        <v>0</v>
      </c>
      <c r="GF51" s="174">
        <f>INDEX('STOPE SUMMARY PIVOT'!$E$1922:$E$2049, MATCH(GE$1,'STOPE SUMMARY PIVOT'!$A$1922:$A$2049, 0))</f>
        <v>0</v>
      </c>
      <c r="GG51" s="165">
        <f>INDEX('STOPE SUMMARY PIVOT'!$D$1922:$D$2049, MATCH(GG$1,'STOPE SUMMARY PIVOT'!$A$1922:$A$2049, 0))</f>
        <v>0</v>
      </c>
      <c r="GH51" s="174">
        <f>INDEX('STOPE SUMMARY PIVOT'!$E$1922:$E$2049, MATCH(GG$1,'STOPE SUMMARY PIVOT'!$A$1922:$A$2049, 0))</f>
        <v>0</v>
      </c>
      <c r="GI51" s="165">
        <f>INDEX('STOPE SUMMARY PIVOT'!$D$1922:$D$2049, MATCH(GI$1,'STOPE SUMMARY PIVOT'!$A$1922:$A$2049, 0))</f>
        <v>0</v>
      </c>
      <c r="GJ51" s="174">
        <f>INDEX('STOPE SUMMARY PIVOT'!$E$1922:$E$2049, MATCH(GI$1,'STOPE SUMMARY PIVOT'!$A$1922:$A$2049, 0))</f>
        <v>0</v>
      </c>
      <c r="GK51" s="165">
        <f>INDEX('STOPE SUMMARY PIVOT'!$D$1922:$D$2049, MATCH(GK$1,'STOPE SUMMARY PIVOT'!$A$1922:$A$2049, 0))</f>
        <v>1007</v>
      </c>
      <c r="GL51" s="174">
        <f>INDEX('STOPE SUMMARY PIVOT'!$E$1922:$E$2049, MATCH(GK$1,'STOPE SUMMARY PIVOT'!$A$1922:$A$2049, 0))</f>
        <v>2.0099999999999998</v>
      </c>
      <c r="GM51" s="165">
        <f>INDEX('STOPE SUMMARY PIVOT'!$D$1922:$D$2049, MATCH(GM$1,'STOPE SUMMARY PIVOT'!$A$1922:$A$2049, 0))</f>
        <v>0</v>
      </c>
      <c r="GN51" s="174">
        <f>INDEX('STOPE SUMMARY PIVOT'!$E$1922:$E$2049, MATCH(GM$1,'STOPE SUMMARY PIVOT'!$A$1922:$A$2049, 0))</f>
        <v>0</v>
      </c>
      <c r="GO51" s="165">
        <f>INDEX('STOPE SUMMARY PIVOT'!$D$1922:$D$2049, MATCH(GO$1,'STOPE SUMMARY PIVOT'!$A$1922:$A$2049, 0))</f>
        <v>0</v>
      </c>
      <c r="GP51" s="174">
        <f>INDEX('STOPE SUMMARY PIVOT'!$E$1922:$E$2049, MATCH(GO$1,'STOPE SUMMARY PIVOT'!$A$1922:$A$2049, 0))</f>
        <v>0</v>
      </c>
      <c r="GQ51" s="165">
        <f>INDEX('STOPE SUMMARY PIVOT'!$D$1922:$D$2049, MATCH(GQ$1,'STOPE SUMMARY PIVOT'!$A$1922:$A$2049, 0))</f>
        <v>0</v>
      </c>
      <c r="GR51" s="174">
        <f>INDEX('STOPE SUMMARY PIVOT'!$E$1922:$E$2049, MATCH(GQ$1,'STOPE SUMMARY PIVOT'!$A$1922:$A$2049, 0))</f>
        <v>0</v>
      </c>
      <c r="GS51" s="165">
        <f>INDEX('STOPE SUMMARY PIVOT'!$D$1922:$D$2049, MATCH(GS$1,'STOPE SUMMARY PIVOT'!$A$1922:$A$2049, 0))</f>
        <v>0</v>
      </c>
      <c r="GT51" s="174">
        <f>INDEX('STOPE SUMMARY PIVOT'!$E$1922:$E$2049, MATCH(GS$1,'STOPE SUMMARY PIVOT'!$A$1922:$A$2049, 0))</f>
        <v>0</v>
      </c>
      <c r="GU51" s="165">
        <f>INDEX('STOPE SUMMARY PIVOT'!$D$1922:$D$2049, MATCH(GU$1,'STOPE SUMMARY PIVOT'!$A$1922:$A$2049, 0))</f>
        <v>0</v>
      </c>
      <c r="GV51" s="174">
        <f>INDEX('STOPE SUMMARY PIVOT'!$E$1922:$E$2049, MATCH(GU$1,'STOPE SUMMARY PIVOT'!$A$1922:$A$2049, 0))</f>
        <v>0</v>
      </c>
      <c r="GW51" s="165">
        <f>INDEX('STOPE SUMMARY PIVOT'!$D$1922:$D$2049, MATCH(GW$1,'STOPE SUMMARY PIVOT'!$A$1922:$A$2049, 0))</f>
        <v>0</v>
      </c>
      <c r="GX51" s="174">
        <f>INDEX('STOPE SUMMARY PIVOT'!$E$1922:$E$2049, MATCH(GW$1,'STOPE SUMMARY PIVOT'!$A$1922:$A$2049, 0))</f>
        <v>0</v>
      </c>
      <c r="GY51" s="165">
        <f>INDEX('STOPE SUMMARY PIVOT'!$D$1922:$D$2049, MATCH(GY$1,'STOPE SUMMARY PIVOT'!$A$1922:$A$2049, 0))</f>
        <v>0</v>
      </c>
      <c r="GZ51" s="174">
        <f>INDEX('STOPE SUMMARY PIVOT'!$E$1922:$E$2049, MATCH(GY$1,'STOPE SUMMARY PIVOT'!$A$1922:$A$2049, 0))</f>
        <v>0</v>
      </c>
      <c r="HA51" s="165">
        <f>INDEX('STOPE SUMMARY PIVOT'!$D$1922:$D$2049, MATCH(HA$1,'STOPE SUMMARY PIVOT'!$A$1922:$A$2049, 0))</f>
        <v>0</v>
      </c>
      <c r="HB51" s="174">
        <f>INDEX('STOPE SUMMARY PIVOT'!$E$1922:$E$2049, MATCH(HA$1,'STOPE SUMMARY PIVOT'!$A$1922:$A$2049, 0))</f>
        <v>0</v>
      </c>
      <c r="HC51" s="165">
        <f>INDEX('STOPE SUMMARY PIVOT'!$D$1922:$D$2049, MATCH(HC$1,'STOPE SUMMARY PIVOT'!$A$1922:$A$2049, 0))</f>
        <v>0</v>
      </c>
      <c r="HD51" s="174">
        <f>INDEX('STOPE SUMMARY PIVOT'!$E$1922:$E$2049, MATCH(HC$1,'STOPE SUMMARY PIVOT'!$A$1922:$A$2049, 0))</f>
        <v>0</v>
      </c>
      <c r="HE51" s="165">
        <f>INDEX('STOPE SUMMARY PIVOT'!$D$1922:$D$2049, MATCH(HE$1,'STOPE SUMMARY PIVOT'!$A$1922:$A$2049, 0))</f>
        <v>0</v>
      </c>
      <c r="HF51" s="174">
        <f>INDEX('STOPE SUMMARY PIVOT'!$E$1922:$E$2049, MATCH(HE$1,'STOPE SUMMARY PIVOT'!$A$1922:$A$2049, 0))</f>
        <v>0</v>
      </c>
      <c r="HG51" s="165">
        <f>INDEX('STOPE SUMMARY PIVOT'!$D$1922:$D$2049, MATCH(HG$1,'STOPE SUMMARY PIVOT'!$A$1922:$A$2049, 0))</f>
        <v>0</v>
      </c>
      <c r="HH51" s="174">
        <f>INDEX('STOPE SUMMARY PIVOT'!$E$1922:$E$2049, MATCH(HG$1,'STOPE SUMMARY PIVOT'!$A$1922:$A$2049, 0))</f>
        <v>0</v>
      </c>
      <c r="HI51" s="165">
        <f>INDEX('STOPE SUMMARY PIVOT'!$D$1922:$D$2049, MATCH(HI$1,'STOPE SUMMARY PIVOT'!$A$1922:$A$2049, 0))</f>
        <v>0</v>
      </c>
      <c r="HJ51" s="174">
        <f>INDEX('STOPE SUMMARY PIVOT'!$E$1922:$E$2049, MATCH(HI$1,'STOPE SUMMARY PIVOT'!$A$1922:$A$2049, 0))</f>
        <v>0</v>
      </c>
      <c r="HK51" s="165">
        <f>INDEX('STOPE SUMMARY PIVOT'!$D$1922:$D$2049, MATCH(HK$1,'STOPE SUMMARY PIVOT'!$A$1922:$A$2049, 0))</f>
        <v>0</v>
      </c>
      <c r="HL51" s="174">
        <f>INDEX('STOPE SUMMARY PIVOT'!$E$1922:$E$2049, MATCH(HK$1,'STOPE SUMMARY PIVOT'!$A$1922:$A$2049, 0))</f>
        <v>0</v>
      </c>
      <c r="HM51" s="165">
        <f>INDEX('STOPE SUMMARY PIVOT'!$D$1922:$D$2049, MATCH(HM$1,'STOPE SUMMARY PIVOT'!$A$1922:$A$2049, 0))</f>
        <v>0</v>
      </c>
      <c r="HN51" s="174">
        <f>INDEX('STOPE SUMMARY PIVOT'!$E$1922:$E$2049, MATCH(HM$1,'STOPE SUMMARY PIVOT'!$A$1922:$A$2049, 0))</f>
        <v>0</v>
      </c>
      <c r="HO51" s="165">
        <f>INDEX('STOPE SUMMARY PIVOT'!$D$1922:$D$2049, MATCH(HO$1,'STOPE SUMMARY PIVOT'!$A$1922:$A$2049, 0))</f>
        <v>0</v>
      </c>
      <c r="HP51" s="174">
        <f>INDEX('STOPE SUMMARY PIVOT'!$E$1922:$E$2049, MATCH(HO$1,'STOPE SUMMARY PIVOT'!$A$1922:$A$2049, 0))</f>
        <v>0</v>
      </c>
      <c r="HQ51" s="165">
        <f>INDEX('STOPE SUMMARY PIVOT'!$D$1922:$D$2049, MATCH(HQ$1,'STOPE SUMMARY PIVOT'!$A$1922:$A$2049, 0))</f>
        <v>0</v>
      </c>
      <c r="HR51" s="174">
        <f>INDEX('STOPE SUMMARY PIVOT'!$E$1922:$E$2049, MATCH(HQ$1,'STOPE SUMMARY PIVOT'!$A$1922:$A$2049, 0))</f>
        <v>0</v>
      </c>
      <c r="HS51" s="165">
        <f>INDEX('STOPE SUMMARY PIVOT'!$D$1922:$D$2049, MATCH(HS$1,'STOPE SUMMARY PIVOT'!$A$1922:$A$2049, 0))</f>
        <v>0</v>
      </c>
      <c r="HT51" s="174">
        <f>INDEX('STOPE SUMMARY PIVOT'!$E$1922:$E$2049, MATCH(HS$1,'STOPE SUMMARY PIVOT'!$A$1922:$A$2049, 0))</f>
        <v>0</v>
      </c>
      <c r="HU51" s="165">
        <f>INDEX('STOPE SUMMARY PIVOT'!$D$1922:$D$2049, MATCH(HU$1,'STOPE SUMMARY PIVOT'!$A$1922:$A$2049, 0))</f>
        <v>0</v>
      </c>
      <c r="HV51" s="174">
        <f>INDEX('STOPE SUMMARY PIVOT'!$E$1922:$E$2049, MATCH(HU$1,'STOPE SUMMARY PIVOT'!$A$1922:$A$2049, 0))</f>
        <v>0</v>
      </c>
      <c r="HW51" s="165">
        <f>INDEX('STOPE SUMMARY PIVOT'!$D$1922:$D$2049, MATCH(HW$1,'STOPE SUMMARY PIVOT'!$A$1922:$A$2049, 0))</f>
        <v>0</v>
      </c>
      <c r="HX51" s="174">
        <f>INDEX('STOPE SUMMARY PIVOT'!$E$1922:$E$2049, MATCH(HW$1,'STOPE SUMMARY PIVOT'!$A$1922:$A$2049, 0))</f>
        <v>0</v>
      </c>
      <c r="HY51" s="165">
        <f>INDEX('STOPE SUMMARY PIVOT'!$D$1922:$D$2049, MATCH(HY$1,'STOPE SUMMARY PIVOT'!$A$1922:$A$2049, 0))</f>
        <v>0</v>
      </c>
      <c r="HZ51" s="174">
        <f>INDEX('STOPE SUMMARY PIVOT'!$E$1922:$E$2049, MATCH(HY$1,'STOPE SUMMARY PIVOT'!$A$1922:$A$2049, 0))</f>
        <v>0</v>
      </c>
      <c r="IA51" s="165">
        <f>INDEX('STOPE SUMMARY PIVOT'!$D$1922:$D$2049, MATCH(IA$1,'STOPE SUMMARY PIVOT'!$A$1922:$A$2049, 0))</f>
        <v>0</v>
      </c>
      <c r="IB51" s="174">
        <f>INDEX('STOPE SUMMARY PIVOT'!$E$1922:$E$2049, MATCH(IA$1,'STOPE SUMMARY PIVOT'!$A$1922:$A$2049, 0))</f>
        <v>0</v>
      </c>
      <c r="IC51" s="165">
        <f>INDEX('STOPE SUMMARY PIVOT'!$D$1922:$D$2049, MATCH(IC$1,'STOPE SUMMARY PIVOT'!$A$1922:$A$2049, 0))</f>
        <v>0</v>
      </c>
      <c r="ID51" s="174">
        <f>INDEX('STOPE SUMMARY PIVOT'!$E$1922:$E$2049, MATCH(IC$1,'STOPE SUMMARY PIVOT'!$A$1922:$A$2049, 0))</f>
        <v>0</v>
      </c>
      <c r="IE51" s="165">
        <f>INDEX('STOPE SUMMARY PIVOT'!$D$1922:$D$2049, MATCH(IE$1,'STOPE SUMMARY PIVOT'!$A$1922:$A$2049, 0))</f>
        <v>0</v>
      </c>
      <c r="IF51" s="174">
        <f>INDEX('STOPE SUMMARY PIVOT'!$E$1922:$E$2049, MATCH(IE$1,'STOPE SUMMARY PIVOT'!$A$1922:$A$2049, 0))</f>
        <v>0</v>
      </c>
      <c r="IG51" s="165">
        <f>INDEX('STOPE SUMMARY PIVOT'!$D$1922:$D$2049, MATCH(IG$1,'STOPE SUMMARY PIVOT'!$A$1922:$A$2049, 0))</f>
        <v>0</v>
      </c>
      <c r="IH51" s="174">
        <f>INDEX('STOPE SUMMARY PIVOT'!$E$1922:$E$2049, MATCH(IG$1,'STOPE SUMMARY PIVOT'!$A$1922:$A$2049, 0))</f>
        <v>0</v>
      </c>
      <c r="II51" s="165">
        <f>INDEX('STOPE SUMMARY PIVOT'!$D$1922:$D$2049, MATCH(II$1,'STOPE SUMMARY PIVOT'!$A$1922:$A$2049, 0))</f>
        <v>0</v>
      </c>
      <c r="IJ51" s="174">
        <f>INDEX('STOPE SUMMARY PIVOT'!$E$1922:$E$2049, MATCH(II$1,'STOPE SUMMARY PIVOT'!$A$1922:$A$2049, 0))</f>
        <v>0</v>
      </c>
      <c r="IK51" s="165">
        <f>INDEX('STOPE SUMMARY PIVOT'!$D$1922:$D$2049, MATCH(IK$1,'STOPE SUMMARY PIVOT'!$A$1922:$A$2049, 0))</f>
        <v>0</v>
      </c>
      <c r="IL51" s="174">
        <f>INDEX('STOPE SUMMARY PIVOT'!$E$1922:$E$2049, MATCH(IK$1,'STOPE SUMMARY PIVOT'!$A$1922:$A$2049, 0))</f>
        <v>0</v>
      </c>
      <c r="IM51" s="165">
        <f>INDEX('STOPE SUMMARY PIVOT'!$D$1922:$D$2049, MATCH(IM$1,'STOPE SUMMARY PIVOT'!$A$1922:$A$2049, 0))</f>
        <v>0</v>
      </c>
      <c r="IN51" s="174">
        <f>INDEX('STOPE SUMMARY PIVOT'!$E$1922:$E$2049, MATCH(IM$1,'STOPE SUMMARY PIVOT'!$A$1922:$A$2049, 0))</f>
        <v>0</v>
      </c>
      <c r="IO51" s="165">
        <f>INDEX('STOPE SUMMARY PIVOT'!$D$1922:$D$2049, MATCH(IO$1,'STOPE SUMMARY PIVOT'!$A$1922:$A$2049, 0))</f>
        <v>0</v>
      </c>
      <c r="IP51" s="174">
        <f>INDEX('STOPE SUMMARY PIVOT'!$E$1922:$E$2049, MATCH(IO$1,'STOPE SUMMARY PIVOT'!$A$1922:$A$2049, 0))</f>
        <v>0</v>
      </c>
      <c r="IQ51" s="165">
        <f>INDEX('STOPE SUMMARY PIVOT'!$D$1922:$D$2049, MATCH(IQ$1,'STOPE SUMMARY PIVOT'!$A$1922:$A$2049, 0))</f>
        <v>0</v>
      </c>
      <c r="IR51" s="174">
        <f>INDEX('STOPE SUMMARY PIVOT'!$E$1922:$E$2049, MATCH(IQ$1,'STOPE SUMMARY PIVOT'!$A$1922:$A$2049, 0))</f>
        <v>0</v>
      </c>
      <c r="IS51" s="165">
        <f>INDEX('STOPE SUMMARY PIVOT'!$D$1922:$D$2049, MATCH(IS$1,'STOPE SUMMARY PIVOT'!$A$1922:$A$2049, 0))</f>
        <v>0</v>
      </c>
      <c r="IT51" s="174">
        <f>INDEX('STOPE SUMMARY PIVOT'!$E$1922:$E$2049, MATCH(IS$1,'STOPE SUMMARY PIVOT'!$A$1922:$A$2049, 0))</f>
        <v>0</v>
      </c>
      <c r="IU51" s="165">
        <f>INDEX('STOPE SUMMARY PIVOT'!$D$1922:$D$2049, MATCH(IU$1,'STOPE SUMMARY PIVOT'!$A$1922:$A$2049, 0))</f>
        <v>0</v>
      </c>
      <c r="IV51" s="174">
        <f>INDEX('STOPE SUMMARY PIVOT'!$E$1922:$E$2049, MATCH(IU$1,'STOPE SUMMARY PIVOT'!$A$1922:$A$2049, 0))</f>
        <v>0</v>
      </c>
      <c r="IW51" s="165">
        <f>INDEX('STOPE SUMMARY PIVOT'!$D$1922:$D$2049, MATCH(IW$1,'STOPE SUMMARY PIVOT'!$A$1922:$A$2049, 0))</f>
        <v>0</v>
      </c>
      <c r="IX51" s="174">
        <f>INDEX('STOPE SUMMARY PIVOT'!$E$1922:$E$2049, MATCH(IW$1,'STOPE SUMMARY PIVOT'!$A$1922:$A$2049, 0))</f>
        <v>0</v>
      </c>
      <c r="IY51" s="165">
        <f>INDEX('STOPE SUMMARY PIVOT'!$D$1922:$D$2049, MATCH(IY$1,'STOPE SUMMARY PIVOT'!$A$1922:$A$2049, 0))</f>
        <v>0</v>
      </c>
      <c r="IZ51" s="174">
        <f>INDEX('STOPE SUMMARY PIVOT'!$E$1922:$E$2049, MATCH(IY$1,'STOPE SUMMARY PIVOT'!$A$1922:$A$2049, 0))</f>
        <v>0</v>
      </c>
    </row>
    <row r="52" spans="1:260" x14ac:dyDescent="0.25">
      <c r="A52" s="1590"/>
      <c r="B52" s="167" t="s">
        <v>219</v>
      </c>
      <c r="C52" s="168" cm="1">
        <f t="array" ref="C52">SUM(_xlfn._xlws.FILTER(E52:IZ52, MOD(COLUMN(E52:IZ52)-COLUMN(E52)+1,2)=1))</f>
        <v>27930</v>
      </c>
      <c r="D52" s="26" cm="1">
        <f t="array" ref="D52">IFERROR(SUMPRODUCT(_xlfn._xlws.FILTER(E52:IZ52, MOD(COLUMN(E52:IZ52)-COLUMN(E52)+1,2)=1), _xlfn._xlws.FILTER(E52:IZ52, MOD(COLUMN(E52:IZ52)-COLUMN(E52)+1,2)=0))/C52,"")</f>
        <v>2.3476942355889721</v>
      </c>
      <c r="E52" s="154">
        <f>INDEX('STOPE SUMMARY PIVOT'!$G$1922:$G$2049, MATCH(E$1,'STOPE SUMMARY PIVOT'!$A$1922:$A$2049, 0))</f>
        <v>1890</v>
      </c>
      <c r="F52" s="175">
        <f>INDEX('STOPE SUMMARY PIVOT'!$H$1922:$H$2049, MATCH(E$1,'STOPE SUMMARY PIVOT'!$A$1922:$A$2049, 0))</f>
        <v>1.83</v>
      </c>
      <c r="G52" s="154">
        <f>INDEX('STOPE SUMMARY PIVOT'!$G$1922:$G$2049, MATCH(G$1,'STOPE SUMMARY PIVOT'!$A$1922:$A$2049, 0))</f>
        <v>0</v>
      </c>
      <c r="H52" s="175">
        <f>INDEX('STOPE SUMMARY PIVOT'!$H$1922:$H$2049, MATCH(G$1,'STOPE SUMMARY PIVOT'!$A$1922:$A$2049, 0))</f>
        <v>0</v>
      </c>
      <c r="I52" s="154">
        <f>INDEX('STOPE SUMMARY PIVOT'!$G$1922:$G$2049, MATCH(I$1,'STOPE SUMMARY PIVOT'!$A$1922:$A$2049, 0))</f>
        <v>0</v>
      </c>
      <c r="J52" s="143">
        <f>INDEX('STOPE SUMMARY PIVOT'!$H$1922:$H$2049, MATCH(I$1,'STOPE SUMMARY PIVOT'!$A$1922:$A$2049, 0))</f>
        <v>0</v>
      </c>
      <c r="K52" s="154">
        <f>INDEX('STOPE SUMMARY PIVOT'!$G$1922:$G$2049, MATCH(K$1,'STOPE SUMMARY PIVOT'!$A$1922:$A$2049, 0))</f>
        <v>0</v>
      </c>
      <c r="L52" s="143">
        <f>INDEX('STOPE SUMMARY PIVOT'!$H$1922:$H$2049, MATCH(K$1,'STOPE SUMMARY PIVOT'!$A$1922:$A$2049, 0))</f>
        <v>0</v>
      </c>
      <c r="M52" s="154">
        <f>INDEX('STOPE SUMMARY PIVOT'!$G$1922:$G$2049, MATCH(M$1,'STOPE SUMMARY PIVOT'!$A$1922:$A$2049, 0))</f>
        <v>0</v>
      </c>
      <c r="N52" s="143">
        <f>INDEX('STOPE SUMMARY PIVOT'!$H$1922:$H$2049, MATCH(M$1,'STOPE SUMMARY PIVOT'!$A$1922:$A$2049, 0))</f>
        <v>0</v>
      </c>
      <c r="O52" s="154">
        <f>INDEX('STOPE SUMMARY PIVOT'!$G$1922:$G$2049, MATCH(O$1,'STOPE SUMMARY PIVOT'!$A$1922:$A$2049, 0))</f>
        <v>0</v>
      </c>
      <c r="P52" s="143">
        <f>INDEX('STOPE SUMMARY PIVOT'!$H$1922:$H$2049, MATCH(O$1,'STOPE SUMMARY PIVOT'!$A$1922:$A$2049, 0))</f>
        <v>0</v>
      </c>
      <c r="Q52" s="154">
        <f>INDEX('STOPE SUMMARY PIVOT'!$G$1922:$G$2049, MATCH(Q$1,'STOPE SUMMARY PIVOT'!$A$1922:$A$2049, 0))</f>
        <v>0</v>
      </c>
      <c r="R52" s="143">
        <f>INDEX('STOPE SUMMARY PIVOT'!$H$1922:$H$2049, MATCH(Q$1,'STOPE SUMMARY PIVOT'!$A$1922:$A$2049, 0))</f>
        <v>0</v>
      </c>
      <c r="S52" s="154">
        <f>INDEX('STOPE SUMMARY PIVOT'!$G$1922:$G$2049, MATCH(S$1,'STOPE SUMMARY PIVOT'!$A$1922:$A$2049, 0))</f>
        <v>0</v>
      </c>
      <c r="T52" s="143">
        <f>INDEX('STOPE SUMMARY PIVOT'!$H$1922:$H$2049, MATCH(S$1,'STOPE SUMMARY PIVOT'!$A$1922:$A$2049, 0))</f>
        <v>0</v>
      </c>
      <c r="U52" s="154">
        <f>INDEX('STOPE SUMMARY PIVOT'!$G$1922:$G$2049, MATCH(U$1,'STOPE SUMMARY PIVOT'!$A$1922:$A$2049, 0))</f>
        <v>0</v>
      </c>
      <c r="V52" s="175">
        <f>INDEX('STOPE SUMMARY PIVOT'!$H$1922:$H$2049, MATCH(U$1,'STOPE SUMMARY PIVOT'!$A$1922:$A$2049, 0))</f>
        <v>0</v>
      </c>
      <c r="W52" s="154">
        <f>INDEX('STOPE SUMMARY PIVOT'!$G$1922:$G$2049, MATCH(W$1,'STOPE SUMMARY PIVOT'!$A$1922:$A$2049, 0))</f>
        <v>0</v>
      </c>
      <c r="X52" s="175">
        <f>INDEX('STOPE SUMMARY PIVOT'!$H$1922:$H$2049, MATCH(W$1,'STOPE SUMMARY PIVOT'!$A$1922:$A$2049, 0))</f>
        <v>0</v>
      </c>
      <c r="Y52" s="154">
        <f>INDEX('STOPE SUMMARY PIVOT'!$G$1922:$G$2049, MATCH(Y$1,'STOPE SUMMARY PIVOT'!$A$1922:$A$2049, 0))</f>
        <v>2940</v>
      </c>
      <c r="Z52" s="175">
        <f>INDEX('STOPE SUMMARY PIVOT'!$H$1922:$H$2049, MATCH(Y$1,'STOPE SUMMARY PIVOT'!$A$1922:$A$2049, 0))</f>
        <v>3.06</v>
      </c>
      <c r="AA52" s="154">
        <f>INDEX('STOPE SUMMARY PIVOT'!$G$1922:$G$2049, MATCH(AA$1,'STOPE SUMMARY PIVOT'!$A$1922:$A$2049, 0))</f>
        <v>0</v>
      </c>
      <c r="AB52" s="175">
        <f>INDEX('STOPE SUMMARY PIVOT'!$H$1922:$H$2049, MATCH(AA$1,'STOPE SUMMARY PIVOT'!$A$1922:$A$2049, 0))</f>
        <v>0</v>
      </c>
      <c r="AC52" s="154">
        <f>INDEX('STOPE SUMMARY PIVOT'!$G$1922:$G$2049, MATCH(AC$1,'STOPE SUMMARY PIVOT'!$A$1922:$A$2049, 0))</f>
        <v>0</v>
      </c>
      <c r="AD52" s="175">
        <f>INDEX('STOPE SUMMARY PIVOT'!$H$1922:$H$2049, MATCH(AC$1,'STOPE SUMMARY PIVOT'!$A$1922:$A$2049, 0))</f>
        <v>0</v>
      </c>
      <c r="AE52" s="154">
        <f>INDEX('STOPE SUMMARY PIVOT'!$G$1922:$G$2049, MATCH(AE$1,'STOPE SUMMARY PIVOT'!$A$1922:$A$2049, 0))</f>
        <v>0</v>
      </c>
      <c r="AF52" s="175">
        <f>INDEX('STOPE SUMMARY PIVOT'!$H$1922:$H$2049, MATCH(AE$1,'STOPE SUMMARY PIVOT'!$A$1922:$A$2049, 0))</f>
        <v>0</v>
      </c>
      <c r="AG52" s="154">
        <f>INDEX('STOPE SUMMARY PIVOT'!$G$1922:$G$2049, MATCH(AG$1,'STOPE SUMMARY PIVOT'!$A$1922:$A$2049, 0))</f>
        <v>0</v>
      </c>
      <c r="AH52" s="175">
        <f>INDEX('STOPE SUMMARY PIVOT'!$H$1922:$H$2049, MATCH(AG$1,'STOPE SUMMARY PIVOT'!$A$1922:$A$2049, 0))</f>
        <v>0</v>
      </c>
      <c r="AI52" s="154">
        <f>INDEX('STOPE SUMMARY PIVOT'!$G$1922:$G$2049, MATCH(AI$1,'STOPE SUMMARY PIVOT'!$A$1922:$A$2049, 0))</f>
        <v>0</v>
      </c>
      <c r="AJ52" s="175">
        <f>INDEX('STOPE SUMMARY PIVOT'!$H$1922:$H$2049, MATCH(AI$1,'STOPE SUMMARY PIVOT'!$A$1922:$A$2049, 0))</f>
        <v>0</v>
      </c>
      <c r="AK52" s="154">
        <f>INDEX('STOPE SUMMARY PIVOT'!$G$1922:$G$2049, MATCH(AK$1,'STOPE SUMMARY PIVOT'!$A$1922:$A$2049, 0))</f>
        <v>0</v>
      </c>
      <c r="AL52" s="175">
        <f>INDEX('STOPE SUMMARY PIVOT'!$H$1922:$H$2049, MATCH(AK$1,'STOPE SUMMARY PIVOT'!$A$1922:$A$2049, 0))</f>
        <v>0</v>
      </c>
      <c r="AM52" s="154">
        <f>INDEX('STOPE SUMMARY PIVOT'!$G$1922:$G$2049, MATCH(AM$1,'STOPE SUMMARY PIVOT'!$A$1922:$A$2049, 0))</f>
        <v>0</v>
      </c>
      <c r="AN52" s="175">
        <f>INDEX('STOPE SUMMARY PIVOT'!$H$1922:$H$2049, MATCH(AM$1,'STOPE SUMMARY PIVOT'!$A$1922:$A$2049, 0))</f>
        <v>0</v>
      </c>
      <c r="AO52" s="154">
        <f>INDEX('STOPE SUMMARY PIVOT'!$G$1922:$G$2049, MATCH(AO$1,'STOPE SUMMARY PIVOT'!$A$1922:$A$2049, 0))</f>
        <v>0</v>
      </c>
      <c r="AP52" s="175">
        <f>INDEX('STOPE SUMMARY PIVOT'!$H$1922:$H$2049, MATCH(AO$1,'STOPE SUMMARY PIVOT'!$A$1922:$A$2049, 0))</f>
        <v>0</v>
      </c>
      <c r="AQ52" s="154">
        <f>INDEX('STOPE SUMMARY PIVOT'!$G$1922:$G$2049, MATCH(AQ$1,'STOPE SUMMARY PIVOT'!$A$1922:$A$2049, 0))</f>
        <v>0</v>
      </c>
      <c r="AR52" s="175">
        <f>INDEX('STOPE SUMMARY PIVOT'!$H$1922:$H$2049, MATCH(AQ$1,'STOPE SUMMARY PIVOT'!$A$1922:$A$2049, 0))</f>
        <v>0</v>
      </c>
      <c r="AS52" s="154">
        <f>INDEX('STOPE SUMMARY PIVOT'!$G$1922:$G$2049, MATCH(AS$1,'STOPE SUMMARY PIVOT'!$A$1922:$A$2049, 0))</f>
        <v>0</v>
      </c>
      <c r="AT52" s="175">
        <f>INDEX('STOPE SUMMARY PIVOT'!$H$1922:$H$2049, MATCH(AS$1,'STOPE SUMMARY PIVOT'!$A$1922:$A$2049, 0))</f>
        <v>0</v>
      </c>
      <c r="AU52" s="154">
        <f>INDEX('STOPE SUMMARY PIVOT'!$G$1922:$G$2049, MATCH(AU$1,'STOPE SUMMARY PIVOT'!$A$1922:$A$2049, 0))</f>
        <v>0</v>
      </c>
      <c r="AV52" s="175">
        <f>INDEX('STOPE SUMMARY PIVOT'!$H$1922:$H$2049, MATCH(AU$1,'STOPE SUMMARY PIVOT'!$A$1922:$A$2049, 0))</f>
        <v>0</v>
      </c>
      <c r="AW52" s="154">
        <f>INDEX('STOPE SUMMARY PIVOT'!$G$1922:$G$2049, MATCH(AW$1,'STOPE SUMMARY PIVOT'!$A$1922:$A$2049, 0))</f>
        <v>0</v>
      </c>
      <c r="AX52" s="175">
        <f>INDEX('STOPE SUMMARY PIVOT'!$H$1922:$H$2049, MATCH(AW$1,'STOPE SUMMARY PIVOT'!$A$1922:$A$2049, 0))</f>
        <v>0</v>
      </c>
      <c r="AY52" s="154">
        <f>INDEX('STOPE SUMMARY PIVOT'!$G$1922:$G$2049, MATCH(AY$1,'STOPE SUMMARY PIVOT'!$A$1922:$A$2049, 0))</f>
        <v>0</v>
      </c>
      <c r="AZ52" s="175">
        <f>INDEX('STOPE SUMMARY PIVOT'!$H$1922:$H$2049, MATCH(AY$1,'STOPE SUMMARY PIVOT'!$A$1922:$A$2049, 0))</f>
        <v>0</v>
      </c>
      <c r="BA52" s="154">
        <f>INDEX('STOPE SUMMARY PIVOT'!$G$1922:$G$2049, MATCH(BA$1,'STOPE SUMMARY PIVOT'!$A$1922:$A$2049, 0))</f>
        <v>0</v>
      </c>
      <c r="BB52" s="175">
        <f>INDEX('STOPE SUMMARY PIVOT'!$H$1922:$H$2049, MATCH(BA$1,'STOPE SUMMARY PIVOT'!$A$1922:$A$2049, 0))</f>
        <v>0</v>
      </c>
      <c r="BC52" s="154">
        <f>INDEX('STOPE SUMMARY PIVOT'!$G$1922:$G$2049, MATCH(BC$1,'STOPE SUMMARY PIVOT'!$A$1922:$A$2049, 0))</f>
        <v>0</v>
      </c>
      <c r="BD52" s="175">
        <f>INDEX('STOPE SUMMARY PIVOT'!$H$1922:$H$2049, MATCH(BC$1,'STOPE SUMMARY PIVOT'!$A$1922:$A$2049, 0))</f>
        <v>0</v>
      </c>
      <c r="BE52" s="154">
        <f>INDEX('STOPE SUMMARY PIVOT'!$G$1922:$G$2049, MATCH(BE$1,'STOPE SUMMARY PIVOT'!$A$1922:$A$2049, 0))</f>
        <v>0</v>
      </c>
      <c r="BF52" s="175">
        <f>INDEX('STOPE SUMMARY PIVOT'!$H$1922:$H$2049, MATCH(BE$1,'STOPE SUMMARY PIVOT'!$A$1922:$A$2049, 0))</f>
        <v>0</v>
      </c>
      <c r="BG52" s="154">
        <f>INDEX('STOPE SUMMARY PIVOT'!$G$1922:$G$2049, MATCH(BG$1,'STOPE SUMMARY PIVOT'!$A$1922:$A$2049, 0))</f>
        <v>0</v>
      </c>
      <c r="BH52" s="175">
        <f>INDEX('STOPE SUMMARY PIVOT'!$H$1922:$H$2049, MATCH(BG$1,'STOPE SUMMARY PIVOT'!$A$1922:$A$2049, 0))</f>
        <v>0</v>
      </c>
      <c r="BI52" s="154">
        <f>INDEX('STOPE SUMMARY PIVOT'!$G$1922:$G$2049, MATCH(BI$1,'STOPE SUMMARY PIVOT'!$A$1922:$A$2049, 0))</f>
        <v>0</v>
      </c>
      <c r="BJ52" s="175">
        <f>INDEX('STOPE SUMMARY PIVOT'!$H$1922:$H$2049, MATCH(BI$1,'STOPE SUMMARY PIVOT'!$A$1922:$A$2049, 0))</f>
        <v>0</v>
      </c>
      <c r="BK52" s="154">
        <f>INDEX('STOPE SUMMARY PIVOT'!$G$1922:$G$2049, MATCH(BK$1,'STOPE SUMMARY PIVOT'!$A$1922:$A$2049, 0))</f>
        <v>0</v>
      </c>
      <c r="BL52" s="175">
        <f>INDEX('STOPE SUMMARY PIVOT'!$H$1922:$H$2049, MATCH(BK$1,'STOPE SUMMARY PIVOT'!$A$1922:$A$2049, 0))</f>
        <v>0</v>
      </c>
      <c r="BM52" s="154">
        <f>INDEX('STOPE SUMMARY PIVOT'!$G$1922:$G$2049, MATCH(BM$1,'STOPE SUMMARY PIVOT'!$A$1922:$A$2049, 0))</f>
        <v>0</v>
      </c>
      <c r="BN52" s="175">
        <f>INDEX('STOPE SUMMARY PIVOT'!$H$1922:$H$2049, MATCH(BM$1,'STOPE SUMMARY PIVOT'!$A$1922:$A$2049, 0))</f>
        <v>0</v>
      </c>
      <c r="BO52" s="154">
        <f>INDEX('STOPE SUMMARY PIVOT'!$G$1922:$G$2049, MATCH(BO$1,'STOPE SUMMARY PIVOT'!$A$1922:$A$2049, 0))</f>
        <v>0</v>
      </c>
      <c r="BP52" s="175">
        <f>INDEX('STOPE SUMMARY PIVOT'!$H$1922:$H$2049, MATCH(BO$1,'STOPE SUMMARY PIVOT'!$A$1922:$A$2049, 0))</f>
        <v>0</v>
      </c>
      <c r="BQ52" s="154">
        <f>INDEX('STOPE SUMMARY PIVOT'!$G$1922:$G$2049, MATCH(BQ$1,'STOPE SUMMARY PIVOT'!$A$1922:$A$2049, 0))</f>
        <v>0</v>
      </c>
      <c r="BR52" s="175">
        <f>INDEX('STOPE SUMMARY PIVOT'!$H$1922:$H$2049, MATCH(BQ$1,'STOPE SUMMARY PIVOT'!$A$1922:$A$2049, 0))</f>
        <v>0</v>
      </c>
      <c r="BS52" s="154">
        <f>INDEX('STOPE SUMMARY PIVOT'!$G$1922:$G$2049, MATCH(BS$1,'STOPE SUMMARY PIVOT'!$A$1922:$A$2049, 0))</f>
        <v>0</v>
      </c>
      <c r="BT52" s="175">
        <f>INDEX('STOPE SUMMARY PIVOT'!$H$1922:$H$2049, MATCH(BS$1,'STOPE SUMMARY PIVOT'!$A$1922:$A$2049, 0))</f>
        <v>0</v>
      </c>
      <c r="BU52" s="154">
        <f>INDEX('STOPE SUMMARY PIVOT'!$G$1922:$G$2049, MATCH(BU$1,'STOPE SUMMARY PIVOT'!$A$1922:$A$2049, 0))</f>
        <v>0</v>
      </c>
      <c r="BV52" s="175">
        <f>INDEX('STOPE SUMMARY PIVOT'!$H$1922:$H$2049, MATCH(BU$1,'STOPE SUMMARY PIVOT'!$A$1922:$A$2049, 0))</f>
        <v>0</v>
      </c>
      <c r="BW52" s="154">
        <f>INDEX('STOPE SUMMARY PIVOT'!$G$1922:$G$2049, MATCH(BW$1,'STOPE SUMMARY PIVOT'!$A$1922:$A$2049, 0))</f>
        <v>0</v>
      </c>
      <c r="BX52" s="175">
        <f>INDEX('STOPE SUMMARY PIVOT'!$H$1922:$H$2049, MATCH(BW$1,'STOPE SUMMARY PIVOT'!$A$1922:$A$2049, 0))</f>
        <v>0</v>
      </c>
      <c r="BY52" s="154">
        <f>INDEX('STOPE SUMMARY PIVOT'!$G$1922:$G$2049, MATCH(BY$1,'STOPE SUMMARY PIVOT'!$A$1922:$A$2049, 0))</f>
        <v>0</v>
      </c>
      <c r="BZ52" s="175">
        <f>INDEX('STOPE SUMMARY PIVOT'!$H$1922:$H$2049, MATCH(BY$1,'STOPE SUMMARY PIVOT'!$A$1922:$A$2049, 0))</f>
        <v>0</v>
      </c>
      <c r="CA52" s="154">
        <f>INDEX('STOPE SUMMARY PIVOT'!$G$1922:$G$2049, MATCH(CA$1,'STOPE SUMMARY PIVOT'!$A$1922:$A$2049, 0))</f>
        <v>0</v>
      </c>
      <c r="CB52" s="175">
        <f>INDEX('STOPE SUMMARY PIVOT'!$H$1922:$H$2049, MATCH(CA$1,'STOPE SUMMARY PIVOT'!$A$1922:$A$2049, 0))</f>
        <v>0</v>
      </c>
      <c r="CC52" s="154">
        <f>INDEX('STOPE SUMMARY PIVOT'!$G$1922:$G$2049, MATCH(CC$1,'STOPE SUMMARY PIVOT'!$A$1922:$A$2049, 0))</f>
        <v>0</v>
      </c>
      <c r="CD52" s="175">
        <f>INDEX('STOPE SUMMARY PIVOT'!$H$1922:$H$2049, MATCH(CC$1,'STOPE SUMMARY PIVOT'!$A$1922:$A$2049, 0))</f>
        <v>0</v>
      </c>
      <c r="CE52" s="154">
        <f>INDEX('STOPE SUMMARY PIVOT'!$G$1922:$G$2049, MATCH(CE$1,'STOPE SUMMARY PIVOT'!$A$1922:$A$2049, 0))</f>
        <v>0</v>
      </c>
      <c r="CF52" s="175">
        <f>INDEX('STOPE SUMMARY PIVOT'!$H$1922:$H$2049, MATCH(CE$1,'STOPE SUMMARY PIVOT'!$A$1922:$A$2049, 0))</f>
        <v>0</v>
      </c>
      <c r="CG52" s="154">
        <f>INDEX('STOPE SUMMARY PIVOT'!$G$1922:$G$2049, MATCH(CG$1,'STOPE SUMMARY PIVOT'!$A$1922:$A$2049, 0))</f>
        <v>0</v>
      </c>
      <c r="CH52" s="175">
        <f>INDEX('STOPE SUMMARY PIVOT'!$H$1922:$H$2049, MATCH(CG$1,'STOPE SUMMARY PIVOT'!$A$1922:$A$2049, 0))</f>
        <v>0</v>
      </c>
      <c r="CI52" s="154">
        <f>INDEX('STOPE SUMMARY PIVOT'!$G$1922:$G$2049, MATCH(CI$1,'STOPE SUMMARY PIVOT'!$A$1922:$A$2049, 0))</f>
        <v>0</v>
      </c>
      <c r="CJ52" s="175">
        <f>INDEX('STOPE SUMMARY PIVOT'!$H$1922:$H$2049, MATCH(CI$1,'STOPE SUMMARY PIVOT'!$A$1922:$A$2049, 0))</f>
        <v>0</v>
      </c>
      <c r="CK52" s="154">
        <f>INDEX('STOPE SUMMARY PIVOT'!$G$1922:$G$2049, MATCH(CK$1,'STOPE SUMMARY PIVOT'!$A$1922:$A$2049, 0))</f>
        <v>0</v>
      </c>
      <c r="CL52" s="175">
        <f>INDEX('STOPE SUMMARY PIVOT'!$H$1922:$H$2049, MATCH(CK$1,'STOPE SUMMARY PIVOT'!$A$1922:$A$2049, 0))</f>
        <v>0</v>
      </c>
      <c r="CM52" s="154">
        <f>INDEX('STOPE SUMMARY PIVOT'!$G$1922:$G$2049, MATCH(CM$1,'STOPE SUMMARY PIVOT'!$A$1922:$A$2049, 0))</f>
        <v>0</v>
      </c>
      <c r="CN52" s="175">
        <f>INDEX('STOPE SUMMARY PIVOT'!$H$1922:$H$2049, MATCH(CM$1,'STOPE SUMMARY PIVOT'!$A$1922:$A$2049, 0))</f>
        <v>0</v>
      </c>
      <c r="CO52" s="154">
        <f>INDEX('STOPE SUMMARY PIVOT'!$G$1922:$G$2049, MATCH(CO$1,'STOPE SUMMARY PIVOT'!$A$1922:$A$2049, 0))</f>
        <v>0</v>
      </c>
      <c r="CP52" s="175">
        <f>INDEX('STOPE SUMMARY PIVOT'!$H$1922:$H$2049, MATCH(CO$1,'STOPE SUMMARY PIVOT'!$A$1922:$A$2049, 0))</f>
        <v>0</v>
      </c>
      <c r="CQ52" s="154">
        <f>INDEX('STOPE SUMMARY PIVOT'!$G$1922:$G$2049, MATCH(CQ$1,'STOPE SUMMARY PIVOT'!$A$1922:$A$2049, 0))</f>
        <v>0</v>
      </c>
      <c r="CR52" s="175">
        <f>INDEX('STOPE SUMMARY PIVOT'!$H$1922:$H$2049, MATCH(CQ$1,'STOPE SUMMARY PIVOT'!$A$1922:$A$2049, 0))</f>
        <v>0</v>
      </c>
      <c r="CS52" s="154">
        <f>INDEX('STOPE SUMMARY PIVOT'!$G$1922:$G$2049, MATCH(CS$1,'STOPE SUMMARY PIVOT'!$A$1922:$A$2049, 0))</f>
        <v>3920</v>
      </c>
      <c r="CT52" s="175">
        <f>INDEX('STOPE SUMMARY PIVOT'!$H$1922:$H$2049, MATCH(CS$1,'STOPE SUMMARY PIVOT'!$A$1922:$A$2049, 0))</f>
        <v>3.06</v>
      </c>
      <c r="CU52" s="154">
        <f>INDEX('STOPE SUMMARY PIVOT'!$G$1922:$G$2049, MATCH(CU$1,'STOPE SUMMARY PIVOT'!$A$1922:$A$2049, 0))</f>
        <v>0</v>
      </c>
      <c r="CV52" s="175">
        <f>INDEX('STOPE SUMMARY PIVOT'!$H$1922:$H$2049, MATCH(CU$1,'STOPE SUMMARY PIVOT'!$A$1922:$A$2049, 0))</f>
        <v>0</v>
      </c>
      <c r="CW52" s="154">
        <f>INDEX('STOPE SUMMARY PIVOT'!$G$1922:$G$2049, MATCH(CW$1,'STOPE SUMMARY PIVOT'!$A$1922:$A$2049, 0))</f>
        <v>0</v>
      </c>
      <c r="CX52" s="175">
        <f>INDEX('STOPE SUMMARY PIVOT'!$H$1922:$H$2049, MATCH(CW$1,'STOPE SUMMARY PIVOT'!$A$1922:$A$2049, 0))</f>
        <v>0</v>
      </c>
      <c r="CY52" s="154">
        <f>INDEX('STOPE SUMMARY PIVOT'!$G$1922:$G$2049, MATCH(CY$1,'STOPE SUMMARY PIVOT'!$A$1922:$A$2049, 0))</f>
        <v>1960</v>
      </c>
      <c r="CZ52" s="175">
        <f>INDEX('STOPE SUMMARY PIVOT'!$H$1922:$H$2049, MATCH(CY$1,'STOPE SUMMARY PIVOT'!$A$1922:$A$2049, 0))</f>
        <v>1.68</v>
      </c>
      <c r="DA52" s="154">
        <f>INDEX('STOPE SUMMARY PIVOT'!$G$1922:$G$2049, MATCH(DA$1,'STOPE SUMMARY PIVOT'!$A$1922:$A$2049, 0))</f>
        <v>0</v>
      </c>
      <c r="DB52" s="175">
        <f>INDEX('STOPE SUMMARY PIVOT'!$H$1922:$H$2049, MATCH(DA$1,'STOPE SUMMARY PIVOT'!$A$1922:$A$2049, 0))</f>
        <v>0</v>
      </c>
      <c r="DC52" s="154">
        <f>INDEX('STOPE SUMMARY PIVOT'!$G$1922:$G$2049, MATCH(DC$1,'STOPE SUMMARY PIVOT'!$A$1922:$A$2049, 0))</f>
        <v>0</v>
      </c>
      <c r="DD52" s="175">
        <f>INDEX('STOPE SUMMARY PIVOT'!$H$1922:$H$2049, MATCH(DC$1,'STOPE SUMMARY PIVOT'!$A$1922:$A$2049, 0))</f>
        <v>0</v>
      </c>
      <c r="DE52" s="154">
        <f>INDEX('STOPE SUMMARY PIVOT'!$G$1922:$G$2049, MATCH(DE$1,'STOPE SUMMARY PIVOT'!$A$1922:$A$2049, 0))</f>
        <v>0</v>
      </c>
      <c r="DF52" s="175">
        <f>INDEX('STOPE SUMMARY PIVOT'!$H$1922:$H$2049, MATCH(DE$1,'STOPE SUMMARY PIVOT'!$A$1922:$A$2049, 0))</f>
        <v>0</v>
      </c>
      <c r="DG52" s="154">
        <f>INDEX('STOPE SUMMARY PIVOT'!$G$1922:$G$2049, MATCH(DG$1,'STOPE SUMMARY PIVOT'!$A$1922:$A$2049, 0))</f>
        <v>0</v>
      </c>
      <c r="DH52" s="175">
        <f>INDEX('STOPE SUMMARY PIVOT'!$H$1922:$H$2049, MATCH(DG$1,'STOPE SUMMARY PIVOT'!$A$1922:$A$2049, 0))</f>
        <v>0</v>
      </c>
      <c r="DI52" s="154">
        <f>INDEX('STOPE SUMMARY PIVOT'!$G$1922:$G$2049, MATCH(DI$1,'STOPE SUMMARY PIVOT'!$A$1922:$A$2049, 0))</f>
        <v>0</v>
      </c>
      <c r="DJ52" s="175">
        <f>INDEX('STOPE SUMMARY PIVOT'!$H$1922:$H$2049, MATCH(DI$1,'STOPE SUMMARY PIVOT'!$A$1922:$A$2049, 0))</f>
        <v>0</v>
      </c>
      <c r="DK52" s="154">
        <f>INDEX('STOPE SUMMARY PIVOT'!$G$1922:$G$2049, MATCH(DK$1,'STOPE SUMMARY PIVOT'!$A$1922:$A$2049, 0))</f>
        <v>0</v>
      </c>
      <c r="DL52" s="175">
        <f>INDEX('STOPE SUMMARY PIVOT'!$H$1922:$H$2049, MATCH(DK$1,'STOPE SUMMARY PIVOT'!$A$1922:$A$2049, 0))</f>
        <v>0</v>
      </c>
      <c r="DM52" s="154">
        <f>INDEX('STOPE SUMMARY PIVOT'!$G$1922:$G$2049, MATCH(DM$1,'STOPE SUMMARY PIVOT'!$A$1922:$A$2049, 0))</f>
        <v>0</v>
      </c>
      <c r="DN52" s="175">
        <f>INDEX('STOPE SUMMARY PIVOT'!$H$1922:$H$2049, MATCH(DM$1,'STOPE SUMMARY PIVOT'!$A$1922:$A$2049, 0))</f>
        <v>0</v>
      </c>
      <c r="DO52" s="154">
        <f>INDEX('STOPE SUMMARY PIVOT'!$G$1922:$G$2049, MATCH(DO$1,'STOPE SUMMARY PIVOT'!$A$1922:$A$2049, 0))</f>
        <v>0</v>
      </c>
      <c r="DP52" s="175">
        <f>INDEX('STOPE SUMMARY PIVOT'!$H$1922:$H$2049, MATCH(DO$1,'STOPE SUMMARY PIVOT'!$A$1922:$A$2049, 0))</f>
        <v>0</v>
      </c>
      <c r="DQ52" s="154">
        <f>INDEX('STOPE SUMMARY PIVOT'!$G$1922:$G$2049, MATCH(DQ$1,'STOPE SUMMARY PIVOT'!$A$1922:$A$2049, 0))</f>
        <v>1050</v>
      </c>
      <c r="DR52" s="175">
        <f>INDEX('STOPE SUMMARY PIVOT'!$H$1922:$H$2049, MATCH(DQ$1,'STOPE SUMMARY PIVOT'!$A$1922:$A$2049, 0))</f>
        <v>1.68</v>
      </c>
      <c r="DS52" s="154">
        <f>INDEX('STOPE SUMMARY PIVOT'!$G$1922:$G$2049, MATCH(DS$1,'STOPE SUMMARY PIVOT'!$A$1922:$A$2049, 0))</f>
        <v>1470</v>
      </c>
      <c r="DT52" s="175">
        <f>INDEX('STOPE SUMMARY PIVOT'!$H$1922:$H$2049, MATCH(DS$1,'STOPE SUMMARY PIVOT'!$A$1922:$A$2049, 0))</f>
        <v>1.6</v>
      </c>
      <c r="DU52" s="154">
        <f>INDEX('STOPE SUMMARY PIVOT'!$G$1922:$G$2049, MATCH(DU$1,'STOPE SUMMARY PIVOT'!$A$1922:$A$2049, 0))</f>
        <v>0</v>
      </c>
      <c r="DV52" s="175">
        <f>INDEX('STOPE SUMMARY PIVOT'!$H$1922:$H$2049, MATCH(DU$1,'STOPE SUMMARY PIVOT'!$A$1922:$A$2049, 0))</f>
        <v>0</v>
      </c>
      <c r="DW52" s="154">
        <f>INDEX('STOPE SUMMARY PIVOT'!$G$1922:$G$2049, MATCH(DW$1,'STOPE SUMMARY PIVOT'!$A$1922:$A$2049, 0))</f>
        <v>0</v>
      </c>
      <c r="DX52" s="175">
        <f>INDEX('STOPE SUMMARY PIVOT'!$H$1922:$H$2049, MATCH(DW$1,'STOPE SUMMARY PIVOT'!$A$1922:$A$2049, 0))</f>
        <v>0</v>
      </c>
      <c r="DY52" s="154">
        <f>INDEX('STOPE SUMMARY PIVOT'!$G$1922:$G$2049, MATCH(DY$1,'STOPE SUMMARY PIVOT'!$A$1922:$A$2049, 0))</f>
        <v>0</v>
      </c>
      <c r="DZ52" s="175">
        <f>INDEX('STOPE SUMMARY PIVOT'!$H$1922:$H$2049, MATCH(DY$1,'STOPE SUMMARY PIVOT'!$A$1922:$A$2049, 0))</f>
        <v>0</v>
      </c>
      <c r="EA52" s="154">
        <f>INDEX('STOPE SUMMARY PIVOT'!$G$1922:$G$2049, MATCH(EA$1,'STOPE SUMMARY PIVOT'!$A$1922:$A$2049, 0))</f>
        <v>0</v>
      </c>
      <c r="EB52" s="175">
        <f>INDEX('STOPE SUMMARY PIVOT'!$H$1922:$H$2049, MATCH(EA$1,'STOPE SUMMARY PIVOT'!$A$1922:$A$2049, 0))</f>
        <v>0</v>
      </c>
      <c r="EC52" s="154">
        <f>INDEX('STOPE SUMMARY PIVOT'!$G$1922:$G$2049, MATCH(EC$1,'STOPE SUMMARY PIVOT'!$A$1922:$A$2049, 0))</f>
        <v>0</v>
      </c>
      <c r="ED52" s="175">
        <f>INDEX('STOPE SUMMARY PIVOT'!$H$1922:$H$2049, MATCH(EC$1,'STOPE SUMMARY PIVOT'!$A$1922:$A$2049, 0))</f>
        <v>0</v>
      </c>
      <c r="EE52" s="154">
        <f>INDEX('STOPE SUMMARY PIVOT'!$G$1922:$G$2049, MATCH(EE$1,'STOPE SUMMARY PIVOT'!$A$1922:$A$2049, 0))</f>
        <v>0</v>
      </c>
      <c r="EF52" s="175">
        <f>INDEX('STOPE SUMMARY PIVOT'!$H$1922:$H$2049, MATCH(EE$1,'STOPE SUMMARY PIVOT'!$A$1922:$A$2049, 0))</f>
        <v>0</v>
      </c>
      <c r="EG52" s="154">
        <f>INDEX('STOPE SUMMARY PIVOT'!$G$1922:$G$2049, MATCH(EG$1,'STOPE SUMMARY PIVOT'!$A$1922:$A$2049, 0))</f>
        <v>0</v>
      </c>
      <c r="EH52" s="175">
        <f>INDEX('STOPE SUMMARY PIVOT'!$H$1922:$H$2049, MATCH(EG$1,'STOPE SUMMARY PIVOT'!$A$1922:$A$2049, 0))</f>
        <v>0</v>
      </c>
      <c r="EI52" s="154">
        <f>INDEX('STOPE SUMMARY PIVOT'!$G$1922:$G$2049, MATCH(EI$1,'STOPE SUMMARY PIVOT'!$A$1922:$A$2049, 0))</f>
        <v>0</v>
      </c>
      <c r="EJ52" s="175">
        <f>INDEX('STOPE SUMMARY PIVOT'!$H$1922:$H$2049, MATCH(EI$1,'STOPE SUMMARY PIVOT'!$A$1922:$A$2049, 0))</f>
        <v>0</v>
      </c>
      <c r="EK52" s="154">
        <f>INDEX('STOPE SUMMARY PIVOT'!$G$1922:$G$2049, MATCH(EK$1,'STOPE SUMMARY PIVOT'!$A$1922:$A$2049, 0))</f>
        <v>0</v>
      </c>
      <c r="EL52" s="175">
        <f>INDEX('STOPE SUMMARY PIVOT'!$H$1922:$H$2049, MATCH(EK$1,'STOPE SUMMARY PIVOT'!$A$1922:$A$2049, 0))</f>
        <v>0</v>
      </c>
      <c r="EM52" s="154">
        <f>INDEX('STOPE SUMMARY PIVOT'!$G$1922:$G$2049, MATCH(EM$1,'STOPE SUMMARY PIVOT'!$A$1922:$A$2049, 0))</f>
        <v>0</v>
      </c>
      <c r="EN52" s="175">
        <f>INDEX('STOPE SUMMARY PIVOT'!$H$1922:$H$2049, MATCH(EM$1,'STOPE SUMMARY PIVOT'!$A$1922:$A$2049, 0))</f>
        <v>0</v>
      </c>
      <c r="EO52" s="154">
        <f>INDEX('STOPE SUMMARY PIVOT'!$G$1922:$G$2049, MATCH(EO$1,'STOPE SUMMARY PIVOT'!$A$1922:$A$2049, 0))</f>
        <v>1960</v>
      </c>
      <c r="EP52" s="175">
        <f>INDEX('STOPE SUMMARY PIVOT'!$H$1922:$H$2049, MATCH(EO$1,'STOPE SUMMARY PIVOT'!$A$1922:$A$2049, 0))</f>
        <v>3.09</v>
      </c>
      <c r="EQ52" s="154">
        <f>INDEX('STOPE SUMMARY PIVOT'!$G$1922:$G$2049, MATCH(EQ$1,'STOPE SUMMARY PIVOT'!$A$1922:$A$2049, 0))</f>
        <v>0</v>
      </c>
      <c r="ER52" s="175">
        <f>INDEX('STOPE SUMMARY PIVOT'!$H$1922:$H$2049, MATCH(EQ$1,'STOPE SUMMARY PIVOT'!$A$1922:$A$2049, 0))</f>
        <v>0</v>
      </c>
      <c r="ES52" s="154">
        <f>INDEX('STOPE SUMMARY PIVOT'!$G$1922:$G$2049, MATCH(ES$1,'STOPE SUMMARY PIVOT'!$A$1922:$A$2049, 0))</f>
        <v>1960</v>
      </c>
      <c r="ET52" s="175">
        <f>INDEX('STOPE SUMMARY PIVOT'!$H$1922:$H$2049, MATCH(ES$1,'STOPE SUMMARY PIVOT'!$A$1922:$A$2049, 0))</f>
        <v>3.09</v>
      </c>
      <c r="EU52" s="154">
        <f>INDEX('STOPE SUMMARY PIVOT'!$G$1922:$G$2049, MATCH(EU$1,'STOPE SUMMARY PIVOT'!$A$1922:$A$2049, 0))</f>
        <v>1960</v>
      </c>
      <c r="EV52" s="175">
        <f>INDEX('STOPE SUMMARY PIVOT'!$H$1922:$H$2049, MATCH(EU$1,'STOPE SUMMARY PIVOT'!$A$1922:$A$2049, 0))</f>
        <v>2.31</v>
      </c>
      <c r="EW52" s="154">
        <f>INDEX('STOPE SUMMARY PIVOT'!$G$1922:$G$2049, MATCH(EW$1,'STOPE SUMMARY PIVOT'!$A$1922:$A$2049, 0))</f>
        <v>0</v>
      </c>
      <c r="EX52" s="175">
        <f>INDEX('STOPE SUMMARY PIVOT'!$H$1922:$H$2049, MATCH(EW$1,'STOPE SUMMARY PIVOT'!$A$1922:$A$2049, 0))</f>
        <v>0</v>
      </c>
      <c r="EY52" s="154">
        <f>INDEX('STOPE SUMMARY PIVOT'!$G$1922:$G$2049, MATCH(EY$1,'STOPE SUMMARY PIVOT'!$A$1922:$A$2049, 0))</f>
        <v>0</v>
      </c>
      <c r="EZ52" s="175">
        <f>INDEX('STOPE SUMMARY PIVOT'!$H$1922:$H$2049, MATCH(EY$1,'STOPE SUMMARY PIVOT'!$A$1922:$A$2049, 0))</f>
        <v>0</v>
      </c>
      <c r="FA52" s="154">
        <f>INDEX('STOPE SUMMARY PIVOT'!$G$1922:$G$2049, MATCH(FA$1,'STOPE SUMMARY PIVOT'!$A$1922:$A$2049, 0))</f>
        <v>0</v>
      </c>
      <c r="FB52" s="175">
        <f>INDEX('STOPE SUMMARY PIVOT'!$H$1922:$H$2049, MATCH(FA$1,'STOPE SUMMARY PIVOT'!$A$1922:$A$2049, 0))</f>
        <v>0</v>
      </c>
      <c r="FC52" s="154">
        <f>INDEX('STOPE SUMMARY PIVOT'!$G$1922:$G$2049, MATCH(FC$1,'STOPE SUMMARY PIVOT'!$A$1922:$A$2049, 0))</f>
        <v>1960</v>
      </c>
      <c r="FD52" s="175">
        <f>INDEX('STOPE SUMMARY PIVOT'!$H$1922:$H$2049, MATCH(FC$1,'STOPE SUMMARY PIVOT'!$A$1922:$A$2049, 0))</f>
        <v>2.2599999999999998</v>
      </c>
      <c r="FE52" s="154">
        <f>INDEX('STOPE SUMMARY PIVOT'!$G$1922:$G$2049, MATCH(FE$1,'STOPE SUMMARY PIVOT'!$A$1922:$A$2049, 0))</f>
        <v>3920</v>
      </c>
      <c r="FF52" s="175">
        <f>INDEX('STOPE SUMMARY PIVOT'!$H$1922:$H$2049, MATCH(FE$1,'STOPE SUMMARY PIVOT'!$A$1922:$A$2049, 0))</f>
        <v>2.0099999999999998</v>
      </c>
      <c r="FG52" s="154">
        <f>INDEX('STOPE SUMMARY PIVOT'!$G$1922:$G$2049, MATCH(FG$1,'STOPE SUMMARY PIVOT'!$A$1922:$A$2049, 0))</f>
        <v>1960</v>
      </c>
      <c r="FH52" s="175">
        <f>INDEX('STOPE SUMMARY PIVOT'!$H$1922:$H$2049, MATCH(FG$1,'STOPE SUMMARY PIVOT'!$A$1922:$A$2049, 0))</f>
        <v>1.72</v>
      </c>
      <c r="FI52" s="154">
        <f>INDEX('STOPE SUMMARY PIVOT'!$G$1922:$G$2049, MATCH(FI$1,'STOPE SUMMARY PIVOT'!$A$1922:$A$2049, 0))</f>
        <v>0</v>
      </c>
      <c r="FJ52" s="175">
        <f>INDEX('STOPE SUMMARY PIVOT'!$H$1922:$H$2049, MATCH(FI$1,'STOPE SUMMARY PIVOT'!$A$1922:$A$2049, 0))</f>
        <v>0</v>
      </c>
      <c r="FK52" s="154">
        <f>INDEX('STOPE SUMMARY PIVOT'!$G$1922:$G$2049, MATCH(FK$1,'STOPE SUMMARY PIVOT'!$A$1922:$A$2049, 0))</f>
        <v>980</v>
      </c>
      <c r="FL52" s="175">
        <f>INDEX('STOPE SUMMARY PIVOT'!$H$1922:$H$2049, MATCH(FK$1,'STOPE SUMMARY PIVOT'!$A$1922:$A$2049, 0))</f>
        <v>1.42</v>
      </c>
      <c r="FM52" s="154">
        <f>INDEX('STOPE SUMMARY PIVOT'!$G$1922:$G$2049, MATCH(FM$1,'STOPE SUMMARY PIVOT'!$A$1922:$A$2049, 0))</f>
        <v>0</v>
      </c>
      <c r="FN52" s="175">
        <f>INDEX('STOPE SUMMARY PIVOT'!$H$1922:$H$2049, MATCH(FM$1,'STOPE SUMMARY PIVOT'!$A$1922:$A$2049, 0))</f>
        <v>0</v>
      </c>
      <c r="FO52" s="154">
        <f>INDEX('STOPE SUMMARY PIVOT'!$G$1922:$G$2049, MATCH(FO$1,'STOPE SUMMARY PIVOT'!$A$1922:$A$2049, 0))</f>
        <v>0</v>
      </c>
      <c r="FP52" s="175">
        <f>INDEX('STOPE SUMMARY PIVOT'!$H$1922:$H$2049, MATCH(FO$1,'STOPE SUMMARY PIVOT'!$A$1922:$A$2049, 0))</f>
        <v>0</v>
      </c>
      <c r="FQ52" s="154">
        <f>INDEX('STOPE SUMMARY PIVOT'!$G$1922:$G$2049, MATCH(FQ$1,'STOPE SUMMARY PIVOT'!$A$1922:$A$2049, 0))</f>
        <v>0</v>
      </c>
      <c r="FR52" s="175">
        <f>INDEX('STOPE SUMMARY PIVOT'!$H$1922:$H$2049, MATCH(FQ$1,'STOPE SUMMARY PIVOT'!$A$1922:$A$2049, 0))</f>
        <v>0</v>
      </c>
      <c r="FS52" s="154">
        <f>INDEX('STOPE SUMMARY PIVOT'!$G$1922:$G$2049, MATCH(FS$1,'STOPE SUMMARY PIVOT'!$A$1922:$A$2049, 0))</f>
        <v>0</v>
      </c>
      <c r="FT52" s="175">
        <f>INDEX('STOPE SUMMARY PIVOT'!$H$1922:$H$2049, MATCH(FS$1,'STOPE SUMMARY PIVOT'!$A$1922:$A$2049, 0))</f>
        <v>0</v>
      </c>
      <c r="FU52" s="154">
        <f>INDEX('STOPE SUMMARY PIVOT'!$G$1922:$G$2049, MATCH(FU$1,'STOPE SUMMARY PIVOT'!$A$1922:$A$2049, 0))</f>
        <v>0</v>
      </c>
      <c r="FV52" s="175">
        <f>INDEX('STOPE SUMMARY PIVOT'!$H$1922:$H$2049, MATCH(FU$1,'STOPE SUMMARY PIVOT'!$A$1922:$A$2049, 0))</f>
        <v>0</v>
      </c>
      <c r="FW52" s="154">
        <f>INDEX('STOPE SUMMARY PIVOT'!$G$1922:$G$2049, MATCH(FW$1,'STOPE SUMMARY PIVOT'!$A$1922:$A$2049, 0))</f>
        <v>0</v>
      </c>
      <c r="FX52" s="175">
        <f>INDEX('STOPE SUMMARY PIVOT'!$H$1922:$H$2049, MATCH(FW$1,'STOPE SUMMARY PIVOT'!$A$1922:$A$2049, 0))</f>
        <v>0</v>
      </c>
      <c r="FY52" s="154">
        <f>INDEX('STOPE SUMMARY PIVOT'!$G$1922:$G$2049, MATCH(FY$1,'STOPE SUMMARY PIVOT'!$A$1922:$A$2049, 0))</f>
        <v>0</v>
      </c>
      <c r="FZ52" s="175">
        <f>INDEX('STOPE SUMMARY PIVOT'!$H$1922:$H$2049, MATCH(FY$1,'STOPE SUMMARY PIVOT'!$A$1922:$A$2049, 0))</f>
        <v>0</v>
      </c>
      <c r="GA52" s="154">
        <f>INDEX('STOPE SUMMARY PIVOT'!$G$1922:$G$2049, MATCH(GA$1,'STOPE SUMMARY PIVOT'!$A$1922:$A$2049, 0))</f>
        <v>0</v>
      </c>
      <c r="GB52" s="175">
        <f>INDEX('STOPE SUMMARY PIVOT'!$H$1922:$H$2049, MATCH(GA$1,'STOPE SUMMARY PIVOT'!$A$1922:$A$2049, 0))</f>
        <v>0</v>
      </c>
      <c r="GC52" s="154">
        <f>INDEX('STOPE SUMMARY PIVOT'!$G$1922:$G$2049, MATCH(GC$1,'STOPE SUMMARY PIVOT'!$A$1922:$A$2049, 0))</f>
        <v>0</v>
      </c>
      <c r="GD52" s="175">
        <f>INDEX('STOPE SUMMARY PIVOT'!$H$1922:$H$2049, MATCH(GC$1,'STOPE SUMMARY PIVOT'!$A$1922:$A$2049, 0))</f>
        <v>0</v>
      </c>
      <c r="GE52" s="154">
        <f>INDEX('STOPE SUMMARY PIVOT'!$G$1922:$G$2049, MATCH(GE$1,'STOPE SUMMARY PIVOT'!$A$1922:$A$2049, 0))</f>
        <v>0</v>
      </c>
      <c r="GF52" s="175">
        <f>INDEX('STOPE SUMMARY PIVOT'!$H$1922:$H$2049, MATCH(GE$1,'STOPE SUMMARY PIVOT'!$A$1922:$A$2049, 0))</f>
        <v>0</v>
      </c>
      <c r="GG52" s="154">
        <f>INDEX('STOPE SUMMARY PIVOT'!$G$1922:$G$2049, MATCH(GG$1,'STOPE SUMMARY PIVOT'!$A$1922:$A$2049, 0))</f>
        <v>0</v>
      </c>
      <c r="GH52" s="175">
        <f>INDEX('STOPE SUMMARY PIVOT'!$H$1922:$H$2049, MATCH(GG$1,'STOPE SUMMARY PIVOT'!$A$1922:$A$2049, 0))</f>
        <v>0</v>
      </c>
      <c r="GI52" s="154">
        <f>INDEX('STOPE SUMMARY PIVOT'!$G$1922:$G$2049, MATCH(GI$1,'STOPE SUMMARY PIVOT'!$A$1922:$A$2049, 0))</f>
        <v>0</v>
      </c>
      <c r="GJ52" s="175">
        <f>INDEX('STOPE SUMMARY PIVOT'!$H$1922:$H$2049, MATCH(GI$1,'STOPE SUMMARY PIVOT'!$A$1922:$A$2049, 0))</f>
        <v>0</v>
      </c>
      <c r="GK52" s="154">
        <f>INDEX('STOPE SUMMARY PIVOT'!$G$1922:$G$2049, MATCH(GK$1,'STOPE SUMMARY PIVOT'!$A$1922:$A$2049, 0))</f>
        <v>0</v>
      </c>
      <c r="GL52" s="175">
        <f>INDEX('STOPE SUMMARY PIVOT'!$H$1922:$H$2049, MATCH(GK$1,'STOPE SUMMARY PIVOT'!$A$1922:$A$2049, 0))</f>
        <v>0</v>
      </c>
      <c r="GM52" s="154">
        <f>INDEX('STOPE SUMMARY PIVOT'!$G$1922:$G$2049, MATCH(GM$1,'STOPE SUMMARY PIVOT'!$A$1922:$A$2049, 0))</f>
        <v>0</v>
      </c>
      <c r="GN52" s="175">
        <f>INDEX('STOPE SUMMARY PIVOT'!$H$1922:$H$2049, MATCH(GM$1,'STOPE SUMMARY PIVOT'!$A$1922:$A$2049, 0))</f>
        <v>0</v>
      </c>
      <c r="GO52" s="154">
        <f>INDEX('STOPE SUMMARY PIVOT'!$G$1922:$G$2049, MATCH(GO$1,'STOPE SUMMARY PIVOT'!$A$1922:$A$2049, 0))</f>
        <v>0</v>
      </c>
      <c r="GP52" s="175">
        <f>INDEX('STOPE SUMMARY PIVOT'!$H$1922:$H$2049, MATCH(GO$1,'STOPE SUMMARY PIVOT'!$A$1922:$A$2049, 0))</f>
        <v>0</v>
      </c>
      <c r="GQ52" s="154">
        <f>INDEX('STOPE SUMMARY PIVOT'!$G$1922:$G$2049, MATCH(GQ$1,'STOPE SUMMARY PIVOT'!$A$1922:$A$2049, 0))</f>
        <v>0</v>
      </c>
      <c r="GR52" s="175">
        <f>INDEX('STOPE SUMMARY PIVOT'!$H$1922:$H$2049, MATCH(GQ$1,'STOPE SUMMARY PIVOT'!$A$1922:$A$2049, 0))</f>
        <v>0</v>
      </c>
      <c r="GS52" s="154">
        <f>INDEX('STOPE SUMMARY PIVOT'!$G$1922:$G$2049, MATCH(GS$1,'STOPE SUMMARY PIVOT'!$A$1922:$A$2049, 0))</f>
        <v>0</v>
      </c>
      <c r="GT52" s="175">
        <f>INDEX('STOPE SUMMARY PIVOT'!$H$1922:$H$2049, MATCH(GS$1,'STOPE SUMMARY PIVOT'!$A$1922:$A$2049, 0))</f>
        <v>0</v>
      </c>
      <c r="GU52" s="154">
        <f>INDEX('STOPE SUMMARY PIVOT'!$G$1922:$G$2049, MATCH(GU$1,'STOPE SUMMARY PIVOT'!$A$1922:$A$2049, 0))</f>
        <v>0</v>
      </c>
      <c r="GV52" s="175">
        <f>INDEX('STOPE SUMMARY PIVOT'!$H$1922:$H$2049, MATCH(GU$1,'STOPE SUMMARY PIVOT'!$A$1922:$A$2049, 0))</f>
        <v>0</v>
      </c>
      <c r="GW52" s="154">
        <f>INDEX('STOPE SUMMARY PIVOT'!$G$1922:$G$2049, MATCH(GW$1,'STOPE SUMMARY PIVOT'!$A$1922:$A$2049, 0))</f>
        <v>0</v>
      </c>
      <c r="GX52" s="175">
        <f>INDEX('STOPE SUMMARY PIVOT'!$H$1922:$H$2049, MATCH(GW$1,'STOPE SUMMARY PIVOT'!$A$1922:$A$2049, 0))</f>
        <v>0</v>
      </c>
      <c r="GY52" s="154">
        <f>INDEX('STOPE SUMMARY PIVOT'!$G$1922:$G$2049, MATCH(GY$1,'STOPE SUMMARY PIVOT'!$A$1922:$A$2049, 0))</f>
        <v>0</v>
      </c>
      <c r="GZ52" s="175">
        <f>INDEX('STOPE SUMMARY PIVOT'!$H$1922:$H$2049, MATCH(GY$1,'STOPE SUMMARY PIVOT'!$A$1922:$A$2049, 0))</f>
        <v>0</v>
      </c>
      <c r="HA52" s="154">
        <f>INDEX('STOPE SUMMARY PIVOT'!$G$1922:$G$2049, MATCH(HA$1,'STOPE SUMMARY PIVOT'!$A$1922:$A$2049, 0))</f>
        <v>0</v>
      </c>
      <c r="HB52" s="175">
        <f>INDEX('STOPE SUMMARY PIVOT'!$H$1922:$H$2049, MATCH(HA$1,'STOPE SUMMARY PIVOT'!$A$1922:$A$2049, 0))</f>
        <v>0</v>
      </c>
      <c r="HC52" s="154">
        <f>INDEX('STOPE SUMMARY PIVOT'!$G$1922:$G$2049, MATCH(HC$1,'STOPE SUMMARY PIVOT'!$A$1922:$A$2049, 0))</f>
        <v>0</v>
      </c>
      <c r="HD52" s="175">
        <f>INDEX('STOPE SUMMARY PIVOT'!$H$1922:$H$2049, MATCH(HC$1,'STOPE SUMMARY PIVOT'!$A$1922:$A$2049, 0))</f>
        <v>0</v>
      </c>
      <c r="HE52" s="154">
        <f>INDEX('STOPE SUMMARY PIVOT'!$G$1922:$G$2049, MATCH(HE$1,'STOPE SUMMARY PIVOT'!$A$1922:$A$2049, 0))</f>
        <v>0</v>
      </c>
      <c r="HF52" s="175">
        <f>INDEX('STOPE SUMMARY PIVOT'!$H$1922:$H$2049, MATCH(HE$1,'STOPE SUMMARY PIVOT'!$A$1922:$A$2049, 0))</f>
        <v>0</v>
      </c>
      <c r="HG52" s="154">
        <f>INDEX('STOPE SUMMARY PIVOT'!$G$1922:$G$2049, MATCH(HG$1,'STOPE SUMMARY PIVOT'!$A$1922:$A$2049, 0))</f>
        <v>0</v>
      </c>
      <c r="HH52" s="175">
        <f>INDEX('STOPE SUMMARY PIVOT'!$H$1922:$H$2049, MATCH(HG$1,'STOPE SUMMARY PIVOT'!$A$1922:$A$2049, 0))</f>
        <v>0</v>
      </c>
      <c r="HI52" s="154">
        <f>INDEX('STOPE SUMMARY PIVOT'!$G$1922:$G$2049, MATCH(HI$1,'STOPE SUMMARY PIVOT'!$A$1922:$A$2049, 0))</f>
        <v>0</v>
      </c>
      <c r="HJ52" s="175">
        <f>INDEX('STOPE SUMMARY PIVOT'!$H$1922:$H$2049, MATCH(HI$1,'STOPE SUMMARY PIVOT'!$A$1922:$A$2049, 0))</f>
        <v>0</v>
      </c>
      <c r="HK52" s="154">
        <f>INDEX('STOPE SUMMARY PIVOT'!$G$1922:$G$2049, MATCH(HK$1,'STOPE SUMMARY PIVOT'!$A$1922:$A$2049, 0))</f>
        <v>0</v>
      </c>
      <c r="HL52" s="175">
        <f>INDEX('STOPE SUMMARY PIVOT'!$H$1922:$H$2049, MATCH(HK$1,'STOPE SUMMARY PIVOT'!$A$1922:$A$2049, 0))</f>
        <v>0</v>
      </c>
      <c r="HM52" s="154">
        <f>INDEX('STOPE SUMMARY PIVOT'!$G$1922:$G$2049, MATCH(HM$1,'STOPE SUMMARY PIVOT'!$A$1922:$A$2049, 0))</f>
        <v>0</v>
      </c>
      <c r="HN52" s="175">
        <f>INDEX('STOPE SUMMARY PIVOT'!$H$1922:$H$2049, MATCH(HM$1,'STOPE SUMMARY PIVOT'!$A$1922:$A$2049, 0))</f>
        <v>0</v>
      </c>
      <c r="HO52" s="154">
        <f>INDEX('STOPE SUMMARY PIVOT'!$G$1922:$G$2049, MATCH(HO$1,'STOPE SUMMARY PIVOT'!$A$1922:$A$2049, 0))</f>
        <v>0</v>
      </c>
      <c r="HP52" s="175">
        <f>INDEX('STOPE SUMMARY PIVOT'!$H$1922:$H$2049, MATCH(HO$1,'STOPE SUMMARY PIVOT'!$A$1922:$A$2049, 0))</f>
        <v>0</v>
      </c>
      <c r="HQ52" s="154">
        <f>INDEX('STOPE SUMMARY PIVOT'!$G$1922:$G$2049, MATCH(HQ$1,'STOPE SUMMARY PIVOT'!$A$1922:$A$2049, 0))</f>
        <v>0</v>
      </c>
      <c r="HR52" s="175">
        <f>INDEX('STOPE SUMMARY PIVOT'!$H$1922:$H$2049, MATCH(HQ$1,'STOPE SUMMARY PIVOT'!$A$1922:$A$2049, 0))</f>
        <v>0</v>
      </c>
      <c r="HS52" s="154">
        <f>INDEX('STOPE SUMMARY PIVOT'!$G$1922:$G$2049, MATCH(HS$1,'STOPE SUMMARY PIVOT'!$A$1922:$A$2049, 0))</f>
        <v>0</v>
      </c>
      <c r="HT52" s="175">
        <f>INDEX('STOPE SUMMARY PIVOT'!$H$1922:$H$2049, MATCH(HS$1,'STOPE SUMMARY PIVOT'!$A$1922:$A$2049, 0))</f>
        <v>0</v>
      </c>
      <c r="HU52" s="154">
        <f>INDEX('STOPE SUMMARY PIVOT'!$G$1922:$G$2049, MATCH(HU$1,'STOPE SUMMARY PIVOT'!$A$1922:$A$2049, 0))</f>
        <v>0</v>
      </c>
      <c r="HV52" s="175">
        <f>INDEX('STOPE SUMMARY PIVOT'!$H$1922:$H$2049, MATCH(HU$1,'STOPE SUMMARY PIVOT'!$A$1922:$A$2049, 0))</f>
        <v>0</v>
      </c>
      <c r="HW52" s="154">
        <f>INDEX('STOPE SUMMARY PIVOT'!$G$1922:$G$2049, MATCH(HW$1,'STOPE SUMMARY PIVOT'!$A$1922:$A$2049, 0))</f>
        <v>0</v>
      </c>
      <c r="HX52" s="175">
        <f>INDEX('STOPE SUMMARY PIVOT'!$H$1922:$H$2049, MATCH(HW$1,'STOPE SUMMARY PIVOT'!$A$1922:$A$2049, 0))</f>
        <v>0</v>
      </c>
      <c r="HY52" s="154">
        <f>INDEX('STOPE SUMMARY PIVOT'!$G$1922:$G$2049, MATCH(HY$1,'STOPE SUMMARY PIVOT'!$A$1922:$A$2049, 0))</f>
        <v>0</v>
      </c>
      <c r="HZ52" s="175">
        <f>INDEX('STOPE SUMMARY PIVOT'!$H$1922:$H$2049, MATCH(HY$1,'STOPE SUMMARY PIVOT'!$A$1922:$A$2049, 0))</f>
        <v>0</v>
      </c>
      <c r="IA52" s="154">
        <f>INDEX('STOPE SUMMARY PIVOT'!$G$1922:$G$2049, MATCH(IA$1,'STOPE SUMMARY PIVOT'!$A$1922:$A$2049, 0))</f>
        <v>0</v>
      </c>
      <c r="IB52" s="175">
        <f>INDEX('STOPE SUMMARY PIVOT'!$H$1922:$H$2049, MATCH(IA$1,'STOPE SUMMARY PIVOT'!$A$1922:$A$2049, 0))</f>
        <v>0</v>
      </c>
      <c r="IC52" s="154">
        <f>INDEX('STOPE SUMMARY PIVOT'!$G$1922:$G$2049, MATCH(IC$1,'STOPE SUMMARY PIVOT'!$A$1922:$A$2049, 0))</f>
        <v>0</v>
      </c>
      <c r="ID52" s="175">
        <f>INDEX('STOPE SUMMARY PIVOT'!$H$1922:$H$2049, MATCH(IC$1,'STOPE SUMMARY PIVOT'!$A$1922:$A$2049, 0))</f>
        <v>0</v>
      </c>
      <c r="IE52" s="154">
        <f>INDEX('STOPE SUMMARY PIVOT'!$G$1922:$G$2049, MATCH(IE$1,'STOPE SUMMARY PIVOT'!$A$1922:$A$2049, 0))</f>
        <v>0</v>
      </c>
      <c r="IF52" s="175">
        <f>INDEX('STOPE SUMMARY PIVOT'!$H$1922:$H$2049, MATCH(IE$1,'STOPE SUMMARY PIVOT'!$A$1922:$A$2049, 0))</f>
        <v>0</v>
      </c>
      <c r="IG52" s="154">
        <f>INDEX('STOPE SUMMARY PIVOT'!$G$1922:$G$2049, MATCH(IG$1,'STOPE SUMMARY PIVOT'!$A$1922:$A$2049, 0))</f>
        <v>0</v>
      </c>
      <c r="IH52" s="175">
        <f>INDEX('STOPE SUMMARY PIVOT'!$H$1922:$H$2049, MATCH(IG$1,'STOPE SUMMARY PIVOT'!$A$1922:$A$2049, 0))</f>
        <v>0</v>
      </c>
      <c r="II52" s="154">
        <f>INDEX('STOPE SUMMARY PIVOT'!$G$1922:$G$2049, MATCH(II$1,'STOPE SUMMARY PIVOT'!$A$1922:$A$2049, 0))</f>
        <v>0</v>
      </c>
      <c r="IJ52" s="175">
        <f>INDEX('STOPE SUMMARY PIVOT'!$H$1922:$H$2049, MATCH(II$1,'STOPE SUMMARY PIVOT'!$A$1922:$A$2049, 0))</f>
        <v>0</v>
      </c>
      <c r="IK52" s="154">
        <f>INDEX('STOPE SUMMARY PIVOT'!$G$1922:$G$2049, MATCH(IK$1,'STOPE SUMMARY PIVOT'!$A$1922:$A$2049, 0))</f>
        <v>0</v>
      </c>
      <c r="IL52" s="175">
        <f>INDEX('STOPE SUMMARY PIVOT'!$H$1922:$H$2049, MATCH(IK$1,'STOPE SUMMARY PIVOT'!$A$1922:$A$2049, 0))</f>
        <v>0</v>
      </c>
      <c r="IM52" s="154">
        <f>INDEX('STOPE SUMMARY PIVOT'!$G$1922:$G$2049, MATCH(IM$1,'STOPE SUMMARY PIVOT'!$A$1922:$A$2049, 0))</f>
        <v>0</v>
      </c>
      <c r="IN52" s="175">
        <f>INDEX('STOPE SUMMARY PIVOT'!$H$1922:$H$2049, MATCH(IM$1,'STOPE SUMMARY PIVOT'!$A$1922:$A$2049, 0))</f>
        <v>0</v>
      </c>
      <c r="IO52" s="154">
        <f>INDEX('STOPE SUMMARY PIVOT'!$G$1922:$G$2049, MATCH(IO$1,'STOPE SUMMARY PIVOT'!$A$1922:$A$2049, 0))</f>
        <v>0</v>
      </c>
      <c r="IP52" s="175">
        <f>INDEX('STOPE SUMMARY PIVOT'!$H$1922:$H$2049, MATCH(IO$1,'STOPE SUMMARY PIVOT'!$A$1922:$A$2049, 0))</f>
        <v>0</v>
      </c>
      <c r="IQ52" s="154">
        <f>INDEX('STOPE SUMMARY PIVOT'!$G$1922:$G$2049, MATCH(IQ$1,'STOPE SUMMARY PIVOT'!$A$1922:$A$2049, 0))</f>
        <v>0</v>
      </c>
      <c r="IR52" s="175">
        <f>INDEX('STOPE SUMMARY PIVOT'!$H$1922:$H$2049, MATCH(IQ$1,'STOPE SUMMARY PIVOT'!$A$1922:$A$2049, 0))</f>
        <v>0</v>
      </c>
      <c r="IS52" s="154">
        <f>INDEX('STOPE SUMMARY PIVOT'!$G$1922:$G$2049, MATCH(IS$1,'STOPE SUMMARY PIVOT'!$A$1922:$A$2049, 0))</f>
        <v>0</v>
      </c>
      <c r="IT52" s="175">
        <f>INDEX('STOPE SUMMARY PIVOT'!$H$1922:$H$2049, MATCH(IS$1,'STOPE SUMMARY PIVOT'!$A$1922:$A$2049, 0))</f>
        <v>0</v>
      </c>
      <c r="IU52" s="154">
        <f>INDEX('STOPE SUMMARY PIVOT'!$G$1922:$G$2049, MATCH(IU$1,'STOPE SUMMARY PIVOT'!$A$1922:$A$2049, 0))</f>
        <v>0</v>
      </c>
      <c r="IV52" s="175">
        <f>INDEX('STOPE SUMMARY PIVOT'!$H$1922:$H$2049, MATCH(IU$1,'STOPE SUMMARY PIVOT'!$A$1922:$A$2049, 0))</f>
        <v>0</v>
      </c>
      <c r="IW52" s="154">
        <f>INDEX('STOPE SUMMARY PIVOT'!$G$1922:$G$2049, MATCH(IW$1,'STOPE SUMMARY PIVOT'!$A$1922:$A$2049, 0))</f>
        <v>0</v>
      </c>
      <c r="IX52" s="175">
        <f>INDEX('STOPE SUMMARY PIVOT'!$H$1922:$H$2049, MATCH(IW$1,'STOPE SUMMARY PIVOT'!$A$1922:$A$2049, 0))</f>
        <v>0</v>
      </c>
      <c r="IY52" s="154">
        <f>INDEX('STOPE SUMMARY PIVOT'!$G$1922:$G$2049, MATCH(IY$1,'STOPE SUMMARY PIVOT'!$A$1922:$A$2049, 0))</f>
        <v>0</v>
      </c>
      <c r="IZ52" s="175">
        <f>INDEX('STOPE SUMMARY PIVOT'!$H$1922:$H$2049, MATCH(IY$1,'STOPE SUMMARY PIVOT'!$A$1922:$A$2049, 0))</f>
        <v>0</v>
      </c>
    </row>
    <row r="53" spans="1:260" ht="15.75" thickBot="1" x14ac:dyDescent="0.3">
      <c r="A53" s="1591"/>
      <c r="B53" s="169" t="s">
        <v>5</v>
      </c>
      <c r="C53" s="170" cm="1">
        <f t="array" ref="C53">SUM(_xlfn._xlws.FILTER(E53:IZ53, MOD(COLUMN(E53:IZ53)-COLUMN(E53)+1,2)=1))</f>
        <v>26376.6</v>
      </c>
      <c r="D53" s="171" cm="1">
        <f t="array" ref="D53">IFERROR(SUMPRODUCT(_xlfn._xlws.FILTER(E53:IZ53, MOD(COLUMN(E53:IZ53)-COLUMN(E53)+1,2)=1), _xlfn._xlws.FILTER(E53:IZ53, MOD(COLUMN(E53:IZ53)-COLUMN(E53)+1,2)=0))/C53,"")</f>
        <v>2.3922719380056567</v>
      </c>
      <c r="E53" s="172">
        <f>INDEX('STOPE SUMMARY PIVOT'!$J$1922:$J$2049, MATCH(E$1,'STOPE SUMMARY PIVOT'!$A$1922:$A$2049, 0))</f>
        <v>2125</v>
      </c>
      <c r="F53" s="176">
        <f>INDEX('STOPE SUMMARY PIVOT'!$K$1922:$K$2049, MATCH(E$1,'STOPE SUMMARY PIVOT'!$A$1922:$A$2049, 0))</f>
        <v>1.882352941176471</v>
      </c>
      <c r="G53" s="172">
        <f>INDEX('STOPE SUMMARY PIVOT'!$J$1922:$J$2049, MATCH(G$1,'STOPE SUMMARY PIVOT'!$A$1922:$A$2049, 0))</f>
        <v>0</v>
      </c>
      <c r="H53" s="176">
        <f>INDEX('STOPE SUMMARY PIVOT'!$K$1922:$K$2049, MATCH(G$1,'STOPE SUMMARY PIVOT'!$A$1922:$A$2049, 0))</f>
        <v>0</v>
      </c>
      <c r="I53" s="172">
        <f>INDEX('STOPE SUMMARY PIVOT'!$J$1922:$J$2049, MATCH(I$1,'STOPE SUMMARY PIVOT'!$A$1922:$A$2049, 0))</f>
        <v>0</v>
      </c>
      <c r="J53" s="173">
        <f>INDEX('STOPE SUMMARY PIVOT'!$K$1922:$K$2049, MATCH(I$1,'STOPE SUMMARY PIVOT'!$A$1922:$A$2049, 0))</f>
        <v>0</v>
      </c>
      <c r="K53" s="172">
        <f>INDEX('STOPE SUMMARY PIVOT'!$J$1922:$J$2049, MATCH(K$1,'STOPE SUMMARY PIVOT'!$A$1922:$A$2049, 0))</f>
        <v>0</v>
      </c>
      <c r="L53" s="173">
        <f>INDEX('STOPE SUMMARY PIVOT'!$K$1922:$K$2049, MATCH(K$1,'STOPE SUMMARY PIVOT'!$A$1922:$A$2049, 0))</f>
        <v>0</v>
      </c>
      <c r="M53" s="172">
        <f>INDEX('STOPE SUMMARY PIVOT'!$J$1922:$J$2049, MATCH(M$1,'STOPE SUMMARY PIVOT'!$A$1922:$A$2049, 0))</f>
        <v>0</v>
      </c>
      <c r="N53" s="173">
        <f>INDEX('STOPE SUMMARY PIVOT'!$K$1922:$K$2049, MATCH(M$1,'STOPE SUMMARY PIVOT'!$A$1922:$A$2049, 0))</f>
        <v>0</v>
      </c>
      <c r="O53" s="172">
        <f>INDEX('STOPE SUMMARY PIVOT'!$J$1922:$J$2049, MATCH(O$1,'STOPE SUMMARY PIVOT'!$A$1922:$A$2049, 0))</f>
        <v>0</v>
      </c>
      <c r="P53" s="173">
        <f>INDEX('STOPE SUMMARY PIVOT'!$K$1922:$K$2049, MATCH(O$1,'STOPE SUMMARY PIVOT'!$A$1922:$A$2049, 0))</f>
        <v>0</v>
      </c>
      <c r="Q53" s="172">
        <f>INDEX('STOPE SUMMARY PIVOT'!$J$1922:$J$2049, MATCH(Q$1,'STOPE SUMMARY PIVOT'!$A$1922:$A$2049, 0))</f>
        <v>0</v>
      </c>
      <c r="R53" s="173">
        <f>INDEX('STOPE SUMMARY PIVOT'!$K$1922:$K$2049, MATCH(Q$1,'STOPE SUMMARY PIVOT'!$A$1922:$A$2049, 0))</f>
        <v>0</v>
      </c>
      <c r="S53" s="172">
        <f>INDEX('STOPE SUMMARY PIVOT'!$J$1922:$J$2049, MATCH(S$1,'STOPE SUMMARY PIVOT'!$A$1922:$A$2049, 0))</f>
        <v>0</v>
      </c>
      <c r="T53" s="173">
        <f>INDEX('STOPE SUMMARY PIVOT'!$K$1922:$K$2049, MATCH(S$1,'STOPE SUMMARY PIVOT'!$A$1922:$A$2049, 0))</f>
        <v>0</v>
      </c>
      <c r="U53" s="172">
        <f>INDEX('STOPE SUMMARY PIVOT'!$J$1922:$J$2049, MATCH(U$1,'STOPE SUMMARY PIVOT'!$A$1922:$A$2049, 0))</f>
        <v>0</v>
      </c>
      <c r="V53" s="176">
        <f>INDEX('STOPE SUMMARY PIVOT'!$K$1922:$K$2049, MATCH(U$1,'STOPE SUMMARY PIVOT'!$A$1922:$A$2049, 0))</f>
        <v>0</v>
      </c>
      <c r="W53" s="172">
        <f>INDEX('STOPE SUMMARY PIVOT'!$J$1922:$J$2049, MATCH(W$1,'STOPE SUMMARY PIVOT'!$A$1922:$A$2049, 0))</f>
        <v>0</v>
      </c>
      <c r="X53" s="176">
        <f>INDEX('STOPE SUMMARY PIVOT'!$K$1922:$K$2049, MATCH(W$1,'STOPE SUMMARY PIVOT'!$A$1922:$A$2049, 0))</f>
        <v>0</v>
      </c>
      <c r="Y53" s="172">
        <f>INDEX('STOPE SUMMARY PIVOT'!$J$1922:$J$2049, MATCH(Y$1,'STOPE SUMMARY PIVOT'!$A$1922:$A$2049, 0))</f>
        <v>2726</v>
      </c>
      <c r="Z53" s="176">
        <f>INDEX('STOPE SUMMARY PIVOT'!$K$1922:$K$2049, MATCH(Y$1,'STOPE SUMMARY PIVOT'!$A$1922:$A$2049, 0))</f>
        <v>2.0542920029347025</v>
      </c>
      <c r="AA53" s="172">
        <f>INDEX('STOPE SUMMARY PIVOT'!$J$1922:$J$2049, MATCH(AA$1,'STOPE SUMMARY PIVOT'!$A$1922:$A$2049, 0))</f>
        <v>0</v>
      </c>
      <c r="AB53" s="176">
        <f>INDEX('STOPE SUMMARY PIVOT'!$K$1922:$K$2049, MATCH(AA$1,'STOPE SUMMARY PIVOT'!$A$1922:$A$2049, 0))</f>
        <v>0</v>
      </c>
      <c r="AC53" s="172">
        <f>INDEX('STOPE SUMMARY PIVOT'!$J$1922:$J$2049, MATCH(AC$1,'STOPE SUMMARY PIVOT'!$A$1922:$A$2049, 0))</f>
        <v>0</v>
      </c>
      <c r="AD53" s="176">
        <f>INDEX('STOPE SUMMARY PIVOT'!$K$1922:$K$2049, MATCH(AC$1,'STOPE SUMMARY PIVOT'!$A$1922:$A$2049, 0))</f>
        <v>0</v>
      </c>
      <c r="AE53" s="172">
        <f>INDEX('STOPE SUMMARY PIVOT'!$J$1922:$J$2049, MATCH(AE$1,'STOPE SUMMARY PIVOT'!$A$1922:$A$2049, 0))</f>
        <v>0</v>
      </c>
      <c r="AF53" s="176">
        <f>INDEX('STOPE SUMMARY PIVOT'!$K$1922:$K$2049, MATCH(AE$1,'STOPE SUMMARY PIVOT'!$A$1922:$A$2049, 0))</f>
        <v>0</v>
      </c>
      <c r="AG53" s="172">
        <f>INDEX('STOPE SUMMARY PIVOT'!$J$1922:$J$2049, MATCH(AG$1,'STOPE SUMMARY PIVOT'!$A$1922:$A$2049, 0))</f>
        <v>0</v>
      </c>
      <c r="AH53" s="176">
        <f>INDEX('STOPE SUMMARY PIVOT'!$K$1922:$K$2049, MATCH(AG$1,'STOPE SUMMARY PIVOT'!$A$1922:$A$2049, 0))</f>
        <v>0</v>
      </c>
      <c r="AI53" s="172">
        <f>INDEX('STOPE SUMMARY PIVOT'!$J$1922:$J$2049, MATCH(AI$1,'STOPE SUMMARY PIVOT'!$A$1922:$A$2049, 0))</f>
        <v>0</v>
      </c>
      <c r="AJ53" s="176">
        <f>INDEX('STOPE SUMMARY PIVOT'!$K$1922:$K$2049, MATCH(AI$1,'STOPE SUMMARY PIVOT'!$A$1922:$A$2049, 0))</f>
        <v>0</v>
      </c>
      <c r="AK53" s="172">
        <f>INDEX('STOPE SUMMARY PIVOT'!$J$1922:$J$2049, MATCH(AK$1,'STOPE SUMMARY PIVOT'!$A$1922:$A$2049, 0))</f>
        <v>0</v>
      </c>
      <c r="AL53" s="176">
        <f>INDEX('STOPE SUMMARY PIVOT'!$K$1922:$K$2049, MATCH(AK$1,'STOPE SUMMARY PIVOT'!$A$1922:$A$2049, 0))</f>
        <v>0</v>
      </c>
      <c r="AM53" s="172">
        <f>INDEX('STOPE SUMMARY PIVOT'!$J$1922:$J$2049, MATCH(AM$1,'STOPE SUMMARY PIVOT'!$A$1922:$A$2049, 0))</f>
        <v>0</v>
      </c>
      <c r="AN53" s="176">
        <f>INDEX('STOPE SUMMARY PIVOT'!$K$1922:$K$2049, MATCH(AM$1,'STOPE SUMMARY PIVOT'!$A$1922:$A$2049, 0))</f>
        <v>0</v>
      </c>
      <c r="AO53" s="172">
        <f>INDEX('STOPE SUMMARY PIVOT'!$J$1922:$J$2049, MATCH(AO$1,'STOPE SUMMARY PIVOT'!$A$1922:$A$2049, 0))</f>
        <v>0</v>
      </c>
      <c r="AP53" s="176">
        <f>INDEX('STOPE SUMMARY PIVOT'!$K$1922:$K$2049, MATCH(AO$1,'STOPE SUMMARY PIVOT'!$A$1922:$A$2049, 0))</f>
        <v>0</v>
      </c>
      <c r="AQ53" s="172">
        <f>INDEX('STOPE SUMMARY PIVOT'!$J$1922:$J$2049, MATCH(AQ$1,'STOPE SUMMARY PIVOT'!$A$1922:$A$2049, 0))</f>
        <v>0</v>
      </c>
      <c r="AR53" s="176">
        <f>INDEX('STOPE SUMMARY PIVOT'!$K$1922:$K$2049, MATCH(AQ$1,'STOPE SUMMARY PIVOT'!$A$1922:$A$2049, 0))</f>
        <v>0</v>
      </c>
      <c r="AS53" s="172">
        <f>INDEX('STOPE SUMMARY PIVOT'!$J$1922:$J$2049, MATCH(AS$1,'STOPE SUMMARY PIVOT'!$A$1922:$A$2049, 0))</f>
        <v>0</v>
      </c>
      <c r="AT53" s="176">
        <f>INDEX('STOPE SUMMARY PIVOT'!$K$1922:$K$2049, MATCH(AS$1,'STOPE SUMMARY PIVOT'!$A$1922:$A$2049, 0))</f>
        <v>0</v>
      </c>
      <c r="AU53" s="172">
        <f>INDEX('STOPE SUMMARY PIVOT'!$J$1922:$J$2049, MATCH(AU$1,'STOPE SUMMARY PIVOT'!$A$1922:$A$2049, 0))</f>
        <v>0</v>
      </c>
      <c r="AV53" s="176">
        <f>INDEX('STOPE SUMMARY PIVOT'!$K$1922:$K$2049, MATCH(AU$1,'STOPE SUMMARY PIVOT'!$A$1922:$A$2049, 0))</f>
        <v>0</v>
      </c>
      <c r="AW53" s="172">
        <f>INDEX('STOPE SUMMARY PIVOT'!$J$1922:$J$2049, MATCH(AW$1,'STOPE SUMMARY PIVOT'!$A$1922:$A$2049, 0))</f>
        <v>0</v>
      </c>
      <c r="AX53" s="176">
        <f>INDEX('STOPE SUMMARY PIVOT'!$K$1922:$K$2049, MATCH(AW$1,'STOPE SUMMARY PIVOT'!$A$1922:$A$2049, 0))</f>
        <v>0</v>
      </c>
      <c r="AY53" s="172">
        <f>INDEX('STOPE SUMMARY PIVOT'!$J$1922:$J$2049, MATCH(AY$1,'STOPE SUMMARY PIVOT'!$A$1922:$A$2049, 0))</f>
        <v>0</v>
      </c>
      <c r="AZ53" s="176">
        <f>INDEX('STOPE SUMMARY PIVOT'!$K$1922:$K$2049, MATCH(AY$1,'STOPE SUMMARY PIVOT'!$A$1922:$A$2049, 0))</f>
        <v>0</v>
      </c>
      <c r="BA53" s="172">
        <f>INDEX('STOPE SUMMARY PIVOT'!$J$1922:$J$2049, MATCH(BA$1,'STOPE SUMMARY PIVOT'!$A$1922:$A$2049, 0))</f>
        <v>0</v>
      </c>
      <c r="BB53" s="176">
        <f>INDEX('STOPE SUMMARY PIVOT'!$K$1922:$K$2049, MATCH(BA$1,'STOPE SUMMARY PIVOT'!$A$1922:$A$2049, 0))</f>
        <v>0</v>
      </c>
      <c r="BC53" s="172">
        <f>INDEX('STOPE SUMMARY PIVOT'!$J$1922:$J$2049, MATCH(BC$1,'STOPE SUMMARY PIVOT'!$A$1922:$A$2049, 0))</f>
        <v>0</v>
      </c>
      <c r="BD53" s="176">
        <f>INDEX('STOPE SUMMARY PIVOT'!$K$1922:$K$2049, MATCH(BC$1,'STOPE SUMMARY PIVOT'!$A$1922:$A$2049, 0))</f>
        <v>0</v>
      </c>
      <c r="BE53" s="172">
        <f>INDEX('STOPE SUMMARY PIVOT'!$J$1922:$J$2049, MATCH(BE$1,'STOPE SUMMARY PIVOT'!$A$1922:$A$2049, 0))</f>
        <v>0</v>
      </c>
      <c r="BF53" s="176">
        <f>INDEX('STOPE SUMMARY PIVOT'!$K$1922:$K$2049, MATCH(BE$1,'STOPE SUMMARY PIVOT'!$A$1922:$A$2049, 0))</f>
        <v>0</v>
      </c>
      <c r="BG53" s="172">
        <f>INDEX('STOPE SUMMARY PIVOT'!$J$1922:$J$2049, MATCH(BG$1,'STOPE SUMMARY PIVOT'!$A$1922:$A$2049, 0))</f>
        <v>0</v>
      </c>
      <c r="BH53" s="176">
        <f>INDEX('STOPE SUMMARY PIVOT'!$K$1922:$K$2049, MATCH(BG$1,'STOPE SUMMARY PIVOT'!$A$1922:$A$2049, 0))</f>
        <v>0</v>
      </c>
      <c r="BI53" s="172">
        <f>INDEX('STOPE SUMMARY PIVOT'!$J$1922:$J$2049, MATCH(BI$1,'STOPE SUMMARY PIVOT'!$A$1922:$A$2049, 0))</f>
        <v>0</v>
      </c>
      <c r="BJ53" s="176">
        <f>INDEX('STOPE SUMMARY PIVOT'!$K$1922:$K$2049, MATCH(BI$1,'STOPE SUMMARY PIVOT'!$A$1922:$A$2049, 0))</f>
        <v>0</v>
      </c>
      <c r="BK53" s="172">
        <f>INDEX('STOPE SUMMARY PIVOT'!$J$1922:$J$2049, MATCH(BK$1,'STOPE SUMMARY PIVOT'!$A$1922:$A$2049, 0))</f>
        <v>0</v>
      </c>
      <c r="BL53" s="176">
        <f>INDEX('STOPE SUMMARY PIVOT'!$K$1922:$K$2049, MATCH(BK$1,'STOPE SUMMARY PIVOT'!$A$1922:$A$2049, 0))</f>
        <v>0</v>
      </c>
      <c r="BM53" s="172">
        <f>INDEX('STOPE SUMMARY PIVOT'!$J$1922:$J$2049, MATCH(BM$1,'STOPE SUMMARY PIVOT'!$A$1922:$A$2049, 0))</f>
        <v>0</v>
      </c>
      <c r="BN53" s="176">
        <f>INDEX('STOPE SUMMARY PIVOT'!$K$1922:$K$2049, MATCH(BM$1,'STOPE SUMMARY PIVOT'!$A$1922:$A$2049, 0))</f>
        <v>0</v>
      </c>
      <c r="BO53" s="172">
        <f>INDEX('STOPE SUMMARY PIVOT'!$J$1922:$J$2049, MATCH(BO$1,'STOPE SUMMARY PIVOT'!$A$1922:$A$2049, 0))</f>
        <v>0</v>
      </c>
      <c r="BP53" s="176">
        <f>INDEX('STOPE SUMMARY PIVOT'!$K$1922:$K$2049, MATCH(BO$1,'STOPE SUMMARY PIVOT'!$A$1922:$A$2049, 0))</f>
        <v>0</v>
      </c>
      <c r="BQ53" s="172">
        <f>INDEX('STOPE SUMMARY PIVOT'!$J$1922:$J$2049, MATCH(BQ$1,'STOPE SUMMARY PIVOT'!$A$1922:$A$2049, 0))</f>
        <v>0</v>
      </c>
      <c r="BR53" s="176">
        <f>INDEX('STOPE SUMMARY PIVOT'!$K$1922:$K$2049, MATCH(BQ$1,'STOPE SUMMARY PIVOT'!$A$1922:$A$2049, 0))</f>
        <v>0</v>
      </c>
      <c r="BS53" s="172">
        <f>INDEX('STOPE SUMMARY PIVOT'!$J$1922:$J$2049, MATCH(BS$1,'STOPE SUMMARY PIVOT'!$A$1922:$A$2049, 0))</f>
        <v>0</v>
      </c>
      <c r="BT53" s="176">
        <f>INDEX('STOPE SUMMARY PIVOT'!$K$1922:$K$2049, MATCH(BS$1,'STOPE SUMMARY PIVOT'!$A$1922:$A$2049, 0))</f>
        <v>0</v>
      </c>
      <c r="BU53" s="172">
        <f>INDEX('STOPE SUMMARY PIVOT'!$J$1922:$J$2049, MATCH(BU$1,'STOPE SUMMARY PIVOT'!$A$1922:$A$2049, 0))</f>
        <v>0</v>
      </c>
      <c r="BV53" s="176">
        <f>INDEX('STOPE SUMMARY PIVOT'!$K$1922:$K$2049, MATCH(BU$1,'STOPE SUMMARY PIVOT'!$A$1922:$A$2049, 0))</f>
        <v>0</v>
      </c>
      <c r="BW53" s="172">
        <f>INDEX('STOPE SUMMARY PIVOT'!$J$1922:$J$2049, MATCH(BW$1,'STOPE SUMMARY PIVOT'!$A$1922:$A$2049, 0))</f>
        <v>0</v>
      </c>
      <c r="BX53" s="176">
        <f>INDEX('STOPE SUMMARY PIVOT'!$K$1922:$K$2049, MATCH(BW$1,'STOPE SUMMARY PIVOT'!$A$1922:$A$2049, 0))</f>
        <v>0</v>
      </c>
      <c r="BY53" s="172">
        <f>INDEX('STOPE SUMMARY PIVOT'!$J$1922:$J$2049, MATCH(BY$1,'STOPE SUMMARY PIVOT'!$A$1922:$A$2049, 0))</f>
        <v>0</v>
      </c>
      <c r="BZ53" s="176">
        <f>INDEX('STOPE SUMMARY PIVOT'!$K$1922:$K$2049, MATCH(BY$1,'STOPE SUMMARY PIVOT'!$A$1922:$A$2049, 0))</f>
        <v>0</v>
      </c>
      <c r="CA53" s="172">
        <f>INDEX('STOPE SUMMARY PIVOT'!$J$1922:$J$2049, MATCH(CA$1,'STOPE SUMMARY PIVOT'!$A$1922:$A$2049, 0))</f>
        <v>0</v>
      </c>
      <c r="CB53" s="176">
        <f>INDEX('STOPE SUMMARY PIVOT'!$K$1922:$K$2049, MATCH(CA$1,'STOPE SUMMARY PIVOT'!$A$1922:$A$2049, 0))</f>
        <v>0</v>
      </c>
      <c r="CC53" s="172">
        <f>INDEX('STOPE SUMMARY PIVOT'!$J$1922:$J$2049, MATCH(CC$1,'STOPE SUMMARY PIVOT'!$A$1922:$A$2049, 0))</f>
        <v>0</v>
      </c>
      <c r="CD53" s="176">
        <f>INDEX('STOPE SUMMARY PIVOT'!$K$1922:$K$2049, MATCH(CC$1,'STOPE SUMMARY PIVOT'!$A$1922:$A$2049, 0))</f>
        <v>0</v>
      </c>
      <c r="CE53" s="172">
        <f>INDEX('STOPE SUMMARY PIVOT'!$J$1922:$J$2049, MATCH(CE$1,'STOPE SUMMARY PIVOT'!$A$1922:$A$2049, 0))</f>
        <v>0</v>
      </c>
      <c r="CF53" s="176">
        <f>INDEX('STOPE SUMMARY PIVOT'!$K$1922:$K$2049, MATCH(CE$1,'STOPE SUMMARY PIVOT'!$A$1922:$A$2049, 0))</f>
        <v>0</v>
      </c>
      <c r="CG53" s="172">
        <f>INDEX('STOPE SUMMARY PIVOT'!$J$1922:$J$2049, MATCH(CG$1,'STOPE SUMMARY PIVOT'!$A$1922:$A$2049, 0))</f>
        <v>0</v>
      </c>
      <c r="CH53" s="176">
        <f>INDEX('STOPE SUMMARY PIVOT'!$K$1922:$K$2049, MATCH(CG$1,'STOPE SUMMARY PIVOT'!$A$1922:$A$2049, 0))</f>
        <v>0</v>
      </c>
      <c r="CI53" s="172">
        <f>INDEX('STOPE SUMMARY PIVOT'!$J$1922:$J$2049, MATCH(CI$1,'STOPE SUMMARY PIVOT'!$A$1922:$A$2049, 0))</f>
        <v>0</v>
      </c>
      <c r="CJ53" s="176">
        <f>INDEX('STOPE SUMMARY PIVOT'!$K$1922:$K$2049, MATCH(CI$1,'STOPE SUMMARY PIVOT'!$A$1922:$A$2049, 0))</f>
        <v>0</v>
      </c>
      <c r="CK53" s="172">
        <f>INDEX('STOPE SUMMARY PIVOT'!$J$1922:$J$2049, MATCH(CK$1,'STOPE SUMMARY PIVOT'!$A$1922:$A$2049, 0))</f>
        <v>0</v>
      </c>
      <c r="CL53" s="176">
        <f>INDEX('STOPE SUMMARY PIVOT'!$K$1922:$K$2049, MATCH(CK$1,'STOPE SUMMARY PIVOT'!$A$1922:$A$2049, 0))</f>
        <v>0</v>
      </c>
      <c r="CM53" s="172">
        <f>INDEX('STOPE SUMMARY PIVOT'!$J$1922:$J$2049, MATCH(CM$1,'STOPE SUMMARY PIVOT'!$A$1922:$A$2049, 0))</f>
        <v>0</v>
      </c>
      <c r="CN53" s="176">
        <f>INDEX('STOPE SUMMARY PIVOT'!$K$1922:$K$2049, MATCH(CM$1,'STOPE SUMMARY PIVOT'!$A$1922:$A$2049, 0))</f>
        <v>0</v>
      </c>
      <c r="CO53" s="172">
        <f>INDEX('STOPE SUMMARY PIVOT'!$J$1922:$J$2049, MATCH(CO$1,'STOPE SUMMARY PIVOT'!$A$1922:$A$2049, 0))</f>
        <v>0</v>
      </c>
      <c r="CP53" s="176">
        <f>INDEX('STOPE SUMMARY PIVOT'!$K$1922:$K$2049, MATCH(CO$1,'STOPE SUMMARY PIVOT'!$A$1922:$A$2049, 0))</f>
        <v>0</v>
      </c>
      <c r="CQ53" s="172">
        <f>INDEX('STOPE SUMMARY PIVOT'!$J$1922:$J$2049, MATCH(CQ$1,'STOPE SUMMARY PIVOT'!$A$1922:$A$2049, 0))</f>
        <v>0</v>
      </c>
      <c r="CR53" s="176">
        <f>INDEX('STOPE SUMMARY PIVOT'!$K$1922:$K$2049, MATCH(CQ$1,'STOPE SUMMARY PIVOT'!$A$1922:$A$2049, 0))</f>
        <v>0</v>
      </c>
      <c r="CS53" s="172">
        <f>INDEX('STOPE SUMMARY PIVOT'!$J$1922:$J$2049, MATCH(CS$1,'STOPE SUMMARY PIVOT'!$A$1922:$A$2049, 0))</f>
        <v>4161</v>
      </c>
      <c r="CT53" s="176">
        <f>INDEX('STOPE SUMMARY PIVOT'!$K$1922:$K$2049, MATCH(CS$1,'STOPE SUMMARY PIVOT'!$A$1922:$A$2049, 0))</f>
        <v>2.2590723383801965</v>
      </c>
      <c r="CU53" s="172">
        <f>INDEX('STOPE SUMMARY PIVOT'!$J$1922:$J$2049, MATCH(CU$1,'STOPE SUMMARY PIVOT'!$A$1922:$A$2049, 0))</f>
        <v>0</v>
      </c>
      <c r="CV53" s="176">
        <f>INDEX('STOPE SUMMARY PIVOT'!$K$1922:$K$2049, MATCH(CU$1,'STOPE SUMMARY PIVOT'!$A$1922:$A$2049, 0))</f>
        <v>0</v>
      </c>
      <c r="CW53" s="172">
        <f>INDEX('STOPE SUMMARY PIVOT'!$J$1922:$J$2049, MATCH(CW$1,'STOPE SUMMARY PIVOT'!$A$1922:$A$2049, 0))</f>
        <v>0</v>
      </c>
      <c r="CX53" s="176">
        <f>INDEX('STOPE SUMMARY PIVOT'!$K$1922:$K$2049, MATCH(CW$1,'STOPE SUMMARY PIVOT'!$A$1922:$A$2049, 0))</f>
        <v>0</v>
      </c>
      <c r="CY53" s="172">
        <f>INDEX('STOPE SUMMARY PIVOT'!$J$1922:$J$2049, MATCH(CY$1,'STOPE SUMMARY PIVOT'!$A$1922:$A$2049, 0))</f>
        <v>1695</v>
      </c>
      <c r="CZ53" s="176">
        <f>INDEX('STOPE SUMMARY PIVOT'!$K$1922:$K$2049, MATCH(CY$1,'STOPE SUMMARY PIVOT'!$A$1922:$A$2049, 0))</f>
        <v>2.3598820058997054</v>
      </c>
      <c r="DA53" s="172">
        <f>INDEX('STOPE SUMMARY PIVOT'!$J$1922:$J$2049, MATCH(DA$1,'STOPE SUMMARY PIVOT'!$A$1922:$A$2049, 0))</f>
        <v>0</v>
      </c>
      <c r="DB53" s="176">
        <f>INDEX('STOPE SUMMARY PIVOT'!$K$1922:$K$2049, MATCH(DA$1,'STOPE SUMMARY PIVOT'!$A$1922:$A$2049, 0))</f>
        <v>0</v>
      </c>
      <c r="DC53" s="172">
        <f>INDEX('STOPE SUMMARY PIVOT'!$J$1922:$J$2049, MATCH(DC$1,'STOPE SUMMARY PIVOT'!$A$1922:$A$2049, 0))</f>
        <v>0</v>
      </c>
      <c r="DD53" s="176">
        <f>INDEX('STOPE SUMMARY PIVOT'!$K$1922:$K$2049, MATCH(DC$1,'STOPE SUMMARY PIVOT'!$A$1922:$A$2049, 0))</f>
        <v>0</v>
      </c>
      <c r="DE53" s="172">
        <f>INDEX('STOPE SUMMARY PIVOT'!$J$1922:$J$2049, MATCH(DE$1,'STOPE SUMMARY PIVOT'!$A$1922:$A$2049, 0))</f>
        <v>0</v>
      </c>
      <c r="DF53" s="176">
        <f>INDEX('STOPE SUMMARY PIVOT'!$K$1922:$K$2049, MATCH(DE$1,'STOPE SUMMARY PIVOT'!$A$1922:$A$2049, 0))</f>
        <v>0</v>
      </c>
      <c r="DG53" s="172">
        <f>INDEX('STOPE SUMMARY PIVOT'!$J$1922:$J$2049, MATCH(DG$1,'STOPE SUMMARY PIVOT'!$A$1922:$A$2049, 0))</f>
        <v>0</v>
      </c>
      <c r="DH53" s="176">
        <f>INDEX('STOPE SUMMARY PIVOT'!$K$1922:$K$2049, MATCH(DG$1,'STOPE SUMMARY PIVOT'!$A$1922:$A$2049, 0))</f>
        <v>0</v>
      </c>
      <c r="DI53" s="172">
        <f>INDEX('STOPE SUMMARY PIVOT'!$J$1922:$J$2049, MATCH(DI$1,'STOPE SUMMARY PIVOT'!$A$1922:$A$2049, 0))</f>
        <v>0</v>
      </c>
      <c r="DJ53" s="176">
        <f>INDEX('STOPE SUMMARY PIVOT'!$K$1922:$K$2049, MATCH(DI$1,'STOPE SUMMARY PIVOT'!$A$1922:$A$2049, 0))</f>
        <v>0</v>
      </c>
      <c r="DK53" s="172">
        <f>INDEX('STOPE SUMMARY PIVOT'!$J$1922:$J$2049, MATCH(DK$1,'STOPE SUMMARY PIVOT'!$A$1922:$A$2049, 0))</f>
        <v>0</v>
      </c>
      <c r="DL53" s="176">
        <f>INDEX('STOPE SUMMARY PIVOT'!$K$1922:$K$2049, MATCH(DK$1,'STOPE SUMMARY PIVOT'!$A$1922:$A$2049, 0))</f>
        <v>0</v>
      </c>
      <c r="DM53" s="172">
        <f>INDEX('STOPE SUMMARY PIVOT'!$J$1922:$J$2049, MATCH(DM$1,'STOPE SUMMARY PIVOT'!$A$1922:$A$2049, 0))</f>
        <v>0</v>
      </c>
      <c r="DN53" s="176">
        <f>INDEX('STOPE SUMMARY PIVOT'!$K$1922:$K$2049, MATCH(DM$1,'STOPE SUMMARY PIVOT'!$A$1922:$A$2049, 0))</f>
        <v>0</v>
      </c>
      <c r="DO53" s="172">
        <f>INDEX('STOPE SUMMARY PIVOT'!$J$1922:$J$2049, MATCH(DO$1,'STOPE SUMMARY PIVOT'!$A$1922:$A$2049, 0))</f>
        <v>0</v>
      </c>
      <c r="DP53" s="176">
        <f>INDEX('STOPE SUMMARY PIVOT'!$K$1922:$K$2049, MATCH(DO$1,'STOPE SUMMARY PIVOT'!$A$1922:$A$2049, 0))</f>
        <v>0</v>
      </c>
      <c r="DQ53" s="172">
        <f>INDEX('STOPE SUMMARY PIVOT'!$J$1922:$J$2049, MATCH(DQ$1,'STOPE SUMMARY PIVOT'!$A$1922:$A$2049, 0))</f>
        <v>1481</v>
      </c>
      <c r="DR53" s="176">
        <f>INDEX('STOPE SUMMARY PIVOT'!$K$1922:$K$2049, MATCH(DQ$1,'STOPE SUMMARY PIVOT'!$A$1922:$A$2049, 0))</f>
        <v>2.160702228224173</v>
      </c>
      <c r="DS53" s="172">
        <f>INDEX('STOPE SUMMARY PIVOT'!$J$1922:$J$2049, MATCH(DS$1,'STOPE SUMMARY PIVOT'!$A$1922:$A$2049, 0))</f>
        <v>1881</v>
      </c>
      <c r="DT53" s="176">
        <f>INDEX('STOPE SUMMARY PIVOT'!$K$1922:$K$2049, MATCH(DS$1,'STOPE SUMMARY PIVOT'!$A$1922:$A$2049, 0))</f>
        <v>3.0834662413609788</v>
      </c>
      <c r="DU53" s="172">
        <f>INDEX('STOPE SUMMARY PIVOT'!$J$1922:$J$2049, MATCH(DU$1,'STOPE SUMMARY PIVOT'!$A$1922:$A$2049, 0))</f>
        <v>0</v>
      </c>
      <c r="DV53" s="176">
        <f>INDEX('STOPE SUMMARY PIVOT'!$K$1922:$K$2049, MATCH(DU$1,'STOPE SUMMARY PIVOT'!$A$1922:$A$2049, 0))</f>
        <v>0</v>
      </c>
      <c r="DW53" s="172">
        <f>INDEX('STOPE SUMMARY PIVOT'!$J$1922:$J$2049, MATCH(DW$1,'STOPE SUMMARY PIVOT'!$A$1922:$A$2049, 0))</f>
        <v>0</v>
      </c>
      <c r="DX53" s="176">
        <f>INDEX('STOPE SUMMARY PIVOT'!$K$1922:$K$2049, MATCH(DW$1,'STOPE SUMMARY PIVOT'!$A$1922:$A$2049, 0))</f>
        <v>0</v>
      </c>
      <c r="DY53" s="172">
        <f>INDEX('STOPE SUMMARY PIVOT'!$J$1922:$J$2049, MATCH(DY$1,'STOPE SUMMARY PIVOT'!$A$1922:$A$2049, 0))</f>
        <v>0</v>
      </c>
      <c r="DZ53" s="176">
        <f>INDEX('STOPE SUMMARY PIVOT'!$K$1922:$K$2049, MATCH(DY$1,'STOPE SUMMARY PIVOT'!$A$1922:$A$2049, 0))</f>
        <v>0</v>
      </c>
      <c r="EA53" s="172">
        <f>INDEX('STOPE SUMMARY PIVOT'!$J$1922:$J$2049, MATCH(EA$1,'STOPE SUMMARY PIVOT'!$A$1922:$A$2049, 0))</f>
        <v>0</v>
      </c>
      <c r="EB53" s="176">
        <f>INDEX('STOPE SUMMARY PIVOT'!$K$1922:$K$2049, MATCH(EA$1,'STOPE SUMMARY PIVOT'!$A$1922:$A$2049, 0))</f>
        <v>0</v>
      </c>
      <c r="EC53" s="172">
        <f>INDEX('STOPE SUMMARY PIVOT'!$J$1922:$J$2049, MATCH(EC$1,'STOPE SUMMARY PIVOT'!$A$1922:$A$2049, 0))</f>
        <v>0</v>
      </c>
      <c r="ED53" s="176">
        <f>INDEX('STOPE SUMMARY PIVOT'!$K$1922:$K$2049, MATCH(EC$1,'STOPE SUMMARY PIVOT'!$A$1922:$A$2049, 0))</f>
        <v>0</v>
      </c>
      <c r="EE53" s="172">
        <f>INDEX('STOPE SUMMARY PIVOT'!$J$1922:$J$2049, MATCH(EE$1,'STOPE SUMMARY PIVOT'!$A$1922:$A$2049, 0))</f>
        <v>0</v>
      </c>
      <c r="EF53" s="176">
        <f>INDEX('STOPE SUMMARY PIVOT'!$K$1922:$K$2049, MATCH(EE$1,'STOPE SUMMARY PIVOT'!$A$1922:$A$2049, 0))</f>
        <v>0</v>
      </c>
      <c r="EG53" s="172">
        <f>INDEX('STOPE SUMMARY PIVOT'!$J$1922:$J$2049, MATCH(EG$1,'STOPE SUMMARY PIVOT'!$A$1922:$A$2049, 0))</f>
        <v>0</v>
      </c>
      <c r="EH53" s="176">
        <f>INDEX('STOPE SUMMARY PIVOT'!$K$1922:$K$2049, MATCH(EG$1,'STOPE SUMMARY PIVOT'!$A$1922:$A$2049, 0))</f>
        <v>0</v>
      </c>
      <c r="EI53" s="172">
        <f>INDEX('STOPE SUMMARY PIVOT'!$J$1922:$J$2049, MATCH(EI$1,'STOPE SUMMARY PIVOT'!$A$1922:$A$2049, 0))</f>
        <v>0</v>
      </c>
      <c r="EJ53" s="176">
        <f>INDEX('STOPE SUMMARY PIVOT'!$K$1922:$K$2049, MATCH(EI$1,'STOPE SUMMARY PIVOT'!$A$1922:$A$2049, 0))</f>
        <v>0</v>
      </c>
      <c r="EK53" s="172">
        <f>INDEX('STOPE SUMMARY PIVOT'!$J$1922:$J$2049, MATCH(EK$1,'STOPE SUMMARY PIVOT'!$A$1922:$A$2049, 0))</f>
        <v>0</v>
      </c>
      <c r="EL53" s="176">
        <f>INDEX('STOPE SUMMARY PIVOT'!$K$1922:$K$2049, MATCH(EK$1,'STOPE SUMMARY PIVOT'!$A$1922:$A$2049, 0))</f>
        <v>0</v>
      </c>
      <c r="EM53" s="172">
        <f>INDEX('STOPE SUMMARY PIVOT'!$J$1922:$J$2049, MATCH(EM$1,'STOPE SUMMARY PIVOT'!$A$1922:$A$2049, 0))</f>
        <v>0</v>
      </c>
      <c r="EN53" s="176">
        <f>INDEX('STOPE SUMMARY PIVOT'!$K$1922:$K$2049, MATCH(EM$1,'STOPE SUMMARY PIVOT'!$A$1922:$A$2049, 0))</f>
        <v>0</v>
      </c>
      <c r="EO53" s="172">
        <f>INDEX('STOPE SUMMARY PIVOT'!$J$1922:$J$2049, MATCH(EO$1,'STOPE SUMMARY PIVOT'!$A$1922:$A$2049, 0))</f>
        <v>1723</v>
      </c>
      <c r="EP53" s="176">
        <f>INDEX('STOPE SUMMARY PIVOT'!$K$1922:$K$2049, MATCH(EO$1,'STOPE SUMMARY PIVOT'!$A$1922:$A$2049, 0))</f>
        <v>3.1921067904817186</v>
      </c>
      <c r="EQ53" s="172">
        <f>INDEX('STOPE SUMMARY PIVOT'!$J$1922:$J$2049, MATCH(EQ$1,'STOPE SUMMARY PIVOT'!$A$1922:$A$2049, 0))</f>
        <v>0</v>
      </c>
      <c r="ER53" s="176">
        <f>INDEX('STOPE SUMMARY PIVOT'!$K$1922:$K$2049, MATCH(EQ$1,'STOPE SUMMARY PIVOT'!$A$1922:$A$2049, 0))</f>
        <v>0</v>
      </c>
      <c r="ES53" s="172">
        <f>INDEX('STOPE SUMMARY PIVOT'!$J$1922:$J$2049, MATCH(ES$1,'STOPE SUMMARY PIVOT'!$A$1922:$A$2049, 0))</f>
        <v>2443</v>
      </c>
      <c r="ET53" s="176">
        <f>INDEX('STOPE SUMMARY PIVOT'!$K$1922:$K$2049, MATCH(ES$1,'STOPE SUMMARY PIVOT'!$A$1922:$A$2049, 0))</f>
        <v>1.7601309864920185</v>
      </c>
      <c r="EU53" s="172">
        <f>INDEX('STOPE SUMMARY PIVOT'!$J$1922:$J$2049, MATCH(EU$1,'STOPE SUMMARY PIVOT'!$A$1922:$A$2049, 0))</f>
        <v>2199</v>
      </c>
      <c r="EV53" s="176">
        <f>INDEX('STOPE SUMMARY PIVOT'!$K$1922:$K$2049, MATCH(EU$1,'STOPE SUMMARY PIVOT'!$A$1922:$A$2049, 0))</f>
        <v>2.4556616643929057</v>
      </c>
      <c r="EW53" s="172">
        <f>INDEX('STOPE SUMMARY PIVOT'!$J$1922:$J$2049, MATCH(EW$1,'STOPE SUMMARY PIVOT'!$A$1922:$A$2049, 0))</f>
        <v>0</v>
      </c>
      <c r="EX53" s="176">
        <f>INDEX('STOPE SUMMARY PIVOT'!$K$1922:$K$2049, MATCH(EW$1,'STOPE SUMMARY PIVOT'!$A$1922:$A$2049, 0))</f>
        <v>0</v>
      </c>
      <c r="EY53" s="172">
        <f>INDEX('STOPE SUMMARY PIVOT'!$J$1922:$J$2049, MATCH(EY$1,'STOPE SUMMARY PIVOT'!$A$1922:$A$2049, 0))</f>
        <v>0</v>
      </c>
      <c r="EZ53" s="176">
        <f>INDEX('STOPE SUMMARY PIVOT'!$K$1922:$K$2049, MATCH(EY$1,'STOPE SUMMARY PIVOT'!$A$1922:$A$2049, 0))</f>
        <v>0</v>
      </c>
      <c r="FA53" s="172">
        <f>INDEX('STOPE SUMMARY PIVOT'!$J$1922:$J$2049, MATCH(FA$1,'STOPE SUMMARY PIVOT'!$A$1922:$A$2049, 0))</f>
        <v>0</v>
      </c>
      <c r="FB53" s="176">
        <f>INDEX('STOPE SUMMARY PIVOT'!$K$1922:$K$2049, MATCH(FA$1,'STOPE SUMMARY PIVOT'!$A$1922:$A$2049, 0))</f>
        <v>0</v>
      </c>
      <c r="FC53" s="172">
        <f>INDEX('STOPE SUMMARY PIVOT'!$J$1922:$J$2049, MATCH(FC$1,'STOPE SUMMARY PIVOT'!$A$1922:$A$2049, 0))</f>
        <v>1134</v>
      </c>
      <c r="FD53" s="176">
        <f>INDEX('STOPE SUMMARY PIVOT'!$K$1922:$K$2049, MATCH(FC$1,'STOPE SUMMARY PIVOT'!$A$1922:$A$2049, 0))</f>
        <v>1.5873015873015877</v>
      </c>
      <c r="FE53" s="172">
        <f>INDEX('STOPE SUMMARY PIVOT'!$J$1922:$J$2049, MATCH(FE$1,'STOPE SUMMARY PIVOT'!$A$1922:$A$2049, 0))</f>
        <v>2858.6</v>
      </c>
      <c r="FF53" s="176">
        <f>INDEX('STOPE SUMMARY PIVOT'!$K$1922:$K$2049, MATCH(FE$1,'STOPE SUMMARY PIVOT'!$A$1922:$A$2049, 0))</f>
        <v>2.5536976142167491</v>
      </c>
      <c r="FG53" s="172">
        <f>INDEX('STOPE SUMMARY PIVOT'!$J$1922:$J$2049, MATCH(FG$1,'STOPE SUMMARY PIVOT'!$A$1922:$A$2049, 0))</f>
        <v>1950</v>
      </c>
      <c r="FH53" s="176">
        <f>INDEX('STOPE SUMMARY PIVOT'!$K$1922:$K$2049, MATCH(FG$1,'STOPE SUMMARY PIVOT'!$A$1922:$A$2049, 0))</f>
        <v>3.4871794871794868</v>
      </c>
      <c r="FI53" s="172">
        <f>INDEX('STOPE SUMMARY PIVOT'!$J$1922:$J$2049, MATCH(FI$1,'STOPE SUMMARY PIVOT'!$A$1922:$A$2049, 0))</f>
        <v>0</v>
      </c>
      <c r="FJ53" s="176">
        <f>INDEX('STOPE SUMMARY PIVOT'!$K$1922:$K$2049, MATCH(FI$1,'STOPE SUMMARY PIVOT'!$A$1922:$A$2049, 0))</f>
        <v>0</v>
      </c>
      <c r="FK53" s="172">
        <f>INDEX('STOPE SUMMARY PIVOT'!$J$1922:$J$2049, MATCH(FK$1,'STOPE SUMMARY PIVOT'!$A$1922:$A$2049, 0))</f>
        <v>0</v>
      </c>
      <c r="FL53" s="176">
        <f>INDEX('STOPE SUMMARY PIVOT'!$K$1922:$K$2049, MATCH(FK$1,'STOPE SUMMARY PIVOT'!$A$1922:$A$2049, 0))</f>
        <v>0</v>
      </c>
      <c r="FM53" s="172">
        <f>INDEX('STOPE SUMMARY PIVOT'!$J$1922:$J$2049, MATCH(FM$1,'STOPE SUMMARY PIVOT'!$A$1922:$A$2049, 0))</f>
        <v>0</v>
      </c>
      <c r="FN53" s="176">
        <f>INDEX('STOPE SUMMARY PIVOT'!$K$1922:$K$2049, MATCH(FM$1,'STOPE SUMMARY PIVOT'!$A$1922:$A$2049, 0))</f>
        <v>0</v>
      </c>
      <c r="FO53" s="172">
        <f>INDEX('STOPE SUMMARY PIVOT'!$J$1922:$J$2049, MATCH(FO$1,'STOPE SUMMARY PIVOT'!$A$1922:$A$2049, 0))</f>
        <v>0</v>
      </c>
      <c r="FP53" s="176">
        <f>INDEX('STOPE SUMMARY PIVOT'!$K$1922:$K$2049, MATCH(FO$1,'STOPE SUMMARY PIVOT'!$A$1922:$A$2049, 0))</f>
        <v>0</v>
      </c>
      <c r="FQ53" s="172">
        <f>INDEX('STOPE SUMMARY PIVOT'!$J$1922:$J$2049, MATCH(FQ$1,'STOPE SUMMARY PIVOT'!$A$1922:$A$2049, 0))</f>
        <v>0</v>
      </c>
      <c r="FR53" s="176">
        <f>INDEX('STOPE SUMMARY PIVOT'!$K$1922:$K$2049, MATCH(FQ$1,'STOPE SUMMARY PIVOT'!$A$1922:$A$2049, 0))</f>
        <v>0</v>
      </c>
      <c r="FS53" s="172">
        <f>INDEX('STOPE SUMMARY PIVOT'!$J$1922:$J$2049, MATCH(FS$1,'STOPE SUMMARY PIVOT'!$A$1922:$A$2049, 0))</f>
        <v>0</v>
      </c>
      <c r="FT53" s="176">
        <f>INDEX('STOPE SUMMARY PIVOT'!$K$1922:$K$2049, MATCH(FS$1,'STOPE SUMMARY PIVOT'!$A$1922:$A$2049, 0))</f>
        <v>0</v>
      </c>
      <c r="FU53" s="172">
        <f>INDEX('STOPE SUMMARY PIVOT'!$J$1922:$J$2049, MATCH(FU$1,'STOPE SUMMARY PIVOT'!$A$1922:$A$2049, 0))</f>
        <v>0</v>
      </c>
      <c r="FV53" s="176">
        <f>INDEX('STOPE SUMMARY PIVOT'!$K$1922:$K$2049, MATCH(FU$1,'STOPE SUMMARY PIVOT'!$A$1922:$A$2049, 0))</f>
        <v>0</v>
      </c>
      <c r="FW53" s="172">
        <f>INDEX('STOPE SUMMARY PIVOT'!$J$1922:$J$2049, MATCH(FW$1,'STOPE SUMMARY PIVOT'!$A$1922:$A$2049, 0))</f>
        <v>0</v>
      </c>
      <c r="FX53" s="176">
        <f>INDEX('STOPE SUMMARY PIVOT'!$K$1922:$K$2049, MATCH(FW$1,'STOPE SUMMARY PIVOT'!$A$1922:$A$2049, 0))</f>
        <v>0</v>
      </c>
      <c r="FY53" s="172">
        <f>INDEX('STOPE SUMMARY PIVOT'!$J$1922:$J$2049, MATCH(FY$1,'STOPE SUMMARY PIVOT'!$A$1922:$A$2049, 0))</f>
        <v>0</v>
      </c>
      <c r="FZ53" s="176">
        <f>INDEX('STOPE SUMMARY PIVOT'!$K$1922:$K$2049, MATCH(FY$1,'STOPE SUMMARY PIVOT'!$A$1922:$A$2049, 0))</f>
        <v>0</v>
      </c>
      <c r="GA53" s="172">
        <f>INDEX('STOPE SUMMARY PIVOT'!$J$1922:$J$2049, MATCH(GA$1,'STOPE SUMMARY PIVOT'!$A$1922:$A$2049, 0))</f>
        <v>0</v>
      </c>
      <c r="GB53" s="176">
        <f>INDEX('STOPE SUMMARY PIVOT'!$K$1922:$K$2049, MATCH(GA$1,'STOPE SUMMARY PIVOT'!$A$1922:$A$2049, 0))</f>
        <v>0</v>
      </c>
      <c r="GC53" s="172">
        <f>INDEX('STOPE SUMMARY PIVOT'!$J$1922:$J$2049, MATCH(GC$1,'STOPE SUMMARY PIVOT'!$A$1922:$A$2049, 0))</f>
        <v>0</v>
      </c>
      <c r="GD53" s="176">
        <f>INDEX('STOPE SUMMARY PIVOT'!$K$1922:$K$2049, MATCH(GC$1,'STOPE SUMMARY PIVOT'!$A$1922:$A$2049, 0))</f>
        <v>0</v>
      </c>
      <c r="GE53" s="172">
        <f>INDEX('STOPE SUMMARY PIVOT'!$J$1922:$J$2049, MATCH(GE$1,'STOPE SUMMARY PIVOT'!$A$1922:$A$2049, 0))</f>
        <v>0</v>
      </c>
      <c r="GF53" s="176">
        <f>INDEX('STOPE SUMMARY PIVOT'!$K$1922:$K$2049, MATCH(GE$1,'STOPE SUMMARY PIVOT'!$A$1922:$A$2049, 0))</f>
        <v>0</v>
      </c>
      <c r="GG53" s="172">
        <f>INDEX('STOPE SUMMARY PIVOT'!$J$1922:$J$2049, MATCH(GG$1,'STOPE SUMMARY PIVOT'!$A$1922:$A$2049, 0))</f>
        <v>0</v>
      </c>
      <c r="GH53" s="176">
        <f>INDEX('STOPE SUMMARY PIVOT'!$K$1922:$K$2049, MATCH(GG$1,'STOPE SUMMARY PIVOT'!$A$1922:$A$2049, 0))</f>
        <v>0</v>
      </c>
      <c r="GI53" s="172">
        <f>INDEX('STOPE SUMMARY PIVOT'!$J$1922:$J$2049, MATCH(GI$1,'STOPE SUMMARY PIVOT'!$A$1922:$A$2049, 0))</f>
        <v>0</v>
      </c>
      <c r="GJ53" s="176">
        <f>INDEX('STOPE SUMMARY PIVOT'!$K$1922:$K$2049, MATCH(GI$1,'STOPE SUMMARY PIVOT'!$A$1922:$A$2049, 0))</f>
        <v>0</v>
      </c>
      <c r="GK53" s="172">
        <f>INDEX('STOPE SUMMARY PIVOT'!$J$1922:$J$2049, MATCH(GK$1,'STOPE SUMMARY PIVOT'!$A$1922:$A$2049, 0))</f>
        <v>0</v>
      </c>
      <c r="GL53" s="176">
        <f>INDEX('STOPE SUMMARY PIVOT'!$K$1922:$K$2049, MATCH(GK$1,'STOPE SUMMARY PIVOT'!$A$1922:$A$2049, 0))</f>
        <v>0</v>
      </c>
      <c r="GM53" s="172">
        <f>INDEX('STOPE SUMMARY PIVOT'!$J$1922:$J$2049, MATCH(GM$1,'STOPE SUMMARY PIVOT'!$A$1922:$A$2049, 0))</f>
        <v>0</v>
      </c>
      <c r="GN53" s="176">
        <f>INDEX('STOPE SUMMARY PIVOT'!$K$1922:$K$2049, MATCH(GM$1,'STOPE SUMMARY PIVOT'!$A$1922:$A$2049, 0))</f>
        <v>0</v>
      </c>
      <c r="GO53" s="172">
        <f>INDEX('STOPE SUMMARY PIVOT'!$J$1922:$J$2049, MATCH(GO$1,'STOPE SUMMARY PIVOT'!$A$1922:$A$2049, 0))</f>
        <v>0</v>
      </c>
      <c r="GP53" s="176">
        <f>INDEX('STOPE SUMMARY PIVOT'!$K$1922:$K$2049, MATCH(GO$1,'STOPE SUMMARY PIVOT'!$A$1922:$A$2049, 0))</f>
        <v>0</v>
      </c>
      <c r="GQ53" s="172">
        <f>INDEX('STOPE SUMMARY PIVOT'!$J$1922:$J$2049, MATCH(GQ$1,'STOPE SUMMARY PIVOT'!$A$1922:$A$2049, 0))</f>
        <v>0</v>
      </c>
      <c r="GR53" s="176">
        <f>INDEX('STOPE SUMMARY PIVOT'!$K$1922:$K$2049, MATCH(GQ$1,'STOPE SUMMARY PIVOT'!$A$1922:$A$2049, 0))</f>
        <v>0</v>
      </c>
      <c r="GS53" s="172">
        <f>INDEX('STOPE SUMMARY PIVOT'!$J$1922:$J$2049, MATCH(GS$1,'STOPE SUMMARY PIVOT'!$A$1922:$A$2049, 0))</f>
        <v>0</v>
      </c>
      <c r="GT53" s="176">
        <f>INDEX('STOPE SUMMARY PIVOT'!$K$1922:$K$2049, MATCH(GS$1,'STOPE SUMMARY PIVOT'!$A$1922:$A$2049, 0))</f>
        <v>0</v>
      </c>
      <c r="GU53" s="172">
        <f>INDEX('STOPE SUMMARY PIVOT'!$J$1922:$J$2049, MATCH(GU$1,'STOPE SUMMARY PIVOT'!$A$1922:$A$2049, 0))</f>
        <v>0</v>
      </c>
      <c r="GV53" s="176">
        <f>INDEX('STOPE SUMMARY PIVOT'!$K$1922:$K$2049, MATCH(GU$1,'STOPE SUMMARY PIVOT'!$A$1922:$A$2049, 0))</f>
        <v>0</v>
      </c>
      <c r="GW53" s="172">
        <f>INDEX('STOPE SUMMARY PIVOT'!$J$1922:$J$2049, MATCH(GW$1,'STOPE SUMMARY PIVOT'!$A$1922:$A$2049, 0))</f>
        <v>0</v>
      </c>
      <c r="GX53" s="176">
        <f>INDEX('STOPE SUMMARY PIVOT'!$K$1922:$K$2049, MATCH(GW$1,'STOPE SUMMARY PIVOT'!$A$1922:$A$2049, 0))</f>
        <v>0</v>
      </c>
      <c r="GY53" s="172">
        <f>INDEX('STOPE SUMMARY PIVOT'!$J$1922:$J$2049, MATCH(GY$1,'STOPE SUMMARY PIVOT'!$A$1922:$A$2049, 0))</f>
        <v>0</v>
      </c>
      <c r="GZ53" s="176">
        <f>INDEX('STOPE SUMMARY PIVOT'!$K$1922:$K$2049, MATCH(GY$1,'STOPE SUMMARY PIVOT'!$A$1922:$A$2049, 0))</f>
        <v>0</v>
      </c>
      <c r="HA53" s="172">
        <f>INDEX('STOPE SUMMARY PIVOT'!$J$1922:$J$2049, MATCH(HA$1,'STOPE SUMMARY PIVOT'!$A$1922:$A$2049, 0))</f>
        <v>0</v>
      </c>
      <c r="HB53" s="176">
        <f>INDEX('STOPE SUMMARY PIVOT'!$K$1922:$K$2049, MATCH(HA$1,'STOPE SUMMARY PIVOT'!$A$1922:$A$2049, 0))</f>
        <v>0</v>
      </c>
      <c r="HC53" s="172">
        <f>INDEX('STOPE SUMMARY PIVOT'!$J$1922:$J$2049, MATCH(HC$1,'STOPE SUMMARY PIVOT'!$A$1922:$A$2049, 0))</f>
        <v>0</v>
      </c>
      <c r="HD53" s="176">
        <f>INDEX('STOPE SUMMARY PIVOT'!$K$1922:$K$2049, MATCH(HC$1,'STOPE SUMMARY PIVOT'!$A$1922:$A$2049, 0))</f>
        <v>0</v>
      </c>
      <c r="HE53" s="172">
        <f>INDEX('STOPE SUMMARY PIVOT'!$J$1922:$J$2049, MATCH(HE$1,'STOPE SUMMARY PIVOT'!$A$1922:$A$2049, 0))</f>
        <v>0</v>
      </c>
      <c r="HF53" s="176">
        <f>INDEX('STOPE SUMMARY PIVOT'!$K$1922:$K$2049, MATCH(HE$1,'STOPE SUMMARY PIVOT'!$A$1922:$A$2049, 0))</f>
        <v>0</v>
      </c>
      <c r="HG53" s="172">
        <f>INDEX('STOPE SUMMARY PIVOT'!$J$1922:$J$2049, MATCH(HG$1,'STOPE SUMMARY PIVOT'!$A$1922:$A$2049, 0))</f>
        <v>0</v>
      </c>
      <c r="HH53" s="176">
        <f>INDEX('STOPE SUMMARY PIVOT'!$K$1922:$K$2049, MATCH(HG$1,'STOPE SUMMARY PIVOT'!$A$1922:$A$2049, 0))</f>
        <v>0</v>
      </c>
      <c r="HI53" s="172">
        <f>INDEX('STOPE SUMMARY PIVOT'!$J$1922:$J$2049, MATCH(HI$1,'STOPE SUMMARY PIVOT'!$A$1922:$A$2049, 0))</f>
        <v>0</v>
      </c>
      <c r="HJ53" s="176">
        <f>INDEX('STOPE SUMMARY PIVOT'!$K$1922:$K$2049, MATCH(HI$1,'STOPE SUMMARY PIVOT'!$A$1922:$A$2049, 0))</f>
        <v>0</v>
      </c>
      <c r="HK53" s="172">
        <f>INDEX('STOPE SUMMARY PIVOT'!$J$1922:$J$2049, MATCH(HK$1,'STOPE SUMMARY PIVOT'!$A$1922:$A$2049, 0))</f>
        <v>0</v>
      </c>
      <c r="HL53" s="176">
        <f>INDEX('STOPE SUMMARY PIVOT'!$K$1922:$K$2049, MATCH(HK$1,'STOPE SUMMARY PIVOT'!$A$1922:$A$2049, 0))</f>
        <v>0</v>
      </c>
      <c r="HM53" s="172">
        <f>INDEX('STOPE SUMMARY PIVOT'!$J$1922:$J$2049, MATCH(HM$1,'STOPE SUMMARY PIVOT'!$A$1922:$A$2049, 0))</f>
        <v>0</v>
      </c>
      <c r="HN53" s="176">
        <f>INDEX('STOPE SUMMARY PIVOT'!$K$1922:$K$2049, MATCH(HM$1,'STOPE SUMMARY PIVOT'!$A$1922:$A$2049, 0))</f>
        <v>0</v>
      </c>
      <c r="HO53" s="172">
        <f>INDEX('STOPE SUMMARY PIVOT'!$J$1922:$J$2049, MATCH(HO$1,'STOPE SUMMARY PIVOT'!$A$1922:$A$2049, 0))</f>
        <v>0</v>
      </c>
      <c r="HP53" s="176">
        <f>INDEX('STOPE SUMMARY PIVOT'!$K$1922:$K$2049, MATCH(HO$1,'STOPE SUMMARY PIVOT'!$A$1922:$A$2049, 0))</f>
        <v>0</v>
      </c>
      <c r="HQ53" s="172">
        <f>INDEX('STOPE SUMMARY PIVOT'!$J$1922:$J$2049, MATCH(HQ$1,'STOPE SUMMARY PIVOT'!$A$1922:$A$2049, 0))</f>
        <v>0</v>
      </c>
      <c r="HR53" s="176">
        <f>INDEX('STOPE SUMMARY PIVOT'!$K$1922:$K$2049, MATCH(HQ$1,'STOPE SUMMARY PIVOT'!$A$1922:$A$2049, 0))</f>
        <v>0</v>
      </c>
      <c r="HS53" s="172">
        <f>INDEX('STOPE SUMMARY PIVOT'!$J$1922:$J$2049, MATCH(HS$1,'STOPE SUMMARY PIVOT'!$A$1922:$A$2049, 0))</f>
        <v>0</v>
      </c>
      <c r="HT53" s="176">
        <f>INDEX('STOPE SUMMARY PIVOT'!$K$1922:$K$2049, MATCH(HS$1,'STOPE SUMMARY PIVOT'!$A$1922:$A$2049, 0))</f>
        <v>0</v>
      </c>
      <c r="HU53" s="172">
        <f>INDEX('STOPE SUMMARY PIVOT'!$J$1922:$J$2049, MATCH(HU$1,'STOPE SUMMARY PIVOT'!$A$1922:$A$2049, 0))</f>
        <v>0</v>
      </c>
      <c r="HV53" s="176">
        <f>INDEX('STOPE SUMMARY PIVOT'!$K$1922:$K$2049, MATCH(HU$1,'STOPE SUMMARY PIVOT'!$A$1922:$A$2049, 0))</f>
        <v>0</v>
      </c>
      <c r="HW53" s="172">
        <f>INDEX('STOPE SUMMARY PIVOT'!$J$1922:$J$2049, MATCH(HW$1,'STOPE SUMMARY PIVOT'!$A$1922:$A$2049, 0))</f>
        <v>0</v>
      </c>
      <c r="HX53" s="176">
        <f>INDEX('STOPE SUMMARY PIVOT'!$K$1922:$K$2049, MATCH(HW$1,'STOPE SUMMARY PIVOT'!$A$1922:$A$2049, 0))</f>
        <v>0</v>
      </c>
      <c r="HY53" s="172">
        <f>INDEX('STOPE SUMMARY PIVOT'!$J$1922:$J$2049, MATCH(HY$1,'STOPE SUMMARY PIVOT'!$A$1922:$A$2049, 0))</f>
        <v>0</v>
      </c>
      <c r="HZ53" s="176">
        <f>INDEX('STOPE SUMMARY PIVOT'!$K$1922:$K$2049, MATCH(HY$1,'STOPE SUMMARY PIVOT'!$A$1922:$A$2049, 0))</f>
        <v>0</v>
      </c>
      <c r="IA53" s="172">
        <f>INDEX('STOPE SUMMARY PIVOT'!$J$1922:$J$2049, MATCH(IA$1,'STOPE SUMMARY PIVOT'!$A$1922:$A$2049, 0))</f>
        <v>0</v>
      </c>
      <c r="IB53" s="176">
        <f>INDEX('STOPE SUMMARY PIVOT'!$K$1922:$K$2049, MATCH(IA$1,'STOPE SUMMARY PIVOT'!$A$1922:$A$2049, 0))</f>
        <v>0</v>
      </c>
      <c r="IC53" s="172">
        <f>INDEX('STOPE SUMMARY PIVOT'!$J$1922:$J$2049, MATCH(IC$1,'STOPE SUMMARY PIVOT'!$A$1922:$A$2049, 0))</f>
        <v>0</v>
      </c>
      <c r="ID53" s="176">
        <f>INDEX('STOPE SUMMARY PIVOT'!$K$1922:$K$2049, MATCH(IC$1,'STOPE SUMMARY PIVOT'!$A$1922:$A$2049, 0))</f>
        <v>0</v>
      </c>
      <c r="IE53" s="172">
        <f>INDEX('STOPE SUMMARY PIVOT'!$J$1922:$J$2049, MATCH(IE$1,'STOPE SUMMARY PIVOT'!$A$1922:$A$2049, 0))</f>
        <v>0</v>
      </c>
      <c r="IF53" s="176">
        <f>INDEX('STOPE SUMMARY PIVOT'!$K$1922:$K$2049, MATCH(IE$1,'STOPE SUMMARY PIVOT'!$A$1922:$A$2049, 0))</f>
        <v>0</v>
      </c>
      <c r="IG53" s="172">
        <f>INDEX('STOPE SUMMARY PIVOT'!$J$1922:$J$2049, MATCH(IG$1,'STOPE SUMMARY PIVOT'!$A$1922:$A$2049, 0))</f>
        <v>0</v>
      </c>
      <c r="IH53" s="176">
        <f>INDEX('STOPE SUMMARY PIVOT'!$K$1922:$K$2049, MATCH(IG$1,'STOPE SUMMARY PIVOT'!$A$1922:$A$2049, 0))</f>
        <v>0</v>
      </c>
      <c r="II53" s="172">
        <f>INDEX('STOPE SUMMARY PIVOT'!$J$1922:$J$2049, MATCH(II$1,'STOPE SUMMARY PIVOT'!$A$1922:$A$2049, 0))</f>
        <v>0</v>
      </c>
      <c r="IJ53" s="176">
        <f>INDEX('STOPE SUMMARY PIVOT'!$K$1922:$K$2049, MATCH(II$1,'STOPE SUMMARY PIVOT'!$A$1922:$A$2049, 0))</f>
        <v>0</v>
      </c>
      <c r="IK53" s="172">
        <f>INDEX('STOPE SUMMARY PIVOT'!$J$1922:$J$2049, MATCH(IK$1,'STOPE SUMMARY PIVOT'!$A$1922:$A$2049, 0))</f>
        <v>0</v>
      </c>
      <c r="IL53" s="176">
        <f>INDEX('STOPE SUMMARY PIVOT'!$K$1922:$K$2049, MATCH(IK$1,'STOPE SUMMARY PIVOT'!$A$1922:$A$2049, 0))</f>
        <v>0</v>
      </c>
      <c r="IM53" s="172">
        <f>INDEX('STOPE SUMMARY PIVOT'!$J$1922:$J$2049, MATCH(IM$1,'STOPE SUMMARY PIVOT'!$A$1922:$A$2049, 0))</f>
        <v>0</v>
      </c>
      <c r="IN53" s="176">
        <f>INDEX('STOPE SUMMARY PIVOT'!$K$1922:$K$2049, MATCH(IM$1,'STOPE SUMMARY PIVOT'!$A$1922:$A$2049, 0))</f>
        <v>0</v>
      </c>
      <c r="IO53" s="172">
        <f>INDEX('STOPE SUMMARY PIVOT'!$J$1922:$J$2049, MATCH(IO$1,'STOPE SUMMARY PIVOT'!$A$1922:$A$2049, 0))</f>
        <v>0</v>
      </c>
      <c r="IP53" s="176">
        <f>INDEX('STOPE SUMMARY PIVOT'!$K$1922:$K$2049, MATCH(IO$1,'STOPE SUMMARY PIVOT'!$A$1922:$A$2049, 0))</f>
        <v>0</v>
      </c>
      <c r="IQ53" s="172">
        <f>INDEX('STOPE SUMMARY PIVOT'!$J$1922:$J$2049, MATCH(IQ$1,'STOPE SUMMARY PIVOT'!$A$1922:$A$2049, 0))</f>
        <v>0</v>
      </c>
      <c r="IR53" s="176">
        <f>INDEX('STOPE SUMMARY PIVOT'!$K$1922:$K$2049, MATCH(IQ$1,'STOPE SUMMARY PIVOT'!$A$1922:$A$2049, 0))</f>
        <v>0</v>
      </c>
      <c r="IS53" s="172">
        <f>INDEX('STOPE SUMMARY PIVOT'!$J$1922:$J$2049, MATCH(IS$1,'STOPE SUMMARY PIVOT'!$A$1922:$A$2049, 0))</f>
        <v>0</v>
      </c>
      <c r="IT53" s="176">
        <f>INDEX('STOPE SUMMARY PIVOT'!$K$1922:$K$2049, MATCH(IS$1,'STOPE SUMMARY PIVOT'!$A$1922:$A$2049, 0))</f>
        <v>0</v>
      </c>
      <c r="IU53" s="172">
        <f>INDEX('STOPE SUMMARY PIVOT'!$J$1922:$J$2049, MATCH(IU$1,'STOPE SUMMARY PIVOT'!$A$1922:$A$2049, 0))</f>
        <v>0</v>
      </c>
      <c r="IV53" s="176">
        <f>INDEX('STOPE SUMMARY PIVOT'!$K$1922:$K$2049, MATCH(IU$1,'STOPE SUMMARY PIVOT'!$A$1922:$A$2049, 0))</f>
        <v>0</v>
      </c>
      <c r="IW53" s="172">
        <f>INDEX('STOPE SUMMARY PIVOT'!$J$1922:$J$2049, MATCH(IW$1,'STOPE SUMMARY PIVOT'!$A$1922:$A$2049, 0))</f>
        <v>0</v>
      </c>
      <c r="IX53" s="176">
        <f>INDEX('STOPE SUMMARY PIVOT'!$K$1922:$K$2049, MATCH(IW$1,'STOPE SUMMARY PIVOT'!$A$1922:$A$2049, 0))</f>
        <v>0</v>
      </c>
      <c r="IY53" s="172">
        <f>INDEX('STOPE SUMMARY PIVOT'!$J$1922:$J$2049, MATCH(IY$1,'STOPE SUMMARY PIVOT'!$A$1922:$A$2049, 0))</f>
        <v>0</v>
      </c>
      <c r="IZ53" s="176">
        <f>INDEX('STOPE SUMMARY PIVOT'!$K$1922:$K$2049, MATCH(IY$1,'STOPE SUMMARY PIVOT'!$A$1922:$A$2049, 0))</f>
        <v>0</v>
      </c>
    </row>
    <row r="54" spans="1:260" x14ac:dyDescent="0.25">
      <c r="A54" s="1589">
        <v>45778</v>
      </c>
      <c r="B54" s="162" t="s">
        <v>218</v>
      </c>
      <c r="C54" s="163" cm="1">
        <f t="array" ref="C54">SUM(_xlfn._xlws.FILTER(E54:IZ54, MOD(COLUMN(E54:IZ54)-COLUMN(E54)+1,2)=1))</f>
        <v>22518</v>
      </c>
      <c r="D54" s="164" cm="1">
        <f t="array" ref="D54">SUMPRODUCT(_xlfn._xlws.FILTER(E54:IZ54, MOD(COLUMN(E54:IZ54)-COLUMN(E54)+1,2)=1), _xlfn._xlws.FILTER(E54:IZ54, MOD(COLUMN(E54:IZ54)-COLUMN(E54)+1,2)=0))/C54</f>
        <v>2.5144386712851938</v>
      </c>
      <c r="E54" s="165">
        <f>INDEX('STOPE SUMMARY PIVOT'!$D$2050:$D$2177, MATCH(E$1,'STOPE SUMMARY PIVOT'!$A$2050:$A$2177, 0))</f>
        <v>0</v>
      </c>
      <c r="F54" s="174">
        <f>INDEX('STOPE SUMMARY PIVOT'!$E$2050:$E$2177, MATCH(E$1,'STOPE SUMMARY PIVOT'!$A$2050:$A$2177, 0))</f>
        <v>0</v>
      </c>
      <c r="G54" s="165">
        <f>INDEX('STOPE SUMMARY PIVOT'!$D$2050:$D$2177, MATCH(G$1,'STOPE SUMMARY PIVOT'!$A$2050:$A$2177, 0))</f>
        <v>0</v>
      </c>
      <c r="H54" s="174">
        <f>INDEX('STOPE SUMMARY PIVOT'!$E$2050:$E$2177, MATCH(G$1,'STOPE SUMMARY PIVOT'!$A$2050:$A$2177, 0))</f>
        <v>0</v>
      </c>
      <c r="I54" s="165">
        <f>INDEX('STOPE SUMMARY PIVOT'!$D$2050:$D$2177, MATCH(I$1,'STOPE SUMMARY PIVOT'!$A$2050:$A$2177, 0))</f>
        <v>0</v>
      </c>
      <c r="J54" s="166">
        <f>INDEX('STOPE SUMMARY PIVOT'!$E$2050:$E$2177, MATCH(I$1,'STOPE SUMMARY PIVOT'!$A$2050:$A$2177, 0))</f>
        <v>0</v>
      </c>
      <c r="K54" s="165">
        <f>INDEX('STOPE SUMMARY PIVOT'!$D$2050:$D$2177, MATCH(K$1,'STOPE SUMMARY PIVOT'!$A$2050:$A$2177, 0))</f>
        <v>0</v>
      </c>
      <c r="L54" s="166">
        <f>INDEX('STOPE SUMMARY PIVOT'!$E$2050:$E$2177, MATCH(K$1,'STOPE SUMMARY PIVOT'!$A$2050:$A$2177, 0))</f>
        <v>0</v>
      </c>
      <c r="M54" s="165">
        <f>INDEX('STOPE SUMMARY PIVOT'!$D$2050:$D$2177, MATCH(M$1,'STOPE SUMMARY PIVOT'!$A$2050:$A$2177, 0))</f>
        <v>0</v>
      </c>
      <c r="N54" s="166">
        <f>INDEX('STOPE SUMMARY PIVOT'!$E$2050:$E$2177, MATCH(M$1,'STOPE SUMMARY PIVOT'!$A$2050:$A$2177, 0))</f>
        <v>0</v>
      </c>
      <c r="O54" s="165">
        <f>INDEX('STOPE SUMMARY PIVOT'!$D$2050:$D$2177, MATCH(O$1,'STOPE SUMMARY PIVOT'!$A$2050:$A$2177, 0))</f>
        <v>0</v>
      </c>
      <c r="P54" s="166">
        <f>INDEX('STOPE SUMMARY PIVOT'!$E$2050:$E$2177, MATCH(O$1,'STOPE SUMMARY PIVOT'!$A$2050:$A$2177, 0))</f>
        <v>0</v>
      </c>
      <c r="Q54" s="165">
        <f>INDEX('STOPE SUMMARY PIVOT'!$D$2050:$D$2177, MATCH(Q$1,'STOPE SUMMARY PIVOT'!$A$2050:$A$2177, 0))</f>
        <v>0</v>
      </c>
      <c r="R54" s="166">
        <f>INDEX('STOPE SUMMARY PIVOT'!$E$2050:$E$2177, MATCH(Q$1,'STOPE SUMMARY PIVOT'!$A$2050:$A$2177, 0))</f>
        <v>0</v>
      </c>
      <c r="S54" s="165">
        <f>INDEX('STOPE SUMMARY PIVOT'!$D$2050:$D$2177, MATCH(S$1,'STOPE SUMMARY PIVOT'!$A$2050:$A$2177, 0))</f>
        <v>0</v>
      </c>
      <c r="T54" s="166">
        <f>INDEX('STOPE SUMMARY PIVOT'!$E$2050:$E$2177, MATCH(S$1,'STOPE SUMMARY PIVOT'!$A$2050:$A$2177, 0))</f>
        <v>0</v>
      </c>
      <c r="U54" s="165">
        <f>INDEX('STOPE SUMMARY PIVOT'!$D$2050:$D$2177, MATCH(U$1,'STOPE SUMMARY PIVOT'!$A$2050:$A$2177, 0))</f>
        <v>0</v>
      </c>
      <c r="V54" s="174">
        <f>INDEX('STOPE SUMMARY PIVOT'!$E$2050:$E$2177, MATCH(U$1,'STOPE SUMMARY PIVOT'!$A$2050:$A$2177, 0))</f>
        <v>0</v>
      </c>
      <c r="W54" s="165">
        <f>INDEX('STOPE SUMMARY PIVOT'!$D$2050:$D$2177, MATCH(W$1,'STOPE SUMMARY PIVOT'!$A$2050:$A$2177, 0))</f>
        <v>0</v>
      </c>
      <c r="X54" s="174">
        <f>INDEX('STOPE SUMMARY PIVOT'!$E$2050:$E$2177, MATCH(W$1,'STOPE SUMMARY PIVOT'!$A$2050:$A$2177, 0))</f>
        <v>0</v>
      </c>
      <c r="Y54" s="165">
        <f>INDEX('STOPE SUMMARY PIVOT'!$D$2050:$D$2177, MATCH(Y$1,'STOPE SUMMARY PIVOT'!$A$2050:$A$2177, 0))</f>
        <v>2341</v>
      </c>
      <c r="Z54" s="174">
        <f>INDEX('STOPE SUMMARY PIVOT'!$E$2050:$E$2177, MATCH(Y$1,'STOPE SUMMARY PIVOT'!$A$2050:$A$2177, 0))</f>
        <v>2.5499999999999998</v>
      </c>
      <c r="AA54" s="165">
        <f>INDEX('STOPE SUMMARY PIVOT'!$D$2050:$D$2177, MATCH(AA$1,'STOPE SUMMARY PIVOT'!$A$2050:$A$2177, 0))</f>
        <v>0</v>
      </c>
      <c r="AB54" s="174">
        <f>INDEX('STOPE SUMMARY PIVOT'!$E$2050:$E$2177, MATCH(AA$1,'STOPE SUMMARY PIVOT'!$A$2050:$A$2177, 0))</f>
        <v>0</v>
      </c>
      <c r="AC54" s="165">
        <f>INDEX('STOPE SUMMARY PIVOT'!$D$2050:$D$2177, MATCH(AC$1,'STOPE SUMMARY PIVOT'!$A$2050:$A$2177, 0))</f>
        <v>1798</v>
      </c>
      <c r="AD54" s="174">
        <f>INDEX('STOPE SUMMARY PIVOT'!$E$2050:$E$2177, MATCH(AC$1,'STOPE SUMMARY PIVOT'!$A$2050:$A$2177, 0))</f>
        <v>1.72</v>
      </c>
      <c r="AE54" s="165">
        <f>INDEX('STOPE SUMMARY PIVOT'!$D$2050:$D$2177, MATCH(AE$1,'STOPE SUMMARY PIVOT'!$A$2050:$A$2177, 0))</f>
        <v>0</v>
      </c>
      <c r="AF54" s="174">
        <f>INDEX('STOPE SUMMARY PIVOT'!$E$2050:$E$2177, MATCH(AE$1,'STOPE SUMMARY PIVOT'!$A$2050:$A$2177, 0))</f>
        <v>0</v>
      </c>
      <c r="AG54" s="165">
        <f>INDEX('STOPE SUMMARY PIVOT'!$D$2050:$D$2177, MATCH(AG$1,'STOPE SUMMARY PIVOT'!$A$2050:$A$2177, 0))</f>
        <v>0</v>
      </c>
      <c r="AH54" s="174">
        <f>INDEX('STOPE SUMMARY PIVOT'!$E$2050:$E$2177, MATCH(AG$1,'STOPE SUMMARY PIVOT'!$A$2050:$A$2177, 0))</f>
        <v>0</v>
      </c>
      <c r="AI54" s="165">
        <f>INDEX('STOPE SUMMARY PIVOT'!$D$2050:$D$2177, MATCH(AI$1,'STOPE SUMMARY PIVOT'!$A$2050:$A$2177, 0))</f>
        <v>0</v>
      </c>
      <c r="AJ54" s="174">
        <f>INDEX('STOPE SUMMARY PIVOT'!$E$2050:$E$2177, MATCH(AI$1,'STOPE SUMMARY PIVOT'!$A$2050:$A$2177, 0))</f>
        <v>0</v>
      </c>
      <c r="AK54" s="165">
        <f>INDEX('STOPE SUMMARY PIVOT'!$D$2050:$D$2177, MATCH(AK$1,'STOPE SUMMARY PIVOT'!$A$2050:$A$2177, 0))</f>
        <v>0</v>
      </c>
      <c r="AL54" s="174">
        <f>INDEX('STOPE SUMMARY PIVOT'!$E$2050:$E$2177, MATCH(AK$1,'STOPE SUMMARY PIVOT'!$A$2050:$A$2177, 0))</f>
        <v>0</v>
      </c>
      <c r="AM54" s="165">
        <f>INDEX('STOPE SUMMARY PIVOT'!$D$2050:$D$2177, MATCH(AM$1,'STOPE SUMMARY PIVOT'!$A$2050:$A$2177, 0))</f>
        <v>0</v>
      </c>
      <c r="AN54" s="174">
        <f>INDEX('STOPE SUMMARY PIVOT'!$E$2050:$E$2177, MATCH(AM$1,'STOPE SUMMARY PIVOT'!$A$2050:$A$2177, 0))</f>
        <v>0</v>
      </c>
      <c r="AO54" s="165">
        <f>INDEX('STOPE SUMMARY PIVOT'!$D$2050:$D$2177, MATCH(AO$1,'STOPE SUMMARY PIVOT'!$A$2050:$A$2177, 0))</f>
        <v>0</v>
      </c>
      <c r="AP54" s="174">
        <f>INDEX('STOPE SUMMARY PIVOT'!$E$2050:$E$2177, MATCH(AO$1,'STOPE SUMMARY PIVOT'!$A$2050:$A$2177, 0))</f>
        <v>0</v>
      </c>
      <c r="AQ54" s="165">
        <f>INDEX('STOPE SUMMARY PIVOT'!$D$2050:$D$2177, MATCH(AQ$1,'STOPE SUMMARY PIVOT'!$A$2050:$A$2177, 0))</f>
        <v>0</v>
      </c>
      <c r="AR54" s="174">
        <f>INDEX('STOPE SUMMARY PIVOT'!$E$2050:$E$2177, MATCH(AQ$1,'STOPE SUMMARY PIVOT'!$A$2050:$A$2177, 0))</f>
        <v>0</v>
      </c>
      <c r="AS54" s="165">
        <f>INDEX('STOPE SUMMARY PIVOT'!$D$2050:$D$2177, MATCH(AS$1,'STOPE SUMMARY PIVOT'!$A$2050:$A$2177, 0))</f>
        <v>0</v>
      </c>
      <c r="AT54" s="174">
        <f>INDEX('STOPE SUMMARY PIVOT'!$E$2050:$E$2177, MATCH(AS$1,'STOPE SUMMARY PIVOT'!$A$2050:$A$2177, 0))</f>
        <v>0</v>
      </c>
      <c r="AU54" s="165">
        <f>INDEX('STOPE SUMMARY PIVOT'!$D$2050:$D$2177, MATCH(AU$1,'STOPE SUMMARY PIVOT'!$A$2050:$A$2177, 0))</f>
        <v>0</v>
      </c>
      <c r="AV54" s="174">
        <f>INDEX('STOPE SUMMARY PIVOT'!$E$2050:$E$2177, MATCH(AU$1,'STOPE SUMMARY PIVOT'!$A$2050:$A$2177, 0))</f>
        <v>0</v>
      </c>
      <c r="AW54" s="165">
        <f>INDEX('STOPE SUMMARY PIVOT'!$D$2050:$D$2177, MATCH(AW$1,'STOPE SUMMARY PIVOT'!$A$2050:$A$2177, 0))</f>
        <v>0</v>
      </c>
      <c r="AX54" s="174">
        <f>INDEX('STOPE SUMMARY PIVOT'!$E$2050:$E$2177, MATCH(AW$1,'STOPE SUMMARY PIVOT'!$A$2050:$A$2177, 0))</f>
        <v>0</v>
      </c>
      <c r="AY54" s="165">
        <f>INDEX('STOPE SUMMARY PIVOT'!$D$2050:$D$2177, MATCH(AY$1,'STOPE SUMMARY PIVOT'!$A$2050:$A$2177, 0))</f>
        <v>0</v>
      </c>
      <c r="AZ54" s="174">
        <f>INDEX('STOPE SUMMARY PIVOT'!$E$2050:$E$2177, MATCH(AY$1,'STOPE SUMMARY PIVOT'!$A$2050:$A$2177, 0))</f>
        <v>0</v>
      </c>
      <c r="BA54" s="165">
        <f>INDEX('STOPE SUMMARY PIVOT'!$D$2050:$D$2177, MATCH(BA$1,'STOPE SUMMARY PIVOT'!$A$2050:$A$2177, 0))</f>
        <v>0</v>
      </c>
      <c r="BB54" s="174">
        <f>INDEX('STOPE SUMMARY PIVOT'!$E$2050:$E$2177, MATCH(BA$1,'STOPE SUMMARY PIVOT'!$A$2050:$A$2177, 0))</f>
        <v>0</v>
      </c>
      <c r="BC54" s="165">
        <f>INDEX('STOPE SUMMARY PIVOT'!$D$2050:$D$2177, MATCH(BC$1,'STOPE SUMMARY PIVOT'!$A$2050:$A$2177, 0))</f>
        <v>0</v>
      </c>
      <c r="BD54" s="174">
        <f>INDEX('STOPE SUMMARY PIVOT'!$E$2050:$E$2177, MATCH(BC$1,'STOPE SUMMARY PIVOT'!$A$2050:$A$2177, 0))</f>
        <v>0</v>
      </c>
      <c r="BE54" s="165">
        <f>INDEX('STOPE SUMMARY PIVOT'!$D$2050:$D$2177, MATCH(BE$1,'STOPE SUMMARY PIVOT'!$A$2050:$A$2177, 0))</f>
        <v>0</v>
      </c>
      <c r="BF54" s="174">
        <f>INDEX('STOPE SUMMARY PIVOT'!$E$2050:$E$2177, MATCH(BE$1,'STOPE SUMMARY PIVOT'!$A$2050:$A$2177, 0))</f>
        <v>0</v>
      </c>
      <c r="BG54" s="165">
        <f>INDEX('STOPE SUMMARY PIVOT'!$D$2050:$D$2177, MATCH(BG$1,'STOPE SUMMARY PIVOT'!$A$2050:$A$2177, 0))</f>
        <v>0</v>
      </c>
      <c r="BH54" s="174">
        <f>INDEX('STOPE SUMMARY PIVOT'!$E$2050:$E$2177, MATCH(BG$1,'STOPE SUMMARY PIVOT'!$A$2050:$A$2177, 0))</f>
        <v>0</v>
      </c>
      <c r="BI54" s="165">
        <f>INDEX('STOPE SUMMARY PIVOT'!$D$2050:$D$2177, MATCH(BI$1,'STOPE SUMMARY PIVOT'!$A$2050:$A$2177, 0))</f>
        <v>0</v>
      </c>
      <c r="BJ54" s="174">
        <f>INDEX('STOPE SUMMARY PIVOT'!$E$2050:$E$2177, MATCH(BI$1,'STOPE SUMMARY PIVOT'!$A$2050:$A$2177, 0))</f>
        <v>0</v>
      </c>
      <c r="BK54" s="165">
        <f>INDEX('STOPE SUMMARY PIVOT'!$D$2050:$D$2177, MATCH(BK$1,'STOPE SUMMARY PIVOT'!$A$2050:$A$2177, 0))</f>
        <v>0</v>
      </c>
      <c r="BL54" s="174">
        <f>INDEX('STOPE SUMMARY PIVOT'!$E$2050:$E$2177, MATCH(BK$1,'STOPE SUMMARY PIVOT'!$A$2050:$A$2177, 0))</f>
        <v>0</v>
      </c>
      <c r="BM54" s="165">
        <f>INDEX('STOPE SUMMARY PIVOT'!$D$2050:$D$2177, MATCH(BM$1,'STOPE SUMMARY PIVOT'!$A$2050:$A$2177, 0))</f>
        <v>0</v>
      </c>
      <c r="BN54" s="174">
        <f>INDEX('STOPE SUMMARY PIVOT'!$E$2050:$E$2177, MATCH(BM$1,'STOPE SUMMARY PIVOT'!$A$2050:$A$2177, 0))</f>
        <v>0</v>
      </c>
      <c r="BO54" s="165">
        <f>INDEX('STOPE SUMMARY PIVOT'!$D$2050:$D$2177, MATCH(BO$1,'STOPE SUMMARY PIVOT'!$A$2050:$A$2177, 0))</f>
        <v>0</v>
      </c>
      <c r="BP54" s="174">
        <f>INDEX('STOPE SUMMARY PIVOT'!$E$2050:$E$2177, MATCH(BO$1,'STOPE SUMMARY PIVOT'!$A$2050:$A$2177, 0))</f>
        <v>0</v>
      </c>
      <c r="BQ54" s="165">
        <f>INDEX('STOPE SUMMARY PIVOT'!$D$2050:$D$2177, MATCH(BQ$1,'STOPE SUMMARY PIVOT'!$A$2050:$A$2177, 0))</f>
        <v>0</v>
      </c>
      <c r="BR54" s="174">
        <f>INDEX('STOPE SUMMARY PIVOT'!$E$2050:$E$2177, MATCH(BQ$1,'STOPE SUMMARY PIVOT'!$A$2050:$A$2177, 0))</f>
        <v>0</v>
      </c>
      <c r="BS54" s="165">
        <f>INDEX('STOPE SUMMARY PIVOT'!$D$2050:$D$2177, MATCH(BS$1,'STOPE SUMMARY PIVOT'!$A$2050:$A$2177, 0))</f>
        <v>0</v>
      </c>
      <c r="BT54" s="174">
        <f>INDEX('STOPE SUMMARY PIVOT'!$E$2050:$E$2177, MATCH(BS$1,'STOPE SUMMARY PIVOT'!$A$2050:$A$2177, 0))</f>
        <v>0</v>
      </c>
      <c r="BU54" s="165">
        <f>INDEX('STOPE SUMMARY PIVOT'!$D$2050:$D$2177, MATCH(BU$1,'STOPE SUMMARY PIVOT'!$A$2050:$A$2177, 0))</f>
        <v>1947</v>
      </c>
      <c r="BV54" s="174">
        <f>INDEX('STOPE SUMMARY PIVOT'!$E$2050:$E$2177, MATCH(BU$1,'STOPE SUMMARY PIVOT'!$A$2050:$A$2177, 0))</f>
        <v>1.4</v>
      </c>
      <c r="BW54" s="165">
        <f>INDEX('STOPE SUMMARY PIVOT'!$D$2050:$D$2177, MATCH(BW$1,'STOPE SUMMARY PIVOT'!$A$2050:$A$2177, 0))</f>
        <v>0</v>
      </c>
      <c r="BX54" s="174">
        <f>INDEX('STOPE SUMMARY PIVOT'!$E$2050:$E$2177, MATCH(BW$1,'STOPE SUMMARY PIVOT'!$A$2050:$A$2177, 0))</f>
        <v>0</v>
      </c>
      <c r="BY54" s="165">
        <f>INDEX('STOPE SUMMARY PIVOT'!$D$2050:$D$2177, MATCH(BY$1,'STOPE SUMMARY PIVOT'!$A$2050:$A$2177, 0))</f>
        <v>0</v>
      </c>
      <c r="BZ54" s="174">
        <f>INDEX('STOPE SUMMARY PIVOT'!$E$2050:$E$2177, MATCH(BY$1,'STOPE SUMMARY PIVOT'!$A$2050:$A$2177, 0))</f>
        <v>0</v>
      </c>
      <c r="CA54" s="165">
        <f>INDEX('STOPE SUMMARY PIVOT'!$D$2050:$D$2177, MATCH(CA$1,'STOPE SUMMARY PIVOT'!$A$2050:$A$2177, 0))</f>
        <v>0</v>
      </c>
      <c r="CB54" s="174">
        <f>INDEX('STOPE SUMMARY PIVOT'!$E$2050:$E$2177, MATCH(CA$1,'STOPE SUMMARY PIVOT'!$A$2050:$A$2177, 0))</f>
        <v>0</v>
      </c>
      <c r="CC54" s="165">
        <f>INDEX('STOPE SUMMARY PIVOT'!$D$2050:$D$2177, MATCH(CC$1,'STOPE SUMMARY PIVOT'!$A$2050:$A$2177, 0))</f>
        <v>0</v>
      </c>
      <c r="CD54" s="174">
        <f>INDEX('STOPE SUMMARY PIVOT'!$E$2050:$E$2177, MATCH(CC$1,'STOPE SUMMARY PIVOT'!$A$2050:$A$2177, 0))</f>
        <v>0</v>
      </c>
      <c r="CE54" s="165">
        <f>INDEX('STOPE SUMMARY PIVOT'!$D$2050:$D$2177, MATCH(CE$1,'STOPE SUMMARY PIVOT'!$A$2050:$A$2177, 0))</f>
        <v>0</v>
      </c>
      <c r="CF54" s="174">
        <f>INDEX('STOPE SUMMARY PIVOT'!$E$2050:$E$2177, MATCH(CE$1,'STOPE SUMMARY PIVOT'!$A$2050:$A$2177, 0))</f>
        <v>0</v>
      </c>
      <c r="CG54" s="165">
        <f>INDEX('STOPE SUMMARY PIVOT'!$D$2050:$D$2177, MATCH(CG$1,'STOPE SUMMARY PIVOT'!$A$2050:$A$2177, 0))</f>
        <v>0</v>
      </c>
      <c r="CH54" s="174">
        <f>INDEX('STOPE SUMMARY PIVOT'!$E$2050:$E$2177, MATCH(CG$1,'STOPE SUMMARY PIVOT'!$A$2050:$A$2177, 0))</f>
        <v>0</v>
      </c>
      <c r="CI54" s="165">
        <f>INDEX('STOPE SUMMARY PIVOT'!$D$2050:$D$2177, MATCH(CI$1,'STOPE SUMMARY PIVOT'!$A$2050:$A$2177, 0))</f>
        <v>0</v>
      </c>
      <c r="CJ54" s="174">
        <f>INDEX('STOPE SUMMARY PIVOT'!$E$2050:$E$2177, MATCH(CI$1,'STOPE SUMMARY PIVOT'!$A$2050:$A$2177, 0))</f>
        <v>0</v>
      </c>
      <c r="CK54" s="165">
        <f>INDEX('STOPE SUMMARY PIVOT'!$D$2050:$D$2177, MATCH(CK$1,'STOPE SUMMARY PIVOT'!$A$2050:$A$2177, 0))</f>
        <v>0</v>
      </c>
      <c r="CL54" s="174">
        <f>INDEX('STOPE SUMMARY PIVOT'!$E$2050:$E$2177, MATCH(CK$1,'STOPE SUMMARY PIVOT'!$A$2050:$A$2177, 0))</f>
        <v>0</v>
      </c>
      <c r="CM54" s="165">
        <f>INDEX('STOPE SUMMARY PIVOT'!$D$2050:$D$2177, MATCH(CM$1,'STOPE SUMMARY PIVOT'!$A$2050:$A$2177, 0))</f>
        <v>0</v>
      </c>
      <c r="CN54" s="174">
        <f>INDEX('STOPE SUMMARY PIVOT'!$E$2050:$E$2177, MATCH(CM$1,'STOPE SUMMARY PIVOT'!$A$2050:$A$2177, 0))</f>
        <v>0</v>
      </c>
      <c r="CO54" s="165">
        <f>INDEX('STOPE SUMMARY PIVOT'!$D$2050:$D$2177, MATCH(CO$1,'STOPE SUMMARY PIVOT'!$A$2050:$A$2177, 0))</f>
        <v>0</v>
      </c>
      <c r="CP54" s="174">
        <f>INDEX('STOPE SUMMARY PIVOT'!$E$2050:$E$2177, MATCH(CO$1,'STOPE SUMMARY PIVOT'!$A$2050:$A$2177, 0))</f>
        <v>0</v>
      </c>
      <c r="CQ54" s="165">
        <f>INDEX('STOPE SUMMARY PIVOT'!$D$2050:$D$2177, MATCH(CQ$1,'STOPE SUMMARY PIVOT'!$A$2050:$A$2177, 0))</f>
        <v>0</v>
      </c>
      <c r="CR54" s="174">
        <f>INDEX('STOPE SUMMARY PIVOT'!$E$2050:$E$2177, MATCH(CQ$1,'STOPE SUMMARY PIVOT'!$A$2050:$A$2177, 0))</f>
        <v>0</v>
      </c>
      <c r="CS54" s="165">
        <f>INDEX('STOPE SUMMARY PIVOT'!$D$2050:$D$2177, MATCH(CS$1,'STOPE SUMMARY PIVOT'!$A$2050:$A$2177, 0))</f>
        <v>0</v>
      </c>
      <c r="CT54" s="174">
        <f>INDEX('STOPE SUMMARY PIVOT'!$E$2050:$E$2177, MATCH(CS$1,'STOPE SUMMARY PIVOT'!$A$2050:$A$2177, 0))</f>
        <v>0</v>
      </c>
      <c r="CU54" s="165">
        <f>INDEX('STOPE SUMMARY PIVOT'!$D$2050:$D$2177, MATCH(CU$1,'STOPE SUMMARY PIVOT'!$A$2050:$A$2177, 0))</f>
        <v>0</v>
      </c>
      <c r="CV54" s="174">
        <f>INDEX('STOPE SUMMARY PIVOT'!$E$2050:$E$2177, MATCH(CU$1,'STOPE SUMMARY PIVOT'!$A$2050:$A$2177, 0))</f>
        <v>0</v>
      </c>
      <c r="CW54" s="165">
        <f>INDEX('STOPE SUMMARY PIVOT'!$D$2050:$D$2177, MATCH(CW$1,'STOPE SUMMARY PIVOT'!$A$2050:$A$2177, 0))</f>
        <v>0</v>
      </c>
      <c r="CX54" s="174">
        <f>INDEX('STOPE SUMMARY PIVOT'!$E$2050:$E$2177, MATCH(CW$1,'STOPE SUMMARY PIVOT'!$A$2050:$A$2177, 0))</f>
        <v>0</v>
      </c>
      <c r="CY54" s="165">
        <f>INDEX('STOPE SUMMARY PIVOT'!$D$2050:$D$2177, MATCH(CY$1,'STOPE SUMMARY PIVOT'!$A$2050:$A$2177, 0))</f>
        <v>0</v>
      </c>
      <c r="CZ54" s="174">
        <f>INDEX('STOPE SUMMARY PIVOT'!$E$2050:$E$2177, MATCH(CY$1,'STOPE SUMMARY PIVOT'!$A$2050:$A$2177, 0))</f>
        <v>0</v>
      </c>
      <c r="DA54" s="165">
        <f>INDEX('STOPE SUMMARY PIVOT'!$D$2050:$D$2177, MATCH(DA$1,'STOPE SUMMARY PIVOT'!$A$2050:$A$2177, 0))</f>
        <v>0</v>
      </c>
      <c r="DB54" s="174">
        <f>INDEX('STOPE SUMMARY PIVOT'!$E$2050:$E$2177, MATCH(DA$1,'STOPE SUMMARY PIVOT'!$A$2050:$A$2177, 0))</f>
        <v>0</v>
      </c>
      <c r="DC54" s="165">
        <f>INDEX('STOPE SUMMARY PIVOT'!$D$2050:$D$2177, MATCH(DC$1,'STOPE SUMMARY PIVOT'!$A$2050:$A$2177, 0))</f>
        <v>0</v>
      </c>
      <c r="DD54" s="174">
        <f>INDEX('STOPE SUMMARY PIVOT'!$E$2050:$E$2177, MATCH(DC$1,'STOPE SUMMARY PIVOT'!$A$2050:$A$2177, 0))</f>
        <v>0</v>
      </c>
      <c r="DE54" s="165">
        <f>INDEX('STOPE SUMMARY PIVOT'!$D$2050:$D$2177, MATCH(DE$1,'STOPE SUMMARY PIVOT'!$A$2050:$A$2177, 0))</f>
        <v>0</v>
      </c>
      <c r="DF54" s="174">
        <f>INDEX('STOPE SUMMARY PIVOT'!$E$2050:$E$2177, MATCH(DE$1,'STOPE SUMMARY PIVOT'!$A$2050:$A$2177, 0))</f>
        <v>0</v>
      </c>
      <c r="DG54" s="165">
        <f>INDEX('STOPE SUMMARY PIVOT'!$D$2050:$D$2177, MATCH(DG$1,'STOPE SUMMARY PIVOT'!$A$2050:$A$2177, 0))</f>
        <v>0</v>
      </c>
      <c r="DH54" s="174">
        <f>INDEX('STOPE SUMMARY PIVOT'!$E$2050:$E$2177, MATCH(DG$1,'STOPE SUMMARY PIVOT'!$A$2050:$A$2177, 0))</f>
        <v>0</v>
      </c>
      <c r="DI54" s="165">
        <f>INDEX('STOPE SUMMARY PIVOT'!$D$2050:$D$2177, MATCH(DI$1,'STOPE SUMMARY PIVOT'!$A$2050:$A$2177, 0))</f>
        <v>0</v>
      </c>
      <c r="DJ54" s="174">
        <f>INDEX('STOPE SUMMARY PIVOT'!$E$2050:$E$2177, MATCH(DI$1,'STOPE SUMMARY PIVOT'!$A$2050:$A$2177, 0))</f>
        <v>0</v>
      </c>
      <c r="DK54" s="165">
        <f>INDEX('STOPE SUMMARY PIVOT'!$D$2050:$D$2177, MATCH(DK$1,'STOPE SUMMARY PIVOT'!$A$2050:$A$2177, 0))</f>
        <v>0</v>
      </c>
      <c r="DL54" s="174">
        <f>INDEX('STOPE SUMMARY PIVOT'!$E$2050:$E$2177, MATCH(DK$1,'STOPE SUMMARY PIVOT'!$A$2050:$A$2177, 0))</f>
        <v>0</v>
      </c>
      <c r="DM54" s="165">
        <f>INDEX('STOPE SUMMARY PIVOT'!$D$2050:$D$2177, MATCH(DM$1,'STOPE SUMMARY PIVOT'!$A$2050:$A$2177, 0))</f>
        <v>0</v>
      </c>
      <c r="DN54" s="174">
        <f>INDEX('STOPE SUMMARY PIVOT'!$E$2050:$E$2177, MATCH(DM$1,'STOPE SUMMARY PIVOT'!$A$2050:$A$2177, 0))</f>
        <v>0</v>
      </c>
      <c r="DO54" s="165">
        <f>INDEX('STOPE SUMMARY PIVOT'!$D$2050:$D$2177, MATCH(DO$1,'STOPE SUMMARY PIVOT'!$A$2050:$A$2177, 0))</f>
        <v>0</v>
      </c>
      <c r="DP54" s="174">
        <f>INDEX('STOPE SUMMARY PIVOT'!$E$2050:$E$2177, MATCH(DO$1,'STOPE SUMMARY PIVOT'!$A$2050:$A$2177, 0))</f>
        <v>0</v>
      </c>
      <c r="DQ54" s="165">
        <f>INDEX('STOPE SUMMARY PIVOT'!$D$2050:$D$2177, MATCH(DQ$1,'STOPE SUMMARY PIVOT'!$A$2050:$A$2177, 0))</f>
        <v>0</v>
      </c>
      <c r="DR54" s="174">
        <f>INDEX('STOPE SUMMARY PIVOT'!$E$2050:$E$2177, MATCH(DQ$1,'STOPE SUMMARY PIVOT'!$A$2050:$A$2177, 0))</f>
        <v>0</v>
      </c>
      <c r="DS54" s="165">
        <f>INDEX('STOPE SUMMARY PIVOT'!$D$2050:$D$2177, MATCH(DS$1,'STOPE SUMMARY PIVOT'!$A$2050:$A$2177, 0))</f>
        <v>371</v>
      </c>
      <c r="DT54" s="174">
        <f>INDEX('STOPE SUMMARY PIVOT'!$E$2050:$E$2177, MATCH(DS$1,'STOPE SUMMARY PIVOT'!$A$2050:$A$2177, 0))</f>
        <v>3.3</v>
      </c>
      <c r="DU54" s="165">
        <f>INDEX('STOPE SUMMARY PIVOT'!$D$2050:$D$2177, MATCH(DU$1,'STOPE SUMMARY PIVOT'!$A$2050:$A$2177, 0))</f>
        <v>1947</v>
      </c>
      <c r="DV54" s="174">
        <f>INDEX('STOPE SUMMARY PIVOT'!$E$2050:$E$2177, MATCH(DU$1,'STOPE SUMMARY PIVOT'!$A$2050:$A$2177, 0))</f>
        <v>3.97</v>
      </c>
      <c r="DW54" s="165">
        <f>INDEX('STOPE SUMMARY PIVOT'!$D$2050:$D$2177, MATCH(DW$1,'STOPE SUMMARY PIVOT'!$A$2050:$A$2177, 0))</f>
        <v>1947</v>
      </c>
      <c r="DX54" s="174">
        <f>INDEX('STOPE SUMMARY PIVOT'!$E$2050:$E$2177, MATCH(DW$1,'STOPE SUMMARY PIVOT'!$A$2050:$A$2177, 0))</f>
        <v>3.33</v>
      </c>
      <c r="DY54" s="165">
        <f>INDEX('STOPE SUMMARY PIVOT'!$D$2050:$D$2177, MATCH(DY$1,'STOPE SUMMARY PIVOT'!$A$2050:$A$2177, 0))</f>
        <v>512</v>
      </c>
      <c r="DZ54" s="174">
        <f>INDEX('STOPE SUMMARY PIVOT'!$E$2050:$E$2177, MATCH(DY$1,'STOPE SUMMARY PIVOT'!$A$2050:$A$2177, 0))</f>
        <v>2.94</v>
      </c>
      <c r="EA54" s="165">
        <f>INDEX('STOPE SUMMARY PIVOT'!$D$2050:$D$2177, MATCH(EA$1,'STOPE SUMMARY PIVOT'!$A$2050:$A$2177, 0))</f>
        <v>1435</v>
      </c>
      <c r="EB54" s="174">
        <f>INDEX('STOPE SUMMARY PIVOT'!$E$2050:$E$2177, MATCH(EA$1,'STOPE SUMMARY PIVOT'!$A$2050:$A$2177, 0))</f>
        <v>1.89</v>
      </c>
      <c r="EC54" s="165">
        <f>INDEX('STOPE SUMMARY PIVOT'!$D$2050:$D$2177, MATCH(EC$1,'STOPE SUMMARY PIVOT'!$A$2050:$A$2177, 0))</f>
        <v>0</v>
      </c>
      <c r="ED54" s="174">
        <f>INDEX('STOPE SUMMARY PIVOT'!$E$2050:$E$2177, MATCH(EC$1,'STOPE SUMMARY PIVOT'!$A$2050:$A$2177, 0))</f>
        <v>0</v>
      </c>
      <c r="EE54" s="165">
        <f>INDEX('STOPE SUMMARY PIVOT'!$D$2050:$D$2177, MATCH(EE$1,'STOPE SUMMARY PIVOT'!$A$2050:$A$2177, 0))</f>
        <v>0</v>
      </c>
      <c r="EF54" s="174">
        <f>INDEX('STOPE SUMMARY PIVOT'!$E$2050:$E$2177, MATCH(EE$1,'STOPE SUMMARY PIVOT'!$A$2050:$A$2177, 0))</f>
        <v>0</v>
      </c>
      <c r="EG54" s="165">
        <f>INDEX('STOPE SUMMARY PIVOT'!$D$2050:$D$2177, MATCH(EG$1,'STOPE SUMMARY PIVOT'!$A$2050:$A$2177, 0))</f>
        <v>0</v>
      </c>
      <c r="EH54" s="174">
        <f>INDEX('STOPE SUMMARY PIVOT'!$E$2050:$E$2177, MATCH(EG$1,'STOPE SUMMARY PIVOT'!$A$2050:$A$2177, 0))</f>
        <v>0</v>
      </c>
      <c r="EI54" s="165">
        <f>INDEX('STOPE SUMMARY PIVOT'!$D$2050:$D$2177, MATCH(EI$1,'STOPE SUMMARY PIVOT'!$A$2050:$A$2177, 0))</f>
        <v>0</v>
      </c>
      <c r="EJ54" s="174">
        <f>INDEX('STOPE SUMMARY PIVOT'!$E$2050:$E$2177, MATCH(EI$1,'STOPE SUMMARY PIVOT'!$A$2050:$A$2177, 0))</f>
        <v>0</v>
      </c>
      <c r="EK54" s="165">
        <f>INDEX('STOPE SUMMARY PIVOT'!$D$2050:$D$2177, MATCH(EK$1,'STOPE SUMMARY PIVOT'!$A$2050:$A$2177, 0))</f>
        <v>0</v>
      </c>
      <c r="EL54" s="174">
        <f>INDEX('STOPE SUMMARY PIVOT'!$E$2050:$E$2177, MATCH(EK$1,'STOPE SUMMARY PIVOT'!$A$2050:$A$2177, 0))</f>
        <v>0</v>
      </c>
      <c r="EM54" s="165">
        <f>INDEX('STOPE SUMMARY PIVOT'!$D$2050:$D$2177, MATCH(EM$1,'STOPE SUMMARY PIVOT'!$A$2050:$A$2177, 0))</f>
        <v>0</v>
      </c>
      <c r="EN54" s="174">
        <f>INDEX('STOPE SUMMARY PIVOT'!$E$2050:$E$2177, MATCH(EM$1,'STOPE SUMMARY PIVOT'!$A$2050:$A$2177, 0))</f>
        <v>0</v>
      </c>
      <c r="EO54" s="165">
        <f>INDEX('STOPE SUMMARY PIVOT'!$D$2050:$D$2177, MATCH(EO$1,'STOPE SUMMARY PIVOT'!$A$2050:$A$2177, 0))</f>
        <v>2921</v>
      </c>
      <c r="EP54" s="174">
        <f>INDEX('STOPE SUMMARY PIVOT'!$E$2050:$E$2177, MATCH(EO$1,'STOPE SUMMARY PIVOT'!$A$2050:$A$2177, 0))</f>
        <v>2.83</v>
      </c>
      <c r="EQ54" s="165">
        <f>INDEX('STOPE SUMMARY PIVOT'!$D$2050:$D$2177, MATCH(EQ$1,'STOPE SUMMARY PIVOT'!$A$2050:$A$2177, 0))</f>
        <v>0</v>
      </c>
      <c r="ER54" s="174">
        <f>INDEX('STOPE SUMMARY PIVOT'!$E$2050:$E$2177, MATCH(EQ$1,'STOPE SUMMARY PIVOT'!$A$2050:$A$2177, 0))</f>
        <v>0</v>
      </c>
      <c r="ES54" s="165">
        <f>INDEX('STOPE SUMMARY PIVOT'!$D$2050:$D$2177, MATCH(ES$1,'STOPE SUMMARY PIVOT'!$A$2050:$A$2177, 0))</f>
        <v>0</v>
      </c>
      <c r="ET54" s="174">
        <f>INDEX('STOPE SUMMARY PIVOT'!$E$2050:$E$2177, MATCH(ES$1,'STOPE SUMMARY PIVOT'!$A$2050:$A$2177, 0))</f>
        <v>0</v>
      </c>
      <c r="EU54" s="165">
        <f>INDEX('STOPE SUMMARY PIVOT'!$D$2050:$D$2177, MATCH(EU$1,'STOPE SUMMARY PIVOT'!$A$2050:$A$2177, 0))</f>
        <v>0</v>
      </c>
      <c r="EV54" s="174">
        <f>INDEX('STOPE SUMMARY PIVOT'!$E$2050:$E$2177, MATCH(EU$1,'STOPE SUMMARY PIVOT'!$A$2050:$A$2177, 0))</f>
        <v>0</v>
      </c>
      <c r="EW54" s="165">
        <f>INDEX('STOPE SUMMARY PIVOT'!$D$2050:$D$2177, MATCH(EW$1,'STOPE SUMMARY PIVOT'!$A$2050:$A$2177, 0))</f>
        <v>0</v>
      </c>
      <c r="EX54" s="174">
        <f>INDEX('STOPE SUMMARY PIVOT'!$E$2050:$E$2177, MATCH(EW$1,'STOPE SUMMARY PIVOT'!$A$2050:$A$2177, 0))</f>
        <v>0</v>
      </c>
      <c r="EY54" s="165">
        <f>INDEX('STOPE SUMMARY PIVOT'!$D$2050:$D$2177, MATCH(EY$1,'STOPE SUMMARY PIVOT'!$A$2050:$A$2177, 0))</f>
        <v>2921</v>
      </c>
      <c r="EZ54" s="174">
        <f>INDEX('STOPE SUMMARY PIVOT'!$E$2050:$E$2177, MATCH(EY$1,'STOPE SUMMARY PIVOT'!$A$2050:$A$2177, 0))</f>
        <v>2.31</v>
      </c>
      <c r="FA54" s="165">
        <f>INDEX('STOPE SUMMARY PIVOT'!$D$2050:$D$2177, MATCH(FA$1,'STOPE SUMMARY PIVOT'!$A$2050:$A$2177, 0))</f>
        <v>0</v>
      </c>
      <c r="FB54" s="174">
        <f>INDEX('STOPE SUMMARY PIVOT'!$E$2050:$E$2177, MATCH(FA$1,'STOPE SUMMARY PIVOT'!$A$2050:$A$2177, 0))</f>
        <v>0</v>
      </c>
      <c r="FC54" s="165">
        <f>INDEX('STOPE SUMMARY PIVOT'!$D$2050:$D$2177, MATCH(FC$1,'STOPE SUMMARY PIVOT'!$A$2050:$A$2177, 0))</f>
        <v>1947</v>
      </c>
      <c r="FD54" s="174">
        <f>INDEX('STOPE SUMMARY PIVOT'!$E$2050:$E$2177, MATCH(FC$1,'STOPE SUMMARY PIVOT'!$A$2050:$A$2177, 0))</f>
        <v>2.41</v>
      </c>
      <c r="FE54" s="165">
        <f>INDEX('STOPE SUMMARY PIVOT'!$D$2050:$D$2177, MATCH(FE$1,'STOPE SUMMARY PIVOT'!$A$2050:$A$2177, 0))</f>
        <v>0</v>
      </c>
      <c r="FF54" s="174">
        <f>INDEX('STOPE SUMMARY PIVOT'!$E$2050:$E$2177, MATCH(FE$1,'STOPE SUMMARY PIVOT'!$A$2050:$A$2177, 0))</f>
        <v>0</v>
      </c>
      <c r="FG54" s="165">
        <f>INDEX('STOPE SUMMARY PIVOT'!$D$2050:$D$2177, MATCH(FG$1,'STOPE SUMMARY PIVOT'!$A$2050:$A$2177, 0))</f>
        <v>0</v>
      </c>
      <c r="FH54" s="174">
        <f>INDEX('STOPE SUMMARY PIVOT'!$E$2050:$E$2177, MATCH(FG$1,'STOPE SUMMARY PIVOT'!$A$2050:$A$2177, 0))</f>
        <v>0</v>
      </c>
      <c r="FI54" s="165">
        <f>INDEX('STOPE SUMMARY PIVOT'!$D$2050:$D$2177, MATCH(FI$1,'STOPE SUMMARY PIVOT'!$A$2050:$A$2177, 0))</f>
        <v>0</v>
      </c>
      <c r="FJ54" s="174">
        <f>INDEX('STOPE SUMMARY PIVOT'!$E$2050:$E$2177, MATCH(FI$1,'STOPE SUMMARY PIVOT'!$A$2050:$A$2177, 0))</f>
        <v>0</v>
      </c>
      <c r="FK54" s="165">
        <f>INDEX('STOPE SUMMARY PIVOT'!$D$2050:$D$2177, MATCH(FK$1,'STOPE SUMMARY PIVOT'!$A$2050:$A$2177, 0))</f>
        <v>0</v>
      </c>
      <c r="FL54" s="174">
        <f>INDEX('STOPE SUMMARY PIVOT'!$E$2050:$E$2177, MATCH(FK$1,'STOPE SUMMARY PIVOT'!$A$2050:$A$2177, 0))</f>
        <v>0</v>
      </c>
      <c r="FM54" s="165">
        <f>INDEX('STOPE SUMMARY PIVOT'!$D$2050:$D$2177, MATCH(FM$1,'STOPE SUMMARY PIVOT'!$A$2050:$A$2177, 0))</f>
        <v>0</v>
      </c>
      <c r="FN54" s="174">
        <f>INDEX('STOPE SUMMARY PIVOT'!$E$2050:$E$2177, MATCH(FM$1,'STOPE SUMMARY PIVOT'!$A$2050:$A$2177, 0))</f>
        <v>0</v>
      </c>
      <c r="FO54" s="165">
        <f>INDEX('STOPE SUMMARY PIVOT'!$D$2050:$D$2177, MATCH(FO$1,'STOPE SUMMARY PIVOT'!$A$2050:$A$2177, 0))</f>
        <v>0</v>
      </c>
      <c r="FP54" s="174">
        <f>INDEX('STOPE SUMMARY PIVOT'!$E$2050:$E$2177, MATCH(FO$1,'STOPE SUMMARY PIVOT'!$A$2050:$A$2177, 0))</f>
        <v>0</v>
      </c>
      <c r="FQ54" s="165">
        <f>INDEX('STOPE SUMMARY PIVOT'!$D$2050:$D$2177, MATCH(FQ$1,'STOPE SUMMARY PIVOT'!$A$2050:$A$2177, 0))</f>
        <v>0</v>
      </c>
      <c r="FR54" s="174">
        <f>INDEX('STOPE SUMMARY PIVOT'!$E$2050:$E$2177, MATCH(FQ$1,'STOPE SUMMARY PIVOT'!$A$2050:$A$2177, 0))</f>
        <v>0</v>
      </c>
      <c r="FS54" s="165">
        <f>INDEX('STOPE SUMMARY PIVOT'!$D$2050:$D$2177, MATCH(FS$1,'STOPE SUMMARY PIVOT'!$A$2050:$A$2177, 0))</f>
        <v>1202</v>
      </c>
      <c r="FT54" s="174">
        <f>INDEX('STOPE SUMMARY PIVOT'!$E$2050:$E$2177, MATCH(FS$1,'STOPE SUMMARY PIVOT'!$A$2050:$A$2177, 0))</f>
        <v>2.84</v>
      </c>
      <c r="FU54" s="165">
        <f>INDEX('STOPE SUMMARY PIVOT'!$D$2050:$D$2177, MATCH(FU$1,'STOPE SUMMARY PIVOT'!$A$2050:$A$2177, 0))</f>
        <v>0</v>
      </c>
      <c r="FV54" s="174">
        <f>INDEX('STOPE SUMMARY PIVOT'!$E$2050:$E$2177, MATCH(FU$1,'STOPE SUMMARY PIVOT'!$A$2050:$A$2177, 0))</f>
        <v>0</v>
      </c>
      <c r="FW54" s="165">
        <f>INDEX('STOPE SUMMARY PIVOT'!$D$2050:$D$2177, MATCH(FW$1,'STOPE SUMMARY PIVOT'!$A$2050:$A$2177, 0))</f>
        <v>18</v>
      </c>
      <c r="FX54" s="174">
        <f>INDEX('STOPE SUMMARY PIVOT'!$E$2050:$E$2177, MATCH(FW$1,'STOPE SUMMARY PIVOT'!$A$2050:$A$2177, 0))</f>
        <v>3.97</v>
      </c>
      <c r="FY54" s="165">
        <f>INDEX('STOPE SUMMARY PIVOT'!$D$2050:$D$2177, MATCH(FY$1,'STOPE SUMMARY PIVOT'!$A$2050:$A$2177, 0))</f>
        <v>0</v>
      </c>
      <c r="FZ54" s="174">
        <f>INDEX('STOPE SUMMARY PIVOT'!$E$2050:$E$2177, MATCH(FY$1,'STOPE SUMMARY PIVOT'!$A$2050:$A$2177, 0))</f>
        <v>0</v>
      </c>
      <c r="GA54" s="165">
        <f>INDEX('STOPE SUMMARY PIVOT'!$D$2050:$D$2177, MATCH(GA$1,'STOPE SUMMARY PIVOT'!$A$2050:$A$2177, 0))</f>
        <v>0</v>
      </c>
      <c r="GB54" s="174">
        <f>INDEX('STOPE SUMMARY PIVOT'!$E$2050:$E$2177, MATCH(GA$1,'STOPE SUMMARY PIVOT'!$A$2050:$A$2177, 0))</f>
        <v>0</v>
      </c>
      <c r="GC54" s="165">
        <f>INDEX('STOPE SUMMARY PIVOT'!$D$2050:$D$2177, MATCH(GC$1,'STOPE SUMMARY PIVOT'!$A$2050:$A$2177, 0))</f>
        <v>0</v>
      </c>
      <c r="GD54" s="174">
        <f>INDEX('STOPE SUMMARY PIVOT'!$E$2050:$E$2177, MATCH(GC$1,'STOPE SUMMARY PIVOT'!$A$2050:$A$2177, 0))</f>
        <v>0</v>
      </c>
      <c r="GE54" s="165">
        <f>INDEX('STOPE SUMMARY PIVOT'!$D$2050:$D$2177, MATCH(GE$1,'STOPE SUMMARY PIVOT'!$A$2050:$A$2177, 0))</f>
        <v>0</v>
      </c>
      <c r="GF54" s="174">
        <f>INDEX('STOPE SUMMARY PIVOT'!$E$2050:$E$2177, MATCH(GE$1,'STOPE SUMMARY PIVOT'!$A$2050:$A$2177, 0))</f>
        <v>0</v>
      </c>
      <c r="GG54" s="165">
        <f>INDEX('STOPE SUMMARY PIVOT'!$D$2050:$D$2177, MATCH(GG$1,'STOPE SUMMARY PIVOT'!$A$2050:$A$2177, 0))</f>
        <v>0</v>
      </c>
      <c r="GH54" s="174">
        <f>INDEX('STOPE SUMMARY PIVOT'!$E$2050:$E$2177, MATCH(GG$1,'STOPE SUMMARY PIVOT'!$A$2050:$A$2177, 0))</f>
        <v>0</v>
      </c>
      <c r="GI54" s="165">
        <f>INDEX('STOPE SUMMARY PIVOT'!$D$2050:$D$2177, MATCH(GI$1,'STOPE SUMMARY PIVOT'!$A$2050:$A$2177, 0))</f>
        <v>0</v>
      </c>
      <c r="GJ54" s="174">
        <f>INDEX('STOPE SUMMARY PIVOT'!$E$2050:$E$2177, MATCH(GI$1,'STOPE SUMMARY PIVOT'!$A$2050:$A$2177, 0))</f>
        <v>0</v>
      </c>
      <c r="GK54" s="165">
        <f>INDEX('STOPE SUMMARY PIVOT'!$D$2050:$D$2177, MATCH(GK$1,'STOPE SUMMARY PIVOT'!$A$2050:$A$2177, 0))</f>
        <v>0</v>
      </c>
      <c r="GL54" s="174">
        <f>INDEX('STOPE SUMMARY PIVOT'!$E$2050:$E$2177, MATCH(GK$1,'STOPE SUMMARY PIVOT'!$A$2050:$A$2177, 0))</f>
        <v>0</v>
      </c>
      <c r="GM54" s="165">
        <f>INDEX('STOPE SUMMARY PIVOT'!$D$2050:$D$2177, MATCH(GM$1,'STOPE SUMMARY PIVOT'!$A$2050:$A$2177, 0))</f>
        <v>1211</v>
      </c>
      <c r="GN54" s="174">
        <f>INDEX('STOPE SUMMARY PIVOT'!$E$2050:$E$2177, MATCH(GM$1,'STOPE SUMMARY PIVOT'!$A$2050:$A$2177, 0))</f>
        <v>1.64</v>
      </c>
      <c r="GO54" s="165">
        <f>INDEX('STOPE SUMMARY PIVOT'!$D$2050:$D$2177, MATCH(GO$1,'STOPE SUMMARY PIVOT'!$A$2050:$A$2177, 0))</f>
        <v>0</v>
      </c>
      <c r="GP54" s="174">
        <f>INDEX('STOPE SUMMARY PIVOT'!$E$2050:$E$2177, MATCH(GO$1,'STOPE SUMMARY PIVOT'!$A$2050:$A$2177, 0))</f>
        <v>0</v>
      </c>
      <c r="GQ54" s="165">
        <f>INDEX('STOPE SUMMARY PIVOT'!$D$2050:$D$2177, MATCH(GQ$1,'STOPE SUMMARY PIVOT'!$A$2050:$A$2177, 0))</f>
        <v>0</v>
      </c>
      <c r="GR54" s="174">
        <f>INDEX('STOPE SUMMARY PIVOT'!$E$2050:$E$2177, MATCH(GQ$1,'STOPE SUMMARY PIVOT'!$A$2050:$A$2177, 0))</f>
        <v>0</v>
      </c>
      <c r="GS54" s="165">
        <f>INDEX('STOPE SUMMARY PIVOT'!$D$2050:$D$2177, MATCH(GS$1,'STOPE SUMMARY PIVOT'!$A$2050:$A$2177, 0))</f>
        <v>0</v>
      </c>
      <c r="GT54" s="174">
        <f>INDEX('STOPE SUMMARY PIVOT'!$E$2050:$E$2177, MATCH(GS$1,'STOPE SUMMARY PIVOT'!$A$2050:$A$2177, 0))</f>
        <v>0</v>
      </c>
      <c r="GU54" s="165">
        <f>INDEX('STOPE SUMMARY PIVOT'!$D$2050:$D$2177, MATCH(GU$1,'STOPE SUMMARY PIVOT'!$A$2050:$A$2177, 0))</f>
        <v>0</v>
      </c>
      <c r="GV54" s="174">
        <f>INDEX('STOPE SUMMARY PIVOT'!$E$2050:$E$2177, MATCH(GU$1,'STOPE SUMMARY PIVOT'!$A$2050:$A$2177, 0))</f>
        <v>0</v>
      </c>
      <c r="GW54" s="165">
        <f>INDEX('STOPE SUMMARY PIVOT'!$D$2050:$D$2177, MATCH(GW$1,'STOPE SUMMARY PIVOT'!$A$2050:$A$2177, 0))</f>
        <v>0</v>
      </c>
      <c r="GX54" s="174">
        <f>INDEX('STOPE SUMMARY PIVOT'!$E$2050:$E$2177, MATCH(GW$1,'STOPE SUMMARY PIVOT'!$A$2050:$A$2177, 0))</f>
        <v>0</v>
      </c>
      <c r="GY54" s="165">
        <f>INDEX('STOPE SUMMARY PIVOT'!$D$2050:$D$2177, MATCH(GY$1,'STOPE SUMMARY PIVOT'!$A$2050:$A$2177, 0))</f>
        <v>0</v>
      </c>
      <c r="GZ54" s="174">
        <f>INDEX('STOPE SUMMARY PIVOT'!$E$2050:$E$2177, MATCH(GY$1,'STOPE SUMMARY PIVOT'!$A$2050:$A$2177, 0))</f>
        <v>0</v>
      </c>
      <c r="HA54" s="165">
        <f>INDEX('STOPE SUMMARY PIVOT'!$D$2050:$D$2177, MATCH(HA$1,'STOPE SUMMARY PIVOT'!$A$2050:$A$2177, 0))</f>
        <v>0</v>
      </c>
      <c r="HB54" s="174">
        <f>INDEX('STOPE SUMMARY PIVOT'!$E$2050:$E$2177, MATCH(HA$1,'STOPE SUMMARY PIVOT'!$A$2050:$A$2177, 0))</f>
        <v>0</v>
      </c>
      <c r="HC54" s="165">
        <f>INDEX('STOPE SUMMARY PIVOT'!$D$2050:$D$2177, MATCH(HC$1,'STOPE SUMMARY PIVOT'!$A$2050:$A$2177, 0))</f>
        <v>0</v>
      </c>
      <c r="HD54" s="174">
        <f>INDEX('STOPE SUMMARY PIVOT'!$E$2050:$E$2177, MATCH(HC$1,'STOPE SUMMARY PIVOT'!$A$2050:$A$2177, 0))</f>
        <v>0</v>
      </c>
      <c r="HE54" s="165">
        <f>INDEX('STOPE SUMMARY PIVOT'!$D$2050:$D$2177, MATCH(HE$1,'STOPE SUMMARY PIVOT'!$A$2050:$A$2177, 0))</f>
        <v>0</v>
      </c>
      <c r="HF54" s="174">
        <f>INDEX('STOPE SUMMARY PIVOT'!$E$2050:$E$2177, MATCH(HE$1,'STOPE SUMMARY PIVOT'!$A$2050:$A$2177, 0))</f>
        <v>0</v>
      </c>
      <c r="HG54" s="165">
        <f>INDEX('STOPE SUMMARY PIVOT'!$D$2050:$D$2177, MATCH(HG$1,'STOPE SUMMARY PIVOT'!$A$2050:$A$2177, 0))</f>
        <v>0</v>
      </c>
      <c r="HH54" s="174">
        <f>INDEX('STOPE SUMMARY PIVOT'!$E$2050:$E$2177, MATCH(HG$1,'STOPE SUMMARY PIVOT'!$A$2050:$A$2177, 0))</f>
        <v>0</v>
      </c>
      <c r="HI54" s="165">
        <f>INDEX('STOPE SUMMARY PIVOT'!$D$2050:$D$2177, MATCH(HI$1,'STOPE SUMMARY PIVOT'!$A$2050:$A$2177, 0))</f>
        <v>0</v>
      </c>
      <c r="HJ54" s="174">
        <f>INDEX('STOPE SUMMARY PIVOT'!$E$2050:$E$2177, MATCH(HI$1,'STOPE SUMMARY PIVOT'!$A$2050:$A$2177, 0))</f>
        <v>0</v>
      </c>
      <c r="HK54" s="165">
        <f>INDEX('STOPE SUMMARY PIVOT'!$D$2050:$D$2177, MATCH(HK$1,'STOPE SUMMARY PIVOT'!$A$2050:$A$2177, 0))</f>
        <v>0</v>
      </c>
      <c r="HL54" s="174">
        <f>INDEX('STOPE SUMMARY PIVOT'!$E$2050:$E$2177, MATCH(HK$1,'STOPE SUMMARY PIVOT'!$A$2050:$A$2177, 0))</f>
        <v>0</v>
      </c>
      <c r="HM54" s="165">
        <f>INDEX('STOPE SUMMARY PIVOT'!$D$2050:$D$2177, MATCH(HM$1,'STOPE SUMMARY PIVOT'!$A$2050:$A$2177, 0))</f>
        <v>0</v>
      </c>
      <c r="HN54" s="174">
        <f>INDEX('STOPE SUMMARY PIVOT'!$E$2050:$E$2177, MATCH(HM$1,'STOPE SUMMARY PIVOT'!$A$2050:$A$2177, 0))</f>
        <v>0</v>
      </c>
      <c r="HO54" s="165">
        <f>INDEX('STOPE SUMMARY PIVOT'!$D$2050:$D$2177, MATCH(HO$1,'STOPE SUMMARY PIVOT'!$A$2050:$A$2177, 0))</f>
        <v>0</v>
      </c>
      <c r="HP54" s="174">
        <f>INDEX('STOPE SUMMARY PIVOT'!$E$2050:$E$2177, MATCH(HO$1,'STOPE SUMMARY PIVOT'!$A$2050:$A$2177, 0))</f>
        <v>0</v>
      </c>
      <c r="HQ54" s="165">
        <f>INDEX('STOPE SUMMARY PIVOT'!$D$2050:$D$2177, MATCH(HQ$1,'STOPE SUMMARY PIVOT'!$A$2050:$A$2177, 0))</f>
        <v>0</v>
      </c>
      <c r="HR54" s="174">
        <f>INDEX('STOPE SUMMARY PIVOT'!$E$2050:$E$2177, MATCH(HQ$1,'STOPE SUMMARY PIVOT'!$A$2050:$A$2177, 0))</f>
        <v>0</v>
      </c>
      <c r="HS54" s="165">
        <f>INDEX('STOPE SUMMARY PIVOT'!$D$2050:$D$2177, MATCH(HS$1,'STOPE SUMMARY PIVOT'!$A$2050:$A$2177, 0))</f>
        <v>0</v>
      </c>
      <c r="HT54" s="174">
        <f>INDEX('STOPE SUMMARY PIVOT'!$E$2050:$E$2177, MATCH(HS$1,'STOPE SUMMARY PIVOT'!$A$2050:$A$2177, 0))</f>
        <v>0</v>
      </c>
      <c r="HU54" s="165">
        <f>INDEX('STOPE SUMMARY PIVOT'!$D$2050:$D$2177, MATCH(HU$1,'STOPE SUMMARY PIVOT'!$A$2050:$A$2177, 0))</f>
        <v>0</v>
      </c>
      <c r="HV54" s="174">
        <f>INDEX('STOPE SUMMARY PIVOT'!$E$2050:$E$2177, MATCH(HU$1,'STOPE SUMMARY PIVOT'!$A$2050:$A$2177, 0))</f>
        <v>0</v>
      </c>
      <c r="HW54" s="165">
        <f>INDEX('STOPE SUMMARY PIVOT'!$D$2050:$D$2177, MATCH(HW$1,'STOPE SUMMARY PIVOT'!$A$2050:$A$2177, 0))</f>
        <v>0</v>
      </c>
      <c r="HX54" s="174">
        <f>INDEX('STOPE SUMMARY PIVOT'!$E$2050:$E$2177, MATCH(HW$1,'STOPE SUMMARY PIVOT'!$A$2050:$A$2177, 0))</f>
        <v>0</v>
      </c>
      <c r="HY54" s="165">
        <f>INDEX('STOPE SUMMARY PIVOT'!$D$2050:$D$2177, MATCH(HY$1,'STOPE SUMMARY PIVOT'!$A$2050:$A$2177, 0))</f>
        <v>0</v>
      </c>
      <c r="HZ54" s="174">
        <f>INDEX('STOPE SUMMARY PIVOT'!$E$2050:$E$2177, MATCH(HY$1,'STOPE SUMMARY PIVOT'!$A$2050:$A$2177, 0))</f>
        <v>0</v>
      </c>
      <c r="IA54" s="165">
        <f>INDEX('STOPE SUMMARY PIVOT'!$D$2050:$D$2177, MATCH(IA$1,'STOPE SUMMARY PIVOT'!$A$2050:$A$2177, 0))</f>
        <v>0</v>
      </c>
      <c r="IB54" s="174">
        <f>INDEX('STOPE SUMMARY PIVOT'!$E$2050:$E$2177, MATCH(IA$1,'STOPE SUMMARY PIVOT'!$A$2050:$A$2177, 0))</f>
        <v>0</v>
      </c>
      <c r="IC54" s="165">
        <f>INDEX('STOPE SUMMARY PIVOT'!$D$2050:$D$2177, MATCH(IC$1,'STOPE SUMMARY PIVOT'!$A$2050:$A$2177, 0))</f>
        <v>0</v>
      </c>
      <c r="ID54" s="174">
        <f>INDEX('STOPE SUMMARY PIVOT'!$E$2050:$E$2177, MATCH(IC$1,'STOPE SUMMARY PIVOT'!$A$2050:$A$2177, 0))</f>
        <v>0</v>
      </c>
      <c r="IE54" s="165">
        <f>INDEX('STOPE SUMMARY PIVOT'!$D$2050:$D$2177, MATCH(IE$1,'STOPE SUMMARY PIVOT'!$A$2050:$A$2177, 0))</f>
        <v>0</v>
      </c>
      <c r="IF54" s="174">
        <f>INDEX('STOPE SUMMARY PIVOT'!$E$2050:$E$2177, MATCH(IE$1,'STOPE SUMMARY PIVOT'!$A$2050:$A$2177, 0))</f>
        <v>0</v>
      </c>
      <c r="IG54" s="165">
        <f>INDEX('STOPE SUMMARY PIVOT'!$D$2050:$D$2177, MATCH(IG$1,'STOPE SUMMARY PIVOT'!$A$2050:$A$2177, 0))</f>
        <v>0</v>
      </c>
      <c r="IH54" s="174">
        <f>INDEX('STOPE SUMMARY PIVOT'!$E$2050:$E$2177, MATCH(IG$1,'STOPE SUMMARY PIVOT'!$A$2050:$A$2177, 0))</f>
        <v>0</v>
      </c>
      <c r="II54" s="165">
        <f>INDEX('STOPE SUMMARY PIVOT'!$D$2050:$D$2177, MATCH(II$1,'STOPE SUMMARY PIVOT'!$A$2050:$A$2177, 0))</f>
        <v>0</v>
      </c>
      <c r="IJ54" s="174">
        <f>INDEX('STOPE SUMMARY PIVOT'!$E$2050:$E$2177, MATCH(II$1,'STOPE SUMMARY PIVOT'!$A$2050:$A$2177, 0))</f>
        <v>0</v>
      </c>
      <c r="IK54" s="165">
        <f>INDEX('STOPE SUMMARY PIVOT'!$D$2050:$D$2177, MATCH(IK$1,'STOPE SUMMARY PIVOT'!$A$2050:$A$2177, 0))</f>
        <v>0</v>
      </c>
      <c r="IL54" s="174">
        <f>INDEX('STOPE SUMMARY PIVOT'!$E$2050:$E$2177, MATCH(IK$1,'STOPE SUMMARY PIVOT'!$A$2050:$A$2177, 0))</f>
        <v>0</v>
      </c>
      <c r="IM54" s="165">
        <f>INDEX('STOPE SUMMARY PIVOT'!$D$2050:$D$2177, MATCH(IM$1,'STOPE SUMMARY PIVOT'!$A$2050:$A$2177, 0))</f>
        <v>0</v>
      </c>
      <c r="IN54" s="174">
        <f>INDEX('STOPE SUMMARY PIVOT'!$E$2050:$E$2177, MATCH(IM$1,'STOPE SUMMARY PIVOT'!$A$2050:$A$2177, 0))</f>
        <v>0</v>
      </c>
      <c r="IO54" s="165">
        <f>INDEX('STOPE SUMMARY PIVOT'!$D$2050:$D$2177, MATCH(IO$1,'STOPE SUMMARY PIVOT'!$A$2050:$A$2177, 0))</f>
        <v>0</v>
      </c>
      <c r="IP54" s="174">
        <f>INDEX('STOPE SUMMARY PIVOT'!$E$2050:$E$2177, MATCH(IO$1,'STOPE SUMMARY PIVOT'!$A$2050:$A$2177, 0))</f>
        <v>0</v>
      </c>
      <c r="IQ54" s="165">
        <f>INDEX('STOPE SUMMARY PIVOT'!$D$2050:$D$2177, MATCH(IQ$1,'STOPE SUMMARY PIVOT'!$A$2050:$A$2177, 0))</f>
        <v>0</v>
      </c>
      <c r="IR54" s="174">
        <f>INDEX('STOPE SUMMARY PIVOT'!$E$2050:$E$2177, MATCH(IQ$1,'STOPE SUMMARY PIVOT'!$A$2050:$A$2177, 0))</f>
        <v>0</v>
      </c>
      <c r="IS54" s="165">
        <f>INDEX('STOPE SUMMARY PIVOT'!$D$2050:$D$2177, MATCH(IS$1,'STOPE SUMMARY PIVOT'!$A$2050:$A$2177, 0))</f>
        <v>0</v>
      </c>
      <c r="IT54" s="174">
        <f>INDEX('STOPE SUMMARY PIVOT'!$E$2050:$E$2177, MATCH(IS$1,'STOPE SUMMARY PIVOT'!$A$2050:$A$2177, 0))</f>
        <v>0</v>
      </c>
      <c r="IU54" s="165">
        <f>INDEX('STOPE SUMMARY PIVOT'!$D$2050:$D$2177, MATCH(IU$1,'STOPE SUMMARY PIVOT'!$A$2050:$A$2177, 0))</f>
        <v>0</v>
      </c>
      <c r="IV54" s="174">
        <f>INDEX('STOPE SUMMARY PIVOT'!$E$2050:$E$2177, MATCH(IU$1,'STOPE SUMMARY PIVOT'!$A$2050:$A$2177, 0))</f>
        <v>0</v>
      </c>
      <c r="IW54" s="165">
        <f>INDEX('STOPE SUMMARY PIVOT'!$D$2050:$D$2177, MATCH(IW$1,'STOPE SUMMARY PIVOT'!$A$2050:$A$2177, 0))</f>
        <v>0</v>
      </c>
      <c r="IX54" s="174">
        <f>INDEX('STOPE SUMMARY PIVOT'!$E$2050:$E$2177, MATCH(IW$1,'STOPE SUMMARY PIVOT'!$A$2050:$A$2177, 0))</f>
        <v>0</v>
      </c>
      <c r="IY54" s="165">
        <f>INDEX('STOPE SUMMARY PIVOT'!$D$2050:$D$2177, MATCH(IY$1,'STOPE SUMMARY PIVOT'!$A$2050:$A$2177, 0))</f>
        <v>0</v>
      </c>
      <c r="IZ54" s="174">
        <f>INDEX('STOPE SUMMARY PIVOT'!$E$2050:$E$2177, MATCH(IY$1,'STOPE SUMMARY PIVOT'!$A$2050:$A$2177, 0))</f>
        <v>0</v>
      </c>
    </row>
    <row r="55" spans="1:260" x14ac:dyDescent="0.25">
      <c r="A55" s="1590"/>
      <c r="B55" s="167" t="s">
        <v>219</v>
      </c>
      <c r="C55" s="168" cm="1">
        <f t="array" ref="C55">SUM(_xlfn._xlws.FILTER(E55:IZ55, MOD(COLUMN(E55:IZ55)-COLUMN(E55)+1,2)=1))</f>
        <v>27055</v>
      </c>
      <c r="D55" s="26" cm="1">
        <f t="array" ref="D55">IFERROR(SUMPRODUCT(_xlfn._xlws.FILTER(E55:IZ55, MOD(COLUMN(E55:IZ55)-COLUMN(E55)+1,2)=1), _xlfn._xlws.FILTER(E55:IZ55, MOD(COLUMN(E55:IZ55)-COLUMN(E55)+1,2)=0))/C55,"")</f>
        <v>2.9569210866752909</v>
      </c>
      <c r="E55" s="154">
        <f>INDEX('STOPE SUMMARY PIVOT'!$G$2050:$G$2177, MATCH(E$1,'STOPE SUMMARY PIVOT'!$A$2050:$A$2177, 0))</f>
        <v>2030</v>
      </c>
      <c r="F55" s="175">
        <f>INDEX('STOPE SUMMARY PIVOT'!$H$2050:$H$2177, MATCH(E$1,'STOPE SUMMARY PIVOT'!$A$2050:$A$2177, 0))</f>
        <v>2.2999999999999998</v>
      </c>
      <c r="G55" s="154">
        <f>INDEX('STOPE SUMMARY PIVOT'!$G$2050:$G$2177, MATCH(G$1,'STOPE SUMMARY PIVOT'!$A$2050:$A$2177, 0))</f>
        <v>0</v>
      </c>
      <c r="H55" s="175">
        <f>INDEX('STOPE SUMMARY PIVOT'!$H$2050:$H$2177, MATCH(G$1,'STOPE SUMMARY PIVOT'!$A$2050:$A$2177, 0))</f>
        <v>0</v>
      </c>
      <c r="I55" s="154">
        <f>INDEX('STOPE SUMMARY PIVOT'!$G$2050:$G$2177, MATCH(I$1,'STOPE SUMMARY PIVOT'!$A$2050:$A$2177, 0))</f>
        <v>0</v>
      </c>
      <c r="J55" s="143">
        <f>INDEX('STOPE SUMMARY PIVOT'!$H$2050:$H$2177, MATCH(I$1,'STOPE SUMMARY PIVOT'!$A$2050:$A$2177, 0))</f>
        <v>0</v>
      </c>
      <c r="K55" s="154">
        <f>INDEX('STOPE SUMMARY PIVOT'!$G$2050:$G$2177, MATCH(K$1,'STOPE SUMMARY PIVOT'!$A$2050:$A$2177, 0))</f>
        <v>0</v>
      </c>
      <c r="L55" s="143">
        <f>INDEX('STOPE SUMMARY PIVOT'!$H$2050:$H$2177, MATCH(K$1,'STOPE SUMMARY PIVOT'!$A$2050:$A$2177, 0))</f>
        <v>0</v>
      </c>
      <c r="M55" s="154">
        <f>INDEX('STOPE SUMMARY PIVOT'!$G$2050:$G$2177, MATCH(M$1,'STOPE SUMMARY PIVOT'!$A$2050:$A$2177, 0))</f>
        <v>0</v>
      </c>
      <c r="N55" s="143">
        <f>INDEX('STOPE SUMMARY PIVOT'!$H$2050:$H$2177, MATCH(M$1,'STOPE SUMMARY PIVOT'!$A$2050:$A$2177, 0))</f>
        <v>0</v>
      </c>
      <c r="O55" s="154">
        <f>INDEX('STOPE SUMMARY PIVOT'!$G$2050:$G$2177, MATCH(O$1,'STOPE SUMMARY PIVOT'!$A$2050:$A$2177, 0))</f>
        <v>0</v>
      </c>
      <c r="P55" s="143">
        <f>INDEX('STOPE SUMMARY PIVOT'!$H$2050:$H$2177, MATCH(O$1,'STOPE SUMMARY PIVOT'!$A$2050:$A$2177, 0))</f>
        <v>0</v>
      </c>
      <c r="Q55" s="154">
        <f>INDEX('STOPE SUMMARY PIVOT'!$G$2050:$G$2177, MATCH(Q$1,'STOPE SUMMARY PIVOT'!$A$2050:$A$2177, 0))</f>
        <v>0</v>
      </c>
      <c r="R55" s="143">
        <f>INDEX('STOPE SUMMARY PIVOT'!$H$2050:$H$2177, MATCH(Q$1,'STOPE SUMMARY PIVOT'!$A$2050:$A$2177, 0))</f>
        <v>0</v>
      </c>
      <c r="S55" s="154">
        <f>INDEX('STOPE SUMMARY PIVOT'!$G$2050:$G$2177, MATCH(S$1,'STOPE SUMMARY PIVOT'!$A$2050:$A$2177, 0))</f>
        <v>0</v>
      </c>
      <c r="T55" s="143">
        <f>INDEX('STOPE SUMMARY PIVOT'!$H$2050:$H$2177, MATCH(S$1,'STOPE SUMMARY PIVOT'!$A$2050:$A$2177, 0))</f>
        <v>0</v>
      </c>
      <c r="U55" s="154">
        <f>INDEX('STOPE SUMMARY PIVOT'!$G$2050:$G$2177, MATCH(U$1,'STOPE SUMMARY PIVOT'!$A$2050:$A$2177, 0))</f>
        <v>0</v>
      </c>
      <c r="V55" s="175">
        <f>INDEX('STOPE SUMMARY PIVOT'!$H$2050:$H$2177, MATCH(U$1,'STOPE SUMMARY PIVOT'!$A$2050:$A$2177, 0))</f>
        <v>0</v>
      </c>
      <c r="W55" s="154">
        <f>INDEX('STOPE SUMMARY PIVOT'!$G$2050:$G$2177, MATCH(W$1,'STOPE SUMMARY PIVOT'!$A$2050:$A$2177, 0))</f>
        <v>0</v>
      </c>
      <c r="X55" s="175">
        <f>INDEX('STOPE SUMMARY PIVOT'!$H$2050:$H$2177, MATCH(W$1,'STOPE SUMMARY PIVOT'!$A$2050:$A$2177, 0))</f>
        <v>0</v>
      </c>
      <c r="Y55" s="154">
        <f>INDEX('STOPE SUMMARY PIVOT'!$G$2050:$G$2177, MATCH(Y$1,'STOPE SUMMARY PIVOT'!$A$2050:$A$2177, 0))</f>
        <v>2030</v>
      </c>
      <c r="Z55" s="175">
        <f>INDEX('STOPE SUMMARY PIVOT'!$H$2050:$H$2177, MATCH(Y$1,'STOPE SUMMARY PIVOT'!$A$2050:$A$2177, 0))</f>
        <v>3.85</v>
      </c>
      <c r="AA55" s="154">
        <f>INDEX('STOPE SUMMARY PIVOT'!$G$2050:$G$2177, MATCH(AA$1,'STOPE SUMMARY PIVOT'!$A$2050:$A$2177, 0))</f>
        <v>1960</v>
      </c>
      <c r="AB55" s="175">
        <f>INDEX('STOPE SUMMARY PIVOT'!$H$2050:$H$2177, MATCH(AA$1,'STOPE SUMMARY PIVOT'!$A$2050:$A$2177, 0))</f>
        <v>2.14</v>
      </c>
      <c r="AC55" s="154">
        <f>INDEX('STOPE SUMMARY PIVOT'!$G$2050:$G$2177, MATCH(AC$1,'STOPE SUMMARY PIVOT'!$A$2050:$A$2177, 0))</f>
        <v>0</v>
      </c>
      <c r="AD55" s="175">
        <f>INDEX('STOPE SUMMARY PIVOT'!$H$2050:$H$2177, MATCH(AC$1,'STOPE SUMMARY PIVOT'!$A$2050:$A$2177, 0))</f>
        <v>0</v>
      </c>
      <c r="AE55" s="154">
        <f>INDEX('STOPE SUMMARY PIVOT'!$G$2050:$G$2177, MATCH(AE$1,'STOPE SUMMARY PIVOT'!$A$2050:$A$2177, 0))</f>
        <v>0</v>
      </c>
      <c r="AF55" s="175">
        <f>INDEX('STOPE SUMMARY PIVOT'!$H$2050:$H$2177, MATCH(AE$1,'STOPE SUMMARY PIVOT'!$A$2050:$A$2177, 0))</f>
        <v>0</v>
      </c>
      <c r="AG55" s="154">
        <f>INDEX('STOPE SUMMARY PIVOT'!$G$2050:$G$2177, MATCH(AG$1,'STOPE SUMMARY PIVOT'!$A$2050:$A$2177, 0))</f>
        <v>0</v>
      </c>
      <c r="AH55" s="175">
        <f>INDEX('STOPE SUMMARY PIVOT'!$H$2050:$H$2177, MATCH(AG$1,'STOPE SUMMARY PIVOT'!$A$2050:$A$2177, 0))</f>
        <v>0</v>
      </c>
      <c r="AI55" s="154">
        <f>INDEX('STOPE SUMMARY PIVOT'!$G$2050:$G$2177, MATCH(AI$1,'STOPE SUMMARY PIVOT'!$A$2050:$A$2177, 0))</f>
        <v>0</v>
      </c>
      <c r="AJ55" s="175">
        <f>INDEX('STOPE SUMMARY PIVOT'!$H$2050:$H$2177, MATCH(AI$1,'STOPE SUMMARY PIVOT'!$A$2050:$A$2177, 0))</f>
        <v>0</v>
      </c>
      <c r="AK55" s="154">
        <f>INDEX('STOPE SUMMARY PIVOT'!$G$2050:$G$2177, MATCH(AK$1,'STOPE SUMMARY PIVOT'!$A$2050:$A$2177, 0))</f>
        <v>0</v>
      </c>
      <c r="AL55" s="175">
        <f>INDEX('STOPE SUMMARY PIVOT'!$H$2050:$H$2177, MATCH(AK$1,'STOPE SUMMARY PIVOT'!$A$2050:$A$2177, 0))</f>
        <v>0</v>
      </c>
      <c r="AM55" s="154">
        <f>INDEX('STOPE SUMMARY PIVOT'!$G$2050:$G$2177, MATCH(AM$1,'STOPE SUMMARY PIVOT'!$A$2050:$A$2177, 0))</f>
        <v>0</v>
      </c>
      <c r="AN55" s="175">
        <f>INDEX('STOPE SUMMARY PIVOT'!$H$2050:$H$2177, MATCH(AM$1,'STOPE SUMMARY PIVOT'!$A$2050:$A$2177, 0))</f>
        <v>0</v>
      </c>
      <c r="AO55" s="154">
        <f>INDEX('STOPE SUMMARY PIVOT'!$G$2050:$G$2177, MATCH(AO$1,'STOPE SUMMARY PIVOT'!$A$2050:$A$2177, 0))</f>
        <v>0</v>
      </c>
      <c r="AP55" s="175">
        <f>INDEX('STOPE SUMMARY PIVOT'!$H$2050:$H$2177, MATCH(AO$1,'STOPE SUMMARY PIVOT'!$A$2050:$A$2177, 0))</f>
        <v>0</v>
      </c>
      <c r="AQ55" s="154">
        <f>INDEX('STOPE SUMMARY PIVOT'!$G$2050:$G$2177, MATCH(AQ$1,'STOPE SUMMARY PIVOT'!$A$2050:$A$2177, 0))</f>
        <v>0</v>
      </c>
      <c r="AR55" s="175">
        <f>INDEX('STOPE SUMMARY PIVOT'!$H$2050:$H$2177, MATCH(AQ$1,'STOPE SUMMARY PIVOT'!$A$2050:$A$2177, 0))</f>
        <v>0</v>
      </c>
      <c r="AS55" s="154">
        <f>INDEX('STOPE SUMMARY PIVOT'!$G$2050:$G$2177, MATCH(AS$1,'STOPE SUMMARY PIVOT'!$A$2050:$A$2177, 0))</f>
        <v>0</v>
      </c>
      <c r="AT55" s="175">
        <f>INDEX('STOPE SUMMARY PIVOT'!$H$2050:$H$2177, MATCH(AS$1,'STOPE SUMMARY PIVOT'!$A$2050:$A$2177, 0))</f>
        <v>0</v>
      </c>
      <c r="AU55" s="154">
        <f>INDEX('STOPE SUMMARY PIVOT'!$G$2050:$G$2177, MATCH(AU$1,'STOPE SUMMARY PIVOT'!$A$2050:$A$2177, 0))</f>
        <v>0</v>
      </c>
      <c r="AV55" s="175">
        <f>INDEX('STOPE SUMMARY PIVOT'!$H$2050:$H$2177, MATCH(AU$1,'STOPE SUMMARY PIVOT'!$A$2050:$A$2177, 0))</f>
        <v>0</v>
      </c>
      <c r="AW55" s="154">
        <f>INDEX('STOPE SUMMARY PIVOT'!$G$2050:$G$2177, MATCH(AW$1,'STOPE SUMMARY PIVOT'!$A$2050:$A$2177, 0))</f>
        <v>0</v>
      </c>
      <c r="AX55" s="175">
        <f>INDEX('STOPE SUMMARY PIVOT'!$H$2050:$H$2177, MATCH(AW$1,'STOPE SUMMARY PIVOT'!$A$2050:$A$2177, 0))</f>
        <v>0</v>
      </c>
      <c r="AY55" s="154">
        <f>INDEX('STOPE SUMMARY PIVOT'!$G$2050:$G$2177, MATCH(AY$1,'STOPE SUMMARY PIVOT'!$A$2050:$A$2177, 0))</f>
        <v>0</v>
      </c>
      <c r="AZ55" s="175">
        <f>INDEX('STOPE SUMMARY PIVOT'!$H$2050:$H$2177, MATCH(AY$1,'STOPE SUMMARY PIVOT'!$A$2050:$A$2177, 0))</f>
        <v>0</v>
      </c>
      <c r="BA55" s="154">
        <f>INDEX('STOPE SUMMARY PIVOT'!$G$2050:$G$2177, MATCH(BA$1,'STOPE SUMMARY PIVOT'!$A$2050:$A$2177, 0))</f>
        <v>0</v>
      </c>
      <c r="BB55" s="175">
        <f>INDEX('STOPE SUMMARY PIVOT'!$H$2050:$H$2177, MATCH(BA$1,'STOPE SUMMARY PIVOT'!$A$2050:$A$2177, 0))</f>
        <v>0</v>
      </c>
      <c r="BC55" s="154">
        <f>INDEX('STOPE SUMMARY PIVOT'!$G$2050:$G$2177, MATCH(BC$1,'STOPE SUMMARY PIVOT'!$A$2050:$A$2177, 0))</f>
        <v>0</v>
      </c>
      <c r="BD55" s="175">
        <f>INDEX('STOPE SUMMARY PIVOT'!$H$2050:$H$2177, MATCH(BC$1,'STOPE SUMMARY PIVOT'!$A$2050:$A$2177, 0))</f>
        <v>0</v>
      </c>
      <c r="BE55" s="154">
        <f>INDEX('STOPE SUMMARY PIVOT'!$G$2050:$G$2177, MATCH(BE$1,'STOPE SUMMARY PIVOT'!$A$2050:$A$2177, 0))</f>
        <v>0</v>
      </c>
      <c r="BF55" s="175">
        <f>INDEX('STOPE SUMMARY PIVOT'!$H$2050:$H$2177, MATCH(BE$1,'STOPE SUMMARY PIVOT'!$A$2050:$A$2177, 0))</f>
        <v>0</v>
      </c>
      <c r="BG55" s="154">
        <f>INDEX('STOPE SUMMARY PIVOT'!$G$2050:$G$2177, MATCH(BG$1,'STOPE SUMMARY PIVOT'!$A$2050:$A$2177, 0))</f>
        <v>0</v>
      </c>
      <c r="BH55" s="175">
        <f>INDEX('STOPE SUMMARY PIVOT'!$H$2050:$H$2177, MATCH(BG$1,'STOPE SUMMARY PIVOT'!$A$2050:$A$2177, 0))</f>
        <v>0</v>
      </c>
      <c r="BI55" s="154">
        <f>INDEX('STOPE SUMMARY PIVOT'!$G$2050:$G$2177, MATCH(BI$1,'STOPE SUMMARY PIVOT'!$A$2050:$A$2177, 0))</f>
        <v>0</v>
      </c>
      <c r="BJ55" s="175">
        <f>INDEX('STOPE SUMMARY PIVOT'!$H$2050:$H$2177, MATCH(BI$1,'STOPE SUMMARY PIVOT'!$A$2050:$A$2177, 0))</f>
        <v>0</v>
      </c>
      <c r="BK55" s="154">
        <f>INDEX('STOPE SUMMARY PIVOT'!$G$2050:$G$2177, MATCH(BK$1,'STOPE SUMMARY PIVOT'!$A$2050:$A$2177, 0))</f>
        <v>0</v>
      </c>
      <c r="BL55" s="175">
        <f>INDEX('STOPE SUMMARY PIVOT'!$H$2050:$H$2177, MATCH(BK$1,'STOPE SUMMARY PIVOT'!$A$2050:$A$2177, 0))</f>
        <v>0</v>
      </c>
      <c r="BM55" s="154">
        <f>INDEX('STOPE SUMMARY PIVOT'!$G$2050:$G$2177, MATCH(BM$1,'STOPE SUMMARY PIVOT'!$A$2050:$A$2177, 0))</f>
        <v>0</v>
      </c>
      <c r="BN55" s="175">
        <f>INDEX('STOPE SUMMARY PIVOT'!$H$2050:$H$2177, MATCH(BM$1,'STOPE SUMMARY PIVOT'!$A$2050:$A$2177, 0))</f>
        <v>0</v>
      </c>
      <c r="BO55" s="154">
        <f>INDEX('STOPE SUMMARY PIVOT'!$G$2050:$G$2177, MATCH(BO$1,'STOPE SUMMARY PIVOT'!$A$2050:$A$2177, 0))</f>
        <v>0</v>
      </c>
      <c r="BP55" s="175">
        <f>INDEX('STOPE SUMMARY PIVOT'!$H$2050:$H$2177, MATCH(BO$1,'STOPE SUMMARY PIVOT'!$A$2050:$A$2177, 0))</f>
        <v>0</v>
      </c>
      <c r="BQ55" s="154">
        <f>INDEX('STOPE SUMMARY PIVOT'!$G$2050:$G$2177, MATCH(BQ$1,'STOPE SUMMARY PIVOT'!$A$2050:$A$2177, 0))</f>
        <v>0</v>
      </c>
      <c r="BR55" s="175">
        <f>INDEX('STOPE SUMMARY PIVOT'!$H$2050:$H$2177, MATCH(BQ$1,'STOPE SUMMARY PIVOT'!$A$2050:$A$2177, 0))</f>
        <v>0</v>
      </c>
      <c r="BS55" s="154">
        <f>INDEX('STOPE SUMMARY PIVOT'!$G$2050:$G$2177, MATCH(BS$1,'STOPE SUMMARY PIVOT'!$A$2050:$A$2177, 0))</f>
        <v>0</v>
      </c>
      <c r="BT55" s="175">
        <f>INDEX('STOPE SUMMARY PIVOT'!$H$2050:$H$2177, MATCH(BS$1,'STOPE SUMMARY PIVOT'!$A$2050:$A$2177, 0))</f>
        <v>0</v>
      </c>
      <c r="BU55" s="154">
        <f>INDEX('STOPE SUMMARY PIVOT'!$G$2050:$G$2177, MATCH(BU$1,'STOPE SUMMARY PIVOT'!$A$2050:$A$2177, 0))</f>
        <v>0</v>
      </c>
      <c r="BV55" s="175">
        <f>INDEX('STOPE SUMMARY PIVOT'!$H$2050:$H$2177, MATCH(BU$1,'STOPE SUMMARY PIVOT'!$A$2050:$A$2177, 0))</f>
        <v>0</v>
      </c>
      <c r="BW55" s="154">
        <f>INDEX('STOPE SUMMARY PIVOT'!$G$2050:$G$2177, MATCH(BW$1,'STOPE SUMMARY PIVOT'!$A$2050:$A$2177, 0))</f>
        <v>0</v>
      </c>
      <c r="BX55" s="175">
        <f>INDEX('STOPE SUMMARY PIVOT'!$H$2050:$H$2177, MATCH(BW$1,'STOPE SUMMARY PIVOT'!$A$2050:$A$2177, 0))</f>
        <v>0</v>
      </c>
      <c r="BY55" s="154">
        <f>INDEX('STOPE SUMMARY PIVOT'!$G$2050:$G$2177, MATCH(BY$1,'STOPE SUMMARY PIVOT'!$A$2050:$A$2177, 0))</f>
        <v>0</v>
      </c>
      <c r="BZ55" s="175">
        <f>INDEX('STOPE SUMMARY PIVOT'!$H$2050:$H$2177, MATCH(BY$1,'STOPE SUMMARY PIVOT'!$A$2050:$A$2177, 0))</f>
        <v>0</v>
      </c>
      <c r="CA55" s="154">
        <f>INDEX('STOPE SUMMARY PIVOT'!$G$2050:$G$2177, MATCH(CA$1,'STOPE SUMMARY PIVOT'!$A$2050:$A$2177, 0))</f>
        <v>0</v>
      </c>
      <c r="CB55" s="175">
        <f>INDEX('STOPE SUMMARY PIVOT'!$H$2050:$H$2177, MATCH(CA$1,'STOPE SUMMARY PIVOT'!$A$2050:$A$2177, 0))</f>
        <v>0</v>
      </c>
      <c r="CC55" s="154">
        <f>INDEX('STOPE SUMMARY PIVOT'!$G$2050:$G$2177, MATCH(CC$1,'STOPE SUMMARY PIVOT'!$A$2050:$A$2177, 0))</f>
        <v>0</v>
      </c>
      <c r="CD55" s="175">
        <f>INDEX('STOPE SUMMARY PIVOT'!$H$2050:$H$2177, MATCH(CC$1,'STOPE SUMMARY PIVOT'!$A$2050:$A$2177, 0))</f>
        <v>0</v>
      </c>
      <c r="CE55" s="154">
        <f>INDEX('STOPE SUMMARY PIVOT'!$G$2050:$G$2177, MATCH(CE$1,'STOPE SUMMARY PIVOT'!$A$2050:$A$2177, 0))</f>
        <v>0</v>
      </c>
      <c r="CF55" s="175">
        <f>INDEX('STOPE SUMMARY PIVOT'!$H$2050:$H$2177, MATCH(CE$1,'STOPE SUMMARY PIVOT'!$A$2050:$A$2177, 0))</f>
        <v>0</v>
      </c>
      <c r="CG55" s="154">
        <f>INDEX('STOPE SUMMARY PIVOT'!$G$2050:$G$2177, MATCH(CG$1,'STOPE SUMMARY PIVOT'!$A$2050:$A$2177, 0))</f>
        <v>0</v>
      </c>
      <c r="CH55" s="175">
        <f>INDEX('STOPE SUMMARY PIVOT'!$H$2050:$H$2177, MATCH(CG$1,'STOPE SUMMARY PIVOT'!$A$2050:$A$2177, 0))</f>
        <v>0</v>
      </c>
      <c r="CI55" s="154">
        <f>INDEX('STOPE SUMMARY PIVOT'!$G$2050:$G$2177, MATCH(CI$1,'STOPE SUMMARY PIVOT'!$A$2050:$A$2177, 0))</f>
        <v>0</v>
      </c>
      <c r="CJ55" s="175">
        <f>INDEX('STOPE SUMMARY PIVOT'!$H$2050:$H$2177, MATCH(CI$1,'STOPE SUMMARY PIVOT'!$A$2050:$A$2177, 0))</f>
        <v>0</v>
      </c>
      <c r="CK55" s="154">
        <f>INDEX('STOPE SUMMARY PIVOT'!$G$2050:$G$2177, MATCH(CK$1,'STOPE SUMMARY PIVOT'!$A$2050:$A$2177, 0))</f>
        <v>0</v>
      </c>
      <c r="CL55" s="175">
        <f>INDEX('STOPE SUMMARY PIVOT'!$H$2050:$H$2177, MATCH(CK$1,'STOPE SUMMARY PIVOT'!$A$2050:$A$2177, 0))</f>
        <v>0</v>
      </c>
      <c r="CM55" s="154">
        <f>INDEX('STOPE SUMMARY PIVOT'!$G$2050:$G$2177, MATCH(CM$1,'STOPE SUMMARY PIVOT'!$A$2050:$A$2177, 0))</f>
        <v>0</v>
      </c>
      <c r="CN55" s="175">
        <f>INDEX('STOPE SUMMARY PIVOT'!$H$2050:$H$2177, MATCH(CM$1,'STOPE SUMMARY PIVOT'!$A$2050:$A$2177, 0))</f>
        <v>0</v>
      </c>
      <c r="CO55" s="154">
        <f>INDEX('STOPE SUMMARY PIVOT'!$G$2050:$G$2177, MATCH(CO$1,'STOPE SUMMARY PIVOT'!$A$2050:$A$2177, 0))</f>
        <v>0</v>
      </c>
      <c r="CP55" s="175">
        <f>INDEX('STOPE SUMMARY PIVOT'!$H$2050:$H$2177, MATCH(CO$1,'STOPE SUMMARY PIVOT'!$A$2050:$A$2177, 0))</f>
        <v>0</v>
      </c>
      <c r="CQ55" s="154">
        <f>INDEX('STOPE SUMMARY PIVOT'!$G$2050:$G$2177, MATCH(CQ$1,'STOPE SUMMARY PIVOT'!$A$2050:$A$2177, 0))</f>
        <v>0</v>
      </c>
      <c r="CR55" s="175">
        <f>INDEX('STOPE SUMMARY PIVOT'!$H$2050:$H$2177, MATCH(CQ$1,'STOPE SUMMARY PIVOT'!$A$2050:$A$2177, 0))</f>
        <v>0</v>
      </c>
      <c r="CS55" s="154">
        <f>INDEX('STOPE SUMMARY PIVOT'!$G$2050:$G$2177, MATCH(CS$1,'STOPE SUMMARY PIVOT'!$A$2050:$A$2177, 0))</f>
        <v>4060</v>
      </c>
      <c r="CT55" s="175">
        <f>INDEX('STOPE SUMMARY PIVOT'!$H$2050:$H$2177, MATCH(CS$1,'STOPE SUMMARY PIVOT'!$A$2050:$A$2177, 0))</f>
        <v>3.85</v>
      </c>
      <c r="CU55" s="154">
        <f>INDEX('STOPE SUMMARY PIVOT'!$G$2050:$G$2177, MATCH(CU$1,'STOPE SUMMARY PIVOT'!$A$2050:$A$2177, 0))</f>
        <v>0</v>
      </c>
      <c r="CV55" s="175">
        <f>INDEX('STOPE SUMMARY PIVOT'!$H$2050:$H$2177, MATCH(CU$1,'STOPE SUMMARY PIVOT'!$A$2050:$A$2177, 0))</f>
        <v>0</v>
      </c>
      <c r="CW55" s="154">
        <f>INDEX('STOPE SUMMARY PIVOT'!$G$2050:$G$2177, MATCH(CW$1,'STOPE SUMMARY PIVOT'!$A$2050:$A$2177, 0))</f>
        <v>0</v>
      </c>
      <c r="CX55" s="175">
        <f>INDEX('STOPE SUMMARY PIVOT'!$H$2050:$H$2177, MATCH(CW$1,'STOPE SUMMARY PIVOT'!$A$2050:$A$2177, 0))</f>
        <v>0</v>
      </c>
      <c r="CY55" s="154">
        <f>INDEX('STOPE SUMMARY PIVOT'!$G$2050:$G$2177, MATCH(CY$1,'STOPE SUMMARY PIVOT'!$A$2050:$A$2177, 0))</f>
        <v>3045</v>
      </c>
      <c r="CZ55" s="175">
        <f>INDEX('STOPE SUMMARY PIVOT'!$H$2050:$H$2177, MATCH(CY$1,'STOPE SUMMARY PIVOT'!$A$2050:$A$2177, 0))</f>
        <v>2.12</v>
      </c>
      <c r="DA55" s="154">
        <f>INDEX('STOPE SUMMARY PIVOT'!$G$2050:$G$2177, MATCH(DA$1,'STOPE SUMMARY PIVOT'!$A$2050:$A$2177, 0))</f>
        <v>0</v>
      </c>
      <c r="DB55" s="175">
        <f>INDEX('STOPE SUMMARY PIVOT'!$H$2050:$H$2177, MATCH(DA$1,'STOPE SUMMARY PIVOT'!$A$2050:$A$2177, 0))</f>
        <v>0</v>
      </c>
      <c r="DC55" s="154">
        <f>INDEX('STOPE SUMMARY PIVOT'!$G$2050:$G$2177, MATCH(DC$1,'STOPE SUMMARY PIVOT'!$A$2050:$A$2177, 0))</f>
        <v>0</v>
      </c>
      <c r="DD55" s="175">
        <f>INDEX('STOPE SUMMARY PIVOT'!$H$2050:$H$2177, MATCH(DC$1,'STOPE SUMMARY PIVOT'!$A$2050:$A$2177, 0))</f>
        <v>0</v>
      </c>
      <c r="DE55" s="154">
        <f>INDEX('STOPE SUMMARY PIVOT'!$G$2050:$G$2177, MATCH(DE$1,'STOPE SUMMARY PIVOT'!$A$2050:$A$2177, 0))</f>
        <v>0</v>
      </c>
      <c r="DF55" s="175">
        <f>INDEX('STOPE SUMMARY PIVOT'!$H$2050:$H$2177, MATCH(DE$1,'STOPE SUMMARY PIVOT'!$A$2050:$A$2177, 0))</f>
        <v>0</v>
      </c>
      <c r="DG55" s="154">
        <f>INDEX('STOPE SUMMARY PIVOT'!$G$2050:$G$2177, MATCH(DG$1,'STOPE SUMMARY PIVOT'!$A$2050:$A$2177, 0))</f>
        <v>0</v>
      </c>
      <c r="DH55" s="175">
        <f>INDEX('STOPE SUMMARY PIVOT'!$H$2050:$H$2177, MATCH(DG$1,'STOPE SUMMARY PIVOT'!$A$2050:$A$2177, 0))</f>
        <v>0</v>
      </c>
      <c r="DI55" s="154">
        <f>INDEX('STOPE SUMMARY PIVOT'!$G$2050:$G$2177, MATCH(DI$1,'STOPE SUMMARY PIVOT'!$A$2050:$A$2177, 0))</f>
        <v>0</v>
      </c>
      <c r="DJ55" s="175">
        <f>INDEX('STOPE SUMMARY PIVOT'!$H$2050:$H$2177, MATCH(DI$1,'STOPE SUMMARY PIVOT'!$A$2050:$A$2177, 0))</f>
        <v>0</v>
      </c>
      <c r="DK55" s="154">
        <f>INDEX('STOPE SUMMARY PIVOT'!$G$2050:$G$2177, MATCH(DK$1,'STOPE SUMMARY PIVOT'!$A$2050:$A$2177, 0))</f>
        <v>0</v>
      </c>
      <c r="DL55" s="175">
        <f>INDEX('STOPE SUMMARY PIVOT'!$H$2050:$H$2177, MATCH(DK$1,'STOPE SUMMARY PIVOT'!$A$2050:$A$2177, 0))</f>
        <v>0</v>
      </c>
      <c r="DM55" s="154">
        <f>INDEX('STOPE SUMMARY PIVOT'!$G$2050:$G$2177, MATCH(DM$1,'STOPE SUMMARY PIVOT'!$A$2050:$A$2177, 0))</f>
        <v>0</v>
      </c>
      <c r="DN55" s="175">
        <f>INDEX('STOPE SUMMARY PIVOT'!$H$2050:$H$2177, MATCH(DM$1,'STOPE SUMMARY PIVOT'!$A$2050:$A$2177, 0))</f>
        <v>0</v>
      </c>
      <c r="DO55" s="154">
        <f>INDEX('STOPE SUMMARY PIVOT'!$G$2050:$G$2177, MATCH(DO$1,'STOPE SUMMARY PIVOT'!$A$2050:$A$2177, 0))</f>
        <v>0</v>
      </c>
      <c r="DP55" s="175">
        <f>INDEX('STOPE SUMMARY PIVOT'!$H$2050:$H$2177, MATCH(DO$1,'STOPE SUMMARY PIVOT'!$A$2050:$A$2177, 0))</f>
        <v>0</v>
      </c>
      <c r="DQ55" s="154">
        <f>INDEX('STOPE SUMMARY PIVOT'!$G$2050:$G$2177, MATCH(DQ$1,'STOPE SUMMARY PIVOT'!$A$2050:$A$2177, 0))</f>
        <v>0</v>
      </c>
      <c r="DR55" s="175">
        <f>INDEX('STOPE SUMMARY PIVOT'!$H$2050:$H$2177, MATCH(DQ$1,'STOPE SUMMARY PIVOT'!$A$2050:$A$2177, 0))</f>
        <v>0</v>
      </c>
      <c r="DS55" s="154">
        <f>INDEX('STOPE SUMMARY PIVOT'!$G$2050:$G$2177, MATCH(DS$1,'STOPE SUMMARY PIVOT'!$A$2050:$A$2177, 0))</f>
        <v>0</v>
      </c>
      <c r="DT55" s="175">
        <f>INDEX('STOPE SUMMARY PIVOT'!$H$2050:$H$2177, MATCH(DS$1,'STOPE SUMMARY PIVOT'!$A$2050:$A$2177, 0))</f>
        <v>0</v>
      </c>
      <c r="DU55" s="154">
        <f>INDEX('STOPE SUMMARY PIVOT'!$G$2050:$G$2177, MATCH(DU$1,'STOPE SUMMARY PIVOT'!$A$2050:$A$2177, 0))</f>
        <v>1750</v>
      </c>
      <c r="DV55" s="175">
        <f>INDEX('STOPE SUMMARY PIVOT'!$H$2050:$H$2177, MATCH(DU$1,'STOPE SUMMARY PIVOT'!$A$2050:$A$2177, 0))</f>
        <v>1.94</v>
      </c>
      <c r="DW55" s="154">
        <f>INDEX('STOPE SUMMARY PIVOT'!$G$2050:$G$2177, MATCH(DW$1,'STOPE SUMMARY PIVOT'!$A$2050:$A$2177, 0))</f>
        <v>0</v>
      </c>
      <c r="DX55" s="175">
        <f>INDEX('STOPE SUMMARY PIVOT'!$H$2050:$H$2177, MATCH(DW$1,'STOPE SUMMARY PIVOT'!$A$2050:$A$2177, 0))</f>
        <v>0</v>
      </c>
      <c r="DY55" s="154">
        <f>INDEX('STOPE SUMMARY PIVOT'!$G$2050:$G$2177, MATCH(DY$1,'STOPE SUMMARY PIVOT'!$A$2050:$A$2177, 0))</f>
        <v>0</v>
      </c>
      <c r="DZ55" s="175">
        <f>INDEX('STOPE SUMMARY PIVOT'!$H$2050:$H$2177, MATCH(DY$1,'STOPE SUMMARY PIVOT'!$A$2050:$A$2177, 0))</f>
        <v>0</v>
      </c>
      <c r="EA55" s="154">
        <f>INDEX('STOPE SUMMARY PIVOT'!$G$2050:$G$2177, MATCH(EA$1,'STOPE SUMMARY PIVOT'!$A$2050:$A$2177, 0))</f>
        <v>0</v>
      </c>
      <c r="EB55" s="175">
        <f>INDEX('STOPE SUMMARY PIVOT'!$H$2050:$H$2177, MATCH(EA$1,'STOPE SUMMARY PIVOT'!$A$2050:$A$2177, 0))</f>
        <v>0</v>
      </c>
      <c r="EC55" s="154">
        <f>INDEX('STOPE SUMMARY PIVOT'!$G$2050:$G$2177, MATCH(EC$1,'STOPE SUMMARY PIVOT'!$A$2050:$A$2177, 0))</f>
        <v>0</v>
      </c>
      <c r="ED55" s="175">
        <f>INDEX('STOPE SUMMARY PIVOT'!$H$2050:$H$2177, MATCH(EC$1,'STOPE SUMMARY PIVOT'!$A$2050:$A$2177, 0))</f>
        <v>0</v>
      </c>
      <c r="EE55" s="154">
        <f>INDEX('STOPE SUMMARY PIVOT'!$G$2050:$G$2177, MATCH(EE$1,'STOPE SUMMARY PIVOT'!$A$2050:$A$2177, 0))</f>
        <v>0</v>
      </c>
      <c r="EF55" s="175">
        <f>INDEX('STOPE SUMMARY PIVOT'!$H$2050:$H$2177, MATCH(EE$1,'STOPE SUMMARY PIVOT'!$A$2050:$A$2177, 0))</f>
        <v>0</v>
      </c>
      <c r="EG55" s="154">
        <f>INDEX('STOPE SUMMARY PIVOT'!$G$2050:$G$2177, MATCH(EG$1,'STOPE SUMMARY PIVOT'!$A$2050:$A$2177, 0))</f>
        <v>0</v>
      </c>
      <c r="EH55" s="175">
        <f>INDEX('STOPE SUMMARY PIVOT'!$H$2050:$H$2177, MATCH(EG$1,'STOPE SUMMARY PIVOT'!$A$2050:$A$2177, 0))</f>
        <v>0</v>
      </c>
      <c r="EI55" s="154">
        <f>INDEX('STOPE SUMMARY PIVOT'!$G$2050:$G$2177, MATCH(EI$1,'STOPE SUMMARY PIVOT'!$A$2050:$A$2177, 0))</f>
        <v>0</v>
      </c>
      <c r="EJ55" s="175">
        <f>INDEX('STOPE SUMMARY PIVOT'!$H$2050:$H$2177, MATCH(EI$1,'STOPE SUMMARY PIVOT'!$A$2050:$A$2177, 0))</f>
        <v>0</v>
      </c>
      <c r="EK55" s="154">
        <f>INDEX('STOPE SUMMARY PIVOT'!$G$2050:$G$2177, MATCH(EK$1,'STOPE SUMMARY PIVOT'!$A$2050:$A$2177, 0))</f>
        <v>0</v>
      </c>
      <c r="EL55" s="175">
        <f>INDEX('STOPE SUMMARY PIVOT'!$H$2050:$H$2177, MATCH(EK$1,'STOPE SUMMARY PIVOT'!$A$2050:$A$2177, 0))</f>
        <v>0</v>
      </c>
      <c r="EM55" s="154">
        <f>INDEX('STOPE SUMMARY PIVOT'!$G$2050:$G$2177, MATCH(EM$1,'STOPE SUMMARY PIVOT'!$A$2050:$A$2177, 0))</f>
        <v>0</v>
      </c>
      <c r="EN55" s="175">
        <f>INDEX('STOPE SUMMARY PIVOT'!$H$2050:$H$2177, MATCH(EM$1,'STOPE SUMMARY PIVOT'!$A$2050:$A$2177, 0))</f>
        <v>0</v>
      </c>
      <c r="EO55" s="154">
        <f>INDEX('STOPE SUMMARY PIVOT'!$G$2050:$G$2177, MATCH(EO$1,'STOPE SUMMARY PIVOT'!$A$2050:$A$2177, 0))</f>
        <v>2030</v>
      </c>
      <c r="EP55" s="175">
        <f>INDEX('STOPE SUMMARY PIVOT'!$H$2050:$H$2177, MATCH(EO$1,'STOPE SUMMARY PIVOT'!$A$2050:$A$2177, 0))</f>
        <v>3.89</v>
      </c>
      <c r="EQ55" s="154">
        <f>INDEX('STOPE SUMMARY PIVOT'!$G$2050:$G$2177, MATCH(EQ$1,'STOPE SUMMARY PIVOT'!$A$2050:$A$2177, 0))</f>
        <v>0</v>
      </c>
      <c r="ER55" s="175">
        <f>INDEX('STOPE SUMMARY PIVOT'!$H$2050:$H$2177, MATCH(EQ$1,'STOPE SUMMARY PIVOT'!$A$2050:$A$2177, 0))</f>
        <v>0</v>
      </c>
      <c r="ES55" s="154">
        <f>INDEX('STOPE SUMMARY PIVOT'!$G$2050:$G$2177, MATCH(ES$1,'STOPE SUMMARY PIVOT'!$A$2050:$A$2177, 0))</f>
        <v>2030</v>
      </c>
      <c r="ET55" s="175">
        <f>INDEX('STOPE SUMMARY PIVOT'!$H$2050:$H$2177, MATCH(ES$1,'STOPE SUMMARY PIVOT'!$A$2050:$A$2177, 0))</f>
        <v>3.89</v>
      </c>
      <c r="EU55" s="154">
        <f>INDEX('STOPE SUMMARY PIVOT'!$G$2050:$G$2177, MATCH(EU$1,'STOPE SUMMARY PIVOT'!$A$2050:$A$2177, 0))</f>
        <v>2030</v>
      </c>
      <c r="EV55" s="175">
        <f>INDEX('STOPE SUMMARY PIVOT'!$H$2050:$H$2177, MATCH(EU$1,'STOPE SUMMARY PIVOT'!$A$2050:$A$2177, 0))</f>
        <v>2.91</v>
      </c>
      <c r="EW55" s="154">
        <f>INDEX('STOPE SUMMARY PIVOT'!$G$2050:$G$2177, MATCH(EW$1,'STOPE SUMMARY PIVOT'!$A$2050:$A$2177, 0))</f>
        <v>0</v>
      </c>
      <c r="EX55" s="175">
        <f>INDEX('STOPE SUMMARY PIVOT'!$H$2050:$H$2177, MATCH(EW$1,'STOPE SUMMARY PIVOT'!$A$2050:$A$2177, 0))</f>
        <v>0</v>
      </c>
      <c r="EY55" s="154">
        <f>INDEX('STOPE SUMMARY PIVOT'!$G$2050:$G$2177, MATCH(EY$1,'STOPE SUMMARY PIVOT'!$A$2050:$A$2177, 0))</f>
        <v>0</v>
      </c>
      <c r="EZ55" s="175">
        <f>INDEX('STOPE SUMMARY PIVOT'!$H$2050:$H$2177, MATCH(EY$1,'STOPE SUMMARY PIVOT'!$A$2050:$A$2177, 0))</f>
        <v>0</v>
      </c>
      <c r="FA55" s="154">
        <f>INDEX('STOPE SUMMARY PIVOT'!$G$2050:$G$2177, MATCH(FA$1,'STOPE SUMMARY PIVOT'!$A$2050:$A$2177, 0))</f>
        <v>0</v>
      </c>
      <c r="FB55" s="175">
        <f>INDEX('STOPE SUMMARY PIVOT'!$H$2050:$H$2177, MATCH(FA$1,'STOPE SUMMARY PIVOT'!$A$2050:$A$2177, 0))</f>
        <v>0</v>
      </c>
      <c r="FC55" s="154">
        <f>INDEX('STOPE SUMMARY PIVOT'!$G$2050:$G$2177, MATCH(FC$1,'STOPE SUMMARY PIVOT'!$A$2050:$A$2177, 0))</f>
        <v>2030</v>
      </c>
      <c r="FD55" s="175">
        <f>INDEX('STOPE SUMMARY PIVOT'!$H$2050:$H$2177, MATCH(FC$1,'STOPE SUMMARY PIVOT'!$A$2050:$A$2177, 0))</f>
        <v>2.91</v>
      </c>
      <c r="FE55" s="154">
        <f>INDEX('STOPE SUMMARY PIVOT'!$G$2050:$G$2177, MATCH(FE$1,'STOPE SUMMARY PIVOT'!$A$2050:$A$2177, 0))</f>
        <v>0</v>
      </c>
      <c r="FF55" s="175">
        <f>INDEX('STOPE SUMMARY PIVOT'!$H$2050:$H$2177, MATCH(FE$1,'STOPE SUMMARY PIVOT'!$A$2050:$A$2177, 0))</f>
        <v>0</v>
      </c>
      <c r="FG55" s="154">
        <f>INDEX('STOPE SUMMARY PIVOT'!$G$2050:$G$2177, MATCH(FG$1,'STOPE SUMMARY PIVOT'!$A$2050:$A$2177, 0))</f>
        <v>0</v>
      </c>
      <c r="FH55" s="175">
        <f>INDEX('STOPE SUMMARY PIVOT'!$H$2050:$H$2177, MATCH(FG$1,'STOPE SUMMARY PIVOT'!$A$2050:$A$2177, 0))</f>
        <v>0</v>
      </c>
      <c r="FI55" s="154">
        <f>INDEX('STOPE SUMMARY PIVOT'!$G$2050:$G$2177, MATCH(FI$1,'STOPE SUMMARY PIVOT'!$A$2050:$A$2177, 0))</f>
        <v>0</v>
      </c>
      <c r="FJ55" s="175">
        <f>INDEX('STOPE SUMMARY PIVOT'!$H$2050:$H$2177, MATCH(FI$1,'STOPE SUMMARY PIVOT'!$A$2050:$A$2177, 0))</f>
        <v>0</v>
      </c>
      <c r="FK55" s="154">
        <f>INDEX('STOPE SUMMARY PIVOT'!$G$2050:$G$2177, MATCH(FK$1,'STOPE SUMMARY PIVOT'!$A$2050:$A$2177, 0))</f>
        <v>2030</v>
      </c>
      <c r="FL55" s="175">
        <f>INDEX('STOPE SUMMARY PIVOT'!$H$2050:$H$2177, MATCH(FK$1,'STOPE SUMMARY PIVOT'!$A$2050:$A$2177, 0))</f>
        <v>2.84</v>
      </c>
      <c r="FM55" s="154">
        <f>INDEX('STOPE SUMMARY PIVOT'!$G$2050:$G$2177, MATCH(FM$1,'STOPE SUMMARY PIVOT'!$A$2050:$A$2177, 0))</f>
        <v>2030</v>
      </c>
      <c r="FN55" s="175">
        <f>INDEX('STOPE SUMMARY PIVOT'!$H$2050:$H$2177, MATCH(FM$1,'STOPE SUMMARY PIVOT'!$A$2050:$A$2177, 0))</f>
        <v>2.2000000000000002</v>
      </c>
      <c r="FO55" s="154">
        <f>INDEX('STOPE SUMMARY PIVOT'!$G$2050:$G$2177, MATCH(FO$1,'STOPE SUMMARY PIVOT'!$A$2050:$A$2177, 0))</f>
        <v>0</v>
      </c>
      <c r="FP55" s="175">
        <f>INDEX('STOPE SUMMARY PIVOT'!$H$2050:$H$2177, MATCH(FO$1,'STOPE SUMMARY PIVOT'!$A$2050:$A$2177, 0))</f>
        <v>0</v>
      </c>
      <c r="FQ55" s="154">
        <f>INDEX('STOPE SUMMARY PIVOT'!$G$2050:$G$2177, MATCH(FQ$1,'STOPE SUMMARY PIVOT'!$A$2050:$A$2177, 0))</f>
        <v>0</v>
      </c>
      <c r="FR55" s="175">
        <f>INDEX('STOPE SUMMARY PIVOT'!$H$2050:$H$2177, MATCH(FQ$1,'STOPE SUMMARY PIVOT'!$A$2050:$A$2177, 0))</f>
        <v>0</v>
      </c>
      <c r="FS55" s="154">
        <f>INDEX('STOPE SUMMARY PIVOT'!$G$2050:$G$2177, MATCH(FS$1,'STOPE SUMMARY PIVOT'!$A$2050:$A$2177, 0))</f>
        <v>0</v>
      </c>
      <c r="FT55" s="175">
        <f>INDEX('STOPE SUMMARY PIVOT'!$H$2050:$H$2177, MATCH(FS$1,'STOPE SUMMARY PIVOT'!$A$2050:$A$2177, 0))</f>
        <v>0</v>
      </c>
      <c r="FU55" s="154">
        <f>INDEX('STOPE SUMMARY PIVOT'!$G$2050:$G$2177, MATCH(FU$1,'STOPE SUMMARY PIVOT'!$A$2050:$A$2177, 0))</f>
        <v>0</v>
      </c>
      <c r="FV55" s="175">
        <f>INDEX('STOPE SUMMARY PIVOT'!$H$2050:$H$2177, MATCH(FU$1,'STOPE SUMMARY PIVOT'!$A$2050:$A$2177, 0))</f>
        <v>0</v>
      </c>
      <c r="FW55" s="154">
        <f>INDEX('STOPE SUMMARY PIVOT'!$G$2050:$G$2177, MATCH(FW$1,'STOPE SUMMARY PIVOT'!$A$2050:$A$2177, 0))</f>
        <v>0</v>
      </c>
      <c r="FX55" s="175">
        <f>INDEX('STOPE SUMMARY PIVOT'!$H$2050:$H$2177, MATCH(FW$1,'STOPE SUMMARY PIVOT'!$A$2050:$A$2177, 0))</f>
        <v>0</v>
      </c>
      <c r="FY55" s="154">
        <f>INDEX('STOPE SUMMARY PIVOT'!$G$2050:$G$2177, MATCH(FY$1,'STOPE SUMMARY PIVOT'!$A$2050:$A$2177, 0))</f>
        <v>0</v>
      </c>
      <c r="FZ55" s="175">
        <f>INDEX('STOPE SUMMARY PIVOT'!$H$2050:$H$2177, MATCH(FY$1,'STOPE SUMMARY PIVOT'!$A$2050:$A$2177, 0))</f>
        <v>0</v>
      </c>
      <c r="GA55" s="154">
        <f>INDEX('STOPE SUMMARY PIVOT'!$G$2050:$G$2177, MATCH(GA$1,'STOPE SUMMARY PIVOT'!$A$2050:$A$2177, 0))</f>
        <v>0</v>
      </c>
      <c r="GB55" s="175">
        <f>INDEX('STOPE SUMMARY PIVOT'!$H$2050:$H$2177, MATCH(GA$1,'STOPE SUMMARY PIVOT'!$A$2050:$A$2177, 0))</f>
        <v>0</v>
      </c>
      <c r="GC55" s="154">
        <f>INDEX('STOPE SUMMARY PIVOT'!$G$2050:$G$2177, MATCH(GC$1,'STOPE SUMMARY PIVOT'!$A$2050:$A$2177, 0))</f>
        <v>0</v>
      </c>
      <c r="GD55" s="175">
        <f>INDEX('STOPE SUMMARY PIVOT'!$H$2050:$H$2177, MATCH(GC$1,'STOPE SUMMARY PIVOT'!$A$2050:$A$2177, 0))</f>
        <v>0</v>
      </c>
      <c r="GE55" s="154">
        <f>INDEX('STOPE SUMMARY PIVOT'!$G$2050:$G$2177, MATCH(GE$1,'STOPE SUMMARY PIVOT'!$A$2050:$A$2177, 0))</f>
        <v>0</v>
      </c>
      <c r="GF55" s="175">
        <f>INDEX('STOPE SUMMARY PIVOT'!$H$2050:$H$2177, MATCH(GE$1,'STOPE SUMMARY PIVOT'!$A$2050:$A$2177, 0))</f>
        <v>0</v>
      </c>
      <c r="GG55" s="154">
        <f>INDEX('STOPE SUMMARY PIVOT'!$G$2050:$G$2177, MATCH(GG$1,'STOPE SUMMARY PIVOT'!$A$2050:$A$2177, 0))</f>
        <v>0</v>
      </c>
      <c r="GH55" s="175">
        <f>INDEX('STOPE SUMMARY PIVOT'!$H$2050:$H$2177, MATCH(GG$1,'STOPE SUMMARY PIVOT'!$A$2050:$A$2177, 0))</f>
        <v>0</v>
      </c>
      <c r="GI55" s="154">
        <f>INDEX('STOPE SUMMARY PIVOT'!$G$2050:$G$2177, MATCH(GI$1,'STOPE SUMMARY PIVOT'!$A$2050:$A$2177, 0))</f>
        <v>0</v>
      </c>
      <c r="GJ55" s="175">
        <f>INDEX('STOPE SUMMARY PIVOT'!$H$2050:$H$2177, MATCH(GI$1,'STOPE SUMMARY PIVOT'!$A$2050:$A$2177, 0))</f>
        <v>0</v>
      </c>
      <c r="GK55" s="154">
        <f>INDEX('STOPE SUMMARY PIVOT'!$G$2050:$G$2177, MATCH(GK$1,'STOPE SUMMARY PIVOT'!$A$2050:$A$2177, 0))</f>
        <v>0</v>
      </c>
      <c r="GL55" s="175">
        <f>INDEX('STOPE SUMMARY PIVOT'!$H$2050:$H$2177, MATCH(GK$1,'STOPE SUMMARY PIVOT'!$A$2050:$A$2177, 0))</f>
        <v>0</v>
      </c>
      <c r="GM55" s="154">
        <f>INDEX('STOPE SUMMARY PIVOT'!$G$2050:$G$2177, MATCH(GM$1,'STOPE SUMMARY PIVOT'!$A$2050:$A$2177, 0))</f>
        <v>0</v>
      </c>
      <c r="GN55" s="175">
        <f>INDEX('STOPE SUMMARY PIVOT'!$H$2050:$H$2177, MATCH(GM$1,'STOPE SUMMARY PIVOT'!$A$2050:$A$2177, 0))</f>
        <v>0</v>
      </c>
      <c r="GO55" s="154">
        <f>INDEX('STOPE SUMMARY PIVOT'!$G$2050:$G$2177, MATCH(GO$1,'STOPE SUMMARY PIVOT'!$A$2050:$A$2177, 0))</f>
        <v>0</v>
      </c>
      <c r="GP55" s="175">
        <f>INDEX('STOPE SUMMARY PIVOT'!$H$2050:$H$2177, MATCH(GO$1,'STOPE SUMMARY PIVOT'!$A$2050:$A$2177, 0))</f>
        <v>0</v>
      </c>
      <c r="GQ55" s="154">
        <f>INDEX('STOPE SUMMARY PIVOT'!$G$2050:$G$2177, MATCH(GQ$1,'STOPE SUMMARY PIVOT'!$A$2050:$A$2177, 0))</f>
        <v>0</v>
      </c>
      <c r="GR55" s="175">
        <f>INDEX('STOPE SUMMARY PIVOT'!$H$2050:$H$2177, MATCH(GQ$1,'STOPE SUMMARY PIVOT'!$A$2050:$A$2177, 0))</f>
        <v>0</v>
      </c>
      <c r="GS55" s="154">
        <f>INDEX('STOPE SUMMARY PIVOT'!$G$2050:$G$2177, MATCH(GS$1,'STOPE SUMMARY PIVOT'!$A$2050:$A$2177, 0))</f>
        <v>0</v>
      </c>
      <c r="GT55" s="175">
        <f>INDEX('STOPE SUMMARY PIVOT'!$H$2050:$H$2177, MATCH(GS$1,'STOPE SUMMARY PIVOT'!$A$2050:$A$2177, 0))</f>
        <v>0</v>
      </c>
      <c r="GU55" s="154">
        <f>INDEX('STOPE SUMMARY PIVOT'!$G$2050:$G$2177, MATCH(GU$1,'STOPE SUMMARY PIVOT'!$A$2050:$A$2177, 0))</f>
        <v>0</v>
      </c>
      <c r="GV55" s="175">
        <f>INDEX('STOPE SUMMARY PIVOT'!$H$2050:$H$2177, MATCH(GU$1,'STOPE SUMMARY PIVOT'!$A$2050:$A$2177, 0))</f>
        <v>0</v>
      </c>
      <c r="GW55" s="154">
        <f>INDEX('STOPE SUMMARY PIVOT'!$G$2050:$G$2177, MATCH(GW$1,'STOPE SUMMARY PIVOT'!$A$2050:$A$2177, 0))</f>
        <v>0</v>
      </c>
      <c r="GX55" s="175">
        <f>INDEX('STOPE SUMMARY PIVOT'!$H$2050:$H$2177, MATCH(GW$1,'STOPE SUMMARY PIVOT'!$A$2050:$A$2177, 0))</f>
        <v>0</v>
      </c>
      <c r="GY55" s="154">
        <f>INDEX('STOPE SUMMARY PIVOT'!$G$2050:$G$2177, MATCH(GY$1,'STOPE SUMMARY PIVOT'!$A$2050:$A$2177, 0))</f>
        <v>0</v>
      </c>
      <c r="GZ55" s="175">
        <f>INDEX('STOPE SUMMARY PIVOT'!$H$2050:$H$2177, MATCH(GY$1,'STOPE SUMMARY PIVOT'!$A$2050:$A$2177, 0))</f>
        <v>0</v>
      </c>
      <c r="HA55" s="154">
        <f>INDEX('STOPE SUMMARY PIVOT'!$G$2050:$G$2177, MATCH(HA$1,'STOPE SUMMARY PIVOT'!$A$2050:$A$2177, 0))</f>
        <v>0</v>
      </c>
      <c r="HB55" s="175">
        <f>INDEX('STOPE SUMMARY PIVOT'!$H$2050:$H$2177, MATCH(HA$1,'STOPE SUMMARY PIVOT'!$A$2050:$A$2177, 0))</f>
        <v>0</v>
      </c>
      <c r="HC55" s="154">
        <f>INDEX('STOPE SUMMARY PIVOT'!$G$2050:$G$2177, MATCH(HC$1,'STOPE SUMMARY PIVOT'!$A$2050:$A$2177, 0))</f>
        <v>0</v>
      </c>
      <c r="HD55" s="175">
        <f>INDEX('STOPE SUMMARY PIVOT'!$H$2050:$H$2177, MATCH(HC$1,'STOPE SUMMARY PIVOT'!$A$2050:$A$2177, 0))</f>
        <v>0</v>
      </c>
      <c r="HE55" s="154">
        <f>INDEX('STOPE SUMMARY PIVOT'!$G$2050:$G$2177, MATCH(HE$1,'STOPE SUMMARY PIVOT'!$A$2050:$A$2177, 0))</f>
        <v>0</v>
      </c>
      <c r="HF55" s="175">
        <f>INDEX('STOPE SUMMARY PIVOT'!$H$2050:$H$2177, MATCH(HE$1,'STOPE SUMMARY PIVOT'!$A$2050:$A$2177, 0))</f>
        <v>0</v>
      </c>
      <c r="HG55" s="154">
        <f>INDEX('STOPE SUMMARY PIVOT'!$G$2050:$G$2177, MATCH(HG$1,'STOPE SUMMARY PIVOT'!$A$2050:$A$2177, 0))</f>
        <v>0</v>
      </c>
      <c r="HH55" s="175">
        <f>INDEX('STOPE SUMMARY PIVOT'!$H$2050:$H$2177, MATCH(HG$1,'STOPE SUMMARY PIVOT'!$A$2050:$A$2177, 0))</f>
        <v>0</v>
      </c>
      <c r="HI55" s="154">
        <f>INDEX('STOPE SUMMARY PIVOT'!$G$2050:$G$2177, MATCH(HI$1,'STOPE SUMMARY PIVOT'!$A$2050:$A$2177, 0))</f>
        <v>0</v>
      </c>
      <c r="HJ55" s="175">
        <f>INDEX('STOPE SUMMARY PIVOT'!$H$2050:$H$2177, MATCH(HI$1,'STOPE SUMMARY PIVOT'!$A$2050:$A$2177, 0))</f>
        <v>0</v>
      </c>
      <c r="HK55" s="154">
        <f>INDEX('STOPE SUMMARY PIVOT'!$G$2050:$G$2177, MATCH(HK$1,'STOPE SUMMARY PIVOT'!$A$2050:$A$2177, 0))</f>
        <v>0</v>
      </c>
      <c r="HL55" s="175">
        <f>INDEX('STOPE SUMMARY PIVOT'!$H$2050:$H$2177, MATCH(HK$1,'STOPE SUMMARY PIVOT'!$A$2050:$A$2177, 0))</f>
        <v>0</v>
      </c>
      <c r="HM55" s="154">
        <f>INDEX('STOPE SUMMARY PIVOT'!$G$2050:$G$2177, MATCH(HM$1,'STOPE SUMMARY PIVOT'!$A$2050:$A$2177, 0))</f>
        <v>0</v>
      </c>
      <c r="HN55" s="175">
        <f>INDEX('STOPE SUMMARY PIVOT'!$H$2050:$H$2177, MATCH(HM$1,'STOPE SUMMARY PIVOT'!$A$2050:$A$2177, 0))</f>
        <v>0</v>
      </c>
      <c r="HO55" s="154">
        <f>INDEX('STOPE SUMMARY PIVOT'!$G$2050:$G$2177, MATCH(HO$1,'STOPE SUMMARY PIVOT'!$A$2050:$A$2177, 0))</f>
        <v>0</v>
      </c>
      <c r="HP55" s="175">
        <f>INDEX('STOPE SUMMARY PIVOT'!$H$2050:$H$2177, MATCH(HO$1,'STOPE SUMMARY PIVOT'!$A$2050:$A$2177, 0))</f>
        <v>0</v>
      </c>
      <c r="HQ55" s="154">
        <f>INDEX('STOPE SUMMARY PIVOT'!$G$2050:$G$2177, MATCH(HQ$1,'STOPE SUMMARY PIVOT'!$A$2050:$A$2177, 0))</f>
        <v>0</v>
      </c>
      <c r="HR55" s="175">
        <f>INDEX('STOPE SUMMARY PIVOT'!$H$2050:$H$2177, MATCH(HQ$1,'STOPE SUMMARY PIVOT'!$A$2050:$A$2177, 0))</f>
        <v>0</v>
      </c>
      <c r="HS55" s="154">
        <f>INDEX('STOPE SUMMARY PIVOT'!$G$2050:$G$2177, MATCH(HS$1,'STOPE SUMMARY PIVOT'!$A$2050:$A$2177, 0))</f>
        <v>0</v>
      </c>
      <c r="HT55" s="175">
        <f>INDEX('STOPE SUMMARY PIVOT'!$H$2050:$H$2177, MATCH(HS$1,'STOPE SUMMARY PIVOT'!$A$2050:$A$2177, 0))</f>
        <v>0</v>
      </c>
      <c r="HU55" s="154">
        <f>INDEX('STOPE SUMMARY PIVOT'!$G$2050:$G$2177, MATCH(HU$1,'STOPE SUMMARY PIVOT'!$A$2050:$A$2177, 0))</f>
        <v>0</v>
      </c>
      <c r="HV55" s="175">
        <f>INDEX('STOPE SUMMARY PIVOT'!$H$2050:$H$2177, MATCH(HU$1,'STOPE SUMMARY PIVOT'!$A$2050:$A$2177, 0))</f>
        <v>0</v>
      </c>
      <c r="HW55" s="154">
        <f>INDEX('STOPE SUMMARY PIVOT'!$G$2050:$G$2177, MATCH(HW$1,'STOPE SUMMARY PIVOT'!$A$2050:$A$2177, 0))</f>
        <v>0</v>
      </c>
      <c r="HX55" s="175">
        <f>INDEX('STOPE SUMMARY PIVOT'!$H$2050:$H$2177, MATCH(HW$1,'STOPE SUMMARY PIVOT'!$A$2050:$A$2177, 0))</f>
        <v>0</v>
      </c>
      <c r="HY55" s="154">
        <f>INDEX('STOPE SUMMARY PIVOT'!$G$2050:$G$2177, MATCH(HY$1,'STOPE SUMMARY PIVOT'!$A$2050:$A$2177, 0))</f>
        <v>0</v>
      </c>
      <c r="HZ55" s="175">
        <f>INDEX('STOPE SUMMARY PIVOT'!$H$2050:$H$2177, MATCH(HY$1,'STOPE SUMMARY PIVOT'!$A$2050:$A$2177, 0))</f>
        <v>0</v>
      </c>
      <c r="IA55" s="154">
        <f>INDEX('STOPE SUMMARY PIVOT'!$G$2050:$G$2177, MATCH(IA$1,'STOPE SUMMARY PIVOT'!$A$2050:$A$2177, 0))</f>
        <v>0</v>
      </c>
      <c r="IB55" s="175">
        <f>INDEX('STOPE SUMMARY PIVOT'!$H$2050:$H$2177, MATCH(IA$1,'STOPE SUMMARY PIVOT'!$A$2050:$A$2177, 0))</f>
        <v>0</v>
      </c>
      <c r="IC55" s="154">
        <f>INDEX('STOPE SUMMARY PIVOT'!$G$2050:$G$2177, MATCH(IC$1,'STOPE SUMMARY PIVOT'!$A$2050:$A$2177, 0))</f>
        <v>0</v>
      </c>
      <c r="ID55" s="175">
        <f>INDEX('STOPE SUMMARY PIVOT'!$H$2050:$H$2177, MATCH(IC$1,'STOPE SUMMARY PIVOT'!$A$2050:$A$2177, 0))</f>
        <v>0</v>
      </c>
      <c r="IE55" s="154">
        <f>INDEX('STOPE SUMMARY PIVOT'!$G$2050:$G$2177, MATCH(IE$1,'STOPE SUMMARY PIVOT'!$A$2050:$A$2177, 0))</f>
        <v>0</v>
      </c>
      <c r="IF55" s="175">
        <f>INDEX('STOPE SUMMARY PIVOT'!$H$2050:$H$2177, MATCH(IE$1,'STOPE SUMMARY PIVOT'!$A$2050:$A$2177, 0))</f>
        <v>0</v>
      </c>
      <c r="IG55" s="154">
        <f>INDEX('STOPE SUMMARY PIVOT'!$G$2050:$G$2177, MATCH(IG$1,'STOPE SUMMARY PIVOT'!$A$2050:$A$2177, 0))</f>
        <v>0</v>
      </c>
      <c r="IH55" s="175">
        <f>INDEX('STOPE SUMMARY PIVOT'!$H$2050:$H$2177, MATCH(IG$1,'STOPE SUMMARY PIVOT'!$A$2050:$A$2177, 0))</f>
        <v>0</v>
      </c>
      <c r="II55" s="154">
        <f>INDEX('STOPE SUMMARY PIVOT'!$G$2050:$G$2177, MATCH(II$1,'STOPE SUMMARY PIVOT'!$A$2050:$A$2177, 0))</f>
        <v>0</v>
      </c>
      <c r="IJ55" s="175">
        <f>INDEX('STOPE SUMMARY PIVOT'!$H$2050:$H$2177, MATCH(II$1,'STOPE SUMMARY PIVOT'!$A$2050:$A$2177, 0))</f>
        <v>0</v>
      </c>
      <c r="IK55" s="154">
        <f>INDEX('STOPE SUMMARY PIVOT'!$G$2050:$G$2177, MATCH(IK$1,'STOPE SUMMARY PIVOT'!$A$2050:$A$2177, 0))</f>
        <v>0</v>
      </c>
      <c r="IL55" s="175">
        <f>INDEX('STOPE SUMMARY PIVOT'!$H$2050:$H$2177, MATCH(IK$1,'STOPE SUMMARY PIVOT'!$A$2050:$A$2177, 0))</f>
        <v>0</v>
      </c>
      <c r="IM55" s="154">
        <f>INDEX('STOPE SUMMARY PIVOT'!$G$2050:$G$2177, MATCH(IM$1,'STOPE SUMMARY PIVOT'!$A$2050:$A$2177, 0))</f>
        <v>0</v>
      </c>
      <c r="IN55" s="175">
        <f>INDEX('STOPE SUMMARY PIVOT'!$H$2050:$H$2177, MATCH(IM$1,'STOPE SUMMARY PIVOT'!$A$2050:$A$2177, 0))</f>
        <v>0</v>
      </c>
      <c r="IO55" s="154">
        <f>INDEX('STOPE SUMMARY PIVOT'!$G$2050:$G$2177, MATCH(IO$1,'STOPE SUMMARY PIVOT'!$A$2050:$A$2177, 0))</f>
        <v>0</v>
      </c>
      <c r="IP55" s="175">
        <f>INDEX('STOPE SUMMARY PIVOT'!$H$2050:$H$2177, MATCH(IO$1,'STOPE SUMMARY PIVOT'!$A$2050:$A$2177, 0))</f>
        <v>0</v>
      </c>
      <c r="IQ55" s="154">
        <f>INDEX('STOPE SUMMARY PIVOT'!$G$2050:$G$2177, MATCH(IQ$1,'STOPE SUMMARY PIVOT'!$A$2050:$A$2177, 0))</f>
        <v>0</v>
      </c>
      <c r="IR55" s="175">
        <f>INDEX('STOPE SUMMARY PIVOT'!$H$2050:$H$2177, MATCH(IQ$1,'STOPE SUMMARY PIVOT'!$A$2050:$A$2177, 0))</f>
        <v>0</v>
      </c>
      <c r="IS55" s="154">
        <f>INDEX('STOPE SUMMARY PIVOT'!$G$2050:$G$2177, MATCH(IS$1,'STOPE SUMMARY PIVOT'!$A$2050:$A$2177, 0))</f>
        <v>0</v>
      </c>
      <c r="IT55" s="175">
        <f>INDEX('STOPE SUMMARY PIVOT'!$H$2050:$H$2177, MATCH(IS$1,'STOPE SUMMARY PIVOT'!$A$2050:$A$2177, 0))</f>
        <v>0</v>
      </c>
      <c r="IU55" s="154">
        <f>INDEX('STOPE SUMMARY PIVOT'!$G$2050:$G$2177, MATCH(IU$1,'STOPE SUMMARY PIVOT'!$A$2050:$A$2177, 0))</f>
        <v>0</v>
      </c>
      <c r="IV55" s="175">
        <f>INDEX('STOPE SUMMARY PIVOT'!$H$2050:$H$2177, MATCH(IU$1,'STOPE SUMMARY PIVOT'!$A$2050:$A$2177, 0))</f>
        <v>0</v>
      </c>
      <c r="IW55" s="154">
        <f>INDEX('STOPE SUMMARY PIVOT'!$G$2050:$G$2177, MATCH(IW$1,'STOPE SUMMARY PIVOT'!$A$2050:$A$2177, 0))</f>
        <v>0</v>
      </c>
      <c r="IX55" s="175">
        <f>INDEX('STOPE SUMMARY PIVOT'!$H$2050:$H$2177, MATCH(IW$1,'STOPE SUMMARY PIVOT'!$A$2050:$A$2177, 0))</f>
        <v>0</v>
      </c>
      <c r="IY55" s="154">
        <f>INDEX('STOPE SUMMARY PIVOT'!$G$2050:$G$2177, MATCH(IY$1,'STOPE SUMMARY PIVOT'!$A$2050:$A$2177, 0))</f>
        <v>0</v>
      </c>
      <c r="IZ55" s="175">
        <f>INDEX('STOPE SUMMARY PIVOT'!$H$2050:$H$2177, MATCH(IY$1,'STOPE SUMMARY PIVOT'!$A$2050:$A$2177, 0))</f>
        <v>0</v>
      </c>
    </row>
    <row r="56" spans="1:260" ht="15.75" thickBot="1" x14ac:dyDescent="0.3">
      <c r="A56" s="1591"/>
      <c r="B56" s="169" t="s">
        <v>5</v>
      </c>
      <c r="C56" s="170" cm="1">
        <f t="array" ref="C56">SUM(_xlfn._xlws.FILTER(E56:IZ56, MOD(COLUMN(E56:IZ56)-COLUMN(E56)+1,2)=1))</f>
        <v>0</v>
      </c>
      <c r="D56" s="171" t="str" cm="1">
        <f t="array" ref="D56">IFERROR(SUMPRODUCT(_xlfn._xlws.FILTER(E56:IZ56, MOD(COLUMN(E56:IZ56)-COLUMN(E56)+1,2)=1), _xlfn._xlws.FILTER(E56:IZ56, MOD(COLUMN(E56:IZ56)-COLUMN(E56)+1,2)=0))/C56,"")</f>
        <v/>
      </c>
      <c r="E56" s="172">
        <f>INDEX('STOPE SUMMARY PIVOT'!$J$2050:$J$2177, MATCH(E$1,'STOPE SUMMARY PIVOT'!$A$2050:$A$2177, 0))</f>
        <v>0</v>
      </c>
      <c r="F56" s="176">
        <f>INDEX('STOPE SUMMARY PIVOT'!$K$2050:$K$2177, MATCH(E$1,'STOPE SUMMARY PIVOT'!$A$2050:$A$2177, 0))</f>
        <v>0</v>
      </c>
      <c r="G56" s="172">
        <f>INDEX('STOPE SUMMARY PIVOT'!$J$2050:$J$2177, MATCH(G$1,'STOPE SUMMARY PIVOT'!$A$2050:$A$2177, 0))</f>
        <v>0</v>
      </c>
      <c r="H56" s="176">
        <f>INDEX('STOPE SUMMARY PIVOT'!$K$2050:$K$2177, MATCH(G$1,'STOPE SUMMARY PIVOT'!$A$2050:$A$2177, 0))</f>
        <v>0</v>
      </c>
      <c r="I56" s="172">
        <f>INDEX('STOPE SUMMARY PIVOT'!$J$2050:$J$2177, MATCH(I$1,'STOPE SUMMARY PIVOT'!$A$2050:$A$2177, 0))</f>
        <v>0</v>
      </c>
      <c r="J56" s="173">
        <f>INDEX('STOPE SUMMARY PIVOT'!$K$2050:$K$2177, MATCH(I$1,'STOPE SUMMARY PIVOT'!$A$2050:$A$2177, 0))</f>
        <v>0</v>
      </c>
      <c r="K56" s="172">
        <f>INDEX('STOPE SUMMARY PIVOT'!$J$2050:$J$2177, MATCH(K$1,'STOPE SUMMARY PIVOT'!$A$2050:$A$2177, 0))</f>
        <v>0</v>
      </c>
      <c r="L56" s="173">
        <f>INDEX('STOPE SUMMARY PIVOT'!$K$2050:$K$2177, MATCH(K$1,'STOPE SUMMARY PIVOT'!$A$2050:$A$2177, 0))</f>
        <v>0</v>
      </c>
      <c r="M56" s="172">
        <f>INDEX('STOPE SUMMARY PIVOT'!$J$2050:$J$2177, MATCH(M$1,'STOPE SUMMARY PIVOT'!$A$2050:$A$2177, 0))</f>
        <v>0</v>
      </c>
      <c r="N56" s="173">
        <f>INDEX('STOPE SUMMARY PIVOT'!$K$2050:$K$2177, MATCH(M$1,'STOPE SUMMARY PIVOT'!$A$2050:$A$2177, 0))</f>
        <v>0</v>
      </c>
      <c r="O56" s="172">
        <f>INDEX('STOPE SUMMARY PIVOT'!$J$2050:$J$2177, MATCH(O$1,'STOPE SUMMARY PIVOT'!$A$2050:$A$2177, 0))</f>
        <v>0</v>
      </c>
      <c r="P56" s="173">
        <f>INDEX('STOPE SUMMARY PIVOT'!$K$2050:$K$2177, MATCH(O$1,'STOPE SUMMARY PIVOT'!$A$2050:$A$2177, 0))</f>
        <v>0</v>
      </c>
      <c r="Q56" s="172">
        <f>INDEX('STOPE SUMMARY PIVOT'!$J$2050:$J$2177, MATCH(Q$1,'STOPE SUMMARY PIVOT'!$A$2050:$A$2177, 0))</f>
        <v>0</v>
      </c>
      <c r="R56" s="173">
        <f>INDEX('STOPE SUMMARY PIVOT'!$K$2050:$K$2177, MATCH(Q$1,'STOPE SUMMARY PIVOT'!$A$2050:$A$2177, 0))</f>
        <v>0</v>
      </c>
      <c r="S56" s="172">
        <f>INDEX('STOPE SUMMARY PIVOT'!$J$2050:$J$2177, MATCH(S$1,'STOPE SUMMARY PIVOT'!$A$2050:$A$2177, 0))</f>
        <v>0</v>
      </c>
      <c r="T56" s="173">
        <f>INDEX('STOPE SUMMARY PIVOT'!$K$2050:$K$2177, MATCH(S$1,'STOPE SUMMARY PIVOT'!$A$2050:$A$2177, 0))</f>
        <v>0</v>
      </c>
      <c r="U56" s="172">
        <f>INDEX('STOPE SUMMARY PIVOT'!$J$2050:$J$2177, MATCH(U$1,'STOPE SUMMARY PIVOT'!$A$2050:$A$2177, 0))</f>
        <v>0</v>
      </c>
      <c r="V56" s="176">
        <f>INDEX('STOPE SUMMARY PIVOT'!$K$2050:$K$2177, MATCH(U$1,'STOPE SUMMARY PIVOT'!$A$2050:$A$2177, 0))</f>
        <v>0</v>
      </c>
      <c r="W56" s="172">
        <f>INDEX('STOPE SUMMARY PIVOT'!$J$2050:$J$2177, MATCH(W$1,'STOPE SUMMARY PIVOT'!$A$2050:$A$2177, 0))</f>
        <v>0</v>
      </c>
      <c r="X56" s="176">
        <f>INDEX('STOPE SUMMARY PIVOT'!$K$2050:$K$2177, MATCH(W$1,'STOPE SUMMARY PIVOT'!$A$2050:$A$2177, 0))</f>
        <v>0</v>
      </c>
      <c r="Y56" s="172">
        <f>INDEX('STOPE SUMMARY PIVOT'!$J$2050:$J$2177, MATCH(Y$1,'STOPE SUMMARY PIVOT'!$A$2050:$A$2177, 0))</f>
        <v>0</v>
      </c>
      <c r="Z56" s="176">
        <f>INDEX('STOPE SUMMARY PIVOT'!$K$2050:$K$2177, MATCH(Y$1,'STOPE SUMMARY PIVOT'!$A$2050:$A$2177, 0))</f>
        <v>0</v>
      </c>
      <c r="AA56" s="172">
        <f>INDEX('STOPE SUMMARY PIVOT'!$J$2050:$J$2177, MATCH(AA$1,'STOPE SUMMARY PIVOT'!$A$2050:$A$2177, 0))</f>
        <v>0</v>
      </c>
      <c r="AB56" s="176">
        <f>INDEX('STOPE SUMMARY PIVOT'!$K$2050:$K$2177, MATCH(AA$1,'STOPE SUMMARY PIVOT'!$A$2050:$A$2177, 0))</f>
        <v>0</v>
      </c>
      <c r="AC56" s="172">
        <f>INDEX('STOPE SUMMARY PIVOT'!$J$2050:$J$2177, MATCH(AC$1,'STOPE SUMMARY PIVOT'!$A$2050:$A$2177, 0))</f>
        <v>0</v>
      </c>
      <c r="AD56" s="176">
        <f>INDEX('STOPE SUMMARY PIVOT'!$K$2050:$K$2177, MATCH(AC$1,'STOPE SUMMARY PIVOT'!$A$2050:$A$2177, 0))</f>
        <v>0</v>
      </c>
      <c r="AE56" s="172">
        <f>INDEX('STOPE SUMMARY PIVOT'!$J$2050:$J$2177, MATCH(AE$1,'STOPE SUMMARY PIVOT'!$A$2050:$A$2177, 0))</f>
        <v>0</v>
      </c>
      <c r="AF56" s="176">
        <f>INDEX('STOPE SUMMARY PIVOT'!$K$2050:$K$2177, MATCH(AE$1,'STOPE SUMMARY PIVOT'!$A$2050:$A$2177, 0))</f>
        <v>0</v>
      </c>
      <c r="AG56" s="172">
        <f>INDEX('STOPE SUMMARY PIVOT'!$J$2050:$J$2177, MATCH(AG$1,'STOPE SUMMARY PIVOT'!$A$2050:$A$2177, 0))</f>
        <v>0</v>
      </c>
      <c r="AH56" s="176">
        <f>INDEX('STOPE SUMMARY PIVOT'!$K$2050:$K$2177, MATCH(AG$1,'STOPE SUMMARY PIVOT'!$A$2050:$A$2177, 0))</f>
        <v>0</v>
      </c>
      <c r="AI56" s="172">
        <f>INDEX('STOPE SUMMARY PIVOT'!$J$2050:$J$2177, MATCH(AI$1,'STOPE SUMMARY PIVOT'!$A$2050:$A$2177, 0))</f>
        <v>0</v>
      </c>
      <c r="AJ56" s="176">
        <f>INDEX('STOPE SUMMARY PIVOT'!$K$2050:$K$2177, MATCH(AI$1,'STOPE SUMMARY PIVOT'!$A$2050:$A$2177, 0))</f>
        <v>0</v>
      </c>
      <c r="AK56" s="172">
        <f>INDEX('STOPE SUMMARY PIVOT'!$J$2050:$J$2177, MATCH(AK$1,'STOPE SUMMARY PIVOT'!$A$2050:$A$2177, 0))</f>
        <v>0</v>
      </c>
      <c r="AL56" s="176">
        <f>INDEX('STOPE SUMMARY PIVOT'!$K$2050:$K$2177, MATCH(AK$1,'STOPE SUMMARY PIVOT'!$A$2050:$A$2177, 0))</f>
        <v>0</v>
      </c>
      <c r="AM56" s="172">
        <f>INDEX('STOPE SUMMARY PIVOT'!$J$2050:$J$2177, MATCH(AM$1,'STOPE SUMMARY PIVOT'!$A$2050:$A$2177, 0))</f>
        <v>0</v>
      </c>
      <c r="AN56" s="176">
        <f>INDEX('STOPE SUMMARY PIVOT'!$K$2050:$K$2177, MATCH(AM$1,'STOPE SUMMARY PIVOT'!$A$2050:$A$2177, 0))</f>
        <v>0</v>
      </c>
      <c r="AO56" s="172">
        <f>INDEX('STOPE SUMMARY PIVOT'!$J$2050:$J$2177, MATCH(AO$1,'STOPE SUMMARY PIVOT'!$A$2050:$A$2177, 0))</f>
        <v>0</v>
      </c>
      <c r="AP56" s="176">
        <f>INDEX('STOPE SUMMARY PIVOT'!$K$2050:$K$2177, MATCH(AO$1,'STOPE SUMMARY PIVOT'!$A$2050:$A$2177, 0))</f>
        <v>0</v>
      </c>
      <c r="AQ56" s="172">
        <f>INDEX('STOPE SUMMARY PIVOT'!$J$2050:$J$2177, MATCH(AQ$1,'STOPE SUMMARY PIVOT'!$A$2050:$A$2177, 0))</f>
        <v>0</v>
      </c>
      <c r="AR56" s="176">
        <f>INDEX('STOPE SUMMARY PIVOT'!$K$2050:$K$2177, MATCH(AQ$1,'STOPE SUMMARY PIVOT'!$A$2050:$A$2177, 0))</f>
        <v>0</v>
      </c>
      <c r="AS56" s="172">
        <f>INDEX('STOPE SUMMARY PIVOT'!$J$2050:$J$2177, MATCH(AS$1,'STOPE SUMMARY PIVOT'!$A$2050:$A$2177, 0))</f>
        <v>0</v>
      </c>
      <c r="AT56" s="176">
        <f>INDEX('STOPE SUMMARY PIVOT'!$K$2050:$K$2177, MATCH(AS$1,'STOPE SUMMARY PIVOT'!$A$2050:$A$2177, 0))</f>
        <v>0</v>
      </c>
      <c r="AU56" s="172">
        <f>INDEX('STOPE SUMMARY PIVOT'!$J$2050:$J$2177, MATCH(AU$1,'STOPE SUMMARY PIVOT'!$A$2050:$A$2177, 0))</f>
        <v>0</v>
      </c>
      <c r="AV56" s="176">
        <f>INDEX('STOPE SUMMARY PIVOT'!$K$2050:$K$2177, MATCH(AU$1,'STOPE SUMMARY PIVOT'!$A$2050:$A$2177, 0))</f>
        <v>0</v>
      </c>
      <c r="AW56" s="172">
        <f>INDEX('STOPE SUMMARY PIVOT'!$J$2050:$J$2177, MATCH(AW$1,'STOPE SUMMARY PIVOT'!$A$2050:$A$2177, 0))</f>
        <v>0</v>
      </c>
      <c r="AX56" s="176">
        <f>INDEX('STOPE SUMMARY PIVOT'!$K$2050:$K$2177, MATCH(AW$1,'STOPE SUMMARY PIVOT'!$A$2050:$A$2177, 0))</f>
        <v>0</v>
      </c>
      <c r="AY56" s="172">
        <f>INDEX('STOPE SUMMARY PIVOT'!$J$2050:$J$2177, MATCH(AY$1,'STOPE SUMMARY PIVOT'!$A$2050:$A$2177, 0))</f>
        <v>0</v>
      </c>
      <c r="AZ56" s="176">
        <f>INDEX('STOPE SUMMARY PIVOT'!$K$2050:$K$2177, MATCH(AY$1,'STOPE SUMMARY PIVOT'!$A$2050:$A$2177, 0))</f>
        <v>0</v>
      </c>
      <c r="BA56" s="172">
        <f>INDEX('STOPE SUMMARY PIVOT'!$J$2050:$J$2177, MATCH(BA$1,'STOPE SUMMARY PIVOT'!$A$2050:$A$2177, 0))</f>
        <v>0</v>
      </c>
      <c r="BB56" s="176">
        <f>INDEX('STOPE SUMMARY PIVOT'!$K$2050:$K$2177, MATCH(BA$1,'STOPE SUMMARY PIVOT'!$A$2050:$A$2177, 0))</f>
        <v>0</v>
      </c>
      <c r="BC56" s="172">
        <f>INDEX('STOPE SUMMARY PIVOT'!$J$2050:$J$2177, MATCH(BC$1,'STOPE SUMMARY PIVOT'!$A$2050:$A$2177, 0))</f>
        <v>0</v>
      </c>
      <c r="BD56" s="176">
        <f>INDEX('STOPE SUMMARY PIVOT'!$K$2050:$K$2177, MATCH(BC$1,'STOPE SUMMARY PIVOT'!$A$2050:$A$2177, 0))</f>
        <v>0</v>
      </c>
      <c r="BE56" s="172">
        <f>INDEX('STOPE SUMMARY PIVOT'!$J$2050:$J$2177, MATCH(BE$1,'STOPE SUMMARY PIVOT'!$A$2050:$A$2177, 0))</f>
        <v>0</v>
      </c>
      <c r="BF56" s="176">
        <f>INDEX('STOPE SUMMARY PIVOT'!$K$2050:$K$2177, MATCH(BE$1,'STOPE SUMMARY PIVOT'!$A$2050:$A$2177, 0))</f>
        <v>0</v>
      </c>
      <c r="BG56" s="172">
        <f>INDEX('STOPE SUMMARY PIVOT'!$J$2050:$J$2177, MATCH(BG$1,'STOPE SUMMARY PIVOT'!$A$2050:$A$2177, 0))</f>
        <v>0</v>
      </c>
      <c r="BH56" s="176">
        <f>INDEX('STOPE SUMMARY PIVOT'!$K$2050:$K$2177, MATCH(BG$1,'STOPE SUMMARY PIVOT'!$A$2050:$A$2177, 0))</f>
        <v>0</v>
      </c>
      <c r="BI56" s="172">
        <f>INDEX('STOPE SUMMARY PIVOT'!$J$2050:$J$2177, MATCH(BI$1,'STOPE SUMMARY PIVOT'!$A$2050:$A$2177, 0))</f>
        <v>0</v>
      </c>
      <c r="BJ56" s="176">
        <f>INDEX('STOPE SUMMARY PIVOT'!$K$2050:$K$2177, MATCH(BI$1,'STOPE SUMMARY PIVOT'!$A$2050:$A$2177, 0))</f>
        <v>0</v>
      </c>
      <c r="BK56" s="172">
        <f>INDEX('STOPE SUMMARY PIVOT'!$J$2050:$J$2177, MATCH(BK$1,'STOPE SUMMARY PIVOT'!$A$2050:$A$2177, 0))</f>
        <v>0</v>
      </c>
      <c r="BL56" s="176">
        <f>INDEX('STOPE SUMMARY PIVOT'!$K$2050:$K$2177, MATCH(BK$1,'STOPE SUMMARY PIVOT'!$A$2050:$A$2177, 0))</f>
        <v>0</v>
      </c>
      <c r="BM56" s="172">
        <f>INDEX('STOPE SUMMARY PIVOT'!$J$2050:$J$2177, MATCH(BM$1,'STOPE SUMMARY PIVOT'!$A$2050:$A$2177, 0))</f>
        <v>0</v>
      </c>
      <c r="BN56" s="176">
        <f>INDEX('STOPE SUMMARY PIVOT'!$K$2050:$K$2177, MATCH(BM$1,'STOPE SUMMARY PIVOT'!$A$2050:$A$2177, 0))</f>
        <v>0</v>
      </c>
      <c r="BO56" s="172">
        <f>INDEX('STOPE SUMMARY PIVOT'!$J$2050:$J$2177, MATCH(BO$1,'STOPE SUMMARY PIVOT'!$A$2050:$A$2177, 0))</f>
        <v>0</v>
      </c>
      <c r="BP56" s="176">
        <f>INDEX('STOPE SUMMARY PIVOT'!$K$2050:$K$2177, MATCH(BO$1,'STOPE SUMMARY PIVOT'!$A$2050:$A$2177, 0))</f>
        <v>0</v>
      </c>
      <c r="BQ56" s="172">
        <f>INDEX('STOPE SUMMARY PIVOT'!$J$2050:$J$2177, MATCH(BQ$1,'STOPE SUMMARY PIVOT'!$A$2050:$A$2177, 0))</f>
        <v>0</v>
      </c>
      <c r="BR56" s="176">
        <f>INDEX('STOPE SUMMARY PIVOT'!$K$2050:$K$2177, MATCH(BQ$1,'STOPE SUMMARY PIVOT'!$A$2050:$A$2177, 0))</f>
        <v>0</v>
      </c>
      <c r="BS56" s="172">
        <f>INDEX('STOPE SUMMARY PIVOT'!$J$2050:$J$2177, MATCH(BS$1,'STOPE SUMMARY PIVOT'!$A$2050:$A$2177, 0))</f>
        <v>0</v>
      </c>
      <c r="BT56" s="176">
        <f>INDEX('STOPE SUMMARY PIVOT'!$K$2050:$K$2177, MATCH(BS$1,'STOPE SUMMARY PIVOT'!$A$2050:$A$2177, 0))</f>
        <v>0</v>
      </c>
      <c r="BU56" s="172">
        <f>INDEX('STOPE SUMMARY PIVOT'!$J$2050:$J$2177, MATCH(BU$1,'STOPE SUMMARY PIVOT'!$A$2050:$A$2177, 0))</f>
        <v>0</v>
      </c>
      <c r="BV56" s="176">
        <f>INDEX('STOPE SUMMARY PIVOT'!$K$2050:$K$2177, MATCH(BU$1,'STOPE SUMMARY PIVOT'!$A$2050:$A$2177, 0))</f>
        <v>0</v>
      </c>
      <c r="BW56" s="172">
        <f>INDEX('STOPE SUMMARY PIVOT'!$J$2050:$J$2177, MATCH(BW$1,'STOPE SUMMARY PIVOT'!$A$2050:$A$2177, 0))</f>
        <v>0</v>
      </c>
      <c r="BX56" s="176">
        <f>INDEX('STOPE SUMMARY PIVOT'!$K$2050:$K$2177, MATCH(BW$1,'STOPE SUMMARY PIVOT'!$A$2050:$A$2177, 0))</f>
        <v>0</v>
      </c>
      <c r="BY56" s="172">
        <f>INDEX('STOPE SUMMARY PIVOT'!$J$2050:$J$2177, MATCH(BY$1,'STOPE SUMMARY PIVOT'!$A$2050:$A$2177, 0))</f>
        <v>0</v>
      </c>
      <c r="BZ56" s="176">
        <f>INDEX('STOPE SUMMARY PIVOT'!$K$2050:$K$2177, MATCH(BY$1,'STOPE SUMMARY PIVOT'!$A$2050:$A$2177, 0))</f>
        <v>0</v>
      </c>
      <c r="CA56" s="172">
        <f>INDEX('STOPE SUMMARY PIVOT'!$J$2050:$J$2177, MATCH(CA$1,'STOPE SUMMARY PIVOT'!$A$2050:$A$2177, 0))</f>
        <v>0</v>
      </c>
      <c r="CB56" s="176">
        <f>INDEX('STOPE SUMMARY PIVOT'!$K$2050:$K$2177, MATCH(CA$1,'STOPE SUMMARY PIVOT'!$A$2050:$A$2177, 0))</f>
        <v>0</v>
      </c>
      <c r="CC56" s="172">
        <f>INDEX('STOPE SUMMARY PIVOT'!$J$2050:$J$2177, MATCH(CC$1,'STOPE SUMMARY PIVOT'!$A$2050:$A$2177, 0))</f>
        <v>0</v>
      </c>
      <c r="CD56" s="176">
        <f>INDEX('STOPE SUMMARY PIVOT'!$K$2050:$K$2177, MATCH(CC$1,'STOPE SUMMARY PIVOT'!$A$2050:$A$2177, 0))</f>
        <v>0</v>
      </c>
      <c r="CE56" s="172">
        <f>INDEX('STOPE SUMMARY PIVOT'!$J$2050:$J$2177, MATCH(CE$1,'STOPE SUMMARY PIVOT'!$A$2050:$A$2177, 0))</f>
        <v>0</v>
      </c>
      <c r="CF56" s="176">
        <f>INDEX('STOPE SUMMARY PIVOT'!$K$2050:$K$2177, MATCH(CE$1,'STOPE SUMMARY PIVOT'!$A$2050:$A$2177, 0))</f>
        <v>0</v>
      </c>
      <c r="CG56" s="172">
        <f>INDEX('STOPE SUMMARY PIVOT'!$J$2050:$J$2177, MATCH(CG$1,'STOPE SUMMARY PIVOT'!$A$2050:$A$2177, 0))</f>
        <v>0</v>
      </c>
      <c r="CH56" s="176">
        <f>INDEX('STOPE SUMMARY PIVOT'!$K$2050:$K$2177, MATCH(CG$1,'STOPE SUMMARY PIVOT'!$A$2050:$A$2177, 0))</f>
        <v>0</v>
      </c>
      <c r="CI56" s="172">
        <f>INDEX('STOPE SUMMARY PIVOT'!$J$2050:$J$2177, MATCH(CI$1,'STOPE SUMMARY PIVOT'!$A$2050:$A$2177, 0))</f>
        <v>0</v>
      </c>
      <c r="CJ56" s="176">
        <f>INDEX('STOPE SUMMARY PIVOT'!$K$2050:$K$2177, MATCH(CI$1,'STOPE SUMMARY PIVOT'!$A$2050:$A$2177, 0))</f>
        <v>0</v>
      </c>
      <c r="CK56" s="172">
        <f>INDEX('STOPE SUMMARY PIVOT'!$J$2050:$J$2177, MATCH(CK$1,'STOPE SUMMARY PIVOT'!$A$2050:$A$2177, 0))</f>
        <v>0</v>
      </c>
      <c r="CL56" s="176">
        <f>INDEX('STOPE SUMMARY PIVOT'!$K$2050:$K$2177, MATCH(CK$1,'STOPE SUMMARY PIVOT'!$A$2050:$A$2177, 0))</f>
        <v>0</v>
      </c>
      <c r="CM56" s="172">
        <f>INDEX('STOPE SUMMARY PIVOT'!$J$2050:$J$2177, MATCH(CM$1,'STOPE SUMMARY PIVOT'!$A$2050:$A$2177, 0))</f>
        <v>0</v>
      </c>
      <c r="CN56" s="176">
        <f>INDEX('STOPE SUMMARY PIVOT'!$K$2050:$K$2177, MATCH(CM$1,'STOPE SUMMARY PIVOT'!$A$2050:$A$2177, 0))</f>
        <v>0</v>
      </c>
      <c r="CO56" s="172">
        <f>INDEX('STOPE SUMMARY PIVOT'!$J$2050:$J$2177, MATCH(CO$1,'STOPE SUMMARY PIVOT'!$A$2050:$A$2177, 0))</f>
        <v>0</v>
      </c>
      <c r="CP56" s="176">
        <f>INDEX('STOPE SUMMARY PIVOT'!$K$2050:$K$2177, MATCH(CO$1,'STOPE SUMMARY PIVOT'!$A$2050:$A$2177, 0))</f>
        <v>0</v>
      </c>
      <c r="CQ56" s="172">
        <f>INDEX('STOPE SUMMARY PIVOT'!$J$2050:$J$2177, MATCH(CQ$1,'STOPE SUMMARY PIVOT'!$A$2050:$A$2177, 0))</f>
        <v>0</v>
      </c>
      <c r="CR56" s="176">
        <f>INDEX('STOPE SUMMARY PIVOT'!$K$2050:$K$2177, MATCH(CQ$1,'STOPE SUMMARY PIVOT'!$A$2050:$A$2177, 0))</f>
        <v>0</v>
      </c>
      <c r="CS56" s="172">
        <f>INDEX('STOPE SUMMARY PIVOT'!$J$2050:$J$2177, MATCH(CS$1,'STOPE SUMMARY PIVOT'!$A$2050:$A$2177, 0))</f>
        <v>0</v>
      </c>
      <c r="CT56" s="176">
        <f>INDEX('STOPE SUMMARY PIVOT'!$K$2050:$K$2177, MATCH(CS$1,'STOPE SUMMARY PIVOT'!$A$2050:$A$2177, 0))</f>
        <v>0</v>
      </c>
      <c r="CU56" s="172">
        <f>INDEX('STOPE SUMMARY PIVOT'!$J$2050:$J$2177, MATCH(CU$1,'STOPE SUMMARY PIVOT'!$A$2050:$A$2177, 0))</f>
        <v>0</v>
      </c>
      <c r="CV56" s="176">
        <f>INDEX('STOPE SUMMARY PIVOT'!$K$2050:$K$2177, MATCH(CU$1,'STOPE SUMMARY PIVOT'!$A$2050:$A$2177, 0))</f>
        <v>0</v>
      </c>
      <c r="CW56" s="172">
        <f>INDEX('STOPE SUMMARY PIVOT'!$J$2050:$J$2177, MATCH(CW$1,'STOPE SUMMARY PIVOT'!$A$2050:$A$2177, 0))</f>
        <v>0</v>
      </c>
      <c r="CX56" s="176">
        <f>INDEX('STOPE SUMMARY PIVOT'!$K$2050:$K$2177, MATCH(CW$1,'STOPE SUMMARY PIVOT'!$A$2050:$A$2177, 0))</f>
        <v>0</v>
      </c>
      <c r="CY56" s="172">
        <f>INDEX('STOPE SUMMARY PIVOT'!$J$2050:$J$2177, MATCH(CY$1,'STOPE SUMMARY PIVOT'!$A$2050:$A$2177, 0))</f>
        <v>0</v>
      </c>
      <c r="CZ56" s="176">
        <f>INDEX('STOPE SUMMARY PIVOT'!$K$2050:$K$2177, MATCH(CY$1,'STOPE SUMMARY PIVOT'!$A$2050:$A$2177, 0))</f>
        <v>0</v>
      </c>
      <c r="DA56" s="172">
        <f>INDEX('STOPE SUMMARY PIVOT'!$J$2050:$J$2177, MATCH(DA$1,'STOPE SUMMARY PIVOT'!$A$2050:$A$2177, 0))</f>
        <v>0</v>
      </c>
      <c r="DB56" s="176">
        <f>INDEX('STOPE SUMMARY PIVOT'!$K$2050:$K$2177, MATCH(DA$1,'STOPE SUMMARY PIVOT'!$A$2050:$A$2177, 0))</f>
        <v>0</v>
      </c>
      <c r="DC56" s="172">
        <f>INDEX('STOPE SUMMARY PIVOT'!$J$2050:$J$2177, MATCH(DC$1,'STOPE SUMMARY PIVOT'!$A$2050:$A$2177, 0))</f>
        <v>0</v>
      </c>
      <c r="DD56" s="176">
        <f>INDEX('STOPE SUMMARY PIVOT'!$K$2050:$K$2177, MATCH(DC$1,'STOPE SUMMARY PIVOT'!$A$2050:$A$2177, 0))</f>
        <v>0</v>
      </c>
      <c r="DE56" s="172">
        <f>INDEX('STOPE SUMMARY PIVOT'!$J$2050:$J$2177, MATCH(DE$1,'STOPE SUMMARY PIVOT'!$A$2050:$A$2177, 0))</f>
        <v>0</v>
      </c>
      <c r="DF56" s="176">
        <f>INDEX('STOPE SUMMARY PIVOT'!$K$2050:$K$2177, MATCH(DE$1,'STOPE SUMMARY PIVOT'!$A$2050:$A$2177, 0))</f>
        <v>0</v>
      </c>
      <c r="DG56" s="172">
        <f>INDEX('STOPE SUMMARY PIVOT'!$J$2050:$J$2177, MATCH(DG$1,'STOPE SUMMARY PIVOT'!$A$2050:$A$2177, 0))</f>
        <v>0</v>
      </c>
      <c r="DH56" s="176">
        <f>INDEX('STOPE SUMMARY PIVOT'!$K$2050:$K$2177, MATCH(DG$1,'STOPE SUMMARY PIVOT'!$A$2050:$A$2177, 0))</f>
        <v>0</v>
      </c>
      <c r="DI56" s="172">
        <f>INDEX('STOPE SUMMARY PIVOT'!$J$2050:$J$2177, MATCH(DI$1,'STOPE SUMMARY PIVOT'!$A$2050:$A$2177, 0))</f>
        <v>0</v>
      </c>
      <c r="DJ56" s="176">
        <f>INDEX('STOPE SUMMARY PIVOT'!$K$2050:$K$2177, MATCH(DI$1,'STOPE SUMMARY PIVOT'!$A$2050:$A$2177, 0))</f>
        <v>0</v>
      </c>
      <c r="DK56" s="172">
        <f>INDEX('STOPE SUMMARY PIVOT'!$J$2050:$J$2177, MATCH(DK$1,'STOPE SUMMARY PIVOT'!$A$2050:$A$2177, 0))</f>
        <v>0</v>
      </c>
      <c r="DL56" s="176">
        <f>INDEX('STOPE SUMMARY PIVOT'!$K$2050:$K$2177, MATCH(DK$1,'STOPE SUMMARY PIVOT'!$A$2050:$A$2177, 0))</f>
        <v>0</v>
      </c>
      <c r="DM56" s="172">
        <f>INDEX('STOPE SUMMARY PIVOT'!$J$2050:$J$2177, MATCH(DM$1,'STOPE SUMMARY PIVOT'!$A$2050:$A$2177, 0))</f>
        <v>0</v>
      </c>
      <c r="DN56" s="176">
        <f>INDEX('STOPE SUMMARY PIVOT'!$K$2050:$K$2177, MATCH(DM$1,'STOPE SUMMARY PIVOT'!$A$2050:$A$2177, 0))</f>
        <v>0</v>
      </c>
      <c r="DO56" s="172">
        <f>INDEX('STOPE SUMMARY PIVOT'!$J$2050:$J$2177, MATCH(DO$1,'STOPE SUMMARY PIVOT'!$A$2050:$A$2177, 0))</f>
        <v>0</v>
      </c>
      <c r="DP56" s="176">
        <f>INDEX('STOPE SUMMARY PIVOT'!$K$2050:$K$2177, MATCH(DO$1,'STOPE SUMMARY PIVOT'!$A$2050:$A$2177, 0))</f>
        <v>0</v>
      </c>
      <c r="DQ56" s="172">
        <f>INDEX('STOPE SUMMARY PIVOT'!$J$2050:$J$2177, MATCH(DQ$1,'STOPE SUMMARY PIVOT'!$A$2050:$A$2177, 0))</f>
        <v>0</v>
      </c>
      <c r="DR56" s="176">
        <f>INDEX('STOPE SUMMARY PIVOT'!$K$2050:$K$2177, MATCH(DQ$1,'STOPE SUMMARY PIVOT'!$A$2050:$A$2177, 0))</f>
        <v>0</v>
      </c>
      <c r="DS56" s="172">
        <f>INDEX('STOPE SUMMARY PIVOT'!$J$2050:$J$2177, MATCH(DS$1,'STOPE SUMMARY PIVOT'!$A$2050:$A$2177, 0))</f>
        <v>0</v>
      </c>
      <c r="DT56" s="176">
        <f>INDEX('STOPE SUMMARY PIVOT'!$K$2050:$K$2177, MATCH(DS$1,'STOPE SUMMARY PIVOT'!$A$2050:$A$2177, 0))</f>
        <v>0</v>
      </c>
      <c r="DU56" s="172">
        <f>INDEX('STOPE SUMMARY PIVOT'!$J$2050:$J$2177, MATCH(DU$1,'STOPE SUMMARY PIVOT'!$A$2050:$A$2177, 0))</f>
        <v>0</v>
      </c>
      <c r="DV56" s="176">
        <f>INDEX('STOPE SUMMARY PIVOT'!$K$2050:$K$2177, MATCH(DU$1,'STOPE SUMMARY PIVOT'!$A$2050:$A$2177, 0))</f>
        <v>0</v>
      </c>
      <c r="DW56" s="172">
        <f>INDEX('STOPE SUMMARY PIVOT'!$J$2050:$J$2177, MATCH(DW$1,'STOPE SUMMARY PIVOT'!$A$2050:$A$2177, 0))</f>
        <v>0</v>
      </c>
      <c r="DX56" s="176">
        <f>INDEX('STOPE SUMMARY PIVOT'!$K$2050:$K$2177, MATCH(DW$1,'STOPE SUMMARY PIVOT'!$A$2050:$A$2177, 0))</f>
        <v>0</v>
      </c>
      <c r="DY56" s="172">
        <f>INDEX('STOPE SUMMARY PIVOT'!$J$2050:$J$2177, MATCH(DY$1,'STOPE SUMMARY PIVOT'!$A$2050:$A$2177, 0))</f>
        <v>0</v>
      </c>
      <c r="DZ56" s="176">
        <f>INDEX('STOPE SUMMARY PIVOT'!$K$2050:$K$2177, MATCH(DY$1,'STOPE SUMMARY PIVOT'!$A$2050:$A$2177, 0))</f>
        <v>0</v>
      </c>
      <c r="EA56" s="172">
        <f>INDEX('STOPE SUMMARY PIVOT'!$J$2050:$J$2177, MATCH(EA$1,'STOPE SUMMARY PIVOT'!$A$2050:$A$2177, 0))</f>
        <v>0</v>
      </c>
      <c r="EB56" s="176">
        <f>INDEX('STOPE SUMMARY PIVOT'!$K$2050:$K$2177, MATCH(EA$1,'STOPE SUMMARY PIVOT'!$A$2050:$A$2177, 0))</f>
        <v>0</v>
      </c>
      <c r="EC56" s="172">
        <f>INDEX('STOPE SUMMARY PIVOT'!$J$2050:$J$2177, MATCH(EC$1,'STOPE SUMMARY PIVOT'!$A$2050:$A$2177, 0))</f>
        <v>0</v>
      </c>
      <c r="ED56" s="176">
        <f>INDEX('STOPE SUMMARY PIVOT'!$K$2050:$K$2177, MATCH(EC$1,'STOPE SUMMARY PIVOT'!$A$2050:$A$2177, 0))</f>
        <v>0</v>
      </c>
      <c r="EE56" s="172">
        <f>INDEX('STOPE SUMMARY PIVOT'!$J$2050:$J$2177, MATCH(EE$1,'STOPE SUMMARY PIVOT'!$A$2050:$A$2177, 0))</f>
        <v>0</v>
      </c>
      <c r="EF56" s="176">
        <f>INDEX('STOPE SUMMARY PIVOT'!$K$2050:$K$2177, MATCH(EE$1,'STOPE SUMMARY PIVOT'!$A$2050:$A$2177, 0))</f>
        <v>0</v>
      </c>
      <c r="EG56" s="172">
        <f>INDEX('STOPE SUMMARY PIVOT'!$J$2050:$J$2177, MATCH(EG$1,'STOPE SUMMARY PIVOT'!$A$2050:$A$2177, 0))</f>
        <v>0</v>
      </c>
      <c r="EH56" s="176">
        <f>INDEX('STOPE SUMMARY PIVOT'!$K$2050:$K$2177, MATCH(EG$1,'STOPE SUMMARY PIVOT'!$A$2050:$A$2177, 0))</f>
        <v>0</v>
      </c>
      <c r="EI56" s="172">
        <f>INDEX('STOPE SUMMARY PIVOT'!$J$2050:$J$2177, MATCH(EI$1,'STOPE SUMMARY PIVOT'!$A$2050:$A$2177, 0))</f>
        <v>0</v>
      </c>
      <c r="EJ56" s="176">
        <f>INDEX('STOPE SUMMARY PIVOT'!$K$2050:$K$2177, MATCH(EI$1,'STOPE SUMMARY PIVOT'!$A$2050:$A$2177, 0))</f>
        <v>0</v>
      </c>
      <c r="EK56" s="172">
        <f>INDEX('STOPE SUMMARY PIVOT'!$J$2050:$J$2177, MATCH(EK$1,'STOPE SUMMARY PIVOT'!$A$2050:$A$2177, 0))</f>
        <v>0</v>
      </c>
      <c r="EL56" s="176">
        <f>INDEX('STOPE SUMMARY PIVOT'!$K$2050:$K$2177, MATCH(EK$1,'STOPE SUMMARY PIVOT'!$A$2050:$A$2177, 0))</f>
        <v>0</v>
      </c>
      <c r="EM56" s="172">
        <f>INDEX('STOPE SUMMARY PIVOT'!$J$2050:$J$2177, MATCH(EM$1,'STOPE SUMMARY PIVOT'!$A$2050:$A$2177, 0))</f>
        <v>0</v>
      </c>
      <c r="EN56" s="176">
        <f>INDEX('STOPE SUMMARY PIVOT'!$K$2050:$K$2177, MATCH(EM$1,'STOPE SUMMARY PIVOT'!$A$2050:$A$2177, 0))</f>
        <v>0</v>
      </c>
      <c r="EO56" s="172">
        <f>INDEX('STOPE SUMMARY PIVOT'!$J$2050:$J$2177, MATCH(EO$1,'STOPE SUMMARY PIVOT'!$A$2050:$A$2177, 0))</f>
        <v>0</v>
      </c>
      <c r="EP56" s="176">
        <f>INDEX('STOPE SUMMARY PIVOT'!$K$2050:$K$2177, MATCH(EO$1,'STOPE SUMMARY PIVOT'!$A$2050:$A$2177, 0))</f>
        <v>0</v>
      </c>
      <c r="EQ56" s="172">
        <f>INDEX('STOPE SUMMARY PIVOT'!$J$2050:$J$2177, MATCH(EQ$1,'STOPE SUMMARY PIVOT'!$A$2050:$A$2177, 0))</f>
        <v>0</v>
      </c>
      <c r="ER56" s="176">
        <f>INDEX('STOPE SUMMARY PIVOT'!$K$2050:$K$2177, MATCH(EQ$1,'STOPE SUMMARY PIVOT'!$A$2050:$A$2177, 0))</f>
        <v>0</v>
      </c>
      <c r="ES56" s="172">
        <f>INDEX('STOPE SUMMARY PIVOT'!$J$2050:$J$2177, MATCH(ES$1,'STOPE SUMMARY PIVOT'!$A$2050:$A$2177, 0))</f>
        <v>0</v>
      </c>
      <c r="ET56" s="176">
        <f>INDEX('STOPE SUMMARY PIVOT'!$K$2050:$K$2177, MATCH(ES$1,'STOPE SUMMARY PIVOT'!$A$2050:$A$2177, 0))</f>
        <v>0</v>
      </c>
      <c r="EU56" s="172">
        <f>INDEX('STOPE SUMMARY PIVOT'!$J$2050:$J$2177, MATCH(EU$1,'STOPE SUMMARY PIVOT'!$A$2050:$A$2177, 0))</f>
        <v>0</v>
      </c>
      <c r="EV56" s="176">
        <f>INDEX('STOPE SUMMARY PIVOT'!$K$2050:$K$2177, MATCH(EU$1,'STOPE SUMMARY PIVOT'!$A$2050:$A$2177, 0))</f>
        <v>0</v>
      </c>
      <c r="EW56" s="172">
        <f>INDEX('STOPE SUMMARY PIVOT'!$J$2050:$J$2177, MATCH(EW$1,'STOPE SUMMARY PIVOT'!$A$2050:$A$2177, 0))</f>
        <v>0</v>
      </c>
      <c r="EX56" s="176">
        <f>INDEX('STOPE SUMMARY PIVOT'!$K$2050:$K$2177, MATCH(EW$1,'STOPE SUMMARY PIVOT'!$A$2050:$A$2177, 0))</f>
        <v>0</v>
      </c>
      <c r="EY56" s="172">
        <f>INDEX('STOPE SUMMARY PIVOT'!$J$2050:$J$2177, MATCH(EY$1,'STOPE SUMMARY PIVOT'!$A$2050:$A$2177, 0))</f>
        <v>0</v>
      </c>
      <c r="EZ56" s="176">
        <f>INDEX('STOPE SUMMARY PIVOT'!$K$2050:$K$2177, MATCH(EY$1,'STOPE SUMMARY PIVOT'!$A$2050:$A$2177, 0))</f>
        <v>0</v>
      </c>
      <c r="FA56" s="172">
        <f>INDEX('STOPE SUMMARY PIVOT'!$J$2050:$J$2177, MATCH(FA$1,'STOPE SUMMARY PIVOT'!$A$2050:$A$2177, 0))</f>
        <v>0</v>
      </c>
      <c r="FB56" s="176">
        <f>INDEX('STOPE SUMMARY PIVOT'!$K$2050:$K$2177, MATCH(FA$1,'STOPE SUMMARY PIVOT'!$A$2050:$A$2177, 0))</f>
        <v>0</v>
      </c>
      <c r="FC56" s="172">
        <f>INDEX('STOPE SUMMARY PIVOT'!$J$2050:$J$2177, MATCH(FC$1,'STOPE SUMMARY PIVOT'!$A$2050:$A$2177, 0))</f>
        <v>0</v>
      </c>
      <c r="FD56" s="176">
        <f>INDEX('STOPE SUMMARY PIVOT'!$K$2050:$K$2177, MATCH(FC$1,'STOPE SUMMARY PIVOT'!$A$2050:$A$2177, 0))</f>
        <v>0</v>
      </c>
      <c r="FE56" s="172">
        <f>INDEX('STOPE SUMMARY PIVOT'!$J$2050:$J$2177, MATCH(FE$1,'STOPE SUMMARY PIVOT'!$A$2050:$A$2177, 0))</f>
        <v>0</v>
      </c>
      <c r="FF56" s="176">
        <f>INDEX('STOPE SUMMARY PIVOT'!$K$2050:$K$2177, MATCH(FE$1,'STOPE SUMMARY PIVOT'!$A$2050:$A$2177, 0))</f>
        <v>0</v>
      </c>
      <c r="FG56" s="172">
        <f>INDEX('STOPE SUMMARY PIVOT'!$J$2050:$J$2177, MATCH(FG$1,'STOPE SUMMARY PIVOT'!$A$2050:$A$2177, 0))</f>
        <v>0</v>
      </c>
      <c r="FH56" s="176">
        <f>INDEX('STOPE SUMMARY PIVOT'!$K$2050:$K$2177, MATCH(FG$1,'STOPE SUMMARY PIVOT'!$A$2050:$A$2177, 0))</f>
        <v>0</v>
      </c>
      <c r="FI56" s="172">
        <f>INDEX('STOPE SUMMARY PIVOT'!$J$2050:$J$2177, MATCH(FI$1,'STOPE SUMMARY PIVOT'!$A$2050:$A$2177, 0))</f>
        <v>0</v>
      </c>
      <c r="FJ56" s="176">
        <f>INDEX('STOPE SUMMARY PIVOT'!$K$2050:$K$2177, MATCH(FI$1,'STOPE SUMMARY PIVOT'!$A$2050:$A$2177, 0))</f>
        <v>0</v>
      </c>
      <c r="FK56" s="172">
        <f>INDEX('STOPE SUMMARY PIVOT'!$J$2050:$J$2177, MATCH(FK$1,'STOPE SUMMARY PIVOT'!$A$2050:$A$2177, 0))</f>
        <v>0</v>
      </c>
      <c r="FL56" s="176">
        <f>INDEX('STOPE SUMMARY PIVOT'!$K$2050:$K$2177, MATCH(FK$1,'STOPE SUMMARY PIVOT'!$A$2050:$A$2177, 0))</f>
        <v>0</v>
      </c>
      <c r="FM56" s="172">
        <f>INDEX('STOPE SUMMARY PIVOT'!$J$2050:$J$2177, MATCH(FM$1,'STOPE SUMMARY PIVOT'!$A$2050:$A$2177, 0))</f>
        <v>0</v>
      </c>
      <c r="FN56" s="176">
        <f>INDEX('STOPE SUMMARY PIVOT'!$K$2050:$K$2177, MATCH(FM$1,'STOPE SUMMARY PIVOT'!$A$2050:$A$2177, 0))</f>
        <v>0</v>
      </c>
      <c r="FO56" s="172">
        <f>INDEX('STOPE SUMMARY PIVOT'!$J$2050:$J$2177, MATCH(FO$1,'STOPE SUMMARY PIVOT'!$A$2050:$A$2177, 0))</f>
        <v>0</v>
      </c>
      <c r="FP56" s="176">
        <f>INDEX('STOPE SUMMARY PIVOT'!$K$2050:$K$2177, MATCH(FO$1,'STOPE SUMMARY PIVOT'!$A$2050:$A$2177, 0))</f>
        <v>0</v>
      </c>
      <c r="FQ56" s="172">
        <f>INDEX('STOPE SUMMARY PIVOT'!$J$2050:$J$2177, MATCH(FQ$1,'STOPE SUMMARY PIVOT'!$A$2050:$A$2177, 0))</f>
        <v>0</v>
      </c>
      <c r="FR56" s="176">
        <f>INDEX('STOPE SUMMARY PIVOT'!$K$2050:$K$2177, MATCH(FQ$1,'STOPE SUMMARY PIVOT'!$A$2050:$A$2177, 0))</f>
        <v>0</v>
      </c>
      <c r="FS56" s="172">
        <f>INDEX('STOPE SUMMARY PIVOT'!$J$2050:$J$2177, MATCH(FS$1,'STOPE SUMMARY PIVOT'!$A$2050:$A$2177, 0))</f>
        <v>0</v>
      </c>
      <c r="FT56" s="176">
        <f>INDEX('STOPE SUMMARY PIVOT'!$K$2050:$K$2177, MATCH(FS$1,'STOPE SUMMARY PIVOT'!$A$2050:$A$2177, 0))</f>
        <v>0</v>
      </c>
      <c r="FU56" s="172">
        <f>INDEX('STOPE SUMMARY PIVOT'!$J$2050:$J$2177, MATCH(FU$1,'STOPE SUMMARY PIVOT'!$A$2050:$A$2177, 0))</f>
        <v>0</v>
      </c>
      <c r="FV56" s="176">
        <f>INDEX('STOPE SUMMARY PIVOT'!$K$2050:$K$2177, MATCH(FU$1,'STOPE SUMMARY PIVOT'!$A$2050:$A$2177, 0))</f>
        <v>0</v>
      </c>
      <c r="FW56" s="172">
        <f>INDEX('STOPE SUMMARY PIVOT'!$J$2050:$J$2177, MATCH(FW$1,'STOPE SUMMARY PIVOT'!$A$2050:$A$2177, 0))</f>
        <v>0</v>
      </c>
      <c r="FX56" s="176">
        <f>INDEX('STOPE SUMMARY PIVOT'!$K$2050:$K$2177, MATCH(FW$1,'STOPE SUMMARY PIVOT'!$A$2050:$A$2177, 0))</f>
        <v>0</v>
      </c>
      <c r="FY56" s="172">
        <f>INDEX('STOPE SUMMARY PIVOT'!$J$2050:$J$2177, MATCH(FY$1,'STOPE SUMMARY PIVOT'!$A$2050:$A$2177, 0))</f>
        <v>0</v>
      </c>
      <c r="FZ56" s="176">
        <f>INDEX('STOPE SUMMARY PIVOT'!$K$2050:$K$2177, MATCH(FY$1,'STOPE SUMMARY PIVOT'!$A$2050:$A$2177, 0))</f>
        <v>0</v>
      </c>
      <c r="GA56" s="172">
        <f>INDEX('STOPE SUMMARY PIVOT'!$J$2050:$J$2177, MATCH(GA$1,'STOPE SUMMARY PIVOT'!$A$2050:$A$2177, 0))</f>
        <v>0</v>
      </c>
      <c r="GB56" s="176">
        <f>INDEX('STOPE SUMMARY PIVOT'!$K$2050:$K$2177, MATCH(GA$1,'STOPE SUMMARY PIVOT'!$A$2050:$A$2177, 0))</f>
        <v>0</v>
      </c>
      <c r="GC56" s="172">
        <f>INDEX('STOPE SUMMARY PIVOT'!$J$2050:$J$2177, MATCH(GC$1,'STOPE SUMMARY PIVOT'!$A$2050:$A$2177, 0))</f>
        <v>0</v>
      </c>
      <c r="GD56" s="176">
        <f>INDEX('STOPE SUMMARY PIVOT'!$K$2050:$K$2177, MATCH(GC$1,'STOPE SUMMARY PIVOT'!$A$2050:$A$2177, 0))</f>
        <v>0</v>
      </c>
      <c r="GE56" s="172">
        <f>INDEX('STOPE SUMMARY PIVOT'!$J$2050:$J$2177, MATCH(GE$1,'STOPE SUMMARY PIVOT'!$A$2050:$A$2177, 0))</f>
        <v>0</v>
      </c>
      <c r="GF56" s="176">
        <f>INDEX('STOPE SUMMARY PIVOT'!$K$2050:$K$2177, MATCH(GE$1,'STOPE SUMMARY PIVOT'!$A$2050:$A$2177, 0))</f>
        <v>0</v>
      </c>
      <c r="GG56" s="172">
        <f>INDEX('STOPE SUMMARY PIVOT'!$J$2050:$J$2177, MATCH(GG$1,'STOPE SUMMARY PIVOT'!$A$2050:$A$2177, 0))</f>
        <v>0</v>
      </c>
      <c r="GH56" s="176">
        <f>INDEX('STOPE SUMMARY PIVOT'!$K$2050:$K$2177, MATCH(GG$1,'STOPE SUMMARY PIVOT'!$A$2050:$A$2177, 0))</f>
        <v>0</v>
      </c>
      <c r="GI56" s="172">
        <f>INDEX('STOPE SUMMARY PIVOT'!$J$2050:$J$2177, MATCH(GI$1,'STOPE SUMMARY PIVOT'!$A$2050:$A$2177, 0))</f>
        <v>0</v>
      </c>
      <c r="GJ56" s="176">
        <f>INDEX('STOPE SUMMARY PIVOT'!$K$2050:$K$2177, MATCH(GI$1,'STOPE SUMMARY PIVOT'!$A$2050:$A$2177, 0))</f>
        <v>0</v>
      </c>
      <c r="GK56" s="172">
        <f>INDEX('STOPE SUMMARY PIVOT'!$J$2050:$J$2177, MATCH(GK$1,'STOPE SUMMARY PIVOT'!$A$2050:$A$2177, 0))</f>
        <v>0</v>
      </c>
      <c r="GL56" s="176">
        <f>INDEX('STOPE SUMMARY PIVOT'!$K$2050:$K$2177, MATCH(GK$1,'STOPE SUMMARY PIVOT'!$A$2050:$A$2177, 0))</f>
        <v>0</v>
      </c>
      <c r="GM56" s="172">
        <f>INDEX('STOPE SUMMARY PIVOT'!$J$2050:$J$2177, MATCH(GM$1,'STOPE SUMMARY PIVOT'!$A$2050:$A$2177, 0))</f>
        <v>0</v>
      </c>
      <c r="GN56" s="176">
        <f>INDEX('STOPE SUMMARY PIVOT'!$K$2050:$K$2177, MATCH(GM$1,'STOPE SUMMARY PIVOT'!$A$2050:$A$2177, 0))</f>
        <v>0</v>
      </c>
      <c r="GO56" s="172">
        <f>INDEX('STOPE SUMMARY PIVOT'!$J$2050:$J$2177, MATCH(GO$1,'STOPE SUMMARY PIVOT'!$A$2050:$A$2177, 0))</f>
        <v>0</v>
      </c>
      <c r="GP56" s="176">
        <f>INDEX('STOPE SUMMARY PIVOT'!$K$2050:$K$2177, MATCH(GO$1,'STOPE SUMMARY PIVOT'!$A$2050:$A$2177, 0))</f>
        <v>0</v>
      </c>
      <c r="GQ56" s="172">
        <f>INDEX('STOPE SUMMARY PIVOT'!$J$2050:$J$2177, MATCH(GQ$1,'STOPE SUMMARY PIVOT'!$A$2050:$A$2177, 0))</f>
        <v>0</v>
      </c>
      <c r="GR56" s="176">
        <f>INDEX('STOPE SUMMARY PIVOT'!$K$2050:$K$2177, MATCH(GQ$1,'STOPE SUMMARY PIVOT'!$A$2050:$A$2177, 0))</f>
        <v>0</v>
      </c>
      <c r="GS56" s="172">
        <f>INDEX('STOPE SUMMARY PIVOT'!$J$2050:$J$2177, MATCH(GS$1,'STOPE SUMMARY PIVOT'!$A$2050:$A$2177, 0))</f>
        <v>0</v>
      </c>
      <c r="GT56" s="176">
        <f>INDEX('STOPE SUMMARY PIVOT'!$K$2050:$K$2177, MATCH(GS$1,'STOPE SUMMARY PIVOT'!$A$2050:$A$2177, 0))</f>
        <v>0</v>
      </c>
      <c r="GU56" s="172">
        <f>INDEX('STOPE SUMMARY PIVOT'!$J$2050:$J$2177, MATCH(GU$1,'STOPE SUMMARY PIVOT'!$A$2050:$A$2177, 0))</f>
        <v>0</v>
      </c>
      <c r="GV56" s="176">
        <f>INDEX('STOPE SUMMARY PIVOT'!$K$2050:$K$2177, MATCH(GU$1,'STOPE SUMMARY PIVOT'!$A$2050:$A$2177, 0))</f>
        <v>0</v>
      </c>
      <c r="GW56" s="172">
        <f>INDEX('STOPE SUMMARY PIVOT'!$J$2050:$J$2177, MATCH(GW$1,'STOPE SUMMARY PIVOT'!$A$2050:$A$2177, 0))</f>
        <v>0</v>
      </c>
      <c r="GX56" s="176">
        <f>INDEX('STOPE SUMMARY PIVOT'!$K$2050:$K$2177, MATCH(GW$1,'STOPE SUMMARY PIVOT'!$A$2050:$A$2177, 0))</f>
        <v>0</v>
      </c>
      <c r="GY56" s="172">
        <f>INDEX('STOPE SUMMARY PIVOT'!$J$2050:$J$2177, MATCH(GY$1,'STOPE SUMMARY PIVOT'!$A$2050:$A$2177, 0))</f>
        <v>0</v>
      </c>
      <c r="GZ56" s="176">
        <f>INDEX('STOPE SUMMARY PIVOT'!$K$2050:$K$2177, MATCH(GY$1,'STOPE SUMMARY PIVOT'!$A$2050:$A$2177, 0))</f>
        <v>0</v>
      </c>
      <c r="HA56" s="172">
        <f>INDEX('STOPE SUMMARY PIVOT'!$J$2050:$J$2177, MATCH(HA$1,'STOPE SUMMARY PIVOT'!$A$2050:$A$2177, 0))</f>
        <v>0</v>
      </c>
      <c r="HB56" s="176">
        <f>INDEX('STOPE SUMMARY PIVOT'!$K$2050:$K$2177, MATCH(HA$1,'STOPE SUMMARY PIVOT'!$A$2050:$A$2177, 0))</f>
        <v>0</v>
      </c>
      <c r="HC56" s="172">
        <f>INDEX('STOPE SUMMARY PIVOT'!$J$2050:$J$2177, MATCH(HC$1,'STOPE SUMMARY PIVOT'!$A$2050:$A$2177, 0))</f>
        <v>0</v>
      </c>
      <c r="HD56" s="176">
        <f>INDEX('STOPE SUMMARY PIVOT'!$K$2050:$K$2177, MATCH(HC$1,'STOPE SUMMARY PIVOT'!$A$2050:$A$2177, 0))</f>
        <v>0</v>
      </c>
      <c r="HE56" s="172">
        <f>INDEX('STOPE SUMMARY PIVOT'!$J$2050:$J$2177, MATCH(HE$1,'STOPE SUMMARY PIVOT'!$A$2050:$A$2177, 0))</f>
        <v>0</v>
      </c>
      <c r="HF56" s="176">
        <f>INDEX('STOPE SUMMARY PIVOT'!$K$2050:$K$2177, MATCH(HE$1,'STOPE SUMMARY PIVOT'!$A$2050:$A$2177, 0))</f>
        <v>0</v>
      </c>
      <c r="HG56" s="172">
        <f>INDEX('STOPE SUMMARY PIVOT'!$J$2050:$J$2177, MATCH(HG$1,'STOPE SUMMARY PIVOT'!$A$2050:$A$2177, 0))</f>
        <v>0</v>
      </c>
      <c r="HH56" s="176">
        <f>INDEX('STOPE SUMMARY PIVOT'!$K$2050:$K$2177, MATCH(HG$1,'STOPE SUMMARY PIVOT'!$A$2050:$A$2177, 0))</f>
        <v>0</v>
      </c>
      <c r="HI56" s="172">
        <f>INDEX('STOPE SUMMARY PIVOT'!$J$2050:$J$2177, MATCH(HI$1,'STOPE SUMMARY PIVOT'!$A$2050:$A$2177, 0))</f>
        <v>0</v>
      </c>
      <c r="HJ56" s="176">
        <f>INDEX('STOPE SUMMARY PIVOT'!$K$2050:$K$2177, MATCH(HI$1,'STOPE SUMMARY PIVOT'!$A$2050:$A$2177, 0))</f>
        <v>0</v>
      </c>
      <c r="HK56" s="172">
        <f>INDEX('STOPE SUMMARY PIVOT'!$J$2050:$J$2177, MATCH(HK$1,'STOPE SUMMARY PIVOT'!$A$2050:$A$2177, 0))</f>
        <v>0</v>
      </c>
      <c r="HL56" s="176">
        <f>INDEX('STOPE SUMMARY PIVOT'!$K$2050:$K$2177, MATCH(HK$1,'STOPE SUMMARY PIVOT'!$A$2050:$A$2177, 0))</f>
        <v>0</v>
      </c>
      <c r="HM56" s="172">
        <f>INDEX('STOPE SUMMARY PIVOT'!$J$2050:$J$2177, MATCH(HM$1,'STOPE SUMMARY PIVOT'!$A$2050:$A$2177, 0))</f>
        <v>0</v>
      </c>
      <c r="HN56" s="176">
        <f>INDEX('STOPE SUMMARY PIVOT'!$K$2050:$K$2177, MATCH(HM$1,'STOPE SUMMARY PIVOT'!$A$2050:$A$2177, 0))</f>
        <v>0</v>
      </c>
      <c r="HO56" s="172">
        <f>INDEX('STOPE SUMMARY PIVOT'!$J$2050:$J$2177, MATCH(HO$1,'STOPE SUMMARY PIVOT'!$A$2050:$A$2177, 0))</f>
        <v>0</v>
      </c>
      <c r="HP56" s="176">
        <f>INDEX('STOPE SUMMARY PIVOT'!$K$2050:$K$2177, MATCH(HO$1,'STOPE SUMMARY PIVOT'!$A$2050:$A$2177, 0))</f>
        <v>0</v>
      </c>
      <c r="HQ56" s="172">
        <f>INDEX('STOPE SUMMARY PIVOT'!$J$2050:$J$2177, MATCH(HQ$1,'STOPE SUMMARY PIVOT'!$A$2050:$A$2177, 0))</f>
        <v>0</v>
      </c>
      <c r="HR56" s="176">
        <f>INDEX('STOPE SUMMARY PIVOT'!$K$2050:$K$2177, MATCH(HQ$1,'STOPE SUMMARY PIVOT'!$A$2050:$A$2177, 0))</f>
        <v>0</v>
      </c>
      <c r="HS56" s="172">
        <f>INDEX('STOPE SUMMARY PIVOT'!$J$2050:$J$2177, MATCH(HS$1,'STOPE SUMMARY PIVOT'!$A$2050:$A$2177, 0))</f>
        <v>0</v>
      </c>
      <c r="HT56" s="176">
        <f>INDEX('STOPE SUMMARY PIVOT'!$K$2050:$K$2177, MATCH(HS$1,'STOPE SUMMARY PIVOT'!$A$2050:$A$2177, 0))</f>
        <v>0</v>
      </c>
      <c r="HU56" s="172">
        <f>INDEX('STOPE SUMMARY PIVOT'!$J$2050:$J$2177, MATCH(HU$1,'STOPE SUMMARY PIVOT'!$A$2050:$A$2177, 0))</f>
        <v>0</v>
      </c>
      <c r="HV56" s="176">
        <f>INDEX('STOPE SUMMARY PIVOT'!$K$2050:$K$2177, MATCH(HU$1,'STOPE SUMMARY PIVOT'!$A$2050:$A$2177, 0))</f>
        <v>0</v>
      </c>
      <c r="HW56" s="172">
        <f>INDEX('STOPE SUMMARY PIVOT'!$J$2050:$J$2177, MATCH(HW$1,'STOPE SUMMARY PIVOT'!$A$2050:$A$2177, 0))</f>
        <v>0</v>
      </c>
      <c r="HX56" s="176">
        <f>INDEX('STOPE SUMMARY PIVOT'!$K$2050:$K$2177, MATCH(HW$1,'STOPE SUMMARY PIVOT'!$A$2050:$A$2177, 0))</f>
        <v>0</v>
      </c>
      <c r="HY56" s="172">
        <f>INDEX('STOPE SUMMARY PIVOT'!$J$2050:$J$2177, MATCH(HY$1,'STOPE SUMMARY PIVOT'!$A$2050:$A$2177, 0))</f>
        <v>0</v>
      </c>
      <c r="HZ56" s="176">
        <f>INDEX('STOPE SUMMARY PIVOT'!$K$2050:$K$2177, MATCH(HY$1,'STOPE SUMMARY PIVOT'!$A$2050:$A$2177, 0))</f>
        <v>0</v>
      </c>
      <c r="IA56" s="172">
        <f>INDEX('STOPE SUMMARY PIVOT'!$J$2050:$J$2177, MATCH(IA$1,'STOPE SUMMARY PIVOT'!$A$2050:$A$2177, 0))</f>
        <v>0</v>
      </c>
      <c r="IB56" s="176">
        <f>INDEX('STOPE SUMMARY PIVOT'!$K$2050:$K$2177, MATCH(IA$1,'STOPE SUMMARY PIVOT'!$A$2050:$A$2177, 0))</f>
        <v>0</v>
      </c>
      <c r="IC56" s="172">
        <f>INDEX('STOPE SUMMARY PIVOT'!$J$2050:$J$2177, MATCH(IC$1,'STOPE SUMMARY PIVOT'!$A$2050:$A$2177, 0))</f>
        <v>0</v>
      </c>
      <c r="ID56" s="176">
        <f>INDEX('STOPE SUMMARY PIVOT'!$K$2050:$K$2177, MATCH(IC$1,'STOPE SUMMARY PIVOT'!$A$2050:$A$2177, 0))</f>
        <v>0</v>
      </c>
      <c r="IE56" s="172">
        <f>INDEX('STOPE SUMMARY PIVOT'!$J$2050:$J$2177, MATCH(IE$1,'STOPE SUMMARY PIVOT'!$A$2050:$A$2177, 0))</f>
        <v>0</v>
      </c>
      <c r="IF56" s="176">
        <f>INDEX('STOPE SUMMARY PIVOT'!$K$2050:$K$2177, MATCH(IE$1,'STOPE SUMMARY PIVOT'!$A$2050:$A$2177, 0))</f>
        <v>0</v>
      </c>
      <c r="IG56" s="172">
        <f>INDEX('STOPE SUMMARY PIVOT'!$J$2050:$J$2177, MATCH(IG$1,'STOPE SUMMARY PIVOT'!$A$2050:$A$2177, 0))</f>
        <v>0</v>
      </c>
      <c r="IH56" s="176">
        <f>INDEX('STOPE SUMMARY PIVOT'!$K$2050:$K$2177, MATCH(IG$1,'STOPE SUMMARY PIVOT'!$A$2050:$A$2177, 0))</f>
        <v>0</v>
      </c>
      <c r="II56" s="172">
        <f>INDEX('STOPE SUMMARY PIVOT'!$J$2050:$J$2177, MATCH(II$1,'STOPE SUMMARY PIVOT'!$A$2050:$A$2177, 0))</f>
        <v>0</v>
      </c>
      <c r="IJ56" s="176">
        <f>INDEX('STOPE SUMMARY PIVOT'!$K$2050:$K$2177, MATCH(II$1,'STOPE SUMMARY PIVOT'!$A$2050:$A$2177, 0))</f>
        <v>0</v>
      </c>
      <c r="IK56" s="172">
        <f>INDEX('STOPE SUMMARY PIVOT'!$J$2050:$J$2177, MATCH(IK$1,'STOPE SUMMARY PIVOT'!$A$2050:$A$2177, 0))</f>
        <v>0</v>
      </c>
      <c r="IL56" s="176">
        <f>INDEX('STOPE SUMMARY PIVOT'!$K$2050:$K$2177, MATCH(IK$1,'STOPE SUMMARY PIVOT'!$A$2050:$A$2177, 0))</f>
        <v>0</v>
      </c>
      <c r="IM56" s="172">
        <f>INDEX('STOPE SUMMARY PIVOT'!$J$2050:$J$2177, MATCH(IM$1,'STOPE SUMMARY PIVOT'!$A$2050:$A$2177, 0))</f>
        <v>0</v>
      </c>
      <c r="IN56" s="176">
        <f>INDEX('STOPE SUMMARY PIVOT'!$K$2050:$K$2177, MATCH(IM$1,'STOPE SUMMARY PIVOT'!$A$2050:$A$2177, 0))</f>
        <v>0</v>
      </c>
      <c r="IO56" s="172">
        <f>INDEX('STOPE SUMMARY PIVOT'!$J$2050:$J$2177, MATCH(IO$1,'STOPE SUMMARY PIVOT'!$A$2050:$A$2177, 0))</f>
        <v>0</v>
      </c>
      <c r="IP56" s="176">
        <f>INDEX('STOPE SUMMARY PIVOT'!$K$2050:$K$2177, MATCH(IO$1,'STOPE SUMMARY PIVOT'!$A$2050:$A$2177, 0))</f>
        <v>0</v>
      </c>
      <c r="IQ56" s="172">
        <f>INDEX('STOPE SUMMARY PIVOT'!$J$2050:$J$2177, MATCH(IQ$1,'STOPE SUMMARY PIVOT'!$A$2050:$A$2177, 0))</f>
        <v>0</v>
      </c>
      <c r="IR56" s="176">
        <f>INDEX('STOPE SUMMARY PIVOT'!$K$2050:$K$2177, MATCH(IQ$1,'STOPE SUMMARY PIVOT'!$A$2050:$A$2177, 0))</f>
        <v>0</v>
      </c>
      <c r="IS56" s="172">
        <f>INDEX('STOPE SUMMARY PIVOT'!$J$2050:$J$2177, MATCH(IS$1,'STOPE SUMMARY PIVOT'!$A$2050:$A$2177, 0))</f>
        <v>0</v>
      </c>
      <c r="IT56" s="176">
        <f>INDEX('STOPE SUMMARY PIVOT'!$K$2050:$K$2177, MATCH(IS$1,'STOPE SUMMARY PIVOT'!$A$2050:$A$2177, 0))</f>
        <v>0</v>
      </c>
      <c r="IU56" s="172">
        <f>INDEX('STOPE SUMMARY PIVOT'!$J$2050:$J$2177, MATCH(IU$1,'STOPE SUMMARY PIVOT'!$A$2050:$A$2177, 0))</f>
        <v>0</v>
      </c>
      <c r="IV56" s="176">
        <f>INDEX('STOPE SUMMARY PIVOT'!$K$2050:$K$2177, MATCH(IU$1,'STOPE SUMMARY PIVOT'!$A$2050:$A$2177, 0))</f>
        <v>0</v>
      </c>
      <c r="IW56" s="172">
        <f>INDEX('STOPE SUMMARY PIVOT'!$J$2050:$J$2177, MATCH(IW$1,'STOPE SUMMARY PIVOT'!$A$2050:$A$2177, 0))</f>
        <v>0</v>
      </c>
      <c r="IX56" s="176">
        <f>INDEX('STOPE SUMMARY PIVOT'!$K$2050:$K$2177, MATCH(IW$1,'STOPE SUMMARY PIVOT'!$A$2050:$A$2177, 0))</f>
        <v>0</v>
      </c>
      <c r="IY56" s="172">
        <f>INDEX('STOPE SUMMARY PIVOT'!$J$2050:$J$2177, MATCH(IY$1,'STOPE SUMMARY PIVOT'!$A$2050:$A$2177, 0))</f>
        <v>0</v>
      </c>
      <c r="IZ56" s="176">
        <f>INDEX('STOPE SUMMARY PIVOT'!$K$2050:$K$2177, MATCH(IY$1,'STOPE SUMMARY PIVOT'!$A$2050:$A$2177, 0))</f>
        <v>0</v>
      </c>
    </row>
    <row r="57" spans="1:260" x14ac:dyDescent="0.25">
      <c r="A57" s="1589">
        <v>45809</v>
      </c>
      <c r="B57" s="162" t="s">
        <v>218</v>
      </c>
      <c r="C57" s="163" cm="1">
        <f t="array" ref="C57">SUM(_xlfn._xlws.FILTER(E57:IZ57, MOD(COLUMN(E57:IZ57)-COLUMN(E57)+1,2)=1))</f>
        <v>20604</v>
      </c>
      <c r="D57" s="164" cm="1">
        <f t="array" ref="D57">SUMPRODUCT(_xlfn._xlws.FILTER(E57:IZ57, MOD(COLUMN(E57:IZ57)-COLUMN(E57)+1,2)=1), _xlfn._xlws.FILTER(E57:IZ57, MOD(COLUMN(E57:IZ57)-COLUMN(E57)+1,2)=0))/C57</f>
        <v>2.4462691710347504</v>
      </c>
      <c r="E57" s="165">
        <f>INDEX('STOPE SUMMARY PIVOT'!$D$2178:$D$2305, MATCH(E$1,'STOPE SUMMARY PIVOT'!$A$2178:$A$2305, 0))</f>
        <v>1703</v>
      </c>
      <c r="F57" s="174">
        <f>INDEX('STOPE SUMMARY PIVOT'!$E$2178:$E$2305, MATCH(E$1,'STOPE SUMMARY PIVOT'!$A$2178:$A$2305, 0))</f>
        <v>0.52</v>
      </c>
      <c r="G57" s="165">
        <f>INDEX('STOPE SUMMARY PIVOT'!$D$2178:$D$2305, MATCH(G$1,'STOPE SUMMARY PIVOT'!$A$2178:$A$2305, 0))</f>
        <v>0</v>
      </c>
      <c r="H57" s="174">
        <f>INDEX('STOPE SUMMARY PIVOT'!$E$2178:$E$2305, MATCH(G$1,'STOPE SUMMARY PIVOT'!$A$2178:$A$2305, 0))</f>
        <v>0</v>
      </c>
      <c r="I57" s="165">
        <f>INDEX('STOPE SUMMARY PIVOT'!$D$2178:$D$2305, MATCH(I$1,'STOPE SUMMARY PIVOT'!$A$2178:$A$2305, 0))</f>
        <v>0</v>
      </c>
      <c r="J57" s="166">
        <f>INDEX('STOPE SUMMARY PIVOT'!$E$2178:$E$2305, MATCH(I$1,'STOPE SUMMARY PIVOT'!$A$2178:$A$2305, 0))</f>
        <v>0</v>
      </c>
      <c r="K57" s="165">
        <f>INDEX('STOPE SUMMARY PIVOT'!$D$2178:$D$2305, MATCH(K$1,'STOPE SUMMARY PIVOT'!$A$2178:$A$2305, 0))</f>
        <v>0</v>
      </c>
      <c r="L57" s="166">
        <f>INDEX('STOPE SUMMARY PIVOT'!$E$2178:$E$2305, MATCH(K$1,'STOPE SUMMARY PIVOT'!$A$2178:$A$2305, 0))</f>
        <v>0</v>
      </c>
      <c r="M57" s="165">
        <f>INDEX('STOPE SUMMARY PIVOT'!$D$2178:$D$2305, MATCH(M$1,'STOPE SUMMARY PIVOT'!$A$2178:$A$2305, 0))</f>
        <v>0</v>
      </c>
      <c r="N57" s="166">
        <f>INDEX('STOPE SUMMARY PIVOT'!$E$2178:$E$2305, MATCH(M$1,'STOPE SUMMARY PIVOT'!$A$2178:$A$2305, 0))</f>
        <v>0</v>
      </c>
      <c r="O57" s="165">
        <f>INDEX('STOPE SUMMARY PIVOT'!$D$2178:$D$2305, MATCH(O$1,'STOPE SUMMARY PIVOT'!$A$2178:$A$2305, 0))</f>
        <v>0</v>
      </c>
      <c r="P57" s="166">
        <f>INDEX('STOPE SUMMARY PIVOT'!$E$2178:$E$2305, MATCH(O$1,'STOPE SUMMARY PIVOT'!$A$2178:$A$2305, 0))</f>
        <v>0</v>
      </c>
      <c r="Q57" s="165">
        <f>INDEX('STOPE SUMMARY PIVOT'!$D$2178:$D$2305, MATCH(Q$1,'STOPE SUMMARY PIVOT'!$A$2178:$A$2305, 0))</f>
        <v>0</v>
      </c>
      <c r="R57" s="166">
        <f>INDEX('STOPE SUMMARY PIVOT'!$E$2178:$E$2305, MATCH(Q$1,'STOPE SUMMARY PIVOT'!$A$2178:$A$2305, 0))</f>
        <v>0</v>
      </c>
      <c r="S57" s="165">
        <f>INDEX('STOPE SUMMARY PIVOT'!$D$2178:$D$2305, MATCH(S$1,'STOPE SUMMARY PIVOT'!$A$2178:$A$2305, 0))</f>
        <v>0</v>
      </c>
      <c r="T57" s="166">
        <f>INDEX('STOPE SUMMARY PIVOT'!$E$2178:$E$2305, MATCH(S$1,'STOPE SUMMARY PIVOT'!$A$2178:$A$2305, 0))</f>
        <v>0</v>
      </c>
      <c r="U57" s="165">
        <f>INDEX('STOPE SUMMARY PIVOT'!$D$2178:$D$2305, MATCH(U$1,'STOPE SUMMARY PIVOT'!$A$2178:$A$2305, 0))</f>
        <v>0</v>
      </c>
      <c r="V57" s="174">
        <f>INDEX('STOPE SUMMARY PIVOT'!$E$2178:$E$2305, MATCH(U$1,'STOPE SUMMARY PIVOT'!$A$2178:$A$2305, 0))</f>
        <v>0</v>
      </c>
      <c r="W57" s="165">
        <f>INDEX('STOPE SUMMARY PIVOT'!$D$2178:$D$2305, MATCH(W$1,'STOPE SUMMARY PIVOT'!$A$2178:$A$2305, 0))</f>
        <v>0</v>
      </c>
      <c r="X57" s="174">
        <f>INDEX('STOPE SUMMARY PIVOT'!$E$2178:$E$2305, MATCH(W$1,'STOPE SUMMARY PIVOT'!$A$2178:$A$2305, 0))</f>
        <v>0</v>
      </c>
      <c r="Y57" s="165">
        <f>INDEX('STOPE SUMMARY PIVOT'!$D$2178:$D$2305, MATCH(Y$1,'STOPE SUMMARY PIVOT'!$A$2178:$A$2305, 0))</f>
        <v>0</v>
      </c>
      <c r="Z57" s="174">
        <f>INDEX('STOPE SUMMARY PIVOT'!$E$2178:$E$2305, MATCH(Y$1,'STOPE SUMMARY PIVOT'!$A$2178:$A$2305, 0))</f>
        <v>0</v>
      </c>
      <c r="AA57" s="165">
        <f>INDEX('STOPE SUMMARY PIVOT'!$D$2178:$D$2305, MATCH(AA$1,'STOPE SUMMARY PIVOT'!$A$2178:$A$2305, 0))</f>
        <v>0</v>
      </c>
      <c r="AB57" s="174">
        <f>INDEX('STOPE SUMMARY PIVOT'!$E$2178:$E$2305, MATCH(AA$1,'STOPE SUMMARY PIVOT'!$A$2178:$A$2305, 0))</f>
        <v>0</v>
      </c>
      <c r="AC57" s="165">
        <f>INDEX('STOPE SUMMARY PIVOT'!$D$2178:$D$2305, MATCH(AC$1,'STOPE SUMMARY PIVOT'!$A$2178:$A$2305, 0))</f>
        <v>1872</v>
      </c>
      <c r="AD57" s="174">
        <f>INDEX('STOPE SUMMARY PIVOT'!$E$2178:$E$2305, MATCH(AC$1,'STOPE SUMMARY PIVOT'!$A$2178:$A$2305, 0))</f>
        <v>1.72</v>
      </c>
      <c r="AE57" s="165">
        <f>INDEX('STOPE SUMMARY PIVOT'!$D$2178:$D$2305, MATCH(AE$1,'STOPE SUMMARY PIVOT'!$A$2178:$A$2305, 0))</f>
        <v>0</v>
      </c>
      <c r="AF57" s="174">
        <f>INDEX('STOPE SUMMARY PIVOT'!$E$2178:$E$2305, MATCH(AE$1,'STOPE SUMMARY PIVOT'!$A$2178:$A$2305, 0))</f>
        <v>0</v>
      </c>
      <c r="AG57" s="165">
        <f>INDEX('STOPE SUMMARY PIVOT'!$D$2178:$D$2305, MATCH(AG$1,'STOPE SUMMARY PIVOT'!$A$2178:$A$2305, 0))</f>
        <v>0</v>
      </c>
      <c r="AH57" s="174">
        <f>INDEX('STOPE SUMMARY PIVOT'!$E$2178:$E$2305, MATCH(AG$1,'STOPE SUMMARY PIVOT'!$A$2178:$A$2305, 0))</f>
        <v>0</v>
      </c>
      <c r="AI57" s="165">
        <f>INDEX('STOPE SUMMARY PIVOT'!$D$2178:$D$2305, MATCH(AI$1,'STOPE SUMMARY PIVOT'!$A$2178:$A$2305, 0))</f>
        <v>0</v>
      </c>
      <c r="AJ57" s="174">
        <f>INDEX('STOPE SUMMARY PIVOT'!$E$2178:$E$2305, MATCH(AI$1,'STOPE SUMMARY PIVOT'!$A$2178:$A$2305, 0))</f>
        <v>0</v>
      </c>
      <c r="AK57" s="165">
        <f>INDEX('STOPE SUMMARY PIVOT'!$D$2178:$D$2305, MATCH(AK$1,'STOPE SUMMARY PIVOT'!$A$2178:$A$2305, 0))</f>
        <v>0</v>
      </c>
      <c r="AL57" s="174">
        <f>INDEX('STOPE SUMMARY PIVOT'!$E$2178:$E$2305, MATCH(AK$1,'STOPE SUMMARY PIVOT'!$A$2178:$A$2305, 0))</f>
        <v>0</v>
      </c>
      <c r="AM57" s="165">
        <f>INDEX('STOPE SUMMARY PIVOT'!$D$2178:$D$2305, MATCH(AM$1,'STOPE SUMMARY PIVOT'!$A$2178:$A$2305, 0))</f>
        <v>0</v>
      </c>
      <c r="AN57" s="174">
        <f>INDEX('STOPE SUMMARY PIVOT'!$E$2178:$E$2305, MATCH(AM$1,'STOPE SUMMARY PIVOT'!$A$2178:$A$2305, 0))</f>
        <v>0</v>
      </c>
      <c r="AO57" s="165">
        <f>INDEX('STOPE SUMMARY PIVOT'!$D$2178:$D$2305, MATCH(AO$1,'STOPE SUMMARY PIVOT'!$A$2178:$A$2305, 0))</f>
        <v>0</v>
      </c>
      <c r="AP57" s="174">
        <f>INDEX('STOPE SUMMARY PIVOT'!$E$2178:$E$2305, MATCH(AO$1,'STOPE SUMMARY PIVOT'!$A$2178:$A$2305, 0))</f>
        <v>0</v>
      </c>
      <c r="AQ57" s="165">
        <f>INDEX('STOPE SUMMARY PIVOT'!$D$2178:$D$2305, MATCH(AQ$1,'STOPE SUMMARY PIVOT'!$A$2178:$A$2305, 0))</f>
        <v>0</v>
      </c>
      <c r="AR57" s="174">
        <f>INDEX('STOPE SUMMARY PIVOT'!$E$2178:$E$2305, MATCH(AQ$1,'STOPE SUMMARY PIVOT'!$A$2178:$A$2305, 0))</f>
        <v>0</v>
      </c>
      <c r="AS57" s="165">
        <f>INDEX('STOPE SUMMARY PIVOT'!$D$2178:$D$2305, MATCH(AS$1,'STOPE SUMMARY PIVOT'!$A$2178:$A$2305, 0))</f>
        <v>0</v>
      </c>
      <c r="AT57" s="174">
        <f>INDEX('STOPE SUMMARY PIVOT'!$E$2178:$E$2305, MATCH(AS$1,'STOPE SUMMARY PIVOT'!$A$2178:$A$2305, 0))</f>
        <v>0</v>
      </c>
      <c r="AU57" s="165">
        <f>INDEX('STOPE SUMMARY PIVOT'!$D$2178:$D$2305, MATCH(AU$1,'STOPE SUMMARY PIVOT'!$A$2178:$A$2305, 0))</f>
        <v>0</v>
      </c>
      <c r="AV57" s="174">
        <f>INDEX('STOPE SUMMARY PIVOT'!$E$2178:$E$2305, MATCH(AU$1,'STOPE SUMMARY PIVOT'!$A$2178:$A$2305, 0))</f>
        <v>0</v>
      </c>
      <c r="AW57" s="165">
        <f>INDEX('STOPE SUMMARY PIVOT'!$D$2178:$D$2305, MATCH(AW$1,'STOPE SUMMARY PIVOT'!$A$2178:$A$2305, 0))</f>
        <v>0</v>
      </c>
      <c r="AX57" s="174">
        <f>INDEX('STOPE SUMMARY PIVOT'!$E$2178:$E$2305, MATCH(AW$1,'STOPE SUMMARY PIVOT'!$A$2178:$A$2305, 0))</f>
        <v>0</v>
      </c>
      <c r="AY57" s="165">
        <f>INDEX('STOPE SUMMARY PIVOT'!$D$2178:$D$2305, MATCH(AY$1,'STOPE SUMMARY PIVOT'!$A$2178:$A$2305, 0))</f>
        <v>0</v>
      </c>
      <c r="AZ57" s="174">
        <f>INDEX('STOPE SUMMARY PIVOT'!$E$2178:$E$2305, MATCH(AY$1,'STOPE SUMMARY PIVOT'!$A$2178:$A$2305, 0))</f>
        <v>0</v>
      </c>
      <c r="BA57" s="165">
        <f>INDEX('STOPE SUMMARY PIVOT'!$D$2178:$D$2305, MATCH(BA$1,'STOPE SUMMARY PIVOT'!$A$2178:$A$2305, 0))</f>
        <v>0</v>
      </c>
      <c r="BB57" s="174">
        <f>INDEX('STOPE SUMMARY PIVOT'!$E$2178:$E$2305, MATCH(BA$1,'STOPE SUMMARY PIVOT'!$A$2178:$A$2305, 0))</f>
        <v>0</v>
      </c>
      <c r="BC57" s="165">
        <f>INDEX('STOPE SUMMARY PIVOT'!$D$2178:$D$2305, MATCH(BC$1,'STOPE SUMMARY PIVOT'!$A$2178:$A$2305, 0))</f>
        <v>0</v>
      </c>
      <c r="BD57" s="174">
        <f>INDEX('STOPE SUMMARY PIVOT'!$E$2178:$E$2305, MATCH(BC$1,'STOPE SUMMARY PIVOT'!$A$2178:$A$2305, 0))</f>
        <v>0</v>
      </c>
      <c r="BE57" s="165">
        <f>INDEX('STOPE SUMMARY PIVOT'!$D$2178:$D$2305, MATCH(BE$1,'STOPE SUMMARY PIVOT'!$A$2178:$A$2305, 0))</f>
        <v>0</v>
      </c>
      <c r="BF57" s="174">
        <f>INDEX('STOPE SUMMARY PIVOT'!$E$2178:$E$2305, MATCH(BE$1,'STOPE SUMMARY PIVOT'!$A$2178:$A$2305, 0))</f>
        <v>0</v>
      </c>
      <c r="BG57" s="165">
        <f>INDEX('STOPE SUMMARY PIVOT'!$D$2178:$D$2305, MATCH(BG$1,'STOPE SUMMARY PIVOT'!$A$2178:$A$2305, 0))</f>
        <v>0</v>
      </c>
      <c r="BH57" s="174">
        <f>INDEX('STOPE SUMMARY PIVOT'!$E$2178:$E$2305, MATCH(BG$1,'STOPE SUMMARY PIVOT'!$A$2178:$A$2305, 0))</f>
        <v>0</v>
      </c>
      <c r="BI57" s="165">
        <f>INDEX('STOPE SUMMARY PIVOT'!$D$2178:$D$2305, MATCH(BI$1,'STOPE SUMMARY PIVOT'!$A$2178:$A$2305, 0))</f>
        <v>0</v>
      </c>
      <c r="BJ57" s="174">
        <f>INDEX('STOPE SUMMARY PIVOT'!$E$2178:$E$2305, MATCH(BI$1,'STOPE SUMMARY PIVOT'!$A$2178:$A$2305, 0))</f>
        <v>0</v>
      </c>
      <c r="BK57" s="165">
        <f>INDEX('STOPE SUMMARY PIVOT'!$D$2178:$D$2305, MATCH(BK$1,'STOPE SUMMARY PIVOT'!$A$2178:$A$2305, 0))</f>
        <v>0</v>
      </c>
      <c r="BL57" s="174">
        <f>INDEX('STOPE SUMMARY PIVOT'!$E$2178:$E$2305, MATCH(BK$1,'STOPE SUMMARY PIVOT'!$A$2178:$A$2305, 0))</f>
        <v>0</v>
      </c>
      <c r="BM57" s="165">
        <f>INDEX('STOPE SUMMARY PIVOT'!$D$2178:$D$2305, MATCH(BM$1,'STOPE SUMMARY PIVOT'!$A$2178:$A$2305, 0))</f>
        <v>0</v>
      </c>
      <c r="BN57" s="174">
        <f>INDEX('STOPE SUMMARY PIVOT'!$E$2178:$E$2305, MATCH(BM$1,'STOPE SUMMARY PIVOT'!$A$2178:$A$2305, 0))</f>
        <v>0</v>
      </c>
      <c r="BO57" s="165">
        <f>INDEX('STOPE SUMMARY PIVOT'!$D$2178:$D$2305, MATCH(BO$1,'STOPE SUMMARY PIVOT'!$A$2178:$A$2305, 0))</f>
        <v>0</v>
      </c>
      <c r="BP57" s="174">
        <f>INDEX('STOPE SUMMARY PIVOT'!$E$2178:$E$2305, MATCH(BO$1,'STOPE SUMMARY PIVOT'!$A$2178:$A$2305, 0))</f>
        <v>0</v>
      </c>
      <c r="BQ57" s="165">
        <f>INDEX('STOPE SUMMARY PIVOT'!$D$2178:$D$2305, MATCH(BQ$1,'STOPE SUMMARY PIVOT'!$A$2178:$A$2305, 0))</f>
        <v>0</v>
      </c>
      <c r="BR57" s="174">
        <f>INDEX('STOPE SUMMARY PIVOT'!$E$2178:$E$2305, MATCH(BQ$1,'STOPE SUMMARY PIVOT'!$A$2178:$A$2305, 0))</f>
        <v>0</v>
      </c>
      <c r="BS57" s="165">
        <f>INDEX('STOPE SUMMARY PIVOT'!$D$2178:$D$2305, MATCH(BS$1,'STOPE SUMMARY PIVOT'!$A$2178:$A$2305, 0))</f>
        <v>0</v>
      </c>
      <c r="BT57" s="174">
        <f>INDEX('STOPE SUMMARY PIVOT'!$E$2178:$E$2305, MATCH(BS$1,'STOPE SUMMARY PIVOT'!$A$2178:$A$2305, 0))</f>
        <v>0</v>
      </c>
      <c r="BU57" s="165">
        <f>INDEX('STOPE SUMMARY PIVOT'!$D$2178:$D$2305, MATCH(BU$1,'STOPE SUMMARY PIVOT'!$A$2178:$A$2305, 0))</f>
        <v>1873</v>
      </c>
      <c r="BV57" s="174">
        <f>INDEX('STOPE SUMMARY PIVOT'!$E$2178:$E$2305, MATCH(BU$1,'STOPE SUMMARY PIVOT'!$A$2178:$A$2305, 0))</f>
        <v>1.4</v>
      </c>
      <c r="BW57" s="165">
        <f>INDEX('STOPE SUMMARY PIVOT'!$D$2178:$D$2305, MATCH(BW$1,'STOPE SUMMARY PIVOT'!$A$2178:$A$2305, 0))</f>
        <v>0</v>
      </c>
      <c r="BX57" s="174">
        <f>INDEX('STOPE SUMMARY PIVOT'!$E$2178:$E$2305, MATCH(BW$1,'STOPE SUMMARY PIVOT'!$A$2178:$A$2305, 0))</f>
        <v>0</v>
      </c>
      <c r="BY57" s="165">
        <f>INDEX('STOPE SUMMARY PIVOT'!$D$2178:$D$2305, MATCH(BY$1,'STOPE SUMMARY PIVOT'!$A$2178:$A$2305, 0))</f>
        <v>0</v>
      </c>
      <c r="BZ57" s="174">
        <f>INDEX('STOPE SUMMARY PIVOT'!$E$2178:$E$2305, MATCH(BY$1,'STOPE SUMMARY PIVOT'!$A$2178:$A$2305, 0))</f>
        <v>0</v>
      </c>
      <c r="CA57" s="165">
        <f>INDEX('STOPE SUMMARY PIVOT'!$D$2178:$D$2305, MATCH(CA$1,'STOPE SUMMARY PIVOT'!$A$2178:$A$2305, 0))</f>
        <v>0</v>
      </c>
      <c r="CB57" s="174">
        <f>INDEX('STOPE SUMMARY PIVOT'!$E$2178:$E$2305, MATCH(CA$1,'STOPE SUMMARY PIVOT'!$A$2178:$A$2305, 0))</f>
        <v>0</v>
      </c>
      <c r="CC57" s="165">
        <f>INDEX('STOPE SUMMARY PIVOT'!$D$2178:$D$2305, MATCH(CC$1,'STOPE SUMMARY PIVOT'!$A$2178:$A$2305, 0))</f>
        <v>0</v>
      </c>
      <c r="CD57" s="174">
        <f>INDEX('STOPE SUMMARY PIVOT'!$E$2178:$E$2305, MATCH(CC$1,'STOPE SUMMARY PIVOT'!$A$2178:$A$2305, 0))</f>
        <v>0</v>
      </c>
      <c r="CE57" s="165">
        <f>INDEX('STOPE SUMMARY PIVOT'!$D$2178:$D$2305, MATCH(CE$1,'STOPE SUMMARY PIVOT'!$A$2178:$A$2305, 0))</f>
        <v>0</v>
      </c>
      <c r="CF57" s="174">
        <f>INDEX('STOPE SUMMARY PIVOT'!$E$2178:$E$2305, MATCH(CE$1,'STOPE SUMMARY PIVOT'!$A$2178:$A$2305, 0))</f>
        <v>0</v>
      </c>
      <c r="CG57" s="165">
        <f>INDEX('STOPE SUMMARY PIVOT'!$D$2178:$D$2305, MATCH(CG$1,'STOPE SUMMARY PIVOT'!$A$2178:$A$2305, 0))</f>
        <v>0</v>
      </c>
      <c r="CH57" s="174">
        <f>INDEX('STOPE SUMMARY PIVOT'!$E$2178:$E$2305, MATCH(CG$1,'STOPE SUMMARY PIVOT'!$A$2178:$A$2305, 0))</f>
        <v>0</v>
      </c>
      <c r="CI57" s="165">
        <f>INDEX('STOPE SUMMARY PIVOT'!$D$2178:$D$2305, MATCH(CI$1,'STOPE SUMMARY PIVOT'!$A$2178:$A$2305, 0))</f>
        <v>0</v>
      </c>
      <c r="CJ57" s="174">
        <f>INDEX('STOPE SUMMARY PIVOT'!$E$2178:$E$2305, MATCH(CI$1,'STOPE SUMMARY PIVOT'!$A$2178:$A$2305, 0))</f>
        <v>0</v>
      </c>
      <c r="CK57" s="165">
        <f>INDEX('STOPE SUMMARY PIVOT'!$D$2178:$D$2305, MATCH(CK$1,'STOPE SUMMARY PIVOT'!$A$2178:$A$2305, 0))</f>
        <v>0</v>
      </c>
      <c r="CL57" s="174">
        <f>INDEX('STOPE SUMMARY PIVOT'!$E$2178:$E$2305, MATCH(CK$1,'STOPE SUMMARY PIVOT'!$A$2178:$A$2305, 0))</f>
        <v>0</v>
      </c>
      <c r="CM57" s="165">
        <f>INDEX('STOPE SUMMARY PIVOT'!$D$2178:$D$2305, MATCH(CM$1,'STOPE SUMMARY PIVOT'!$A$2178:$A$2305, 0))</f>
        <v>0</v>
      </c>
      <c r="CN57" s="174">
        <f>INDEX('STOPE SUMMARY PIVOT'!$E$2178:$E$2305, MATCH(CM$1,'STOPE SUMMARY PIVOT'!$A$2178:$A$2305, 0))</f>
        <v>0</v>
      </c>
      <c r="CO57" s="165">
        <f>INDEX('STOPE SUMMARY PIVOT'!$D$2178:$D$2305, MATCH(CO$1,'STOPE SUMMARY PIVOT'!$A$2178:$A$2305, 0))</f>
        <v>0</v>
      </c>
      <c r="CP57" s="174">
        <f>INDEX('STOPE SUMMARY PIVOT'!$E$2178:$E$2305, MATCH(CO$1,'STOPE SUMMARY PIVOT'!$A$2178:$A$2305, 0))</f>
        <v>0</v>
      </c>
      <c r="CQ57" s="165">
        <f>INDEX('STOPE SUMMARY PIVOT'!$D$2178:$D$2305, MATCH(CQ$1,'STOPE SUMMARY PIVOT'!$A$2178:$A$2305, 0))</f>
        <v>0</v>
      </c>
      <c r="CR57" s="174">
        <f>INDEX('STOPE SUMMARY PIVOT'!$E$2178:$E$2305, MATCH(CQ$1,'STOPE SUMMARY PIVOT'!$A$2178:$A$2305, 0))</f>
        <v>0</v>
      </c>
      <c r="CS57" s="165">
        <f>INDEX('STOPE SUMMARY PIVOT'!$D$2178:$D$2305, MATCH(CS$1,'STOPE SUMMARY PIVOT'!$A$2178:$A$2305, 0))</f>
        <v>0</v>
      </c>
      <c r="CT57" s="174">
        <f>INDEX('STOPE SUMMARY PIVOT'!$E$2178:$E$2305, MATCH(CS$1,'STOPE SUMMARY PIVOT'!$A$2178:$A$2305, 0))</f>
        <v>0</v>
      </c>
      <c r="CU57" s="165">
        <f>INDEX('STOPE SUMMARY PIVOT'!$D$2178:$D$2305, MATCH(CU$1,'STOPE SUMMARY PIVOT'!$A$2178:$A$2305, 0))</f>
        <v>0</v>
      </c>
      <c r="CV57" s="174">
        <f>INDEX('STOPE SUMMARY PIVOT'!$E$2178:$E$2305, MATCH(CU$1,'STOPE SUMMARY PIVOT'!$A$2178:$A$2305, 0))</f>
        <v>0</v>
      </c>
      <c r="CW57" s="165">
        <f>INDEX('STOPE SUMMARY PIVOT'!$D$2178:$D$2305, MATCH(CW$1,'STOPE SUMMARY PIVOT'!$A$2178:$A$2305, 0))</f>
        <v>0</v>
      </c>
      <c r="CX57" s="174">
        <f>INDEX('STOPE SUMMARY PIVOT'!$E$2178:$E$2305, MATCH(CW$1,'STOPE SUMMARY PIVOT'!$A$2178:$A$2305, 0))</f>
        <v>0</v>
      </c>
      <c r="CY57" s="165">
        <f>INDEX('STOPE SUMMARY PIVOT'!$D$2178:$D$2305, MATCH(CY$1,'STOPE SUMMARY PIVOT'!$A$2178:$A$2305, 0))</f>
        <v>0</v>
      </c>
      <c r="CZ57" s="174">
        <f>INDEX('STOPE SUMMARY PIVOT'!$E$2178:$E$2305, MATCH(CY$1,'STOPE SUMMARY PIVOT'!$A$2178:$A$2305, 0))</f>
        <v>0</v>
      </c>
      <c r="DA57" s="165">
        <f>INDEX('STOPE SUMMARY PIVOT'!$D$2178:$D$2305, MATCH(DA$1,'STOPE SUMMARY PIVOT'!$A$2178:$A$2305, 0))</f>
        <v>0</v>
      </c>
      <c r="DB57" s="174">
        <f>INDEX('STOPE SUMMARY PIVOT'!$E$2178:$E$2305, MATCH(DA$1,'STOPE SUMMARY PIVOT'!$A$2178:$A$2305, 0))</f>
        <v>0</v>
      </c>
      <c r="DC57" s="165">
        <f>INDEX('STOPE SUMMARY PIVOT'!$D$2178:$D$2305, MATCH(DC$1,'STOPE SUMMARY PIVOT'!$A$2178:$A$2305, 0))</f>
        <v>0</v>
      </c>
      <c r="DD57" s="174">
        <f>INDEX('STOPE SUMMARY PIVOT'!$E$2178:$E$2305, MATCH(DC$1,'STOPE SUMMARY PIVOT'!$A$2178:$A$2305, 0))</f>
        <v>0</v>
      </c>
      <c r="DE57" s="165">
        <f>INDEX('STOPE SUMMARY PIVOT'!$D$2178:$D$2305, MATCH(DE$1,'STOPE SUMMARY PIVOT'!$A$2178:$A$2305, 0))</f>
        <v>0</v>
      </c>
      <c r="DF57" s="174">
        <f>INDEX('STOPE SUMMARY PIVOT'!$E$2178:$E$2305, MATCH(DE$1,'STOPE SUMMARY PIVOT'!$A$2178:$A$2305, 0))</f>
        <v>0</v>
      </c>
      <c r="DG57" s="165">
        <f>INDEX('STOPE SUMMARY PIVOT'!$D$2178:$D$2305, MATCH(DG$1,'STOPE SUMMARY PIVOT'!$A$2178:$A$2305, 0))</f>
        <v>0</v>
      </c>
      <c r="DH57" s="174">
        <f>INDEX('STOPE SUMMARY PIVOT'!$E$2178:$E$2305, MATCH(DG$1,'STOPE SUMMARY PIVOT'!$A$2178:$A$2305, 0))</f>
        <v>0</v>
      </c>
      <c r="DI57" s="165">
        <f>INDEX('STOPE SUMMARY PIVOT'!$D$2178:$D$2305, MATCH(DI$1,'STOPE SUMMARY PIVOT'!$A$2178:$A$2305, 0))</f>
        <v>0</v>
      </c>
      <c r="DJ57" s="174">
        <f>INDEX('STOPE SUMMARY PIVOT'!$E$2178:$E$2305, MATCH(DI$1,'STOPE SUMMARY PIVOT'!$A$2178:$A$2305, 0))</f>
        <v>0</v>
      </c>
      <c r="DK57" s="165">
        <f>INDEX('STOPE SUMMARY PIVOT'!$D$2178:$D$2305, MATCH(DK$1,'STOPE SUMMARY PIVOT'!$A$2178:$A$2305, 0))</f>
        <v>0</v>
      </c>
      <c r="DL57" s="174">
        <f>INDEX('STOPE SUMMARY PIVOT'!$E$2178:$E$2305, MATCH(DK$1,'STOPE SUMMARY PIVOT'!$A$2178:$A$2305, 0))</f>
        <v>0</v>
      </c>
      <c r="DM57" s="165">
        <f>INDEX('STOPE SUMMARY PIVOT'!$D$2178:$D$2305, MATCH(DM$1,'STOPE SUMMARY PIVOT'!$A$2178:$A$2305, 0))</f>
        <v>0</v>
      </c>
      <c r="DN57" s="174">
        <f>INDEX('STOPE SUMMARY PIVOT'!$E$2178:$E$2305, MATCH(DM$1,'STOPE SUMMARY PIVOT'!$A$2178:$A$2305, 0))</f>
        <v>0</v>
      </c>
      <c r="DO57" s="165">
        <f>INDEX('STOPE SUMMARY PIVOT'!$D$2178:$D$2305, MATCH(DO$1,'STOPE SUMMARY PIVOT'!$A$2178:$A$2305, 0))</f>
        <v>0</v>
      </c>
      <c r="DP57" s="174">
        <f>INDEX('STOPE SUMMARY PIVOT'!$E$2178:$E$2305, MATCH(DO$1,'STOPE SUMMARY PIVOT'!$A$2178:$A$2305, 0))</f>
        <v>0</v>
      </c>
      <c r="DQ57" s="165">
        <f>INDEX('STOPE SUMMARY PIVOT'!$D$2178:$D$2305, MATCH(DQ$1,'STOPE SUMMARY PIVOT'!$A$2178:$A$2305, 0))</f>
        <v>0</v>
      </c>
      <c r="DR57" s="174">
        <f>INDEX('STOPE SUMMARY PIVOT'!$E$2178:$E$2305, MATCH(DQ$1,'STOPE SUMMARY PIVOT'!$A$2178:$A$2305, 0))</f>
        <v>0</v>
      </c>
      <c r="DS57" s="165">
        <f>INDEX('STOPE SUMMARY PIVOT'!$D$2178:$D$2305, MATCH(DS$1,'STOPE SUMMARY PIVOT'!$A$2178:$A$2305, 0))</f>
        <v>0</v>
      </c>
      <c r="DT57" s="174">
        <f>INDEX('STOPE SUMMARY PIVOT'!$E$2178:$E$2305, MATCH(DS$1,'STOPE SUMMARY PIVOT'!$A$2178:$A$2305, 0))</f>
        <v>0</v>
      </c>
      <c r="DU57" s="165">
        <f>INDEX('STOPE SUMMARY PIVOT'!$D$2178:$D$2305, MATCH(DU$1,'STOPE SUMMARY PIVOT'!$A$2178:$A$2305, 0))</f>
        <v>1823</v>
      </c>
      <c r="DV57" s="174">
        <f>INDEX('STOPE SUMMARY PIVOT'!$E$2178:$E$2305, MATCH(DU$1,'STOPE SUMMARY PIVOT'!$A$2178:$A$2305, 0))</f>
        <v>3.97</v>
      </c>
      <c r="DW57" s="165">
        <f>INDEX('STOPE SUMMARY PIVOT'!$D$2178:$D$2305, MATCH(DW$1,'STOPE SUMMARY PIVOT'!$A$2178:$A$2305, 0))</f>
        <v>110</v>
      </c>
      <c r="DX57" s="174">
        <f>INDEX('STOPE SUMMARY PIVOT'!$E$2178:$E$2305, MATCH(DW$1,'STOPE SUMMARY PIVOT'!$A$2178:$A$2305, 0))</f>
        <v>3.33</v>
      </c>
      <c r="DY57" s="165">
        <f>INDEX('STOPE SUMMARY PIVOT'!$D$2178:$D$2305, MATCH(DY$1,'STOPE SUMMARY PIVOT'!$A$2178:$A$2305, 0))</f>
        <v>0</v>
      </c>
      <c r="DZ57" s="174">
        <f>INDEX('STOPE SUMMARY PIVOT'!$E$2178:$E$2305, MATCH(DY$1,'STOPE SUMMARY PIVOT'!$A$2178:$A$2305, 0))</f>
        <v>0</v>
      </c>
      <c r="EA57" s="165">
        <f>INDEX('STOPE SUMMARY PIVOT'!$D$2178:$D$2305, MATCH(EA$1,'STOPE SUMMARY PIVOT'!$A$2178:$A$2305, 0))</f>
        <v>1210</v>
      </c>
      <c r="EB57" s="174">
        <f>INDEX('STOPE SUMMARY PIVOT'!$E$2178:$E$2305, MATCH(EA$1,'STOPE SUMMARY PIVOT'!$A$2178:$A$2305, 0))</f>
        <v>1.89</v>
      </c>
      <c r="EC57" s="165">
        <f>INDEX('STOPE SUMMARY PIVOT'!$D$2178:$D$2305, MATCH(EC$1,'STOPE SUMMARY PIVOT'!$A$2178:$A$2305, 0))</f>
        <v>0</v>
      </c>
      <c r="ED57" s="174">
        <f>INDEX('STOPE SUMMARY PIVOT'!$E$2178:$E$2305, MATCH(EC$1,'STOPE SUMMARY PIVOT'!$A$2178:$A$2305, 0))</f>
        <v>0</v>
      </c>
      <c r="EE57" s="165">
        <f>INDEX('STOPE SUMMARY PIVOT'!$D$2178:$D$2305, MATCH(EE$1,'STOPE SUMMARY PIVOT'!$A$2178:$A$2305, 0))</f>
        <v>0</v>
      </c>
      <c r="EF57" s="174">
        <f>INDEX('STOPE SUMMARY PIVOT'!$E$2178:$E$2305, MATCH(EE$1,'STOPE SUMMARY PIVOT'!$A$2178:$A$2305, 0))</f>
        <v>0</v>
      </c>
      <c r="EG57" s="165">
        <f>INDEX('STOPE SUMMARY PIVOT'!$D$2178:$D$2305, MATCH(EG$1,'STOPE SUMMARY PIVOT'!$A$2178:$A$2305, 0))</f>
        <v>0</v>
      </c>
      <c r="EH57" s="174">
        <f>INDEX('STOPE SUMMARY PIVOT'!$E$2178:$E$2305, MATCH(EG$1,'STOPE SUMMARY PIVOT'!$A$2178:$A$2305, 0))</f>
        <v>0</v>
      </c>
      <c r="EI57" s="165">
        <f>INDEX('STOPE SUMMARY PIVOT'!$D$2178:$D$2305, MATCH(EI$1,'STOPE SUMMARY PIVOT'!$A$2178:$A$2305, 0))</f>
        <v>0</v>
      </c>
      <c r="EJ57" s="174">
        <f>INDEX('STOPE SUMMARY PIVOT'!$E$2178:$E$2305, MATCH(EI$1,'STOPE SUMMARY PIVOT'!$A$2178:$A$2305, 0))</f>
        <v>0</v>
      </c>
      <c r="EK57" s="165">
        <f>INDEX('STOPE SUMMARY PIVOT'!$D$2178:$D$2305, MATCH(EK$1,'STOPE SUMMARY PIVOT'!$A$2178:$A$2305, 0))</f>
        <v>0</v>
      </c>
      <c r="EL57" s="174">
        <f>INDEX('STOPE SUMMARY PIVOT'!$E$2178:$E$2305, MATCH(EK$1,'STOPE SUMMARY PIVOT'!$A$2178:$A$2305, 0))</f>
        <v>0</v>
      </c>
      <c r="EM57" s="165">
        <f>INDEX('STOPE SUMMARY PIVOT'!$D$2178:$D$2305, MATCH(EM$1,'STOPE SUMMARY PIVOT'!$A$2178:$A$2305, 0))</f>
        <v>0</v>
      </c>
      <c r="EN57" s="174">
        <f>INDEX('STOPE SUMMARY PIVOT'!$E$2178:$E$2305, MATCH(EM$1,'STOPE SUMMARY PIVOT'!$A$2178:$A$2305, 0))</f>
        <v>0</v>
      </c>
      <c r="EO57" s="165">
        <f>INDEX('STOPE SUMMARY PIVOT'!$D$2178:$D$2305, MATCH(EO$1,'STOPE SUMMARY PIVOT'!$A$2178:$A$2305, 0))</f>
        <v>0</v>
      </c>
      <c r="EP57" s="174">
        <f>INDEX('STOPE SUMMARY PIVOT'!$E$2178:$E$2305, MATCH(EO$1,'STOPE SUMMARY PIVOT'!$A$2178:$A$2305, 0))</f>
        <v>0</v>
      </c>
      <c r="EQ57" s="165">
        <f>INDEX('STOPE SUMMARY PIVOT'!$D$2178:$D$2305, MATCH(EQ$1,'STOPE SUMMARY PIVOT'!$A$2178:$A$2305, 0))</f>
        <v>0</v>
      </c>
      <c r="ER57" s="174">
        <f>INDEX('STOPE SUMMARY PIVOT'!$E$2178:$E$2305, MATCH(EQ$1,'STOPE SUMMARY PIVOT'!$A$2178:$A$2305, 0))</f>
        <v>0</v>
      </c>
      <c r="ES57" s="165">
        <f>INDEX('STOPE SUMMARY PIVOT'!$D$2178:$D$2305, MATCH(ES$1,'STOPE SUMMARY PIVOT'!$A$2178:$A$2305, 0))</f>
        <v>0</v>
      </c>
      <c r="ET57" s="174">
        <f>INDEX('STOPE SUMMARY PIVOT'!$E$2178:$E$2305, MATCH(ES$1,'STOPE SUMMARY PIVOT'!$A$2178:$A$2305, 0))</f>
        <v>0</v>
      </c>
      <c r="EU57" s="165">
        <f>INDEX('STOPE SUMMARY PIVOT'!$D$2178:$D$2305, MATCH(EU$1,'STOPE SUMMARY PIVOT'!$A$2178:$A$2305, 0))</f>
        <v>0</v>
      </c>
      <c r="EV57" s="174">
        <f>INDEX('STOPE SUMMARY PIVOT'!$E$2178:$E$2305, MATCH(EU$1,'STOPE SUMMARY PIVOT'!$A$2178:$A$2305, 0))</f>
        <v>0</v>
      </c>
      <c r="EW57" s="165">
        <f>INDEX('STOPE SUMMARY PIVOT'!$D$2178:$D$2305, MATCH(EW$1,'STOPE SUMMARY PIVOT'!$A$2178:$A$2305, 0))</f>
        <v>0</v>
      </c>
      <c r="EX57" s="174">
        <f>INDEX('STOPE SUMMARY PIVOT'!$E$2178:$E$2305, MATCH(EW$1,'STOPE SUMMARY PIVOT'!$A$2178:$A$2305, 0))</f>
        <v>0</v>
      </c>
      <c r="EY57" s="165">
        <f>INDEX('STOPE SUMMARY PIVOT'!$D$2178:$D$2305, MATCH(EY$1,'STOPE SUMMARY PIVOT'!$A$2178:$A$2305, 0))</f>
        <v>2809</v>
      </c>
      <c r="EZ57" s="174">
        <f>INDEX('STOPE SUMMARY PIVOT'!$E$2178:$E$2305, MATCH(EY$1,'STOPE SUMMARY PIVOT'!$A$2178:$A$2305, 0))</f>
        <v>2.31</v>
      </c>
      <c r="FA57" s="165">
        <f>INDEX('STOPE SUMMARY PIVOT'!$D$2178:$D$2305, MATCH(FA$1,'STOPE SUMMARY PIVOT'!$A$2178:$A$2305, 0))</f>
        <v>0</v>
      </c>
      <c r="FB57" s="174">
        <f>INDEX('STOPE SUMMARY PIVOT'!$E$2178:$E$2305, MATCH(FA$1,'STOPE SUMMARY PIVOT'!$A$2178:$A$2305, 0))</f>
        <v>0</v>
      </c>
      <c r="FC57" s="165">
        <f>INDEX('STOPE SUMMARY PIVOT'!$D$2178:$D$2305, MATCH(FC$1,'STOPE SUMMARY PIVOT'!$A$2178:$A$2305, 0))</f>
        <v>1873</v>
      </c>
      <c r="FD57" s="174">
        <f>INDEX('STOPE SUMMARY PIVOT'!$E$2178:$E$2305, MATCH(FC$1,'STOPE SUMMARY PIVOT'!$A$2178:$A$2305, 0))</f>
        <v>2.41</v>
      </c>
      <c r="FE57" s="165">
        <f>INDEX('STOPE SUMMARY PIVOT'!$D$2178:$D$2305, MATCH(FE$1,'STOPE SUMMARY PIVOT'!$A$2178:$A$2305, 0))</f>
        <v>0</v>
      </c>
      <c r="FF57" s="174">
        <f>INDEX('STOPE SUMMARY PIVOT'!$E$2178:$E$2305, MATCH(FE$1,'STOPE SUMMARY PIVOT'!$A$2178:$A$2305, 0))</f>
        <v>0</v>
      </c>
      <c r="FG57" s="165">
        <f>INDEX('STOPE SUMMARY PIVOT'!$D$2178:$D$2305, MATCH(FG$1,'STOPE SUMMARY PIVOT'!$A$2178:$A$2305, 0))</f>
        <v>0</v>
      </c>
      <c r="FH57" s="174">
        <f>INDEX('STOPE SUMMARY PIVOT'!$E$2178:$E$2305, MATCH(FG$1,'STOPE SUMMARY PIVOT'!$A$2178:$A$2305, 0))</f>
        <v>0</v>
      </c>
      <c r="FI57" s="165">
        <f>INDEX('STOPE SUMMARY PIVOT'!$D$2178:$D$2305, MATCH(FI$1,'STOPE SUMMARY PIVOT'!$A$2178:$A$2305, 0))</f>
        <v>0</v>
      </c>
      <c r="FJ57" s="174">
        <f>INDEX('STOPE SUMMARY PIVOT'!$E$2178:$E$2305, MATCH(FI$1,'STOPE SUMMARY PIVOT'!$A$2178:$A$2305, 0))</f>
        <v>0</v>
      </c>
      <c r="FK57" s="165">
        <f>INDEX('STOPE SUMMARY PIVOT'!$D$2178:$D$2305, MATCH(FK$1,'STOPE SUMMARY PIVOT'!$A$2178:$A$2305, 0))</f>
        <v>0</v>
      </c>
      <c r="FL57" s="174">
        <f>INDEX('STOPE SUMMARY PIVOT'!$E$2178:$E$2305, MATCH(FK$1,'STOPE SUMMARY PIVOT'!$A$2178:$A$2305, 0))</f>
        <v>0</v>
      </c>
      <c r="FM57" s="165">
        <f>INDEX('STOPE SUMMARY PIVOT'!$D$2178:$D$2305, MATCH(FM$1,'STOPE SUMMARY PIVOT'!$A$2178:$A$2305, 0))</f>
        <v>0</v>
      </c>
      <c r="FN57" s="174">
        <f>INDEX('STOPE SUMMARY PIVOT'!$E$2178:$E$2305, MATCH(FM$1,'STOPE SUMMARY PIVOT'!$A$2178:$A$2305, 0))</f>
        <v>0</v>
      </c>
      <c r="FO57" s="165">
        <f>INDEX('STOPE SUMMARY PIVOT'!$D$2178:$D$2305, MATCH(FO$1,'STOPE SUMMARY PIVOT'!$A$2178:$A$2305, 0))</f>
        <v>0</v>
      </c>
      <c r="FP57" s="174">
        <f>INDEX('STOPE SUMMARY PIVOT'!$E$2178:$E$2305, MATCH(FO$1,'STOPE SUMMARY PIVOT'!$A$2178:$A$2305, 0))</f>
        <v>0</v>
      </c>
      <c r="FQ57" s="165">
        <f>INDEX('STOPE SUMMARY PIVOT'!$D$2178:$D$2305, MATCH(FQ$1,'STOPE SUMMARY PIVOT'!$A$2178:$A$2305, 0))</f>
        <v>0</v>
      </c>
      <c r="FR57" s="174">
        <f>INDEX('STOPE SUMMARY PIVOT'!$E$2178:$E$2305, MATCH(FQ$1,'STOPE SUMMARY PIVOT'!$A$2178:$A$2305, 0))</f>
        <v>0</v>
      </c>
      <c r="FS57" s="165">
        <f>INDEX('STOPE SUMMARY PIVOT'!$D$2178:$D$2305, MATCH(FS$1,'STOPE SUMMARY PIVOT'!$A$2178:$A$2305, 0))</f>
        <v>1873</v>
      </c>
      <c r="FT57" s="174">
        <f>INDEX('STOPE SUMMARY PIVOT'!$E$2178:$E$2305, MATCH(FS$1,'STOPE SUMMARY PIVOT'!$A$2178:$A$2305, 0))</f>
        <v>2.84</v>
      </c>
      <c r="FU57" s="165">
        <f>INDEX('STOPE SUMMARY PIVOT'!$D$2178:$D$2305, MATCH(FU$1,'STOPE SUMMARY PIVOT'!$A$2178:$A$2305, 0))</f>
        <v>1813</v>
      </c>
      <c r="FV57" s="174">
        <f>INDEX('STOPE SUMMARY PIVOT'!$E$2178:$E$2305, MATCH(FU$1,'STOPE SUMMARY PIVOT'!$A$2178:$A$2305, 0))</f>
        <v>3.2</v>
      </c>
      <c r="FW57" s="165">
        <f>INDEX('STOPE SUMMARY PIVOT'!$D$2178:$D$2305, MATCH(FW$1,'STOPE SUMMARY PIVOT'!$A$2178:$A$2305, 0))</f>
        <v>1148</v>
      </c>
      <c r="FX57" s="174">
        <f>INDEX('STOPE SUMMARY PIVOT'!$E$2178:$E$2305, MATCH(FW$1,'STOPE SUMMARY PIVOT'!$A$2178:$A$2305, 0))</f>
        <v>3.97</v>
      </c>
      <c r="FY57" s="165">
        <f>INDEX('STOPE SUMMARY PIVOT'!$D$2178:$D$2305, MATCH(FY$1,'STOPE SUMMARY PIVOT'!$A$2178:$A$2305, 0))</f>
        <v>0</v>
      </c>
      <c r="FZ57" s="174">
        <f>INDEX('STOPE SUMMARY PIVOT'!$E$2178:$E$2305, MATCH(FY$1,'STOPE SUMMARY PIVOT'!$A$2178:$A$2305, 0))</f>
        <v>0</v>
      </c>
      <c r="GA57" s="165">
        <f>INDEX('STOPE SUMMARY PIVOT'!$D$2178:$D$2305, MATCH(GA$1,'STOPE SUMMARY PIVOT'!$A$2178:$A$2305, 0))</f>
        <v>0</v>
      </c>
      <c r="GB57" s="174">
        <f>INDEX('STOPE SUMMARY PIVOT'!$E$2178:$E$2305, MATCH(GA$1,'STOPE SUMMARY PIVOT'!$A$2178:$A$2305, 0))</f>
        <v>0</v>
      </c>
      <c r="GC57" s="165">
        <f>INDEX('STOPE SUMMARY PIVOT'!$D$2178:$D$2305, MATCH(GC$1,'STOPE SUMMARY PIVOT'!$A$2178:$A$2305, 0))</f>
        <v>0</v>
      </c>
      <c r="GD57" s="174">
        <f>INDEX('STOPE SUMMARY PIVOT'!$E$2178:$E$2305, MATCH(GC$1,'STOPE SUMMARY PIVOT'!$A$2178:$A$2305, 0))</f>
        <v>0</v>
      </c>
      <c r="GE57" s="165">
        <f>INDEX('STOPE SUMMARY PIVOT'!$D$2178:$D$2305, MATCH(GE$1,'STOPE SUMMARY PIVOT'!$A$2178:$A$2305, 0))</f>
        <v>0</v>
      </c>
      <c r="GF57" s="174">
        <f>INDEX('STOPE SUMMARY PIVOT'!$E$2178:$E$2305, MATCH(GE$1,'STOPE SUMMARY PIVOT'!$A$2178:$A$2305, 0))</f>
        <v>0</v>
      </c>
      <c r="GG57" s="165">
        <f>INDEX('STOPE SUMMARY PIVOT'!$D$2178:$D$2305, MATCH(GG$1,'STOPE SUMMARY PIVOT'!$A$2178:$A$2305, 0))</f>
        <v>0</v>
      </c>
      <c r="GH57" s="174">
        <f>INDEX('STOPE SUMMARY PIVOT'!$E$2178:$E$2305, MATCH(GG$1,'STOPE SUMMARY PIVOT'!$A$2178:$A$2305, 0))</f>
        <v>0</v>
      </c>
      <c r="GI57" s="165">
        <f>INDEX('STOPE SUMMARY PIVOT'!$D$2178:$D$2305, MATCH(GI$1,'STOPE SUMMARY PIVOT'!$A$2178:$A$2305, 0))</f>
        <v>625</v>
      </c>
      <c r="GJ57" s="174">
        <f>INDEX('STOPE SUMMARY PIVOT'!$E$2178:$E$2305, MATCH(GI$1,'STOPE SUMMARY PIVOT'!$A$2178:$A$2305, 0))</f>
        <v>3.05</v>
      </c>
      <c r="GK57" s="165">
        <f>INDEX('STOPE SUMMARY PIVOT'!$D$2178:$D$2305, MATCH(GK$1,'STOPE SUMMARY PIVOT'!$A$2178:$A$2305, 0))</f>
        <v>0</v>
      </c>
      <c r="GL57" s="174">
        <f>INDEX('STOPE SUMMARY PIVOT'!$E$2178:$E$2305, MATCH(GK$1,'STOPE SUMMARY PIVOT'!$A$2178:$A$2305, 0))</f>
        <v>0</v>
      </c>
      <c r="GM57" s="165">
        <f>INDEX('STOPE SUMMARY PIVOT'!$D$2178:$D$2305, MATCH(GM$1,'STOPE SUMMARY PIVOT'!$A$2178:$A$2305, 0))</f>
        <v>959</v>
      </c>
      <c r="GN57" s="174">
        <f>INDEX('STOPE SUMMARY PIVOT'!$E$2178:$E$2305, MATCH(GM$1,'STOPE SUMMARY PIVOT'!$A$2178:$A$2305, 0))</f>
        <v>1.64</v>
      </c>
      <c r="GO57" s="165">
        <f>INDEX('STOPE SUMMARY PIVOT'!$D$2178:$D$2305, MATCH(GO$1,'STOPE SUMMARY PIVOT'!$A$2178:$A$2305, 0))</f>
        <v>913</v>
      </c>
      <c r="GP57" s="174">
        <f>INDEX('STOPE SUMMARY PIVOT'!$E$2178:$E$2305, MATCH(GO$1,'STOPE SUMMARY PIVOT'!$A$2178:$A$2305, 0))</f>
        <v>3.97</v>
      </c>
      <c r="GQ57" s="165">
        <f>INDEX('STOPE SUMMARY PIVOT'!$D$2178:$D$2305, MATCH(GQ$1,'STOPE SUMMARY PIVOT'!$A$2178:$A$2305, 0))</f>
        <v>0</v>
      </c>
      <c r="GR57" s="174">
        <f>INDEX('STOPE SUMMARY PIVOT'!$E$2178:$E$2305, MATCH(GQ$1,'STOPE SUMMARY PIVOT'!$A$2178:$A$2305, 0))</f>
        <v>0</v>
      </c>
      <c r="GS57" s="165">
        <f>INDEX('STOPE SUMMARY PIVOT'!$D$2178:$D$2305, MATCH(GS$1,'STOPE SUMMARY PIVOT'!$A$2178:$A$2305, 0))</f>
        <v>0</v>
      </c>
      <c r="GT57" s="174">
        <f>INDEX('STOPE SUMMARY PIVOT'!$E$2178:$E$2305, MATCH(GS$1,'STOPE SUMMARY PIVOT'!$A$2178:$A$2305, 0))</f>
        <v>0</v>
      </c>
      <c r="GU57" s="165">
        <f>INDEX('STOPE SUMMARY PIVOT'!$D$2178:$D$2305, MATCH(GU$1,'STOPE SUMMARY PIVOT'!$A$2178:$A$2305, 0))</f>
        <v>0</v>
      </c>
      <c r="GV57" s="174">
        <f>INDEX('STOPE SUMMARY PIVOT'!$E$2178:$E$2305, MATCH(GU$1,'STOPE SUMMARY PIVOT'!$A$2178:$A$2305, 0))</f>
        <v>0</v>
      </c>
      <c r="GW57" s="165">
        <f>INDEX('STOPE SUMMARY PIVOT'!$D$2178:$D$2305, MATCH(GW$1,'STOPE SUMMARY PIVOT'!$A$2178:$A$2305, 0))</f>
        <v>0</v>
      </c>
      <c r="GX57" s="174">
        <f>INDEX('STOPE SUMMARY PIVOT'!$E$2178:$E$2305, MATCH(GW$1,'STOPE SUMMARY PIVOT'!$A$2178:$A$2305, 0))</f>
        <v>0</v>
      </c>
      <c r="GY57" s="165">
        <f>INDEX('STOPE SUMMARY PIVOT'!$D$2178:$D$2305, MATCH(GY$1,'STOPE SUMMARY PIVOT'!$A$2178:$A$2305, 0))</f>
        <v>0</v>
      </c>
      <c r="GZ57" s="174">
        <f>INDEX('STOPE SUMMARY PIVOT'!$E$2178:$E$2305, MATCH(GY$1,'STOPE SUMMARY PIVOT'!$A$2178:$A$2305, 0))</f>
        <v>0</v>
      </c>
      <c r="HA57" s="165">
        <f>INDEX('STOPE SUMMARY PIVOT'!$D$2178:$D$2305, MATCH(HA$1,'STOPE SUMMARY PIVOT'!$A$2178:$A$2305, 0))</f>
        <v>0</v>
      </c>
      <c r="HB57" s="174">
        <f>INDEX('STOPE SUMMARY PIVOT'!$E$2178:$E$2305, MATCH(HA$1,'STOPE SUMMARY PIVOT'!$A$2178:$A$2305, 0))</f>
        <v>0</v>
      </c>
      <c r="HC57" s="165">
        <f>INDEX('STOPE SUMMARY PIVOT'!$D$2178:$D$2305, MATCH(HC$1,'STOPE SUMMARY PIVOT'!$A$2178:$A$2305, 0))</f>
        <v>0</v>
      </c>
      <c r="HD57" s="174">
        <f>INDEX('STOPE SUMMARY PIVOT'!$E$2178:$E$2305, MATCH(HC$1,'STOPE SUMMARY PIVOT'!$A$2178:$A$2305, 0))</f>
        <v>0</v>
      </c>
      <c r="HE57" s="165">
        <f>INDEX('STOPE SUMMARY PIVOT'!$D$2178:$D$2305, MATCH(HE$1,'STOPE SUMMARY PIVOT'!$A$2178:$A$2305, 0))</f>
        <v>0</v>
      </c>
      <c r="HF57" s="174">
        <f>INDEX('STOPE SUMMARY PIVOT'!$E$2178:$E$2305, MATCH(HE$1,'STOPE SUMMARY PIVOT'!$A$2178:$A$2305, 0))</f>
        <v>0</v>
      </c>
      <c r="HG57" s="165">
        <f>INDEX('STOPE SUMMARY PIVOT'!$D$2178:$D$2305, MATCH(HG$1,'STOPE SUMMARY PIVOT'!$A$2178:$A$2305, 0))</f>
        <v>0</v>
      </c>
      <c r="HH57" s="174">
        <f>INDEX('STOPE SUMMARY PIVOT'!$E$2178:$E$2305, MATCH(HG$1,'STOPE SUMMARY PIVOT'!$A$2178:$A$2305, 0))</f>
        <v>0</v>
      </c>
      <c r="HI57" s="165">
        <f>INDEX('STOPE SUMMARY PIVOT'!$D$2178:$D$2305, MATCH(HI$1,'STOPE SUMMARY PIVOT'!$A$2178:$A$2305, 0))</f>
        <v>0</v>
      </c>
      <c r="HJ57" s="174">
        <f>INDEX('STOPE SUMMARY PIVOT'!$E$2178:$E$2305, MATCH(HI$1,'STOPE SUMMARY PIVOT'!$A$2178:$A$2305, 0))</f>
        <v>0</v>
      </c>
      <c r="HK57" s="165">
        <f>INDEX('STOPE SUMMARY PIVOT'!$D$2178:$D$2305, MATCH(HK$1,'STOPE SUMMARY PIVOT'!$A$2178:$A$2305, 0))</f>
        <v>0</v>
      </c>
      <c r="HL57" s="174">
        <f>INDEX('STOPE SUMMARY PIVOT'!$E$2178:$E$2305, MATCH(HK$1,'STOPE SUMMARY PIVOT'!$A$2178:$A$2305, 0))</f>
        <v>0</v>
      </c>
      <c r="HM57" s="165">
        <f>INDEX('STOPE SUMMARY PIVOT'!$D$2178:$D$2305, MATCH(HM$1,'STOPE SUMMARY PIVOT'!$A$2178:$A$2305, 0))</f>
        <v>0</v>
      </c>
      <c r="HN57" s="174">
        <f>INDEX('STOPE SUMMARY PIVOT'!$E$2178:$E$2305, MATCH(HM$1,'STOPE SUMMARY PIVOT'!$A$2178:$A$2305, 0))</f>
        <v>0</v>
      </c>
      <c r="HO57" s="165">
        <f>INDEX('STOPE SUMMARY PIVOT'!$D$2178:$D$2305, MATCH(HO$1,'STOPE SUMMARY PIVOT'!$A$2178:$A$2305, 0))</f>
        <v>0</v>
      </c>
      <c r="HP57" s="174">
        <f>INDEX('STOPE SUMMARY PIVOT'!$E$2178:$E$2305, MATCH(HO$1,'STOPE SUMMARY PIVOT'!$A$2178:$A$2305, 0))</f>
        <v>0</v>
      </c>
      <c r="HQ57" s="165">
        <f>INDEX('STOPE SUMMARY PIVOT'!$D$2178:$D$2305, MATCH(HQ$1,'STOPE SUMMARY PIVOT'!$A$2178:$A$2305, 0))</f>
        <v>0</v>
      </c>
      <c r="HR57" s="174">
        <f>INDEX('STOPE SUMMARY PIVOT'!$E$2178:$E$2305, MATCH(HQ$1,'STOPE SUMMARY PIVOT'!$A$2178:$A$2305, 0))</f>
        <v>0</v>
      </c>
      <c r="HS57" s="165">
        <f>INDEX('STOPE SUMMARY PIVOT'!$D$2178:$D$2305, MATCH(HS$1,'STOPE SUMMARY PIVOT'!$A$2178:$A$2305, 0))</f>
        <v>0</v>
      </c>
      <c r="HT57" s="174">
        <f>INDEX('STOPE SUMMARY PIVOT'!$E$2178:$E$2305, MATCH(HS$1,'STOPE SUMMARY PIVOT'!$A$2178:$A$2305, 0))</f>
        <v>0</v>
      </c>
      <c r="HU57" s="165">
        <f>INDEX('STOPE SUMMARY PIVOT'!$D$2178:$D$2305, MATCH(HU$1,'STOPE SUMMARY PIVOT'!$A$2178:$A$2305, 0))</f>
        <v>0</v>
      </c>
      <c r="HV57" s="174">
        <f>INDEX('STOPE SUMMARY PIVOT'!$E$2178:$E$2305, MATCH(HU$1,'STOPE SUMMARY PIVOT'!$A$2178:$A$2305, 0))</f>
        <v>0</v>
      </c>
      <c r="HW57" s="165">
        <f>INDEX('STOPE SUMMARY PIVOT'!$D$2178:$D$2305, MATCH(HW$1,'STOPE SUMMARY PIVOT'!$A$2178:$A$2305, 0))</f>
        <v>0</v>
      </c>
      <c r="HX57" s="174">
        <f>INDEX('STOPE SUMMARY PIVOT'!$E$2178:$E$2305, MATCH(HW$1,'STOPE SUMMARY PIVOT'!$A$2178:$A$2305, 0))</f>
        <v>0</v>
      </c>
      <c r="HY57" s="165">
        <f>INDEX('STOPE SUMMARY PIVOT'!$D$2178:$D$2305, MATCH(HY$1,'STOPE SUMMARY PIVOT'!$A$2178:$A$2305, 0))</f>
        <v>0</v>
      </c>
      <c r="HZ57" s="174">
        <f>INDEX('STOPE SUMMARY PIVOT'!$E$2178:$E$2305, MATCH(HY$1,'STOPE SUMMARY PIVOT'!$A$2178:$A$2305, 0))</f>
        <v>0</v>
      </c>
      <c r="IA57" s="165">
        <f>INDEX('STOPE SUMMARY PIVOT'!$D$2178:$D$2305, MATCH(IA$1,'STOPE SUMMARY PIVOT'!$A$2178:$A$2305, 0))</f>
        <v>0</v>
      </c>
      <c r="IB57" s="174">
        <f>INDEX('STOPE SUMMARY PIVOT'!$E$2178:$E$2305, MATCH(IA$1,'STOPE SUMMARY PIVOT'!$A$2178:$A$2305, 0))</f>
        <v>0</v>
      </c>
      <c r="IC57" s="165">
        <f>INDEX('STOPE SUMMARY PIVOT'!$D$2178:$D$2305, MATCH(IC$1,'STOPE SUMMARY PIVOT'!$A$2178:$A$2305, 0))</f>
        <v>0</v>
      </c>
      <c r="ID57" s="174">
        <f>INDEX('STOPE SUMMARY PIVOT'!$E$2178:$E$2305, MATCH(IC$1,'STOPE SUMMARY PIVOT'!$A$2178:$A$2305, 0))</f>
        <v>0</v>
      </c>
      <c r="IE57" s="165">
        <f>INDEX('STOPE SUMMARY PIVOT'!$D$2178:$D$2305, MATCH(IE$1,'STOPE SUMMARY PIVOT'!$A$2178:$A$2305, 0))</f>
        <v>0</v>
      </c>
      <c r="IF57" s="174">
        <f>INDEX('STOPE SUMMARY PIVOT'!$E$2178:$E$2305, MATCH(IE$1,'STOPE SUMMARY PIVOT'!$A$2178:$A$2305, 0))</f>
        <v>0</v>
      </c>
      <c r="IG57" s="165">
        <f>INDEX('STOPE SUMMARY PIVOT'!$D$2178:$D$2305, MATCH(IG$1,'STOPE SUMMARY PIVOT'!$A$2178:$A$2305, 0))</f>
        <v>0</v>
      </c>
      <c r="IH57" s="174">
        <f>INDEX('STOPE SUMMARY PIVOT'!$E$2178:$E$2305, MATCH(IG$1,'STOPE SUMMARY PIVOT'!$A$2178:$A$2305, 0))</f>
        <v>0</v>
      </c>
      <c r="II57" s="165">
        <f>INDEX('STOPE SUMMARY PIVOT'!$D$2178:$D$2305, MATCH(II$1,'STOPE SUMMARY PIVOT'!$A$2178:$A$2305, 0))</f>
        <v>0</v>
      </c>
      <c r="IJ57" s="174">
        <f>INDEX('STOPE SUMMARY PIVOT'!$E$2178:$E$2305, MATCH(II$1,'STOPE SUMMARY PIVOT'!$A$2178:$A$2305, 0))</f>
        <v>0</v>
      </c>
      <c r="IK57" s="165">
        <f>INDEX('STOPE SUMMARY PIVOT'!$D$2178:$D$2305, MATCH(IK$1,'STOPE SUMMARY PIVOT'!$A$2178:$A$2305, 0))</f>
        <v>0</v>
      </c>
      <c r="IL57" s="174">
        <f>INDEX('STOPE SUMMARY PIVOT'!$E$2178:$E$2305, MATCH(IK$1,'STOPE SUMMARY PIVOT'!$A$2178:$A$2305, 0))</f>
        <v>0</v>
      </c>
      <c r="IM57" s="165">
        <f>INDEX('STOPE SUMMARY PIVOT'!$D$2178:$D$2305, MATCH(IM$1,'STOPE SUMMARY PIVOT'!$A$2178:$A$2305, 0))</f>
        <v>0</v>
      </c>
      <c r="IN57" s="174">
        <f>INDEX('STOPE SUMMARY PIVOT'!$E$2178:$E$2305, MATCH(IM$1,'STOPE SUMMARY PIVOT'!$A$2178:$A$2305, 0))</f>
        <v>0</v>
      </c>
      <c r="IO57" s="165">
        <f>INDEX('STOPE SUMMARY PIVOT'!$D$2178:$D$2305, MATCH(IO$1,'STOPE SUMMARY PIVOT'!$A$2178:$A$2305, 0))</f>
        <v>0</v>
      </c>
      <c r="IP57" s="174">
        <f>INDEX('STOPE SUMMARY PIVOT'!$E$2178:$E$2305, MATCH(IO$1,'STOPE SUMMARY PIVOT'!$A$2178:$A$2305, 0))</f>
        <v>0</v>
      </c>
      <c r="IQ57" s="165">
        <f>INDEX('STOPE SUMMARY PIVOT'!$D$2178:$D$2305, MATCH(IQ$1,'STOPE SUMMARY PIVOT'!$A$2178:$A$2305, 0))</f>
        <v>0</v>
      </c>
      <c r="IR57" s="174">
        <f>INDEX('STOPE SUMMARY PIVOT'!$E$2178:$E$2305, MATCH(IQ$1,'STOPE SUMMARY PIVOT'!$A$2178:$A$2305, 0))</f>
        <v>0</v>
      </c>
      <c r="IS57" s="165">
        <f>INDEX('STOPE SUMMARY PIVOT'!$D$2178:$D$2305, MATCH(IS$1,'STOPE SUMMARY PIVOT'!$A$2178:$A$2305, 0))</f>
        <v>0</v>
      </c>
      <c r="IT57" s="174">
        <f>INDEX('STOPE SUMMARY PIVOT'!$E$2178:$E$2305, MATCH(IS$1,'STOPE SUMMARY PIVOT'!$A$2178:$A$2305, 0))</f>
        <v>0</v>
      </c>
      <c r="IU57" s="165">
        <f>INDEX('STOPE SUMMARY PIVOT'!$D$2178:$D$2305, MATCH(IU$1,'STOPE SUMMARY PIVOT'!$A$2178:$A$2305, 0))</f>
        <v>0</v>
      </c>
      <c r="IV57" s="174">
        <f>INDEX('STOPE SUMMARY PIVOT'!$E$2178:$E$2305, MATCH(IU$1,'STOPE SUMMARY PIVOT'!$A$2178:$A$2305, 0))</f>
        <v>0</v>
      </c>
      <c r="IW57" s="165">
        <f>INDEX('STOPE SUMMARY PIVOT'!$D$2178:$D$2305, MATCH(IW$1,'STOPE SUMMARY PIVOT'!$A$2178:$A$2305, 0))</f>
        <v>0</v>
      </c>
      <c r="IX57" s="174">
        <f>INDEX('STOPE SUMMARY PIVOT'!$E$2178:$E$2305, MATCH(IW$1,'STOPE SUMMARY PIVOT'!$A$2178:$A$2305, 0))</f>
        <v>0</v>
      </c>
      <c r="IY57" s="165">
        <f>INDEX('STOPE SUMMARY PIVOT'!$D$2178:$D$2305, MATCH(IY$1,'STOPE SUMMARY PIVOT'!$A$2178:$A$2305, 0))</f>
        <v>0</v>
      </c>
      <c r="IZ57" s="174">
        <f>INDEX('STOPE SUMMARY PIVOT'!$E$2178:$E$2305, MATCH(IY$1,'STOPE SUMMARY PIVOT'!$A$2178:$A$2305, 0))</f>
        <v>0</v>
      </c>
    </row>
    <row r="58" spans="1:260" x14ac:dyDescent="0.25">
      <c r="A58" s="1590"/>
      <c r="B58" s="167" t="s">
        <v>219</v>
      </c>
      <c r="C58" s="168" cm="1">
        <f t="array" ref="C58">SUM(_xlfn._xlws.FILTER(E58:IZ58, MOD(COLUMN(E58:IZ58)-COLUMN(E58)+1,2)=1))</f>
        <v>0</v>
      </c>
      <c r="D58" s="26" t="str" cm="1">
        <f t="array" ref="D58">IFERROR(SUMPRODUCT(_xlfn._xlws.FILTER(E58:IZ58, MOD(COLUMN(E58:IZ58)-COLUMN(E58)+1,2)=1), _xlfn._xlws.FILTER(E58:IZ58, MOD(COLUMN(E58:IZ58)-COLUMN(E58)+1,2)=0))/C58,"")</f>
        <v/>
      </c>
      <c r="E58" s="154">
        <f>INDEX('STOPE SUMMARY PIVOT'!$G$2178:$G$2305, MATCH(E$1,'STOPE SUMMARY PIVOT'!$A$2178:$A$2305, 0))</f>
        <v>0</v>
      </c>
      <c r="F58" s="175">
        <f>INDEX('STOPE SUMMARY PIVOT'!$H$2178:$H$2305, MATCH(E$1,'STOPE SUMMARY PIVOT'!$A$2178:$A$2305, 0))</f>
        <v>0</v>
      </c>
      <c r="G58" s="154">
        <f>INDEX('STOPE SUMMARY PIVOT'!$G$2178:$G$2305, MATCH(G$1,'STOPE SUMMARY PIVOT'!$A$2178:$A$2305, 0))</f>
        <v>0</v>
      </c>
      <c r="H58" s="175">
        <f>INDEX('STOPE SUMMARY PIVOT'!$H$2178:$H$2305, MATCH(G$1,'STOPE SUMMARY PIVOT'!$A$2178:$A$2305, 0))</f>
        <v>0</v>
      </c>
      <c r="I58" s="154">
        <f>INDEX('STOPE SUMMARY PIVOT'!$G$2178:$G$2305, MATCH(I$1,'STOPE SUMMARY PIVOT'!$A$2178:$A$2305, 0))</f>
        <v>0</v>
      </c>
      <c r="J58" s="143">
        <f>INDEX('STOPE SUMMARY PIVOT'!$H$2178:$H$2305, MATCH(I$1,'STOPE SUMMARY PIVOT'!$A$2178:$A$2305, 0))</f>
        <v>0</v>
      </c>
      <c r="K58" s="154">
        <f>INDEX('STOPE SUMMARY PIVOT'!$G$2178:$G$2305, MATCH(K$1,'STOPE SUMMARY PIVOT'!$A$2178:$A$2305, 0))</f>
        <v>0</v>
      </c>
      <c r="L58" s="143">
        <f>INDEX('STOPE SUMMARY PIVOT'!$H$2178:$H$2305, MATCH(K$1,'STOPE SUMMARY PIVOT'!$A$2178:$A$2305, 0))</f>
        <v>0</v>
      </c>
      <c r="M58" s="154">
        <f>INDEX('STOPE SUMMARY PIVOT'!$G$2178:$G$2305, MATCH(M$1,'STOPE SUMMARY PIVOT'!$A$2178:$A$2305, 0))</f>
        <v>0</v>
      </c>
      <c r="N58" s="143">
        <f>INDEX('STOPE SUMMARY PIVOT'!$H$2178:$H$2305, MATCH(M$1,'STOPE SUMMARY PIVOT'!$A$2178:$A$2305, 0))</f>
        <v>0</v>
      </c>
      <c r="O58" s="154">
        <f>INDEX('STOPE SUMMARY PIVOT'!$G$2178:$G$2305, MATCH(O$1,'STOPE SUMMARY PIVOT'!$A$2178:$A$2305, 0))</f>
        <v>0</v>
      </c>
      <c r="P58" s="143">
        <f>INDEX('STOPE SUMMARY PIVOT'!$H$2178:$H$2305, MATCH(O$1,'STOPE SUMMARY PIVOT'!$A$2178:$A$2305, 0))</f>
        <v>0</v>
      </c>
      <c r="Q58" s="154">
        <f>INDEX('STOPE SUMMARY PIVOT'!$G$2178:$G$2305, MATCH(Q$1,'STOPE SUMMARY PIVOT'!$A$2178:$A$2305, 0))</f>
        <v>0</v>
      </c>
      <c r="R58" s="143">
        <f>INDEX('STOPE SUMMARY PIVOT'!$H$2178:$H$2305, MATCH(Q$1,'STOPE SUMMARY PIVOT'!$A$2178:$A$2305, 0))</f>
        <v>0</v>
      </c>
      <c r="S58" s="154">
        <f>INDEX('STOPE SUMMARY PIVOT'!$G$2178:$G$2305, MATCH(S$1,'STOPE SUMMARY PIVOT'!$A$2178:$A$2305, 0))</f>
        <v>0</v>
      </c>
      <c r="T58" s="143">
        <f>INDEX('STOPE SUMMARY PIVOT'!$H$2178:$H$2305, MATCH(S$1,'STOPE SUMMARY PIVOT'!$A$2178:$A$2305, 0))</f>
        <v>0</v>
      </c>
      <c r="U58" s="154">
        <f>INDEX('STOPE SUMMARY PIVOT'!$G$2178:$G$2305, MATCH(U$1,'STOPE SUMMARY PIVOT'!$A$2178:$A$2305, 0))</f>
        <v>0</v>
      </c>
      <c r="V58" s="175">
        <f>INDEX('STOPE SUMMARY PIVOT'!$H$2178:$H$2305, MATCH(U$1,'STOPE SUMMARY PIVOT'!$A$2178:$A$2305, 0))</f>
        <v>0</v>
      </c>
      <c r="W58" s="154">
        <f>INDEX('STOPE SUMMARY PIVOT'!$G$2178:$G$2305, MATCH(W$1,'STOPE SUMMARY PIVOT'!$A$2178:$A$2305, 0))</f>
        <v>0</v>
      </c>
      <c r="X58" s="175">
        <f>INDEX('STOPE SUMMARY PIVOT'!$H$2178:$H$2305, MATCH(W$1,'STOPE SUMMARY PIVOT'!$A$2178:$A$2305, 0))</f>
        <v>0</v>
      </c>
      <c r="Y58" s="154">
        <f>INDEX('STOPE SUMMARY PIVOT'!$G$2178:$G$2305, MATCH(Y$1,'STOPE SUMMARY PIVOT'!$A$2178:$A$2305, 0))</f>
        <v>0</v>
      </c>
      <c r="Z58" s="175">
        <f>INDEX('STOPE SUMMARY PIVOT'!$H$2178:$H$2305, MATCH(Y$1,'STOPE SUMMARY PIVOT'!$A$2178:$A$2305, 0))</f>
        <v>0</v>
      </c>
      <c r="AA58" s="154">
        <f>INDEX('STOPE SUMMARY PIVOT'!$G$2178:$G$2305, MATCH(AA$1,'STOPE SUMMARY PIVOT'!$A$2178:$A$2305, 0))</f>
        <v>0</v>
      </c>
      <c r="AB58" s="175">
        <f>INDEX('STOPE SUMMARY PIVOT'!$H$2178:$H$2305, MATCH(AA$1,'STOPE SUMMARY PIVOT'!$A$2178:$A$2305, 0))</f>
        <v>0</v>
      </c>
      <c r="AC58" s="154">
        <f>INDEX('STOPE SUMMARY PIVOT'!$G$2178:$G$2305, MATCH(AC$1,'STOPE SUMMARY PIVOT'!$A$2178:$A$2305, 0))</f>
        <v>0</v>
      </c>
      <c r="AD58" s="175">
        <f>INDEX('STOPE SUMMARY PIVOT'!$H$2178:$H$2305, MATCH(AC$1,'STOPE SUMMARY PIVOT'!$A$2178:$A$2305, 0))</f>
        <v>0</v>
      </c>
      <c r="AE58" s="154">
        <f>INDEX('STOPE SUMMARY PIVOT'!$G$2178:$G$2305, MATCH(AE$1,'STOPE SUMMARY PIVOT'!$A$2178:$A$2305, 0))</f>
        <v>0</v>
      </c>
      <c r="AF58" s="175">
        <f>INDEX('STOPE SUMMARY PIVOT'!$H$2178:$H$2305, MATCH(AE$1,'STOPE SUMMARY PIVOT'!$A$2178:$A$2305, 0))</f>
        <v>0</v>
      </c>
      <c r="AG58" s="154">
        <f>INDEX('STOPE SUMMARY PIVOT'!$G$2178:$G$2305, MATCH(AG$1,'STOPE SUMMARY PIVOT'!$A$2178:$A$2305, 0))</f>
        <v>0</v>
      </c>
      <c r="AH58" s="175">
        <f>INDEX('STOPE SUMMARY PIVOT'!$H$2178:$H$2305, MATCH(AG$1,'STOPE SUMMARY PIVOT'!$A$2178:$A$2305, 0))</f>
        <v>0</v>
      </c>
      <c r="AI58" s="154">
        <f>INDEX('STOPE SUMMARY PIVOT'!$G$2178:$G$2305, MATCH(AI$1,'STOPE SUMMARY PIVOT'!$A$2178:$A$2305, 0))</f>
        <v>0</v>
      </c>
      <c r="AJ58" s="175">
        <f>INDEX('STOPE SUMMARY PIVOT'!$H$2178:$H$2305, MATCH(AI$1,'STOPE SUMMARY PIVOT'!$A$2178:$A$2305, 0))</f>
        <v>0</v>
      </c>
      <c r="AK58" s="154">
        <f>INDEX('STOPE SUMMARY PIVOT'!$G$2178:$G$2305, MATCH(AK$1,'STOPE SUMMARY PIVOT'!$A$2178:$A$2305, 0))</f>
        <v>0</v>
      </c>
      <c r="AL58" s="175">
        <f>INDEX('STOPE SUMMARY PIVOT'!$H$2178:$H$2305, MATCH(AK$1,'STOPE SUMMARY PIVOT'!$A$2178:$A$2305, 0))</f>
        <v>0</v>
      </c>
      <c r="AM58" s="154">
        <f>INDEX('STOPE SUMMARY PIVOT'!$G$2178:$G$2305, MATCH(AM$1,'STOPE SUMMARY PIVOT'!$A$2178:$A$2305, 0))</f>
        <v>0</v>
      </c>
      <c r="AN58" s="175">
        <f>INDEX('STOPE SUMMARY PIVOT'!$H$2178:$H$2305, MATCH(AM$1,'STOPE SUMMARY PIVOT'!$A$2178:$A$2305, 0))</f>
        <v>0</v>
      </c>
      <c r="AO58" s="154">
        <f>INDEX('STOPE SUMMARY PIVOT'!$G$2178:$G$2305, MATCH(AO$1,'STOPE SUMMARY PIVOT'!$A$2178:$A$2305, 0))</f>
        <v>0</v>
      </c>
      <c r="AP58" s="175">
        <f>INDEX('STOPE SUMMARY PIVOT'!$H$2178:$H$2305, MATCH(AO$1,'STOPE SUMMARY PIVOT'!$A$2178:$A$2305, 0))</f>
        <v>0</v>
      </c>
      <c r="AQ58" s="154">
        <f>INDEX('STOPE SUMMARY PIVOT'!$G$2178:$G$2305, MATCH(AQ$1,'STOPE SUMMARY PIVOT'!$A$2178:$A$2305, 0))</f>
        <v>0</v>
      </c>
      <c r="AR58" s="175">
        <f>INDEX('STOPE SUMMARY PIVOT'!$H$2178:$H$2305, MATCH(AQ$1,'STOPE SUMMARY PIVOT'!$A$2178:$A$2305, 0))</f>
        <v>0</v>
      </c>
      <c r="AS58" s="154">
        <f>INDEX('STOPE SUMMARY PIVOT'!$G$2178:$G$2305, MATCH(AS$1,'STOPE SUMMARY PIVOT'!$A$2178:$A$2305, 0))</f>
        <v>0</v>
      </c>
      <c r="AT58" s="175">
        <f>INDEX('STOPE SUMMARY PIVOT'!$H$2178:$H$2305, MATCH(AS$1,'STOPE SUMMARY PIVOT'!$A$2178:$A$2305, 0))</f>
        <v>0</v>
      </c>
      <c r="AU58" s="154">
        <f>INDEX('STOPE SUMMARY PIVOT'!$G$2178:$G$2305, MATCH(AU$1,'STOPE SUMMARY PIVOT'!$A$2178:$A$2305, 0))</f>
        <v>0</v>
      </c>
      <c r="AV58" s="175">
        <f>INDEX('STOPE SUMMARY PIVOT'!$H$2178:$H$2305, MATCH(AU$1,'STOPE SUMMARY PIVOT'!$A$2178:$A$2305, 0))</f>
        <v>0</v>
      </c>
      <c r="AW58" s="154">
        <f>INDEX('STOPE SUMMARY PIVOT'!$G$2178:$G$2305, MATCH(AW$1,'STOPE SUMMARY PIVOT'!$A$2178:$A$2305, 0))</f>
        <v>0</v>
      </c>
      <c r="AX58" s="175">
        <f>INDEX('STOPE SUMMARY PIVOT'!$H$2178:$H$2305, MATCH(AW$1,'STOPE SUMMARY PIVOT'!$A$2178:$A$2305, 0))</f>
        <v>0</v>
      </c>
      <c r="AY58" s="154">
        <f>INDEX('STOPE SUMMARY PIVOT'!$G$2178:$G$2305, MATCH(AY$1,'STOPE SUMMARY PIVOT'!$A$2178:$A$2305, 0))</f>
        <v>0</v>
      </c>
      <c r="AZ58" s="175">
        <f>INDEX('STOPE SUMMARY PIVOT'!$H$2178:$H$2305, MATCH(AY$1,'STOPE SUMMARY PIVOT'!$A$2178:$A$2305, 0))</f>
        <v>0</v>
      </c>
      <c r="BA58" s="154">
        <f>INDEX('STOPE SUMMARY PIVOT'!$G$2178:$G$2305, MATCH(BA$1,'STOPE SUMMARY PIVOT'!$A$2178:$A$2305, 0))</f>
        <v>0</v>
      </c>
      <c r="BB58" s="175">
        <f>INDEX('STOPE SUMMARY PIVOT'!$H$2178:$H$2305, MATCH(BA$1,'STOPE SUMMARY PIVOT'!$A$2178:$A$2305, 0))</f>
        <v>0</v>
      </c>
      <c r="BC58" s="154">
        <f>INDEX('STOPE SUMMARY PIVOT'!$G$2178:$G$2305, MATCH(BC$1,'STOPE SUMMARY PIVOT'!$A$2178:$A$2305, 0))</f>
        <v>0</v>
      </c>
      <c r="BD58" s="175">
        <f>INDEX('STOPE SUMMARY PIVOT'!$H$2178:$H$2305, MATCH(BC$1,'STOPE SUMMARY PIVOT'!$A$2178:$A$2305, 0))</f>
        <v>0</v>
      </c>
      <c r="BE58" s="154">
        <f>INDEX('STOPE SUMMARY PIVOT'!$G$2178:$G$2305, MATCH(BE$1,'STOPE SUMMARY PIVOT'!$A$2178:$A$2305, 0))</f>
        <v>0</v>
      </c>
      <c r="BF58" s="175">
        <f>INDEX('STOPE SUMMARY PIVOT'!$H$2178:$H$2305, MATCH(BE$1,'STOPE SUMMARY PIVOT'!$A$2178:$A$2305, 0))</f>
        <v>0</v>
      </c>
      <c r="BG58" s="154">
        <f>INDEX('STOPE SUMMARY PIVOT'!$G$2178:$G$2305, MATCH(BG$1,'STOPE SUMMARY PIVOT'!$A$2178:$A$2305, 0))</f>
        <v>0</v>
      </c>
      <c r="BH58" s="175">
        <f>INDEX('STOPE SUMMARY PIVOT'!$H$2178:$H$2305, MATCH(BG$1,'STOPE SUMMARY PIVOT'!$A$2178:$A$2305, 0))</f>
        <v>0</v>
      </c>
      <c r="BI58" s="154">
        <f>INDEX('STOPE SUMMARY PIVOT'!$G$2178:$G$2305, MATCH(BI$1,'STOPE SUMMARY PIVOT'!$A$2178:$A$2305, 0))</f>
        <v>0</v>
      </c>
      <c r="BJ58" s="175">
        <f>INDEX('STOPE SUMMARY PIVOT'!$H$2178:$H$2305, MATCH(BI$1,'STOPE SUMMARY PIVOT'!$A$2178:$A$2305, 0))</f>
        <v>0</v>
      </c>
      <c r="BK58" s="154">
        <f>INDEX('STOPE SUMMARY PIVOT'!$G$2178:$G$2305, MATCH(BK$1,'STOPE SUMMARY PIVOT'!$A$2178:$A$2305, 0))</f>
        <v>0</v>
      </c>
      <c r="BL58" s="175">
        <f>INDEX('STOPE SUMMARY PIVOT'!$H$2178:$H$2305, MATCH(BK$1,'STOPE SUMMARY PIVOT'!$A$2178:$A$2305, 0))</f>
        <v>0</v>
      </c>
      <c r="BM58" s="154">
        <f>INDEX('STOPE SUMMARY PIVOT'!$G$2178:$G$2305, MATCH(BM$1,'STOPE SUMMARY PIVOT'!$A$2178:$A$2305, 0))</f>
        <v>0</v>
      </c>
      <c r="BN58" s="175">
        <f>INDEX('STOPE SUMMARY PIVOT'!$H$2178:$H$2305, MATCH(BM$1,'STOPE SUMMARY PIVOT'!$A$2178:$A$2305, 0))</f>
        <v>0</v>
      </c>
      <c r="BO58" s="154">
        <f>INDEX('STOPE SUMMARY PIVOT'!$G$2178:$G$2305, MATCH(BO$1,'STOPE SUMMARY PIVOT'!$A$2178:$A$2305, 0))</f>
        <v>0</v>
      </c>
      <c r="BP58" s="175">
        <f>INDEX('STOPE SUMMARY PIVOT'!$H$2178:$H$2305, MATCH(BO$1,'STOPE SUMMARY PIVOT'!$A$2178:$A$2305, 0))</f>
        <v>0</v>
      </c>
      <c r="BQ58" s="154">
        <f>INDEX('STOPE SUMMARY PIVOT'!$G$2178:$G$2305, MATCH(BQ$1,'STOPE SUMMARY PIVOT'!$A$2178:$A$2305, 0))</f>
        <v>0</v>
      </c>
      <c r="BR58" s="175">
        <f>INDEX('STOPE SUMMARY PIVOT'!$H$2178:$H$2305, MATCH(BQ$1,'STOPE SUMMARY PIVOT'!$A$2178:$A$2305, 0))</f>
        <v>0</v>
      </c>
      <c r="BS58" s="154">
        <f>INDEX('STOPE SUMMARY PIVOT'!$G$2178:$G$2305, MATCH(BS$1,'STOPE SUMMARY PIVOT'!$A$2178:$A$2305, 0))</f>
        <v>0</v>
      </c>
      <c r="BT58" s="175">
        <f>INDEX('STOPE SUMMARY PIVOT'!$H$2178:$H$2305, MATCH(BS$1,'STOPE SUMMARY PIVOT'!$A$2178:$A$2305, 0))</f>
        <v>0</v>
      </c>
      <c r="BU58" s="154">
        <f>INDEX('STOPE SUMMARY PIVOT'!$G$2178:$G$2305, MATCH(BU$1,'STOPE SUMMARY PIVOT'!$A$2178:$A$2305, 0))</f>
        <v>0</v>
      </c>
      <c r="BV58" s="175">
        <f>INDEX('STOPE SUMMARY PIVOT'!$H$2178:$H$2305, MATCH(BU$1,'STOPE SUMMARY PIVOT'!$A$2178:$A$2305, 0))</f>
        <v>0</v>
      </c>
      <c r="BW58" s="154">
        <f>INDEX('STOPE SUMMARY PIVOT'!$G$2178:$G$2305, MATCH(BW$1,'STOPE SUMMARY PIVOT'!$A$2178:$A$2305, 0))</f>
        <v>0</v>
      </c>
      <c r="BX58" s="175">
        <f>INDEX('STOPE SUMMARY PIVOT'!$H$2178:$H$2305, MATCH(BW$1,'STOPE SUMMARY PIVOT'!$A$2178:$A$2305, 0))</f>
        <v>0</v>
      </c>
      <c r="BY58" s="154">
        <f>INDEX('STOPE SUMMARY PIVOT'!$G$2178:$G$2305, MATCH(BY$1,'STOPE SUMMARY PIVOT'!$A$2178:$A$2305, 0))</f>
        <v>0</v>
      </c>
      <c r="BZ58" s="175">
        <f>INDEX('STOPE SUMMARY PIVOT'!$H$2178:$H$2305, MATCH(BY$1,'STOPE SUMMARY PIVOT'!$A$2178:$A$2305, 0))</f>
        <v>0</v>
      </c>
      <c r="CA58" s="154">
        <f>INDEX('STOPE SUMMARY PIVOT'!$G$2178:$G$2305, MATCH(CA$1,'STOPE SUMMARY PIVOT'!$A$2178:$A$2305, 0))</f>
        <v>0</v>
      </c>
      <c r="CB58" s="175">
        <f>INDEX('STOPE SUMMARY PIVOT'!$H$2178:$H$2305, MATCH(CA$1,'STOPE SUMMARY PIVOT'!$A$2178:$A$2305, 0))</f>
        <v>0</v>
      </c>
      <c r="CC58" s="154">
        <f>INDEX('STOPE SUMMARY PIVOT'!$G$2178:$G$2305, MATCH(CC$1,'STOPE SUMMARY PIVOT'!$A$2178:$A$2305, 0))</f>
        <v>0</v>
      </c>
      <c r="CD58" s="175">
        <f>INDEX('STOPE SUMMARY PIVOT'!$H$2178:$H$2305, MATCH(CC$1,'STOPE SUMMARY PIVOT'!$A$2178:$A$2305, 0))</f>
        <v>0</v>
      </c>
      <c r="CE58" s="154">
        <f>INDEX('STOPE SUMMARY PIVOT'!$G$2178:$G$2305, MATCH(CE$1,'STOPE SUMMARY PIVOT'!$A$2178:$A$2305, 0))</f>
        <v>0</v>
      </c>
      <c r="CF58" s="175">
        <f>INDEX('STOPE SUMMARY PIVOT'!$H$2178:$H$2305, MATCH(CE$1,'STOPE SUMMARY PIVOT'!$A$2178:$A$2305, 0))</f>
        <v>0</v>
      </c>
      <c r="CG58" s="154">
        <f>INDEX('STOPE SUMMARY PIVOT'!$G$2178:$G$2305, MATCH(CG$1,'STOPE SUMMARY PIVOT'!$A$2178:$A$2305, 0))</f>
        <v>0</v>
      </c>
      <c r="CH58" s="175">
        <f>INDEX('STOPE SUMMARY PIVOT'!$H$2178:$H$2305, MATCH(CG$1,'STOPE SUMMARY PIVOT'!$A$2178:$A$2305, 0))</f>
        <v>0</v>
      </c>
      <c r="CI58" s="154">
        <f>INDEX('STOPE SUMMARY PIVOT'!$G$2178:$G$2305, MATCH(CI$1,'STOPE SUMMARY PIVOT'!$A$2178:$A$2305, 0))</f>
        <v>0</v>
      </c>
      <c r="CJ58" s="175">
        <f>INDEX('STOPE SUMMARY PIVOT'!$H$2178:$H$2305, MATCH(CI$1,'STOPE SUMMARY PIVOT'!$A$2178:$A$2305, 0))</f>
        <v>0</v>
      </c>
      <c r="CK58" s="154">
        <f>INDEX('STOPE SUMMARY PIVOT'!$G$2178:$G$2305, MATCH(CK$1,'STOPE SUMMARY PIVOT'!$A$2178:$A$2305, 0))</f>
        <v>0</v>
      </c>
      <c r="CL58" s="175">
        <f>INDEX('STOPE SUMMARY PIVOT'!$H$2178:$H$2305, MATCH(CK$1,'STOPE SUMMARY PIVOT'!$A$2178:$A$2305, 0))</f>
        <v>0</v>
      </c>
      <c r="CM58" s="154">
        <f>INDEX('STOPE SUMMARY PIVOT'!$G$2178:$G$2305, MATCH(CM$1,'STOPE SUMMARY PIVOT'!$A$2178:$A$2305, 0))</f>
        <v>0</v>
      </c>
      <c r="CN58" s="175">
        <f>INDEX('STOPE SUMMARY PIVOT'!$H$2178:$H$2305, MATCH(CM$1,'STOPE SUMMARY PIVOT'!$A$2178:$A$2305, 0))</f>
        <v>0</v>
      </c>
      <c r="CO58" s="154">
        <f>INDEX('STOPE SUMMARY PIVOT'!$G$2178:$G$2305, MATCH(CO$1,'STOPE SUMMARY PIVOT'!$A$2178:$A$2305, 0))</f>
        <v>0</v>
      </c>
      <c r="CP58" s="175">
        <f>INDEX('STOPE SUMMARY PIVOT'!$H$2178:$H$2305, MATCH(CO$1,'STOPE SUMMARY PIVOT'!$A$2178:$A$2305, 0))</f>
        <v>0</v>
      </c>
      <c r="CQ58" s="154">
        <f>INDEX('STOPE SUMMARY PIVOT'!$G$2178:$G$2305, MATCH(CQ$1,'STOPE SUMMARY PIVOT'!$A$2178:$A$2305, 0))</f>
        <v>0</v>
      </c>
      <c r="CR58" s="175">
        <f>INDEX('STOPE SUMMARY PIVOT'!$H$2178:$H$2305, MATCH(CQ$1,'STOPE SUMMARY PIVOT'!$A$2178:$A$2305, 0))</f>
        <v>0</v>
      </c>
      <c r="CS58" s="154">
        <f>INDEX('STOPE SUMMARY PIVOT'!$G$2178:$G$2305, MATCH(CS$1,'STOPE SUMMARY PIVOT'!$A$2178:$A$2305, 0))</f>
        <v>0</v>
      </c>
      <c r="CT58" s="175">
        <f>INDEX('STOPE SUMMARY PIVOT'!$H$2178:$H$2305, MATCH(CS$1,'STOPE SUMMARY PIVOT'!$A$2178:$A$2305, 0))</f>
        <v>0</v>
      </c>
      <c r="CU58" s="154">
        <f>INDEX('STOPE SUMMARY PIVOT'!$G$2178:$G$2305, MATCH(CU$1,'STOPE SUMMARY PIVOT'!$A$2178:$A$2305, 0))</f>
        <v>0</v>
      </c>
      <c r="CV58" s="175">
        <f>INDEX('STOPE SUMMARY PIVOT'!$H$2178:$H$2305, MATCH(CU$1,'STOPE SUMMARY PIVOT'!$A$2178:$A$2305, 0))</f>
        <v>0</v>
      </c>
      <c r="CW58" s="154">
        <f>INDEX('STOPE SUMMARY PIVOT'!$G$2178:$G$2305, MATCH(CW$1,'STOPE SUMMARY PIVOT'!$A$2178:$A$2305, 0))</f>
        <v>0</v>
      </c>
      <c r="CX58" s="175">
        <f>INDEX('STOPE SUMMARY PIVOT'!$H$2178:$H$2305, MATCH(CW$1,'STOPE SUMMARY PIVOT'!$A$2178:$A$2305, 0))</f>
        <v>0</v>
      </c>
      <c r="CY58" s="154">
        <f>INDEX('STOPE SUMMARY PIVOT'!$G$2178:$G$2305, MATCH(CY$1,'STOPE SUMMARY PIVOT'!$A$2178:$A$2305, 0))</f>
        <v>0</v>
      </c>
      <c r="CZ58" s="175">
        <f>INDEX('STOPE SUMMARY PIVOT'!$H$2178:$H$2305, MATCH(CY$1,'STOPE SUMMARY PIVOT'!$A$2178:$A$2305, 0))</f>
        <v>0</v>
      </c>
      <c r="DA58" s="154">
        <f>INDEX('STOPE SUMMARY PIVOT'!$G$2178:$G$2305, MATCH(DA$1,'STOPE SUMMARY PIVOT'!$A$2178:$A$2305, 0))</f>
        <v>0</v>
      </c>
      <c r="DB58" s="175">
        <f>INDEX('STOPE SUMMARY PIVOT'!$H$2178:$H$2305, MATCH(DA$1,'STOPE SUMMARY PIVOT'!$A$2178:$A$2305, 0))</f>
        <v>0</v>
      </c>
      <c r="DC58" s="154">
        <f>INDEX('STOPE SUMMARY PIVOT'!$G$2178:$G$2305, MATCH(DC$1,'STOPE SUMMARY PIVOT'!$A$2178:$A$2305, 0))</f>
        <v>0</v>
      </c>
      <c r="DD58" s="175">
        <f>INDEX('STOPE SUMMARY PIVOT'!$H$2178:$H$2305, MATCH(DC$1,'STOPE SUMMARY PIVOT'!$A$2178:$A$2305, 0))</f>
        <v>0</v>
      </c>
      <c r="DE58" s="154">
        <f>INDEX('STOPE SUMMARY PIVOT'!$G$2178:$G$2305, MATCH(DE$1,'STOPE SUMMARY PIVOT'!$A$2178:$A$2305, 0))</f>
        <v>0</v>
      </c>
      <c r="DF58" s="175">
        <f>INDEX('STOPE SUMMARY PIVOT'!$H$2178:$H$2305, MATCH(DE$1,'STOPE SUMMARY PIVOT'!$A$2178:$A$2305, 0))</f>
        <v>0</v>
      </c>
      <c r="DG58" s="154">
        <f>INDEX('STOPE SUMMARY PIVOT'!$G$2178:$G$2305, MATCH(DG$1,'STOPE SUMMARY PIVOT'!$A$2178:$A$2305, 0))</f>
        <v>0</v>
      </c>
      <c r="DH58" s="175">
        <f>INDEX('STOPE SUMMARY PIVOT'!$H$2178:$H$2305, MATCH(DG$1,'STOPE SUMMARY PIVOT'!$A$2178:$A$2305, 0))</f>
        <v>0</v>
      </c>
      <c r="DI58" s="154">
        <f>INDEX('STOPE SUMMARY PIVOT'!$G$2178:$G$2305, MATCH(DI$1,'STOPE SUMMARY PIVOT'!$A$2178:$A$2305, 0))</f>
        <v>0</v>
      </c>
      <c r="DJ58" s="175">
        <f>INDEX('STOPE SUMMARY PIVOT'!$H$2178:$H$2305, MATCH(DI$1,'STOPE SUMMARY PIVOT'!$A$2178:$A$2305, 0))</f>
        <v>0</v>
      </c>
      <c r="DK58" s="154">
        <f>INDEX('STOPE SUMMARY PIVOT'!$G$2178:$G$2305, MATCH(DK$1,'STOPE SUMMARY PIVOT'!$A$2178:$A$2305, 0))</f>
        <v>0</v>
      </c>
      <c r="DL58" s="175">
        <f>INDEX('STOPE SUMMARY PIVOT'!$H$2178:$H$2305, MATCH(DK$1,'STOPE SUMMARY PIVOT'!$A$2178:$A$2305, 0))</f>
        <v>0</v>
      </c>
      <c r="DM58" s="154">
        <f>INDEX('STOPE SUMMARY PIVOT'!$G$2178:$G$2305, MATCH(DM$1,'STOPE SUMMARY PIVOT'!$A$2178:$A$2305, 0))</f>
        <v>0</v>
      </c>
      <c r="DN58" s="175">
        <f>INDEX('STOPE SUMMARY PIVOT'!$H$2178:$H$2305, MATCH(DM$1,'STOPE SUMMARY PIVOT'!$A$2178:$A$2305, 0))</f>
        <v>0</v>
      </c>
      <c r="DO58" s="154">
        <f>INDEX('STOPE SUMMARY PIVOT'!$G$2178:$G$2305, MATCH(DO$1,'STOPE SUMMARY PIVOT'!$A$2178:$A$2305, 0))</f>
        <v>0</v>
      </c>
      <c r="DP58" s="175">
        <f>INDEX('STOPE SUMMARY PIVOT'!$H$2178:$H$2305, MATCH(DO$1,'STOPE SUMMARY PIVOT'!$A$2178:$A$2305, 0))</f>
        <v>0</v>
      </c>
      <c r="DQ58" s="154">
        <f>INDEX('STOPE SUMMARY PIVOT'!$G$2178:$G$2305, MATCH(DQ$1,'STOPE SUMMARY PIVOT'!$A$2178:$A$2305, 0))</f>
        <v>0</v>
      </c>
      <c r="DR58" s="175">
        <f>INDEX('STOPE SUMMARY PIVOT'!$H$2178:$H$2305, MATCH(DQ$1,'STOPE SUMMARY PIVOT'!$A$2178:$A$2305, 0))</f>
        <v>0</v>
      </c>
      <c r="DS58" s="154">
        <f>INDEX('STOPE SUMMARY PIVOT'!$G$2178:$G$2305, MATCH(DS$1,'STOPE SUMMARY PIVOT'!$A$2178:$A$2305, 0))</f>
        <v>0</v>
      </c>
      <c r="DT58" s="175">
        <f>INDEX('STOPE SUMMARY PIVOT'!$H$2178:$H$2305, MATCH(DS$1,'STOPE SUMMARY PIVOT'!$A$2178:$A$2305, 0))</f>
        <v>0</v>
      </c>
      <c r="DU58" s="154">
        <f>INDEX('STOPE SUMMARY PIVOT'!$G$2178:$G$2305, MATCH(DU$1,'STOPE SUMMARY PIVOT'!$A$2178:$A$2305, 0))</f>
        <v>0</v>
      </c>
      <c r="DV58" s="175">
        <f>INDEX('STOPE SUMMARY PIVOT'!$H$2178:$H$2305, MATCH(DU$1,'STOPE SUMMARY PIVOT'!$A$2178:$A$2305, 0))</f>
        <v>0</v>
      </c>
      <c r="DW58" s="154">
        <f>INDEX('STOPE SUMMARY PIVOT'!$G$2178:$G$2305, MATCH(DW$1,'STOPE SUMMARY PIVOT'!$A$2178:$A$2305, 0))</f>
        <v>0</v>
      </c>
      <c r="DX58" s="175">
        <f>INDEX('STOPE SUMMARY PIVOT'!$H$2178:$H$2305, MATCH(DW$1,'STOPE SUMMARY PIVOT'!$A$2178:$A$2305, 0))</f>
        <v>0</v>
      </c>
      <c r="DY58" s="154">
        <f>INDEX('STOPE SUMMARY PIVOT'!$G$2178:$G$2305, MATCH(DY$1,'STOPE SUMMARY PIVOT'!$A$2178:$A$2305, 0))</f>
        <v>0</v>
      </c>
      <c r="DZ58" s="175">
        <f>INDEX('STOPE SUMMARY PIVOT'!$H$2178:$H$2305, MATCH(DY$1,'STOPE SUMMARY PIVOT'!$A$2178:$A$2305, 0))</f>
        <v>0</v>
      </c>
      <c r="EA58" s="154">
        <f>INDEX('STOPE SUMMARY PIVOT'!$G$2178:$G$2305, MATCH(EA$1,'STOPE SUMMARY PIVOT'!$A$2178:$A$2305, 0))</f>
        <v>0</v>
      </c>
      <c r="EB58" s="175">
        <f>INDEX('STOPE SUMMARY PIVOT'!$H$2178:$H$2305, MATCH(EA$1,'STOPE SUMMARY PIVOT'!$A$2178:$A$2305, 0))</f>
        <v>0</v>
      </c>
      <c r="EC58" s="154">
        <f>INDEX('STOPE SUMMARY PIVOT'!$G$2178:$G$2305, MATCH(EC$1,'STOPE SUMMARY PIVOT'!$A$2178:$A$2305, 0))</f>
        <v>0</v>
      </c>
      <c r="ED58" s="175">
        <f>INDEX('STOPE SUMMARY PIVOT'!$H$2178:$H$2305, MATCH(EC$1,'STOPE SUMMARY PIVOT'!$A$2178:$A$2305, 0))</f>
        <v>0</v>
      </c>
      <c r="EE58" s="154">
        <f>INDEX('STOPE SUMMARY PIVOT'!$G$2178:$G$2305, MATCH(EE$1,'STOPE SUMMARY PIVOT'!$A$2178:$A$2305, 0))</f>
        <v>0</v>
      </c>
      <c r="EF58" s="175">
        <f>INDEX('STOPE SUMMARY PIVOT'!$H$2178:$H$2305, MATCH(EE$1,'STOPE SUMMARY PIVOT'!$A$2178:$A$2305, 0))</f>
        <v>0</v>
      </c>
      <c r="EG58" s="154">
        <f>INDEX('STOPE SUMMARY PIVOT'!$G$2178:$G$2305, MATCH(EG$1,'STOPE SUMMARY PIVOT'!$A$2178:$A$2305, 0))</f>
        <v>0</v>
      </c>
      <c r="EH58" s="175">
        <f>INDEX('STOPE SUMMARY PIVOT'!$H$2178:$H$2305, MATCH(EG$1,'STOPE SUMMARY PIVOT'!$A$2178:$A$2305, 0))</f>
        <v>0</v>
      </c>
      <c r="EI58" s="154">
        <f>INDEX('STOPE SUMMARY PIVOT'!$G$2178:$G$2305, MATCH(EI$1,'STOPE SUMMARY PIVOT'!$A$2178:$A$2305, 0))</f>
        <v>0</v>
      </c>
      <c r="EJ58" s="175">
        <f>INDEX('STOPE SUMMARY PIVOT'!$H$2178:$H$2305, MATCH(EI$1,'STOPE SUMMARY PIVOT'!$A$2178:$A$2305, 0))</f>
        <v>0</v>
      </c>
      <c r="EK58" s="154">
        <f>INDEX('STOPE SUMMARY PIVOT'!$G$2178:$G$2305, MATCH(EK$1,'STOPE SUMMARY PIVOT'!$A$2178:$A$2305, 0))</f>
        <v>0</v>
      </c>
      <c r="EL58" s="175">
        <f>INDEX('STOPE SUMMARY PIVOT'!$H$2178:$H$2305, MATCH(EK$1,'STOPE SUMMARY PIVOT'!$A$2178:$A$2305, 0))</f>
        <v>0</v>
      </c>
      <c r="EM58" s="154">
        <f>INDEX('STOPE SUMMARY PIVOT'!$G$2178:$G$2305, MATCH(EM$1,'STOPE SUMMARY PIVOT'!$A$2178:$A$2305, 0))</f>
        <v>0</v>
      </c>
      <c r="EN58" s="175">
        <f>INDEX('STOPE SUMMARY PIVOT'!$H$2178:$H$2305, MATCH(EM$1,'STOPE SUMMARY PIVOT'!$A$2178:$A$2305, 0))</f>
        <v>0</v>
      </c>
      <c r="EO58" s="154">
        <f>INDEX('STOPE SUMMARY PIVOT'!$G$2178:$G$2305, MATCH(EO$1,'STOPE SUMMARY PIVOT'!$A$2178:$A$2305, 0))</f>
        <v>0</v>
      </c>
      <c r="EP58" s="175">
        <f>INDEX('STOPE SUMMARY PIVOT'!$H$2178:$H$2305, MATCH(EO$1,'STOPE SUMMARY PIVOT'!$A$2178:$A$2305, 0))</f>
        <v>0</v>
      </c>
      <c r="EQ58" s="154">
        <f>INDEX('STOPE SUMMARY PIVOT'!$G$2178:$G$2305, MATCH(EQ$1,'STOPE SUMMARY PIVOT'!$A$2178:$A$2305, 0))</f>
        <v>0</v>
      </c>
      <c r="ER58" s="175">
        <f>INDEX('STOPE SUMMARY PIVOT'!$H$2178:$H$2305, MATCH(EQ$1,'STOPE SUMMARY PIVOT'!$A$2178:$A$2305, 0))</f>
        <v>0</v>
      </c>
      <c r="ES58" s="154">
        <f>INDEX('STOPE SUMMARY PIVOT'!$G$2178:$G$2305, MATCH(ES$1,'STOPE SUMMARY PIVOT'!$A$2178:$A$2305, 0))</f>
        <v>0</v>
      </c>
      <c r="ET58" s="175">
        <f>INDEX('STOPE SUMMARY PIVOT'!$H$2178:$H$2305, MATCH(ES$1,'STOPE SUMMARY PIVOT'!$A$2178:$A$2305, 0))</f>
        <v>0</v>
      </c>
      <c r="EU58" s="154">
        <f>INDEX('STOPE SUMMARY PIVOT'!$G$2178:$G$2305, MATCH(EU$1,'STOPE SUMMARY PIVOT'!$A$2178:$A$2305, 0))</f>
        <v>0</v>
      </c>
      <c r="EV58" s="175">
        <f>INDEX('STOPE SUMMARY PIVOT'!$H$2178:$H$2305, MATCH(EU$1,'STOPE SUMMARY PIVOT'!$A$2178:$A$2305, 0))</f>
        <v>0</v>
      </c>
      <c r="EW58" s="154">
        <f>INDEX('STOPE SUMMARY PIVOT'!$G$2178:$G$2305, MATCH(EW$1,'STOPE SUMMARY PIVOT'!$A$2178:$A$2305, 0))</f>
        <v>0</v>
      </c>
      <c r="EX58" s="175">
        <f>INDEX('STOPE SUMMARY PIVOT'!$H$2178:$H$2305, MATCH(EW$1,'STOPE SUMMARY PIVOT'!$A$2178:$A$2305, 0))</f>
        <v>0</v>
      </c>
      <c r="EY58" s="154">
        <f>INDEX('STOPE SUMMARY PIVOT'!$G$2178:$G$2305, MATCH(EY$1,'STOPE SUMMARY PIVOT'!$A$2178:$A$2305, 0))</f>
        <v>0</v>
      </c>
      <c r="EZ58" s="175">
        <f>INDEX('STOPE SUMMARY PIVOT'!$H$2178:$H$2305, MATCH(EY$1,'STOPE SUMMARY PIVOT'!$A$2178:$A$2305, 0))</f>
        <v>0</v>
      </c>
      <c r="FA58" s="154">
        <f>INDEX('STOPE SUMMARY PIVOT'!$G$2178:$G$2305, MATCH(FA$1,'STOPE SUMMARY PIVOT'!$A$2178:$A$2305, 0))</f>
        <v>0</v>
      </c>
      <c r="FB58" s="175">
        <f>INDEX('STOPE SUMMARY PIVOT'!$H$2178:$H$2305, MATCH(FA$1,'STOPE SUMMARY PIVOT'!$A$2178:$A$2305, 0))</f>
        <v>0</v>
      </c>
      <c r="FC58" s="154">
        <f>INDEX('STOPE SUMMARY PIVOT'!$G$2178:$G$2305, MATCH(FC$1,'STOPE SUMMARY PIVOT'!$A$2178:$A$2305, 0))</f>
        <v>0</v>
      </c>
      <c r="FD58" s="175">
        <f>INDEX('STOPE SUMMARY PIVOT'!$H$2178:$H$2305, MATCH(FC$1,'STOPE SUMMARY PIVOT'!$A$2178:$A$2305, 0))</f>
        <v>0</v>
      </c>
      <c r="FE58" s="154">
        <f>INDEX('STOPE SUMMARY PIVOT'!$G$2178:$G$2305, MATCH(FE$1,'STOPE SUMMARY PIVOT'!$A$2178:$A$2305, 0))</f>
        <v>0</v>
      </c>
      <c r="FF58" s="175">
        <f>INDEX('STOPE SUMMARY PIVOT'!$H$2178:$H$2305, MATCH(FE$1,'STOPE SUMMARY PIVOT'!$A$2178:$A$2305, 0))</f>
        <v>0</v>
      </c>
      <c r="FG58" s="154">
        <f>INDEX('STOPE SUMMARY PIVOT'!$G$2178:$G$2305, MATCH(FG$1,'STOPE SUMMARY PIVOT'!$A$2178:$A$2305, 0))</f>
        <v>0</v>
      </c>
      <c r="FH58" s="175">
        <f>INDEX('STOPE SUMMARY PIVOT'!$H$2178:$H$2305, MATCH(FG$1,'STOPE SUMMARY PIVOT'!$A$2178:$A$2305, 0))</f>
        <v>0</v>
      </c>
      <c r="FI58" s="154">
        <f>INDEX('STOPE SUMMARY PIVOT'!$G$2178:$G$2305, MATCH(FI$1,'STOPE SUMMARY PIVOT'!$A$2178:$A$2305, 0))</f>
        <v>0</v>
      </c>
      <c r="FJ58" s="175">
        <f>INDEX('STOPE SUMMARY PIVOT'!$H$2178:$H$2305, MATCH(FI$1,'STOPE SUMMARY PIVOT'!$A$2178:$A$2305, 0))</f>
        <v>0</v>
      </c>
      <c r="FK58" s="154">
        <f>INDEX('STOPE SUMMARY PIVOT'!$G$2178:$G$2305, MATCH(FK$1,'STOPE SUMMARY PIVOT'!$A$2178:$A$2305, 0))</f>
        <v>0</v>
      </c>
      <c r="FL58" s="175">
        <f>INDEX('STOPE SUMMARY PIVOT'!$H$2178:$H$2305, MATCH(FK$1,'STOPE SUMMARY PIVOT'!$A$2178:$A$2305, 0))</f>
        <v>0</v>
      </c>
      <c r="FM58" s="154">
        <f>INDEX('STOPE SUMMARY PIVOT'!$G$2178:$G$2305, MATCH(FM$1,'STOPE SUMMARY PIVOT'!$A$2178:$A$2305, 0))</f>
        <v>0</v>
      </c>
      <c r="FN58" s="175">
        <f>INDEX('STOPE SUMMARY PIVOT'!$H$2178:$H$2305, MATCH(FM$1,'STOPE SUMMARY PIVOT'!$A$2178:$A$2305, 0))</f>
        <v>0</v>
      </c>
      <c r="FO58" s="154">
        <f>INDEX('STOPE SUMMARY PIVOT'!$G$2178:$G$2305, MATCH(FO$1,'STOPE SUMMARY PIVOT'!$A$2178:$A$2305, 0))</f>
        <v>0</v>
      </c>
      <c r="FP58" s="175">
        <f>INDEX('STOPE SUMMARY PIVOT'!$H$2178:$H$2305, MATCH(FO$1,'STOPE SUMMARY PIVOT'!$A$2178:$A$2305, 0))</f>
        <v>0</v>
      </c>
      <c r="FQ58" s="154">
        <f>INDEX('STOPE SUMMARY PIVOT'!$G$2178:$G$2305, MATCH(FQ$1,'STOPE SUMMARY PIVOT'!$A$2178:$A$2305, 0))</f>
        <v>0</v>
      </c>
      <c r="FR58" s="175">
        <f>INDEX('STOPE SUMMARY PIVOT'!$H$2178:$H$2305, MATCH(FQ$1,'STOPE SUMMARY PIVOT'!$A$2178:$A$2305, 0))</f>
        <v>0</v>
      </c>
      <c r="FS58" s="154">
        <f>INDEX('STOPE SUMMARY PIVOT'!$G$2178:$G$2305, MATCH(FS$1,'STOPE SUMMARY PIVOT'!$A$2178:$A$2305, 0))</f>
        <v>0</v>
      </c>
      <c r="FT58" s="175">
        <f>INDEX('STOPE SUMMARY PIVOT'!$H$2178:$H$2305, MATCH(FS$1,'STOPE SUMMARY PIVOT'!$A$2178:$A$2305, 0))</f>
        <v>0</v>
      </c>
      <c r="FU58" s="154">
        <f>INDEX('STOPE SUMMARY PIVOT'!$G$2178:$G$2305, MATCH(FU$1,'STOPE SUMMARY PIVOT'!$A$2178:$A$2305, 0))</f>
        <v>0</v>
      </c>
      <c r="FV58" s="175">
        <f>INDEX('STOPE SUMMARY PIVOT'!$H$2178:$H$2305, MATCH(FU$1,'STOPE SUMMARY PIVOT'!$A$2178:$A$2305, 0))</f>
        <v>0</v>
      </c>
      <c r="FW58" s="154">
        <f>INDEX('STOPE SUMMARY PIVOT'!$G$2178:$G$2305, MATCH(FW$1,'STOPE SUMMARY PIVOT'!$A$2178:$A$2305, 0))</f>
        <v>0</v>
      </c>
      <c r="FX58" s="175">
        <f>INDEX('STOPE SUMMARY PIVOT'!$H$2178:$H$2305, MATCH(FW$1,'STOPE SUMMARY PIVOT'!$A$2178:$A$2305, 0))</f>
        <v>0</v>
      </c>
      <c r="FY58" s="154">
        <f>INDEX('STOPE SUMMARY PIVOT'!$G$2178:$G$2305, MATCH(FY$1,'STOPE SUMMARY PIVOT'!$A$2178:$A$2305, 0))</f>
        <v>0</v>
      </c>
      <c r="FZ58" s="175">
        <f>INDEX('STOPE SUMMARY PIVOT'!$H$2178:$H$2305, MATCH(FY$1,'STOPE SUMMARY PIVOT'!$A$2178:$A$2305, 0))</f>
        <v>0</v>
      </c>
      <c r="GA58" s="154">
        <f>INDEX('STOPE SUMMARY PIVOT'!$G$2178:$G$2305, MATCH(GA$1,'STOPE SUMMARY PIVOT'!$A$2178:$A$2305, 0))</f>
        <v>0</v>
      </c>
      <c r="GB58" s="175">
        <f>INDEX('STOPE SUMMARY PIVOT'!$H$2178:$H$2305, MATCH(GA$1,'STOPE SUMMARY PIVOT'!$A$2178:$A$2305, 0))</f>
        <v>0</v>
      </c>
      <c r="GC58" s="154">
        <f>INDEX('STOPE SUMMARY PIVOT'!$G$2178:$G$2305, MATCH(GC$1,'STOPE SUMMARY PIVOT'!$A$2178:$A$2305, 0))</f>
        <v>0</v>
      </c>
      <c r="GD58" s="175">
        <f>INDEX('STOPE SUMMARY PIVOT'!$H$2178:$H$2305, MATCH(GC$1,'STOPE SUMMARY PIVOT'!$A$2178:$A$2305, 0))</f>
        <v>0</v>
      </c>
      <c r="GE58" s="154">
        <f>INDEX('STOPE SUMMARY PIVOT'!$G$2178:$G$2305, MATCH(GE$1,'STOPE SUMMARY PIVOT'!$A$2178:$A$2305, 0))</f>
        <v>0</v>
      </c>
      <c r="GF58" s="175">
        <f>INDEX('STOPE SUMMARY PIVOT'!$H$2178:$H$2305, MATCH(GE$1,'STOPE SUMMARY PIVOT'!$A$2178:$A$2305, 0))</f>
        <v>0</v>
      </c>
      <c r="GG58" s="154">
        <f>INDEX('STOPE SUMMARY PIVOT'!$G$2178:$G$2305, MATCH(GG$1,'STOPE SUMMARY PIVOT'!$A$2178:$A$2305, 0))</f>
        <v>0</v>
      </c>
      <c r="GH58" s="175">
        <f>INDEX('STOPE SUMMARY PIVOT'!$H$2178:$H$2305, MATCH(GG$1,'STOPE SUMMARY PIVOT'!$A$2178:$A$2305, 0))</f>
        <v>0</v>
      </c>
      <c r="GI58" s="154">
        <f>INDEX('STOPE SUMMARY PIVOT'!$G$2178:$G$2305, MATCH(GI$1,'STOPE SUMMARY PIVOT'!$A$2178:$A$2305, 0))</f>
        <v>0</v>
      </c>
      <c r="GJ58" s="175">
        <f>INDEX('STOPE SUMMARY PIVOT'!$H$2178:$H$2305, MATCH(GI$1,'STOPE SUMMARY PIVOT'!$A$2178:$A$2305, 0))</f>
        <v>0</v>
      </c>
      <c r="GK58" s="154">
        <f>INDEX('STOPE SUMMARY PIVOT'!$G$2178:$G$2305, MATCH(GK$1,'STOPE SUMMARY PIVOT'!$A$2178:$A$2305, 0))</f>
        <v>0</v>
      </c>
      <c r="GL58" s="175">
        <f>INDEX('STOPE SUMMARY PIVOT'!$H$2178:$H$2305, MATCH(GK$1,'STOPE SUMMARY PIVOT'!$A$2178:$A$2305, 0))</f>
        <v>0</v>
      </c>
      <c r="GM58" s="154">
        <f>INDEX('STOPE SUMMARY PIVOT'!$G$2178:$G$2305, MATCH(GM$1,'STOPE SUMMARY PIVOT'!$A$2178:$A$2305, 0))</f>
        <v>0</v>
      </c>
      <c r="GN58" s="175">
        <f>INDEX('STOPE SUMMARY PIVOT'!$H$2178:$H$2305, MATCH(GM$1,'STOPE SUMMARY PIVOT'!$A$2178:$A$2305, 0))</f>
        <v>0</v>
      </c>
      <c r="GO58" s="154">
        <f>INDEX('STOPE SUMMARY PIVOT'!$G$2178:$G$2305, MATCH(GO$1,'STOPE SUMMARY PIVOT'!$A$2178:$A$2305, 0))</f>
        <v>0</v>
      </c>
      <c r="GP58" s="175">
        <f>INDEX('STOPE SUMMARY PIVOT'!$H$2178:$H$2305, MATCH(GO$1,'STOPE SUMMARY PIVOT'!$A$2178:$A$2305, 0))</f>
        <v>0</v>
      </c>
      <c r="GQ58" s="154">
        <f>INDEX('STOPE SUMMARY PIVOT'!$G$2178:$G$2305, MATCH(GQ$1,'STOPE SUMMARY PIVOT'!$A$2178:$A$2305, 0))</f>
        <v>0</v>
      </c>
      <c r="GR58" s="175">
        <f>INDEX('STOPE SUMMARY PIVOT'!$H$2178:$H$2305, MATCH(GQ$1,'STOPE SUMMARY PIVOT'!$A$2178:$A$2305, 0))</f>
        <v>0</v>
      </c>
      <c r="GS58" s="154">
        <f>INDEX('STOPE SUMMARY PIVOT'!$G$2178:$G$2305, MATCH(GS$1,'STOPE SUMMARY PIVOT'!$A$2178:$A$2305, 0))</f>
        <v>0</v>
      </c>
      <c r="GT58" s="175">
        <f>INDEX('STOPE SUMMARY PIVOT'!$H$2178:$H$2305, MATCH(GS$1,'STOPE SUMMARY PIVOT'!$A$2178:$A$2305, 0))</f>
        <v>0</v>
      </c>
      <c r="GU58" s="154">
        <f>INDEX('STOPE SUMMARY PIVOT'!$G$2178:$G$2305, MATCH(GU$1,'STOPE SUMMARY PIVOT'!$A$2178:$A$2305, 0))</f>
        <v>0</v>
      </c>
      <c r="GV58" s="175">
        <f>INDEX('STOPE SUMMARY PIVOT'!$H$2178:$H$2305, MATCH(GU$1,'STOPE SUMMARY PIVOT'!$A$2178:$A$2305, 0))</f>
        <v>0</v>
      </c>
      <c r="GW58" s="154">
        <f>INDEX('STOPE SUMMARY PIVOT'!$G$2178:$G$2305, MATCH(GW$1,'STOPE SUMMARY PIVOT'!$A$2178:$A$2305, 0))</f>
        <v>0</v>
      </c>
      <c r="GX58" s="175">
        <f>INDEX('STOPE SUMMARY PIVOT'!$H$2178:$H$2305, MATCH(GW$1,'STOPE SUMMARY PIVOT'!$A$2178:$A$2305, 0))</f>
        <v>0</v>
      </c>
      <c r="GY58" s="154">
        <f>INDEX('STOPE SUMMARY PIVOT'!$G$2178:$G$2305, MATCH(GY$1,'STOPE SUMMARY PIVOT'!$A$2178:$A$2305, 0))</f>
        <v>0</v>
      </c>
      <c r="GZ58" s="175">
        <f>INDEX('STOPE SUMMARY PIVOT'!$H$2178:$H$2305, MATCH(GY$1,'STOPE SUMMARY PIVOT'!$A$2178:$A$2305, 0))</f>
        <v>0</v>
      </c>
      <c r="HA58" s="154">
        <f>INDEX('STOPE SUMMARY PIVOT'!$G$2178:$G$2305, MATCH(HA$1,'STOPE SUMMARY PIVOT'!$A$2178:$A$2305, 0))</f>
        <v>0</v>
      </c>
      <c r="HB58" s="175">
        <f>INDEX('STOPE SUMMARY PIVOT'!$H$2178:$H$2305, MATCH(HA$1,'STOPE SUMMARY PIVOT'!$A$2178:$A$2305, 0))</f>
        <v>0</v>
      </c>
      <c r="HC58" s="154">
        <f>INDEX('STOPE SUMMARY PIVOT'!$G$2178:$G$2305, MATCH(HC$1,'STOPE SUMMARY PIVOT'!$A$2178:$A$2305, 0))</f>
        <v>0</v>
      </c>
      <c r="HD58" s="175">
        <f>INDEX('STOPE SUMMARY PIVOT'!$H$2178:$H$2305, MATCH(HC$1,'STOPE SUMMARY PIVOT'!$A$2178:$A$2305, 0))</f>
        <v>0</v>
      </c>
      <c r="HE58" s="154">
        <f>INDEX('STOPE SUMMARY PIVOT'!$G$2178:$G$2305, MATCH(HE$1,'STOPE SUMMARY PIVOT'!$A$2178:$A$2305, 0))</f>
        <v>0</v>
      </c>
      <c r="HF58" s="175">
        <f>INDEX('STOPE SUMMARY PIVOT'!$H$2178:$H$2305, MATCH(HE$1,'STOPE SUMMARY PIVOT'!$A$2178:$A$2305, 0))</f>
        <v>0</v>
      </c>
      <c r="HG58" s="154">
        <f>INDEX('STOPE SUMMARY PIVOT'!$G$2178:$G$2305, MATCH(HG$1,'STOPE SUMMARY PIVOT'!$A$2178:$A$2305, 0))</f>
        <v>0</v>
      </c>
      <c r="HH58" s="175">
        <f>INDEX('STOPE SUMMARY PIVOT'!$H$2178:$H$2305, MATCH(HG$1,'STOPE SUMMARY PIVOT'!$A$2178:$A$2305, 0))</f>
        <v>0</v>
      </c>
      <c r="HI58" s="154">
        <f>INDEX('STOPE SUMMARY PIVOT'!$G$2178:$G$2305, MATCH(HI$1,'STOPE SUMMARY PIVOT'!$A$2178:$A$2305, 0))</f>
        <v>0</v>
      </c>
      <c r="HJ58" s="175">
        <f>INDEX('STOPE SUMMARY PIVOT'!$H$2178:$H$2305, MATCH(HI$1,'STOPE SUMMARY PIVOT'!$A$2178:$A$2305, 0))</f>
        <v>0</v>
      </c>
      <c r="HK58" s="154">
        <f>INDEX('STOPE SUMMARY PIVOT'!$G$2178:$G$2305, MATCH(HK$1,'STOPE SUMMARY PIVOT'!$A$2178:$A$2305, 0))</f>
        <v>0</v>
      </c>
      <c r="HL58" s="175">
        <f>INDEX('STOPE SUMMARY PIVOT'!$H$2178:$H$2305, MATCH(HK$1,'STOPE SUMMARY PIVOT'!$A$2178:$A$2305, 0))</f>
        <v>0</v>
      </c>
      <c r="HM58" s="154">
        <f>INDEX('STOPE SUMMARY PIVOT'!$G$2178:$G$2305, MATCH(HM$1,'STOPE SUMMARY PIVOT'!$A$2178:$A$2305, 0))</f>
        <v>0</v>
      </c>
      <c r="HN58" s="175">
        <f>INDEX('STOPE SUMMARY PIVOT'!$H$2178:$H$2305, MATCH(HM$1,'STOPE SUMMARY PIVOT'!$A$2178:$A$2305, 0))</f>
        <v>0</v>
      </c>
      <c r="HO58" s="154">
        <f>INDEX('STOPE SUMMARY PIVOT'!$G$2178:$G$2305, MATCH(HO$1,'STOPE SUMMARY PIVOT'!$A$2178:$A$2305, 0))</f>
        <v>0</v>
      </c>
      <c r="HP58" s="175">
        <f>INDEX('STOPE SUMMARY PIVOT'!$H$2178:$H$2305, MATCH(HO$1,'STOPE SUMMARY PIVOT'!$A$2178:$A$2305, 0))</f>
        <v>0</v>
      </c>
      <c r="HQ58" s="154">
        <f>INDEX('STOPE SUMMARY PIVOT'!$G$2178:$G$2305, MATCH(HQ$1,'STOPE SUMMARY PIVOT'!$A$2178:$A$2305, 0))</f>
        <v>0</v>
      </c>
      <c r="HR58" s="175">
        <f>INDEX('STOPE SUMMARY PIVOT'!$H$2178:$H$2305, MATCH(HQ$1,'STOPE SUMMARY PIVOT'!$A$2178:$A$2305, 0))</f>
        <v>0</v>
      </c>
      <c r="HS58" s="154">
        <f>INDEX('STOPE SUMMARY PIVOT'!$G$2178:$G$2305, MATCH(HS$1,'STOPE SUMMARY PIVOT'!$A$2178:$A$2305, 0))</f>
        <v>0</v>
      </c>
      <c r="HT58" s="175">
        <f>INDEX('STOPE SUMMARY PIVOT'!$H$2178:$H$2305, MATCH(HS$1,'STOPE SUMMARY PIVOT'!$A$2178:$A$2305, 0))</f>
        <v>0</v>
      </c>
      <c r="HU58" s="154">
        <f>INDEX('STOPE SUMMARY PIVOT'!$G$2178:$G$2305, MATCH(HU$1,'STOPE SUMMARY PIVOT'!$A$2178:$A$2305, 0))</f>
        <v>0</v>
      </c>
      <c r="HV58" s="175">
        <f>INDEX('STOPE SUMMARY PIVOT'!$H$2178:$H$2305, MATCH(HU$1,'STOPE SUMMARY PIVOT'!$A$2178:$A$2305, 0))</f>
        <v>0</v>
      </c>
      <c r="HW58" s="154">
        <f>INDEX('STOPE SUMMARY PIVOT'!$G$2178:$G$2305, MATCH(HW$1,'STOPE SUMMARY PIVOT'!$A$2178:$A$2305, 0))</f>
        <v>0</v>
      </c>
      <c r="HX58" s="175">
        <f>INDEX('STOPE SUMMARY PIVOT'!$H$2178:$H$2305, MATCH(HW$1,'STOPE SUMMARY PIVOT'!$A$2178:$A$2305, 0))</f>
        <v>0</v>
      </c>
      <c r="HY58" s="154">
        <f>INDEX('STOPE SUMMARY PIVOT'!$G$2178:$G$2305, MATCH(HY$1,'STOPE SUMMARY PIVOT'!$A$2178:$A$2305, 0))</f>
        <v>0</v>
      </c>
      <c r="HZ58" s="175">
        <f>INDEX('STOPE SUMMARY PIVOT'!$H$2178:$H$2305, MATCH(HY$1,'STOPE SUMMARY PIVOT'!$A$2178:$A$2305, 0))</f>
        <v>0</v>
      </c>
      <c r="IA58" s="154">
        <f>INDEX('STOPE SUMMARY PIVOT'!$G$2178:$G$2305, MATCH(IA$1,'STOPE SUMMARY PIVOT'!$A$2178:$A$2305, 0))</f>
        <v>0</v>
      </c>
      <c r="IB58" s="175">
        <f>INDEX('STOPE SUMMARY PIVOT'!$H$2178:$H$2305, MATCH(IA$1,'STOPE SUMMARY PIVOT'!$A$2178:$A$2305, 0))</f>
        <v>0</v>
      </c>
      <c r="IC58" s="154">
        <f>INDEX('STOPE SUMMARY PIVOT'!$G$2178:$G$2305, MATCH(IC$1,'STOPE SUMMARY PIVOT'!$A$2178:$A$2305, 0))</f>
        <v>0</v>
      </c>
      <c r="ID58" s="175">
        <f>INDEX('STOPE SUMMARY PIVOT'!$H$2178:$H$2305, MATCH(IC$1,'STOPE SUMMARY PIVOT'!$A$2178:$A$2305, 0))</f>
        <v>0</v>
      </c>
      <c r="IE58" s="154">
        <f>INDEX('STOPE SUMMARY PIVOT'!$G$2178:$G$2305, MATCH(IE$1,'STOPE SUMMARY PIVOT'!$A$2178:$A$2305, 0))</f>
        <v>0</v>
      </c>
      <c r="IF58" s="175">
        <f>INDEX('STOPE SUMMARY PIVOT'!$H$2178:$H$2305, MATCH(IE$1,'STOPE SUMMARY PIVOT'!$A$2178:$A$2305, 0))</f>
        <v>0</v>
      </c>
      <c r="IG58" s="154">
        <f>INDEX('STOPE SUMMARY PIVOT'!$G$2178:$G$2305, MATCH(IG$1,'STOPE SUMMARY PIVOT'!$A$2178:$A$2305, 0))</f>
        <v>0</v>
      </c>
      <c r="IH58" s="175">
        <f>INDEX('STOPE SUMMARY PIVOT'!$H$2178:$H$2305, MATCH(IG$1,'STOPE SUMMARY PIVOT'!$A$2178:$A$2305, 0))</f>
        <v>0</v>
      </c>
      <c r="II58" s="154">
        <f>INDEX('STOPE SUMMARY PIVOT'!$G$2178:$G$2305, MATCH(II$1,'STOPE SUMMARY PIVOT'!$A$2178:$A$2305, 0))</f>
        <v>0</v>
      </c>
      <c r="IJ58" s="175">
        <f>INDEX('STOPE SUMMARY PIVOT'!$H$2178:$H$2305, MATCH(II$1,'STOPE SUMMARY PIVOT'!$A$2178:$A$2305, 0))</f>
        <v>0</v>
      </c>
      <c r="IK58" s="154">
        <f>INDEX('STOPE SUMMARY PIVOT'!$G$2178:$G$2305, MATCH(IK$1,'STOPE SUMMARY PIVOT'!$A$2178:$A$2305, 0))</f>
        <v>0</v>
      </c>
      <c r="IL58" s="175">
        <f>INDEX('STOPE SUMMARY PIVOT'!$H$2178:$H$2305, MATCH(IK$1,'STOPE SUMMARY PIVOT'!$A$2178:$A$2305, 0))</f>
        <v>0</v>
      </c>
      <c r="IM58" s="154">
        <f>INDEX('STOPE SUMMARY PIVOT'!$G$2178:$G$2305, MATCH(IM$1,'STOPE SUMMARY PIVOT'!$A$2178:$A$2305, 0))</f>
        <v>0</v>
      </c>
      <c r="IN58" s="175">
        <f>INDEX('STOPE SUMMARY PIVOT'!$H$2178:$H$2305, MATCH(IM$1,'STOPE SUMMARY PIVOT'!$A$2178:$A$2305, 0))</f>
        <v>0</v>
      </c>
      <c r="IO58" s="154">
        <f>INDEX('STOPE SUMMARY PIVOT'!$G$2178:$G$2305, MATCH(IO$1,'STOPE SUMMARY PIVOT'!$A$2178:$A$2305, 0))</f>
        <v>0</v>
      </c>
      <c r="IP58" s="175">
        <f>INDEX('STOPE SUMMARY PIVOT'!$H$2178:$H$2305, MATCH(IO$1,'STOPE SUMMARY PIVOT'!$A$2178:$A$2305, 0))</f>
        <v>0</v>
      </c>
      <c r="IQ58" s="154">
        <f>INDEX('STOPE SUMMARY PIVOT'!$G$2178:$G$2305, MATCH(IQ$1,'STOPE SUMMARY PIVOT'!$A$2178:$A$2305, 0))</f>
        <v>0</v>
      </c>
      <c r="IR58" s="175">
        <f>INDEX('STOPE SUMMARY PIVOT'!$H$2178:$H$2305, MATCH(IQ$1,'STOPE SUMMARY PIVOT'!$A$2178:$A$2305, 0))</f>
        <v>0</v>
      </c>
      <c r="IS58" s="154">
        <f>INDEX('STOPE SUMMARY PIVOT'!$G$2178:$G$2305, MATCH(IS$1,'STOPE SUMMARY PIVOT'!$A$2178:$A$2305, 0))</f>
        <v>0</v>
      </c>
      <c r="IT58" s="175">
        <f>INDEX('STOPE SUMMARY PIVOT'!$H$2178:$H$2305, MATCH(IS$1,'STOPE SUMMARY PIVOT'!$A$2178:$A$2305, 0))</f>
        <v>0</v>
      </c>
      <c r="IU58" s="154">
        <f>INDEX('STOPE SUMMARY PIVOT'!$G$2178:$G$2305, MATCH(IU$1,'STOPE SUMMARY PIVOT'!$A$2178:$A$2305, 0))</f>
        <v>0</v>
      </c>
      <c r="IV58" s="175">
        <f>INDEX('STOPE SUMMARY PIVOT'!$H$2178:$H$2305, MATCH(IU$1,'STOPE SUMMARY PIVOT'!$A$2178:$A$2305, 0))</f>
        <v>0</v>
      </c>
      <c r="IW58" s="154">
        <f>INDEX('STOPE SUMMARY PIVOT'!$G$2178:$G$2305, MATCH(IW$1,'STOPE SUMMARY PIVOT'!$A$2178:$A$2305, 0))</f>
        <v>0</v>
      </c>
      <c r="IX58" s="175">
        <f>INDEX('STOPE SUMMARY PIVOT'!$H$2178:$H$2305, MATCH(IW$1,'STOPE SUMMARY PIVOT'!$A$2178:$A$2305, 0))</f>
        <v>0</v>
      </c>
      <c r="IY58" s="154">
        <f>INDEX('STOPE SUMMARY PIVOT'!$G$2178:$G$2305, MATCH(IY$1,'STOPE SUMMARY PIVOT'!$A$2178:$A$2305, 0))</f>
        <v>0</v>
      </c>
      <c r="IZ58" s="175">
        <f>INDEX('STOPE SUMMARY PIVOT'!$H$2178:$H$2305, MATCH(IY$1,'STOPE SUMMARY PIVOT'!$A$2178:$A$2305, 0))</f>
        <v>0</v>
      </c>
    </row>
    <row r="59" spans="1:260" ht="15.75" thickBot="1" x14ac:dyDescent="0.3">
      <c r="A59" s="1591"/>
      <c r="B59" s="169" t="s">
        <v>5</v>
      </c>
      <c r="C59" s="170" cm="1">
        <f t="array" ref="C59">SUM(_xlfn._xlws.FILTER(E59:IZ59, MOD(COLUMN(E59:IZ59)-COLUMN(E59)+1,2)=1))</f>
        <v>0</v>
      </c>
      <c r="D59" s="171" t="str" cm="1">
        <f t="array" ref="D59">IFERROR(SUMPRODUCT(_xlfn._xlws.FILTER(E59:IZ59, MOD(COLUMN(E59:IZ59)-COLUMN(E59)+1,2)=1), _xlfn._xlws.FILTER(E59:IZ59, MOD(COLUMN(E59:IZ59)-COLUMN(E59)+1,2)=0))/C59,"")</f>
        <v/>
      </c>
      <c r="E59" s="172">
        <f>INDEX('STOPE SUMMARY PIVOT'!$J$2178:$J$2305, MATCH(E$1,'STOPE SUMMARY PIVOT'!$A$2178:$A$2305, 0))</f>
        <v>0</v>
      </c>
      <c r="F59" s="176">
        <f>INDEX('STOPE SUMMARY PIVOT'!$K$2178:$K$2305, MATCH(E$1,'STOPE SUMMARY PIVOT'!$A$2178:$A$2305, 0))</f>
        <v>0</v>
      </c>
      <c r="G59" s="172">
        <f>INDEX('STOPE SUMMARY PIVOT'!$J$2178:$J$2305, MATCH(G$1,'STOPE SUMMARY PIVOT'!$A$2178:$A$2305, 0))</f>
        <v>0</v>
      </c>
      <c r="H59" s="176">
        <f>INDEX('STOPE SUMMARY PIVOT'!$K$2178:$K$2305, MATCH(G$1,'STOPE SUMMARY PIVOT'!$A$2178:$A$2305, 0))</f>
        <v>0</v>
      </c>
      <c r="I59" s="172">
        <f>INDEX('STOPE SUMMARY PIVOT'!$J$2178:$J$2305, MATCH(I$1,'STOPE SUMMARY PIVOT'!$A$2178:$A$2305, 0))</f>
        <v>0</v>
      </c>
      <c r="J59" s="173">
        <f>INDEX('STOPE SUMMARY PIVOT'!$K$2178:$K$2305, MATCH(I$1,'STOPE SUMMARY PIVOT'!$A$2178:$A$2305, 0))</f>
        <v>0</v>
      </c>
      <c r="K59" s="172">
        <f>INDEX('STOPE SUMMARY PIVOT'!$J$2178:$J$2305, MATCH(K$1,'STOPE SUMMARY PIVOT'!$A$2178:$A$2305, 0))</f>
        <v>0</v>
      </c>
      <c r="L59" s="173">
        <f>INDEX('STOPE SUMMARY PIVOT'!$K$2178:$K$2305, MATCH(K$1,'STOPE SUMMARY PIVOT'!$A$2178:$A$2305, 0))</f>
        <v>0</v>
      </c>
      <c r="M59" s="172">
        <f>INDEX('STOPE SUMMARY PIVOT'!$J$2178:$J$2305, MATCH(M$1,'STOPE SUMMARY PIVOT'!$A$2178:$A$2305, 0))</f>
        <v>0</v>
      </c>
      <c r="N59" s="173">
        <f>INDEX('STOPE SUMMARY PIVOT'!$K$2178:$K$2305, MATCH(M$1,'STOPE SUMMARY PIVOT'!$A$2178:$A$2305, 0))</f>
        <v>0</v>
      </c>
      <c r="O59" s="172">
        <f>INDEX('STOPE SUMMARY PIVOT'!$J$2178:$J$2305, MATCH(O$1,'STOPE SUMMARY PIVOT'!$A$2178:$A$2305, 0))</f>
        <v>0</v>
      </c>
      <c r="P59" s="173">
        <f>INDEX('STOPE SUMMARY PIVOT'!$K$2178:$K$2305, MATCH(O$1,'STOPE SUMMARY PIVOT'!$A$2178:$A$2305, 0))</f>
        <v>0</v>
      </c>
      <c r="Q59" s="172">
        <f>INDEX('STOPE SUMMARY PIVOT'!$J$2178:$J$2305, MATCH(Q$1,'STOPE SUMMARY PIVOT'!$A$2178:$A$2305, 0))</f>
        <v>0</v>
      </c>
      <c r="R59" s="173">
        <f>INDEX('STOPE SUMMARY PIVOT'!$K$2178:$K$2305, MATCH(Q$1,'STOPE SUMMARY PIVOT'!$A$2178:$A$2305, 0))</f>
        <v>0</v>
      </c>
      <c r="S59" s="172">
        <f>INDEX('STOPE SUMMARY PIVOT'!$J$2178:$J$2305, MATCH(S$1,'STOPE SUMMARY PIVOT'!$A$2178:$A$2305, 0))</f>
        <v>0</v>
      </c>
      <c r="T59" s="173">
        <f>INDEX('STOPE SUMMARY PIVOT'!$K$2178:$K$2305, MATCH(S$1,'STOPE SUMMARY PIVOT'!$A$2178:$A$2305, 0))</f>
        <v>0</v>
      </c>
      <c r="U59" s="172">
        <f>INDEX('STOPE SUMMARY PIVOT'!$J$2178:$J$2305, MATCH(U$1,'STOPE SUMMARY PIVOT'!$A$2178:$A$2305, 0))</f>
        <v>0</v>
      </c>
      <c r="V59" s="176">
        <f>INDEX('STOPE SUMMARY PIVOT'!$K$2178:$K$2305, MATCH(U$1,'STOPE SUMMARY PIVOT'!$A$2178:$A$2305, 0))</f>
        <v>0</v>
      </c>
      <c r="W59" s="172">
        <f>INDEX('STOPE SUMMARY PIVOT'!$J$2178:$J$2305, MATCH(W$1,'STOPE SUMMARY PIVOT'!$A$2178:$A$2305, 0))</f>
        <v>0</v>
      </c>
      <c r="X59" s="176">
        <f>INDEX('STOPE SUMMARY PIVOT'!$K$2178:$K$2305, MATCH(W$1,'STOPE SUMMARY PIVOT'!$A$2178:$A$2305, 0))</f>
        <v>0</v>
      </c>
      <c r="Y59" s="172">
        <f>INDEX('STOPE SUMMARY PIVOT'!$J$2178:$J$2305, MATCH(Y$1,'STOPE SUMMARY PIVOT'!$A$2178:$A$2305, 0))</f>
        <v>0</v>
      </c>
      <c r="Z59" s="176">
        <f>INDEX('STOPE SUMMARY PIVOT'!$K$2178:$K$2305, MATCH(Y$1,'STOPE SUMMARY PIVOT'!$A$2178:$A$2305, 0))</f>
        <v>0</v>
      </c>
      <c r="AA59" s="172">
        <f>INDEX('STOPE SUMMARY PIVOT'!$J$2178:$J$2305, MATCH(AA$1,'STOPE SUMMARY PIVOT'!$A$2178:$A$2305, 0))</f>
        <v>0</v>
      </c>
      <c r="AB59" s="176">
        <f>INDEX('STOPE SUMMARY PIVOT'!$K$2178:$K$2305, MATCH(AA$1,'STOPE SUMMARY PIVOT'!$A$2178:$A$2305, 0))</f>
        <v>0</v>
      </c>
      <c r="AC59" s="172">
        <f>INDEX('STOPE SUMMARY PIVOT'!$J$2178:$J$2305, MATCH(AC$1,'STOPE SUMMARY PIVOT'!$A$2178:$A$2305, 0))</f>
        <v>0</v>
      </c>
      <c r="AD59" s="176">
        <f>INDEX('STOPE SUMMARY PIVOT'!$K$2178:$K$2305, MATCH(AC$1,'STOPE SUMMARY PIVOT'!$A$2178:$A$2305, 0))</f>
        <v>0</v>
      </c>
      <c r="AE59" s="172">
        <f>INDEX('STOPE SUMMARY PIVOT'!$J$2178:$J$2305, MATCH(AE$1,'STOPE SUMMARY PIVOT'!$A$2178:$A$2305, 0))</f>
        <v>0</v>
      </c>
      <c r="AF59" s="176">
        <f>INDEX('STOPE SUMMARY PIVOT'!$K$2178:$K$2305, MATCH(AE$1,'STOPE SUMMARY PIVOT'!$A$2178:$A$2305, 0))</f>
        <v>0</v>
      </c>
      <c r="AG59" s="172">
        <f>INDEX('STOPE SUMMARY PIVOT'!$J$2178:$J$2305, MATCH(AG$1,'STOPE SUMMARY PIVOT'!$A$2178:$A$2305, 0))</f>
        <v>0</v>
      </c>
      <c r="AH59" s="176">
        <f>INDEX('STOPE SUMMARY PIVOT'!$K$2178:$K$2305, MATCH(AG$1,'STOPE SUMMARY PIVOT'!$A$2178:$A$2305, 0))</f>
        <v>0</v>
      </c>
      <c r="AI59" s="172">
        <f>INDEX('STOPE SUMMARY PIVOT'!$J$2178:$J$2305, MATCH(AI$1,'STOPE SUMMARY PIVOT'!$A$2178:$A$2305, 0))</f>
        <v>0</v>
      </c>
      <c r="AJ59" s="176">
        <f>INDEX('STOPE SUMMARY PIVOT'!$K$2178:$K$2305, MATCH(AI$1,'STOPE SUMMARY PIVOT'!$A$2178:$A$2305, 0))</f>
        <v>0</v>
      </c>
      <c r="AK59" s="172">
        <f>INDEX('STOPE SUMMARY PIVOT'!$J$2178:$J$2305, MATCH(AK$1,'STOPE SUMMARY PIVOT'!$A$2178:$A$2305, 0))</f>
        <v>0</v>
      </c>
      <c r="AL59" s="176">
        <f>INDEX('STOPE SUMMARY PIVOT'!$K$2178:$K$2305, MATCH(AK$1,'STOPE SUMMARY PIVOT'!$A$2178:$A$2305, 0))</f>
        <v>0</v>
      </c>
      <c r="AM59" s="172">
        <f>INDEX('STOPE SUMMARY PIVOT'!$J$2178:$J$2305, MATCH(AM$1,'STOPE SUMMARY PIVOT'!$A$2178:$A$2305, 0))</f>
        <v>0</v>
      </c>
      <c r="AN59" s="176">
        <f>INDEX('STOPE SUMMARY PIVOT'!$K$2178:$K$2305, MATCH(AM$1,'STOPE SUMMARY PIVOT'!$A$2178:$A$2305, 0))</f>
        <v>0</v>
      </c>
      <c r="AO59" s="172">
        <f>INDEX('STOPE SUMMARY PIVOT'!$J$2178:$J$2305, MATCH(AO$1,'STOPE SUMMARY PIVOT'!$A$2178:$A$2305, 0))</f>
        <v>0</v>
      </c>
      <c r="AP59" s="176">
        <f>INDEX('STOPE SUMMARY PIVOT'!$K$2178:$K$2305, MATCH(AO$1,'STOPE SUMMARY PIVOT'!$A$2178:$A$2305, 0))</f>
        <v>0</v>
      </c>
      <c r="AQ59" s="172">
        <f>INDEX('STOPE SUMMARY PIVOT'!$J$2178:$J$2305, MATCH(AQ$1,'STOPE SUMMARY PIVOT'!$A$2178:$A$2305, 0))</f>
        <v>0</v>
      </c>
      <c r="AR59" s="176">
        <f>INDEX('STOPE SUMMARY PIVOT'!$K$2178:$K$2305, MATCH(AQ$1,'STOPE SUMMARY PIVOT'!$A$2178:$A$2305, 0))</f>
        <v>0</v>
      </c>
      <c r="AS59" s="172">
        <f>INDEX('STOPE SUMMARY PIVOT'!$J$2178:$J$2305, MATCH(AS$1,'STOPE SUMMARY PIVOT'!$A$2178:$A$2305, 0))</f>
        <v>0</v>
      </c>
      <c r="AT59" s="176">
        <f>INDEX('STOPE SUMMARY PIVOT'!$K$2178:$K$2305, MATCH(AS$1,'STOPE SUMMARY PIVOT'!$A$2178:$A$2305, 0))</f>
        <v>0</v>
      </c>
      <c r="AU59" s="172">
        <f>INDEX('STOPE SUMMARY PIVOT'!$J$2178:$J$2305, MATCH(AU$1,'STOPE SUMMARY PIVOT'!$A$2178:$A$2305, 0))</f>
        <v>0</v>
      </c>
      <c r="AV59" s="176">
        <f>INDEX('STOPE SUMMARY PIVOT'!$K$2178:$K$2305, MATCH(AU$1,'STOPE SUMMARY PIVOT'!$A$2178:$A$2305, 0))</f>
        <v>0</v>
      </c>
      <c r="AW59" s="172">
        <f>INDEX('STOPE SUMMARY PIVOT'!$J$2178:$J$2305, MATCH(AW$1,'STOPE SUMMARY PIVOT'!$A$2178:$A$2305, 0))</f>
        <v>0</v>
      </c>
      <c r="AX59" s="176">
        <f>INDEX('STOPE SUMMARY PIVOT'!$K$2178:$K$2305, MATCH(AW$1,'STOPE SUMMARY PIVOT'!$A$2178:$A$2305, 0))</f>
        <v>0</v>
      </c>
      <c r="AY59" s="172">
        <f>INDEX('STOPE SUMMARY PIVOT'!$J$2178:$J$2305, MATCH(AY$1,'STOPE SUMMARY PIVOT'!$A$2178:$A$2305, 0))</f>
        <v>0</v>
      </c>
      <c r="AZ59" s="176">
        <f>INDEX('STOPE SUMMARY PIVOT'!$K$2178:$K$2305, MATCH(AY$1,'STOPE SUMMARY PIVOT'!$A$2178:$A$2305, 0))</f>
        <v>0</v>
      </c>
      <c r="BA59" s="172">
        <f>INDEX('STOPE SUMMARY PIVOT'!$J$2178:$J$2305, MATCH(BA$1,'STOPE SUMMARY PIVOT'!$A$2178:$A$2305, 0))</f>
        <v>0</v>
      </c>
      <c r="BB59" s="176">
        <f>INDEX('STOPE SUMMARY PIVOT'!$K$2178:$K$2305, MATCH(BA$1,'STOPE SUMMARY PIVOT'!$A$2178:$A$2305, 0))</f>
        <v>0</v>
      </c>
      <c r="BC59" s="172">
        <f>INDEX('STOPE SUMMARY PIVOT'!$J$2178:$J$2305, MATCH(BC$1,'STOPE SUMMARY PIVOT'!$A$2178:$A$2305, 0))</f>
        <v>0</v>
      </c>
      <c r="BD59" s="176">
        <f>INDEX('STOPE SUMMARY PIVOT'!$K$2178:$K$2305, MATCH(BC$1,'STOPE SUMMARY PIVOT'!$A$2178:$A$2305, 0))</f>
        <v>0</v>
      </c>
      <c r="BE59" s="172">
        <f>INDEX('STOPE SUMMARY PIVOT'!$J$2178:$J$2305, MATCH(BE$1,'STOPE SUMMARY PIVOT'!$A$2178:$A$2305, 0))</f>
        <v>0</v>
      </c>
      <c r="BF59" s="176">
        <f>INDEX('STOPE SUMMARY PIVOT'!$K$2178:$K$2305, MATCH(BE$1,'STOPE SUMMARY PIVOT'!$A$2178:$A$2305, 0))</f>
        <v>0</v>
      </c>
      <c r="BG59" s="172">
        <f>INDEX('STOPE SUMMARY PIVOT'!$J$2178:$J$2305, MATCH(BG$1,'STOPE SUMMARY PIVOT'!$A$2178:$A$2305, 0))</f>
        <v>0</v>
      </c>
      <c r="BH59" s="176">
        <f>INDEX('STOPE SUMMARY PIVOT'!$K$2178:$K$2305, MATCH(BG$1,'STOPE SUMMARY PIVOT'!$A$2178:$A$2305, 0))</f>
        <v>0</v>
      </c>
      <c r="BI59" s="172">
        <f>INDEX('STOPE SUMMARY PIVOT'!$J$2178:$J$2305, MATCH(BI$1,'STOPE SUMMARY PIVOT'!$A$2178:$A$2305, 0))</f>
        <v>0</v>
      </c>
      <c r="BJ59" s="176">
        <f>INDEX('STOPE SUMMARY PIVOT'!$K$2178:$K$2305, MATCH(BI$1,'STOPE SUMMARY PIVOT'!$A$2178:$A$2305, 0))</f>
        <v>0</v>
      </c>
      <c r="BK59" s="172">
        <f>INDEX('STOPE SUMMARY PIVOT'!$J$2178:$J$2305, MATCH(BK$1,'STOPE SUMMARY PIVOT'!$A$2178:$A$2305, 0))</f>
        <v>0</v>
      </c>
      <c r="BL59" s="176">
        <f>INDEX('STOPE SUMMARY PIVOT'!$K$2178:$K$2305, MATCH(BK$1,'STOPE SUMMARY PIVOT'!$A$2178:$A$2305, 0))</f>
        <v>0</v>
      </c>
      <c r="BM59" s="172">
        <f>INDEX('STOPE SUMMARY PIVOT'!$J$2178:$J$2305, MATCH(BM$1,'STOPE SUMMARY PIVOT'!$A$2178:$A$2305, 0))</f>
        <v>0</v>
      </c>
      <c r="BN59" s="176">
        <f>INDEX('STOPE SUMMARY PIVOT'!$K$2178:$K$2305, MATCH(BM$1,'STOPE SUMMARY PIVOT'!$A$2178:$A$2305, 0))</f>
        <v>0</v>
      </c>
      <c r="BO59" s="172">
        <f>INDEX('STOPE SUMMARY PIVOT'!$J$2178:$J$2305, MATCH(BO$1,'STOPE SUMMARY PIVOT'!$A$2178:$A$2305, 0))</f>
        <v>0</v>
      </c>
      <c r="BP59" s="176">
        <f>INDEX('STOPE SUMMARY PIVOT'!$K$2178:$K$2305, MATCH(BO$1,'STOPE SUMMARY PIVOT'!$A$2178:$A$2305, 0))</f>
        <v>0</v>
      </c>
      <c r="BQ59" s="172">
        <f>INDEX('STOPE SUMMARY PIVOT'!$J$2178:$J$2305, MATCH(BQ$1,'STOPE SUMMARY PIVOT'!$A$2178:$A$2305, 0))</f>
        <v>0</v>
      </c>
      <c r="BR59" s="176">
        <f>INDEX('STOPE SUMMARY PIVOT'!$K$2178:$K$2305, MATCH(BQ$1,'STOPE SUMMARY PIVOT'!$A$2178:$A$2305, 0))</f>
        <v>0</v>
      </c>
      <c r="BS59" s="172">
        <f>INDEX('STOPE SUMMARY PIVOT'!$J$2178:$J$2305, MATCH(BS$1,'STOPE SUMMARY PIVOT'!$A$2178:$A$2305, 0))</f>
        <v>0</v>
      </c>
      <c r="BT59" s="176">
        <f>INDEX('STOPE SUMMARY PIVOT'!$K$2178:$K$2305, MATCH(BS$1,'STOPE SUMMARY PIVOT'!$A$2178:$A$2305, 0))</f>
        <v>0</v>
      </c>
      <c r="BU59" s="172">
        <f>INDEX('STOPE SUMMARY PIVOT'!$J$2178:$J$2305, MATCH(BU$1,'STOPE SUMMARY PIVOT'!$A$2178:$A$2305, 0))</f>
        <v>0</v>
      </c>
      <c r="BV59" s="176">
        <f>INDEX('STOPE SUMMARY PIVOT'!$K$2178:$K$2305, MATCH(BU$1,'STOPE SUMMARY PIVOT'!$A$2178:$A$2305, 0))</f>
        <v>0</v>
      </c>
      <c r="BW59" s="172">
        <f>INDEX('STOPE SUMMARY PIVOT'!$J$2178:$J$2305, MATCH(BW$1,'STOPE SUMMARY PIVOT'!$A$2178:$A$2305, 0))</f>
        <v>0</v>
      </c>
      <c r="BX59" s="176">
        <f>INDEX('STOPE SUMMARY PIVOT'!$K$2178:$K$2305, MATCH(BW$1,'STOPE SUMMARY PIVOT'!$A$2178:$A$2305, 0))</f>
        <v>0</v>
      </c>
      <c r="BY59" s="172">
        <f>INDEX('STOPE SUMMARY PIVOT'!$J$2178:$J$2305, MATCH(BY$1,'STOPE SUMMARY PIVOT'!$A$2178:$A$2305, 0))</f>
        <v>0</v>
      </c>
      <c r="BZ59" s="176">
        <f>INDEX('STOPE SUMMARY PIVOT'!$K$2178:$K$2305, MATCH(BY$1,'STOPE SUMMARY PIVOT'!$A$2178:$A$2305, 0))</f>
        <v>0</v>
      </c>
      <c r="CA59" s="172">
        <f>INDEX('STOPE SUMMARY PIVOT'!$J$2178:$J$2305, MATCH(CA$1,'STOPE SUMMARY PIVOT'!$A$2178:$A$2305, 0))</f>
        <v>0</v>
      </c>
      <c r="CB59" s="176">
        <f>INDEX('STOPE SUMMARY PIVOT'!$K$2178:$K$2305, MATCH(CA$1,'STOPE SUMMARY PIVOT'!$A$2178:$A$2305, 0))</f>
        <v>0</v>
      </c>
      <c r="CC59" s="172">
        <f>INDEX('STOPE SUMMARY PIVOT'!$J$2178:$J$2305, MATCH(CC$1,'STOPE SUMMARY PIVOT'!$A$2178:$A$2305, 0))</f>
        <v>0</v>
      </c>
      <c r="CD59" s="176">
        <f>INDEX('STOPE SUMMARY PIVOT'!$K$2178:$K$2305, MATCH(CC$1,'STOPE SUMMARY PIVOT'!$A$2178:$A$2305, 0))</f>
        <v>0</v>
      </c>
      <c r="CE59" s="172">
        <f>INDEX('STOPE SUMMARY PIVOT'!$J$2178:$J$2305, MATCH(CE$1,'STOPE SUMMARY PIVOT'!$A$2178:$A$2305, 0))</f>
        <v>0</v>
      </c>
      <c r="CF59" s="176">
        <f>INDEX('STOPE SUMMARY PIVOT'!$K$2178:$K$2305, MATCH(CE$1,'STOPE SUMMARY PIVOT'!$A$2178:$A$2305, 0))</f>
        <v>0</v>
      </c>
      <c r="CG59" s="172">
        <f>INDEX('STOPE SUMMARY PIVOT'!$J$2178:$J$2305, MATCH(CG$1,'STOPE SUMMARY PIVOT'!$A$2178:$A$2305, 0))</f>
        <v>0</v>
      </c>
      <c r="CH59" s="176">
        <f>INDEX('STOPE SUMMARY PIVOT'!$K$2178:$K$2305, MATCH(CG$1,'STOPE SUMMARY PIVOT'!$A$2178:$A$2305, 0))</f>
        <v>0</v>
      </c>
      <c r="CI59" s="172">
        <f>INDEX('STOPE SUMMARY PIVOT'!$J$2178:$J$2305, MATCH(CI$1,'STOPE SUMMARY PIVOT'!$A$2178:$A$2305, 0))</f>
        <v>0</v>
      </c>
      <c r="CJ59" s="176">
        <f>INDEX('STOPE SUMMARY PIVOT'!$K$2178:$K$2305, MATCH(CI$1,'STOPE SUMMARY PIVOT'!$A$2178:$A$2305, 0))</f>
        <v>0</v>
      </c>
      <c r="CK59" s="172">
        <f>INDEX('STOPE SUMMARY PIVOT'!$J$2178:$J$2305, MATCH(CK$1,'STOPE SUMMARY PIVOT'!$A$2178:$A$2305, 0))</f>
        <v>0</v>
      </c>
      <c r="CL59" s="176">
        <f>INDEX('STOPE SUMMARY PIVOT'!$K$2178:$K$2305, MATCH(CK$1,'STOPE SUMMARY PIVOT'!$A$2178:$A$2305, 0))</f>
        <v>0</v>
      </c>
      <c r="CM59" s="172">
        <f>INDEX('STOPE SUMMARY PIVOT'!$J$2178:$J$2305, MATCH(CM$1,'STOPE SUMMARY PIVOT'!$A$2178:$A$2305, 0))</f>
        <v>0</v>
      </c>
      <c r="CN59" s="176">
        <f>INDEX('STOPE SUMMARY PIVOT'!$K$2178:$K$2305, MATCH(CM$1,'STOPE SUMMARY PIVOT'!$A$2178:$A$2305, 0))</f>
        <v>0</v>
      </c>
      <c r="CO59" s="172">
        <f>INDEX('STOPE SUMMARY PIVOT'!$J$2178:$J$2305, MATCH(CO$1,'STOPE SUMMARY PIVOT'!$A$2178:$A$2305, 0))</f>
        <v>0</v>
      </c>
      <c r="CP59" s="176">
        <f>INDEX('STOPE SUMMARY PIVOT'!$K$2178:$K$2305, MATCH(CO$1,'STOPE SUMMARY PIVOT'!$A$2178:$A$2305, 0))</f>
        <v>0</v>
      </c>
      <c r="CQ59" s="172">
        <f>INDEX('STOPE SUMMARY PIVOT'!$J$2178:$J$2305, MATCH(CQ$1,'STOPE SUMMARY PIVOT'!$A$2178:$A$2305, 0))</f>
        <v>0</v>
      </c>
      <c r="CR59" s="176">
        <f>INDEX('STOPE SUMMARY PIVOT'!$K$2178:$K$2305, MATCH(CQ$1,'STOPE SUMMARY PIVOT'!$A$2178:$A$2305, 0))</f>
        <v>0</v>
      </c>
      <c r="CS59" s="172">
        <f>INDEX('STOPE SUMMARY PIVOT'!$J$2178:$J$2305, MATCH(CS$1,'STOPE SUMMARY PIVOT'!$A$2178:$A$2305, 0))</f>
        <v>0</v>
      </c>
      <c r="CT59" s="176">
        <f>INDEX('STOPE SUMMARY PIVOT'!$K$2178:$K$2305, MATCH(CS$1,'STOPE SUMMARY PIVOT'!$A$2178:$A$2305, 0))</f>
        <v>0</v>
      </c>
      <c r="CU59" s="172">
        <f>INDEX('STOPE SUMMARY PIVOT'!$J$2178:$J$2305, MATCH(CU$1,'STOPE SUMMARY PIVOT'!$A$2178:$A$2305, 0))</f>
        <v>0</v>
      </c>
      <c r="CV59" s="176">
        <f>INDEX('STOPE SUMMARY PIVOT'!$K$2178:$K$2305, MATCH(CU$1,'STOPE SUMMARY PIVOT'!$A$2178:$A$2305, 0))</f>
        <v>0</v>
      </c>
      <c r="CW59" s="172">
        <f>INDEX('STOPE SUMMARY PIVOT'!$J$2178:$J$2305, MATCH(CW$1,'STOPE SUMMARY PIVOT'!$A$2178:$A$2305, 0))</f>
        <v>0</v>
      </c>
      <c r="CX59" s="176">
        <f>INDEX('STOPE SUMMARY PIVOT'!$K$2178:$K$2305, MATCH(CW$1,'STOPE SUMMARY PIVOT'!$A$2178:$A$2305, 0))</f>
        <v>0</v>
      </c>
      <c r="CY59" s="172">
        <f>INDEX('STOPE SUMMARY PIVOT'!$J$2178:$J$2305, MATCH(CY$1,'STOPE SUMMARY PIVOT'!$A$2178:$A$2305, 0))</f>
        <v>0</v>
      </c>
      <c r="CZ59" s="176">
        <f>INDEX('STOPE SUMMARY PIVOT'!$K$2178:$K$2305, MATCH(CY$1,'STOPE SUMMARY PIVOT'!$A$2178:$A$2305, 0))</f>
        <v>0</v>
      </c>
      <c r="DA59" s="172">
        <f>INDEX('STOPE SUMMARY PIVOT'!$J$2178:$J$2305, MATCH(DA$1,'STOPE SUMMARY PIVOT'!$A$2178:$A$2305, 0))</f>
        <v>0</v>
      </c>
      <c r="DB59" s="176">
        <f>INDEX('STOPE SUMMARY PIVOT'!$K$2178:$K$2305, MATCH(DA$1,'STOPE SUMMARY PIVOT'!$A$2178:$A$2305, 0))</f>
        <v>0</v>
      </c>
      <c r="DC59" s="172">
        <f>INDEX('STOPE SUMMARY PIVOT'!$J$2178:$J$2305, MATCH(DC$1,'STOPE SUMMARY PIVOT'!$A$2178:$A$2305, 0))</f>
        <v>0</v>
      </c>
      <c r="DD59" s="176">
        <f>INDEX('STOPE SUMMARY PIVOT'!$K$2178:$K$2305, MATCH(DC$1,'STOPE SUMMARY PIVOT'!$A$2178:$A$2305, 0))</f>
        <v>0</v>
      </c>
      <c r="DE59" s="172">
        <f>INDEX('STOPE SUMMARY PIVOT'!$J$2178:$J$2305, MATCH(DE$1,'STOPE SUMMARY PIVOT'!$A$2178:$A$2305, 0))</f>
        <v>0</v>
      </c>
      <c r="DF59" s="176">
        <f>INDEX('STOPE SUMMARY PIVOT'!$K$2178:$K$2305, MATCH(DE$1,'STOPE SUMMARY PIVOT'!$A$2178:$A$2305, 0))</f>
        <v>0</v>
      </c>
      <c r="DG59" s="172">
        <f>INDEX('STOPE SUMMARY PIVOT'!$J$2178:$J$2305, MATCH(DG$1,'STOPE SUMMARY PIVOT'!$A$2178:$A$2305, 0))</f>
        <v>0</v>
      </c>
      <c r="DH59" s="176">
        <f>INDEX('STOPE SUMMARY PIVOT'!$K$2178:$K$2305, MATCH(DG$1,'STOPE SUMMARY PIVOT'!$A$2178:$A$2305, 0))</f>
        <v>0</v>
      </c>
      <c r="DI59" s="172">
        <f>INDEX('STOPE SUMMARY PIVOT'!$J$2178:$J$2305, MATCH(DI$1,'STOPE SUMMARY PIVOT'!$A$2178:$A$2305, 0))</f>
        <v>0</v>
      </c>
      <c r="DJ59" s="176">
        <f>INDEX('STOPE SUMMARY PIVOT'!$K$2178:$K$2305, MATCH(DI$1,'STOPE SUMMARY PIVOT'!$A$2178:$A$2305, 0))</f>
        <v>0</v>
      </c>
      <c r="DK59" s="172">
        <f>INDEX('STOPE SUMMARY PIVOT'!$J$2178:$J$2305, MATCH(DK$1,'STOPE SUMMARY PIVOT'!$A$2178:$A$2305, 0))</f>
        <v>0</v>
      </c>
      <c r="DL59" s="176">
        <f>INDEX('STOPE SUMMARY PIVOT'!$K$2178:$K$2305, MATCH(DK$1,'STOPE SUMMARY PIVOT'!$A$2178:$A$2305, 0))</f>
        <v>0</v>
      </c>
      <c r="DM59" s="172">
        <f>INDEX('STOPE SUMMARY PIVOT'!$J$2178:$J$2305, MATCH(DM$1,'STOPE SUMMARY PIVOT'!$A$2178:$A$2305, 0))</f>
        <v>0</v>
      </c>
      <c r="DN59" s="176">
        <f>INDEX('STOPE SUMMARY PIVOT'!$K$2178:$K$2305, MATCH(DM$1,'STOPE SUMMARY PIVOT'!$A$2178:$A$2305, 0))</f>
        <v>0</v>
      </c>
      <c r="DO59" s="172">
        <f>INDEX('STOPE SUMMARY PIVOT'!$J$2178:$J$2305, MATCH(DO$1,'STOPE SUMMARY PIVOT'!$A$2178:$A$2305, 0))</f>
        <v>0</v>
      </c>
      <c r="DP59" s="176">
        <f>INDEX('STOPE SUMMARY PIVOT'!$K$2178:$K$2305, MATCH(DO$1,'STOPE SUMMARY PIVOT'!$A$2178:$A$2305, 0))</f>
        <v>0</v>
      </c>
      <c r="DQ59" s="172">
        <f>INDEX('STOPE SUMMARY PIVOT'!$J$2178:$J$2305, MATCH(DQ$1,'STOPE SUMMARY PIVOT'!$A$2178:$A$2305, 0))</f>
        <v>0</v>
      </c>
      <c r="DR59" s="176">
        <f>INDEX('STOPE SUMMARY PIVOT'!$K$2178:$K$2305, MATCH(DQ$1,'STOPE SUMMARY PIVOT'!$A$2178:$A$2305, 0))</f>
        <v>0</v>
      </c>
      <c r="DS59" s="172">
        <f>INDEX('STOPE SUMMARY PIVOT'!$J$2178:$J$2305, MATCH(DS$1,'STOPE SUMMARY PIVOT'!$A$2178:$A$2305, 0))</f>
        <v>0</v>
      </c>
      <c r="DT59" s="176">
        <f>INDEX('STOPE SUMMARY PIVOT'!$K$2178:$K$2305, MATCH(DS$1,'STOPE SUMMARY PIVOT'!$A$2178:$A$2305, 0))</f>
        <v>0</v>
      </c>
      <c r="DU59" s="172">
        <f>INDEX('STOPE SUMMARY PIVOT'!$J$2178:$J$2305, MATCH(DU$1,'STOPE SUMMARY PIVOT'!$A$2178:$A$2305, 0))</f>
        <v>0</v>
      </c>
      <c r="DV59" s="176">
        <f>INDEX('STOPE SUMMARY PIVOT'!$K$2178:$K$2305, MATCH(DU$1,'STOPE SUMMARY PIVOT'!$A$2178:$A$2305, 0))</f>
        <v>0</v>
      </c>
      <c r="DW59" s="172">
        <f>INDEX('STOPE SUMMARY PIVOT'!$J$2178:$J$2305, MATCH(DW$1,'STOPE SUMMARY PIVOT'!$A$2178:$A$2305, 0))</f>
        <v>0</v>
      </c>
      <c r="DX59" s="176">
        <f>INDEX('STOPE SUMMARY PIVOT'!$K$2178:$K$2305, MATCH(DW$1,'STOPE SUMMARY PIVOT'!$A$2178:$A$2305, 0))</f>
        <v>0</v>
      </c>
      <c r="DY59" s="172">
        <f>INDEX('STOPE SUMMARY PIVOT'!$J$2178:$J$2305, MATCH(DY$1,'STOPE SUMMARY PIVOT'!$A$2178:$A$2305, 0))</f>
        <v>0</v>
      </c>
      <c r="DZ59" s="176">
        <f>INDEX('STOPE SUMMARY PIVOT'!$K$2178:$K$2305, MATCH(DY$1,'STOPE SUMMARY PIVOT'!$A$2178:$A$2305, 0))</f>
        <v>0</v>
      </c>
      <c r="EA59" s="172">
        <f>INDEX('STOPE SUMMARY PIVOT'!$J$2178:$J$2305, MATCH(EA$1,'STOPE SUMMARY PIVOT'!$A$2178:$A$2305, 0))</f>
        <v>0</v>
      </c>
      <c r="EB59" s="176">
        <f>INDEX('STOPE SUMMARY PIVOT'!$K$2178:$K$2305, MATCH(EA$1,'STOPE SUMMARY PIVOT'!$A$2178:$A$2305, 0))</f>
        <v>0</v>
      </c>
      <c r="EC59" s="172">
        <f>INDEX('STOPE SUMMARY PIVOT'!$J$2178:$J$2305, MATCH(EC$1,'STOPE SUMMARY PIVOT'!$A$2178:$A$2305, 0))</f>
        <v>0</v>
      </c>
      <c r="ED59" s="176">
        <f>INDEX('STOPE SUMMARY PIVOT'!$K$2178:$K$2305, MATCH(EC$1,'STOPE SUMMARY PIVOT'!$A$2178:$A$2305, 0))</f>
        <v>0</v>
      </c>
      <c r="EE59" s="172">
        <f>INDEX('STOPE SUMMARY PIVOT'!$J$2178:$J$2305, MATCH(EE$1,'STOPE SUMMARY PIVOT'!$A$2178:$A$2305, 0))</f>
        <v>0</v>
      </c>
      <c r="EF59" s="176">
        <f>INDEX('STOPE SUMMARY PIVOT'!$K$2178:$K$2305, MATCH(EE$1,'STOPE SUMMARY PIVOT'!$A$2178:$A$2305, 0))</f>
        <v>0</v>
      </c>
      <c r="EG59" s="172">
        <f>INDEX('STOPE SUMMARY PIVOT'!$J$2178:$J$2305, MATCH(EG$1,'STOPE SUMMARY PIVOT'!$A$2178:$A$2305, 0))</f>
        <v>0</v>
      </c>
      <c r="EH59" s="176">
        <f>INDEX('STOPE SUMMARY PIVOT'!$K$2178:$K$2305, MATCH(EG$1,'STOPE SUMMARY PIVOT'!$A$2178:$A$2305, 0))</f>
        <v>0</v>
      </c>
      <c r="EI59" s="172">
        <f>INDEX('STOPE SUMMARY PIVOT'!$J$2178:$J$2305, MATCH(EI$1,'STOPE SUMMARY PIVOT'!$A$2178:$A$2305, 0))</f>
        <v>0</v>
      </c>
      <c r="EJ59" s="176">
        <f>INDEX('STOPE SUMMARY PIVOT'!$K$2178:$K$2305, MATCH(EI$1,'STOPE SUMMARY PIVOT'!$A$2178:$A$2305, 0))</f>
        <v>0</v>
      </c>
      <c r="EK59" s="172">
        <f>INDEX('STOPE SUMMARY PIVOT'!$J$2178:$J$2305, MATCH(EK$1,'STOPE SUMMARY PIVOT'!$A$2178:$A$2305, 0))</f>
        <v>0</v>
      </c>
      <c r="EL59" s="176">
        <f>INDEX('STOPE SUMMARY PIVOT'!$K$2178:$K$2305, MATCH(EK$1,'STOPE SUMMARY PIVOT'!$A$2178:$A$2305, 0))</f>
        <v>0</v>
      </c>
      <c r="EM59" s="172">
        <f>INDEX('STOPE SUMMARY PIVOT'!$J$2178:$J$2305, MATCH(EM$1,'STOPE SUMMARY PIVOT'!$A$2178:$A$2305, 0))</f>
        <v>0</v>
      </c>
      <c r="EN59" s="176">
        <f>INDEX('STOPE SUMMARY PIVOT'!$K$2178:$K$2305, MATCH(EM$1,'STOPE SUMMARY PIVOT'!$A$2178:$A$2305, 0))</f>
        <v>0</v>
      </c>
      <c r="EO59" s="172">
        <f>INDEX('STOPE SUMMARY PIVOT'!$J$2178:$J$2305, MATCH(EO$1,'STOPE SUMMARY PIVOT'!$A$2178:$A$2305, 0))</f>
        <v>0</v>
      </c>
      <c r="EP59" s="176">
        <f>INDEX('STOPE SUMMARY PIVOT'!$K$2178:$K$2305, MATCH(EO$1,'STOPE SUMMARY PIVOT'!$A$2178:$A$2305, 0))</f>
        <v>0</v>
      </c>
      <c r="EQ59" s="172">
        <f>INDEX('STOPE SUMMARY PIVOT'!$J$2178:$J$2305, MATCH(EQ$1,'STOPE SUMMARY PIVOT'!$A$2178:$A$2305, 0))</f>
        <v>0</v>
      </c>
      <c r="ER59" s="176">
        <f>INDEX('STOPE SUMMARY PIVOT'!$K$2178:$K$2305, MATCH(EQ$1,'STOPE SUMMARY PIVOT'!$A$2178:$A$2305, 0))</f>
        <v>0</v>
      </c>
      <c r="ES59" s="172">
        <f>INDEX('STOPE SUMMARY PIVOT'!$J$2178:$J$2305, MATCH(ES$1,'STOPE SUMMARY PIVOT'!$A$2178:$A$2305, 0))</f>
        <v>0</v>
      </c>
      <c r="ET59" s="176">
        <f>INDEX('STOPE SUMMARY PIVOT'!$K$2178:$K$2305, MATCH(ES$1,'STOPE SUMMARY PIVOT'!$A$2178:$A$2305, 0))</f>
        <v>0</v>
      </c>
      <c r="EU59" s="172">
        <f>INDEX('STOPE SUMMARY PIVOT'!$J$2178:$J$2305, MATCH(EU$1,'STOPE SUMMARY PIVOT'!$A$2178:$A$2305, 0))</f>
        <v>0</v>
      </c>
      <c r="EV59" s="176">
        <f>INDEX('STOPE SUMMARY PIVOT'!$K$2178:$K$2305, MATCH(EU$1,'STOPE SUMMARY PIVOT'!$A$2178:$A$2305, 0))</f>
        <v>0</v>
      </c>
      <c r="EW59" s="172">
        <f>INDEX('STOPE SUMMARY PIVOT'!$J$2178:$J$2305, MATCH(EW$1,'STOPE SUMMARY PIVOT'!$A$2178:$A$2305, 0))</f>
        <v>0</v>
      </c>
      <c r="EX59" s="176">
        <f>INDEX('STOPE SUMMARY PIVOT'!$K$2178:$K$2305, MATCH(EW$1,'STOPE SUMMARY PIVOT'!$A$2178:$A$2305, 0))</f>
        <v>0</v>
      </c>
      <c r="EY59" s="172">
        <f>INDEX('STOPE SUMMARY PIVOT'!$J$2178:$J$2305, MATCH(EY$1,'STOPE SUMMARY PIVOT'!$A$2178:$A$2305, 0))</f>
        <v>0</v>
      </c>
      <c r="EZ59" s="176">
        <f>INDEX('STOPE SUMMARY PIVOT'!$K$2178:$K$2305, MATCH(EY$1,'STOPE SUMMARY PIVOT'!$A$2178:$A$2305, 0))</f>
        <v>0</v>
      </c>
      <c r="FA59" s="172">
        <f>INDEX('STOPE SUMMARY PIVOT'!$J$2178:$J$2305, MATCH(FA$1,'STOPE SUMMARY PIVOT'!$A$2178:$A$2305, 0))</f>
        <v>0</v>
      </c>
      <c r="FB59" s="176">
        <f>INDEX('STOPE SUMMARY PIVOT'!$K$2178:$K$2305, MATCH(FA$1,'STOPE SUMMARY PIVOT'!$A$2178:$A$2305, 0))</f>
        <v>0</v>
      </c>
      <c r="FC59" s="172">
        <f>INDEX('STOPE SUMMARY PIVOT'!$J$2178:$J$2305, MATCH(FC$1,'STOPE SUMMARY PIVOT'!$A$2178:$A$2305, 0))</f>
        <v>0</v>
      </c>
      <c r="FD59" s="176">
        <f>INDEX('STOPE SUMMARY PIVOT'!$K$2178:$K$2305, MATCH(FC$1,'STOPE SUMMARY PIVOT'!$A$2178:$A$2305, 0))</f>
        <v>0</v>
      </c>
      <c r="FE59" s="172">
        <f>INDEX('STOPE SUMMARY PIVOT'!$J$2178:$J$2305, MATCH(FE$1,'STOPE SUMMARY PIVOT'!$A$2178:$A$2305, 0))</f>
        <v>0</v>
      </c>
      <c r="FF59" s="176">
        <f>INDEX('STOPE SUMMARY PIVOT'!$K$2178:$K$2305, MATCH(FE$1,'STOPE SUMMARY PIVOT'!$A$2178:$A$2305, 0))</f>
        <v>0</v>
      </c>
      <c r="FG59" s="172">
        <f>INDEX('STOPE SUMMARY PIVOT'!$J$2178:$J$2305, MATCH(FG$1,'STOPE SUMMARY PIVOT'!$A$2178:$A$2305, 0))</f>
        <v>0</v>
      </c>
      <c r="FH59" s="176">
        <f>INDEX('STOPE SUMMARY PIVOT'!$K$2178:$K$2305, MATCH(FG$1,'STOPE SUMMARY PIVOT'!$A$2178:$A$2305, 0))</f>
        <v>0</v>
      </c>
      <c r="FI59" s="172">
        <f>INDEX('STOPE SUMMARY PIVOT'!$J$2178:$J$2305, MATCH(FI$1,'STOPE SUMMARY PIVOT'!$A$2178:$A$2305, 0))</f>
        <v>0</v>
      </c>
      <c r="FJ59" s="176">
        <f>INDEX('STOPE SUMMARY PIVOT'!$K$2178:$K$2305, MATCH(FI$1,'STOPE SUMMARY PIVOT'!$A$2178:$A$2305, 0))</f>
        <v>0</v>
      </c>
      <c r="FK59" s="172">
        <f>INDEX('STOPE SUMMARY PIVOT'!$J$2178:$J$2305, MATCH(FK$1,'STOPE SUMMARY PIVOT'!$A$2178:$A$2305, 0))</f>
        <v>0</v>
      </c>
      <c r="FL59" s="176">
        <f>INDEX('STOPE SUMMARY PIVOT'!$K$2178:$K$2305, MATCH(FK$1,'STOPE SUMMARY PIVOT'!$A$2178:$A$2305, 0))</f>
        <v>0</v>
      </c>
      <c r="FM59" s="172">
        <f>INDEX('STOPE SUMMARY PIVOT'!$J$2178:$J$2305, MATCH(FM$1,'STOPE SUMMARY PIVOT'!$A$2178:$A$2305, 0))</f>
        <v>0</v>
      </c>
      <c r="FN59" s="176">
        <f>INDEX('STOPE SUMMARY PIVOT'!$K$2178:$K$2305, MATCH(FM$1,'STOPE SUMMARY PIVOT'!$A$2178:$A$2305, 0))</f>
        <v>0</v>
      </c>
      <c r="FO59" s="172">
        <f>INDEX('STOPE SUMMARY PIVOT'!$J$2178:$J$2305, MATCH(FO$1,'STOPE SUMMARY PIVOT'!$A$2178:$A$2305, 0))</f>
        <v>0</v>
      </c>
      <c r="FP59" s="176">
        <f>INDEX('STOPE SUMMARY PIVOT'!$K$2178:$K$2305, MATCH(FO$1,'STOPE SUMMARY PIVOT'!$A$2178:$A$2305, 0))</f>
        <v>0</v>
      </c>
      <c r="FQ59" s="172">
        <f>INDEX('STOPE SUMMARY PIVOT'!$J$2178:$J$2305, MATCH(FQ$1,'STOPE SUMMARY PIVOT'!$A$2178:$A$2305, 0))</f>
        <v>0</v>
      </c>
      <c r="FR59" s="176">
        <f>INDEX('STOPE SUMMARY PIVOT'!$K$2178:$K$2305, MATCH(FQ$1,'STOPE SUMMARY PIVOT'!$A$2178:$A$2305, 0))</f>
        <v>0</v>
      </c>
      <c r="FS59" s="172">
        <f>INDEX('STOPE SUMMARY PIVOT'!$J$2178:$J$2305, MATCH(FS$1,'STOPE SUMMARY PIVOT'!$A$2178:$A$2305, 0))</f>
        <v>0</v>
      </c>
      <c r="FT59" s="176">
        <f>INDEX('STOPE SUMMARY PIVOT'!$K$2178:$K$2305, MATCH(FS$1,'STOPE SUMMARY PIVOT'!$A$2178:$A$2305, 0))</f>
        <v>0</v>
      </c>
      <c r="FU59" s="172">
        <f>INDEX('STOPE SUMMARY PIVOT'!$J$2178:$J$2305, MATCH(FU$1,'STOPE SUMMARY PIVOT'!$A$2178:$A$2305, 0))</f>
        <v>0</v>
      </c>
      <c r="FV59" s="176">
        <f>INDEX('STOPE SUMMARY PIVOT'!$K$2178:$K$2305, MATCH(FU$1,'STOPE SUMMARY PIVOT'!$A$2178:$A$2305, 0))</f>
        <v>0</v>
      </c>
      <c r="FW59" s="172">
        <f>INDEX('STOPE SUMMARY PIVOT'!$J$2178:$J$2305, MATCH(FW$1,'STOPE SUMMARY PIVOT'!$A$2178:$A$2305, 0))</f>
        <v>0</v>
      </c>
      <c r="FX59" s="176">
        <f>INDEX('STOPE SUMMARY PIVOT'!$K$2178:$K$2305, MATCH(FW$1,'STOPE SUMMARY PIVOT'!$A$2178:$A$2305, 0))</f>
        <v>0</v>
      </c>
      <c r="FY59" s="172">
        <f>INDEX('STOPE SUMMARY PIVOT'!$J$2178:$J$2305, MATCH(FY$1,'STOPE SUMMARY PIVOT'!$A$2178:$A$2305, 0))</f>
        <v>0</v>
      </c>
      <c r="FZ59" s="176">
        <f>INDEX('STOPE SUMMARY PIVOT'!$K$2178:$K$2305, MATCH(FY$1,'STOPE SUMMARY PIVOT'!$A$2178:$A$2305, 0))</f>
        <v>0</v>
      </c>
      <c r="GA59" s="172">
        <f>INDEX('STOPE SUMMARY PIVOT'!$J$2178:$J$2305, MATCH(GA$1,'STOPE SUMMARY PIVOT'!$A$2178:$A$2305, 0))</f>
        <v>0</v>
      </c>
      <c r="GB59" s="176">
        <f>INDEX('STOPE SUMMARY PIVOT'!$K$2178:$K$2305, MATCH(GA$1,'STOPE SUMMARY PIVOT'!$A$2178:$A$2305, 0))</f>
        <v>0</v>
      </c>
      <c r="GC59" s="172">
        <f>INDEX('STOPE SUMMARY PIVOT'!$J$2178:$J$2305, MATCH(GC$1,'STOPE SUMMARY PIVOT'!$A$2178:$A$2305, 0))</f>
        <v>0</v>
      </c>
      <c r="GD59" s="176">
        <f>INDEX('STOPE SUMMARY PIVOT'!$K$2178:$K$2305, MATCH(GC$1,'STOPE SUMMARY PIVOT'!$A$2178:$A$2305, 0))</f>
        <v>0</v>
      </c>
      <c r="GE59" s="172">
        <f>INDEX('STOPE SUMMARY PIVOT'!$J$2178:$J$2305, MATCH(GE$1,'STOPE SUMMARY PIVOT'!$A$2178:$A$2305, 0))</f>
        <v>0</v>
      </c>
      <c r="GF59" s="176">
        <f>INDEX('STOPE SUMMARY PIVOT'!$K$2178:$K$2305, MATCH(GE$1,'STOPE SUMMARY PIVOT'!$A$2178:$A$2305, 0))</f>
        <v>0</v>
      </c>
      <c r="GG59" s="172">
        <f>INDEX('STOPE SUMMARY PIVOT'!$J$2178:$J$2305, MATCH(GG$1,'STOPE SUMMARY PIVOT'!$A$2178:$A$2305, 0))</f>
        <v>0</v>
      </c>
      <c r="GH59" s="176">
        <f>INDEX('STOPE SUMMARY PIVOT'!$K$2178:$K$2305, MATCH(GG$1,'STOPE SUMMARY PIVOT'!$A$2178:$A$2305, 0))</f>
        <v>0</v>
      </c>
      <c r="GI59" s="172">
        <f>INDEX('STOPE SUMMARY PIVOT'!$J$2178:$J$2305, MATCH(GI$1,'STOPE SUMMARY PIVOT'!$A$2178:$A$2305, 0))</f>
        <v>0</v>
      </c>
      <c r="GJ59" s="176">
        <f>INDEX('STOPE SUMMARY PIVOT'!$K$2178:$K$2305, MATCH(GI$1,'STOPE SUMMARY PIVOT'!$A$2178:$A$2305, 0))</f>
        <v>0</v>
      </c>
      <c r="GK59" s="172">
        <f>INDEX('STOPE SUMMARY PIVOT'!$J$2178:$J$2305, MATCH(GK$1,'STOPE SUMMARY PIVOT'!$A$2178:$A$2305, 0))</f>
        <v>0</v>
      </c>
      <c r="GL59" s="176">
        <f>INDEX('STOPE SUMMARY PIVOT'!$K$2178:$K$2305, MATCH(GK$1,'STOPE SUMMARY PIVOT'!$A$2178:$A$2305, 0))</f>
        <v>0</v>
      </c>
      <c r="GM59" s="172">
        <f>INDEX('STOPE SUMMARY PIVOT'!$J$2178:$J$2305, MATCH(GM$1,'STOPE SUMMARY PIVOT'!$A$2178:$A$2305, 0))</f>
        <v>0</v>
      </c>
      <c r="GN59" s="176">
        <f>INDEX('STOPE SUMMARY PIVOT'!$K$2178:$K$2305, MATCH(GM$1,'STOPE SUMMARY PIVOT'!$A$2178:$A$2305, 0))</f>
        <v>0</v>
      </c>
      <c r="GO59" s="172">
        <f>INDEX('STOPE SUMMARY PIVOT'!$J$2178:$J$2305, MATCH(GO$1,'STOPE SUMMARY PIVOT'!$A$2178:$A$2305, 0))</f>
        <v>0</v>
      </c>
      <c r="GP59" s="176">
        <f>INDEX('STOPE SUMMARY PIVOT'!$K$2178:$K$2305, MATCH(GO$1,'STOPE SUMMARY PIVOT'!$A$2178:$A$2305, 0))</f>
        <v>0</v>
      </c>
      <c r="GQ59" s="172">
        <f>INDEX('STOPE SUMMARY PIVOT'!$J$2178:$J$2305, MATCH(GQ$1,'STOPE SUMMARY PIVOT'!$A$2178:$A$2305, 0))</f>
        <v>0</v>
      </c>
      <c r="GR59" s="176">
        <f>INDEX('STOPE SUMMARY PIVOT'!$K$2178:$K$2305, MATCH(GQ$1,'STOPE SUMMARY PIVOT'!$A$2178:$A$2305, 0))</f>
        <v>0</v>
      </c>
      <c r="GS59" s="172">
        <f>INDEX('STOPE SUMMARY PIVOT'!$J$2178:$J$2305, MATCH(GS$1,'STOPE SUMMARY PIVOT'!$A$2178:$A$2305, 0))</f>
        <v>0</v>
      </c>
      <c r="GT59" s="176">
        <f>INDEX('STOPE SUMMARY PIVOT'!$K$2178:$K$2305, MATCH(GS$1,'STOPE SUMMARY PIVOT'!$A$2178:$A$2305, 0))</f>
        <v>0</v>
      </c>
      <c r="GU59" s="172">
        <f>INDEX('STOPE SUMMARY PIVOT'!$J$2178:$J$2305, MATCH(GU$1,'STOPE SUMMARY PIVOT'!$A$2178:$A$2305, 0))</f>
        <v>0</v>
      </c>
      <c r="GV59" s="176">
        <f>INDEX('STOPE SUMMARY PIVOT'!$K$2178:$K$2305, MATCH(GU$1,'STOPE SUMMARY PIVOT'!$A$2178:$A$2305, 0))</f>
        <v>0</v>
      </c>
      <c r="GW59" s="172">
        <f>INDEX('STOPE SUMMARY PIVOT'!$J$2178:$J$2305, MATCH(GW$1,'STOPE SUMMARY PIVOT'!$A$2178:$A$2305, 0))</f>
        <v>0</v>
      </c>
      <c r="GX59" s="176">
        <f>INDEX('STOPE SUMMARY PIVOT'!$K$2178:$K$2305, MATCH(GW$1,'STOPE SUMMARY PIVOT'!$A$2178:$A$2305, 0))</f>
        <v>0</v>
      </c>
      <c r="GY59" s="172">
        <f>INDEX('STOPE SUMMARY PIVOT'!$J$2178:$J$2305, MATCH(GY$1,'STOPE SUMMARY PIVOT'!$A$2178:$A$2305, 0))</f>
        <v>0</v>
      </c>
      <c r="GZ59" s="176">
        <f>INDEX('STOPE SUMMARY PIVOT'!$K$2178:$K$2305, MATCH(GY$1,'STOPE SUMMARY PIVOT'!$A$2178:$A$2305, 0))</f>
        <v>0</v>
      </c>
      <c r="HA59" s="172">
        <f>INDEX('STOPE SUMMARY PIVOT'!$J$2178:$J$2305, MATCH(HA$1,'STOPE SUMMARY PIVOT'!$A$2178:$A$2305, 0))</f>
        <v>0</v>
      </c>
      <c r="HB59" s="176">
        <f>INDEX('STOPE SUMMARY PIVOT'!$K$2178:$K$2305, MATCH(HA$1,'STOPE SUMMARY PIVOT'!$A$2178:$A$2305, 0))</f>
        <v>0</v>
      </c>
      <c r="HC59" s="172">
        <f>INDEX('STOPE SUMMARY PIVOT'!$J$2178:$J$2305, MATCH(HC$1,'STOPE SUMMARY PIVOT'!$A$2178:$A$2305, 0))</f>
        <v>0</v>
      </c>
      <c r="HD59" s="176">
        <f>INDEX('STOPE SUMMARY PIVOT'!$K$2178:$K$2305, MATCH(HC$1,'STOPE SUMMARY PIVOT'!$A$2178:$A$2305, 0))</f>
        <v>0</v>
      </c>
      <c r="HE59" s="172">
        <f>INDEX('STOPE SUMMARY PIVOT'!$J$2178:$J$2305, MATCH(HE$1,'STOPE SUMMARY PIVOT'!$A$2178:$A$2305, 0))</f>
        <v>0</v>
      </c>
      <c r="HF59" s="176">
        <f>INDEX('STOPE SUMMARY PIVOT'!$K$2178:$K$2305, MATCH(HE$1,'STOPE SUMMARY PIVOT'!$A$2178:$A$2305, 0))</f>
        <v>0</v>
      </c>
      <c r="HG59" s="172">
        <f>INDEX('STOPE SUMMARY PIVOT'!$J$2178:$J$2305, MATCH(HG$1,'STOPE SUMMARY PIVOT'!$A$2178:$A$2305, 0))</f>
        <v>0</v>
      </c>
      <c r="HH59" s="176">
        <f>INDEX('STOPE SUMMARY PIVOT'!$K$2178:$K$2305, MATCH(HG$1,'STOPE SUMMARY PIVOT'!$A$2178:$A$2305, 0))</f>
        <v>0</v>
      </c>
      <c r="HI59" s="172">
        <f>INDEX('STOPE SUMMARY PIVOT'!$J$2178:$J$2305, MATCH(HI$1,'STOPE SUMMARY PIVOT'!$A$2178:$A$2305, 0))</f>
        <v>0</v>
      </c>
      <c r="HJ59" s="176">
        <f>INDEX('STOPE SUMMARY PIVOT'!$K$2178:$K$2305, MATCH(HI$1,'STOPE SUMMARY PIVOT'!$A$2178:$A$2305, 0))</f>
        <v>0</v>
      </c>
      <c r="HK59" s="172">
        <f>INDEX('STOPE SUMMARY PIVOT'!$J$2178:$J$2305, MATCH(HK$1,'STOPE SUMMARY PIVOT'!$A$2178:$A$2305, 0))</f>
        <v>0</v>
      </c>
      <c r="HL59" s="176">
        <f>INDEX('STOPE SUMMARY PIVOT'!$K$2178:$K$2305, MATCH(HK$1,'STOPE SUMMARY PIVOT'!$A$2178:$A$2305, 0))</f>
        <v>0</v>
      </c>
      <c r="HM59" s="172">
        <f>INDEX('STOPE SUMMARY PIVOT'!$J$2178:$J$2305, MATCH(HM$1,'STOPE SUMMARY PIVOT'!$A$2178:$A$2305, 0))</f>
        <v>0</v>
      </c>
      <c r="HN59" s="176">
        <f>INDEX('STOPE SUMMARY PIVOT'!$K$2178:$K$2305, MATCH(HM$1,'STOPE SUMMARY PIVOT'!$A$2178:$A$2305, 0))</f>
        <v>0</v>
      </c>
      <c r="HO59" s="172">
        <f>INDEX('STOPE SUMMARY PIVOT'!$J$2178:$J$2305, MATCH(HO$1,'STOPE SUMMARY PIVOT'!$A$2178:$A$2305, 0))</f>
        <v>0</v>
      </c>
      <c r="HP59" s="176">
        <f>INDEX('STOPE SUMMARY PIVOT'!$K$2178:$K$2305, MATCH(HO$1,'STOPE SUMMARY PIVOT'!$A$2178:$A$2305, 0))</f>
        <v>0</v>
      </c>
      <c r="HQ59" s="172">
        <f>INDEX('STOPE SUMMARY PIVOT'!$J$2178:$J$2305, MATCH(HQ$1,'STOPE SUMMARY PIVOT'!$A$2178:$A$2305, 0))</f>
        <v>0</v>
      </c>
      <c r="HR59" s="176">
        <f>INDEX('STOPE SUMMARY PIVOT'!$K$2178:$K$2305, MATCH(HQ$1,'STOPE SUMMARY PIVOT'!$A$2178:$A$2305, 0))</f>
        <v>0</v>
      </c>
      <c r="HS59" s="172">
        <f>INDEX('STOPE SUMMARY PIVOT'!$J$2178:$J$2305, MATCH(HS$1,'STOPE SUMMARY PIVOT'!$A$2178:$A$2305, 0))</f>
        <v>0</v>
      </c>
      <c r="HT59" s="176">
        <f>INDEX('STOPE SUMMARY PIVOT'!$K$2178:$K$2305, MATCH(HS$1,'STOPE SUMMARY PIVOT'!$A$2178:$A$2305, 0))</f>
        <v>0</v>
      </c>
      <c r="HU59" s="172">
        <f>INDEX('STOPE SUMMARY PIVOT'!$J$2178:$J$2305, MATCH(HU$1,'STOPE SUMMARY PIVOT'!$A$2178:$A$2305, 0))</f>
        <v>0</v>
      </c>
      <c r="HV59" s="176">
        <f>INDEX('STOPE SUMMARY PIVOT'!$K$2178:$K$2305, MATCH(HU$1,'STOPE SUMMARY PIVOT'!$A$2178:$A$2305, 0))</f>
        <v>0</v>
      </c>
      <c r="HW59" s="172">
        <f>INDEX('STOPE SUMMARY PIVOT'!$J$2178:$J$2305, MATCH(HW$1,'STOPE SUMMARY PIVOT'!$A$2178:$A$2305, 0))</f>
        <v>0</v>
      </c>
      <c r="HX59" s="176">
        <f>INDEX('STOPE SUMMARY PIVOT'!$K$2178:$K$2305, MATCH(HW$1,'STOPE SUMMARY PIVOT'!$A$2178:$A$2305, 0))</f>
        <v>0</v>
      </c>
      <c r="HY59" s="172">
        <f>INDEX('STOPE SUMMARY PIVOT'!$J$2178:$J$2305, MATCH(HY$1,'STOPE SUMMARY PIVOT'!$A$2178:$A$2305, 0))</f>
        <v>0</v>
      </c>
      <c r="HZ59" s="176">
        <f>INDEX('STOPE SUMMARY PIVOT'!$K$2178:$K$2305, MATCH(HY$1,'STOPE SUMMARY PIVOT'!$A$2178:$A$2305, 0))</f>
        <v>0</v>
      </c>
      <c r="IA59" s="172">
        <f>INDEX('STOPE SUMMARY PIVOT'!$J$2178:$J$2305, MATCH(IA$1,'STOPE SUMMARY PIVOT'!$A$2178:$A$2305, 0))</f>
        <v>0</v>
      </c>
      <c r="IB59" s="176">
        <f>INDEX('STOPE SUMMARY PIVOT'!$K$2178:$K$2305, MATCH(IA$1,'STOPE SUMMARY PIVOT'!$A$2178:$A$2305, 0))</f>
        <v>0</v>
      </c>
      <c r="IC59" s="172">
        <f>INDEX('STOPE SUMMARY PIVOT'!$J$2178:$J$2305, MATCH(IC$1,'STOPE SUMMARY PIVOT'!$A$2178:$A$2305, 0))</f>
        <v>0</v>
      </c>
      <c r="ID59" s="176">
        <f>INDEX('STOPE SUMMARY PIVOT'!$K$2178:$K$2305, MATCH(IC$1,'STOPE SUMMARY PIVOT'!$A$2178:$A$2305, 0))</f>
        <v>0</v>
      </c>
      <c r="IE59" s="172">
        <f>INDEX('STOPE SUMMARY PIVOT'!$J$2178:$J$2305, MATCH(IE$1,'STOPE SUMMARY PIVOT'!$A$2178:$A$2305, 0))</f>
        <v>0</v>
      </c>
      <c r="IF59" s="176">
        <f>INDEX('STOPE SUMMARY PIVOT'!$K$2178:$K$2305, MATCH(IE$1,'STOPE SUMMARY PIVOT'!$A$2178:$A$2305, 0))</f>
        <v>0</v>
      </c>
      <c r="IG59" s="172">
        <f>INDEX('STOPE SUMMARY PIVOT'!$J$2178:$J$2305, MATCH(IG$1,'STOPE SUMMARY PIVOT'!$A$2178:$A$2305, 0))</f>
        <v>0</v>
      </c>
      <c r="IH59" s="176">
        <f>INDEX('STOPE SUMMARY PIVOT'!$K$2178:$K$2305, MATCH(IG$1,'STOPE SUMMARY PIVOT'!$A$2178:$A$2305, 0))</f>
        <v>0</v>
      </c>
      <c r="II59" s="172">
        <f>INDEX('STOPE SUMMARY PIVOT'!$J$2178:$J$2305, MATCH(II$1,'STOPE SUMMARY PIVOT'!$A$2178:$A$2305, 0))</f>
        <v>0</v>
      </c>
      <c r="IJ59" s="176">
        <f>INDEX('STOPE SUMMARY PIVOT'!$K$2178:$K$2305, MATCH(II$1,'STOPE SUMMARY PIVOT'!$A$2178:$A$2305, 0))</f>
        <v>0</v>
      </c>
      <c r="IK59" s="172">
        <f>INDEX('STOPE SUMMARY PIVOT'!$J$2178:$J$2305, MATCH(IK$1,'STOPE SUMMARY PIVOT'!$A$2178:$A$2305, 0))</f>
        <v>0</v>
      </c>
      <c r="IL59" s="176">
        <f>INDEX('STOPE SUMMARY PIVOT'!$K$2178:$K$2305, MATCH(IK$1,'STOPE SUMMARY PIVOT'!$A$2178:$A$2305, 0))</f>
        <v>0</v>
      </c>
      <c r="IM59" s="172">
        <f>INDEX('STOPE SUMMARY PIVOT'!$J$2178:$J$2305, MATCH(IM$1,'STOPE SUMMARY PIVOT'!$A$2178:$A$2305, 0))</f>
        <v>0</v>
      </c>
      <c r="IN59" s="176">
        <f>INDEX('STOPE SUMMARY PIVOT'!$K$2178:$K$2305, MATCH(IM$1,'STOPE SUMMARY PIVOT'!$A$2178:$A$2305, 0))</f>
        <v>0</v>
      </c>
      <c r="IO59" s="172">
        <f>INDEX('STOPE SUMMARY PIVOT'!$J$2178:$J$2305, MATCH(IO$1,'STOPE SUMMARY PIVOT'!$A$2178:$A$2305, 0))</f>
        <v>0</v>
      </c>
      <c r="IP59" s="176">
        <f>INDEX('STOPE SUMMARY PIVOT'!$K$2178:$K$2305, MATCH(IO$1,'STOPE SUMMARY PIVOT'!$A$2178:$A$2305, 0))</f>
        <v>0</v>
      </c>
      <c r="IQ59" s="172">
        <f>INDEX('STOPE SUMMARY PIVOT'!$J$2178:$J$2305, MATCH(IQ$1,'STOPE SUMMARY PIVOT'!$A$2178:$A$2305, 0))</f>
        <v>0</v>
      </c>
      <c r="IR59" s="176">
        <f>INDEX('STOPE SUMMARY PIVOT'!$K$2178:$K$2305, MATCH(IQ$1,'STOPE SUMMARY PIVOT'!$A$2178:$A$2305, 0))</f>
        <v>0</v>
      </c>
      <c r="IS59" s="172">
        <f>INDEX('STOPE SUMMARY PIVOT'!$J$2178:$J$2305, MATCH(IS$1,'STOPE SUMMARY PIVOT'!$A$2178:$A$2305, 0))</f>
        <v>0</v>
      </c>
      <c r="IT59" s="176">
        <f>INDEX('STOPE SUMMARY PIVOT'!$K$2178:$K$2305, MATCH(IS$1,'STOPE SUMMARY PIVOT'!$A$2178:$A$2305, 0))</f>
        <v>0</v>
      </c>
      <c r="IU59" s="172">
        <f>INDEX('STOPE SUMMARY PIVOT'!$J$2178:$J$2305, MATCH(IU$1,'STOPE SUMMARY PIVOT'!$A$2178:$A$2305, 0))</f>
        <v>0</v>
      </c>
      <c r="IV59" s="176">
        <f>INDEX('STOPE SUMMARY PIVOT'!$K$2178:$K$2305, MATCH(IU$1,'STOPE SUMMARY PIVOT'!$A$2178:$A$2305, 0))</f>
        <v>0</v>
      </c>
      <c r="IW59" s="172">
        <f>INDEX('STOPE SUMMARY PIVOT'!$J$2178:$J$2305, MATCH(IW$1,'STOPE SUMMARY PIVOT'!$A$2178:$A$2305, 0))</f>
        <v>0</v>
      </c>
      <c r="IX59" s="176">
        <f>INDEX('STOPE SUMMARY PIVOT'!$K$2178:$K$2305, MATCH(IW$1,'STOPE SUMMARY PIVOT'!$A$2178:$A$2305, 0))</f>
        <v>0</v>
      </c>
      <c r="IY59" s="172">
        <f>INDEX('STOPE SUMMARY PIVOT'!$J$2178:$J$2305, MATCH(IY$1,'STOPE SUMMARY PIVOT'!$A$2178:$A$2305, 0))</f>
        <v>0</v>
      </c>
      <c r="IZ59" s="176">
        <f>INDEX('STOPE SUMMARY PIVOT'!$K$2178:$K$2305, MATCH(IY$1,'STOPE SUMMARY PIVOT'!$A$2178:$A$2305, 0))</f>
        <v>0</v>
      </c>
    </row>
    <row r="60" spans="1:260" x14ac:dyDescent="0.25">
      <c r="A60" s="1577" t="s">
        <v>213</v>
      </c>
      <c r="B60" s="13" t="s">
        <v>218</v>
      </c>
      <c r="C60" s="131">
        <f>SUM(C51,C54,C57)</f>
        <v>65893</v>
      </c>
      <c r="D60" s="132">
        <f>(C51*D51+C54*D54+C57*D57)/C60</f>
        <v>2.4275707586541815</v>
      </c>
      <c r="E60" s="155">
        <f t="shared" ref="E60" si="2178">SUM(E51,E54,E57)</f>
        <v>1703</v>
      </c>
      <c r="F60" s="156">
        <f t="shared" ref="F60" si="2179">IFERROR((F51*E51+E54*F54+E57*F57)/E60,"")</f>
        <v>0.52</v>
      </c>
      <c r="G60" s="155">
        <f t="shared" ref="G60" si="2180">SUM(G51,G54,G57)</f>
        <v>0</v>
      </c>
      <c r="H60" s="156" t="str">
        <f t="shared" ref="H60" si="2181">IFERROR((H51*G51+G54*H54+G57*H57)/G60,"")</f>
        <v/>
      </c>
      <c r="I60" s="155">
        <f t="shared" ref="I60" si="2182">SUM(I51,I54,I57)</f>
        <v>0</v>
      </c>
      <c r="J60" s="156" t="str">
        <f t="shared" ref="J60" si="2183">IFERROR((J51*I51+I54*J54+I57*J57)/I60,"")</f>
        <v/>
      </c>
      <c r="K60" s="155">
        <f t="shared" ref="K60" si="2184">SUM(K51,K54,K57)</f>
        <v>0</v>
      </c>
      <c r="L60" s="156" t="str">
        <f t="shared" ref="L60" si="2185">IFERROR((L51*K51+K54*L54+K57*L57)/K60,"")</f>
        <v/>
      </c>
      <c r="M60" s="155">
        <f t="shared" ref="M60" si="2186">SUM(M51,M54,M57)</f>
        <v>0</v>
      </c>
      <c r="N60" s="156" t="str">
        <f t="shared" ref="N60" si="2187">IFERROR((N51*M51+M54*N54+M57*N57)/M60,"")</f>
        <v/>
      </c>
      <c r="O60" s="155">
        <f t="shared" ref="O60" si="2188">SUM(O51,O54,O57)</f>
        <v>0</v>
      </c>
      <c r="P60" s="156" t="str">
        <f t="shared" ref="P60" si="2189">IFERROR((P51*O51+O54*P54+O57*P57)/O60,"")</f>
        <v/>
      </c>
      <c r="Q60" s="155">
        <f t="shared" ref="Q60" si="2190">SUM(Q51,Q54,Q57)</f>
        <v>0</v>
      </c>
      <c r="R60" s="156" t="str">
        <f t="shared" ref="R60" si="2191">IFERROR((R51*Q51+Q54*R54+Q57*R57)/Q60,"")</f>
        <v/>
      </c>
      <c r="S60" s="155">
        <f t="shared" ref="S60" si="2192">SUM(S51,S54,S57)</f>
        <v>0</v>
      </c>
      <c r="T60" s="156" t="str">
        <f t="shared" ref="T60" si="2193">IFERROR((T51*S51+S54*T54+S57*T57)/S60,"")</f>
        <v/>
      </c>
      <c r="U60" s="155">
        <f t="shared" ref="U60" si="2194">SUM(U51,U54,U57)</f>
        <v>0</v>
      </c>
      <c r="V60" s="156" t="str">
        <f t="shared" ref="V60" si="2195">IFERROR((V51*U51+U54*V54+U57*V57)/U60,"")</f>
        <v/>
      </c>
      <c r="W60" s="155">
        <f t="shared" ref="W60" si="2196">SUM(W51,W54,W57)</f>
        <v>0</v>
      </c>
      <c r="X60" s="156" t="str">
        <f t="shared" ref="X60" si="2197">IFERROR((X51*W51+W54*X54+W57*X57)/W60,"")</f>
        <v/>
      </c>
      <c r="Y60" s="155">
        <f>SUM(Y51,Y54,Y57)</f>
        <v>4925</v>
      </c>
      <c r="Z60" s="156">
        <f>IFERROR((Z51*Y51+Y54*Z54+Y57*Z57)/Y60,"")</f>
        <v>2.5499999999999998</v>
      </c>
      <c r="AA60" s="155">
        <f t="shared" ref="AA60" si="2198">SUM(AA51,AA54,AA57)</f>
        <v>1496</v>
      </c>
      <c r="AB60" s="156">
        <f t="shared" ref="AB60" si="2199">IFERROR((AB51*AA51+AA54*AB54+AA57*AB57)/AA60,"")</f>
        <v>0.79999999999999993</v>
      </c>
      <c r="AC60" s="155">
        <f t="shared" ref="AC60" si="2200">SUM(AC51,AC54,AC57)</f>
        <v>5393</v>
      </c>
      <c r="AD60" s="156">
        <f t="shared" ref="AD60" si="2201">IFERROR((AD51*AC51+AC54*AD54+AC57*AD57)/AC60,"")</f>
        <v>1.7199999999999998</v>
      </c>
      <c r="AE60" s="155">
        <f t="shared" ref="AE60" si="2202">SUM(AE51,AE54,AE57)</f>
        <v>0</v>
      </c>
      <c r="AF60" s="156" t="str">
        <f t="shared" ref="AF60" si="2203">IFERROR((AF51*AE51+AE54*AF54+AE57*AF57)/AE60,"")</f>
        <v/>
      </c>
      <c r="AG60" s="155">
        <f t="shared" ref="AG60" si="2204">SUM(AG51,AG54,AG57)</f>
        <v>0</v>
      </c>
      <c r="AH60" s="156" t="str">
        <f t="shared" ref="AH60" si="2205">IFERROR((AH51*AG51+AG54*AH54+AG57*AH57)/AG60,"")</f>
        <v/>
      </c>
      <c r="AI60" s="155">
        <f t="shared" ref="AI60" si="2206">SUM(AI51,AI54,AI57)</f>
        <v>0</v>
      </c>
      <c r="AJ60" s="156" t="str">
        <f t="shared" ref="AJ60" si="2207">IFERROR((AJ51*AI51+AI54*AJ54+AI57*AJ57)/AI60,"")</f>
        <v/>
      </c>
      <c r="AK60" s="155">
        <f t="shared" ref="AK60" si="2208">SUM(AK51,AK54,AK57)</f>
        <v>0</v>
      </c>
      <c r="AL60" s="156" t="str">
        <f t="shared" ref="AL60" si="2209">IFERROR((AL51*AK51+AK54*AL54+AK57*AL57)/AK60,"")</f>
        <v/>
      </c>
      <c r="AM60" s="155">
        <f t="shared" ref="AM60" si="2210">SUM(AM51,AM54,AM57)</f>
        <v>0</v>
      </c>
      <c r="AN60" s="156" t="str">
        <f t="shared" ref="AN60" si="2211">IFERROR((AN51*AM51+AM54*AN54+AM57*AN57)/AM60,"")</f>
        <v/>
      </c>
      <c r="AO60" s="155">
        <f t="shared" ref="AO60" si="2212">SUM(AO51,AO54,AO57)</f>
        <v>0</v>
      </c>
      <c r="AP60" s="156" t="str">
        <f t="shared" ref="AP60" si="2213">IFERROR((AP51*AO51+AO54*AP54+AO57*AP57)/AO60,"")</f>
        <v/>
      </c>
      <c r="AQ60" s="155">
        <f t="shared" ref="AQ60" si="2214">SUM(AQ51,AQ54,AQ57)</f>
        <v>0</v>
      </c>
      <c r="AR60" s="156" t="str">
        <f t="shared" ref="AR60" si="2215">IFERROR((AR51*AQ51+AQ54*AR54+AQ57*AR57)/AQ60,"")</f>
        <v/>
      </c>
      <c r="AS60" s="155">
        <f t="shared" ref="AS60" si="2216">SUM(AS51,AS54,AS57)</f>
        <v>0</v>
      </c>
      <c r="AT60" s="156" t="str">
        <f t="shared" ref="AT60" si="2217">IFERROR((AT51*AS51+AS54*AT54+AS57*AT57)/AS60,"")</f>
        <v/>
      </c>
      <c r="AU60" s="155">
        <f t="shared" ref="AU60" si="2218">SUM(AU51,AU54,AU57)</f>
        <v>0</v>
      </c>
      <c r="AV60" s="156" t="str">
        <f t="shared" ref="AV60" si="2219">IFERROR((AV51*AU51+AU54*AV54+AU57*AV57)/AU60,"")</f>
        <v/>
      </c>
      <c r="AW60" s="155">
        <f t="shared" ref="AW60" si="2220">SUM(AW51,AW54,AW57)</f>
        <v>0</v>
      </c>
      <c r="AX60" s="156" t="str">
        <f t="shared" ref="AX60" si="2221">IFERROR((AX51*AW51+AW54*AX54+AW57*AX57)/AW60,"")</f>
        <v/>
      </c>
      <c r="AY60" s="155">
        <f t="shared" ref="AY60" si="2222">SUM(AY51,AY54,AY57)</f>
        <v>0</v>
      </c>
      <c r="AZ60" s="156" t="str">
        <f t="shared" ref="AZ60" si="2223">IFERROR((AZ51*AY51+AY54*AZ54+AY57*AZ57)/AY60,"")</f>
        <v/>
      </c>
      <c r="BA60" s="155">
        <f t="shared" ref="BA60" si="2224">SUM(BA51,BA54,BA57)</f>
        <v>0</v>
      </c>
      <c r="BB60" s="156" t="str">
        <f t="shared" ref="BB60" si="2225">IFERROR((BB51*BA51+BA54*BB54+BA57*BB57)/BA60,"")</f>
        <v/>
      </c>
      <c r="BC60" s="155">
        <f t="shared" ref="BC60" si="2226">SUM(BC51,BC54,BC57)</f>
        <v>0</v>
      </c>
      <c r="BD60" s="156" t="str">
        <f t="shared" ref="BD60" si="2227">IFERROR((BD51*BC51+BC54*BD54+BC57*BD57)/BC60,"")</f>
        <v/>
      </c>
      <c r="BE60" s="155">
        <f t="shared" ref="BE60" si="2228">SUM(BE51,BE54,BE57)</f>
        <v>0</v>
      </c>
      <c r="BF60" s="156" t="str">
        <f t="shared" ref="BF60" si="2229">IFERROR((BF51*BE51+BE54*BF54+BE57*BF57)/BE60,"")</f>
        <v/>
      </c>
      <c r="BG60" s="155">
        <f t="shared" ref="BG60" si="2230">SUM(BG51,BG54,BG57)</f>
        <v>0</v>
      </c>
      <c r="BH60" s="156" t="str">
        <f t="shared" ref="BH60" si="2231">IFERROR((BH51*BG51+BG54*BH54+BG57*BH57)/BG60,"")</f>
        <v/>
      </c>
      <c r="BI60" s="155">
        <f t="shared" ref="BI60" si="2232">SUM(BI51,BI54,BI57)</f>
        <v>0</v>
      </c>
      <c r="BJ60" s="156" t="str">
        <f t="shared" ref="BJ60" si="2233">IFERROR((BJ51*BI51+BI54*BJ54+BI57*BJ57)/BI60,"")</f>
        <v/>
      </c>
      <c r="BK60" s="155">
        <f t="shared" ref="BK60" si="2234">SUM(BK51,BK54,BK57)</f>
        <v>0</v>
      </c>
      <c r="BL60" s="156" t="str">
        <f t="shared" ref="BL60" si="2235">IFERROR((BL51*BK51+BK54*BL54+BK57*BL57)/BK60,"")</f>
        <v/>
      </c>
      <c r="BM60" s="155">
        <f t="shared" ref="BM60" si="2236">SUM(BM51,BM54,BM57)</f>
        <v>0</v>
      </c>
      <c r="BN60" s="156" t="str">
        <f t="shared" ref="BN60" si="2237">IFERROR((BN51*BM51+BM54*BN54+BM57*BN57)/BM60,"")</f>
        <v/>
      </c>
      <c r="BO60" s="155">
        <f t="shared" ref="BO60" si="2238">SUM(BO51,BO54,BO57)</f>
        <v>0</v>
      </c>
      <c r="BP60" s="156" t="str">
        <f t="shared" ref="BP60" si="2239">IFERROR((BP51*BO51+BO54*BP54+BO57*BP57)/BO60,"")</f>
        <v/>
      </c>
      <c r="BQ60" s="155">
        <f t="shared" ref="BQ60" si="2240">SUM(BQ51,BQ54,BQ57)</f>
        <v>0</v>
      </c>
      <c r="BR60" s="156" t="str">
        <f t="shared" ref="BR60" si="2241">IFERROR((BR51*BQ51+BQ54*BR54+BQ57*BR57)/BQ60,"")</f>
        <v/>
      </c>
      <c r="BS60" s="155">
        <f t="shared" ref="BS60" si="2242">SUM(BS51,BS54,BS57)</f>
        <v>0</v>
      </c>
      <c r="BT60" s="156" t="str">
        <f t="shared" ref="BT60" si="2243">IFERROR((BT51*BS51+BS54*BT54+BS57*BT57)/BS60,"")</f>
        <v/>
      </c>
      <c r="BU60" s="155">
        <f t="shared" ref="BU60" si="2244">SUM(BU51,BU54,BU57)</f>
        <v>5693</v>
      </c>
      <c r="BV60" s="156">
        <f t="shared" ref="BV60" si="2245">IFERROR((BV51*BU51+BU54*BV54+BU57*BV57)/BU60,"")</f>
        <v>1.4</v>
      </c>
      <c r="BW60" s="155">
        <f t="shared" ref="BW60" si="2246">SUM(BW51,BW54,BW57)</f>
        <v>0</v>
      </c>
      <c r="BX60" s="156" t="str">
        <f t="shared" ref="BX60" si="2247">IFERROR((BX51*BW51+BW54*BX54+BW57*BX57)/BW60,"")</f>
        <v/>
      </c>
      <c r="BY60" s="155">
        <f t="shared" ref="BY60" si="2248">SUM(BY51,BY54,BY57)</f>
        <v>0</v>
      </c>
      <c r="BZ60" s="156" t="str">
        <f t="shared" ref="BZ60" si="2249">IFERROR((BZ51*BY51+BY54*BZ54+BY57*BZ57)/BY60,"")</f>
        <v/>
      </c>
      <c r="CA60" s="155">
        <f t="shared" ref="CA60" si="2250">SUM(CA51,CA54,CA57)</f>
        <v>0</v>
      </c>
      <c r="CB60" s="156" t="str">
        <f t="shared" ref="CB60" si="2251">IFERROR((CB51*CA51+CA54*CB54+CA57*CB57)/CA60,"")</f>
        <v/>
      </c>
      <c r="CC60" s="155">
        <f t="shared" ref="CC60" si="2252">SUM(CC51,CC54,CC57)</f>
        <v>0</v>
      </c>
      <c r="CD60" s="156" t="str">
        <f t="shared" ref="CD60" si="2253">IFERROR((CD51*CC51+CC54*CD54+CC57*CD57)/CC60,"")</f>
        <v/>
      </c>
      <c r="CE60" s="155">
        <f t="shared" ref="CE60" si="2254">SUM(CE51,CE54,CE57)</f>
        <v>0</v>
      </c>
      <c r="CF60" s="156" t="str">
        <f t="shared" ref="CF60" si="2255">IFERROR((CF51*CE51+CE54*CF54+CE57*CF57)/CE60,"")</f>
        <v/>
      </c>
      <c r="CG60" s="155">
        <f t="shared" ref="CG60" si="2256">SUM(CG51,CG54,CG57)</f>
        <v>0</v>
      </c>
      <c r="CH60" s="156" t="str">
        <f t="shared" ref="CH60" si="2257">IFERROR((CH51*CG51+CG54*CH54+CG57*CH57)/CG60,"")</f>
        <v/>
      </c>
      <c r="CI60" s="155">
        <f t="shared" ref="CI60" si="2258">SUM(CI51,CI54,CI57)</f>
        <v>0</v>
      </c>
      <c r="CJ60" s="156" t="str">
        <f t="shared" ref="CJ60" si="2259">IFERROR((CJ51*CI51+CI54*CJ54+CI57*CJ57)/CI60,"")</f>
        <v/>
      </c>
      <c r="CK60" s="155">
        <f t="shared" ref="CK60" si="2260">SUM(CK51,CK54,CK57)</f>
        <v>0</v>
      </c>
      <c r="CL60" s="156" t="str">
        <f t="shared" ref="CL60" si="2261">IFERROR((CL51*CK51+CK54*CL54+CK57*CL57)/CK60,"")</f>
        <v/>
      </c>
      <c r="CM60" s="155">
        <f t="shared" ref="CM60" si="2262">SUM(CM51,CM54,CM57)</f>
        <v>0</v>
      </c>
      <c r="CN60" s="156" t="str">
        <f t="shared" ref="CN60" si="2263">IFERROR((CN51*CM51+CM54*CN54+CM57*CN57)/CM60,"")</f>
        <v/>
      </c>
      <c r="CO60" s="155">
        <f t="shared" ref="CO60" si="2264">SUM(CO51,CO54,CO57)</f>
        <v>0</v>
      </c>
      <c r="CP60" s="156" t="str">
        <f t="shared" ref="CP60" si="2265">IFERROR((CP51*CO51+CO54*CP54+CO57*CP57)/CO60,"")</f>
        <v/>
      </c>
      <c r="CQ60" s="155">
        <f t="shared" ref="CQ60:CW60" si="2266">SUM(CQ51,CQ54,CQ57)</f>
        <v>0</v>
      </c>
      <c r="CR60" s="156" t="str">
        <f t="shared" ref="CR60" si="2267">IFERROR((CR51*CQ51+CQ54*CR54+CQ57*CR57)/CQ60,"")</f>
        <v/>
      </c>
      <c r="CS60" s="155">
        <f t="shared" ref="CS60" si="2268">SUM(CS51,CS54,CS57)</f>
        <v>0</v>
      </c>
      <c r="CT60" s="156" t="str">
        <f t="shared" ref="CT60:CT62" si="2269">IFERROR((CT51*CS51+CS54*CT54+CS57*CT57)/CS60,"")</f>
        <v/>
      </c>
      <c r="CU60" s="155">
        <f t="shared" si="2266"/>
        <v>0</v>
      </c>
      <c r="CV60" s="156" t="str">
        <f t="shared" ref="CV60:CV62" si="2270">IFERROR((CV51*CU51+CU54*CV54+CU57*CV57)/CU60,"")</f>
        <v/>
      </c>
      <c r="CW60" s="155">
        <f t="shared" si="2266"/>
        <v>0</v>
      </c>
      <c r="CX60" s="156" t="str">
        <f t="shared" ref="CX60:CX62" si="2271">IFERROR((CX51*CW51+CW54*CX54+CW57*CX57)/CW60,"")</f>
        <v/>
      </c>
      <c r="CY60" s="155">
        <f t="shared" ref="CY60" si="2272">SUM(CY51,CY54,CY57)</f>
        <v>0</v>
      </c>
      <c r="CZ60" s="156" t="str">
        <f t="shared" ref="CZ60" si="2273">IFERROR((CZ51*CY51+CY54*CZ54+CY57*CZ57)/CY60,"")</f>
        <v/>
      </c>
      <c r="DA60" s="155">
        <f t="shared" ref="DA60" si="2274">SUM(DA51,DA54,DA57)</f>
        <v>0</v>
      </c>
      <c r="DB60" s="156" t="str">
        <f t="shared" ref="DB60" si="2275">IFERROR((DB51*DA51+DA54*DB54+DA57*DB57)/DA60,"")</f>
        <v/>
      </c>
      <c r="DC60" s="155">
        <f t="shared" ref="DC60" si="2276">SUM(DC51,DC54,DC57)</f>
        <v>0</v>
      </c>
      <c r="DD60" s="156" t="str">
        <f t="shared" ref="DD60" si="2277">IFERROR((DD51*DC51+DC54*DD54+DC57*DD57)/DC60,"")</f>
        <v/>
      </c>
      <c r="DE60" s="155">
        <f t="shared" ref="DE60" si="2278">SUM(DE51,DE54,DE57)</f>
        <v>0</v>
      </c>
      <c r="DF60" s="156" t="str">
        <f t="shared" ref="DF60" si="2279">IFERROR((DF51*DE51+DE54*DF54+DE57*DF57)/DE60,"")</f>
        <v/>
      </c>
      <c r="DG60" s="155">
        <f t="shared" ref="DG60" si="2280">SUM(DG51,DG54,DG57)</f>
        <v>0</v>
      </c>
      <c r="DH60" s="156" t="str">
        <f t="shared" ref="DH60" si="2281">IFERROR((DH51*DG51+DG54*DH54+DG57*DH57)/DG60,"")</f>
        <v/>
      </c>
      <c r="DI60" s="155">
        <f t="shared" ref="DI60" si="2282">SUM(DI51,DI54,DI57)</f>
        <v>0</v>
      </c>
      <c r="DJ60" s="156" t="str">
        <f t="shared" ref="DJ60" si="2283">IFERROR((DJ51*DI51+DI54*DJ54+DI57*DJ57)/DI60,"")</f>
        <v/>
      </c>
      <c r="DK60" s="155">
        <f t="shared" ref="DK60" si="2284">SUM(DK51,DK54,DK57)</f>
        <v>0</v>
      </c>
      <c r="DL60" s="156" t="str">
        <f t="shared" ref="DL60" si="2285">IFERROR((DL51*DK51+DK54*DL54+DK57*DL57)/DK60,"")</f>
        <v/>
      </c>
      <c r="DM60" s="155">
        <f t="shared" ref="DM60" si="2286">SUM(DM51,DM54,DM57)</f>
        <v>0</v>
      </c>
      <c r="DN60" s="156" t="str">
        <f t="shared" ref="DN60" si="2287">IFERROR((DN51*DM51+DM54*DN54+DM57*DN57)/DM60,"")</f>
        <v/>
      </c>
      <c r="DO60" s="155">
        <f t="shared" ref="DO60" si="2288">SUM(DO51,DO54,DO57)</f>
        <v>0</v>
      </c>
      <c r="DP60" s="156" t="str">
        <f t="shared" ref="DP60" si="2289">IFERROR((DP51*DO51+DO54*DP54+DO57*DP57)/DO60,"")</f>
        <v/>
      </c>
      <c r="DQ60" s="155">
        <f t="shared" ref="DQ60" si="2290">SUM(DQ51,DQ54,DQ57)</f>
        <v>1147</v>
      </c>
      <c r="DR60" s="156">
        <f t="shared" ref="DR60" si="2291">IFERROR((DR51*DQ51+DQ54*DR54+DQ57*DR57)/DQ60,"")</f>
        <v>0.69</v>
      </c>
      <c r="DS60" s="155">
        <f t="shared" ref="DS60" si="2292">SUM(DS51,DS54,DS57)</f>
        <v>2243</v>
      </c>
      <c r="DT60" s="156">
        <f t="shared" ref="DT60" si="2293">IFERROR((DT51*DS51+DS54*DT54+DS57*DT57)/DS60,"")</f>
        <v>3.3</v>
      </c>
      <c r="DU60" s="155">
        <f t="shared" ref="DU60" si="2294">SUM(DU51,DU54,DU57)</f>
        <v>4495</v>
      </c>
      <c r="DV60" s="156">
        <f t="shared" ref="DV60" si="2295">IFERROR((DV51*DU51+DU54*DV54+DU57*DV57)/DU60,"")</f>
        <v>3.97</v>
      </c>
      <c r="DW60" s="155">
        <f t="shared" ref="DW60" si="2296">SUM(DW51,DW54,DW57)</f>
        <v>3929</v>
      </c>
      <c r="DX60" s="156">
        <f t="shared" ref="DX60" si="2297">IFERROR((DX51*DW51+DW54*DX54+DW57*DX57)/DW60,"")</f>
        <v>3.33</v>
      </c>
      <c r="DY60" s="155">
        <f t="shared" ref="DY60" si="2298">SUM(DY51,DY54,DY57)</f>
        <v>2385</v>
      </c>
      <c r="DZ60" s="156">
        <f t="shared" ref="DZ60" si="2299">IFERROR((DZ51*DY51+DY54*DZ54+DY57*DZ57)/DY60,"")</f>
        <v>2.94</v>
      </c>
      <c r="EA60" s="155">
        <f t="shared" ref="EA60" si="2300">SUM(EA51,EA54,EA57)</f>
        <v>2645</v>
      </c>
      <c r="EB60" s="156">
        <f t="shared" ref="EB60" si="2301">IFERROR((EB51*EA51+EA54*EB54+EA57*EB57)/EA60,"")</f>
        <v>1.8899999999999997</v>
      </c>
      <c r="EC60" s="155">
        <f t="shared" ref="EC60" si="2302">SUM(EC51,EC54,EC57)</f>
        <v>0</v>
      </c>
      <c r="ED60" s="156" t="str">
        <f t="shared" ref="ED60" si="2303">IFERROR((ED51*EC51+EC54*ED54+EC57*ED57)/EC60,"")</f>
        <v/>
      </c>
      <c r="EE60" s="155">
        <f t="shared" ref="EE60" si="2304">SUM(EE51,EE54,EE57)</f>
        <v>0</v>
      </c>
      <c r="EF60" s="156" t="str">
        <f t="shared" ref="EF60" si="2305">IFERROR((EF51*EE51+EE54*EF54+EE57*EF57)/EE60,"")</f>
        <v/>
      </c>
      <c r="EG60" s="155">
        <f t="shared" ref="EG60" si="2306">SUM(EG51,EG54,EG57)</f>
        <v>0</v>
      </c>
      <c r="EH60" s="156" t="str">
        <f t="shared" ref="EH60" si="2307">IFERROR((EH51*EG51+EG54*EH54+EG57*EH57)/EG60,"")</f>
        <v/>
      </c>
      <c r="EI60" s="155">
        <f t="shared" ref="EI60" si="2308">SUM(EI51,EI54,EI57)</f>
        <v>0</v>
      </c>
      <c r="EJ60" s="156" t="str">
        <f t="shared" ref="EJ60" si="2309">IFERROR((EJ51*EI51+EI54*EJ54+EI57*EJ57)/EI60,"")</f>
        <v/>
      </c>
      <c r="EK60" s="155">
        <f t="shared" ref="EK60" si="2310">SUM(EK51,EK54,EK57)</f>
        <v>0</v>
      </c>
      <c r="EL60" s="156" t="str">
        <f t="shared" ref="EL60" si="2311">IFERROR((EL51*EK51+EK54*EL54+EK57*EL57)/EK60,"")</f>
        <v/>
      </c>
      <c r="EM60" s="155">
        <f t="shared" ref="EM60" si="2312">SUM(EM51,EM54,EM57)</f>
        <v>0</v>
      </c>
      <c r="EN60" s="156" t="str">
        <f t="shared" ref="EN60" si="2313">IFERROR((EN51*EM51+EM54*EN54+EM57*EN57)/EM60,"")</f>
        <v/>
      </c>
      <c r="EO60" s="155">
        <f t="shared" ref="EO60" si="2314">SUM(EO51,EO54,EO57)</f>
        <v>2921</v>
      </c>
      <c r="EP60" s="156">
        <f t="shared" ref="EP60" si="2315">IFERROR((EP51*EO51+EO54*EP54+EO57*EP57)/EO60,"")</f>
        <v>2.83</v>
      </c>
      <c r="EQ60" s="155">
        <f t="shared" ref="EQ60:ES60" si="2316">SUM(EQ51,EQ54,EQ57)</f>
        <v>0</v>
      </c>
      <c r="ER60" s="156" t="str">
        <f t="shared" ref="ER60" si="2317">IFERROR((ER51*EQ51+EQ54*ER54+EQ57*ER57)/EQ60,"")</f>
        <v/>
      </c>
      <c r="ES60" s="155">
        <f t="shared" si="2316"/>
        <v>0</v>
      </c>
      <c r="ET60" s="156" t="str">
        <f t="shared" ref="ET60:ET62" si="2318">IFERROR((ET51*ES51+ES54*ET54+ES57*ET57)/ES60,"")</f>
        <v/>
      </c>
      <c r="EU60" s="155">
        <f t="shared" ref="EU60" si="2319">SUM(EU51,EU54,EU57)</f>
        <v>0</v>
      </c>
      <c r="EV60" s="156" t="str">
        <f t="shared" ref="EV60" si="2320">IFERROR((EV51*EU51+EU54*EV54+EU57*EV57)/EU60,"")</f>
        <v/>
      </c>
      <c r="EW60" s="155">
        <f t="shared" ref="EW60" si="2321">SUM(EW51,EW54,EW57)</f>
        <v>0</v>
      </c>
      <c r="EX60" s="156" t="str">
        <f t="shared" ref="EX60:EX62" si="2322">IFERROR((EX51*EW51+EW54*EX54+EW57*EX57)/EW60,"")</f>
        <v/>
      </c>
      <c r="EY60" s="155">
        <f t="shared" ref="EY60" si="2323">SUM(EY51,EY54,EY57)</f>
        <v>8539</v>
      </c>
      <c r="EZ60" s="156">
        <f t="shared" ref="EZ60" si="2324">IFERROR((EZ51*EY51+EY54*EZ54+EY57*EZ57)/EY60,"")</f>
        <v>2.31</v>
      </c>
      <c r="FA60" s="155">
        <f t="shared" ref="FA60" si="2325">SUM(FA51,FA54,FA57)</f>
        <v>0</v>
      </c>
      <c r="FB60" s="156" t="str">
        <f t="shared" ref="FB60" si="2326">IFERROR((FB51*FA51+FA54*FB54+FA57*FB57)/FA60,"")</f>
        <v/>
      </c>
      <c r="FC60" s="155">
        <f t="shared" ref="FC60" si="2327">SUM(FC51,FC54,FC57)</f>
        <v>5693</v>
      </c>
      <c r="FD60" s="156">
        <f t="shared" ref="FD60" si="2328">IFERROR((FD51*FC51+FC54*FD54+FC57*FD57)/FC60,"")</f>
        <v>2.41</v>
      </c>
      <c r="FE60" s="155">
        <f t="shared" ref="FE60" si="2329">SUM(FE51,FE54,FE57)</f>
        <v>0</v>
      </c>
      <c r="FF60" s="156" t="str">
        <f t="shared" ref="FF60" si="2330">IFERROR((FF51*FE51+FE54*FF54+FE57*FF57)/FE60,"")</f>
        <v/>
      </c>
      <c r="FG60" s="155">
        <f t="shared" ref="FG60" si="2331">SUM(FG51,FG54,FG57)</f>
        <v>0</v>
      </c>
      <c r="FH60" s="156" t="str">
        <f t="shared" ref="FH60" si="2332">IFERROR((FH51*FG51+FG54*FH54+FG57*FH57)/FG60,"")</f>
        <v/>
      </c>
      <c r="FI60" s="155">
        <f t="shared" ref="FI60" si="2333">SUM(FI51,FI54,FI57)</f>
        <v>0</v>
      </c>
      <c r="FJ60" s="156" t="str">
        <f t="shared" ref="FJ60" si="2334">IFERROR((FJ51*FI51+FI54*FJ54+FI57*FJ57)/FI60,"")</f>
        <v/>
      </c>
      <c r="FK60" s="155">
        <f t="shared" ref="FK60" si="2335">SUM(FK51,FK54,FK57)</f>
        <v>0</v>
      </c>
      <c r="FL60" s="156" t="str">
        <f t="shared" ref="FL60" si="2336">IFERROR((FL51*FK51+FK54*FL54+FK57*FL57)/FK60,"")</f>
        <v/>
      </c>
      <c r="FM60" s="155">
        <f t="shared" ref="FM60" si="2337">SUM(FM51,FM54,FM57)</f>
        <v>0</v>
      </c>
      <c r="FN60" s="156" t="str">
        <f t="shared" ref="FN60" si="2338">IFERROR((FN51*FM51+FM54*FN54+FM57*FN57)/FM60,"")</f>
        <v/>
      </c>
      <c r="FO60" s="155">
        <f t="shared" ref="FO60" si="2339">SUM(FO51,FO54,FO57)</f>
        <v>0</v>
      </c>
      <c r="FP60" s="156" t="str">
        <f t="shared" ref="FP60" si="2340">IFERROR((FP51*FO51+FO54*FP54+FO57*FP57)/FO60,"")</f>
        <v/>
      </c>
      <c r="FQ60" s="155">
        <f t="shared" ref="FQ60" si="2341">SUM(FQ51,FQ54,FQ57)</f>
        <v>1282</v>
      </c>
      <c r="FR60" s="156">
        <f t="shared" ref="FR60" si="2342">IFERROR((FR51*FQ51+FQ54*FR54+FQ57*FR57)/FQ60,"")</f>
        <v>2.4500000000000002</v>
      </c>
      <c r="FS60" s="155">
        <f t="shared" ref="FS60" si="2343">SUM(FS51,FS54,FS57)</f>
        <v>3075</v>
      </c>
      <c r="FT60" s="156">
        <f t="shared" ref="FT60" si="2344">IFERROR((FT51*FS51+FS54*FT54+FS57*FT57)/FS60,"")</f>
        <v>2.84</v>
      </c>
      <c r="FU60" s="155">
        <f t="shared" ref="FU60" si="2345">SUM(FU51,FU54,FU57)</f>
        <v>1813</v>
      </c>
      <c r="FV60" s="156">
        <f t="shared" ref="FV60" si="2346">IFERROR((FV51*FU51+FU54*FV54+FU57*FV57)/FU60,"")</f>
        <v>3.2</v>
      </c>
      <c r="FW60" s="155">
        <f t="shared" ref="FW60" si="2347">SUM(FW51,FW54,FW57)</f>
        <v>1166</v>
      </c>
      <c r="FX60" s="156">
        <f t="shared" ref="FX60" si="2348">IFERROR((FX51*FW51+FW54*FX54+FW57*FX57)/FW60,"")</f>
        <v>3.97</v>
      </c>
      <c r="FY60" s="155">
        <f t="shared" ref="FY60" si="2349">SUM(FY51,FY54,FY57)</f>
        <v>635</v>
      </c>
      <c r="FZ60" s="156">
        <f t="shared" ref="FZ60" si="2350">IFERROR((FZ51*FY51+FY54*FZ54+FY57*FZ57)/FY60,"")</f>
        <v>2.85</v>
      </c>
      <c r="GA60" s="155">
        <f t="shared" ref="GA60" si="2351">SUM(GA51,GA54,GA57)</f>
        <v>0</v>
      </c>
      <c r="GB60" s="156" t="str">
        <f t="shared" ref="GB60" si="2352">IFERROR((GB51*GA51+GA54*GB54+GA57*GB57)/GA60,"")</f>
        <v/>
      </c>
      <c r="GC60" s="155">
        <f t="shared" ref="GC60" si="2353">SUM(GC51,GC54,GC57)</f>
        <v>0</v>
      </c>
      <c r="GD60" s="156" t="str">
        <f t="shared" ref="GD60" si="2354">IFERROR((GD51*GC51+GC54*GD54+GC57*GD57)/GC60,"")</f>
        <v/>
      </c>
      <c r="GE60" s="155">
        <f t="shared" ref="GE60" si="2355">SUM(GE51,GE54,GE57)</f>
        <v>0</v>
      </c>
      <c r="GF60" s="156" t="str">
        <f t="shared" ref="GF60" si="2356">IFERROR((GF51*GE51+GE54*GF54+GE57*GF57)/GE60,"")</f>
        <v/>
      </c>
      <c r="GG60" s="155">
        <f t="shared" ref="GG60" si="2357">SUM(GG51,GG54,GG57)</f>
        <v>0</v>
      </c>
      <c r="GH60" s="156" t="str">
        <f t="shared" ref="GH60" si="2358">IFERROR((GH51*GG51+GG54*GH54+GG57*GH57)/GG60,"")</f>
        <v/>
      </c>
      <c r="GI60" s="155">
        <f t="shared" ref="GI60" si="2359">SUM(GI51,GI54,GI57)</f>
        <v>625</v>
      </c>
      <c r="GJ60" s="156">
        <f t="shared" ref="GJ60" si="2360">IFERROR((GJ51*GI51+GI54*GJ54+GI57*GJ57)/GI60,"")</f>
        <v>3.05</v>
      </c>
      <c r="GK60" s="155">
        <f t="shared" ref="GK60" si="2361">SUM(GK51,GK54,GK57)</f>
        <v>1007</v>
      </c>
      <c r="GL60" s="156">
        <f t="shared" ref="GL60" si="2362">IFERROR((GL51*GK51+GK54*GL54+GK57*GL57)/GK60,"")</f>
        <v>2.0099999999999998</v>
      </c>
      <c r="GM60" s="155">
        <f t="shared" ref="GM60" si="2363">SUM(GM51,GM54,GM57)</f>
        <v>2170</v>
      </c>
      <c r="GN60" s="156">
        <f t="shared" ref="GN60" si="2364">IFERROR((GN51*GM51+GM54*GN54+GM57*GN57)/GM60,"")</f>
        <v>1.6400000000000001</v>
      </c>
      <c r="GO60" s="155">
        <f t="shared" ref="GO60" si="2365">SUM(GO51,GO54,GO57)</f>
        <v>913</v>
      </c>
      <c r="GP60" s="156">
        <f t="shared" ref="GP60" si="2366">IFERROR((GP51*GO51+GO54*GP54+GO57*GP57)/GO60,"")</f>
        <v>3.97</v>
      </c>
      <c r="GQ60" s="155">
        <f t="shared" ref="GQ60" si="2367">SUM(GQ51,GQ54,GQ57)</f>
        <v>0</v>
      </c>
      <c r="GR60" s="156" t="str">
        <f t="shared" ref="GR60" si="2368">IFERROR((GR51*GQ51+GQ54*GR54+GQ57*GR57)/GQ60,"")</f>
        <v/>
      </c>
      <c r="GS60" s="155">
        <f t="shared" ref="GS60" si="2369">SUM(GS51,GS54,GS57)</f>
        <v>0</v>
      </c>
      <c r="GT60" s="156" t="str">
        <f t="shared" ref="GT60" si="2370">IFERROR((GT51*GS51+GS54*GT54+GS57*GT57)/GS60,"")</f>
        <v/>
      </c>
      <c r="GU60" s="155">
        <f t="shared" ref="GU60" si="2371">SUM(GU51,GU54,GU57)</f>
        <v>0</v>
      </c>
      <c r="GV60" s="156" t="str">
        <f t="shared" ref="GV60" si="2372">IFERROR((GV51*GU51+GU54*GV54+GU57*GV57)/GU60,"")</f>
        <v/>
      </c>
      <c r="GW60" s="155">
        <f t="shared" ref="GW60" si="2373">SUM(GW51,GW54,GW57)</f>
        <v>0</v>
      </c>
      <c r="GX60" s="156" t="str">
        <f t="shared" ref="GX60" si="2374">IFERROR((GX51*GW51+GW54*GX54+GW57*GX57)/GW60,"")</f>
        <v/>
      </c>
      <c r="GY60" s="155">
        <f t="shared" ref="GY60" si="2375">SUM(GY51,GY54,GY57)</f>
        <v>0</v>
      </c>
      <c r="GZ60" s="156" t="str">
        <f t="shared" ref="GZ60" si="2376">IFERROR((GZ51*GY51+GY54*GZ54+GY57*GZ57)/GY60,"")</f>
        <v/>
      </c>
      <c r="HA60" s="155">
        <f t="shared" ref="HA60" si="2377">SUM(HA51,HA54,HA57)</f>
        <v>0</v>
      </c>
      <c r="HB60" s="156" t="str">
        <f t="shared" ref="HB60" si="2378">IFERROR((HB51*HA51+HA54*HB54+HA57*HB57)/HA60,"")</f>
        <v/>
      </c>
      <c r="HC60" s="155">
        <f t="shared" ref="HC60" si="2379">SUM(HC51,HC54,HC57)</f>
        <v>0</v>
      </c>
      <c r="HD60" s="156" t="str">
        <f t="shared" ref="HD60" si="2380">IFERROR((HD51*HC51+HC54*HD54+HC57*HD57)/HC60,"")</f>
        <v/>
      </c>
      <c r="HE60" s="155">
        <f t="shared" ref="HE60" si="2381">SUM(HE51,HE54,HE57)</f>
        <v>0</v>
      </c>
      <c r="HF60" s="156" t="str">
        <f t="shared" ref="HF60" si="2382">IFERROR((HF51*HE51+HE54*HF54+HE57*HF57)/HE60,"")</f>
        <v/>
      </c>
      <c r="HG60" s="155">
        <f t="shared" ref="HG60" si="2383">SUM(HG51,HG54,HG57)</f>
        <v>0</v>
      </c>
      <c r="HH60" s="156" t="str">
        <f t="shared" ref="HH60" si="2384">IFERROR((HH51*HG51+HG54*HH54+HG57*HH57)/HG60,"")</f>
        <v/>
      </c>
      <c r="HI60" s="155">
        <f t="shared" ref="HI60" si="2385">SUM(HI51,HI54,HI57)</f>
        <v>0</v>
      </c>
      <c r="HJ60" s="156" t="str">
        <f t="shared" ref="HJ60" si="2386">IFERROR((HJ51*HI51+HI54*HJ54+HI57*HJ57)/HI60,"")</f>
        <v/>
      </c>
      <c r="HK60" s="155">
        <f t="shared" ref="HK60" si="2387">SUM(HK51,HK54,HK57)</f>
        <v>0</v>
      </c>
      <c r="HL60" s="156" t="str">
        <f t="shared" ref="HL60" si="2388">IFERROR((HL51*HK51+HK54*HL54+HK57*HL57)/HK60,"")</f>
        <v/>
      </c>
      <c r="HM60" s="155">
        <f t="shared" ref="HM60" si="2389">SUM(HM51,HM54,HM57)</f>
        <v>0</v>
      </c>
      <c r="HN60" s="156" t="str">
        <f t="shared" ref="HN60" si="2390">IFERROR((HN51*HM51+HM54*HN54+HM57*HN57)/HM60,"")</f>
        <v/>
      </c>
      <c r="HO60" s="155">
        <f t="shared" ref="HO60" si="2391">SUM(HO51,HO54,HO57)</f>
        <v>0</v>
      </c>
      <c r="HP60" s="156" t="str">
        <f t="shared" ref="HP60" si="2392">IFERROR((HP51*HO51+HO54*HP54+HO57*HP57)/HO60,"")</f>
        <v/>
      </c>
      <c r="HQ60" s="155">
        <f t="shared" ref="HQ60" si="2393">SUM(HQ51,HQ54,HQ57)</f>
        <v>0</v>
      </c>
      <c r="HR60" s="156" t="str">
        <f t="shared" ref="HR60" si="2394">IFERROR((HR51*HQ51+HQ54*HR54+HQ57*HR57)/HQ60,"")</f>
        <v/>
      </c>
      <c r="HS60" s="155">
        <f t="shared" ref="HS60" si="2395">SUM(HS51,HS54,HS57)</f>
        <v>0</v>
      </c>
      <c r="HT60" s="156" t="str">
        <f t="shared" ref="HT60" si="2396">IFERROR((HT51*HS51+HS54*HT54+HS57*HT57)/HS60,"")</f>
        <v/>
      </c>
      <c r="HU60" s="155">
        <f t="shared" ref="HU60" si="2397">SUM(HU51,HU54,HU57)</f>
        <v>0</v>
      </c>
      <c r="HV60" s="156" t="str">
        <f t="shared" ref="HV60" si="2398">IFERROR((HV51*HU51+HU54*HV54+HU57*HV57)/HU60,"")</f>
        <v/>
      </c>
      <c r="HW60" s="155">
        <f t="shared" ref="HW60" si="2399">SUM(HW51,HW54,HW57)</f>
        <v>0</v>
      </c>
      <c r="HX60" s="156" t="str">
        <f t="shared" ref="HX60" si="2400">IFERROR((HX51*HW51+HW54*HX54+HW57*HX57)/HW60,"")</f>
        <v/>
      </c>
      <c r="HY60" s="155">
        <f t="shared" ref="HY60" si="2401">SUM(HY51,HY54,HY57)</f>
        <v>0</v>
      </c>
      <c r="HZ60" s="156" t="str">
        <f t="shared" ref="HZ60" si="2402">IFERROR((HZ51*HY51+HY54*HZ54+HY57*HZ57)/HY60,"")</f>
        <v/>
      </c>
      <c r="IA60" s="155">
        <f t="shared" ref="IA60" si="2403">SUM(IA51,IA54,IA57)</f>
        <v>0</v>
      </c>
      <c r="IB60" s="156" t="str">
        <f t="shared" ref="IB60" si="2404">IFERROR((IB51*IA51+IA54*IB54+IA57*IB57)/IA60,"")</f>
        <v/>
      </c>
      <c r="IC60" s="155">
        <f t="shared" ref="IC60" si="2405">SUM(IC51,IC54,IC57)</f>
        <v>0</v>
      </c>
      <c r="ID60" s="156" t="str">
        <f t="shared" ref="ID60" si="2406">IFERROR((ID51*IC51+IC54*ID54+IC57*ID57)/IC60,"")</f>
        <v/>
      </c>
      <c r="IE60" s="155">
        <f t="shared" ref="IE60" si="2407">SUM(IE51,IE54,IE57)</f>
        <v>0</v>
      </c>
      <c r="IF60" s="156" t="str">
        <f t="shared" ref="IF60" si="2408">IFERROR((IF51*IE51+IE54*IF54+IE57*IF57)/IE60,"")</f>
        <v/>
      </c>
      <c r="IG60" s="155">
        <f t="shared" ref="IG60" si="2409">SUM(IG51,IG54,IG57)</f>
        <v>0</v>
      </c>
      <c r="IH60" s="156" t="str">
        <f t="shared" ref="IH60" si="2410">IFERROR((IH51*IG51+IG54*IH54+IG57*IH57)/IG60,"")</f>
        <v/>
      </c>
      <c r="II60" s="155">
        <f t="shared" ref="II60" si="2411">SUM(II51,II54,II57)</f>
        <v>0</v>
      </c>
      <c r="IJ60" s="156" t="str">
        <f t="shared" ref="IJ60" si="2412">IFERROR((IJ51*II51+II54*IJ54+II57*IJ57)/II60,"")</f>
        <v/>
      </c>
      <c r="IK60" s="155">
        <f t="shared" ref="IK60" si="2413">SUM(IK51,IK54,IK57)</f>
        <v>0</v>
      </c>
      <c r="IL60" s="156" t="str">
        <f t="shared" ref="IL60" si="2414">IFERROR((IL51*IK51+IK54*IL54+IK57*IL57)/IK60,"")</f>
        <v/>
      </c>
      <c r="IM60" s="155">
        <f t="shared" ref="IM60" si="2415">SUM(IM51,IM54,IM57)</f>
        <v>0</v>
      </c>
      <c r="IN60" s="156" t="str">
        <f t="shared" ref="IN60" si="2416">IFERROR((IN51*IM51+IM54*IN54+IM57*IN57)/IM60,"")</f>
        <v/>
      </c>
      <c r="IO60" s="155">
        <f t="shared" ref="IO60" si="2417">SUM(IO51,IO54,IO57)</f>
        <v>0</v>
      </c>
      <c r="IP60" s="156" t="str">
        <f t="shared" ref="IP60" si="2418">IFERROR((IP51*IO51+IO54*IP54+IO57*IP57)/IO60,"")</f>
        <v/>
      </c>
      <c r="IQ60" s="155">
        <f t="shared" ref="IQ60" si="2419">SUM(IQ51,IQ54,IQ57)</f>
        <v>0</v>
      </c>
      <c r="IR60" s="156" t="str">
        <f t="shared" ref="IR60" si="2420">IFERROR((IR51*IQ51+IQ54*IR54+IQ57*IR57)/IQ60,"")</f>
        <v/>
      </c>
      <c r="IS60" s="155">
        <f t="shared" ref="IS60" si="2421">SUM(IS51,IS54,IS57)</f>
        <v>0</v>
      </c>
      <c r="IT60" s="156" t="str">
        <f t="shared" ref="IT60" si="2422">IFERROR((IT51*IS51+IS54*IT54+IS57*IT57)/IS60,"")</f>
        <v/>
      </c>
      <c r="IU60" s="155">
        <f t="shared" ref="IU60" si="2423">SUM(IU51,IU54,IU57)</f>
        <v>0</v>
      </c>
      <c r="IV60" s="156" t="str">
        <f t="shared" ref="IV60" si="2424">IFERROR((IV51*IU51+IU54*IV54+IU57*IV57)/IU60,"")</f>
        <v/>
      </c>
      <c r="IW60" s="155">
        <f t="shared" ref="IW60" si="2425">SUM(IW51,IW54,IW57)</f>
        <v>0</v>
      </c>
      <c r="IX60" s="156" t="str">
        <f t="shared" ref="IX60" si="2426">IFERROR((IX51*IW51+IW54*IX54+IW57*IX57)/IW60,"")</f>
        <v/>
      </c>
      <c r="IY60" s="155">
        <f t="shared" ref="IY60" si="2427">SUM(IY51,IY54,IY57)</f>
        <v>0</v>
      </c>
      <c r="IZ60" s="156" t="str">
        <f t="shared" ref="IZ60" si="2428">IFERROR((IZ51*IY51+IY54*IZ54+IY57*IZ57)/IY60,"")</f>
        <v/>
      </c>
    </row>
    <row r="61" spans="1:260" x14ac:dyDescent="0.25">
      <c r="A61" s="1577"/>
      <c r="B61" s="13" t="s">
        <v>211</v>
      </c>
      <c r="C61" s="131">
        <f>SUM(C52,C55,C58)</f>
        <v>54985</v>
      </c>
      <c r="D61" s="132" t="str">
        <f>IFERROR((C52*D52+C55*D55+C58*D58)/C61,"")</f>
        <v/>
      </c>
      <c r="E61" s="155">
        <f t="shared" ref="E61" si="2429">SUM(E52,E55,E58)</f>
        <v>3920</v>
      </c>
      <c r="F61" s="156">
        <f t="shared" ref="F61" si="2430">IFERROR((F52*E52+E55*F55+E58*F58)/E61,"")</f>
        <v>2.0733928571428573</v>
      </c>
      <c r="G61" s="155">
        <f t="shared" ref="G61" si="2431">SUM(G52,G55,G58)</f>
        <v>0</v>
      </c>
      <c r="H61" s="156" t="str">
        <f t="shared" ref="H61" si="2432">IFERROR((H52*G52+G55*H55+G58*H58)/G61,"")</f>
        <v/>
      </c>
      <c r="I61" s="155">
        <f t="shared" ref="I61" si="2433">SUM(I52,I55,I58)</f>
        <v>0</v>
      </c>
      <c r="J61" s="156" t="str">
        <f>IFERROR((J52*I52+I55*J55+I58*J58)/I61,"")</f>
        <v/>
      </c>
      <c r="K61" s="155">
        <f t="shared" ref="K61" si="2434">SUM(K52,K55,K58)</f>
        <v>0</v>
      </c>
      <c r="L61" s="156" t="str">
        <f t="shared" ref="L61" si="2435">IFERROR((L52*K52+K55*L55+K58*L58)/K61,"")</f>
        <v/>
      </c>
      <c r="M61" s="155">
        <f t="shared" ref="M61" si="2436">SUM(M52,M55,M58)</f>
        <v>0</v>
      </c>
      <c r="N61" s="156" t="str">
        <f t="shared" ref="N61" si="2437">IFERROR((N52*M52+M55*N55+M58*N58)/M61,"")</f>
        <v/>
      </c>
      <c r="O61" s="155">
        <f t="shared" ref="O61" si="2438">SUM(O52,O55,O58)</f>
        <v>0</v>
      </c>
      <c r="P61" s="156" t="str">
        <f t="shared" ref="P61" si="2439">IFERROR((P52*O52+O55*P55+O58*P58)/O61,"")</f>
        <v/>
      </c>
      <c r="Q61" s="155">
        <f t="shared" ref="Q61" si="2440">SUM(Q52,Q55,Q58)</f>
        <v>0</v>
      </c>
      <c r="R61" s="156" t="str">
        <f t="shared" ref="R61" si="2441">IFERROR((R52*Q52+Q55*R55+Q58*R58)/Q61,"")</f>
        <v/>
      </c>
      <c r="S61" s="155">
        <f t="shared" ref="S61" si="2442">SUM(S52,S55,S58)</f>
        <v>0</v>
      </c>
      <c r="T61" s="156" t="str">
        <f t="shared" ref="T61" si="2443">IFERROR((T52*S52+S55*T55+S58*T58)/S61,"")</f>
        <v/>
      </c>
      <c r="U61" s="155">
        <f t="shared" ref="U61" si="2444">SUM(U52,U55,U58)</f>
        <v>0</v>
      </c>
      <c r="V61" s="156" t="str">
        <f t="shared" ref="V61" si="2445">IFERROR((V52*U52+U55*V55+U58*V58)/U61,"")</f>
        <v/>
      </c>
      <c r="W61" s="155">
        <f t="shared" ref="W61" si="2446">SUM(W52,W55,W58)</f>
        <v>0</v>
      </c>
      <c r="X61" s="156" t="str">
        <f t="shared" ref="X61" si="2447">IFERROR((X52*W52+W55*X55+W58*X58)/W61,"")</f>
        <v/>
      </c>
      <c r="Y61" s="155">
        <f t="shared" ref="Y61" si="2448">SUM(Y52,Y55,Y58)</f>
        <v>4970</v>
      </c>
      <c r="Z61" s="156">
        <f t="shared" ref="Z61" si="2449">IFERROR((Z52*Y52+Y55*Z55+Y58*Z58)/Y61,"")</f>
        <v>3.3826760563380285</v>
      </c>
      <c r="AA61" s="155">
        <f t="shared" ref="AA61" si="2450">SUM(AA52,AA55,AA58)</f>
        <v>1960</v>
      </c>
      <c r="AB61" s="156">
        <f t="shared" ref="AB61" si="2451">IFERROR((AB52*AA52+AA55*AB55+AA58*AB58)/AA61,"")</f>
        <v>2.14</v>
      </c>
      <c r="AC61" s="155">
        <f t="shared" ref="AC61" si="2452">SUM(AC52,AC55,AC58)</f>
        <v>0</v>
      </c>
      <c r="AD61" s="156" t="str">
        <f t="shared" ref="AD61" si="2453">IFERROR((AD52*AC52+AC55*AD55+AC58*AD58)/AC61,"")</f>
        <v/>
      </c>
      <c r="AE61" s="155">
        <f t="shared" ref="AE61" si="2454">SUM(AE52,AE55,AE58)</f>
        <v>0</v>
      </c>
      <c r="AF61" s="156" t="str">
        <f t="shared" ref="AF61" si="2455">IFERROR((AF52*AE52+AE55*AF55+AE58*AF58)/AE61,"")</f>
        <v/>
      </c>
      <c r="AG61" s="155">
        <f t="shared" ref="AG61" si="2456">SUM(AG52,AG55,AG58)</f>
        <v>0</v>
      </c>
      <c r="AH61" s="156" t="str">
        <f t="shared" ref="AH61" si="2457">IFERROR((AH52*AG52+AG55*AH55+AG58*AH58)/AG61,"")</f>
        <v/>
      </c>
      <c r="AI61" s="155">
        <f t="shared" ref="AI61" si="2458">SUM(AI52,AI55,AI58)</f>
        <v>0</v>
      </c>
      <c r="AJ61" s="156" t="str">
        <f t="shared" ref="AJ61" si="2459">IFERROR((AJ52*AI52+AI55*AJ55+AI58*AJ58)/AI61,"")</f>
        <v/>
      </c>
      <c r="AK61" s="155">
        <f t="shared" ref="AK61" si="2460">SUM(AK52,AK55,AK58)</f>
        <v>0</v>
      </c>
      <c r="AL61" s="156" t="str">
        <f t="shared" ref="AL61" si="2461">IFERROR((AL52*AK52+AK55*AL55+AK58*AL58)/AK61,"")</f>
        <v/>
      </c>
      <c r="AM61" s="155">
        <f t="shared" ref="AM61" si="2462">SUM(AM52,AM55,AM58)</f>
        <v>0</v>
      </c>
      <c r="AN61" s="156" t="str">
        <f t="shared" ref="AN61" si="2463">IFERROR((AN52*AM52+AM55*AN55+AM58*AN58)/AM61,"")</f>
        <v/>
      </c>
      <c r="AO61" s="155">
        <f t="shared" ref="AO61" si="2464">SUM(AO52,AO55,AO58)</f>
        <v>0</v>
      </c>
      <c r="AP61" s="156" t="str">
        <f t="shared" ref="AP61" si="2465">IFERROR((AP52*AO52+AO55*AP55+AO58*AP58)/AO61,"")</f>
        <v/>
      </c>
      <c r="AQ61" s="155">
        <f t="shared" ref="AQ61" si="2466">SUM(AQ52,AQ55,AQ58)</f>
        <v>0</v>
      </c>
      <c r="AR61" s="156" t="str">
        <f t="shared" ref="AR61" si="2467">IFERROR((AR52*AQ52+AQ55*AR55+AQ58*AR58)/AQ61,"")</f>
        <v/>
      </c>
      <c r="AS61" s="155">
        <f t="shared" ref="AS61" si="2468">SUM(AS52,AS55,AS58)</f>
        <v>0</v>
      </c>
      <c r="AT61" s="156" t="str">
        <f t="shared" ref="AT61" si="2469">IFERROR((AT52*AS52+AS55*AT55+AS58*AT58)/AS61,"")</f>
        <v/>
      </c>
      <c r="AU61" s="155">
        <f t="shared" ref="AU61" si="2470">SUM(AU52,AU55,AU58)</f>
        <v>0</v>
      </c>
      <c r="AV61" s="156" t="str">
        <f t="shared" ref="AV61" si="2471">IFERROR((AV52*AU52+AU55*AV55+AU58*AV58)/AU61,"")</f>
        <v/>
      </c>
      <c r="AW61" s="155">
        <f t="shared" ref="AW61" si="2472">SUM(AW52,AW55,AW58)</f>
        <v>0</v>
      </c>
      <c r="AX61" s="156" t="str">
        <f t="shared" ref="AX61" si="2473">IFERROR((AX52*AW52+AW55*AX55+AW58*AX58)/AW61,"")</f>
        <v/>
      </c>
      <c r="AY61" s="155">
        <f t="shared" ref="AY61" si="2474">SUM(AY52,AY55,AY58)</f>
        <v>0</v>
      </c>
      <c r="AZ61" s="156" t="str">
        <f t="shared" ref="AZ61" si="2475">IFERROR((AZ52*AY52+AY55*AZ55+AY58*AZ58)/AY61,"")</f>
        <v/>
      </c>
      <c r="BA61" s="155">
        <f t="shared" ref="BA61" si="2476">SUM(BA52,BA55,BA58)</f>
        <v>0</v>
      </c>
      <c r="BB61" s="156" t="str">
        <f t="shared" ref="BB61" si="2477">IFERROR((BB52*BA52+BA55*BB55+BA58*BB58)/BA61,"")</f>
        <v/>
      </c>
      <c r="BC61" s="155">
        <f t="shared" ref="BC61" si="2478">SUM(BC52,BC55,BC58)</f>
        <v>0</v>
      </c>
      <c r="BD61" s="156" t="str">
        <f t="shared" ref="BD61" si="2479">IFERROR((BD52*BC52+BC55*BD55+BC58*BD58)/BC61,"")</f>
        <v/>
      </c>
      <c r="BE61" s="155">
        <f t="shared" ref="BE61" si="2480">SUM(BE52,BE55,BE58)</f>
        <v>0</v>
      </c>
      <c r="BF61" s="156" t="str">
        <f t="shared" ref="BF61" si="2481">IFERROR((BF52*BE52+BE55*BF55+BE58*BF58)/BE61,"")</f>
        <v/>
      </c>
      <c r="BG61" s="155">
        <f t="shared" ref="BG61" si="2482">SUM(BG52,BG55,BG58)</f>
        <v>0</v>
      </c>
      <c r="BH61" s="156" t="str">
        <f t="shared" ref="BH61" si="2483">IFERROR((BH52*BG52+BG55*BH55+BG58*BH58)/BG61,"")</f>
        <v/>
      </c>
      <c r="BI61" s="155">
        <f t="shared" ref="BI61" si="2484">SUM(BI52,BI55,BI58)</f>
        <v>0</v>
      </c>
      <c r="BJ61" s="156" t="str">
        <f t="shared" ref="BJ61" si="2485">IFERROR((BJ52*BI52+BI55*BJ55+BI58*BJ58)/BI61,"")</f>
        <v/>
      </c>
      <c r="BK61" s="155">
        <f t="shared" ref="BK61" si="2486">SUM(BK52,BK55,BK58)</f>
        <v>0</v>
      </c>
      <c r="BL61" s="156" t="str">
        <f t="shared" ref="BL61" si="2487">IFERROR((BL52*BK52+BK55*BL55+BK58*BL58)/BK61,"")</f>
        <v/>
      </c>
      <c r="BM61" s="155">
        <f t="shared" ref="BM61" si="2488">SUM(BM52,BM55,BM58)</f>
        <v>0</v>
      </c>
      <c r="BN61" s="156" t="str">
        <f t="shared" ref="BN61" si="2489">IFERROR((BN52*BM52+BM55*BN55+BM58*BN58)/BM61,"")</f>
        <v/>
      </c>
      <c r="BO61" s="155">
        <f t="shared" ref="BO61" si="2490">SUM(BO52,BO55,BO58)</f>
        <v>0</v>
      </c>
      <c r="BP61" s="156" t="str">
        <f t="shared" ref="BP61" si="2491">IFERROR((BP52*BO52+BO55*BP55+BO58*BP58)/BO61,"")</f>
        <v/>
      </c>
      <c r="BQ61" s="155">
        <f t="shared" ref="BQ61" si="2492">SUM(BQ52,BQ55,BQ58)</f>
        <v>0</v>
      </c>
      <c r="BR61" s="156" t="str">
        <f t="shared" ref="BR61" si="2493">IFERROR((BR52*BQ52+BQ55*BR55+BQ58*BR58)/BQ61,"")</f>
        <v/>
      </c>
      <c r="BS61" s="155">
        <f t="shared" ref="BS61" si="2494">SUM(BS52,BS55,BS58)</f>
        <v>0</v>
      </c>
      <c r="BT61" s="156" t="str">
        <f t="shared" ref="BT61" si="2495">IFERROR((BT52*BS52+BS55*BT55+BS58*BT58)/BS61,"")</f>
        <v/>
      </c>
      <c r="BU61" s="155">
        <f t="shared" ref="BU61" si="2496">SUM(BU52,BU55,BU58)</f>
        <v>0</v>
      </c>
      <c r="BV61" s="156" t="str">
        <f t="shared" ref="BV61" si="2497">IFERROR((BV52*BU52+BU55*BV55+BU58*BV58)/BU61,"")</f>
        <v/>
      </c>
      <c r="BW61" s="155">
        <f t="shared" ref="BW61" si="2498">SUM(BW52,BW55,BW58)</f>
        <v>0</v>
      </c>
      <c r="BX61" s="156" t="str">
        <f t="shared" ref="BX61" si="2499">IFERROR((BX52*BW52+BW55*BX55+BW58*BX58)/BW61,"")</f>
        <v/>
      </c>
      <c r="BY61" s="155">
        <f t="shared" ref="BY61" si="2500">SUM(BY52,BY55,BY58)</f>
        <v>0</v>
      </c>
      <c r="BZ61" s="156" t="str">
        <f t="shared" ref="BZ61" si="2501">IFERROR((BZ52*BY52+BY55*BZ55+BY58*BZ58)/BY61,"")</f>
        <v/>
      </c>
      <c r="CA61" s="155">
        <f t="shared" ref="CA61" si="2502">SUM(CA52,CA55,CA58)</f>
        <v>0</v>
      </c>
      <c r="CB61" s="156" t="str">
        <f t="shared" ref="CB61" si="2503">IFERROR((CB52*CA52+CA55*CB55+CA58*CB58)/CA61,"")</f>
        <v/>
      </c>
      <c r="CC61" s="155">
        <f t="shared" ref="CC61" si="2504">SUM(CC52,CC55,CC58)</f>
        <v>0</v>
      </c>
      <c r="CD61" s="156" t="str">
        <f t="shared" ref="CD61" si="2505">IFERROR((CD52*CC52+CC55*CD55+CC58*CD58)/CC61,"")</f>
        <v/>
      </c>
      <c r="CE61" s="155">
        <f t="shared" ref="CE61" si="2506">SUM(CE52,CE55,CE58)</f>
        <v>0</v>
      </c>
      <c r="CF61" s="156" t="str">
        <f t="shared" ref="CF61" si="2507">IFERROR((CF52*CE52+CE55*CF55+CE58*CF58)/CE61,"")</f>
        <v/>
      </c>
      <c r="CG61" s="155">
        <f t="shared" ref="CG61" si="2508">SUM(CG52,CG55,CG58)</f>
        <v>0</v>
      </c>
      <c r="CH61" s="156" t="str">
        <f t="shared" ref="CH61" si="2509">IFERROR((CH52*CG52+CG55*CH55+CG58*CH58)/CG61,"")</f>
        <v/>
      </c>
      <c r="CI61" s="155">
        <f t="shared" ref="CI61" si="2510">SUM(CI52,CI55,CI58)</f>
        <v>0</v>
      </c>
      <c r="CJ61" s="156" t="str">
        <f t="shared" ref="CJ61" si="2511">IFERROR((CJ52*CI52+CI55*CJ55+CI58*CJ58)/CI61,"")</f>
        <v/>
      </c>
      <c r="CK61" s="155">
        <f t="shared" ref="CK61" si="2512">SUM(CK52,CK55,CK58)</f>
        <v>0</v>
      </c>
      <c r="CL61" s="156" t="str">
        <f t="shared" ref="CL61" si="2513">IFERROR((CL52*CK52+CK55*CL55+CK58*CL58)/CK61,"")</f>
        <v/>
      </c>
      <c r="CM61" s="155">
        <f t="shared" ref="CM61" si="2514">SUM(CM52,CM55,CM58)</f>
        <v>0</v>
      </c>
      <c r="CN61" s="156" t="str">
        <f t="shared" ref="CN61" si="2515">IFERROR((CN52*CM52+CM55*CN55+CM58*CN58)/CM61,"")</f>
        <v/>
      </c>
      <c r="CO61" s="155">
        <f t="shared" ref="CO61" si="2516">SUM(CO52,CO55,CO58)</f>
        <v>0</v>
      </c>
      <c r="CP61" s="156" t="str">
        <f t="shared" ref="CP61" si="2517">IFERROR((CP52*CO52+CO55*CP55+CO58*CP58)/CO61,"")</f>
        <v/>
      </c>
      <c r="CQ61" s="155">
        <f t="shared" ref="CQ61:CW61" si="2518">SUM(CQ52,CQ55,CQ58)</f>
        <v>0</v>
      </c>
      <c r="CR61" s="156" t="str">
        <f t="shared" ref="CR61" si="2519">IFERROR((CR52*CQ52+CQ55*CR55+CQ58*CR58)/CQ61,"")</f>
        <v/>
      </c>
      <c r="CS61" s="155">
        <f t="shared" ref="CS61" si="2520">SUM(CS52,CS55,CS58)</f>
        <v>7980</v>
      </c>
      <c r="CT61" s="156">
        <f t="shared" si="2269"/>
        <v>3.4619298245614036</v>
      </c>
      <c r="CU61" s="155">
        <f t="shared" si="2518"/>
        <v>0</v>
      </c>
      <c r="CV61" s="156" t="str">
        <f t="shared" si="2270"/>
        <v/>
      </c>
      <c r="CW61" s="155">
        <f t="shared" si="2518"/>
        <v>0</v>
      </c>
      <c r="CX61" s="156" t="str">
        <f t="shared" si="2271"/>
        <v/>
      </c>
      <c r="CY61" s="155">
        <f t="shared" ref="CY61" si="2521">SUM(CY52,CY55,CY58)</f>
        <v>5005</v>
      </c>
      <c r="CZ61" s="156">
        <f t="shared" ref="CZ61" si="2522">IFERROR((CZ52*CY52+CY55*CZ55+CY58*CZ58)/CY61,"")</f>
        <v>1.9476923076923078</v>
      </c>
      <c r="DA61" s="155">
        <f t="shared" ref="DA61" si="2523">SUM(DA52,DA55,DA58)</f>
        <v>0</v>
      </c>
      <c r="DB61" s="156" t="str">
        <f t="shared" ref="DB61" si="2524">IFERROR((DB52*DA52+DA55*DB55+DA58*DB58)/DA61,"")</f>
        <v/>
      </c>
      <c r="DC61" s="155">
        <f t="shared" ref="DC61" si="2525">SUM(DC52,DC55,DC58)</f>
        <v>0</v>
      </c>
      <c r="DD61" s="156" t="str">
        <f t="shared" ref="DD61" si="2526">IFERROR((DD52*DC52+DC55*DD55+DC58*DD58)/DC61,"")</f>
        <v/>
      </c>
      <c r="DE61" s="155">
        <f t="shared" ref="DE61" si="2527">SUM(DE52,DE55,DE58)</f>
        <v>0</v>
      </c>
      <c r="DF61" s="156" t="str">
        <f t="shared" ref="DF61" si="2528">IFERROR((DF52*DE52+DE55*DF55+DE58*DF58)/DE61,"")</f>
        <v/>
      </c>
      <c r="DG61" s="155">
        <f t="shared" ref="DG61" si="2529">SUM(DG52,DG55,DG58)</f>
        <v>0</v>
      </c>
      <c r="DH61" s="156" t="str">
        <f t="shared" ref="DH61" si="2530">IFERROR((DH52*DG52+DG55*DH55+DG58*DH58)/DG61,"")</f>
        <v/>
      </c>
      <c r="DI61" s="155">
        <f t="shared" ref="DI61" si="2531">SUM(DI52,DI55,DI58)</f>
        <v>0</v>
      </c>
      <c r="DJ61" s="156" t="str">
        <f t="shared" ref="DJ61" si="2532">IFERROR((DJ52*DI52+DI55*DJ55+DI58*DJ58)/DI61,"")</f>
        <v/>
      </c>
      <c r="DK61" s="155">
        <f t="shared" ref="DK61" si="2533">SUM(DK52,DK55,DK58)</f>
        <v>0</v>
      </c>
      <c r="DL61" s="156" t="str">
        <f t="shared" ref="DL61" si="2534">IFERROR((DL52*DK52+DK55*DL55+DK58*DL58)/DK61,"")</f>
        <v/>
      </c>
      <c r="DM61" s="155">
        <f t="shared" ref="DM61" si="2535">SUM(DM52,DM55,DM58)</f>
        <v>0</v>
      </c>
      <c r="DN61" s="156" t="str">
        <f t="shared" ref="DN61" si="2536">IFERROR((DN52*DM52+DM55*DN55+DM58*DN58)/DM61,"")</f>
        <v/>
      </c>
      <c r="DO61" s="155">
        <f t="shared" ref="DO61" si="2537">SUM(DO52,DO55,DO58)</f>
        <v>0</v>
      </c>
      <c r="DP61" s="156" t="str">
        <f t="shared" ref="DP61" si="2538">IFERROR((DP52*DO52+DO55*DP55+DO58*DP58)/DO61,"")</f>
        <v/>
      </c>
      <c r="DQ61" s="155">
        <f t="shared" ref="DQ61" si="2539">SUM(DQ52,DQ55,DQ58)</f>
        <v>1050</v>
      </c>
      <c r="DR61" s="156">
        <f t="shared" ref="DR61" si="2540">IFERROR((DR52*DQ52+DQ55*DR55+DQ58*DR58)/DQ61,"")</f>
        <v>1.68</v>
      </c>
      <c r="DS61" s="155">
        <f t="shared" ref="DS61" si="2541">SUM(DS52,DS55,DS58)</f>
        <v>1470</v>
      </c>
      <c r="DT61" s="156">
        <f t="shared" ref="DT61" si="2542">IFERROR((DT52*DS52+DS55*DT55+DS58*DT58)/DS61,"")</f>
        <v>1.6</v>
      </c>
      <c r="DU61" s="155">
        <f t="shared" ref="DU61" si="2543">SUM(DU52,DU55,DU58)</f>
        <v>1750</v>
      </c>
      <c r="DV61" s="156">
        <f t="shared" ref="DV61" si="2544">IFERROR((DV52*DU52+DU55*DV55+DU58*DV58)/DU61,"")</f>
        <v>1.94</v>
      </c>
      <c r="DW61" s="155">
        <f t="shared" ref="DW61" si="2545">SUM(DW52,DW55,DW58)</f>
        <v>0</v>
      </c>
      <c r="DX61" s="156" t="str">
        <f t="shared" ref="DX61" si="2546">IFERROR((DX52*DW52+DW55*DX55+DW58*DX58)/DW61,"")</f>
        <v/>
      </c>
      <c r="DY61" s="155">
        <f t="shared" ref="DY61" si="2547">SUM(DY52,DY55,DY58)</f>
        <v>0</v>
      </c>
      <c r="DZ61" s="156" t="str">
        <f t="shared" ref="DZ61" si="2548">IFERROR((DZ52*DY52+DY55*DZ55+DY58*DZ58)/DY61,"")</f>
        <v/>
      </c>
      <c r="EA61" s="155">
        <f t="shared" ref="EA61" si="2549">SUM(EA52,EA55,EA58)</f>
        <v>0</v>
      </c>
      <c r="EB61" s="156" t="str">
        <f t="shared" ref="EB61" si="2550">IFERROR((EB52*EA52+EA55*EB55+EA58*EB58)/EA61,"")</f>
        <v/>
      </c>
      <c r="EC61" s="155">
        <f t="shared" ref="EC61" si="2551">SUM(EC52,EC55,EC58)</f>
        <v>0</v>
      </c>
      <c r="ED61" s="156" t="str">
        <f t="shared" ref="ED61" si="2552">IFERROR((ED52*EC52+EC55*ED55+EC58*ED58)/EC61,"")</f>
        <v/>
      </c>
      <c r="EE61" s="155">
        <f t="shared" ref="EE61" si="2553">SUM(EE52,EE55,EE58)</f>
        <v>0</v>
      </c>
      <c r="EF61" s="156" t="str">
        <f t="shared" ref="EF61" si="2554">IFERROR((EF52*EE52+EE55*EF55+EE58*EF58)/EE61,"")</f>
        <v/>
      </c>
      <c r="EG61" s="155">
        <f t="shared" ref="EG61" si="2555">SUM(EG52,EG55,EG58)</f>
        <v>0</v>
      </c>
      <c r="EH61" s="156" t="str">
        <f t="shared" ref="EH61" si="2556">IFERROR((EH52*EG52+EG55*EH55+EG58*EH58)/EG61,"")</f>
        <v/>
      </c>
      <c r="EI61" s="155">
        <f t="shared" ref="EI61" si="2557">SUM(EI52,EI55,EI58)</f>
        <v>0</v>
      </c>
      <c r="EJ61" s="156" t="str">
        <f t="shared" ref="EJ61" si="2558">IFERROR((EJ52*EI52+EI55*EJ55+EI58*EJ58)/EI61,"")</f>
        <v/>
      </c>
      <c r="EK61" s="155">
        <f t="shared" ref="EK61" si="2559">SUM(EK52,EK55,EK58)</f>
        <v>0</v>
      </c>
      <c r="EL61" s="156" t="str">
        <f t="shared" ref="EL61" si="2560">IFERROR((EL52*EK52+EK55*EL55+EK58*EL58)/EK61,"")</f>
        <v/>
      </c>
      <c r="EM61" s="155">
        <f t="shared" ref="EM61" si="2561">SUM(EM52,EM55,EM58)</f>
        <v>0</v>
      </c>
      <c r="EN61" s="156" t="str">
        <f t="shared" ref="EN61" si="2562">IFERROR((EN52*EM52+EM55*EN55+EM58*EN58)/EM61,"")</f>
        <v/>
      </c>
      <c r="EO61" s="155">
        <f t="shared" ref="EO61" si="2563">SUM(EO52,EO55,EO58)</f>
        <v>3990</v>
      </c>
      <c r="EP61" s="156">
        <f t="shared" ref="EP61" si="2564">IFERROR((EP52*EO52+EO55*EP55+EO58*EP58)/EO61,"")</f>
        <v>3.4970175438596489</v>
      </c>
      <c r="EQ61" s="155">
        <f t="shared" ref="EQ61:ES61" si="2565">SUM(EQ52,EQ55,EQ58)</f>
        <v>0</v>
      </c>
      <c r="ER61" s="156" t="str">
        <f t="shared" ref="ER61" si="2566">IFERROR((ER52*EQ52+EQ55*ER55+EQ58*ER58)/EQ61,"")</f>
        <v/>
      </c>
      <c r="ES61" s="155">
        <f t="shared" si="2565"/>
        <v>3990</v>
      </c>
      <c r="ET61" s="156">
        <f t="shared" si="2318"/>
        <v>3.4970175438596489</v>
      </c>
      <c r="EU61" s="155">
        <f t="shared" ref="EU61" si="2567">SUM(EU52,EU55,EU58)</f>
        <v>3990</v>
      </c>
      <c r="EV61" s="156">
        <f t="shared" ref="EV61" si="2568">IFERROR((EV52*EU52+EU55*EV55+EU58*EV58)/EU61,"")</f>
        <v>2.6152631578947374</v>
      </c>
      <c r="EW61" s="155">
        <f t="shared" ref="EW61" si="2569">SUM(EW52,EW55,EW58)</f>
        <v>0</v>
      </c>
      <c r="EX61" s="156" t="str">
        <f t="shared" si="2322"/>
        <v/>
      </c>
      <c r="EY61" s="155">
        <f t="shared" ref="EY61" si="2570">SUM(EY52,EY55,EY58)</f>
        <v>0</v>
      </c>
      <c r="EZ61" s="156" t="str">
        <f t="shared" ref="EZ61" si="2571">IFERROR((EZ52*EY52+EY55*EZ55+EY58*EZ58)/EY61,"")</f>
        <v/>
      </c>
      <c r="FA61" s="155">
        <f t="shared" ref="FA61" si="2572">SUM(FA52,FA55,FA58)</f>
        <v>0</v>
      </c>
      <c r="FB61" s="156" t="str">
        <f t="shared" ref="FB61" si="2573">IFERROR((FB52*FA52+FA55*FB55+FA58*FB58)/FA61,"")</f>
        <v/>
      </c>
      <c r="FC61" s="155">
        <f t="shared" ref="FC61" si="2574">SUM(FC52,FC55,FC58)</f>
        <v>3990</v>
      </c>
      <c r="FD61" s="156">
        <f t="shared" ref="FD61" si="2575">IFERROR((FD52*FC52+FC55*FD55+FC58*FD58)/FC61,"")</f>
        <v>2.5907017543859649</v>
      </c>
      <c r="FE61" s="155">
        <f t="shared" ref="FE61" si="2576">SUM(FE52,FE55,FE58)</f>
        <v>3920</v>
      </c>
      <c r="FF61" s="156">
        <f t="shared" ref="FF61" si="2577">IFERROR((FF52*FE52+FE55*FF55+FE58*FF58)/FE61,"")</f>
        <v>2.0099999999999998</v>
      </c>
      <c r="FG61" s="155">
        <f t="shared" ref="FG61" si="2578">SUM(FG52,FG55,FG58)</f>
        <v>1960</v>
      </c>
      <c r="FH61" s="156">
        <f t="shared" ref="FH61" si="2579">IFERROR((FH52*FG52+FG55*FH55+FG58*FH58)/FG61,"")</f>
        <v>1.72</v>
      </c>
      <c r="FI61" s="155">
        <f t="shared" ref="FI61" si="2580">SUM(FI52,FI55,FI58)</f>
        <v>0</v>
      </c>
      <c r="FJ61" s="156" t="str">
        <f t="shared" ref="FJ61" si="2581">IFERROR((FJ52*FI52+FI55*FJ55+FI58*FJ58)/FI61,"")</f>
        <v/>
      </c>
      <c r="FK61" s="155">
        <f t="shared" ref="FK61" si="2582">SUM(FK52,FK55,FK58)</f>
        <v>3010</v>
      </c>
      <c r="FL61" s="156">
        <f t="shared" ref="FL61" si="2583">IFERROR((FL52*FK52+FK55*FL55+FK58*FL58)/FK61,"")</f>
        <v>2.3776744186046508</v>
      </c>
      <c r="FM61" s="155">
        <f t="shared" ref="FM61" si="2584">SUM(FM52,FM55,FM58)</f>
        <v>2030</v>
      </c>
      <c r="FN61" s="156">
        <f t="shared" ref="FN61" si="2585">IFERROR((FN52*FM52+FM55*FN55+FM58*FN58)/FM61,"")</f>
        <v>2.2000000000000002</v>
      </c>
      <c r="FO61" s="155">
        <f t="shared" ref="FO61" si="2586">SUM(FO52,FO55,FO58)</f>
        <v>0</v>
      </c>
      <c r="FP61" s="156" t="str">
        <f t="shared" ref="FP61" si="2587">IFERROR((FP52*FO52+FO55*FP55+FO58*FP58)/FO61,"")</f>
        <v/>
      </c>
      <c r="FQ61" s="155">
        <f t="shared" ref="FQ61" si="2588">SUM(FQ52,FQ55,FQ58)</f>
        <v>0</v>
      </c>
      <c r="FR61" s="156" t="str">
        <f t="shared" ref="FR61" si="2589">IFERROR((FR52*FQ52+FQ55*FR55+FQ58*FR58)/FQ61,"")</f>
        <v/>
      </c>
      <c r="FS61" s="155">
        <f t="shared" ref="FS61" si="2590">SUM(FS52,FS55,FS58)</f>
        <v>0</v>
      </c>
      <c r="FT61" s="156" t="str">
        <f t="shared" ref="FT61" si="2591">IFERROR((FT52*FS52+FS55*FT55+FS58*FT58)/FS61,"")</f>
        <v/>
      </c>
      <c r="FU61" s="155">
        <f t="shared" ref="FU61" si="2592">SUM(FU52,FU55,FU58)</f>
        <v>0</v>
      </c>
      <c r="FV61" s="156" t="str">
        <f t="shared" ref="FV61" si="2593">IFERROR((FV52*FU52+FU55*FV55+FU58*FV58)/FU61,"")</f>
        <v/>
      </c>
      <c r="FW61" s="155">
        <f t="shared" ref="FW61" si="2594">SUM(FW52,FW55,FW58)</f>
        <v>0</v>
      </c>
      <c r="FX61" s="156" t="str">
        <f t="shared" ref="FX61" si="2595">IFERROR((FX52*FW52+FW55*FX55+FW58*FX58)/FW61,"")</f>
        <v/>
      </c>
      <c r="FY61" s="155">
        <f t="shared" ref="FY61" si="2596">SUM(FY52,FY55,FY58)</f>
        <v>0</v>
      </c>
      <c r="FZ61" s="156" t="str">
        <f t="shared" ref="FZ61" si="2597">IFERROR((FZ52*FY52+FY55*FZ55+FY58*FZ58)/FY61,"")</f>
        <v/>
      </c>
      <c r="GA61" s="155">
        <f t="shared" ref="GA61" si="2598">SUM(GA52,GA55,GA58)</f>
        <v>0</v>
      </c>
      <c r="GB61" s="156" t="str">
        <f t="shared" ref="GB61" si="2599">IFERROR((GB52*GA52+GA55*GB55+GA58*GB58)/GA61,"")</f>
        <v/>
      </c>
      <c r="GC61" s="155">
        <f t="shared" ref="GC61" si="2600">SUM(GC52,GC55,GC58)</f>
        <v>0</v>
      </c>
      <c r="GD61" s="156" t="str">
        <f t="shared" ref="GD61" si="2601">IFERROR((GD52*GC52+GC55*GD55+GC58*GD58)/GC61,"")</f>
        <v/>
      </c>
      <c r="GE61" s="155">
        <f t="shared" ref="GE61" si="2602">SUM(GE52,GE55,GE58)</f>
        <v>0</v>
      </c>
      <c r="GF61" s="156" t="str">
        <f t="shared" ref="GF61" si="2603">IFERROR((GF52*GE52+GE55*GF55+GE58*GF58)/GE61,"")</f>
        <v/>
      </c>
      <c r="GG61" s="155">
        <f t="shared" ref="GG61" si="2604">SUM(GG52,GG55,GG58)</f>
        <v>0</v>
      </c>
      <c r="GH61" s="156" t="str">
        <f t="shared" ref="GH61" si="2605">IFERROR((GH52*GG52+GG55*GH55+GG58*GH58)/GG61,"")</f>
        <v/>
      </c>
      <c r="GI61" s="155">
        <f t="shared" ref="GI61" si="2606">SUM(GI52,GI55,GI58)</f>
        <v>0</v>
      </c>
      <c r="GJ61" s="156" t="str">
        <f t="shared" ref="GJ61" si="2607">IFERROR((GJ52*GI52+GI55*GJ55+GI58*GJ58)/GI61,"")</f>
        <v/>
      </c>
      <c r="GK61" s="155">
        <f t="shared" ref="GK61" si="2608">SUM(GK52,GK55,GK58)</f>
        <v>0</v>
      </c>
      <c r="GL61" s="156" t="str">
        <f t="shared" ref="GL61" si="2609">IFERROR((GL52*GK52+GK55*GL55+GK58*GL58)/GK61,"")</f>
        <v/>
      </c>
      <c r="GM61" s="155">
        <f t="shared" ref="GM61" si="2610">SUM(GM52,GM55,GM58)</f>
        <v>0</v>
      </c>
      <c r="GN61" s="156" t="str">
        <f t="shared" ref="GN61" si="2611">IFERROR((GN52*GM52+GM55*GN55+GM58*GN58)/GM61,"")</f>
        <v/>
      </c>
      <c r="GO61" s="155">
        <f t="shared" ref="GO61" si="2612">SUM(GO52,GO55,GO58)</f>
        <v>0</v>
      </c>
      <c r="GP61" s="156" t="str">
        <f t="shared" ref="GP61" si="2613">IFERROR((GP52*GO52+GO55*GP55+GO58*GP58)/GO61,"")</f>
        <v/>
      </c>
      <c r="GQ61" s="155">
        <f t="shared" ref="GQ61" si="2614">SUM(GQ52,GQ55,GQ58)</f>
        <v>0</v>
      </c>
      <c r="GR61" s="156" t="str">
        <f t="shared" ref="GR61" si="2615">IFERROR((GR52*GQ52+GQ55*GR55+GQ58*GR58)/GQ61,"")</f>
        <v/>
      </c>
      <c r="GS61" s="155">
        <f t="shared" ref="GS61" si="2616">SUM(GS52,GS55,GS58)</f>
        <v>0</v>
      </c>
      <c r="GT61" s="156" t="str">
        <f t="shared" ref="GT61" si="2617">IFERROR((GT52*GS52+GS55*GT55+GS58*GT58)/GS61,"")</f>
        <v/>
      </c>
      <c r="GU61" s="155">
        <f t="shared" ref="GU61" si="2618">SUM(GU52,GU55,GU58)</f>
        <v>0</v>
      </c>
      <c r="GV61" s="156" t="str">
        <f t="shared" ref="GV61" si="2619">IFERROR((GV52*GU52+GU55*GV55+GU58*GV58)/GU61,"")</f>
        <v/>
      </c>
      <c r="GW61" s="155">
        <f t="shared" ref="GW61" si="2620">SUM(GW52,GW55,GW58)</f>
        <v>0</v>
      </c>
      <c r="GX61" s="156" t="str">
        <f t="shared" ref="GX61" si="2621">IFERROR((GX52*GW52+GW55*GX55+GW58*GX58)/GW61,"")</f>
        <v/>
      </c>
      <c r="GY61" s="155">
        <f t="shared" ref="GY61" si="2622">SUM(GY52,GY55,GY58)</f>
        <v>0</v>
      </c>
      <c r="GZ61" s="156" t="str">
        <f t="shared" ref="GZ61" si="2623">IFERROR((GZ52*GY52+GY55*GZ55+GY58*GZ58)/GY61,"")</f>
        <v/>
      </c>
      <c r="HA61" s="155">
        <f t="shared" ref="HA61" si="2624">SUM(HA52,HA55,HA58)</f>
        <v>0</v>
      </c>
      <c r="HB61" s="156" t="str">
        <f t="shared" ref="HB61" si="2625">IFERROR((HB52*HA52+HA55*HB55+HA58*HB58)/HA61,"")</f>
        <v/>
      </c>
      <c r="HC61" s="155">
        <f t="shared" ref="HC61" si="2626">SUM(HC52,HC55,HC58)</f>
        <v>0</v>
      </c>
      <c r="HD61" s="156" t="str">
        <f t="shared" ref="HD61" si="2627">IFERROR((HD52*HC52+HC55*HD55+HC58*HD58)/HC61,"")</f>
        <v/>
      </c>
      <c r="HE61" s="155">
        <f t="shared" ref="HE61" si="2628">SUM(HE52,HE55,HE58)</f>
        <v>0</v>
      </c>
      <c r="HF61" s="156" t="str">
        <f t="shared" ref="HF61" si="2629">IFERROR((HF52*HE52+HE55*HF55+HE58*HF58)/HE61,"")</f>
        <v/>
      </c>
      <c r="HG61" s="155">
        <f t="shared" ref="HG61" si="2630">SUM(HG52,HG55,HG58)</f>
        <v>0</v>
      </c>
      <c r="HH61" s="156" t="str">
        <f t="shared" ref="HH61" si="2631">IFERROR((HH52*HG52+HG55*HH55+HG58*HH58)/HG61,"")</f>
        <v/>
      </c>
      <c r="HI61" s="155">
        <f t="shared" ref="HI61" si="2632">SUM(HI52,HI55,HI58)</f>
        <v>0</v>
      </c>
      <c r="HJ61" s="156" t="str">
        <f t="shared" ref="HJ61" si="2633">IFERROR((HJ52*HI52+HI55*HJ55+HI58*HJ58)/HI61,"")</f>
        <v/>
      </c>
      <c r="HK61" s="155">
        <f t="shared" ref="HK61" si="2634">SUM(HK52,HK55,HK58)</f>
        <v>0</v>
      </c>
      <c r="HL61" s="156" t="str">
        <f t="shared" ref="HL61" si="2635">IFERROR((HL52*HK52+HK55*HL55+HK58*HL58)/HK61,"")</f>
        <v/>
      </c>
      <c r="HM61" s="155">
        <f t="shared" ref="HM61" si="2636">SUM(HM52,HM55,HM58)</f>
        <v>0</v>
      </c>
      <c r="HN61" s="156" t="str">
        <f t="shared" ref="HN61" si="2637">IFERROR((HN52*HM52+HM55*HN55+HM58*HN58)/HM61,"")</f>
        <v/>
      </c>
      <c r="HO61" s="155">
        <f t="shared" ref="HO61" si="2638">SUM(HO52,HO55,HO58)</f>
        <v>0</v>
      </c>
      <c r="HP61" s="156" t="str">
        <f t="shared" ref="HP61" si="2639">IFERROR((HP52*HO52+HO55*HP55+HO58*HP58)/HO61,"")</f>
        <v/>
      </c>
      <c r="HQ61" s="155">
        <f t="shared" ref="HQ61" si="2640">SUM(HQ52,HQ55,HQ58)</f>
        <v>0</v>
      </c>
      <c r="HR61" s="156" t="str">
        <f t="shared" ref="HR61" si="2641">IFERROR((HR52*HQ52+HQ55*HR55+HQ58*HR58)/HQ61,"")</f>
        <v/>
      </c>
      <c r="HS61" s="155">
        <f t="shared" ref="HS61" si="2642">SUM(HS52,HS55,HS58)</f>
        <v>0</v>
      </c>
      <c r="HT61" s="156" t="str">
        <f t="shared" ref="HT61" si="2643">IFERROR((HT52*HS52+HS55*HT55+HS58*HT58)/HS61,"")</f>
        <v/>
      </c>
      <c r="HU61" s="155">
        <f t="shared" ref="HU61" si="2644">SUM(HU52,HU55,HU58)</f>
        <v>0</v>
      </c>
      <c r="HV61" s="156" t="str">
        <f t="shared" ref="HV61" si="2645">IFERROR((HV52*HU52+HU55*HV55+HU58*HV58)/HU61,"")</f>
        <v/>
      </c>
      <c r="HW61" s="155">
        <f t="shared" ref="HW61" si="2646">SUM(HW52,HW55,HW58)</f>
        <v>0</v>
      </c>
      <c r="HX61" s="156" t="str">
        <f t="shared" ref="HX61" si="2647">IFERROR((HX52*HW52+HW55*HX55+HW58*HX58)/HW61,"")</f>
        <v/>
      </c>
      <c r="HY61" s="155">
        <f t="shared" ref="HY61" si="2648">SUM(HY52,HY55,HY58)</f>
        <v>0</v>
      </c>
      <c r="HZ61" s="156" t="str">
        <f t="shared" ref="HZ61" si="2649">IFERROR((HZ52*HY52+HY55*HZ55+HY58*HZ58)/HY61,"")</f>
        <v/>
      </c>
      <c r="IA61" s="155">
        <f t="shared" ref="IA61" si="2650">SUM(IA52,IA55,IA58)</f>
        <v>0</v>
      </c>
      <c r="IB61" s="156" t="str">
        <f t="shared" ref="IB61" si="2651">IFERROR((IB52*IA52+IA55*IB55+IA58*IB58)/IA61,"")</f>
        <v/>
      </c>
      <c r="IC61" s="155">
        <f t="shared" ref="IC61" si="2652">SUM(IC52,IC55,IC58)</f>
        <v>0</v>
      </c>
      <c r="ID61" s="156" t="str">
        <f t="shared" ref="ID61" si="2653">IFERROR((ID52*IC52+IC55*ID55+IC58*ID58)/IC61,"")</f>
        <v/>
      </c>
      <c r="IE61" s="155">
        <f t="shared" ref="IE61" si="2654">SUM(IE52,IE55,IE58)</f>
        <v>0</v>
      </c>
      <c r="IF61" s="156" t="str">
        <f t="shared" ref="IF61" si="2655">IFERROR((IF52*IE52+IE55*IF55+IE58*IF58)/IE61,"")</f>
        <v/>
      </c>
      <c r="IG61" s="155">
        <f t="shared" ref="IG61" si="2656">SUM(IG52,IG55,IG58)</f>
        <v>0</v>
      </c>
      <c r="IH61" s="156" t="str">
        <f t="shared" ref="IH61" si="2657">IFERROR((IH52*IG52+IG55*IH55+IG58*IH58)/IG61,"")</f>
        <v/>
      </c>
      <c r="II61" s="155">
        <f t="shared" ref="II61" si="2658">SUM(II52,II55,II58)</f>
        <v>0</v>
      </c>
      <c r="IJ61" s="156" t="str">
        <f t="shared" ref="IJ61" si="2659">IFERROR((IJ52*II52+II55*IJ55+II58*IJ58)/II61,"")</f>
        <v/>
      </c>
      <c r="IK61" s="155">
        <f t="shared" ref="IK61" si="2660">SUM(IK52,IK55,IK58)</f>
        <v>0</v>
      </c>
      <c r="IL61" s="156" t="str">
        <f t="shared" ref="IL61" si="2661">IFERROR((IL52*IK52+IK55*IL55+IK58*IL58)/IK61,"")</f>
        <v/>
      </c>
      <c r="IM61" s="155">
        <f t="shared" ref="IM61" si="2662">SUM(IM52,IM55,IM58)</f>
        <v>0</v>
      </c>
      <c r="IN61" s="156" t="str">
        <f t="shared" ref="IN61" si="2663">IFERROR((IN52*IM52+IM55*IN55+IM58*IN58)/IM61,"")</f>
        <v/>
      </c>
      <c r="IO61" s="155">
        <f t="shared" ref="IO61" si="2664">SUM(IO52,IO55,IO58)</f>
        <v>0</v>
      </c>
      <c r="IP61" s="156" t="str">
        <f t="shared" ref="IP61" si="2665">IFERROR((IP52*IO52+IO55*IP55+IO58*IP58)/IO61,"")</f>
        <v/>
      </c>
      <c r="IQ61" s="155">
        <f t="shared" ref="IQ61" si="2666">SUM(IQ52,IQ55,IQ58)</f>
        <v>0</v>
      </c>
      <c r="IR61" s="156" t="str">
        <f t="shared" ref="IR61" si="2667">IFERROR((IR52*IQ52+IQ55*IR55+IQ58*IR58)/IQ61,"")</f>
        <v/>
      </c>
      <c r="IS61" s="155">
        <f t="shared" ref="IS61" si="2668">SUM(IS52,IS55,IS58)</f>
        <v>0</v>
      </c>
      <c r="IT61" s="156" t="str">
        <f t="shared" ref="IT61" si="2669">IFERROR((IT52*IS52+IS55*IT55+IS58*IT58)/IS61,"")</f>
        <v/>
      </c>
      <c r="IU61" s="155">
        <f t="shared" ref="IU61" si="2670">SUM(IU52,IU55,IU58)</f>
        <v>0</v>
      </c>
      <c r="IV61" s="156" t="str">
        <f t="shared" ref="IV61" si="2671">IFERROR((IV52*IU52+IU55*IV55+IU58*IV58)/IU61,"")</f>
        <v/>
      </c>
      <c r="IW61" s="155">
        <f t="shared" ref="IW61" si="2672">SUM(IW52,IW55,IW58)</f>
        <v>0</v>
      </c>
      <c r="IX61" s="156" t="str">
        <f t="shared" ref="IX61" si="2673">IFERROR((IX52*IW52+IW55*IX55+IW58*IX58)/IW61,"")</f>
        <v/>
      </c>
      <c r="IY61" s="155">
        <f t="shared" ref="IY61" si="2674">SUM(IY52,IY55,IY58)</f>
        <v>0</v>
      </c>
      <c r="IZ61" s="156" t="str">
        <f t="shared" ref="IZ61" si="2675">IFERROR((IZ52*IY52+IY55*IZ55+IY58*IZ58)/IY61,"")</f>
        <v/>
      </c>
    </row>
    <row r="62" spans="1:260" ht="15.75" thickBot="1" x14ac:dyDescent="0.3">
      <c r="A62" s="1577"/>
      <c r="B62" s="13" t="s">
        <v>5</v>
      </c>
      <c r="C62" s="131">
        <f>SUM(C53,C56,C59)</f>
        <v>26376.6</v>
      </c>
      <c r="D62" s="132" t="str">
        <f>IFERROR((C53*D53+C56*D56+C59*D59)/C62,"")</f>
        <v/>
      </c>
      <c r="E62" s="155">
        <f t="shared" ref="E62" si="2676">SUM(E53,E56,E59)</f>
        <v>2125</v>
      </c>
      <c r="F62" s="156">
        <f t="shared" ref="F62" si="2677">IFERROR((F53*E53+E56*F56+E59*F59)/E62,"")</f>
        <v>1.882352941176471</v>
      </c>
      <c r="G62" s="155">
        <f t="shared" ref="G62" si="2678">SUM(G53,G56,G59)</f>
        <v>0</v>
      </c>
      <c r="H62" s="156" t="str">
        <f t="shared" ref="H62" si="2679">IFERROR((H53*G53+G56*H56+G59*H59)/G62,"")</f>
        <v/>
      </c>
      <c r="I62" s="155">
        <f t="shared" ref="I62" si="2680">SUM(I53,I56,I59)</f>
        <v>0</v>
      </c>
      <c r="J62" s="156" t="str">
        <f t="shared" ref="J62" si="2681">IFERROR((J53*I53+I56*J56+I59*J59)/I62,"")</f>
        <v/>
      </c>
      <c r="K62" s="155">
        <f t="shared" ref="K62" si="2682">SUM(K53,K56,K59)</f>
        <v>0</v>
      </c>
      <c r="L62" s="156" t="str">
        <f t="shared" ref="L62" si="2683">IFERROR((L53*K53+K56*L56+K59*L59)/K62,"")</f>
        <v/>
      </c>
      <c r="M62" s="155">
        <f t="shared" ref="M62" si="2684">SUM(M53,M56,M59)</f>
        <v>0</v>
      </c>
      <c r="N62" s="156" t="str">
        <f t="shared" ref="N62" si="2685">IFERROR((N53*M53+M56*N56+M59*N59)/M62,"")</f>
        <v/>
      </c>
      <c r="O62" s="155">
        <f t="shared" ref="O62" si="2686">SUM(O53,O56,O59)</f>
        <v>0</v>
      </c>
      <c r="P62" s="156" t="str">
        <f t="shared" ref="P62" si="2687">IFERROR((P53*O53+O56*P56+O59*P59)/O62,"")</f>
        <v/>
      </c>
      <c r="Q62" s="155">
        <f t="shared" ref="Q62" si="2688">SUM(Q53,Q56,Q59)</f>
        <v>0</v>
      </c>
      <c r="R62" s="156" t="str">
        <f t="shared" ref="R62" si="2689">IFERROR((R53*Q53+Q56*R56+Q59*R59)/Q62,"")</f>
        <v/>
      </c>
      <c r="S62" s="155">
        <f t="shared" ref="S62" si="2690">SUM(S53,S56,S59)</f>
        <v>0</v>
      </c>
      <c r="T62" s="156" t="str">
        <f t="shared" ref="T62" si="2691">IFERROR((T53*S53+S56*T56+S59*T59)/S62,"")</f>
        <v/>
      </c>
      <c r="U62" s="155">
        <f t="shared" ref="U62" si="2692">SUM(U53,U56,U59)</f>
        <v>0</v>
      </c>
      <c r="V62" s="156" t="str">
        <f t="shared" ref="V62" si="2693">IFERROR((V53*U53+U56*V56+U59*V59)/U62,"")</f>
        <v/>
      </c>
      <c r="W62" s="155">
        <f t="shared" ref="W62" si="2694">SUM(W53,W56,W59)</f>
        <v>0</v>
      </c>
      <c r="X62" s="156" t="str">
        <f t="shared" ref="X62" si="2695">IFERROR((X53*W53+W56*X56+W59*X59)/W62,"")</f>
        <v/>
      </c>
      <c r="Y62" s="155">
        <f t="shared" ref="Y62" si="2696">SUM(Y53,Y56,Y59)</f>
        <v>2726</v>
      </c>
      <c r="Z62" s="156">
        <f t="shared" ref="Z62" si="2697">IFERROR((Z53*Y53+Y56*Z56+Y59*Z59)/Y62,"")</f>
        <v>2.0542920029347025</v>
      </c>
      <c r="AA62" s="155">
        <f t="shared" ref="AA62" si="2698">SUM(AA53,AA56,AA59)</f>
        <v>0</v>
      </c>
      <c r="AB62" s="156" t="str">
        <f t="shared" ref="AB62" si="2699">IFERROR((AB53*AA53+AA56*AB56+AA59*AB59)/AA62,"")</f>
        <v/>
      </c>
      <c r="AC62" s="155">
        <f t="shared" ref="AC62" si="2700">SUM(AC53,AC56,AC59)</f>
        <v>0</v>
      </c>
      <c r="AD62" s="156" t="str">
        <f t="shared" ref="AD62" si="2701">IFERROR((AD53*AC53+AC56*AD56+AC59*AD59)/AC62,"")</f>
        <v/>
      </c>
      <c r="AE62" s="155">
        <f t="shared" ref="AE62" si="2702">SUM(AE53,AE56,AE59)</f>
        <v>0</v>
      </c>
      <c r="AF62" s="156" t="str">
        <f t="shared" ref="AF62" si="2703">IFERROR((AF53*AE53+AE56*AF56+AE59*AF59)/AE62,"")</f>
        <v/>
      </c>
      <c r="AG62" s="155">
        <f t="shared" ref="AG62" si="2704">SUM(AG53,AG56,AG59)</f>
        <v>0</v>
      </c>
      <c r="AH62" s="156" t="str">
        <f t="shared" ref="AH62" si="2705">IFERROR((AH53*AG53+AG56*AH56+AG59*AH59)/AG62,"")</f>
        <v/>
      </c>
      <c r="AI62" s="155">
        <f t="shared" ref="AI62" si="2706">SUM(AI53,AI56,AI59)</f>
        <v>0</v>
      </c>
      <c r="AJ62" s="156" t="str">
        <f t="shared" ref="AJ62" si="2707">IFERROR((AJ53*AI53+AI56*AJ56+AI59*AJ59)/AI62,"")</f>
        <v/>
      </c>
      <c r="AK62" s="155">
        <f t="shared" ref="AK62" si="2708">SUM(AK53,AK56,AK59)</f>
        <v>0</v>
      </c>
      <c r="AL62" s="156" t="str">
        <f t="shared" ref="AL62" si="2709">IFERROR((AL53*AK53+AK56*AL56+AK59*AL59)/AK62,"")</f>
        <v/>
      </c>
      <c r="AM62" s="155">
        <f t="shared" ref="AM62" si="2710">SUM(AM53,AM56,AM59)</f>
        <v>0</v>
      </c>
      <c r="AN62" s="156" t="str">
        <f t="shared" ref="AN62" si="2711">IFERROR((AN53*AM53+AM56*AN56+AM59*AN59)/AM62,"")</f>
        <v/>
      </c>
      <c r="AO62" s="155">
        <f t="shared" ref="AO62" si="2712">SUM(AO53,AO56,AO59)</f>
        <v>0</v>
      </c>
      <c r="AP62" s="156" t="str">
        <f t="shared" ref="AP62" si="2713">IFERROR((AP53*AO53+AO56*AP56+AO59*AP59)/AO62,"")</f>
        <v/>
      </c>
      <c r="AQ62" s="155">
        <f t="shared" ref="AQ62" si="2714">SUM(AQ53,AQ56,AQ59)</f>
        <v>0</v>
      </c>
      <c r="AR62" s="156" t="str">
        <f t="shared" ref="AR62" si="2715">IFERROR((AR53*AQ53+AQ56*AR56+AQ59*AR59)/AQ62,"")</f>
        <v/>
      </c>
      <c r="AS62" s="155">
        <f t="shared" ref="AS62" si="2716">SUM(AS53,AS56,AS59)</f>
        <v>0</v>
      </c>
      <c r="AT62" s="156" t="str">
        <f t="shared" ref="AT62" si="2717">IFERROR((AT53*AS53+AS56*AT56+AS59*AT59)/AS62,"")</f>
        <v/>
      </c>
      <c r="AU62" s="155">
        <f t="shared" ref="AU62" si="2718">SUM(AU53,AU56,AU59)</f>
        <v>0</v>
      </c>
      <c r="AV62" s="156" t="str">
        <f t="shared" ref="AV62" si="2719">IFERROR((AV53*AU53+AU56*AV56+AU59*AV59)/AU62,"")</f>
        <v/>
      </c>
      <c r="AW62" s="155">
        <f t="shared" ref="AW62" si="2720">SUM(AW53,AW56,AW59)</f>
        <v>0</v>
      </c>
      <c r="AX62" s="156" t="str">
        <f t="shared" ref="AX62" si="2721">IFERROR((AX53*AW53+AW56*AX56+AW59*AX59)/AW62,"")</f>
        <v/>
      </c>
      <c r="AY62" s="155">
        <f t="shared" ref="AY62" si="2722">SUM(AY53,AY56,AY59)</f>
        <v>0</v>
      </c>
      <c r="AZ62" s="156" t="str">
        <f t="shared" ref="AZ62" si="2723">IFERROR((AZ53*AY53+AY56*AZ56+AY59*AZ59)/AY62,"")</f>
        <v/>
      </c>
      <c r="BA62" s="155">
        <f t="shared" ref="BA62" si="2724">SUM(BA53,BA56,BA59)</f>
        <v>0</v>
      </c>
      <c r="BB62" s="156" t="str">
        <f t="shared" ref="BB62" si="2725">IFERROR((BB53*BA53+BA56*BB56+BA59*BB59)/BA62,"")</f>
        <v/>
      </c>
      <c r="BC62" s="155">
        <f t="shared" ref="BC62" si="2726">SUM(BC53,BC56,BC59)</f>
        <v>0</v>
      </c>
      <c r="BD62" s="156" t="str">
        <f t="shared" ref="BD62" si="2727">IFERROR((BD53*BC53+BC56*BD56+BC59*BD59)/BC62,"")</f>
        <v/>
      </c>
      <c r="BE62" s="155">
        <f t="shared" ref="BE62" si="2728">SUM(BE53,BE56,BE59)</f>
        <v>0</v>
      </c>
      <c r="BF62" s="156" t="str">
        <f t="shared" ref="BF62" si="2729">IFERROR((BF53*BE53+BE56*BF56+BE59*BF59)/BE62,"")</f>
        <v/>
      </c>
      <c r="BG62" s="155">
        <f t="shared" ref="BG62" si="2730">SUM(BG53,BG56,BG59)</f>
        <v>0</v>
      </c>
      <c r="BH62" s="156" t="str">
        <f t="shared" ref="BH62" si="2731">IFERROR((BH53*BG53+BG56*BH56+BG59*BH59)/BG62,"")</f>
        <v/>
      </c>
      <c r="BI62" s="155">
        <f t="shared" ref="BI62" si="2732">SUM(BI53,BI56,BI59)</f>
        <v>0</v>
      </c>
      <c r="BJ62" s="156" t="str">
        <f t="shared" ref="BJ62" si="2733">IFERROR((BJ53*BI53+BI56*BJ56+BI59*BJ59)/BI62,"")</f>
        <v/>
      </c>
      <c r="BK62" s="155">
        <f t="shared" ref="BK62" si="2734">SUM(BK53,BK56,BK59)</f>
        <v>0</v>
      </c>
      <c r="BL62" s="156" t="str">
        <f t="shared" ref="BL62" si="2735">IFERROR((BL53*BK53+BK56*BL56+BK59*BL59)/BK62,"")</f>
        <v/>
      </c>
      <c r="BM62" s="155">
        <f t="shared" ref="BM62" si="2736">SUM(BM53,BM56,BM59)</f>
        <v>0</v>
      </c>
      <c r="BN62" s="156" t="str">
        <f t="shared" ref="BN62" si="2737">IFERROR((BN53*BM53+BM56*BN56+BM59*BN59)/BM62,"")</f>
        <v/>
      </c>
      <c r="BO62" s="155">
        <f t="shared" ref="BO62" si="2738">SUM(BO53,BO56,BO59)</f>
        <v>0</v>
      </c>
      <c r="BP62" s="156" t="str">
        <f t="shared" ref="BP62" si="2739">IFERROR((BP53*BO53+BO56*BP56+BO59*BP59)/BO62,"")</f>
        <v/>
      </c>
      <c r="BQ62" s="155">
        <f t="shared" ref="BQ62" si="2740">SUM(BQ53,BQ56,BQ59)</f>
        <v>0</v>
      </c>
      <c r="BR62" s="156" t="str">
        <f t="shared" ref="BR62" si="2741">IFERROR((BR53*BQ53+BQ56*BR56+BQ59*BR59)/BQ62,"")</f>
        <v/>
      </c>
      <c r="BS62" s="155">
        <f t="shared" ref="BS62" si="2742">SUM(BS53,BS56,BS59)</f>
        <v>0</v>
      </c>
      <c r="BT62" s="156" t="str">
        <f t="shared" ref="BT62" si="2743">IFERROR((BT53*BS53+BS56*BT56+BS59*BT59)/BS62,"")</f>
        <v/>
      </c>
      <c r="BU62" s="155">
        <f t="shared" ref="BU62" si="2744">SUM(BU53,BU56,BU59)</f>
        <v>0</v>
      </c>
      <c r="BV62" s="156" t="str">
        <f t="shared" ref="BV62" si="2745">IFERROR((BV53*BU53+BU56*BV56+BU59*BV59)/BU62,"")</f>
        <v/>
      </c>
      <c r="BW62" s="155">
        <f t="shared" ref="BW62" si="2746">SUM(BW53,BW56,BW59)</f>
        <v>0</v>
      </c>
      <c r="BX62" s="156" t="str">
        <f t="shared" ref="BX62" si="2747">IFERROR((BX53*BW53+BW56*BX56+BW59*BX59)/BW62,"")</f>
        <v/>
      </c>
      <c r="BY62" s="155">
        <f t="shared" ref="BY62" si="2748">SUM(BY53,BY56,BY59)</f>
        <v>0</v>
      </c>
      <c r="BZ62" s="156" t="str">
        <f t="shared" ref="BZ62" si="2749">IFERROR((BZ53*BY53+BY56*BZ56+BY59*BZ59)/BY62,"")</f>
        <v/>
      </c>
      <c r="CA62" s="155">
        <f t="shared" ref="CA62" si="2750">SUM(CA53,CA56,CA59)</f>
        <v>0</v>
      </c>
      <c r="CB62" s="156" t="str">
        <f t="shared" ref="CB62" si="2751">IFERROR((CB53*CA53+CA56*CB56+CA59*CB59)/CA62,"")</f>
        <v/>
      </c>
      <c r="CC62" s="155">
        <f t="shared" ref="CC62" si="2752">SUM(CC53,CC56,CC59)</f>
        <v>0</v>
      </c>
      <c r="CD62" s="156" t="str">
        <f t="shared" ref="CD62" si="2753">IFERROR((CD53*CC53+CC56*CD56+CC59*CD59)/CC62,"")</f>
        <v/>
      </c>
      <c r="CE62" s="155">
        <f t="shared" ref="CE62" si="2754">SUM(CE53,CE56,CE59)</f>
        <v>0</v>
      </c>
      <c r="CF62" s="156" t="str">
        <f t="shared" ref="CF62" si="2755">IFERROR((CF53*CE53+CE56*CF56+CE59*CF59)/CE62,"")</f>
        <v/>
      </c>
      <c r="CG62" s="155">
        <f t="shared" ref="CG62" si="2756">SUM(CG53,CG56,CG59)</f>
        <v>0</v>
      </c>
      <c r="CH62" s="156" t="str">
        <f t="shared" ref="CH62" si="2757">IFERROR((CH53*CG53+CG56*CH56+CG59*CH59)/CG62,"")</f>
        <v/>
      </c>
      <c r="CI62" s="155">
        <f t="shared" ref="CI62" si="2758">SUM(CI53,CI56,CI59)</f>
        <v>0</v>
      </c>
      <c r="CJ62" s="156" t="str">
        <f t="shared" ref="CJ62" si="2759">IFERROR((CJ53*CI53+CI56*CJ56+CI59*CJ59)/CI62,"")</f>
        <v/>
      </c>
      <c r="CK62" s="155">
        <f t="shared" ref="CK62" si="2760">SUM(CK53,CK56,CK59)</f>
        <v>0</v>
      </c>
      <c r="CL62" s="156" t="str">
        <f t="shared" ref="CL62" si="2761">IFERROR((CL53*CK53+CK56*CL56+CK59*CL59)/CK62,"")</f>
        <v/>
      </c>
      <c r="CM62" s="155">
        <f t="shared" ref="CM62" si="2762">SUM(CM53,CM56,CM59)</f>
        <v>0</v>
      </c>
      <c r="CN62" s="156" t="str">
        <f t="shared" ref="CN62" si="2763">IFERROR((CN53*CM53+CM56*CN56+CM59*CN59)/CM62,"")</f>
        <v/>
      </c>
      <c r="CO62" s="155">
        <f t="shared" ref="CO62" si="2764">SUM(CO53,CO56,CO59)</f>
        <v>0</v>
      </c>
      <c r="CP62" s="156" t="str">
        <f t="shared" ref="CP62" si="2765">IFERROR((CP53*CO53+CO56*CP56+CO59*CP59)/CO62,"")</f>
        <v/>
      </c>
      <c r="CQ62" s="155">
        <f t="shared" ref="CQ62:CW62" si="2766">SUM(CQ53,CQ56,CQ59)</f>
        <v>0</v>
      </c>
      <c r="CR62" s="156" t="str">
        <f t="shared" ref="CR62" si="2767">IFERROR((CR53*CQ53+CQ56*CR56+CQ59*CR59)/CQ62,"")</f>
        <v/>
      </c>
      <c r="CS62" s="155">
        <f t="shared" ref="CS62" si="2768">SUM(CS53,CS56,CS59)</f>
        <v>4161</v>
      </c>
      <c r="CT62" s="156">
        <f t="shared" si="2269"/>
        <v>2.2590723383801965</v>
      </c>
      <c r="CU62" s="155">
        <f t="shared" si="2766"/>
        <v>0</v>
      </c>
      <c r="CV62" s="156" t="str">
        <f t="shared" si="2270"/>
        <v/>
      </c>
      <c r="CW62" s="155">
        <f t="shared" si="2766"/>
        <v>0</v>
      </c>
      <c r="CX62" s="156" t="str">
        <f t="shared" si="2271"/>
        <v/>
      </c>
      <c r="CY62" s="155">
        <f t="shared" ref="CY62" si="2769">SUM(CY53,CY56,CY59)</f>
        <v>1695</v>
      </c>
      <c r="CZ62" s="156">
        <f t="shared" ref="CZ62" si="2770">IFERROR((CZ53*CY53+CY56*CZ56+CY59*CZ59)/CY62,"")</f>
        <v>2.3598820058997054</v>
      </c>
      <c r="DA62" s="155">
        <f t="shared" ref="DA62" si="2771">SUM(DA53,DA56,DA59)</f>
        <v>0</v>
      </c>
      <c r="DB62" s="156" t="str">
        <f t="shared" ref="DB62" si="2772">IFERROR((DB53*DA53+DA56*DB56+DA59*DB59)/DA62,"")</f>
        <v/>
      </c>
      <c r="DC62" s="155">
        <f t="shared" ref="DC62" si="2773">SUM(DC53,DC56,DC59)</f>
        <v>0</v>
      </c>
      <c r="DD62" s="156" t="str">
        <f t="shared" ref="DD62" si="2774">IFERROR((DD53*DC53+DC56*DD56+DC59*DD59)/DC62,"")</f>
        <v/>
      </c>
      <c r="DE62" s="155">
        <f t="shared" ref="DE62" si="2775">SUM(DE53,DE56,DE59)</f>
        <v>0</v>
      </c>
      <c r="DF62" s="156" t="str">
        <f t="shared" ref="DF62" si="2776">IFERROR((DF53*DE53+DE56*DF56+DE59*DF59)/DE62,"")</f>
        <v/>
      </c>
      <c r="DG62" s="155">
        <f t="shared" ref="DG62" si="2777">SUM(DG53,DG56,DG59)</f>
        <v>0</v>
      </c>
      <c r="DH62" s="156" t="str">
        <f t="shared" ref="DH62" si="2778">IFERROR((DH53*DG53+DG56*DH56+DG59*DH59)/DG62,"")</f>
        <v/>
      </c>
      <c r="DI62" s="155">
        <f t="shared" ref="DI62" si="2779">SUM(DI53,DI56,DI59)</f>
        <v>0</v>
      </c>
      <c r="DJ62" s="156" t="str">
        <f t="shared" ref="DJ62" si="2780">IFERROR((DJ53*DI53+DI56*DJ56+DI59*DJ59)/DI62,"")</f>
        <v/>
      </c>
      <c r="DK62" s="155">
        <f t="shared" ref="DK62" si="2781">SUM(DK53,DK56,DK59)</f>
        <v>0</v>
      </c>
      <c r="DL62" s="156" t="str">
        <f t="shared" ref="DL62" si="2782">IFERROR((DL53*DK53+DK56*DL56+DK59*DL59)/DK62,"")</f>
        <v/>
      </c>
      <c r="DM62" s="155">
        <f t="shared" ref="DM62" si="2783">SUM(DM53,DM56,DM59)</f>
        <v>0</v>
      </c>
      <c r="DN62" s="156" t="str">
        <f t="shared" ref="DN62" si="2784">IFERROR((DN53*DM53+DM56*DN56+DM59*DN59)/DM62,"")</f>
        <v/>
      </c>
      <c r="DO62" s="155">
        <f t="shared" ref="DO62" si="2785">SUM(DO53,DO56,DO59)</f>
        <v>0</v>
      </c>
      <c r="DP62" s="156" t="str">
        <f t="shared" ref="DP62" si="2786">IFERROR((DP53*DO53+DO56*DP56+DO59*DP59)/DO62,"")</f>
        <v/>
      </c>
      <c r="DQ62" s="155">
        <f t="shared" ref="DQ62" si="2787">SUM(DQ53,DQ56,DQ59)</f>
        <v>1481</v>
      </c>
      <c r="DR62" s="156">
        <f t="shared" ref="DR62" si="2788">IFERROR((DR53*DQ53+DQ56*DR56+DQ59*DR59)/DQ62,"")</f>
        <v>2.160702228224173</v>
      </c>
      <c r="DS62" s="155">
        <f t="shared" ref="DS62" si="2789">SUM(DS53,DS56,DS59)</f>
        <v>1881</v>
      </c>
      <c r="DT62" s="156">
        <f t="shared" ref="DT62" si="2790">IFERROR((DT53*DS53+DS56*DT56+DS59*DT59)/DS62,"")</f>
        <v>3.0834662413609788</v>
      </c>
      <c r="DU62" s="155">
        <f t="shared" ref="DU62" si="2791">SUM(DU53,DU56,DU59)</f>
        <v>0</v>
      </c>
      <c r="DV62" s="156" t="str">
        <f t="shared" ref="DV62" si="2792">IFERROR((DV53*DU53+DU56*DV56+DU59*DV59)/DU62,"")</f>
        <v/>
      </c>
      <c r="DW62" s="155">
        <f t="shared" ref="DW62" si="2793">SUM(DW53,DW56,DW59)</f>
        <v>0</v>
      </c>
      <c r="DX62" s="156" t="str">
        <f t="shared" ref="DX62" si="2794">IFERROR((DX53*DW53+DW56*DX56+DW59*DX59)/DW62,"")</f>
        <v/>
      </c>
      <c r="DY62" s="155">
        <f t="shared" ref="DY62" si="2795">SUM(DY53,DY56,DY59)</f>
        <v>0</v>
      </c>
      <c r="DZ62" s="156" t="str">
        <f t="shared" ref="DZ62" si="2796">IFERROR((DZ53*DY53+DY56*DZ56+DY59*DZ59)/DY62,"")</f>
        <v/>
      </c>
      <c r="EA62" s="155">
        <f t="shared" ref="EA62" si="2797">SUM(EA53,EA56,EA59)</f>
        <v>0</v>
      </c>
      <c r="EB62" s="156" t="str">
        <f t="shared" ref="EB62" si="2798">IFERROR((EB53*EA53+EA56*EB56+EA59*EB59)/EA62,"")</f>
        <v/>
      </c>
      <c r="EC62" s="155">
        <f t="shared" ref="EC62" si="2799">SUM(EC53,EC56,EC59)</f>
        <v>0</v>
      </c>
      <c r="ED62" s="156" t="str">
        <f t="shared" ref="ED62" si="2800">IFERROR((ED53*EC53+EC56*ED56+EC59*ED59)/EC62,"")</f>
        <v/>
      </c>
      <c r="EE62" s="155">
        <f t="shared" ref="EE62" si="2801">SUM(EE53,EE56,EE59)</f>
        <v>0</v>
      </c>
      <c r="EF62" s="156" t="str">
        <f t="shared" ref="EF62" si="2802">IFERROR((EF53*EE53+EE56*EF56+EE59*EF59)/EE62,"")</f>
        <v/>
      </c>
      <c r="EG62" s="155">
        <f t="shared" ref="EG62" si="2803">SUM(EG53,EG56,EG59)</f>
        <v>0</v>
      </c>
      <c r="EH62" s="156" t="str">
        <f t="shared" ref="EH62" si="2804">IFERROR((EH53*EG53+EG56*EH56+EG59*EH59)/EG62,"")</f>
        <v/>
      </c>
      <c r="EI62" s="155">
        <f t="shared" ref="EI62" si="2805">SUM(EI53,EI56,EI59)</f>
        <v>0</v>
      </c>
      <c r="EJ62" s="156" t="str">
        <f t="shared" ref="EJ62" si="2806">IFERROR((EJ53*EI53+EI56*EJ56+EI59*EJ59)/EI62,"")</f>
        <v/>
      </c>
      <c r="EK62" s="155">
        <f t="shared" ref="EK62" si="2807">SUM(EK53,EK56,EK59)</f>
        <v>0</v>
      </c>
      <c r="EL62" s="156" t="str">
        <f t="shared" ref="EL62" si="2808">IFERROR((EL53*EK53+EK56*EL56+EK59*EL59)/EK62,"")</f>
        <v/>
      </c>
      <c r="EM62" s="155">
        <f t="shared" ref="EM62" si="2809">SUM(EM53,EM56,EM59)</f>
        <v>0</v>
      </c>
      <c r="EN62" s="156" t="str">
        <f t="shared" ref="EN62" si="2810">IFERROR((EN53*EM53+EM56*EN56+EM59*EN59)/EM62,"")</f>
        <v/>
      </c>
      <c r="EO62" s="155">
        <f t="shared" ref="EO62" si="2811">SUM(EO53,EO56,EO59)</f>
        <v>1723</v>
      </c>
      <c r="EP62" s="156">
        <f t="shared" ref="EP62" si="2812">IFERROR((EP53*EO53+EO56*EP56+EO59*EP59)/EO62,"")</f>
        <v>3.1921067904817186</v>
      </c>
      <c r="EQ62" s="155">
        <f t="shared" ref="EQ62:ES62" si="2813">SUM(EQ53,EQ56,EQ59)</f>
        <v>0</v>
      </c>
      <c r="ER62" s="156" t="str">
        <f t="shared" ref="ER62" si="2814">IFERROR((ER53*EQ53+EQ56*ER56+EQ59*ER59)/EQ62,"")</f>
        <v/>
      </c>
      <c r="ES62" s="155">
        <f t="shared" si="2813"/>
        <v>2443</v>
      </c>
      <c r="ET62" s="156">
        <f t="shared" si="2318"/>
        <v>1.7601309864920185</v>
      </c>
      <c r="EU62" s="155">
        <f t="shared" ref="EU62" si="2815">SUM(EU53,EU56,EU59)</f>
        <v>2199</v>
      </c>
      <c r="EV62" s="156">
        <f t="shared" ref="EV62" si="2816">IFERROR((EV53*EU53+EU56*EV56+EU59*EV59)/EU62,"")</f>
        <v>2.4556616643929057</v>
      </c>
      <c r="EW62" s="155">
        <f t="shared" ref="EW62" si="2817">SUM(EW53,EW56,EW59)</f>
        <v>0</v>
      </c>
      <c r="EX62" s="156" t="str">
        <f t="shared" si="2322"/>
        <v/>
      </c>
      <c r="EY62" s="155">
        <f t="shared" ref="EY62" si="2818">SUM(EY53,EY56,EY59)</f>
        <v>0</v>
      </c>
      <c r="EZ62" s="156" t="str">
        <f t="shared" ref="EZ62" si="2819">IFERROR((EZ53*EY53+EY56*EZ56+EY59*EZ59)/EY62,"")</f>
        <v/>
      </c>
      <c r="FA62" s="155">
        <f t="shared" ref="FA62" si="2820">SUM(FA53,FA56,FA59)</f>
        <v>0</v>
      </c>
      <c r="FB62" s="156" t="str">
        <f t="shared" ref="FB62" si="2821">IFERROR((FB53*FA53+FA56*FB56+FA59*FB59)/FA62,"")</f>
        <v/>
      </c>
      <c r="FC62" s="155">
        <f t="shared" ref="FC62" si="2822">SUM(FC53,FC56,FC59)</f>
        <v>1134</v>
      </c>
      <c r="FD62" s="156">
        <f t="shared" ref="FD62" si="2823">IFERROR((FD53*FC53+FC56*FD56+FC59*FD59)/FC62,"")</f>
        <v>1.5873015873015877</v>
      </c>
      <c r="FE62" s="155">
        <f t="shared" ref="FE62" si="2824">SUM(FE53,FE56,FE59)</f>
        <v>2858.6</v>
      </c>
      <c r="FF62" s="156">
        <f t="shared" ref="FF62" si="2825">IFERROR((FF53*FE53+FE56*FF56+FE59*FF59)/FE62,"")</f>
        <v>2.5536976142167491</v>
      </c>
      <c r="FG62" s="155">
        <f t="shared" ref="FG62" si="2826">SUM(FG53,FG56,FG59)</f>
        <v>1950</v>
      </c>
      <c r="FH62" s="156">
        <f t="shared" ref="FH62" si="2827">IFERROR((FH53*FG53+FG56*FH56+FG59*FH59)/FG62,"")</f>
        <v>3.4871794871794868</v>
      </c>
      <c r="FI62" s="155">
        <f t="shared" ref="FI62" si="2828">SUM(FI53,FI56,FI59)</f>
        <v>0</v>
      </c>
      <c r="FJ62" s="156" t="str">
        <f t="shared" ref="FJ62" si="2829">IFERROR((FJ53*FI53+FI56*FJ56+FI59*FJ59)/FI62,"")</f>
        <v/>
      </c>
      <c r="FK62" s="155">
        <f t="shared" ref="FK62" si="2830">SUM(FK53,FK56,FK59)</f>
        <v>0</v>
      </c>
      <c r="FL62" s="156" t="str">
        <f t="shared" ref="FL62" si="2831">IFERROR((FL53*FK53+FK56*FL56+FK59*FL59)/FK62,"")</f>
        <v/>
      </c>
      <c r="FM62" s="155">
        <f t="shared" ref="FM62" si="2832">SUM(FM53,FM56,FM59)</f>
        <v>0</v>
      </c>
      <c r="FN62" s="156" t="str">
        <f t="shared" ref="FN62" si="2833">IFERROR((FN53*FM53+FM56*FN56+FM59*FN59)/FM62,"")</f>
        <v/>
      </c>
      <c r="FO62" s="155">
        <f t="shared" ref="FO62" si="2834">SUM(FO53,FO56,FO59)</f>
        <v>0</v>
      </c>
      <c r="FP62" s="156" t="str">
        <f t="shared" ref="FP62" si="2835">IFERROR((FP53*FO53+FO56*FP56+FO59*FP59)/FO62,"")</f>
        <v/>
      </c>
      <c r="FQ62" s="155">
        <f t="shared" ref="FQ62" si="2836">SUM(FQ53,FQ56,FQ59)</f>
        <v>0</v>
      </c>
      <c r="FR62" s="156" t="str">
        <f t="shared" ref="FR62" si="2837">IFERROR((FR53*FQ53+FQ56*FR56+FQ59*FR59)/FQ62,"")</f>
        <v/>
      </c>
      <c r="FS62" s="155">
        <f t="shared" ref="FS62" si="2838">SUM(FS53,FS56,FS59)</f>
        <v>0</v>
      </c>
      <c r="FT62" s="156" t="str">
        <f t="shared" ref="FT62" si="2839">IFERROR((FT53*FS53+FS56*FT56+FS59*FT59)/FS62,"")</f>
        <v/>
      </c>
      <c r="FU62" s="155">
        <f t="shared" ref="FU62" si="2840">SUM(FU53,FU56,FU59)</f>
        <v>0</v>
      </c>
      <c r="FV62" s="156" t="str">
        <f t="shared" ref="FV62" si="2841">IFERROR((FV53*FU53+FU56*FV56+FU59*FV59)/FU62,"")</f>
        <v/>
      </c>
      <c r="FW62" s="155">
        <f t="shared" ref="FW62" si="2842">SUM(FW53,FW56,FW59)</f>
        <v>0</v>
      </c>
      <c r="FX62" s="156" t="str">
        <f t="shared" ref="FX62" si="2843">IFERROR((FX53*FW53+FW56*FX56+FW59*FX59)/FW62,"")</f>
        <v/>
      </c>
      <c r="FY62" s="155">
        <f t="shared" ref="FY62" si="2844">SUM(FY53,FY56,FY59)</f>
        <v>0</v>
      </c>
      <c r="FZ62" s="156" t="str">
        <f t="shared" ref="FZ62" si="2845">IFERROR((FZ53*FY53+FY56*FZ56+FY59*FZ59)/FY62,"")</f>
        <v/>
      </c>
      <c r="GA62" s="155">
        <f t="shared" ref="GA62" si="2846">SUM(GA53,GA56,GA59)</f>
        <v>0</v>
      </c>
      <c r="GB62" s="156" t="str">
        <f t="shared" ref="GB62" si="2847">IFERROR((GB53*GA53+GA56*GB56+GA59*GB59)/GA62,"")</f>
        <v/>
      </c>
      <c r="GC62" s="155">
        <f t="shared" ref="GC62" si="2848">SUM(GC53,GC56,GC59)</f>
        <v>0</v>
      </c>
      <c r="GD62" s="156" t="str">
        <f t="shared" ref="GD62" si="2849">IFERROR((GD53*GC53+GC56*GD56+GC59*GD59)/GC62,"")</f>
        <v/>
      </c>
      <c r="GE62" s="155">
        <f t="shared" ref="GE62" si="2850">SUM(GE53,GE56,GE59)</f>
        <v>0</v>
      </c>
      <c r="GF62" s="156" t="str">
        <f t="shared" ref="GF62" si="2851">IFERROR((GF53*GE53+GE56*GF56+GE59*GF59)/GE62,"")</f>
        <v/>
      </c>
      <c r="GG62" s="155">
        <f t="shared" ref="GG62" si="2852">SUM(GG53,GG56,GG59)</f>
        <v>0</v>
      </c>
      <c r="GH62" s="156" t="str">
        <f t="shared" ref="GH62" si="2853">IFERROR((GH53*GG53+GG56*GH56+GG59*GH59)/GG62,"")</f>
        <v/>
      </c>
      <c r="GI62" s="155">
        <f t="shared" ref="GI62" si="2854">SUM(GI53,GI56,GI59)</f>
        <v>0</v>
      </c>
      <c r="GJ62" s="156" t="str">
        <f t="shared" ref="GJ62" si="2855">IFERROR((GJ53*GI53+GI56*GJ56+GI59*GJ59)/GI62,"")</f>
        <v/>
      </c>
      <c r="GK62" s="155">
        <f t="shared" ref="GK62" si="2856">SUM(GK53,GK56,GK59)</f>
        <v>0</v>
      </c>
      <c r="GL62" s="156" t="str">
        <f t="shared" ref="GL62" si="2857">IFERROR((GL53*GK53+GK56*GL56+GK59*GL59)/GK62,"")</f>
        <v/>
      </c>
      <c r="GM62" s="155">
        <f t="shared" ref="GM62" si="2858">SUM(GM53,GM56,GM59)</f>
        <v>0</v>
      </c>
      <c r="GN62" s="156" t="str">
        <f t="shared" ref="GN62" si="2859">IFERROR((GN53*GM53+GM56*GN56+GM59*GN59)/GM62,"")</f>
        <v/>
      </c>
      <c r="GO62" s="155">
        <f t="shared" ref="GO62" si="2860">SUM(GO53,GO56,GO59)</f>
        <v>0</v>
      </c>
      <c r="GP62" s="156" t="str">
        <f t="shared" ref="GP62" si="2861">IFERROR((GP53*GO53+GO56*GP56+GO59*GP59)/GO62,"")</f>
        <v/>
      </c>
      <c r="GQ62" s="155">
        <f t="shared" ref="GQ62" si="2862">SUM(GQ53,GQ56,GQ59)</f>
        <v>0</v>
      </c>
      <c r="GR62" s="156" t="str">
        <f t="shared" ref="GR62" si="2863">IFERROR((GR53*GQ53+GQ56*GR56+GQ59*GR59)/GQ62,"")</f>
        <v/>
      </c>
      <c r="GS62" s="155">
        <f t="shared" ref="GS62" si="2864">SUM(GS53,GS56,GS59)</f>
        <v>0</v>
      </c>
      <c r="GT62" s="156" t="str">
        <f t="shared" ref="GT62" si="2865">IFERROR((GT53*GS53+GS56*GT56+GS59*GT59)/GS62,"")</f>
        <v/>
      </c>
      <c r="GU62" s="155">
        <f t="shared" ref="GU62" si="2866">SUM(GU53,GU56,GU59)</f>
        <v>0</v>
      </c>
      <c r="GV62" s="156" t="str">
        <f t="shared" ref="GV62" si="2867">IFERROR((GV53*GU53+GU56*GV56+GU59*GV59)/GU62,"")</f>
        <v/>
      </c>
      <c r="GW62" s="155">
        <f t="shared" ref="GW62" si="2868">SUM(GW53,GW56,GW59)</f>
        <v>0</v>
      </c>
      <c r="GX62" s="156" t="str">
        <f t="shared" ref="GX62" si="2869">IFERROR((GX53*GW53+GW56*GX56+GW59*GX59)/GW62,"")</f>
        <v/>
      </c>
      <c r="GY62" s="155">
        <f t="shared" ref="GY62" si="2870">SUM(GY53,GY56,GY59)</f>
        <v>0</v>
      </c>
      <c r="GZ62" s="156" t="str">
        <f t="shared" ref="GZ62" si="2871">IFERROR((GZ53*GY53+GY56*GZ56+GY59*GZ59)/GY62,"")</f>
        <v/>
      </c>
      <c r="HA62" s="155">
        <f t="shared" ref="HA62" si="2872">SUM(HA53,HA56,HA59)</f>
        <v>0</v>
      </c>
      <c r="HB62" s="156" t="str">
        <f t="shared" ref="HB62" si="2873">IFERROR((HB53*HA53+HA56*HB56+HA59*HB59)/HA62,"")</f>
        <v/>
      </c>
      <c r="HC62" s="155">
        <f t="shared" ref="HC62" si="2874">SUM(HC53,HC56,HC59)</f>
        <v>0</v>
      </c>
      <c r="HD62" s="156" t="str">
        <f t="shared" ref="HD62" si="2875">IFERROR((HD53*HC53+HC56*HD56+HC59*HD59)/HC62,"")</f>
        <v/>
      </c>
      <c r="HE62" s="155">
        <f t="shared" ref="HE62" si="2876">SUM(HE53,HE56,HE59)</f>
        <v>0</v>
      </c>
      <c r="HF62" s="156" t="str">
        <f t="shared" ref="HF62" si="2877">IFERROR((HF53*HE53+HE56*HF56+HE59*HF59)/HE62,"")</f>
        <v/>
      </c>
      <c r="HG62" s="155">
        <f t="shared" ref="HG62" si="2878">SUM(HG53,HG56,HG59)</f>
        <v>0</v>
      </c>
      <c r="HH62" s="156" t="str">
        <f t="shared" ref="HH62" si="2879">IFERROR((HH53*HG53+HG56*HH56+HG59*HH59)/HG62,"")</f>
        <v/>
      </c>
      <c r="HI62" s="155">
        <f t="shared" ref="HI62" si="2880">SUM(HI53,HI56,HI59)</f>
        <v>0</v>
      </c>
      <c r="HJ62" s="156" t="str">
        <f t="shared" ref="HJ62" si="2881">IFERROR((HJ53*HI53+HI56*HJ56+HI59*HJ59)/HI62,"")</f>
        <v/>
      </c>
      <c r="HK62" s="155">
        <f t="shared" ref="HK62" si="2882">SUM(HK53,HK56,HK59)</f>
        <v>0</v>
      </c>
      <c r="HL62" s="156" t="str">
        <f t="shared" ref="HL62" si="2883">IFERROR((HL53*HK53+HK56*HL56+HK59*HL59)/HK62,"")</f>
        <v/>
      </c>
      <c r="HM62" s="155">
        <f t="shared" ref="HM62" si="2884">SUM(HM53,HM56,HM59)</f>
        <v>0</v>
      </c>
      <c r="HN62" s="156" t="str">
        <f t="shared" ref="HN62" si="2885">IFERROR((HN53*HM53+HM56*HN56+HM59*HN59)/HM62,"")</f>
        <v/>
      </c>
      <c r="HO62" s="155">
        <f t="shared" ref="HO62" si="2886">SUM(HO53,HO56,HO59)</f>
        <v>0</v>
      </c>
      <c r="HP62" s="156" t="str">
        <f t="shared" ref="HP62" si="2887">IFERROR((HP53*HO53+HO56*HP56+HO59*HP59)/HO62,"")</f>
        <v/>
      </c>
      <c r="HQ62" s="155">
        <f t="shared" ref="HQ62" si="2888">SUM(HQ53,HQ56,HQ59)</f>
        <v>0</v>
      </c>
      <c r="HR62" s="156" t="str">
        <f t="shared" ref="HR62" si="2889">IFERROR((HR53*HQ53+HQ56*HR56+HQ59*HR59)/HQ62,"")</f>
        <v/>
      </c>
      <c r="HS62" s="155">
        <f t="shared" ref="HS62" si="2890">SUM(HS53,HS56,HS59)</f>
        <v>0</v>
      </c>
      <c r="HT62" s="156" t="str">
        <f t="shared" ref="HT62" si="2891">IFERROR((HT53*HS53+HS56*HT56+HS59*HT59)/HS62,"")</f>
        <v/>
      </c>
      <c r="HU62" s="155">
        <f t="shared" ref="HU62" si="2892">SUM(HU53,HU56,HU59)</f>
        <v>0</v>
      </c>
      <c r="HV62" s="156" t="str">
        <f t="shared" ref="HV62" si="2893">IFERROR((HV53*HU53+HU56*HV56+HU59*HV59)/HU62,"")</f>
        <v/>
      </c>
      <c r="HW62" s="155">
        <f t="shared" ref="HW62" si="2894">SUM(HW53,HW56,HW59)</f>
        <v>0</v>
      </c>
      <c r="HX62" s="156" t="str">
        <f t="shared" ref="HX62" si="2895">IFERROR((HX53*HW53+HW56*HX56+HW59*HX59)/HW62,"")</f>
        <v/>
      </c>
      <c r="HY62" s="155">
        <f t="shared" ref="HY62" si="2896">SUM(HY53,HY56,HY59)</f>
        <v>0</v>
      </c>
      <c r="HZ62" s="156" t="str">
        <f t="shared" ref="HZ62" si="2897">IFERROR((HZ53*HY53+HY56*HZ56+HY59*HZ59)/HY62,"")</f>
        <v/>
      </c>
      <c r="IA62" s="155">
        <f t="shared" ref="IA62" si="2898">SUM(IA53,IA56,IA59)</f>
        <v>0</v>
      </c>
      <c r="IB62" s="156" t="str">
        <f t="shared" ref="IB62" si="2899">IFERROR((IB53*IA53+IA56*IB56+IA59*IB59)/IA62,"")</f>
        <v/>
      </c>
      <c r="IC62" s="155">
        <f t="shared" ref="IC62" si="2900">SUM(IC53,IC56,IC59)</f>
        <v>0</v>
      </c>
      <c r="ID62" s="156" t="str">
        <f t="shared" ref="ID62" si="2901">IFERROR((ID53*IC53+IC56*ID56+IC59*ID59)/IC62,"")</f>
        <v/>
      </c>
      <c r="IE62" s="155">
        <f t="shared" ref="IE62" si="2902">SUM(IE53,IE56,IE59)</f>
        <v>0</v>
      </c>
      <c r="IF62" s="156" t="str">
        <f t="shared" ref="IF62" si="2903">IFERROR((IF53*IE53+IE56*IF56+IE59*IF59)/IE62,"")</f>
        <v/>
      </c>
      <c r="IG62" s="155">
        <f t="shared" ref="IG62" si="2904">SUM(IG53,IG56,IG59)</f>
        <v>0</v>
      </c>
      <c r="IH62" s="156" t="str">
        <f t="shared" ref="IH62" si="2905">IFERROR((IH53*IG53+IG56*IH56+IG59*IH59)/IG62,"")</f>
        <v/>
      </c>
      <c r="II62" s="155">
        <f t="shared" ref="II62" si="2906">SUM(II53,II56,II59)</f>
        <v>0</v>
      </c>
      <c r="IJ62" s="156" t="str">
        <f t="shared" ref="IJ62" si="2907">IFERROR((IJ53*II53+II56*IJ56+II59*IJ59)/II62,"")</f>
        <v/>
      </c>
      <c r="IK62" s="155">
        <f t="shared" ref="IK62" si="2908">SUM(IK53,IK56,IK59)</f>
        <v>0</v>
      </c>
      <c r="IL62" s="156" t="str">
        <f t="shared" ref="IL62" si="2909">IFERROR((IL53*IK53+IK56*IL56+IK59*IL59)/IK62,"")</f>
        <v/>
      </c>
      <c r="IM62" s="155">
        <f t="shared" ref="IM62" si="2910">SUM(IM53,IM56,IM59)</f>
        <v>0</v>
      </c>
      <c r="IN62" s="156" t="str">
        <f t="shared" ref="IN62" si="2911">IFERROR((IN53*IM53+IM56*IN56+IM59*IN59)/IM62,"")</f>
        <v/>
      </c>
      <c r="IO62" s="155">
        <f t="shared" ref="IO62" si="2912">SUM(IO53,IO56,IO59)</f>
        <v>0</v>
      </c>
      <c r="IP62" s="156" t="str">
        <f t="shared" ref="IP62" si="2913">IFERROR((IP53*IO53+IO56*IP56+IO59*IP59)/IO62,"")</f>
        <v/>
      </c>
      <c r="IQ62" s="155">
        <f t="shared" ref="IQ62" si="2914">SUM(IQ53,IQ56,IQ59)</f>
        <v>0</v>
      </c>
      <c r="IR62" s="156" t="str">
        <f t="shared" ref="IR62" si="2915">IFERROR((IR53*IQ53+IQ56*IR56+IQ59*IR59)/IQ62,"")</f>
        <v/>
      </c>
      <c r="IS62" s="155">
        <f t="shared" ref="IS62" si="2916">SUM(IS53,IS56,IS59)</f>
        <v>0</v>
      </c>
      <c r="IT62" s="156" t="str">
        <f t="shared" ref="IT62" si="2917">IFERROR((IT53*IS53+IS56*IT56+IS59*IT59)/IS62,"")</f>
        <v/>
      </c>
      <c r="IU62" s="155">
        <f t="shared" ref="IU62" si="2918">SUM(IU53,IU56,IU59)</f>
        <v>0</v>
      </c>
      <c r="IV62" s="156" t="str">
        <f t="shared" ref="IV62" si="2919">IFERROR((IV53*IU53+IU56*IV56+IU59*IV59)/IU62,"")</f>
        <v/>
      </c>
      <c r="IW62" s="155">
        <f t="shared" ref="IW62" si="2920">SUM(IW53,IW56,IW59)</f>
        <v>0</v>
      </c>
      <c r="IX62" s="156" t="str">
        <f t="shared" ref="IX62" si="2921">IFERROR((IX53*IW53+IW56*IX56+IW59*IX59)/IW62,"")</f>
        <v/>
      </c>
      <c r="IY62" s="155">
        <f t="shared" ref="IY62" si="2922">SUM(IY53,IY56,IY59)</f>
        <v>0</v>
      </c>
      <c r="IZ62" s="156" t="str">
        <f t="shared" ref="IZ62" si="2923">IFERROR((IZ53*IY53+IY56*IZ56+IY59*IZ59)/IY62,"")</f>
        <v/>
      </c>
    </row>
    <row r="63" spans="1:260" x14ac:dyDescent="0.25">
      <c r="A63" s="1589">
        <v>45839</v>
      </c>
      <c r="B63" s="162" t="s">
        <v>218</v>
      </c>
      <c r="C63" s="163" cm="1">
        <f t="array" ref="C63">SUM(_xlfn._xlws.FILTER(E63:IZ63, MOD(COLUMN(E63:IZ63)-COLUMN(E63)+1,2)=1))</f>
        <v>20559</v>
      </c>
      <c r="D63" s="164" cm="1">
        <f t="array" ref="D63">SUMPRODUCT(_xlfn._xlws.FILTER(E63:IZ63, MOD(COLUMN(E63:IZ63)-COLUMN(E63)+1,2)=1), _xlfn._xlws.FILTER(E63:IZ63, MOD(COLUMN(E63:IZ63)-COLUMN(E63)+1,2)=0))/C63</f>
        <v>2.4803453475363582</v>
      </c>
      <c r="E63" s="165">
        <f>INDEX('STOPE SUMMARY PIVOT'!$D$2306:$D$2433, MATCH(E$1,'STOPE SUMMARY PIVOT'!$A$2306:$A$2433, 0))</f>
        <v>2022</v>
      </c>
      <c r="F63" s="174">
        <f>INDEX('STOPE SUMMARY PIVOT'!$E$2306:$E$2433, MATCH(E$1,'STOPE SUMMARY PIVOT'!$A$2306:$A$2433, 0))</f>
        <v>0.52</v>
      </c>
      <c r="G63" s="165">
        <f>INDEX('STOPE SUMMARY PIVOT'!$D$2306:$D$2433, MATCH(G$1,'STOPE SUMMARY PIVOT'!$A$2306:$A$2433, 0))</f>
        <v>0</v>
      </c>
      <c r="H63" s="174">
        <f>INDEX('STOPE SUMMARY PIVOT'!$E$2306:$E$2433, MATCH(G$1,'STOPE SUMMARY PIVOT'!$A$2306:$A$2433, 0))</f>
        <v>0</v>
      </c>
      <c r="I63" s="165">
        <f>INDEX('STOPE SUMMARY PIVOT'!$D$2306:$D$2433, MATCH(I$1,'STOPE SUMMARY PIVOT'!$A$2306:$A$2433, 0))</f>
        <v>0</v>
      </c>
      <c r="J63" s="166">
        <f>INDEX('STOPE SUMMARY PIVOT'!$E$2306:$E$2433, MATCH(I$1,'STOPE SUMMARY PIVOT'!$A$2306:$A$2433, 0))</f>
        <v>0</v>
      </c>
      <c r="K63" s="165">
        <f>INDEX('STOPE SUMMARY PIVOT'!$D$2306:$D$2433, MATCH(K$1,'STOPE SUMMARY PIVOT'!$A$2306:$A$2433, 0))</f>
        <v>0</v>
      </c>
      <c r="L63" s="166">
        <f>INDEX('STOPE SUMMARY PIVOT'!$E$2306:$E$2433, MATCH(K$1,'STOPE SUMMARY PIVOT'!$A$2306:$A$2433, 0))</f>
        <v>0</v>
      </c>
      <c r="M63" s="165">
        <f>INDEX('STOPE SUMMARY PIVOT'!$D$2306:$D$2433, MATCH(M$1,'STOPE SUMMARY PIVOT'!$A$2306:$A$2433, 0))</f>
        <v>0</v>
      </c>
      <c r="N63" s="166">
        <f>INDEX('STOPE SUMMARY PIVOT'!$E$2306:$E$2433, MATCH(M$1,'STOPE SUMMARY PIVOT'!$A$2306:$A$2433, 0))</f>
        <v>0</v>
      </c>
      <c r="O63" s="165">
        <f>INDEX('STOPE SUMMARY PIVOT'!$D$2306:$D$2433, MATCH(O$1,'STOPE SUMMARY PIVOT'!$A$2306:$A$2433, 0))</f>
        <v>0</v>
      </c>
      <c r="P63" s="166">
        <f>INDEX('STOPE SUMMARY PIVOT'!$E$2306:$E$2433, MATCH(O$1,'STOPE SUMMARY PIVOT'!$A$2306:$A$2433, 0))</f>
        <v>0</v>
      </c>
      <c r="Q63" s="165">
        <f>INDEX('STOPE SUMMARY PIVOT'!$D$2306:$D$2433, MATCH(Q$1,'STOPE SUMMARY PIVOT'!$A$2306:$A$2433, 0))</f>
        <v>0</v>
      </c>
      <c r="R63" s="166">
        <f>INDEX('STOPE SUMMARY PIVOT'!$E$2306:$E$2433, MATCH(Q$1,'STOPE SUMMARY PIVOT'!$A$2306:$A$2433, 0))</f>
        <v>0</v>
      </c>
      <c r="S63" s="165">
        <f>INDEX('STOPE SUMMARY PIVOT'!$D$2306:$D$2433, MATCH(S$1,'STOPE SUMMARY PIVOT'!$A$2306:$A$2433, 0))</f>
        <v>0</v>
      </c>
      <c r="T63" s="166">
        <f>INDEX('STOPE SUMMARY PIVOT'!$E$2306:$E$2433, MATCH(S$1,'STOPE SUMMARY PIVOT'!$A$2306:$A$2433, 0))</f>
        <v>0</v>
      </c>
      <c r="U63" s="165">
        <f>INDEX('STOPE SUMMARY PIVOT'!$D$2306:$D$2433, MATCH(U$1,'STOPE SUMMARY PIVOT'!$A$2306:$A$2433, 0))</f>
        <v>0</v>
      </c>
      <c r="V63" s="174">
        <f>INDEX('STOPE SUMMARY PIVOT'!$E$2306:$E$2433, MATCH(U$1,'STOPE SUMMARY PIVOT'!$A$2306:$A$2433, 0))</f>
        <v>0</v>
      </c>
      <c r="W63" s="165">
        <f>INDEX('STOPE SUMMARY PIVOT'!$D$2306:$D$2433, MATCH(W$1,'STOPE SUMMARY PIVOT'!$A$2306:$A$2433, 0))</f>
        <v>0</v>
      </c>
      <c r="X63" s="174">
        <f>INDEX('STOPE SUMMARY PIVOT'!$E$2306:$E$2433, MATCH(W$1,'STOPE SUMMARY PIVOT'!$A$2306:$A$2433, 0))</f>
        <v>0</v>
      </c>
      <c r="Y63" s="165">
        <f>INDEX('STOPE SUMMARY PIVOT'!$D$2306:$D$2433, MATCH(Y$1,'STOPE SUMMARY PIVOT'!$A$2306:$A$2433, 0))</f>
        <v>0</v>
      </c>
      <c r="Z63" s="174">
        <f>INDEX('STOPE SUMMARY PIVOT'!$E$2306:$E$2433, MATCH(Y$1,'STOPE SUMMARY PIVOT'!$A$2306:$A$2433, 0))</f>
        <v>0</v>
      </c>
      <c r="AA63" s="165">
        <f>INDEX('STOPE SUMMARY PIVOT'!$D$2306:$D$2433, MATCH(AA$1,'STOPE SUMMARY PIVOT'!$A$2306:$A$2433, 0))</f>
        <v>0</v>
      </c>
      <c r="AB63" s="174">
        <f>INDEX('STOPE SUMMARY PIVOT'!$E$2306:$E$2433, MATCH(AA$1,'STOPE SUMMARY PIVOT'!$A$2306:$A$2433, 0))</f>
        <v>0</v>
      </c>
      <c r="AC63" s="165">
        <f>INDEX('STOPE SUMMARY PIVOT'!$D$2306:$D$2433, MATCH(AC$1,'STOPE SUMMARY PIVOT'!$A$2306:$A$2433, 0))</f>
        <v>119</v>
      </c>
      <c r="AD63" s="174">
        <f>INDEX('STOPE SUMMARY PIVOT'!$E$2306:$E$2433, MATCH(AC$1,'STOPE SUMMARY PIVOT'!$A$2306:$A$2433, 0))</f>
        <v>1.72</v>
      </c>
      <c r="AE63" s="165">
        <f>INDEX('STOPE SUMMARY PIVOT'!$D$2306:$D$2433, MATCH(AE$1,'STOPE SUMMARY PIVOT'!$A$2306:$A$2433, 0))</f>
        <v>0</v>
      </c>
      <c r="AF63" s="174">
        <f>INDEX('STOPE SUMMARY PIVOT'!$E$2306:$E$2433, MATCH(AE$1,'STOPE SUMMARY PIVOT'!$A$2306:$A$2433, 0))</f>
        <v>0</v>
      </c>
      <c r="AG63" s="165">
        <f>INDEX('STOPE SUMMARY PIVOT'!$D$2306:$D$2433, MATCH(AG$1,'STOPE SUMMARY PIVOT'!$A$2306:$A$2433, 0))</f>
        <v>0</v>
      </c>
      <c r="AH63" s="174">
        <f>INDEX('STOPE SUMMARY PIVOT'!$E$2306:$E$2433, MATCH(AG$1,'STOPE SUMMARY PIVOT'!$A$2306:$A$2433, 0))</f>
        <v>0</v>
      </c>
      <c r="AI63" s="165">
        <f>INDEX('STOPE SUMMARY PIVOT'!$D$2306:$D$2433, MATCH(AI$1,'STOPE SUMMARY PIVOT'!$A$2306:$A$2433, 0))</f>
        <v>0</v>
      </c>
      <c r="AJ63" s="174">
        <f>INDEX('STOPE SUMMARY PIVOT'!$E$2306:$E$2433, MATCH(AI$1,'STOPE SUMMARY PIVOT'!$A$2306:$A$2433, 0))</f>
        <v>0</v>
      </c>
      <c r="AK63" s="165">
        <f>INDEX('STOPE SUMMARY PIVOT'!$D$2306:$D$2433, MATCH(AK$1,'STOPE SUMMARY PIVOT'!$A$2306:$A$2433, 0))</f>
        <v>0</v>
      </c>
      <c r="AL63" s="174">
        <f>INDEX('STOPE SUMMARY PIVOT'!$E$2306:$E$2433, MATCH(AK$1,'STOPE SUMMARY PIVOT'!$A$2306:$A$2433, 0))</f>
        <v>0</v>
      </c>
      <c r="AM63" s="165">
        <f>INDEX('STOPE SUMMARY PIVOT'!$D$2306:$D$2433, MATCH(AM$1,'STOPE SUMMARY PIVOT'!$A$2306:$A$2433, 0))</f>
        <v>0</v>
      </c>
      <c r="AN63" s="174">
        <f>INDEX('STOPE SUMMARY PIVOT'!$E$2306:$E$2433, MATCH(AM$1,'STOPE SUMMARY PIVOT'!$A$2306:$A$2433, 0))</f>
        <v>0</v>
      </c>
      <c r="AO63" s="165">
        <f>INDEX('STOPE SUMMARY PIVOT'!$D$2306:$D$2433, MATCH(AO$1,'STOPE SUMMARY PIVOT'!$A$2306:$A$2433, 0))</f>
        <v>0</v>
      </c>
      <c r="AP63" s="174">
        <f>INDEX('STOPE SUMMARY PIVOT'!$E$2306:$E$2433, MATCH(AO$1,'STOPE SUMMARY PIVOT'!$A$2306:$A$2433, 0))</f>
        <v>0</v>
      </c>
      <c r="AQ63" s="165">
        <f>INDEX('STOPE SUMMARY PIVOT'!$D$2306:$D$2433, MATCH(AQ$1,'STOPE SUMMARY PIVOT'!$A$2306:$A$2433, 0))</f>
        <v>0</v>
      </c>
      <c r="AR63" s="174">
        <f>INDEX('STOPE SUMMARY PIVOT'!$E$2306:$E$2433, MATCH(AQ$1,'STOPE SUMMARY PIVOT'!$A$2306:$A$2433, 0))</f>
        <v>0</v>
      </c>
      <c r="AS63" s="165">
        <f>INDEX('STOPE SUMMARY PIVOT'!$D$2306:$D$2433, MATCH(AS$1,'STOPE SUMMARY PIVOT'!$A$2306:$A$2433, 0))</f>
        <v>0</v>
      </c>
      <c r="AT63" s="174">
        <f>INDEX('STOPE SUMMARY PIVOT'!$E$2306:$E$2433, MATCH(AS$1,'STOPE SUMMARY PIVOT'!$A$2306:$A$2433, 0))</f>
        <v>0</v>
      </c>
      <c r="AU63" s="165">
        <f>INDEX('STOPE SUMMARY PIVOT'!$D$2306:$D$2433, MATCH(AU$1,'STOPE SUMMARY PIVOT'!$A$2306:$A$2433, 0))</f>
        <v>0</v>
      </c>
      <c r="AV63" s="174">
        <f>INDEX('STOPE SUMMARY PIVOT'!$E$2306:$E$2433, MATCH(AU$1,'STOPE SUMMARY PIVOT'!$A$2306:$A$2433, 0))</f>
        <v>0</v>
      </c>
      <c r="AW63" s="165">
        <f>INDEX('STOPE SUMMARY PIVOT'!$D$2306:$D$2433, MATCH(AW$1,'STOPE SUMMARY PIVOT'!$A$2306:$A$2433, 0))</f>
        <v>0</v>
      </c>
      <c r="AX63" s="174">
        <f>INDEX('STOPE SUMMARY PIVOT'!$E$2306:$E$2433, MATCH(AW$1,'STOPE SUMMARY PIVOT'!$A$2306:$A$2433, 0))</f>
        <v>0</v>
      </c>
      <c r="AY63" s="165">
        <f>INDEX('STOPE SUMMARY PIVOT'!$D$2306:$D$2433, MATCH(AY$1,'STOPE SUMMARY PIVOT'!$A$2306:$A$2433, 0))</f>
        <v>0</v>
      </c>
      <c r="AZ63" s="174">
        <f>INDEX('STOPE SUMMARY PIVOT'!$E$2306:$E$2433, MATCH(AY$1,'STOPE SUMMARY PIVOT'!$A$2306:$A$2433, 0))</f>
        <v>0</v>
      </c>
      <c r="BA63" s="165">
        <f>INDEX('STOPE SUMMARY PIVOT'!$D$2306:$D$2433, MATCH(BA$1,'STOPE SUMMARY PIVOT'!$A$2306:$A$2433, 0))</f>
        <v>0</v>
      </c>
      <c r="BB63" s="174">
        <f>INDEX('STOPE SUMMARY PIVOT'!$E$2306:$E$2433, MATCH(BA$1,'STOPE SUMMARY PIVOT'!$A$2306:$A$2433, 0))</f>
        <v>0</v>
      </c>
      <c r="BC63" s="165">
        <f>INDEX('STOPE SUMMARY PIVOT'!$D$2306:$D$2433, MATCH(BC$1,'STOPE SUMMARY PIVOT'!$A$2306:$A$2433, 0))</f>
        <v>0</v>
      </c>
      <c r="BD63" s="174">
        <f>INDEX('STOPE SUMMARY PIVOT'!$E$2306:$E$2433, MATCH(BC$1,'STOPE SUMMARY PIVOT'!$A$2306:$A$2433, 0))</f>
        <v>0</v>
      </c>
      <c r="BE63" s="165">
        <f>INDEX('STOPE SUMMARY PIVOT'!$D$2306:$D$2433, MATCH(BE$1,'STOPE SUMMARY PIVOT'!$A$2306:$A$2433, 0))</f>
        <v>0</v>
      </c>
      <c r="BF63" s="174">
        <f>INDEX('STOPE SUMMARY PIVOT'!$E$2306:$E$2433, MATCH(BE$1,'STOPE SUMMARY PIVOT'!$A$2306:$A$2433, 0))</f>
        <v>0</v>
      </c>
      <c r="BG63" s="165">
        <f>INDEX('STOPE SUMMARY PIVOT'!$D$2306:$D$2433, MATCH(BG$1,'STOPE SUMMARY PIVOT'!$A$2306:$A$2433, 0))</f>
        <v>0</v>
      </c>
      <c r="BH63" s="174">
        <f>INDEX('STOPE SUMMARY PIVOT'!$E$2306:$E$2433, MATCH(BG$1,'STOPE SUMMARY PIVOT'!$A$2306:$A$2433, 0))</f>
        <v>0</v>
      </c>
      <c r="BI63" s="165">
        <f>INDEX('STOPE SUMMARY PIVOT'!$D$2306:$D$2433, MATCH(BI$1,'STOPE SUMMARY PIVOT'!$A$2306:$A$2433, 0))</f>
        <v>0</v>
      </c>
      <c r="BJ63" s="174">
        <f>INDEX('STOPE SUMMARY PIVOT'!$E$2306:$E$2433, MATCH(BI$1,'STOPE SUMMARY PIVOT'!$A$2306:$A$2433, 0))</f>
        <v>0</v>
      </c>
      <c r="BK63" s="165">
        <f>INDEX('STOPE SUMMARY PIVOT'!$D$2306:$D$2433, MATCH(BK$1,'STOPE SUMMARY PIVOT'!$A$2306:$A$2433, 0))</f>
        <v>0</v>
      </c>
      <c r="BL63" s="174">
        <f>INDEX('STOPE SUMMARY PIVOT'!$E$2306:$E$2433, MATCH(BK$1,'STOPE SUMMARY PIVOT'!$A$2306:$A$2433, 0))</f>
        <v>0</v>
      </c>
      <c r="BM63" s="165">
        <f>INDEX('STOPE SUMMARY PIVOT'!$D$2306:$D$2433, MATCH(BM$1,'STOPE SUMMARY PIVOT'!$A$2306:$A$2433, 0))</f>
        <v>0</v>
      </c>
      <c r="BN63" s="174">
        <f>INDEX('STOPE SUMMARY PIVOT'!$E$2306:$E$2433, MATCH(BM$1,'STOPE SUMMARY PIVOT'!$A$2306:$A$2433, 0))</f>
        <v>0</v>
      </c>
      <c r="BO63" s="165">
        <f>INDEX('STOPE SUMMARY PIVOT'!$D$2306:$D$2433, MATCH(BO$1,'STOPE SUMMARY PIVOT'!$A$2306:$A$2433, 0))</f>
        <v>0</v>
      </c>
      <c r="BP63" s="174">
        <f>INDEX('STOPE SUMMARY PIVOT'!$E$2306:$E$2433, MATCH(BO$1,'STOPE SUMMARY PIVOT'!$A$2306:$A$2433, 0))</f>
        <v>0</v>
      </c>
      <c r="BQ63" s="165">
        <f>INDEX('STOPE SUMMARY PIVOT'!$D$2306:$D$2433, MATCH(BQ$1,'STOPE SUMMARY PIVOT'!$A$2306:$A$2433, 0))</f>
        <v>0</v>
      </c>
      <c r="BR63" s="174">
        <f>INDEX('STOPE SUMMARY PIVOT'!$E$2306:$E$2433, MATCH(BQ$1,'STOPE SUMMARY PIVOT'!$A$2306:$A$2433, 0))</f>
        <v>0</v>
      </c>
      <c r="BS63" s="165">
        <f>INDEX('STOPE SUMMARY PIVOT'!$D$2306:$D$2433, MATCH(BS$1,'STOPE SUMMARY PIVOT'!$A$2306:$A$2433, 0))</f>
        <v>0</v>
      </c>
      <c r="BT63" s="174">
        <f>INDEX('STOPE SUMMARY PIVOT'!$E$2306:$E$2433, MATCH(BS$1,'STOPE SUMMARY PIVOT'!$A$2306:$A$2433, 0))</f>
        <v>0</v>
      </c>
      <c r="BU63" s="165">
        <f>INDEX('STOPE SUMMARY PIVOT'!$D$2306:$D$2433, MATCH(BU$1,'STOPE SUMMARY PIVOT'!$A$2306:$A$2433, 0))</f>
        <v>1534</v>
      </c>
      <c r="BV63" s="174">
        <f>INDEX('STOPE SUMMARY PIVOT'!$E$2306:$E$2433, MATCH(BU$1,'STOPE SUMMARY PIVOT'!$A$2306:$A$2433, 0))</f>
        <v>1.4</v>
      </c>
      <c r="BW63" s="165">
        <f>INDEX('STOPE SUMMARY PIVOT'!$D$2306:$D$2433, MATCH(BW$1,'STOPE SUMMARY PIVOT'!$A$2306:$A$2433, 0))</f>
        <v>0</v>
      </c>
      <c r="BX63" s="174">
        <f>INDEX('STOPE SUMMARY PIVOT'!$E$2306:$E$2433, MATCH(BW$1,'STOPE SUMMARY PIVOT'!$A$2306:$A$2433, 0))</f>
        <v>0</v>
      </c>
      <c r="BY63" s="165">
        <f>INDEX('STOPE SUMMARY PIVOT'!$D$2306:$D$2433, MATCH(BY$1,'STOPE SUMMARY PIVOT'!$A$2306:$A$2433, 0))</f>
        <v>0</v>
      </c>
      <c r="BZ63" s="174">
        <f>INDEX('STOPE SUMMARY PIVOT'!$E$2306:$E$2433, MATCH(BY$1,'STOPE SUMMARY PIVOT'!$A$2306:$A$2433, 0))</f>
        <v>0</v>
      </c>
      <c r="CA63" s="165">
        <f>INDEX('STOPE SUMMARY PIVOT'!$D$2306:$D$2433, MATCH(CA$1,'STOPE SUMMARY PIVOT'!$A$2306:$A$2433, 0))</f>
        <v>0</v>
      </c>
      <c r="CB63" s="174">
        <f>INDEX('STOPE SUMMARY PIVOT'!$E$2306:$E$2433, MATCH(CA$1,'STOPE SUMMARY PIVOT'!$A$2306:$A$2433, 0))</f>
        <v>0</v>
      </c>
      <c r="CC63" s="165">
        <f>INDEX('STOPE SUMMARY PIVOT'!$D$2306:$D$2433, MATCH(CC$1,'STOPE SUMMARY PIVOT'!$A$2306:$A$2433, 0))</f>
        <v>0</v>
      </c>
      <c r="CD63" s="174">
        <f>INDEX('STOPE SUMMARY PIVOT'!$E$2306:$E$2433, MATCH(CC$1,'STOPE SUMMARY PIVOT'!$A$2306:$A$2433, 0))</f>
        <v>0</v>
      </c>
      <c r="CE63" s="165">
        <f>INDEX('STOPE SUMMARY PIVOT'!$D$2306:$D$2433, MATCH(CE$1,'STOPE SUMMARY PIVOT'!$A$2306:$A$2433, 0))</f>
        <v>0</v>
      </c>
      <c r="CF63" s="174">
        <f>INDEX('STOPE SUMMARY PIVOT'!$E$2306:$E$2433, MATCH(CE$1,'STOPE SUMMARY PIVOT'!$A$2306:$A$2433, 0))</f>
        <v>0</v>
      </c>
      <c r="CG63" s="165">
        <f>INDEX('STOPE SUMMARY PIVOT'!$D$2306:$D$2433, MATCH(CG$1,'STOPE SUMMARY PIVOT'!$A$2306:$A$2433, 0))</f>
        <v>0</v>
      </c>
      <c r="CH63" s="174">
        <f>INDEX('STOPE SUMMARY PIVOT'!$E$2306:$E$2433, MATCH(CG$1,'STOPE SUMMARY PIVOT'!$A$2306:$A$2433, 0))</f>
        <v>0</v>
      </c>
      <c r="CI63" s="165">
        <f>INDEX('STOPE SUMMARY PIVOT'!$D$2306:$D$2433, MATCH(CI$1,'STOPE SUMMARY PIVOT'!$A$2306:$A$2433, 0))</f>
        <v>0</v>
      </c>
      <c r="CJ63" s="174">
        <f>INDEX('STOPE SUMMARY PIVOT'!$E$2306:$E$2433, MATCH(CI$1,'STOPE SUMMARY PIVOT'!$A$2306:$A$2433, 0))</f>
        <v>0</v>
      </c>
      <c r="CK63" s="165">
        <f>INDEX('STOPE SUMMARY PIVOT'!$D$2306:$D$2433, MATCH(CK$1,'STOPE SUMMARY PIVOT'!$A$2306:$A$2433, 0))</f>
        <v>0</v>
      </c>
      <c r="CL63" s="174">
        <f>INDEX('STOPE SUMMARY PIVOT'!$E$2306:$E$2433, MATCH(CK$1,'STOPE SUMMARY PIVOT'!$A$2306:$A$2433, 0))</f>
        <v>0</v>
      </c>
      <c r="CM63" s="165">
        <f>INDEX('STOPE SUMMARY PIVOT'!$D$2306:$D$2433, MATCH(CM$1,'STOPE SUMMARY PIVOT'!$A$2306:$A$2433, 0))</f>
        <v>0</v>
      </c>
      <c r="CN63" s="174">
        <f>INDEX('STOPE SUMMARY PIVOT'!$E$2306:$E$2433, MATCH(CM$1,'STOPE SUMMARY PIVOT'!$A$2306:$A$2433, 0))</f>
        <v>0</v>
      </c>
      <c r="CO63" s="165">
        <f>INDEX('STOPE SUMMARY PIVOT'!$D$2306:$D$2433, MATCH(CO$1,'STOPE SUMMARY PIVOT'!$A$2306:$A$2433, 0))</f>
        <v>0</v>
      </c>
      <c r="CP63" s="174">
        <f>INDEX('STOPE SUMMARY PIVOT'!$E$2306:$E$2433, MATCH(CO$1,'STOPE SUMMARY PIVOT'!$A$2306:$A$2433, 0))</f>
        <v>0</v>
      </c>
      <c r="CQ63" s="165">
        <f>INDEX('STOPE SUMMARY PIVOT'!$D$2306:$D$2433, MATCH(CQ$1,'STOPE SUMMARY PIVOT'!$A$2306:$A$2433, 0))</f>
        <v>0</v>
      </c>
      <c r="CR63" s="174">
        <f>INDEX('STOPE SUMMARY PIVOT'!$E$2306:$E$2433, MATCH(CQ$1,'STOPE SUMMARY PIVOT'!$A$2306:$A$2433, 0))</f>
        <v>0</v>
      </c>
      <c r="CS63" s="165">
        <f>INDEX('STOPE SUMMARY PIVOT'!$D$2306:$D$2433, MATCH(CS$1,'STOPE SUMMARY PIVOT'!$A$2306:$A$2433, 0))</f>
        <v>0</v>
      </c>
      <c r="CT63" s="174">
        <f>INDEX('STOPE SUMMARY PIVOT'!$E$2306:$E$2433, MATCH(CS$1,'STOPE SUMMARY PIVOT'!$A$2306:$A$2433, 0))</f>
        <v>0</v>
      </c>
      <c r="CU63" s="165">
        <f>INDEX('STOPE SUMMARY PIVOT'!$D$2306:$D$2433, MATCH(CU$1,'STOPE SUMMARY PIVOT'!$A$2306:$A$2433, 0))</f>
        <v>0</v>
      </c>
      <c r="CV63" s="174">
        <f>INDEX('STOPE SUMMARY PIVOT'!$E$2306:$E$2433, MATCH(CU$1,'STOPE SUMMARY PIVOT'!$A$2306:$A$2433, 0))</f>
        <v>0</v>
      </c>
      <c r="CW63" s="165">
        <f>INDEX('STOPE SUMMARY PIVOT'!$D$2306:$D$2433, MATCH(CW$1,'STOPE SUMMARY PIVOT'!$A$2306:$A$2433, 0))</f>
        <v>0</v>
      </c>
      <c r="CX63" s="174">
        <f>INDEX('STOPE SUMMARY PIVOT'!$E$2306:$E$2433, MATCH(CW$1,'STOPE SUMMARY PIVOT'!$A$2306:$A$2433, 0))</f>
        <v>0</v>
      </c>
      <c r="CY63" s="165">
        <f>INDEX('STOPE SUMMARY PIVOT'!$D$2306:$D$2433, MATCH(CY$1,'STOPE SUMMARY PIVOT'!$A$2306:$A$2433, 0))</f>
        <v>0</v>
      </c>
      <c r="CZ63" s="174">
        <f>INDEX('STOPE SUMMARY PIVOT'!$E$2306:$E$2433, MATCH(CY$1,'STOPE SUMMARY PIVOT'!$A$2306:$A$2433, 0))</f>
        <v>0</v>
      </c>
      <c r="DA63" s="165">
        <f>INDEX('STOPE SUMMARY PIVOT'!$D$2306:$D$2433, MATCH(DA$1,'STOPE SUMMARY PIVOT'!$A$2306:$A$2433, 0))</f>
        <v>0</v>
      </c>
      <c r="DB63" s="174">
        <f>INDEX('STOPE SUMMARY PIVOT'!$E$2306:$E$2433, MATCH(DA$1,'STOPE SUMMARY PIVOT'!$A$2306:$A$2433, 0))</f>
        <v>0</v>
      </c>
      <c r="DC63" s="165">
        <f>INDEX('STOPE SUMMARY PIVOT'!$D$2306:$D$2433, MATCH(DC$1,'STOPE SUMMARY PIVOT'!$A$2306:$A$2433, 0))</f>
        <v>0</v>
      </c>
      <c r="DD63" s="174">
        <f>INDEX('STOPE SUMMARY PIVOT'!$E$2306:$E$2433, MATCH(DC$1,'STOPE SUMMARY PIVOT'!$A$2306:$A$2433, 0))</f>
        <v>0</v>
      </c>
      <c r="DE63" s="165">
        <f>INDEX('STOPE SUMMARY PIVOT'!$D$2306:$D$2433, MATCH(DE$1,'STOPE SUMMARY PIVOT'!$A$2306:$A$2433, 0))</f>
        <v>0</v>
      </c>
      <c r="DF63" s="174">
        <f>INDEX('STOPE SUMMARY PIVOT'!$E$2306:$E$2433, MATCH(DE$1,'STOPE SUMMARY PIVOT'!$A$2306:$A$2433, 0))</f>
        <v>0</v>
      </c>
      <c r="DG63" s="165">
        <f>INDEX('STOPE SUMMARY PIVOT'!$D$2306:$D$2433, MATCH(DG$1,'STOPE SUMMARY PIVOT'!$A$2306:$A$2433, 0))</f>
        <v>0</v>
      </c>
      <c r="DH63" s="174">
        <f>INDEX('STOPE SUMMARY PIVOT'!$E$2306:$E$2433, MATCH(DG$1,'STOPE SUMMARY PIVOT'!$A$2306:$A$2433, 0))</f>
        <v>0</v>
      </c>
      <c r="DI63" s="165">
        <f>INDEX('STOPE SUMMARY PIVOT'!$D$2306:$D$2433, MATCH(DI$1,'STOPE SUMMARY PIVOT'!$A$2306:$A$2433, 0))</f>
        <v>0</v>
      </c>
      <c r="DJ63" s="174">
        <f>INDEX('STOPE SUMMARY PIVOT'!$E$2306:$E$2433, MATCH(DI$1,'STOPE SUMMARY PIVOT'!$A$2306:$A$2433, 0))</f>
        <v>0</v>
      </c>
      <c r="DK63" s="165">
        <f>INDEX('STOPE SUMMARY PIVOT'!$D$2306:$D$2433, MATCH(DK$1,'STOPE SUMMARY PIVOT'!$A$2306:$A$2433, 0))</f>
        <v>0</v>
      </c>
      <c r="DL63" s="174">
        <f>INDEX('STOPE SUMMARY PIVOT'!$E$2306:$E$2433, MATCH(DK$1,'STOPE SUMMARY PIVOT'!$A$2306:$A$2433, 0))</f>
        <v>0</v>
      </c>
      <c r="DM63" s="165">
        <f>INDEX('STOPE SUMMARY PIVOT'!$D$2306:$D$2433, MATCH(DM$1,'STOPE SUMMARY PIVOT'!$A$2306:$A$2433, 0))</f>
        <v>0</v>
      </c>
      <c r="DN63" s="174">
        <f>INDEX('STOPE SUMMARY PIVOT'!$E$2306:$E$2433, MATCH(DM$1,'STOPE SUMMARY PIVOT'!$A$2306:$A$2433, 0))</f>
        <v>0</v>
      </c>
      <c r="DO63" s="165">
        <f>INDEX('STOPE SUMMARY PIVOT'!$D$2306:$D$2433, MATCH(DO$1,'STOPE SUMMARY PIVOT'!$A$2306:$A$2433, 0))</f>
        <v>0</v>
      </c>
      <c r="DP63" s="174">
        <f>INDEX('STOPE SUMMARY PIVOT'!$E$2306:$E$2433, MATCH(DO$1,'STOPE SUMMARY PIVOT'!$A$2306:$A$2433, 0))</f>
        <v>0</v>
      </c>
      <c r="DQ63" s="165">
        <f>INDEX('STOPE SUMMARY PIVOT'!$D$2306:$D$2433, MATCH(DQ$1,'STOPE SUMMARY PIVOT'!$A$2306:$A$2433, 0))</f>
        <v>0</v>
      </c>
      <c r="DR63" s="174">
        <f>INDEX('STOPE SUMMARY PIVOT'!$E$2306:$E$2433, MATCH(DQ$1,'STOPE SUMMARY PIVOT'!$A$2306:$A$2433, 0))</f>
        <v>0</v>
      </c>
      <c r="DS63" s="165">
        <f>INDEX('STOPE SUMMARY PIVOT'!$D$2306:$D$2433, MATCH(DS$1,'STOPE SUMMARY PIVOT'!$A$2306:$A$2433, 0))</f>
        <v>0</v>
      </c>
      <c r="DT63" s="174">
        <f>INDEX('STOPE SUMMARY PIVOT'!$E$2306:$E$2433, MATCH(DS$1,'STOPE SUMMARY PIVOT'!$A$2306:$A$2433, 0))</f>
        <v>0</v>
      </c>
      <c r="DU63" s="165">
        <f>INDEX('STOPE SUMMARY PIVOT'!$D$2306:$D$2433, MATCH(DU$1,'STOPE SUMMARY PIVOT'!$A$2306:$A$2433, 0))</f>
        <v>0</v>
      </c>
      <c r="DV63" s="174">
        <f>INDEX('STOPE SUMMARY PIVOT'!$E$2306:$E$2433, MATCH(DU$1,'STOPE SUMMARY PIVOT'!$A$2306:$A$2433, 0))</f>
        <v>0</v>
      </c>
      <c r="DW63" s="165">
        <f>INDEX('STOPE SUMMARY PIVOT'!$D$2306:$D$2433, MATCH(DW$1,'STOPE SUMMARY PIVOT'!$A$2306:$A$2433, 0))</f>
        <v>0</v>
      </c>
      <c r="DX63" s="174">
        <f>INDEX('STOPE SUMMARY PIVOT'!$E$2306:$E$2433, MATCH(DW$1,'STOPE SUMMARY PIVOT'!$A$2306:$A$2433, 0))</f>
        <v>0</v>
      </c>
      <c r="DY63" s="165">
        <f>INDEX('STOPE SUMMARY PIVOT'!$D$2306:$D$2433, MATCH(DY$1,'STOPE SUMMARY PIVOT'!$A$2306:$A$2433, 0))</f>
        <v>0</v>
      </c>
      <c r="DZ63" s="174">
        <f>INDEX('STOPE SUMMARY PIVOT'!$E$2306:$E$2433, MATCH(DY$1,'STOPE SUMMARY PIVOT'!$A$2306:$A$2433, 0))</f>
        <v>0</v>
      </c>
      <c r="EA63" s="165">
        <f>INDEX('STOPE SUMMARY PIVOT'!$D$2306:$D$2433, MATCH(EA$1,'STOPE SUMMARY PIVOT'!$A$2306:$A$2433, 0))</f>
        <v>0</v>
      </c>
      <c r="EB63" s="174">
        <f>INDEX('STOPE SUMMARY PIVOT'!$E$2306:$E$2433, MATCH(EA$1,'STOPE SUMMARY PIVOT'!$A$2306:$A$2433, 0))</f>
        <v>0</v>
      </c>
      <c r="EC63" s="165">
        <f>INDEX('STOPE SUMMARY PIVOT'!$D$2306:$D$2433, MATCH(EC$1,'STOPE SUMMARY PIVOT'!$A$2306:$A$2433, 0))</f>
        <v>0</v>
      </c>
      <c r="ED63" s="174">
        <f>INDEX('STOPE SUMMARY PIVOT'!$E$2306:$E$2433, MATCH(EC$1,'STOPE SUMMARY PIVOT'!$A$2306:$A$2433, 0))</f>
        <v>0</v>
      </c>
      <c r="EE63" s="165">
        <f>INDEX('STOPE SUMMARY PIVOT'!$D$2306:$D$2433, MATCH(EE$1,'STOPE SUMMARY PIVOT'!$A$2306:$A$2433, 0))</f>
        <v>0</v>
      </c>
      <c r="EF63" s="174">
        <f>INDEX('STOPE SUMMARY PIVOT'!$E$2306:$E$2433, MATCH(EE$1,'STOPE SUMMARY PIVOT'!$A$2306:$A$2433, 0))</f>
        <v>0</v>
      </c>
      <c r="EG63" s="165">
        <f>INDEX('STOPE SUMMARY PIVOT'!$D$2306:$D$2433, MATCH(EG$1,'STOPE SUMMARY PIVOT'!$A$2306:$A$2433, 0))</f>
        <v>0</v>
      </c>
      <c r="EH63" s="174">
        <f>INDEX('STOPE SUMMARY PIVOT'!$E$2306:$E$2433, MATCH(EG$1,'STOPE SUMMARY PIVOT'!$A$2306:$A$2433, 0))</f>
        <v>0</v>
      </c>
      <c r="EI63" s="165">
        <f>INDEX('STOPE SUMMARY PIVOT'!$D$2306:$D$2433, MATCH(EI$1,'STOPE SUMMARY PIVOT'!$A$2306:$A$2433, 0))</f>
        <v>0</v>
      </c>
      <c r="EJ63" s="174">
        <f>INDEX('STOPE SUMMARY PIVOT'!$E$2306:$E$2433, MATCH(EI$1,'STOPE SUMMARY PIVOT'!$A$2306:$A$2433, 0))</f>
        <v>0</v>
      </c>
      <c r="EK63" s="165">
        <f>INDEX('STOPE SUMMARY PIVOT'!$D$2306:$D$2433, MATCH(EK$1,'STOPE SUMMARY PIVOT'!$A$2306:$A$2433, 0))</f>
        <v>1610</v>
      </c>
      <c r="EL63" s="174">
        <f>INDEX('STOPE SUMMARY PIVOT'!$E$2306:$E$2433, MATCH(EK$1,'STOPE SUMMARY PIVOT'!$A$2306:$A$2433, 0))</f>
        <v>3.23</v>
      </c>
      <c r="EM63" s="165">
        <f>INDEX('STOPE SUMMARY PIVOT'!$D$2306:$D$2433, MATCH(EM$1,'STOPE SUMMARY PIVOT'!$A$2306:$A$2433, 0))</f>
        <v>0</v>
      </c>
      <c r="EN63" s="174">
        <f>INDEX('STOPE SUMMARY PIVOT'!$E$2306:$E$2433, MATCH(EM$1,'STOPE SUMMARY PIVOT'!$A$2306:$A$2433, 0))</f>
        <v>0</v>
      </c>
      <c r="EO63" s="165">
        <f>INDEX('STOPE SUMMARY PIVOT'!$D$2306:$D$2433, MATCH(EO$1,'STOPE SUMMARY PIVOT'!$A$2306:$A$2433, 0))</f>
        <v>3033</v>
      </c>
      <c r="EP63" s="174">
        <f>INDEX('STOPE SUMMARY PIVOT'!$E$2306:$E$2433, MATCH(EO$1,'STOPE SUMMARY PIVOT'!$A$2306:$A$2433, 0))</f>
        <v>2.83</v>
      </c>
      <c r="EQ63" s="165">
        <f>INDEX('STOPE SUMMARY PIVOT'!$D$2306:$D$2433, MATCH(EQ$1,'STOPE SUMMARY PIVOT'!$A$2306:$A$2433, 0))</f>
        <v>0</v>
      </c>
      <c r="ER63" s="174">
        <f>INDEX('STOPE SUMMARY PIVOT'!$E$2306:$E$2433, MATCH(EQ$1,'STOPE SUMMARY PIVOT'!$A$2306:$A$2433, 0))</f>
        <v>0</v>
      </c>
      <c r="ES63" s="165">
        <f>INDEX('STOPE SUMMARY PIVOT'!$D$2306:$D$2433, MATCH(ES$1,'STOPE SUMMARY PIVOT'!$A$2306:$A$2433, 0))</f>
        <v>0</v>
      </c>
      <c r="ET63" s="174">
        <f>INDEX('STOPE SUMMARY PIVOT'!$E$2306:$E$2433, MATCH(ES$1,'STOPE SUMMARY PIVOT'!$A$2306:$A$2433, 0))</f>
        <v>0</v>
      </c>
      <c r="EU63" s="165">
        <f>INDEX('STOPE SUMMARY PIVOT'!$D$2306:$D$2433, MATCH(EU$1,'STOPE SUMMARY PIVOT'!$A$2306:$A$2433, 0))</f>
        <v>0</v>
      </c>
      <c r="EV63" s="174">
        <f>INDEX('STOPE SUMMARY PIVOT'!$E$2306:$E$2433, MATCH(EU$1,'STOPE SUMMARY PIVOT'!$A$2306:$A$2433, 0))</f>
        <v>0</v>
      </c>
      <c r="EW63" s="165">
        <f>INDEX('STOPE SUMMARY PIVOT'!$D$2306:$D$2433, MATCH(EW$1,'STOPE SUMMARY PIVOT'!$A$2306:$A$2433, 0))</f>
        <v>0</v>
      </c>
      <c r="EX63" s="174">
        <f>INDEX('STOPE SUMMARY PIVOT'!$E$2306:$E$2433, MATCH(EW$1,'STOPE SUMMARY PIVOT'!$A$2306:$A$2433, 0))</f>
        <v>0</v>
      </c>
      <c r="EY63" s="165">
        <f>INDEX('STOPE SUMMARY PIVOT'!$D$2306:$D$2433, MATCH(EY$1,'STOPE SUMMARY PIVOT'!$A$2306:$A$2433, 0))</f>
        <v>3033</v>
      </c>
      <c r="EZ63" s="174">
        <f>INDEX('STOPE SUMMARY PIVOT'!$E$2306:$E$2433, MATCH(EY$1,'STOPE SUMMARY PIVOT'!$A$2306:$A$2433, 0))</f>
        <v>2.31</v>
      </c>
      <c r="FA63" s="165">
        <f>INDEX('STOPE SUMMARY PIVOT'!$D$2306:$D$2433, MATCH(FA$1,'STOPE SUMMARY PIVOT'!$A$2306:$A$2433, 0))</f>
        <v>0</v>
      </c>
      <c r="FB63" s="174">
        <f>INDEX('STOPE SUMMARY PIVOT'!$E$2306:$E$2433, MATCH(FA$1,'STOPE SUMMARY PIVOT'!$A$2306:$A$2433, 0))</f>
        <v>0</v>
      </c>
      <c r="FC63" s="165">
        <f>INDEX('STOPE SUMMARY PIVOT'!$D$2306:$D$2433, MATCH(FC$1,'STOPE SUMMARY PIVOT'!$A$2306:$A$2433, 0))</f>
        <v>2022</v>
      </c>
      <c r="FD63" s="174">
        <f>INDEX('STOPE SUMMARY PIVOT'!$E$2306:$E$2433, MATCH(FC$1,'STOPE SUMMARY PIVOT'!$A$2306:$A$2433, 0))</f>
        <v>2.41</v>
      </c>
      <c r="FE63" s="165">
        <f>INDEX('STOPE SUMMARY PIVOT'!$D$2306:$D$2433, MATCH(FE$1,'STOPE SUMMARY PIVOT'!$A$2306:$A$2433, 0))</f>
        <v>0</v>
      </c>
      <c r="FF63" s="174">
        <f>INDEX('STOPE SUMMARY PIVOT'!$E$2306:$E$2433, MATCH(FE$1,'STOPE SUMMARY PIVOT'!$A$2306:$A$2433, 0))</f>
        <v>0</v>
      </c>
      <c r="FG63" s="165">
        <f>INDEX('STOPE SUMMARY PIVOT'!$D$2306:$D$2433, MATCH(FG$1,'STOPE SUMMARY PIVOT'!$A$2306:$A$2433, 0))</f>
        <v>0</v>
      </c>
      <c r="FH63" s="174">
        <f>INDEX('STOPE SUMMARY PIVOT'!$E$2306:$E$2433, MATCH(FG$1,'STOPE SUMMARY PIVOT'!$A$2306:$A$2433, 0))</f>
        <v>0</v>
      </c>
      <c r="FI63" s="165">
        <f>INDEX('STOPE SUMMARY PIVOT'!$D$2306:$D$2433, MATCH(FI$1,'STOPE SUMMARY PIVOT'!$A$2306:$A$2433, 0))</f>
        <v>0</v>
      </c>
      <c r="FJ63" s="174">
        <f>INDEX('STOPE SUMMARY PIVOT'!$E$2306:$E$2433, MATCH(FI$1,'STOPE SUMMARY PIVOT'!$A$2306:$A$2433, 0))</f>
        <v>0</v>
      </c>
      <c r="FK63" s="165">
        <f>INDEX('STOPE SUMMARY PIVOT'!$D$2306:$D$2433, MATCH(FK$1,'STOPE SUMMARY PIVOT'!$A$2306:$A$2433, 0))</f>
        <v>0</v>
      </c>
      <c r="FL63" s="174">
        <f>INDEX('STOPE SUMMARY PIVOT'!$E$2306:$E$2433, MATCH(FK$1,'STOPE SUMMARY PIVOT'!$A$2306:$A$2433, 0))</f>
        <v>0</v>
      </c>
      <c r="FM63" s="165">
        <f>INDEX('STOPE SUMMARY PIVOT'!$D$2306:$D$2433, MATCH(FM$1,'STOPE SUMMARY PIVOT'!$A$2306:$A$2433, 0))</f>
        <v>0</v>
      </c>
      <c r="FN63" s="174">
        <f>INDEX('STOPE SUMMARY PIVOT'!$E$2306:$E$2433, MATCH(FM$1,'STOPE SUMMARY PIVOT'!$A$2306:$A$2433, 0))</f>
        <v>0</v>
      </c>
      <c r="FO63" s="165">
        <f>INDEX('STOPE SUMMARY PIVOT'!$D$2306:$D$2433, MATCH(FO$1,'STOPE SUMMARY PIVOT'!$A$2306:$A$2433, 0))</f>
        <v>0</v>
      </c>
      <c r="FP63" s="174">
        <f>INDEX('STOPE SUMMARY PIVOT'!$E$2306:$E$2433, MATCH(FO$1,'STOPE SUMMARY PIVOT'!$A$2306:$A$2433, 0))</f>
        <v>0</v>
      </c>
      <c r="FQ63" s="165">
        <f>INDEX('STOPE SUMMARY PIVOT'!$D$2306:$D$2433, MATCH(FQ$1,'STOPE SUMMARY PIVOT'!$A$2306:$A$2433, 0))</f>
        <v>0</v>
      </c>
      <c r="FR63" s="174">
        <f>INDEX('STOPE SUMMARY PIVOT'!$E$2306:$E$2433, MATCH(FQ$1,'STOPE SUMMARY PIVOT'!$A$2306:$A$2433, 0))</f>
        <v>0</v>
      </c>
      <c r="FS63" s="165">
        <f>INDEX('STOPE SUMMARY PIVOT'!$D$2306:$D$2433, MATCH(FS$1,'STOPE SUMMARY PIVOT'!$A$2306:$A$2433, 0))</f>
        <v>1680</v>
      </c>
      <c r="FT63" s="174">
        <f>INDEX('STOPE SUMMARY PIVOT'!$E$2306:$E$2433, MATCH(FS$1,'STOPE SUMMARY PIVOT'!$A$2306:$A$2433, 0))</f>
        <v>2.84</v>
      </c>
      <c r="FU63" s="165">
        <f>INDEX('STOPE SUMMARY PIVOT'!$D$2306:$D$2433, MATCH(FU$1,'STOPE SUMMARY PIVOT'!$A$2306:$A$2433, 0))</f>
        <v>2022</v>
      </c>
      <c r="FV63" s="174">
        <f>INDEX('STOPE SUMMARY PIVOT'!$E$2306:$E$2433, MATCH(FU$1,'STOPE SUMMARY PIVOT'!$A$2306:$A$2433, 0))</f>
        <v>3.2</v>
      </c>
      <c r="FW63" s="165">
        <f>INDEX('STOPE SUMMARY PIVOT'!$D$2306:$D$2433, MATCH(FW$1,'STOPE SUMMARY PIVOT'!$A$2306:$A$2433, 0))</f>
        <v>0</v>
      </c>
      <c r="FX63" s="174">
        <f>INDEX('STOPE SUMMARY PIVOT'!$E$2306:$E$2433, MATCH(FW$1,'STOPE SUMMARY PIVOT'!$A$2306:$A$2433, 0))</f>
        <v>0</v>
      </c>
      <c r="FY63" s="165">
        <f>INDEX('STOPE SUMMARY PIVOT'!$D$2306:$D$2433, MATCH(FY$1,'STOPE SUMMARY PIVOT'!$A$2306:$A$2433, 0))</f>
        <v>0</v>
      </c>
      <c r="FZ63" s="174">
        <f>INDEX('STOPE SUMMARY PIVOT'!$E$2306:$E$2433, MATCH(FY$1,'STOPE SUMMARY PIVOT'!$A$2306:$A$2433, 0))</f>
        <v>0</v>
      </c>
      <c r="GA63" s="165">
        <f>INDEX('STOPE SUMMARY PIVOT'!$D$2306:$D$2433, MATCH(GA$1,'STOPE SUMMARY PIVOT'!$A$2306:$A$2433, 0))</f>
        <v>0</v>
      </c>
      <c r="GB63" s="174">
        <f>INDEX('STOPE SUMMARY PIVOT'!$E$2306:$E$2433, MATCH(GA$1,'STOPE SUMMARY PIVOT'!$A$2306:$A$2433, 0))</f>
        <v>0</v>
      </c>
      <c r="GC63" s="165">
        <f>INDEX('STOPE SUMMARY PIVOT'!$D$2306:$D$2433, MATCH(GC$1,'STOPE SUMMARY PIVOT'!$A$2306:$A$2433, 0))</f>
        <v>229</v>
      </c>
      <c r="GD63" s="174">
        <f>INDEX('STOPE SUMMARY PIVOT'!$E$2306:$E$2433, MATCH(GC$1,'STOPE SUMMARY PIVOT'!$A$2306:$A$2433, 0))</f>
        <v>3.49</v>
      </c>
      <c r="GE63" s="165">
        <f>INDEX('STOPE SUMMARY PIVOT'!$D$2306:$D$2433, MATCH(GE$1,'STOPE SUMMARY PIVOT'!$A$2306:$A$2433, 0))</f>
        <v>877</v>
      </c>
      <c r="GF63" s="174">
        <f>INDEX('STOPE SUMMARY PIVOT'!$E$2306:$E$2433, MATCH(GE$1,'STOPE SUMMARY PIVOT'!$A$2306:$A$2433, 0))</f>
        <v>1.03</v>
      </c>
      <c r="GG63" s="165">
        <f>INDEX('STOPE SUMMARY PIVOT'!$D$2306:$D$2433, MATCH(GG$1,'STOPE SUMMARY PIVOT'!$A$2306:$A$2433, 0))</f>
        <v>0</v>
      </c>
      <c r="GH63" s="174">
        <f>INDEX('STOPE SUMMARY PIVOT'!$E$2306:$E$2433, MATCH(GG$1,'STOPE SUMMARY PIVOT'!$A$2306:$A$2433, 0))</f>
        <v>0</v>
      </c>
      <c r="GI63" s="165">
        <f>INDEX('STOPE SUMMARY PIVOT'!$D$2306:$D$2433, MATCH(GI$1,'STOPE SUMMARY PIVOT'!$A$2306:$A$2433, 0))</f>
        <v>269</v>
      </c>
      <c r="GJ63" s="174">
        <f>INDEX('STOPE SUMMARY PIVOT'!$E$2306:$E$2433, MATCH(GI$1,'STOPE SUMMARY PIVOT'!$A$2306:$A$2433, 0))</f>
        <v>3.05</v>
      </c>
      <c r="GK63" s="165">
        <f>INDEX('STOPE SUMMARY PIVOT'!$D$2306:$D$2433, MATCH(GK$1,'STOPE SUMMARY PIVOT'!$A$2306:$A$2433, 0))</f>
        <v>0</v>
      </c>
      <c r="GL63" s="174">
        <f>INDEX('STOPE SUMMARY PIVOT'!$E$2306:$E$2433, MATCH(GK$1,'STOPE SUMMARY PIVOT'!$A$2306:$A$2433, 0))</f>
        <v>0</v>
      </c>
      <c r="GM63" s="165">
        <f>INDEX('STOPE SUMMARY PIVOT'!$D$2306:$D$2433, MATCH(GM$1,'STOPE SUMMARY PIVOT'!$A$2306:$A$2433, 0))</f>
        <v>0</v>
      </c>
      <c r="GN63" s="174">
        <f>INDEX('STOPE SUMMARY PIVOT'!$E$2306:$E$2433, MATCH(GM$1,'STOPE SUMMARY PIVOT'!$A$2306:$A$2433, 0))</f>
        <v>0</v>
      </c>
      <c r="GO63" s="165">
        <f>INDEX('STOPE SUMMARY PIVOT'!$D$2306:$D$2433, MATCH(GO$1,'STOPE SUMMARY PIVOT'!$A$2306:$A$2433, 0))</f>
        <v>2022</v>
      </c>
      <c r="GP63" s="174">
        <f>INDEX('STOPE SUMMARY PIVOT'!$E$2306:$E$2433, MATCH(GO$1,'STOPE SUMMARY PIVOT'!$A$2306:$A$2433, 0))</f>
        <v>3.97</v>
      </c>
      <c r="GQ63" s="165">
        <f>INDEX('STOPE SUMMARY PIVOT'!$D$2306:$D$2433, MATCH(GQ$1,'STOPE SUMMARY PIVOT'!$A$2306:$A$2433, 0))</f>
        <v>87</v>
      </c>
      <c r="GR63" s="174">
        <f>INDEX('STOPE SUMMARY PIVOT'!$E$2306:$E$2433, MATCH(GQ$1,'STOPE SUMMARY PIVOT'!$A$2306:$A$2433, 0))</f>
        <v>1.55</v>
      </c>
      <c r="GS63" s="165">
        <f>INDEX('STOPE SUMMARY PIVOT'!$D$2306:$D$2433, MATCH(GS$1,'STOPE SUMMARY PIVOT'!$A$2306:$A$2433, 0))</f>
        <v>0</v>
      </c>
      <c r="GT63" s="174">
        <f>INDEX('STOPE SUMMARY PIVOT'!$E$2306:$E$2433, MATCH(GS$1,'STOPE SUMMARY PIVOT'!$A$2306:$A$2433, 0))</f>
        <v>0</v>
      </c>
      <c r="GU63" s="165">
        <f>INDEX('STOPE SUMMARY PIVOT'!$D$2306:$D$2433, MATCH(GU$1,'STOPE SUMMARY PIVOT'!$A$2306:$A$2433, 0))</f>
        <v>0</v>
      </c>
      <c r="GV63" s="174">
        <f>INDEX('STOPE SUMMARY PIVOT'!$E$2306:$E$2433, MATCH(GU$1,'STOPE SUMMARY PIVOT'!$A$2306:$A$2433, 0))</f>
        <v>0</v>
      </c>
      <c r="GW63" s="165">
        <f>INDEX('STOPE SUMMARY PIVOT'!$D$2306:$D$2433, MATCH(GW$1,'STOPE SUMMARY PIVOT'!$A$2306:$A$2433, 0))</f>
        <v>0</v>
      </c>
      <c r="GX63" s="174">
        <f>INDEX('STOPE SUMMARY PIVOT'!$E$2306:$E$2433, MATCH(GW$1,'STOPE SUMMARY PIVOT'!$A$2306:$A$2433, 0))</f>
        <v>0</v>
      </c>
      <c r="GY63" s="165">
        <f>INDEX('STOPE SUMMARY PIVOT'!$D$2306:$D$2433, MATCH(GY$1,'STOPE SUMMARY PIVOT'!$A$2306:$A$2433, 0))</f>
        <v>0</v>
      </c>
      <c r="GZ63" s="174">
        <f>INDEX('STOPE SUMMARY PIVOT'!$E$2306:$E$2433, MATCH(GY$1,'STOPE SUMMARY PIVOT'!$A$2306:$A$2433, 0))</f>
        <v>0</v>
      </c>
      <c r="HA63" s="165">
        <f>INDEX('STOPE SUMMARY PIVOT'!$D$2306:$D$2433, MATCH(HA$1,'STOPE SUMMARY PIVOT'!$A$2306:$A$2433, 0))</f>
        <v>0</v>
      </c>
      <c r="HB63" s="174">
        <f>INDEX('STOPE SUMMARY PIVOT'!$E$2306:$E$2433, MATCH(HA$1,'STOPE SUMMARY PIVOT'!$A$2306:$A$2433, 0))</f>
        <v>0</v>
      </c>
      <c r="HC63" s="165">
        <f>INDEX('STOPE SUMMARY PIVOT'!$D$2306:$D$2433, MATCH(HC$1,'STOPE SUMMARY PIVOT'!$A$2306:$A$2433, 0))</f>
        <v>0</v>
      </c>
      <c r="HD63" s="174">
        <f>INDEX('STOPE SUMMARY PIVOT'!$E$2306:$E$2433, MATCH(HC$1,'STOPE SUMMARY PIVOT'!$A$2306:$A$2433, 0))</f>
        <v>0</v>
      </c>
      <c r="HE63" s="165">
        <f>INDEX('STOPE SUMMARY PIVOT'!$D$2306:$D$2433, MATCH(HE$1,'STOPE SUMMARY PIVOT'!$A$2306:$A$2433, 0))</f>
        <v>0</v>
      </c>
      <c r="HF63" s="174">
        <f>INDEX('STOPE SUMMARY PIVOT'!$E$2306:$E$2433, MATCH(HE$1,'STOPE SUMMARY PIVOT'!$A$2306:$A$2433, 0))</f>
        <v>0</v>
      </c>
      <c r="HG63" s="165">
        <f>INDEX('STOPE SUMMARY PIVOT'!$D$2306:$D$2433, MATCH(HG$1,'STOPE SUMMARY PIVOT'!$A$2306:$A$2433, 0))</f>
        <v>0</v>
      </c>
      <c r="HH63" s="174">
        <f>INDEX('STOPE SUMMARY PIVOT'!$E$2306:$E$2433, MATCH(HG$1,'STOPE SUMMARY PIVOT'!$A$2306:$A$2433, 0))</f>
        <v>0</v>
      </c>
      <c r="HI63" s="165">
        <f>INDEX('STOPE SUMMARY PIVOT'!$D$2306:$D$2433, MATCH(HI$1,'STOPE SUMMARY PIVOT'!$A$2306:$A$2433, 0))</f>
        <v>0</v>
      </c>
      <c r="HJ63" s="174">
        <f>INDEX('STOPE SUMMARY PIVOT'!$E$2306:$E$2433, MATCH(HI$1,'STOPE SUMMARY PIVOT'!$A$2306:$A$2433, 0))</f>
        <v>0</v>
      </c>
      <c r="HK63" s="165">
        <f>INDEX('STOPE SUMMARY PIVOT'!$D$2306:$D$2433, MATCH(HK$1,'STOPE SUMMARY PIVOT'!$A$2306:$A$2433, 0))</f>
        <v>0</v>
      </c>
      <c r="HL63" s="174">
        <f>INDEX('STOPE SUMMARY PIVOT'!$E$2306:$E$2433, MATCH(HK$1,'STOPE SUMMARY PIVOT'!$A$2306:$A$2433, 0))</f>
        <v>0</v>
      </c>
      <c r="HM63" s="165">
        <f>INDEX('STOPE SUMMARY PIVOT'!$D$2306:$D$2433, MATCH(HM$1,'STOPE SUMMARY PIVOT'!$A$2306:$A$2433, 0))</f>
        <v>0</v>
      </c>
      <c r="HN63" s="174">
        <f>INDEX('STOPE SUMMARY PIVOT'!$E$2306:$E$2433, MATCH(HM$1,'STOPE SUMMARY PIVOT'!$A$2306:$A$2433, 0))</f>
        <v>0</v>
      </c>
      <c r="HO63" s="165">
        <f>INDEX('STOPE SUMMARY PIVOT'!$D$2306:$D$2433, MATCH(HO$1,'STOPE SUMMARY PIVOT'!$A$2306:$A$2433, 0))</f>
        <v>0</v>
      </c>
      <c r="HP63" s="174">
        <f>INDEX('STOPE SUMMARY PIVOT'!$E$2306:$E$2433, MATCH(HO$1,'STOPE SUMMARY PIVOT'!$A$2306:$A$2433, 0))</f>
        <v>0</v>
      </c>
      <c r="HQ63" s="165">
        <f>INDEX('STOPE SUMMARY PIVOT'!$D$2306:$D$2433, MATCH(HQ$1,'STOPE SUMMARY PIVOT'!$A$2306:$A$2433, 0))</f>
        <v>0</v>
      </c>
      <c r="HR63" s="174">
        <f>INDEX('STOPE SUMMARY PIVOT'!$E$2306:$E$2433, MATCH(HQ$1,'STOPE SUMMARY PIVOT'!$A$2306:$A$2433, 0))</f>
        <v>0</v>
      </c>
      <c r="HS63" s="165">
        <f>INDEX('STOPE SUMMARY PIVOT'!$D$2306:$D$2433, MATCH(HS$1,'STOPE SUMMARY PIVOT'!$A$2306:$A$2433, 0))</f>
        <v>0</v>
      </c>
      <c r="HT63" s="174">
        <f>INDEX('STOPE SUMMARY PIVOT'!$E$2306:$E$2433, MATCH(HS$1,'STOPE SUMMARY PIVOT'!$A$2306:$A$2433, 0))</f>
        <v>0</v>
      </c>
      <c r="HU63" s="165">
        <f>INDEX('STOPE SUMMARY PIVOT'!$D$2306:$D$2433, MATCH(HU$1,'STOPE SUMMARY PIVOT'!$A$2306:$A$2433, 0))</f>
        <v>0</v>
      </c>
      <c r="HV63" s="174">
        <f>INDEX('STOPE SUMMARY PIVOT'!$E$2306:$E$2433, MATCH(HU$1,'STOPE SUMMARY PIVOT'!$A$2306:$A$2433, 0))</f>
        <v>0</v>
      </c>
      <c r="HW63" s="165">
        <f>INDEX('STOPE SUMMARY PIVOT'!$D$2306:$D$2433, MATCH(HW$1,'STOPE SUMMARY PIVOT'!$A$2306:$A$2433, 0))</f>
        <v>0</v>
      </c>
      <c r="HX63" s="174">
        <f>INDEX('STOPE SUMMARY PIVOT'!$E$2306:$E$2433, MATCH(HW$1,'STOPE SUMMARY PIVOT'!$A$2306:$A$2433, 0))</f>
        <v>0</v>
      </c>
      <c r="HY63" s="165">
        <f>INDEX('STOPE SUMMARY PIVOT'!$D$2306:$D$2433, MATCH(HY$1,'STOPE SUMMARY PIVOT'!$A$2306:$A$2433, 0))</f>
        <v>0</v>
      </c>
      <c r="HZ63" s="174">
        <f>INDEX('STOPE SUMMARY PIVOT'!$E$2306:$E$2433, MATCH(HY$1,'STOPE SUMMARY PIVOT'!$A$2306:$A$2433, 0))</f>
        <v>0</v>
      </c>
      <c r="IA63" s="165">
        <f>INDEX('STOPE SUMMARY PIVOT'!$D$2306:$D$2433, MATCH(IA$1,'STOPE SUMMARY PIVOT'!$A$2306:$A$2433, 0))</f>
        <v>0</v>
      </c>
      <c r="IB63" s="174">
        <f>INDEX('STOPE SUMMARY PIVOT'!$E$2306:$E$2433, MATCH(IA$1,'STOPE SUMMARY PIVOT'!$A$2306:$A$2433, 0))</f>
        <v>0</v>
      </c>
      <c r="IC63" s="165">
        <f>INDEX('STOPE SUMMARY PIVOT'!$D$2306:$D$2433, MATCH(IC$1,'STOPE SUMMARY PIVOT'!$A$2306:$A$2433, 0))</f>
        <v>0</v>
      </c>
      <c r="ID63" s="174">
        <f>INDEX('STOPE SUMMARY PIVOT'!$E$2306:$E$2433, MATCH(IC$1,'STOPE SUMMARY PIVOT'!$A$2306:$A$2433, 0))</f>
        <v>0</v>
      </c>
      <c r="IE63" s="165">
        <f>INDEX('STOPE SUMMARY PIVOT'!$D$2306:$D$2433, MATCH(IE$1,'STOPE SUMMARY PIVOT'!$A$2306:$A$2433, 0))</f>
        <v>0</v>
      </c>
      <c r="IF63" s="174">
        <f>INDEX('STOPE SUMMARY PIVOT'!$E$2306:$E$2433, MATCH(IE$1,'STOPE SUMMARY PIVOT'!$A$2306:$A$2433, 0))</f>
        <v>0</v>
      </c>
      <c r="IG63" s="165">
        <f>INDEX('STOPE SUMMARY PIVOT'!$D$2306:$D$2433, MATCH(IG$1,'STOPE SUMMARY PIVOT'!$A$2306:$A$2433, 0))</f>
        <v>0</v>
      </c>
      <c r="IH63" s="174">
        <f>INDEX('STOPE SUMMARY PIVOT'!$E$2306:$E$2433, MATCH(IG$1,'STOPE SUMMARY PIVOT'!$A$2306:$A$2433, 0))</f>
        <v>0</v>
      </c>
      <c r="II63" s="165">
        <f>INDEX('STOPE SUMMARY PIVOT'!$D$2306:$D$2433, MATCH(II$1,'STOPE SUMMARY PIVOT'!$A$2306:$A$2433, 0))</f>
        <v>0</v>
      </c>
      <c r="IJ63" s="174">
        <f>INDEX('STOPE SUMMARY PIVOT'!$E$2306:$E$2433, MATCH(II$1,'STOPE SUMMARY PIVOT'!$A$2306:$A$2433, 0))</f>
        <v>0</v>
      </c>
      <c r="IK63" s="165">
        <f>INDEX('STOPE SUMMARY PIVOT'!$D$2306:$D$2433, MATCH(IK$1,'STOPE SUMMARY PIVOT'!$A$2306:$A$2433, 0))</f>
        <v>0</v>
      </c>
      <c r="IL63" s="174">
        <f>INDEX('STOPE SUMMARY PIVOT'!$E$2306:$E$2433, MATCH(IK$1,'STOPE SUMMARY PIVOT'!$A$2306:$A$2433, 0))</f>
        <v>0</v>
      </c>
      <c r="IM63" s="165">
        <f>INDEX('STOPE SUMMARY PIVOT'!$D$2306:$D$2433, MATCH(IM$1,'STOPE SUMMARY PIVOT'!$A$2306:$A$2433, 0))</f>
        <v>0</v>
      </c>
      <c r="IN63" s="174">
        <f>INDEX('STOPE SUMMARY PIVOT'!$E$2306:$E$2433, MATCH(IM$1,'STOPE SUMMARY PIVOT'!$A$2306:$A$2433, 0))</f>
        <v>0</v>
      </c>
      <c r="IO63" s="165">
        <f>INDEX('STOPE SUMMARY PIVOT'!$D$2306:$D$2433, MATCH(IO$1,'STOPE SUMMARY PIVOT'!$A$2306:$A$2433, 0))</f>
        <v>0</v>
      </c>
      <c r="IP63" s="174">
        <f>INDEX('STOPE SUMMARY PIVOT'!$E$2306:$E$2433, MATCH(IO$1,'STOPE SUMMARY PIVOT'!$A$2306:$A$2433, 0))</f>
        <v>0</v>
      </c>
      <c r="IQ63" s="165">
        <f>INDEX('STOPE SUMMARY PIVOT'!$D$2306:$D$2433, MATCH(IQ$1,'STOPE SUMMARY PIVOT'!$A$2306:$A$2433, 0))</f>
        <v>0</v>
      </c>
      <c r="IR63" s="174">
        <f>INDEX('STOPE SUMMARY PIVOT'!$E$2306:$E$2433, MATCH(IQ$1,'STOPE SUMMARY PIVOT'!$A$2306:$A$2433, 0))</f>
        <v>0</v>
      </c>
      <c r="IS63" s="165">
        <f>INDEX('STOPE SUMMARY PIVOT'!$D$2306:$D$2433, MATCH(IS$1,'STOPE SUMMARY PIVOT'!$A$2306:$A$2433, 0))</f>
        <v>0</v>
      </c>
      <c r="IT63" s="174">
        <f>INDEX('STOPE SUMMARY PIVOT'!$E$2306:$E$2433, MATCH(IS$1,'STOPE SUMMARY PIVOT'!$A$2306:$A$2433, 0))</f>
        <v>0</v>
      </c>
      <c r="IU63" s="165">
        <f>INDEX('STOPE SUMMARY PIVOT'!$D$2306:$D$2433, MATCH(IU$1,'STOPE SUMMARY PIVOT'!$A$2306:$A$2433, 0))</f>
        <v>0</v>
      </c>
      <c r="IV63" s="174">
        <f>INDEX('STOPE SUMMARY PIVOT'!$E$2306:$E$2433, MATCH(IU$1,'STOPE SUMMARY PIVOT'!$A$2306:$A$2433, 0))</f>
        <v>0</v>
      </c>
      <c r="IW63" s="165">
        <f>INDEX('STOPE SUMMARY PIVOT'!$D$2306:$D$2433, MATCH(IW$1,'STOPE SUMMARY PIVOT'!$A$2306:$A$2433, 0))</f>
        <v>0</v>
      </c>
      <c r="IX63" s="174">
        <f>INDEX('STOPE SUMMARY PIVOT'!$E$2306:$E$2433, MATCH(IW$1,'STOPE SUMMARY PIVOT'!$A$2306:$A$2433, 0))</f>
        <v>0</v>
      </c>
      <c r="IY63" s="165">
        <f>INDEX('STOPE SUMMARY PIVOT'!$D$2306:$D$2433, MATCH(IY$1,'STOPE SUMMARY PIVOT'!$A$2306:$A$2433, 0))</f>
        <v>0</v>
      </c>
      <c r="IZ63" s="174">
        <f>INDEX('STOPE SUMMARY PIVOT'!$E$2306:$E$2433, MATCH(IY$1,'STOPE SUMMARY PIVOT'!$A$2306:$A$2433, 0))</f>
        <v>0</v>
      </c>
    </row>
    <row r="64" spans="1:260" x14ac:dyDescent="0.25">
      <c r="A64" s="1590"/>
      <c r="B64" s="167" t="s">
        <v>219</v>
      </c>
      <c r="C64" s="168" cm="1">
        <f t="array" ref="C64">SUM(_xlfn._xlws.FILTER(E64:IZ64, MOD(COLUMN(E64:IZ64)-COLUMN(E64)+1,2)=1))</f>
        <v>0</v>
      </c>
      <c r="D64" s="26" t="str" cm="1">
        <f t="array" ref="D64">IFERROR(SUMPRODUCT(_xlfn._xlws.FILTER(E64:IZ64, MOD(COLUMN(E64:IZ64)-COLUMN(E64)+1,2)=1), _xlfn._xlws.FILTER(E64:IZ64, MOD(COLUMN(E64:IZ64)-COLUMN(E64)+1,2)=0))/C64,"")</f>
        <v/>
      </c>
      <c r="E64" s="154">
        <f>INDEX('STOPE SUMMARY PIVOT'!$G$2306:$G$2433, MATCH(E$1,'STOPE SUMMARY PIVOT'!$A$2306:$A$2433, 0))</f>
        <v>0</v>
      </c>
      <c r="F64" s="175">
        <f>INDEX('STOPE SUMMARY PIVOT'!$H$2306:$H$2433, MATCH(E$1,'STOPE SUMMARY PIVOT'!$A$2306:$A$2433, 0))</f>
        <v>0</v>
      </c>
      <c r="G64" s="154">
        <f>INDEX('STOPE SUMMARY PIVOT'!$G$2306:$G$2433, MATCH(G$1,'STOPE SUMMARY PIVOT'!$A$2306:$A$2433, 0))</f>
        <v>0</v>
      </c>
      <c r="H64" s="175">
        <f>INDEX('STOPE SUMMARY PIVOT'!$H$2306:$H$2433, MATCH(G$1,'STOPE SUMMARY PIVOT'!$A$2306:$A$2433, 0))</f>
        <v>0</v>
      </c>
      <c r="I64" s="154">
        <f>INDEX('STOPE SUMMARY PIVOT'!$G$2306:$G$2433, MATCH(I$1,'STOPE SUMMARY PIVOT'!$A$2306:$A$2433, 0))</f>
        <v>0</v>
      </c>
      <c r="J64" s="143">
        <f>INDEX('STOPE SUMMARY PIVOT'!$H$2306:$H$2433, MATCH(I$1,'STOPE SUMMARY PIVOT'!$A$2306:$A$2433, 0))</f>
        <v>0</v>
      </c>
      <c r="K64" s="154">
        <f>INDEX('STOPE SUMMARY PIVOT'!$G$2306:$G$2433, MATCH(K$1,'STOPE SUMMARY PIVOT'!$A$2306:$A$2433, 0))</f>
        <v>0</v>
      </c>
      <c r="L64" s="143">
        <f>INDEX('STOPE SUMMARY PIVOT'!$H$2306:$H$2433, MATCH(K$1,'STOPE SUMMARY PIVOT'!$A$2306:$A$2433, 0))</f>
        <v>0</v>
      </c>
      <c r="M64" s="154">
        <f>INDEX('STOPE SUMMARY PIVOT'!$G$2306:$G$2433, MATCH(M$1,'STOPE SUMMARY PIVOT'!$A$2306:$A$2433, 0))</f>
        <v>0</v>
      </c>
      <c r="N64" s="143">
        <f>INDEX('STOPE SUMMARY PIVOT'!$H$2306:$H$2433, MATCH(M$1,'STOPE SUMMARY PIVOT'!$A$2306:$A$2433, 0))</f>
        <v>0</v>
      </c>
      <c r="O64" s="154">
        <f>INDEX('STOPE SUMMARY PIVOT'!$G$2306:$G$2433, MATCH(O$1,'STOPE SUMMARY PIVOT'!$A$2306:$A$2433, 0))</f>
        <v>0</v>
      </c>
      <c r="P64" s="143">
        <f>INDEX('STOPE SUMMARY PIVOT'!$H$2306:$H$2433, MATCH(O$1,'STOPE SUMMARY PIVOT'!$A$2306:$A$2433, 0))</f>
        <v>0</v>
      </c>
      <c r="Q64" s="154">
        <f>INDEX('STOPE SUMMARY PIVOT'!$G$2306:$G$2433, MATCH(Q$1,'STOPE SUMMARY PIVOT'!$A$2306:$A$2433, 0))</f>
        <v>0</v>
      </c>
      <c r="R64" s="143">
        <f>INDEX('STOPE SUMMARY PIVOT'!$H$2306:$H$2433, MATCH(Q$1,'STOPE SUMMARY PIVOT'!$A$2306:$A$2433, 0))</f>
        <v>0</v>
      </c>
      <c r="S64" s="154">
        <f>INDEX('STOPE SUMMARY PIVOT'!$G$2306:$G$2433, MATCH(S$1,'STOPE SUMMARY PIVOT'!$A$2306:$A$2433, 0))</f>
        <v>0</v>
      </c>
      <c r="T64" s="143">
        <f>INDEX('STOPE SUMMARY PIVOT'!$H$2306:$H$2433, MATCH(S$1,'STOPE SUMMARY PIVOT'!$A$2306:$A$2433, 0))</f>
        <v>0</v>
      </c>
      <c r="U64" s="154">
        <f>INDEX('STOPE SUMMARY PIVOT'!$G$2306:$G$2433, MATCH(U$1,'STOPE SUMMARY PIVOT'!$A$2306:$A$2433, 0))</f>
        <v>0</v>
      </c>
      <c r="V64" s="175">
        <f>INDEX('STOPE SUMMARY PIVOT'!$H$2306:$H$2433, MATCH(U$1,'STOPE SUMMARY PIVOT'!$A$2306:$A$2433, 0))</f>
        <v>0</v>
      </c>
      <c r="W64" s="154">
        <f>INDEX('STOPE SUMMARY PIVOT'!$G$2306:$G$2433, MATCH(W$1,'STOPE SUMMARY PIVOT'!$A$2306:$A$2433, 0))</f>
        <v>0</v>
      </c>
      <c r="X64" s="175">
        <f>INDEX('STOPE SUMMARY PIVOT'!$H$2306:$H$2433, MATCH(W$1,'STOPE SUMMARY PIVOT'!$A$2306:$A$2433, 0))</f>
        <v>0</v>
      </c>
      <c r="Y64" s="154">
        <f>INDEX('STOPE SUMMARY PIVOT'!$G$2306:$G$2433, MATCH(Y$1,'STOPE SUMMARY PIVOT'!$A$2306:$A$2433, 0))</f>
        <v>0</v>
      </c>
      <c r="Z64" s="175">
        <f>INDEX('STOPE SUMMARY PIVOT'!$H$2306:$H$2433, MATCH(Y$1,'STOPE SUMMARY PIVOT'!$A$2306:$A$2433, 0))</f>
        <v>0</v>
      </c>
      <c r="AA64" s="154">
        <f>INDEX('STOPE SUMMARY PIVOT'!$G$2306:$G$2433, MATCH(AA$1,'STOPE SUMMARY PIVOT'!$A$2306:$A$2433, 0))</f>
        <v>0</v>
      </c>
      <c r="AB64" s="175">
        <f>INDEX('STOPE SUMMARY PIVOT'!$H$2306:$H$2433, MATCH(AA$1,'STOPE SUMMARY PIVOT'!$A$2306:$A$2433, 0))</f>
        <v>0</v>
      </c>
      <c r="AC64" s="154">
        <f>INDEX('STOPE SUMMARY PIVOT'!$G$2306:$G$2433, MATCH(AC$1,'STOPE SUMMARY PIVOT'!$A$2306:$A$2433, 0))</f>
        <v>0</v>
      </c>
      <c r="AD64" s="175">
        <f>INDEX('STOPE SUMMARY PIVOT'!$H$2306:$H$2433, MATCH(AC$1,'STOPE SUMMARY PIVOT'!$A$2306:$A$2433, 0))</f>
        <v>0</v>
      </c>
      <c r="AE64" s="154">
        <f>INDEX('STOPE SUMMARY PIVOT'!$G$2306:$G$2433, MATCH(AE$1,'STOPE SUMMARY PIVOT'!$A$2306:$A$2433, 0))</f>
        <v>0</v>
      </c>
      <c r="AF64" s="175">
        <f>INDEX('STOPE SUMMARY PIVOT'!$H$2306:$H$2433, MATCH(AE$1,'STOPE SUMMARY PIVOT'!$A$2306:$A$2433, 0))</f>
        <v>0</v>
      </c>
      <c r="AG64" s="154">
        <f>INDEX('STOPE SUMMARY PIVOT'!$G$2306:$G$2433, MATCH(AG$1,'STOPE SUMMARY PIVOT'!$A$2306:$A$2433, 0))</f>
        <v>0</v>
      </c>
      <c r="AH64" s="175">
        <f>INDEX('STOPE SUMMARY PIVOT'!$H$2306:$H$2433, MATCH(AG$1,'STOPE SUMMARY PIVOT'!$A$2306:$A$2433, 0))</f>
        <v>0</v>
      </c>
      <c r="AI64" s="154">
        <f>INDEX('STOPE SUMMARY PIVOT'!$G$2306:$G$2433, MATCH(AI$1,'STOPE SUMMARY PIVOT'!$A$2306:$A$2433, 0))</f>
        <v>0</v>
      </c>
      <c r="AJ64" s="175">
        <f>INDEX('STOPE SUMMARY PIVOT'!$H$2306:$H$2433, MATCH(AI$1,'STOPE SUMMARY PIVOT'!$A$2306:$A$2433, 0))</f>
        <v>0</v>
      </c>
      <c r="AK64" s="154">
        <f>INDEX('STOPE SUMMARY PIVOT'!$G$2306:$G$2433, MATCH(AK$1,'STOPE SUMMARY PIVOT'!$A$2306:$A$2433, 0))</f>
        <v>0</v>
      </c>
      <c r="AL64" s="175">
        <f>INDEX('STOPE SUMMARY PIVOT'!$H$2306:$H$2433, MATCH(AK$1,'STOPE SUMMARY PIVOT'!$A$2306:$A$2433, 0))</f>
        <v>0</v>
      </c>
      <c r="AM64" s="154">
        <f>INDEX('STOPE SUMMARY PIVOT'!$G$2306:$G$2433, MATCH(AM$1,'STOPE SUMMARY PIVOT'!$A$2306:$A$2433, 0))</f>
        <v>0</v>
      </c>
      <c r="AN64" s="175">
        <f>INDEX('STOPE SUMMARY PIVOT'!$H$2306:$H$2433, MATCH(AM$1,'STOPE SUMMARY PIVOT'!$A$2306:$A$2433, 0))</f>
        <v>0</v>
      </c>
      <c r="AO64" s="154">
        <f>INDEX('STOPE SUMMARY PIVOT'!$G$2306:$G$2433, MATCH(AO$1,'STOPE SUMMARY PIVOT'!$A$2306:$A$2433, 0))</f>
        <v>0</v>
      </c>
      <c r="AP64" s="175">
        <f>INDEX('STOPE SUMMARY PIVOT'!$H$2306:$H$2433, MATCH(AO$1,'STOPE SUMMARY PIVOT'!$A$2306:$A$2433, 0))</f>
        <v>0</v>
      </c>
      <c r="AQ64" s="154">
        <f>INDEX('STOPE SUMMARY PIVOT'!$G$2306:$G$2433, MATCH(AQ$1,'STOPE SUMMARY PIVOT'!$A$2306:$A$2433, 0))</f>
        <v>0</v>
      </c>
      <c r="AR64" s="175">
        <f>INDEX('STOPE SUMMARY PIVOT'!$H$2306:$H$2433, MATCH(AQ$1,'STOPE SUMMARY PIVOT'!$A$2306:$A$2433, 0))</f>
        <v>0</v>
      </c>
      <c r="AS64" s="154">
        <f>INDEX('STOPE SUMMARY PIVOT'!$G$2306:$G$2433, MATCH(AS$1,'STOPE SUMMARY PIVOT'!$A$2306:$A$2433, 0))</f>
        <v>0</v>
      </c>
      <c r="AT64" s="175">
        <f>INDEX('STOPE SUMMARY PIVOT'!$H$2306:$H$2433, MATCH(AS$1,'STOPE SUMMARY PIVOT'!$A$2306:$A$2433, 0))</f>
        <v>0</v>
      </c>
      <c r="AU64" s="154">
        <f>INDEX('STOPE SUMMARY PIVOT'!$G$2306:$G$2433, MATCH(AU$1,'STOPE SUMMARY PIVOT'!$A$2306:$A$2433, 0))</f>
        <v>0</v>
      </c>
      <c r="AV64" s="175">
        <f>INDEX('STOPE SUMMARY PIVOT'!$H$2306:$H$2433, MATCH(AU$1,'STOPE SUMMARY PIVOT'!$A$2306:$A$2433, 0))</f>
        <v>0</v>
      </c>
      <c r="AW64" s="154">
        <f>INDEX('STOPE SUMMARY PIVOT'!$G$2306:$G$2433, MATCH(AW$1,'STOPE SUMMARY PIVOT'!$A$2306:$A$2433, 0))</f>
        <v>0</v>
      </c>
      <c r="AX64" s="175">
        <f>INDEX('STOPE SUMMARY PIVOT'!$H$2306:$H$2433, MATCH(AW$1,'STOPE SUMMARY PIVOT'!$A$2306:$A$2433, 0))</f>
        <v>0</v>
      </c>
      <c r="AY64" s="154">
        <f>INDEX('STOPE SUMMARY PIVOT'!$G$2306:$G$2433, MATCH(AY$1,'STOPE SUMMARY PIVOT'!$A$2306:$A$2433, 0))</f>
        <v>0</v>
      </c>
      <c r="AZ64" s="175">
        <f>INDEX('STOPE SUMMARY PIVOT'!$H$2306:$H$2433, MATCH(AY$1,'STOPE SUMMARY PIVOT'!$A$2306:$A$2433, 0))</f>
        <v>0</v>
      </c>
      <c r="BA64" s="154">
        <f>INDEX('STOPE SUMMARY PIVOT'!$G$2306:$G$2433, MATCH(BA$1,'STOPE SUMMARY PIVOT'!$A$2306:$A$2433, 0))</f>
        <v>0</v>
      </c>
      <c r="BB64" s="175">
        <f>INDEX('STOPE SUMMARY PIVOT'!$H$2306:$H$2433, MATCH(BA$1,'STOPE SUMMARY PIVOT'!$A$2306:$A$2433, 0))</f>
        <v>0</v>
      </c>
      <c r="BC64" s="154">
        <f>INDEX('STOPE SUMMARY PIVOT'!$G$2306:$G$2433, MATCH(BC$1,'STOPE SUMMARY PIVOT'!$A$2306:$A$2433, 0))</f>
        <v>0</v>
      </c>
      <c r="BD64" s="175">
        <f>INDEX('STOPE SUMMARY PIVOT'!$H$2306:$H$2433, MATCH(BC$1,'STOPE SUMMARY PIVOT'!$A$2306:$A$2433, 0))</f>
        <v>0</v>
      </c>
      <c r="BE64" s="154">
        <f>INDEX('STOPE SUMMARY PIVOT'!$G$2306:$G$2433, MATCH(BE$1,'STOPE SUMMARY PIVOT'!$A$2306:$A$2433, 0))</f>
        <v>0</v>
      </c>
      <c r="BF64" s="175">
        <f>INDEX('STOPE SUMMARY PIVOT'!$H$2306:$H$2433, MATCH(BE$1,'STOPE SUMMARY PIVOT'!$A$2306:$A$2433, 0))</f>
        <v>0</v>
      </c>
      <c r="BG64" s="154">
        <f>INDEX('STOPE SUMMARY PIVOT'!$G$2306:$G$2433, MATCH(BG$1,'STOPE SUMMARY PIVOT'!$A$2306:$A$2433, 0))</f>
        <v>0</v>
      </c>
      <c r="BH64" s="175">
        <f>INDEX('STOPE SUMMARY PIVOT'!$H$2306:$H$2433, MATCH(BG$1,'STOPE SUMMARY PIVOT'!$A$2306:$A$2433, 0))</f>
        <v>0</v>
      </c>
      <c r="BI64" s="154">
        <f>INDEX('STOPE SUMMARY PIVOT'!$G$2306:$G$2433, MATCH(BI$1,'STOPE SUMMARY PIVOT'!$A$2306:$A$2433, 0))</f>
        <v>0</v>
      </c>
      <c r="BJ64" s="175">
        <f>INDEX('STOPE SUMMARY PIVOT'!$H$2306:$H$2433, MATCH(BI$1,'STOPE SUMMARY PIVOT'!$A$2306:$A$2433, 0))</f>
        <v>0</v>
      </c>
      <c r="BK64" s="154">
        <f>INDEX('STOPE SUMMARY PIVOT'!$G$2306:$G$2433, MATCH(BK$1,'STOPE SUMMARY PIVOT'!$A$2306:$A$2433, 0))</f>
        <v>0</v>
      </c>
      <c r="BL64" s="175">
        <f>INDEX('STOPE SUMMARY PIVOT'!$H$2306:$H$2433, MATCH(BK$1,'STOPE SUMMARY PIVOT'!$A$2306:$A$2433, 0))</f>
        <v>0</v>
      </c>
      <c r="BM64" s="154">
        <f>INDEX('STOPE SUMMARY PIVOT'!$G$2306:$G$2433, MATCH(BM$1,'STOPE SUMMARY PIVOT'!$A$2306:$A$2433, 0))</f>
        <v>0</v>
      </c>
      <c r="BN64" s="175">
        <f>INDEX('STOPE SUMMARY PIVOT'!$H$2306:$H$2433, MATCH(BM$1,'STOPE SUMMARY PIVOT'!$A$2306:$A$2433, 0))</f>
        <v>0</v>
      </c>
      <c r="BO64" s="154">
        <f>INDEX('STOPE SUMMARY PIVOT'!$G$2306:$G$2433, MATCH(BO$1,'STOPE SUMMARY PIVOT'!$A$2306:$A$2433, 0))</f>
        <v>0</v>
      </c>
      <c r="BP64" s="175">
        <f>INDEX('STOPE SUMMARY PIVOT'!$H$2306:$H$2433, MATCH(BO$1,'STOPE SUMMARY PIVOT'!$A$2306:$A$2433, 0))</f>
        <v>0</v>
      </c>
      <c r="BQ64" s="154">
        <f>INDEX('STOPE SUMMARY PIVOT'!$G$2306:$G$2433, MATCH(BQ$1,'STOPE SUMMARY PIVOT'!$A$2306:$A$2433, 0))</f>
        <v>0</v>
      </c>
      <c r="BR64" s="175">
        <f>INDEX('STOPE SUMMARY PIVOT'!$H$2306:$H$2433, MATCH(BQ$1,'STOPE SUMMARY PIVOT'!$A$2306:$A$2433, 0))</f>
        <v>0</v>
      </c>
      <c r="BS64" s="154">
        <f>INDEX('STOPE SUMMARY PIVOT'!$G$2306:$G$2433, MATCH(BS$1,'STOPE SUMMARY PIVOT'!$A$2306:$A$2433, 0))</f>
        <v>0</v>
      </c>
      <c r="BT64" s="175">
        <f>INDEX('STOPE SUMMARY PIVOT'!$H$2306:$H$2433, MATCH(BS$1,'STOPE SUMMARY PIVOT'!$A$2306:$A$2433, 0))</f>
        <v>0</v>
      </c>
      <c r="BU64" s="154">
        <f>INDEX('STOPE SUMMARY PIVOT'!$G$2306:$G$2433, MATCH(BU$1,'STOPE SUMMARY PIVOT'!$A$2306:$A$2433, 0))</f>
        <v>0</v>
      </c>
      <c r="BV64" s="175">
        <f>INDEX('STOPE SUMMARY PIVOT'!$H$2306:$H$2433, MATCH(BU$1,'STOPE SUMMARY PIVOT'!$A$2306:$A$2433, 0))</f>
        <v>0</v>
      </c>
      <c r="BW64" s="154">
        <f>INDEX('STOPE SUMMARY PIVOT'!$G$2306:$G$2433, MATCH(BW$1,'STOPE SUMMARY PIVOT'!$A$2306:$A$2433, 0))</f>
        <v>0</v>
      </c>
      <c r="BX64" s="175">
        <f>INDEX('STOPE SUMMARY PIVOT'!$H$2306:$H$2433, MATCH(BW$1,'STOPE SUMMARY PIVOT'!$A$2306:$A$2433, 0))</f>
        <v>0</v>
      </c>
      <c r="BY64" s="154">
        <f>INDEX('STOPE SUMMARY PIVOT'!$G$2306:$G$2433, MATCH(BY$1,'STOPE SUMMARY PIVOT'!$A$2306:$A$2433, 0))</f>
        <v>0</v>
      </c>
      <c r="BZ64" s="175">
        <f>INDEX('STOPE SUMMARY PIVOT'!$H$2306:$H$2433, MATCH(BY$1,'STOPE SUMMARY PIVOT'!$A$2306:$A$2433, 0))</f>
        <v>0</v>
      </c>
      <c r="CA64" s="154">
        <f>INDEX('STOPE SUMMARY PIVOT'!$G$2306:$G$2433, MATCH(CA$1,'STOPE SUMMARY PIVOT'!$A$2306:$A$2433, 0))</f>
        <v>0</v>
      </c>
      <c r="CB64" s="175">
        <f>INDEX('STOPE SUMMARY PIVOT'!$H$2306:$H$2433, MATCH(CA$1,'STOPE SUMMARY PIVOT'!$A$2306:$A$2433, 0))</f>
        <v>0</v>
      </c>
      <c r="CC64" s="154">
        <f>INDEX('STOPE SUMMARY PIVOT'!$G$2306:$G$2433, MATCH(CC$1,'STOPE SUMMARY PIVOT'!$A$2306:$A$2433, 0))</f>
        <v>0</v>
      </c>
      <c r="CD64" s="175">
        <f>INDEX('STOPE SUMMARY PIVOT'!$H$2306:$H$2433, MATCH(CC$1,'STOPE SUMMARY PIVOT'!$A$2306:$A$2433, 0))</f>
        <v>0</v>
      </c>
      <c r="CE64" s="154">
        <f>INDEX('STOPE SUMMARY PIVOT'!$G$2306:$G$2433, MATCH(CE$1,'STOPE SUMMARY PIVOT'!$A$2306:$A$2433, 0))</f>
        <v>0</v>
      </c>
      <c r="CF64" s="175">
        <f>INDEX('STOPE SUMMARY PIVOT'!$H$2306:$H$2433, MATCH(CE$1,'STOPE SUMMARY PIVOT'!$A$2306:$A$2433, 0))</f>
        <v>0</v>
      </c>
      <c r="CG64" s="154">
        <f>INDEX('STOPE SUMMARY PIVOT'!$G$2306:$G$2433, MATCH(CG$1,'STOPE SUMMARY PIVOT'!$A$2306:$A$2433, 0))</f>
        <v>0</v>
      </c>
      <c r="CH64" s="175">
        <f>INDEX('STOPE SUMMARY PIVOT'!$H$2306:$H$2433, MATCH(CG$1,'STOPE SUMMARY PIVOT'!$A$2306:$A$2433, 0))</f>
        <v>0</v>
      </c>
      <c r="CI64" s="154">
        <f>INDEX('STOPE SUMMARY PIVOT'!$G$2306:$G$2433, MATCH(CI$1,'STOPE SUMMARY PIVOT'!$A$2306:$A$2433, 0))</f>
        <v>0</v>
      </c>
      <c r="CJ64" s="175">
        <f>INDEX('STOPE SUMMARY PIVOT'!$H$2306:$H$2433, MATCH(CI$1,'STOPE SUMMARY PIVOT'!$A$2306:$A$2433, 0))</f>
        <v>0</v>
      </c>
      <c r="CK64" s="154">
        <f>INDEX('STOPE SUMMARY PIVOT'!$G$2306:$G$2433, MATCH(CK$1,'STOPE SUMMARY PIVOT'!$A$2306:$A$2433, 0))</f>
        <v>0</v>
      </c>
      <c r="CL64" s="175">
        <f>INDEX('STOPE SUMMARY PIVOT'!$H$2306:$H$2433, MATCH(CK$1,'STOPE SUMMARY PIVOT'!$A$2306:$A$2433, 0))</f>
        <v>0</v>
      </c>
      <c r="CM64" s="154">
        <f>INDEX('STOPE SUMMARY PIVOT'!$G$2306:$G$2433, MATCH(CM$1,'STOPE SUMMARY PIVOT'!$A$2306:$A$2433, 0))</f>
        <v>0</v>
      </c>
      <c r="CN64" s="175">
        <f>INDEX('STOPE SUMMARY PIVOT'!$H$2306:$H$2433, MATCH(CM$1,'STOPE SUMMARY PIVOT'!$A$2306:$A$2433, 0))</f>
        <v>0</v>
      </c>
      <c r="CO64" s="154">
        <f>INDEX('STOPE SUMMARY PIVOT'!$G$2306:$G$2433, MATCH(CO$1,'STOPE SUMMARY PIVOT'!$A$2306:$A$2433, 0))</f>
        <v>0</v>
      </c>
      <c r="CP64" s="175">
        <f>INDEX('STOPE SUMMARY PIVOT'!$H$2306:$H$2433, MATCH(CO$1,'STOPE SUMMARY PIVOT'!$A$2306:$A$2433, 0))</f>
        <v>0</v>
      </c>
      <c r="CQ64" s="154">
        <f>INDEX('STOPE SUMMARY PIVOT'!$G$2306:$G$2433, MATCH(CQ$1,'STOPE SUMMARY PIVOT'!$A$2306:$A$2433, 0))</f>
        <v>0</v>
      </c>
      <c r="CR64" s="175">
        <f>INDEX('STOPE SUMMARY PIVOT'!$H$2306:$H$2433, MATCH(CQ$1,'STOPE SUMMARY PIVOT'!$A$2306:$A$2433, 0))</f>
        <v>0</v>
      </c>
      <c r="CS64" s="154">
        <f>INDEX('STOPE SUMMARY PIVOT'!$G$2306:$G$2433, MATCH(CS$1,'STOPE SUMMARY PIVOT'!$A$2306:$A$2433, 0))</f>
        <v>0</v>
      </c>
      <c r="CT64" s="175">
        <f>INDEX('STOPE SUMMARY PIVOT'!$H$2306:$H$2433, MATCH(CS$1,'STOPE SUMMARY PIVOT'!$A$2306:$A$2433, 0))</f>
        <v>0</v>
      </c>
      <c r="CU64" s="154">
        <f>INDEX('STOPE SUMMARY PIVOT'!$G$2306:$G$2433, MATCH(CU$1,'STOPE SUMMARY PIVOT'!$A$2306:$A$2433, 0))</f>
        <v>0</v>
      </c>
      <c r="CV64" s="175">
        <f>INDEX('STOPE SUMMARY PIVOT'!$H$2306:$H$2433, MATCH(CU$1,'STOPE SUMMARY PIVOT'!$A$2306:$A$2433, 0))</f>
        <v>0</v>
      </c>
      <c r="CW64" s="154">
        <f>INDEX('STOPE SUMMARY PIVOT'!$G$2306:$G$2433, MATCH(CW$1,'STOPE SUMMARY PIVOT'!$A$2306:$A$2433, 0))</f>
        <v>0</v>
      </c>
      <c r="CX64" s="175">
        <f>INDEX('STOPE SUMMARY PIVOT'!$H$2306:$H$2433, MATCH(CW$1,'STOPE SUMMARY PIVOT'!$A$2306:$A$2433, 0))</f>
        <v>0</v>
      </c>
      <c r="CY64" s="154">
        <f>INDEX('STOPE SUMMARY PIVOT'!$G$2306:$G$2433, MATCH(CY$1,'STOPE SUMMARY PIVOT'!$A$2306:$A$2433, 0))</f>
        <v>0</v>
      </c>
      <c r="CZ64" s="175">
        <f>INDEX('STOPE SUMMARY PIVOT'!$H$2306:$H$2433, MATCH(CY$1,'STOPE SUMMARY PIVOT'!$A$2306:$A$2433, 0))</f>
        <v>0</v>
      </c>
      <c r="DA64" s="154">
        <f>INDEX('STOPE SUMMARY PIVOT'!$G$2306:$G$2433, MATCH(DA$1,'STOPE SUMMARY PIVOT'!$A$2306:$A$2433, 0))</f>
        <v>0</v>
      </c>
      <c r="DB64" s="175">
        <f>INDEX('STOPE SUMMARY PIVOT'!$H$2306:$H$2433, MATCH(DA$1,'STOPE SUMMARY PIVOT'!$A$2306:$A$2433, 0))</f>
        <v>0</v>
      </c>
      <c r="DC64" s="154">
        <f>INDEX('STOPE SUMMARY PIVOT'!$G$2306:$G$2433, MATCH(DC$1,'STOPE SUMMARY PIVOT'!$A$2306:$A$2433, 0))</f>
        <v>0</v>
      </c>
      <c r="DD64" s="175">
        <f>INDEX('STOPE SUMMARY PIVOT'!$H$2306:$H$2433, MATCH(DC$1,'STOPE SUMMARY PIVOT'!$A$2306:$A$2433, 0))</f>
        <v>0</v>
      </c>
      <c r="DE64" s="154">
        <f>INDEX('STOPE SUMMARY PIVOT'!$G$2306:$G$2433, MATCH(DE$1,'STOPE SUMMARY PIVOT'!$A$2306:$A$2433, 0))</f>
        <v>0</v>
      </c>
      <c r="DF64" s="175">
        <f>INDEX('STOPE SUMMARY PIVOT'!$H$2306:$H$2433, MATCH(DE$1,'STOPE SUMMARY PIVOT'!$A$2306:$A$2433, 0))</f>
        <v>0</v>
      </c>
      <c r="DG64" s="154">
        <f>INDEX('STOPE SUMMARY PIVOT'!$G$2306:$G$2433, MATCH(DG$1,'STOPE SUMMARY PIVOT'!$A$2306:$A$2433, 0))</f>
        <v>0</v>
      </c>
      <c r="DH64" s="175">
        <f>INDEX('STOPE SUMMARY PIVOT'!$H$2306:$H$2433, MATCH(DG$1,'STOPE SUMMARY PIVOT'!$A$2306:$A$2433, 0))</f>
        <v>0</v>
      </c>
      <c r="DI64" s="154">
        <f>INDEX('STOPE SUMMARY PIVOT'!$G$2306:$G$2433, MATCH(DI$1,'STOPE SUMMARY PIVOT'!$A$2306:$A$2433, 0))</f>
        <v>0</v>
      </c>
      <c r="DJ64" s="175">
        <f>INDEX('STOPE SUMMARY PIVOT'!$H$2306:$H$2433, MATCH(DI$1,'STOPE SUMMARY PIVOT'!$A$2306:$A$2433, 0))</f>
        <v>0</v>
      </c>
      <c r="DK64" s="154">
        <f>INDEX('STOPE SUMMARY PIVOT'!$G$2306:$G$2433, MATCH(DK$1,'STOPE SUMMARY PIVOT'!$A$2306:$A$2433, 0))</f>
        <v>0</v>
      </c>
      <c r="DL64" s="175">
        <f>INDEX('STOPE SUMMARY PIVOT'!$H$2306:$H$2433, MATCH(DK$1,'STOPE SUMMARY PIVOT'!$A$2306:$A$2433, 0))</f>
        <v>0</v>
      </c>
      <c r="DM64" s="154">
        <f>INDEX('STOPE SUMMARY PIVOT'!$G$2306:$G$2433, MATCH(DM$1,'STOPE SUMMARY PIVOT'!$A$2306:$A$2433, 0))</f>
        <v>0</v>
      </c>
      <c r="DN64" s="175">
        <f>INDEX('STOPE SUMMARY PIVOT'!$H$2306:$H$2433, MATCH(DM$1,'STOPE SUMMARY PIVOT'!$A$2306:$A$2433, 0))</f>
        <v>0</v>
      </c>
      <c r="DO64" s="154">
        <f>INDEX('STOPE SUMMARY PIVOT'!$G$2306:$G$2433, MATCH(DO$1,'STOPE SUMMARY PIVOT'!$A$2306:$A$2433, 0))</f>
        <v>0</v>
      </c>
      <c r="DP64" s="175">
        <f>INDEX('STOPE SUMMARY PIVOT'!$H$2306:$H$2433, MATCH(DO$1,'STOPE SUMMARY PIVOT'!$A$2306:$A$2433, 0))</f>
        <v>0</v>
      </c>
      <c r="DQ64" s="154">
        <f>INDEX('STOPE SUMMARY PIVOT'!$G$2306:$G$2433, MATCH(DQ$1,'STOPE SUMMARY PIVOT'!$A$2306:$A$2433, 0))</f>
        <v>0</v>
      </c>
      <c r="DR64" s="175">
        <f>INDEX('STOPE SUMMARY PIVOT'!$H$2306:$H$2433, MATCH(DQ$1,'STOPE SUMMARY PIVOT'!$A$2306:$A$2433, 0))</f>
        <v>0</v>
      </c>
      <c r="DS64" s="154">
        <f>INDEX('STOPE SUMMARY PIVOT'!$G$2306:$G$2433, MATCH(DS$1,'STOPE SUMMARY PIVOT'!$A$2306:$A$2433, 0))</f>
        <v>0</v>
      </c>
      <c r="DT64" s="175">
        <f>INDEX('STOPE SUMMARY PIVOT'!$H$2306:$H$2433, MATCH(DS$1,'STOPE SUMMARY PIVOT'!$A$2306:$A$2433, 0))</f>
        <v>0</v>
      </c>
      <c r="DU64" s="154">
        <f>INDEX('STOPE SUMMARY PIVOT'!$G$2306:$G$2433, MATCH(DU$1,'STOPE SUMMARY PIVOT'!$A$2306:$A$2433, 0))</f>
        <v>0</v>
      </c>
      <c r="DV64" s="175">
        <f>INDEX('STOPE SUMMARY PIVOT'!$H$2306:$H$2433, MATCH(DU$1,'STOPE SUMMARY PIVOT'!$A$2306:$A$2433, 0))</f>
        <v>0</v>
      </c>
      <c r="DW64" s="154">
        <f>INDEX('STOPE SUMMARY PIVOT'!$G$2306:$G$2433, MATCH(DW$1,'STOPE SUMMARY PIVOT'!$A$2306:$A$2433, 0))</f>
        <v>0</v>
      </c>
      <c r="DX64" s="175">
        <f>INDEX('STOPE SUMMARY PIVOT'!$H$2306:$H$2433, MATCH(DW$1,'STOPE SUMMARY PIVOT'!$A$2306:$A$2433, 0))</f>
        <v>0</v>
      </c>
      <c r="DY64" s="154">
        <f>INDEX('STOPE SUMMARY PIVOT'!$G$2306:$G$2433, MATCH(DY$1,'STOPE SUMMARY PIVOT'!$A$2306:$A$2433, 0))</f>
        <v>0</v>
      </c>
      <c r="DZ64" s="175">
        <f>INDEX('STOPE SUMMARY PIVOT'!$H$2306:$H$2433, MATCH(DY$1,'STOPE SUMMARY PIVOT'!$A$2306:$A$2433, 0))</f>
        <v>0</v>
      </c>
      <c r="EA64" s="154">
        <f>INDEX('STOPE SUMMARY PIVOT'!$G$2306:$G$2433, MATCH(EA$1,'STOPE SUMMARY PIVOT'!$A$2306:$A$2433, 0))</f>
        <v>0</v>
      </c>
      <c r="EB64" s="175">
        <f>INDEX('STOPE SUMMARY PIVOT'!$H$2306:$H$2433, MATCH(EA$1,'STOPE SUMMARY PIVOT'!$A$2306:$A$2433, 0))</f>
        <v>0</v>
      </c>
      <c r="EC64" s="154">
        <f>INDEX('STOPE SUMMARY PIVOT'!$G$2306:$G$2433, MATCH(EC$1,'STOPE SUMMARY PIVOT'!$A$2306:$A$2433, 0))</f>
        <v>0</v>
      </c>
      <c r="ED64" s="175">
        <f>INDEX('STOPE SUMMARY PIVOT'!$H$2306:$H$2433, MATCH(EC$1,'STOPE SUMMARY PIVOT'!$A$2306:$A$2433, 0))</f>
        <v>0</v>
      </c>
      <c r="EE64" s="154">
        <f>INDEX('STOPE SUMMARY PIVOT'!$G$2306:$G$2433, MATCH(EE$1,'STOPE SUMMARY PIVOT'!$A$2306:$A$2433, 0))</f>
        <v>0</v>
      </c>
      <c r="EF64" s="175">
        <f>INDEX('STOPE SUMMARY PIVOT'!$H$2306:$H$2433, MATCH(EE$1,'STOPE SUMMARY PIVOT'!$A$2306:$A$2433, 0))</f>
        <v>0</v>
      </c>
      <c r="EG64" s="154">
        <f>INDEX('STOPE SUMMARY PIVOT'!$G$2306:$G$2433, MATCH(EG$1,'STOPE SUMMARY PIVOT'!$A$2306:$A$2433, 0))</f>
        <v>0</v>
      </c>
      <c r="EH64" s="175">
        <f>INDEX('STOPE SUMMARY PIVOT'!$H$2306:$H$2433, MATCH(EG$1,'STOPE SUMMARY PIVOT'!$A$2306:$A$2433, 0))</f>
        <v>0</v>
      </c>
      <c r="EI64" s="154">
        <f>INDEX('STOPE SUMMARY PIVOT'!$G$2306:$G$2433, MATCH(EI$1,'STOPE SUMMARY PIVOT'!$A$2306:$A$2433, 0))</f>
        <v>0</v>
      </c>
      <c r="EJ64" s="175">
        <f>INDEX('STOPE SUMMARY PIVOT'!$H$2306:$H$2433, MATCH(EI$1,'STOPE SUMMARY PIVOT'!$A$2306:$A$2433, 0))</f>
        <v>0</v>
      </c>
      <c r="EK64" s="154">
        <f>INDEX('STOPE SUMMARY PIVOT'!$G$2306:$G$2433, MATCH(EK$1,'STOPE SUMMARY PIVOT'!$A$2306:$A$2433, 0))</f>
        <v>0</v>
      </c>
      <c r="EL64" s="175">
        <f>INDEX('STOPE SUMMARY PIVOT'!$H$2306:$H$2433, MATCH(EK$1,'STOPE SUMMARY PIVOT'!$A$2306:$A$2433, 0))</f>
        <v>0</v>
      </c>
      <c r="EM64" s="154">
        <f>INDEX('STOPE SUMMARY PIVOT'!$G$2306:$G$2433, MATCH(EM$1,'STOPE SUMMARY PIVOT'!$A$2306:$A$2433, 0))</f>
        <v>0</v>
      </c>
      <c r="EN64" s="175">
        <f>INDEX('STOPE SUMMARY PIVOT'!$H$2306:$H$2433, MATCH(EM$1,'STOPE SUMMARY PIVOT'!$A$2306:$A$2433, 0))</f>
        <v>0</v>
      </c>
      <c r="EO64" s="154">
        <f>INDEX('STOPE SUMMARY PIVOT'!$G$2306:$G$2433, MATCH(EO$1,'STOPE SUMMARY PIVOT'!$A$2306:$A$2433, 0))</f>
        <v>0</v>
      </c>
      <c r="EP64" s="175">
        <f>INDEX('STOPE SUMMARY PIVOT'!$H$2306:$H$2433, MATCH(EO$1,'STOPE SUMMARY PIVOT'!$A$2306:$A$2433, 0))</f>
        <v>0</v>
      </c>
      <c r="EQ64" s="154">
        <f>INDEX('STOPE SUMMARY PIVOT'!$G$2306:$G$2433, MATCH(EQ$1,'STOPE SUMMARY PIVOT'!$A$2306:$A$2433, 0))</f>
        <v>0</v>
      </c>
      <c r="ER64" s="175">
        <f>INDEX('STOPE SUMMARY PIVOT'!$H$2306:$H$2433, MATCH(EQ$1,'STOPE SUMMARY PIVOT'!$A$2306:$A$2433, 0))</f>
        <v>0</v>
      </c>
      <c r="ES64" s="154">
        <f>INDEX('STOPE SUMMARY PIVOT'!$G$2306:$G$2433, MATCH(ES$1,'STOPE SUMMARY PIVOT'!$A$2306:$A$2433, 0))</f>
        <v>0</v>
      </c>
      <c r="ET64" s="175">
        <f>INDEX('STOPE SUMMARY PIVOT'!$H$2306:$H$2433, MATCH(ES$1,'STOPE SUMMARY PIVOT'!$A$2306:$A$2433, 0))</f>
        <v>0</v>
      </c>
      <c r="EU64" s="154">
        <f>INDEX('STOPE SUMMARY PIVOT'!$G$2306:$G$2433, MATCH(EU$1,'STOPE SUMMARY PIVOT'!$A$2306:$A$2433, 0))</f>
        <v>0</v>
      </c>
      <c r="EV64" s="175">
        <f>INDEX('STOPE SUMMARY PIVOT'!$H$2306:$H$2433, MATCH(EU$1,'STOPE SUMMARY PIVOT'!$A$2306:$A$2433, 0))</f>
        <v>0</v>
      </c>
      <c r="EW64" s="154">
        <f>INDEX('STOPE SUMMARY PIVOT'!$G$2306:$G$2433, MATCH(EW$1,'STOPE SUMMARY PIVOT'!$A$2306:$A$2433, 0))</f>
        <v>0</v>
      </c>
      <c r="EX64" s="175">
        <f>INDEX('STOPE SUMMARY PIVOT'!$H$2306:$H$2433, MATCH(EW$1,'STOPE SUMMARY PIVOT'!$A$2306:$A$2433, 0))</f>
        <v>0</v>
      </c>
      <c r="EY64" s="154">
        <f>INDEX('STOPE SUMMARY PIVOT'!$G$2306:$G$2433, MATCH(EY$1,'STOPE SUMMARY PIVOT'!$A$2306:$A$2433, 0))</f>
        <v>0</v>
      </c>
      <c r="EZ64" s="175">
        <f>INDEX('STOPE SUMMARY PIVOT'!$H$2306:$H$2433, MATCH(EY$1,'STOPE SUMMARY PIVOT'!$A$2306:$A$2433, 0))</f>
        <v>0</v>
      </c>
      <c r="FA64" s="154">
        <f>INDEX('STOPE SUMMARY PIVOT'!$G$2306:$G$2433, MATCH(FA$1,'STOPE SUMMARY PIVOT'!$A$2306:$A$2433, 0))</f>
        <v>0</v>
      </c>
      <c r="FB64" s="175">
        <f>INDEX('STOPE SUMMARY PIVOT'!$H$2306:$H$2433, MATCH(FA$1,'STOPE SUMMARY PIVOT'!$A$2306:$A$2433, 0))</f>
        <v>0</v>
      </c>
      <c r="FC64" s="154">
        <f>INDEX('STOPE SUMMARY PIVOT'!$G$2306:$G$2433, MATCH(FC$1,'STOPE SUMMARY PIVOT'!$A$2306:$A$2433, 0))</f>
        <v>0</v>
      </c>
      <c r="FD64" s="175">
        <f>INDEX('STOPE SUMMARY PIVOT'!$H$2306:$H$2433, MATCH(FC$1,'STOPE SUMMARY PIVOT'!$A$2306:$A$2433, 0))</f>
        <v>0</v>
      </c>
      <c r="FE64" s="154">
        <f>INDEX('STOPE SUMMARY PIVOT'!$G$2306:$G$2433, MATCH(FE$1,'STOPE SUMMARY PIVOT'!$A$2306:$A$2433, 0))</f>
        <v>0</v>
      </c>
      <c r="FF64" s="175">
        <f>INDEX('STOPE SUMMARY PIVOT'!$H$2306:$H$2433, MATCH(FE$1,'STOPE SUMMARY PIVOT'!$A$2306:$A$2433, 0))</f>
        <v>0</v>
      </c>
      <c r="FG64" s="154">
        <f>INDEX('STOPE SUMMARY PIVOT'!$G$2306:$G$2433, MATCH(FG$1,'STOPE SUMMARY PIVOT'!$A$2306:$A$2433, 0))</f>
        <v>0</v>
      </c>
      <c r="FH64" s="175">
        <f>INDEX('STOPE SUMMARY PIVOT'!$H$2306:$H$2433, MATCH(FG$1,'STOPE SUMMARY PIVOT'!$A$2306:$A$2433, 0))</f>
        <v>0</v>
      </c>
      <c r="FI64" s="154">
        <f>INDEX('STOPE SUMMARY PIVOT'!$G$2306:$G$2433, MATCH(FI$1,'STOPE SUMMARY PIVOT'!$A$2306:$A$2433, 0))</f>
        <v>0</v>
      </c>
      <c r="FJ64" s="175">
        <f>INDEX('STOPE SUMMARY PIVOT'!$H$2306:$H$2433, MATCH(FI$1,'STOPE SUMMARY PIVOT'!$A$2306:$A$2433, 0))</f>
        <v>0</v>
      </c>
      <c r="FK64" s="154">
        <f>INDEX('STOPE SUMMARY PIVOT'!$G$2306:$G$2433, MATCH(FK$1,'STOPE SUMMARY PIVOT'!$A$2306:$A$2433, 0))</f>
        <v>0</v>
      </c>
      <c r="FL64" s="175">
        <f>INDEX('STOPE SUMMARY PIVOT'!$H$2306:$H$2433, MATCH(FK$1,'STOPE SUMMARY PIVOT'!$A$2306:$A$2433, 0))</f>
        <v>0</v>
      </c>
      <c r="FM64" s="154">
        <f>INDEX('STOPE SUMMARY PIVOT'!$G$2306:$G$2433, MATCH(FM$1,'STOPE SUMMARY PIVOT'!$A$2306:$A$2433, 0))</f>
        <v>0</v>
      </c>
      <c r="FN64" s="175">
        <f>INDEX('STOPE SUMMARY PIVOT'!$H$2306:$H$2433, MATCH(FM$1,'STOPE SUMMARY PIVOT'!$A$2306:$A$2433, 0))</f>
        <v>0</v>
      </c>
      <c r="FO64" s="154">
        <f>INDEX('STOPE SUMMARY PIVOT'!$G$2306:$G$2433, MATCH(FO$1,'STOPE SUMMARY PIVOT'!$A$2306:$A$2433, 0))</f>
        <v>0</v>
      </c>
      <c r="FP64" s="175">
        <f>INDEX('STOPE SUMMARY PIVOT'!$H$2306:$H$2433, MATCH(FO$1,'STOPE SUMMARY PIVOT'!$A$2306:$A$2433, 0))</f>
        <v>0</v>
      </c>
      <c r="FQ64" s="154">
        <f>INDEX('STOPE SUMMARY PIVOT'!$G$2306:$G$2433, MATCH(FQ$1,'STOPE SUMMARY PIVOT'!$A$2306:$A$2433, 0))</f>
        <v>0</v>
      </c>
      <c r="FR64" s="175">
        <f>INDEX('STOPE SUMMARY PIVOT'!$H$2306:$H$2433, MATCH(FQ$1,'STOPE SUMMARY PIVOT'!$A$2306:$A$2433, 0))</f>
        <v>0</v>
      </c>
      <c r="FS64" s="154">
        <f>INDEX('STOPE SUMMARY PIVOT'!$G$2306:$G$2433, MATCH(FS$1,'STOPE SUMMARY PIVOT'!$A$2306:$A$2433, 0))</f>
        <v>0</v>
      </c>
      <c r="FT64" s="175">
        <f>INDEX('STOPE SUMMARY PIVOT'!$H$2306:$H$2433, MATCH(FS$1,'STOPE SUMMARY PIVOT'!$A$2306:$A$2433, 0))</f>
        <v>0</v>
      </c>
      <c r="FU64" s="154">
        <f>INDEX('STOPE SUMMARY PIVOT'!$G$2306:$G$2433, MATCH(FU$1,'STOPE SUMMARY PIVOT'!$A$2306:$A$2433, 0))</f>
        <v>0</v>
      </c>
      <c r="FV64" s="175">
        <f>INDEX('STOPE SUMMARY PIVOT'!$H$2306:$H$2433, MATCH(FU$1,'STOPE SUMMARY PIVOT'!$A$2306:$A$2433, 0))</f>
        <v>0</v>
      </c>
      <c r="FW64" s="154">
        <f>INDEX('STOPE SUMMARY PIVOT'!$G$2306:$G$2433, MATCH(FW$1,'STOPE SUMMARY PIVOT'!$A$2306:$A$2433, 0))</f>
        <v>0</v>
      </c>
      <c r="FX64" s="175">
        <f>INDEX('STOPE SUMMARY PIVOT'!$H$2306:$H$2433, MATCH(FW$1,'STOPE SUMMARY PIVOT'!$A$2306:$A$2433, 0))</f>
        <v>0</v>
      </c>
      <c r="FY64" s="154">
        <f>INDEX('STOPE SUMMARY PIVOT'!$G$2306:$G$2433, MATCH(FY$1,'STOPE SUMMARY PIVOT'!$A$2306:$A$2433, 0))</f>
        <v>0</v>
      </c>
      <c r="FZ64" s="175">
        <f>INDEX('STOPE SUMMARY PIVOT'!$H$2306:$H$2433, MATCH(FY$1,'STOPE SUMMARY PIVOT'!$A$2306:$A$2433, 0))</f>
        <v>0</v>
      </c>
      <c r="GA64" s="154">
        <f>INDEX('STOPE SUMMARY PIVOT'!$G$2306:$G$2433, MATCH(GA$1,'STOPE SUMMARY PIVOT'!$A$2306:$A$2433, 0))</f>
        <v>0</v>
      </c>
      <c r="GB64" s="175">
        <f>INDEX('STOPE SUMMARY PIVOT'!$H$2306:$H$2433, MATCH(GA$1,'STOPE SUMMARY PIVOT'!$A$2306:$A$2433, 0))</f>
        <v>0</v>
      </c>
      <c r="GC64" s="154">
        <f>INDEX('STOPE SUMMARY PIVOT'!$G$2306:$G$2433, MATCH(GC$1,'STOPE SUMMARY PIVOT'!$A$2306:$A$2433, 0))</f>
        <v>0</v>
      </c>
      <c r="GD64" s="175">
        <f>INDEX('STOPE SUMMARY PIVOT'!$H$2306:$H$2433, MATCH(GC$1,'STOPE SUMMARY PIVOT'!$A$2306:$A$2433, 0))</f>
        <v>0</v>
      </c>
      <c r="GE64" s="154">
        <f>INDEX('STOPE SUMMARY PIVOT'!$G$2306:$G$2433, MATCH(GE$1,'STOPE SUMMARY PIVOT'!$A$2306:$A$2433, 0))</f>
        <v>0</v>
      </c>
      <c r="GF64" s="175">
        <f>INDEX('STOPE SUMMARY PIVOT'!$H$2306:$H$2433, MATCH(GE$1,'STOPE SUMMARY PIVOT'!$A$2306:$A$2433, 0))</f>
        <v>0</v>
      </c>
      <c r="GG64" s="154">
        <f>INDEX('STOPE SUMMARY PIVOT'!$G$2306:$G$2433, MATCH(GG$1,'STOPE SUMMARY PIVOT'!$A$2306:$A$2433, 0))</f>
        <v>0</v>
      </c>
      <c r="GH64" s="175">
        <f>INDEX('STOPE SUMMARY PIVOT'!$H$2306:$H$2433, MATCH(GG$1,'STOPE SUMMARY PIVOT'!$A$2306:$A$2433, 0))</f>
        <v>0</v>
      </c>
      <c r="GI64" s="154">
        <f>INDEX('STOPE SUMMARY PIVOT'!$G$2306:$G$2433, MATCH(GI$1,'STOPE SUMMARY PIVOT'!$A$2306:$A$2433, 0))</f>
        <v>0</v>
      </c>
      <c r="GJ64" s="175">
        <f>INDEX('STOPE SUMMARY PIVOT'!$H$2306:$H$2433, MATCH(GI$1,'STOPE SUMMARY PIVOT'!$A$2306:$A$2433, 0))</f>
        <v>0</v>
      </c>
      <c r="GK64" s="154">
        <f>INDEX('STOPE SUMMARY PIVOT'!$G$2306:$G$2433, MATCH(GK$1,'STOPE SUMMARY PIVOT'!$A$2306:$A$2433, 0))</f>
        <v>0</v>
      </c>
      <c r="GL64" s="175">
        <f>INDEX('STOPE SUMMARY PIVOT'!$H$2306:$H$2433, MATCH(GK$1,'STOPE SUMMARY PIVOT'!$A$2306:$A$2433, 0))</f>
        <v>0</v>
      </c>
      <c r="GM64" s="154">
        <f>INDEX('STOPE SUMMARY PIVOT'!$G$2306:$G$2433, MATCH(GM$1,'STOPE SUMMARY PIVOT'!$A$2306:$A$2433, 0))</f>
        <v>0</v>
      </c>
      <c r="GN64" s="175">
        <f>INDEX('STOPE SUMMARY PIVOT'!$H$2306:$H$2433, MATCH(GM$1,'STOPE SUMMARY PIVOT'!$A$2306:$A$2433, 0))</f>
        <v>0</v>
      </c>
      <c r="GO64" s="154">
        <f>INDEX('STOPE SUMMARY PIVOT'!$G$2306:$G$2433, MATCH(GO$1,'STOPE SUMMARY PIVOT'!$A$2306:$A$2433, 0))</f>
        <v>0</v>
      </c>
      <c r="GP64" s="175">
        <f>INDEX('STOPE SUMMARY PIVOT'!$H$2306:$H$2433, MATCH(GO$1,'STOPE SUMMARY PIVOT'!$A$2306:$A$2433, 0))</f>
        <v>0</v>
      </c>
      <c r="GQ64" s="154">
        <f>INDEX('STOPE SUMMARY PIVOT'!$G$2306:$G$2433, MATCH(GQ$1,'STOPE SUMMARY PIVOT'!$A$2306:$A$2433, 0))</f>
        <v>0</v>
      </c>
      <c r="GR64" s="175">
        <f>INDEX('STOPE SUMMARY PIVOT'!$H$2306:$H$2433, MATCH(GQ$1,'STOPE SUMMARY PIVOT'!$A$2306:$A$2433, 0))</f>
        <v>0</v>
      </c>
      <c r="GS64" s="154">
        <f>INDEX('STOPE SUMMARY PIVOT'!$G$2306:$G$2433, MATCH(GS$1,'STOPE SUMMARY PIVOT'!$A$2306:$A$2433, 0))</f>
        <v>0</v>
      </c>
      <c r="GT64" s="175">
        <f>INDEX('STOPE SUMMARY PIVOT'!$H$2306:$H$2433, MATCH(GS$1,'STOPE SUMMARY PIVOT'!$A$2306:$A$2433, 0))</f>
        <v>0</v>
      </c>
      <c r="GU64" s="154">
        <f>INDEX('STOPE SUMMARY PIVOT'!$G$2306:$G$2433, MATCH(GU$1,'STOPE SUMMARY PIVOT'!$A$2306:$A$2433, 0))</f>
        <v>0</v>
      </c>
      <c r="GV64" s="175">
        <f>INDEX('STOPE SUMMARY PIVOT'!$H$2306:$H$2433, MATCH(GU$1,'STOPE SUMMARY PIVOT'!$A$2306:$A$2433, 0))</f>
        <v>0</v>
      </c>
      <c r="GW64" s="154">
        <f>INDEX('STOPE SUMMARY PIVOT'!$G$2306:$G$2433, MATCH(GW$1,'STOPE SUMMARY PIVOT'!$A$2306:$A$2433, 0))</f>
        <v>0</v>
      </c>
      <c r="GX64" s="175">
        <f>INDEX('STOPE SUMMARY PIVOT'!$H$2306:$H$2433, MATCH(GW$1,'STOPE SUMMARY PIVOT'!$A$2306:$A$2433, 0))</f>
        <v>0</v>
      </c>
      <c r="GY64" s="154">
        <f>INDEX('STOPE SUMMARY PIVOT'!$G$2306:$G$2433, MATCH(GY$1,'STOPE SUMMARY PIVOT'!$A$2306:$A$2433, 0))</f>
        <v>0</v>
      </c>
      <c r="GZ64" s="175">
        <f>INDEX('STOPE SUMMARY PIVOT'!$H$2306:$H$2433, MATCH(GY$1,'STOPE SUMMARY PIVOT'!$A$2306:$A$2433, 0))</f>
        <v>0</v>
      </c>
      <c r="HA64" s="154">
        <f>INDEX('STOPE SUMMARY PIVOT'!$G$2306:$G$2433, MATCH(HA$1,'STOPE SUMMARY PIVOT'!$A$2306:$A$2433, 0))</f>
        <v>0</v>
      </c>
      <c r="HB64" s="175">
        <f>INDEX('STOPE SUMMARY PIVOT'!$H$2306:$H$2433, MATCH(HA$1,'STOPE SUMMARY PIVOT'!$A$2306:$A$2433, 0))</f>
        <v>0</v>
      </c>
      <c r="HC64" s="154">
        <f>INDEX('STOPE SUMMARY PIVOT'!$G$2306:$G$2433, MATCH(HC$1,'STOPE SUMMARY PIVOT'!$A$2306:$A$2433, 0))</f>
        <v>0</v>
      </c>
      <c r="HD64" s="175">
        <f>INDEX('STOPE SUMMARY PIVOT'!$H$2306:$H$2433, MATCH(HC$1,'STOPE SUMMARY PIVOT'!$A$2306:$A$2433, 0))</f>
        <v>0</v>
      </c>
      <c r="HE64" s="154">
        <f>INDEX('STOPE SUMMARY PIVOT'!$G$2306:$G$2433, MATCH(HE$1,'STOPE SUMMARY PIVOT'!$A$2306:$A$2433, 0))</f>
        <v>0</v>
      </c>
      <c r="HF64" s="175">
        <f>INDEX('STOPE SUMMARY PIVOT'!$H$2306:$H$2433, MATCH(HE$1,'STOPE SUMMARY PIVOT'!$A$2306:$A$2433, 0))</f>
        <v>0</v>
      </c>
      <c r="HG64" s="154">
        <f>INDEX('STOPE SUMMARY PIVOT'!$G$2306:$G$2433, MATCH(HG$1,'STOPE SUMMARY PIVOT'!$A$2306:$A$2433, 0))</f>
        <v>0</v>
      </c>
      <c r="HH64" s="175">
        <f>INDEX('STOPE SUMMARY PIVOT'!$H$2306:$H$2433, MATCH(HG$1,'STOPE SUMMARY PIVOT'!$A$2306:$A$2433, 0))</f>
        <v>0</v>
      </c>
      <c r="HI64" s="154">
        <f>INDEX('STOPE SUMMARY PIVOT'!$G$2306:$G$2433, MATCH(HI$1,'STOPE SUMMARY PIVOT'!$A$2306:$A$2433, 0))</f>
        <v>0</v>
      </c>
      <c r="HJ64" s="175">
        <f>INDEX('STOPE SUMMARY PIVOT'!$H$2306:$H$2433, MATCH(HI$1,'STOPE SUMMARY PIVOT'!$A$2306:$A$2433, 0))</f>
        <v>0</v>
      </c>
      <c r="HK64" s="154">
        <f>INDEX('STOPE SUMMARY PIVOT'!$G$2306:$G$2433, MATCH(HK$1,'STOPE SUMMARY PIVOT'!$A$2306:$A$2433, 0))</f>
        <v>0</v>
      </c>
      <c r="HL64" s="175">
        <f>INDEX('STOPE SUMMARY PIVOT'!$H$2306:$H$2433, MATCH(HK$1,'STOPE SUMMARY PIVOT'!$A$2306:$A$2433, 0))</f>
        <v>0</v>
      </c>
      <c r="HM64" s="154">
        <f>INDEX('STOPE SUMMARY PIVOT'!$G$2306:$G$2433, MATCH(HM$1,'STOPE SUMMARY PIVOT'!$A$2306:$A$2433, 0))</f>
        <v>0</v>
      </c>
      <c r="HN64" s="175">
        <f>INDEX('STOPE SUMMARY PIVOT'!$H$2306:$H$2433, MATCH(HM$1,'STOPE SUMMARY PIVOT'!$A$2306:$A$2433, 0))</f>
        <v>0</v>
      </c>
      <c r="HO64" s="154">
        <f>INDEX('STOPE SUMMARY PIVOT'!$G$2306:$G$2433, MATCH(HO$1,'STOPE SUMMARY PIVOT'!$A$2306:$A$2433, 0))</f>
        <v>0</v>
      </c>
      <c r="HP64" s="175">
        <f>INDEX('STOPE SUMMARY PIVOT'!$H$2306:$H$2433, MATCH(HO$1,'STOPE SUMMARY PIVOT'!$A$2306:$A$2433, 0))</f>
        <v>0</v>
      </c>
      <c r="HQ64" s="154">
        <f>INDEX('STOPE SUMMARY PIVOT'!$G$2306:$G$2433, MATCH(HQ$1,'STOPE SUMMARY PIVOT'!$A$2306:$A$2433, 0))</f>
        <v>0</v>
      </c>
      <c r="HR64" s="175">
        <f>INDEX('STOPE SUMMARY PIVOT'!$H$2306:$H$2433, MATCH(HQ$1,'STOPE SUMMARY PIVOT'!$A$2306:$A$2433, 0))</f>
        <v>0</v>
      </c>
      <c r="HS64" s="154">
        <f>INDEX('STOPE SUMMARY PIVOT'!$G$2306:$G$2433, MATCH(HS$1,'STOPE SUMMARY PIVOT'!$A$2306:$A$2433, 0))</f>
        <v>0</v>
      </c>
      <c r="HT64" s="175">
        <f>INDEX('STOPE SUMMARY PIVOT'!$H$2306:$H$2433, MATCH(HS$1,'STOPE SUMMARY PIVOT'!$A$2306:$A$2433, 0))</f>
        <v>0</v>
      </c>
      <c r="HU64" s="154">
        <f>INDEX('STOPE SUMMARY PIVOT'!$G$2306:$G$2433, MATCH(HU$1,'STOPE SUMMARY PIVOT'!$A$2306:$A$2433, 0))</f>
        <v>0</v>
      </c>
      <c r="HV64" s="175">
        <f>INDEX('STOPE SUMMARY PIVOT'!$H$2306:$H$2433, MATCH(HU$1,'STOPE SUMMARY PIVOT'!$A$2306:$A$2433, 0))</f>
        <v>0</v>
      </c>
      <c r="HW64" s="154">
        <f>INDEX('STOPE SUMMARY PIVOT'!$G$2306:$G$2433, MATCH(HW$1,'STOPE SUMMARY PIVOT'!$A$2306:$A$2433, 0))</f>
        <v>0</v>
      </c>
      <c r="HX64" s="175">
        <f>INDEX('STOPE SUMMARY PIVOT'!$H$2306:$H$2433, MATCH(HW$1,'STOPE SUMMARY PIVOT'!$A$2306:$A$2433, 0))</f>
        <v>0</v>
      </c>
      <c r="HY64" s="154">
        <f>INDEX('STOPE SUMMARY PIVOT'!$G$2306:$G$2433, MATCH(HY$1,'STOPE SUMMARY PIVOT'!$A$2306:$A$2433, 0))</f>
        <v>0</v>
      </c>
      <c r="HZ64" s="175">
        <f>INDEX('STOPE SUMMARY PIVOT'!$H$2306:$H$2433, MATCH(HY$1,'STOPE SUMMARY PIVOT'!$A$2306:$A$2433, 0))</f>
        <v>0</v>
      </c>
      <c r="IA64" s="154">
        <f>INDEX('STOPE SUMMARY PIVOT'!$G$2306:$G$2433, MATCH(IA$1,'STOPE SUMMARY PIVOT'!$A$2306:$A$2433, 0))</f>
        <v>0</v>
      </c>
      <c r="IB64" s="175">
        <f>INDEX('STOPE SUMMARY PIVOT'!$H$2306:$H$2433, MATCH(IA$1,'STOPE SUMMARY PIVOT'!$A$2306:$A$2433, 0))</f>
        <v>0</v>
      </c>
      <c r="IC64" s="154">
        <f>INDEX('STOPE SUMMARY PIVOT'!$G$2306:$G$2433, MATCH(IC$1,'STOPE SUMMARY PIVOT'!$A$2306:$A$2433, 0))</f>
        <v>0</v>
      </c>
      <c r="ID64" s="175">
        <f>INDEX('STOPE SUMMARY PIVOT'!$H$2306:$H$2433, MATCH(IC$1,'STOPE SUMMARY PIVOT'!$A$2306:$A$2433, 0))</f>
        <v>0</v>
      </c>
      <c r="IE64" s="154">
        <f>INDEX('STOPE SUMMARY PIVOT'!$G$2306:$G$2433, MATCH(IE$1,'STOPE SUMMARY PIVOT'!$A$2306:$A$2433, 0))</f>
        <v>0</v>
      </c>
      <c r="IF64" s="175">
        <f>INDEX('STOPE SUMMARY PIVOT'!$H$2306:$H$2433, MATCH(IE$1,'STOPE SUMMARY PIVOT'!$A$2306:$A$2433, 0))</f>
        <v>0</v>
      </c>
      <c r="IG64" s="154">
        <f>INDEX('STOPE SUMMARY PIVOT'!$G$2306:$G$2433, MATCH(IG$1,'STOPE SUMMARY PIVOT'!$A$2306:$A$2433, 0))</f>
        <v>0</v>
      </c>
      <c r="IH64" s="175">
        <f>INDEX('STOPE SUMMARY PIVOT'!$H$2306:$H$2433, MATCH(IG$1,'STOPE SUMMARY PIVOT'!$A$2306:$A$2433, 0))</f>
        <v>0</v>
      </c>
      <c r="II64" s="154">
        <f>INDEX('STOPE SUMMARY PIVOT'!$G$2306:$G$2433, MATCH(II$1,'STOPE SUMMARY PIVOT'!$A$2306:$A$2433, 0))</f>
        <v>0</v>
      </c>
      <c r="IJ64" s="175">
        <f>INDEX('STOPE SUMMARY PIVOT'!$H$2306:$H$2433, MATCH(II$1,'STOPE SUMMARY PIVOT'!$A$2306:$A$2433, 0))</f>
        <v>0</v>
      </c>
      <c r="IK64" s="154">
        <f>INDEX('STOPE SUMMARY PIVOT'!$G$2306:$G$2433, MATCH(IK$1,'STOPE SUMMARY PIVOT'!$A$2306:$A$2433, 0))</f>
        <v>0</v>
      </c>
      <c r="IL64" s="175">
        <f>INDEX('STOPE SUMMARY PIVOT'!$H$2306:$H$2433, MATCH(IK$1,'STOPE SUMMARY PIVOT'!$A$2306:$A$2433, 0))</f>
        <v>0</v>
      </c>
      <c r="IM64" s="154">
        <f>INDEX('STOPE SUMMARY PIVOT'!$G$2306:$G$2433, MATCH(IM$1,'STOPE SUMMARY PIVOT'!$A$2306:$A$2433, 0))</f>
        <v>0</v>
      </c>
      <c r="IN64" s="175">
        <f>INDEX('STOPE SUMMARY PIVOT'!$H$2306:$H$2433, MATCH(IM$1,'STOPE SUMMARY PIVOT'!$A$2306:$A$2433, 0))</f>
        <v>0</v>
      </c>
      <c r="IO64" s="154">
        <f>INDEX('STOPE SUMMARY PIVOT'!$G$2306:$G$2433, MATCH(IO$1,'STOPE SUMMARY PIVOT'!$A$2306:$A$2433, 0))</f>
        <v>0</v>
      </c>
      <c r="IP64" s="175">
        <f>INDEX('STOPE SUMMARY PIVOT'!$H$2306:$H$2433, MATCH(IO$1,'STOPE SUMMARY PIVOT'!$A$2306:$A$2433, 0))</f>
        <v>0</v>
      </c>
      <c r="IQ64" s="154">
        <f>INDEX('STOPE SUMMARY PIVOT'!$G$2306:$G$2433, MATCH(IQ$1,'STOPE SUMMARY PIVOT'!$A$2306:$A$2433, 0))</f>
        <v>0</v>
      </c>
      <c r="IR64" s="175">
        <f>INDEX('STOPE SUMMARY PIVOT'!$H$2306:$H$2433, MATCH(IQ$1,'STOPE SUMMARY PIVOT'!$A$2306:$A$2433, 0))</f>
        <v>0</v>
      </c>
      <c r="IS64" s="154">
        <f>INDEX('STOPE SUMMARY PIVOT'!$G$2306:$G$2433, MATCH(IS$1,'STOPE SUMMARY PIVOT'!$A$2306:$A$2433, 0))</f>
        <v>0</v>
      </c>
      <c r="IT64" s="175">
        <f>INDEX('STOPE SUMMARY PIVOT'!$H$2306:$H$2433, MATCH(IS$1,'STOPE SUMMARY PIVOT'!$A$2306:$A$2433, 0))</f>
        <v>0</v>
      </c>
      <c r="IU64" s="154">
        <f>INDEX('STOPE SUMMARY PIVOT'!$G$2306:$G$2433, MATCH(IU$1,'STOPE SUMMARY PIVOT'!$A$2306:$A$2433, 0))</f>
        <v>0</v>
      </c>
      <c r="IV64" s="175">
        <f>INDEX('STOPE SUMMARY PIVOT'!$H$2306:$H$2433, MATCH(IU$1,'STOPE SUMMARY PIVOT'!$A$2306:$A$2433, 0))</f>
        <v>0</v>
      </c>
      <c r="IW64" s="154">
        <f>INDEX('STOPE SUMMARY PIVOT'!$G$2306:$G$2433, MATCH(IW$1,'STOPE SUMMARY PIVOT'!$A$2306:$A$2433, 0))</f>
        <v>0</v>
      </c>
      <c r="IX64" s="175">
        <f>INDEX('STOPE SUMMARY PIVOT'!$H$2306:$H$2433, MATCH(IW$1,'STOPE SUMMARY PIVOT'!$A$2306:$A$2433, 0))</f>
        <v>0</v>
      </c>
      <c r="IY64" s="154">
        <f>INDEX('STOPE SUMMARY PIVOT'!$G$2306:$G$2433, MATCH(IY$1,'STOPE SUMMARY PIVOT'!$A$2306:$A$2433, 0))</f>
        <v>0</v>
      </c>
      <c r="IZ64" s="175">
        <f>INDEX('STOPE SUMMARY PIVOT'!$H$2306:$H$2433, MATCH(IY$1,'STOPE SUMMARY PIVOT'!$A$2306:$A$2433, 0))</f>
        <v>0</v>
      </c>
    </row>
    <row r="65" spans="1:260" ht="15.75" thickBot="1" x14ac:dyDescent="0.3">
      <c r="A65" s="1591"/>
      <c r="B65" s="169" t="s">
        <v>5</v>
      </c>
      <c r="C65" s="170" cm="1">
        <f t="array" ref="C65">SUM(_xlfn._xlws.FILTER(E65:IZ65, MOD(COLUMN(E65:IZ65)-COLUMN(E65)+1,2)=1))</f>
        <v>0</v>
      </c>
      <c r="D65" s="171" t="str" cm="1">
        <f t="array" ref="D65">IFERROR(SUMPRODUCT(_xlfn._xlws.FILTER(E65:IZ65, MOD(COLUMN(E65:IZ65)-COLUMN(E65)+1,2)=1), _xlfn._xlws.FILTER(E65:IZ65, MOD(COLUMN(E65:IZ65)-COLUMN(E65)+1,2)=0))/C65,"")</f>
        <v/>
      </c>
      <c r="E65" s="172">
        <f>INDEX('STOPE SUMMARY PIVOT'!$J$2306:$J$2433, MATCH(E$1,'STOPE SUMMARY PIVOT'!$A$2306:$A$2433, 0))</f>
        <v>0</v>
      </c>
      <c r="F65" s="176">
        <f>INDEX('STOPE SUMMARY PIVOT'!$K$2306:$K$2433, MATCH(E$1,'STOPE SUMMARY PIVOT'!$A$2306:$A$2433, 0))</f>
        <v>0</v>
      </c>
      <c r="G65" s="172">
        <f>INDEX('STOPE SUMMARY PIVOT'!$J$2306:$J$2433, MATCH(G$1,'STOPE SUMMARY PIVOT'!$A$2306:$A$2433, 0))</f>
        <v>0</v>
      </c>
      <c r="H65" s="176">
        <f>INDEX('STOPE SUMMARY PIVOT'!$K$2306:$K$2433, MATCH(G$1,'STOPE SUMMARY PIVOT'!$A$2306:$A$2433, 0))</f>
        <v>0</v>
      </c>
      <c r="I65" s="172">
        <f>INDEX('STOPE SUMMARY PIVOT'!$J$2306:$J$2433, MATCH(I$1,'STOPE SUMMARY PIVOT'!$A$2306:$A$2433, 0))</f>
        <v>0</v>
      </c>
      <c r="J65" s="173">
        <f>INDEX('STOPE SUMMARY PIVOT'!$K$2306:$K$2433, MATCH(I$1,'STOPE SUMMARY PIVOT'!$A$2306:$A$2433, 0))</f>
        <v>0</v>
      </c>
      <c r="K65" s="172">
        <f>INDEX('STOPE SUMMARY PIVOT'!$J$2306:$J$2433, MATCH(K$1,'STOPE SUMMARY PIVOT'!$A$2306:$A$2433, 0))</f>
        <v>0</v>
      </c>
      <c r="L65" s="173">
        <f>INDEX('STOPE SUMMARY PIVOT'!$K$2306:$K$2433, MATCH(K$1,'STOPE SUMMARY PIVOT'!$A$2306:$A$2433, 0))</f>
        <v>0</v>
      </c>
      <c r="M65" s="172">
        <f>INDEX('STOPE SUMMARY PIVOT'!$J$2306:$J$2433, MATCH(M$1,'STOPE SUMMARY PIVOT'!$A$2306:$A$2433, 0))</f>
        <v>0</v>
      </c>
      <c r="N65" s="173">
        <f>INDEX('STOPE SUMMARY PIVOT'!$K$2306:$K$2433, MATCH(M$1,'STOPE SUMMARY PIVOT'!$A$2306:$A$2433, 0))</f>
        <v>0</v>
      </c>
      <c r="O65" s="172">
        <f>INDEX('STOPE SUMMARY PIVOT'!$J$2306:$J$2433, MATCH(O$1,'STOPE SUMMARY PIVOT'!$A$2306:$A$2433, 0))</f>
        <v>0</v>
      </c>
      <c r="P65" s="173">
        <f>INDEX('STOPE SUMMARY PIVOT'!$K$2306:$K$2433, MATCH(O$1,'STOPE SUMMARY PIVOT'!$A$2306:$A$2433, 0))</f>
        <v>0</v>
      </c>
      <c r="Q65" s="172">
        <f>INDEX('STOPE SUMMARY PIVOT'!$J$2306:$J$2433, MATCH(Q$1,'STOPE SUMMARY PIVOT'!$A$2306:$A$2433, 0))</f>
        <v>0</v>
      </c>
      <c r="R65" s="173">
        <f>INDEX('STOPE SUMMARY PIVOT'!$K$2306:$K$2433, MATCH(Q$1,'STOPE SUMMARY PIVOT'!$A$2306:$A$2433, 0))</f>
        <v>0</v>
      </c>
      <c r="S65" s="172">
        <f>INDEX('STOPE SUMMARY PIVOT'!$J$2306:$J$2433, MATCH(S$1,'STOPE SUMMARY PIVOT'!$A$2306:$A$2433, 0))</f>
        <v>0</v>
      </c>
      <c r="T65" s="173">
        <f>INDEX('STOPE SUMMARY PIVOT'!$K$2306:$K$2433, MATCH(S$1,'STOPE SUMMARY PIVOT'!$A$2306:$A$2433, 0))</f>
        <v>0</v>
      </c>
      <c r="U65" s="172">
        <f>INDEX('STOPE SUMMARY PIVOT'!$J$2306:$J$2433, MATCH(U$1,'STOPE SUMMARY PIVOT'!$A$2306:$A$2433, 0))</f>
        <v>0</v>
      </c>
      <c r="V65" s="176">
        <f>INDEX('STOPE SUMMARY PIVOT'!$K$2306:$K$2433, MATCH(U$1,'STOPE SUMMARY PIVOT'!$A$2306:$A$2433, 0))</f>
        <v>0</v>
      </c>
      <c r="W65" s="172">
        <f>INDEX('STOPE SUMMARY PIVOT'!$J$2306:$J$2433, MATCH(W$1,'STOPE SUMMARY PIVOT'!$A$2306:$A$2433, 0))</f>
        <v>0</v>
      </c>
      <c r="X65" s="176">
        <f>INDEX('STOPE SUMMARY PIVOT'!$K$2306:$K$2433, MATCH(W$1,'STOPE SUMMARY PIVOT'!$A$2306:$A$2433, 0))</f>
        <v>0</v>
      </c>
      <c r="Y65" s="172">
        <f>INDEX('STOPE SUMMARY PIVOT'!$J$2306:$J$2433, MATCH(Y$1,'STOPE SUMMARY PIVOT'!$A$2306:$A$2433, 0))</f>
        <v>0</v>
      </c>
      <c r="Z65" s="176">
        <f>INDEX('STOPE SUMMARY PIVOT'!$K$2306:$K$2433, MATCH(Y$1,'STOPE SUMMARY PIVOT'!$A$2306:$A$2433, 0))</f>
        <v>0</v>
      </c>
      <c r="AA65" s="172">
        <f>INDEX('STOPE SUMMARY PIVOT'!$J$2306:$J$2433, MATCH(AA$1,'STOPE SUMMARY PIVOT'!$A$2306:$A$2433, 0))</f>
        <v>0</v>
      </c>
      <c r="AB65" s="176">
        <f>INDEX('STOPE SUMMARY PIVOT'!$K$2306:$K$2433, MATCH(AA$1,'STOPE SUMMARY PIVOT'!$A$2306:$A$2433, 0))</f>
        <v>0</v>
      </c>
      <c r="AC65" s="172">
        <f>INDEX('STOPE SUMMARY PIVOT'!$J$2306:$J$2433, MATCH(AC$1,'STOPE SUMMARY PIVOT'!$A$2306:$A$2433, 0))</f>
        <v>0</v>
      </c>
      <c r="AD65" s="176">
        <f>INDEX('STOPE SUMMARY PIVOT'!$K$2306:$K$2433, MATCH(AC$1,'STOPE SUMMARY PIVOT'!$A$2306:$A$2433, 0))</f>
        <v>0</v>
      </c>
      <c r="AE65" s="172">
        <f>INDEX('STOPE SUMMARY PIVOT'!$J$2306:$J$2433, MATCH(AE$1,'STOPE SUMMARY PIVOT'!$A$2306:$A$2433, 0))</f>
        <v>0</v>
      </c>
      <c r="AF65" s="176">
        <f>INDEX('STOPE SUMMARY PIVOT'!$K$2306:$K$2433, MATCH(AE$1,'STOPE SUMMARY PIVOT'!$A$2306:$A$2433, 0))</f>
        <v>0</v>
      </c>
      <c r="AG65" s="172">
        <f>INDEX('STOPE SUMMARY PIVOT'!$J$2306:$J$2433, MATCH(AG$1,'STOPE SUMMARY PIVOT'!$A$2306:$A$2433, 0))</f>
        <v>0</v>
      </c>
      <c r="AH65" s="176">
        <f>INDEX('STOPE SUMMARY PIVOT'!$K$2306:$K$2433, MATCH(AG$1,'STOPE SUMMARY PIVOT'!$A$2306:$A$2433, 0))</f>
        <v>0</v>
      </c>
      <c r="AI65" s="172">
        <f>INDEX('STOPE SUMMARY PIVOT'!$J$2306:$J$2433, MATCH(AI$1,'STOPE SUMMARY PIVOT'!$A$2306:$A$2433, 0))</f>
        <v>0</v>
      </c>
      <c r="AJ65" s="176">
        <f>INDEX('STOPE SUMMARY PIVOT'!$K$2306:$K$2433, MATCH(AI$1,'STOPE SUMMARY PIVOT'!$A$2306:$A$2433, 0))</f>
        <v>0</v>
      </c>
      <c r="AK65" s="172">
        <f>INDEX('STOPE SUMMARY PIVOT'!$J$2306:$J$2433, MATCH(AK$1,'STOPE SUMMARY PIVOT'!$A$2306:$A$2433, 0))</f>
        <v>0</v>
      </c>
      <c r="AL65" s="176">
        <f>INDEX('STOPE SUMMARY PIVOT'!$K$2306:$K$2433, MATCH(AK$1,'STOPE SUMMARY PIVOT'!$A$2306:$A$2433, 0))</f>
        <v>0</v>
      </c>
      <c r="AM65" s="172">
        <f>INDEX('STOPE SUMMARY PIVOT'!$J$2306:$J$2433, MATCH(AM$1,'STOPE SUMMARY PIVOT'!$A$2306:$A$2433, 0))</f>
        <v>0</v>
      </c>
      <c r="AN65" s="176">
        <f>INDEX('STOPE SUMMARY PIVOT'!$K$2306:$K$2433, MATCH(AM$1,'STOPE SUMMARY PIVOT'!$A$2306:$A$2433, 0))</f>
        <v>0</v>
      </c>
      <c r="AO65" s="172">
        <f>INDEX('STOPE SUMMARY PIVOT'!$J$2306:$J$2433, MATCH(AO$1,'STOPE SUMMARY PIVOT'!$A$2306:$A$2433, 0))</f>
        <v>0</v>
      </c>
      <c r="AP65" s="176">
        <f>INDEX('STOPE SUMMARY PIVOT'!$K$2306:$K$2433, MATCH(AO$1,'STOPE SUMMARY PIVOT'!$A$2306:$A$2433, 0))</f>
        <v>0</v>
      </c>
      <c r="AQ65" s="172">
        <f>INDEX('STOPE SUMMARY PIVOT'!$J$2306:$J$2433, MATCH(AQ$1,'STOPE SUMMARY PIVOT'!$A$2306:$A$2433, 0))</f>
        <v>0</v>
      </c>
      <c r="AR65" s="176">
        <f>INDEX('STOPE SUMMARY PIVOT'!$K$2306:$K$2433, MATCH(AQ$1,'STOPE SUMMARY PIVOT'!$A$2306:$A$2433, 0))</f>
        <v>0</v>
      </c>
      <c r="AS65" s="172">
        <f>INDEX('STOPE SUMMARY PIVOT'!$J$2306:$J$2433, MATCH(AS$1,'STOPE SUMMARY PIVOT'!$A$2306:$A$2433, 0))</f>
        <v>0</v>
      </c>
      <c r="AT65" s="176">
        <f>INDEX('STOPE SUMMARY PIVOT'!$K$2306:$K$2433, MATCH(AS$1,'STOPE SUMMARY PIVOT'!$A$2306:$A$2433, 0))</f>
        <v>0</v>
      </c>
      <c r="AU65" s="172">
        <f>INDEX('STOPE SUMMARY PIVOT'!$J$2306:$J$2433, MATCH(AU$1,'STOPE SUMMARY PIVOT'!$A$2306:$A$2433, 0))</f>
        <v>0</v>
      </c>
      <c r="AV65" s="176">
        <f>INDEX('STOPE SUMMARY PIVOT'!$K$2306:$K$2433, MATCH(AU$1,'STOPE SUMMARY PIVOT'!$A$2306:$A$2433, 0))</f>
        <v>0</v>
      </c>
      <c r="AW65" s="172">
        <f>INDEX('STOPE SUMMARY PIVOT'!$J$2306:$J$2433, MATCH(AW$1,'STOPE SUMMARY PIVOT'!$A$2306:$A$2433, 0))</f>
        <v>0</v>
      </c>
      <c r="AX65" s="176">
        <f>INDEX('STOPE SUMMARY PIVOT'!$K$2306:$K$2433, MATCH(AW$1,'STOPE SUMMARY PIVOT'!$A$2306:$A$2433, 0))</f>
        <v>0</v>
      </c>
      <c r="AY65" s="172">
        <f>INDEX('STOPE SUMMARY PIVOT'!$J$2306:$J$2433, MATCH(AY$1,'STOPE SUMMARY PIVOT'!$A$2306:$A$2433, 0))</f>
        <v>0</v>
      </c>
      <c r="AZ65" s="176">
        <f>INDEX('STOPE SUMMARY PIVOT'!$K$2306:$K$2433, MATCH(AY$1,'STOPE SUMMARY PIVOT'!$A$2306:$A$2433, 0))</f>
        <v>0</v>
      </c>
      <c r="BA65" s="172">
        <f>INDEX('STOPE SUMMARY PIVOT'!$J$2306:$J$2433, MATCH(BA$1,'STOPE SUMMARY PIVOT'!$A$2306:$A$2433, 0))</f>
        <v>0</v>
      </c>
      <c r="BB65" s="176">
        <f>INDEX('STOPE SUMMARY PIVOT'!$K$2306:$K$2433, MATCH(BA$1,'STOPE SUMMARY PIVOT'!$A$2306:$A$2433, 0))</f>
        <v>0</v>
      </c>
      <c r="BC65" s="172">
        <f>INDEX('STOPE SUMMARY PIVOT'!$J$2306:$J$2433, MATCH(BC$1,'STOPE SUMMARY PIVOT'!$A$2306:$A$2433, 0))</f>
        <v>0</v>
      </c>
      <c r="BD65" s="176">
        <f>INDEX('STOPE SUMMARY PIVOT'!$K$2306:$K$2433, MATCH(BC$1,'STOPE SUMMARY PIVOT'!$A$2306:$A$2433, 0))</f>
        <v>0</v>
      </c>
      <c r="BE65" s="172">
        <f>INDEX('STOPE SUMMARY PIVOT'!$J$2306:$J$2433, MATCH(BE$1,'STOPE SUMMARY PIVOT'!$A$2306:$A$2433, 0))</f>
        <v>0</v>
      </c>
      <c r="BF65" s="176">
        <f>INDEX('STOPE SUMMARY PIVOT'!$K$2306:$K$2433, MATCH(BE$1,'STOPE SUMMARY PIVOT'!$A$2306:$A$2433, 0))</f>
        <v>0</v>
      </c>
      <c r="BG65" s="172">
        <f>INDEX('STOPE SUMMARY PIVOT'!$J$2306:$J$2433, MATCH(BG$1,'STOPE SUMMARY PIVOT'!$A$2306:$A$2433, 0))</f>
        <v>0</v>
      </c>
      <c r="BH65" s="176">
        <f>INDEX('STOPE SUMMARY PIVOT'!$K$2306:$K$2433, MATCH(BG$1,'STOPE SUMMARY PIVOT'!$A$2306:$A$2433, 0))</f>
        <v>0</v>
      </c>
      <c r="BI65" s="172">
        <f>INDEX('STOPE SUMMARY PIVOT'!$J$2306:$J$2433, MATCH(BI$1,'STOPE SUMMARY PIVOT'!$A$2306:$A$2433, 0))</f>
        <v>0</v>
      </c>
      <c r="BJ65" s="176">
        <f>INDEX('STOPE SUMMARY PIVOT'!$K$2306:$K$2433, MATCH(BI$1,'STOPE SUMMARY PIVOT'!$A$2306:$A$2433, 0))</f>
        <v>0</v>
      </c>
      <c r="BK65" s="172">
        <f>INDEX('STOPE SUMMARY PIVOT'!$J$2306:$J$2433, MATCH(BK$1,'STOPE SUMMARY PIVOT'!$A$2306:$A$2433, 0))</f>
        <v>0</v>
      </c>
      <c r="BL65" s="176">
        <f>INDEX('STOPE SUMMARY PIVOT'!$K$2306:$K$2433, MATCH(BK$1,'STOPE SUMMARY PIVOT'!$A$2306:$A$2433, 0))</f>
        <v>0</v>
      </c>
      <c r="BM65" s="172">
        <f>INDEX('STOPE SUMMARY PIVOT'!$J$2306:$J$2433, MATCH(BM$1,'STOPE SUMMARY PIVOT'!$A$2306:$A$2433, 0))</f>
        <v>0</v>
      </c>
      <c r="BN65" s="176">
        <f>INDEX('STOPE SUMMARY PIVOT'!$K$2306:$K$2433, MATCH(BM$1,'STOPE SUMMARY PIVOT'!$A$2306:$A$2433, 0))</f>
        <v>0</v>
      </c>
      <c r="BO65" s="172">
        <f>INDEX('STOPE SUMMARY PIVOT'!$J$2306:$J$2433, MATCH(BO$1,'STOPE SUMMARY PIVOT'!$A$2306:$A$2433, 0))</f>
        <v>0</v>
      </c>
      <c r="BP65" s="176">
        <f>INDEX('STOPE SUMMARY PIVOT'!$K$2306:$K$2433, MATCH(BO$1,'STOPE SUMMARY PIVOT'!$A$2306:$A$2433, 0))</f>
        <v>0</v>
      </c>
      <c r="BQ65" s="172">
        <f>INDEX('STOPE SUMMARY PIVOT'!$J$2306:$J$2433, MATCH(BQ$1,'STOPE SUMMARY PIVOT'!$A$2306:$A$2433, 0))</f>
        <v>0</v>
      </c>
      <c r="BR65" s="176">
        <f>INDEX('STOPE SUMMARY PIVOT'!$K$2306:$K$2433, MATCH(BQ$1,'STOPE SUMMARY PIVOT'!$A$2306:$A$2433, 0))</f>
        <v>0</v>
      </c>
      <c r="BS65" s="172">
        <f>INDEX('STOPE SUMMARY PIVOT'!$J$2306:$J$2433, MATCH(BS$1,'STOPE SUMMARY PIVOT'!$A$2306:$A$2433, 0))</f>
        <v>0</v>
      </c>
      <c r="BT65" s="176">
        <f>INDEX('STOPE SUMMARY PIVOT'!$K$2306:$K$2433, MATCH(BS$1,'STOPE SUMMARY PIVOT'!$A$2306:$A$2433, 0))</f>
        <v>0</v>
      </c>
      <c r="BU65" s="172">
        <f>INDEX('STOPE SUMMARY PIVOT'!$J$2306:$J$2433, MATCH(BU$1,'STOPE SUMMARY PIVOT'!$A$2306:$A$2433, 0))</f>
        <v>0</v>
      </c>
      <c r="BV65" s="176">
        <f>INDEX('STOPE SUMMARY PIVOT'!$K$2306:$K$2433, MATCH(BU$1,'STOPE SUMMARY PIVOT'!$A$2306:$A$2433, 0))</f>
        <v>0</v>
      </c>
      <c r="BW65" s="172">
        <f>INDEX('STOPE SUMMARY PIVOT'!$J$2306:$J$2433, MATCH(BW$1,'STOPE SUMMARY PIVOT'!$A$2306:$A$2433, 0))</f>
        <v>0</v>
      </c>
      <c r="BX65" s="176">
        <f>INDEX('STOPE SUMMARY PIVOT'!$K$2306:$K$2433, MATCH(BW$1,'STOPE SUMMARY PIVOT'!$A$2306:$A$2433, 0))</f>
        <v>0</v>
      </c>
      <c r="BY65" s="172">
        <f>INDEX('STOPE SUMMARY PIVOT'!$J$2306:$J$2433, MATCH(BY$1,'STOPE SUMMARY PIVOT'!$A$2306:$A$2433, 0))</f>
        <v>0</v>
      </c>
      <c r="BZ65" s="176">
        <f>INDEX('STOPE SUMMARY PIVOT'!$K$2306:$K$2433, MATCH(BY$1,'STOPE SUMMARY PIVOT'!$A$2306:$A$2433, 0))</f>
        <v>0</v>
      </c>
      <c r="CA65" s="172">
        <f>INDEX('STOPE SUMMARY PIVOT'!$J$2306:$J$2433, MATCH(CA$1,'STOPE SUMMARY PIVOT'!$A$2306:$A$2433, 0))</f>
        <v>0</v>
      </c>
      <c r="CB65" s="176">
        <f>INDEX('STOPE SUMMARY PIVOT'!$K$2306:$K$2433, MATCH(CA$1,'STOPE SUMMARY PIVOT'!$A$2306:$A$2433, 0))</f>
        <v>0</v>
      </c>
      <c r="CC65" s="172">
        <f>INDEX('STOPE SUMMARY PIVOT'!$J$2306:$J$2433, MATCH(CC$1,'STOPE SUMMARY PIVOT'!$A$2306:$A$2433, 0))</f>
        <v>0</v>
      </c>
      <c r="CD65" s="176">
        <f>INDEX('STOPE SUMMARY PIVOT'!$K$2306:$K$2433, MATCH(CC$1,'STOPE SUMMARY PIVOT'!$A$2306:$A$2433, 0))</f>
        <v>0</v>
      </c>
      <c r="CE65" s="172">
        <f>INDEX('STOPE SUMMARY PIVOT'!$J$2306:$J$2433, MATCH(CE$1,'STOPE SUMMARY PIVOT'!$A$2306:$A$2433, 0))</f>
        <v>0</v>
      </c>
      <c r="CF65" s="176">
        <f>INDEX('STOPE SUMMARY PIVOT'!$K$2306:$K$2433, MATCH(CE$1,'STOPE SUMMARY PIVOT'!$A$2306:$A$2433, 0))</f>
        <v>0</v>
      </c>
      <c r="CG65" s="172">
        <f>INDEX('STOPE SUMMARY PIVOT'!$J$2306:$J$2433, MATCH(CG$1,'STOPE SUMMARY PIVOT'!$A$2306:$A$2433, 0))</f>
        <v>0</v>
      </c>
      <c r="CH65" s="176">
        <f>INDEX('STOPE SUMMARY PIVOT'!$K$2306:$K$2433, MATCH(CG$1,'STOPE SUMMARY PIVOT'!$A$2306:$A$2433, 0))</f>
        <v>0</v>
      </c>
      <c r="CI65" s="172">
        <f>INDEX('STOPE SUMMARY PIVOT'!$J$2306:$J$2433, MATCH(CI$1,'STOPE SUMMARY PIVOT'!$A$2306:$A$2433, 0))</f>
        <v>0</v>
      </c>
      <c r="CJ65" s="176">
        <f>INDEX('STOPE SUMMARY PIVOT'!$K$2306:$K$2433, MATCH(CI$1,'STOPE SUMMARY PIVOT'!$A$2306:$A$2433, 0))</f>
        <v>0</v>
      </c>
      <c r="CK65" s="172">
        <f>INDEX('STOPE SUMMARY PIVOT'!$J$2306:$J$2433, MATCH(CK$1,'STOPE SUMMARY PIVOT'!$A$2306:$A$2433, 0))</f>
        <v>0</v>
      </c>
      <c r="CL65" s="176">
        <f>INDEX('STOPE SUMMARY PIVOT'!$K$2306:$K$2433, MATCH(CK$1,'STOPE SUMMARY PIVOT'!$A$2306:$A$2433, 0))</f>
        <v>0</v>
      </c>
      <c r="CM65" s="172">
        <f>INDEX('STOPE SUMMARY PIVOT'!$J$2306:$J$2433, MATCH(CM$1,'STOPE SUMMARY PIVOT'!$A$2306:$A$2433, 0))</f>
        <v>0</v>
      </c>
      <c r="CN65" s="176">
        <f>INDEX('STOPE SUMMARY PIVOT'!$K$2306:$K$2433, MATCH(CM$1,'STOPE SUMMARY PIVOT'!$A$2306:$A$2433, 0))</f>
        <v>0</v>
      </c>
      <c r="CO65" s="172">
        <f>INDEX('STOPE SUMMARY PIVOT'!$J$2306:$J$2433, MATCH(CO$1,'STOPE SUMMARY PIVOT'!$A$2306:$A$2433, 0))</f>
        <v>0</v>
      </c>
      <c r="CP65" s="176">
        <f>INDEX('STOPE SUMMARY PIVOT'!$K$2306:$K$2433, MATCH(CO$1,'STOPE SUMMARY PIVOT'!$A$2306:$A$2433, 0))</f>
        <v>0</v>
      </c>
      <c r="CQ65" s="172">
        <f>INDEX('STOPE SUMMARY PIVOT'!$J$2306:$J$2433, MATCH(CQ$1,'STOPE SUMMARY PIVOT'!$A$2306:$A$2433, 0))</f>
        <v>0</v>
      </c>
      <c r="CR65" s="176">
        <f>INDEX('STOPE SUMMARY PIVOT'!$K$2306:$K$2433, MATCH(CQ$1,'STOPE SUMMARY PIVOT'!$A$2306:$A$2433, 0))</f>
        <v>0</v>
      </c>
      <c r="CS65" s="172">
        <f>INDEX('STOPE SUMMARY PIVOT'!$J$2306:$J$2433, MATCH(CS$1,'STOPE SUMMARY PIVOT'!$A$2306:$A$2433, 0))</f>
        <v>0</v>
      </c>
      <c r="CT65" s="176">
        <f>INDEX('STOPE SUMMARY PIVOT'!$K$2306:$K$2433, MATCH(CS$1,'STOPE SUMMARY PIVOT'!$A$2306:$A$2433, 0))</f>
        <v>0</v>
      </c>
      <c r="CU65" s="172">
        <f>INDEX('STOPE SUMMARY PIVOT'!$J$2306:$J$2433, MATCH(CU$1,'STOPE SUMMARY PIVOT'!$A$2306:$A$2433, 0))</f>
        <v>0</v>
      </c>
      <c r="CV65" s="176">
        <f>INDEX('STOPE SUMMARY PIVOT'!$K$2306:$K$2433, MATCH(CU$1,'STOPE SUMMARY PIVOT'!$A$2306:$A$2433, 0))</f>
        <v>0</v>
      </c>
      <c r="CW65" s="172">
        <f>INDEX('STOPE SUMMARY PIVOT'!$J$2306:$J$2433, MATCH(CW$1,'STOPE SUMMARY PIVOT'!$A$2306:$A$2433, 0))</f>
        <v>0</v>
      </c>
      <c r="CX65" s="176">
        <f>INDEX('STOPE SUMMARY PIVOT'!$K$2306:$K$2433, MATCH(CW$1,'STOPE SUMMARY PIVOT'!$A$2306:$A$2433, 0))</f>
        <v>0</v>
      </c>
      <c r="CY65" s="172">
        <f>INDEX('STOPE SUMMARY PIVOT'!$J$2306:$J$2433, MATCH(CY$1,'STOPE SUMMARY PIVOT'!$A$2306:$A$2433, 0))</f>
        <v>0</v>
      </c>
      <c r="CZ65" s="176">
        <f>INDEX('STOPE SUMMARY PIVOT'!$K$2306:$K$2433, MATCH(CY$1,'STOPE SUMMARY PIVOT'!$A$2306:$A$2433, 0))</f>
        <v>0</v>
      </c>
      <c r="DA65" s="172">
        <f>INDEX('STOPE SUMMARY PIVOT'!$J$2306:$J$2433, MATCH(DA$1,'STOPE SUMMARY PIVOT'!$A$2306:$A$2433, 0))</f>
        <v>0</v>
      </c>
      <c r="DB65" s="176">
        <f>INDEX('STOPE SUMMARY PIVOT'!$K$2306:$K$2433, MATCH(DA$1,'STOPE SUMMARY PIVOT'!$A$2306:$A$2433, 0))</f>
        <v>0</v>
      </c>
      <c r="DC65" s="172">
        <f>INDEX('STOPE SUMMARY PIVOT'!$J$2306:$J$2433, MATCH(DC$1,'STOPE SUMMARY PIVOT'!$A$2306:$A$2433, 0))</f>
        <v>0</v>
      </c>
      <c r="DD65" s="176">
        <f>INDEX('STOPE SUMMARY PIVOT'!$K$2306:$K$2433, MATCH(DC$1,'STOPE SUMMARY PIVOT'!$A$2306:$A$2433, 0))</f>
        <v>0</v>
      </c>
      <c r="DE65" s="172">
        <f>INDEX('STOPE SUMMARY PIVOT'!$J$2306:$J$2433, MATCH(DE$1,'STOPE SUMMARY PIVOT'!$A$2306:$A$2433, 0))</f>
        <v>0</v>
      </c>
      <c r="DF65" s="176">
        <f>INDEX('STOPE SUMMARY PIVOT'!$K$2306:$K$2433, MATCH(DE$1,'STOPE SUMMARY PIVOT'!$A$2306:$A$2433, 0))</f>
        <v>0</v>
      </c>
      <c r="DG65" s="172">
        <f>INDEX('STOPE SUMMARY PIVOT'!$J$2306:$J$2433, MATCH(DG$1,'STOPE SUMMARY PIVOT'!$A$2306:$A$2433, 0))</f>
        <v>0</v>
      </c>
      <c r="DH65" s="176">
        <f>INDEX('STOPE SUMMARY PIVOT'!$K$2306:$K$2433, MATCH(DG$1,'STOPE SUMMARY PIVOT'!$A$2306:$A$2433, 0))</f>
        <v>0</v>
      </c>
      <c r="DI65" s="172">
        <f>INDEX('STOPE SUMMARY PIVOT'!$J$2306:$J$2433, MATCH(DI$1,'STOPE SUMMARY PIVOT'!$A$2306:$A$2433, 0))</f>
        <v>0</v>
      </c>
      <c r="DJ65" s="176">
        <f>INDEX('STOPE SUMMARY PIVOT'!$K$2306:$K$2433, MATCH(DI$1,'STOPE SUMMARY PIVOT'!$A$2306:$A$2433, 0))</f>
        <v>0</v>
      </c>
      <c r="DK65" s="172">
        <f>INDEX('STOPE SUMMARY PIVOT'!$J$2306:$J$2433, MATCH(DK$1,'STOPE SUMMARY PIVOT'!$A$2306:$A$2433, 0))</f>
        <v>0</v>
      </c>
      <c r="DL65" s="176">
        <f>INDEX('STOPE SUMMARY PIVOT'!$K$2306:$K$2433, MATCH(DK$1,'STOPE SUMMARY PIVOT'!$A$2306:$A$2433, 0))</f>
        <v>0</v>
      </c>
      <c r="DM65" s="172">
        <f>INDEX('STOPE SUMMARY PIVOT'!$J$2306:$J$2433, MATCH(DM$1,'STOPE SUMMARY PIVOT'!$A$2306:$A$2433, 0))</f>
        <v>0</v>
      </c>
      <c r="DN65" s="176">
        <f>INDEX('STOPE SUMMARY PIVOT'!$K$2306:$K$2433, MATCH(DM$1,'STOPE SUMMARY PIVOT'!$A$2306:$A$2433, 0))</f>
        <v>0</v>
      </c>
      <c r="DO65" s="172">
        <f>INDEX('STOPE SUMMARY PIVOT'!$J$2306:$J$2433, MATCH(DO$1,'STOPE SUMMARY PIVOT'!$A$2306:$A$2433, 0))</f>
        <v>0</v>
      </c>
      <c r="DP65" s="176">
        <f>INDEX('STOPE SUMMARY PIVOT'!$K$2306:$K$2433, MATCH(DO$1,'STOPE SUMMARY PIVOT'!$A$2306:$A$2433, 0))</f>
        <v>0</v>
      </c>
      <c r="DQ65" s="172">
        <f>INDEX('STOPE SUMMARY PIVOT'!$J$2306:$J$2433, MATCH(DQ$1,'STOPE SUMMARY PIVOT'!$A$2306:$A$2433, 0))</f>
        <v>0</v>
      </c>
      <c r="DR65" s="176">
        <f>INDEX('STOPE SUMMARY PIVOT'!$K$2306:$K$2433, MATCH(DQ$1,'STOPE SUMMARY PIVOT'!$A$2306:$A$2433, 0))</f>
        <v>0</v>
      </c>
      <c r="DS65" s="172">
        <f>INDEX('STOPE SUMMARY PIVOT'!$J$2306:$J$2433, MATCH(DS$1,'STOPE SUMMARY PIVOT'!$A$2306:$A$2433, 0))</f>
        <v>0</v>
      </c>
      <c r="DT65" s="176">
        <f>INDEX('STOPE SUMMARY PIVOT'!$K$2306:$K$2433, MATCH(DS$1,'STOPE SUMMARY PIVOT'!$A$2306:$A$2433, 0))</f>
        <v>0</v>
      </c>
      <c r="DU65" s="172">
        <f>INDEX('STOPE SUMMARY PIVOT'!$J$2306:$J$2433, MATCH(DU$1,'STOPE SUMMARY PIVOT'!$A$2306:$A$2433, 0))</f>
        <v>0</v>
      </c>
      <c r="DV65" s="176">
        <f>INDEX('STOPE SUMMARY PIVOT'!$K$2306:$K$2433, MATCH(DU$1,'STOPE SUMMARY PIVOT'!$A$2306:$A$2433, 0))</f>
        <v>0</v>
      </c>
      <c r="DW65" s="172">
        <f>INDEX('STOPE SUMMARY PIVOT'!$J$2306:$J$2433, MATCH(DW$1,'STOPE SUMMARY PIVOT'!$A$2306:$A$2433, 0))</f>
        <v>0</v>
      </c>
      <c r="DX65" s="176">
        <f>INDEX('STOPE SUMMARY PIVOT'!$K$2306:$K$2433, MATCH(DW$1,'STOPE SUMMARY PIVOT'!$A$2306:$A$2433, 0))</f>
        <v>0</v>
      </c>
      <c r="DY65" s="172">
        <f>INDEX('STOPE SUMMARY PIVOT'!$J$2306:$J$2433, MATCH(DY$1,'STOPE SUMMARY PIVOT'!$A$2306:$A$2433, 0))</f>
        <v>0</v>
      </c>
      <c r="DZ65" s="176">
        <f>INDEX('STOPE SUMMARY PIVOT'!$K$2306:$K$2433, MATCH(DY$1,'STOPE SUMMARY PIVOT'!$A$2306:$A$2433, 0))</f>
        <v>0</v>
      </c>
      <c r="EA65" s="172">
        <f>INDEX('STOPE SUMMARY PIVOT'!$J$2306:$J$2433, MATCH(EA$1,'STOPE SUMMARY PIVOT'!$A$2306:$A$2433, 0))</f>
        <v>0</v>
      </c>
      <c r="EB65" s="176">
        <f>INDEX('STOPE SUMMARY PIVOT'!$K$2306:$K$2433, MATCH(EA$1,'STOPE SUMMARY PIVOT'!$A$2306:$A$2433, 0))</f>
        <v>0</v>
      </c>
      <c r="EC65" s="172">
        <f>INDEX('STOPE SUMMARY PIVOT'!$J$2306:$J$2433, MATCH(EC$1,'STOPE SUMMARY PIVOT'!$A$2306:$A$2433, 0))</f>
        <v>0</v>
      </c>
      <c r="ED65" s="176">
        <f>INDEX('STOPE SUMMARY PIVOT'!$K$2306:$K$2433, MATCH(EC$1,'STOPE SUMMARY PIVOT'!$A$2306:$A$2433, 0))</f>
        <v>0</v>
      </c>
      <c r="EE65" s="172">
        <f>INDEX('STOPE SUMMARY PIVOT'!$J$2306:$J$2433, MATCH(EE$1,'STOPE SUMMARY PIVOT'!$A$2306:$A$2433, 0))</f>
        <v>0</v>
      </c>
      <c r="EF65" s="176">
        <f>INDEX('STOPE SUMMARY PIVOT'!$K$2306:$K$2433, MATCH(EE$1,'STOPE SUMMARY PIVOT'!$A$2306:$A$2433, 0))</f>
        <v>0</v>
      </c>
      <c r="EG65" s="172">
        <f>INDEX('STOPE SUMMARY PIVOT'!$J$2306:$J$2433, MATCH(EG$1,'STOPE SUMMARY PIVOT'!$A$2306:$A$2433, 0))</f>
        <v>0</v>
      </c>
      <c r="EH65" s="176">
        <f>INDEX('STOPE SUMMARY PIVOT'!$K$2306:$K$2433, MATCH(EG$1,'STOPE SUMMARY PIVOT'!$A$2306:$A$2433, 0))</f>
        <v>0</v>
      </c>
      <c r="EI65" s="172">
        <f>INDEX('STOPE SUMMARY PIVOT'!$J$2306:$J$2433, MATCH(EI$1,'STOPE SUMMARY PIVOT'!$A$2306:$A$2433, 0))</f>
        <v>0</v>
      </c>
      <c r="EJ65" s="176">
        <f>INDEX('STOPE SUMMARY PIVOT'!$K$2306:$K$2433, MATCH(EI$1,'STOPE SUMMARY PIVOT'!$A$2306:$A$2433, 0))</f>
        <v>0</v>
      </c>
      <c r="EK65" s="172">
        <f>INDEX('STOPE SUMMARY PIVOT'!$J$2306:$J$2433, MATCH(EK$1,'STOPE SUMMARY PIVOT'!$A$2306:$A$2433, 0))</f>
        <v>0</v>
      </c>
      <c r="EL65" s="176">
        <f>INDEX('STOPE SUMMARY PIVOT'!$K$2306:$K$2433, MATCH(EK$1,'STOPE SUMMARY PIVOT'!$A$2306:$A$2433, 0))</f>
        <v>0</v>
      </c>
      <c r="EM65" s="172">
        <f>INDEX('STOPE SUMMARY PIVOT'!$J$2306:$J$2433, MATCH(EM$1,'STOPE SUMMARY PIVOT'!$A$2306:$A$2433, 0))</f>
        <v>0</v>
      </c>
      <c r="EN65" s="176">
        <f>INDEX('STOPE SUMMARY PIVOT'!$K$2306:$K$2433, MATCH(EM$1,'STOPE SUMMARY PIVOT'!$A$2306:$A$2433, 0))</f>
        <v>0</v>
      </c>
      <c r="EO65" s="172">
        <f>INDEX('STOPE SUMMARY PIVOT'!$J$2306:$J$2433, MATCH(EO$1,'STOPE SUMMARY PIVOT'!$A$2306:$A$2433, 0))</f>
        <v>0</v>
      </c>
      <c r="EP65" s="176">
        <f>INDEX('STOPE SUMMARY PIVOT'!$K$2306:$K$2433, MATCH(EO$1,'STOPE SUMMARY PIVOT'!$A$2306:$A$2433, 0))</f>
        <v>0</v>
      </c>
      <c r="EQ65" s="172">
        <f>INDEX('STOPE SUMMARY PIVOT'!$J$2306:$J$2433, MATCH(EQ$1,'STOPE SUMMARY PIVOT'!$A$2306:$A$2433, 0))</f>
        <v>0</v>
      </c>
      <c r="ER65" s="176">
        <f>INDEX('STOPE SUMMARY PIVOT'!$K$2306:$K$2433, MATCH(EQ$1,'STOPE SUMMARY PIVOT'!$A$2306:$A$2433, 0))</f>
        <v>0</v>
      </c>
      <c r="ES65" s="172">
        <f>INDEX('STOPE SUMMARY PIVOT'!$J$2306:$J$2433, MATCH(ES$1,'STOPE SUMMARY PIVOT'!$A$2306:$A$2433, 0))</f>
        <v>0</v>
      </c>
      <c r="ET65" s="176">
        <f>INDEX('STOPE SUMMARY PIVOT'!$K$2306:$K$2433, MATCH(ES$1,'STOPE SUMMARY PIVOT'!$A$2306:$A$2433, 0))</f>
        <v>0</v>
      </c>
      <c r="EU65" s="172">
        <f>INDEX('STOPE SUMMARY PIVOT'!$J$2306:$J$2433, MATCH(EU$1,'STOPE SUMMARY PIVOT'!$A$2306:$A$2433, 0))</f>
        <v>0</v>
      </c>
      <c r="EV65" s="176">
        <f>INDEX('STOPE SUMMARY PIVOT'!$K$2306:$K$2433, MATCH(EU$1,'STOPE SUMMARY PIVOT'!$A$2306:$A$2433, 0))</f>
        <v>0</v>
      </c>
      <c r="EW65" s="172">
        <f>INDEX('STOPE SUMMARY PIVOT'!$J$2306:$J$2433, MATCH(EW$1,'STOPE SUMMARY PIVOT'!$A$2306:$A$2433, 0))</f>
        <v>0</v>
      </c>
      <c r="EX65" s="176">
        <f>INDEX('STOPE SUMMARY PIVOT'!$K$2306:$K$2433, MATCH(EW$1,'STOPE SUMMARY PIVOT'!$A$2306:$A$2433, 0))</f>
        <v>0</v>
      </c>
      <c r="EY65" s="172">
        <f>INDEX('STOPE SUMMARY PIVOT'!$J$2306:$J$2433, MATCH(EY$1,'STOPE SUMMARY PIVOT'!$A$2306:$A$2433, 0))</f>
        <v>0</v>
      </c>
      <c r="EZ65" s="176">
        <f>INDEX('STOPE SUMMARY PIVOT'!$K$2306:$K$2433, MATCH(EY$1,'STOPE SUMMARY PIVOT'!$A$2306:$A$2433, 0))</f>
        <v>0</v>
      </c>
      <c r="FA65" s="172">
        <f>INDEX('STOPE SUMMARY PIVOT'!$J$2306:$J$2433, MATCH(FA$1,'STOPE SUMMARY PIVOT'!$A$2306:$A$2433, 0))</f>
        <v>0</v>
      </c>
      <c r="FB65" s="176">
        <f>INDEX('STOPE SUMMARY PIVOT'!$K$2306:$K$2433, MATCH(FA$1,'STOPE SUMMARY PIVOT'!$A$2306:$A$2433, 0))</f>
        <v>0</v>
      </c>
      <c r="FC65" s="172">
        <f>INDEX('STOPE SUMMARY PIVOT'!$J$2306:$J$2433, MATCH(FC$1,'STOPE SUMMARY PIVOT'!$A$2306:$A$2433, 0))</f>
        <v>0</v>
      </c>
      <c r="FD65" s="176">
        <f>INDEX('STOPE SUMMARY PIVOT'!$K$2306:$K$2433, MATCH(FC$1,'STOPE SUMMARY PIVOT'!$A$2306:$A$2433, 0))</f>
        <v>0</v>
      </c>
      <c r="FE65" s="172">
        <f>INDEX('STOPE SUMMARY PIVOT'!$J$2306:$J$2433, MATCH(FE$1,'STOPE SUMMARY PIVOT'!$A$2306:$A$2433, 0))</f>
        <v>0</v>
      </c>
      <c r="FF65" s="176">
        <f>INDEX('STOPE SUMMARY PIVOT'!$K$2306:$K$2433, MATCH(FE$1,'STOPE SUMMARY PIVOT'!$A$2306:$A$2433, 0))</f>
        <v>0</v>
      </c>
      <c r="FG65" s="172">
        <f>INDEX('STOPE SUMMARY PIVOT'!$J$2306:$J$2433, MATCH(FG$1,'STOPE SUMMARY PIVOT'!$A$2306:$A$2433, 0))</f>
        <v>0</v>
      </c>
      <c r="FH65" s="176">
        <f>INDEX('STOPE SUMMARY PIVOT'!$K$2306:$K$2433, MATCH(FG$1,'STOPE SUMMARY PIVOT'!$A$2306:$A$2433, 0))</f>
        <v>0</v>
      </c>
      <c r="FI65" s="172">
        <f>INDEX('STOPE SUMMARY PIVOT'!$J$2306:$J$2433, MATCH(FI$1,'STOPE SUMMARY PIVOT'!$A$2306:$A$2433, 0))</f>
        <v>0</v>
      </c>
      <c r="FJ65" s="176">
        <f>INDEX('STOPE SUMMARY PIVOT'!$K$2306:$K$2433, MATCH(FI$1,'STOPE SUMMARY PIVOT'!$A$2306:$A$2433, 0))</f>
        <v>0</v>
      </c>
      <c r="FK65" s="172">
        <f>INDEX('STOPE SUMMARY PIVOT'!$J$2306:$J$2433, MATCH(FK$1,'STOPE SUMMARY PIVOT'!$A$2306:$A$2433, 0))</f>
        <v>0</v>
      </c>
      <c r="FL65" s="176">
        <f>INDEX('STOPE SUMMARY PIVOT'!$K$2306:$K$2433, MATCH(FK$1,'STOPE SUMMARY PIVOT'!$A$2306:$A$2433, 0))</f>
        <v>0</v>
      </c>
      <c r="FM65" s="172">
        <f>INDEX('STOPE SUMMARY PIVOT'!$J$2306:$J$2433, MATCH(FM$1,'STOPE SUMMARY PIVOT'!$A$2306:$A$2433, 0))</f>
        <v>0</v>
      </c>
      <c r="FN65" s="176">
        <f>INDEX('STOPE SUMMARY PIVOT'!$K$2306:$K$2433, MATCH(FM$1,'STOPE SUMMARY PIVOT'!$A$2306:$A$2433, 0))</f>
        <v>0</v>
      </c>
      <c r="FO65" s="172">
        <f>INDEX('STOPE SUMMARY PIVOT'!$J$2306:$J$2433, MATCH(FO$1,'STOPE SUMMARY PIVOT'!$A$2306:$A$2433, 0))</f>
        <v>0</v>
      </c>
      <c r="FP65" s="176">
        <f>INDEX('STOPE SUMMARY PIVOT'!$K$2306:$K$2433, MATCH(FO$1,'STOPE SUMMARY PIVOT'!$A$2306:$A$2433, 0))</f>
        <v>0</v>
      </c>
      <c r="FQ65" s="172">
        <f>INDEX('STOPE SUMMARY PIVOT'!$J$2306:$J$2433, MATCH(FQ$1,'STOPE SUMMARY PIVOT'!$A$2306:$A$2433, 0))</f>
        <v>0</v>
      </c>
      <c r="FR65" s="176">
        <f>INDEX('STOPE SUMMARY PIVOT'!$K$2306:$K$2433, MATCH(FQ$1,'STOPE SUMMARY PIVOT'!$A$2306:$A$2433, 0))</f>
        <v>0</v>
      </c>
      <c r="FS65" s="172">
        <f>INDEX('STOPE SUMMARY PIVOT'!$J$2306:$J$2433, MATCH(FS$1,'STOPE SUMMARY PIVOT'!$A$2306:$A$2433, 0))</f>
        <v>0</v>
      </c>
      <c r="FT65" s="176">
        <f>INDEX('STOPE SUMMARY PIVOT'!$K$2306:$K$2433, MATCH(FS$1,'STOPE SUMMARY PIVOT'!$A$2306:$A$2433, 0))</f>
        <v>0</v>
      </c>
      <c r="FU65" s="172">
        <f>INDEX('STOPE SUMMARY PIVOT'!$J$2306:$J$2433, MATCH(FU$1,'STOPE SUMMARY PIVOT'!$A$2306:$A$2433, 0))</f>
        <v>0</v>
      </c>
      <c r="FV65" s="176">
        <f>INDEX('STOPE SUMMARY PIVOT'!$K$2306:$K$2433, MATCH(FU$1,'STOPE SUMMARY PIVOT'!$A$2306:$A$2433, 0))</f>
        <v>0</v>
      </c>
      <c r="FW65" s="172">
        <f>INDEX('STOPE SUMMARY PIVOT'!$J$2306:$J$2433, MATCH(FW$1,'STOPE SUMMARY PIVOT'!$A$2306:$A$2433, 0))</f>
        <v>0</v>
      </c>
      <c r="FX65" s="176">
        <f>INDEX('STOPE SUMMARY PIVOT'!$K$2306:$K$2433, MATCH(FW$1,'STOPE SUMMARY PIVOT'!$A$2306:$A$2433, 0))</f>
        <v>0</v>
      </c>
      <c r="FY65" s="172">
        <f>INDEX('STOPE SUMMARY PIVOT'!$J$2306:$J$2433, MATCH(FY$1,'STOPE SUMMARY PIVOT'!$A$2306:$A$2433, 0))</f>
        <v>0</v>
      </c>
      <c r="FZ65" s="176">
        <f>INDEX('STOPE SUMMARY PIVOT'!$K$2306:$K$2433, MATCH(FY$1,'STOPE SUMMARY PIVOT'!$A$2306:$A$2433, 0))</f>
        <v>0</v>
      </c>
      <c r="GA65" s="172">
        <f>INDEX('STOPE SUMMARY PIVOT'!$J$2306:$J$2433, MATCH(GA$1,'STOPE SUMMARY PIVOT'!$A$2306:$A$2433, 0))</f>
        <v>0</v>
      </c>
      <c r="GB65" s="176">
        <f>INDEX('STOPE SUMMARY PIVOT'!$K$2306:$K$2433, MATCH(GA$1,'STOPE SUMMARY PIVOT'!$A$2306:$A$2433, 0))</f>
        <v>0</v>
      </c>
      <c r="GC65" s="172">
        <f>INDEX('STOPE SUMMARY PIVOT'!$J$2306:$J$2433, MATCH(GC$1,'STOPE SUMMARY PIVOT'!$A$2306:$A$2433, 0))</f>
        <v>0</v>
      </c>
      <c r="GD65" s="176">
        <f>INDEX('STOPE SUMMARY PIVOT'!$K$2306:$K$2433, MATCH(GC$1,'STOPE SUMMARY PIVOT'!$A$2306:$A$2433, 0))</f>
        <v>0</v>
      </c>
      <c r="GE65" s="172">
        <f>INDEX('STOPE SUMMARY PIVOT'!$J$2306:$J$2433, MATCH(GE$1,'STOPE SUMMARY PIVOT'!$A$2306:$A$2433, 0))</f>
        <v>0</v>
      </c>
      <c r="GF65" s="176">
        <f>INDEX('STOPE SUMMARY PIVOT'!$K$2306:$K$2433, MATCH(GE$1,'STOPE SUMMARY PIVOT'!$A$2306:$A$2433, 0))</f>
        <v>0</v>
      </c>
      <c r="GG65" s="172">
        <f>INDEX('STOPE SUMMARY PIVOT'!$J$2306:$J$2433, MATCH(GG$1,'STOPE SUMMARY PIVOT'!$A$2306:$A$2433, 0))</f>
        <v>0</v>
      </c>
      <c r="GH65" s="176">
        <f>INDEX('STOPE SUMMARY PIVOT'!$K$2306:$K$2433, MATCH(GG$1,'STOPE SUMMARY PIVOT'!$A$2306:$A$2433, 0))</f>
        <v>0</v>
      </c>
      <c r="GI65" s="172">
        <f>INDEX('STOPE SUMMARY PIVOT'!$J$2306:$J$2433, MATCH(GI$1,'STOPE SUMMARY PIVOT'!$A$2306:$A$2433, 0))</f>
        <v>0</v>
      </c>
      <c r="GJ65" s="176">
        <f>INDEX('STOPE SUMMARY PIVOT'!$K$2306:$K$2433, MATCH(GI$1,'STOPE SUMMARY PIVOT'!$A$2306:$A$2433, 0))</f>
        <v>0</v>
      </c>
      <c r="GK65" s="172">
        <f>INDEX('STOPE SUMMARY PIVOT'!$J$2306:$J$2433, MATCH(GK$1,'STOPE SUMMARY PIVOT'!$A$2306:$A$2433, 0))</f>
        <v>0</v>
      </c>
      <c r="GL65" s="176">
        <f>INDEX('STOPE SUMMARY PIVOT'!$K$2306:$K$2433, MATCH(GK$1,'STOPE SUMMARY PIVOT'!$A$2306:$A$2433, 0))</f>
        <v>0</v>
      </c>
      <c r="GM65" s="172">
        <f>INDEX('STOPE SUMMARY PIVOT'!$J$2306:$J$2433, MATCH(GM$1,'STOPE SUMMARY PIVOT'!$A$2306:$A$2433, 0))</f>
        <v>0</v>
      </c>
      <c r="GN65" s="176">
        <f>INDEX('STOPE SUMMARY PIVOT'!$K$2306:$K$2433, MATCH(GM$1,'STOPE SUMMARY PIVOT'!$A$2306:$A$2433, 0))</f>
        <v>0</v>
      </c>
      <c r="GO65" s="172">
        <f>INDEX('STOPE SUMMARY PIVOT'!$J$2306:$J$2433, MATCH(GO$1,'STOPE SUMMARY PIVOT'!$A$2306:$A$2433, 0))</f>
        <v>0</v>
      </c>
      <c r="GP65" s="176">
        <f>INDEX('STOPE SUMMARY PIVOT'!$K$2306:$K$2433, MATCH(GO$1,'STOPE SUMMARY PIVOT'!$A$2306:$A$2433, 0))</f>
        <v>0</v>
      </c>
      <c r="GQ65" s="172">
        <f>INDEX('STOPE SUMMARY PIVOT'!$J$2306:$J$2433, MATCH(GQ$1,'STOPE SUMMARY PIVOT'!$A$2306:$A$2433, 0))</f>
        <v>0</v>
      </c>
      <c r="GR65" s="176">
        <f>INDEX('STOPE SUMMARY PIVOT'!$K$2306:$K$2433, MATCH(GQ$1,'STOPE SUMMARY PIVOT'!$A$2306:$A$2433, 0))</f>
        <v>0</v>
      </c>
      <c r="GS65" s="172">
        <f>INDEX('STOPE SUMMARY PIVOT'!$J$2306:$J$2433, MATCH(GS$1,'STOPE SUMMARY PIVOT'!$A$2306:$A$2433, 0))</f>
        <v>0</v>
      </c>
      <c r="GT65" s="176">
        <f>INDEX('STOPE SUMMARY PIVOT'!$K$2306:$K$2433, MATCH(GS$1,'STOPE SUMMARY PIVOT'!$A$2306:$A$2433, 0))</f>
        <v>0</v>
      </c>
      <c r="GU65" s="172">
        <f>INDEX('STOPE SUMMARY PIVOT'!$J$2306:$J$2433, MATCH(GU$1,'STOPE SUMMARY PIVOT'!$A$2306:$A$2433, 0))</f>
        <v>0</v>
      </c>
      <c r="GV65" s="176">
        <f>INDEX('STOPE SUMMARY PIVOT'!$K$2306:$K$2433, MATCH(GU$1,'STOPE SUMMARY PIVOT'!$A$2306:$A$2433, 0))</f>
        <v>0</v>
      </c>
      <c r="GW65" s="172">
        <f>INDEX('STOPE SUMMARY PIVOT'!$J$2306:$J$2433, MATCH(GW$1,'STOPE SUMMARY PIVOT'!$A$2306:$A$2433, 0))</f>
        <v>0</v>
      </c>
      <c r="GX65" s="176">
        <f>INDEX('STOPE SUMMARY PIVOT'!$K$2306:$K$2433, MATCH(GW$1,'STOPE SUMMARY PIVOT'!$A$2306:$A$2433, 0))</f>
        <v>0</v>
      </c>
      <c r="GY65" s="172">
        <f>INDEX('STOPE SUMMARY PIVOT'!$J$2306:$J$2433, MATCH(GY$1,'STOPE SUMMARY PIVOT'!$A$2306:$A$2433, 0))</f>
        <v>0</v>
      </c>
      <c r="GZ65" s="176">
        <f>INDEX('STOPE SUMMARY PIVOT'!$K$2306:$K$2433, MATCH(GY$1,'STOPE SUMMARY PIVOT'!$A$2306:$A$2433, 0))</f>
        <v>0</v>
      </c>
      <c r="HA65" s="172">
        <f>INDEX('STOPE SUMMARY PIVOT'!$J$2306:$J$2433, MATCH(HA$1,'STOPE SUMMARY PIVOT'!$A$2306:$A$2433, 0))</f>
        <v>0</v>
      </c>
      <c r="HB65" s="176">
        <f>INDEX('STOPE SUMMARY PIVOT'!$K$2306:$K$2433, MATCH(HA$1,'STOPE SUMMARY PIVOT'!$A$2306:$A$2433, 0))</f>
        <v>0</v>
      </c>
      <c r="HC65" s="172">
        <f>INDEX('STOPE SUMMARY PIVOT'!$J$2306:$J$2433, MATCH(HC$1,'STOPE SUMMARY PIVOT'!$A$2306:$A$2433, 0))</f>
        <v>0</v>
      </c>
      <c r="HD65" s="176">
        <f>INDEX('STOPE SUMMARY PIVOT'!$K$2306:$K$2433, MATCH(HC$1,'STOPE SUMMARY PIVOT'!$A$2306:$A$2433, 0))</f>
        <v>0</v>
      </c>
      <c r="HE65" s="172">
        <f>INDEX('STOPE SUMMARY PIVOT'!$J$2306:$J$2433, MATCH(HE$1,'STOPE SUMMARY PIVOT'!$A$2306:$A$2433, 0))</f>
        <v>0</v>
      </c>
      <c r="HF65" s="176">
        <f>INDEX('STOPE SUMMARY PIVOT'!$K$2306:$K$2433, MATCH(HE$1,'STOPE SUMMARY PIVOT'!$A$2306:$A$2433, 0))</f>
        <v>0</v>
      </c>
      <c r="HG65" s="172">
        <f>INDEX('STOPE SUMMARY PIVOT'!$J$2306:$J$2433, MATCH(HG$1,'STOPE SUMMARY PIVOT'!$A$2306:$A$2433, 0))</f>
        <v>0</v>
      </c>
      <c r="HH65" s="176">
        <f>INDEX('STOPE SUMMARY PIVOT'!$K$2306:$K$2433, MATCH(HG$1,'STOPE SUMMARY PIVOT'!$A$2306:$A$2433, 0))</f>
        <v>0</v>
      </c>
      <c r="HI65" s="172">
        <f>INDEX('STOPE SUMMARY PIVOT'!$J$2306:$J$2433, MATCH(HI$1,'STOPE SUMMARY PIVOT'!$A$2306:$A$2433, 0))</f>
        <v>0</v>
      </c>
      <c r="HJ65" s="176">
        <f>INDEX('STOPE SUMMARY PIVOT'!$K$2306:$K$2433, MATCH(HI$1,'STOPE SUMMARY PIVOT'!$A$2306:$A$2433, 0))</f>
        <v>0</v>
      </c>
      <c r="HK65" s="172">
        <f>INDEX('STOPE SUMMARY PIVOT'!$J$2306:$J$2433, MATCH(HK$1,'STOPE SUMMARY PIVOT'!$A$2306:$A$2433, 0))</f>
        <v>0</v>
      </c>
      <c r="HL65" s="176">
        <f>INDEX('STOPE SUMMARY PIVOT'!$K$2306:$K$2433, MATCH(HK$1,'STOPE SUMMARY PIVOT'!$A$2306:$A$2433, 0))</f>
        <v>0</v>
      </c>
      <c r="HM65" s="172">
        <f>INDEX('STOPE SUMMARY PIVOT'!$J$2306:$J$2433, MATCH(HM$1,'STOPE SUMMARY PIVOT'!$A$2306:$A$2433, 0))</f>
        <v>0</v>
      </c>
      <c r="HN65" s="176">
        <f>INDEX('STOPE SUMMARY PIVOT'!$K$2306:$K$2433, MATCH(HM$1,'STOPE SUMMARY PIVOT'!$A$2306:$A$2433, 0))</f>
        <v>0</v>
      </c>
      <c r="HO65" s="172">
        <f>INDEX('STOPE SUMMARY PIVOT'!$J$2306:$J$2433, MATCH(HO$1,'STOPE SUMMARY PIVOT'!$A$2306:$A$2433, 0))</f>
        <v>0</v>
      </c>
      <c r="HP65" s="176">
        <f>INDEX('STOPE SUMMARY PIVOT'!$K$2306:$K$2433, MATCH(HO$1,'STOPE SUMMARY PIVOT'!$A$2306:$A$2433, 0))</f>
        <v>0</v>
      </c>
      <c r="HQ65" s="172">
        <f>INDEX('STOPE SUMMARY PIVOT'!$J$2306:$J$2433, MATCH(HQ$1,'STOPE SUMMARY PIVOT'!$A$2306:$A$2433, 0))</f>
        <v>0</v>
      </c>
      <c r="HR65" s="176">
        <f>INDEX('STOPE SUMMARY PIVOT'!$K$2306:$K$2433, MATCH(HQ$1,'STOPE SUMMARY PIVOT'!$A$2306:$A$2433, 0))</f>
        <v>0</v>
      </c>
      <c r="HS65" s="172">
        <f>INDEX('STOPE SUMMARY PIVOT'!$J$2306:$J$2433, MATCH(HS$1,'STOPE SUMMARY PIVOT'!$A$2306:$A$2433, 0))</f>
        <v>0</v>
      </c>
      <c r="HT65" s="176">
        <f>INDEX('STOPE SUMMARY PIVOT'!$K$2306:$K$2433, MATCH(HS$1,'STOPE SUMMARY PIVOT'!$A$2306:$A$2433, 0))</f>
        <v>0</v>
      </c>
      <c r="HU65" s="172">
        <f>INDEX('STOPE SUMMARY PIVOT'!$J$2306:$J$2433, MATCH(HU$1,'STOPE SUMMARY PIVOT'!$A$2306:$A$2433, 0))</f>
        <v>0</v>
      </c>
      <c r="HV65" s="176">
        <f>INDEX('STOPE SUMMARY PIVOT'!$K$2306:$K$2433, MATCH(HU$1,'STOPE SUMMARY PIVOT'!$A$2306:$A$2433, 0))</f>
        <v>0</v>
      </c>
      <c r="HW65" s="172">
        <f>INDEX('STOPE SUMMARY PIVOT'!$J$2306:$J$2433, MATCH(HW$1,'STOPE SUMMARY PIVOT'!$A$2306:$A$2433, 0))</f>
        <v>0</v>
      </c>
      <c r="HX65" s="176">
        <f>INDEX('STOPE SUMMARY PIVOT'!$K$2306:$K$2433, MATCH(HW$1,'STOPE SUMMARY PIVOT'!$A$2306:$A$2433, 0))</f>
        <v>0</v>
      </c>
      <c r="HY65" s="172">
        <f>INDEX('STOPE SUMMARY PIVOT'!$J$2306:$J$2433, MATCH(HY$1,'STOPE SUMMARY PIVOT'!$A$2306:$A$2433, 0))</f>
        <v>0</v>
      </c>
      <c r="HZ65" s="176">
        <f>INDEX('STOPE SUMMARY PIVOT'!$K$2306:$K$2433, MATCH(HY$1,'STOPE SUMMARY PIVOT'!$A$2306:$A$2433, 0))</f>
        <v>0</v>
      </c>
      <c r="IA65" s="172">
        <f>INDEX('STOPE SUMMARY PIVOT'!$J$2306:$J$2433, MATCH(IA$1,'STOPE SUMMARY PIVOT'!$A$2306:$A$2433, 0))</f>
        <v>0</v>
      </c>
      <c r="IB65" s="176">
        <f>INDEX('STOPE SUMMARY PIVOT'!$K$2306:$K$2433, MATCH(IA$1,'STOPE SUMMARY PIVOT'!$A$2306:$A$2433, 0))</f>
        <v>0</v>
      </c>
      <c r="IC65" s="172">
        <f>INDEX('STOPE SUMMARY PIVOT'!$J$2306:$J$2433, MATCH(IC$1,'STOPE SUMMARY PIVOT'!$A$2306:$A$2433, 0))</f>
        <v>0</v>
      </c>
      <c r="ID65" s="176">
        <f>INDEX('STOPE SUMMARY PIVOT'!$K$2306:$K$2433, MATCH(IC$1,'STOPE SUMMARY PIVOT'!$A$2306:$A$2433, 0))</f>
        <v>0</v>
      </c>
      <c r="IE65" s="172">
        <f>INDEX('STOPE SUMMARY PIVOT'!$J$2306:$J$2433, MATCH(IE$1,'STOPE SUMMARY PIVOT'!$A$2306:$A$2433, 0))</f>
        <v>0</v>
      </c>
      <c r="IF65" s="176">
        <f>INDEX('STOPE SUMMARY PIVOT'!$K$2306:$K$2433, MATCH(IE$1,'STOPE SUMMARY PIVOT'!$A$2306:$A$2433, 0))</f>
        <v>0</v>
      </c>
      <c r="IG65" s="172">
        <f>INDEX('STOPE SUMMARY PIVOT'!$J$2306:$J$2433, MATCH(IG$1,'STOPE SUMMARY PIVOT'!$A$2306:$A$2433, 0))</f>
        <v>0</v>
      </c>
      <c r="IH65" s="176">
        <f>INDEX('STOPE SUMMARY PIVOT'!$K$2306:$K$2433, MATCH(IG$1,'STOPE SUMMARY PIVOT'!$A$2306:$A$2433, 0))</f>
        <v>0</v>
      </c>
      <c r="II65" s="172">
        <f>INDEX('STOPE SUMMARY PIVOT'!$J$2306:$J$2433, MATCH(II$1,'STOPE SUMMARY PIVOT'!$A$2306:$A$2433, 0))</f>
        <v>0</v>
      </c>
      <c r="IJ65" s="176">
        <f>INDEX('STOPE SUMMARY PIVOT'!$K$2306:$K$2433, MATCH(II$1,'STOPE SUMMARY PIVOT'!$A$2306:$A$2433, 0))</f>
        <v>0</v>
      </c>
      <c r="IK65" s="172">
        <f>INDEX('STOPE SUMMARY PIVOT'!$J$2306:$J$2433, MATCH(IK$1,'STOPE SUMMARY PIVOT'!$A$2306:$A$2433, 0))</f>
        <v>0</v>
      </c>
      <c r="IL65" s="176">
        <f>INDEX('STOPE SUMMARY PIVOT'!$K$2306:$K$2433, MATCH(IK$1,'STOPE SUMMARY PIVOT'!$A$2306:$A$2433, 0))</f>
        <v>0</v>
      </c>
      <c r="IM65" s="172">
        <f>INDEX('STOPE SUMMARY PIVOT'!$J$2306:$J$2433, MATCH(IM$1,'STOPE SUMMARY PIVOT'!$A$2306:$A$2433, 0))</f>
        <v>0</v>
      </c>
      <c r="IN65" s="176">
        <f>INDEX('STOPE SUMMARY PIVOT'!$K$2306:$K$2433, MATCH(IM$1,'STOPE SUMMARY PIVOT'!$A$2306:$A$2433, 0))</f>
        <v>0</v>
      </c>
      <c r="IO65" s="172">
        <f>INDEX('STOPE SUMMARY PIVOT'!$J$2306:$J$2433, MATCH(IO$1,'STOPE SUMMARY PIVOT'!$A$2306:$A$2433, 0))</f>
        <v>0</v>
      </c>
      <c r="IP65" s="176">
        <f>INDEX('STOPE SUMMARY PIVOT'!$K$2306:$K$2433, MATCH(IO$1,'STOPE SUMMARY PIVOT'!$A$2306:$A$2433, 0))</f>
        <v>0</v>
      </c>
      <c r="IQ65" s="172">
        <f>INDEX('STOPE SUMMARY PIVOT'!$J$2306:$J$2433, MATCH(IQ$1,'STOPE SUMMARY PIVOT'!$A$2306:$A$2433, 0))</f>
        <v>0</v>
      </c>
      <c r="IR65" s="176">
        <f>INDEX('STOPE SUMMARY PIVOT'!$K$2306:$K$2433, MATCH(IQ$1,'STOPE SUMMARY PIVOT'!$A$2306:$A$2433, 0))</f>
        <v>0</v>
      </c>
      <c r="IS65" s="172">
        <f>INDEX('STOPE SUMMARY PIVOT'!$J$2306:$J$2433, MATCH(IS$1,'STOPE SUMMARY PIVOT'!$A$2306:$A$2433, 0))</f>
        <v>0</v>
      </c>
      <c r="IT65" s="176">
        <f>INDEX('STOPE SUMMARY PIVOT'!$K$2306:$K$2433, MATCH(IS$1,'STOPE SUMMARY PIVOT'!$A$2306:$A$2433, 0))</f>
        <v>0</v>
      </c>
      <c r="IU65" s="172">
        <f>INDEX('STOPE SUMMARY PIVOT'!$J$2306:$J$2433, MATCH(IU$1,'STOPE SUMMARY PIVOT'!$A$2306:$A$2433, 0))</f>
        <v>0</v>
      </c>
      <c r="IV65" s="176">
        <f>INDEX('STOPE SUMMARY PIVOT'!$K$2306:$K$2433, MATCH(IU$1,'STOPE SUMMARY PIVOT'!$A$2306:$A$2433, 0))</f>
        <v>0</v>
      </c>
      <c r="IW65" s="172">
        <f>INDEX('STOPE SUMMARY PIVOT'!$J$2306:$J$2433, MATCH(IW$1,'STOPE SUMMARY PIVOT'!$A$2306:$A$2433, 0))</f>
        <v>0</v>
      </c>
      <c r="IX65" s="176">
        <f>INDEX('STOPE SUMMARY PIVOT'!$K$2306:$K$2433, MATCH(IW$1,'STOPE SUMMARY PIVOT'!$A$2306:$A$2433, 0))</f>
        <v>0</v>
      </c>
      <c r="IY65" s="172">
        <f>INDEX('STOPE SUMMARY PIVOT'!$J$2306:$J$2433, MATCH(IY$1,'STOPE SUMMARY PIVOT'!$A$2306:$A$2433, 0))</f>
        <v>0</v>
      </c>
      <c r="IZ65" s="176">
        <f>INDEX('STOPE SUMMARY PIVOT'!$K$2306:$K$2433, MATCH(IY$1,'STOPE SUMMARY PIVOT'!$A$2306:$A$2433, 0))</f>
        <v>0</v>
      </c>
    </row>
    <row r="66" spans="1:260" x14ac:dyDescent="0.25">
      <c r="A66" s="1589">
        <v>45870</v>
      </c>
      <c r="B66" s="162" t="s">
        <v>218</v>
      </c>
      <c r="C66" s="163" cm="1">
        <f t="array" ref="C66">SUM(_xlfn._xlws.FILTER(E66:IZ66, MOD(COLUMN(E66:IZ66)-COLUMN(E66)+1,2)=1))</f>
        <v>17217</v>
      </c>
      <c r="D66" s="164" cm="1">
        <f t="array" ref="D66">SUMPRODUCT(_xlfn._xlws.FILTER(E66:IZ66, MOD(COLUMN(E66:IZ66)-COLUMN(E66)+1,2)=1), _xlfn._xlws.FILTER(E66:IZ66, MOD(COLUMN(E66:IZ66)-COLUMN(E66)+1,2)=0))/C66</f>
        <v>2.5578933612127548</v>
      </c>
      <c r="E66" s="165">
        <f>INDEX('STOPE SUMMARY PIVOT'!$D$2434:$D$2561, MATCH(E$1,'STOPE SUMMARY PIVOT'!$A$2434:$A$2561, 0))</f>
        <v>1050</v>
      </c>
      <c r="F66" s="174">
        <f>INDEX('STOPE SUMMARY PIVOT'!$E$2434:$E$2561, MATCH(E$1,'STOPE SUMMARY PIVOT'!$A$2434:$A$2561, 0))</f>
        <v>0.52</v>
      </c>
      <c r="G66" s="165">
        <f>INDEX('STOPE SUMMARY PIVOT'!$D$2434:$D$2561, MATCH(G$1,'STOPE SUMMARY PIVOT'!$A$2434:$A$2561, 0))</f>
        <v>0</v>
      </c>
      <c r="H66" s="174">
        <f>INDEX('STOPE SUMMARY PIVOT'!$E$2434:$E$2561, MATCH(G$1,'STOPE SUMMARY PIVOT'!$A$2434:$A$2561, 0))</f>
        <v>0</v>
      </c>
      <c r="I66" s="165">
        <f>INDEX('STOPE SUMMARY PIVOT'!$D$2434:$D$2561, MATCH(I$1,'STOPE SUMMARY PIVOT'!$A$2434:$A$2561, 0))</f>
        <v>0</v>
      </c>
      <c r="J66" s="166">
        <f>INDEX('STOPE SUMMARY PIVOT'!$E$2434:$E$2561, MATCH(I$1,'STOPE SUMMARY PIVOT'!$A$2434:$A$2561, 0))</f>
        <v>0</v>
      </c>
      <c r="K66" s="165">
        <f>INDEX('STOPE SUMMARY PIVOT'!$D$2434:$D$2561, MATCH(K$1,'STOPE SUMMARY PIVOT'!$A$2434:$A$2561, 0))</f>
        <v>0</v>
      </c>
      <c r="L66" s="166">
        <f>INDEX('STOPE SUMMARY PIVOT'!$E$2434:$E$2561, MATCH(K$1,'STOPE SUMMARY PIVOT'!$A$2434:$A$2561, 0))</f>
        <v>0</v>
      </c>
      <c r="M66" s="165">
        <f>INDEX('STOPE SUMMARY PIVOT'!$D$2434:$D$2561, MATCH(M$1,'STOPE SUMMARY PIVOT'!$A$2434:$A$2561, 0))</f>
        <v>0</v>
      </c>
      <c r="N66" s="166">
        <f>INDEX('STOPE SUMMARY PIVOT'!$E$2434:$E$2561, MATCH(M$1,'STOPE SUMMARY PIVOT'!$A$2434:$A$2561, 0))</f>
        <v>0</v>
      </c>
      <c r="O66" s="165">
        <f>INDEX('STOPE SUMMARY PIVOT'!$D$2434:$D$2561, MATCH(O$1,'STOPE SUMMARY PIVOT'!$A$2434:$A$2561, 0))</f>
        <v>0</v>
      </c>
      <c r="P66" s="166">
        <f>INDEX('STOPE SUMMARY PIVOT'!$E$2434:$E$2561, MATCH(O$1,'STOPE SUMMARY PIVOT'!$A$2434:$A$2561, 0))</f>
        <v>0</v>
      </c>
      <c r="Q66" s="165">
        <f>INDEX('STOPE SUMMARY PIVOT'!$D$2434:$D$2561, MATCH(Q$1,'STOPE SUMMARY PIVOT'!$A$2434:$A$2561, 0))</f>
        <v>0</v>
      </c>
      <c r="R66" s="166">
        <f>INDEX('STOPE SUMMARY PIVOT'!$E$2434:$E$2561, MATCH(Q$1,'STOPE SUMMARY PIVOT'!$A$2434:$A$2561, 0))</f>
        <v>0</v>
      </c>
      <c r="S66" s="165">
        <f>INDEX('STOPE SUMMARY PIVOT'!$D$2434:$D$2561, MATCH(S$1,'STOPE SUMMARY PIVOT'!$A$2434:$A$2561, 0))</f>
        <v>0</v>
      </c>
      <c r="T66" s="166">
        <f>INDEX('STOPE SUMMARY PIVOT'!$E$2434:$E$2561, MATCH(S$1,'STOPE SUMMARY PIVOT'!$A$2434:$A$2561, 0))</f>
        <v>0</v>
      </c>
      <c r="U66" s="165">
        <f>INDEX('STOPE SUMMARY PIVOT'!$D$2434:$D$2561, MATCH(U$1,'STOPE SUMMARY PIVOT'!$A$2434:$A$2561, 0))</f>
        <v>0</v>
      </c>
      <c r="V66" s="174">
        <f>INDEX('STOPE SUMMARY PIVOT'!$E$2434:$E$2561, MATCH(U$1,'STOPE SUMMARY PIVOT'!$A$2434:$A$2561, 0))</f>
        <v>0</v>
      </c>
      <c r="W66" s="165">
        <f>INDEX('STOPE SUMMARY PIVOT'!$D$2434:$D$2561, MATCH(W$1,'STOPE SUMMARY PIVOT'!$A$2434:$A$2561, 0))</f>
        <v>0</v>
      </c>
      <c r="X66" s="174">
        <f>INDEX('STOPE SUMMARY PIVOT'!$E$2434:$E$2561, MATCH(W$1,'STOPE SUMMARY PIVOT'!$A$2434:$A$2561, 0))</f>
        <v>0</v>
      </c>
      <c r="Y66" s="165">
        <f>INDEX('STOPE SUMMARY PIVOT'!$D$2434:$D$2561, MATCH(Y$1,'STOPE SUMMARY PIVOT'!$A$2434:$A$2561, 0))</f>
        <v>0</v>
      </c>
      <c r="Z66" s="174">
        <f>INDEX('STOPE SUMMARY PIVOT'!$E$2434:$E$2561, MATCH(Y$1,'STOPE SUMMARY PIVOT'!$A$2434:$A$2561, 0))</f>
        <v>0</v>
      </c>
      <c r="AA66" s="165">
        <f>INDEX('STOPE SUMMARY PIVOT'!$D$2434:$D$2561, MATCH(AA$1,'STOPE SUMMARY PIVOT'!$A$2434:$A$2561, 0))</f>
        <v>0</v>
      </c>
      <c r="AB66" s="174">
        <f>INDEX('STOPE SUMMARY PIVOT'!$E$2434:$E$2561, MATCH(AA$1,'STOPE SUMMARY PIVOT'!$A$2434:$A$2561, 0))</f>
        <v>0</v>
      </c>
      <c r="AC66" s="165">
        <f>INDEX('STOPE SUMMARY PIVOT'!$D$2434:$D$2561, MATCH(AC$1,'STOPE SUMMARY PIVOT'!$A$2434:$A$2561, 0))</f>
        <v>0</v>
      </c>
      <c r="AD66" s="174">
        <f>INDEX('STOPE SUMMARY PIVOT'!$E$2434:$E$2561, MATCH(AC$1,'STOPE SUMMARY PIVOT'!$A$2434:$A$2561, 0))</f>
        <v>0</v>
      </c>
      <c r="AE66" s="165">
        <f>INDEX('STOPE SUMMARY PIVOT'!$D$2434:$D$2561, MATCH(AE$1,'STOPE SUMMARY PIVOT'!$A$2434:$A$2561, 0))</f>
        <v>168</v>
      </c>
      <c r="AF66" s="174">
        <f>INDEX('STOPE SUMMARY PIVOT'!$E$2434:$E$2561, MATCH(AE$1,'STOPE SUMMARY PIVOT'!$A$2434:$A$2561, 0))</f>
        <v>1.58</v>
      </c>
      <c r="AG66" s="165">
        <f>INDEX('STOPE SUMMARY PIVOT'!$D$2434:$D$2561, MATCH(AG$1,'STOPE SUMMARY PIVOT'!$A$2434:$A$2561, 0))</f>
        <v>0</v>
      </c>
      <c r="AH66" s="174">
        <f>INDEX('STOPE SUMMARY PIVOT'!$E$2434:$E$2561, MATCH(AG$1,'STOPE SUMMARY PIVOT'!$A$2434:$A$2561, 0))</f>
        <v>0</v>
      </c>
      <c r="AI66" s="165">
        <f>INDEX('STOPE SUMMARY PIVOT'!$D$2434:$D$2561, MATCH(AI$1,'STOPE SUMMARY PIVOT'!$A$2434:$A$2561, 0))</f>
        <v>0</v>
      </c>
      <c r="AJ66" s="174">
        <f>INDEX('STOPE SUMMARY PIVOT'!$E$2434:$E$2561, MATCH(AI$1,'STOPE SUMMARY PIVOT'!$A$2434:$A$2561, 0))</f>
        <v>0</v>
      </c>
      <c r="AK66" s="165">
        <f>INDEX('STOPE SUMMARY PIVOT'!$D$2434:$D$2561, MATCH(AK$1,'STOPE SUMMARY PIVOT'!$A$2434:$A$2561, 0))</f>
        <v>0</v>
      </c>
      <c r="AL66" s="174">
        <f>INDEX('STOPE SUMMARY PIVOT'!$E$2434:$E$2561, MATCH(AK$1,'STOPE SUMMARY PIVOT'!$A$2434:$A$2561, 0))</f>
        <v>0</v>
      </c>
      <c r="AM66" s="165">
        <f>INDEX('STOPE SUMMARY PIVOT'!$D$2434:$D$2561, MATCH(AM$1,'STOPE SUMMARY PIVOT'!$A$2434:$A$2561, 0))</f>
        <v>0</v>
      </c>
      <c r="AN66" s="174">
        <f>INDEX('STOPE SUMMARY PIVOT'!$E$2434:$E$2561, MATCH(AM$1,'STOPE SUMMARY PIVOT'!$A$2434:$A$2561, 0))</f>
        <v>0</v>
      </c>
      <c r="AO66" s="165">
        <f>INDEX('STOPE SUMMARY PIVOT'!$D$2434:$D$2561, MATCH(AO$1,'STOPE SUMMARY PIVOT'!$A$2434:$A$2561, 0))</f>
        <v>0</v>
      </c>
      <c r="AP66" s="174">
        <f>INDEX('STOPE SUMMARY PIVOT'!$E$2434:$E$2561, MATCH(AO$1,'STOPE SUMMARY PIVOT'!$A$2434:$A$2561, 0))</f>
        <v>0</v>
      </c>
      <c r="AQ66" s="165">
        <f>INDEX('STOPE SUMMARY PIVOT'!$D$2434:$D$2561, MATCH(AQ$1,'STOPE SUMMARY PIVOT'!$A$2434:$A$2561, 0))</f>
        <v>0</v>
      </c>
      <c r="AR66" s="174">
        <f>INDEX('STOPE SUMMARY PIVOT'!$E$2434:$E$2561, MATCH(AQ$1,'STOPE SUMMARY PIVOT'!$A$2434:$A$2561, 0))</f>
        <v>0</v>
      </c>
      <c r="AS66" s="165">
        <f>INDEX('STOPE SUMMARY PIVOT'!$D$2434:$D$2561, MATCH(AS$1,'STOPE SUMMARY PIVOT'!$A$2434:$A$2561, 0))</f>
        <v>0</v>
      </c>
      <c r="AT66" s="174">
        <f>INDEX('STOPE SUMMARY PIVOT'!$E$2434:$E$2561, MATCH(AS$1,'STOPE SUMMARY PIVOT'!$A$2434:$A$2561, 0))</f>
        <v>0</v>
      </c>
      <c r="AU66" s="165">
        <f>INDEX('STOPE SUMMARY PIVOT'!$D$2434:$D$2561, MATCH(AU$1,'STOPE SUMMARY PIVOT'!$A$2434:$A$2561, 0))</f>
        <v>0</v>
      </c>
      <c r="AV66" s="174">
        <f>INDEX('STOPE SUMMARY PIVOT'!$E$2434:$E$2561, MATCH(AU$1,'STOPE SUMMARY PIVOT'!$A$2434:$A$2561, 0))</f>
        <v>0</v>
      </c>
      <c r="AW66" s="165">
        <f>INDEX('STOPE SUMMARY PIVOT'!$D$2434:$D$2561, MATCH(AW$1,'STOPE SUMMARY PIVOT'!$A$2434:$A$2561, 0))</f>
        <v>0</v>
      </c>
      <c r="AX66" s="174">
        <f>INDEX('STOPE SUMMARY PIVOT'!$E$2434:$E$2561, MATCH(AW$1,'STOPE SUMMARY PIVOT'!$A$2434:$A$2561, 0))</f>
        <v>0</v>
      </c>
      <c r="AY66" s="165">
        <f>INDEX('STOPE SUMMARY PIVOT'!$D$2434:$D$2561, MATCH(AY$1,'STOPE SUMMARY PIVOT'!$A$2434:$A$2561, 0))</f>
        <v>0</v>
      </c>
      <c r="AZ66" s="174">
        <f>INDEX('STOPE SUMMARY PIVOT'!$E$2434:$E$2561, MATCH(AY$1,'STOPE SUMMARY PIVOT'!$A$2434:$A$2561, 0))</f>
        <v>0</v>
      </c>
      <c r="BA66" s="165">
        <f>INDEX('STOPE SUMMARY PIVOT'!$D$2434:$D$2561, MATCH(BA$1,'STOPE SUMMARY PIVOT'!$A$2434:$A$2561, 0))</f>
        <v>0</v>
      </c>
      <c r="BB66" s="174">
        <f>INDEX('STOPE SUMMARY PIVOT'!$E$2434:$E$2561, MATCH(BA$1,'STOPE SUMMARY PIVOT'!$A$2434:$A$2561, 0))</f>
        <v>0</v>
      </c>
      <c r="BC66" s="165">
        <f>INDEX('STOPE SUMMARY PIVOT'!$D$2434:$D$2561, MATCH(BC$1,'STOPE SUMMARY PIVOT'!$A$2434:$A$2561, 0))</f>
        <v>0</v>
      </c>
      <c r="BD66" s="174">
        <f>INDEX('STOPE SUMMARY PIVOT'!$E$2434:$E$2561, MATCH(BC$1,'STOPE SUMMARY PIVOT'!$A$2434:$A$2561, 0))</f>
        <v>0</v>
      </c>
      <c r="BE66" s="165">
        <f>INDEX('STOPE SUMMARY PIVOT'!$D$2434:$D$2561, MATCH(BE$1,'STOPE SUMMARY PIVOT'!$A$2434:$A$2561, 0))</f>
        <v>0</v>
      </c>
      <c r="BF66" s="174">
        <f>INDEX('STOPE SUMMARY PIVOT'!$E$2434:$E$2561, MATCH(BE$1,'STOPE SUMMARY PIVOT'!$A$2434:$A$2561, 0))</f>
        <v>0</v>
      </c>
      <c r="BG66" s="165">
        <f>INDEX('STOPE SUMMARY PIVOT'!$D$2434:$D$2561, MATCH(BG$1,'STOPE SUMMARY PIVOT'!$A$2434:$A$2561, 0))</f>
        <v>0</v>
      </c>
      <c r="BH66" s="174">
        <f>INDEX('STOPE SUMMARY PIVOT'!$E$2434:$E$2561, MATCH(BG$1,'STOPE SUMMARY PIVOT'!$A$2434:$A$2561, 0))</f>
        <v>0</v>
      </c>
      <c r="BI66" s="165">
        <f>INDEX('STOPE SUMMARY PIVOT'!$D$2434:$D$2561, MATCH(BI$1,'STOPE SUMMARY PIVOT'!$A$2434:$A$2561, 0))</f>
        <v>0</v>
      </c>
      <c r="BJ66" s="174">
        <f>INDEX('STOPE SUMMARY PIVOT'!$E$2434:$E$2561, MATCH(BI$1,'STOPE SUMMARY PIVOT'!$A$2434:$A$2561, 0))</f>
        <v>0</v>
      </c>
      <c r="BK66" s="165">
        <f>INDEX('STOPE SUMMARY PIVOT'!$D$2434:$D$2561, MATCH(BK$1,'STOPE SUMMARY PIVOT'!$A$2434:$A$2561, 0))</f>
        <v>0</v>
      </c>
      <c r="BL66" s="174">
        <f>INDEX('STOPE SUMMARY PIVOT'!$E$2434:$E$2561, MATCH(BK$1,'STOPE SUMMARY PIVOT'!$A$2434:$A$2561, 0))</f>
        <v>0</v>
      </c>
      <c r="BM66" s="165">
        <f>INDEX('STOPE SUMMARY PIVOT'!$D$2434:$D$2561, MATCH(BM$1,'STOPE SUMMARY PIVOT'!$A$2434:$A$2561, 0))</f>
        <v>0</v>
      </c>
      <c r="BN66" s="174">
        <f>INDEX('STOPE SUMMARY PIVOT'!$E$2434:$E$2561, MATCH(BM$1,'STOPE SUMMARY PIVOT'!$A$2434:$A$2561, 0))</f>
        <v>0</v>
      </c>
      <c r="BO66" s="165">
        <f>INDEX('STOPE SUMMARY PIVOT'!$D$2434:$D$2561, MATCH(BO$1,'STOPE SUMMARY PIVOT'!$A$2434:$A$2561, 0))</f>
        <v>0</v>
      </c>
      <c r="BP66" s="174">
        <f>INDEX('STOPE SUMMARY PIVOT'!$E$2434:$E$2561, MATCH(BO$1,'STOPE SUMMARY PIVOT'!$A$2434:$A$2561, 0))</f>
        <v>0</v>
      </c>
      <c r="BQ66" s="165">
        <f>INDEX('STOPE SUMMARY PIVOT'!$D$2434:$D$2561, MATCH(BQ$1,'STOPE SUMMARY PIVOT'!$A$2434:$A$2561, 0))</f>
        <v>0</v>
      </c>
      <c r="BR66" s="174">
        <f>INDEX('STOPE SUMMARY PIVOT'!$E$2434:$E$2561, MATCH(BQ$1,'STOPE SUMMARY PIVOT'!$A$2434:$A$2561, 0))</f>
        <v>0</v>
      </c>
      <c r="BS66" s="165">
        <f>INDEX('STOPE SUMMARY PIVOT'!$D$2434:$D$2561, MATCH(BS$1,'STOPE SUMMARY PIVOT'!$A$2434:$A$2561, 0))</f>
        <v>0</v>
      </c>
      <c r="BT66" s="174">
        <f>INDEX('STOPE SUMMARY PIVOT'!$E$2434:$E$2561, MATCH(BS$1,'STOPE SUMMARY PIVOT'!$A$2434:$A$2561, 0))</f>
        <v>0</v>
      </c>
      <c r="BU66" s="165">
        <f>INDEX('STOPE SUMMARY PIVOT'!$D$2434:$D$2561, MATCH(BU$1,'STOPE SUMMARY PIVOT'!$A$2434:$A$2561, 0))</f>
        <v>0</v>
      </c>
      <c r="BV66" s="174">
        <f>INDEX('STOPE SUMMARY PIVOT'!$E$2434:$E$2561, MATCH(BU$1,'STOPE SUMMARY PIVOT'!$A$2434:$A$2561, 0))</f>
        <v>0</v>
      </c>
      <c r="BW66" s="165">
        <f>INDEX('STOPE SUMMARY PIVOT'!$D$2434:$D$2561, MATCH(BW$1,'STOPE SUMMARY PIVOT'!$A$2434:$A$2561, 0))</f>
        <v>0</v>
      </c>
      <c r="BX66" s="174">
        <f>INDEX('STOPE SUMMARY PIVOT'!$E$2434:$E$2561, MATCH(BW$1,'STOPE SUMMARY PIVOT'!$A$2434:$A$2561, 0))</f>
        <v>0</v>
      </c>
      <c r="BY66" s="165">
        <f>INDEX('STOPE SUMMARY PIVOT'!$D$2434:$D$2561, MATCH(BY$1,'STOPE SUMMARY PIVOT'!$A$2434:$A$2561, 0))</f>
        <v>0</v>
      </c>
      <c r="BZ66" s="174">
        <f>INDEX('STOPE SUMMARY PIVOT'!$E$2434:$E$2561, MATCH(BY$1,'STOPE SUMMARY PIVOT'!$A$2434:$A$2561, 0))</f>
        <v>0</v>
      </c>
      <c r="CA66" s="165">
        <f>INDEX('STOPE SUMMARY PIVOT'!$D$2434:$D$2561, MATCH(CA$1,'STOPE SUMMARY PIVOT'!$A$2434:$A$2561, 0))</f>
        <v>0</v>
      </c>
      <c r="CB66" s="174">
        <f>INDEX('STOPE SUMMARY PIVOT'!$E$2434:$E$2561, MATCH(CA$1,'STOPE SUMMARY PIVOT'!$A$2434:$A$2561, 0))</f>
        <v>0</v>
      </c>
      <c r="CC66" s="165">
        <f>INDEX('STOPE SUMMARY PIVOT'!$D$2434:$D$2561, MATCH(CC$1,'STOPE SUMMARY PIVOT'!$A$2434:$A$2561, 0))</f>
        <v>0</v>
      </c>
      <c r="CD66" s="174">
        <f>INDEX('STOPE SUMMARY PIVOT'!$E$2434:$E$2561, MATCH(CC$1,'STOPE SUMMARY PIVOT'!$A$2434:$A$2561, 0))</f>
        <v>0</v>
      </c>
      <c r="CE66" s="165">
        <f>INDEX('STOPE SUMMARY PIVOT'!$D$2434:$D$2561, MATCH(CE$1,'STOPE SUMMARY PIVOT'!$A$2434:$A$2561, 0))</f>
        <v>0</v>
      </c>
      <c r="CF66" s="174">
        <f>INDEX('STOPE SUMMARY PIVOT'!$E$2434:$E$2561, MATCH(CE$1,'STOPE SUMMARY PIVOT'!$A$2434:$A$2561, 0))</f>
        <v>0</v>
      </c>
      <c r="CG66" s="165">
        <f>INDEX('STOPE SUMMARY PIVOT'!$D$2434:$D$2561, MATCH(CG$1,'STOPE SUMMARY PIVOT'!$A$2434:$A$2561, 0))</f>
        <v>0</v>
      </c>
      <c r="CH66" s="174">
        <f>INDEX('STOPE SUMMARY PIVOT'!$E$2434:$E$2561, MATCH(CG$1,'STOPE SUMMARY PIVOT'!$A$2434:$A$2561, 0))</f>
        <v>0</v>
      </c>
      <c r="CI66" s="165">
        <f>INDEX('STOPE SUMMARY PIVOT'!$D$2434:$D$2561, MATCH(CI$1,'STOPE SUMMARY PIVOT'!$A$2434:$A$2561, 0))</f>
        <v>0</v>
      </c>
      <c r="CJ66" s="174">
        <f>INDEX('STOPE SUMMARY PIVOT'!$E$2434:$E$2561, MATCH(CI$1,'STOPE SUMMARY PIVOT'!$A$2434:$A$2561, 0))</f>
        <v>0</v>
      </c>
      <c r="CK66" s="165">
        <f>INDEX('STOPE SUMMARY PIVOT'!$D$2434:$D$2561, MATCH(CK$1,'STOPE SUMMARY PIVOT'!$A$2434:$A$2561, 0))</f>
        <v>0</v>
      </c>
      <c r="CL66" s="174">
        <f>INDEX('STOPE SUMMARY PIVOT'!$E$2434:$E$2561, MATCH(CK$1,'STOPE SUMMARY PIVOT'!$A$2434:$A$2561, 0))</f>
        <v>0</v>
      </c>
      <c r="CM66" s="165">
        <f>INDEX('STOPE SUMMARY PIVOT'!$D$2434:$D$2561, MATCH(CM$1,'STOPE SUMMARY PIVOT'!$A$2434:$A$2561, 0))</f>
        <v>0</v>
      </c>
      <c r="CN66" s="174">
        <f>INDEX('STOPE SUMMARY PIVOT'!$E$2434:$E$2561, MATCH(CM$1,'STOPE SUMMARY PIVOT'!$A$2434:$A$2561, 0))</f>
        <v>0</v>
      </c>
      <c r="CO66" s="165">
        <f>INDEX('STOPE SUMMARY PIVOT'!$D$2434:$D$2561, MATCH(CO$1,'STOPE SUMMARY PIVOT'!$A$2434:$A$2561, 0))</f>
        <v>0</v>
      </c>
      <c r="CP66" s="174">
        <f>INDEX('STOPE SUMMARY PIVOT'!$E$2434:$E$2561, MATCH(CO$1,'STOPE SUMMARY PIVOT'!$A$2434:$A$2561, 0))</f>
        <v>0</v>
      </c>
      <c r="CQ66" s="165">
        <f>INDEX('STOPE SUMMARY PIVOT'!$D$2434:$D$2561, MATCH(CQ$1,'STOPE SUMMARY PIVOT'!$A$2434:$A$2561, 0))</f>
        <v>0</v>
      </c>
      <c r="CR66" s="174">
        <f>INDEX('STOPE SUMMARY PIVOT'!$E$2434:$E$2561, MATCH(CQ$1,'STOPE SUMMARY PIVOT'!$A$2434:$A$2561, 0))</f>
        <v>0</v>
      </c>
      <c r="CS66" s="165">
        <f>INDEX('STOPE SUMMARY PIVOT'!$D$2434:$D$2561, MATCH(CS$1,'STOPE SUMMARY PIVOT'!$A$2434:$A$2561, 0))</f>
        <v>0</v>
      </c>
      <c r="CT66" s="174">
        <f>INDEX('STOPE SUMMARY PIVOT'!$E$2434:$E$2561, MATCH(CS$1,'STOPE SUMMARY PIVOT'!$A$2434:$A$2561, 0))</f>
        <v>0</v>
      </c>
      <c r="CU66" s="165">
        <f>INDEX('STOPE SUMMARY PIVOT'!$D$2434:$D$2561, MATCH(CU$1,'STOPE SUMMARY PIVOT'!$A$2434:$A$2561, 0))</f>
        <v>0</v>
      </c>
      <c r="CV66" s="174">
        <f>INDEX('STOPE SUMMARY PIVOT'!$E$2434:$E$2561, MATCH(CU$1,'STOPE SUMMARY PIVOT'!$A$2434:$A$2561, 0))</f>
        <v>0</v>
      </c>
      <c r="CW66" s="165">
        <f>INDEX('STOPE SUMMARY PIVOT'!$D$2434:$D$2561, MATCH(CW$1,'STOPE SUMMARY PIVOT'!$A$2434:$A$2561, 0))</f>
        <v>0</v>
      </c>
      <c r="CX66" s="174">
        <f>INDEX('STOPE SUMMARY PIVOT'!$E$2434:$E$2561, MATCH(CW$1,'STOPE SUMMARY PIVOT'!$A$2434:$A$2561, 0))</f>
        <v>0</v>
      </c>
      <c r="CY66" s="165">
        <f>INDEX('STOPE SUMMARY PIVOT'!$D$2434:$D$2561, MATCH(CY$1,'STOPE SUMMARY PIVOT'!$A$2434:$A$2561, 0))</f>
        <v>0</v>
      </c>
      <c r="CZ66" s="174">
        <f>INDEX('STOPE SUMMARY PIVOT'!$E$2434:$E$2561, MATCH(CY$1,'STOPE SUMMARY PIVOT'!$A$2434:$A$2561, 0))</f>
        <v>0</v>
      </c>
      <c r="DA66" s="165">
        <f>INDEX('STOPE SUMMARY PIVOT'!$D$2434:$D$2561, MATCH(DA$1,'STOPE SUMMARY PIVOT'!$A$2434:$A$2561, 0))</f>
        <v>0</v>
      </c>
      <c r="DB66" s="174">
        <f>INDEX('STOPE SUMMARY PIVOT'!$E$2434:$E$2561, MATCH(DA$1,'STOPE SUMMARY PIVOT'!$A$2434:$A$2561, 0))</f>
        <v>0</v>
      </c>
      <c r="DC66" s="165">
        <f>INDEX('STOPE SUMMARY PIVOT'!$D$2434:$D$2561, MATCH(DC$1,'STOPE SUMMARY PIVOT'!$A$2434:$A$2561, 0))</f>
        <v>0</v>
      </c>
      <c r="DD66" s="174">
        <f>INDEX('STOPE SUMMARY PIVOT'!$E$2434:$E$2561, MATCH(DC$1,'STOPE SUMMARY PIVOT'!$A$2434:$A$2561, 0))</f>
        <v>0</v>
      </c>
      <c r="DE66" s="165">
        <f>INDEX('STOPE SUMMARY PIVOT'!$D$2434:$D$2561, MATCH(DE$1,'STOPE SUMMARY PIVOT'!$A$2434:$A$2561, 0))</f>
        <v>0</v>
      </c>
      <c r="DF66" s="174">
        <f>INDEX('STOPE SUMMARY PIVOT'!$E$2434:$E$2561, MATCH(DE$1,'STOPE SUMMARY PIVOT'!$A$2434:$A$2561, 0))</f>
        <v>0</v>
      </c>
      <c r="DG66" s="165">
        <f>INDEX('STOPE SUMMARY PIVOT'!$D$2434:$D$2561, MATCH(DG$1,'STOPE SUMMARY PIVOT'!$A$2434:$A$2561, 0))</f>
        <v>0</v>
      </c>
      <c r="DH66" s="174">
        <f>INDEX('STOPE SUMMARY PIVOT'!$E$2434:$E$2561, MATCH(DG$1,'STOPE SUMMARY PIVOT'!$A$2434:$A$2561, 0))</f>
        <v>0</v>
      </c>
      <c r="DI66" s="165">
        <f>INDEX('STOPE SUMMARY PIVOT'!$D$2434:$D$2561, MATCH(DI$1,'STOPE SUMMARY PIVOT'!$A$2434:$A$2561, 0))</f>
        <v>0</v>
      </c>
      <c r="DJ66" s="174">
        <f>INDEX('STOPE SUMMARY PIVOT'!$E$2434:$E$2561, MATCH(DI$1,'STOPE SUMMARY PIVOT'!$A$2434:$A$2561, 0))</f>
        <v>0</v>
      </c>
      <c r="DK66" s="165">
        <f>INDEX('STOPE SUMMARY PIVOT'!$D$2434:$D$2561, MATCH(DK$1,'STOPE SUMMARY PIVOT'!$A$2434:$A$2561, 0))</f>
        <v>0</v>
      </c>
      <c r="DL66" s="174">
        <f>INDEX('STOPE SUMMARY PIVOT'!$E$2434:$E$2561, MATCH(DK$1,'STOPE SUMMARY PIVOT'!$A$2434:$A$2561, 0))</f>
        <v>0</v>
      </c>
      <c r="DM66" s="165">
        <f>INDEX('STOPE SUMMARY PIVOT'!$D$2434:$D$2561, MATCH(DM$1,'STOPE SUMMARY PIVOT'!$A$2434:$A$2561, 0))</f>
        <v>0</v>
      </c>
      <c r="DN66" s="174">
        <f>INDEX('STOPE SUMMARY PIVOT'!$E$2434:$E$2561, MATCH(DM$1,'STOPE SUMMARY PIVOT'!$A$2434:$A$2561, 0))</f>
        <v>0</v>
      </c>
      <c r="DO66" s="165">
        <f>INDEX('STOPE SUMMARY PIVOT'!$D$2434:$D$2561, MATCH(DO$1,'STOPE SUMMARY PIVOT'!$A$2434:$A$2561, 0))</f>
        <v>0</v>
      </c>
      <c r="DP66" s="174">
        <f>INDEX('STOPE SUMMARY PIVOT'!$E$2434:$E$2561, MATCH(DO$1,'STOPE SUMMARY PIVOT'!$A$2434:$A$2561, 0))</f>
        <v>0</v>
      </c>
      <c r="DQ66" s="165">
        <f>INDEX('STOPE SUMMARY PIVOT'!$D$2434:$D$2561, MATCH(DQ$1,'STOPE SUMMARY PIVOT'!$A$2434:$A$2561, 0))</f>
        <v>0</v>
      </c>
      <c r="DR66" s="174">
        <f>INDEX('STOPE SUMMARY PIVOT'!$E$2434:$E$2561, MATCH(DQ$1,'STOPE SUMMARY PIVOT'!$A$2434:$A$2561, 0))</f>
        <v>0</v>
      </c>
      <c r="DS66" s="165">
        <f>INDEX('STOPE SUMMARY PIVOT'!$D$2434:$D$2561, MATCH(DS$1,'STOPE SUMMARY PIVOT'!$A$2434:$A$2561, 0))</f>
        <v>0</v>
      </c>
      <c r="DT66" s="174">
        <f>INDEX('STOPE SUMMARY PIVOT'!$E$2434:$E$2561, MATCH(DS$1,'STOPE SUMMARY PIVOT'!$A$2434:$A$2561, 0))</f>
        <v>0</v>
      </c>
      <c r="DU66" s="165">
        <f>INDEX('STOPE SUMMARY PIVOT'!$D$2434:$D$2561, MATCH(DU$1,'STOPE SUMMARY PIVOT'!$A$2434:$A$2561, 0))</f>
        <v>0</v>
      </c>
      <c r="DV66" s="174">
        <f>INDEX('STOPE SUMMARY PIVOT'!$E$2434:$E$2561, MATCH(DU$1,'STOPE SUMMARY PIVOT'!$A$2434:$A$2561, 0))</f>
        <v>0</v>
      </c>
      <c r="DW66" s="165">
        <f>INDEX('STOPE SUMMARY PIVOT'!$D$2434:$D$2561, MATCH(DW$1,'STOPE SUMMARY PIVOT'!$A$2434:$A$2561, 0))</f>
        <v>0</v>
      </c>
      <c r="DX66" s="174">
        <f>INDEX('STOPE SUMMARY PIVOT'!$E$2434:$E$2561, MATCH(DW$1,'STOPE SUMMARY PIVOT'!$A$2434:$A$2561, 0))</f>
        <v>0</v>
      </c>
      <c r="DY66" s="165">
        <f>INDEX('STOPE SUMMARY PIVOT'!$D$2434:$D$2561, MATCH(DY$1,'STOPE SUMMARY PIVOT'!$A$2434:$A$2561, 0))</f>
        <v>0</v>
      </c>
      <c r="DZ66" s="174">
        <f>INDEX('STOPE SUMMARY PIVOT'!$E$2434:$E$2561, MATCH(DY$1,'STOPE SUMMARY PIVOT'!$A$2434:$A$2561, 0))</f>
        <v>0</v>
      </c>
      <c r="EA66" s="165">
        <f>INDEX('STOPE SUMMARY PIVOT'!$D$2434:$D$2561, MATCH(EA$1,'STOPE SUMMARY PIVOT'!$A$2434:$A$2561, 0))</f>
        <v>0</v>
      </c>
      <c r="EB66" s="174">
        <f>INDEX('STOPE SUMMARY PIVOT'!$E$2434:$E$2561, MATCH(EA$1,'STOPE SUMMARY PIVOT'!$A$2434:$A$2561, 0))</f>
        <v>0</v>
      </c>
      <c r="EC66" s="165">
        <f>INDEX('STOPE SUMMARY PIVOT'!$D$2434:$D$2561, MATCH(EC$1,'STOPE SUMMARY PIVOT'!$A$2434:$A$2561, 0))</f>
        <v>0</v>
      </c>
      <c r="ED66" s="174">
        <f>INDEX('STOPE SUMMARY PIVOT'!$E$2434:$E$2561, MATCH(EC$1,'STOPE SUMMARY PIVOT'!$A$2434:$A$2561, 0))</f>
        <v>0</v>
      </c>
      <c r="EE66" s="165">
        <f>INDEX('STOPE SUMMARY PIVOT'!$D$2434:$D$2561, MATCH(EE$1,'STOPE SUMMARY PIVOT'!$A$2434:$A$2561, 0))</f>
        <v>0</v>
      </c>
      <c r="EF66" s="174">
        <f>INDEX('STOPE SUMMARY PIVOT'!$E$2434:$E$2561, MATCH(EE$1,'STOPE SUMMARY PIVOT'!$A$2434:$A$2561, 0))</f>
        <v>0</v>
      </c>
      <c r="EG66" s="165">
        <f>INDEX('STOPE SUMMARY PIVOT'!$D$2434:$D$2561, MATCH(EG$1,'STOPE SUMMARY PIVOT'!$A$2434:$A$2561, 0))</f>
        <v>0</v>
      </c>
      <c r="EH66" s="174">
        <f>INDEX('STOPE SUMMARY PIVOT'!$E$2434:$E$2561, MATCH(EG$1,'STOPE SUMMARY PIVOT'!$A$2434:$A$2561, 0))</f>
        <v>0</v>
      </c>
      <c r="EI66" s="165">
        <f>INDEX('STOPE SUMMARY PIVOT'!$D$2434:$D$2561, MATCH(EI$1,'STOPE SUMMARY PIVOT'!$A$2434:$A$2561, 0))</f>
        <v>0</v>
      </c>
      <c r="EJ66" s="174">
        <f>INDEX('STOPE SUMMARY PIVOT'!$E$2434:$E$2561, MATCH(EI$1,'STOPE SUMMARY PIVOT'!$A$2434:$A$2561, 0))</f>
        <v>0</v>
      </c>
      <c r="EK66" s="165">
        <f>INDEX('STOPE SUMMARY PIVOT'!$D$2434:$D$2561, MATCH(EK$1,'STOPE SUMMARY PIVOT'!$A$2434:$A$2561, 0))</f>
        <v>1798</v>
      </c>
      <c r="EL66" s="174">
        <f>INDEX('STOPE SUMMARY PIVOT'!$E$2434:$E$2561, MATCH(EK$1,'STOPE SUMMARY PIVOT'!$A$2434:$A$2561, 0))</f>
        <v>3.23</v>
      </c>
      <c r="EM66" s="165">
        <f>INDEX('STOPE SUMMARY PIVOT'!$D$2434:$D$2561, MATCH(EM$1,'STOPE SUMMARY PIVOT'!$A$2434:$A$2561, 0))</f>
        <v>1036</v>
      </c>
      <c r="EN66" s="174">
        <f>INDEX('STOPE SUMMARY PIVOT'!$E$2434:$E$2561, MATCH(EM$1,'STOPE SUMMARY PIVOT'!$A$2434:$A$2561, 0))</f>
        <v>3.97</v>
      </c>
      <c r="EO66" s="165">
        <f>INDEX('STOPE SUMMARY PIVOT'!$D$2434:$D$2561, MATCH(EO$1,'STOPE SUMMARY PIVOT'!$A$2434:$A$2561, 0))</f>
        <v>2696</v>
      </c>
      <c r="EP66" s="174">
        <f>INDEX('STOPE SUMMARY PIVOT'!$E$2434:$E$2561, MATCH(EO$1,'STOPE SUMMARY PIVOT'!$A$2434:$A$2561, 0))</f>
        <v>2.83</v>
      </c>
      <c r="EQ66" s="165">
        <f>INDEX('STOPE SUMMARY PIVOT'!$D$2434:$D$2561, MATCH(EQ$1,'STOPE SUMMARY PIVOT'!$A$2434:$A$2561, 0))</f>
        <v>0</v>
      </c>
      <c r="ER66" s="174">
        <f>INDEX('STOPE SUMMARY PIVOT'!$E$2434:$E$2561, MATCH(EQ$1,'STOPE SUMMARY PIVOT'!$A$2434:$A$2561, 0))</f>
        <v>0</v>
      </c>
      <c r="ES66" s="165">
        <f>INDEX('STOPE SUMMARY PIVOT'!$D$2434:$D$2561, MATCH(ES$1,'STOPE SUMMARY PIVOT'!$A$2434:$A$2561, 0))</f>
        <v>0</v>
      </c>
      <c r="ET66" s="174">
        <f>INDEX('STOPE SUMMARY PIVOT'!$E$2434:$E$2561, MATCH(ES$1,'STOPE SUMMARY PIVOT'!$A$2434:$A$2561, 0))</f>
        <v>0</v>
      </c>
      <c r="EU66" s="165">
        <f>INDEX('STOPE SUMMARY PIVOT'!$D$2434:$D$2561, MATCH(EU$1,'STOPE SUMMARY PIVOT'!$A$2434:$A$2561, 0))</f>
        <v>0</v>
      </c>
      <c r="EV66" s="174">
        <f>INDEX('STOPE SUMMARY PIVOT'!$E$2434:$E$2561, MATCH(EU$1,'STOPE SUMMARY PIVOT'!$A$2434:$A$2561, 0))</f>
        <v>0</v>
      </c>
      <c r="EW66" s="165">
        <f>INDEX('STOPE SUMMARY PIVOT'!$D$2434:$D$2561, MATCH(EW$1,'STOPE SUMMARY PIVOT'!$A$2434:$A$2561, 0))</f>
        <v>0</v>
      </c>
      <c r="EX66" s="174">
        <f>INDEX('STOPE SUMMARY PIVOT'!$E$2434:$E$2561, MATCH(EW$1,'STOPE SUMMARY PIVOT'!$A$2434:$A$2561, 0))</f>
        <v>0</v>
      </c>
      <c r="EY66" s="165">
        <f>INDEX('STOPE SUMMARY PIVOT'!$D$2434:$D$2561, MATCH(EY$1,'STOPE SUMMARY PIVOT'!$A$2434:$A$2561, 0))</f>
        <v>2696</v>
      </c>
      <c r="EZ66" s="174">
        <f>INDEX('STOPE SUMMARY PIVOT'!$E$2434:$E$2561, MATCH(EY$1,'STOPE SUMMARY PIVOT'!$A$2434:$A$2561, 0))</f>
        <v>2.31</v>
      </c>
      <c r="FA66" s="165">
        <f>INDEX('STOPE SUMMARY PIVOT'!$D$2434:$D$2561, MATCH(FA$1,'STOPE SUMMARY PIVOT'!$A$2434:$A$2561, 0))</f>
        <v>0</v>
      </c>
      <c r="FB66" s="174">
        <f>INDEX('STOPE SUMMARY PIVOT'!$E$2434:$E$2561, MATCH(FA$1,'STOPE SUMMARY PIVOT'!$A$2434:$A$2561, 0))</f>
        <v>0</v>
      </c>
      <c r="FC66" s="165">
        <f>INDEX('STOPE SUMMARY PIVOT'!$D$2434:$D$2561, MATCH(FC$1,'STOPE SUMMARY PIVOT'!$A$2434:$A$2561, 0))</f>
        <v>1481</v>
      </c>
      <c r="FD66" s="174">
        <f>INDEX('STOPE SUMMARY PIVOT'!$E$2434:$E$2561, MATCH(FC$1,'STOPE SUMMARY PIVOT'!$A$2434:$A$2561, 0))</f>
        <v>2.41</v>
      </c>
      <c r="FE66" s="165">
        <f>INDEX('STOPE SUMMARY PIVOT'!$D$2434:$D$2561, MATCH(FE$1,'STOPE SUMMARY PIVOT'!$A$2434:$A$2561, 0))</f>
        <v>0</v>
      </c>
      <c r="FF66" s="174">
        <f>INDEX('STOPE SUMMARY PIVOT'!$E$2434:$E$2561, MATCH(FE$1,'STOPE SUMMARY PIVOT'!$A$2434:$A$2561, 0))</f>
        <v>0</v>
      </c>
      <c r="FG66" s="165">
        <f>INDEX('STOPE SUMMARY PIVOT'!$D$2434:$D$2561, MATCH(FG$1,'STOPE SUMMARY PIVOT'!$A$2434:$A$2561, 0))</f>
        <v>0</v>
      </c>
      <c r="FH66" s="174">
        <f>INDEX('STOPE SUMMARY PIVOT'!$E$2434:$E$2561, MATCH(FG$1,'STOPE SUMMARY PIVOT'!$A$2434:$A$2561, 0))</f>
        <v>0</v>
      </c>
      <c r="FI66" s="165">
        <f>INDEX('STOPE SUMMARY PIVOT'!$D$2434:$D$2561, MATCH(FI$1,'STOPE SUMMARY PIVOT'!$A$2434:$A$2561, 0))</f>
        <v>0</v>
      </c>
      <c r="FJ66" s="174">
        <f>INDEX('STOPE SUMMARY PIVOT'!$E$2434:$E$2561, MATCH(FI$1,'STOPE SUMMARY PIVOT'!$A$2434:$A$2561, 0))</f>
        <v>0</v>
      </c>
      <c r="FK66" s="165">
        <f>INDEX('STOPE SUMMARY PIVOT'!$D$2434:$D$2561, MATCH(FK$1,'STOPE SUMMARY PIVOT'!$A$2434:$A$2561, 0))</f>
        <v>0</v>
      </c>
      <c r="FL66" s="174">
        <f>INDEX('STOPE SUMMARY PIVOT'!$E$2434:$E$2561, MATCH(FK$1,'STOPE SUMMARY PIVOT'!$A$2434:$A$2561, 0))</f>
        <v>0</v>
      </c>
      <c r="FM66" s="165">
        <f>INDEX('STOPE SUMMARY PIVOT'!$D$2434:$D$2561, MATCH(FM$1,'STOPE SUMMARY PIVOT'!$A$2434:$A$2561, 0))</f>
        <v>0</v>
      </c>
      <c r="FN66" s="174">
        <f>INDEX('STOPE SUMMARY PIVOT'!$E$2434:$E$2561, MATCH(FM$1,'STOPE SUMMARY PIVOT'!$A$2434:$A$2561, 0))</f>
        <v>0</v>
      </c>
      <c r="FO66" s="165">
        <f>INDEX('STOPE SUMMARY PIVOT'!$D$2434:$D$2561, MATCH(FO$1,'STOPE SUMMARY PIVOT'!$A$2434:$A$2561, 0))</f>
        <v>0</v>
      </c>
      <c r="FP66" s="174">
        <f>INDEX('STOPE SUMMARY PIVOT'!$E$2434:$E$2561, MATCH(FO$1,'STOPE SUMMARY PIVOT'!$A$2434:$A$2561, 0))</f>
        <v>0</v>
      </c>
      <c r="FQ66" s="165">
        <f>INDEX('STOPE SUMMARY PIVOT'!$D$2434:$D$2561, MATCH(FQ$1,'STOPE SUMMARY PIVOT'!$A$2434:$A$2561, 0))</f>
        <v>0</v>
      </c>
      <c r="FR66" s="174">
        <f>INDEX('STOPE SUMMARY PIVOT'!$E$2434:$E$2561, MATCH(FQ$1,'STOPE SUMMARY PIVOT'!$A$2434:$A$2561, 0))</f>
        <v>0</v>
      </c>
      <c r="FS66" s="165">
        <f>INDEX('STOPE SUMMARY PIVOT'!$D$2434:$D$2561, MATCH(FS$1,'STOPE SUMMARY PIVOT'!$A$2434:$A$2561, 0))</f>
        <v>0</v>
      </c>
      <c r="FT66" s="174">
        <f>INDEX('STOPE SUMMARY PIVOT'!$E$2434:$E$2561, MATCH(FS$1,'STOPE SUMMARY PIVOT'!$A$2434:$A$2561, 0))</f>
        <v>0</v>
      </c>
      <c r="FU66" s="165">
        <f>INDEX('STOPE SUMMARY PIVOT'!$D$2434:$D$2561, MATCH(FU$1,'STOPE SUMMARY PIVOT'!$A$2434:$A$2561, 0))</f>
        <v>1798</v>
      </c>
      <c r="FV66" s="174">
        <f>INDEX('STOPE SUMMARY PIVOT'!$E$2434:$E$2561, MATCH(FU$1,'STOPE SUMMARY PIVOT'!$A$2434:$A$2561, 0))</f>
        <v>3.2</v>
      </c>
      <c r="FW66" s="165">
        <f>INDEX('STOPE SUMMARY PIVOT'!$D$2434:$D$2561, MATCH(FW$1,'STOPE SUMMARY PIVOT'!$A$2434:$A$2561, 0))</f>
        <v>0</v>
      </c>
      <c r="FX66" s="174">
        <f>INDEX('STOPE SUMMARY PIVOT'!$E$2434:$E$2561, MATCH(FW$1,'STOPE SUMMARY PIVOT'!$A$2434:$A$2561, 0))</f>
        <v>0</v>
      </c>
      <c r="FY66" s="165">
        <f>INDEX('STOPE SUMMARY PIVOT'!$D$2434:$D$2561, MATCH(FY$1,'STOPE SUMMARY PIVOT'!$A$2434:$A$2561, 0))</f>
        <v>0</v>
      </c>
      <c r="FZ66" s="174">
        <f>INDEX('STOPE SUMMARY PIVOT'!$E$2434:$E$2561, MATCH(FY$1,'STOPE SUMMARY PIVOT'!$A$2434:$A$2561, 0))</f>
        <v>0</v>
      </c>
      <c r="GA66" s="165">
        <f>INDEX('STOPE SUMMARY PIVOT'!$D$2434:$D$2561, MATCH(GA$1,'STOPE SUMMARY PIVOT'!$A$2434:$A$2561, 0))</f>
        <v>0</v>
      </c>
      <c r="GB66" s="174">
        <f>INDEX('STOPE SUMMARY PIVOT'!$E$2434:$E$2561, MATCH(GA$1,'STOPE SUMMARY PIVOT'!$A$2434:$A$2561, 0))</f>
        <v>0</v>
      </c>
      <c r="GC66" s="165">
        <f>INDEX('STOPE SUMMARY PIVOT'!$D$2434:$D$2561, MATCH(GC$1,'STOPE SUMMARY PIVOT'!$A$2434:$A$2561, 0))</f>
        <v>899</v>
      </c>
      <c r="GD66" s="174">
        <f>INDEX('STOPE SUMMARY PIVOT'!$E$2434:$E$2561, MATCH(GC$1,'STOPE SUMMARY PIVOT'!$A$2434:$A$2561, 0))</f>
        <v>3.49</v>
      </c>
      <c r="GE66" s="165">
        <f>INDEX('STOPE SUMMARY PIVOT'!$D$2434:$D$2561, MATCH(GE$1,'STOPE SUMMARY PIVOT'!$A$2434:$A$2561, 0))</f>
        <v>899</v>
      </c>
      <c r="GF66" s="174">
        <f>INDEX('STOPE SUMMARY PIVOT'!$E$2434:$E$2561, MATCH(GE$1,'STOPE SUMMARY PIVOT'!$A$2434:$A$2561, 0))</f>
        <v>1.03</v>
      </c>
      <c r="GG66" s="165">
        <f>INDEX('STOPE SUMMARY PIVOT'!$D$2434:$D$2561, MATCH(GG$1,'STOPE SUMMARY PIVOT'!$A$2434:$A$2561, 0))</f>
        <v>1621</v>
      </c>
      <c r="GH66" s="174">
        <f>INDEX('STOPE SUMMARY PIVOT'!$E$2434:$E$2561, MATCH(GG$1,'STOPE SUMMARY PIVOT'!$A$2434:$A$2561, 0))</f>
        <v>2.4500000000000002</v>
      </c>
      <c r="GI66" s="165">
        <f>INDEX('STOPE SUMMARY PIVOT'!$D$2434:$D$2561, MATCH(GI$1,'STOPE SUMMARY PIVOT'!$A$2434:$A$2561, 0))</f>
        <v>0</v>
      </c>
      <c r="GJ66" s="174">
        <f>INDEX('STOPE SUMMARY PIVOT'!$E$2434:$E$2561, MATCH(GI$1,'STOPE SUMMARY PIVOT'!$A$2434:$A$2561, 0))</f>
        <v>0</v>
      </c>
      <c r="GK66" s="165">
        <f>INDEX('STOPE SUMMARY PIVOT'!$D$2434:$D$2561, MATCH(GK$1,'STOPE SUMMARY PIVOT'!$A$2434:$A$2561, 0))</f>
        <v>0</v>
      </c>
      <c r="GL66" s="174">
        <f>INDEX('STOPE SUMMARY PIVOT'!$E$2434:$E$2561, MATCH(GK$1,'STOPE SUMMARY PIVOT'!$A$2434:$A$2561, 0))</f>
        <v>0</v>
      </c>
      <c r="GM66" s="165">
        <f>INDEX('STOPE SUMMARY PIVOT'!$D$2434:$D$2561, MATCH(GM$1,'STOPE SUMMARY PIVOT'!$A$2434:$A$2561, 0))</f>
        <v>0</v>
      </c>
      <c r="GN66" s="174">
        <f>INDEX('STOPE SUMMARY PIVOT'!$E$2434:$E$2561, MATCH(GM$1,'STOPE SUMMARY PIVOT'!$A$2434:$A$2561, 0))</f>
        <v>0</v>
      </c>
      <c r="GO66" s="165">
        <f>INDEX('STOPE SUMMARY PIVOT'!$D$2434:$D$2561, MATCH(GO$1,'STOPE SUMMARY PIVOT'!$A$2434:$A$2561, 0))</f>
        <v>176</v>
      </c>
      <c r="GP66" s="174">
        <f>INDEX('STOPE SUMMARY PIVOT'!$E$2434:$E$2561, MATCH(GO$1,'STOPE SUMMARY PIVOT'!$A$2434:$A$2561, 0))</f>
        <v>3.97</v>
      </c>
      <c r="GQ66" s="165">
        <f>INDEX('STOPE SUMMARY PIVOT'!$D$2434:$D$2561, MATCH(GQ$1,'STOPE SUMMARY PIVOT'!$A$2434:$A$2561, 0))</f>
        <v>899</v>
      </c>
      <c r="GR66" s="174">
        <f>INDEX('STOPE SUMMARY PIVOT'!$E$2434:$E$2561, MATCH(GQ$1,'STOPE SUMMARY PIVOT'!$A$2434:$A$2561, 0))</f>
        <v>1.55</v>
      </c>
      <c r="GS66" s="165">
        <f>INDEX('STOPE SUMMARY PIVOT'!$D$2434:$D$2561, MATCH(GS$1,'STOPE SUMMARY PIVOT'!$A$2434:$A$2561, 0))</f>
        <v>0</v>
      </c>
      <c r="GT66" s="174">
        <f>INDEX('STOPE SUMMARY PIVOT'!$E$2434:$E$2561, MATCH(GS$1,'STOPE SUMMARY PIVOT'!$A$2434:$A$2561, 0))</f>
        <v>0</v>
      </c>
      <c r="GU66" s="165">
        <f>INDEX('STOPE SUMMARY PIVOT'!$D$2434:$D$2561, MATCH(GU$1,'STOPE SUMMARY PIVOT'!$A$2434:$A$2561, 0))</f>
        <v>0</v>
      </c>
      <c r="GV66" s="174">
        <f>INDEX('STOPE SUMMARY PIVOT'!$E$2434:$E$2561, MATCH(GU$1,'STOPE SUMMARY PIVOT'!$A$2434:$A$2561, 0))</f>
        <v>0</v>
      </c>
      <c r="GW66" s="165">
        <f>INDEX('STOPE SUMMARY PIVOT'!$D$2434:$D$2561, MATCH(GW$1,'STOPE SUMMARY PIVOT'!$A$2434:$A$2561, 0))</f>
        <v>0</v>
      </c>
      <c r="GX66" s="174">
        <f>INDEX('STOPE SUMMARY PIVOT'!$E$2434:$E$2561, MATCH(GW$1,'STOPE SUMMARY PIVOT'!$A$2434:$A$2561, 0))</f>
        <v>0</v>
      </c>
      <c r="GY66" s="165">
        <f>INDEX('STOPE SUMMARY PIVOT'!$D$2434:$D$2561, MATCH(GY$1,'STOPE SUMMARY PIVOT'!$A$2434:$A$2561, 0))</f>
        <v>0</v>
      </c>
      <c r="GZ66" s="174">
        <f>INDEX('STOPE SUMMARY PIVOT'!$E$2434:$E$2561, MATCH(GY$1,'STOPE SUMMARY PIVOT'!$A$2434:$A$2561, 0))</f>
        <v>0</v>
      </c>
      <c r="HA66" s="165">
        <f>INDEX('STOPE SUMMARY PIVOT'!$D$2434:$D$2561, MATCH(HA$1,'STOPE SUMMARY PIVOT'!$A$2434:$A$2561, 0))</f>
        <v>0</v>
      </c>
      <c r="HB66" s="174">
        <f>INDEX('STOPE SUMMARY PIVOT'!$E$2434:$E$2561, MATCH(HA$1,'STOPE SUMMARY PIVOT'!$A$2434:$A$2561, 0))</f>
        <v>0</v>
      </c>
      <c r="HC66" s="165">
        <f>INDEX('STOPE SUMMARY PIVOT'!$D$2434:$D$2561, MATCH(HC$1,'STOPE SUMMARY PIVOT'!$A$2434:$A$2561, 0))</f>
        <v>0</v>
      </c>
      <c r="HD66" s="174">
        <f>INDEX('STOPE SUMMARY PIVOT'!$E$2434:$E$2561, MATCH(HC$1,'STOPE SUMMARY PIVOT'!$A$2434:$A$2561, 0))</f>
        <v>0</v>
      </c>
      <c r="HE66" s="165">
        <f>INDEX('STOPE SUMMARY PIVOT'!$D$2434:$D$2561, MATCH(HE$1,'STOPE SUMMARY PIVOT'!$A$2434:$A$2561, 0))</f>
        <v>0</v>
      </c>
      <c r="HF66" s="174">
        <f>INDEX('STOPE SUMMARY PIVOT'!$E$2434:$E$2561, MATCH(HE$1,'STOPE SUMMARY PIVOT'!$A$2434:$A$2561, 0))</f>
        <v>0</v>
      </c>
      <c r="HG66" s="165">
        <f>INDEX('STOPE SUMMARY PIVOT'!$D$2434:$D$2561, MATCH(HG$1,'STOPE SUMMARY PIVOT'!$A$2434:$A$2561, 0))</f>
        <v>0</v>
      </c>
      <c r="HH66" s="174">
        <f>INDEX('STOPE SUMMARY PIVOT'!$E$2434:$E$2561, MATCH(HG$1,'STOPE SUMMARY PIVOT'!$A$2434:$A$2561, 0))</f>
        <v>0</v>
      </c>
      <c r="HI66" s="165">
        <f>INDEX('STOPE SUMMARY PIVOT'!$D$2434:$D$2561, MATCH(HI$1,'STOPE SUMMARY PIVOT'!$A$2434:$A$2561, 0))</f>
        <v>0</v>
      </c>
      <c r="HJ66" s="174">
        <f>INDEX('STOPE SUMMARY PIVOT'!$E$2434:$E$2561, MATCH(HI$1,'STOPE SUMMARY PIVOT'!$A$2434:$A$2561, 0))</f>
        <v>0</v>
      </c>
      <c r="HK66" s="165">
        <f>INDEX('STOPE SUMMARY PIVOT'!$D$2434:$D$2561, MATCH(HK$1,'STOPE SUMMARY PIVOT'!$A$2434:$A$2561, 0))</f>
        <v>0</v>
      </c>
      <c r="HL66" s="174">
        <f>INDEX('STOPE SUMMARY PIVOT'!$E$2434:$E$2561, MATCH(HK$1,'STOPE SUMMARY PIVOT'!$A$2434:$A$2561, 0))</f>
        <v>0</v>
      </c>
      <c r="HM66" s="165">
        <f>INDEX('STOPE SUMMARY PIVOT'!$D$2434:$D$2561, MATCH(HM$1,'STOPE SUMMARY PIVOT'!$A$2434:$A$2561, 0))</f>
        <v>0</v>
      </c>
      <c r="HN66" s="174">
        <f>INDEX('STOPE SUMMARY PIVOT'!$E$2434:$E$2561, MATCH(HM$1,'STOPE SUMMARY PIVOT'!$A$2434:$A$2561, 0))</f>
        <v>0</v>
      </c>
      <c r="HO66" s="165">
        <f>INDEX('STOPE SUMMARY PIVOT'!$D$2434:$D$2561, MATCH(HO$1,'STOPE SUMMARY PIVOT'!$A$2434:$A$2561, 0))</f>
        <v>0</v>
      </c>
      <c r="HP66" s="174">
        <f>INDEX('STOPE SUMMARY PIVOT'!$E$2434:$E$2561, MATCH(HO$1,'STOPE SUMMARY PIVOT'!$A$2434:$A$2561, 0))</f>
        <v>0</v>
      </c>
      <c r="HQ66" s="165">
        <f>INDEX('STOPE SUMMARY PIVOT'!$D$2434:$D$2561, MATCH(HQ$1,'STOPE SUMMARY PIVOT'!$A$2434:$A$2561, 0))</f>
        <v>0</v>
      </c>
      <c r="HR66" s="174">
        <f>INDEX('STOPE SUMMARY PIVOT'!$E$2434:$E$2561, MATCH(HQ$1,'STOPE SUMMARY PIVOT'!$A$2434:$A$2561, 0))</f>
        <v>0</v>
      </c>
      <c r="HS66" s="165">
        <f>INDEX('STOPE SUMMARY PIVOT'!$D$2434:$D$2561, MATCH(HS$1,'STOPE SUMMARY PIVOT'!$A$2434:$A$2561, 0))</f>
        <v>0</v>
      </c>
      <c r="HT66" s="174">
        <f>INDEX('STOPE SUMMARY PIVOT'!$E$2434:$E$2561, MATCH(HS$1,'STOPE SUMMARY PIVOT'!$A$2434:$A$2561, 0))</f>
        <v>0</v>
      </c>
      <c r="HU66" s="165">
        <f>INDEX('STOPE SUMMARY PIVOT'!$D$2434:$D$2561, MATCH(HU$1,'STOPE SUMMARY PIVOT'!$A$2434:$A$2561, 0))</f>
        <v>0</v>
      </c>
      <c r="HV66" s="174">
        <f>INDEX('STOPE SUMMARY PIVOT'!$E$2434:$E$2561, MATCH(HU$1,'STOPE SUMMARY PIVOT'!$A$2434:$A$2561, 0))</f>
        <v>0</v>
      </c>
      <c r="HW66" s="165">
        <f>INDEX('STOPE SUMMARY PIVOT'!$D$2434:$D$2561, MATCH(HW$1,'STOPE SUMMARY PIVOT'!$A$2434:$A$2561, 0))</f>
        <v>0</v>
      </c>
      <c r="HX66" s="174">
        <f>INDEX('STOPE SUMMARY PIVOT'!$E$2434:$E$2561, MATCH(HW$1,'STOPE SUMMARY PIVOT'!$A$2434:$A$2561, 0))</f>
        <v>0</v>
      </c>
      <c r="HY66" s="165">
        <f>INDEX('STOPE SUMMARY PIVOT'!$D$2434:$D$2561, MATCH(HY$1,'STOPE SUMMARY PIVOT'!$A$2434:$A$2561, 0))</f>
        <v>0</v>
      </c>
      <c r="HZ66" s="174">
        <f>INDEX('STOPE SUMMARY PIVOT'!$E$2434:$E$2561, MATCH(HY$1,'STOPE SUMMARY PIVOT'!$A$2434:$A$2561, 0))</f>
        <v>0</v>
      </c>
      <c r="IA66" s="165">
        <f>INDEX('STOPE SUMMARY PIVOT'!$D$2434:$D$2561, MATCH(IA$1,'STOPE SUMMARY PIVOT'!$A$2434:$A$2561, 0))</f>
        <v>0</v>
      </c>
      <c r="IB66" s="174">
        <f>INDEX('STOPE SUMMARY PIVOT'!$E$2434:$E$2561, MATCH(IA$1,'STOPE SUMMARY PIVOT'!$A$2434:$A$2561, 0))</f>
        <v>0</v>
      </c>
      <c r="IC66" s="165">
        <f>INDEX('STOPE SUMMARY PIVOT'!$D$2434:$D$2561, MATCH(IC$1,'STOPE SUMMARY PIVOT'!$A$2434:$A$2561, 0))</f>
        <v>0</v>
      </c>
      <c r="ID66" s="174">
        <f>INDEX('STOPE SUMMARY PIVOT'!$E$2434:$E$2561, MATCH(IC$1,'STOPE SUMMARY PIVOT'!$A$2434:$A$2561, 0))</f>
        <v>0</v>
      </c>
      <c r="IE66" s="165">
        <f>INDEX('STOPE SUMMARY PIVOT'!$D$2434:$D$2561, MATCH(IE$1,'STOPE SUMMARY PIVOT'!$A$2434:$A$2561, 0))</f>
        <v>0</v>
      </c>
      <c r="IF66" s="174">
        <f>INDEX('STOPE SUMMARY PIVOT'!$E$2434:$E$2561, MATCH(IE$1,'STOPE SUMMARY PIVOT'!$A$2434:$A$2561, 0))</f>
        <v>0</v>
      </c>
      <c r="IG66" s="165">
        <f>INDEX('STOPE SUMMARY PIVOT'!$D$2434:$D$2561, MATCH(IG$1,'STOPE SUMMARY PIVOT'!$A$2434:$A$2561, 0))</f>
        <v>0</v>
      </c>
      <c r="IH66" s="174">
        <f>INDEX('STOPE SUMMARY PIVOT'!$E$2434:$E$2561, MATCH(IG$1,'STOPE SUMMARY PIVOT'!$A$2434:$A$2561, 0))</f>
        <v>0</v>
      </c>
      <c r="II66" s="165">
        <f>INDEX('STOPE SUMMARY PIVOT'!$D$2434:$D$2561, MATCH(II$1,'STOPE SUMMARY PIVOT'!$A$2434:$A$2561, 0))</f>
        <v>0</v>
      </c>
      <c r="IJ66" s="174">
        <f>INDEX('STOPE SUMMARY PIVOT'!$E$2434:$E$2561, MATCH(II$1,'STOPE SUMMARY PIVOT'!$A$2434:$A$2561, 0))</f>
        <v>0</v>
      </c>
      <c r="IK66" s="165">
        <f>INDEX('STOPE SUMMARY PIVOT'!$D$2434:$D$2561, MATCH(IK$1,'STOPE SUMMARY PIVOT'!$A$2434:$A$2561, 0))</f>
        <v>0</v>
      </c>
      <c r="IL66" s="174">
        <f>INDEX('STOPE SUMMARY PIVOT'!$E$2434:$E$2561, MATCH(IK$1,'STOPE SUMMARY PIVOT'!$A$2434:$A$2561, 0))</f>
        <v>0</v>
      </c>
      <c r="IM66" s="165">
        <f>INDEX('STOPE SUMMARY PIVOT'!$D$2434:$D$2561, MATCH(IM$1,'STOPE SUMMARY PIVOT'!$A$2434:$A$2561, 0))</f>
        <v>0</v>
      </c>
      <c r="IN66" s="174">
        <f>INDEX('STOPE SUMMARY PIVOT'!$E$2434:$E$2561, MATCH(IM$1,'STOPE SUMMARY PIVOT'!$A$2434:$A$2561, 0))</f>
        <v>0</v>
      </c>
      <c r="IO66" s="165">
        <f>INDEX('STOPE SUMMARY PIVOT'!$D$2434:$D$2561, MATCH(IO$1,'STOPE SUMMARY PIVOT'!$A$2434:$A$2561, 0))</f>
        <v>0</v>
      </c>
      <c r="IP66" s="174">
        <f>INDEX('STOPE SUMMARY PIVOT'!$E$2434:$E$2561, MATCH(IO$1,'STOPE SUMMARY PIVOT'!$A$2434:$A$2561, 0))</f>
        <v>0</v>
      </c>
      <c r="IQ66" s="165">
        <f>INDEX('STOPE SUMMARY PIVOT'!$D$2434:$D$2561, MATCH(IQ$1,'STOPE SUMMARY PIVOT'!$A$2434:$A$2561, 0))</f>
        <v>0</v>
      </c>
      <c r="IR66" s="174">
        <f>INDEX('STOPE SUMMARY PIVOT'!$E$2434:$E$2561, MATCH(IQ$1,'STOPE SUMMARY PIVOT'!$A$2434:$A$2561, 0))</f>
        <v>0</v>
      </c>
      <c r="IS66" s="165">
        <f>INDEX('STOPE SUMMARY PIVOT'!$D$2434:$D$2561, MATCH(IS$1,'STOPE SUMMARY PIVOT'!$A$2434:$A$2561, 0))</f>
        <v>0</v>
      </c>
      <c r="IT66" s="174">
        <f>INDEX('STOPE SUMMARY PIVOT'!$E$2434:$E$2561, MATCH(IS$1,'STOPE SUMMARY PIVOT'!$A$2434:$A$2561, 0))</f>
        <v>0</v>
      </c>
      <c r="IU66" s="165">
        <f>INDEX('STOPE SUMMARY PIVOT'!$D$2434:$D$2561, MATCH(IU$1,'STOPE SUMMARY PIVOT'!$A$2434:$A$2561, 0))</f>
        <v>0</v>
      </c>
      <c r="IV66" s="174">
        <f>INDEX('STOPE SUMMARY PIVOT'!$E$2434:$E$2561, MATCH(IU$1,'STOPE SUMMARY PIVOT'!$A$2434:$A$2561, 0))</f>
        <v>0</v>
      </c>
      <c r="IW66" s="165">
        <f>INDEX('STOPE SUMMARY PIVOT'!$D$2434:$D$2561, MATCH(IW$1,'STOPE SUMMARY PIVOT'!$A$2434:$A$2561, 0))</f>
        <v>0</v>
      </c>
      <c r="IX66" s="174">
        <f>INDEX('STOPE SUMMARY PIVOT'!$E$2434:$E$2561, MATCH(IW$1,'STOPE SUMMARY PIVOT'!$A$2434:$A$2561, 0))</f>
        <v>0</v>
      </c>
      <c r="IY66" s="165">
        <f>INDEX('STOPE SUMMARY PIVOT'!$D$2434:$D$2561, MATCH(IY$1,'STOPE SUMMARY PIVOT'!$A$2434:$A$2561, 0))</f>
        <v>0</v>
      </c>
      <c r="IZ66" s="174">
        <f>INDEX('STOPE SUMMARY PIVOT'!$E$2434:$E$2561, MATCH(IY$1,'STOPE SUMMARY PIVOT'!$A$2434:$A$2561, 0))</f>
        <v>0</v>
      </c>
    </row>
    <row r="67" spans="1:260" x14ac:dyDescent="0.25">
      <c r="A67" s="1590"/>
      <c r="B67" s="167" t="s">
        <v>219</v>
      </c>
      <c r="C67" s="168" cm="1">
        <f t="array" ref="C67">SUM(_xlfn._xlws.FILTER(E67:IZ67, MOD(COLUMN(E67:IZ67)-COLUMN(E67)+1,2)=1))</f>
        <v>0</v>
      </c>
      <c r="D67" s="26" t="str" cm="1">
        <f t="array" ref="D67">IFERROR(SUMPRODUCT(_xlfn._xlws.FILTER(E67:IZ67, MOD(COLUMN(E67:IZ67)-COLUMN(E67)+1,2)=1), _xlfn._xlws.FILTER(E67:IZ67, MOD(COLUMN(E67:IZ67)-COLUMN(E67)+1,2)=0))/C67,"")</f>
        <v/>
      </c>
      <c r="E67" s="154">
        <f>INDEX('STOPE SUMMARY PIVOT'!$G$2434:$G$2561, MATCH(E$1,'STOPE SUMMARY PIVOT'!$A$2434:$A$2561, 0))</f>
        <v>0</v>
      </c>
      <c r="F67" s="175">
        <f>INDEX('STOPE SUMMARY PIVOT'!$H$2434:$H$2561, MATCH(E$1,'STOPE SUMMARY PIVOT'!$A$2434:$A$2561, 0))</f>
        <v>0</v>
      </c>
      <c r="G67" s="154">
        <f>INDEX('STOPE SUMMARY PIVOT'!$G$2434:$G$2561, MATCH(G$1,'STOPE SUMMARY PIVOT'!$A$2434:$A$2561, 0))</f>
        <v>0</v>
      </c>
      <c r="H67" s="175">
        <f>INDEX('STOPE SUMMARY PIVOT'!$H$2434:$H$2561, MATCH(G$1,'STOPE SUMMARY PIVOT'!$A$2434:$A$2561, 0))</f>
        <v>0</v>
      </c>
      <c r="I67" s="154">
        <f>INDEX('STOPE SUMMARY PIVOT'!$G$2434:$G$2561, MATCH(I$1,'STOPE SUMMARY PIVOT'!$A$2434:$A$2561, 0))</f>
        <v>0</v>
      </c>
      <c r="J67" s="143">
        <f>INDEX('STOPE SUMMARY PIVOT'!$H$2434:$H$2561, MATCH(I$1,'STOPE SUMMARY PIVOT'!$A$2434:$A$2561, 0))</f>
        <v>0</v>
      </c>
      <c r="K67" s="154">
        <f>INDEX('STOPE SUMMARY PIVOT'!$G$2434:$G$2561, MATCH(K$1,'STOPE SUMMARY PIVOT'!$A$2434:$A$2561, 0))</f>
        <v>0</v>
      </c>
      <c r="L67" s="143">
        <f>INDEX('STOPE SUMMARY PIVOT'!$H$2434:$H$2561, MATCH(K$1,'STOPE SUMMARY PIVOT'!$A$2434:$A$2561, 0))</f>
        <v>0</v>
      </c>
      <c r="M67" s="154">
        <f>INDEX('STOPE SUMMARY PIVOT'!$G$2434:$G$2561, MATCH(M$1,'STOPE SUMMARY PIVOT'!$A$2434:$A$2561, 0))</f>
        <v>0</v>
      </c>
      <c r="N67" s="143">
        <f>INDEX('STOPE SUMMARY PIVOT'!$H$2434:$H$2561, MATCH(M$1,'STOPE SUMMARY PIVOT'!$A$2434:$A$2561, 0))</f>
        <v>0</v>
      </c>
      <c r="O67" s="154">
        <f>INDEX('STOPE SUMMARY PIVOT'!$G$2434:$G$2561, MATCH(O$1,'STOPE SUMMARY PIVOT'!$A$2434:$A$2561, 0))</f>
        <v>0</v>
      </c>
      <c r="P67" s="143">
        <f>INDEX('STOPE SUMMARY PIVOT'!$H$2434:$H$2561, MATCH(O$1,'STOPE SUMMARY PIVOT'!$A$2434:$A$2561, 0))</f>
        <v>0</v>
      </c>
      <c r="Q67" s="154">
        <f>INDEX('STOPE SUMMARY PIVOT'!$G$2434:$G$2561, MATCH(Q$1,'STOPE SUMMARY PIVOT'!$A$2434:$A$2561, 0))</f>
        <v>0</v>
      </c>
      <c r="R67" s="143">
        <f>INDEX('STOPE SUMMARY PIVOT'!$H$2434:$H$2561, MATCH(Q$1,'STOPE SUMMARY PIVOT'!$A$2434:$A$2561, 0))</f>
        <v>0</v>
      </c>
      <c r="S67" s="154">
        <f>INDEX('STOPE SUMMARY PIVOT'!$G$2434:$G$2561, MATCH(S$1,'STOPE SUMMARY PIVOT'!$A$2434:$A$2561, 0))</f>
        <v>0</v>
      </c>
      <c r="T67" s="143">
        <f>INDEX('STOPE SUMMARY PIVOT'!$H$2434:$H$2561, MATCH(S$1,'STOPE SUMMARY PIVOT'!$A$2434:$A$2561, 0))</f>
        <v>0</v>
      </c>
      <c r="U67" s="154">
        <f>INDEX('STOPE SUMMARY PIVOT'!$G$2434:$G$2561, MATCH(U$1,'STOPE SUMMARY PIVOT'!$A$2434:$A$2561, 0))</f>
        <v>0</v>
      </c>
      <c r="V67" s="175">
        <f>INDEX('STOPE SUMMARY PIVOT'!$H$2434:$H$2561, MATCH(U$1,'STOPE SUMMARY PIVOT'!$A$2434:$A$2561, 0))</f>
        <v>0</v>
      </c>
      <c r="W67" s="154">
        <f>INDEX('STOPE SUMMARY PIVOT'!$G$2434:$G$2561, MATCH(W$1,'STOPE SUMMARY PIVOT'!$A$2434:$A$2561, 0))</f>
        <v>0</v>
      </c>
      <c r="X67" s="175">
        <f>INDEX('STOPE SUMMARY PIVOT'!$H$2434:$H$2561, MATCH(W$1,'STOPE SUMMARY PIVOT'!$A$2434:$A$2561, 0))</f>
        <v>0</v>
      </c>
      <c r="Y67" s="154">
        <f>INDEX('STOPE SUMMARY PIVOT'!$G$2434:$G$2561, MATCH(Y$1,'STOPE SUMMARY PIVOT'!$A$2434:$A$2561, 0))</f>
        <v>0</v>
      </c>
      <c r="Z67" s="175">
        <f>INDEX('STOPE SUMMARY PIVOT'!$H$2434:$H$2561, MATCH(Y$1,'STOPE SUMMARY PIVOT'!$A$2434:$A$2561, 0))</f>
        <v>0</v>
      </c>
      <c r="AA67" s="154">
        <f>INDEX('STOPE SUMMARY PIVOT'!$G$2434:$G$2561, MATCH(AA$1,'STOPE SUMMARY PIVOT'!$A$2434:$A$2561, 0))</f>
        <v>0</v>
      </c>
      <c r="AB67" s="175">
        <f>INDEX('STOPE SUMMARY PIVOT'!$H$2434:$H$2561, MATCH(AA$1,'STOPE SUMMARY PIVOT'!$A$2434:$A$2561, 0))</f>
        <v>0</v>
      </c>
      <c r="AC67" s="154">
        <f>INDEX('STOPE SUMMARY PIVOT'!$G$2434:$G$2561, MATCH(AC$1,'STOPE SUMMARY PIVOT'!$A$2434:$A$2561, 0))</f>
        <v>0</v>
      </c>
      <c r="AD67" s="175">
        <f>INDEX('STOPE SUMMARY PIVOT'!$H$2434:$H$2561, MATCH(AC$1,'STOPE SUMMARY PIVOT'!$A$2434:$A$2561, 0))</f>
        <v>0</v>
      </c>
      <c r="AE67" s="154">
        <f>INDEX('STOPE SUMMARY PIVOT'!$G$2434:$G$2561, MATCH(AE$1,'STOPE SUMMARY PIVOT'!$A$2434:$A$2561, 0))</f>
        <v>0</v>
      </c>
      <c r="AF67" s="175">
        <f>INDEX('STOPE SUMMARY PIVOT'!$H$2434:$H$2561, MATCH(AE$1,'STOPE SUMMARY PIVOT'!$A$2434:$A$2561, 0))</f>
        <v>0</v>
      </c>
      <c r="AG67" s="154">
        <f>INDEX('STOPE SUMMARY PIVOT'!$G$2434:$G$2561, MATCH(AG$1,'STOPE SUMMARY PIVOT'!$A$2434:$A$2561, 0))</f>
        <v>0</v>
      </c>
      <c r="AH67" s="175">
        <f>INDEX('STOPE SUMMARY PIVOT'!$H$2434:$H$2561, MATCH(AG$1,'STOPE SUMMARY PIVOT'!$A$2434:$A$2561, 0))</f>
        <v>0</v>
      </c>
      <c r="AI67" s="154">
        <f>INDEX('STOPE SUMMARY PIVOT'!$G$2434:$G$2561, MATCH(AI$1,'STOPE SUMMARY PIVOT'!$A$2434:$A$2561, 0))</f>
        <v>0</v>
      </c>
      <c r="AJ67" s="175">
        <f>INDEX('STOPE SUMMARY PIVOT'!$H$2434:$H$2561, MATCH(AI$1,'STOPE SUMMARY PIVOT'!$A$2434:$A$2561, 0))</f>
        <v>0</v>
      </c>
      <c r="AK67" s="154">
        <f>INDEX('STOPE SUMMARY PIVOT'!$G$2434:$G$2561, MATCH(AK$1,'STOPE SUMMARY PIVOT'!$A$2434:$A$2561, 0))</f>
        <v>0</v>
      </c>
      <c r="AL67" s="175">
        <f>INDEX('STOPE SUMMARY PIVOT'!$H$2434:$H$2561, MATCH(AK$1,'STOPE SUMMARY PIVOT'!$A$2434:$A$2561, 0))</f>
        <v>0</v>
      </c>
      <c r="AM67" s="154">
        <f>INDEX('STOPE SUMMARY PIVOT'!$G$2434:$G$2561, MATCH(AM$1,'STOPE SUMMARY PIVOT'!$A$2434:$A$2561, 0))</f>
        <v>0</v>
      </c>
      <c r="AN67" s="175">
        <f>INDEX('STOPE SUMMARY PIVOT'!$H$2434:$H$2561, MATCH(AM$1,'STOPE SUMMARY PIVOT'!$A$2434:$A$2561, 0))</f>
        <v>0</v>
      </c>
      <c r="AO67" s="154">
        <f>INDEX('STOPE SUMMARY PIVOT'!$G$2434:$G$2561, MATCH(AO$1,'STOPE SUMMARY PIVOT'!$A$2434:$A$2561, 0))</f>
        <v>0</v>
      </c>
      <c r="AP67" s="175">
        <f>INDEX('STOPE SUMMARY PIVOT'!$H$2434:$H$2561, MATCH(AO$1,'STOPE SUMMARY PIVOT'!$A$2434:$A$2561, 0))</f>
        <v>0</v>
      </c>
      <c r="AQ67" s="154">
        <f>INDEX('STOPE SUMMARY PIVOT'!$G$2434:$G$2561, MATCH(AQ$1,'STOPE SUMMARY PIVOT'!$A$2434:$A$2561, 0))</f>
        <v>0</v>
      </c>
      <c r="AR67" s="175">
        <f>INDEX('STOPE SUMMARY PIVOT'!$H$2434:$H$2561, MATCH(AQ$1,'STOPE SUMMARY PIVOT'!$A$2434:$A$2561, 0))</f>
        <v>0</v>
      </c>
      <c r="AS67" s="154">
        <f>INDEX('STOPE SUMMARY PIVOT'!$G$2434:$G$2561, MATCH(AS$1,'STOPE SUMMARY PIVOT'!$A$2434:$A$2561, 0))</f>
        <v>0</v>
      </c>
      <c r="AT67" s="175">
        <f>INDEX('STOPE SUMMARY PIVOT'!$H$2434:$H$2561, MATCH(AS$1,'STOPE SUMMARY PIVOT'!$A$2434:$A$2561, 0))</f>
        <v>0</v>
      </c>
      <c r="AU67" s="154">
        <f>INDEX('STOPE SUMMARY PIVOT'!$G$2434:$G$2561, MATCH(AU$1,'STOPE SUMMARY PIVOT'!$A$2434:$A$2561, 0))</f>
        <v>0</v>
      </c>
      <c r="AV67" s="175">
        <f>INDEX('STOPE SUMMARY PIVOT'!$H$2434:$H$2561, MATCH(AU$1,'STOPE SUMMARY PIVOT'!$A$2434:$A$2561, 0))</f>
        <v>0</v>
      </c>
      <c r="AW67" s="154">
        <f>INDEX('STOPE SUMMARY PIVOT'!$G$2434:$G$2561, MATCH(AW$1,'STOPE SUMMARY PIVOT'!$A$2434:$A$2561, 0))</f>
        <v>0</v>
      </c>
      <c r="AX67" s="175">
        <f>INDEX('STOPE SUMMARY PIVOT'!$H$2434:$H$2561, MATCH(AW$1,'STOPE SUMMARY PIVOT'!$A$2434:$A$2561, 0))</f>
        <v>0</v>
      </c>
      <c r="AY67" s="154">
        <f>INDEX('STOPE SUMMARY PIVOT'!$G$2434:$G$2561, MATCH(AY$1,'STOPE SUMMARY PIVOT'!$A$2434:$A$2561, 0))</f>
        <v>0</v>
      </c>
      <c r="AZ67" s="175">
        <f>INDEX('STOPE SUMMARY PIVOT'!$H$2434:$H$2561, MATCH(AY$1,'STOPE SUMMARY PIVOT'!$A$2434:$A$2561, 0))</f>
        <v>0</v>
      </c>
      <c r="BA67" s="154">
        <f>INDEX('STOPE SUMMARY PIVOT'!$G$2434:$G$2561, MATCH(BA$1,'STOPE SUMMARY PIVOT'!$A$2434:$A$2561, 0))</f>
        <v>0</v>
      </c>
      <c r="BB67" s="175">
        <f>INDEX('STOPE SUMMARY PIVOT'!$H$2434:$H$2561, MATCH(BA$1,'STOPE SUMMARY PIVOT'!$A$2434:$A$2561, 0))</f>
        <v>0</v>
      </c>
      <c r="BC67" s="154">
        <f>INDEX('STOPE SUMMARY PIVOT'!$G$2434:$G$2561, MATCH(BC$1,'STOPE SUMMARY PIVOT'!$A$2434:$A$2561, 0))</f>
        <v>0</v>
      </c>
      <c r="BD67" s="175">
        <f>INDEX('STOPE SUMMARY PIVOT'!$H$2434:$H$2561, MATCH(BC$1,'STOPE SUMMARY PIVOT'!$A$2434:$A$2561, 0))</f>
        <v>0</v>
      </c>
      <c r="BE67" s="154">
        <f>INDEX('STOPE SUMMARY PIVOT'!$G$2434:$G$2561, MATCH(BE$1,'STOPE SUMMARY PIVOT'!$A$2434:$A$2561, 0))</f>
        <v>0</v>
      </c>
      <c r="BF67" s="175">
        <f>INDEX('STOPE SUMMARY PIVOT'!$H$2434:$H$2561, MATCH(BE$1,'STOPE SUMMARY PIVOT'!$A$2434:$A$2561, 0))</f>
        <v>0</v>
      </c>
      <c r="BG67" s="154">
        <f>INDEX('STOPE SUMMARY PIVOT'!$G$2434:$G$2561, MATCH(BG$1,'STOPE SUMMARY PIVOT'!$A$2434:$A$2561, 0))</f>
        <v>0</v>
      </c>
      <c r="BH67" s="175">
        <f>INDEX('STOPE SUMMARY PIVOT'!$H$2434:$H$2561, MATCH(BG$1,'STOPE SUMMARY PIVOT'!$A$2434:$A$2561, 0))</f>
        <v>0</v>
      </c>
      <c r="BI67" s="154">
        <f>INDEX('STOPE SUMMARY PIVOT'!$G$2434:$G$2561, MATCH(BI$1,'STOPE SUMMARY PIVOT'!$A$2434:$A$2561, 0))</f>
        <v>0</v>
      </c>
      <c r="BJ67" s="175">
        <f>INDEX('STOPE SUMMARY PIVOT'!$H$2434:$H$2561, MATCH(BI$1,'STOPE SUMMARY PIVOT'!$A$2434:$A$2561, 0))</f>
        <v>0</v>
      </c>
      <c r="BK67" s="154">
        <f>INDEX('STOPE SUMMARY PIVOT'!$G$2434:$G$2561, MATCH(BK$1,'STOPE SUMMARY PIVOT'!$A$2434:$A$2561, 0))</f>
        <v>0</v>
      </c>
      <c r="BL67" s="175">
        <f>INDEX('STOPE SUMMARY PIVOT'!$H$2434:$H$2561, MATCH(BK$1,'STOPE SUMMARY PIVOT'!$A$2434:$A$2561, 0))</f>
        <v>0</v>
      </c>
      <c r="BM67" s="154">
        <f>INDEX('STOPE SUMMARY PIVOT'!$G$2434:$G$2561, MATCH(BM$1,'STOPE SUMMARY PIVOT'!$A$2434:$A$2561, 0))</f>
        <v>0</v>
      </c>
      <c r="BN67" s="175">
        <f>INDEX('STOPE SUMMARY PIVOT'!$H$2434:$H$2561, MATCH(BM$1,'STOPE SUMMARY PIVOT'!$A$2434:$A$2561, 0))</f>
        <v>0</v>
      </c>
      <c r="BO67" s="154">
        <f>INDEX('STOPE SUMMARY PIVOT'!$G$2434:$G$2561, MATCH(BO$1,'STOPE SUMMARY PIVOT'!$A$2434:$A$2561, 0))</f>
        <v>0</v>
      </c>
      <c r="BP67" s="175">
        <f>INDEX('STOPE SUMMARY PIVOT'!$H$2434:$H$2561, MATCH(BO$1,'STOPE SUMMARY PIVOT'!$A$2434:$A$2561, 0))</f>
        <v>0</v>
      </c>
      <c r="BQ67" s="154">
        <f>INDEX('STOPE SUMMARY PIVOT'!$G$2434:$G$2561, MATCH(BQ$1,'STOPE SUMMARY PIVOT'!$A$2434:$A$2561, 0))</f>
        <v>0</v>
      </c>
      <c r="BR67" s="175">
        <f>INDEX('STOPE SUMMARY PIVOT'!$H$2434:$H$2561, MATCH(BQ$1,'STOPE SUMMARY PIVOT'!$A$2434:$A$2561, 0))</f>
        <v>0</v>
      </c>
      <c r="BS67" s="154">
        <f>INDEX('STOPE SUMMARY PIVOT'!$G$2434:$G$2561, MATCH(BS$1,'STOPE SUMMARY PIVOT'!$A$2434:$A$2561, 0))</f>
        <v>0</v>
      </c>
      <c r="BT67" s="175">
        <f>INDEX('STOPE SUMMARY PIVOT'!$H$2434:$H$2561, MATCH(BS$1,'STOPE SUMMARY PIVOT'!$A$2434:$A$2561, 0))</f>
        <v>0</v>
      </c>
      <c r="BU67" s="154">
        <f>INDEX('STOPE SUMMARY PIVOT'!$G$2434:$G$2561, MATCH(BU$1,'STOPE SUMMARY PIVOT'!$A$2434:$A$2561, 0))</f>
        <v>0</v>
      </c>
      <c r="BV67" s="175">
        <f>INDEX('STOPE SUMMARY PIVOT'!$H$2434:$H$2561, MATCH(BU$1,'STOPE SUMMARY PIVOT'!$A$2434:$A$2561, 0))</f>
        <v>0</v>
      </c>
      <c r="BW67" s="154">
        <f>INDEX('STOPE SUMMARY PIVOT'!$G$2434:$G$2561, MATCH(BW$1,'STOPE SUMMARY PIVOT'!$A$2434:$A$2561, 0))</f>
        <v>0</v>
      </c>
      <c r="BX67" s="175">
        <f>INDEX('STOPE SUMMARY PIVOT'!$H$2434:$H$2561, MATCH(BW$1,'STOPE SUMMARY PIVOT'!$A$2434:$A$2561, 0))</f>
        <v>0</v>
      </c>
      <c r="BY67" s="154">
        <f>INDEX('STOPE SUMMARY PIVOT'!$G$2434:$G$2561, MATCH(BY$1,'STOPE SUMMARY PIVOT'!$A$2434:$A$2561, 0))</f>
        <v>0</v>
      </c>
      <c r="BZ67" s="175">
        <f>INDEX('STOPE SUMMARY PIVOT'!$H$2434:$H$2561, MATCH(BY$1,'STOPE SUMMARY PIVOT'!$A$2434:$A$2561, 0))</f>
        <v>0</v>
      </c>
      <c r="CA67" s="154">
        <f>INDEX('STOPE SUMMARY PIVOT'!$G$2434:$G$2561, MATCH(CA$1,'STOPE SUMMARY PIVOT'!$A$2434:$A$2561, 0))</f>
        <v>0</v>
      </c>
      <c r="CB67" s="175">
        <f>INDEX('STOPE SUMMARY PIVOT'!$H$2434:$H$2561, MATCH(CA$1,'STOPE SUMMARY PIVOT'!$A$2434:$A$2561, 0))</f>
        <v>0</v>
      </c>
      <c r="CC67" s="154">
        <f>INDEX('STOPE SUMMARY PIVOT'!$G$2434:$G$2561, MATCH(CC$1,'STOPE SUMMARY PIVOT'!$A$2434:$A$2561, 0))</f>
        <v>0</v>
      </c>
      <c r="CD67" s="175">
        <f>INDEX('STOPE SUMMARY PIVOT'!$H$2434:$H$2561, MATCH(CC$1,'STOPE SUMMARY PIVOT'!$A$2434:$A$2561, 0))</f>
        <v>0</v>
      </c>
      <c r="CE67" s="154">
        <f>INDEX('STOPE SUMMARY PIVOT'!$G$2434:$G$2561, MATCH(CE$1,'STOPE SUMMARY PIVOT'!$A$2434:$A$2561, 0))</f>
        <v>0</v>
      </c>
      <c r="CF67" s="175">
        <f>INDEX('STOPE SUMMARY PIVOT'!$H$2434:$H$2561, MATCH(CE$1,'STOPE SUMMARY PIVOT'!$A$2434:$A$2561, 0))</f>
        <v>0</v>
      </c>
      <c r="CG67" s="154">
        <f>INDEX('STOPE SUMMARY PIVOT'!$G$2434:$G$2561, MATCH(CG$1,'STOPE SUMMARY PIVOT'!$A$2434:$A$2561, 0))</f>
        <v>0</v>
      </c>
      <c r="CH67" s="175">
        <f>INDEX('STOPE SUMMARY PIVOT'!$H$2434:$H$2561, MATCH(CG$1,'STOPE SUMMARY PIVOT'!$A$2434:$A$2561, 0))</f>
        <v>0</v>
      </c>
      <c r="CI67" s="154">
        <f>INDEX('STOPE SUMMARY PIVOT'!$G$2434:$G$2561, MATCH(CI$1,'STOPE SUMMARY PIVOT'!$A$2434:$A$2561, 0))</f>
        <v>0</v>
      </c>
      <c r="CJ67" s="175">
        <f>INDEX('STOPE SUMMARY PIVOT'!$H$2434:$H$2561, MATCH(CI$1,'STOPE SUMMARY PIVOT'!$A$2434:$A$2561, 0))</f>
        <v>0</v>
      </c>
      <c r="CK67" s="154">
        <f>INDEX('STOPE SUMMARY PIVOT'!$G$2434:$G$2561, MATCH(CK$1,'STOPE SUMMARY PIVOT'!$A$2434:$A$2561, 0))</f>
        <v>0</v>
      </c>
      <c r="CL67" s="175">
        <f>INDEX('STOPE SUMMARY PIVOT'!$H$2434:$H$2561, MATCH(CK$1,'STOPE SUMMARY PIVOT'!$A$2434:$A$2561, 0))</f>
        <v>0</v>
      </c>
      <c r="CM67" s="154">
        <f>INDEX('STOPE SUMMARY PIVOT'!$G$2434:$G$2561, MATCH(CM$1,'STOPE SUMMARY PIVOT'!$A$2434:$A$2561, 0))</f>
        <v>0</v>
      </c>
      <c r="CN67" s="175">
        <f>INDEX('STOPE SUMMARY PIVOT'!$H$2434:$H$2561, MATCH(CM$1,'STOPE SUMMARY PIVOT'!$A$2434:$A$2561, 0))</f>
        <v>0</v>
      </c>
      <c r="CO67" s="154">
        <f>INDEX('STOPE SUMMARY PIVOT'!$G$2434:$G$2561, MATCH(CO$1,'STOPE SUMMARY PIVOT'!$A$2434:$A$2561, 0))</f>
        <v>0</v>
      </c>
      <c r="CP67" s="175">
        <f>INDEX('STOPE SUMMARY PIVOT'!$H$2434:$H$2561, MATCH(CO$1,'STOPE SUMMARY PIVOT'!$A$2434:$A$2561, 0))</f>
        <v>0</v>
      </c>
      <c r="CQ67" s="154">
        <f>INDEX('STOPE SUMMARY PIVOT'!$G$2434:$G$2561, MATCH(CQ$1,'STOPE SUMMARY PIVOT'!$A$2434:$A$2561, 0))</f>
        <v>0</v>
      </c>
      <c r="CR67" s="175">
        <f>INDEX('STOPE SUMMARY PIVOT'!$H$2434:$H$2561, MATCH(CQ$1,'STOPE SUMMARY PIVOT'!$A$2434:$A$2561, 0))</f>
        <v>0</v>
      </c>
      <c r="CS67" s="154">
        <f>INDEX('STOPE SUMMARY PIVOT'!$G$2434:$G$2561, MATCH(CS$1,'STOPE SUMMARY PIVOT'!$A$2434:$A$2561, 0))</f>
        <v>0</v>
      </c>
      <c r="CT67" s="175">
        <f>INDEX('STOPE SUMMARY PIVOT'!$H$2434:$H$2561, MATCH(CS$1,'STOPE SUMMARY PIVOT'!$A$2434:$A$2561, 0))</f>
        <v>0</v>
      </c>
      <c r="CU67" s="154">
        <f>INDEX('STOPE SUMMARY PIVOT'!$G$2434:$G$2561, MATCH(CU$1,'STOPE SUMMARY PIVOT'!$A$2434:$A$2561, 0))</f>
        <v>0</v>
      </c>
      <c r="CV67" s="175">
        <f>INDEX('STOPE SUMMARY PIVOT'!$H$2434:$H$2561, MATCH(CU$1,'STOPE SUMMARY PIVOT'!$A$2434:$A$2561, 0))</f>
        <v>0</v>
      </c>
      <c r="CW67" s="154">
        <f>INDEX('STOPE SUMMARY PIVOT'!$G$2434:$G$2561, MATCH(CW$1,'STOPE SUMMARY PIVOT'!$A$2434:$A$2561, 0))</f>
        <v>0</v>
      </c>
      <c r="CX67" s="175">
        <f>INDEX('STOPE SUMMARY PIVOT'!$H$2434:$H$2561, MATCH(CW$1,'STOPE SUMMARY PIVOT'!$A$2434:$A$2561, 0))</f>
        <v>0</v>
      </c>
      <c r="CY67" s="154">
        <f>INDEX('STOPE SUMMARY PIVOT'!$G$2434:$G$2561, MATCH(CY$1,'STOPE SUMMARY PIVOT'!$A$2434:$A$2561, 0))</f>
        <v>0</v>
      </c>
      <c r="CZ67" s="175">
        <f>INDEX('STOPE SUMMARY PIVOT'!$H$2434:$H$2561, MATCH(CY$1,'STOPE SUMMARY PIVOT'!$A$2434:$A$2561, 0))</f>
        <v>0</v>
      </c>
      <c r="DA67" s="154">
        <f>INDEX('STOPE SUMMARY PIVOT'!$G$2434:$G$2561, MATCH(DA$1,'STOPE SUMMARY PIVOT'!$A$2434:$A$2561, 0))</f>
        <v>0</v>
      </c>
      <c r="DB67" s="175">
        <f>INDEX('STOPE SUMMARY PIVOT'!$H$2434:$H$2561, MATCH(DA$1,'STOPE SUMMARY PIVOT'!$A$2434:$A$2561, 0))</f>
        <v>0</v>
      </c>
      <c r="DC67" s="154">
        <f>INDEX('STOPE SUMMARY PIVOT'!$G$2434:$G$2561, MATCH(DC$1,'STOPE SUMMARY PIVOT'!$A$2434:$A$2561, 0))</f>
        <v>0</v>
      </c>
      <c r="DD67" s="175">
        <f>INDEX('STOPE SUMMARY PIVOT'!$H$2434:$H$2561, MATCH(DC$1,'STOPE SUMMARY PIVOT'!$A$2434:$A$2561, 0))</f>
        <v>0</v>
      </c>
      <c r="DE67" s="154">
        <f>INDEX('STOPE SUMMARY PIVOT'!$G$2434:$G$2561, MATCH(DE$1,'STOPE SUMMARY PIVOT'!$A$2434:$A$2561, 0))</f>
        <v>0</v>
      </c>
      <c r="DF67" s="175">
        <f>INDEX('STOPE SUMMARY PIVOT'!$H$2434:$H$2561, MATCH(DE$1,'STOPE SUMMARY PIVOT'!$A$2434:$A$2561, 0))</f>
        <v>0</v>
      </c>
      <c r="DG67" s="154">
        <f>INDEX('STOPE SUMMARY PIVOT'!$G$2434:$G$2561, MATCH(DG$1,'STOPE SUMMARY PIVOT'!$A$2434:$A$2561, 0))</f>
        <v>0</v>
      </c>
      <c r="DH67" s="175">
        <f>INDEX('STOPE SUMMARY PIVOT'!$H$2434:$H$2561, MATCH(DG$1,'STOPE SUMMARY PIVOT'!$A$2434:$A$2561, 0))</f>
        <v>0</v>
      </c>
      <c r="DI67" s="154">
        <f>INDEX('STOPE SUMMARY PIVOT'!$G$2434:$G$2561, MATCH(DI$1,'STOPE SUMMARY PIVOT'!$A$2434:$A$2561, 0))</f>
        <v>0</v>
      </c>
      <c r="DJ67" s="175">
        <f>INDEX('STOPE SUMMARY PIVOT'!$H$2434:$H$2561, MATCH(DI$1,'STOPE SUMMARY PIVOT'!$A$2434:$A$2561, 0))</f>
        <v>0</v>
      </c>
      <c r="DK67" s="154">
        <f>INDEX('STOPE SUMMARY PIVOT'!$G$2434:$G$2561, MATCH(DK$1,'STOPE SUMMARY PIVOT'!$A$2434:$A$2561, 0))</f>
        <v>0</v>
      </c>
      <c r="DL67" s="175">
        <f>INDEX('STOPE SUMMARY PIVOT'!$H$2434:$H$2561, MATCH(DK$1,'STOPE SUMMARY PIVOT'!$A$2434:$A$2561, 0))</f>
        <v>0</v>
      </c>
      <c r="DM67" s="154">
        <f>INDEX('STOPE SUMMARY PIVOT'!$G$2434:$G$2561, MATCH(DM$1,'STOPE SUMMARY PIVOT'!$A$2434:$A$2561, 0))</f>
        <v>0</v>
      </c>
      <c r="DN67" s="175">
        <f>INDEX('STOPE SUMMARY PIVOT'!$H$2434:$H$2561, MATCH(DM$1,'STOPE SUMMARY PIVOT'!$A$2434:$A$2561, 0))</f>
        <v>0</v>
      </c>
      <c r="DO67" s="154">
        <f>INDEX('STOPE SUMMARY PIVOT'!$G$2434:$G$2561, MATCH(DO$1,'STOPE SUMMARY PIVOT'!$A$2434:$A$2561, 0))</f>
        <v>0</v>
      </c>
      <c r="DP67" s="175">
        <f>INDEX('STOPE SUMMARY PIVOT'!$H$2434:$H$2561, MATCH(DO$1,'STOPE SUMMARY PIVOT'!$A$2434:$A$2561, 0))</f>
        <v>0</v>
      </c>
      <c r="DQ67" s="154">
        <f>INDEX('STOPE SUMMARY PIVOT'!$G$2434:$G$2561, MATCH(DQ$1,'STOPE SUMMARY PIVOT'!$A$2434:$A$2561, 0))</f>
        <v>0</v>
      </c>
      <c r="DR67" s="175">
        <f>INDEX('STOPE SUMMARY PIVOT'!$H$2434:$H$2561, MATCH(DQ$1,'STOPE SUMMARY PIVOT'!$A$2434:$A$2561, 0))</f>
        <v>0</v>
      </c>
      <c r="DS67" s="154">
        <f>INDEX('STOPE SUMMARY PIVOT'!$G$2434:$G$2561, MATCH(DS$1,'STOPE SUMMARY PIVOT'!$A$2434:$A$2561, 0))</f>
        <v>0</v>
      </c>
      <c r="DT67" s="175">
        <f>INDEX('STOPE SUMMARY PIVOT'!$H$2434:$H$2561, MATCH(DS$1,'STOPE SUMMARY PIVOT'!$A$2434:$A$2561, 0))</f>
        <v>0</v>
      </c>
      <c r="DU67" s="154">
        <f>INDEX('STOPE SUMMARY PIVOT'!$G$2434:$G$2561, MATCH(DU$1,'STOPE SUMMARY PIVOT'!$A$2434:$A$2561, 0))</f>
        <v>0</v>
      </c>
      <c r="DV67" s="175">
        <f>INDEX('STOPE SUMMARY PIVOT'!$H$2434:$H$2561, MATCH(DU$1,'STOPE SUMMARY PIVOT'!$A$2434:$A$2561, 0))</f>
        <v>0</v>
      </c>
      <c r="DW67" s="154">
        <f>INDEX('STOPE SUMMARY PIVOT'!$G$2434:$G$2561, MATCH(DW$1,'STOPE SUMMARY PIVOT'!$A$2434:$A$2561, 0))</f>
        <v>0</v>
      </c>
      <c r="DX67" s="175">
        <f>INDEX('STOPE SUMMARY PIVOT'!$H$2434:$H$2561, MATCH(DW$1,'STOPE SUMMARY PIVOT'!$A$2434:$A$2561, 0))</f>
        <v>0</v>
      </c>
      <c r="DY67" s="154">
        <f>INDEX('STOPE SUMMARY PIVOT'!$G$2434:$G$2561, MATCH(DY$1,'STOPE SUMMARY PIVOT'!$A$2434:$A$2561, 0))</f>
        <v>0</v>
      </c>
      <c r="DZ67" s="175">
        <f>INDEX('STOPE SUMMARY PIVOT'!$H$2434:$H$2561, MATCH(DY$1,'STOPE SUMMARY PIVOT'!$A$2434:$A$2561, 0))</f>
        <v>0</v>
      </c>
      <c r="EA67" s="154">
        <f>INDEX('STOPE SUMMARY PIVOT'!$G$2434:$G$2561, MATCH(EA$1,'STOPE SUMMARY PIVOT'!$A$2434:$A$2561, 0))</f>
        <v>0</v>
      </c>
      <c r="EB67" s="175">
        <f>INDEX('STOPE SUMMARY PIVOT'!$H$2434:$H$2561, MATCH(EA$1,'STOPE SUMMARY PIVOT'!$A$2434:$A$2561, 0))</f>
        <v>0</v>
      </c>
      <c r="EC67" s="154">
        <f>INDEX('STOPE SUMMARY PIVOT'!$G$2434:$G$2561, MATCH(EC$1,'STOPE SUMMARY PIVOT'!$A$2434:$A$2561, 0))</f>
        <v>0</v>
      </c>
      <c r="ED67" s="175">
        <f>INDEX('STOPE SUMMARY PIVOT'!$H$2434:$H$2561, MATCH(EC$1,'STOPE SUMMARY PIVOT'!$A$2434:$A$2561, 0))</f>
        <v>0</v>
      </c>
      <c r="EE67" s="154">
        <f>INDEX('STOPE SUMMARY PIVOT'!$G$2434:$G$2561, MATCH(EE$1,'STOPE SUMMARY PIVOT'!$A$2434:$A$2561, 0))</f>
        <v>0</v>
      </c>
      <c r="EF67" s="175">
        <f>INDEX('STOPE SUMMARY PIVOT'!$H$2434:$H$2561, MATCH(EE$1,'STOPE SUMMARY PIVOT'!$A$2434:$A$2561, 0))</f>
        <v>0</v>
      </c>
      <c r="EG67" s="154">
        <f>INDEX('STOPE SUMMARY PIVOT'!$G$2434:$G$2561, MATCH(EG$1,'STOPE SUMMARY PIVOT'!$A$2434:$A$2561, 0))</f>
        <v>0</v>
      </c>
      <c r="EH67" s="175">
        <f>INDEX('STOPE SUMMARY PIVOT'!$H$2434:$H$2561, MATCH(EG$1,'STOPE SUMMARY PIVOT'!$A$2434:$A$2561, 0))</f>
        <v>0</v>
      </c>
      <c r="EI67" s="154">
        <f>INDEX('STOPE SUMMARY PIVOT'!$G$2434:$G$2561, MATCH(EI$1,'STOPE SUMMARY PIVOT'!$A$2434:$A$2561, 0))</f>
        <v>0</v>
      </c>
      <c r="EJ67" s="175">
        <f>INDEX('STOPE SUMMARY PIVOT'!$H$2434:$H$2561, MATCH(EI$1,'STOPE SUMMARY PIVOT'!$A$2434:$A$2561, 0))</f>
        <v>0</v>
      </c>
      <c r="EK67" s="154">
        <f>INDEX('STOPE SUMMARY PIVOT'!$G$2434:$G$2561, MATCH(EK$1,'STOPE SUMMARY PIVOT'!$A$2434:$A$2561, 0))</f>
        <v>0</v>
      </c>
      <c r="EL67" s="175">
        <f>INDEX('STOPE SUMMARY PIVOT'!$H$2434:$H$2561, MATCH(EK$1,'STOPE SUMMARY PIVOT'!$A$2434:$A$2561, 0))</f>
        <v>0</v>
      </c>
      <c r="EM67" s="154">
        <f>INDEX('STOPE SUMMARY PIVOT'!$G$2434:$G$2561, MATCH(EM$1,'STOPE SUMMARY PIVOT'!$A$2434:$A$2561, 0))</f>
        <v>0</v>
      </c>
      <c r="EN67" s="175">
        <f>INDEX('STOPE SUMMARY PIVOT'!$H$2434:$H$2561, MATCH(EM$1,'STOPE SUMMARY PIVOT'!$A$2434:$A$2561, 0))</f>
        <v>0</v>
      </c>
      <c r="EO67" s="154">
        <f>INDEX('STOPE SUMMARY PIVOT'!$G$2434:$G$2561, MATCH(EO$1,'STOPE SUMMARY PIVOT'!$A$2434:$A$2561, 0))</f>
        <v>0</v>
      </c>
      <c r="EP67" s="175">
        <f>INDEX('STOPE SUMMARY PIVOT'!$H$2434:$H$2561, MATCH(EO$1,'STOPE SUMMARY PIVOT'!$A$2434:$A$2561, 0))</f>
        <v>0</v>
      </c>
      <c r="EQ67" s="154">
        <f>INDEX('STOPE SUMMARY PIVOT'!$G$2434:$G$2561, MATCH(EQ$1,'STOPE SUMMARY PIVOT'!$A$2434:$A$2561, 0))</f>
        <v>0</v>
      </c>
      <c r="ER67" s="175">
        <f>INDEX('STOPE SUMMARY PIVOT'!$H$2434:$H$2561, MATCH(EQ$1,'STOPE SUMMARY PIVOT'!$A$2434:$A$2561, 0))</f>
        <v>0</v>
      </c>
      <c r="ES67" s="154">
        <f>INDEX('STOPE SUMMARY PIVOT'!$G$2434:$G$2561, MATCH(ES$1,'STOPE SUMMARY PIVOT'!$A$2434:$A$2561, 0))</f>
        <v>0</v>
      </c>
      <c r="ET67" s="175">
        <f>INDEX('STOPE SUMMARY PIVOT'!$H$2434:$H$2561, MATCH(ES$1,'STOPE SUMMARY PIVOT'!$A$2434:$A$2561, 0))</f>
        <v>0</v>
      </c>
      <c r="EU67" s="154">
        <f>INDEX('STOPE SUMMARY PIVOT'!$G$2434:$G$2561, MATCH(EU$1,'STOPE SUMMARY PIVOT'!$A$2434:$A$2561, 0))</f>
        <v>0</v>
      </c>
      <c r="EV67" s="175">
        <f>INDEX('STOPE SUMMARY PIVOT'!$H$2434:$H$2561, MATCH(EU$1,'STOPE SUMMARY PIVOT'!$A$2434:$A$2561, 0))</f>
        <v>0</v>
      </c>
      <c r="EW67" s="154">
        <f>INDEX('STOPE SUMMARY PIVOT'!$G$2434:$G$2561, MATCH(EW$1,'STOPE SUMMARY PIVOT'!$A$2434:$A$2561, 0))</f>
        <v>0</v>
      </c>
      <c r="EX67" s="175">
        <f>INDEX('STOPE SUMMARY PIVOT'!$H$2434:$H$2561, MATCH(EW$1,'STOPE SUMMARY PIVOT'!$A$2434:$A$2561, 0))</f>
        <v>0</v>
      </c>
      <c r="EY67" s="154">
        <f>INDEX('STOPE SUMMARY PIVOT'!$G$2434:$G$2561, MATCH(EY$1,'STOPE SUMMARY PIVOT'!$A$2434:$A$2561, 0))</f>
        <v>0</v>
      </c>
      <c r="EZ67" s="175">
        <f>INDEX('STOPE SUMMARY PIVOT'!$H$2434:$H$2561, MATCH(EY$1,'STOPE SUMMARY PIVOT'!$A$2434:$A$2561, 0))</f>
        <v>0</v>
      </c>
      <c r="FA67" s="154">
        <f>INDEX('STOPE SUMMARY PIVOT'!$G$2434:$G$2561, MATCH(FA$1,'STOPE SUMMARY PIVOT'!$A$2434:$A$2561, 0))</f>
        <v>0</v>
      </c>
      <c r="FB67" s="175">
        <f>INDEX('STOPE SUMMARY PIVOT'!$H$2434:$H$2561, MATCH(FA$1,'STOPE SUMMARY PIVOT'!$A$2434:$A$2561, 0))</f>
        <v>0</v>
      </c>
      <c r="FC67" s="154">
        <f>INDEX('STOPE SUMMARY PIVOT'!$G$2434:$G$2561, MATCH(FC$1,'STOPE SUMMARY PIVOT'!$A$2434:$A$2561, 0))</f>
        <v>0</v>
      </c>
      <c r="FD67" s="175">
        <f>INDEX('STOPE SUMMARY PIVOT'!$H$2434:$H$2561, MATCH(FC$1,'STOPE SUMMARY PIVOT'!$A$2434:$A$2561, 0))</f>
        <v>0</v>
      </c>
      <c r="FE67" s="154">
        <f>INDEX('STOPE SUMMARY PIVOT'!$G$2434:$G$2561, MATCH(FE$1,'STOPE SUMMARY PIVOT'!$A$2434:$A$2561, 0))</f>
        <v>0</v>
      </c>
      <c r="FF67" s="175">
        <f>INDEX('STOPE SUMMARY PIVOT'!$H$2434:$H$2561, MATCH(FE$1,'STOPE SUMMARY PIVOT'!$A$2434:$A$2561, 0))</f>
        <v>0</v>
      </c>
      <c r="FG67" s="154">
        <f>INDEX('STOPE SUMMARY PIVOT'!$G$2434:$G$2561, MATCH(FG$1,'STOPE SUMMARY PIVOT'!$A$2434:$A$2561, 0))</f>
        <v>0</v>
      </c>
      <c r="FH67" s="175">
        <f>INDEX('STOPE SUMMARY PIVOT'!$H$2434:$H$2561, MATCH(FG$1,'STOPE SUMMARY PIVOT'!$A$2434:$A$2561, 0))</f>
        <v>0</v>
      </c>
      <c r="FI67" s="154">
        <f>INDEX('STOPE SUMMARY PIVOT'!$G$2434:$G$2561, MATCH(FI$1,'STOPE SUMMARY PIVOT'!$A$2434:$A$2561, 0))</f>
        <v>0</v>
      </c>
      <c r="FJ67" s="175">
        <f>INDEX('STOPE SUMMARY PIVOT'!$H$2434:$H$2561, MATCH(FI$1,'STOPE SUMMARY PIVOT'!$A$2434:$A$2561, 0))</f>
        <v>0</v>
      </c>
      <c r="FK67" s="154">
        <f>INDEX('STOPE SUMMARY PIVOT'!$G$2434:$G$2561, MATCH(FK$1,'STOPE SUMMARY PIVOT'!$A$2434:$A$2561, 0))</f>
        <v>0</v>
      </c>
      <c r="FL67" s="175">
        <f>INDEX('STOPE SUMMARY PIVOT'!$H$2434:$H$2561, MATCH(FK$1,'STOPE SUMMARY PIVOT'!$A$2434:$A$2561, 0))</f>
        <v>0</v>
      </c>
      <c r="FM67" s="154">
        <f>INDEX('STOPE SUMMARY PIVOT'!$G$2434:$G$2561, MATCH(FM$1,'STOPE SUMMARY PIVOT'!$A$2434:$A$2561, 0))</f>
        <v>0</v>
      </c>
      <c r="FN67" s="175">
        <f>INDEX('STOPE SUMMARY PIVOT'!$H$2434:$H$2561, MATCH(FM$1,'STOPE SUMMARY PIVOT'!$A$2434:$A$2561, 0))</f>
        <v>0</v>
      </c>
      <c r="FO67" s="154">
        <f>INDEX('STOPE SUMMARY PIVOT'!$G$2434:$G$2561, MATCH(FO$1,'STOPE SUMMARY PIVOT'!$A$2434:$A$2561, 0))</f>
        <v>0</v>
      </c>
      <c r="FP67" s="175">
        <f>INDEX('STOPE SUMMARY PIVOT'!$H$2434:$H$2561, MATCH(FO$1,'STOPE SUMMARY PIVOT'!$A$2434:$A$2561, 0))</f>
        <v>0</v>
      </c>
      <c r="FQ67" s="154">
        <f>INDEX('STOPE SUMMARY PIVOT'!$G$2434:$G$2561, MATCH(FQ$1,'STOPE SUMMARY PIVOT'!$A$2434:$A$2561, 0))</f>
        <v>0</v>
      </c>
      <c r="FR67" s="175">
        <f>INDEX('STOPE SUMMARY PIVOT'!$H$2434:$H$2561, MATCH(FQ$1,'STOPE SUMMARY PIVOT'!$A$2434:$A$2561, 0))</f>
        <v>0</v>
      </c>
      <c r="FS67" s="154">
        <f>INDEX('STOPE SUMMARY PIVOT'!$G$2434:$G$2561, MATCH(FS$1,'STOPE SUMMARY PIVOT'!$A$2434:$A$2561, 0))</f>
        <v>0</v>
      </c>
      <c r="FT67" s="175">
        <f>INDEX('STOPE SUMMARY PIVOT'!$H$2434:$H$2561, MATCH(FS$1,'STOPE SUMMARY PIVOT'!$A$2434:$A$2561, 0))</f>
        <v>0</v>
      </c>
      <c r="FU67" s="154">
        <f>INDEX('STOPE SUMMARY PIVOT'!$G$2434:$G$2561, MATCH(FU$1,'STOPE SUMMARY PIVOT'!$A$2434:$A$2561, 0))</f>
        <v>0</v>
      </c>
      <c r="FV67" s="175">
        <f>INDEX('STOPE SUMMARY PIVOT'!$H$2434:$H$2561, MATCH(FU$1,'STOPE SUMMARY PIVOT'!$A$2434:$A$2561, 0))</f>
        <v>0</v>
      </c>
      <c r="FW67" s="154">
        <f>INDEX('STOPE SUMMARY PIVOT'!$G$2434:$G$2561, MATCH(FW$1,'STOPE SUMMARY PIVOT'!$A$2434:$A$2561, 0))</f>
        <v>0</v>
      </c>
      <c r="FX67" s="175">
        <f>INDEX('STOPE SUMMARY PIVOT'!$H$2434:$H$2561, MATCH(FW$1,'STOPE SUMMARY PIVOT'!$A$2434:$A$2561, 0))</f>
        <v>0</v>
      </c>
      <c r="FY67" s="154">
        <f>INDEX('STOPE SUMMARY PIVOT'!$G$2434:$G$2561, MATCH(FY$1,'STOPE SUMMARY PIVOT'!$A$2434:$A$2561, 0))</f>
        <v>0</v>
      </c>
      <c r="FZ67" s="175">
        <f>INDEX('STOPE SUMMARY PIVOT'!$H$2434:$H$2561, MATCH(FY$1,'STOPE SUMMARY PIVOT'!$A$2434:$A$2561, 0))</f>
        <v>0</v>
      </c>
      <c r="GA67" s="154">
        <f>INDEX('STOPE SUMMARY PIVOT'!$G$2434:$G$2561, MATCH(GA$1,'STOPE SUMMARY PIVOT'!$A$2434:$A$2561, 0))</f>
        <v>0</v>
      </c>
      <c r="GB67" s="175">
        <f>INDEX('STOPE SUMMARY PIVOT'!$H$2434:$H$2561, MATCH(GA$1,'STOPE SUMMARY PIVOT'!$A$2434:$A$2561, 0))</f>
        <v>0</v>
      </c>
      <c r="GC67" s="154">
        <f>INDEX('STOPE SUMMARY PIVOT'!$G$2434:$G$2561, MATCH(GC$1,'STOPE SUMMARY PIVOT'!$A$2434:$A$2561, 0))</f>
        <v>0</v>
      </c>
      <c r="GD67" s="175">
        <f>INDEX('STOPE SUMMARY PIVOT'!$H$2434:$H$2561, MATCH(GC$1,'STOPE SUMMARY PIVOT'!$A$2434:$A$2561, 0))</f>
        <v>0</v>
      </c>
      <c r="GE67" s="154">
        <f>INDEX('STOPE SUMMARY PIVOT'!$G$2434:$G$2561, MATCH(GE$1,'STOPE SUMMARY PIVOT'!$A$2434:$A$2561, 0))</f>
        <v>0</v>
      </c>
      <c r="GF67" s="175">
        <f>INDEX('STOPE SUMMARY PIVOT'!$H$2434:$H$2561, MATCH(GE$1,'STOPE SUMMARY PIVOT'!$A$2434:$A$2561, 0))</f>
        <v>0</v>
      </c>
      <c r="GG67" s="154">
        <f>INDEX('STOPE SUMMARY PIVOT'!$G$2434:$G$2561, MATCH(GG$1,'STOPE SUMMARY PIVOT'!$A$2434:$A$2561, 0))</f>
        <v>0</v>
      </c>
      <c r="GH67" s="175">
        <f>INDEX('STOPE SUMMARY PIVOT'!$H$2434:$H$2561, MATCH(GG$1,'STOPE SUMMARY PIVOT'!$A$2434:$A$2561, 0))</f>
        <v>0</v>
      </c>
      <c r="GI67" s="154">
        <f>INDEX('STOPE SUMMARY PIVOT'!$G$2434:$G$2561, MATCH(GI$1,'STOPE SUMMARY PIVOT'!$A$2434:$A$2561, 0))</f>
        <v>0</v>
      </c>
      <c r="GJ67" s="175">
        <f>INDEX('STOPE SUMMARY PIVOT'!$H$2434:$H$2561, MATCH(GI$1,'STOPE SUMMARY PIVOT'!$A$2434:$A$2561, 0))</f>
        <v>0</v>
      </c>
      <c r="GK67" s="154">
        <f>INDEX('STOPE SUMMARY PIVOT'!$G$2434:$G$2561, MATCH(GK$1,'STOPE SUMMARY PIVOT'!$A$2434:$A$2561, 0))</f>
        <v>0</v>
      </c>
      <c r="GL67" s="175">
        <f>INDEX('STOPE SUMMARY PIVOT'!$H$2434:$H$2561, MATCH(GK$1,'STOPE SUMMARY PIVOT'!$A$2434:$A$2561, 0))</f>
        <v>0</v>
      </c>
      <c r="GM67" s="154">
        <f>INDEX('STOPE SUMMARY PIVOT'!$G$2434:$G$2561, MATCH(GM$1,'STOPE SUMMARY PIVOT'!$A$2434:$A$2561, 0))</f>
        <v>0</v>
      </c>
      <c r="GN67" s="175">
        <f>INDEX('STOPE SUMMARY PIVOT'!$H$2434:$H$2561, MATCH(GM$1,'STOPE SUMMARY PIVOT'!$A$2434:$A$2561, 0))</f>
        <v>0</v>
      </c>
      <c r="GO67" s="154">
        <f>INDEX('STOPE SUMMARY PIVOT'!$G$2434:$G$2561, MATCH(GO$1,'STOPE SUMMARY PIVOT'!$A$2434:$A$2561, 0))</f>
        <v>0</v>
      </c>
      <c r="GP67" s="175">
        <f>INDEX('STOPE SUMMARY PIVOT'!$H$2434:$H$2561, MATCH(GO$1,'STOPE SUMMARY PIVOT'!$A$2434:$A$2561, 0))</f>
        <v>0</v>
      </c>
      <c r="GQ67" s="154">
        <f>INDEX('STOPE SUMMARY PIVOT'!$G$2434:$G$2561, MATCH(GQ$1,'STOPE SUMMARY PIVOT'!$A$2434:$A$2561, 0))</f>
        <v>0</v>
      </c>
      <c r="GR67" s="175">
        <f>INDEX('STOPE SUMMARY PIVOT'!$H$2434:$H$2561, MATCH(GQ$1,'STOPE SUMMARY PIVOT'!$A$2434:$A$2561, 0))</f>
        <v>0</v>
      </c>
      <c r="GS67" s="154">
        <f>INDEX('STOPE SUMMARY PIVOT'!$G$2434:$G$2561, MATCH(GS$1,'STOPE SUMMARY PIVOT'!$A$2434:$A$2561, 0))</f>
        <v>0</v>
      </c>
      <c r="GT67" s="175">
        <f>INDEX('STOPE SUMMARY PIVOT'!$H$2434:$H$2561, MATCH(GS$1,'STOPE SUMMARY PIVOT'!$A$2434:$A$2561, 0))</f>
        <v>0</v>
      </c>
      <c r="GU67" s="154">
        <f>INDEX('STOPE SUMMARY PIVOT'!$G$2434:$G$2561, MATCH(GU$1,'STOPE SUMMARY PIVOT'!$A$2434:$A$2561, 0))</f>
        <v>0</v>
      </c>
      <c r="GV67" s="175">
        <f>INDEX('STOPE SUMMARY PIVOT'!$H$2434:$H$2561, MATCH(GU$1,'STOPE SUMMARY PIVOT'!$A$2434:$A$2561, 0))</f>
        <v>0</v>
      </c>
      <c r="GW67" s="154">
        <f>INDEX('STOPE SUMMARY PIVOT'!$G$2434:$G$2561, MATCH(GW$1,'STOPE SUMMARY PIVOT'!$A$2434:$A$2561, 0))</f>
        <v>0</v>
      </c>
      <c r="GX67" s="175">
        <f>INDEX('STOPE SUMMARY PIVOT'!$H$2434:$H$2561, MATCH(GW$1,'STOPE SUMMARY PIVOT'!$A$2434:$A$2561, 0))</f>
        <v>0</v>
      </c>
      <c r="GY67" s="154">
        <f>INDEX('STOPE SUMMARY PIVOT'!$G$2434:$G$2561, MATCH(GY$1,'STOPE SUMMARY PIVOT'!$A$2434:$A$2561, 0))</f>
        <v>0</v>
      </c>
      <c r="GZ67" s="175">
        <f>INDEX('STOPE SUMMARY PIVOT'!$H$2434:$H$2561, MATCH(GY$1,'STOPE SUMMARY PIVOT'!$A$2434:$A$2561, 0))</f>
        <v>0</v>
      </c>
      <c r="HA67" s="154">
        <f>INDEX('STOPE SUMMARY PIVOT'!$G$2434:$G$2561, MATCH(HA$1,'STOPE SUMMARY PIVOT'!$A$2434:$A$2561, 0))</f>
        <v>0</v>
      </c>
      <c r="HB67" s="175">
        <f>INDEX('STOPE SUMMARY PIVOT'!$H$2434:$H$2561, MATCH(HA$1,'STOPE SUMMARY PIVOT'!$A$2434:$A$2561, 0))</f>
        <v>0</v>
      </c>
      <c r="HC67" s="154">
        <f>INDEX('STOPE SUMMARY PIVOT'!$G$2434:$G$2561, MATCH(HC$1,'STOPE SUMMARY PIVOT'!$A$2434:$A$2561, 0))</f>
        <v>0</v>
      </c>
      <c r="HD67" s="175">
        <f>INDEX('STOPE SUMMARY PIVOT'!$H$2434:$H$2561, MATCH(HC$1,'STOPE SUMMARY PIVOT'!$A$2434:$A$2561, 0))</f>
        <v>0</v>
      </c>
      <c r="HE67" s="154">
        <f>INDEX('STOPE SUMMARY PIVOT'!$G$2434:$G$2561, MATCH(HE$1,'STOPE SUMMARY PIVOT'!$A$2434:$A$2561, 0))</f>
        <v>0</v>
      </c>
      <c r="HF67" s="175">
        <f>INDEX('STOPE SUMMARY PIVOT'!$H$2434:$H$2561, MATCH(HE$1,'STOPE SUMMARY PIVOT'!$A$2434:$A$2561, 0))</f>
        <v>0</v>
      </c>
      <c r="HG67" s="154">
        <f>INDEX('STOPE SUMMARY PIVOT'!$G$2434:$G$2561, MATCH(HG$1,'STOPE SUMMARY PIVOT'!$A$2434:$A$2561, 0))</f>
        <v>0</v>
      </c>
      <c r="HH67" s="175">
        <f>INDEX('STOPE SUMMARY PIVOT'!$H$2434:$H$2561, MATCH(HG$1,'STOPE SUMMARY PIVOT'!$A$2434:$A$2561, 0))</f>
        <v>0</v>
      </c>
      <c r="HI67" s="154">
        <f>INDEX('STOPE SUMMARY PIVOT'!$G$2434:$G$2561, MATCH(HI$1,'STOPE SUMMARY PIVOT'!$A$2434:$A$2561, 0))</f>
        <v>0</v>
      </c>
      <c r="HJ67" s="175">
        <f>INDEX('STOPE SUMMARY PIVOT'!$H$2434:$H$2561, MATCH(HI$1,'STOPE SUMMARY PIVOT'!$A$2434:$A$2561, 0))</f>
        <v>0</v>
      </c>
      <c r="HK67" s="154">
        <f>INDEX('STOPE SUMMARY PIVOT'!$G$2434:$G$2561, MATCH(HK$1,'STOPE SUMMARY PIVOT'!$A$2434:$A$2561, 0))</f>
        <v>0</v>
      </c>
      <c r="HL67" s="175">
        <f>INDEX('STOPE SUMMARY PIVOT'!$H$2434:$H$2561, MATCH(HK$1,'STOPE SUMMARY PIVOT'!$A$2434:$A$2561, 0))</f>
        <v>0</v>
      </c>
      <c r="HM67" s="154">
        <f>INDEX('STOPE SUMMARY PIVOT'!$G$2434:$G$2561, MATCH(HM$1,'STOPE SUMMARY PIVOT'!$A$2434:$A$2561, 0))</f>
        <v>0</v>
      </c>
      <c r="HN67" s="175">
        <f>INDEX('STOPE SUMMARY PIVOT'!$H$2434:$H$2561, MATCH(HM$1,'STOPE SUMMARY PIVOT'!$A$2434:$A$2561, 0))</f>
        <v>0</v>
      </c>
      <c r="HO67" s="154">
        <f>INDEX('STOPE SUMMARY PIVOT'!$G$2434:$G$2561, MATCH(HO$1,'STOPE SUMMARY PIVOT'!$A$2434:$A$2561, 0))</f>
        <v>0</v>
      </c>
      <c r="HP67" s="175">
        <f>INDEX('STOPE SUMMARY PIVOT'!$H$2434:$H$2561, MATCH(HO$1,'STOPE SUMMARY PIVOT'!$A$2434:$A$2561, 0))</f>
        <v>0</v>
      </c>
      <c r="HQ67" s="154">
        <f>INDEX('STOPE SUMMARY PIVOT'!$G$2434:$G$2561, MATCH(HQ$1,'STOPE SUMMARY PIVOT'!$A$2434:$A$2561, 0))</f>
        <v>0</v>
      </c>
      <c r="HR67" s="175">
        <f>INDEX('STOPE SUMMARY PIVOT'!$H$2434:$H$2561, MATCH(HQ$1,'STOPE SUMMARY PIVOT'!$A$2434:$A$2561, 0))</f>
        <v>0</v>
      </c>
      <c r="HS67" s="154">
        <f>INDEX('STOPE SUMMARY PIVOT'!$G$2434:$G$2561, MATCH(HS$1,'STOPE SUMMARY PIVOT'!$A$2434:$A$2561, 0))</f>
        <v>0</v>
      </c>
      <c r="HT67" s="175">
        <f>INDEX('STOPE SUMMARY PIVOT'!$H$2434:$H$2561, MATCH(HS$1,'STOPE SUMMARY PIVOT'!$A$2434:$A$2561, 0))</f>
        <v>0</v>
      </c>
      <c r="HU67" s="154">
        <f>INDEX('STOPE SUMMARY PIVOT'!$G$2434:$G$2561, MATCH(HU$1,'STOPE SUMMARY PIVOT'!$A$2434:$A$2561, 0))</f>
        <v>0</v>
      </c>
      <c r="HV67" s="175">
        <f>INDEX('STOPE SUMMARY PIVOT'!$H$2434:$H$2561, MATCH(HU$1,'STOPE SUMMARY PIVOT'!$A$2434:$A$2561, 0))</f>
        <v>0</v>
      </c>
      <c r="HW67" s="154">
        <f>INDEX('STOPE SUMMARY PIVOT'!$G$2434:$G$2561, MATCH(HW$1,'STOPE SUMMARY PIVOT'!$A$2434:$A$2561, 0))</f>
        <v>0</v>
      </c>
      <c r="HX67" s="175">
        <f>INDEX('STOPE SUMMARY PIVOT'!$H$2434:$H$2561, MATCH(HW$1,'STOPE SUMMARY PIVOT'!$A$2434:$A$2561, 0))</f>
        <v>0</v>
      </c>
      <c r="HY67" s="154">
        <f>INDEX('STOPE SUMMARY PIVOT'!$G$2434:$G$2561, MATCH(HY$1,'STOPE SUMMARY PIVOT'!$A$2434:$A$2561, 0))</f>
        <v>0</v>
      </c>
      <c r="HZ67" s="175">
        <f>INDEX('STOPE SUMMARY PIVOT'!$H$2434:$H$2561, MATCH(HY$1,'STOPE SUMMARY PIVOT'!$A$2434:$A$2561, 0))</f>
        <v>0</v>
      </c>
      <c r="IA67" s="154">
        <f>INDEX('STOPE SUMMARY PIVOT'!$G$2434:$G$2561, MATCH(IA$1,'STOPE SUMMARY PIVOT'!$A$2434:$A$2561, 0))</f>
        <v>0</v>
      </c>
      <c r="IB67" s="175">
        <f>INDEX('STOPE SUMMARY PIVOT'!$H$2434:$H$2561, MATCH(IA$1,'STOPE SUMMARY PIVOT'!$A$2434:$A$2561, 0))</f>
        <v>0</v>
      </c>
      <c r="IC67" s="154">
        <f>INDEX('STOPE SUMMARY PIVOT'!$G$2434:$G$2561, MATCH(IC$1,'STOPE SUMMARY PIVOT'!$A$2434:$A$2561, 0))</f>
        <v>0</v>
      </c>
      <c r="ID67" s="175">
        <f>INDEX('STOPE SUMMARY PIVOT'!$H$2434:$H$2561, MATCH(IC$1,'STOPE SUMMARY PIVOT'!$A$2434:$A$2561, 0))</f>
        <v>0</v>
      </c>
      <c r="IE67" s="154">
        <f>INDEX('STOPE SUMMARY PIVOT'!$G$2434:$G$2561, MATCH(IE$1,'STOPE SUMMARY PIVOT'!$A$2434:$A$2561, 0))</f>
        <v>0</v>
      </c>
      <c r="IF67" s="175">
        <f>INDEX('STOPE SUMMARY PIVOT'!$H$2434:$H$2561, MATCH(IE$1,'STOPE SUMMARY PIVOT'!$A$2434:$A$2561, 0))</f>
        <v>0</v>
      </c>
      <c r="IG67" s="154">
        <f>INDEX('STOPE SUMMARY PIVOT'!$G$2434:$G$2561, MATCH(IG$1,'STOPE SUMMARY PIVOT'!$A$2434:$A$2561, 0))</f>
        <v>0</v>
      </c>
      <c r="IH67" s="175">
        <f>INDEX('STOPE SUMMARY PIVOT'!$H$2434:$H$2561, MATCH(IG$1,'STOPE SUMMARY PIVOT'!$A$2434:$A$2561, 0))</f>
        <v>0</v>
      </c>
      <c r="II67" s="154">
        <f>INDEX('STOPE SUMMARY PIVOT'!$G$2434:$G$2561, MATCH(II$1,'STOPE SUMMARY PIVOT'!$A$2434:$A$2561, 0))</f>
        <v>0</v>
      </c>
      <c r="IJ67" s="175">
        <f>INDEX('STOPE SUMMARY PIVOT'!$H$2434:$H$2561, MATCH(II$1,'STOPE SUMMARY PIVOT'!$A$2434:$A$2561, 0))</f>
        <v>0</v>
      </c>
      <c r="IK67" s="154">
        <f>INDEX('STOPE SUMMARY PIVOT'!$G$2434:$G$2561, MATCH(IK$1,'STOPE SUMMARY PIVOT'!$A$2434:$A$2561, 0))</f>
        <v>0</v>
      </c>
      <c r="IL67" s="175">
        <f>INDEX('STOPE SUMMARY PIVOT'!$H$2434:$H$2561, MATCH(IK$1,'STOPE SUMMARY PIVOT'!$A$2434:$A$2561, 0))</f>
        <v>0</v>
      </c>
      <c r="IM67" s="154">
        <f>INDEX('STOPE SUMMARY PIVOT'!$G$2434:$G$2561, MATCH(IM$1,'STOPE SUMMARY PIVOT'!$A$2434:$A$2561, 0))</f>
        <v>0</v>
      </c>
      <c r="IN67" s="175">
        <f>INDEX('STOPE SUMMARY PIVOT'!$H$2434:$H$2561, MATCH(IM$1,'STOPE SUMMARY PIVOT'!$A$2434:$A$2561, 0))</f>
        <v>0</v>
      </c>
      <c r="IO67" s="154">
        <f>INDEX('STOPE SUMMARY PIVOT'!$G$2434:$G$2561, MATCH(IO$1,'STOPE SUMMARY PIVOT'!$A$2434:$A$2561, 0))</f>
        <v>0</v>
      </c>
      <c r="IP67" s="175">
        <f>INDEX('STOPE SUMMARY PIVOT'!$H$2434:$H$2561, MATCH(IO$1,'STOPE SUMMARY PIVOT'!$A$2434:$A$2561, 0))</f>
        <v>0</v>
      </c>
      <c r="IQ67" s="154">
        <f>INDEX('STOPE SUMMARY PIVOT'!$G$2434:$G$2561, MATCH(IQ$1,'STOPE SUMMARY PIVOT'!$A$2434:$A$2561, 0))</f>
        <v>0</v>
      </c>
      <c r="IR67" s="175">
        <f>INDEX('STOPE SUMMARY PIVOT'!$H$2434:$H$2561, MATCH(IQ$1,'STOPE SUMMARY PIVOT'!$A$2434:$A$2561, 0))</f>
        <v>0</v>
      </c>
      <c r="IS67" s="154">
        <f>INDEX('STOPE SUMMARY PIVOT'!$G$2434:$G$2561, MATCH(IS$1,'STOPE SUMMARY PIVOT'!$A$2434:$A$2561, 0))</f>
        <v>0</v>
      </c>
      <c r="IT67" s="175">
        <f>INDEX('STOPE SUMMARY PIVOT'!$H$2434:$H$2561, MATCH(IS$1,'STOPE SUMMARY PIVOT'!$A$2434:$A$2561, 0))</f>
        <v>0</v>
      </c>
      <c r="IU67" s="154">
        <f>INDEX('STOPE SUMMARY PIVOT'!$G$2434:$G$2561, MATCH(IU$1,'STOPE SUMMARY PIVOT'!$A$2434:$A$2561, 0))</f>
        <v>0</v>
      </c>
      <c r="IV67" s="175">
        <f>INDEX('STOPE SUMMARY PIVOT'!$H$2434:$H$2561, MATCH(IU$1,'STOPE SUMMARY PIVOT'!$A$2434:$A$2561, 0))</f>
        <v>0</v>
      </c>
      <c r="IW67" s="154">
        <f>INDEX('STOPE SUMMARY PIVOT'!$G$2434:$G$2561, MATCH(IW$1,'STOPE SUMMARY PIVOT'!$A$2434:$A$2561, 0))</f>
        <v>0</v>
      </c>
      <c r="IX67" s="175">
        <f>INDEX('STOPE SUMMARY PIVOT'!$H$2434:$H$2561, MATCH(IW$1,'STOPE SUMMARY PIVOT'!$A$2434:$A$2561, 0))</f>
        <v>0</v>
      </c>
      <c r="IY67" s="154">
        <f>INDEX('STOPE SUMMARY PIVOT'!$G$2434:$G$2561, MATCH(IY$1,'STOPE SUMMARY PIVOT'!$A$2434:$A$2561, 0))</f>
        <v>0</v>
      </c>
      <c r="IZ67" s="175">
        <f>INDEX('STOPE SUMMARY PIVOT'!$H$2434:$H$2561, MATCH(IY$1,'STOPE SUMMARY PIVOT'!$A$2434:$A$2561, 0))</f>
        <v>0</v>
      </c>
    </row>
    <row r="68" spans="1:260" ht="15.75" thickBot="1" x14ac:dyDescent="0.3">
      <c r="A68" s="1591"/>
      <c r="B68" s="169" t="s">
        <v>5</v>
      </c>
      <c r="C68" s="170" cm="1">
        <f t="array" ref="C68">SUM(_xlfn._xlws.FILTER(E68:IZ68, MOD(COLUMN(E68:IZ68)-COLUMN(E68)+1,2)=1))</f>
        <v>0</v>
      </c>
      <c r="D68" s="171" t="str" cm="1">
        <f t="array" ref="D68">IFERROR(SUMPRODUCT(_xlfn._xlws.FILTER(E68:IZ68, MOD(COLUMN(E68:IZ68)-COLUMN(E68)+1,2)=1), _xlfn._xlws.FILTER(E68:IZ68, MOD(COLUMN(E68:IZ68)-COLUMN(E68)+1,2)=0))/C68,"")</f>
        <v/>
      </c>
      <c r="E68" s="172">
        <f>INDEX('STOPE SUMMARY PIVOT'!$J$2434:$J$2561, MATCH(E$1,'STOPE SUMMARY PIVOT'!$A$2434:$A$2561, 0))</f>
        <v>0</v>
      </c>
      <c r="F68" s="176">
        <f>INDEX('STOPE SUMMARY PIVOT'!$K$2434:$K$2561, MATCH(E$1,'STOPE SUMMARY PIVOT'!$A$2434:$A$2561, 0))</f>
        <v>0</v>
      </c>
      <c r="G68" s="172">
        <f>INDEX('STOPE SUMMARY PIVOT'!$J$2434:$J$2561, MATCH(G$1,'STOPE SUMMARY PIVOT'!$A$2434:$A$2561, 0))</f>
        <v>0</v>
      </c>
      <c r="H68" s="176">
        <f>INDEX('STOPE SUMMARY PIVOT'!$K$2434:$K$2561, MATCH(G$1,'STOPE SUMMARY PIVOT'!$A$2434:$A$2561, 0))</f>
        <v>0</v>
      </c>
      <c r="I68" s="172">
        <f>INDEX('STOPE SUMMARY PIVOT'!$J$2434:$J$2561, MATCH(I$1,'STOPE SUMMARY PIVOT'!$A$2434:$A$2561, 0))</f>
        <v>0</v>
      </c>
      <c r="J68" s="173">
        <f>INDEX('STOPE SUMMARY PIVOT'!$K$2434:$K$2561, MATCH(I$1,'STOPE SUMMARY PIVOT'!$A$2434:$A$2561, 0))</f>
        <v>0</v>
      </c>
      <c r="K68" s="172">
        <f>INDEX('STOPE SUMMARY PIVOT'!$J$2434:$J$2561, MATCH(K$1,'STOPE SUMMARY PIVOT'!$A$2434:$A$2561, 0))</f>
        <v>0</v>
      </c>
      <c r="L68" s="173">
        <f>INDEX('STOPE SUMMARY PIVOT'!$K$2434:$K$2561, MATCH(K$1,'STOPE SUMMARY PIVOT'!$A$2434:$A$2561, 0))</f>
        <v>0</v>
      </c>
      <c r="M68" s="172">
        <f>INDEX('STOPE SUMMARY PIVOT'!$J$2434:$J$2561, MATCH(M$1,'STOPE SUMMARY PIVOT'!$A$2434:$A$2561, 0))</f>
        <v>0</v>
      </c>
      <c r="N68" s="173">
        <f>INDEX('STOPE SUMMARY PIVOT'!$K$2434:$K$2561, MATCH(M$1,'STOPE SUMMARY PIVOT'!$A$2434:$A$2561, 0))</f>
        <v>0</v>
      </c>
      <c r="O68" s="172">
        <f>INDEX('STOPE SUMMARY PIVOT'!$J$2434:$J$2561, MATCH(O$1,'STOPE SUMMARY PIVOT'!$A$2434:$A$2561, 0))</f>
        <v>0</v>
      </c>
      <c r="P68" s="173">
        <f>INDEX('STOPE SUMMARY PIVOT'!$K$2434:$K$2561, MATCH(O$1,'STOPE SUMMARY PIVOT'!$A$2434:$A$2561, 0))</f>
        <v>0</v>
      </c>
      <c r="Q68" s="172">
        <f>INDEX('STOPE SUMMARY PIVOT'!$J$2434:$J$2561, MATCH(Q$1,'STOPE SUMMARY PIVOT'!$A$2434:$A$2561, 0))</f>
        <v>0</v>
      </c>
      <c r="R68" s="173">
        <f>INDEX('STOPE SUMMARY PIVOT'!$K$2434:$K$2561, MATCH(Q$1,'STOPE SUMMARY PIVOT'!$A$2434:$A$2561, 0))</f>
        <v>0</v>
      </c>
      <c r="S68" s="172">
        <f>INDEX('STOPE SUMMARY PIVOT'!$J$2434:$J$2561, MATCH(S$1,'STOPE SUMMARY PIVOT'!$A$2434:$A$2561, 0))</f>
        <v>0</v>
      </c>
      <c r="T68" s="173">
        <f>INDEX('STOPE SUMMARY PIVOT'!$K$2434:$K$2561, MATCH(S$1,'STOPE SUMMARY PIVOT'!$A$2434:$A$2561, 0))</f>
        <v>0</v>
      </c>
      <c r="U68" s="172">
        <f>INDEX('STOPE SUMMARY PIVOT'!$J$2434:$J$2561, MATCH(U$1,'STOPE SUMMARY PIVOT'!$A$2434:$A$2561, 0))</f>
        <v>0</v>
      </c>
      <c r="V68" s="176">
        <f>INDEX('STOPE SUMMARY PIVOT'!$K$2434:$K$2561, MATCH(U$1,'STOPE SUMMARY PIVOT'!$A$2434:$A$2561, 0))</f>
        <v>0</v>
      </c>
      <c r="W68" s="172">
        <f>INDEX('STOPE SUMMARY PIVOT'!$J$2434:$J$2561, MATCH(W$1,'STOPE SUMMARY PIVOT'!$A$2434:$A$2561, 0))</f>
        <v>0</v>
      </c>
      <c r="X68" s="176">
        <f>INDEX('STOPE SUMMARY PIVOT'!$K$2434:$K$2561, MATCH(W$1,'STOPE SUMMARY PIVOT'!$A$2434:$A$2561, 0))</f>
        <v>0</v>
      </c>
      <c r="Y68" s="172">
        <f>INDEX('STOPE SUMMARY PIVOT'!$J$2434:$J$2561, MATCH(Y$1,'STOPE SUMMARY PIVOT'!$A$2434:$A$2561, 0))</f>
        <v>0</v>
      </c>
      <c r="Z68" s="176">
        <f>INDEX('STOPE SUMMARY PIVOT'!$K$2434:$K$2561, MATCH(Y$1,'STOPE SUMMARY PIVOT'!$A$2434:$A$2561, 0))</f>
        <v>0</v>
      </c>
      <c r="AA68" s="172">
        <f>INDEX('STOPE SUMMARY PIVOT'!$J$2434:$J$2561, MATCH(AA$1,'STOPE SUMMARY PIVOT'!$A$2434:$A$2561, 0))</f>
        <v>0</v>
      </c>
      <c r="AB68" s="176">
        <f>INDEX('STOPE SUMMARY PIVOT'!$K$2434:$K$2561, MATCH(AA$1,'STOPE SUMMARY PIVOT'!$A$2434:$A$2561, 0))</f>
        <v>0</v>
      </c>
      <c r="AC68" s="172">
        <f>INDEX('STOPE SUMMARY PIVOT'!$J$2434:$J$2561, MATCH(AC$1,'STOPE SUMMARY PIVOT'!$A$2434:$A$2561, 0))</f>
        <v>0</v>
      </c>
      <c r="AD68" s="176">
        <f>INDEX('STOPE SUMMARY PIVOT'!$K$2434:$K$2561, MATCH(AC$1,'STOPE SUMMARY PIVOT'!$A$2434:$A$2561, 0))</f>
        <v>0</v>
      </c>
      <c r="AE68" s="172">
        <f>INDEX('STOPE SUMMARY PIVOT'!$J$2434:$J$2561, MATCH(AE$1,'STOPE SUMMARY PIVOT'!$A$2434:$A$2561, 0))</f>
        <v>0</v>
      </c>
      <c r="AF68" s="176">
        <f>INDEX('STOPE SUMMARY PIVOT'!$K$2434:$K$2561, MATCH(AE$1,'STOPE SUMMARY PIVOT'!$A$2434:$A$2561, 0))</f>
        <v>0</v>
      </c>
      <c r="AG68" s="172">
        <f>INDEX('STOPE SUMMARY PIVOT'!$J$2434:$J$2561, MATCH(AG$1,'STOPE SUMMARY PIVOT'!$A$2434:$A$2561, 0))</f>
        <v>0</v>
      </c>
      <c r="AH68" s="176">
        <f>INDEX('STOPE SUMMARY PIVOT'!$K$2434:$K$2561, MATCH(AG$1,'STOPE SUMMARY PIVOT'!$A$2434:$A$2561, 0))</f>
        <v>0</v>
      </c>
      <c r="AI68" s="172">
        <f>INDEX('STOPE SUMMARY PIVOT'!$J$2434:$J$2561, MATCH(AI$1,'STOPE SUMMARY PIVOT'!$A$2434:$A$2561, 0))</f>
        <v>0</v>
      </c>
      <c r="AJ68" s="176">
        <f>INDEX('STOPE SUMMARY PIVOT'!$K$2434:$K$2561, MATCH(AI$1,'STOPE SUMMARY PIVOT'!$A$2434:$A$2561, 0))</f>
        <v>0</v>
      </c>
      <c r="AK68" s="172">
        <f>INDEX('STOPE SUMMARY PIVOT'!$J$2434:$J$2561, MATCH(AK$1,'STOPE SUMMARY PIVOT'!$A$2434:$A$2561, 0))</f>
        <v>0</v>
      </c>
      <c r="AL68" s="176">
        <f>INDEX('STOPE SUMMARY PIVOT'!$K$2434:$K$2561, MATCH(AK$1,'STOPE SUMMARY PIVOT'!$A$2434:$A$2561, 0))</f>
        <v>0</v>
      </c>
      <c r="AM68" s="172">
        <f>INDEX('STOPE SUMMARY PIVOT'!$J$2434:$J$2561, MATCH(AM$1,'STOPE SUMMARY PIVOT'!$A$2434:$A$2561, 0))</f>
        <v>0</v>
      </c>
      <c r="AN68" s="176">
        <f>INDEX('STOPE SUMMARY PIVOT'!$K$2434:$K$2561, MATCH(AM$1,'STOPE SUMMARY PIVOT'!$A$2434:$A$2561, 0))</f>
        <v>0</v>
      </c>
      <c r="AO68" s="172">
        <f>INDEX('STOPE SUMMARY PIVOT'!$J$2434:$J$2561, MATCH(AO$1,'STOPE SUMMARY PIVOT'!$A$2434:$A$2561, 0))</f>
        <v>0</v>
      </c>
      <c r="AP68" s="176">
        <f>INDEX('STOPE SUMMARY PIVOT'!$K$2434:$K$2561, MATCH(AO$1,'STOPE SUMMARY PIVOT'!$A$2434:$A$2561, 0))</f>
        <v>0</v>
      </c>
      <c r="AQ68" s="172">
        <f>INDEX('STOPE SUMMARY PIVOT'!$J$2434:$J$2561, MATCH(AQ$1,'STOPE SUMMARY PIVOT'!$A$2434:$A$2561, 0))</f>
        <v>0</v>
      </c>
      <c r="AR68" s="176">
        <f>INDEX('STOPE SUMMARY PIVOT'!$K$2434:$K$2561, MATCH(AQ$1,'STOPE SUMMARY PIVOT'!$A$2434:$A$2561, 0))</f>
        <v>0</v>
      </c>
      <c r="AS68" s="172">
        <f>INDEX('STOPE SUMMARY PIVOT'!$J$2434:$J$2561, MATCH(AS$1,'STOPE SUMMARY PIVOT'!$A$2434:$A$2561, 0))</f>
        <v>0</v>
      </c>
      <c r="AT68" s="176">
        <f>INDEX('STOPE SUMMARY PIVOT'!$K$2434:$K$2561, MATCH(AS$1,'STOPE SUMMARY PIVOT'!$A$2434:$A$2561, 0))</f>
        <v>0</v>
      </c>
      <c r="AU68" s="172">
        <f>INDEX('STOPE SUMMARY PIVOT'!$J$2434:$J$2561, MATCH(AU$1,'STOPE SUMMARY PIVOT'!$A$2434:$A$2561, 0))</f>
        <v>0</v>
      </c>
      <c r="AV68" s="176">
        <f>INDEX('STOPE SUMMARY PIVOT'!$K$2434:$K$2561, MATCH(AU$1,'STOPE SUMMARY PIVOT'!$A$2434:$A$2561, 0))</f>
        <v>0</v>
      </c>
      <c r="AW68" s="172">
        <f>INDEX('STOPE SUMMARY PIVOT'!$J$2434:$J$2561, MATCH(AW$1,'STOPE SUMMARY PIVOT'!$A$2434:$A$2561, 0))</f>
        <v>0</v>
      </c>
      <c r="AX68" s="176">
        <f>INDEX('STOPE SUMMARY PIVOT'!$K$2434:$K$2561, MATCH(AW$1,'STOPE SUMMARY PIVOT'!$A$2434:$A$2561, 0))</f>
        <v>0</v>
      </c>
      <c r="AY68" s="172">
        <f>INDEX('STOPE SUMMARY PIVOT'!$J$2434:$J$2561, MATCH(AY$1,'STOPE SUMMARY PIVOT'!$A$2434:$A$2561, 0))</f>
        <v>0</v>
      </c>
      <c r="AZ68" s="176">
        <f>INDEX('STOPE SUMMARY PIVOT'!$K$2434:$K$2561, MATCH(AY$1,'STOPE SUMMARY PIVOT'!$A$2434:$A$2561, 0))</f>
        <v>0</v>
      </c>
      <c r="BA68" s="172">
        <f>INDEX('STOPE SUMMARY PIVOT'!$J$2434:$J$2561, MATCH(BA$1,'STOPE SUMMARY PIVOT'!$A$2434:$A$2561, 0))</f>
        <v>0</v>
      </c>
      <c r="BB68" s="176">
        <f>INDEX('STOPE SUMMARY PIVOT'!$K$2434:$K$2561, MATCH(BA$1,'STOPE SUMMARY PIVOT'!$A$2434:$A$2561, 0))</f>
        <v>0</v>
      </c>
      <c r="BC68" s="172">
        <f>INDEX('STOPE SUMMARY PIVOT'!$J$2434:$J$2561, MATCH(BC$1,'STOPE SUMMARY PIVOT'!$A$2434:$A$2561, 0))</f>
        <v>0</v>
      </c>
      <c r="BD68" s="176">
        <f>INDEX('STOPE SUMMARY PIVOT'!$K$2434:$K$2561, MATCH(BC$1,'STOPE SUMMARY PIVOT'!$A$2434:$A$2561, 0))</f>
        <v>0</v>
      </c>
      <c r="BE68" s="172">
        <f>INDEX('STOPE SUMMARY PIVOT'!$J$2434:$J$2561, MATCH(BE$1,'STOPE SUMMARY PIVOT'!$A$2434:$A$2561, 0))</f>
        <v>0</v>
      </c>
      <c r="BF68" s="176">
        <f>INDEX('STOPE SUMMARY PIVOT'!$K$2434:$K$2561, MATCH(BE$1,'STOPE SUMMARY PIVOT'!$A$2434:$A$2561, 0))</f>
        <v>0</v>
      </c>
      <c r="BG68" s="172">
        <f>INDEX('STOPE SUMMARY PIVOT'!$J$2434:$J$2561, MATCH(BG$1,'STOPE SUMMARY PIVOT'!$A$2434:$A$2561, 0))</f>
        <v>0</v>
      </c>
      <c r="BH68" s="176">
        <f>INDEX('STOPE SUMMARY PIVOT'!$K$2434:$K$2561, MATCH(BG$1,'STOPE SUMMARY PIVOT'!$A$2434:$A$2561, 0))</f>
        <v>0</v>
      </c>
      <c r="BI68" s="172">
        <f>INDEX('STOPE SUMMARY PIVOT'!$J$2434:$J$2561, MATCH(BI$1,'STOPE SUMMARY PIVOT'!$A$2434:$A$2561, 0))</f>
        <v>0</v>
      </c>
      <c r="BJ68" s="176">
        <f>INDEX('STOPE SUMMARY PIVOT'!$K$2434:$K$2561, MATCH(BI$1,'STOPE SUMMARY PIVOT'!$A$2434:$A$2561, 0))</f>
        <v>0</v>
      </c>
      <c r="BK68" s="172">
        <f>INDEX('STOPE SUMMARY PIVOT'!$J$2434:$J$2561, MATCH(BK$1,'STOPE SUMMARY PIVOT'!$A$2434:$A$2561, 0))</f>
        <v>0</v>
      </c>
      <c r="BL68" s="176">
        <f>INDEX('STOPE SUMMARY PIVOT'!$K$2434:$K$2561, MATCH(BK$1,'STOPE SUMMARY PIVOT'!$A$2434:$A$2561, 0))</f>
        <v>0</v>
      </c>
      <c r="BM68" s="172">
        <f>INDEX('STOPE SUMMARY PIVOT'!$J$2434:$J$2561, MATCH(BM$1,'STOPE SUMMARY PIVOT'!$A$2434:$A$2561, 0))</f>
        <v>0</v>
      </c>
      <c r="BN68" s="176">
        <f>INDEX('STOPE SUMMARY PIVOT'!$K$2434:$K$2561, MATCH(BM$1,'STOPE SUMMARY PIVOT'!$A$2434:$A$2561, 0))</f>
        <v>0</v>
      </c>
      <c r="BO68" s="172">
        <f>INDEX('STOPE SUMMARY PIVOT'!$J$2434:$J$2561, MATCH(BO$1,'STOPE SUMMARY PIVOT'!$A$2434:$A$2561, 0))</f>
        <v>0</v>
      </c>
      <c r="BP68" s="176">
        <f>INDEX('STOPE SUMMARY PIVOT'!$K$2434:$K$2561, MATCH(BO$1,'STOPE SUMMARY PIVOT'!$A$2434:$A$2561, 0))</f>
        <v>0</v>
      </c>
      <c r="BQ68" s="172">
        <f>INDEX('STOPE SUMMARY PIVOT'!$J$2434:$J$2561, MATCH(BQ$1,'STOPE SUMMARY PIVOT'!$A$2434:$A$2561, 0))</f>
        <v>0</v>
      </c>
      <c r="BR68" s="176">
        <f>INDEX('STOPE SUMMARY PIVOT'!$K$2434:$K$2561, MATCH(BQ$1,'STOPE SUMMARY PIVOT'!$A$2434:$A$2561, 0))</f>
        <v>0</v>
      </c>
      <c r="BS68" s="172">
        <f>INDEX('STOPE SUMMARY PIVOT'!$J$2434:$J$2561, MATCH(BS$1,'STOPE SUMMARY PIVOT'!$A$2434:$A$2561, 0))</f>
        <v>0</v>
      </c>
      <c r="BT68" s="176">
        <f>INDEX('STOPE SUMMARY PIVOT'!$K$2434:$K$2561, MATCH(BS$1,'STOPE SUMMARY PIVOT'!$A$2434:$A$2561, 0))</f>
        <v>0</v>
      </c>
      <c r="BU68" s="172">
        <f>INDEX('STOPE SUMMARY PIVOT'!$J$2434:$J$2561, MATCH(BU$1,'STOPE SUMMARY PIVOT'!$A$2434:$A$2561, 0))</f>
        <v>0</v>
      </c>
      <c r="BV68" s="176">
        <f>INDEX('STOPE SUMMARY PIVOT'!$K$2434:$K$2561, MATCH(BU$1,'STOPE SUMMARY PIVOT'!$A$2434:$A$2561, 0))</f>
        <v>0</v>
      </c>
      <c r="BW68" s="172">
        <f>INDEX('STOPE SUMMARY PIVOT'!$J$2434:$J$2561, MATCH(BW$1,'STOPE SUMMARY PIVOT'!$A$2434:$A$2561, 0))</f>
        <v>0</v>
      </c>
      <c r="BX68" s="176">
        <f>INDEX('STOPE SUMMARY PIVOT'!$K$2434:$K$2561, MATCH(BW$1,'STOPE SUMMARY PIVOT'!$A$2434:$A$2561, 0))</f>
        <v>0</v>
      </c>
      <c r="BY68" s="172">
        <f>INDEX('STOPE SUMMARY PIVOT'!$J$2434:$J$2561, MATCH(BY$1,'STOPE SUMMARY PIVOT'!$A$2434:$A$2561, 0))</f>
        <v>0</v>
      </c>
      <c r="BZ68" s="176">
        <f>INDEX('STOPE SUMMARY PIVOT'!$K$2434:$K$2561, MATCH(BY$1,'STOPE SUMMARY PIVOT'!$A$2434:$A$2561, 0))</f>
        <v>0</v>
      </c>
      <c r="CA68" s="172">
        <f>INDEX('STOPE SUMMARY PIVOT'!$J$2434:$J$2561, MATCH(CA$1,'STOPE SUMMARY PIVOT'!$A$2434:$A$2561, 0))</f>
        <v>0</v>
      </c>
      <c r="CB68" s="176">
        <f>INDEX('STOPE SUMMARY PIVOT'!$K$2434:$K$2561, MATCH(CA$1,'STOPE SUMMARY PIVOT'!$A$2434:$A$2561, 0))</f>
        <v>0</v>
      </c>
      <c r="CC68" s="172">
        <f>INDEX('STOPE SUMMARY PIVOT'!$J$2434:$J$2561, MATCH(CC$1,'STOPE SUMMARY PIVOT'!$A$2434:$A$2561, 0))</f>
        <v>0</v>
      </c>
      <c r="CD68" s="176">
        <f>INDEX('STOPE SUMMARY PIVOT'!$K$2434:$K$2561, MATCH(CC$1,'STOPE SUMMARY PIVOT'!$A$2434:$A$2561, 0))</f>
        <v>0</v>
      </c>
      <c r="CE68" s="172">
        <f>INDEX('STOPE SUMMARY PIVOT'!$J$2434:$J$2561, MATCH(CE$1,'STOPE SUMMARY PIVOT'!$A$2434:$A$2561, 0))</f>
        <v>0</v>
      </c>
      <c r="CF68" s="176">
        <f>INDEX('STOPE SUMMARY PIVOT'!$K$2434:$K$2561, MATCH(CE$1,'STOPE SUMMARY PIVOT'!$A$2434:$A$2561, 0))</f>
        <v>0</v>
      </c>
      <c r="CG68" s="172">
        <f>INDEX('STOPE SUMMARY PIVOT'!$J$2434:$J$2561, MATCH(CG$1,'STOPE SUMMARY PIVOT'!$A$2434:$A$2561, 0))</f>
        <v>0</v>
      </c>
      <c r="CH68" s="176">
        <f>INDEX('STOPE SUMMARY PIVOT'!$K$2434:$K$2561, MATCH(CG$1,'STOPE SUMMARY PIVOT'!$A$2434:$A$2561, 0))</f>
        <v>0</v>
      </c>
      <c r="CI68" s="172">
        <f>INDEX('STOPE SUMMARY PIVOT'!$J$2434:$J$2561, MATCH(CI$1,'STOPE SUMMARY PIVOT'!$A$2434:$A$2561, 0))</f>
        <v>0</v>
      </c>
      <c r="CJ68" s="176">
        <f>INDEX('STOPE SUMMARY PIVOT'!$K$2434:$K$2561, MATCH(CI$1,'STOPE SUMMARY PIVOT'!$A$2434:$A$2561, 0))</f>
        <v>0</v>
      </c>
      <c r="CK68" s="172">
        <f>INDEX('STOPE SUMMARY PIVOT'!$J$2434:$J$2561, MATCH(CK$1,'STOPE SUMMARY PIVOT'!$A$2434:$A$2561, 0))</f>
        <v>0</v>
      </c>
      <c r="CL68" s="176">
        <f>INDEX('STOPE SUMMARY PIVOT'!$K$2434:$K$2561, MATCH(CK$1,'STOPE SUMMARY PIVOT'!$A$2434:$A$2561, 0))</f>
        <v>0</v>
      </c>
      <c r="CM68" s="172">
        <f>INDEX('STOPE SUMMARY PIVOT'!$J$2434:$J$2561, MATCH(CM$1,'STOPE SUMMARY PIVOT'!$A$2434:$A$2561, 0))</f>
        <v>0</v>
      </c>
      <c r="CN68" s="176">
        <f>INDEX('STOPE SUMMARY PIVOT'!$K$2434:$K$2561, MATCH(CM$1,'STOPE SUMMARY PIVOT'!$A$2434:$A$2561, 0))</f>
        <v>0</v>
      </c>
      <c r="CO68" s="172">
        <f>INDEX('STOPE SUMMARY PIVOT'!$J$2434:$J$2561, MATCH(CO$1,'STOPE SUMMARY PIVOT'!$A$2434:$A$2561, 0))</f>
        <v>0</v>
      </c>
      <c r="CP68" s="176">
        <f>INDEX('STOPE SUMMARY PIVOT'!$K$2434:$K$2561, MATCH(CO$1,'STOPE SUMMARY PIVOT'!$A$2434:$A$2561, 0))</f>
        <v>0</v>
      </c>
      <c r="CQ68" s="172">
        <f>INDEX('STOPE SUMMARY PIVOT'!$J$2434:$J$2561, MATCH(CQ$1,'STOPE SUMMARY PIVOT'!$A$2434:$A$2561, 0))</f>
        <v>0</v>
      </c>
      <c r="CR68" s="176">
        <f>INDEX('STOPE SUMMARY PIVOT'!$K$2434:$K$2561, MATCH(CQ$1,'STOPE SUMMARY PIVOT'!$A$2434:$A$2561, 0))</f>
        <v>0</v>
      </c>
      <c r="CS68" s="172">
        <f>INDEX('STOPE SUMMARY PIVOT'!$J$2434:$J$2561, MATCH(CS$1,'STOPE SUMMARY PIVOT'!$A$2434:$A$2561, 0))</f>
        <v>0</v>
      </c>
      <c r="CT68" s="176">
        <f>INDEX('STOPE SUMMARY PIVOT'!$K$2434:$K$2561, MATCH(CS$1,'STOPE SUMMARY PIVOT'!$A$2434:$A$2561, 0))</f>
        <v>0</v>
      </c>
      <c r="CU68" s="172">
        <f>INDEX('STOPE SUMMARY PIVOT'!$J$2434:$J$2561, MATCH(CU$1,'STOPE SUMMARY PIVOT'!$A$2434:$A$2561, 0))</f>
        <v>0</v>
      </c>
      <c r="CV68" s="176">
        <f>INDEX('STOPE SUMMARY PIVOT'!$K$2434:$K$2561, MATCH(CU$1,'STOPE SUMMARY PIVOT'!$A$2434:$A$2561, 0))</f>
        <v>0</v>
      </c>
      <c r="CW68" s="172">
        <f>INDEX('STOPE SUMMARY PIVOT'!$J$2434:$J$2561, MATCH(CW$1,'STOPE SUMMARY PIVOT'!$A$2434:$A$2561, 0))</f>
        <v>0</v>
      </c>
      <c r="CX68" s="176">
        <f>INDEX('STOPE SUMMARY PIVOT'!$K$2434:$K$2561, MATCH(CW$1,'STOPE SUMMARY PIVOT'!$A$2434:$A$2561, 0))</f>
        <v>0</v>
      </c>
      <c r="CY68" s="172">
        <f>INDEX('STOPE SUMMARY PIVOT'!$J$2434:$J$2561, MATCH(CY$1,'STOPE SUMMARY PIVOT'!$A$2434:$A$2561, 0))</f>
        <v>0</v>
      </c>
      <c r="CZ68" s="176">
        <f>INDEX('STOPE SUMMARY PIVOT'!$K$2434:$K$2561, MATCH(CY$1,'STOPE SUMMARY PIVOT'!$A$2434:$A$2561, 0))</f>
        <v>0</v>
      </c>
      <c r="DA68" s="172">
        <f>INDEX('STOPE SUMMARY PIVOT'!$J$2434:$J$2561, MATCH(DA$1,'STOPE SUMMARY PIVOT'!$A$2434:$A$2561, 0))</f>
        <v>0</v>
      </c>
      <c r="DB68" s="176">
        <f>INDEX('STOPE SUMMARY PIVOT'!$K$2434:$K$2561, MATCH(DA$1,'STOPE SUMMARY PIVOT'!$A$2434:$A$2561, 0))</f>
        <v>0</v>
      </c>
      <c r="DC68" s="172">
        <f>INDEX('STOPE SUMMARY PIVOT'!$J$2434:$J$2561, MATCH(DC$1,'STOPE SUMMARY PIVOT'!$A$2434:$A$2561, 0))</f>
        <v>0</v>
      </c>
      <c r="DD68" s="176">
        <f>INDEX('STOPE SUMMARY PIVOT'!$K$2434:$K$2561, MATCH(DC$1,'STOPE SUMMARY PIVOT'!$A$2434:$A$2561, 0))</f>
        <v>0</v>
      </c>
      <c r="DE68" s="172">
        <f>INDEX('STOPE SUMMARY PIVOT'!$J$2434:$J$2561, MATCH(DE$1,'STOPE SUMMARY PIVOT'!$A$2434:$A$2561, 0))</f>
        <v>0</v>
      </c>
      <c r="DF68" s="176">
        <f>INDEX('STOPE SUMMARY PIVOT'!$K$2434:$K$2561, MATCH(DE$1,'STOPE SUMMARY PIVOT'!$A$2434:$A$2561, 0))</f>
        <v>0</v>
      </c>
      <c r="DG68" s="172">
        <f>INDEX('STOPE SUMMARY PIVOT'!$J$2434:$J$2561, MATCH(DG$1,'STOPE SUMMARY PIVOT'!$A$2434:$A$2561, 0))</f>
        <v>0</v>
      </c>
      <c r="DH68" s="176">
        <f>INDEX('STOPE SUMMARY PIVOT'!$K$2434:$K$2561, MATCH(DG$1,'STOPE SUMMARY PIVOT'!$A$2434:$A$2561, 0))</f>
        <v>0</v>
      </c>
      <c r="DI68" s="172">
        <f>INDEX('STOPE SUMMARY PIVOT'!$J$2434:$J$2561, MATCH(DI$1,'STOPE SUMMARY PIVOT'!$A$2434:$A$2561, 0))</f>
        <v>0</v>
      </c>
      <c r="DJ68" s="176">
        <f>INDEX('STOPE SUMMARY PIVOT'!$K$2434:$K$2561, MATCH(DI$1,'STOPE SUMMARY PIVOT'!$A$2434:$A$2561, 0))</f>
        <v>0</v>
      </c>
      <c r="DK68" s="172">
        <f>INDEX('STOPE SUMMARY PIVOT'!$J$2434:$J$2561, MATCH(DK$1,'STOPE SUMMARY PIVOT'!$A$2434:$A$2561, 0))</f>
        <v>0</v>
      </c>
      <c r="DL68" s="176">
        <f>INDEX('STOPE SUMMARY PIVOT'!$K$2434:$K$2561, MATCH(DK$1,'STOPE SUMMARY PIVOT'!$A$2434:$A$2561, 0))</f>
        <v>0</v>
      </c>
      <c r="DM68" s="172">
        <f>INDEX('STOPE SUMMARY PIVOT'!$J$2434:$J$2561, MATCH(DM$1,'STOPE SUMMARY PIVOT'!$A$2434:$A$2561, 0))</f>
        <v>0</v>
      </c>
      <c r="DN68" s="176">
        <f>INDEX('STOPE SUMMARY PIVOT'!$K$2434:$K$2561, MATCH(DM$1,'STOPE SUMMARY PIVOT'!$A$2434:$A$2561, 0))</f>
        <v>0</v>
      </c>
      <c r="DO68" s="172">
        <f>INDEX('STOPE SUMMARY PIVOT'!$J$2434:$J$2561, MATCH(DO$1,'STOPE SUMMARY PIVOT'!$A$2434:$A$2561, 0))</f>
        <v>0</v>
      </c>
      <c r="DP68" s="176">
        <f>INDEX('STOPE SUMMARY PIVOT'!$K$2434:$K$2561, MATCH(DO$1,'STOPE SUMMARY PIVOT'!$A$2434:$A$2561, 0))</f>
        <v>0</v>
      </c>
      <c r="DQ68" s="172">
        <f>INDEX('STOPE SUMMARY PIVOT'!$J$2434:$J$2561, MATCH(DQ$1,'STOPE SUMMARY PIVOT'!$A$2434:$A$2561, 0))</f>
        <v>0</v>
      </c>
      <c r="DR68" s="176">
        <f>INDEX('STOPE SUMMARY PIVOT'!$K$2434:$K$2561, MATCH(DQ$1,'STOPE SUMMARY PIVOT'!$A$2434:$A$2561, 0))</f>
        <v>0</v>
      </c>
      <c r="DS68" s="172">
        <f>INDEX('STOPE SUMMARY PIVOT'!$J$2434:$J$2561, MATCH(DS$1,'STOPE SUMMARY PIVOT'!$A$2434:$A$2561, 0))</f>
        <v>0</v>
      </c>
      <c r="DT68" s="176">
        <f>INDEX('STOPE SUMMARY PIVOT'!$K$2434:$K$2561, MATCH(DS$1,'STOPE SUMMARY PIVOT'!$A$2434:$A$2561, 0))</f>
        <v>0</v>
      </c>
      <c r="DU68" s="172">
        <f>INDEX('STOPE SUMMARY PIVOT'!$J$2434:$J$2561, MATCH(DU$1,'STOPE SUMMARY PIVOT'!$A$2434:$A$2561, 0))</f>
        <v>0</v>
      </c>
      <c r="DV68" s="176">
        <f>INDEX('STOPE SUMMARY PIVOT'!$K$2434:$K$2561, MATCH(DU$1,'STOPE SUMMARY PIVOT'!$A$2434:$A$2561, 0))</f>
        <v>0</v>
      </c>
      <c r="DW68" s="172">
        <f>INDEX('STOPE SUMMARY PIVOT'!$J$2434:$J$2561, MATCH(DW$1,'STOPE SUMMARY PIVOT'!$A$2434:$A$2561, 0))</f>
        <v>0</v>
      </c>
      <c r="DX68" s="176">
        <f>INDEX('STOPE SUMMARY PIVOT'!$K$2434:$K$2561, MATCH(DW$1,'STOPE SUMMARY PIVOT'!$A$2434:$A$2561, 0))</f>
        <v>0</v>
      </c>
      <c r="DY68" s="172">
        <f>INDEX('STOPE SUMMARY PIVOT'!$J$2434:$J$2561, MATCH(DY$1,'STOPE SUMMARY PIVOT'!$A$2434:$A$2561, 0))</f>
        <v>0</v>
      </c>
      <c r="DZ68" s="176">
        <f>INDEX('STOPE SUMMARY PIVOT'!$K$2434:$K$2561, MATCH(DY$1,'STOPE SUMMARY PIVOT'!$A$2434:$A$2561, 0))</f>
        <v>0</v>
      </c>
      <c r="EA68" s="172">
        <f>INDEX('STOPE SUMMARY PIVOT'!$J$2434:$J$2561, MATCH(EA$1,'STOPE SUMMARY PIVOT'!$A$2434:$A$2561, 0))</f>
        <v>0</v>
      </c>
      <c r="EB68" s="176">
        <f>INDEX('STOPE SUMMARY PIVOT'!$K$2434:$K$2561, MATCH(EA$1,'STOPE SUMMARY PIVOT'!$A$2434:$A$2561, 0))</f>
        <v>0</v>
      </c>
      <c r="EC68" s="172">
        <f>INDEX('STOPE SUMMARY PIVOT'!$J$2434:$J$2561, MATCH(EC$1,'STOPE SUMMARY PIVOT'!$A$2434:$A$2561, 0))</f>
        <v>0</v>
      </c>
      <c r="ED68" s="176">
        <f>INDEX('STOPE SUMMARY PIVOT'!$K$2434:$K$2561, MATCH(EC$1,'STOPE SUMMARY PIVOT'!$A$2434:$A$2561, 0))</f>
        <v>0</v>
      </c>
      <c r="EE68" s="172">
        <f>INDEX('STOPE SUMMARY PIVOT'!$J$2434:$J$2561, MATCH(EE$1,'STOPE SUMMARY PIVOT'!$A$2434:$A$2561, 0))</f>
        <v>0</v>
      </c>
      <c r="EF68" s="176">
        <f>INDEX('STOPE SUMMARY PIVOT'!$K$2434:$K$2561, MATCH(EE$1,'STOPE SUMMARY PIVOT'!$A$2434:$A$2561, 0))</f>
        <v>0</v>
      </c>
      <c r="EG68" s="172">
        <f>INDEX('STOPE SUMMARY PIVOT'!$J$2434:$J$2561, MATCH(EG$1,'STOPE SUMMARY PIVOT'!$A$2434:$A$2561, 0))</f>
        <v>0</v>
      </c>
      <c r="EH68" s="176">
        <f>INDEX('STOPE SUMMARY PIVOT'!$K$2434:$K$2561, MATCH(EG$1,'STOPE SUMMARY PIVOT'!$A$2434:$A$2561, 0))</f>
        <v>0</v>
      </c>
      <c r="EI68" s="172">
        <f>INDEX('STOPE SUMMARY PIVOT'!$J$2434:$J$2561, MATCH(EI$1,'STOPE SUMMARY PIVOT'!$A$2434:$A$2561, 0))</f>
        <v>0</v>
      </c>
      <c r="EJ68" s="176">
        <f>INDEX('STOPE SUMMARY PIVOT'!$K$2434:$K$2561, MATCH(EI$1,'STOPE SUMMARY PIVOT'!$A$2434:$A$2561, 0))</f>
        <v>0</v>
      </c>
      <c r="EK68" s="172">
        <f>INDEX('STOPE SUMMARY PIVOT'!$J$2434:$J$2561, MATCH(EK$1,'STOPE SUMMARY PIVOT'!$A$2434:$A$2561, 0))</f>
        <v>0</v>
      </c>
      <c r="EL68" s="176">
        <f>INDEX('STOPE SUMMARY PIVOT'!$K$2434:$K$2561, MATCH(EK$1,'STOPE SUMMARY PIVOT'!$A$2434:$A$2561, 0))</f>
        <v>0</v>
      </c>
      <c r="EM68" s="172">
        <f>INDEX('STOPE SUMMARY PIVOT'!$J$2434:$J$2561, MATCH(EM$1,'STOPE SUMMARY PIVOT'!$A$2434:$A$2561, 0))</f>
        <v>0</v>
      </c>
      <c r="EN68" s="176">
        <f>INDEX('STOPE SUMMARY PIVOT'!$K$2434:$K$2561, MATCH(EM$1,'STOPE SUMMARY PIVOT'!$A$2434:$A$2561, 0))</f>
        <v>0</v>
      </c>
      <c r="EO68" s="172">
        <f>INDEX('STOPE SUMMARY PIVOT'!$J$2434:$J$2561, MATCH(EO$1,'STOPE SUMMARY PIVOT'!$A$2434:$A$2561, 0))</f>
        <v>0</v>
      </c>
      <c r="EP68" s="176">
        <f>INDEX('STOPE SUMMARY PIVOT'!$K$2434:$K$2561, MATCH(EO$1,'STOPE SUMMARY PIVOT'!$A$2434:$A$2561, 0))</f>
        <v>0</v>
      </c>
      <c r="EQ68" s="172">
        <f>INDEX('STOPE SUMMARY PIVOT'!$J$2434:$J$2561, MATCH(EQ$1,'STOPE SUMMARY PIVOT'!$A$2434:$A$2561, 0))</f>
        <v>0</v>
      </c>
      <c r="ER68" s="176">
        <f>INDEX('STOPE SUMMARY PIVOT'!$K$2434:$K$2561, MATCH(EQ$1,'STOPE SUMMARY PIVOT'!$A$2434:$A$2561, 0))</f>
        <v>0</v>
      </c>
      <c r="ES68" s="172">
        <f>INDEX('STOPE SUMMARY PIVOT'!$J$2434:$J$2561, MATCH(ES$1,'STOPE SUMMARY PIVOT'!$A$2434:$A$2561, 0))</f>
        <v>0</v>
      </c>
      <c r="ET68" s="176">
        <f>INDEX('STOPE SUMMARY PIVOT'!$K$2434:$K$2561, MATCH(ES$1,'STOPE SUMMARY PIVOT'!$A$2434:$A$2561, 0))</f>
        <v>0</v>
      </c>
      <c r="EU68" s="172">
        <f>INDEX('STOPE SUMMARY PIVOT'!$J$2434:$J$2561, MATCH(EU$1,'STOPE SUMMARY PIVOT'!$A$2434:$A$2561, 0))</f>
        <v>0</v>
      </c>
      <c r="EV68" s="176">
        <f>INDEX('STOPE SUMMARY PIVOT'!$K$2434:$K$2561, MATCH(EU$1,'STOPE SUMMARY PIVOT'!$A$2434:$A$2561, 0))</f>
        <v>0</v>
      </c>
      <c r="EW68" s="172">
        <f>INDEX('STOPE SUMMARY PIVOT'!$J$2434:$J$2561, MATCH(EW$1,'STOPE SUMMARY PIVOT'!$A$2434:$A$2561, 0))</f>
        <v>0</v>
      </c>
      <c r="EX68" s="176">
        <f>INDEX('STOPE SUMMARY PIVOT'!$K$2434:$K$2561, MATCH(EW$1,'STOPE SUMMARY PIVOT'!$A$2434:$A$2561, 0))</f>
        <v>0</v>
      </c>
      <c r="EY68" s="172">
        <f>INDEX('STOPE SUMMARY PIVOT'!$J$2434:$J$2561, MATCH(EY$1,'STOPE SUMMARY PIVOT'!$A$2434:$A$2561, 0))</f>
        <v>0</v>
      </c>
      <c r="EZ68" s="176">
        <f>INDEX('STOPE SUMMARY PIVOT'!$K$2434:$K$2561, MATCH(EY$1,'STOPE SUMMARY PIVOT'!$A$2434:$A$2561, 0))</f>
        <v>0</v>
      </c>
      <c r="FA68" s="172">
        <f>INDEX('STOPE SUMMARY PIVOT'!$J$2434:$J$2561, MATCH(FA$1,'STOPE SUMMARY PIVOT'!$A$2434:$A$2561, 0))</f>
        <v>0</v>
      </c>
      <c r="FB68" s="176">
        <f>INDEX('STOPE SUMMARY PIVOT'!$K$2434:$K$2561, MATCH(FA$1,'STOPE SUMMARY PIVOT'!$A$2434:$A$2561, 0))</f>
        <v>0</v>
      </c>
      <c r="FC68" s="172">
        <f>INDEX('STOPE SUMMARY PIVOT'!$J$2434:$J$2561, MATCH(FC$1,'STOPE SUMMARY PIVOT'!$A$2434:$A$2561, 0))</f>
        <v>0</v>
      </c>
      <c r="FD68" s="176">
        <f>INDEX('STOPE SUMMARY PIVOT'!$K$2434:$K$2561, MATCH(FC$1,'STOPE SUMMARY PIVOT'!$A$2434:$A$2561, 0))</f>
        <v>0</v>
      </c>
      <c r="FE68" s="172">
        <f>INDEX('STOPE SUMMARY PIVOT'!$J$2434:$J$2561, MATCH(FE$1,'STOPE SUMMARY PIVOT'!$A$2434:$A$2561, 0))</f>
        <v>0</v>
      </c>
      <c r="FF68" s="176">
        <f>INDEX('STOPE SUMMARY PIVOT'!$K$2434:$K$2561, MATCH(FE$1,'STOPE SUMMARY PIVOT'!$A$2434:$A$2561, 0))</f>
        <v>0</v>
      </c>
      <c r="FG68" s="172">
        <f>INDEX('STOPE SUMMARY PIVOT'!$J$2434:$J$2561, MATCH(FG$1,'STOPE SUMMARY PIVOT'!$A$2434:$A$2561, 0))</f>
        <v>0</v>
      </c>
      <c r="FH68" s="176">
        <f>INDEX('STOPE SUMMARY PIVOT'!$K$2434:$K$2561, MATCH(FG$1,'STOPE SUMMARY PIVOT'!$A$2434:$A$2561, 0))</f>
        <v>0</v>
      </c>
      <c r="FI68" s="172">
        <f>INDEX('STOPE SUMMARY PIVOT'!$J$2434:$J$2561, MATCH(FI$1,'STOPE SUMMARY PIVOT'!$A$2434:$A$2561, 0))</f>
        <v>0</v>
      </c>
      <c r="FJ68" s="176">
        <f>INDEX('STOPE SUMMARY PIVOT'!$K$2434:$K$2561, MATCH(FI$1,'STOPE SUMMARY PIVOT'!$A$2434:$A$2561, 0))</f>
        <v>0</v>
      </c>
      <c r="FK68" s="172">
        <f>INDEX('STOPE SUMMARY PIVOT'!$J$2434:$J$2561, MATCH(FK$1,'STOPE SUMMARY PIVOT'!$A$2434:$A$2561, 0))</f>
        <v>0</v>
      </c>
      <c r="FL68" s="176">
        <f>INDEX('STOPE SUMMARY PIVOT'!$K$2434:$K$2561, MATCH(FK$1,'STOPE SUMMARY PIVOT'!$A$2434:$A$2561, 0))</f>
        <v>0</v>
      </c>
      <c r="FM68" s="172">
        <f>INDEX('STOPE SUMMARY PIVOT'!$J$2434:$J$2561, MATCH(FM$1,'STOPE SUMMARY PIVOT'!$A$2434:$A$2561, 0))</f>
        <v>0</v>
      </c>
      <c r="FN68" s="176">
        <f>INDEX('STOPE SUMMARY PIVOT'!$K$2434:$K$2561, MATCH(FM$1,'STOPE SUMMARY PIVOT'!$A$2434:$A$2561, 0))</f>
        <v>0</v>
      </c>
      <c r="FO68" s="172">
        <f>INDEX('STOPE SUMMARY PIVOT'!$J$2434:$J$2561, MATCH(FO$1,'STOPE SUMMARY PIVOT'!$A$2434:$A$2561, 0))</f>
        <v>0</v>
      </c>
      <c r="FP68" s="176">
        <f>INDEX('STOPE SUMMARY PIVOT'!$K$2434:$K$2561, MATCH(FO$1,'STOPE SUMMARY PIVOT'!$A$2434:$A$2561, 0))</f>
        <v>0</v>
      </c>
      <c r="FQ68" s="172">
        <f>INDEX('STOPE SUMMARY PIVOT'!$J$2434:$J$2561, MATCH(FQ$1,'STOPE SUMMARY PIVOT'!$A$2434:$A$2561, 0))</f>
        <v>0</v>
      </c>
      <c r="FR68" s="176">
        <f>INDEX('STOPE SUMMARY PIVOT'!$K$2434:$K$2561, MATCH(FQ$1,'STOPE SUMMARY PIVOT'!$A$2434:$A$2561, 0))</f>
        <v>0</v>
      </c>
      <c r="FS68" s="172">
        <f>INDEX('STOPE SUMMARY PIVOT'!$J$2434:$J$2561, MATCH(FS$1,'STOPE SUMMARY PIVOT'!$A$2434:$A$2561, 0))</f>
        <v>0</v>
      </c>
      <c r="FT68" s="176">
        <f>INDEX('STOPE SUMMARY PIVOT'!$K$2434:$K$2561, MATCH(FS$1,'STOPE SUMMARY PIVOT'!$A$2434:$A$2561, 0))</f>
        <v>0</v>
      </c>
      <c r="FU68" s="172">
        <f>INDEX('STOPE SUMMARY PIVOT'!$J$2434:$J$2561, MATCH(FU$1,'STOPE SUMMARY PIVOT'!$A$2434:$A$2561, 0))</f>
        <v>0</v>
      </c>
      <c r="FV68" s="176">
        <f>INDEX('STOPE SUMMARY PIVOT'!$K$2434:$K$2561, MATCH(FU$1,'STOPE SUMMARY PIVOT'!$A$2434:$A$2561, 0))</f>
        <v>0</v>
      </c>
      <c r="FW68" s="172">
        <f>INDEX('STOPE SUMMARY PIVOT'!$J$2434:$J$2561, MATCH(FW$1,'STOPE SUMMARY PIVOT'!$A$2434:$A$2561, 0))</f>
        <v>0</v>
      </c>
      <c r="FX68" s="176">
        <f>INDEX('STOPE SUMMARY PIVOT'!$K$2434:$K$2561, MATCH(FW$1,'STOPE SUMMARY PIVOT'!$A$2434:$A$2561, 0))</f>
        <v>0</v>
      </c>
      <c r="FY68" s="172">
        <f>INDEX('STOPE SUMMARY PIVOT'!$J$2434:$J$2561, MATCH(FY$1,'STOPE SUMMARY PIVOT'!$A$2434:$A$2561, 0))</f>
        <v>0</v>
      </c>
      <c r="FZ68" s="176">
        <f>INDEX('STOPE SUMMARY PIVOT'!$K$2434:$K$2561, MATCH(FY$1,'STOPE SUMMARY PIVOT'!$A$2434:$A$2561, 0))</f>
        <v>0</v>
      </c>
      <c r="GA68" s="172">
        <f>INDEX('STOPE SUMMARY PIVOT'!$J$2434:$J$2561, MATCH(GA$1,'STOPE SUMMARY PIVOT'!$A$2434:$A$2561, 0))</f>
        <v>0</v>
      </c>
      <c r="GB68" s="176">
        <f>INDEX('STOPE SUMMARY PIVOT'!$K$2434:$K$2561, MATCH(GA$1,'STOPE SUMMARY PIVOT'!$A$2434:$A$2561, 0))</f>
        <v>0</v>
      </c>
      <c r="GC68" s="172">
        <f>INDEX('STOPE SUMMARY PIVOT'!$J$2434:$J$2561, MATCH(GC$1,'STOPE SUMMARY PIVOT'!$A$2434:$A$2561, 0))</f>
        <v>0</v>
      </c>
      <c r="GD68" s="176">
        <f>INDEX('STOPE SUMMARY PIVOT'!$K$2434:$K$2561, MATCH(GC$1,'STOPE SUMMARY PIVOT'!$A$2434:$A$2561, 0))</f>
        <v>0</v>
      </c>
      <c r="GE68" s="172">
        <f>INDEX('STOPE SUMMARY PIVOT'!$J$2434:$J$2561, MATCH(GE$1,'STOPE SUMMARY PIVOT'!$A$2434:$A$2561, 0))</f>
        <v>0</v>
      </c>
      <c r="GF68" s="176">
        <f>INDEX('STOPE SUMMARY PIVOT'!$K$2434:$K$2561, MATCH(GE$1,'STOPE SUMMARY PIVOT'!$A$2434:$A$2561, 0))</f>
        <v>0</v>
      </c>
      <c r="GG68" s="172">
        <f>INDEX('STOPE SUMMARY PIVOT'!$J$2434:$J$2561, MATCH(GG$1,'STOPE SUMMARY PIVOT'!$A$2434:$A$2561, 0))</f>
        <v>0</v>
      </c>
      <c r="GH68" s="176">
        <f>INDEX('STOPE SUMMARY PIVOT'!$K$2434:$K$2561, MATCH(GG$1,'STOPE SUMMARY PIVOT'!$A$2434:$A$2561, 0))</f>
        <v>0</v>
      </c>
      <c r="GI68" s="172">
        <f>INDEX('STOPE SUMMARY PIVOT'!$J$2434:$J$2561, MATCH(GI$1,'STOPE SUMMARY PIVOT'!$A$2434:$A$2561, 0))</f>
        <v>0</v>
      </c>
      <c r="GJ68" s="176">
        <f>INDEX('STOPE SUMMARY PIVOT'!$K$2434:$K$2561, MATCH(GI$1,'STOPE SUMMARY PIVOT'!$A$2434:$A$2561, 0))</f>
        <v>0</v>
      </c>
      <c r="GK68" s="172">
        <f>INDEX('STOPE SUMMARY PIVOT'!$J$2434:$J$2561, MATCH(GK$1,'STOPE SUMMARY PIVOT'!$A$2434:$A$2561, 0))</f>
        <v>0</v>
      </c>
      <c r="GL68" s="176">
        <f>INDEX('STOPE SUMMARY PIVOT'!$K$2434:$K$2561, MATCH(GK$1,'STOPE SUMMARY PIVOT'!$A$2434:$A$2561, 0))</f>
        <v>0</v>
      </c>
      <c r="GM68" s="172">
        <f>INDEX('STOPE SUMMARY PIVOT'!$J$2434:$J$2561, MATCH(GM$1,'STOPE SUMMARY PIVOT'!$A$2434:$A$2561, 0))</f>
        <v>0</v>
      </c>
      <c r="GN68" s="176">
        <f>INDEX('STOPE SUMMARY PIVOT'!$K$2434:$K$2561, MATCH(GM$1,'STOPE SUMMARY PIVOT'!$A$2434:$A$2561, 0))</f>
        <v>0</v>
      </c>
      <c r="GO68" s="172">
        <f>INDEX('STOPE SUMMARY PIVOT'!$J$2434:$J$2561, MATCH(GO$1,'STOPE SUMMARY PIVOT'!$A$2434:$A$2561, 0))</f>
        <v>0</v>
      </c>
      <c r="GP68" s="176">
        <f>INDEX('STOPE SUMMARY PIVOT'!$K$2434:$K$2561, MATCH(GO$1,'STOPE SUMMARY PIVOT'!$A$2434:$A$2561, 0))</f>
        <v>0</v>
      </c>
      <c r="GQ68" s="172">
        <f>INDEX('STOPE SUMMARY PIVOT'!$J$2434:$J$2561, MATCH(GQ$1,'STOPE SUMMARY PIVOT'!$A$2434:$A$2561, 0))</f>
        <v>0</v>
      </c>
      <c r="GR68" s="176">
        <f>INDEX('STOPE SUMMARY PIVOT'!$K$2434:$K$2561, MATCH(GQ$1,'STOPE SUMMARY PIVOT'!$A$2434:$A$2561, 0))</f>
        <v>0</v>
      </c>
      <c r="GS68" s="172">
        <f>INDEX('STOPE SUMMARY PIVOT'!$J$2434:$J$2561, MATCH(GS$1,'STOPE SUMMARY PIVOT'!$A$2434:$A$2561, 0))</f>
        <v>0</v>
      </c>
      <c r="GT68" s="176">
        <f>INDEX('STOPE SUMMARY PIVOT'!$K$2434:$K$2561, MATCH(GS$1,'STOPE SUMMARY PIVOT'!$A$2434:$A$2561, 0))</f>
        <v>0</v>
      </c>
      <c r="GU68" s="172">
        <f>INDEX('STOPE SUMMARY PIVOT'!$J$2434:$J$2561, MATCH(GU$1,'STOPE SUMMARY PIVOT'!$A$2434:$A$2561, 0))</f>
        <v>0</v>
      </c>
      <c r="GV68" s="176">
        <f>INDEX('STOPE SUMMARY PIVOT'!$K$2434:$K$2561, MATCH(GU$1,'STOPE SUMMARY PIVOT'!$A$2434:$A$2561, 0))</f>
        <v>0</v>
      </c>
      <c r="GW68" s="172">
        <f>INDEX('STOPE SUMMARY PIVOT'!$J$2434:$J$2561, MATCH(GW$1,'STOPE SUMMARY PIVOT'!$A$2434:$A$2561, 0))</f>
        <v>0</v>
      </c>
      <c r="GX68" s="176">
        <f>INDEX('STOPE SUMMARY PIVOT'!$K$2434:$K$2561, MATCH(GW$1,'STOPE SUMMARY PIVOT'!$A$2434:$A$2561, 0))</f>
        <v>0</v>
      </c>
      <c r="GY68" s="172">
        <f>INDEX('STOPE SUMMARY PIVOT'!$J$2434:$J$2561, MATCH(GY$1,'STOPE SUMMARY PIVOT'!$A$2434:$A$2561, 0))</f>
        <v>0</v>
      </c>
      <c r="GZ68" s="176">
        <f>INDEX('STOPE SUMMARY PIVOT'!$K$2434:$K$2561, MATCH(GY$1,'STOPE SUMMARY PIVOT'!$A$2434:$A$2561, 0))</f>
        <v>0</v>
      </c>
      <c r="HA68" s="172">
        <f>INDEX('STOPE SUMMARY PIVOT'!$J$2434:$J$2561, MATCH(HA$1,'STOPE SUMMARY PIVOT'!$A$2434:$A$2561, 0))</f>
        <v>0</v>
      </c>
      <c r="HB68" s="176">
        <f>INDEX('STOPE SUMMARY PIVOT'!$K$2434:$K$2561, MATCH(HA$1,'STOPE SUMMARY PIVOT'!$A$2434:$A$2561, 0))</f>
        <v>0</v>
      </c>
      <c r="HC68" s="172">
        <f>INDEX('STOPE SUMMARY PIVOT'!$J$2434:$J$2561, MATCH(HC$1,'STOPE SUMMARY PIVOT'!$A$2434:$A$2561, 0))</f>
        <v>0</v>
      </c>
      <c r="HD68" s="176">
        <f>INDEX('STOPE SUMMARY PIVOT'!$K$2434:$K$2561, MATCH(HC$1,'STOPE SUMMARY PIVOT'!$A$2434:$A$2561, 0))</f>
        <v>0</v>
      </c>
      <c r="HE68" s="172">
        <f>INDEX('STOPE SUMMARY PIVOT'!$J$2434:$J$2561, MATCH(HE$1,'STOPE SUMMARY PIVOT'!$A$2434:$A$2561, 0))</f>
        <v>0</v>
      </c>
      <c r="HF68" s="176">
        <f>INDEX('STOPE SUMMARY PIVOT'!$K$2434:$K$2561, MATCH(HE$1,'STOPE SUMMARY PIVOT'!$A$2434:$A$2561, 0))</f>
        <v>0</v>
      </c>
      <c r="HG68" s="172">
        <f>INDEX('STOPE SUMMARY PIVOT'!$J$2434:$J$2561, MATCH(HG$1,'STOPE SUMMARY PIVOT'!$A$2434:$A$2561, 0))</f>
        <v>0</v>
      </c>
      <c r="HH68" s="176">
        <f>INDEX('STOPE SUMMARY PIVOT'!$K$2434:$K$2561, MATCH(HG$1,'STOPE SUMMARY PIVOT'!$A$2434:$A$2561, 0))</f>
        <v>0</v>
      </c>
      <c r="HI68" s="172">
        <f>INDEX('STOPE SUMMARY PIVOT'!$J$2434:$J$2561, MATCH(HI$1,'STOPE SUMMARY PIVOT'!$A$2434:$A$2561, 0))</f>
        <v>0</v>
      </c>
      <c r="HJ68" s="176">
        <f>INDEX('STOPE SUMMARY PIVOT'!$K$2434:$K$2561, MATCH(HI$1,'STOPE SUMMARY PIVOT'!$A$2434:$A$2561, 0))</f>
        <v>0</v>
      </c>
      <c r="HK68" s="172">
        <f>INDEX('STOPE SUMMARY PIVOT'!$J$2434:$J$2561, MATCH(HK$1,'STOPE SUMMARY PIVOT'!$A$2434:$A$2561, 0))</f>
        <v>0</v>
      </c>
      <c r="HL68" s="176">
        <f>INDEX('STOPE SUMMARY PIVOT'!$K$2434:$K$2561, MATCH(HK$1,'STOPE SUMMARY PIVOT'!$A$2434:$A$2561, 0))</f>
        <v>0</v>
      </c>
      <c r="HM68" s="172">
        <f>INDEX('STOPE SUMMARY PIVOT'!$J$2434:$J$2561, MATCH(HM$1,'STOPE SUMMARY PIVOT'!$A$2434:$A$2561, 0))</f>
        <v>0</v>
      </c>
      <c r="HN68" s="176">
        <f>INDEX('STOPE SUMMARY PIVOT'!$K$2434:$K$2561, MATCH(HM$1,'STOPE SUMMARY PIVOT'!$A$2434:$A$2561, 0))</f>
        <v>0</v>
      </c>
      <c r="HO68" s="172">
        <f>INDEX('STOPE SUMMARY PIVOT'!$J$2434:$J$2561, MATCH(HO$1,'STOPE SUMMARY PIVOT'!$A$2434:$A$2561, 0))</f>
        <v>0</v>
      </c>
      <c r="HP68" s="176">
        <f>INDEX('STOPE SUMMARY PIVOT'!$K$2434:$K$2561, MATCH(HO$1,'STOPE SUMMARY PIVOT'!$A$2434:$A$2561, 0))</f>
        <v>0</v>
      </c>
      <c r="HQ68" s="172">
        <f>INDEX('STOPE SUMMARY PIVOT'!$J$2434:$J$2561, MATCH(HQ$1,'STOPE SUMMARY PIVOT'!$A$2434:$A$2561, 0))</f>
        <v>0</v>
      </c>
      <c r="HR68" s="176">
        <f>INDEX('STOPE SUMMARY PIVOT'!$K$2434:$K$2561, MATCH(HQ$1,'STOPE SUMMARY PIVOT'!$A$2434:$A$2561, 0))</f>
        <v>0</v>
      </c>
      <c r="HS68" s="172">
        <f>INDEX('STOPE SUMMARY PIVOT'!$J$2434:$J$2561, MATCH(HS$1,'STOPE SUMMARY PIVOT'!$A$2434:$A$2561, 0))</f>
        <v>0</v>
      </c>
      <c r="HT68" s="176">
        <f>INDEX('STOPE SUMMARY PIVOT'!$K$2434:$K$2561, MATCH(HS$1,'STOPE SUMMARY PIVOT'!$A$2434:$A$2561, 0))</f>
        <v>0</v>
      </c>
      <c r="HU68" s="172">
        <f>INDEX('STOPE SUMMARY PIVOT'!$J$2434:$J$2561, MATCH(HU$1,'STOPE SUMMARY PIVOT'!$A$2434:$A$2561, 0))</f>
        <v>0</v>
      </c>
      <c r="HV68" s="176">
        <f>INDEX('STOPE SUMMARY PIVOT'!$K$2434:$K$2561, MATCH(HU$1,'STOPE SUMMARY PIVOT'!$A$2434:$A$2561, 0))</f>
        <v>0</v>
      </c>
      <c r="HW68" s="172">
        <f>INDEX('STOPE SUMMARY PIVOT'!$J$2434:$J$2561, MATCH(HW$1,'STOPE SUMMARY PIVOT'!$A$2434:$A$2561, 0))</f>
        <v>0</v>
      </c>
      <c r="HX68" s="176">
        <f>INDEX('STOPE SUMMARY PIVOT'!$K$2434:$K$2561, MATCH(HW$1,'STOPE SUMMARY PIVOT'!$A$2434:$A$2561, 0))</f>
        <v>0</v>
      </c>
      <c r="HY68" s="172">
        <f>INDEX('STOPE SUMMARY PIVOT'!$J$2434:$J$2561, MATCH(HY$1,'STOPE SUMMARY PIVOT'!$A$2434:$A$2561, 0))</f>
        <v>0</v>
      </c>
      <c r="HZ68" s="176">
        <f>INDEX('STOPE SUMMARY PIVOT'!$K$2434:$K$2561, MATCH(HY$1,'STOPE SUMMARY PIVOT'!$A$2434:$A$2561, 0))</f>
        <v>0</v>
      </c>
      <c r="IA68" s="172">
        <f>INDEX('STOPE SUMMARY PIVOT'!$J$2434:$J$2561, MATCH(IA$1,'STOPE SUMMARY PIVOT'!$A$2434:$A$2561, 0))</f>
        <v>0</v>
      </c>
      <c r="IB68" s="176">
        <f>INDEX('STOPE SUMMARY PIVOT'!$K$2434:$K$2561, MATCH(IA$1,'STOPE SUMMARY PIVOT'!$A$2434:$A$2561, 0))</f>
        <v>0</v>
      </c>
      <c r="IC68" s="172">
        <f>INDEX('STOPE SUMMARY PIVOT'!$J$2434:$J$2561, MATCH(IC$1,'STOPE SUMMARY PIVOT'!$A$2434:$A$2561, 0))</f>
        <v>0</v>
      </c>
      <c r="ID68" s="176">
        <f>INDEX('STOPE SUMMARY PIVOT'!$K$2434:$K$2561, MATCH(IC$1,'STOPE SUMMARY PIVOT'!$A$2434:$A$2561, 0))</f>
        <v>0</v>
      </c>
      <c r="IE68" s="172">
        <f>INDEX('STOPE SUMMARY PIVOT'!$J$2434:$J$2561, MATCH(IE$1,'STOPE SUMMARY PIVOT'!$A$2434:$A$2561, 0))</f>
        <v>0</v>
      </c>
      <c r="IF68" s="176">
        <f>INDEX('STOPE SUMMARY PIVOT'!$K$2434:$K$2561, MATCH(IE$1,'STOPE SUMMARY PIVOT'!$A$2434:$A$2561, 0))</f>
        <v>0</v>
      </c>
      <c r="IG68" s="172">
        <f>INDEX('STOPE SUMMARY PIVOT'!$J$2434:$J$2561, MATCH(IG$1,'STOPE SUMMARY PIVOT'!$A$2434:$A$2561, 0))</f>
        <v>0</v>
      </c>
      <c r="IH68" s="176">
        <f>INDEX('STOPE SUMMARY PIVOT'!$K$2434:$K$2561, MATCH(IG$1,'STOPE SUMMARY PIVOT'!$A$2434:$A$2561, 0))</f>
        <v>0</v>
      </c>
      <c r="II68" s="172">
        <f>INDEX('STOPE SUMMARY PIVOT'!$J$2434:$J$2561, MATCH(II$1,'STOPE SUMMARY PIVOT'!$A$2434:$A$2561, 0))</f>
        <v>0</v>
      </c>
      <c r="IJ68" s="176">
        <f>INDEX('STOPE SUMMARY PIVOT'!$K$2434:$K$2561, MATCH(II$1,'STOPE SUMMARY PIVOT'!$A$2434:$A$2561, 0))</f>
        <v>0</v>
      </c>
      <c r="IK68" s="172">
        <f>INDEX('STOPE SUMMARY PIVOT'!$J$2434:$J$2561, MATCH(IK$1,'STOPE SUMMARY PIVOT'!$A$2434:$A$2561, 0))</f>
        <v>0</v>
      </c>
      <c r="IL68" s="176">
        <f>INDEX('STOPE SUMMARY PIVOT'!$K$2434:$K$2561, MATCH(IK$1,'STOPE SUMMARY PIVOT'!$A$2434:$A$2561, 0))</f>
        <v>0</v>
      </c>
      <c r="IM68" s="172">
        <f>INDEX('STOPE SUMMARY PIVOT'!$J$2434:$J$2561, MATCH(IM$1,'STOPE SUMMARY PIVOT'!$A$2434:$A$2561, 0))</f>
        <v>0</v>
      </c>
      <c r="IN68" s="176">
        <f>INDEX('STOPE SUMMARY PIVOT'!$K$2434:$K$2561, MATCH(IM$1,'STOPE SUMMARY PIVOT'!$A$2434:$A$2561, 0))</f>
        <v>0</v>
      </c>
      <c r="IO68" s="172">
        <f>INDEX('STOPE SUMMARY PIVOT'!$J$2434:$J$2561, MATCH(IO$1,'STOPE SUMMARY PIVOT'!$A$2434:$A$2561, 0))</f>
        <v>0</v>
      </c>
      <c r="IP68" s="176">
        <f>INDEX('STOPE SUMMARY PIVOT'!$K$2434:$K$2561, MATCH(IO$1,'STOPE SUMMARY PIVOT'!$A$2434:$A$2561, 0))</f>
        <v>0</v>
      </c>
      <c r="IQ68" s="172">
        <f>INDEX('STOPE SUMMARY PIVOT'!$J$2434:$J$2561, MATCH(IQ$1,'STOPE SUMMARY PIVOT'!$A$2434:$A$2561, 0))</f>
        <v>0</v>
      </c>
      <c r="IR68" s="176">
        <f>INDEX('STOPE SUMMARY PIVOT'!$K$2434:$K$2561, MATCH(IQ$1,'STOPE SUMMARY PIVOT'!$A$2434:$A$2561, 0))</f>
        <v>0</v>
      </c>
      <c r="IS68" s="172">
        <f>INDEX('STOPE SUMMARY PIVOT'!$J$2434:$J$2561, MATCH(IS$1,'STOPE SUMMARY PIVOT'!$A$2434:$A$2561, 0))</f>
        <v>0</v>
      </c>
      <c r="IT68" s="176">
        <f>INDEX('STOPE SUMMARY PIVOT'!$K$2434:$K$2561, MATCH(IS$1,'STOPE SUMMARY PIVOT'!$A$2434:$A$2561, 0))</f>
        <v>0</v>
      </c>
      <c r="IU68" s="172">
        <f>INDEX('STOPE SUMMARY PIVOT'!$J$2434:$J$2561, MATCH(IU$1,'STOPE SUMMARY PIVOT'!$A$2434:$A$2561, 0))</f>
        <v>0</v>
      </c>
      <c r="IV68" s="176">
        <f>INDEX('STOPE SUMMARY PIVOT'!$K$2434:$K$2561, MATCH(IU$1,'STOPE SUMMARY PIVOT'!$A$2434:$A$2561, 0))</f>
        <v>0</v>
      </c>
      <c r="IW68" s="172">
        <f>INDEX('STOPE SUMMARY PIVOT'!$J$2434:$J$2561, MATCH(IW$1,'STOPE SUMMARY PIVOT'!$A$2434:$A$2561, 0))</f>
        <v>0</v>
      </c>
      <c r="IX68" s="176">
        <f>INDEX('STOPE SUMMARY PIVOT'!$K$2434:$K$2561, MATCH(IW$1,'STOPE SUMMARY PIVOT'!$A$2434:$A$2561, 0))</f>
        <v>0</v>
      </c>
      <c r="IY68" s="172">
        <f>INDEX('STOPE SUMMARY PIVOT'!$J$2434:$J$2561, MATCH(IY$1,'STOPE SUMMARY PIVOT'!$A$2434:$A$2561, 0))</f>
        <v>0</v>
      </c>
      <c r="IZ68" s="176">
        <f>INDEX('STOPE SUMMARY PIVOT'!$K$2434:$K$2561, MATCH(IY$1,'STOPE SUMMARY PIVOT'!$A$2434:$A$2561, 0))</f>
        <v>0</v>
      </c>
    </row>
    <row r="69" spans="1:260" x14ac:dyDescent="0.25">
      <c r="A69" s="1589">
        <v>45901</v>
      </c>
      <c r="B69" s="162" t="s">
        <v>218</v>
      </c>
      <c r="C69" s="163" cm="1">
        <f t="array" ref="C69">SUM(_xlfn._xlws.FILTER(E69:IZ69, MOD(COLUMN(E69:IZ69)-COLUMN(E69)+1,2)=1))</f>
        <v>21171</v>
      </c>
      <c r="D69" s="164" cm="1">
        <f t="array" ref="D69">SUMPRODUCT(_xlfn._xlws.FILTER(E69:IZ69, MOD(COLUMN(E69:IZ69)-COLUMN(E69)+1,2)=1), _xlfn._xlws.FILTER(E69:IZ69, MOD(COLUMN(E69:IZ69)-COLUMN(E69)+1,2)=0))/C69</f>
        <v>2.5931665958150298</v>
      </c>
      <c r="E69" s="165">
        <f>INDEX('STOPE SUMMARY PIVOT'!$D$2562:$D$2689, MATCH(E$1,'STOPE SUMMARY PIVOT'!$A$2562:$A$2689, 0))</f>
        <v>0</v>
      </c>
      <c r="F69" s="174">
        <f>INDEX('STOPE SUMMARY PIVOT'!$E$2562:$E$2689, MATCH(E$1,'STOPE SUMMARY PIVOT'!$A$2562:$A$2689, 0))</f>
        <v>0</v>
      </c>
      <c r="G69" s="165">
        <f>INDEX('STOPE SUMMARY PIVOT'!$D$2562:$D$2689, MATCH(G$1,'STOPE SUMMARY PIVOT'!$A$2562:$A$2689, 0))</f>
        <v>0</v>
      </c>
      <c r="H69" s="174">
        <f>INDEX('STOPE SUMMARY PIVOT'!$E$2562:$E$2689, MATCH(G$1,'STOPE SUMMARY PIVOT'!$A$2562:$A$2689, 0))</f>
        <v>0</v>
      </c>
      <c r="I69" s="165">
        <f>INDEX('STOPE SUMMARY PIVOT'!$D$2562:$D$2689, MATCH(I$1,'STOPE SUMMARY PIVOT'!$A$2562:$A$2689, 0))</f>
        <v>0</v>
      </c>
      <c r="J69" s="166">
        <f>INDEX('STOPE SUMMARY PIVOT'!$E$2562:$E$2689, MATCH(I$1,'STOPE SUMMARY PIVOT'!$A$2562:$A$2689, 0))</f>
        <v>0</v>
      </c>
      <c r="K69" s="165">
        <f>INDEX('STOPE SUMMARY PIVOT'!$D$2562:$D$2689, MATCH(K$1,'STOPE SUMMARY PIVOT'!$A$2562:$A$2689, 0))</f>
        <v>0</v>
      </c>
      <c r="L69" s="166">
        <f>INDEX('STOPE SUMMARY PIVOT'!$E$2562:$E$2689, MATCH(K$1,'STOPE SUMMARY PIVOT'!$A$2562:$A$2689, 0))</f>
        <v>0</v>
      </c>
      <c r="M69" s="165">
        <f>INDEX('STOPE SUMMARY PIVOT'!$D$2562:$D$2689, MATCH(M$1,'STOPE SUMMARY PIVOT'!$A$2562:$A$2689, 0))</f>
        <v>0</v>
      </c>
      <c r="N69" s="166">
        <f>INDEX('STOPE SUMMARY PIVOT'!$E$2562:$E$2689, MATCH(M$1,'STOPE SUMMARY PIVOT'!$A$2562:$A$2689, 0))</f>
        <v>0</v>
      </c>
      <c r="O69" s="165">
        <f>INDEX('STOPE SUMMARY PIVOT'!$D$2562:$D$2689, MATCH(O$1,'STOPE SUMMARY PIVOT'!$A$2562:$A$2689, 0))</f>
        <v>0</v>
      </c>
      <c r="P69" s="166">
        <f>INDEX('STOPE SUMMARY PIVOT'!$E$2562:$E$2689, MATCH(O$1,'STOPE SUMMARY PIVOT'!$A$2562:$A$2689, 0))</f>
        <v>0</v>
      </c>
      <c r="Q69" s="165">
        <f>INDEX('STOPE SUMMARY PIVOT'!$D$2562:$D$2689, MATCH(Q$1,'STOPE SUMMARY PIVOT'!$A$2562:$A$2689, 0))</f>
        <v>0</v>
      </c>
      <c r="R69" s="166">
        <f>INDEX('STOPE SUMMARY PIVOT'!$E$2562:$E$2689, MATCH(Q$1,'STOPE SUMMARY PIVOT'!$A$2562:$A$2689, 0))</f>
        <v>0</v>
      </c>
      <c r="S69" s="165">
        <f>INDEX('STOPE SUMMARY PIVOT'!$D$2562:$D$2689, MATCH(S$1,'STOPE SUMMARY PIVOT'!$A$2562:$A$2689, 0))</f>
        <v>0</v>
      </c>
      <c r="T69" s="166">
        <f>INDEX('STOPE SUMMARY PIVOT'!$E$2562:$E$2689, MATCH(S$1,'STOPE SUMMARY PIVOT'!$A$2562:$A$2689, 0))</f>
        <v>0</v>
      </c>
      <c r="U69" s="165">
        <f>INDEX('STOPE SUMMARY PIVOT'!$D$2562:$D$2689, MATCH(U$1,'STOPE SUMMARY PIVOT'!$A$2562:$A$2689, 0))</f>
        <v>0</v>
      </c>
      <c r="V69" s="174">
        <f>INDEX('STOPE SUMMARY PIVOT'!$E$2562:$E$2689, MATCH(U$1,'STOPE SUMMARY PIVOT'!$A$2562:$A$2689, 0))</f>
        <v>0</v>
      </c>
      <c r="W69" s="165">
        <f>INDEX('STOPE SUMMARY PIVOT'!$D$2562:$D$2689, MATCH(W$1,'STOPE SUMMARY PIVOT'!$A$2562:$A$2689, 0))</f>
        <v>0</v>
      </c>
      <c r="X69" s="174">
        <f>INDEX('STOPE SUMMARY PIVOT'!$E$2562:$E$2689, MATCH(W$1,'STOPE SUMMARY PIVOT'!$A$2562:$A$2689, 0))</f>
        <v>0</v>
      </c>
      <c r="Y69" s="165">
        <f>INDEX('STOPE SUMMARY PIVOT'!$D$2562:$D$2689, MATCH(Y$1,'STOPE SUMMARY PIVOT'!$A$2562:$A$2689, 0))</f>
        <v>0</v>
      </c>
      <c r="Z69" s="174">
        <f>INDEX('STOPE SUMMARY PIVOT'!$E$2562:$E$2689, MATCH(Y$1,'STOPE SUMMARY PIVOT'!$A$2562:$A$2689, 0))</f>
        <v>0</v>
      </c>
      <c r="AA69" s="165">
        <f>INDEX('STOPE SUMMARY PIVOT'!$D$2562:$D$2689, MATCH(AA$1,'STOPE SUMMARY PIVOT'!$A$2562:$A$2689, 0))</f>
        <v>0</v>
      </c>
      <c r="AB69" s="174">
        <f>INDEX('STOPE SUMMARY PIVOT'!$E$2562:$E$2689, MATCH(AA$1,'STOPE SUMMARY PIVOT'!$A$2562:$A$2689, 0))</f>
        <v>0</v>
      </c>
      <c r="AC69" s="165">
        <f>INDEX('STOPE SUMMARY PIVOT'!$D$2562:$D$2689, MATCH(AC$1,'STOPE SUMMARY PIVOT'!$A$2562:$A$2689, 0))</f>
        <v>0</v>
      </c>
      <c r="AD69" s="174">
        <f>INDEX('STOPE SUMMARY PIVOT'!$E$2562:$E$2689, MATCH(AC$1,'STOPE SUMMARY PIVOT'!$A$2562:$A$2689, 0))</f>
        <v>0</v>
      </c>
      <c r="AE69" s="165">
        <f>INDEX('STOPE SUMMARY PIVOT'!$D$2562:$D$2689, MATCH(AE$1,'STOPE SUMMARY PIVOT'!$A$2562:$A$2689, 0))</f>
        <v>2022</v>
      </c>
      <c r="AF69" s="174">
        <f>INDEX('STOPE SUMMARY PIVOT'!$E$2562:$E$2689, MATCH(AE$1,'STOPE SUMMARY PIVOT'!$A$2562:$A$2689, 0))</f>
        <v>1.58</v>
      </c>
      <c r="AG69" s="165">
        <f>INDEX('STOPE SUMMARY PIVOT'!$D$2562:$D$2689, MATCH(AG$1,'STOPE SUMMARY PIVOT'!$A$2562:$A$2689, 0))</f>
        <v>258</v>
      </c>
      <c r="AH69" s="174">
        <f>INDEX('STOPE SUMMARY PIVOT'!$E$2562:$E$2689, MATCH(AG$1,'STOPE SUMMARY PIVOT'!$A$2562:$A$2689, 0))</f>
        <v>2.2000000000000002</v>
      </c>
      <c r="AI69" s="165">
        <f>INDEX('STOPE SUMMARY PIVOT'!$D$2562:$D$2689, MATCH(AI$1,'STOPE SUMMARY PIVOT'!$A$2562:$A$2689, 0))</f>
        <v>0</v>
      </c>
      <c r="AJ69" s="174">
        <f>INDEX('STOPE SUMMARY PIVOT'!$E$2562:$E$2689, MATCH(AI$1,'STOPE SUMMARY PIVOT'!$A$2562:$A$2689, 0))</f>
        <v>0</v>
      </c>
      <c r="AK69" s="165">
        <f>INDEX('STOPE SUMMARY PIVOT'!$D$2562:$D$2689, MATCH(AK$1,'STOPE SUMMARY PIVOT'!$A$2562:$A$2689, 0))</f>
        <v>0</v>
      </c>
      <c r="AL69" s="174">
        <f>INDEX('STOPE SUMMARY PIVOT'!$E$2562:$E$2689, MATCH(AK$1,'STOPE SUMMARY PIVOT'!$A$2562:$A$2689, 0))</f>
        <v>0</v>
      </c>
      <c r="AM69" s="165">
        <f>INDEX('STOPE SUMMARY PIVOT'!$D$2562:$D$2689, MATCH(AM$1,'STOPE SUMMARY PIVOT'!$A$2562:$A$2689, 0))</f>
        <v>0</v>
      </c>
      <c r="AN69" s="174">
        <f>INDEX('STOPE SUMMARY PIVOT'!$E$2562:$E$2689, MATCH(AM$1,'STOPE SUMMARY PIVOT'!$A$2562:$A$2689, 0))</f>
        <v>0</v>
      </c>
      <c r="AO69" s="165">
        <f>INDEX('STOPE SUMMARY PIVOT'!$D$2562:$D$2689, MATCH(AO$1,'STOPE SUMMARY PIVOT'!$A$2562:$A$2689, 0))</f>
        <v>0</v>
      </c>
      <c r="AP69" s="174">
        <f>INDEX('STOPE SUMMARY PIVOT'!$E$2562:$E$2689, MATCH(AO$1,'STOPE SUMMARY PIVOT'!$A$2562:$A$2689, 0))</f>
        <v>0</v>
      </c>
      <c r="AQ69" s="165">
        <f>INDEX('STOPE SUMMARY PIVOT'!$D$2562:$D$2689, MATCH(AQ$1,'STOPE SUMMARY PIVOT'!$A$2562:$A$2689, 0))</f>
        <v>0</v>
      </c>
      <c r="AR69" s="174">
        <f>INDEX('STOPE SUMMARY PIVOT'!$E$2562:$E$2689, MATCH(AQ$1,'STOPE SUMMARY PIVOT'!$A$2562:$A$2689, 0))</f>
        <v>0</v>
      </c>
      <c r="AS69" s="165">
        <f>INDEX('STOPE SUMMARY PIVOT'!$D$2562:$D$2689, MATCH(AS$1,'STOPE SUMMARY PIVOT'!$A$2562:$A$2689, 0))</f>
        <v>0</v>
      </c>
      <c r="AT69" s="174">
        <f>INDEX('STOPE SUMMARY PIVOT'!$E$2562:$E$2689, MATCH(AS$1,'STOPE SUMMARY PIVOT'!$A$2562:$A$2689, 0))</f>
        <v>0</v>
      </c>
      <c r="AU69" s="165">
        <f>INDEX('STOPE SUMMARY PIVOT'!$D$2562:$D$2689, MATCH(AU$1,'STOPE SUMMARY PIVOT'!$A$2562:$A$2689, 0))</f>
        <v>0</v>
      </c>
      <c r="AV69" s="174">
        <f>INDEX('STOPE SUMMARY PIVOT'!$E$2562:$E$2689, MATCH(AU$1,'STOPE SUMMARY PIVOT'!$A$2562:$A$2689, 0))</f>
        <v>0</v>
      </c>
      <c r="AW69" s="165">
        <f>INDEX('STOPE SUMMARY PIVOT'!$D$2562:$D$2689, MATCH(AW$1,'STOPE SUMMARY PIVOT'!$A$2562:$A$2689, 0))</f>
        <v>0</v>
      </c>
      <c r="AX69" s="174">
        <f>INDEX('STOPE SUMMARY PIVOT'!$E$2562:$E$2689, MATCH(AW$1,'STOPE SUMMARY PIVOT'!$A$2562:$A$2689, 0))</f>
        <v>0</v>
      </c>
      <c r="AY69" s="165">
        <f>INDEX('STOPE SUMMARY PIVOT'!$D$2562:$D$2689, MATCH(AY$1,'STOPE SUMMARY PIVOT'!$A$2562:$A$2689, 0))</f>
        <v>0</v>
      </c>
      <c r="AZ69" s="174">
        <f>INDEX('STOPE SUMMARY PIVOT'!$E$2562:$E$2689, MATCH(AY$1,'STOPE SUMMARY PIVOT'!$A$2562:$A$2689, 0))</f>
        <v>0</v>
      </c>
      <c r="BA69" s="165">
        <f>INDEX('STOPE SUMMARY PIVOT'!$D$2562:$D$2689, MATCH(BA$1,'STOPE SUMMARY PIVOT'!$A$2562:$A$2689, 0))</f>
        <v>0</v>
      </c>
      <c r="BB69" s="174">
        <f>INDEX('STOPE SUMMARY PIVOT'!$E$2562:$E$2689, MATCH(BA$1,'STOPE SUMMARY PIVOT'!$A$2562:$A$2689, 0))</f>
        <v>0</v>
      </c>
      <c r="BC69" s="165">
        <f>INDEX('STOPE SUMMARY PIVOT'!$D$2562:$D$2689, MATCH(BC$1,'STOPE SUMMARY PIVOT'!$A$2562:$A$2689, 0))</f>
        <v>0</v>
      </c>
      <c r="BD69" s="174">
        <f>INDEX('STOPE SUMMARY PIVOT'!$E$2562:$E$2689, MATCH(BC$1,'STOPE SUMMARY PIVOT'!$A$2562:$A$2689, 0))</f>
        <v>0</v>
      </c>
      <c r="BE69" s="165">
        <f>INDEX('STOPE SUMMARY PIVOT'!$D$2562:$D$2689, MATCH(BE$1,'STOPE SUMMARY PIVOT'!$A$2562:$A$2689, 0))</f>
        <v>0</v>
      </c>
      <c r="BF69" s="174">
        <f>INDEX('STOPE SUMMARY PIVOT'!$E$2562:$E$2689, MATCH(BE$1,'STOPE SUMMARY PIVOT'!$A$2562:$A$2689, 0))</f>
        <v>0</v>
      </c>
      <c r="BG69" s="165">
        <f>INDEX('STOPE SUMMARY PIVOT'!$D$2562:$D$2689, MATCH(BG$1,'STOPE SUMMARY PIVOT'!$A$2562:$A$2689, 0))</f>
        <v>0</v>
      </c>
      <c r="BH69" s="174">
        <f>INDEX('STOPE SUMMARY PIVOT'!$E$2562:$E$2689, MATCH(BG$1,'STOPE SUMMARY PIVOT'!$A$2562:$A$2689, 0))</f>
        <v>0</v>
      </c>
      <c r="BI69" s="165">
        <f>INDEX('STOPE SUMMARY PIVOT'!$D$2562:$D$2689, MATCH(BI$1,'STOPE SUMMARY PIVOT'!$A$2562:$A$2689, 0))</f>
        <v>0</v>
      </c>
      <c r="BJ69" s="174">
        <f>INDEX('STOPE SUMMARY PIVOT'!$E$2562:$E$2689, MATCH(BI$1,'STOPE SUMMARY PIVOT'!$A$2562:$A$2689, 0))</f>
        <v>0</v>
      </c>
      <c r="BK69" s="165">
        <f>INDEX('STOPE SUMMARY PIVOT'!$D$2562:$D$2689, MATCH(BK$1,'STOPE SUMMARY PIVOT'!$A$2562:$A$2689, 0))</f>
        <v>0</v>
      </c>
      <c r="BL69" s="174">
        <f>INDEX('STOPE SUMMARY PIVOT'!$E$2562:$E$2689, MATCH(BK$1,'STOPE SUMMARY PIVOT'!$A$2562:$A$2689, 0))</f>
        <v>0</v>
      </c>
      <c r="BM69" s="165">
        <f>INDEX('STOPE SUMMARY PIVOT'!$D$2562:$D$2689, MATCH(BM$1,'STOPE SUMMARY PIVOT'!$A$2562:$A$2689, 0))</f>
        <v>0</v>
      </c>
      <c r="BN69" s="174">
        <f>INDEX('STOPE SUMMARY PIVOT'!$E$2562:$E$2689, MATCH(BM$1,'STOPE SUMMARY PIVOT'!$A$2562:$A$2689, 0))</f>
        <v>0</v>
      </c>
      <c r="BO69" s="165">
        <f>INDEX('STOPE SUMMARY PIVOT'!$D$2562:$D$2689, MATCH(BO$1,'STOPE SUMMARY PIVOT'!$A$2562:$A$2689, 0))</f>
        <v>0</v>
      </c>
      <c r="BP69" s="174">
        <f>INDEX('STOPE SUMMARY PIVOT'!$E$2562:$E$2689, MATCH(BO$1,'STOPE SUMMARY PIVOT'!$A$2562:$A$2689, 0))</f>
        <v>0</v>
      </c>
      <c r="BQ69" s="165">
        <f>INDEX('STOPE SUMMARY PIVOT'!$D$2562:$D$2689, MATCH(BQ$1,'STOPE SUMMARY PIVOT'!$A$2562:$A$2689, 0))</f>
        <v>0</v>
      </c>
      <c r="BR69" s="174">
        <f>INDEX('STOPE SUMMARY PIVOT'!$E$2562:$E$2689, MATCH(BQ$1,'STOPE SUMMARY PIVOT'!$A$2562:$A$2689, 0))</f>
        <v>0</v>
      </c>
      <c r="BS69" s="165">
        <f>INDEX('STOPE SUMMARY PIVOT'!$D$2562:$D$2689, MATCH(BS$1,'STOPE SUMMARY PIVOT'!$A$2562:$A$2689, 0))</f>
        <v>0</v>
      </c>
      <c r="BT69" s="174">
        <f>INDEX('STOPE SUMMARY PIVOT'!$E$2562:$E$2689, MATCH(BS$1,'STOPE SUMMARY PIVOT'!$A$2562:$A$2689, 0))</f>
        <v>0</v>
      </c>
      <c r="BU69" s="165">
        <f>INDEX('STOPE SUMMARY PIVOT'!$D$2562:$D$2689, MATCH(BU$1,'STOPE SUMMARY PIVOT'!$A$2562:$A$2689, 0))</f>
        <v>0</v>
      </c>
      <c r="BV69" s="174">
        <f>INDEX('STOPE SUMMARY PIVOT'!$E$2562:$E$2689, MATCH(BU$1,'STOPE SUMMARY PIVOT'!$A$2562:$A$2689, 0))</f>
        <v>0</v>
      </c>
      <c r="BW69" s="165">
        <f>INDEX('STOPE SUMMARY PIVOT'!$D$2562:$D$2689, MATCH(BW$1,'STOPE SUMMARY PIVOT'!$A$2562:$A$2689, 0))</f>
        <v>0</v>
      </c>
      <c r="BX69" s="174">
        <f>INDEX('STOPE SUMMARY PIVOT'!$E$2562:$E$2689, MATCH(BW$1,'STOPE SUMMARY PIVOT'!$A$2562:$A$2689, 0))</f>
        <v>0</v>
      </c>
      <c r="BY69" s="165">
        <f>INDEX('STOPE SUMMARY PIVOT'!$D$2562:$D$2689, MATCH(BY$1,'STOPE SUMMARY PIVOT'!$A$2562:$A$2689, 0))</f>
        <v>0</v>
      </c>
      <c r="BZ69" s="174">
        <f>INDEX('STOPE SUMMARY PIVOT'!$E$2562:$E$2689, MATCH(BY$1,'STOPE SUMMARY PIVOT'!$A$2562:$A$2689, 0))</f>
        <v>0</v>
      </c>
      <c r="CA69" s="165">
        <f>INDEX('STOPE SUMMARY PIVOT'!$D$2562:$D$2689, MATCH(CA$1,'STOPE SUMMARY PIVOT'!$A$2562:$A$2689, 0))</f>
        <v>0</v>
      </c>
      <c r="CB69" s="174">
        <f>INDEX('STOPE SUMMARY PIVOT'!$E$2562:$E$2689, MATCH(CA$1,'STOPE SUMMARY PIVOT'!$A$2562:$A$2689, 0))</f>
        <v>0</v>
      </c>
      <c r="CC69" s="165">
        <f>INDEX('STOPE SUMMARY PIVOT'!$D$2562:$D$2689, MATCH(CC$1,'STOPE SUMMARY PIVOT'!$A$2562:$A$2689, 0))</f>
        <v>0</v>
      </c>
      <c r="CD69" s="174">
        <f>INDEX('STOPE SUMMARY PIVOT'!$E$2562:$E$2689, MATCH(CC$1,'STOPE SUMMARY PIVOT'!$A$2562:$A$2689, 0))</f>
        <v>0</v>
      </c>
      <c r="CE69" s="165">
        <f>INDEX('STOPE SUMMARY PIVOT'!$D$2562:$D$2689, MATCH(CE$1,'STOPE SUMMARY PIVOT'!$A$2562:$A$2689, 0))</f>
        <v>0</v>
      </c>
      <c r="CF69" s="174">
        <f>INDEX('STOPE SUMMARY PIVOT'!$E$2562:$E$2689, MATCH(CE$1,'STOPE SUMMARY PIVOT'!$A$2562:$A$2689, 0))</f>
        <v>0</v>
      </c>
      <c r="CG69" s="165">
        <f>INDEX('STOPE SUMMARY PIVOT'!$D$2562:$D$2689, MATCH(CG$1,'STOPE SUMMARY PIVOT'!$A$2562:$A$2689, 0))</f>
        <v>0</v>
      </c>
      <c r="CH69" s="174">
        <f>INDEX('STOPE SUMMARY PIVOT'!$E$2562:$E$2689, MATCH(CG$1,'STOPE SUMMARY PIVOT'!$A$2562:$A$2689, 0))</f>
        <v>0</v>
      </c>
      <c r="CI69" s="165">
        <f>INDEX('STOPE SUMMARY PIVOT'!$D$2562:$D$2689, MATCH(CI$1,'STOPE SUMMARY PIVOT'!$A$2562:$A$2689, 0))</f>
        <v>0</v>
      </c>
      <c r="CJ69" s="174">
        <f>INDEX('STOPE SUMMARY PIVOT'!$E$2562:$E$2689, MATCH(CI$1,'STOPE SUMMARY PIVOT'!$A$2562:$A$2689, 0))</f>
        <v>0</v>
      </c>
      <c r="CK69" s="165">
        <f>INDEX('STOPE SUMMARY PIVOT'!$D$2562:$D$2689, MATCH(CK$1,'STOPE SUMMARY PIVOT'!$A$2562:$A$2689, 0))</f>
        <v>0</v>
      </c>
      <c r="CL69" s="174">
        <f>INDEX('STOPE SUMMARY PIVOT'!$E$2562:$E$2689, MATCH(CK$1,'STOPE SUMMARY PIVOT'!$A$2562:$A$2689, 0))</f>
        <v>0</v>
      </c>
      <c r="CM69" s="165">
        <f>INDEX('STOPE SUMMARY PIVOT'!$D$2562:$D$2689, MATCH(CM$1,'STOPE SUMMARY PIVOT'!$A$2562:$A$2689, 0))</f>
        <v>0</v>
      </c>
      <c r="CN69" s="174">
        <f>INDEX('STOPE SUMMARY PIVOT'!$E$2562:$E$2689, MATCH(CM$1,'STOPE SUMMARY PIVOT'!$A$2562:$A$2689, 0))</f>
        <v>0</v>
      </c>
      <c r="CO69" s="165">
        <f>INDEX('STOPE SUMMARY PIVOT'!$D$2562:$D$2689, MATCH(CO$1,'STOPE SUMMARY PIVOT'!$A$2562:$A$2689, 0))</f>
        <v>0</v>
      </c>
      <c r="CP69" s="174">
        <f>INDEX('STOPE SUMMARY PIVOT'!$E$2562:$E$2689, MATCH(CO$1,'STOPE SUMMARY PIVOT'!$A$2562:$A$2689, 0))</f>
        <v>0</v>
      </c>
      <c r="CQ69" s="165">
        <f>INDEX('STOPE SUMMARY PIVOT'!$D$2562:$D$2689, MATCH(CQ$1,'STOPE SUMMARY PIVOT'!$A$2562:$A$2689, 0))</f>
        <v>0</v>
      </c>
      <c r="CR69" s="174">
        <f>INDEX('STOPE SUMMARY PIVOT'!$E$2562:$E$2689, MATCH(CQ$1,'STOPE SUMMARY PIVOT'!$A$2562:$A$2689, 0))</f>
        <v>0</v>
      </c>
      <c r="CS69" s="165">
        <f>INDEX('STOPE SUMMARY PIVOT'!$D$2562:$D$2689, MATCH(CS$1,'STOPE SUMMARY PIVOT'!$A$2562:$A$2689, 0))</f>
        <v>0</v>
      </c>
      <c r="CT69" s="174">
        <f>INDEX('STOPE SUMMARY PIVOT'!$E$2562:$E$2689, MATCH(CS$1,'STOPE SUMMARY PIVOT'!$A$2562:$A$2689, 0))</f>
        <v>0</v>
      </c>
      <c r="CU69" s="165">
        <f>INDEX('STOPE SUMMARY PIVOT'!$D$2562:$D$2689, MATCH(CU$1,'STOPE SUMMARY PIVOT'!$A$2562:$A$2689, 0))</f>
        <v>0</v>
      </c>
      <c r="CV69" s="174">
        <f>INDEX('STOPE SUMMARY PIVOT'!$E$2562:$E$2689, MATCH(CU$1,'STOPE SUMMARY PIVOT'!$A$2562:$A$2689, 0))</f>
        <v>0</v>
      </c>
      <c r="CW69" s="165">
        <f>INDEX('STOPE SUMMARY PIVOT'!$D$2562:$D$2689, MATCH(CW$1,'STOPE SUMMARY PIVOT'!$A$2562:$A$2689, 0))</f>
        <v>0</v>
      </c>
      <c r="CX69" s="174">
        <f>INDEX('STOPE SUMMARY PIVOT'!$E$2562:$E$2689, MATCH(CW$1,'STOPE SUMMARY PIVOT'!$A$2562:$A$2689, 0))</f>
        <v>0</v>
      </c>
      <c r="CY69" s="165">
        <f>INDEX('STOPE SUMMARY PIVOT'!$D$2562:$D$2689, MATCH(CY$1,'STOPE SUMMARY PIVOT'!$A$2562:$A$2689, 0))</f>
        <v>0</v>
      </c>
      <c r="CZ69" s="174">
        <f>INDEX('STOPE SUMMARY PIVOT'!$E$2562:$E$2689, MATCH(CY$1,'STOPE SUMMARY PIVOT'!$A$2562:$A$2689, 0))</f>
        <v>0</v>
      </c>
      <c r="DA69" s="165">
        <f>INDEX('STOPE SUMMARY PIVOT'!$D$2562:$D$2689, MATCH(DA$1,'STOPE SUMMARY PIVOT'!$A$2562:$A$2689, 0))</f>
        <v>0</v>
      </c>
      <c r="DB69" s="174">
        <f>INDEX('STOPE SUMMARY PIVOT'!$E$2562:$E$2689, MATCH(DA$1,'STOPE SUMMARY PIVOT'!$A$2562:$A$2689, 0))</f>
        <v>0</v>
      </c>
      <c r="DC69" s="165">
        <f>INDEX('STOPE SUMMARY PIVOT'!$D$2562:$D$2689, MATCH(DC$1,'STOPE SUMMARY PIVOT'!$A$2562:$A$2689, 0))</f>
        <v>0</v>
      </c>
      <c r="DD69" s="174">
        <f>INDEX('STOPE SUMMARY PIVOT'!$E$2562:$E$2689, MATCH(DC$1,'STOPE SUMMARY PIVOT'!$A$2562:$A$2689, 0))</f>
        <v>0</v>
      </c>
      <c r="DE69" s="165">
        <f>INDEX('STOPE SUMMARY PIVOT'!$D$2562:$D$2689, MATCH(DE$1,'STOPE SUMMARY PIVOT'!$A$2562:$A$2689, 0))</f>
        <v>0</v>
      </c>
      <c r="DF69" s="174">
        <f>INDEX('STOPE SUMMARY PIVOT'!$E$2562:$E$2689, MATCH(DE$1,'STOPE SUMMARY PIVOT'!$A$2562:$A$2689, 0))</f>
        <v>0</v>
      </c>
      <c r="DG69" s="165">
        <f>INDEX('STOPE SUMMARY PIVOT'!$D$2562:$D$2689, MATCH(DG$1,'STOPE SUMMARY PIVOT'!$A$2562:$A$2689, 0))</f>
        <v>0</v>
      </c>
      <c r="DH69" s="174">
        <f>INDEX('STOPE SUMMARY PIVOT'!$E$2562:$E$2689, MATCH(DG$1,'STOPE SUMMARY PIVOT'!$A$2562:$A$2689, 0))</f>
        <v>0</v>
      </c>
      <c r="DI69" s="165">
        <f>INDEX('STOPE SUMMARY PIVOT'!$D$2562:$D$2689, MATCH(DI$1,'STOPE SUMMARY PIVOT'!$A$2562:$A$2689, 0))</f>
        <v>0</v>
      </c>
      <c r="DJ69" s="174">
        <f>INDEX('STOPE SUMMARY PIVOT'!$E$2562:$E$2689, MATCH(DI$1,'STOPE SUMMARY PIVOT'!$A$2562:$A$2689, 0))</f>
        <v>0</v>
      </c>
      <c r="DK69" s="165">
        <f>INDEX('STOPE SUMMARY PIVOT'!$D$2562:$D$2689, MATCH(DK$1,'STOPE SUMMARY PIVOT'!$A$2562:$A$2689, 0))</f>
        <v>0</v>
      </c>
      <c r="DL69" s="174">
        <f>INDEX('STOPE SUMMARY PIVOT'!$E$2562:$E$2689, MATCH(DK$1,'STOPE SUMMARY PIVOT'!$A$2562:$A$2689, 0))</f>
        <v>0</v>
      </c>
      <c r="DM69" s="165">
        <f>INDEX('STOPE SUMMARY PIVOT'!$D$2562:$D$2689, MATCH(DM$1,'STOPE SUMMARY PIVOT'!$A$2562:$A$2689, 0))</f>
        <v>0</v>
      </c>
      <c r="DN69" s="174">
        <f>INDEX('STOPE SUMMARY PIVOT'!$E$2562:$E$2689, MATCH(DM$1,'STOPE SUMMARY PIVOT'!$A$2562:$A$2689, 0))</f>
        <v>0</v>
      </c>
      <c r="DO69" s="165">
        <f>INDEX('STOPE SUMMARY PIVOT'!$D$2562:$D$2689, MATCH(DO$1,'STOPE SUMMARY PIVOT'!$A$2562:$A$2689, 0))</f>
        <v>0</v>
      </c>
      <c r="DP69" s="174">
        <f>INDEX('STOPE SUMMARY PIVOT'!$E$2562:$E$2689, MATCH(DO$1,'STOPE SUMMARY PIVOT'!$A$2562:$A$2689, 0))</f>
        <v>0</v>
      </c>
      <c r="DQ69" s="165">
        <f>INDEX('STOPE SUMMARY PIVOT'!$D$2562:$D$2689, MATCH(DQ$1,'STOPE SUMMARY PIVOT'!$A$2562:$A$2689, 0))</f>
        <v>0</v>
      </c>
      <c r="DR69" s="174">
        <f>INDEX('STOPE SUMMARY PIVOT'!$E$2562:$E$2689, MATCH(DQ$1,'STOPE SUMMARY PIVOT'!$A$2562:$A$2689, 0))</f>
        <v>0</v>
      </c>
      <c r="DS69" s="165">
        <f>INDEX('STOPE SUMMARY PIVOT'!$D$2562:$D$2689, MATCH(DS$1,'STOPE SUMMARY PIVOT'!$A$2562:$A$2689, 0))</f>
        <v>0</v>
      </c>
      <c r="DT69" s="174">
        <f>INDEX('STOPE SUMMARY PIVOT'!$E$2562:$E$2689, MATCH(DS$1,'STOPE SUMMARY PIVOT'!$A$2562:$A$2689, 0))</f>
        <v>0</v>
      </c>
      <c r="DU69" s="165">
        <f>INDEX('STOPE SUMMARY PIVOT'!$D$2562:$D$2689, MATCH(DU$1,'STOPE SUMMARY PIVOT'!$A$2562:$A$2689, 0))</f>
        <v>0</v>
      </c>
      <c r="DV69" s="174">
        <f>INDEX('STOPE SUMMARY PIVOT'!$E$2562:$E$2689, MATCH(DU$1,'STOPE SUMMARY PIVOT'!$A$2562:$A$2689, 0))</f>
        <v>0</v>
      </c>
      <c r="DW69" s="165">
        <f>INDEX('STOPE SUMMARY PIVOT'!$D$2562:$D$2689, MATCH(DW$1,'STOPE SUMMARY PIVOT'!$A$2562:$A$2689, 0))</f>
        <v>0</v>
      </c>
      <c r="DX69" s="174">
        <f>INDEX('STOPE SUMMARY PIVOT'!$E$2562:$E$2689, MATCH(DW$1,'STOPE SUMMARY PIVOT'!$A$2562:$A$2689, 0))</f>
        <v>0</v>
      </c>
      <c r="DY69" s="165">
        <f>INDEX('STOPE SUMMARY PIVOT'!$D$2562:$D$2689, MATCH(DY$1,'STOPE SUMMARY PIVOT'!$A$2562:$A$2689, 0))</f>
        <v>0</v>
      </c>
      <c r="DZ69" s="174">
        <f>INDEX('STOPE SUMMARY PIVOT'!$E$2562:$E$2689, MATCH(DY$1,'STOPE SUMMARY PIVOT'!$A$2562:$A$2689, 0))</f>
        <v>0</v>
      </c>
      <c r="EA69" s="165">
        <f>INDEX('STOPE SUMMARY PIVOT'!$D$2562:$D$2689, MATCH(EA$1,'STOPE SUMMARY PIVOT'!$A$2562:$A$2689, 0))</f>
        <v>0</v>
      </c>
      <c r="EB69" s="174">
        <f>INDEX('STOPE SUMMARY PIVOT'!$E$2562:$E$2689, MATCH(EA$1,'STOPE SUMMARY PIVOT'!$A$2562:$A$2689, 0))</f>
        <v>0</v>
      </c>
      <c r="EC69" s="165">
        <f>INDEX('STOPE SUMMARY PIVOT'!$D$2562:$D$2689, MATCH(EC$1,'STOPE SUMMARY PIVOT'!$A$2562:$A$2689, 0))</f>
        <v>0</v>
      </c>
      <c r="ED69" s="174">
        <f>INDEX('STOPE SUMMARY PIVOT'!$E$2562:$E$2689, MATCH(EC$1,'STOPE SUMMARY PIVOT'!$A$2562:$A$2689, 0))</f>
        <v>0</v>
      </c>
      <c r="EE69" s="165">
        <f>INDEX('STOPE SUMMARY PIVOT'!$D$2562:$D$2689, MATCH(EE$1,'STOPE SUMMARY PIVOT'!$A$2562:$A$2689, 0))</f>
        <v>0</v>
      </c>
      <c r="EF69" s="174">
        <f>INDEX('STOPE SUMMARY PIVOT'!$E$2562:$E$2689, MATCH(EE$1,'STOPE SUMMARY PIVOT'!$A$2562:$A$2689, 0))</f>
        <v>0</v>
      </c>
      <c r="EG69" s="165">
        <f>INDEX('STOPE SUMMARY PIVOT'!$D$2562:$D$2689, MATCH(EG$1,'STOPE SUMMARY PIVOT'!$A$2562:$A$2689, 0))</f>
        <v>0</v>
      </c>
      <c r="EH69" s="174">
        <f>INDEX('STOPE SUMMARY PIVOT'!$E$2562:$E$2689, MATCH(EG$1,'STOPE SUMMARY PIVOT'!$A$2562:$A$2689, 0))</f>
        <v>0</v>
      </c>
      <c r="EI69" s="165">
        <f>INDEX('STOPE SUMMARY PIVOT'!$D$2562:$D$2689, MATCH(EI$1,'STOPE SUMMARY PIVOT'!$A$2562:$A$2689, 0))</f>
        <v>0</v>
      </c>
      <c r="EJ69" s="174">
        <f>INDEX('STOPE SUMMARY PIVOT'!$E$2562:$E$2689, MATCH(EI$1,'STOPE SUMMARY PIVOT'!$A$2562:$A$2689, 0))</f>
        <v>0</v>
      </c>
      <c r="EK69" s="165">
        <f>INDEX('STOPE SUMMARY PIVOT'!$D$2562:$D$2689, MATCH(EK$1,'STOPE SUMMARY PIVOT'!$A$2562:$A$2689, 0))</f>
        <v>1469</v>
      </c>
      <c r="EL69" s="174">
        <f>INDEX('STOPE SUMMARY PIVOT'!$E$2562:$E$2689, MATCH(EK$1,'STOPE SUMMARY PIVOT'!$A$2562:$A$2689, 0))</f>
        <v>3.23</v>
      </c>
      <c r="EM69" s="165">
        <f>INDEX('STOPE SUMMARY PIVOT'!$D$2562:$D$2689, MATCH(EM$1,'STOPE SUMMARY PIVOT'!$A$2562:$A$2689, 0))</f>
        <v>1947</v>
      </c>
      <c r="EN69" s="174">
        <f>INDEX('STOPE SUMMARY PIVOT'!$E$2562:$E$2689, MATCH(EM$1,'STOPE SUMMARY PIVOT'!$A$2562:$A$2689, 0))</f>
        <v>3.97</v>
      </c>
      <c r="EO69" s="165">
        <f>INDEX('STOPE SUMMARY PIVOT'!$D$2562:$D$2689, MATCH(EO$1,'STOPE SUMMARY PIVOT'!$A$2562:$A$2689, 0))</f>
        <v>2921</v>
      </c>
      <c r="EP69" s="174">
        <f>INDEX('STOPE SUMMARY PIVOT'!$E$2562:$E$2689, MATCH(EO$1,'STOPE SUMMARY PIVOT'!$A$2562:$A$2689, 0))</f>
        <v>2.83</v>
      </c>
      <c r="EQ69" s="165">
        <f>INDEX('STOPE SUMMARY PIVOT'!$D$2562:$D$2689, MATCH(EQ$1,'STOPE SUMMARY PIVOT'!$A$2562:$A$2689, 0))</f>
        <v>0</v>
      </c>
      <c r="ER69" s="174">
        <f>INDEX('STOPE SUMMARY PIVOT'!$E$2562:$E$2689, MATCH(EQ$1,'STOPE SUMMARY PIVOT'!$A$2562:$A$2689, 0))</f>
        <v>0</v>
      </c>
      <c r="ES69" s="165">
        <f>INDEX('STOPE SUMMARY PIVOT'!$D$2562:$D$2689, MATCH(ES$1,'STOPE SUMMARY PIVOT'!$A$2562:$A$2689, 0))</f>
        <v>0</v>
      </c>
      <c r="ET69" s="174">
        <f>INDEX('STOPE SUMMARY PIVOT'!$E$2562:$E$2689, MATCH(ES$1,'STOPE SUMMARY PIVOT'!$A$2562:$A$2689, 0))</f>
        <v>0</v>
      </c>
      <c r="EU69" s="165">
        <f>INDEX('STOPE SUMMARY PIVOT'!$D$2562:$D$2689, MATCH(EU$1,'STOPE SUMMARY PIVOT'!$A$2562:$A$2689, 0))</f>
        <v>0</v>
      </c>
      <c r="EV69" s="174">
        <f>INDEX('STOPE SUMMARY PIVOT'!$E$2562:$E$2689, MATCH(EU$1,'STOPE SUMMARY PIVOT'!$A$2562:$A$2689, 0))</f>
        <v>0</v>
      </c>
      <c r="EW69" s="165">
        <f>INDEX('STOPE SUMMARY PIVOT'!$D$2562:$D$2689, MATCH(EW$1,'STOPE SUMMARY PIVOT'!$A$2562:$A$2689, 0))</f>
        <v>0</v>
      </c>
      <c r="EX69" s="174">
        <f>INDEX('STOPE SUMMARY PIVOT'!$E$2562:$E$2689, MATCH(EW$1,'STOPE SUMMARY PIVOT'!$A$2562:$A$2689, 0))</f>
        <v>0</v>
      </c>
      <c r="EY69" s="165">
        <f>INDEX('STOPE SUMMARY PIVOT'!$D$2562:$D$2689, MATCH(EY$1,'STOPE SUMMARY PIVOT'!$A$2562:$A$2689, 0))</f>
        <v>2921</v>
      </c>
      <c r="EZ69" s="174">
        <f>INDEX('STOPE SUMMARY PIVOT'!$E$2562:$E$2689, MATCH(EY$1,'STOPE SUMMARY PIVOT'!$A$2562:$A$2689, 0))</f>
        <v>2.31</v>
      </c>
      <c r="FA69" s="165">
        <f>INDEX('STOPE SUMMARY PIVOT'!$D$2562:$D$2689, MATCH(FA$1,'STOPE SUMMARY PIVOT'!$A$2562:$A$2689, 0))</f>
        <v>0</v>
      </c>
      <c r="FB69" s="174">
        <f>INDEX('STOPE SUMMARY PIVOT'!$E$2562:$E$2689, MATCH(FA$1,'STOPE SUMMARY PIVOT'!$A$2562:$A$2689, 0))</f>
        <v>0</v>
      </c>
      <c r="FC69" s="165">
        <f>INDEX('STOPE SUMMARY PIVOT'!$D$2562:$D$2689, MATCH(FC$1,'STOPE SUMMARY PIVOT'!$A$2562:$A$2689, 0))</f>
        <v>0</v>
      </c>
      <c r="FD69" s="174">
        <f>INDEX('STOPE SUMMARY PIVOT'!$E$2562:$E$2689, MATCH(FC$1,'STOPE SUMMARY PIVOT'!$A$2562:$A$2689, 0))</f>
        <v>0</v>
      </c>
      <c r="FE69" s="165">
        <f>INDEX('STOPE SUMMARY PIVOT'!$D$2562:$D$2689, MATCH(FE$1,'STOPE SUMMARY PIVOT'!$A$2562:$A$2689, 0))</f>
        <v>0</v>
      </c>
      <c r="FF69" s="174">
        <f>INDEX('STOPE SUMMARY PIVOT'!$E$2562:$E$2689, MATCH(FE$1,'STOPE SUMMARY PIVOT'!$A$2562:$A$2689, 0))</f>
        <v>0</v>
      </c>
      <c r="FG69" s="165">
        <f>INDEX('STOPE SUMMARY PIVOT'!$D$2562:$D$2689, MATCH(FG$1,'STOPE SUMMARY PIVOT'!$A$2562:$A$2689, 0))</f>
        <v>0</v>
      </c>
      <c r="FH69" s="174">
        <f>INDEX('STOPE SUMMARY PIVOT'!$E$2562:$E$2689, MATCH(FG$1,'STOPE SUMMARY PIVOT'!$A$2562:$A$2689, 0))</f>
        <v>0</v>
      </c>
      <c r="FI69" s="165">
        <f>INDEX('STOPE SUMMARY PIVOT'!$D$2562:$D$2689, MATCH(FI$1,'STOPE SUMMARY PIVOT'!$A$2562:$A$2689, 0))</f>
        <v>0</v>
      </c>
      <c r="FJ69" s="174">
        <f>INDEX('STOPE SUMMARY PIVOT'!$E$2562:$E$2689, MATCH(FI$1,'STOPE SUMMARY PIVOT'!$A$2562:$A$2689, 0))</f>
        <v>0</v>
      </c>
      <c r="FK69" s="165">
        <f>INDEX('STOPE SUMMARY PIVOT'!$D$2562:$D$2689, MATCH(FK$1,'STOPE SUMMARY PIVOT'!$A$2562:$A$2689, 0))</f>
        <v>0</v>
      </c>
      <c r="FL69" s="174">
        <f>INDEX('STOPE SUMMARY PIVOT'!$E$2562:$E$2689, MATCH(FK$1,'STOPE SUMMARY PIVOT'!$A$2562:$A$2689, 0))</f>
        <v>0</v>
      </c>
      <c r="FM69" s="165">
        <f>INDEX('STOPE SUMMARY PIVOT'!$D$2562:$D$2689, MATCH(FM$1,'STOPE SUMMARY PIVOT'!$A$2562:$A$2689, 0))</f>
        <v>0</v>
      </c>
      <c r="FN69" s="174">
        <f>INDEX('STOPE SUMMARY PIVOT'!$E$2562:$E$2689, MATCH(FM$1,'STOPE SUMMARY PIVOT'!$A$2562:$A$2689, 0))</f>
        <v>0</v>
      </c>
      <c r="FO69" s="165">
        <f>INDEX('STOPE SUMMARY PIVOT'!$D$2562:$D$2689, MATCH(FO$1,'STOPE SUMMARY PIVOT'!$A$2562:$A$2689, 0))</f>
        <v>0</v>
      </c>
      <c r="FP69" s="174">
        <f>INDEX('STOPE SUMMARY PIVOT'!$E$2562:$E$2689, MATCH(FO$1,'STOPE SUMMARY PIVOT'!$A$2562:$A$2689, 0))</f>
        <v>0</v>
      </c>
      <c r="FQ69" s="165">
        <f>INDEX('STOPE SUMMARY PIVOT'!$D$2562:$D$2689, MATCH(FQ$1,'STOPE SUMMARY PIVOT'!$A$2562:$A$2689, 0))</f>
        <v>0</v>
      </c>
      <c r="FR69" s="174">
        <f>INDEX('STOPE SUMMARY PIVOT'!$E$2562:$E$2689, MATCH(FQ$1,'STOPE SUMMARY PIVOT'!$A$2562:$A$2689, 0))</f>
        <v>0</v>
      </c>
      <c r="FS69" s="165">
        <f>INDEX('STOPE SUMMARY PIVOT'!$D$2562:$D$2689, MATCH(FS$1,'STOPE SUMMARY PIVOT'!$A$2562:$A$2689, 0))</f>
        <v>0</v>
      </c>
      <c r="FT69" s="174">
        <f>INDEX('STOPE SUMMARY PIVOT'!$E$2562:$E$2689, MATCH(FS$1,'STOPE SUMMARY PIVOT'!$A$2562:$A$2689, 0))</f>
        <v>0</v>
      </c>
      <c r="FU69" s="165">
        <f>INDEX('STOPE SUMMARY PIVOT'!$D$2562:$D$2689, MATCH(FU$1,'STOPE SUMMARY PIVOT'!$A$2562:$A$2689, 0))</f>
        <v>233</v>
      </c>
      <c r="FV69" s="174">
        <f>INDEX('STOPE SUMMARY PIVOT'!$E$2562:$E$2689, MATCH(FU$1,'STOPE SUMMARY PIVOT'!$A$2562:$A$2689, 0))</f>
        <v>3.2</v>
      </c>
      <c r="FW69" s="165">
        <f>INDEX('STOPE SUMMARY PIVOT'!$D$2562:$D$2689, MATCH(FW$1,'STOPE SUMMARY PIVOT'!$A$2562:$A$2689, 0))</f>
        <v>0</v>
      </c>
      <c r="FX69" s="174">
        <f>INDEX('STOPE SUMMARY PIVOT'!$E$2562:$E$2689, MATCH(FW$1,'STOPE SUMMARY PIVOT'!$A$2562:$A$2689, 0))</f>
        <v>0</v>
      </c>
      <c r="FY69" s="165">
        <f>INDEX('STOPE SUMMARY PIVOT'!$D$2562:$D$2689, MATCH(FY$1,'STOPE SUMMARY PIVOT'!$A$2562:$A$2689, 0))</f>
        <v>0</v>
      </c>
      <c r="FZ69" s="174">
        <f>INDEX('STOPE SUMMARY PIVOT'!$E$2562:$E$2689, MATCH(FY$1,'STOPE SUMMARY PIVOT'!$A$2562:$A$2689, 0))</f>
        <v>0</v>
      </c>
      <c r="GA69" s="165">
        <f>INDEX('STOPE SUMMARY PIVOT'!$D$2562:$D$2689, MATCH(GA$1,'STOPE SUMMARY PIVOT'!$A$2562:$A$2689, 0))</f>
        <v>0</v>
      </c>
      <c r="GB69" s="174">
        <f>INDEX('STOPE SUMMARY PIVOT'!$E$2562:$E$2689, MATCH(GA$1,'STOPE SUMMARY PIVOT'!$A$2562:$A$2689, 0))</f>
        <v>0</v>
      </c>
      <c r="GC69" s="165">
        <f>INDEX('STOPE SUMMARY PIVOT'!$D$2562:$D$2689, MATCH(GC$1,'STOPE SUMMARY PIVOT'!$A$2562:$A$2689, 0))</f>
        <v>974</v>
      </c>
      <c r="GD69" s="174">
        <f>INDEX('STOPE SUMMARY PIVOT'!$E$2562:$E$2689, MATCH(GC$1,'STOPE SUMMARY PIVOT'!$A$2562:$A$2689, 0))</f>
        <v>3.49</v>
      </c>
      <c r="GE69" s="165">
        <f>INDEX('STOPE SUMMARY PIVOT'!$D$2562:$D$2689, MATCH(GE$1,'STOPE SUMMARY PIVOT'!$A$2562:$A$2689, 0))</f>
        <v>509</v>
      </c>
      <c r="GF69" s="174">
        <f>INDEX('STOPE SUMMARY PIVOT'!$E$2562:$E$2689, MATCH(GE$1,'STOPE SUMMARY PIVOT'!$A$2562:$A$2689, 0))</f>
        <v>1.03</v>
      </c>
      <c r="GG69" s="165">
        <f>INDEX('STOPE SUMMARY PIVOT'!$D$2562:$D$2689, MATCH(GG$1,'STOPE SUMMARY PIVOT'!$A$2562:$A$2689, 0))</f>
        <v>1947</v>
      </c>
      <c r="GH69" s="174">
        <f>INDEX('STOPE SUMMARY PIVOT'!$E$2562:$E$2689, MATCH(GG$1,'STOPE SUMMARY PIVOT'!$A$2562:$A$2689, 0))</f>
        <v>2.4500000000000002</v>
      </c>
      <c r="GI69" s="165">
        <f>INDEX('STOPE SUMMARY PIVOT'!$D$2562:$D$2689, MATCH(GI$1,'STOPE SUMMARY PIVOT'!$A$2562:$A$2689, 0))</f>
        <v>0</v>
      </c>
      <c r="GJ69" s="174">
        <f>INDEX('STOPE SUMMARY PIVOT'!$E$2562:$E$2689, MATCH(GI$1,'STOPE SUMMARY PIVOT'!$A$2562:$A$2689, 0))</f>
        <v>0</v>
      </c>
      <c r="GK69" s="165">
        <f>INDEX('STOPE SUMMARY PIVOT'!$D$2562:$D$2689, MATCH(GK$1,'STOPE SUMMARY PIVOT'!$A$2562:$A$2689, 0))</f>
        <v>0</v>
      </c>
      <c r="GL69" s="174">
        <f>INDEX('STOPE SUMMARY PIVOT'!$E$2562:$E$2689, MATCH(GK$1,'STOPE SUMMARY PIVOT'!$A$2562:$A$2689, 0))</f>
        <v>0</v>
      </c>
      <c r="GM69" s="165">
        <f>INDEX('STOPE SUMMARY PIVOT'!$D$2562:$D$2689, MATCH(GM$1,'STOPE SUMMARY PIVOT'!$A$2562:$A$2689, 0))</f>
        <v>0</v>
      </c>
      <c r="GN69" s="174">
        <f>INDEX('STOPE SUMMARY PIVOT'!$E$2562:$E$2689, MATCH(GM$1,'STOPE SUMMARY PIVOT'!$A$2562:$A$2689, 0))</f>
        <v>0</v>
      </c>
      <c r="GO69" s="165">
        <f>INDEX('STOPE SUMMARY PIVOT'!$D$2562:$D$2689, MATCH(GO$1,'STOPE SUMMARY PIVOT'!$A$2562:$A$2689, 0))</f>
        <v>0</v>
      </c>
      <c r="GP69" s="174">
        <f>INDEX('STOPE SUMMARY PIVOT'!$E$2562:$E$2689, MATCH(GO$1,'STOPE SUMMARY PIVOT'!$A$2562:$A$2689, 0))</f>
        <v>0</v>
      </c>
      <c r="GQ69" s="165">
        <f>INDEX('STOPE SUMMARY PIVOT'!$D$2562:$D$2689, MATCH(GQ$1,'STOPE SUMMARY PIVOT'!$A$2562:$A$2689, 0))</f>
        <v>974</v>
      </c>
      <c r="GR69" s="174">
        <f>INDEX('STOPE SUMMARY PIVOT'!$E$2562:$E$2689, MATCH(GQ$1,'STOPE SUMMARY PIVOT'!$A$2562:$A$2689, 0))</f>
        <v>1.55</v>
      </c>
      <c r="GS69" s="165">
        <f>INDEX('STOPE SUMMARY PIVOT'!$D$2562:$D$2689, MATCH(GS$1,'STOPE SUMMARY PIVOT'!$A$2562:$A$2689, 0))</f>
        <v>0</v>
      </c>
      <c r="GT69" s="174">
        <f>INDEX('STOPE SUMMARY PIVOT'!$E$2562:$E$2689, MATCH(GS$1,'STOPE SUMMARY PIVOT'!$A$2562:$A$2689, 0))</f>
        <v>0</v>
      </c>
      <c r="GU69" s="165">
        <f>INDEX('STOPE SUMMARY PIVOT'!$D$2562:$D$2689, MATCH(GU$1,'STOPE SUMMARY PIVOT'!$A$2562:$A$2689, 0))</f>
        <v>0</v>
      </c>
      <c r="GV69" s="174">
        <f>INDEX('STOPE SUMMARY PIVOT'!$E$2562:$E$2689, MATCH(GU$1,'STOPE SUMMARY PIVOT'!$A$2562:$A$2689, 0))</f>
        <v>0</v>
      </c>
      <c r="GW69" s="165">
        <f>INDEX('STOPE SUMMARY PIVOT'!$D$2562:$D$2689, MATCH(GW$1,'STOPE SUMMARY PIVOT'!$A$2562:$A$2689, 0))</f>
        <v>0</v>
      </c>
      <c r="GX69" s="174">
        <f>INDEX('STOPE SUMMARY PIVOT'!$E$2562:$E$2689, MATCH(GW$1,'STOPE SUMMARY PIVOT'!$A$2562:$A$2689, 0))</f>
        <v>0</v>
      </c>
      <c r="GY69" s="165">
        <f>INDEX('STOPE SUMMARY PIVOT'!$D$2562:$D$2689, MATCH(GY$1,'STOPE SUMMARY PIVOT'!$A$2562:$A$2689, 0))</f>
        <v>0</v>
      </c>
      <c r="GZ69" s="174">
        <f>INDEX('STOPE SUMMARY PIVOT'!$E$2562:$E$2689, MATCH(GY$1,'STOPE SUMMARY PIVOT'!$A$2562:$A$2689, 0))</f>
        <v>0</v>
      </c>
      <c r="HA69" s="165">
        <f>INDEX('STOPE SUMMARY PIVOT'!$D$2562:$D$2689, MATCH(HA$1,'STOPE SUMMARY PIVOT'!$A$2562:$A$2689, 0))</f>
        <v>128</v>
      </c>
      <c r="HB69" s="174">
        <f>INDEX('STOPE SUMMARY PIVOT'!$E$2562:$E$2689, MATCH(HA$1,'STOPE SUMMARY PIVOT'!$A$2562:$A$2689, 0))</f>
        <v>3.61</v>
      </c>
      <c r="HC69" s="165">
        <f>INDEX('STOPE SUMMARY PIVOT'!$D$2562:$D$2689, MATCH(HC$1,'STOPE SUMMARY PIVOT'!$A$2562:$A$2689, 0))</f>
        <v>0</v>
      </c>
      <c r="HD69" s="174">
        <f>INDEX('STOPE SUMMARY PIVOT'!$E$2562:$E$2689, MATCH(HC$1,'STOPE SUMMARY PIVOT'!$A$2562:$A$2689, 0))</f>
        <v>0</v>
      </c>
      <c r="HE69" s="165">
        <f>INDEX('STOPE SUMMARY PIVOT'!$D$2562:$D$2689, MATCH(HE$1,'STOPE SUMMARY PIVOT'!$A$2562:$A$2689, 0))</f>
        <v>2921</v>
      </c>
      <c r="HF69" s="174">
        <f>INDEX('STOPE SUMMARY PIVOT'!$E$2562:$E$2689, MATCH(HE$1,'STOPE SUMMARY PIVOT'!$A$2562:$A$2689, 0))</f>
        <v>2.4300000000000002</v>
      </c>
      <c r="HG69" s="165">
        <f>INDEX('STOPE SUMMARY PIVOT'!$D$2562:$D$2689, MATCH(HG$1,'STOPE SUMMARY PIVOT'!$A$2562:$A$2689, 0))</f>
        <v>0</v>
      </c>
      <c r="HH69" s="174">
        <f>INDEX('STOPE SUMMARY PIVOT'!$E$2562:$E$2689, MATCH(HG$1,'STOPE SUMMARY PIVOT'!$A$2562:$A$2689, 0))</f>
        <v>0</v>
      </c>
      <c r="HI69" s="165">
        <f>INDEX('STOPE SUMMARY PIVOT'!$D$2562:$D$2689, MATCH(HI$1,'STOPE SUMMARY PIVOT'!$A$2562:$A$2689, 0))</f>
        <v>0</v>
      </c>
      <c r="HJ69" s="174">
        <f>INDEX('STOPE SUMMARY PIVOT'!$E$2562:$E$2689, MATCH(HI$1,'STOPE SUMMARY PIVOT'!$A$2562:$A$2689, 0))</f>
        <v>0</v>
      </c>
      <c r="HK69" s="165">
        <f>INDEX('STOPE SUMMARY PIVOT'!$D$2562:$D$2689, MATCH(HK$1,'STOPE SUMMARY PIVOT'!$A$2562:$A$2689, 0))</f>
        <v>0</v>
      </c>
      <c r="HL69" s="174">
        <f>INDEX('STOPE SUMMARY PIVOT'!$E$2562:$E$2689, MATCH(HK$1,'STOPE SUMMARY PIVOT'!$A$2562:$A$2689, 0))</f>
        <v>0</v>
      </c>
      <c r="HM69" s="165">
        <f>INDEX('STOPE SUMMARY PIVOT'!$D$2562:$D$2689, MATCH(HM$1,'STOPE SUMMARY PIVOT'!$A$2562:$A$2689, 0))</f>
        <v>0</v>
      </c>
      <c r="HN69" s="174">
        <f>INDEX('STOPE SUMMARY PIVOT'!$E$2562:$E$2689, MATCH(HM$1,'STOPE SUMMARY PIVOT'!$A$2562:$A$2689, 0))</f>
        <v>0</v>
      </c>
      <c r="HO69" s="165">
        <f>INDEX('STOPE SUMMARY PIVOT'!$D$2562:$D$2689, MATCH(HO$1,'STOPE SUMMARY PIVOT'!$A$2562:$A$2689, 0))</f>
        <v>0</v>
      </c>
      <c r="HP69" s="174">
        <f>INDEX('STOPE SUMMARY PIVOT'!$E$2562:$E$2689, MATCH(HO$1,'STOPE SUMMARY PIVOT'!$A$2562:$A$2689, 0))</f>
        <v>0</v>
      </c>
      <c r="HQ69" s="165">
        <f>INDEX('STOPE SUMMARY PIVOT'!$D$2562:$D$2689, MATCH(HQ$1,'STOPE SUMMARY PIVOT'!$A$2562:$A$2689, 0))</f>
        <v>0</v>
      </c>
      <c r="HR69" s="174">
        <f>INDEX('STOPE SUMMARY PIVOT'!$E$2562:$E$2689, MATCH(HQ$1,'STOPE SUMMARY PIVOT'!$A$2562:$A$2689, 0))</f>
        <v>0</v>
      </c>
      <c r="HS69" s="165">
        <f>INDEX('STOPE SUMMARY PIVOT'!$D$2562:$D$2689, MATCH(HS$1,'STOPE SUMMARY PIVOT'!$A$2562:$A$2689, 0))</f>
        <v>1947</v>
      </c>
      <c r="HT69" s="174">
        <f>INDEX('STOPE SUMMARY PIVOT'!$E$2562:$E$2689, MATCH(HS$1,'STOPE SUMMARY PIVOT'!$A$2562:$A$2689, 0))</f>
        <v>2.64</v>
      </c>
      <c r="HU69" s="165">
        <f>INDEX('STOPE SUMMARY PIVOT'!$D$2562:$D$2689, MATCH(HU$1,'STOPE SUMMARY PIVOT'!$A$2562:$A$2689, 0))</f>
        <v>0</v>
      </c>
      <c r="HV69" s="174">
        <f>INDEX('STOPE SUMMARY PIVOT'!$E$2562:$E$2689, MATCH(HU$1,'STOPE SUMMARY PIVOT'!$A$2562:$A$2689, 0))</f>
        <v>0</v>
      </c>
      <c r="HW69" s="165">
        <f>INDEX('STOPE SUMMARY PIVOT'!$D$2562:$D$2689, MATCH(HW$1,'STOPE SUMMARY PIVOT'!$A$2562:$A$2689, 0))</f>
        <v>0</v>
      </c>
      <c r="HX69" s="174">
        <f>INDEX('STOPE SUMMARY PIVOT'!$E$2562:$E$2689, MATCH(HW$1,'STOPE SUMMARY PIVOT'!$A$2562:$A$2689, 0))</f>
        <v>0</v>
      </c>
      <c r="HY69" s="165">
        <f>INDEX('STOPE SUMMARY PIVOT'!$D$2562:$D$2689, MATCH(HY$1,'STOPE SUMMARY PIVOT'!$A$2562:$A$2689, 0))</f>
        <v>0</v>
      </c>
      <c r="HZ69" s="174">
        <f>INDEX('STOPE SUMMARY PIVOT'!$E$2562:$E$2689, MATCH(HY$1,'STOPE SUMMARY PIVOT'!$A$2562:$A$2689, 0))</f>
        <v>0</v>
      </c>
      <c r="IA69" s="165">
        <f>INDEX('STOPE SUMMARY PIVOT'!$D$2562:$D$2689, MATCH(IA$1,'STOPE SUMMARY PIVOT'!$A$2562:$A$2689, 0))</f>
        <v>0</v>
      </c>
      <c r="IB69" s="174">
        <f>INDEX('STOPE SUMMARY PIVOT'!$E$2562:$E$2689, MATCH(IA$1,'STOPE SUMMARY PIVOT'!$A$2562:$A$2689, 0))</f>
        <v>0</v>
      </c>
      <c r="IC69" s="165">
        <f>INDEX('STOPE SUMMARY PIVOT'!$D$2562:$D$2689, MATCH(IC$1,'STOPE SUMMARY PIVOT'!$A$2562:$A$2689, 0))</f>
        <v>0</v>
      </c>
      <c r="ID69" s="174">
        <f>INDEX('STOPE SUMMARY PIVOT'!$E$2562:$E$2689, MATCH(IC$1,'STOPE SUMMARY PIVOT'!$A$2562:$A$2689, 0))</f>
        <v>0</v>
      </c>
      <c r="IE69" s="165">
        <f>INDEX('STOPE SUMMARY PIVOT'!$D$2562:$D$2689, MATCH(IE$1,'STOPE SUMMARY PIVOT'!$A$2562:$A$2689, 0))</f>
        <v>0</v>
      </c>
      <c r="IF69" s="174">
        <f>INDEX('STOPE SUMMARY PIVOT'!$E$2562:$E$2689, MATCH(IE$1,'STOPE SUMMARY PIVOT'!$A$2562:$A$2689, 0))</f>
        <v>0</v>
      </c>
      <c r="IG69" s="165">
        <f>INDEX('STOPE SUMMARY PIVOT'!$D$2562:$D$2689, MATCH(IG$1,'STOPE SUMMARY PIVOT'!$A$2562:$A$2689, 0))</f>
        <v>0</v>
      </c>
      <c r="IH69" s="174">
        <f>INDEX('STOPE SUMMARY PIVOT'!$E$2562:$E$2689, MATCH(IG$1,'STOPE SUMMARY PIVOT'!$A$2562:$A$2689, 0))</f>
        <v>0</v>
      </c>
      <c r="II69" s="165">
        <f>INDEX('STOPE SUMMARY PIVOT'!$D$2562:$D$2689, MATCH(II$1,'STOPE SUMMARY PIVOT'!$A$2562:$A$2689, 0))</f>
        <v>0</v>
      </c>
      <c r="IJ69" s="174">
        <f>INDEX('STOPE SUMMARY PIVOT'!$E$2562:$E$2689, MATCH(II$1,'STOPE SUMMARY PIVOT'!$A$2562:$A$2689, 0))</f>
        <v>0</v>
      </c>
      <c r="IK69" s="165">
        <f>INDEX('STOPE SUMMARY PIVOT'!$D$2562:$D$2689, MATCH(IK$1,'STOPE SUMMARY PIVOT'!$A$2562:$A$2689, 0))</f>
        <v>0</v>
      </c>
      <c r="IL69" s="174">
        <f>INDEX('STOPE SUMMARY PIVOT'!$E$2562:$E$2689, MATCH(IK$1,'STOPE SUMMARY PIVOT'!$A$2562:$A$2689, 0))</f>
        <v>0</v>
      </c>
      <c r="IM69" s="165">
        <f>INDEX('STOPE SUMMARY PIVOT'!$D$2562:$D$2689, MATCH(IM$1,'STOPE SUMMARY PIVOT'!$A$2562:$A$2689, 0))</f>
        <v>0</v>
      </c>
      <c r="IN69" s="174">
        <f>INDEX('STOPE SUMMARY PIVOT'!$E$2562:$E$2689, MATCH(IM$1,'STOPE SUMMARY PIVOT'!$A$2562:$A$2689, 0))</f>
        <v>0</v>
      </c>
      <c r="IO69" s="165">
        <f>INDEX('STOPE SUMMARY PIVOT'!$D$2562:$D$2689, MATCH(IO$1,'STOPE SUMMARY PIVOT'!$A$2562:$A$2689, 0))</f>
        <v>0</v>
      </c>
      <c r="IP69" s="174">
        <f>INDEX('STOPE SUMMARY PIVOT'!$E$2562:$E$2689, MATCH(IO$1,'STOPE SUMMARY PIVOT'!$A$2562:$A$2689, 0))</f>
        <v>0</v>
      </c>
      <c r="IQ69" s="165">
        <f>INDEX('STOPE SUMMARY PIVOT'!$D$2562:$D$2689, MATCH(IQ$1,'STOPE SUMMARY PIVOT'!$A$2562:$A$2689, 0))</f>
        <v>0</v>
      </c>
      <c r="IR69" s="174">
        <f>INDEX('STOPE SUMMARY PIVOT'!$E$2562:$E$2689, MATCH(IQ$1,'STOPE SUMMARY PIVOT'!$A$2562:$A$2689, 0))</f>
        <v>0</v>
      </c>
      <c r="IS69" s="165">
        <f>INDEX('STOPE SUMMARY PIVOT'!$D$2562:$D$2689, MATCH(IS$1,'STOPE SUMMARY PIVOT'!$A$2562:$A$2689, 0))</f>
        <v>0</v>
      </c>
      <c r="IT69" s="174">
        <f>INDEX('STOPE SUMMARY PIVOT'!$E$2562:$E$2689, MATCH(IS$1,'STOPE SUMMARY PIVOT'!$A$2562:$A$2689, 0))</f>
        <v>0</v>
      </c>
      <c r="IU69" s="165">
        <f>INDEX('STOPE SUMMARY PIVOT'!$D$2562:$D$2689, MATCH(IU$1,'STOPE SUMMARY PIVOT'!$A$2562:$A$2689, 0))</f>
        <v>0</v>
      </c>
      <c r="IV69" s="174">
        <f>INDEX('STOPE SUMMARY PIVOT'!$E$2562:$E$2689, MATCH(IU$1,'STOPE SUMMARY PIVOT'!$A$2562:$A$2689, 0))</f>
        <v>0</v>
      </c>
      <c r="IW69" s="165">
        <f>INDEX('STOPE SUMMARY PIVOT'!$D$2562:$D$2689, MATCH(IW$1,'STOPE SUMMARY PIVOT'!$A$2562:$A$2689, 0))</f>
        <v>0</v>
      </c>
      <c r="IX69" s="174">
        <f>INDEX('STOPE SUMMARY PIVOT'!$E$2562:$E$2689, MATCH(IW$1,'STOPE SUMMARY PIVOT'!$A$2562:$A$2689, 0))</f>
        <v>0</v>
      </c>
      <c r="IY69" s="165">
        <f>INDEX('STOPE SUMMARY PIVOT'!$D$2562:$D$2689, MATCH(IY$1,'STOPE SUMMARY PIVOT'!$A$2562:$A$2689, 0))</f>
        <v>0</v>
      </c>
      <c r="IZ69" s="174">
        <f>INDEX('STOPE SUMMARY PIVOT'!$E$2562:$E$2689, MATCH(IY$1,'STOPE SUMMARY PIVOT'!$A$2562:$A$2689, 0))</f>
        <v>0</v>
      </c>
    </row>
    <row r="70" spans="1:260" x14ac:dyDescent="0.25">
      <c r="A70" s="1590"/>
      <c r="B70" s="167" t="s">
        <v>219</v>
      </c>
      <c r="C70" s="168" cm="1">
        <f t="array" ref="C70">SUM(_xlfn._xlws.FILTER(E70:IZ70, MOD(COLUMN(E70:IZ70)-COLUMN(E70)+1,2)=1))</f>
        <v>0</v>
      </c>
      <c r="D70" s="26" t="str" cm="1">
        <f t="array" ref="D70">IFERROR(SUMPRODUCT(_xlfn._xlws.FILTER(E70:IZ70, MOD(COLUMN(E70:IZ70)-COLUMN(E70)+1,2)=1), _xlfn._xlws.FILTER(E70:IZ70, MOD(COLUMN(E70:IZ70)-COLUMN(E70)+1,2)=0))/C70,"")</f>
        <v/>
      </c>
      <c r="E70" s="154">
        <f>INDEX('STOPE SUMMARY PIVOT'!$G$2562:$G$2689, MATCH(E$1,'STOPE SUMMARY PIVOT'!$A$2562:$A$2689, 0))</f>
        <v>0</v>
      </c>
      <c r="F70" s="175">
        <f>INDEX('STOPE SUMMARY PIVOT'!$H$2562:$H$2689, MATCH(E$1,'STOPE SUMMARY PIVOT'!$A$2562:$A$2689, 0))</f>
        <v>0</v>
      </c>
      <c r="G70" s="154">
        <f>INDEX('STOPE SUMMARY PIVOT'!$G$2562:$G$2689, MATCH(G$1,'STOPE SUMMARY PIVOT'!$A$2562:$A$2689, 0))</f>
        <v>0</v>
      </c>
      <c r="H70" s="175">
        <f>INDEX('STOPE SUMMARY PIVOT'!$H$2562:$H$2689, MATCH(G$1,'STOPE SUMMARY PIVOT'!$A$2562:$A$2689, 0))</f>
        <v>0</v>
      </c>
      <c r="I70" s="154">
        <f>INDEX('STOPE SUMMARY PIVOT'!$G$2562:$G$2689, MATCH(I$1,'STOPE SUMMARY PIVOT'!$A$2562:$A$2689, 0))</f>
        <v>0</v>
      </c>
      <c r="J70" s="143">
        <f>INDEX('STOPE SUMMARY PIVOT'!$H$2562:$H$2689, MATCH(I$1,'STOPE SUMMARY PIVOT'!$A$2562:$A$2689, 0))</f>
        <v>0</v>
      </c>
      <c r="K70" s="154">
        <f>INDEX('STOPE SUMMARY PIVOT'!$G$2562:$G$2689, MATCH(K$1,'STOPE SUMMARY PIVOT'!$A$2562:$A$2689, 0))</f>
        <v>0</v>
      </c>
      <c r="L70" s="143">
        <f>INDEX('STOPE SUMMARY PIVOT'!$H$2562:$H$2689, MATCH(K$1,'STOPE SUMMARY PIVOT'!$A$2562:$A$2689, 0))</f>
        <v>0</v>
      </c>
      <c r="M70" s="154">
        <f>INDEX('STOPE SUMMARY PIVOT'!$G$2562:$G$2689, MATCH(M$1,'STOPE SUMMARY PIVOT'!$A$2562:$A$2689, 0))</f>
        <v>0</v>
      </c>
      <c r="N70" s="143">
        <f>INDEX('STOPE SUMMARY PIVOT'!$H$2562:$H$2689, MATCH(M$1,'STOPE SUMMARY PIVOT'!$A$2562:$A$2689, 0))</f>
        <v>0</v>
      </c>
      <c r="O70" s="154">
        <f>INDEX('STOPE SUMMARY PIVOT'!$G$2562:$G$2689, MATCH(O$1,'STOPE SUMMARY PIVOT'!$A$2562:$A$2689, 0))</f>
        <v>0</v>
      </c>
      <c r="P70" s="143">
        <f>INDEX('STOPE SUMMARY PIVOT'!$H$2562:$H$2689, MATCH(O$1,'STOPE SUMMARY PIVOT'!$A$2562:$A$2689, 0))</f>
        <v>0</v>
      </c>
      <c r="Q70" s="154">
        <f>INDEX('STOPE SUMMARY PIVOT'!$G$2562:$G$2689, MATCH(Q$1,'STOPE SUMMARY PIVOT'!$A$2562:$A$2689, 0))</f>
        <v>0</v>
      </c>
      <c r="R70" s="143">
        <f>INDEX('STOPE SUMMARY PIVOT'!$H$2562:$H$2689, MATCH(Q$1,'STOPE SUMMARY PIVOT'!$A$2562:$A$2689, 0))</f>
        <v>0</v>
      </c>
      <c r="S70" s="154">
        <f>INDEX('STOPE SUMMARY PIVOT'!$G$2562:$G$2689, MATCH(S$1,'STOPE SUMMARY PIVOT'!$A$2562:$A$2689, 0))</f>
        <v>0</v>
      </c>
      <c r="T70" s="143">
        <f>INDEX('STOPE SUMMARY PIVOT'!$H$2562:$H$2689, MATCH(S$1,'STOPE SUMMARY PIVOT'!$A$2562:$A$2689, 0))</f>
        <v>0</v>
      </c>
      <c r="U70" s="154">
        <f>INDEX('STOPE SUMMARY PIVOT'!$G$2562:$G$2689, MATCH(U$1,'STOPE SUMMARY PIVOT'!$A$2562:$A$2689, 0))</f>
        <v>0</v>
      </c>
      <c r="V70" s="175">
        <f>INDEX('STOPE SUMMARY PIVOT'!$H$2562:$H$2689, MATCH(U$1,'STOPE SUMMARY PIVOT'!$A$2562:$A$2689, 0))</f>
        <v>0</v>
      </c>
      <c r="W70" s="154">
        <f>INDEX('STOPE SUMMARY PIVOT'!$G$2562:$G$2689, MATCH(W$1,'STOPE SUMMARY PIVOT'!$A$2562:$A$2689, 0))</f>
        <v>0</v>
      </c>
      <c r="X70" s="175">
        <f>INDEX('STOPE SUMMARY PIVOT'!$H$2562:$H$2689, MATCH(W$1,'STOPE SUMMARY PIVOT'!$A$2562:$A$2689, 0))</f>
        <v>0</v>
      </c>
      <c r="Y70" s="154">
        <f>INDEX('STOPE SUMMARY PIVOT'!$G$2562:$G$2689, MATCH(Y$1,'STOPE SUMMARY PIVOT'!$A$2562:$A$2689, 0))</f>
        <v>0</v>
      </c>
      <c r="Z70" s="175">
        <f>INDEX('STOPE SUMMARY PIVOT'!$H$2562:$H$2689, MATCH(Y$1,'STOPE SUMMARY PIVOT'!$A$2562:$A$2689, 0))</f>
        <v>0</v>
      </c>
      <c r="AA70" s="154">
        <f>INDEX('STOPE SUMMARY PIVOT'!$G$2562:$G$2689, MATCH(AA$1,'STOPE SUMMARY PIVOT'!$A$2562:$A$2689, 0))</f>
        <v>0</v>
      </c>
      <c r="AB70" s="175">
        <f>INDEX('STOPE SUMMARY PIVOT'!$H$2562:$H$2689, MATCH(AA$1,'STOPE SUMMARY PIVOT'!$A$2562:$A$2689, 0))</f>
        <v>0</v>
      </c>
      <c r="AC70" s="154">
        <f>INDEX('STOPE SUMMARY PIVOT'!$G$2562:$G$2689, MATCH(AC$1,'STOPE SUMMARY PIVOT'!$A$2562:$A$2689, 0))</f>
        <v>0</v>
      </c>
      <c r="AD70" s="175">
        <f>INDEX('STOPE SUMMARY PIVOT'!$H$2562:$H$2689, MATCH(AC$1,'STOPE SUMMARY PIVOT'!$A$2562:$A$2689, 0))</f>
        <v>0</v>
      </c>
      <c r="AE70" s="154">
        <f>INDEX('STOPE SUMMARY PIVOT'!$G$2562:$G$2689, MATCH(AE$1,'STOPE SUMMARY PIVOT'!$A$2562:$A$2689, 0))</f>
        <v>0</v>
      </c>
      <c r="AF70" s="175">
        <f>INDEX('STOPE SUMMARY PIVOT'!$H$2562:$H$2689, MATCH(AE$1,'STOPE SUMMARY PIVOT'!$A$2562:$A$2689, 0))</f>
        <v>0</v>
      </c>
      <c r="AG70" s="154">
        <f>INDEX('STOPE SUMMARY PIVOT'!$G$2562:$G$2689, MATCH(AG$1,'STOPE SUMMARY PIVOT'!$A$2562:$A$2689, 0))</f>
        <v>0</v>
      </c>
      <c r="AH70" s="175">
        <f>INDEX('STOPE SUMMARY PIVOT'!$H$2562:$H$2689, MATCH(AG$1,'STOPE SUMMARY PIVOT'!$A$2562:$A$2689, 0))</f>
        <v>0</v>
      </c>
      <c r="AI70" s="154">
        <f>INDEX('STOPE SUMMARY PIVOT'!$G$2562:$G$2689, MATCH(AI$1,'STOPE SUMMARY PIVOT'!$A$2562:$A$2689, 0))</f>
        <v>0</v>
      </c>
      <c r="AJ70" s="175">
        <f>INDEX('STOPE SUMMARY PIVOT'!$H$2562:$H$2689, MATCH(AI$1,'STOPE SUMMARY PIVOT'!$A$2562:$A$2689, 0))</f>
        <v>0</v>
      </c>
      <c r="AK70" s="154">
        <f>INDEX('STOPE SUMMARY PIVOT'!$G$2562:$G$2689, MATCH(AK$1,'STOPE SUMMARY PIVOT'!$A$2562:$A$2689, 0))</f>
        <v>0</v>
      </c>
      <c r="AL70" s="175">
        <f>INDEX('STOPE SUMMARY PIVOT'!$H$2562:$H$2689, MATCH(AK$1,'STOPE SUMMARY PIVOT'!$A$2562:$A$2689, 0))</f>
        <v>0</v>
      </c>
      <c r="AM70" s="154">
        <f>INDEX('STOPE SUMMARY PIVOT'!$G$2562:$G$2689, MATCH(AM$1,'STOPE SUMMARY PIVOT'!$A$2562:$A$2689, 0))</f>
        <v>0</v>
      </c>
      <c r="AN70" s="175">
        <f>INDEX('STOPE SUMMARY PIVOT'!$H$2562:$H$2689, MATCH(AM$1,'STOPE SUMMARY PIVOT'!$A$2562:$A$2689, 0))</f>
        <v>0</v>
      </c>
      <c r="AO70" s="154">
        <f>INDEX('STOPE SUMMARY PIVOT'!$G$2562:$G$2689, MATCH(AO$1,'STOPE SUMMARY PIVOT'!$A$2562:$A$2689, 0))</f>
        <v>0</v>
      </c>
      <c r="AP70" s="175">
        <f>INDEX('STOPE SUMMARY PIVOT'!$H$2562:$H$2689, MATCH(AO$1,'STOPE SUMMARY PIVOT'!$A$2562:$A$2689, 0))</f>
        <v>0</v>
      </c>
      <c r="AQ70" s="154">
        <f>INDEX('STOPE SUMMARY PIVOT'!$G$2562:$G$2689, MATCH(AQ$1,'STOPE SUMMARY PIVOT'!$A$2562:$A$2689, 0))</f>
        <v>0</v>
      </c>
      <c r="AR70" s="175">
        <f>INDEX('STOPE SUMMARY PIVOT'!$H$2562:$H$2689, MATCH(AQ$1,'STOPE SUMMARY PIVOT'!$A$2562:$A$2689, 0))</f>
        <v>0</v>
      </c>
      <c r="AS70" s="154">
        <f>INDEX('STOPE SUMMARY PIVOT'!$G$2562:$G$2689, MATCH(AS$1,'STOPE SUMMARY PIVOT'!$A$2562:$A$2689, 0))</f>
        <v>0</v>
      </c>
      <c r="AT70" s="175">
        <f>INDEX('STOPE SUMMARY PIVOT'!$H$2562:$H$2689, MATCH(AS$1,'STOPE SUMMARY PIVOT'!$A$2562:$A$2689, 0))</f>
        <v>0</v>
      </c>
      <c r="AU70" s="154">
        <f>INDEX('STOPE SUMMARY PIVOT'!$G$2562:$G$2689, MATCH(AU$1,'STOPE SUMMARY PIVOT'!$A$2562:$A$2689, 0))</f>
        <v>0</v>
      </c>
      <c r="AV70" s="175">
        <f>INDEX('STOPE SUMMARY PIVOT'!$H$2562:$H$2689, MATCH(AU$1,'STOPE SUMMARY PIVOT'!$A$2562:$A$2689, 0))</f>
        <v>0</v>
      </c>
      <c r="AW70" s="154">
        <f>INDEX('STOPE SUMMARY PIVOT'!$G$2562:$G$2689, MATCH(AW$1,'STOPE SUMMARY PIVOT'!$A$2562:$A$2689, 0))</f>
        <v>0</v>
      </c>
      <c r="AX70" s="175">
        <f>INDEX('STOPE SUMMARY PIVOT'!$H$2562:$H$2689, MATCH(AW$1,'STOPE SUMMARY PIVOT'!$A$2562:$A$2689, 0))</f>
        <v>0</v>
      </c>
      <c r="AY70" s="154">
        <f>INDEX('STOPE SUMMARY PIVOT'!$G$2562:$G$2689, MATCH(AY$1,'STOPE SUMMARY PIVOT'!$A$2562:$A$2689, 0))</f>
        <v>0</v>
      </c>
      <c r="AZ70" s="175">
        <f>INDEX('STOPE SUMMARY PIVOT'!$H$2562:$H$2689, MATCH(AY$1,'STOPE SUMMARY PIVOT'!$A$2562:$A$2689, 0))</f>
        <v>0</v>
      </c>
      <c r="BA70" s="154">
        <f>INDEX('STOPE SUMMARY PIVOT'!$G$2562:$G$2689, MATCH(BA$1,'STOPE SUMMARY PIVOT'!$A$2562:$A$2689, 0))</f>
        <v>0</v>
      </c>
      <c r="BB70" s="175">
        <f>INDEX('STOPE SUMMARY PIVOT'!$H$2562:$H$2689, MATCH(BA$1,'STOPE SUMMARY PIVOT'!$A$2562:$A$2689, 0))</f>
        <v>0</v>
      </c>
      <c r="BC70" s="154">
        <f>INDEX('STOPE SUMMARY PIVOT'!$G$2562:$G$2689, MATCH(BC$1,'STOPE SUMMARY PIVOT'!$A$2562:$A$2689, 0))</f>
        <v>0</v>
      </c>
      <c r="BD70" s="175">
        <f>INDEX('STOPE SUMMARY PIVOT'!$H$2562:$H$2689, MATCH(BC$1,'STOPE SUMMARY PIVOT'!$A$2562:$A$2689, 0))</f>
        <v>0</v>
      </c>
      <c r="BE70" s="154">
        <f>INDEX('STOPE SUMMARY PIVOT'!$G$2562:$G$2689, MATCH(BE$1,'STOPE SUMMARY PIVOT'!$A$2562:$A$2689, 0))</f>
        <v>0</v>
      </c>
      <c r="BF70" s="175">
        <f>INDEX('STOPE SUMMARY PIVOT'!$H$2562:$H$2689, MATCH(BE$1,'STOPE SUMMARY PIVOT'!$A$2562:$A$2689, 0))</f>
        <v>0</v>
      </c>
      <c r="BG70" s="154">
        <f>INDEX('STOPE SUMMARY PIVOT'!$G$2562:$G$2689, MATCH(BG$1,'STOPE SUMMARY PIVOT'!$A$2562:$A$2689, 0))</f>
        <v>0</v>
      </c>
      <c r="BH70" s="175">
        <f>INDEX('STOPE SUMMARY PIVOT'!$H$2562:$H$2689, MATCH(BG$1,'STOPE SUMMARY PIVOT'!$A$2562:$A$2689, 0))</f>
        <v>0</v>
      </c>
      <c r="BI70" s="154">
        <f>INDEX('STOPE SUMMARY PIVOT'!$G$2562:$G$2689, MATCH(BI$1,'STOPE SUMMARY PIVOT'!$A$2562:$A$2689, 0))</f>
        <v>0</v>
      </c>
      <c r="BJ70" s="175">
        <f>INDEX('STOPE SUMMARY PIVOT'!$H$2562:$H$2689, MATCH(BI$1,'STOPE SUMMARY PIVOT'!$A$2562:$A$2689, 0))</f>
        <v>0</v>
      </c>
      <c r="BK70" s="154">
        <f>INDEX('STOPE SUMMARY PIVOT'!$G$2562:$G$2689, MATCH(BK$1,'STOPE SUMMARY PIVOT'!$A$2562:$A$2689, 0))</f>
        <v>0</v>
      </c>
      <c r="BL70" s="175">
        <f>INDEX('STOPE SUMMARY PIVOT'!$H$2562:$H$2689, MATCH(BK$1,'STOPE SUMMARY PIVOT'!$A$2562:$A$2689, 0))</f>
        <v>0</v>
      </c>
      <c r="BM70" s="154">
        <f>INDEX('STOPE SUMMARY PIVOT'!$G$2562:$G$2689, MATCH(BM$1,'STOPE SUMMARY PIVOT'!$A$2562:$A$2689, 0))</f>
        <v>0</v>
      </c>
      <c r="BN70" s="175">
        <f>INDEX('STOPE SUMMARY PIVOT'!$H$2562:$H$2689, MATCH(BM$1,'STOPE SUMMARY PIVOT'!$A$2562:$A$2689, 0))</f>
        <v>0</v>
      </c>
      <c r="BO70" s="154">
        <f>INDEX('STOPE SUMMARY PIVOT'!$G$2562:$G$2689, MATCH(BO$1,'STOPE SUMMARY PIVOT'!$A$2562:$A$2689, 0))</f>
        <v>0</v>
      </c>
      <c r="BP70" s="175">
        <f>INDEX('STOPE SUMMARY PIVOT'!$H$2562:$H$2689, MATCH(BO$1,'STOPE SUMMARY PIVOT'!$A$2562:$A$2689, 0))</f>
        <v>0</v>
      </c>
      <c r="BQ70" s="154">
        <f>INDEX('STOPE SUMMARY PIVOT'!$G$2562:$G$2689, MATCH(BQ$1,'STOPE SUMMARY PIVOT'!$A$2562:$A$2689, 0))</f>
        <v>0</v>
      </c>
      <c r="BR70" s="175">
        <f>INDEX('STOPE SUMMARY PIVOT'!$H$2562:$H$2689, MATCH(BQ$1,'STOPE SUMMARY PIVOT'!$A$2562:$A$2689, 0))</f>
        <v>0</v>
      </c>
      <c r="BS70" s="154">
        <f>INDEX('STOPE SUMMARY PIVOT'!$G$2562:$G$2689, MATCH(BS$1,'STOPE SUMMARY PIVOT'!$A$2562:$A$2689, 0))</f>
        <v>0</v>
      </c>
      <c r="BT70" s="175">
        <f>INDEX('STOPE SUMMARY PIVOT'!$H$2562:$H$2689, MATCH(BS$1,'STOPE SUMMARY PIVOT'!$A$2562:$A$2689, 0))</f>
        <v>0</v>
      </c>
      <c r="BU70" s="154">
        <f>INDEX('STOPE SUMMARY PIVOT'!$G$2562:$G$2689, MATCH(BU$1,'STOPE SUMMARY PIVOT'!$A$2562:$A$2689, 0))</f>
        <v>0</v>
      </c>
      <c r="BV70" s="175">
        <f>INDEX('STOPE SUMMARY PIVOT'!$H$2562:$H$2689, MATCH(BU$1,'STOPE SUMMARY PIVOT'!$A$2562:$A$2689, 0))</f>
        <v>0</v>
      </c>
      <c r="BW70" s="154">
        <f>INDEX('STOPE SUMMARY PIVOT'!$G$2562:$G$2689, MATCH(BW$1,'STOPE SUMMARY PIVOT'!$A$2562:$A$2689, 0))</f>
        <v>0</v>
      </c>
      <c r="BX70" s="175">
        <f>INDEX('STOPE SUMMARY PIVOT'!$H$2562:$H$2689, MATCH(BW$1,'STOPE SUMMARY PIVOT'!$A$2562:$A$2689, 0))</f>
        <v>0</v>
      </c>
      <c r="BY70" s="154">
        <f>INDEX('STOPE SUMMARY PIVOT'!$G$2562:$G$2689, MATCH(BY$1,'STOPE SUMMARY PIVOT'!$A$2562:$A$2689, 0))</f>
        <v>0</v>
      </c>
      <c r="BZ70" s="175">
        <f>INDEX('STOPE SUMMARY PIVOT'!$H$2562:$H$2689, MATCH(BY$1,'STOPE SUMMARY PIVOT'!$A$2562:$A$2689, 0))</f>
        <v>0</v>
      </c>
      <c r="CA70" s="154">
        <f>INDEX('STOPE SUMMARY PIVOT'!$G$2562:$G$2689, MATCH(CA$1,'STOPE SUMMARY PIVOT'!$A$2562:$A$2689, 0))</f>
        <v>0</v>
      </c>
      <c r="CB70" s="175">
        <f>INDEX('STOPE SUMMARY PIVOT'!$H$2562:$H$2689, MATCH(CA$1,'STOPE SUMMARY PIVOT'!$A$2562:$A$2689, 0))</f>
        <v>0</v>
      </c>
      <c r="CC70" s="154">
        <f>INDEX('STOPE SUMMARY PIVOT'!$G$2562:$G$2689, MATCH(CC$1,'STOPE SUMMARY PIVOT'!$A$2562:$A$2689, 0))</f>
        <v>0</v>
      </c>
      <c r="CD70" s="175">
        <f>INDEX('STOPE SUMMARY PIVOT'!$H$2562:$H$2689, MATCH(CC$1,'STOPE SUMMARY PIVOT'!$A$2562:$A$2689, 0))</f>
        <v>0</v>
      </c>
      <c r="CE70" s="154">
        <f>INDEX('STOPE SUMMARY PIVOT'!$G$2562:$G$2689, MATCH(CE$1,'STOPE SUMMARY PIVOT'!$A$2562:$A$2689, 0))</f>
        <v>0</v>
      </c>
      <c r="CF70" s="175">
        <f>INDEX('STOPE SUMMARY PIVOT'!$H$2562:$H$2689, MATCH(CE$1,'STOPE SUMMARY PIVOT'!$A$2562:$A$2689, 0))</f>
        <v>0</v>
      </c>
      <c r="CG70" s="154">
        <f>INDEX('STOPE SUMMARY PIVOT'!$G$2562:$G$2689, MATCH(CG$1,'STOPE SUMMARY PIVOT'!$A$2562:$A$2689, 0))</f>
        <v>0</v>
      </c>
      <c r="CH70" s="175">
        <f>INDEX('STOPE SUMMARY PIVOT'!$H$2562:$H$2689, MATCH(CG$1,'STOPE SUMMARY PIVOT'!$A$2562:$A$2689, 0))</f>
        <v>0</v>
      </c>
      <c r="CI70" s="154">
        <f>INDEX('STOPE SUMMARY PIVOT'!$G$2562:$G$2689, MATCH(CI$1,'STOPE SUMMARY PIVOT'!$A$2562:$A$2689, 0))</f>
        <v>0</v>
      </c>
      <c r="CJ70" s="175">
        <f>INDEX('STOPE SUMMARY PIVOT'!$H$2562:$H$2689, MATCH(CI$1,'STOPE SUMMARY PIVOT'!$A$2562:$A$2689, 0))</f>
        <v>0</v>
      </c>
      <c r="CK70" s="154">
        <f>INDEX('STOPE SUMMARY PIVOT'!$G$2562:$G$2689, MATCH(CK$1,'STOPE SUMMARY PIVOT'!$A$2562:$A$2689, 0))</f>
        <v>0</v>
      </c>
      <c r="CL70" s="175">
        <f>INDEX('STOPE SUMMARY PIVOT'!$H$2562:$H$2689, MATCH(CK$1,'STOPE SUMMARY PIVOT'!$A$2562:$A$2689, 0))</f>
        <v>0</v>
      </c>
      <c r="CM70" s="154">
        <f>INDEX('STOPE SUMMARY PIVOT'!$G$2562:$G$2689, MATCH(CM$1,'STOPE SUMMARY PIVOT'!$A$2562:$A$2689, 0))</f>
        <v>0</v>
      </c>
      <c r="CN70" s="175">
        <f>INDEX('STOPE SUMMARY PIVOT'!$H$2562:$H$2689, MATCH(CM$1,'STOPE SUMMARY PIVOT'!$A$2562:$A$2689, 0))</f>
        <v>0</v>
      </c>
      <c r="CO70" s="154">
        <f>INDEX('STOPE SUMMARY PIVOT'!$G$2562:$G$2689, MATCH(CO$1,'STOPE SUMMARY PIVOT'!$A$2562:$A$2689, 0))</f>
        <v>0</v>
      </c>
      <c r="CP70" s="175">
        <f>INDEX('STOPE SUMMARY PIVOT'!$H$2562:$H$2689, MATCH(CO$1,'STOPE SUMMARY PIVOT'!$A$2562:$A$2689, 0))</f>
        <v>0</v>
      </c>
      <c r="CQ70" s="154">
        <f>INDEX('STOPE SUMMARY PIVOT'!$G$2562:$G$2689, MATCH(CQ$1,'STOPE SUMMARY PIVOT'!$A$2562:$A$2689, 0))</f>
        <v>0</v>
      </c>
      <c r="CR70" s="175">
        <f>INDEX('STOPE SUMMARY PIVOT'!$H$2562:$H$2689, MATCH(CQ$1,'STOPE SUMMARY PIVOT'!$A$2562:$A$2689, 0))</f>
        <v>0</v>
      </c>
      <c r="CS70" s="154">
        <f>INDEX('STOPE SUMMARY PIVOT'!$G$2562:$G$2689, MATCH(CS$1,'STOPE SUMMARY PIVOT'!$A$2562:$A$2689, 0))</f>
        <v>0</v>
      </c>
      <c r="CT70" s="175">
        <f>INDEX('STOPE SUMMARY PIVOT'!$H$2562:$H$2689, MATCH(CS$1,'STOPE SUMMARY PIVOT'!$A$2562:$A$2689, 0))</f>
        <v>0</v>
      </c>
      <c r="CU70" s="154">
        <f>INDEX('STOPE SUMMARY PIVOT'!$G$2562:$G$2689, MATCH(CU$1,'STOPE SUMMARY PIVOT'!$A$2562:$A$2689, 0))</f>
        <v>0</v>
      </c>
      <c r="CV70" s="175">
        <f>INDEX('STOPE SUMMARY PIVOT'!$H$2562:$H$2689, MATCH(CU$1,'STOPE SUMMARY PIVOT'!$A$2562:$A$2689, 0))</f>
        <v>0</v>
      </c>
      <c r="CW70" s="154">
        <f>INDEX('STOPE SUMMARY PIVOT'!$G$2562:$G$2689, MATCH(CW$1,'STOPE SUMMARY PIVOT'!$A$2562:$A$2689, 0))</f>
        <v>0</v>
      </c>
      <c r="CX70" s="175">
        <f>INDEX('STOPE SUMMARY PIVOT'!$H$2562:$H$2689, MATCH(CW$1,'STOPE SUMMARY PIVOT'!$A$2562:$A$2689, 0))</f>
        <v>0</v>
      </c>
      <c r="CY70" s="154">
        <f>INDEX('STOPE SUMMARY PIVOT'!$G$2562:$G$2689, MATCH(CY$1,'STOPE SUMMARY PIVOT'!$A$2562:$A$2689, 0))</f>
        <v>0</v>
      </c>
      <c r="CZ70" s="175">
        <f>INDEX('STOPE SUMMARY PIVOT'!$H$2562:$H$2689, MATCH(CY$1,'STOPE SUMMARY PIVOT'!$A$2562:$A$2689, 0))</f>
        <v>0</v>
      </c>
      <c r="DA70" s="154">
        <f>INDEX('STOPE SUMMARY PIVOT'!$G$2562:$G$2689, MATCH(DA$1,'STOPE SUMMARY PIVOT'!$A$2562:$A$2689, 0))</f>
        <v>0</v>
      </c>
      <c r="DB70" s="175">
        <f>INDEX('STOPE SUMMARY PIVOT'!$H$2562:$H$2689, MATCH(DA$1,'STOPE SUMMARY PIVOT'!$A$2562:$A$2689, 0))</f>
        <v>0</v>
      </c>
      <c r="DC70" s="154">
        <f>INDEX('STOPE SUMMARY PIVOT'!$G$2562:$G$2689, MATCH(DC$1,'STOPE SUMMARY PIVOT'!$A$2562:$A$2689, 0))</f>
        <v>0</v>
      </c>
      <c r="DD70" s="175">
        <f>INDEX('STOPE SUMMARY PIVOT'!$H$2562:$H$2689, MATCH(DC$1,'STOPE SUMMARY PIVOT'!$A$2562:$A$2689, 0))</f>
        <v>0</v>
      </c>
      <c r="DE70" s="154">
        <f>INDEX('STOPE SUMMARY PIVOT'!$G$2562:$G$2689, MATCH(DE$1,'STOPE SUMMARY PIVOT'!$A$2562:$A$2689, 0))</f>
        <v>0</v>
      </c>
      <c r="DF70" s="175">
        <f>INDEX('STOPE SUMMARY PIVOT'!$H$2562:$H$2689, MATCH(DE$1,'STOPE SUMMARY PIVOT'!$A$2562:$A$2689, 0))</f>
        <v>0</v>
      </c>
      <c r="DG70" s="154">
        <f>INDEX('STOPE SUMMARY PIVOT'!$G$2562:$G$2689, MATCH(DG$1,'STOPE SUMMARY PIVOT'!$A$2562:$A$2689, 0))</f>
        <v>0</v>
      </c>
      <c r="DH70" s="175">
        <f>INDEX('STOPE SUMMARY PIVOT'!$H$2562:$H$2689, MATCH(DG$1,'STOPE SUMMARY PIVOT'!$A$2562:$A$2689, 0))</f>
        <v>0</v>
      </c>
      <c r="DI70" s="154">
        <f>INDEX('STOPE SUMMARY PIVOT'!$G$2562:$G$2689, MATCH(DI$1,'STOPE SUMMARY PIVOT'!$A$2562:$A$2689, 0))</f>
        <v>0</v>
      </c>
      <c r="DJ70" s="175">
        <f>INDEX('STOPE SUMMARY PIVOT'!$H$2562:$H$2689, MATCH(DI$1,'STOPE SUMMARY PIVOT'!$A$2562:$A$2689, 0))</f>
        <v>0</v>
      </c>
      <c r="DK70" s="154">
        <f>INDEX('STOPE SUMMARY PIVOT'!$G$2562:$G$2689, MATCH(DK$1,'STOPE SUMMARY PIVOT'!$A$2562:$A$2689, 0))</f>
        <v>0</v>
      </c>
      <c r="DL70" s="175">
        <f>INDEX('STOPE SUMMARY PIVOT'!$H$2562:$H$2689, MATCH(DK$1,'STOPE SUMMARY PIVOT'!$A$2562:$A$2689, 0))</f>
        <v>0</v>
      </c>
      <c r="DM70" s="154">
        <f>INDEX('STOPE SUMMARY PIVOT'!$G$2562:$G$2689, MATCH(DM$1,'STOPE SUMMARY PIVOT'!$A$2562:$A$2689, 0))</f>
        <v>0</v>
      </c>
      <c r="DN70" s="175">
        <f>INDEX('STOPE SUMMARY PIVOT'!$H$2562:$H$2689, MATCH(DM$1,'STOPE SUMMARY PIVOT'!$A$2562:$A$2689, 0))</f>
        <v>0</v>
      </c>
      <c r="DO70" s="154">
        <f>INDEX('STOPE SUMMARY PIVOT'!$G$2562:$G$2689, MATCH(DO$1,'STOPE SUMMARY PIVOT'!$A$2562:$A$2689, 0))</f>
        <v>0</v>
      </c>
      <c r="DP70" s="175">
        <f>INDEX('STOPE SUMMARY PIVOT'!$H$2562:$H$2689, MATCH(DO$1,'STOPE SUMMARY PIVOT'!$A$2562:$A$2689, 0))</f>
        <v>0</v>
      </c>
      <c r="DQ70" s="154">
        <f>INDEX('STOPE SUMMARY PIVOT'!$G$2562:$G$2689, MATCH(DQ$1,'STOPE SUMMARY PIVOT'!$A$2562:$A$2689, 0))</f>
        <v>0</v>
      </c>
      <c r="DR70" s="175">
        <f>INDEX('STOPE SUMMARY PIVOT'!$H$2562:$H$2689, MATCH(DQ$1,'STOPE SUMMARY PIVOT'!$A$2562:$A$2689, 0))</f>
        <v>0</v>
      </c>
      <c r="DS70" s="154">
        <f>INDEX('STOPE SUMMARY PIVOT'!$G$2562:$G$2689, MATCH(DS$1,'STOPE SUMMARY PIVOT'!$A$2562:$A$2689, 0))</f>
        <v>0</v>
      </c>
      <c r="DT70" s="175">
        <f>INDEX('STOPE SUMMARY PIVOT'!$H$2562:$H$2689, MATCH(DS$1,'STOPE SUMMARY PIVOT'!$A$2562:$A$2689, 0))</f>
        <v>0</v>
      </c>
      <c r="DU70" s="154">
        <f>INDEX('STOPE SUMMARY PIVOT'!$G$2562:$G$2689, MATCH(DU$1,'STOPE SUMMARY PIVOT'!$A$2562:$A$2689, 0))</f>
        <v>0</v>
      </c>
      <c r="DV70" s="175">
        <f>INDEX('STOPE SUMMARY PIVOT'!$H$2562:$H$2689, MATCH(DU$1,'STOPE SUMMARY PIVOT'!$A$2562:$A$2689, 0))</f>
        <v>0</v>
      </c>
      <c r="DW70" s="154">
        <f>INDEX('STOPE SUMMARY PIVOT'!$G$2562:$G$2689, MATCH(DW$1,'STOPE SUMMARY PIVOT'!$A$2562:$A$2689, 0))</f>
        <v>0</v>
      </c>
      <c r="DX70" s="175">
        <f>INDEX('STOPE SUMMARY PIVOT'!$H$2562:$H$2689, MATCH(DW$1,'STOPE SUMMARY PIVOT'!$A$2562:$A$2689, 0))</f>
        <v>0</v>
      </c>
      <c r="DY70" s="154">
        <f>INDEX('STOPE SUMMARY PIVOT'!$G$2562:$G$2689, MATCH(DY$1,'STOPE SUMMARY PIVOT'!$A$2562:$A$2689, 0))</f>
        <v>0</v>
      </c>
      <c r="DZ70" s="175">
        <f>INDEX('STOPE SUMMARY PIVOT'!$H$2562:$H$2689, MATCH(DY$1,'STOPE SUMMARY PIVOT'!$A$2562:$A$2689, 0))</f>
        <v>0</v>
      </c>
      <c r="EA70" s="154">
        <f>INDEX('STOPE SUMMARY PIVOT'!$G$2562:$G$2689, MATCH(EA$1,'STOPE SUMMARY PIVOT'!$A$2562:$A$2689, 0))</f>
        <v>0</v>
      </c>
      <c r="EB70" s="175">
        <f>INDEX('STOPE SUMMARY PIVOT'!$H$2562:$H$2689, MATCH(EA$1,'STOPE SUMMARY PIVOT'!$A$2562:$A$2689, 0))</f>
        <v>0</v>
      </c>
      <c r="EC70" s="154">
        <f>INDEX('STOPE SUMMARY PIVOT'!$G$2562:$G$2689, MATCH(EC$1,'STOPE SUMMARY PIVOT'!$A$2562:$A$2689, 0))</f>
        <v>0</v>
      </c>
      <c r="ED70" s="175">
        <f>INDEX('STOPE SUMMARY PIVOT'!$H$2562:$H$2689, MATCH(EC$1,'STOPE SUMMARY PIVOT'!$A$2562:$A$2689, 0))</f>
        <v>0</v>
      </c>
      <c r="EE70" s="154">
        <f>INDEX('STOPE SUMMARY PIVOT'!$G$2562:$G$2689, MATCH(EE$1,'STOPE SUMMARY PIVOT'!$A$2562:$A$2689, 0))</f>
        <v>0</v>
      </c>
      <c r="EF70" s="175">
        <f>INDEX('STOPE SUMMARY PIVOT'!$H$2562:$H$2689, MATCH(EE$1,'STOPE SUMMARY PIVOT'!$A$2562:$A$2689, 0))</f>
        <v>0</v>
      </c>
      <c r="EG70" s="154">
        <f>INDEX('STOPE SUMMARY PIVOT'!$G$2562:$G$2689, MATCH(EG$1,'STOPE SUMMARY PIVOT'!$A$2562:$A$2689, 0))</f>
        <v>0</v>
      </c>
      <c r="EH70" s="175">
        <f>INDEX('STOPE SUMMARY PIVOT'!$H$2562:$H$2689, MATCH(EG$1,'STOPE SUMMARY PIVOT'!$A$2562:$A$2689, 0))</f>
        <v>0</v>
      </c>
      <c r="EI70" s="154">
        <f>INDEX('STOPE SUMMARY PIVOT'!$G$2562:$G$2689, MATCH(EI$1,'STOPE SUMMARY PIVOT'!$A$2562:$A$2689, 0))</f>
        <v>0</v>
      </c>
      <c r="EJ70" s="175">
        <f>INDEX('STOPE SUMMARY PIVOT'!$H$2562:$H$2689, MATCH(EI$1,'STOPE SUMMARY PIVOT'!$A$2562:$A$2689, 0))</f>
        <v>0</v>
      </c>
      <c r="EK70" s="154">
        <f>INDEX('STOPE SUMMARY PIVOT'!$G$2562:$G$2689, MATCH(EK$1,'STOPE SUMMARY PIVOT'!$A$2562:$A$2689, 0))</f>
        <v>0</v>
      </c>
      <c r="EL70" s="175">
        <f>INDEX('STOPE SUMMARY PIVOT'!$H$2562:$H$2689, MATCH(EK$1,'STOPE SUMMARY PIVOT'!$A$2562:$A$2689, 0))</f>
        <v>0</v>
      </c>
      <c r="EM70" s="154">
        <f>INDEX('STOPE SUMMARY PIVOT'!$G$2562:$G$2689, MATCH(EM$1,'STOPE SUMMARY PIVOT'!$A$2562:$A$2689, 0))</f>
        <v>0</v>
      </c>
      <c r="EN70" s="175">
        <f>INDEX('STOPE SUMMARY PIVOT'!$H$2562:$H$2689, MATCH(EM$1,'STOPE SUMMARY PIVOT'!$A$2562:$A$2689, 0))</f>
        <v>0</v>
      </c>
      <c r="EO70" s="154">
        <f>INDEX('STOPE SUMMARY PIVOT'!$G$2562:$G$2689, MATCH(EO$1,'STOPE SUMMARY PIVOT'!$A$2562:$A$2689, 0))</f>
        <v>0</v>
      </c>
      <c r="EP70" s="175">
        <f>INDEX('STOPE SUMMARY PIVOT'!$H$2562:$H$2689, MATCH(EO$1,'STOPE SUMMARY PIVOT'!$A$2562:$A$2689, 0))</f>
        <v>0</v>
      </c>
      <c r="EQ70" s="154">
        <f>INDEX('STOPE SUMMARY PIVOT'!$G$2562:$G$2689, MATCH(EQ$1,'STOPE SUMMARY PIVOT'!$A$2562:$A$2689, 0))</f>
        <v>0</v>
      </c>
      <c r="ER70" s="175">
        <f>INDEX('STOPE SUMMARY PIVOT'!$H$2562:$H$2689, MATCH(EQ$1,'STOPE SUMMARY PIVOT'!$A$2562:$A$2689, 0))</f>
        <v>0</v>
      </c>
      <c r="ES70" s="154">
        <f>INDEX('STOPE SUMMARY PIVOT'!$G$2562:$G$2689, MATCH(ES$1,'STOPE SUMMARY PIVOT'!$A$2562:$A$2689, 0))</f>
        <v>0</v>
      </c>
      <c r="ET70" s="175">
        <f>INDEX('STOPE SUMMARY PIVOT'!$H$2562:$H$2689, MATCH(ES$1,'STOPE SUMMARY PIVOT'!$A$2562:$A$2689, 0))</f>
        <v>0</v>
      </c>
      <c r="EU70" s="154">
        <f>INDEX('STOPE SUMMARY PIVOT'!$G$2562:$G$2689, MATCH(EU$1,'STOPE SUMMARY PIVOT'!$A$2562:$A$2689, 0))</f>
        <v>0</v>
      </c>
      <c r="EV70" s="175">
        <f>INDEX('STOPE SUMMARY PIVOT'!$H$2562:$H$2689, MATCH(EU$1,'STOPE SUMMARY PIVOT'!$A$2562:$A$2689, 0))</f>
        <v>0</v>
      </c>
      <c r="EW70" s="154">
        <f>INDEX('STOPE SUMMARY PIVOT'!$G$2562:$G$2689, MATCH(EW$1,'STOPE SUMMARY PIVOT'!$A$2562:$A$2689, 0))</f>
        <v>0</v>
      </c>
      <c r="EX70" s="175">
        <f>INDEX('STOPE SUMMARY PIVOT'!$H$2562:$H$2689, MATCH(EW$1,'STOPE SUMMARY PIVOT'!$A$2562:$A$2689, 0))</f>
        <v>0</v>
      </c>
      <c r="EY70" s="154">
        <f>INDEX('STOPE SUMMARY PIVOT'!$G$2562:$G$2689, MATCH(EY$1,'STOPE SUMMARY PIVOT'!$A$2562:$A$2689, 0))</f>
        <v>0</v>
      </c>
      <c r="EZ70" s="175">
        <f>INDEX('STOPE SUMMARY PIVOT'!$H$2562:$H$2689, MATCH(EY$1,'STOPE SUMMARY PIVOT'!$A$2562:$A$2689, 0))</f>
        <v>0</v>
      </c>
      <c r="FA70" s="154">
        <f>INDEX('STOPE SUMMARY PIVOT'!$G$2562:$G$2689, MATCH(FA$1,'STOPE SUMMARY PIVOT'!$A$2562:$A$2689, 0))</f>
        <v>0</v>
      </c>
      <c r="FB70" s="175">
        <f>INDEX('STOPE SUMMARY PIVOT'!$H$2562:$H$2689, MATCH(FA$1,'STOPE SUMMARY PIVOT'!$A$2562:$A$2689, 0))</f>
        <v>0</v>
      </c>
      <c r="FC70" s="154">
        <f>INDEX('STOPE SUMMARY PIVOT'!$G$2562:$G$2689, MATCH(FC$1,'STOPE SUMMARY PIVOT'!$A$2562:$A$2689, 0))</f>
        <v>0</v>
      </c>
      <c r="FD70" s="175">
        <f>INDEX('STOPE SUMMARY PIVOT'!$H$2562:$H$2689, MATCH(FC$1,'STOPE SUMMARY PIVOT'!$A$2562:$A$2689, 0))</f>
        <v>0</v>
      </c>
      <c r="FE70" s="154">
        <f>INDEX('STOPE SUMMARY PIVOT'!$G$2562:$G$2689, MATCH(FE$1,'STOPE SUMMARY PIVOT'!$A$2562:$A$2689, 0))</f>
        <v>0</v>
      </c>
      <c r="FF70" s="175">
        <f>INDEX('STOPE SUMMARY PIVOT'!$H$2562:$H$2689, MATCH(FE$1,'STOPE SUMMARY PIVOT'!$A$2562:$A$2689, 0))</f>
        <v>0</v>
      </c>
      <c r="FG70" s="154">
        <f>INDEX('STOPE SUMMARY PIVOT'!$G$2562:$G$2689, MATCH(FG$1,'STOPE SUMMARY PIVOT'!$A$2562:$A$2689, 0))</f>
        <v>0</v>
      </c>
      <c r="FH70" s="175">
        <f>INDEX('STOPE SUMMARY PIVOT'!$H$2562:$H$2689, MATCH(FG$1,'STOPE SUMMARY PIVOT'!$A$2562:$A$2689, 0))</f>
        <v>0</v>
      </c>
      <c r="FI70" s="154">
        <f>INDEX('STOPE SUMMARY PIVOT'!$G$2562:$G$2689, MATCH(FI$1,'STOPE SUMMARY PIVOT'!$A$2562:$A$2689, 0))</f>
        <v>0</v>
      </c>
      <c r="FJ70" s="175">
        <f>INDEX('STOPE SUMMARY PIVOT'!$H$2562:$H$2689, MATCH(FI$1,'STOPE SUMMARY PIVOT'!$A$2562:$A$2689, 0))</f>
        <v>0</v>
      </c>
      <c r="FK70" s="154">
        <f>INDEX('STOPE SUMMARY PIVOT'!$G$2562:$G$2689, MATCH(FK$1,'STOPE SUMMARY PIVOT'!$A$2562:$A$2689, 0))</f>
        <v>0</v>
      </c>
      <c r="FL70" s="175">
        <f>INDEX('STOPE SUMMARY PIVOT'!$H$2562:$H$2689, MATCH(FK$1,'STOPE SUMMARY PIVOT'!$A$2562:$A$2689, 0))</f>
        <v>0</v>
      </c>
      <c r="FM70" s="154">
        <f>INDEX('STOPE SUMMARY PIVOT'!$G$2562:$G$2689, MATCH(FM$1,'STOPE SUMMARY PIVOT'!$A$2562:$A$2689, 0))</f>
        <v>0</v>
      </c>
      <c r="FN70" s="175">
        <f>INDEX('STOPE SUMMARY PIVOT'!$H$2562:$H$2689, MATCH(FM$1,'STOPE SUMMARY PIVOT'!$A$2562:$A$2689, 0))</f>
        <v>0</v>
      </c>
      <c r="FO70" s="154">
        <f>INDEX('STOPE SUMMARY PIVOT'!$G$2562:$G$2689, MATCH(FO$1,'STOPE SUMMARY PIVOT'!$A$2562:$A$2689, 0))</f>
        <v>0</v>
      </c>
      <c r="FP70" s="175">
        <f>INDEX('STOPE SUMMARY PIVOT'!$H$2562:$H$2689, MATCH(FO$1,'STOPE SUMMARY PIVOT'!$A$2562:$A$2689, 0))</f>
        <v>0</v>
      </c>
      <c r="FQ70" s="154">
        <f>INDEX('STOPE SUMMARY PIVOT'!$G$2562:$G$2689, MATCH(FQ$1,'STOPE SUMMARY PIVOT'!$A$2562:$A$2689, 0))</f>
        <v>0</v>
      </c>
      <c r="FR70" s="175">
        <f>INDEX('STOPE SUMMARY PIVOT'!$H$2562:$H$2689, MATCH(FQ$1,'STOPE SUMMARY PIVOT'!$A$2562:$A$2689, 0))</f>
        <v>0</v>
      </c>
      <c r="FS70" s="154">
        <f>INDEX('STOPE SUMMARY PIVOT'!$G$2562:$G$2689, MATCH(FS$1,'STOPE SUMMARY PIVOT'!$A$2562:$A$2689, 0))</f>
        <v>0</v>
      </c>
      <c r="FT70" s="175">
        <f>INDEX('STOPE SUMMARY PIVOT'!$H$2562:$H$2689, MATCH(FS$1,'STOPE SUMMARY PIVOT'!$A$2562:$A$2689, 0))</f>
        <v>0</v>
      </c>
      <c r="FU70" s="154">
        <f>INDEX('STOPE SUMMARY PIVOT'!$G$2562:$G$2689, MATCH(FU$1,'STOPE SUMMARY PIVOT'!$A$2562:$A$2689, 0))</f>
        <v>0</v>
      </c>
      <c r="FV70" s="175">
        <f>INDEX('STOPE SUMMARY PIVOT'!$H$2562:$H$2689, MATCH(FU$1,'STOPE SUMMARY PIVOT'!$A$2562:$A$2689, 0))</f>
        <v>0</v>
      </c>
      <c r="FW70" s="154">
        <f>INDEX('STOPE SUMMARY PIVOT'!$G$2562:$G$2689, MATCH(FW$1,'STOPE SUMMARY PIVOT'!$A$2562:$A$2689, 0))</f>
        <v>0</v>
      </c>
      <c r="FX70" s="175">
        <f>INDEX('STOPE SUMMARY PIVOT'!$H$2562:$H$2689, MATCH(FW$1,'STOPE SUMMARY PIVOT'!$A$2562:$A$2689, 0))</f>
        <v>0</v>
      </c>
      <c r="FY70" s="154">
        <f>INDEX('STOPE SUMMARY PIVOT'!$G$2562:$G$2689, MATCH(FY$1,'STOPE SUMMARY PIVOT'!$A$2562:$A$2689, 0))</f>
        <v>0</v>
      </c>
      <c r="FZ70" s="175">
        <f>INDEX('STOPE SUMMARY PIVOT'!$H$2562:$H$2689, MATCH(FY$1,'STOPE SUMMARY PIVOT'!$A$2562:$A$2689, 0))</f>
        <v>0</v>
      </c>
      <c r="GA70" s="154">
        <f>INDEX('STOPE SUMMARY PIVOT'!$G$2562:$G$2689, MATCH(GA$1,'STOPE SUMMARY PIVOT'!$A$2562:$A$2689, 0))</f>
        <v>0</v>
      </c>
      <c r="GB70" s="175">
        <f>INDEX('STOPE SUMMARY PIVOT'!$H$2562:$H$2689, MATCH(GA$1,'STOPE SUMMARY PIVOT'!$A$2562:$A$2689, 0))</f>
        <v>0</v>
      </c>
      <c r="GC70" s="154">
        <f>INDEX('STOPE SUMMARY PIVOT'!$G$2562:$G$2689, MATCH(GC$1,'STOPE SUMMARY PIVOT'!$A$2562:$A$2689, 0))</f>
        <v>0</v>
      </c>
      <c r="GD70" s="175">
        <f>INDEX('STOPE SUMMARY PIVOT'!$H$2562:$H$2689, MATCH(GC$1,'STOPE SUMMARY PIVOT'!$A$2562:$A$2689, 0))</f>
        <v>0</v>
      </c>
      <c r="GE70" s="154">
        <f>INDEX('STOPE SUMMARY PIVOT'!$G$2562:$G$2689, MATCH(GE$1,'STOPE SUMMARY PIVOT'!$A$2562:$A$2689, 0))</f>
        <v>0</v>
      </c>
      <c r="GF70" s="175">
        <f>INDEX('STOPE SUMMARY PIVOT'!$H$2562:$H$2689, MATCH(GE$1,'STOPE SUMMARY PIVOT'!$A$2562:$A$2689, 0))</f>
        <v>0</v>
      </c>
      <c r="GG70" s="154">
        <f>INDEX('STOPE SUMMARY PIVOT'!$G$2562:$G$2689, MATCH(GG$1,'STOPE SUMMARY PIVOT'!$A$2562:$A$2689, 0))</f>
        <v>0</v>
      </c>
      <c r="GH70" s="175">
        <f>INDEX('STOPE SUMMARY PIVOT'!$H$2562:$H$2689, MATCH(GG$1,'STOPE SUMMARY PIVOT'!$A$2562:$A$2689, 0))</f>
        <v>0</v>
      </c>
      <c r="GI70" s="154">
        <f>INDEX('STOPE SUMMARY PIVOT'!$G$2562:$G$2689, MATCH(GI$1,'STOPE SUMMARY PIVOT'!$A$2562:$A$2689, 0))</f>
        <v>0</v>
      </c>
      <c r="GJ70" s="175">
        <f>INDEX('STOPE SUMMARY PIVOT'!$H$2562:$H$2689, MATCH(GI$1,'STOPE SUMMARY PIVOT'!$A$2562:$A$2689, 0))</f>
        <v>0</v>
      </c>
      <c r="GK70" s="154">
        <f>INDEX('STOPE SUMMARY PIVOT'!$G$2562:$G$2689, MATCH(GK$1,'STOPE SUMMARY PIVOT'!$A$2562:$A$2689, 0))</f>
        <v>0</v>
      </c>
      <c r="GL70" s="175">
        <f>INDEX('STOPE SUMMARY PIVOT'!$H$2562:$H$2689, MATCH(GK$1,'STOPE SUMMARY PIVOT'!$A$2562:$A$2689, 0))</f>
        <v>0</v>
      </c>
      <c r="GM70" s="154">
        <f>INDEX('STOPE SUMMARY PIVOT'!$G$2562:$G$2689, MATCH(GM$1,'STOPE SUMMARY PIVOT'!$A$2562:$A$2689, 0))</f>
        <v>0</v>
      </c>
      <c r="GN70" s="175">
        <f>INDEX('STOPE SUMMARY PIVOT'!$H$2562:$H$2689, MATCH(GM$1,'STOPE SUMMARY PIVOT'!$A$2562:$A$2689, 0))</f>
        <v>0</v>
      </c>
      <c r="GO70" s="154">
        <f>INDEX('STOPE SUMMARY PIVOT'!$G$2562:$G$2689, MATCH(GO$1,'STOPE SUMMARY PIVOT'!$A$2562:$A$2689, 0))</f>
        <v>0</v>
      </c>
      <c r="GP70" s="175">
        <f>INDEX('STOPE SUMMARY PIVOT'!$H$2562:$H$2689, MATCH(GO$1,'STOPE SUMMARY PIVOT'!$A$2562:$A$2689, 0))</f>
        <v>0</v>
      </c>
      <c r="GQ70" s="154">
        <f>INDEX('STOPE SUMMARY PIVOT'!$G$2562:$G$2689, MATCH(GQ$1,'STOPE SUMMARY PIVOT'!$A$2562:$A$2689, 0))</f>
        <v>0</v>
      </c>
      <c r="GR70" s="175">
        <f>INDEX('STOPE SUMMARY PIVOT'!$H$2562:$H$2689, MATCH(GQ$1,'STOPE SUMMARY PIVOT'!$A$2562:$A$2689, 0))</f>
        <v>0</v>
      </c>
      <c r="GS70" s="154">
        <f>INDEX('STOPE SUMMARY PIVOT'!$G$2562:$G$2689, MATCH(GS$1,'STOPE SUMMARY PIVOT'!$A$2562:$A$2689, 0))</f>
        <v>0</v>
      </c>
      <c r="GT70" s="175">
        <f>INDEX('STOPE SUMMARY PIVOT'!$H$2562:$H$2689, MATCH(GS$1,'STOPE SUMMARY PIVOT'!$A$2562:$A$2689, 0))</f>
        <v>0</v>
      </c>
      <c r="GU70" s="154">
        <f>INDEX('STOPE SUMMARY PIVOT'!$G$2562:$G$2689, MATCH(GU$1,'STOPE SUMMARY PIVOT'!$A$2562:$A$2689, 0))</f>
        <v>0</v>
      </c>
      <c r="GV70" s="175">
        <f>INDEX('STOPE SUMMARY PIVOT'!$H$2562:$H$2689, MATCH(GU$1,'STOPE SUMMARY PIVOT'!$A$2562:$A$2689, 0))</f>
        <v>0</v>
      </c>
      <c r="GW70" s="154">
        <f>INDEX('STOPE SUMMARY PIVOT'!$G$2562:$G$2689, MATCH(GW$1,'STOPE SUMMARY PIVOT'!$A$2562:$A$2689, 0))</f>
        <v>0</v>
      </c>
      <c r="GX70" s="175">
        <f>INDEX('STOPE SUMMARY PIVOT'!$H$2562:$H$2689, MATCH(GW$1,'STOPE SUMMARY PIVOT'!$A$2562:$A$2689, 0))</f>
        <v>0</v>
      </c>
      <c r="GY70" s="154">
        <f>INDEX('STOPE SUMMARY PIVOT'!$G$2562:$G$2689, MATCH(GY$1,'STOPE SUMMARY PIVOT'!$A$2562:$A$2689, 0))</f>
        <v>0</v>
      </c>
      <c r="GZ70" s="175">
        <f>INDEX('STOPE SUMMARY PIVOT'!$H$2562:$H$2689, MATCH(GY$1,'STOPE SUMMARY PIVOT'!$A$2562:$A$2689, 0))</f>
        <v>0</v>
      </c>
      <c r="HA70" s="154">
        <f>INDEX('STOPE SUMMARY PIVOT'!$G$2562:$G$2689, MATCH(HA$1,'STOPE SUMMARY PIVOT'!$A$2562:$A$2689, 0))</f>
        <v>0</v>
      </c>
      <c r="HB70" s="175">
        <f>INDEX('STOPE SUMMARY PIVOT'!$H$2562:$H$2689, MATCH(HA$1,'STOPE SUMMARY PIVOT'!$A$2562:$A$2689, 0))</f>
        <v>0</v>
      </c>
      <c r="HC70" s="154">
        <f>INDEX('STOPE SUMMARY PIVOT'!$G$2562:$G$2689, MATCH(HC$1,'STOPE SUMMARY PIVOT'!$A$2562:$A$2689, 0))</f>
        <v>0</v>
      </c>
      <c r="HD70" s="175">
        <f>INDEX('STOPE SUMMARY PIVOT'!$H$2562:$H$2689, MATCH(HC$1,'STOPE SUMMARY PIVOT'!$A$2562:$A$2689, 0))</f>
        <v>0</v>
      </c>
      <c r="HE70" s="154">
        <f>INDEX('STOPE SUMMARY PIVOT'!$G$2562:$G$2689, MATCH(HE$1,'STOPE SUMMARY PIVOT'!$A$2562:$A$2689, 0))</f>
        <v>0</v>
      </c>
      <c r="HF70" s="175">
        <f>INDEX('STOPE SUMMARY PIVOT'!$H$2562:$H$2689, MATCH(HE$1,'STOPE SUMMARY PIVOT'!$A$2562:$A$2689, 0))</f>
        <v>0</v>
      </c>
      <c r="HG70" s="154">
        <f>INDEX('STOPE SUMMARY PIVOT'!$G$2562:$G$2689, MATCH(HG$1,'STOPE SUMMARY PIVOT'!$A$2562:$A$2689, 0))</f>
        <v>0</v>
      </c>
      <c r="HH70" s="175">
        <f>INDEX('STOPE SUMMARY PIVOT'!$H$2562:$H$2689, MATCH(HG$1,'STOPE SUMMARY PIVOT'!$A$2562:$A$2689, 0))</f>
        <v>0</v>
      </c>
      <c r="HI70" s="154">
        <f>INDEX('STOPE SUMMARY PIVOT'!$G$2562:$G$2689, MATCH(HI$1,'STOPE SUMMARY PIVOT'!$A$2562:$A$2689, 0))</f>
        <v>0</v>
      </c>
      <c r="HJ70" s="175">
        <f>INDEX('STOPE SUMMARY PIVOT'!$H$2562:$H$2689, MATCH(HI$1,'STOPE SUMMARY PIVOT'!$A$2562:$A$2689, 0))</f>
        <v>0</v>
      </c>
      <c r="HK70" s="154">
        <f>INDEX('STOPE SUMMARY PIVOT'!$G$2562:$G$2689, MATCH(HK$1,'STOPE SUMMARY PIVOT'!$A$2562:$A$2689, 0))</f>
        <v>0</v>
      </c>
      <c r="HL70" s="175">
        <f>INDEX('STOPE SUMMARY PIVOT'!$H$2562:$H$2689, MATCH(HK$1,'STOPE SUMMARY PIVOT'!$A$2562:$A$2689, 0))</f>
        <v>0</v>
      </c>
      <c r="HM70" s="154">
        <f>INDEX('STOPE SUMMARY PIVOT'!$G$2562:$G$2689, MATCH(HM$1,'STOPE SUMMARY PIVOT'!$A$2562:$A$2689, 0))</f>
        <v>0</v>
      </c>
      <c r="HN70" s="175">
        <f>INDEX('STOPE SUMMARY PIVOT'!$H$2562:$H$2689, MATCH(HM$1,'STOPE SUMMARY PIVOT'!$A$2562:$A$2689, 0))</f>
        <v>0</v>
      </c>
      <c r="HO70" s="154">
        <f>INDEX('STOPE SUMMARY PIVOT'!$G$2562:$G$2689, MATCH(HO$1,'STOPE SUMMARY PIVOT'!$A$2562:$A$2689, 0))</f>
        <v>0</v>
      </c>
      <c r="HP70" s="175">
        <f>INDEX('STOPE SUMMARY PIVOT'!$H$2562:$H$2689, MATCH(HO$1,'STOPE SUMMARY PIVOT'!$A$2562:$A$2689, 0))</f>
        <v>0</v>
      </c>
      <c r="HQ70" s="154">
        <f>INDEX('STOPE SUMMARY PIVOT'!$G$2562:$G$2689, MATCH(HQ$1,'STOPE SUMMARY PIVOT'!$A$2562:$A$2689, 0))</f>
        <v>0</v>
      </c>
      <c r="HR70" s="175">
        <f>INDEX('STOPE SUMMARY PIVOT'!$H$2562:$H$2689, MATCH(HQ$1,'STOPE SUMMARY PIVOT'!$A$2562:$A$2689, 0))</f>
        <v>0</v>
      </c>
      <c r="HS70" s="154">
        <f>INDEX('STOPE SUMMARY PIVOT'!$G$2562:$G$2689, MATCH(HS$1,'STOPE SUMMARY PIVOT'!$A$2562:$A$2689, 0))</f>
        <v>0</v>
      </c>
      <c r="HT70" s="175">
        <f>INDEX('STOPE SUMMARY PIVOT'!$H$2562:$H$2689, MATCH(HS$1,'STOPE SUMMARY PIVOT'!$A$2562:$A$2689, 0))</f>
        <v>0</v>
      </c>
      <c r="HU70" s="154">
        <f>INDEX('STOPE SUMMARY PIVOT'!$G$2562:$G$2689, MATCH(HU$1,'STOPE SUMMARY PIVOT'!$A$2562:$A$2689, 0))</f>
        <v>0</v>
      </c>
      <c r="HV70" s="175">
        <f>INDEX('STOPE SUMMARY PIVOT'!$H$2562:$H$2689, MATCH(HU$1,'STOPE SUMMARY PIVOT'!$A$2562:$A$2689, 0))</f>
        <v>0</v>
      </c>
      <c r="HW70" s="154">
        <f>INDEX('STOPE SUMMARY PIVOT'!$G$2562:$G$2689, MATCH(HW$1,'STOPE SUMMARY PIVOT'!$A$2562:$A$2689, 0))</f>
        <v>0</v>
      </c>
      <c r="HX70" s="175">
        <f>INDEX('STOPE SUMMARY PIVOT'!$H$2562:$H$2689, MATCH(HW$1,'STOPE SUMMARY PIVOT'!$A$2562:$A$2689, 0))</f>
        <v>0</v>
      </c>
      <c r="HY70" s="154">
        <f>INDEX('STOPE SUMMARY PIVOT'!$G$2562:$G$2689, MATCH(HY$1,'STOPE SUMMARY PIVOT'!$A$2562:$A$2689, 0))</f>
        <v>0</v>
      </c>
      <c r="HZ70" s="175">
        <f>INDEX('STOPE SUMMARY PIVOT'!$H$2562:$H$2689, MATCH(HY$1,'STOPE SUMMARY PIVOT'!$A$2562:$A$2689, 0))</f>
        <v>0</v>
      </c>
      <c r="IA70" s="154">
        <f>INDEX('STOPE SUMMARY PIVOT'!$G$2562:$G$2689, MATCH(IA$1,'STOPE SUMMARY PIVOT'!$A$2562:$A$2689, 0))</f>
        <v>0</v>
      </c>
      <c r="IB70" s="175">
        <f>INDEX('STOPE SUMMARY PIVOT'!$H$2562:$H$2689, MATCH(IA$1,'STOPE SUMMARY PIVOT'!$A$2562:$A$2689, 0))</f>
        <v>0</v>
      </c>
      <c r="IC70" s="154">
        <f>INDEX('STOPE SUMMARY PIVOT'!$G$2562:$G$2689, MATCH(IC$1,'STOPE SUMMARY PIVOT'!$A$2562:$A$2689, 0))</f>
        <v>0</v>
      </c>
      <c r="ID70" s="175">
        <f>INDEX('STOPE SUMMARY PIVOT'!$H$2562:$H$2689, MATCH(IC$1,'STOPE SUMMARY PIVOT'!$A$2562:$A$2689, 0))</f>
        <v>0</v>
      </c>
      <c r="IE70" s="154">
        <f>INDEX('STOPE SUMMARY PIVOT'!$G$2562:$G$2689, MATCH(IE$1,'STOPE SUMMARY PIVOT'!$A$2562:$A$2689, 0))</f>
        <v>0</v>
      </c>
      <c r="IF70" s="175">
        <f>INDEX('STOPE SUMMARY PIVOT'!$H$2562:$H$2689, MATCH(IE$1,'STOPE SUMMARY PIVOT'!$A$2562:$A$2689, 0))</f>
        <v>0</v>
      </c>
      <c r="IG70" s="154">
        <f>INDEX('STOPE SUMMARY PIVOT'!$G$2562:$G$2689, MATCH(IG$1,'STOPE SUMMARY PIVOT'!$A$2562:$A$2689, 0))</f>
        <v>0</v>
      </c>
      <c r="IH70" s="175">
        <f>INDEX('STOPE SUMMARY PIVOT'!$H$2562:$H$2689, MATCH(IG$1,'STOPE SUMMARY PIVOT'!$A$2562:$A$2689, 0))</f>
        <v>0</v>
      </c>
      <c r="II70" s="154">
        <f>INDEX('STOPE SUMMARY PIVOT'!$G$2562:$G$2689, MATCH(II$1,'STOPE SUMMARY PIVOT'!$A$2562:$A$2689, 0))</f>
        <v>0</v>
      </c>
      <c r="IJ70" s="175">
        <f>INDEX('STOPE SUMMARY PIVOT'!$H$2562:$H$2689, MATCH(II$1,'STOPE SUMMARY PIVOT'!$A$2562:$A$2689, 0))</f>
        <v>0</v>
      </c>
      <c r="IK70" s="154">
        <f>INDEX('STOPE SUMMARY PIVOT'!$G$2562:$G$2689, MATCH(IK$1,'STOPE SUMMARY PIVOT'!$A$2562:$A$2689, 0))</f>
        <v>0</v>
      </c>
      <c r="IL70" s="175">
        <f>INDEX('STOPE SUMMARY PIVOT'!$H$2562:$H$2689, MATCH(IK$1,'STOPE SUMMARY PIVOT'!$A$2562:$A$2689, 0))</f>
        <v>0</v>
      </c>
      <c r="IM70" s="154">
        <f>INDEX('STOPE SUMMARY PIVOT'!$G$2562:$G$2689, MATCH(IM$1,'STOPE SUMMARY PIVOT'!$A$2562:$A$2689, 0))</f>
        <v>0</v>
      </c>
      <c r="IN70" s="175">
        <f>INDEX('STOPE SUMMARY PIVOT'!$H$2562:$H$2689, MATCH(IM$1,'STOPE SUMMARY PIVOT'!$A$2562:$A$2689, 0))</f>
        <v>0</v>
      </c>
      <c r="IO70" s="154">
        <f>INDEX('STOPE SUMMARY PIVOT'!$G$2562:$G$2689, MATCH(IO$1,'STOPE SUMMARY PIVOT'!$A$2562:$A$2689, 0))</f>
        <v>0</v>
      </c>
      <c r="IP70" s="175">
        <f>INDEX('STOPE SUMMARY PIVOT'!$H$2562:$H$2689, MATCH(IO$1,'STOPE SUMMARY PIVOT'!$A$2562:$A$2689, 0))</f>
        <v>0</v>
      </c>
      <c r="IQ70" s="154">
        <f>INDEX('STOPE SUMMARY PIVOT'!$G$2562:$G$2689, MATCH(IQ$1,'STOPE SUMMARY PIVOT'!$A$2562:$A$2689, 0))</f>
        <v>0</v>
      </c>
      <c r="IR70" s="175">
        <f>INDEX('STOPE SUMMARY PIVOT'!$H$2562:$H$2689, MATCH(IQ$1,'STOPE SUMMARY PIVOT'!$A$2562:$A$2689, 0))</f>
        <v>0</v>
      </c>
      <c r="IS70" s="154">
        <f>INDEX('STOPE SUMMARY PIVOT'!$G$2562:$G$2689, MATCH(IS$1,'STOPE SUMMARY PIVOT'!$A$2562:$A$2689, 0))</f>
        <v>0</v>
      </c>
      <c r="IT70" s="175">
        <f>INDEX('STOPE SUMMARY PIVOT'!$H$2562:$H$2689, MATCH(IS$1,'STOPE SUMMARY PIVOT'!$A$2562:$A$2689, 0))</f>
        <v>0</v>
      </c>
      <c r="IU70" s="154">
        <f>INDEX('STOPE SUMMARY PIVOT'!$G$2562:$G$2689, MATCH(IU$1,'STOPE SUMMARY PIVOT'!$A$2562:$A$2689, 0))</f>
        <v>0</v>
      </c>
      <c r="IV70" s="175">
        <f>INDEX('STOPE SUMMARY PIVOT'!$H$2562:$H$2689, MATCH(IU$1,'STOPE SUMMARY PIVOT'!$A$2562:$A$2689, 0))</f>
        <v>0</v>
      </c>
      <c r="IW70" s="154">
        <f>INDEX('STOPE SUMMARY PIVOT'!$G$2562:$G$2689, MATCH(IW$1,'STOPE SUMMARY PIVOT'!$A$2562:$A$2689, 0))</f>
        <v>0</v>
      </c>
      <c r="IX70" s="175">
        <f>INDEX('STOPE SUMMARY PIVOT'!$H$2562:$H$2689, MATCH(IW$1,'STOPE SUMMARY PIVOT'!$A$2562:$A$2689, 0))</f>
        <v>0</v>
      </c>
      <c r="IY70" s="154">
        <f>INDEX('STOPE SUMMARY PIVOT'!$G$2562:$G$2689, MATCH(IY$1,'STOPE SUMMARY PIVOT'!$A$2562:$A$2689, 0))</f>
        <v>0</v>
      </c>
      <c r="IZ70" s="175">
        <f>INDEX('STOPE SUMMARY PIVOT'!$H$2562:$H$2689, MATCH(IY$1,'STOPE SUMMARY PIVOT'!$A$2562:$A$2689, 0))</f>
        <v>0</v>
      </c>
    </row>
    <row r="71" spans="1:260" ht="15.75" thickBot="1" x14ac:dyDescent="0.3">
      <c r="A71" s="1591"/>
      <c r="B71" s="169" t="s">
        <v>5</v>
      </c>
      <c r="C71" s="170" cm="1">
        <f t="array" ref="C71">SUM(_xlfn._xlws.FILTER(E71:IZ71, MOD(COLUMN(E71:IZ71)-COLUMN(E71)+1,2)=1))</f>
        <v>0</v>
      </c>
      <c r="D71" s="171" t="str" cm="1">
        <f t="array" ref="D71">IFERROR(SUMPRODUCT(_xlfn._xlws.FILTER(E71:IZ71, MOD(COLUMN(E71:IZ71)-COLUMN(E71)+1,2)=1), _xlfn._xlws.FILTER(E71:IZ71, MOD(COLUMN(E71:IZ71)-COLUMN(E71)+1,2)=0))/C71,"")</f>
        <v/>
      </c>
      <c r="E71" s="172">
        <f>INDEX('STOPE SUMMARY PIVOT'!$J$2562:$J$2689, MATCH(E$1,'STOPE SUMMARY PIVOT'!$A$2562:$A$2689, 0))</f>
        <v>0</v>
      </c>
      <c r="F71" s="176">
        <f>INDEX('STOPE SUMMARY PIVOT'!$K$2562:$K$2689, MATCH(E$1,'STOPE SUMMARY PIVOT'!$A$2562:$A$2689, 0))</f>
        <v>0</v>
      </c>
      <c r="G71" s="172">
        <f>INDEX('STOPE SUMMARY PIVOT'!$J$2562:$J$2689, MATCH(G$1,'STOPE SUMMARY PIVOT'!$A$2562:$A$2689, 0))</f>
        <v>0</v>
      </c>
      <c r="H71" s="176">
        <f>INDEX('STOPE SUMMARY PIVOT'!$K$2562:$K$2689, MATCH(G$1,'STOPE SUMMARY PIVOT'!$A$2562:$A$2689, 0))</f>
        <v>0</v>
      </c>
      <c r="I71" s="172">
        <f>INDEX('STOPE SUMMARY PIVOT'!$J$2562:$J$2689, MATCH(I$1,'STOPE SUMMARY PIVOT'!$A$2562:$A$2689, 0))</f>
        <v>0</v>
      </c>
      <c r="J71" s="173">
        <f>INDEX('STOPE SUMMARY PIVOT'!$K$2562:$K$2689, MATCH(I$1,'STOPE SUMMARY PIVOT'!$A$2562:$A$2689, 0))</f>
        <v>0</v>
      </c>
      <c r="K71" s="172">
        <f>INDEX('STOPE SUMMARY PIVOT'!$J$2562:$J$2689, MATCH(K$1,'STOPE SUMMARY PIVOT'!$A$2562:$A$2689, 0))</f>
        <v>0</v>
      </c>
      <c r="L71" s="173">
        <f>INDEX('STOPE SUMMARY PIVOT'!$K$2562:$K$2689, MATCH(K$1,'STOPE SUMMARY PIVOT'!$A$2562:$A$2689, 0))</f>
        <v>0</v>
      </c>
      <c r="M71" s="172">
        <f>INDEX('STOPE SUMMARY PIVOT'!$J$2562:$J$2689, MATCH(M$1,'STOPE SUMMARY PIVOT'!$A$2562:$A$2689, 0))</f>
        <v>0</v>
      </c>
      <c r="N71" s="173">
        <f>INDEX('STOPE SUMMARY PIVOT'!$K$2562:$K$2689, MATCH(M$1,'STOPE SUMMARY PIVOT'!$A$2562:$A$2689, 0))</f>
        <v>0</v>
      </c>
      <c r="O71" s="172">
        <f>INDEX('STOPE SUMMARY PIVOT'!$J$2562:$J$2689, MATCH(O$1,'STOPE SUMMARY PIVOT'!$A$2562:$A$2689, 0))</f>
        <v>0</v>
      </c>
      <c r="P71" s="173">
        <f>INDEX('STOPE SUMMARY PIVOT'!$K$2562:$K$2689, MATCH(O$1,'STOPE SUMMARY PIVOT'!$A$2562:$A$2689, 0))</f>
        <v>0</v>
      </c>
      <c r="Q71" s="172">
        <f>INDEX('STOPE SUMMARY PIVOT'!$J$2562:$J$2689, MATCH(Q$1,'STOPE SUMMARY PIVOT'!$A$2562:$A$2689, 0))</f>
        <v>0</v>
      </c>
      <c r="R71" s="173">
        <f>INDEX('STOPE SUMMARY PIVOT'!$K$2562:$K$2689, MATCH(Q$1,'STOPE SUMMARY PIVOT'!$A$2562:$A$2689, 0))</f>
        <v>0</v>
      </c>
      <c r="S71" s="172">
        <f>INDEX('STOPE SUMMARY PIVOT'!$J$2562:$J$2689, MATCH(S$1,'STOPE SUMMARY PIVOT'!$A$2562:$A$2689, 0))</f>
        <v>0</v>
      </c>
      <c r="T71" s="173">
        <f>INDEX('STOPE SUMMARY PIVOT'!$K$2562:$K$2689, MATCH(S$1,'STOPE SUMMARY PIVOT'!$A$2562:$A$2689, 0))</f>
        <v>0</v>
      </c>
      <c r="U71" s="172">
        <f>INDEX('STOPE SUMMARY PIVOT'!$J$2562:$J$2689, MATCH(U$1,'STOPE SUMMARY PIVOT'!$A$2562:$A$2689, 0))</f>
        <v>0</v>
      </c>
      <c r="V71" s="176">
        <f>INDEX('STOPE SUMMARY PIVOT'!$K$2562:$K$2689, MATCH(U$1,'STOPE SUMMARY PIVOT'!$A$2562:$A$2689, 0))</f>
        <v>0</v>
      </c>
      <c r="W71" s="172">
        <f>INDEX('STOPE SUMMARY PIVOT'!$J$2562:$J$2689, MATCH(W$1,'STOPE SUMMARY PIVOT'!$A$2562:$A$2689, 0))</f>
        <v>0</v>
      </c>
      <c r="X71" s="176">
        <f>INDEX('STOPE SUMMARY PIVOT'!$K$2562:$K$2689, MATCH(W$1,'STOPE SUMMARY PIVOT'!$A$2562:$A$2689, 0))</f>
        <v>0</v>
      </c>
      <c r="Y71" s="172">
        <f>INDEX('STOPE SUMMARY PIVOT'!$J$2562:$J$2689, MATCH(Y$1,'STOPE SUMMARY PIVOT'!$A$2562:$A$2689, 0))</f>
        <v>0</v>
      </c>
      <c r="Z71" s="176">
        <f>INDEX('STOPE SUMMARY PIVOT'!$K$2562:$K$2689, MATCH(Y$1,'STOPE SUMMARY PIVOT'!$A$2562:$A$2689, 0))</f>
        <v>0</v>
      </c>
      <c r="AA71" s="172">
        <f>INDEX('STOPE SUMMARY PIVOT'!$J$2562:$J$2689, MATCH(AA$1,'STOPE SUMMARY PIVOT'!$A$2562:$A$2689, 0))</f>
        <v>0</v>
      </c>
      <c r="AB71" s="176">
        <f>INDEX('STOPE SUMMARY PIVOT'!$K$2562:$K$2689, MATCH(AA$1,'STOPE SUMMARY PIVOT'!$A$2562:$A$2689, 0))</f>
        <v>0</v>
      </c>
      <c r="AC71" s="172">
        <f>INDEX('STOPE SUMMARY PIVOT'!$J$2562:$J$2689, MATCH(AC$1,'STOPE SUMMARY PIVOT'!$A$2562:$A$2689, 0))</f>
        <v>0</v>
      </c>
      <c r="AD71" s="176">
        <f>INDEX('STOPE SUMMARY PIVOT'!$K$2562:$K$2689, MATCH(AC$1,'STOPE SUMMARY PIVOT'!$A$2562:$A$2689, 0))</f>
        <v>0</v>
      </c>
      <c r="AE71" s="172">
        <f>INDEX('STOPE SUMMARY PIVOT'!$J$2562:$J$2689, MATCH(AE$1,'STOPE SUMMARY PIVOT'!$A$2562:$A$2689, 0))</f>
        <v>0</v>
      </c>
      <c r="AF71" s="176">
        <f>INDEX('STOPE SUMMARY PIVOT'!$K$2562:$K$2689, MATCH(AE$1,'STOPE SUMMARY PIVOT'!$A$2562:$A$2689, 0))</f>
        <v>0</v>
      </c>
      <c r="AG71" s="172">
        <f>INDEX('STOPE SUMMARY PIVOT'!$J$2562:$J$2689, MATCH(AG$1,'STOPE SUMMARY PIVOT'!$A$2562:$A$2689, 0))</f>
        <v>0</v>
      </c>
      <c r="AH71" s="176">
        <f>INDEX('STOPE SUMMARY PIVOT'!$K$2562:$K$2689, MATCH(AG$1,'STOPE SUMMARY PIVOT'!$A$2562:$A$2689, 0))</f>
        <v>0</v>
      </c>
      <c r="AI71" s="172">
        <f>INDEX('STOPE SUMMARY PIVOT'!$J$2562:$J$2689, MATCH(AI$1,'STOPE SUMMARY PIVOT'!$A$2562:$A$2689, 0))</f>
        <v>0</v>
      </c>
      <c r="AJ71" s="176">
        <f>INDEX('STOPE SUMMARY PIVOT'!$K$2562:$K$2689, MATCH(AI$1,'STOPE SUMMARY PIVOT'!$A$2562:$A$2689, 0))</f>
        <v>0</v>
      </c>
      <c r="AK71" s="172">
        <f>INDEX('STOPE SUMMARY PIVOT'!$J$2562:$J$2689, MATCH(AK$1,'STOPE SUMMARY PIVOT'!$A$2562:$A$2689, 0))</f>
        <v>0</v>
      </c>
      <c r="AL71" s="176">
        <f>INDEX('STOPE SUMMARY PIVOT'!$K$2562:$K$2689, MATCH(AK$1,'STOPE SUMMARY PIVOT'!$A$2562:$A$2689, 0))</f>
        <v>0</v>
      </c>
      <c r="AM71" s="172">
        <f>INDEX('STOPE SUMMARY PIVOT'!$J$2562:$J$2689, MATCH(AM$1,'STOPE SUMMARY PIVOT'!$A$2562:$A$2689, 0))</f>
        <v>0</v>
      </c>
      <c r="AN71" s="176">
        <f>INDEX('STOPE SUMMARY PIVOT'!$K$2562:$K$2689, MATCH(AM$1,'STOPE SUMMARY PIVOT'!$A$2562:$A$2689, 0))</f>
        <v>0</v>
      </c>
      <c r="AO71" s="172">
        <f>INDEX('STOPE SUMMARY PIVOT'!$J$2562:$J$2689, MATCH(AO$1,'STOPE SUMMARY PIVOT'!$A$2562:$A$2689, 0))</f>
        <v>0</v>
      </c>
      <c r="AP71" s="176">
        <f>INDEX('STOPE SUMMARY PIVOT'!$K$2562:$K$2689, MATCH(AO$1,'STOPE SUMMARY PIVOT'!$A$2562:$A$2689, 0))</f>
        <v>0</v>
      </c>
      <c r="AQ71" s="172">
        <f>INDEX('STOPE SUMMARY PIVOT'!$J$2562:$J$2689, MATCH(AQ$1,'STOPE SUMMARY PIVOT'!$A$2562:$A$2689, 0))</f>
        <v>0</v>
      </c>
      <c r="AR71" s="176">
        <f>INDEX('STOPE SUMMARY PIVOT'!$K$2562:$K$2689, MATCH(AQ$1,'STOPE SUMMARY PIVOT'!$A$2562:$A$2689, 0))</f>
        <v>0</v>
      </c>
      <c r="AS71" s="172">
        <f>INDEX('STOPE SUMMARY PIVOT'!$J$2562:$J$2689, MATCH(AS$1,'STOPE SUMMARY PIVOT'!$A$2562:$A$2689, 0))</f>
        <v>0</v>
      </c>
      <c r="AT71" s="176">
        <f>INDEX('STOPE SUMMARY PIVOT'!$K$2562:$K$2689, MATCH(AS$1,'STOPE SUMMARY PIVOT'!$A$2562:$A$2689, 0))</f>
        <v>0</v>
      </c>
      <c r="AU71" s="172">
        <f>INDEX('STOPE SUMMARY PIVOT'!$J$2562:$J$2689, MATCH(AU$1,'STOPE SUMMARY PIVOT'!$A$2562:$A$2689, 0))</f>
        <v>0</v>
      </c>
      <c r="AV71" s="176">
        <f>INDEX('STOPE SUMMARY PIVOT'!$K$2562:$K$2689, MATCH(AU$1,'STOPE SUMMARY PIVOT'!$A$2562:$A$2689, 0))</f>
        <v>0</v>
      </c>
      <c r="AW71" s="172">
        <f>INDEX('STOPE SUMMARY PIVOT'!$J$2562:$J$2689, MATCH(AW$1,'STOPE SUMMARY PIVOT'!$A$2562:$A$2689, 0))</f>
        <v>0</v>
      </c>
      <c r="AX71" s="176">
        <f>INDEX('STOPE SUMMARY PIVOT'!$K$2562:$K$2689, MATCH(AW$1,'STOPE SUMMARY PIVOT'!$A$2562:$A$2689, 0))</f>
        <v>0</v>
      </c>
      <c r="AY71" s="172">
        <f>INDEX('STOPE SUMMARY PIVOT'!$J$2562:$J$2689, MATCH(AY$1,'STOPE SUMMARY PIVOT'!$A$2562:$A$2689, 0))</f>
        <v>0</v>
      </c>
      <c r="AZ71" s="176">
        <f>INDEX('STOPE SUMMARY PIVOT'!$K$2562:$K$2689, MATCH(AY$1,'STOPE SUMMARY PIVOT'!$A$2562:$A$2689, 0))</f>
        <v>0</v>
      </c>
      <c r="BA71" s="172">
        <f>INDEX('STOPE SUMMARY PIVOT'!$J$2562:$J$2689, MATCH(BA$1,'STOPE SUMMARY PIVOT'!$A$2562:$A$2689, 0))</f>
        <v>0</v>
      </c>
      <c r="BB71" s="176">
        <f>INDEX('STOPE SUMMARY PIVOT'!$K$2562:$K$2689, MATCH(BA$1,'STOPE SUMMARY PIVOT'!$A$2562:$A$2689, 0))</f>
        <v>0</v>
      </c>
      <c r="BC71" s="172">
        <f>INDEX('STOPE SUMMARY PIVOT'!$J$2562:$J$2689, MATCH(BC$1,'STOPE SUMMARY PIVOT'!$A$2562:$A$2689, 0))</f>
        <v>0</v>
      </c>
      <c r="BD71" s="176">
        <f>INDEX('STOPE SUMMARY PIVOT'!$K$2562:$K$2689, MATCH(BC$1,'STOPE SUMMARY PIVOT'!$A$2562:$A$2689, 0))</f>
        <v>0</v>
      </c>
      <c r="BE71" s="172">
        <f>INDEX('STOPE SUMMARY PIVOT'!$J$2562:$J$2689, MATCH(BE$1,'STOPE SUMMARY PIVOT'!$A$2562:$A$2689, 0))</f>
        <v>0</v>
      </c>
      <c r="BF71" s="176">
        <f>INDEX('STOPE SUMMARY PIVOT'!$K$2562:$K$2689, MATCH(BE$1,'STOPE SUMMARY PIVOT'!$A$2562:$A$2689, 0))</f>
        <v>0</v>
      </c>
      <c r="BG71" s="172">
        <f>INDEX('STOPE SUMMARY PIVOT'!$J$2562:$J$2689, MATCH(BG$1,'STOPE SUMMARY PIVOT'!$A$2562:$A$2689, 0))</f>
        <v>0</v>
      </c>
      <c r="BH71" s="176">
        <f>INDEX('STOPE SUMMARY PIVOT'!$K$2562:$K$2689, MATCH(BG$1,'STOPE SUMMARY PIVOT'!$A$2562:$A$2689, 0))</f>
        <v>0</v>
      </c>
      <c r="BI71" s="172">
        <f>INDEX('STOPE SUMMARY PIVOT'!$J$2562:$J$2689, MATCH(BI$1,'STOPE SUMMARY PIVOT'!$A$2562:$A$2689, 0))</f>
        <v>0</v>
      </c>
      <c r="BJ71" s="176">
        <f>INDEX('STOPE SUMMARY PIVOT'!$K$2562:$K$2689, MATCH(BI$1,'STOPE SUMMARY PIVOT'!$A$2562:$A$2689, 0))</f>
        <v>0</v>
      </c>
      <c r="BK71" s="172">
        <f>INDEX('STOPE SUMMARY PIVOT'!$J$2562:$J$2689, MATCH(BK$1,'STOPE SUMMARY PIVOT'!$A$2562:$A$2689, 0))</f>
        <v>0</v>
      </c>
      <c r="BL71" s="176">
        <f>INDEX('STOPE SUMMARY PIVOT'!$K$2562:$K$2689, MATCH(BK$1,'STOPE SUMMARY PIVOT'!$A$2562:$A$2689, 0))</f>
        <v>0</v>
      </c>
      <c r="BM71" s="172">
        <f>INDEX('STOPE SUMMARY PIVOT'!$J$2562:$J$2689, MATCH(BM$1,'STOPE SUMMARY PIVOT'!$A$2562:$A$2689, 0))</f>
        <v>0</v>
      </c>
      <c r="BN71" s="176">
        <f>INDEX('STOPE SUMMARY PIVOT'!$K$2562:$K$2689, MATCH(BM$1,'STOPE SUMMARY PIVOT'!$A$2562:$A$2689, 0))</f>
        <v>0</v>
      </c>
      <c r="BO71" s="172">
        <f>INDEX('STOPE SUMMARY PIVOT'!$J$2562:$J$2689, MATCH(BO$1,'STOPE SUMMARY PIVOT'!$A$2562:$A$2689, 0))</f>
        <v>0</v>
      </c>
      <c r="BP71" s="176">
        <f>INDEX('STOPE SUMMARY PIVOT'!$K$2562:$K$2689, MATCH(BO$1,'STOPE SUMMARY PIVOT'!$A$2562:$A$2689, 0))</f>
        <v>0</v>
      </c>
      <c r="BQ71" s="172">
        <f>INDEX('STOPE SUMMARY PIVOT'!$J$2562:$J$2689, MATCH(BQ$1,'STOPE SUMMARY PIVOT'!$A$2562:$A$2689, 0))</f>
        <v>0</v>
      </c>
      <c r="BR71" s="176">
        <f>INDEX('STOPE SUMMARY PIVOT'!$K$2562:$K$2689, MATCH(BQ$1,'STOPE SUMMARY PIVOT'!$A$2562:$A$2689, 0))</f>
        <v>0</v>
      </c>
      <c r="BS71" s="172">
        <f>INDEX('STOPE SUMMARY PIVOT'!$J$2562:$J$2689, MATCH(BS$1,'STOPE SUMMARY PIVOT'!$A$2562:$A$2689, 0))</f>
        <v>0</v>
      </c>
      <c r="BT71" s="176">
        <f>INDEX('STOPE SUMMARY PIVOT'!$K$2562:$K$2689, MATCH(BS$1,'STOPE SUMMARY PIVOT'!$A$2562:$A$2689, 0))</f>
        <v>0</v>
      </c>
      <c r="BU71" s="172">
        <f>INDEX('STOPE SUMMARY PIVOT'!$J$2562:$J$2689, MATCH(BU$1,'STOPE SUMMARY PIVOT'!$A$2562:$A$2689, 0))</f>
        <v>0</v>
      </c>
      <c r="BV71" s="176">
        <f>INDEX('STOPE SUMMARY PIVOT'!$K$2562:$K$2689, MATCH(BU$1,'STOPE SUMMARY PIVOT'!$A$2562:$A$2689, 0))</f>
        <v>0</v>
      </c>
      <c r="BW71" s="172">
        <f>INDEX('STOPE SUMMARY PIVOT'!$J$2562:$J$2689, MATCH(BW$1,'STOPE SUMMARY PIVOT'!$A$2562:$A$2689, 0))</f>
        <v>0</v>
      </c>
      <c r="BX71" s="176">
        <f>INDEX('STOPE SUMMARY PIVOT'!$K$2562:$K$2689, MATCH(BW$1,'STOPE SUMMARY PIVOT'!$A$2562:$A$2689, 0))</f>
        <v>0</v>
      </c>
      <c r="BY71" s="172">
        <f>INDEX('STOPE SUMMARY PIVOT'!$J$2562:$J$2689, MATCH(BY$1,'STOPE SUMMARY PIVOT'!$A$2562:$A$2689, 0))</f>
        <v>0</v>
      </c>
      <c r="BZ71" s="176">
        <f>INDEX('STOPE SUMMARY PIVOT'!$K$2562:$K$2689, MATCH(BY$1,'STOPE SUMMARY PIVOT'!$A$2562:$A$2689, 0))</f>
        <v>0</v>
      </c>
      <c r="CA71" s="172">
        <f>INDEX('STOPE SUMMARY PIVOT'!$J$2562:$J$2689, MATCH(CA$1,'STOPE SUMMARY PIVOT'!$A$2562:$A$2689, 0))</f>
        <v>0</v>
      </c>
      <c r="CB71" s="176">
        <f>INDEX('STOPE SUMMARY PIVOT'!$K$2562:$K$2689, MATCH(CA$1,'STOPE SUMMARY PIVOT'!$A$2562:$A$2689, 0))</f>
        <v>0</v>
      </c>
      <c r="CC71" s="172">
        <f>INDEX('STOPE SUMMARY PIVOT'!$J$2562:$J$2689, MATCH(CC$1,'STOPE SUMMARY PIVOT'!$A$2562:$A$2689, 0))</f>
        <v>0</v>
      </c>
      <c r="CD71" s="176">
        <f>INDEX('STOPE SUMMARY PIVOT'!$K$2562:$K$2689, MATCH(CC$1,'STOPE SUMMARY PIVOT'!$A$2562:$A$2689, 0))</f>
        <v>0</v>
      </c>
      <c r="CE71" s="172">
        <f>INDEX('STOPE SUMMARY PIVOT'!$J$2562:$J$2689, MATCH(CE$1,'STOPE SUMMARY PIVOT'!$A$2562:$A$2689, 0))</f>
        <v>0</v>
      </c>
      <c r="CF71" s="176">
        <f>INDEX('STOPE SUMMARY PIVOT'!$K$2562:$K$2689, MATCH(CE$1,'STOPE SUMMARY PIVOT'!$A$2562:$A$2689, 0))</f>
        <v>0</v>
      </c>
      <c r="CG71" s="172">
        <f>INDEX('STOPE SUMMARY PIVOT'!$J$2562:$J$2689, MATCH(CG$1,'STOPE SUMMARY PIVOT'!$A$2562:$A$2689, 0))</f>
        <v>0</v>
      </c>
      <c r="CH71" s="176">
        <f>INDEX('STOPE SUMMARY PIVOT'!$K$2562:$K$2689, MATCH(CG$1,'STOPE SUMMARY PIVOT'!$A$2562:$A$2689, 0))</f>
        <v>0</v>
      </c>
      <c r="CI71" s="172">
        <f>INDEX('STOPE SUMMARY PIVOT'!$J$2562:$J$2689, MATCH(CI$1,'STOPE SUMMARY PIVOT'!$A$2562:$A$2689, 0))</f>
        <v>0</v>
      </c>
      <c r="CJ71" s="176">
        <f>INDEX('STOPE SUMMARY PIVOT'!$K$2562:$K$2689, MATCH(CI$1,'STOPE SUMMARY PIVOT'!$A$2562:$A$2689, 0))</f>
        <v>0</v>
      </c>
      <c r="CK71" s="172">
        <f>INDEX('STOPE SUMMARY PIVOT'!$J$2562:$J$2689, MATCH(CK$1,'STOPE SUMMARY PIVOT'!$A$2562:$A$2689, 0))</f>
        <v>0</v>
      </c>
      <c r="CL71" s="176">
        <f>INDEX('STOPE SUMMARY PIVOT'!$K$2562:$K$2689, MATCH(CK$1,'STOPE SUMMARY PIVOT'!$A$2562:$A$2689, 0))</f>
        <v>0</v>
      </c>
      <c r="CM71" s="172">
        <f>INDEX('STOPE SUMMARY PIVOT'!$J$2562:$J$2689, MATCH(CM$1,'STOPE SUMMARY PIVOT'!$A$2562:$A$2689, 0))</f>
        <v>0</v>
      </c>
      <c r="CN71" s="176">
        <f>INDEX('STOPE SUMMARY PIVOT'!$K$2562:$K$2689, MATCH(CM$1,'STOPE SUMMARY PIVOT'!$A$2562:$A$2689, 0))</f>
        <v>0</v>
      </c>
      <c r="CO71" s="172">
        <f>INDEX('STOPE SUMMARY PIVOT'!$J$2562:$J$2689, MATCH(CO$1,'STOPE SUMMARY PIVOT'!$A$2562:$A$2689, 0))</f>
        <v>0</v>
      </c>
      <c r="CP71" s="176">
        <f>INDEX('STOPE SUMMARY PIVOT'!$K$2562:$K$2689, MATCH(CO$1,'STOPE SUMMARY PIVOT'!$A$2562:$A$2689, 0))</f>
        <v>0</v>
      </c>
      <c r="CQ71" s="172">
        <f>INDEX('STOPE SUMMARY PIVOT'!$J$2562:$J$2689, MATCH(CQ$1,'STOPE SUMMARY PIVOT'!$A$2562:$A$2689, 0))</f>
        <v>0</v>
      </c>
      <c r="CR71" s="176">
        <f>INDEX('STOPE SUMMARY PIVOT'!$K$2562:$K$2689, MATCH(CQ$1,'STOPE SUMMARY PIVOT'!$A$2562:$A$2689, 0))</f>
        <v>0</v>
      </c>
      <c r="CS71" s="172">
        <f>INDEX('STOPE SUMMARY PIVOT'!$J$2562:$J$2689, MATCH(CS$1,'STOPE SUMMARY PIVOT'!$A$2562:$A$2689, 0))</f>
        <v>0</v>
      </c>
      <c r="CT71" s="176">
        <f>INDEX('STOPE SUMMARY PIVOT'!$K$2562:$K$2689, MATCH(CS$1,'STOPE SUMMARY PIVOT'!$A$2562:$A$2689, 0))</f>
        <v>0</v>
      </c>
      <c r="CU71" s="172">
        <f>INDEX('STOPE SUMMARY PIVOT'!$J$2562:$J$2689, MATCH(CU$1,'STOPE SUMMARY PIVOT'!$A$2562:$A$2689, 0))</f>
        <v>0</v>
      </c>
      <c r="CV71" s="176">
        <f>INDEX('STOPE SUMMARY PIVOT'!$K$2562:$K$2689, MATCH(CU$1,'STOPE SUMMARY PIVOT'!$A$2562:$A$2689, 0))</f>
        <v>0</v>
      </c>
      <c r="CW71" s="172">
        <f>INDEX('STOPE SUMMARY PIVOT'!$J$2562:$J$2689, MATCH(CW$1,'STOPE SUMMARY PIVOT'!$A$2562:$A$2689, 0))</f>
        <v>0</v>
      </c>
      <c r="CX71" s="176">
        <f>INDEX('STOPE SUMMARY PIVOT'!$K$2562:$K$2689, MATCH(CW$1,'STOPE SUMMARY PIVOT'!$A$2562:$A$2689, 0))</f>
        <v>0</v>
      </c>
      <c r="CY71" s="172">
        <f>INDEX('STOPE SUMMARY PIVOT'!$J$2562:$J$2689, MATCH(CY$1,'STOPE SUMMARY PIVOT'!$A$2562:$A$2689, 0))</f>
        <v>0</v>
      </c>
      <c r="CZ71" s="176">
        <f>INDEX('STOPE SUMMARY PIVOT'!$K$2562:$K$2689, MATCH(CY$1,'STOPE SUMMARY PIVOT'!$A$2562:$A$2689, 0))</f>
        <v>0</v>
      </c>
      <c r="DA71" s="172">
        <f>INDEX('STOPE SUMMARY PIVOT'!$J$2562:$J$2689, MATCH(DA$1,'STOPE SUMMARY PIVOT'!$A$2562:$A$2689, 0))</f>
        <v>0</v>
      </c>
      <c r="DB71" s="176">
        <f>INDEX('STOPE SUMMARY PIVOT'!$K$2562:$K$2689, MATCH(DA$1,'STOPE SUMMARY PIVOT'!$A$2562:$A$2689, 0))</f>
        <v>0</v>
      </c>
      <c r="DC71" s="172">
        <f>INDEX('STOPE SUMMARY PIVOT'!$J$2562:$J$2689, MATCH(DC$1,'STOPE SUMMARY PIVOT'!$A$2562:$A$2689, 0))</f>
        <v>0</v>
      </c>
      <c r="DD71" s="176">
        <f>INDEX('STOPE SUMMARY PIVOT'!$K$2562:$K$2689, MATCH(DC$1,'STOPE SUMMARY PIVOT'!$A$2562:$A$2689, 0))</f>
        <v>0</v>
      </c>
      <c r="DE71" s="172">
        <f>INDEX('STOPE SUMMARY PIVOT'!$J$2562:$J$2689, MATCH(DE$1,'STOPE SUMMARY PIVOT'!$A$2562:$A$2689, 0))</f>
        <v>0</v>
      </c>
      <c r="DF71" s="176">
        <f>INDEX('STOPE SUMMARY PIVOT'!$K$2562:$K$2689, MATCH(DE$1,'STOPE SUMMARY PIVOT'!$A$2562:$A$2689, 0))</f>
        <v>0</v>
      </c>
      <c r="DG71" s="172">
        <f>INDEX('STOPE SUMMARY PIVOT'!$J$2562:$J$2689, MATCH(DG$1,'STOPE SUMMARY PIVOT'!$A$2562:$A$2689, 0))</f>
        <v>0</v>
      </c>
      <c r="DH71" s="176">
        <f>INDEX('STOPE SUMMARY PIVOT'!$K$2562:$K$2689, MATCH(DG$1,'STOPE SUMMARY PIVOT'!$A$2562:$A$2689, 0))</f>
        <v>0</v>
      </c>
      <c r="DI71" s="172">
        <f>INDEX('STOPE SUMMARY PIVOT'!$J$2562:$J$2689, MATCH(DI$1,'STOPE SUMMARY PIVOT'!$A$2562:$A$2689, 0))</f>
        <v>0</v>
      </c>
      <c r="DJ71" s="176">
        <f>INDEX('STOPE SUMMARY PIVOT'!$K$2562:$K$2689, MATCH(DI$1,'STOPE SUMMARY PIVOT'!$A$2562:$A$2689, 0))</f>
        <v>0</v>
      </c>
      <c r="DK71" s="172">
        <f>INDEX('STOPE SUMMARY PIVOT'!$J$2562:$J$2689, MATCH(DK$1,'STOPE SUMMARY PIVOT'!$A$2562:$A$2689, 0))</f>
        <v>0</v>
      </c>
      <c r="DL71" s="176">
        <f>INDEX('STOPE SUMMARY PIVOT'!$K$2562:$K$2689, MATCH(DK$1,'STOPE SUMMARY PIVOT'!$A$2562:$A$2689, 0))</f>
        <v>0</v>
      </c>
      <c r="DM71" s="172">
        <f>INDEX('STOPE SUMMARY PIVOT'!$J$2562:$J$2689, MATCH(DM$1,'STOPE SUMMARY PIVOT'!$A$2562:$A$2689, 0))</f>
        <v>0</v>
      </c>
      <c r="DN71" s="176">
        <f>INDEX('STOPE SUMMARY PIVOT'!$K$2562:$K$2689, MATCH(DM$1,'STOPE SUMMARY PIVOT'!$A$2562:$A$2689, 0))</f>
        <v>0</v>
      </c>
      <c r="DO71" s="172">
        <f>INDEX('STOPE SUMMARY PIVOT'!$J$2562:$J$2689, MATCH(DO$1,'STOPE SUMMARY PIVOT'!$A$2562:$A$2689, 0))</f>
        <v>0</v>
      </c>
      <c r="DP71" s="176">
        <f>INDEX('STOPE SUMMARY PIVOT'!$K$2562:$K$2689, MATCH(DO$1,'STOPE SUMMARY PIVOT'!$A$2562:$A$2689, 0))</f>
        <v>0</v>
      </c>
      <c r="DQ71" s="172">
        <f>INDEX('STOPE SUMMARY PIVOT'!$J$2562:$J$2689, MATCH(DQ$1,'STOPE SUMMARY PIVOT'!$A$2562:$A$2689, 0))</f>
        <v>0</v>
      </c>
      <c r="DR71" s="176">
        <f>INDEX('STOPE SUMMARY PIVOT'!$K$2562:$K$2689, MATCH(DQ$1,'STOPE SUMMARY PIVOT'!$A$2562:$A$2689, 0))</f>
        <v>0</v>
      </c>
      <c r="DS71" s="172">
        <f>INDEX('STOPE SUMMARY PIVOT'!$J$2562:$J$2689, MATCH(DS$1,'STOPE SUMMARY PIVOT'!$A$2562:$A$2689, 0))</f>
        <v>0</v>
      </c>
      <c r="DT71" s="176">
        <f>INDEX('STOPE SUMMARY PIVOT'!$K$2562:$K$2689, MATCH(DS$1,'STOPE SUMMARY PIVOT'!$A$2562:$A$2689, 0))</f>
        <v>0</v>
      </c>
      <c r="DU71" s="172">
        <f>INDEX('STOPE SUMMARY PIVOT'!$J$2562:$J$2689, MATCH(DU$1,'STOPE SUMMARY PIVOT'!$A$2562:$A$2689, 0))</f>
        <v>0</v>
      </c>
      <c r="DV71" s="176">
        <f>INDEX('STOPE SUMMARY PIVOT'!$K$2562:$K$2689, MATCH(DU$1,'STOPE SUMMARY PIVOT'!$A$2562:$A$2689, 0))</f>
        <v>0</v>
      </c>
      <c r="DW71" s="172">
        <f>INDEX('STOPE SUMMARY PIVOT'!$J$2562:$J$2689, MATCH(DW$1,'STOPE SUMMARY PIVOT'!$A$2562:$A$2689, 0))</f>
        <v>0</v>
      </c>
      <c r="DX71" s="176">
        <f>INDEX('STOPE SUMMARY PIVOT'!$K$2562:$K$2689, MATCH(DW$1,'STOPE SUMMARY PIVOT'!$A$2562:$A$2689, 0))</f>
        <v>0</v>
      </c>
      <c r="DY71" s="172">
        <f>INDEX('STOPE SUMMARY PIVOT'!$J$2562:$J$2689, MATCH(DY$1,'STOPE SUMMARY PIVOT'!$A$2562:$A$2689, 0))</f>
        <v>0</v>
      </c>
      <c r="DZ71" s="176">
        <f>INDEX('STOPE SUMMARY PIVOT'!$K$2562:$K$2689, MATCH(DY$1,'STOPE SUMMARY PIVOT'!$A$2562:$A$2689, 0))</f>
        <v>0</v>
      </c>
      <c r="EA71" s="172">
        <f>INDEX('STOPE SUMMARY PIVOT'!$J$2562:$J$2689, MATCH(EA$1,'STOPE SUMMARY PIVOT'!$A$2562:$A$2689, 0))</f>
        <v>0</v>
      </c>
      <c r="EB71" s="176">
        <f>INDEX('STOPE SUMMARY PIVOT'!$K$2562:$K$2689, MATCH(EA$1,'STOPE SUMMARY PIVOT'!$A$2562:$A$2689, 0))</f>
        <v>0</v>
      </c>
      <c r="EC71" s="172">
        <f>INDEX('STOPE SUMMARY PIVOT'!$J$2562:$J$2689, MATCH(EC$1,'STOPE SUMMARY PIVOT'!$A$2562:$A$2689, 0))</f>
        <v>0</v>
      </c>
      <c r="ED71" s="176">
        <f>INDEX('STOPE SUMMARY PIVOT'!$K$2562:$K$2689, MATCH(EC$1,'STOPE SUMMARY PIVOT'!$A$2562:$A$2689, 0))</f>
        <v>0</v>
      </c>
      <c r="EE71" s="172">
        <f>INDEX('STOPE SUMMARY PIVOT'!$J$2562:$J$2689, MATCH(EE$1,'STOPE SUMMARY PIVOT'!$A$2562:$A$2689, 0))</f>
        <v>0</v>
      </c>
      <c r="EF71" s="176">
        <f>INDEX('STOPE SUMMARY PIVOT'!$K$2562:$K$2689, MATCH(EE$1,'STOPE SUMMARY PIVOT'!$A$2562:$A$2689, 0))</f>
        <v>0</v>
      </c>
      <c r="EG71" s="172">
        <f>INDEX('STOPE SUMMARY PIVOT'!$J$2562:$J$2689, MATCH(EG$1,'STOPE SUMMARY PIVOT'!$A$2562:$A$2689, 0))</f>
        <v>0</v>
      </c>
      <c r="EH71" s="176">
        <f>INDEX('STOPE SUMMARY PIVOT'!$K$2562:$K$2689, MATCH(EG$1,'STOPE SUMMARY PIVOT'!$A$2562:$A$2689, 0))</f>
        <v>0</v>
      </c>
      <c r="EI71" s="172">
        <f>INDEX('STOPE SUMMARY PIVOT'!$J$2562:$J$2689, MATCH(EI$1,'STOPE SUMMARY PIVOT'!$A$2562:$A$2689, 0))</f>
        <v>0</v>
      </c>
      <c r="EJ71" s="176">
        <f>INDEX('STOPE SUMMARY PIVOT'!$K$2562:$K$2689, MATCH(EI$1,'STOPE SUMMARY PIVOT'!$A$2562:$A$2689, 0))</f>
        <v>0</v>
      </c>
      <c r="EK71" s="172">
        <f>INDEX('STOPE SUMMARY PIVOT'!$J$2562:$J$2689, MATCH(EK$1,'STOPE SUMMARY PIVOT'!$A$2562:$A$2689, 0))</f>
        <v>0</v>
      </c>
      <c r="EL71" s="176">
        <f>INDEX('STOPE SUMMARY PIVOT'!$K$2562:$K$2689, MATCH(EK$1,'STOPE SUMMARY PIVOT'!$A$2562:$A$2689, 0))</f>
        <v>0</v>
      </c>
      <c r="EM71" s="172">
        <f>INDEX('STOPE SUMMARY PIVOT'!$J$2562:$J$2689, MATCH(EM$1,'STOPE SUMMARY PIVOT'!$A$2562:$A$2689, 0))</f>
        <v>0</v>
      </c>
      <c r="EN71" s="176">
        <f>INDEX('STOPE SUMMARY PIVOT'!$K$2562:$K$2689, MATCH(EM$1,'STOPE SUMMARY PIVOT'!$A$2562:$A$2689, 0))</f>
        <v>0</v>
      </c>
      <c r="EO71" s="172">
        <f>INDEX('STOPE SUMMARY PIVOT'!$J$2562:$J$2689, MATCH(EO$1,'STOPE SUMMARY PIVOT'!$A$2562:$A$2689, 0))</f>
        <v>0</v>
      </c>
      <c r="EP71" s="176">
        <f>INDEX('STOPE SUMMARY PIVOT'!$K$2562:$K$2689, MATCH(EO$1,'STOPE SUMMARY PIVOT'!$A$2562:$A$2689, 0))</f>
        <v>0</v>
      </c>
      <c r="EQ71" s="172">
        <f>INDEX('STOPE SUMMARY PIVOT'!$J$2562:$J$2689, MATCH(EQ$1,'STOPE SUMMARY PIVOT'!$A$2562:$A$2689, 0))</f>
        <v>0</v>
      </c>
      <c r="ER71" s="176">
        <f>INDEX('STOPE SUMMARY PIVOT'!$K$2562:$K$2689, MATCH(EQ$1,'STOPE SUMMARY PIVOT'!$A$2562:$A$2689, 0))</f>
        <v>0</v>
      </c>
      <c r="ES71" s="172">
        <f>INDEX('STOPE SUMMARY PIVOT'!$J$2562:$J$2689, MATCH(ES$1,'STOPE SUMMARY PIVOT'!$A$2562:$A$2689, 0))</f>
        <v>0</v>
      </c>
      <c r="ET71" s="176">
        <f>INDEX('STOPE SUMMARY PIVOT'!$K$2562:$K$2689, MATCH(ES$1,'STOPE SUMMARY PIVOT'!$A$2562:$A$2689, 0))</f>
        <v>0</v>
      </c>
      <c r="EU71" s="172">
        <f>INDEX('STOPE SUMMARY PIVOT'!$J$2562:$J$2689, MATCH(EU$1,'STOPE SUMMARY PIVOT'!$A$2562:$A$2689, 0))</f>
        <v>0</v>
      </c>
      <c r="EV71" s="176">
        <f>INDEX('STOPE SUMMARY PIVOT'!$K$2562:$K$2689, MATCH(EU$1,'STOPE SUMMARY PIVOT'!$A$2562:$A$2689, 0))</f>
        <v>0</v>
      </c>
      <c r="EW71" s="172">
        <f>INDEX('STOPE SUMMARY PIVOT'!$J$2562:$J$2689, MATCH(EW$1,'STOPE SUMMARY PIVOT'!$A$2562:$A$2689, 0))</f>
        <v>0</v>
      </c>
      <c r="EX71" s="176">
        <f>INDEX('STOPE SUMMARY PIVOT'!$K$2562:$K$2689, MATCH(EW$1,'STOPE SUMMARY PIVOT'!$A$2562:$A$2689, 0))</f>
        <v>0</v>
      </c>
      <c r="EY71" s="172">
        <f>INDEX('STOPE SUMMARY PIVOT'!$J$2562:$J$2689, MATCH(EY$1,'STOPE SUMMARY PIVOT'!$A$2562:$A$2689, 0))</f>
        <v>0</v>
      </c>
      <c r="EZ71" s="176">
        <f>INDEX('STOPE SUMMARY PIVOT'!$K$2562:$K$2689, MATCH(EY$1,'STOPE SUMMARY PIVOT'!$A$2562:$A$2689, 0))</f>
        <v>0</v>
      </c>
      <c r="FA71" s="172">
        <f>INDEX('STOPE SUMMARY PIVOT'!$J$2562:$J$2689, MATCH(FA$1,'STOPE SUMMARY PIVOT'!$A$2562:$A$2689, 0))</f>
        <v>0</v>
      </c>
      <c r="FB71" s="176">
        <f>INDEX('STOPE SUMMARY PIVOT'!$K$2562:$K$2689, MATCH(FA$1,'STOPE SUMMARY PIVOT'!$A$2562:$A$2689, 0))</f>
        <v>0</v>
      </c>
      <c r="FC71" s="172">
        <f>INDEX('STOPE SUMMARY PIVOT'!$J$2562:$J$2689, MATCH(FC$1,'STOPE SUMMARY PIVOT'!$A$2562:$A$2689, 0))</f>
        <v>0</v>
      </c>
      <c r="FD71" s="176">
        <f>INDEX('STOPE SUMMARY PIVOT'!$K$2562:$K$2689, MATCH(FC$1,'STOPE SUMMARY PIVOT'!$A$2562:$A$2689, 0))</f>
        <v>0</v>
      </c>
      <c r="FE71" s="172">
        <f>INDEX('STOPE SUMMARY PIVOT'!$J$2562:$J$2689, MATCH(FE$1,'STOPE SUMMARY PIVOT'!$A$2562:$A$2689, 0))</f>
        <v>0</v>
      </c>
      <c r="FF71" s="176">
        <f>INDEX('STOPE SUMMARY PIVOT'!$K$2562:$K$2689, MATCH(FE$1,'STOPE SUMMARY PIVOT'!$A$2562:$A$2689, 0))</f>
        <v>0</v>
      </c>
      <c r="FG71" s="172">
        <f>INDEX('STOPE SUMMARY PIVOT'!$J$2562:$J$2689, MATCH(FG$1,'STOPE SUMMARY PIVOT'!$A$2562:$A$2689, 0))</f>
        <v>0</v>
      </c>
      <c r="FH71" s="176">
        <f>INDEX('STOPE SUMMARY PIVOT'!$K$2562:$K$2689, MATCH(FG$1,'STOPE SUMMARY PIVOT'!$A$2562:$A$2689, 0))</f>
        <v>0</v>
      </c>
      <c r="FI71" s="172">
        <f>INDEX('STOPE SUMMARY PIVOT'!$J$2562:$J$2689, MATCH(FI$1,'STOPE SUMMARY PIVOT'!$A$2562:$A$2689, 0))</f>
        <v>0</v>
      </c>
      <c r="FJ71" s="176">
        <f>INDEX('STOPE SUMMARY PIVOT'!$K$2562:$K$2689, MATCH(FI$1,'STOPE SUMMARY PIVOT'!$A$2562:$A$2689, 0))</f>
        <v>0</v>
      </c>
      <c r="FK71" s="172">
        <f>INDEX('STOPE SUMMARY PIVOT'!$J$2562:$J$2689, MATCH(FK$1,'STOPE SUMMARY PIVOT'!$A$2562:$A$2689, 0))</f>
        <v>0</v>
      </c>
      <c r="FL71" s="176">
        <f>INDEX('STOPE SUMMARY PIVOT'!$K$2562:$K$2689, MATCH(FK$1,'STOPE SUMMARY PIVOT'!$A$2562:$A$2689, 0))</f>
        <v>0</v>
      </c>
      <c r="FM71" s="172">
        <f>INDEX('STOPE SUMMARY PIVOT'!$J$2562:$J$2689, MATCH(FM$1,'STOPE SUMMARY PIVOT'!$A$2562:$A$2689, 0))</f>
        <v>0</v>
      </c>
      <c r="FN71" s="176">
        <f>INDEX('STOPE SUMMARY PIVOT'!$K$2562:$K$2689, MATCH(FM$1,'STOPE SUMMARY PIVOT'!$A$2562:$A$2689, 0))</f>
        <v>0</v>
      </c>
      <c r="FO71" s="172">
        <f>INDEX('STOPE SUMMARY PIVOT'!$J$2562:$J$2689, MATCH(FO$1,'STOPE SUMMARY PIVOT'!$A$2562:$A$2689, 0))</f>
        <v>0</v>
      </c>
      <c r="FP71" s="176">
        <f>INDEX('STOPE SUMMARY PIVOT'!$K$2562:$K$2689, MATCH(FO$1,'STOPE SUMMARY PIVOT'!$A$2562:$A$2689, 0))</f>
        <v>0</v>
      </c>
      <c r="FQ71" s="172">
        <f>INDEX('STOPE SUMMARY PIVOT'!$J$2562:$J$2689, MATCH(FQ$1,'STOPE SUMMARY PIVOT'!$A$2562:$A$2689, 0))</f>
        <v>0</v>
      </c>
      <c r="FR71" s="176">
        <f>INDEX('STOPE SUMMARY PIVOT'!$K$2562:$K$2689, MATCH(FQ$1,'STOPE SUMMARY PIVOT'!$A$2562:$A$2689, 0))</f>
        <v>0</v>
      </c>
      <c r="FS71" s="172">
        <f>INDEX('STOPE SUMMARY PIVOT'!$J$2562:$J$2689, MATCH(FS$1,'STOPE SUMMARY PIVOT'!$A$2562:$A$2689, 0))</f>
        <v>0</v>
      </c>
      <c r="FT71" s="176">
        <f>INDEX('STOPE SUMMARY PIVOT'!$K$2562:$K$2689, MATCH(FS$1,'STOPE SUMMARY PIVOT'!$A$2562:$A$2689, 0))</f>
        <v>0</v>
      </c>
      <c r="FU71" s="172">
        <f>INDEX('STOPE SUMMARY PIVOT'!$J$2562:$J$2689, MATCH(FU$1,'STOPE SUMMARY PIVOT'!$A$2562:$A$2689, 0))</f>
        <v>0</v>
      </c>
      <c r="FV71" s="176">
        <f>INDEX('STOPE SUMMARY PIVOT'!$K$2562:$K$2689, MATCH(FU$1,'STOPE SUMMARY PIVOT'!$A$2562:$A$2689, 0))</f>
        <v>0</v>
      </c>
      <c r="FW71" s="172">
        <f>INDEX('STOPE SUMMARY PIVOT'!$J$2562:$J$2689, MATCH(FW$1,'STOPE SUMMARY PIVOT'!$A$2562:$A$2689, 0))</f>
        <v>0</v>
      </c>
      <c r="FX71" s="176">
        <f>INDEX('STOPE SUMMARY PIVOT'!$K$2562:$K$2689, MATCH(FW$1,'STOPE SUMMARY PIVOT'!$A$2562:$A$2689, 0))</f>
        <v>0</v>
      </c>
      <c r="FY71" s="172">
        <f>INDEX('STOPE SUMMARY PIVOT'!$J$2562:$J$2689, MATCH(FY$1,'STOPE SUMMARY PIVOT'!$A$2562:$A$2689, 0))</f>
        <v>0</v>
      </c>
      <c r="FZ71" s="176">
        <f>INDEX('STOPE SUMMARY PIVOT'!$K$2562:$K$2689, MATCH(FY$1,'STOPE SUMMARY PIVOT'!$A$2562:$A$2689, 0))</f>
        <v>0</v>
      </c>
      <c r="GA71" s="172">
        <f>INDEX('STOPE SUMMARY PIVOT'!$J$2562:$J$2689, MATCH(GA$1,'STOPE SUMMARY PIVOT'!$A$2562:$A$2689, 0))</f>
        <v>0</v>
      </c>
      <c r="GB71" s="176">
        <f>INDEX('STOPE SUMMARY PIVOT'!$K$2562:$K$2689, MATCH(GA$1,'STOPE SUMMARY PIVOT'!$A$2562:$A$2689, 0))</f>
        <v>0</v>
      </c>
      <c r="GC71" s="172">
        <f>INDEX('STOPE SUMMARY PIVOT'!$J$2562:$J$2689, MATCH(GC$1,'STOPE SUMMARY PIVOT'!$A$2562:$A$2689, 0))</f>
        <v>0</v>
      </c>
      <c r="GD71" s="176">
        <f>INDEX('STOPE SUMMARY PIVOT'!$K$2562:$K$2689, MATCH(GC$1,'STOPE SUMMARY PIVOT'!$A$2562:$A$2689, 0))</f>
        <v>0</v>
      </c>
      <c r="GE71" s="172">
        <f>INDEX('STOPE SUMMARY PIVOT'!$J$2562:$J$2689, MATCH(GE$1,'STOPE SUMMARY PIVOT'!$A$2562:$A$2689, 0))</f>
        <v>0</v>
      </c>
      <c r="GF71" s="176">
        <f>INDEX('STOPE SUMMARY PIVOT'!$K$2562:$K$2689, MATCH(GE$1,'STOPE SUMMARY PIVOT'!$A$2562:$A$2689, 0))</f>
        <v>0</v>
      </c>
      <c r="GG71" s="172">
        <f>INDEX('STOPE SUMMARY PIVOT'!$J$2562:$J$2689, MATCH(GG$1,'STOPE SUMMARY PIVOT'!$A$2562:$A$2689, 0))</f>
        <v>0</v>
      </c>
      <c r="GH71" s="176">
        <f>INDEX('STOPE SUMMARY PIVOT'!$K$2562:$K$2689, MATCH(GG$1,'STOPE SUMMARY PIVOT'!$A$2562:$A$2689, 0))</f>
        <v>0</v>
      </c>
      <c r="GI71" s="172">
        <f>INDEX('STOPE SUMMARY PIVOT'!$J$2562:$J$2689, MATCH(GI$1,'STOPE SUMMARY PIVOT'!$A$2562:$A$2689, 0))</f>
        <v>0</v>
      </c>
      <c r="GJ71" s="176">
        <f>INDEX('STOPE SUMMARY PIVOT'!$K$2562:$K$2689, MATCH(GI$1,'STOPE SUMMARY PIVOT'!$A$2562:$A$2689, 0))</f>
        <v>0</v>
      </c>
      <c r="GK71" s="172">
        <f>INDEX('STOPE SUMMARY PIVOT'!$J$2562:$J$2689, MATCH(GK$1,'STOPE SUMMARY PIVOT'!$A$2562:$A$2689, 0))</f>
        <v>0</v>
      </c>
      <c r="GL71" s="176">
        <f>INDEX('STOPE SUMMARY PIVOT'!$K$2562:$K$2689, MATCH(GK$1,'STOPE SUMMARY PIVOT'!$A$2562:$A$2689, 0))</f>
        <v>0</v>
      </c>
      <c r="GM71" s="172">
        <f>INDEX('STOPE SUMMARY PIVOT'!$J$2562:$J$2689, MATCH(GM$1,'STOPE SUMMARY PIVOT'!$A$2562:$A$2689, 0))</f>
        <v>0</v>
      </c>
      <c r="GN71" s="176">
        <f>INDEX('STOPE SUMMARY PIVOT'!$K$2562:$K$2689, MATCH(GM$1,'STOPE SUMMARY PIVOT'!$A$2562:$A$2689, 0))</f>
        <v>0</v>
      </c>
      <c r="GO71" s="172">
        <f>INDEX('STOPE SUMMARY PIVOT'!$J$2562:$J$2689, MATCH(GO$1,'STOPE SUMMARY PIVOT'!$A$2562:$A$2689, 0))</f>
        <v>0</v>
      </c>
      <c r="GP71" s="176">
        <f>INDEX('STOPE SUMMARY PIVOT'!$K$2562:$K$2689, MATCH(GO$1,'STOPE SUMMARY PIVOT'!$A$2562:$A$2689, 0))</f>
        <v>0</v>
      </c>
      <c r="GQ71" s="172">
        <f>INDEX('STOPE SUMMARY PIVOT'!$J$2562:$J$2689, MATCH(GQ$1,'STOPE SUMMARY PIVOT'!$A$2562:$A$2689, 0))</f>
        <v>0</v>
      </c>
      <c r="GR71" s="176">
        <f>INDEX('STOPE SUMMARY PIVOT'!$K$2562:$K$2689, MATCH(GQ$1,'STOPE SUMMARY PIVOT'!$A$2562:$A$2689, 0))</f>
        <v>0</v>
      </c>
      <c r="GS71" s="172">
        <f>INDEX('STOPE SUMMARY PIVOT'!$J$2562:$J$2689, MATCH(GS$1,'STOPE SUMMARY PIVOT'!$A$2562:$A$2689, 0))</f>
        <v>0</v>
      </c>
      <c r="GT71" s="176">
        <f>INDEX('STOPE SUMMARY PIVOT'!$K$2562:$K$2689, MATCH(GS$1,'STOPE SUMMARY PIVOT'!$A$2562:$A$2689, 0))</f>
        <v>0</v>
      </c>
      <c r="GU71" s="172">
        <f>INDEX('STOPE SUMMARY PIVOT'!$J$2562:$J$2689, MATCH(GU$1,'STOPE SUMMARY PIVOT'!$A$2562:$A$2689, 0))</f>
        <v>0</v>
      </c>
      <c r="GV71" s="176">
        <f>INDEX('STOPE SUMMARY PIVOT'!$K$2562:$K$2689, MATCH(GU$1,'STOPE SUMMARY PIVOT'!$A$2562:$A$2689, 0))</f>
        <v>0</v>
      </c>
      <c r="GW71" s="172">
        <f>INDEX('STOPE SUMMARY PIVOT'!$J$2562:$J$2689, MATCH(GW$1,'STOPE SUMMARY PIVOT'!$A$2562:$A$2689, 0))</f>
        <v>0</v>
      </c>
      <c r="GX71" s="176">
        <f>INDEX('STOPE SUMMARY PIVOT'!$K$2562:$K$2689, MATCH(GW$1,'STOPE SUMMARY PIVOT'!$A$2562:$A$2689, 0))</f>
        <v>0</v>
      </c>
      <c r="GY71" s="172">
        <f>INDEX('STOPE SUMMARY PIVOT'!$J$2562:$J$2689, MATCH(GY$1,'STOPE SUMMARY PIVOT'!$A$2562:$A$2689, 0))</f>
        <v>0</v>
      </c>
      <c r="GZ71" s="176">
        <f>INDEX('STOPE SUMMARY PIVOT'!$K$2562:$K$2689, MATCH(GY$1,'STOPE SUMMARY PIVOT'!$A$2562:$A$2689, 0))</f>
        <v>0</v>
      </c>
      <c r="HA71" s="172">
        <f>INDEX('STOPE SUMMARY PIVOT'!$J$2562:$J$2689, MATCH(HA$1,'STOPE SUMMARY PIVOT'!$A$2562:$A$2689, 0))</f>
        <v>0</v>
      </c>
      <c r="HB71" s="176">
        <f>INDEX('STOPE SUMMARY PIVOT'!$K$2562:$K$2689, MATCH(HA$1,'STOPE SUMMARY PIVOT'!$A$2562:$A$2689, 0))</f>
        <v>0</v>
      </c>
      <c r="HC71" s="172">
        <f>INDEX('STOPE SUMMARY PIVOT'!$J$2562:$J$2689, MATCH(HC$1,'STOPE SUMMARY PIVOT'!$A$2562:$A$2689, 0))</f>
        <v>0</v>
      </c>
      <c r="HD71" s="176">
        <f>INDEX('STOPE SUMMARY PIVOT'!$K$2562:$K$2689, MATCH(HC$1,'STOPE SUMMARY PIVOT'!$A$2562:$A$2689, 0))</f>
        <v>0</v>
      </c>
      <c r="HE71" s="172">
        <f>INDEX('STOPE SUMMARY PIVOT'!$J$2562:$J$2689, MATCH(HE$1,'STOPE SUMMARY PIVOT'!$A$2562:$A$2689, 0))</f>
        <v>0</v>
      </c>
      <c r="HF71" s="176">
        <f>INDEX('STOPE SUMMARY PIVOT'!$K$2562:$K$2689, MATCH(HE$1,'STOPE SUMMARY PIVOT'!$A$2562:$A$2689, 0))</f>
        <v>0</v>
      </c>
      <c r="HG71" s="172">
        <f>INDEX('STOPE SUMMARY PIVOT'!$J$2562:$J$2689, MATCH(HG$1,'STOPE SUMMARY PIVOT'!$A$2562:$A$2689, 0))</f>
        <v>0</v>
      </c>
      <c r="HH71" s="176">
        <f>INDEX('STOPE SUMMARY PIVOT'!$K$2562:$K$2689, MATCH(HG$1,'STOPE SUMMARY PIVOT'!$A$2562:$A$2689, 0))</f>
        <v>0</v>
      </c>
      <c r="HI71" s="172">
        <f>INDEX('STOPE SUMMARY PIVOT'!$J$2562:$J$2689, MATCH(HI$1,'STOPE SUMMARY PIVOT'!$A$2562:$A$2689, 0))</f>
        <v>0</v>
      </c>
      <c r="HJ71" s="176">
        <f>INDEX('STOPE SUMMARY PIVOT'!$K$2562:$K$2689, MATCH(HI$1,'STOPE SUMMARY PIVOT'!$A$2562:$A$2689, 0))</f>
        <v>0</v>
      </c>
      <c r="HK71" s="172">
        <f>INDEX('STOPE SUMMARY PIVOT'!$J$2562:$J$2689, MATCH(HK$1,'STOPE SUMMARY PIVOT'!$A$2562:$A$2689, 0))</f>
        <v>0</v>
      </c>
      <c r="HL71" s="176">
        <f>INDEX('STOPE SUMMARY PIVOT'!$K$2562:$K$2689, MATCH(HK$1,'STOPE SUMMARY PIVOT'!$A$2562:$A$2689, 0))</f>
        <v>0</v>
      </c>
      <c r="HM71" s="172">
        <f>INDEX('STOPE SUMMARY PIVOT'!$J$2562:$J$2689, MATCH(HM$1,'STOPE SUMMARY PIVOT'!$A$2562:$A$2689, 0))</f>
        <v>0</v>
      </c>
      <c r="HN71" s="176">
        <f>INDEX('STOPE SUMMARY PIVOT'!$K$2562:$K$2689, MATCH(HM$1,'STOPE SUMMARY PIVOT'!$A$2562:$A$2689, 0))</f>
        <v>0</v>
      </c>
      <c r="HO71" s="172">
        <f>INDEX('STOPE SUMMARY PIVOT'!$J$2562:$J$2689, MATCH(HO$1,'STOPE SUMMARY PIVOT'!$A$2562:$A$2689, 0))</f>
        <v>0</v>
      </c>
      <c r="HP71" s="176">
        <f>INDEX('STOPE SUMMARY PIVOT'!$K$2562:$K$2689, MATCH(HO$1,'STOPE SUMMARY PIVOT'!$A$2562:$A$2689, 0))</f>
        <v>0</v>
      </c>
      <c r="HQ71" s="172">
        <f>INDEX('STOPE SUMMARY PIVOT'!$J$2562:$J$2689, MATCH(HQ$1,'STOPE SUMMARY PIVOT'!$A$2562:$A$2689, 0))</f>
        <v>0</v>
      </c>
      <c r="HR71" s="176">
        <f>INDEX('STOPE SUMMARY PIVOT'!$K$2562:$K$2689, MATCH(HQ$1,'STOPE SUMMARY PIVOT'!$A$2562:$A$2689, 0))</f>
        <v>0</v>
      </c>
      <c r="HS71" s="172">
        <f>INDEX('STOPE SUMMARY PIVOT'!$J$2562:$J$2689, MATCH(HS$1,'STOPE SUMMARY PIVOT'!$A$2562:$A$2689, 0))</f>
        <v>0</v>
      </c>
      <c r="HT71" s="176">
        <f>INDEX('STOPE SUMMARY PIVOT'!$K$2562:$K$2689, MATCH(HS$1,'STOPE SUMMARY PIVOT'!$A$2562:$A$2689, 0))</f>
        <v>0</v>
      </c>
      <c r="HU71" s="172">
        <f>INDEX('STOPE SUMMARY PIVOT'!$J$2562:$J$2689, MATCH(HU$1,'STOPE SUMMARY PIVOT'!$A$2562:$A$2689, 0))</f>
        <v>0</v>
      </c>
      <c r="HV71" s="176">
        <f>INDEX('STOPE SUMMARY PIVOT'!$K$2562:$K$2689, MATCH(HU$1,'STOPE SUMMARY PIVOT'!$A$2562:$A$2689, 0))</f>
        <v>0</v>
      </c>
      <c r="HW71" s="172">
        <f>INDEX('STOPE SUMMARY PIVOT'!$J$2562:$J$2689, MATCH(HW$1,'STOPE SUMMARY PIVOT'!$A$2562:$A$2689, 0))</f>
        <v>0</v>
      </c>
      <c r="HX71" s="176">
        <f>INDEX('STOPE SUMMARY PIVOT'!$K$2562:$K$2689, MATCH(HW$1,'STOPE SUMMARY PIVOT'!$A$2562:$A$2689, 0))</f>
        <v>0</v>
      </c>
      <c r="HY71" s="172">
        <f>INDEX('STOPE SUMMARY PIVOT'!$J$2562:$J$2689, MATCH(HY$1,'STOPE SUMMARY PIVOT'!$A$2562:$A$2689, 0))</f>
        <v>0</v>
      </c>
      <c r="HZ71" s="176">
        <f>INDEX('STOPE SUMMARY PIVOT'!$K$2562:$K$2689, MATCH(HY$1,'STOPE SUMMARY PIVOT'!$A$2562:$A$2689, 0))</f>
        <v>0</v>
      </c>
      <c r="IA71" s="172">
        <f>INDEX('STOPE SUMMARY PIVOT'!$J$2562:$J$2689, MATCH(IA$1,'STOPE SUMMARY PIVOT'!$A$2562:$A$2689, 0))</f>
        <v>0</v>
      </c>
      <c r="IB71" s="176">
        <f>INDEX('STOPE SUMMARY PIVOT'!$K$2562:$K$2689, MATCH(IA$1,'STOPE SUMMARY PIVOT'!$A$2562:$A$2689, 0))</f>
        <v>0</v>
      </c>
      <c r="IC71" s="172">
        <f>INDEX('STOPE SUMMARY PIVOT'!$J$2562:$J$2689, MATCH(IC$1,'STOPE SUMMARY PIVOT'!$A$2562:$A$2689, 0))</f>
        <v>0</v>
      </c>
      <c r="ID71" s="176">
        <f>INDEX('STOPE SUMMARY PIVOT'!$K$2562:$K$2689, MATCH(IC$1,'STOPE SUMMARY PIVOT'!$A$2562:$A$2689, 0))</f>
        <v>0</v>
      </c>
      <c r="IE71" s="172">
        <f>INDEX('STOPE SUMMARY PIVOT'!$J$2562:$J$2689, MATCH(IE$1,'STOPE SUMMARY PIVOT'!$A$2562:$A$2689, 0))</f>
        <v>0</v>
      </c>
      <c r="IF71" s="176">
        <f>INDEX('STOPE SUMMARY PIVOT'!$K$2562:$K$2689, MATCH(IE$1,'STOPE SUMMARY PIVOT'!$A$2562:$A$2689, 0))</f>
        <v>0</v>
      </c>
      <c r="IG71" s="172">
        <f>INDEX('STOPE SUMMARY PIVOT'!$J$2562:$J$2689, MATCH(IG$1,'STOPE SUMMARY PIVOT'!$A$2562:$A$2689, 0))</f>
        <v>0</v>
      </c>
      <c r="IH71" s="176">
        <f>INDEX('STOPE SUMMARY PIVOT'!$K$2562:$K$2689, MATCH(IG$1,'STOPE SUMMARY PIVOT'!$A$2562:$A$2689, 0))</f>
        <v>0</v>
      </c>
      <c r="II71" s="172">
        <f>INDEX('STOPE SUMMARY PIVOT'!$J$2562:$J$2689, MATCH(II$1,'STOPE SUMMARY PIVOT'!$A$2562:$A$2689, 0))</f>
        <v>0</v>
      </c>
      <c r="IJ71" s="176">
        <f>INDEX('STOPE SUMMARY PIVOT'!$K$2562:$K$2689, MATCH(II$1,'STOPE SUMMARY PIVOT'!$A$2562:$A$2689, 0))</f>
        <v>0</v>
      </c>
      <c r="IK71" s="172">
        <f>INDEX('STOPE SUMMARY PIVOT'!$J$2562:$J$2689, MATCH(IK$1,'STOPE SUMMARY PIVOT'!$A$2562:$A$2689, 0))</f>
        <v>0</v>
      </c>
      <c r="IL71" s="176">
        <f>INDEX('STOPE SUMMARY PIVOT'!$K$2562:$K$2689, MATCH(IK$1,'STOPE SUMMARY PIVOT'!$A$2562:$A$2689, 0))</f>
        <v>0</v>
      </c>
      <c r="IM71" s="172">
        <f>INDEX('STOPE SUMMARY PIVOT'!$J$2562:$J$2689, MATCH(IM$1,'STOPE SUMMARY PIVOT'!$A$2562:$A$2689, 0))</f>
        <v>0</v>
      </c>
      <c r="IN71" s="176">
        <f>INDEX('STOPE SUMMARY PIVOT'!$K$2562:$K$2689, MATCH(IM$1,'STOPE SUMMARY PIVOT'!$A$2562:$A$2689, 0))</f>
        <v>0</v>
      </c>
      <c r="IO71" s="172">
        <f>INDEX('STOPE SUMMARY PIVOT'!$J$2562:$J$2689, MATCH(IO$1,'STOPE SUMMARY PIVOT'!$A$2562:$A$2689, 0))</f>
        <v>0</v>
      </c>
      <c r="IP71" s="176">
        <f>INDEX('STOPE SUMMARY PIVOT'!$K$2562:$K$2689, MATCH(IO$1,'STOPE SUMMARY PIVOT'!$A$2562:$A$2689, 0))</f>
        <v>0</v>
      </c>
      <c r="IQ71" s="172">
        <f>INDEX('STOPE SUMMARY PIVOT'!$J$2562:$J$2689, MATCH(IQ$1,'STOPE SUMMARY PIVOT'!$A$2562:$A$2689, 0))</f>
        <v>0</v>
      </c>
      <c r="IR71" s="176">
        <f>INDEX('STOPE SUMMARY PIVOT'!$K$2562:$K$2689, MATCH(IQ$1,'STOPE SUMMARY PIVOT'!$A$2562:$A$2689, 0))</f>
        <v>0</v>
      </c>
      <c r="IS71" s="172">
        <f>INDEX('STOPE SUMMARY PIVOT'!$J$2562:$J$2689, MATCH(IS$1,'STOPE SUMMARY PIVOT'!$A$2562:$A$2689, 0))</f>
        <v>0</v>
      </c>
      <c r="IT71" s="176">
        <f>INDEX('STOPE SUMMARY PIVOT'!$K$2562:$K$2689, MATCH(IS$1,'STOPE SUMMARY PIVOT'!$A$2562:$A$2689, 0))</f>
        <v>0</v>
      </c>
      <c r="IU71" s="172">
        <f>INDEX('STOPE SUMMARY PIVOT'!$J$2562:$J$2689, MATCH(IU$1,'STOPE SUMMARY PIVOT'!$A$2562:$A$2689, 0))</f>
        <v>0</v>
      </c>
      <c r="IV71" s="176">
        <f>INDEX('STOPE SUMMARY PIVOT'!$K$2562:$K$2689, MATCH(IU$1,'STOPE SUMMARY PIVOT'!$A$2562:$A$2689, 0))</f>
        <v>0</v>
      </c>
      <c r="IW71" s="172">
        <f>INDEX('STOPE SUMMARY PIVOT'!$J$2562:$J$2689, MATCH(IW$1,'STOPE SUMMARY PIVOT'!$A$2562:$A$2689, 0))</f>
        <v>0</v>
      </c>
      <c r="IX71" s="176">
        <f>INDEX('STOPE SUMMARY PIVOT'!$K$2562:$K$2689, MATCH(IW$1,'STOPE SUMMARY PIVOT'!$A$2562:$A$2689, 0))</f>
        <v>0</v>
      </c>
      <c r="IY71" s="172">
        <f>INDEX('STOPE SUMMARY PIVOT'!$J$2562:$J$2689, MATCH(IY$1,'STOPE SUMMARY PIVOT'!$A$2562:$A$2689, 0))</f>
        <v>0</v>
      </c>
      <c r="IZ71" s="176">
        <f>INDEX('STOPE SUMMARY PIVOT'!$K$2562:$K$2689, MATCH(IY$1,'STOPE SUMMARY PIVOT'!$A$2562:$A$2689, 0))</f>
        <v>0</v>
      </c>
    </row>
    <row r="72" spans="1:260" x14ac:dyDescent="0.25">
      <c r="A72" s="1577" t="s">
        <v>214</v>
      </c>
      <c r="B72" s="13" t="s">
        <v>218</v>
      </c>
      <c r="C72" s="131">
        <f>SUM(C63,C66,C69)</f>
        <v>58947</v>
      </c>
      <c r="D72" s="132">
        <f>(C63*D63+C66*D66+C69*D69)/C72</f>
        <v>2.5435153612567216</v>
      </c>
      <c r="E72" s="155">
        <f t="shared" ref="E72" si="2924">SUM(E63,E66,E69)</f>
        <v>3072</v>
      </c>
      <c r="F72" s="156">
        <f>IFERROR((F63*E63+E66*F66+E69*F69)/E72,"")</f>
        <v>0.52</v>
      </c>
      <c r="G72" s="155">
        <f t="shared" ref="G72" si="2925">SUM(G63,G66,G69)</f>
        <v>0</v>
      </c>
      <c r="H72" s="156" t="str">
        <f t="shared" ref="H72" si="2926">IFERROR((H63*G63+G66*H66+G69*H69)/G72,"")</f>
        <v/>
      </c>
      <c r="I72" s="155">
        <f t="shared" ref="I72" si="2927">SUM(I63,I66,I69)</f>
        <v>0</v>
      </c>
      <c r="J72" s="156" t="str">
        <f t="shared" ref="J72" si="2928">IFERROR((J63*I63+I66*J66+I69*J69)/I72,"")</f>
        <v/>
      </c>
      <c r="K72" s="155">
        <f t="shared" ref="K72" si="2929">SUM(K63,K66,K69)</f>
        <v>0</v>
      </c>
      <c r="L72" s="156" t="str">
        <f t="shared" ref="L72" si="2930">IFERROR((L63*K63+K66*L66+K69*L69)/K72,"")</f>
        <v/>
      </c>
      <c r="M72" s="155">
        <f t="shared" ref="M72" si="2931">SUM(M63,M66,M69)</f>
        <v>0</v>
      </c>
      <c r="N72" s="156" t="str">
        <f t="shared" ref="N72" si="2932">IFERROR((N63*M63+M66*N66+M69*N69)/M72,"")</f>
        <v/>
      </c>
      <c r="O72" s="155">
        <f t="shared" ref="O72" si="2933">SUM(O63,O66,O69)</f>
        <v>0</v>
      </c>
      <c r="P72" s="156" t="str">
        <f t="shared" ref="P72" si="2934">IFERROR((P63*O63+O66*P66+O69*P69)/O72,"")</f>
        <v/>
      </c>
      <c r="Q72" s="155">
        <f t="shared" ref="Q72" si="2935">SUM(Q63,Q66,Q69)</f>
        <v>0</v>
      </c>
      <c r="R72" s="156" t="str">
        <f t="shared" ref="R72" si="2936">IFERROR((R63*Q63+Q66*R66+Q69*R69)/Q72,"")</f>
        <v/>
      </c>
      <c r="S72" s="155">
        <f t="shared" ref="S72" si="2937">SUM(S63,S66,S69)</f>
        <v>0</v>
      </c>
      <c r="T72" s="156" t="str">
        <f t="shared" ref="T72" si="2938">IFERROR((T63*S63+S66*T66+S69*T69)/S72,"")</f>
        <v/>
      </c>
      <c r="U72" s="155">
        <f t="shared" ref="U72" si="2939">SUM(U63,U66,U69)</f>
        <v>0</v>
      </c>
      <c r="V72" s="156" t="str">
        <f t="shared" ref="V72" si="2940">IFERROR((V63*U63+U66*V66+U69*V69)/U72,"")</f>
        <v/>
      </c>
      <c r="W72" s="155">
        <f t="shared" ref="W72" si="2941">SUM(W63,W66,W69)</f>
        <v>0</v>
      </c>
      <c r="X72" s="156" t="str">
        <f t="shared" ref="X72" si="2942">IFERROR((X63*W63+W66*X66+W69*X69)/W72,"")</f>
        <v/>
      </c>
      <c r="Y72" s="155">
        <f>SUM(Y63,Y66,Y69)</f>
        <v>0</v>
      </c>
      <c r="Z72" s="156" t="str">
        <f>IFERROR((Z63*Y63+Y66*Z66+Y69*Z69)/Y72,"")</f>
        <v/>
      </c>
      <c r="AA72" s="155">
        <f t="shared" ref="AA72" si="2943">SUM(AA63,AA66,AA69)</f>
        <v>0</v>
      </c>
      <c r="AB72" s="156" t="str">
        <f t="shared" ref="AB72" si="2944">IFERROR((AB63*AA63+AA66*AB66+AA69*AB69)/AA72,"")</f>
        <v/>
      </c>
      <c r="AC72" s="155">
        <f t="shared" ref="AC72" si="2945">SUM(AC63,AC66,AC69)</f>
        <v>119</v>
      </c>
      <c r="AD72" s="156">
        <f t="shared" ref="AD72" si="2946">IFERROR((AD63*AC63+AC66*AD66+AC69*AD69)/AC72,"")</f>
        <v>1.72</v>
      </c>
      <c r="AE72" s="155">
        <f t="shared" ref="AE72" si="2947">SUM(AE63,AE66,AE69)</f>
        <v>2190</v>
      </c>
      <c r="AF72" s="156">
        <f t="shared" ref="AF72" si="2948">IFERROR((AF63*AE63+AE66*AF66+AE69*AF69)/AE72,"")</f>
        <v>1.58</v>
      </c>
      <c r="AG72" s="155">
        <f t="shared" ref="AG72" si="2949">SUM(AG63,AG66,AG69)</f>
        <v>258</v>
      </c>
      <c r="AH72" s="156">
        <f t="shared" ref="AH72" si="2950">IFERROR((AH63*AG63+AG66*AH66+AG69*AH69)/AG72,"")</f>
        <v>2.2000000000000002</v>
      </c>
      <c r="AI72" s="155">
        <f t="shared" ref="AI72" si="2951">SUM(AI63,AI66,AI69)</f>
        <v>0</v>
      </c>
      <c r="AJ72" s="156" t="str">
        <f t="shared" ref="AJ72" si="2952">IFERROR((AJ63*AI63+AI66*AJ66+AI69*AJ69)/AI72,"")</f>
        <v/>
      </c>
      <c r="AK72" s="155">
        <f t="shared" ref="AK72" si="2953">SUM(AK63,AK66,AK69)</f>
        <v>0</v>
      </c>
      <c r="AL72" s="156" t="str">
        <f t="shared" ref="AL72" si="2954">IFERROR((AL63*AK63+AK66*AL66+AK69*AL69)/AK72,"")</f>
        <v/>
      </c>
      <c r="AM72" s="155">
        <f t="shared" ref="AM72" si="2955">SUM(AM63,AM66,AM69)</f>
        <v>0</v>
      </c>
      <c r="AN72" s="156" t="str">
        <f t="shared" ref="AN72" si="2956">IFERROR((AN63*AM63+AM66*AN66+AM69*AN69)/AM72,"")</f>
        <v/>
      </c>
      <c r="AO72" s="155">
        <f t="shared" ref="AO72" si="2957">SUM(AO63,AO66,AO69)</f>
        <v>0</v>
      </c>
      <c r="AP72" s="156" t="str">
        <f t="shared" ref="AP72" si="2958">IFERROR((AP63*AO63+AO66*AP66+AO69*AP69)/AO72,"")</f>
        <v/>
      </c>
      <c r="AQ72" s="155">
        <f t="shared" ref="AQ72" si="2959">SUM(AQ63,AQ66,AQ69)</f>
        <v>0</v>
      </c>
      <c r="AR72" s="156" t="str">
        <f t="shared" ref="AR72" si="2960">IFERROR((AR63*AQ63+AQ66*AR66+AQ69*AR69)/AQ72,"")</f>
        <v/>
      </c>
      <c r="AS72" s="155">
        <f t="shared" ref="AS72" si="2961">SUM(AS63,AS66,AS69)</f>
        <v>0</v>
      </c>
      <c r="AT72" s="156" t="str">
        <f t="shared" ref="AT72" si="2962">IFERROR((AT63*AS63+AS66*AT66+AS69*AT69)/AS72,"")</f>
        <v/>
      </c>
      <c r="AU72" s="155">
        <f t="shared" ref="AU72" si="2963">SUM(AU63,AU66,AU69)</f>
        <v>0</v>
      </c>
      <c r="AV72" s="156" t="str">
        <f t="shared" ref="AV72" si="2964">IFERROR((AV63*AU63+AU66*AV66+AU69*AV69)/AU72,"")</f>
        <v/>
      </c>
      <c r="AW72" s="155">
        <f t="shared" ref="AW72" si="2965">SUM(AW63,AW66,AW69)</f>
        <v>0</v>
      </c>
      <c r="AX72" s="156" t="str">
        <f t="shared" ref="AX72" si="2966">IFERROR((AX63*AW63+AW66*AX66+AW69*AX69)/AW72,"")</f>
        <v/>
      </c>
      <c r="AY72" s="155">
        <f t="shared" ref="AY72" si="2967">SUM(AY63,AY66,AY69)</f>
        <v>0</v>
      </c>
      <c r="AZ72" s="156" t="str">
        <f t="shared" ref="AZ72" si="2968">IFERROR((AZ63*AY63+AY66*AZ66+AY69*AZ69)/AY72,"")</f>
        <v/>
      </c>
      <c r="BA72" s="155">
        <f t="shared" ref="BA72" si="2969">SUM(BA63,BA66,BA69)</f>
        <v>0</v>
      </c>
      <c r="BB72" s="156" t="str">
        <f t="shared" ref="BB72" si="2970">IFERROR((BB63*BA63+BA66*BB66+BA69*BB69)/BA72,"")</f>
        <v/>
      </c>
      <c r="BC72" s="155">
        <f t="shared" ref="BC72" si="2971">SUM(BC63,BC66,BC69)</f>
        <v>0</v>
      </c>
      <c r="BD72" s="156" t="str">
        <f t="shared" ref="BD72" si="2972">IFERROR((BD63*BC63+BC66*BD66+BC69*BD69)/BC72,"")</f>
        <v/>
      </c>
      <c r="BE72" s="155">
        <f t="shared" ref="BE72" si="2973">SUM(BE63,BE66,BE69)</f>
        <v>0</v>
      </c>
      <c r="BF72" s="156" t="str">
        <f t="shared" ref="BF72" si="2974">IFERROR((BF63*BE63+BE66*BF66+BE69*BF69)/BE72,"")</f>
        <v/>
      </c>
      <c r="BG72" s="155">
        <f t="shared" ref="BG72" si="2975">SUM(BG63,BG66,BG69)</f>
        <v>0</v>
      </c>
      <c r="BH72" s="156" t="str">
        <f t="shared" ref="BH72" si="2976">IFERROR((BH63*BG63+BG66*BH66+BG69*BH69)/BG72,"")</f>
        <v/>
      </c>
      <c r="BI72" s="155">
        <f t="shared" ref="BI72" si="2977">SUM(BI63,BI66,BI69)</f>
        <v>0</v>
      </c>
      <c r="BJ72" s="156" t="str">
        <f t="shared" ref="BJ72" si="2978">IFERROR((BJ63*BI63+BI66*BJ66+BI69*BJ69)/BI72,"")</f>
        <v/>
      </c>
      <c r="BK72" s="155">
        <f t="shared" ref="BK72" si="2979">SUM(BK63,BK66,BK69)</f>
        <v>0</v>
      </c>
      <c r="BL72" s="156" t="str">
        <f t="shared" ref="BL72" si="2980">IFERROR((BL63*BK63+BK66*BL66+BK69*BL69)/BK72,"")</f>
        <v/>
      </c>
      <c r="BM72" s="155">
        <f t="shared" ref="BM72" si="2981">SUM(BM63,BM66,BM69)</f>
        <v>0</v>
      </c>
      <c r="BN72" s="156" t="str">
        <f t="shared" ref="BN72" si="2982">IFERROR((BN63*BM63+BM66*BN66+BM69*BN69)/BM72,"")</f>
        <v/>
      </c>
      <c r="BO72" s="155">
        <f t="shared" ref="BO72" si="2983">SUM(BO63,BO66,BO69)</f>
        <v>0</v>
      </c>
      <c r="BP72" s="156" t="str">
        <f t="shared" ref="BP72" si="2984">IFERROR((BP63*BO63+BO66*BP66+BO69*BP69)/BO72,"")</f>
        <v/>
      </c>
      <c r="BQ72" s="155">
        <f t="shared" ref="BQ72" si="2985">SUM(BQ63,BQ66,BQ69)</f>
        <v>0</v>
      </c>
      <c r="BR72" s="156" t="str">
        <f t="shared" ref="BR72" si="2986">IFERROR((BR63*BQ63+BQ66*BR66+BQ69*BR69)/BQ72,"")</f>
        <v/>
      </c>
      <c r="BS72" s="155">
        <f t="shared" ref="BS72" si="2987">SUM(BS63,BS66,BS69)</f>
        <v>0</v>
      </c>
      <c r="BT72" s="156" t="str">
        <f t="shared" ref="BT72" si="2988">IFERROR((BT63*BS63+BS66*BT66+BS69*BT69)/BS72,"")</f>
        <v/>
      </c>
      <c r="BU72" s="155">
        <f t="shared" ref="BU72" si="2989">SUM(BU63,BU66,BU69)</f>
        <v>1534</v>
      </c>
      <c r="BV72" s="156">
        <f t="shared" ref="BV72" si="2990">IFERROR((BV63*BU63+BU66*BV66+BU69*BV69)/BU72,"")</f>
        <v>1.4</v>
      </c>
      <c r="BW72" s="155">
        <f t="shared" ref="BW72" si="2991">SUM(BW63,BW66,BW69)</f>
        <v>0</v>
      </c>
      <c r="BX72" s="156" t="str">
        <f t="shared" ref="BX72" si="2992">IFERROR((BX63*BW63+BW66*BX66+BW69*BX69)/BW72,"")</f>
        <v/>
      </c>
      <c r="BY72" s="155">
        <f t="shared" ref="BY72" si="2993">SUM(BY63,BY66,BY69)</f>
        <v>0</v>
      </c>
      <c r="BZ72" s="156" t="str">
        <f t="shared" ref="BZ72" si="2994">IFERROR((BZ63*BY63+BY66*BZ66+BY69*BZ69)/BY72,"")</f>
        <v/>
      </c>
      <c r="CA72" s="155">
        <f t="shared" ref="CA72" si="2995">SUM(CA63,CA66,CA69)</f>
        <v>0</v>
      </c>
      <c r="CB72" s="156" t="str">
        <f t="shared" ref="CB72" si="2996">IFERROR((CB63*CA63+CA66*CB66+CA69*CB69)/CA72,"")</f>
        <v/>
      </c>
      <c r="CC72" s="155">
        <f t="shared" ref="CC72" si="2997">SUM(CC63,CC66,CC69)</f>
        <v>0</v>
      </c>
      <c r="CD72" s="156" t="str">
        <f t="shared" ref="CD72" si="2998">IFERROR((CD63*CC63+CC66*CD66+CC69*CD69)/CC72,"")</f>
        <v/>
      </c>
      <c r="CE72" s="155">
        <f t="shared" ref="CE72" si="2999">SUM(CE63,CE66,CE69)</f>
        <v>0</v>
      </c>
      <c r="CF72" s="156" t="str">
        <f t="shared" ref="CF72" si="3000">IFERROR((CF63*CE63+CE66*CF66+CE69*CF69)/CE72,"")</f>
        <v/>
      </c>
      <c r="CG72" s="155">
        <f t="shared" ref="CG72" si="3001">SUM(CG63,CG66,CG69)</f>
        <v>0</v>
      </c>
      <c r="CH72" s="156" t="str">
        <f t="shared" ref="CH72" si="3002">IFERROR((CH63*CG63+CG66*CH66+CG69*CH69)/CG72,"")</f>
        <v/>
      </c>
      <c r="CI72" s="155">
        <f t="shared" ref="CI72" si="3003">SUM(CI63,CI66,CI69)</f>
        <v>0</v>
      </c>
      <c r="CJ72" s="156" t="str">
        <f t="shared" ref="CJ72" si="3004">IFERROR((CJ63*CI63+CI66*CJ66+CI69*CJ69)/CI72,"")</f>
        <v/>
      </c>
      <c r="CK72" s="155">
        <f t="shared" ref="CK72" si="3005">SUM(CK63,CK66,CK69)</f>
        <v>0</v>
      </c>
      <c r="CL72" s="156" t="str">
        <f t="shared" ref="CL72" si="3006">IFERROR((CL63*CK63+CK66*CL66+CK69*CL69)/CK72,"")</f>
        <v/>
      </c>
      <c r="CM72" s="155">
        <f t="shared" ref="CM72" si="3007">SUM(CM63,CM66,CM69)</f>
        <v>0</v>
      </c>
      <c r="CN72" s="156" t="str">
        <f t="shared" ref="CN72" si="3008">IFERROR((CN63*CM63+CM66*CN66+CM69*CN69)/CM72,"")</f>
        <v/>
      </c>
      <c r="CO72" s="155">
        <f t="shared" ref="CO72" si="3009">SUM(CO63,CO66,CO69)</f>
        <v>0</v>
      </c>
      <c r="CP72" s="156" t="str">
        <f t="shared" ref="CP72" si="3010">IFERROR((CP63*CO63+CO66*CP66+CO69*CP69)/CO72,"")</f>
        <v/>
      </c>
      <c r="CQ72" s="155">
        <f t="shared" ref="CQ72:CW72" si="3011">SUM(CQ63,CQ66,CQ69)</f>
        <v>0</v>
      </c>
      <c r="CR72" s="156" t="str">
        <f t="shared" ref="CR72" si="3012">IFERROR((CR63*CQ63+CQ66*CR66+CQ69*CR69)/CQ72,"")</f>
        <v/>
      </c>
      <c r="CS72" s="155">
        <f t="shared" ref="CS72" si="3013">SUM(CS63,CS66,CS69)</f>
        <v>0</v>
      </c>
      <c r="CT72" s="156" t="str">
        <f t="shared" ref="CT72:CT74" si="3014">IFERROR((CT63*CS63+CS66*CT66+CS69*CT69)/CS72,"")</f>
        <v/>
      </c>
      <c r="CU72" s="155">
        <f t="shared" si="3011"/>
        <v>0</v>
      </c>
      <c r="CV72" s="156" t="str">
        <f t="shared" ref="CV72:CV74" si="3015">IFERROR((CV63*CU63+CU66*CV66+CU69*CV69)/CU72,"")</f>
        <v/>
      </c>
      <c r="CW72" s="155">
        <f t="shared" si="3011"/>
        <v>0</v>
      </c>
      <c r="CX72" s="156" t="str">
        <f t="shared" ref="CX72:CX74" si="3016">IFERROR((CX63*CW63+CW66*CX66+CW69*CX69)/CW72,"")</f>
        <v/>
      </c>
      <c r="CY72" s="155">
        <f t="shared" ref="CY72" si="3017">SUM(CY63,CY66,CY69)</f>
        <v>0</v>
      </c>
      <c r="CZ72" s="156" t="str">
        <f t="shared" ref="CZ72" si="3018">IFERROR((CZ63*CY63+CY66*CZ66+CY69*CZ69)/CY72,"")</f>
        <v/>
      </c>
      <c r="DA72" s="155">
        <f t="shared" ref="DA72" si="3019">SUM(DA63,DA66,DA69)</f>
        <v>0</v>
      </c>
      <c r="DB72" s="156" t="str">
        <f t="shared" ref="DB72" si="3020">IFERROR((DB63*DA63+DA66*DB66+DA69*DB69)/DA72,"")</f>
        <v/>
      </c>
      <c r="DC72" s="155">
        <f t="shared" ref="DC72" si="3021">SUM(DC63,DC66,DC69)</f>
        <v>0</v>
      </c>
      <c r="DD72" s="156" t="str">
        <f t="shared" ref="DD72" si="3022">IFERROR((DD63*DC63+DC66*DD66+DC69*DD69)/DC72,"")</f>
        <v/>
      </c>
      <c r="DE72" s="155">
        <f t="shared" ref="DE72" si="3023">SUM(DE63,DE66,DE69)</f>
        <v>0</v>
      </c>
      <c r="DF72" s="156" t="str">
        <f t="shared" ref="DF72" si="3024">IFERROR((DF63*DE63+DE66*DF66+DE69*DF69)/DE72,"")</f>
        <v/>
      </c>
      <c r="DG72" s="155">
        <f t="shared" ref="DG72" si="3025">SUM(DG63,DG66,DG69)</f>
        <v>0</v>
      </c>
      <c r="DH72" s="156" t="str">
        <f t="shared" ref="DH72" si="3026">IFERROR((DH63*DG63+DG66*DH66+DG69*DH69)/DG72,"")</f>
        <v/>
      </c>
      <c r="DI72" s="155">
        <f t="shared" ref="DI72" si="3027">SUM(DI63,DI66,DI69)</f>
        <v>0</v>
      </c>
      <c r="DJ72" s="156" t="str">
        <f t="shared" ref="DJ72" si="3028">IFERROR((DJ63*DI63+DI66*DJ66+DI69*DJ69)/DI72,"")</f>
        <v/>
      </c>
      <c r="DK72" s="155">
        <f t="shared" ref="DK72" si="3029">SUM(DK63,DK66,DK69)</f>
        <v>0</v>
      </c>
      <c r="DL72" s="156" t="str">
        <f t="shared" ref="DL72" si="3030">IFERROR((DL63*DK63+DK66*DL66+DK69*DL69)/DK72,"")</f>
        <v/>
      </c>
      <c r="DM72" s="155">
        <f t="shared" ref="DM72" si="3031">SUM(DM63,DM66,DM69)</f>
        <v>0</v>
      </c>
      <c r="DN72" s="156" t="str">
        <f t="shared" ref="DN72" si="3032">IFERROR((DN63*DM63+DM66*DN66+DM69*DN69)/DM72,"")</f>
        <v/>
      </c>
      <c r="DO72" s="155">
        <f t="shared" ref="DO72" si="3033">SUM(DO63,DO66,DO69)</f>
        <v>0</v>
      </c>
      <c r="DP72" s="156" t="str">
        <f t="shared" ref="DP72" si="3034">IFERROR((DP63*DO63+DO66*DP66+DO69*DP69)/DO72,"")</f>
        <v/>
      </c>
      <c r="DQ72" s="155">
        <f t="shared" ref="DQ72" si="3035">SUM(DQ63,DQ66,DQ69)</f>
        <v>0</v>
      </c>
      <c r="DR72" s="156" t="str">
        <f t="shared" ref="DR72" si="3036">IFERROR((DR63*DQ63+DQ66*DR66+DQ69*DR69)/DQ72,"")</f>
        <v/>
      </c>
      <c r="DS72" s="155">
        <f t="shared" ref="DS72" si="3037">SUM(DS63,DS66,DS69)</f>
        <v>0</v>
      </c>
      <c r="DT72" s="156" t="str">
        <f t="shared" ref="DT72" si="3038">IFERROR((DT63*DS63+DS66*DT66+DS69*DT69)/DS72,"")</f>
        <v/>
      </c>
      <c r="DU72" s="155">
        <f t="shared" ref="DU72" si="3039">SUM(DU63,DU66,DU69)</f>
        <v>0</v>
      </c>
      <c r="DV72" s="156" t="str">
        <f t="shared" ref="DV72" si="3040">IFERROR((DV63*DU63+DU66*DV66+DU69*DV69)/DU72,"")</f>
        <v/>
      </c>
      <c r="DW72" s="155">
        <f t="shared" ref="DW72" si="3041">SUM(DW63,DW66,DW69)</f>
        <v>0</v>
      </c>
      <c r="DX72" s="156" t="str">
        <f t="shared" ref="DX72" si="3042">IFERROR((DX63*DW63+DW66*DX66+DW69*DX69)/DW72,"")</f>
        <v/>
      </c>
      <c r="DY72" s="155">
        <f t="shared" ref="DY72" si="3043">SUM(DY63,DY66,DY69)</f>
        <v>0</v>
      </c>
      <c r="DZ72" s="156" t="str">
        <f t="shared" ref="DZ72" si="3044">IFERROR((DZ63*DY63+DY66*DZ66+DY69*DZ69)/DY72,"")</f>
        <v/>
      </c>
      <c r="EA72" s="155">
        <f t="shared" ref="EA72" si="3045">SUM(EA63,EA66,EA69)</f>
        <v>0</v>
      </c>
      <c r="EB72" s="156" t="str">
        <f t="shared" ref="EB72" si="3046">IFERROR((EB63*EA63+EA66*EB66+EA69*EB69)/EA72,"")</f>
        <v/>
      </c>
      <c r="EC72" s="155">
        <f t="shared" ref="EC72" si="3047">SUM(EC63,EC66,EC69)</f>
        <v>0</v>
      </c>
      <c r="ED72" s="156" t="str">
        <f t="shared" ref="ED72" si="3048">IFERROR((ED63*EC63+EC66*ED66+EC69*ED69)/EC72,"")</f>
        <v/>
      </c>
      <c r="EE72" s="155">
        <f t="shared" ref="EE72" si="3049">SUM(EE63,EE66,EE69)</f>
        <v>0</v>
      </c>
      <c r="EF72" s="156" t="str">
        <f t="shared" ref="EF72" si="3050">IFERROR((EF63*EE63+EE66*EF66+EE69*EF69)/EE72,"")</f>
        <v/>
      </c>
      <c r="EG72" s="155">
        <f t="shared" ref="EG72" si="3051">SUM(EG63,EG66,EG69)</f>
        <v>0</v>
      </c>
      <c r="EH72" s="156" t="str">
        <f t="shared" ref="EH72" si="3052">IFERROR((EH63*EG63+EG66*EH66+EG69*EH69)/EG72,"")</f>
        <v/>
      </c>
      <c r="EI72" s="155">
        <f t="shared" ref="EI72" si="3053">SUM(EI63,EI66,EI69)</f>
        <v>0</v>
      </c>
      <c r="EJ72" s="156" t="str">
        <f t="shared" ref="EJ72" si="3054">IFERROR((EJ63*EI63+EI66*EJ66+EI69*EJ69)/EI72,"")</f>
        <v/>
      </c>
      <c r="EK72" s="155">
        <f t="shared" ref="EK72" si="3055">SUM(EK63,EK66,EK69)</f>
        <v>4877</v>
      </c>
      <c r="EL72" s="156">
        <f t="shared" ref="EL72" si="3056">IFERROR((EL63*EK63+EK66*EL66+EK69*EL69)/EK72,"")</f>
        <v>3.23</v>
      </c>
      <c r="EM72" s="155">
        <f t="shared" ref="EM72" si="3057">SUM(EM63,EM66,EM69)</f>
        <v>2983</v>
      </c>
      <c r="EN72" s="156">
        <f t="shared" ref="EN72" si="3058">IFERROR((EN63*EM63+EM66*EN66+EM69*EN69)/EM72,"")</f>
        <v>3.97</v>
      </c>
      <c r="EO72" s="155">
        <f t="shared" ref="EO72" si="3059">SUM(EO63,EO66,EO69)</f>
        <v>8650</v>
      </c>
      <c r="EP72" s="156">
        <f t="shared" ref="EP72" si="3060">IFERROR((EP63*EO63+EO66*EP66+EO69*EP69)/EO72,"")</f>
        <v>2.83</v>
      </c>
      <c r="EQ72" s="155">
        <f t="shared" ref="EQ72:ES72" si="3061">SUM(EQ63,EQ66,EQ69)</f>
        <v>0</v>
      </c>
      <c r="ER72" s="156" t="str">
        <f t="shared" ref="ER72" si="3062">IFERROR((ER63*EQ63+EQ66*ER66+EQ69*ER69)/EQ72,"")</f>
        <v/>
      </c>
      <c r="ES72" s="155">
        <f t="shared" si="3061"/>
        <v>0</v>
      </c>
      <c r="ET72" s="156" t="str">
        <f t="shared" ref="ET72:ET74" si="3063">IFERROR((ET63*ES63+ES66*ET66+ES69*ET69)/ES72,"")</f>
        <v/>
      </c>
      <c r="EU72" s="155">
        <f t="shared" ref="EU72" si="3064">SUM(EU63,EU66,EU69)</f>
        <v>0</v>
      </c>
      <c r="EV72" s="156" t="str">
        <f t="shared" ref="EV72" si="3065">IFERROR((EV63*EU63+EU66*EV66+EU69*EV69)/EU72,"")</f>
        <v/>
      </c>
      <c r="EW72" s="155">
        <f t="shared" ref="EW72" si="3066">SUM(EW63,EW66,EW69)</f>
        <v>0</v>
      </c>
      <c r="EX72" s="156" t="str">
        <f t="shared" ref="EX72:EX74" si="3067">IFERROR((EX63*EW63+EW66*EX66+EW69*EX69)/EW72,"")</f>
        <v/>
      </c>
      <c r="EY72" s="155">
        <f t="shared" ref="EY72" si="3068">SUM(EY63,EY66,EY69)</f>
        <v>8650</v>
      </c>
      <c r="EZ72" s="156">
        <f t="shared" ref="EZ72" si="3069">IFERROR((EZ63*EY63+EY66*EZ66+EY69*EZ69)/EY72,"")</f>
        <v>2.31</v>
      </c>
      <c r="FA72" s="155">
        <f t="shared" ref="FA72" si="3070">SUM(FA63,FA66,FA69)</f>
        <v>0</v>
      </c>
      <c r="FB72" s="156" t="str">
        <f t="shared" ref="FB72" si="3071">IFERROR((FB63*FA63+FA66*FB66+FA69*FB69)/FA72,"")</f>
        <v/>
      </c>
      <c r="FC72" s="155">
        <f t="shared" ref="FC72" si="3072">SUM(FC63,FC66,FC69)</f>
        <v>3503</v>
      </c>
      <c r="FD72" s="156">
        <f t="shared" ref="FD72" si="3073">IFERROR((FD63*FC63+FC66*FD66+FC69*FD69)/FC72,"")</f>
        <v>2.4099999999999997</v>
      </c>
      <c r="FE72" s="155">
        <f t="shared" ref="FE72" si="3074">SUM(FE63,FE66,FE69)</f>
        <v>0</v>
      </c>
      <c r="FF72" s="156" t="str">
        <f t="shared" ref="FF72" si="3075">IFERROR((FF63*FE63+FE66*FF66+FE69*FF69)/FE72,"")</f>
        <v/>
      </c>
      <c r="FG72" s="155">
        <f t="shared" ref="FG72" si="3076">SUM(FG63,FG66,FG69)</f>
        <v>0</v>
      </c>
      <c r="FH72" s="156" t="str">
        <f t="shared" ref="FH72" si="3077">IFERROR((FH63*FG63+FG66*FH66+FG69*FH69)/FG72,"")</f>
        <v/>
      </c>
      <c r="FI72" s="155">
        <f t="shared" ref="FI72" si="3078">SUM(FI63,FI66,FI69)</f>
        <v>0</v>
      </c>
      <c r="FJ72" s="156" t="str">
        <f t="shared" ref="FJ72" si="3079">IFERROR((FJ63*FI63+FI66*FJ66+FI69*FJ69)/FI72,"")</f>
        <v/>
      </c>
      <c r="FK72" s="155">
        <f t="shared" ref="FK72" si="3080">SUM(FK63,FK66,FK69)</f>
        <v>0</v>
      </c>
      <c r="FL72" s="156" t="str">
        <f t="shared" ref="FL72" si="3081">IFERROR((FL63*FK63+FK66*FL66+FK69*FL69)/FK72,"")</f>
        <v/>
      </c>
      <c r="FM72" s="155">
        <f t="shared" ref="FM72" si="3082">SUM(FM63,FM66,FM69)</f>
        <v>0</v>
      </c>
      <c r="FN72" s="156" t="str">
        <f t="shared" ref="FN72" si="3083">IFERROR((FN63*FM63+FM66*FN66+FM69*FN69)/FM72,"")</f>
        <v/>
      </c>
      <c r="FO72" s="155">
        <f t="shared" ref="FO72" si="3084">SUM(FO63,FO66,FO69)</f>
        <v>0</v>
      </c>
      <c r="FP72" s="156" t="str">
        <f t="shared" ref="FP72" si="3085">IFERROR((FP63*FO63+FO66*FP66+FO69*FP69)/FO72,"")</f>
        <v/>
      </c>
      <c r="FQ72" s="155">
        <f t="shared" ref="FQ72" si="3086">SUM(FQ63,FQ66,FQ69)</f>
        <v>0</v>
      </c>
      <c r="FR72" s="156" t="str">
        <f t="shared" ref="FR72" si="3087">IFERROR((FR63*FQ63+FQ66*FR66+FQ69*FR69)/FQ72,"")</f>
        <v/>
      </c>
      <c r="FS72" s="155">
        <f t="shared" ref="FS72" si="3088">SUM(FS63,FS66,FS69)</f>
        <v>1680</v>
      </c>
      <c r="FT72" s="156">
        <f t="shared" ref="FT72" si="3089">IFERROR((FT63*FS63+FS66*FT66+FS69*FT69)/FS72,"")</f>
        <v>2.84</v>
      </c>
      <c r="FU72" s="155">
        <f t="shared" ref="FU72" si="3090">SUM(FU63,FU66,FU69)</f>
        <v>4053</v>
      </c>
      <c r="FV72" s="156">
        <f t="shared" ref="FV72" si="3091">IFERROR((FV63*FU63+FU66*FV66+FU69*FV69)/FU72,"")</f>
        <v>3.2</v>
      </c>
      <c r="FW72" s="155">
        <f t="shared" ref="FW72" si="3092">SUM(FW63,FW66,FW69)</f>
        <v>0</v>
      </c>
      <c r="FX72" s="156" t="str">
        <f t="shared" ref="FX72" si="3093">IFERROR((FX63*FW63+FW66*FX66+FW69*FX69)/FW72,"")</f>
        <v/>
      </c>
      <c r="FY72" s="155">
        <f t="shared" ref="FY72" si="3094">SUM(FY63,FY66,FY69)</f>
        <v>0</v>
      </c>
      <c r="FZ72" s="156" t="str">
        <f t="shared" ref="FZ72" si="3095">IFERROR((FZ63*FY63+FY66*FZ66+FY69*FZ69)/FY72,"")</f>
        <v/>
      </c>
      <c r="GA72" s="155">
        <f t="shared" ref="GA72" si="3096">SUM(GA63,GA66,GA69)</f>
        <v>0</v>
      </c>
      <c r="GB72" s="156" t="str">
        <f t="shared" ref="GB72" si="3097">IFERROR((GB63*GA63+GA66*GB66+GA69*GB69)/GA72,"")</f>
        <v/>
      </c>
      <c r="GC72" s="155">
        <f t="shared" ref="GC72" si="3098">SUM(GC63,GC66,GC69)</f>
        <v>2102</v>
      </c>
      <c r="GD72" s="156">
        <f t="shared" ref="GD72" si="3099">IFERROR((GD63*GC63+GC66*GD66+GC69*GD69)/GC72,"")</f>
        <v>3.49</v>
      </c>
      <c r="GE72" s="155">
        <f t="shared" ref="GE72" si="3100">SUM(GE63,GE66,GE69)</f>
        <v>2285</v>
      </c>
      <c r="GF72" s="156">
        <f t="shared" ref="GF72" si="3101">IFERROR((GF63*GE63+GE66*GF66+GE69*GF69)/GE72,"")</f>
        <v>1.03</v>
      </c>
      <c r="GG72" s="155">
        <f t="shared" ref="GG72" si="3102">SUM(GG63,GG66,GG69)</f>
        <v>3568</v>
      </c>
      <c r="GH72" s="156">
        <f t="shared" ref="GH72" si="3103">IFERROR((GH63*GG63+GG66*GH66+GG69*GH69)/GG72,"")</f>
        <v>2.4500000000000002</v>
      </c>
      <c r="GI72" s="155">
        <f t="shared" ref="GI72" si="3104">SUM(GI63,GI66,GI69)</f>
        <v>269</v>
      </c>
      <c r="GJ72" s="156">
        <f t="shared" ref="GJ72" si="3105">IFERROR((GJ63*GI63+GI66*GJ66+GI69*GJ69)/GI72,"")</f>
        <v>3.05</v>
      </c>
      <c r="GK72" s="155">
        <f t="shared" ref="GK72" si="3106">SUM(GK63,GK66,GK69)</f>
        <v>0</v>
      </c>
      <c r="GL72" s="156" t="str">
        <f t="shared" ref="GL72" si="3107">IFERROR((GL63*GK63+GK66*GL66+GK69*GL69)/GK72,"")</f>
        <v/>
      </c>
      <c r="GM72" s="155">
        <f t="shared" ref="GM72" si="3108">SUM(GM63,GM66,GM69)</f>
        <v>0</v>
      </c>
      <c r="GN72" s="156" t="str">
        <f t="shared" ref="GN72" si="3109">IFERROR((GN63*GM63+GM66*GN66+GM69*GN69)/GM72,"")</f>
        <v/>
      </c>
      <c r="GO72" s="155">
        <f t="shared" ref="GO72" si="3110">SUM(GO63,GO66,GO69)</f>
        <v>2198</v>
      </c>
      <c r="GP72" s="156">
        <f t="shared" ref="GP72" si="3111">IFERROR((GP63*GO63+GO66*GP66+GO69*GP69)/GO72,"")</f>
        <v>3.9699999999999998</v>
      </c>
      <c r="GQ72" s="155">
        <f t="shared" ref="GQ72" si="3112">SUM(GQ63,GQ66,GQ69)</f>
        <v>1960</v>
      </c>
      <c r="GR72" s="156">
        <f t="shared" ref="GR72" si="3113">IFERROR((GR63*GQ63+GQ66*GR66+GQ69*GR69)/GQ72,"")</f>
        <v>1.55</v>
      </c>
      <c r="GS72" s="155">
        <f t="shared" ref="GS72" si="3114">SUM(GS63,GS66,GS69)</f>
        <v>0</v>
      </c>
      <c r="GT72" s="156" t="str">
        <f t="shared" ref="GT72" si="3115">IFERROR((GT63*GS63+GS66*GT66+GS69*GT69)/GS72,"")</f>
        <v/>
      </c>
      <c r="GU72" s="155">
        <f t="shared" ref="GU72" si="3116">SUM(GU63,GU66,GU69)</f>
        <v>0</v>
      </c>
      <c r="GV72" s="156" t="str">
        <f t="shared" ref="GV72" si="3117">IFERROR((GV63*GU63+GU66*GV66+GU69*GV69)/GU72,"")</f>
        <v/>
      </c>
      <c r="GW72" s="155">
        <f t="shared" ref="GW72" si="3118">SUM(GW63,GW66,GW69)</f>
        <v>0</v>
      </c>
      <c r="GX72" s="156" t="str">
        <f t="shared" ref="GX72" si="3119">IFERROR((GX63*GW63+GW66*GX66+GW69*GX69)/GW72,"")</f>
        <v/>
      </c>
      <c r="GY72" s="155">
        <f t="shared" ref="GY72" si="3120">SUM(GY63,GY66,GY69)</f>
        <v>0</v>
      </c>
      <c r="GZ72" s="156" t="str">
        <f t="shared" ref="GZ72" si="3121">IFERROR((GZ63*GY63+GY66*GZ66+GY69*GZ69)/GY72,"")</f>
        <v/>
      </c>
      <c r="HA72" s="155">
        <f t="shared" ref="HA72" si="3122">SUM(HA63,HA66,HA69)</f>
        <v>128</v>
      </c>
      <c r="HB72" s="156">
        <f t="shared" ref="HB72" si="3123">IFERROR((HB63*HA63+HA66*HB66+HA69*HB69)/HA72,"")</f>
        <v>3.61</v>
      </c>
      <c r="HC72" s="155">
        <f t="shared" ref="HC72" si="3124">SUM(HC63,HC66,HC69)</f>
        <v>0</v>
      </c>
      <c r="HD72" s="156" t="str">
        <f t="shared" ref="HD72" si="3125">IFERROR((HD63*HC63+HC66*HD66+HC69*HD69)/HC72,"")</f>
        <v/>
      </c>
      <c r="HE72" s="155">
        <f t="shared" ref="HE72" si="3126">SUM(HE63,HE66,HE69)</f>
        <v>2921</v>
      </c>
      <c r="HF72" s="156">
        <f t="shared" ref="HF72" si="3127">IFERROR((HF63*HE63+HE66*HF66+HE69*HF69)/HE72,"")</f>
        <v>2.4300000000000002</v>
      </c>
      <c r="HG72" s="155">
        <f t="shared" ref="HG72" si="3128">SUM(HG63,HG66,HG69)</f>
        <v>0</v>
      </c>
      <c r="HH72" s="156" t="str">
        <f t="shared" ref="HH72" si="3129">IFERROR((HH63*HG63+HG66*HH66+HG69*HH69)/HG72,"")</f>
        <v/>
      </c>
      <c r="HI72" s="155">
        <f t="shared" ref="HI72" si="3130">SUM(HI63,HI66,HI69)</f>
        <v>0</v>
      </c>
      <c r="HJ72" s="156" t="str">
        <f t="shared" ref="HJ72" si="3131">IFERROR((HJ63*HI63+HI66*HJ66+HI69*HJ69)/HI72,"")</f>
        <v/>
      </c>
      <c r="HK72" s="155">
        <f t="shared" ref="HK72" si="3132">SUM(HK63,HK66,HK69)</f>
        <v>0</v>
      </c>
      <c r="HL72" s="156" t="str">
        <f t="shared" ref="HL72" si="3133">IFERROR((HL63*HK63+HK66*HL66+HK69*HL69)/HK72,"")</f>
        <v/>
      </c>
      <c r="HM72" s="155">
        <f t="shared" ref="HM72" si="3134">SUM(HM63,HM66,HM69)</f>
        <v>0</v>
      </c>
      <c r="HN72" s="156" t="str">
        <f t="shared" ref="HN72" si="3135">IFERROR((HN63*HM63+HM66*HN66+HM69*HN69)/HM72,"")</f>
        <v/>
      </c>
      <c r="HO72" s="155">
        <f t="shared" ref="HO72" si="3136">SUM(HO63,HO66,HO69)</f>
        <v>0</v>
      </c>
      <c r="HP72" s="156" t="str">
        <f t="shared" ref="HP72" si="3137">IFERROR((HP63*HO63+HO66*HP66+HO69*HP69)/HO72,"")</f>
        <v/>
      </c>
      <c r="HQ72" s="155">
        <f t="shared" ref="HQ72" si="3138">SUM(HQ63,HQ66,HQ69)</f>
        <v>0</v>
      </c>
      <c r="HR72" s="156" t="str">
        <f t="shared" ref="HR72" si="3139">IFERROR((HR63*HQ63+HQ66*HR66+HQ69*HR69)/HQ72,"")</f>
        <v/>
      </c>
      <c r="HS72" s="155">
        <f t="shared" ref="HS72" si="3140">SUM(HS63,HS66,HS69)</f>
        <v>1947</v>
      </c>
      <c r="HT72" s="156">
        <f t="shared" ref="HT72" si="3141">IFERROR((HT63*HS63+HS66*HT66+HS69*HT69)/HS72,"")</f>
        <v>2.64</v>
      </c>
      <c r="HU72" s="155">
        <f t="shared" ref="HU72" si="3142">SUM(HU63,HU66,HU69)</f>
        <v>0</v>
      </c>
      <c r="HV72" s="156" t="str">
        <f t="shared" ref="HV72" si="3143">IFERROR((HV63*HU63+HU66*HV66+HU69*HV69)/HU72,"")</f>
        <v/>
      </c>
      <c r="HW72" s="155">
        <f t="shared" ref="HW72" si="3144">SUM(HW63,HW66,HW69)</f>
        <v>0</v>
      </c>
      <c r="HX72" s="156" t="str">
        <f t="shared" ref="HX72" si="3145">IFERROR((HX63*HW63+HW66*HX66+HW69*HX69)/HW72,"")</f>
        <v/>
      </c>
      <c r="HY72" s="155">
        <f t="shared" ref="HY72" si="3146">SUM(HY63,HY66,HY69)</f>
        <v>0</v>
      </c>
      <c r="HZ72" s="156" t="str">
        <f t="shared" ref="HZ72" si="3147">IFERROR((HZ63*HY63+HY66*HZ66+HY69*HZ69)/HY72,"")</f>
        <v/>
      </c>
      <c r="IA72" s="155">
        <f t="shared" ref="IA72" si="3148">SUM(IA63,IA66,IA69)</f>
        <v>0</v>
      </c>
      <c r="IB72" s="156" t="str">
        <f t="shared" ref="IB72" si="3149">IFERROR((IB63*IA63+IA66*IB66+IA69*IB69)/IA72,"")</f>
        <v/>
      </c>
      <c r="IC72" s="155">
        <f t="shared" ref="IC72" si="3150">SUM(IC63,IC66,IC69)</f>
        <v>0</v>
      </c>
      <c r="ID72" s="156" t="str">
        <f t="shared" ref="ID72" si="3151">IFERROR((ID63*IC63+IC66*ID66+IC69*ID69)/IC72,"")</f>
        <v/>
      </c>
      <c r="IE72" s="155">
        <f t="shared" ref="IE72" si="3152">SUM(IE63,IE66,IE69)</f>
        <v>0</v>
      </c>
      <c r="IF72" s="156" t="str">
        <f t="shared" ref="IF72" si="3153">IFERROR((IF63*IE63+IE66*IF66+IE69*IF69)/IE72,"")</f>
        <v/>
      </c>
      <c r="IG72" s="155">
        <f t="shared" ref="IG72" si="3154">SUM(IG63,IG66,IG69)</f>
        <v>0</v>
      </c>
      <c r="IH72" s="156" t="str">
        <f t="shared" ref="IH72" si="3155">IFERROR((IH63*IG63+IG66*IH66+IG69*IH69)/IG72,"")</f>
        <v/>
      </c>
      <c r="II72" s="155">
        <f t="shared" ref="II72" si="3156">SUM(II63,II66,II69)</f>
        <v>0</v>
      </c>
      <c r="IJ72" s="156" t="str">
        <f t="shared" ref="IJ72" si="3157">IFERROR((IJ63*II63+II66*IJ66+II69*IJ69)/II72,"")</f>
        <v/>
      </c>
      <c r="IK72" s="155">
        <f t="shared" ref="IK72" si="3158">SUM(IK63,IK66,IK69)</f>
        <v>0</v>
      </c>
      <c r="IL72" s="156" t="str">
        <f t="shared" ref="IL72" si="3159">IFERROR((IL63*IK63+IK66*IL66+IK69*IL69)/IK72,"")</f>
        <v/>
      </c>
      <c r="IM72" s="155">
        <f t="shared" ref="IM72" si="3160">SUM(IM63,IM66,IM69)</f>
        <v>0</v>
      </c>
      <c r="IN72" s="156" t="str">
        <f t="shared" ref="IN72" si="3161">IFERROR((IN63*IM63+IM66*IN66+IM69*IN69)/IM72,"")</f>
        <v/>
      </c>
      <c r="IO72" s="155">
        <f t="shared" ref="IO72" si="3162">SUM(IO63,IO66,IO69)</f>
        <v>0</v>
      </c>
      <c r="IP72" s="156" t="str">
        <f t="shared" ref="IP72" si="3163">IFERROR((IP63*IO63+IO66*IP66+IO69*IP69)/IO72,"")</f>
        <v/>
      </c>
      <c r="IQ72" s="155">
        <f t="shared" ref="IQ72" si="3164">SUM(IQ63,IQ66,IQ69)</f>
        <v>0</v>
      </c>
      <c r="IR72" s="156" t="str">
        <f t="shared" ref="IR72" si="3165">IFERROR((IR63*IQ63+IQ66*IR66+IQ69*IR69)/IQ72,"")</f>
        <v/>
      </c>
      <c r="IS72" s="155">
        <f t="shared" ref="IS72" si="3166">SUM(IS63,IS66,IS69)</f>
        <v>0</v>
      </c>
      <c r="IT72" s="156" t="str">
        <f t="shared" ref="IT72" si="3167">IFERROR((IT63*IS63+IS66*IT66+IS69*IT69)/IS72,"")</f>
        <v/>
      </c>
      <c r="IU72" s="155">
        <f t="shared" ref="IU72" si="3168">SUM(IU63,IU66,IU69)</f>
        <v>0</v>
      </c>
      <c r="IV72" s="156" t="str">
        <f t="shared" ref="IV72" si="3169">IFERROR((IV63*IU63+IU66*IV66+IU69*IV69)/IU72,"")</f>
        <v/>
      </c>
      <c r="IW72" s="155">
        <f t="shared" ref="IW72" si="3170">SUM(IW63,IW66,IW69)</f>
        <v>0</v>
      </c>
      <c r="IX72" s="156" t="str">
        <f t="shared" ref="IX72" si="3171">IFERROR((IX63*IW63+IW66*IX66+IW69*IX69)/IW72,"")</f>
        <v/>
      </c>
      <c r="IY72" s="155">
        <f t="shared" ref="IY72" si="3172">SUM(IY63,IY66,IY69)</f>
        <v>0</v>
      </c>
      <c r="IZ72" s="156" t="str">
        <f t="shared" ref="IZ72" si="3173">IFERROR((IZ63*IY63+IY66*IZ66+IY69*IZ69)/IY72,"")</f>
        <v/>
      </c>
    </row>
    <row r="73" spans="1:260" x14ac:dyDescent="0.25">
      <c r="A73" s="1577"/>
      <c r="B73" s="13" t="s">
        <v>211</v>
      </c>
      <c r="C73" s="131">
        <f>SUM(C64,C67,C70)</f>
        <v>0</v>
      </c>
      <c r="D73" s="132" t="str">
        <f>IFERROR((C64*D64+C67*D67+C70*D70)/C73,"")</f>
        <v/>
      </c>
      <c r="E73" s="155">
        <f t="shared" ref="E73" si="3174">SUM(E64,E67,E70)</f>
        <v>0</v>
      </c>
      <c r="F73" s="156" t="str">
        <f t="shared" ref="F73" si="3175">IFERROR((F64*E64+E67*F67+E70*F70)/E73,"")</f>
        <v/>
      </c>
      <c r="G73" s="155">
        <f t="shared" ref="G73" si="3176">SUM(G64,G67,G70)</f>
        <v>0</v>
      </c>
      <c r="H73" s="156" t="str">
        <f t="shared" ref="H73" si="3177">IFERROR((H64*G64+G67*H67+G70*H70)/G73,"")</f>
        <v/>
      </c>
      <c r="I73" s="155">
        <f t="shared" ref="I73" si="3178">SUM(I64,I67,I70)</f>
        <v>0</v>
      </c>
      <c r="J73" s="156" t="str">
        <f t="shared" ref="J73" si="3179">IFERROR((J64*I64+I67*J67+I70*J70)/I73,"")</f>
        <v/>
      </c>
      <c r="K73" s="155">
        <f t="shared" ref="K73" si="3180">SUM(K64,K67,K70)</f>
        <v>0</v>
      </c>
      <c r="L73" s="156" t="str">
        <f t="shared" ref="L73" si="3181">IFERROR((L64*K64+K67*L67+K70*L70)/K73,"")</f>
        <v/>
      </c>
      <c r="M73" s="155">
        <f t="shared" ref="M73" si="3182">SUM(M64,M67,M70)</f>
        <v>0</v>
      </c>
      <c r="N73" s="156" t="str">
        <f t="shared" ref="N73" si="3183">IFERROR((N64*M64+M67*N67+M70*N70)/M73,"")</f>
        <v/>
      </c>
      <c r="O73" s="155">
        <f t="shared" ref="O73" si="3184">SUM(O64,O67,O70)</f>
        <v>0</v>
      </c>
      <c r="P73" s="156" t="str">
        <f t="shared" ref="P73" si="3185">IFERROR((P64*O64+O67*P67+O70*P70)/O73,"")</f>
        <v/>
      </c>
      <c r="Q73" s="155">
        <f t="shared" ref="Q73" si="3186">SUM(Q64,Q67,Q70)</f>
        <v>0</v>
      </c>
      <c r="R73" s="156" t="str">
        <f t="shared" ref="R73" si="3187">IFERROR((R64*Q64+Q67*R67+Q70*R70)/Q73,"")</f>
        <v/>
      </c>
      <c r="S73" s="155">
        <f t="shared" ref="S73" si="3188">SUM(S64,S67,S70)</f>
        <v>0</v>
      </c>
      <c r="T73" s="156" t="str">
        <f t="shared" ref="T73" si="3189">IFERROR((T64*S64+S67*T67+S70*T70)/S73,"")</f>
        <v/>
      </c>
      <c r="U73" s="155">
        <f t="shared" ref="U73" si="3190">SUM(U64,U67,U70)</f>
        <v>0</v>
      </c>
      <c r="V73" s="156" t="str">
        <f t="shared" ref="V73" si="3191">IFERROR((V64*U64+U67*V67+U70*V70)/U73,"")</f>
        <v/>
      </c>
      <c r="W73" s="155">
        <f t="shared" ref="W73" si="3192">SUM(W64,W67,W70)</f>
        <v>0</v>
      </c>
      <c r="X73" s="156" t="str">
        <f t="shared" ref="X73" si="3193">IFERROR((X64*W64+W67*X67+W70*X70)/W73,"")</f>
        <v/>
      </c>
      <c r="Y73" s="155">
        <f t="shared" ref="Y73" si="3194">SUM(Y64,Y67,Y70)</f>
        <v>0</v>
      </c>
      <c r="Z73" s="156" t="str">
        <f t="shared" ref="Z73" si="3195">IFERROR((Z64*Y64+Y67*Z67+Y70*Z70)/Y73,"")</f>
        <v/>
      </c>
      <c r="AA73" s="155">
        <f t="shared" ref="AA73" si="3196">SUM(AA64,AA67,AA70)</f>
        <v>0</v>
      </c>
      <c r="AB73" s="156" t="str">
        <f t="shared" ref="AB73" si="3197">IFERROR((AB64*AA64+AA67*AB67+AA70*AB70)/AA73,"")</f>
        <v/>
      </c>
      <c r="AC73" s="155">
        <f t="shared" ref="AC73" si="3198">SUM(AC64,AC67,AC70)</f>
        <v>0</v>
      </c>
      <c r="AD73" s="156" t="str">
        <f t="shared" ref="AD73" si="3199">IFERROR((AD64*AC64+AC67*AD67+AC70*AD70)/AC73,"")</f>
        <v/>
      </c>
      <c r="AE73" s="155">
        <f t="shared" ref="AE73" si="3200">SUM(AE64,AE67,AE70)</f>
        <v>0</v>
      </c>
      <c r="AF73" s="156" t="str">
        <f t="shared" ref="AF73" si="3201">IFERROR((AF64*AE64+AE67*AF67+AE70*AF70)/AE73,"")</f>
        <v/>
      </c>
      <c r="AG73" s="155">
        <f t="shared" ref="AG73" si="3202">SUM(AG64,AG67,AG70)</f>
        <v>0</v>
      </c>
      <c r="AH73" s="156" t="str">
        <f t="shared" ref="AH73" si="3203">IFERROR((AH64*AG64+AG67*AH67+AG70*AH70)/AG73,"")</f>
        <v/>
      </c>
      <c r="AI73" s="155">
        <f t="shared" ref="AI73" si="3204">SUM(AI64,AI67,AI70)</f>
        <v>0</v>
      </c>
      <c r="AJ73" s="156" t="str">
        <f t="shared" ref="AJ73" si="3205">IFERROR((AJ64*AI64+AI67*AJ67+AI70*AJ70)/AI73,"")</f>
        <v/>
      </c>
      <c r="AK73" s="155">
        <f t="shared" ref="AK73" si="3206">SUM(AK64,AK67,AK70)</f>
        <v>0</v>
      </c>
      <c r="AL73" s="156" t="str">
        <f t="shared" ref="AL73" si="3207">IFERROR((AL64*AK64+AK67*AL67+AK70*AL70)/AK73,"")</f>
        <v/>
      </c>
      <c r="AM73" s="155">
        <f t="shared" ref="AM73" si="3208">SUM(AM64,AM67,AM70)</f>
        <v>0</v>
      </c>
      <c r="AN73" s="156" t="str">
        <f t="shared" ref="AN73" si="3209">IFERROR((AN64*AM64+AM67*AN67+AM70*AN70)/AM73,"")</f>
        <v/>
      </c>
      <c r="AO73" s="155">
        <f t="shared" ref="AO73" si="3210">SUM(AO64,AO67,AO70)</f>
        <v>0</v>
      </c>
      <c r="AP73" s="156" t="str">
        <f t="shared" ref="AP73" si="3211">IFERROR((AP64*AO64+AO67*AP67+AO70*AP70)/AO73,"")</f>
        <v/>
      </c>
      <c r="AQ73" s="155">
        <f t="shared" ref="AQ73" si="3212">SUM(AQ64,AQ67,AQ70)</f>
        <v>0</v>
      </c>
      <c r="AR73" s="156" t="str">
        <f t="shared" ref="AR73" si="3213">IFERROR((AR64*AQ64+AQ67*AR67+AQ70*AR70)/AQ73,"")</f>
        <v/>
      </c>
      <c r="AS73" s="155">
        <f t="shared" ref="AS73" si="3214">SUM(AS64,AS67,AS70)</f>
        <v>0</v>
      </c>
      <c r="AT73" s="156" t="str">
        <f t="shared" ref="AT73" si="3215">IFERROR((AT64*AS64+AS67*AT67+AS70*AT70)/AS73,"")</f>
        <v/>
      </c>
      <c r="AU73" s="155">
        <f t="shared" ref="AU73" si="3216">SUM(AU64,AU67,AU70)</f>
        <v>0</v>
      </c>
      <c r="AV73" s="156" t="str">
        <f t="shared" ref="AV73" si="3217">IFERROR((AV64*AU64+AU67*AV67+AU70*AV70)/AU73,"")</f>
        <v/>
      </c>
      <c r="AW73" s="155">
        <f t="shared" ref="AW73" si="3218">SUM(AW64,AW67,AW70)</f>
        <v>0</v>
      </c>
      <c r="AX73" s="156" t="str">
        <f t="shared" ref="AX73" si="3219">IFERROR((AX64*AW64+AW67*AX67+AW70*AX70)/AW73,"")</f>
        <v/>
      </c>
      <c r="AY73" s="155">
        <f t="shared" ref="AY73" si="3220">SUM(AY64,AY67,AY70)</f>
        <v>0</v>
      </c>
      <c r="AZ73" s="156" t="str">
        <f t="shared" ref="AZ73" si="3221">IFERROR((AZ64*AY64+AY67*AZ67+AY70*AZ70)/AY73,"")</f>
        <v/>
      </c>
      <c r="BA73" s="155">
        <f t="shared" ref="BA73" si="3222">SUM(BA64,BA67,BA70)</f>
        <v>0</v>
      </c>
      <c r="BB73" s="156" t="str">
        <f t="shared" ref="BB73" si="3223">IFERROR((BB64*BA64+BA67*BB67+BA70*BB70)/BA73,"")</f>
        <v/>
      </c>
      <c r="BC73" s="155">
        <f t="shared" ref="BC73" si="3224">SUM(BC64,BC67,BC70)</f>
        <v>0</v>
      </c>
      <c r="BD73" s="156" t="str">
        <f t="shared" ref="BD73" si="3225">IFERROR((BD64*BC64+BC67*BD67+BC70*BD70)/BC73,"")</f>
        <v/>
      </c>
      <c r="BE73" s="155">
        <f t="shared" ref="BE73" si="3226">SUM(BE64,BE67,BE70)</f>
        <v>0</v>
      </c>
      <c r="BF73" s="156" t="str">
        <f t="shared" ref="BF73" si="3227">IFERROR((BF64*BE64+BE67*BF67+BE70*BF70)/BE73,"")</f>
        <v/>
      </c>
      <c r="BG73" s="155">
        <f t="shared" ref="BG73" si="3228">SUM(BG64,BG67,BG70)</f>
        <v>0</v>
      </c>
      <c r="BH73" s="156" t="str">
        <f t="shared" ref="BH73" si="3229">IFERROR((BH64*BG64+BG67*BH67+BG70*BH70)/BG73,"")</f>
        <v/>
      </c>
      <c r="BI73" s="155">
        <f t="shared" ref="BI73" si="3230">SUM(BI64,BI67,BI70)</f>
        <v>0</v>
      </c>
      <c r="BJ73" s="156" t="str">
        <f t="shared" ref="BJ73" si="3231">IFERROR((BJ64*BI64+BI67*BJ67+BI70*BJ70)/BI73,"")</f>
        <v/>
      </c>
      <c r="BK73" s="155">
        <f t="shared" ref="BK73" si="3232">SUM(BK64,BK67,BK70)</f>
        <v>0</v>
      </c>
      <c r="BL73" s="156" t="str">
        <f t="shared" ref="BL73" si="3233">IFERROR((BL64*BK64+BK67*BL67+BK70*BL70)/BK73,"")</f>
        <v/>
      </c>
      <c r="BM73" s="155">
        <f t="shared" ref="BM73" si="3234">SUM(BM64,BM67,BM70)</f>
        <v>0</v>
      </c>
      <c r="BN73" s="156" t="str">
        <f t="shared" ref="BN73" si="3235">IFERROR((BN64*BM64+BM67*BN67+BM70*BN70)/BM73,"")</f>
        <v/>
      </c>
      <c r="BO73" s="155">
        <f t="shared" ref="BO73" si="3236">SUM(BO64,BO67,BO70)</f>
        <v>0</v>
      </c>
      <c r="BP73" s="156" t="str">
        <f t="shared" ref="BP73" si="3237">IFERROR((BP64*BO64+BO67*BP67+BO70*BP70)/BO73,"")</f>
        <v/>
      </c>
      <c r="BQ73" s="155">
        <f t="shared" ref="BQ73" si="3238">SUM(BQ64,BQ67,BQ70)</f>
        <v>0</v>
      </c>
      <c r="BR73" s="156" t="str">
        <f t="shared" ref="BR73" si="3239">IFERROR((BR64*BQ64+BQ67*BR67+BQ70*BR70)/BQ73,"")</f>
        <v/>
      </c>
      <c r="BS73" s="155">
        <f t="shared" ref="BS73" si="3240">SUM(BS64,BS67,BS70)</f>
        <v>0</v>
      </c>
      <c r="BT73" s="156" t="str">
        <f t="shared" ref="BT73" si="3241">IFERROR((BT64*BS64+BS67*BT67+BS70*BT70)/BS73,"")</f>
        <v/>
      </c>
      <c r="BU73" s="155">
        <f t="shared" ref="BU73" si="3242">SUM(BU64,BU67,BU70)</f>
        <v>0</v>
      </c>
      <c r="BV73" s="156" t="str">
        <f t="shared" ref="BV73" si="3243">IFERROR((BV64*BU64+BU67*BV67+BU70*BV70)/BU73,"")</f>
        <v/>
      </c>
      <c r="BW73" s="155">
        <f t="shared" ref="BW73" si="3244">SUM(BW64,BW67,BW70)</f>
        <v>0</v>
      </c>
      <c r="BX73" s="156" t="str">
        <f t="shared" ref="BX73" si="3245">IFERROR((BX64*BW64+BW67*BX67+BW70*BX70)/BW73,"")</f>
        <v/>
      </c>
      <c r="BY73" s="155">
        <f t="shared" ref="BY73" si="3246">SUM(BY64,BY67,BY70)</f>
        <v>0</v>
      </c>
      <c r="BZ73" s="156" t="str">
        <f t="shared" ref="BZ73" si="3247">IFERROR((BZ64*BY64+BY67*BZ67+BY70*BZ70)/BY73,"")</f>
        <v/>
      </c>
      <c r="CA73" s="155">
        <f t="shared" ref="CA73" si="3248">SUM(CA64,CA67,CA70)</f>
        <v>0</v>
      </c>
      <c r="CB73" s="156" t="str">
        <f t="shared" ref="CB73" si="3249">IFERROR((CB64*CA64+CA67*CB67+CA70*CB70)/CA73,"")</f>
        <v/>
      </c>
      <c r="CC73" s="155">
        <f t="shared" ref="CC73" si="3250">SUM(CC64,CC67,CC70)</f>
        <v>0</v>
      </c>
      <c r="CD73" s="156" t="str">
        <f t="shared" ref="CD73" si="3251">IFERROR((CD64*CC64+CC67*CD67+CC70*CD70)/CC73,"")</f>
        <v/>
      </c>
      <c r="CE73" s="155">
        <f t="shared" ref="CE73" si="3252">SUM(CE64,CE67,CE70)</f>
        <v>0</v>
      </c>
      <c r="CF73" s="156" t="str">
        <f t="shared" ref="CF73" si="3253">IFERROR((CF64*CE64+CE67*CF67+CE70*CF70)/CE73,"")</f>
        <v/>
      </c>
      <c r="CG73" s="155">
        <f t="shared" ref="CG73" si="3254">SUM(CG64,CG67,CG70)</f>
        <v>0</v>
      </c>
      <c r="CH73" s="156" t="str">
        <f t="shared" ref="CH73" si="3255">IFERROR((CH64*CG64+CG67*CH67+CG70*CH70)/CG73,"")</f>
        <v/>
      </c>
      <c r="CI73" s="155">
        <f t="shared" ref="CI73" si="3256">SUM(CI64,CI67,CI70)</f>
        <v>0</v>
      </c>
      <c r="CJ73" s="156" t="str">
        <f t="shared" ref="CJ73" si="3257">IFERROR((CJ64*CI64+CI67*CJ67+CI70*CJ70)/CI73,"")</f>
        <v/>
      </c>
      <c r="CK73" s="155">
        <f t="shared" ref="CK73" si="3258">SUM(CK64,CK67,CK70)</f>
        <v>0</v>
      </c>
      <c r="CL73" s="156" t="str">
        <f t="shared" ref="CL73" si="3259">IFERROR((CL64*CK64+CK67*CL67+CK70*CL70)/CK73,"")</f>
        <v/>
      </c>
      <c r="CM73" s="155">
        <f t="shared" ref="CM73" si="3260">SUM(CM64,CM67,CM70)</f>
        <v>0</v>
      </c>
      <c r="CN73" s="156" t="str">
        <f t="shared" ref="CN73" si="3261">IFERROR((CN64*CM64+CM67*CN67+CM70*CN70)/CM73,"")</f>
        <v/>
      </c>
      <c r="CO73" s="155">
        <f t="shared" ref="CO73" si="3262">SUM(CO64,CO67,CO70)</f>
        <v>0</v>
      </c>
      <c r="CP73" s="156" t="str">
        <f t="shared" ref="CP73" si="3263">IFERROR((CP64*CO64+CO67*CP67+CO70*CP70)/CO73,"")</f>
        <v/>
      </c>
      <c r="CQ73" s="155">
        <f t="shared" ref="CQ73:CW73" si="3264">SUM(CQ64,CQ67,CQ70)</f>
        <v>0</v>
      </c>
      <c r="CR73" s="156" t="str">
        <f t="shared" ref="CR73" si="3265">IFERROR((CR64*CQ64+CQ67*CR67+CQ70*CR70)/CQ73,"")</f>
        <v/>
      </c>
      <c r="CS73" s="155">
        <f t="shared" ref="CS73" si="3266">SUM(CS64,CS67,CS70)</f>
        <v>0</v>
      </c>
      <c r="CT73" s="156" t="str">
        <f t="shared" si="3014"/>
        <v/>
      </c>
      <c r="CU73" s="155">
        <f t="shared" si="3264"/>
        <v>0</v>
      </c>
      <c r="CV73" s="156" t="str">
        <f t="shared" si="3015"/>
        <v/>
      </c>
      <c r="CW73" s="155">
        <f t="shared" si="3264"/>
        <v>0</v>
      </c>
      <c r="CX73" s="156" t="str">
        <f t="shared" si="3016"/>
        <v/>
      </c>
      <c r="CY73" s="155">
        <f t="shared" ref="CY73" si="3267">SUM(CY64,CY67,CY70)</f>
        <v>0</v>
      </c>
      <c r="CZ73" s="156" t="str">
        <f t="shared" ref="CZ73" si="3268">IFERROR((CZ64*CY64+CY67*CZ67+CY70*CZ70)/CY73,"")</f>
        <v/>
      </c>
      <c r="DA73" s="155">
        <f t="shared" ref="DA73" si="3269">SUM(DA64,DA67,DA70)</f>
        <v>0</v>
      </c>
      <c r="DB73" s="156" t="str">
        <f t="shared" ref="DB73" si="3270">IFERROR((DB64*DA64+DA67*DB67+DA70*DB70)/DA73,"")</f>
        <v/>
      </c>
      <c r="DC73" s="155">
        <f t="shared" ref="DC73" si="3271">SUM(DC64,DC67,DC70)</f>
        <v>0</v>
      </c>
      <c r="DD73" s="156" t="str">
        <f t="shared" ref="DD73" si="3272">IFERROR((DD64*DC64+DC67*DD67+DC70*DD70)/DC73,"")</f>
        <v/>
      </c>
      <c r="DE73" s="155">
        <f t="shared" ref="DE73" si="3273">SUM(DE64,DE67,DE70)</f>
        <v>0</v>
      </c>
      <c r="DF73" s="156" t="str">
        <f t="shared" ref="DF73" si="3274">IFERROR((DF64*DE64+DE67*DF67+DE70*DF70)/DE73,"")</f>
        <v/>
      </c>
      <c r="DG73" s="155">
        <f t="shared" ref="DG73" si="3275">SUM(DG64,DG67,DG70)</f>
        <v>0</v>
      </c>
      <c r="DH73" s="156" t="str">
        <f t="shared" ref="DH73" si="3276">IFERROR((DH64*DG64+DG67*DH67+DG70*DH70)/DG73,"")</f>
        <v/>
      </c>
      <c r="DI73" s="155">
        <f t="shared" ref="DI73" si="3277">SUM(DI64,DI67,DI70)</f>
        <v>0</v>
      </c>
      <c r="DJ73" s="156" t="str">
        <f t="shared" ref="DJ73" si="3278">IFERROR((DJ64*DI64+DI67*DJ67+DI70*DJ70)/DI73,"")</f>
        <v/>
      </c>
      <c r="DK73" s="155">
        <f t="shared" ref="DK73" si="3279">SUM(DK64,DK67,DK70)</f>
        <v>0</v>
      </c>
      <c r="DL73" s="156" t="str">
        <f t="shared" ref="DL73" si="3280">IFERROR((DL64*DK64+DK67*DL67+DK70*DL70)/DK73,"")</f>
        <v/>
      </c>
      <c r="DM73" s="155">
        <f t="shared" ref="DM73" si="3281">SUM(DM64,DM67,DM70)</f>
        <v>0</v>
      </c>
      <c r="DN73" s="156" t="str">
        <f t="shared" ref="DN73" si="3282">IFERROR((DN64*DM64+DM67*DN67+DM70*DN70)/DM73,"")</f>
        <v/>
      </c>
      <c r="DO73" s="155">
        <f t="shared" ref="DO73" si="3283">SUM(DO64,DO67,DO70)</f>
        <v>0</v>
      </c>
      <c r="DP73" s="156" t="str">
        <f t="shared" ref="DP73" si="3284">IFERROR((DP64*DO64+DO67*DP67+DO70*DP70)/DO73,"")</f>
        <v/>
      </c>
      <c r="DQ73" s="155">
        <f t="shared" ref="DQ73" si="3285">SUM(DQ64,DQ67,DQ70)</f>
        <v>0</v>
      </c>
      <c r="DR73" s="156" t="str">
        <f t="shared" ref="DR73" si="3286">IFERROR((DR64*DQ64+DQ67*DR67+DQ70*DR70)/DQ73,"")</f>
        <v/>
      </c>
      <c r="DS73" s="155">
        <f t="shared" ref="DS73" si="3287">SUM(DS64,DS67,DS70)</f>
        <v>0</v>
      </c>
      <c r="DT73" s="156" t="str">
        <f t="shared" ref="DT73" si="3288">IFERROR((DT64*DS64+DS67*DT67+DS70*DT70)/DS73,"")</f>
        <v/>
      </c>
      <c r="DU73" s="155">
        <f t="shared" ref="DU73" si="3289">SUM(DU64,DU67,DU70)</f>
        <v>0</v>
      </c>
      <c r="DV73" s="156" t="str">
        <f t="shared" ref="DV73" si="3290">IFERROR((DV64*DU64+DU67*DV67+DU70*DV70)/DU73,"")</f>
        <v/>
      </c>
      <c r="DW73" s="155">
        <f t="shared" ref="DW73" si="3291">SUM(DW64,DW67,DW70)</f>
        <v>0</v>
      </c>
      <c r="DX73" s="156" t="str">
        <f t="shared" ref="DX73" si="3292">IFERROR((DX64*DW64+DW67*DX67+DW70*DX70)/DW73,"")</f>
        <v/>
      </c>
      <c r="DY73" s="155">
        <f t="shared" ref="DY73" si="3293">SUM(DY64,DY67,DY70)</f>
        <v>0</v>
      </c>
      <c r="DZ73" s="156" t="str">
        <f t="shared" ref="DZ73" si="3294">IFERROR((DZ64*DY64+DY67*DZ67+DY70*DZ70)/DY73,"")</f>
        <v/>
      </c>
      <c r="EA73" s="155">
        <f t="shared" ref="EA73" si="3295">SUM(EA64,EA67,EA70)</f>
        <v>0</v>
      </c>
      <c r="EB73" s="156" t="str">
        <f t="shared" ref="EB73" si="3296">IFERROR((EB64*EA64+EA67*EB67+EA70*EB70)/EA73,"")</f>
        <v/>
      </c>
      <c r="EC73" s="155">
        <f t="shared" ref="EC73" si="3297">SUM(EC64,EC67,EC70)</f>
        <v>0</v>
      </c>
      <c r="ED73" s="156" t="str">
        <f t="shared" ref="ED73" si="3298">IFERROR((ED64*EC64+EC67*ED67+EC70*ED70)/EC73,"")</f>
        <v/>
      </c>
      <c r="EE73" s="155">
        <f t="shared" ref="EE73" si="3299">SUM(EE64,EE67,EE70)</f>
        <v>0</v>
      </c>
      <c r="EF73" s="156" t="str">
        <f t="shared" ref="EF73" si="3300">IFERROR((EF64*EE64+EE67*EF67+EE70*EF70)/EE73,"")</f>
        <v/>
      </c>
      <c r="EG73" s="155">
        <f t="shared" ref="EG73" si="3301">SUM(EG64,EG67,EG70)</f>
        <v>0</v>
      </c>
      <c r="EH73" s="156" t="str">
        <f t="shared" ref="EH73" si="3302">IFERROR((EH64*EG64+EG67*EH67+EG70*EH70)/EG73,"")</f>
        <v/>
      </c>
      <c r="EI73" s="155">
        <f t="shared" ref="EI73" si="3303">SUM(EI64,EI67,EI70)</f>
        <v>0</v>
      </c>
      <c r="EJ73" s="156" t="str">
        <f t="shared" ref="EJ73" si="3304">IFERROR((EJ64*EI64+EI67*EJ67+EI70*EJ70)/EI73,"")</f>
        <v/>
      </c>
      <c r="EK73" s="155">
        <f t="shared" ref="EK73" si="3305">SUM(EK64,EK67,EK70)</f>
        <v>0</v>
      </c>
      <c r="EL73" s="156" t="str">
        <f t="shared" ref="EL73" si="3306">IFERROR((EL64*EK64+EK67*EL67+EK70*EL70)/EK73,"")</f>
        <v/>
      </c>
      <c r="EM73" s="155">
        <f t="shared" ref="EM73" si="3307">SUM(EM64,EM67,EM70)</f>
        <v>0</v>
      </c>
      <c r="EN73" s="156" t="str">
        <f t="shared" ref="EN73" si="3308">IFERROR((EN64*EM64+EM67*EN67+EM70*EN70)/EM73,"")</f>
        <v/>
      </c>
      <c r="EO73" s="155">
        <f t="shared" ref="EO73" si="3309">SUM(EO64,EO67,EO70)</f>
        <v>0</v>
      </c>
      <c r="EP73" s="156" t="str">
        <f t="shared" ref="EP73" si="3310">IFERROR((EP64*EO64+EO67*EP67+EO70*EP70)/EO73,"")</f>
        <v/>
      </c>
      <c r="EQ73" s="155">
        <f t="shared" ref="EQ73:ES73" si="3311">SUM(EQ64,EQ67,EQ70)</f>
        <v>0</v>
      </c>
      <c r="ER73" s="156" t="str">
        <f t="shared" ref="ER73" si="3312">IFERROR((ER64*EQ64+EQ67*ER67+EQ70*ER70)/EQ73,"")</f>
        <v/>
      </c>
      <c r="ES73" s="155">
        <f t="shared" si="3311"/>
        <v>0</v>
      </c>
      <c r="ET73" s="156" t="str">
        <f t="shared" si="3063"/>
        <v/>
      </c>
      <c r="EU73" s="155">
        <f t="shared" ref="EU73" si="3313">SUM(EU64,EU67,EU70)</f>
        <v>0</v>
      </c>
      <c r="EV73" s="156" t="str">
        <f t="shared" ref="EV73" si="3314">IFERROR((EV64*EU64+EU67*EV67+EU70*EV70)/EU73,"")</f>
        <v/>
      </c>
      <c r="EW73" s="155">
        <f t="shared" ref="EW73" si="3315">SUM(EW64,EW67,EW70)</f>
        <v>0</v>
      </c>
      <c r="EX73" s="156" t="str">
        <f t="shared" si="3067"/>
        <v/>
      </c>
      <c r="EY73" s="155">
        <f t="shared" ref="EY73" si="3316">SUM(EY64,EY67,EY70)</f>
        <v>0</v>
      </c>
      <c r="EZ73" s="156" t="str">
        <f t="shared" ref="EZ73" si="3317">IFERROR((EZ64*EY64+EY67*EZ67+EY70*EZ70)/EY73,"")</f>
        <v/>
      </c>
      <c r="FA73" s="155">
        <f t="shared" ref="FA73" si="3318">SUM(FA64,FA67,FA70)</f>
        <v>0</v>
      </c>
      <c r="FB73" s="156" t="str">
        <f t="shared" ref="FB73" si="3319">IFERROR((FB64*FA64+FA67*FB67+FA70*FB70)/FA73,"")</f>
        <v/>
      </c>
      <c r="FC73" s="155">
        <f t="shared" ref="FC73" si="3320">SUM(FC64,FC67,FC70)</f>
        <v>0</v>
      </c>
      <c r="FD73" s="156" t="str">
        <f t="shared" ref="FD73" si="3321">IFERROR((FD64*FC64+FC67*FD67+FC70*FD70)/FC73,"")</f>
        <v/>
      </c>
      <c r="FE73" s="155">
        <f t="shared" ref="FE73" si="3322">SUM(FE64,FE67,FE70)</f>
        <v>0</v>
      </c>
      <c r="FF73" s="156" t="str">
        <f t="shared" ref="FF73" si="3323">IFERROR((FF64*FE64+FE67*FF67+FE70*FF70)/FE73,"")</f>
        <v/>
      </c>
      <c r="FG73" s="155">
        <f t="shared" ref="FG73" si="3324">SUM(FG64,FG67,FG70)</f>
        <v>0</v>
      </c>
      <c r="FH73" s="156" t="str">
        <f t="shared" ref="FH73" si="3325">IFERROR((FH64*FG64+FG67*FH67+FG70*FH70)/FG73,"")</f>
        <v/>
      </c>
      <c r="FI73" s="155">
        <f t="shared" ref="FI73" si="3326">SUM(FI64,FI67,FI70)</f>
        <v>0</v>
      </c>
      <c r="FJ73" s="156" t="str">
        <f t="shared" ref="FJ73" si="3327">IFERROR((FJ64*FI64+FI67*FJ67+FI70*FJ70)/FI73,"")</f>
        <v/>
      </c>
      <c r="FK73" s="155">
        <f t="shared" ref="FK73" si="3328">SUM(FK64,FK67,FK70)</f>
        <v>0</v>
      </c>
      <c r="FL73" s="156" t="str">
        <f t="shared" ref="FL73" si="3329">IFERROR((FL64*FK64+FK67*FL67+FK70*FL70)/FK73,"")</f>
        <v/>
      </c>
      <c r="FM73" s="155">
        <f t="shared" ref="FM73" si="3330">SUM(FM64,FM67,FM70)</f>
        <v>0</v>
      </c>
      <c r="FN73" s="156" t="str">
        <f t="shared" ref="FN73" si="3331">IFERROR((FN64*FM64+FM67*FN67+FM70*FN70)/FM73,"")</f>
        <v/>
      </c>
      <c r="FO73" s="155">
        <f t="shared" ref="FO73" si="3332">SUM(FO64,FO67,FO70)</f>
        <v>0</v>
      </c>
      <c r="FP73" s="156" t="str">
        <f t="shared" ref="FP73" si="3333">IFERROR((FP64*FO64+FO67*FP67+FO70*FP70)/FO73,"")</f>
        <v/>
      </c>
      <c r="FQ73" s="155">
        <f t="shared" ref="FQ73" si="3334">SUM(FQ64,FQ67,FQ70)</f>
        <v>0</v>
      </c>
      <c r="FR73" s="156" t="str">
        <f t="shared" ref="FR73" si="3335">IFERROR((FR64*FQ64+FQ67*FR67+FQ70*FR70)/FQ73,"")</f>
        <v/>
      </c>
      <c r="FS73" s="155">
        <f t="shared" ref="FS73" si="3336">SUM(FS64,FS67,FS70)</f>
        <v>0</v>
      </c>
      <c r="FT73" s="156" t="str">
        <f t="shared" ref="FT73" si="3337">IFERROR((FT64*FS64+FS67*FT67+FS70*FT70)/FS73,"")</f>
        <v/>
      </c>
      <c r="FU73" s="155">
        <f t="shared" ref="FU73" si="3338">SUM(FU64,FU67,FU70)</f>
        <v>0</v>
      </c>
      <c r="FV73" s="156" t="str">
        <f t="shared" ref="FV73" si="3339">IFERROR((FV64*FU64+FU67*FV67+FU70*FV70)/FU73,"")</f>
        <v/>
      </c>
      <c r="FW73" s="155">
        <f t="shared" ref="FW73" si="3340">SUM(FW64,FW67,FW70)</f>
        <v>0</v>
      </c>
      <c r="FX73" s="156" t="str">
        <f t="shared" ref="FX73" si="3341">IFERROR((FX64*FW64+FW67*FX67+FW70*FX70)/FW73,"")</f>
        <v/>
      </c>
      <c r="FY73" s="155">
        <f t="shared" ref="FY73" si="3342">SUM(FY64,FY67,FY70)</f>
        <v>0</v>
      </c>
      <c r="FZ73" s="156" t="str">
        <f t="shared" ref="FZ73" si="3343">IFERROR((FZ64*FY64+FY67*FZ67+FY70*FZ70)/FY73,"")</f>
        <v/>
      </c>
      <c r="GA73" s="155">
        <f t="shared" ref="GA73" si="3344">SUM(GA64,GA67,GA70)</f>
        <v>0</v>
      </c>
      <c r="GB73" s="156" t="str">
        <f t="shared" ref="GB73" si="3345">IFERROR((GB64*GA64+GA67*GB67+GA70*GB70)/GA73,"")</f>
        <v/>
      </c>
      <c r="GC73" s="155">
        <f t="shared" ref="GC73" si="3346">SUM(GC64,GC67,GC70)</f>
        <v>0</v>
      </c>
      <c r="GD73" s="156" t="str">
        <f t="shared" ref="GD73" si="3347">IFERROR((GD64*GC64+GC67*GD67+GC70*GD70)/GC73,"")</f>
        <v/>
      </c>
      <c r="GE73" s="155">
        <f t="shared" ref="GE73" si="3348">SUM(GE64,GE67,GE70)</f>
        <v>0</v>
      </c>
      <c r="GF73" s="156" t="str">
        <f t="shared" ref="GF73" si="3349">IFERROR((GF64*GE64+GE67*GF67+GE70*GF70)/GE73,"")</f>
        <v/>
      </c>
      <c r="GG73" s="155">
        <f t="shared" ref="GG73" si="3350">SUM(GG64,GG67,GG70)</f>
        <v>0</v>
      </c>
      <c r="GH73" s="156" t="str">
        <f t="shared" ref="GH73" si="3351">IFERROR((GH64*GG64+GG67*GH67+GG70*GH70)/GG73,"")</f>
        <v/>
      </c>
      <c r="GI73" s="155">
        <f t="shared" ref="GI73" si="3352">SUM(GI64,GI67,GI70)</f>
        <v>0</v>
      </c>
      <c r="GJ73" s="156" t="str">
        <f t="shared" ref="GJ73" si="3353">IFERROR((GJ64*GI64+GI67*GJ67+GI70*GJ70)/GI73,"")</f>
        <v/>
      </c>
      <c r="GK73" s="155">
        <f t="shared" ref="GK73" si="3354">SUM(GK64,GK67,GK70)</f>
        <v>0</v>
      </c>
      <c r="GL73" s="156" t="str">
        <f t="shared" ref="GL73" si="3355">IFERROR((GL64*GK64+GK67*GL67+GK70*GL70)/GK73,"")</f>
        <v/>
      </c>
      <c r="GM73" s="155">
        <f t="shared" ref="GM73" si="3356">SUM(GM64,GM67,GM70)</f>
        <v>0</v>
      </c>
      <c r="GN73" s="156" t="str">
        <f t="shared" ref="GN73" si="3357">IFERROR((GN64*GM64+GM67*GN67+GM70*GN70)/GM73,"")</f>
        <v/>
      </c>
      <c r="GO73" s="155">
        <f t="shared" ref="GO73" si="3358">SUM(GO64,GO67,GO70)</f>
        <v>0</v>
      </c>
      <c r="GP73" s="156" t="str">
        <f t="shared" ref="GP73" si="3359">IFERROR((GP64*GO64+GO67*GP67+GO70*GP70)/GO73,"")</f>
        <v/>
      </c>
      <c r="GQ73" s="155">
        <f t="shared" ref="GQ73" si="3360">SUM(GQ64,GQ67,GQ70)</f>
        <v>0</v>
      </c>
      <c r="GR73" s="156" t="str">
        <f t="shared" ref="GR73" si="3361">IFERROR((GR64*GQ64+GQ67*GR67+GQ70*GR70)/GQ73,"")</f>
        <v/>
      </c>
      <c r="GS73" s="155">
        <f t="shared" ref="GS73" si="3362">SUM(GS64,GS67,GS70)</f>
        <v>0</v>
      </c>
      <c r="GT73" s="156" t="str">
        <f t="shared" ref="GT73" si="3363">IFERROR((GT64*GS64+GS67*GT67+GS70*GT70)/GS73,"")</f>
        <v/>
      </c>
      <c r="GU73" s="155">
        <f t="shared" ref="GU73" si="3364">SUM(GU64,GU67,GU70)</f>
        <v>0</v>
      </c>
      <c r="GV73" s="156" t="str">
        <f t="shared" ref="GV73" si="3365">IFERROR((GV64*GU64+GU67*GV67+GU70*GV70)/GU73,"")</f>
        <v/>
      </c>
      <c r="GW73" s="155">
        <f t="shared" ref="GW73" si="3366">SUM(GW64,GW67,GW70)</f>
        <v>0</v>
      </c>
      <c r="GX73" s="156" t="str">
        <f t="shared" ref="GX73" si="3367">IFERROR((GX64*GW64+GW67*GX67+GW70*GX70)/GW73,"")</f>
        <v/>
      </c>
      <c r="GY73" s="155">
        <f t="shared" ref="GY73" si="3368">SUM(GY64,GY67,GY70)</f>
        <v>0</v>
      </c>
      <c r="GZ73" s="156" t="str">
        <f t="shared" ref="GZ73" si="3369">IFERROR((GZ64*GY64+GY67*GZ67+GY70*GZ70)/GY73,"")</f>
        <v/>
      </c>
      <c r="HA73" s="155">
        <f t="shared" ref="HA73" si="3370">SUM(HA64,HA67,HA70)</f>
        <v>0</v>
      </c>
      <c r="HB73" s="156" t="str">
        <f t="shared" ref="HB73" si="3371">IFERROR((HB64*HA64+HA67*HB67+HA70*HB70)/HA73,"")</f>
        <v/>
      </c>
      <c r="HC73" s="155">
        <f t="shared" ref="HC73" si="3372">SUM(HC64,HC67,HC70)</f>
        <v>0</v>
      </c>
      <c r="HD73" s="156" t="str">
        <f t="shared" ref="HD73" si="3373">IFERROR((HD64*HC64+HC67*HD67+HC70*HD70)/HC73,"")</f>
        <v/>
      </c>
      <c r="HE73" s="155">
        <f t="shared" ref="HE73" si="3374">SUM(HE64,HE67,HE70)</f>
        <v>0</v>
      </c>
      <c r="HF73" s="156" t="str">
        <f t="shared" ref="HF73" si="3375">IFERROR((HF64*HE64+HE67*HF67+HE70*HF70)/HE73,"")</f>
        <v/>
      </c>
      <c r="HG73" s="155">
        <f t="shared" ref="HG73" si="3376">SUM(HG64,HG67,HG70)</f>
        <v>0</v>
      </c>
      <c r="HH73" s="156" t="str">
        <f t="shared" ref="HH73" si="3377">IFERROR((HH64*HG64+HG67*HH67+HG70*HH70)/HG73,"")</f>
        <v/>
      </c>
      <c r="HI73" s="155">
        <f t="shared" ref="HI73" si="3378">SUM(HI64,HI67,HI70)</f>
        <v>0</v>
      </c>
      <c r="HJ73" s="156" t="str">
        <f t="shared" ref="HJ73" si="3379">IFERROR((HJ64*HI64+HI67*HJ67+HI70*HJ70)/HI73,"")</f>
        <v/>
      </c>
      <c r="HK73" s="155">
        <f t="shared" ref="HK73" si="3380">SUM(HK64,HK67,HK70)</f>
        <v>0</v>
      </c>
      <c r="HL73" s="156" t="str">
        <f t="shared" ref="HL73" si="3381">IFERROR((HL64*HK64+HK67*HL67+HK70*HL70)/HK73,"")</f>
        <v/>
      </c>
      <c r="HM73" s="155">
        <f t="shared" ref="HM73" si="3382">SUM(HM64,HM67,HM70)</f>
        <v>0</v>
      </c>
      <c r="HN73" s="156" t="str">
        <f t="shared" ref="HN73" si="3383">IFERROR((HN64*HM64+HM67*HN67+HM70*HN70)/HM73,"")</f>
        <v/>
      </c>
      <c r="HO73" s="155">
        <f t="shared" ref="HO73" si="3384">SUM(HO64,HO67,HO70)</f>
        <v>0</v>
      </c>
      <c r="HP73" s="156" t="str">
        <f t="shared" ref="HP73" si="3385">IFERROR((HP64*HO64+HO67*HP67+HO70*HP70)/HO73,"")</f>
        <v/>
      </c>
      <c r="HQ73" s="155">
        <f t="shared" ref="HQ73" si="3386">SUM(HQ64,HQ67,HQ70)</f>
        <v>0</v>
      </c>
      <c r="HR73" s="156" t="str">
        <f t="shared" ref="HR73" si="3387">IFERROR((HR64*HQ64+HQ67*HR67+HQ70*HR70)/HQ73,"")</f>
        <v/>
      </c>
      <c r="HS73" s="155">
        <f t="shared" ref="HS73" si="3388">SUM(HS64,HS67,HS70)</f>
        <v>0</v>
      </c>
      <c r="HT73" s="156" t="str">
        <f t="shared" ref="HT73" si="3389">IFERROR((HT64*HS64+HS67*HT67+HS70*HT70)/HS73,"")</f>
        <v/>
      </c>
      <c r="HU73" s="155">
        <f t="shared" ref="HU73" si="3390">SUM(HU64,HU67,HU70)</f>
        <v>0</v>
      </c>
      <c r="HV73" s="156" t="str">
        <f t="shared" ref="HV73" si="3391">IFERROR((HV64*HU64+HU67*HV67+HU70*HV70)/HU73,"")</f>
        <v/>
      </c>
      <c r="HW73" s="155">
        <f t="shared" ref="HW73" si="3392">SUM(HW64,HW67,HW70)</f>
        <v>0</v>
      </c>
      <c r="HX73" s="156" t="str">
        <f t="shared" ref="HX73" si="3393">IFERROR((HX64*HW64+HW67*HX67+HW70*HX70)/HW73,"")</f>
        <v/>
      </c>
      <c r="HY73" s="155">
        <f t="shared" ref="HY73" si="3394">SUM(HY64,HY67,HY70)</f>
        <v>0</v>
      </c>
      <c r="HZ73" s="156" t="str">
        <f t="shared" ref="HZ73" si="3395">IFERROR((HZ64*HY64+HY67*HZ67+HY70*HZ70)/HY73,"")</f>
        <v/>
      </c>
      <c r="IA73" s="155">
        <f t="shared" ref="IA73" si="3396">SUM(IA64,IA67,IA70)</f>
        <v>0</v>
      </c>
      <c r="IB73" s="156" t="str">
        <f t="shared" ref="IB73" si="3397">IFERROR((IB64*IA64+IA67*IB67+IA70*IB70)/IA73,"")</f>
        <v/>
      </c>
      <c r="IC73" s="155">
        <f t="shared" ref="IC73" si="3398">SUM(IC64,IC67,IC70)</f>
        <v>0</v>
      </c>
      <c r="ID73" s="156" t="str">
        <f t="shared" ref="ID73" si="3399">IFERROR((ID64*IC64+IC67*ID67+IC70*ID70)/IC73,"")</f>
        <v/>
      </c>
      <c r="IE73" s="155">
        <f t="shared" ref="IE73" si="3400">SUM(IE64,IE67,IE70)</f>
        <v>0</v>
      </c>
      <c r="IF73" s="156" t="str">
        <f t="shared" ref="IF73" si="3401">IFERROR((IF64*IE64+IE67*IF67+IE70*IF70)/IE73,"")</f>
        <v/>
      </c>
      <c r="IG73" s="155">
        <f t="shared" ref="IG73" si="3402">SUM(IG64,IG67,IG70)</f>
        <v>0</v>
      </c>
      <c r="IH73" s="156" t="str">
        <f t="shared" ref="IH73" si="3403">IFERROR((IH64*IG64+IG67*IH67+IG70*IH70)/IG73,"")</f>
        <v/>
      </c>
      <c r="II73" s="155">
        <f t="shared" ref="II73" si="3404">SUM(II64,II67,II70)</f>
        <v>0</v>
      </c>
      <c r="IJ73" s="156" t="str">
        <f t="shared" ref="IJ73" si="3405">IFERROR((IJ64*II64+II67*IJ67+II70*IJ70)/II73,"")</f>
        <v/>
      </c>
      <c r="IK73" s="155">
        <f t="shared" ref="IK73" si="3406">SUM(IK64,IK67,IK70)</f>
        <v>0</v>
      </c>
      <c r="IL73" s="156" t="str">
        <f t="shared" ref="IL73" si="3407">IFERROR((IL64*IK64+IK67*IL67+IK70*IL70)/IK73,"")</f>
        <v/>
      </c>
      <c r="IM73" s="155">
        <f t="shared" ref="IM73" si="3408">SUM(IM64,IM67,IM70)</f>
        <v>0</v>
      </c>
      <c r="IN73" s="156" t="str">
        <f t="shared" ref="IN73" si="3409">IFERROR((IN64*IM64+IM67*IN67+IM70*IN70)/IM73,"")</f>
        <v/>
      </c>
      <c r="IO73" s="155">
        <f t="shared" ref="IO73" si="3410">SUM(IO64,IO67,IO70)</f>
        <v>0</v>
      </c>
      <c r="IP73" s="156" t="str">
        <f t="shared" ref="IP73" si="3411">IFERROR((IP64*IO64+IO67*IP67+IO70*IP70)/IO73,"")</f>
        <v/>
      </c>
      <c r="IQ73" s="155">
        <f t="shared" ref="IQ73" si="3412">SUM(IQ64,IQ67,IQ70)</f>
        <v>0</v>
      </c>
      <c r="IR73" s="156" t="str">
        <f t="shared" ref="IR73" si="3413">IFERROR((IR64*IQ64+IQ67*IR67+IQ70*IR70)/IQ73,"")</f>
        <v/>
      </c>
      <c r="IS73" s="155">
        <f t="shared" ref="IS73" si="3414">SUM(IS64,IS67,IS70)</f>
        <v>0</v>
      </c>
      <c r="IT73" s="156" t="str">
        <f t="shared" ref="IT73" si="3415">IFERROR((IT64*IS64+IS67*IT67+IS70*IT70)/IS73,"")</f>
        <v/>
      </c>
      <c r="IU73" s="155">
        <f t="shared" ref="IU73" si="3416">SUM(IU64,IU67,IU70)</f>
        <v>0</v>
      </c>
      <c r="IV73" s="156" t="str">
        <f t="shared" ref="IV73" si="3417">IFERROR((IV64*IU64+IU67*IV67+IU70*IV70)/IU73,"")</f>
        <v/>
      </c>
      <c r="IW73" s="155">
        <f t="shared" ref="IW73" si="3418">SUM(IW64,IW67,IW70)</f>
        <v>0</v>
      </c>
      <c r="IX73" s="156" t="str">
        <f t="shared" ref="IX73" si="3419">IFERROR((IX64*IW64+IW67*IX67+IW70*IX70)/IW73,"")</f>
        <v/>
      </c>
      <c r="IY73" s="155">
        <f t="shared" ref="IY73" si="3420">SUM(IY64,IY67,IY70)</f>
        <v>0</v>
      </c>
      <c r="IZ73" s="156" t="str">
        <f t="shared" ref="IZ73" si="3421">IFERROR((IZ64*IY64+IY67*IZ67+IY70*IZ70)/IY73,"")</f>
        <v/>
      </c>
    </row>
    <row r="74" spans="1:260" ht="15.75" thickBot="1" x14ac:dyDescent="0.3">
      <c r="A74" s="1577"/>
      <c r="B74" s="13" t="s">
        <v>5</v>
      </c>
      <c r="C74" s="131">
        <f>SUM(C65,C68,C71)</f>
        <v>0</v>
      </c>
      <c r="D74" s="132" t="str">
        <f>IFERROR((C65*D65+C68*D68+C71*D71)/C74,"")</f>
        <v/>
      </c>
      <c r="E74" s="155">
        <f t="shared" ref="E74" si="3422">SUM(E65,E68,E71)</f>
        <v>0</v>
      </c>
      <c r="F74" s="156" t="str">
        <f t="shared" ref="F74" si="3423">IFERROR((F65*E65+E68*F68+E71*F71)/E74,"")</f>
        <v/>
      </c>
      <c r="G74" s="155">
        <f t="shared" ref="G74" si="3424">SUM(G65,G68,G71)</f>
        <v>0</v>
      </c>
      <c r="H74" s="156" t="str">
        <f t="shared" ref="H74" si="3425">IFERROR((H65*G65+G68*H68+G71*H71)/G74,"")</f>
        <v/>
      </c>
      <c r="I74" s="155">
        <f t="shared" ref="I74" si="3426">SUM(I65,I68,I71)</f>
        <v>0</v>
      </c>
      <c r="J74" s="156" t="str">
        <f t="shared" ref="J74" si="3427">IFERROR((J65*I65+I68*J68+I71*J71)/I74,"")</f>
        <v/>
      </c>
      <c r="K74" s="155">
        <f t="shared" ref="K74" si="3428">SUM(K65,K68,K71)</f>
        <v>0</v>
      </c>
      <c r="L74" s="156" t="str">
        <f t="shared" ref="L74" si="3429">IFERROR((L65*K65+K68*L68+K71*L71)/K74,"")</f>
        <v/>
      </c>
      <c r="M74" s="155">
        <f t="shared" ref="M74" si="3430">SUM(M65,M68,M71)</f>
        <v>0</v>
      </c>
      <c r="N74" s="156" t="str">
        <f t="shared" ref="N74" si="3431">IFERROR((N65*M65+M68*N68+M71*N71)/M74,"")</f>
        <v/>
      </c>
      <c r="O74" s="155">
        <f t="shared" ref="O74" si="3432">SUM(O65,O68,O71)</f>
        <v>0</v>
      </c>
      <c r="P74" s="156" t="str">
        <f t="shared" ref="P74" si="3433">IFERROR((P65*O65+O68*P68+O71*P71)/O74,"")</f>
        <v/>
      </c>
      <c r="Q74" s="155">
        <f t="shared" ref="Q74" si="3434">SUM(Q65,Q68,Q71)</f>
        <v>0</v>
      </c>
      <c r="R74" s="156" t="str">
        <f t="shared" ref="R74" si="3435">IFERROR((R65*Q65+Q68*R68+Q71*R71)/Q74,"")</f>
        <v/>
      </c>
      <c r="S74" s="155">
        <f t="shared" ref="S74" si="3436">SUM(S65,S68,S71)</f>
        <v>0</v>
      </c>
      <c r="T74" s="156" t="str">
        <f t="shared" ref="T74" si="3437">IFERROR((T65*S65+S68*T68+S71*T71)/S74,"")</f>
        <v/>
      </c>
      <c r="U74" s="155">
        <f t="shared" ref="U74" si="3438">SUM(U65,U68,U71)</f>
        <v>0</v>
      </c>
      <c r="V74" s="156" t="str">
        <f t="shared" ref="V74" si="3439">IFERROR((V65*U65+U68*V68+U71*V71)/U74,"")</f>
        <v/>
      </c>
      <c r="W74" s="155">
        <f t="shared" ref="W74" si="3440">SUM(W65,W68,W71)</f>
        <v>0</v>
      </c>
      <c r="X74" s="156" t="str">
        <f t="shared" ref="X74" si="3441">IFERROR((X65*W65+W68*X68+W71*X71)/W74,"")</f>
        <v/>
      </c>
      <c r="Y74" s="155">
        <f t="shared" ref="Y74" si="3442">SUM(Y65,Y68,Y71)</f>
        <v>0</v>
      </c>
      <c r="Z74" s="156" t="str">
        <f t="shared" ref="Z74" si="3443">IFERROR((Z65*Y65+Y68*Z68+Y71*Z71)/Y74,"")</f>
        <v/>
      </c>
      <c r="AA74" s="155">
        <f t="shared" ref="AA74" si="3444">SUM(AA65,AA68,AA71)</f>
        <v>0</v>
      </c>
      <c r="AB74" s="156" t="str">
        <f t="shared" ref="AB74" si="3445">IFERROR((AB65*AA65+AA68*AB68+AA71*AB71)/AA74,"")</f>
        <v/>
      </c>
      <c r="AC74" s="155">
        <f t="shared" ref="AC74" si="3446">SUM(AC65,AC68,AC71)</f>
        <v>0</v>
      </c>
      <c r="AD74" s="156" t="str">
        <f t="shared" ref="AD74" si="3447">IFERROR((AD65*AC65+AC68*AD68+AC71*AD71)/AC74,"")</f>
        <v/>
      </c>
      <c r="AE74" s="155">
        <f t="shared" ref="AE74" si="3448">SUM(AE65,AE68,AE71)</f>
        <v>0</v>
      </c>
      <c r="AF74" s="156" t="str">
        <f t="shared" ref="AF74" si="3449">IFERROR((AF65*AE65+AE68*AF68+AE71*AF71)/AE74,"")</f>
        <v/>
      </c>
      <c r="AG74" s="155">
        <f t="shared" ref="AG74" si="3450">SUM(AG65,AG68,AG71)</f>
        <v>0</v>
      </c>
      <c r="AH74" s="156" t="str">
        <f t="shared" ref="AH74" si="3451">IFERROR((AH65*AG65+AG68*AH68+AG71*AH71)/AG74,"")</f>
        <v/>
      </c>
      <c r="AI74" s="155">
        <f t="shared" ref="AI74" si="3452">SUM(AI65,AI68,AI71)</f>
        <v>0</v>
      </c>
      <c r="AJ74" s="156" t="str">
        <f t="shared" ref="AJ74" si="3453">IFERROR((AJ65*AI65+AI68*AJ68+AI71*AJ71)/AI74,"")</f>
        <v/>
      </c>
      <c r="AK74" s="155">
        <f t="shared" ref="AK74" si="3454">SUM(AK65,AK68,AK71)</f>
        <v>0</v>
      </c>
      <c r="AL74" s="156" t="str">
        <f t="shared" ref="AL74" si="3455">IFERROR((AL65*AK65+AK68*AL68+AK71*AL71)/AK74,"")</f>
        <v/>
      </c>
      <c r="AM74" s="155">
        <f t="shared" ref="AM74" si="3456">SUM(AM65,AM68,AM71)</f>
        <v>0</v>
      </c>
      <c r="AN74" s="156" t="str">
        <f t="shared" ref="AN74" si="3457">IFERROR((AN65*AM65+AM68*AN68+AM71*AN71)/AM74,"")</f>
        <v/>
      </c>
      <c r="AO74" s="155">
        <f t="shared" ref="AO74" si="3458">SUM(AO65,AO68,AO71)</f>
        <v>0</v>
      </c>
      <c r="AP74" s="156" t="str">
        <f t="shared" ref="AP74" si="3459">IFERROR((AP65*AO65+AO68*AP68+AO71*AP71)/AO74,"")</f>
        <v/>
      </c>
      <c r="AQ74" s="155">
        <f t="shared" ref="AQ74" si="3460">SUM(AQ65,AQ68,AQ71)</f>
        <v>0</v>
      </c>
      <c r="AR74" s="156" t="str">
        <f t="shared" ref="AR74" si="3461">IFERROR((AR65*AQ65+AQ68*AR68+AQ71*AR71)/AQ74,"")</f>
        <v/>
      </c>
      <c r="AS74" s="155">
        <f t="shared" ref="AS74" si="3462">SUM(AS65,AS68,AS71)</f>
        <v>0</v>
      </c>
      <c r="AT74" s="156" t="str">
        <f t="shared" ref="AT74" si="3463">IFERROR((AT65*AS65+AS68*AT68+AS71*AT71)/AS74,"")</f>
        <v/>
      </c>
      <c r="AU74" s="155">
        <f t="shared" ref="AU74" si="3464">SUM(AU65,AU68,AU71)</f>
        <v>0</v>
      </c>
      <c r="AV74" s="156" t="str">
        <f t="shared" ref="AV74" si="3465">IFERROR((AV65*AU65+AU68*AV68+AU71*AV71)/AU74,"")</f>
        <v/>
      </c>
      <c r="AW74" s="155">
        <f t="shared" ref="AW74" si="3466">SUM(AW65,AW68,AW71)</f>
        <v>0</v>
      </c>
      <c r="AX74" s="156" t="str">
        <f t="shared" ref="AX74" si="3467">IFERROR((AX65*AW65+AW68*AX68+AW71*AX71)/AW74,"")</f>
        <v/>
      </c>
      <c r="AY74" s="155">
        <f t="shared" ref="AY74" si="3468">SUM(AY65,AY68,AY71)</f>
        <v>0</v>
      </c>
      <c r="AZ74" s="156" t="str">
        <f t="shared" ref="AZ74" si="3469">IFERROR((AZ65*AY65+AY68*AZ68+AY71*AZ71)/AY74,"")</f>
        <v/>
      </c>
      <c r="BA74" s="155">
        <f t="shared" ref="BA74" si="3470">SUM(BA65,BA68,BA71)</f>
        <v>0</v>
      </c>
      <c r="BB74" s="156" t="str">
        <f t="shared" ref="BB74" si="3471">IFERROR((BB65*BA65+BA68*BB68+BA71*BB71)/BA74,"")</f>
        <v/>
      </c>
      <c r="BC74" s="155">
        <f t="shared" ref="BC74" si="3472">SUM(BC65,BC68,BC71)</f>
        <v>0</v>
      </c>
      <c r="BD74" s="156" t="str">
        <f t="shared" ref="BD74" si="3473">IFERROR((BD65*BC65+BC68*BD68+BC71*BD71)/BC74,"")</f>
        <v/>
      </c>
      <c r="BE74" s="155">
        <f t="shared" ref="BE74" si="3474">SUM(BE65,BE68,BE71)</f>
        <v>0</v>
      </c>
      <c r="BF74" s="156" t="str">
        <f t="shared" ref="BF74" si="3475">IFERROR((BF65*BE65+BE68*BF68+BE71*BF71)/BE74,"")</f>
        <v/>
      </c>
      <c r="BG74" s="155">
        <f t="shared" ref="BG74" si="3476">SUM(BG65,BG68,BG71)</f>
        <v>0</v>
      </c>
      <c r="BH74" s="156" t="str">
        <f t="shared" ref="BH74" si="3477">IFERROR((BH65*BG65+BG68*BH68+BG71*BH71)/BG74,"")</f>
        <v/>
      </c>
      <c r="BI74" s="155">
        <f t="shared" ref="BI74" si="3478">SUM(BI65,BI68,BI71)</f>
        <v>0</v>
      </c>
      <c r="BJ74" s="156" t="str">
        <f t="shared" ref="BJ74" si="3479">IFERROR((BJ65*BI65+BI68*BJ68+BI71*BJ71)/BI74,"")</f>
        <v/>
      </c>
      <c r="BK74" s="155">
        <f t="shared" ref="BK74" si="3480">SUM(BK65,BK68,BK71)</f>
        <v>0</v>
      </c>
      <c r="BL74" s="156" t="str">
        <f t="shared" ref="BL74" si="3481">IFERROR((BL65*BK65+BK68*BL68+BK71*BL71)/BK74,"")</f>
        <v/>
      </c>
      <c r="BM74" s="155">
        <f t="shared" ref="BM74" si="3482">SUM(BM65,BM68,BM71)</f>
        <v>0</v>
      </c>
      <c r="BN74" s="156" t="str">
        <f t="shared" ref="BN74" si="3483">IFERROR((BN65*BM65+BM68*BN68+BM71*BN71)/BM74,"")</f>
        <v/>
      </c>
      <c r="BO74" s="155">
        <f t="shared" ref="BO74" si="3484">SUM(BO65,BO68,BO71)</f>
        <v>0</v>
      </c>
      <c r="BP74" s="156" t="str">
        <f t="shared" ref="BP74" si="3485">IFERROR((BP65*BO65+BO68*BP68+BO71*BP71)/BO74,"")</f>
        <v/>
      </c>
      <c r="BQ74" s="155">
        <f t="shared" ref="BQ74" si="3486">SUM(BQ65,BQ68,BQ71)</f>
        <v>0</v>
      </c>
      <c r="BR74" s="156" t="str">
        <f t="shared" ref="BR74" si="3487">IFERROR((BR65*BQ65+BQ68*BR68+BQ71*BR71)/BQ74,"")</f>
        <v/>
      </c>
      <c r="BS74" s="155">
        <f t="shared" ref="BS74" si="3488">SUM(BS65,BS68,BS71)</f>
        <v>0</v>
      </c>
      <c r="BT74" s="156" t="str">
        <f t="shared" ref="BT74" si="3489">IFERROR((BT65*BS65+BS68*BT68+BS71*BT71)/BS74,"")</f>
        <v/>
      </c>
      <c r="BU74" s="155">
        <f t="shared" ref="BU74" si="3490">SUM(BU65,BU68,BU71)</f>
        <v>0</v>
      </c>
      <c r="BV74" s="156" t="str">
        <f t="shared" ref="BV74" si="3491">IFERROR((BV65*BU65+BU68*BV68+BU71*BV71)/BU74,"")</f>
        <v/>
      </c>
      <c r="BW74" s="155">
        <f t="shared" ref="BW74" si="3492">SUM(BW65,BW68,BW71)</f>
        <v>0</v>
      </c>
      <c r="BX74" s="156" t="str">
        <f t="shared" ref="BX74" si="3493">IFERROR((BX65*BW65+BW68*BX68+BW71*BX71)/BW74,"")</f>
        <v/>
      </c>
      <c r="BY74" s="155">
        <f t="shared" ref="BY74" si="3494">SUM(BY65,BY68,BY71)</f>
        <v>0</v>
      </c>
      <c r="BZ74" s="156" t="str">
        <f t="shared" ref="BZ74" si="3495">IFERROR((BZ65*BY65+BY68*BZ68+BY71*BZ71)/BY74,"")</f>
        <v/>
      </c>
      <c r="CA74" s="155">
        <f t="shared" ref="CA74" si="3496">SUM(CA65,CA68,CA71)</f>
        <v>0</v>
      </c>
      <c r="CB74" s="156" t="str">
        <f t="shared" ref="CB74" si="3497">IFERROR((CB65*CA65+CA68*CB68+CA71*CB71)/CA74,"")</f>
        <v/>
      </c>
      <c r="CC74" s="155">
        <f t="shared" ref="CC74" si="3498">SUM(CC65,CC68,CC71)</f>
        <v>0</v>
      </c>
      <c r="CD74" s="156" t="str">
        <f t="shared" ref="CD74" si="3499">IFERROR((CD65*CC65+CC68*CD68+CC71*CD71)/CC74,"")</f>
        <v/>
      </c>
      <c r="CE74" s="155">
        <f t="shared" ref="CE74" si="3500">SUM(CE65,CE68,CE71)</f>
        <v>0</v>
      </c>
      <c r="CF74" s="156" t="str">
        <f t="shared" ref="CF74" si="3501">IFERROR((CF65*CE65+CE68*CF68+CE71*CF71)/CE74,"")</f>
        <v/>
      </c>
      <c r="CG74" s="155">
        <f t="shared" ref="CG74" si="3502">SUM(CG65,CG68,CG71)</f>
        <v>0</v>
      </c>
      <c r="CH74" s="156" t="str">
        <f t="shared" ref="CH74" si="3503">IFERROR((CH65*CG65+CG68*CH68+CG71*CH71)/CG74,"")</f>
        <v/>
      </c>
      <c r="CI74" s="155">
        <f t="shared" ref="CI74" si="3504">SUM(CI65,CI68,CI71)</f>
        <v>0</v>
      </c>
      <c r="CJ74" s="156" t="str">
        <f t="shared" ref="CJ74" si="3505">IFERROR((CJ65*CI65+CI68*CJ68+CI71*CJ71)/CI74,"")</f>
        <v/>
      </c>
      <c r="CK74" s="155">
        <f t="shared" ref="CK74" si="3506">SUM(CK65,CK68,CK71)</f>
        <v>0</v>
      </c>
      <c r="CL74" s="156" t="str">
        <f t="shared" ref="CL74" si="3507">IFERROR((CL65*CK65+CK68*CL68+CK71*CL71)/CK74,"")</f>
        <v/>
      </c>
      <c r="CM74" s="155">
        <f t="shared" ref="CM74" si="3508">SUM(CM65,CM68,CM71)</f>
        <v>0</v>
      </c>
      <c r="CN74" s="156" t="str">
        <f t="shared" ref="CN74" si="3509">IFERROR((CN65*CM65+CM68*CN68+CM71*CN71)/CM74,"")</f>
        <v/>
      </c>
      <c r="CO74" s="155">
        <f t="shared" ref="CO74" si="3510">SUM(CO65,CO68,CO71)</f>
        <v>0</v>
      </c>
      <c r="CP74" s="156" t="str">
        <f t="shared" ref="CP74" si="3511">IFERROR((CP65*CO65+CO68*CP68+CO71*CP71)/CO74,"")</f>
        <v/>
      </c>
      <c r="CQ74" s="155">
        <f t="shared" ref="CQ74:CW74" si="3512">SUM(CQ65,CQ68,CQ71)</f>
        <v>0</v>
      </c>
      <c r="CR74" s="156" t="str">
        <f t="shared" ref="CR74" si="3513">IFERROR((CR65*CQ65+CQ68*CR68+CQ71*CR71)/CQ74,"")</f>
        <v/>
      </c>
      <c r="CS74" s="155">
        <f t="shared" ref="CS74" si="3514">SUM(CS65,CS68,CS71)</f>
        <v>0</v>
      </c>
      <c r="CT74" s="156" t="str">
        <f t="shared" si="3014"/>
        <v/>
      </c>
      <c r="CU74" s="155">
        <f t="shared" si="3512"/>
        <v>0</v>
      </c>
      <c r="CV74" s="156" t="str">
        <f t="shared" si="3015"/>
        <v/>
      </c>
      <c r="CW74" s="155">
        <f t="shared" si="3512"/>
        <v>0</v>
      </c>
      <c r="CX74" s="156" t="str">
        <f t="shared" si="3016"/>
        <v/>
      </c>
      <c r="CY74" s="155">
        <f t="shared" ref="CY74" si="3515">SUM(CY65,CY68,CY71)</f>
        <v>0</v>
      </c>
      <c r="CZ74" s="156" t="str">
        <f t="shared" ref="CZ74" si="3516">IFERROR((CZ65*CY65+CY68*CZ68+CY71*CZ71)/CY74,"")</f>
        <v/>
      </c>
      <c r="DA74" s="155">
        <f t="shared" ref="DA74" si="3517">SUM(DA65,DA68,DA71)</f>
        <v>0</v>
      </c>
      <c r="DB74" s="156" t="str">
        <f t="shared" ref="DB74" si="3518">IFERROR((DB65*DA65+DA68*DB68+DA71*DB71)/DA74,"")</f>
        <v/>
      </c>
      <c r="DC74" s="155">
        <f t="shared" ref="DC74" si="3519">SUM(DC65,DC68,DC71)</f>
        <v>0</v>
      </c>
      <c r="DD74" s="156" t="str">
        <f t="shared" ref="DD74" si="3520">IFERROR((DD65*DC65+DC68*DD68+DC71*DD71)/DC74,"")</f>
        <v/>
      </c>
      <c r="DE74" s="155">
        <f t="shared" ref="DE74" si="3521">SUM(DE65,DE68,DE71)</f>
        <v>0</v>
      </c>
      <c r="DF74" s="156" t="str">
        <f t="shared" ref="DF74" si="3522">IFERROR((DF65*DE65+DE68*DF68+DE71*DF71)/DE74,"")</f>
        <v/>
      </c>
      <c r="DG74" s="155">
        <f t="shared" ref="DG74" si="3523">SUM(DG65,DG68,DG71)</f>
        <v>0</v>
      </c>
      <c r="DH74" s="156" t="str">
        <f t="shared" ref="DH74" si="3524">IFERROR((DH65*DG65+DG68*DH68+DG71*DH71)/DG74,"")</f>
        <v/>
      </c>
      <c r="DI74" s="155">
        <f t="shared" ref="DI74" si="3525">SUM(DI65,DI68,DI71)</f>
        <v>0</v>
      </c>
      <c r="DJ74" s="156" t="str">
        <f t="shared" ref="DJ74" si="3526">IFERROR((DJ65*DI65+DI68*DJ68+DI71*DJ71)/DI74,"")</f>
        <v/>
      </c>
      <c r="DK74" s="155">
        <f t="shared" ref="DK74" si="3527">SUM(DK65,DK68,DK71)</f>
        <v>0</v>
      </c>
      <c r="DL74" s="156" t="str">
        <f t="shared" ref="DL74" si="3528">IFERROR((DL65*DK65+DK68*DL68+DK71*DL71)/DK74,"")</f>
        <v/>
      </c>
      <c r="DM74" s="155">
        <f t="shared" ref="DM74" si="3529">SUM(DM65,DM68,DM71)</f>
        <v>0</v>
      </c>
      <c r="DN74" s="156" t="str">
        <f t="shared" ref="DN74" si="3530">IFERROR((DN65*DM65+DM68*DN68+DM71*DN71)/DM74,"")</f>
        <v/>
      </c>
      <c r="DO74" s="155">
        <f t="shared" ref="DO74" si="3531">SUM(DO65,DO68,DO71)</f>
        <v>0</v>
      </c>
      <c r="DP74" s="156" t="str">
        <f t="shared" ref="DP74" si="3532">IFERROR((DP65*DO65+DO68*DP68+DO71*DP71)/DO74,"")</f>
        <v/>
      </c>
      <c r="DQ74" s="155">
        <f t="shared" ref="DQ74" si="3533">SUM(DQ65,DQ68,DQ71)</f>
        <v>0</v>
      </c>
      <c r="DR74" s="156" t="str">
        <f t="shared" ref="DR74" si="3534">IFERROR((DR65*DQ65+DQ68*DR68+DQ71*DR71)/DQ74,"")</f>
        <v/>
      </c>
      <c r="DS74" s="155">
        <f t="shared" ref="DS74" si="3535">SUM(DS65,DS68,DS71)</f>
        <v>0</v>
      </c>
      <c r="DT74" s="156" t="str">
        <f t="shared" ref="DT74" si="3536">IFERROR((DT65*DS65+DS68*DT68+DS71*DT71)/DS74,"")</f>
        <v/>
      </c>
      <c r="DU74" s="155">
        <f t="shared" ref="DU74" si="3537">SUM(DU65,DU68,DU71)</f>
        <v>0</v>
      </c>
      <c r="DV74" s="156" t="str">
        <f t="shared" ref="DV74" si="3538">IFERROR((DV65*DU65+DU68*DV68+DU71*DV71)/DU74,"")</f>
        <v/>
      </c>
      <c r="DW74" s="155">
        <f t="shared" ref="DW74" si="3539">SUM(DW65,DW68,DW71)</f>
        <v>0</v>
      </c>
      <c r="DX74" s="156" t="str">
        <f t="shared" ref="DX74" si="3540">IFERROR((DX65*DW65+DW68*DX68+DW71*DX71)/DW74,"")</f>
        <v/>
      </c>
      <c r="DY74" s="155">
        <f t="shared" ref="DY74" si="3541">SUM(DY65,DY68,DY71)</f>
        <v>0</v>
      </c>
      <c r="DZ74" s="156" t="str">
        <f t="shared" ref="DZ74" si="3542">IFERROR((DZ65*DY65+DY68*DZ68+DY71*DZ71)/DY74,"")</f>
        <v/>
      </c>
      <c r="EA74" s="155">
        <f t="shared" ref="EA74" si="3543">SUM(EA65,EA68,EA71)</f>
        <v>0</v>
      </c>
      <c r="EB74" s="156" t="str">
        <f t="shared" ref="EB74" si="3544">IFERROR((EB65*EA65+EA68*EB68+EA71*EB71)/EA74,"")</f>
        <v/>
      </c>
      <c r="EC74" s="155">
        <f t="shared" ref="EC74" si="3545">SUM(EC65,EC68,EC71)</f>
        <v>0</v>
      </c>
      <c r="ED74" s="156" t="str">
        <f t="shared" ref="ED74" si="3546">IFERROR((ED65*EC65+EC68*ED68+EC71*ED71)/EC74,"")</f>
        <v/>
      </c>
      <c r="EE74" s="155">
        <f t="shared" ref="EE74" si="3547">SUM(EE65,EE68,EE71)</f>
        <v>0</v>
      </c>
      <c r="EF74" s="156" t="str">
        <f t="shared" ref="EF74" si="3548">IFERROR((EF65*EE65+EE68*EF68+EE71*EF71)/EE74,"")</f>
        <v/>
      </c>
      <c r="EG74" s="155">
        <f t="shared" ref="EG74" si="3549">SUM(EG65,EG68,EG71)</f>
        <v>0</v>
      </c>
      <c r="EH74" s="156" t="str">
        <f t="shared" ref="EH74" si="3550">IFERROR((EH65*EG65+EG68*EH68+EG71*EH71)/EG74,"")</f>
        <v/>
      </c>
      <c r="EI74" s="155">
        <f t="shared" ref="EI74" si="3551">SUM(EI65,EI68,EI71)</f>
        <v>0</v>
      </c>
      <c r="EJ74" s="156" t="str">
        <f t="shared" ref="EJ74" si="3552">IFERROR((EJ65*EI65+EI68*EJ68+EI71*EJ71)/EI74,"")</f>
        <v/>
      </c>
      <c r="EK74" s="155">
        <f t="shared" ref="EK74" si="3553">SUM(EK65,EK68,EK71)</f>
        <v>0</v>
      </c>
      <c r="EL74" s="156" t="str">
        <f t="shared" ref="EL74" si="3554">IFERROR((EL65*EK65+EK68*EL68+EK71*EL71)/EK74,"")</f>
        <v/>
      </c>
      <c r="EM74" s="155">
        <f t="shared" ref="EM74" si="3555">SUM(EM65,EM68,EM71)</f>
        <v>0</v>
      </c>
      <c r="EN74" s="156" t="str">
        <f t="shared" ref="EN74" si="3556">IFERROR((EN65*EM65+EM68*EN68+EM71*EN71)/EM74,"")</f>
        <v/>
      </c>
      <c r="EO74" s="155">
        <f t="shared" ref="EO74" si="3557">SUM(EO65,EO68,EO71)</f>
        <v>0</v>
      </c>
      <c r="EP74" s="156" t="str">
        <f t="shared" ref="EP74" si="3558">IFERROR((EP65*EO65+EO68*EP68+EO71*EP71)/EO74,"")</f>
        <v/>
      </c>
      <c r="EQ74" s="155">
        <f t="shared" ref="EQ74:ES74" si="3559">SUM(EQ65,EQ68,EQ71)</f>
        <v>0</v>
      </c>
      <c r="ER74" s="156" t="str">
        <f t="shared" ref="ER74" si="3560">IFERROR((ER65*EQ65+EQ68*ER68+EQ71*ER71)/EQ74,"")</f>
        <v/>
      </c>
      <c r="ES74" s="155">
        <f t="shared" si="3559"/>
        <v>0</v>
      </c>
      <c r="ET74" s="156" t="str">
        <f t="shared" si="3063"/>
        <v/>
      </c>
      <c r="EU74" s="155">
        <f t="shared" ref="EU74" si="3561">SUM(EU65,EU68,EU71)</f>
        <v>0</v>
      </c>
      <c r="EV74" s="156" t="str">
        <f t="shared" ref="EV74" si="3562">IFERROR((EV65*EU65+EU68*EV68+EU71*EV71)/EU74,"")</f>
        <v/>
      </c>
      <c r="EW74" s="155">
        <f t="shared" ref="EW74" si="3563">SUM(EW65,EW68,EW71)</f>
        <v>0</v>
      </c>
      <c r="EX74" s="156" t="str">
        <f t="shared" si="3067"/>
        <v/>
      </c>
      <c r="EY74" s="155">
        <f t="shared" ref="EY74" si="3564">SUM(EY65,EY68,EY71)</f>
        <v>0</v>
      </c>
      <c r="EZ74" s="156" t="str">
        <f t="shared" ref="EZ74" si="3565">IFERROR((EZ65*EY65+EY68*EZ68+EY71*EZ71)/EY74,"")</f>
        <v/>
      </c>
      <c r="FA74" s="155">
        <f t="shared" ref="FA74" si="3566">SUM(FA65,FA68,FA71)</f>
        <v>0</v>
      </c>
      <c r="FB74" s="156" t="str">
        <f t="shared" ref="FB74" si="3567">IFERROR((FB65*FA65+FA68*FB68+FA71*FB71)/FA74,"")</f>
        <v/>
      </c>
      <c r="FC74" s="155">
        <f t="shared" ref="FC74" si="3568">SUM(FC65,FC68,FC71)</f>
        <v>0</v>
      </c>
      <c r="FD74" s="156" t="str">
        <f t="shared" ref="FD74" si="3569">IFERROR((FD65*FC65+FC68*FD68+FC71*FD71)/FC74,"")</f>
        <v/>
      </c>
      <c r="FE74" s="155">
        <f t="shared" ref="FE74" si="3570">SUM(FE65,FE68,FE71)</f>
        <v>0</v>
      </c>
      <c r="FF74" s="156" t="str">
        <f t="shared" ref="FF74" si="3571">IFERROR((FF65*FE65+FE68*FF68+FE71*FF71)/FE74,"")</f>
        <v/>
      </c>
      <c r="FG74" s="155">
        <f t="shared" ref="FG74" si="3572">SUM(FG65,FG68,FG71)</f>
        <v>0</v>
      </c>
      <c r="FH74" s="156" t="str">
        <f t="shared" ref="FH74" si="3573">IFERROR((FH65*FG65+FG68*FH68+FG71*FH71)/FG74,"")</f>
        <v/>
      </c>
      <c r="FI74" s="155">
        <f t="shared" ref="FI74" si="3574">SUM(FI65,FI68,FI71)</f>
        <v>0</v>
      </c>
      <c r="FJ74" s="156" t="str">
        <f t="shared" ref="FJ74" si="3575">IFERROR((FJ65*FI65+FI68*FJ68+FI71*FJ71)/FI74,"")</f>
        <v/>
      </c>
      <c r="FK74" s="155">
        <f t="shared" ref="FK74" si="3576">SUM(FK65,FK68,FK71)</f>
        <v>0</v>
      </c>
      <c r="FL74" s="156" t="str">
        <f t="shared" ref="FL74" si="3577">IFERROR((FL65*FK65+FK68*FL68+FK71*FL71)/FK74,"")</f>
        <v/>
      </c>
      <c r="FM74" s="155">
        <f t="shared" ref="FM74" si="3578">SUM(FM65,FM68,FM71)</f>
        <v>0</v>
      </c>
      <c r="FN74" s="156" t="str">
        <f t="shared" ref="FN74" si="3579">IFERROR((FN65*FM65+FM68*FN68+FM71*FN71)/FM74,"")</f>
        <v/>
      </c>
      <c r="FO74" s="155">
        <f t="shared" ref="FO74" si="3580">SUM(FO65,FO68,FO71)</f>
        <v>0</v>
      </c>
      <c r="FP74" s="156" t="str">
        <f t="shared" ref="FP74" si="3581">IFERROR((FP65*FO65+FO68*FP68+FO71*FP71)/FO74,"")</f>
        <v/>
      </c>
      <c r="FQ74" s="155">
        <f t="shared" ref="FQ74" si="3582">SUM(FQ65,FQ68,FQ71)</f>
        <v>0</v>
      </c>
      <c r="FR74" s="156" t="str">
        <f t="shared" ref="FR74" si="3583">IFERROR((FR65*FQ65+FQ68*FR68+FQ71*FR71)/FQ74,"")</f>
        <v/>
      </c>
      <c r="FS74" s="155">
        <f t="shared" ref="FS74" si="3584">SUM(FS65,FS68,FS71)</f>
        <v>0</v>
      </c>
      <c r="FT74" s="156" t="str">
        <f t="shared" ref="FT74" si="3585">IFERROR((FT65*FS65+FS68*FT68+FS71*FT71)/FS74,"")</f>
        <v/>
      </c>
      <c r="FU74" s="155">
        <f t="shared" ref="FU74" si="3586">SUM(FU65,FU68,FU71)</f>
        <v>0</v>
      </c>
      <c r="FV74" s="156" t="str">
        <f t="shared" ref="FV74" si="3587">IFERROR((FV65*FU65+FU68*FV68+FU71*FV71)/FU74,"")</f>
        <v/>
      </c>
      <c r="FW74" s="155">
        <f t="shared" ref="FW74" si="3588">SUM(FW65,FW68,FW71)</f>
        <v>0</v>
      </c>
      <c r="FX74" s="156" t="str">
        <f t="shared" ref="FX74" si="3589">IFERROR((FX65*FW65+FW68*FX68+FW71*FX71)/FW74,"")</f>
        <v/>
      </c>
      <c r="FY74" s="155">
        <f t="shared" ref="FY74" si="3590">SUM(FY65,FY68,FY71)</f>
        <v>0</v>
      </c>
      <c r="FZ74" s="156" t="str">
        <f t="shared" ref="FZ74" si="3591">IFERROR((FZ65*FY65+FY68*FZ68+FY71*FZ71)/FY74,"")</f>
        <v/>
      </c>
      <c r="GA74" s="155">
        <f t="shared" ref="GA74" si="3592">SUM(GA65,GA68,GA71)</f>
        <v>0</v>
      </c>
      <c r="GB74" s="156" t="str">
        <f t="shared" ref="GB74" si="3593">IFERROR((GB65*GA65+GA68*GB68+GA71*GB71)/GA74,"")</f>
        <v/>
      </c>
      <c r="GC74" s="155">
        <f t="shared" ref="GC74" si="3594">SUM(GC65,GC68,GC71)</f>
        <v>0</v>
      </c>
      <c r="GD74" s="156" t="str">
        <f t="shared" ref="GD74" si="3595">IFERROR((GD65*GC65+GC68*GD68+GC71*GD71)/GC74,"")</f>
        <v/>
      </c>
      <c r="GE74" s="155">
        <f t="shared" ref="GE74" si="3596">SUM(GE65,GE68,GE71)</f>
        <v>0</v>
      </c>
      <c r="GF74" s="156" t="str">
        <f t="shared" ref="GF74" si="3597">IFERROR((GF65*GE65+GE68*GF68+GE71*GF71)/GE74,"")</f>
        <v/>
      </c>
      <c r="GG74" s="155">
        <f t="shared" ref="GG74" si="3598">SUM(GG65,GG68,GG71)</f>
        <v>0</v>
      </c>
      <c r="GH74" s="156" t="str">
        <f t="shared" ref="GH74" si="3599">IFERROR((GH65*GG65+GG68*GH68+GG71*GH71)/GG74,"")</f>
        <v/>
      </c>
      <c r="GI74" s="155">
        <f t="shared" ref="GI74" si="3600">SUM(GI65,GI68,GI71)</f>
        <v>0</v>
      </c>
      <c r="GJ74" s="156" t="str">
        <f t="shared" ref="GJ74" si="3601">IFERROR((GJ65*GI65+GI68*GJ68+GI71*GJ71)/GI74,"")</f>
        <v/>
      </c>
      <c r="GK74" s="155">
        <f t="shared" ref="GK74" si="3602">SUM(GK65,GK68,GK71)</f>
        <v>0</v>
      </c>
      <c r="GL74" s="156" t="str">
        <f t="shared" ref="GL74" si="3603">IFERROR((GL65*GK65+GK68*GL68+GK71*GL71)/GK74,"")</f>
        <v/>
      </c>
      <c r="GM74" s="155">
        <f t="shared" ref="GM74" si="3604">SUM(GM65,GM68,GM71)</f>
        <v>0</v>
      </c>
      <c r="GN74" s="156" t="str">
        <f t="shared" ref="GN74" si="3605">IFERROR((GN65*GM65+GM68*GN68+GM71*GN71)/GM74,"")</f>
        <v/>
      </c>
      <c r="GO74" s="155">
        <f t="shared" ref="GO74" si="3606">SUM(GO65,GO68,GO71)</f>
        <v>0</v>
      </c>
      <c r="GP74" s="156" t="str">
        <f t="shared" ref="GP74" si="3607">IFERROR((GP65*GO65+GO68*GP68+GO71*GP71)/GO74,"")</f>
        <v/>
      </c>
      <c r="GQ74" s="155">
        <f t="shared" ref="GQ74" si="3608">SUM(GQ65,GQ68,GQ71)</f>
        <v>0</v>
      </c>
      <c r="GR74" s="156" t="str">
        <f t="shared" ref="GR74" si="3609">IFERROR((GR65*GQ65+GQ68*GR68+GQ71*GR71)/GQ74,"")</f>
        <v/>
      </c>
      <c r="GS74" s="155">
        <f t="shared" ref="GS74" si="3610">SUM(GS65,GS68,GS71)</f>
        <v>0</v>
      </c>
      <c r="GT74" s="156" t="str">
        <f t="shared" ref="GT74" si="3611">IFERROR((GT65*GS65+GS68*GT68+GS71*GT71)/GS74,"")</f>
        <v/>
      </c>
      <c r="GU74" s="155">
        <f t="shared" ref="GU74" si="3612">SUM(GU65,GU68,GU71)</f>
        <v>0</v>
      </c>
      <c r="GV74" s="156" t="str">
        <f t="shared" ref="GV74" si="3613">IFERROR((GV65*GU65+GU68*GV68+GU71*GV71)/GU74,"")</f>
        <v/>
      </c>
      <c r="GW74" s="155">
        <f t="shared" ref="GW74" si="3614">SUM(GW65,GW68,GW71)</f>
        <v>0</v>
      </c>
      <c r="GX74" s="156" t="str">
        <f t="shared" ref="GX74" si="3615">IFERROR((GX65*GW65+GW68*GX68+GW71*GX71)/GW74,"")</f>
        <v/>
      </c>
      <c r="GY74" s="155">
        <f t="shared" ref="GY74" si="3616">SUM(GY65,GY68,GY71)</f>
        <v>0</v>
      </c>
      <c r="GZ74" s="156" t="str">
        <f t="shared" ref="GZ74" si="3617">IFERROR((GZ65*GY65+GY68*GZ68+GY71*GZ71)/GY74,"")</f>
        <v/>
      </c>
      <c r="HA74" s="155">
        <f t="shared" ref="HA74" si="3618">SUM(HA65,HA68,HA71)</f>
        <v>0</v>
      </c>
      <c r="HB74" s="156" t="str">
        <f t="shared" ref="HB74" si="3619">IFERROR((HB65*HA65+HA68*HB68+HA71*HB71)/HA74,"")</f>
        <v/>
      </c>
      <c r="HC74" s="155">
        <f t="shared" ref="HC74" si="3620">SUM(HC65,HC68,HC71)</f>
        <v>0</v>
      </c>
      <c r="HD74" s="156" t="str">
        <f t="shared" ref="HD74" si="3621">IFERROR((HD65*HC65+HC68*HD68+HC71*HD71)/HC74,"")</f>
        <v/>
      </c>
      <c r="HE74" s="155">
        <f t="shared" ref="HE74" si="3622">SUM(HE65,HE68,HE71)</f>
        <v>0</v>
      </c>
      <c r="HF74" s="156" t="str">
        <f t="shared" ref="HF74" si="3623">IFERROR((HF65*HE65+HE68*HF68+HE71*HF71)/HE74,"")</f>
        <v/>
      </c>
      <c r="HG74" s="155">
        <f t="shared" ref="HG74" si="3624">SUM(HG65,HG68,HG71)</f>
        <v>0</v>
      </c>
      <c r="HH74" s="156" t="str">
        <f t="shared" ref="HH74" si="3625">IFERROR((HH65*HG65+HG68*HH68+HG71*HH71)/HG74,"")</f>
        <v/>
      </c>
      <c r="HI74" s="155">
        <f t="shared" ref="HI74" si="3626">SUM(HI65,HI68,HI71)</f>
        <v>0</v>
      </c>
      <c r="HJ74" s="156" t="str">
        <f t="shared" ref="HJ74" si="3627">IFERROR((HJ65*HI65+HI68*HJ68+HI71*HJ71)/HI74,"")</f>
        <v/>
      </c>
      <c r="HK74" s="155">
        <f t="shared" ref="HK74" si="3628">SUM(HK65,HK68,HK71)</f>
        <v>0</v>
      </c>
      <c r="HL74" s="156" t="str">
        <f t="shared" ref="HL74" si="3629">IFERROR((HL65*HK65+HK68*HL68+HK71*HL71)/HK74,"")</f>
        <v/>
      </c>
      <c r="HM74" s="155">
        <f t="shared" ref="HM74" si="3630">SUM(HM65,HM68,HM71)</f>
        <v>0</v>
      </c>
      <c r="HN74" s="156" t="str">
        <f t="shared" ref="HN74" si="3631">IFERROR((HN65*HM65+HM68*HN68+HM71*HN71)/HM74,"")</f>
        <v/>
      </c>
      <c r="HO74" s="155">
        <f t="shared" ref="HO74" si="3632">SUM(HO65,HO68,HO71)</f>
        <v>0</v>
      </c>
      <c r="HP74" s="156" t="str">
        <f t="shared" ref="HP74" si="3633">IFERROR((HP65*HO65+HO68*HP68+HO71*HP71)/HO74,"")</f>
        <v/>
      </c>
      <c r="HQ74" s="155">
        <f t="shared" ref="HQ74" si="3634">SUM(HQ65,HQ68,HQ71)</f>
        <v>0</v>
      </c>
      <c r="HR74" s="156" t="str">
        <f t="shared" ref="HR74" si="3635">IFERROR((HR65*HQ65+HQ68*HR68+HQ71*HR71)/HQ74,"")</f>
        <v/>
      </c>
      <c r="HS74" s="155">
        <f t="shared" ref="HS74" si="3636">SUM(HS65,HS68,HS71)</f>
        <v>0</v>
      </c>
      <c r="HT74" s="156" t="str">
        <f t="shared" ref="HT74" si="3637">IFERROR((HT65*HS65+HS68*HT68+HS71*HT71)/HS74,"")</f>
        <v/>
      </c>
      <c r="HU74" s="155">
        <f t="shared" ref="HU74" si="3638">SUM(HU65,HU68,HU71)</f>
        <v>0</v>
      </c>
      <c r="HV74" s="156" t="str">
        <f t="shared" ref="HV74" si="3639">IFERROR((HV65*HU65+HU68*HV68+HU71*HV71)/HU74,"")</f>
        <v/>
      </c>
      <c r="HW74" s="155">
        <f t="shared" ref="HW74" si="3640">SUM(HW65,HW68,HW71)</f>
        <v>0</v>
      </c>
      <c r="HX74" s="156" t="str">
        <f t="shared" ref="HX74" si="3641">IFERROR((HX65*HW65+HW68*HX68+HW71*HX71)/HW74,"")</f>
        <v/>
      </c>
      <c r="HY74" s="155">
        <f t="shared" ref="HY74" si="3642">SUM(HY65,HY68,HY71)</f>
        <v>0</v>
      </c>
      <c r="HZ74" s="156" t="str">
        <f t="shared" ref="HZ74" si="3643">IFERROR((HZ65*HY65+HY68*HZ68+HY71*HZ71)/HY74,"")</f>
        <v/>
      </c>
      <c r="IA74" s="155">
        <f t="shared" ref="IA74" si="3644">SUM(IA65,IA68,IA71)</f>
        <v>0</v>
      </c>
      <c r="IB74" s="156" t="str">
        <f t="shared" ref="IB74" si="3645">IFERROR((IB65*IA65+IA68*IB68+IA71*IB71)/IA74,"")</f>
        <v/>
      </c>
      <c r="IC74" s="155">
        <f t="shared" ref="IC74" si="3646">SUM(IC65,IC68,IC71)</f>
        <v>0</v>
      </c>
      <c r="ID74" s="156" t="str">
        <f t="shared" ref="ID74" si="3647">IFERROR((ID65*IC65+IC68*ID68+IC71*ID71)/IC74,"")</f>
        <v/>
      </c>
      <c r="IE74" s="155">
        <f t="shared" ref="IE74" si="3648">SUM(IE65,IE68,IE71)</f>
        <v>0</v>
      </c>
      <c r="IF74" s="156" t="str">
        <f t="shared" ref="IF74" si="3649">IFERROR((IF65*IE65+IE68*IF68+IE71*IF71)/IE74,"")</f>
        <v/>
      </c>
      <c r="IG74" s="155">
        <f t="shared" ref="IG74" si="3650">SUM(IG65,IG68,IG71)</f>
        <v>0</v>
      </c>
      <c r="IH74" s="156" t="str">
        <f t="shared" ref="IH74" si="3651">IFERROR((IH65*IG65+IG68*IH68+IG71*IH71)/IG74,"")</f>
        <v/>
      </c>
      <c r="II74" s="155">
        <f t="shared" ref="II74" si="3652">SUM(II65,II68,II71)</f>
        <v>0</v>
      </c>
      <c r="IJ74" s="156" t="str">
        <f t="shared" ref="IJ74" si="3653">IFERROR((IJ65*II65+II68*IJ68+II71*IJ71)/II74,"")</f>
        <v/>
      </c>
      <c r="IK74" s="155">
        <f t="shared" ref="IK74" si="3654">SUM(IK65,IK68,IK71)</f>
        <v>0</v>
      </c>
      <c r="IL74" s="156" t="str">
        <f t="shared" ref="IL74" si="3655">IFERROR((IL65*IK65+IK68*IL68+IK71*IL71)/IK74,"")</f>
        <v/>
      </c>
      <c r="IM74" s="155">
        <f t="shared" ref="IM74" si="3656">SUM(IM65,IM68,IM71)</f>
        <v>0</v>
      </c>
      <c r="IN74" s="156" t="str">
        <f t="shared" ref="IN74" si="3657">IFERROR((IN65*IM65+IM68*IN68+IM71*IN71)/IM74,"")</f>
        <v/>
      </c>
      <c r="IO74" s="155">
        <f t="shared" ref="IO74" si="3658">SUM(IO65,IO68,IO71)</f>
        <v>0</v>
      </c>
      <c r="IP74" s="156" t="str">
        <f t="shared" ref="IP74" si="3659">IFERROR((IP65*IO65+IO68*IP68+IO71*IP71)/IO74,"")</f>
        <v/>
      </c>
      <c r="IQ74" s="155">
        <f t="shared" ref="IQ74" si="3660">SUM(IQ65,IQ68,IQ71)</f>
        <v>0</v>
      </c>
      <c r="IR74" s="156" t="str">
        <f t="shared" ref="IR74" si="3661">IFERROR((IR65*IQ65+IQ68*IR68+IQ71*IR71)/IQ74,"")</f>
        <v/>
      </c>
      <c r="IS74" s="155">
        <f t="shared" ref="IS74" si="3662">SUM(IS65,IS68,IS71)</f>
        <v>0</v>
      </c>
      <c r="IT74" s="156" t="str">
        <f t="shared" ref="IT74" si="3663">IFERROR((IT65*IS65+IS68*IT68+IS71*IT71)/IS74,"")</f>
        <v/>
      </c>
      <c r="IU74" s="155">
        <f t="shared" ref="IU74" si="3664">SUM(IU65,IU68,IU71)</f>
        <v>0</v>
      </c>
      <c r="IV74" s="156" t="str">
        <f t="shared" ref="IV74" si="3665">IFERROR((IV65*IU65+IU68*IV68+IU71*IV71)/IU74,"")</f>
        <v/>
      </c>
      <c r="IW74" s="155">
        <f t="shared" ref="IW74" si="3666">SUM(IW65,IW68,IW71)</f>
        <v>0</v>
      </c>
      <c r="IX74" s="156" t="str">
        <f t="shared" ref="IX74" si="3667">IFERROR((IX65*IW65+IW68*IX68+IW71*IX71)/IW74,"")</f>
        <v/>
      </c>
      <c r="IY74" s="155">
        <f t="shared" ref="IY74" si="3668">SUM(IY65,IY68,IY71)</f>
        <v>0</v>
      </c>
      <c r="IZ74" s="156" t="str">
        <f t="shared" ref="IZ74" si="3669">IFERROR((IZ65*IY65+IY68*IZ68+IY71*IZ71)/IY74,"")</f>
        <v/>
      </c>
    </row>
    <row r="75" spans="1:260" x14ac:dyDescent="0.25">
      <c r="A75" s="1589">
        <v>45931</v>
      </c>
      <c r="B75" s="162" t="s">
        <v>218</v>
      </c>
      <c r="C75" s="163" cm="1">
        <f t="array" ref="C75">SUM(_xlfn._xlws.FILTER(E75:IZ75, MOD(COLUMN(E75:IZ75)-COLUMN(E75)+1,2)=1))</f>
        <v>28534</v>
      </c>
      <c r="D75" s="164" cm="1">
        <f t="array" ref="D75">SUMPRODUCT(_xlfn._xlws.FILTER(E75:IZ75, MOD(COLUMN(E75:IZ75)-COLUMN(E75)+1,2)=1), _xlfn._xlws.FILTER(E75:IZ75, MOD(COLUMN(E75:IZ75)-COLUMN(E75)+1,2)=0))/C75</f>
        <v>2.7068192331954868</v>
      </c>
      <c r="E75" s="165">
        <f>INDEX('STOPE SUMMARY PIVOT'!$D$2690:$D$2817, MATCH(E$1,'STOPE SUMMARY PIVOT'!$A$2690:$A$2817, 0))</f>
        <v>0</v>
      </c>
      <c r="F75" s="174">
        <f>INDEX('STOPE SUMMARY PIVOT'!$E$2690:$E$2817, MATCH(E$1,'STOPE SUMMARY PIVOT'!$A$2690:$A$2817, 0))</f>
        <v>0</v>
      </c>
      <c r="G75" s="165">
        <f>INDEX('STOPE SUMMARY PIVOT'!$D$2690:$D$2817, MATCH(G$1,'STOPE SUMMARY PIVOT'!$A$2690:$A$2817, 0))</f>
        <v>0</v>
      </c>
      <c r="H75" s="174">
        <f>INDEX('STOPE SUMMARY PIVOT'!$E$2690:$E$2817, MATCH(G$1,'STOPE SUMMARY PIVOT'!$A$2690:$A$2817, 0))</f>
        <v>0</v>
      </c>
      <c r="I75" s="165">
        <f>INDEX('STOPE SUMMARY PIVOT'!$D$2690:$D$2817, MATCH(I$1,'STOPE SUMMARY PIVOT'!$A$2690:$A$2817, 0))</f>
        <v>0</v>
      </c>
      <c r="J75" s="166">
        <f>INDEX('STOPE SUMMARY PIVOT'!$E$2690:$E$2817, MATCH(I$1,'STOPE SUMMARY PIVOT'!$A$2690:$A$2817, 0))</f>
        <v>0</v>
      </c>
      <c r="K75" s="165">
        <f>INDEX('STOPE SUMMARY PIVOT'!$D$2690:$D$2817, MATCH(K$1,'STOPE SUMMARY PIVOT'!$A$2690:$A$2817, 0))</f>
        <v>0</v>
      </c>
      <c r="L75" s="166">
        <f>INDEX('STOPE SUMMARY PIVOT'!$E$2690:$E$2817, MATCH(K$1,'STOPE SUMMARY PIVOT'!$A$2690:$A$2817, 0))</f>
        <v>0</v>
      </c>
      <c r="M75" s="165">
        <f>INDEX('STOPE SUMMARY PIVOT'!$D$2690:$D$2817, MATCH(M$1,'STOPE SUMMARY PIVOT'!$A$2690:$A$2817, 0))</f>
        <v>0</v>
      </c>
      <c r="N75" s="166">
        <f>INDEX('STOPE SUMMARY PIVOT'!$E$2690:$E$2817, MATCH(M$1,'STOPE SUMMARY PIVOT'!$A$2690:$A$2817, 0))</f>
        <v>0</v>
      </c>
      <c r="O75" s="165">
        <f>INDEX('STOPE SUMMARY PIVOT'!$D$2690:$D$2817, MATCH(O$1,'STOPE SUMMARY PIVOT'!$A$2690:$A$2817, 0))</f>
        <v>0</v>
      </c>
      <c r="P75" s="166">
        <f>INDEX('STOPE SUMMARY PIVOT'!$E$2690:$E$2817, MATCH(O$1,'STOPE SUMMARY PIVOT'!$A$2690:$A$2817, 0))</f>
        <v>0</v>
      </c>
      <c r="Q75" s="165">
        <f>INDEX('STOPE SUMMARY PIVOT'!$D$2690:$D$2817, MATCH(Q$1,'STOPE SUMMARY PIVOT'!$A$2690:$A$2817, 0))</f>
        <v>0</v>
      </c>
      <c r="R75" s="166">
        <f>INDEX('STOPE SUMMARY PIVOT'!$E$2690:$E$2817, MATCH(Q$1,'STOPE SUMMARY PIVOT'!$A$2690:$A$2817, 0))</f>
        <v>0</v>
      </c>
      <c r="S75" s="165">
        <f>INDEX('STOPE SUMMARY PIVOT'!$D$2690:$D$2817, MATCH(S$1,'STOPE SUMMARY PIVOT'!$A$2690:$A$2817, 0))</f>
        <v>0</v>
      </c>
      <c r="T75" s="166">
        <f>INDEX('STOPE SUMMARY PIVOT'!$E$2690:$E$2817, MATCH(S$1,'STOPE SUMMARY PIVOT'!$A$2690:$A$2817, 0))</f>
        <v>0</v>
      </c>
      <c r="U75" s="165">
        <f>INDEX('STOPE SUMMARY PIVOT'!$D$2690:$D$2817, MATCH(U$1,'STOPE SUMMARY PIVOT'!$A$2690:$A$2817, 0))</f>
        <v>0</v>
      </c>
      <c r="V75" s="174">
        <f>INDEX('STOPE SUMMARY PIVOT'!$E$2690:$E$2817, MATCH(U$1,'STOPE SUMMARY PIVOT'!$A$2690:$A$2817, 0))</f>
        <v>0</v>
      </c>
      <c r="W75" s="165">
        <f>INDEX('STOPE SUMMARY PIVOT'!$D$2690:$D$2817, MATCH(W$1,'STOPE SUMMARY PIVOT'!$A$2690:$A$2817, 0))</f>
        <v>0</v>
      </c>
      <c r="X75" s="174">
        <f>INDEX('STOPE SUMMARY PIVOT'!$E$2690:$E$2817, MATCH(W$1,'STOPE SUMMARY PIVOT'!$A$2690:$A$2817, 0))</f>
        <v>0</v>
      </c>
      <c r="Y75" s="165">
        <f>INDEX('STOPE SUMMARY PIVOT'!$D$2690:$D$2817, MATCH(Y$1,'STOPE SUMMARY PIVOT'!$A$2690:$A$2817, 0))</f>
        <v>0</v>
      </c>
      <c r="Z75" s="174">
        <f>INDEX('STOPE SUMMARY PIVOT'!$E$2690:$E$2817, MATCH(Y$1,'STOPE SUMMARY PIVOT'!$A$2690:$A$2817, 0))</f>
        <v>0</v>
      </c>
      <c r="AA75" s="165">
        <f>INDEX('STOPE SUMMARY PIVOT'!$D$2690:$D$2817, MATCH(AA$1,'STOPE SUMMARY PIVOT'!$A$2690:$A$2817, 0))</f>
        <v>0</v>
      </c>
      <c r="AB75" s="174">
        <f>INDEX('STOPE SUMMARY PIVOT'!$E$2690:$E$2817, MATCH(AA$1,'STOPE SUMMARY PIVOT'!$A$2690:$A$2817, 0))</f>
        <v>0</v>
      </c>
      <c r="AC75" s="165">
        <f>INDEX('STOPE SUMMARY PIVOT'!$D$2690:$D$2817, MATCH(AC$1,'STOPE SUMMARY PIVOT'!$A$2690:$A$2817, 0))</f>
        <v>0</v>
      </c>
      <c r="AD75" s="174">
        <f>INDEX('STOPE SUMMARY PIVOT'!$E$2690:$E$2817, MATCH(AC$1,'STOPE SUMMARY PIVOT'!$A$2690:$A$2817, 0))</f>
        <v>0</v>
      </c>
      <c r="AE75" s="165">
        <f>INDEX('STOPE SUMMARY PIVOT'!$D$2690:$D$2817, MATCH(AE$1,'STOPE SUMMARY PIVOT'!$A$2690:$A$2817, 0))</f>
        <v>1053</v>
      </c>
      <c r="AF75" s="174">
        <f>INDEX('STOPE SUMMARY PIVOT'!$E$2690:$E$2817, MATCH(AE$1,'STOPE SUMMARY PIVOT'!$A$2690:$A$2817, 0))</f>
        <v>1.58</v>
      </c>
      <c r="AG75" s="165">
        <f>INDEX('STOPE SUMMARY PIVOT'!$D$2690:$D$2817, MATCH(AG$1,'STOPE SUMMARY PIVOT'!$A$2690:$A$2817, 0))</f>
        <v>1798</v>
      </c>
      <c r="AH75" s="174">
        <f>INDEX('STOPE SUMMARY PIVOT'!$E$2690:$E$2817, MATCH(AG$1,'STOPE SUMMARY PIVOT'!$A$2690:$A$2817, 0))</f>
        <v>2.2000000000000002</v>
      </c>
      <c r="AI75" s="165">
        <f>INDEX('STOPE SUMMARY PIVOT'!$D$2690:$D$2817, MATCH(AI$1,'STOPE SUMMARY PIVOT'!$A$2690:$A$2817, 0))</f>
        <v>1346</v>
      </c>
      <c r="AJ75" s="174">
        <f>INDEX('STOPE SUMMARY PIVOT'!$E$2690:$E$2817, MATCH(AI$1,'STOPE SUMMARY PIVOT'!$A$2690:$A$2817, 0))</f>
        <v>2.5299999999999998</v>
      </c>
      <c r="AK75" s="165">
        <f>INDEX('STOPE SUMMARY PIVOT'!$D$2690:$D$2817, MATCH(AK$1,'STOPE SUMMARY PIVOT'!$A$2690:$A$2817, 0))</f>
        <v>0</v>
      </c>
      <c r="AL75" s="174">
        <f>INDEX('STOPE SUMMARY PIVOT'!$E$2690:$E$2817, MATCH(AK$1,'STOPE SUMMARY PIVOT'!$A$2690:$A$2817, 0))</f>
        <v>0</v>
      </c>
      <c r="AM75" s="165">
        <f>INDEX('STOPE SUMMARY PIVOT'!$D$2690:$D$2817, MATCH(AM$1,'STOPE SUMMARY PIVOT'!$A$2690:$A$2817, 0))</f>
        <v>0</v>
      </c>
      <c r="AN75" s="174">
        <f>INDEX('STOPE SUMMARY PIVOT'!$E$2690:$E$2817, MATCH(AM$1,'STOPE SUMMARY PIVOT'!$A$2690:$A$2817, 0))</f>
        <v>0</v>
      </c>
      <c r="AO75" s="165">
        <f>INDEX('STOPE SUMMARY PIVOT'!$D$2690:$D$2817, MATCH(AO$1,'STOPE SUMMARY PIVOT'!$A$2690:$A$2817, 0))</f>
        <v>0</v>
      </c>
      <c r="AP75" s="174">
        <f>INDEX('STOPE SUMMARY PIVOT'!$E$2690:$E$2817, MATCH(AO$1,'STOPE SUMMARY PIVOT'!$A$2690:$A$2817, 0))</f>
        <v>0</v>
      </c>
      <c r="AQ75" s="165">
        <f>INDEX('STOPE SUMMARY PIVOT'!$D$2690:$D$2817, MATCH(AQ$1,'STOPE SUMMARY PIVOT'!$A$2690:$A$2817, 0))</f>
        <v>0</v>
      </c>
      <c r="AR75" s="174">
        <f>INDEX('STOPE SUMMARY PIVOT'!$E$2690:$E$2817, MATCH(AQ$1,'STOPE SUMMARY PIVOT'!$A$2690:$A$2817, 0))</f>
        <v>0</v>
      </c>
      <c r="AS75" s="165">
        <f>INDEX('STOPE SUMMARY PIVOT'!$D$2690:$D$2817, MATCH(AS$1,'STOPE SUMMARY PIVOT'!$A$2690:$A$2817, 0))</f>
        <v>0</v>
      </c>
      <c r="AT75" s="174">
        <f>INDEX('STOPE SUMMARY PIVOT'!$E$2690:$E$2817, MATCH(AS$1,'STOPE SUMMARY PIVOT'!$A$2690:$A$2817, 0))</f>
        <v>0</v>
      </c>
      <c r="AU75" s="165">
        <f>INDEX('STOPE SUMMARY PIVOT'!$D$2690:$D$2817, MATCH(AU$1,'STOPE SUMMARY PIVOT'!$A$2690:$A$2817, 0))</f>
        <v>0</v>
      </c>
      <c r="AV75" s="174">
        <f>INDEX('STOPE SUMMARY PIVOT'!$E$2690:$E$2817, MATCH(AU$1,'STOPE SUMMARY PIVOT'!$A$2690:$A$2817, 0))</f>
        <v>0</v>
      </c>
      <c r="AW75" s="165">
        <f>INDEX('STOPE SUMMARY PIVOT'!$D$2690:$D$2817, MATCH(AW$1,'STOPE SUMMARY PIVOT'!$A$2690:$A$2817, 0))</f>
        <v>0</v>
      </c>
      <c r="AX75" s="174">
        <f>INDEX('STOPE SUMMARY PIVOT'!$E$2690:$E$2817, MATCH(AW$1,'STOPE SUMMARY PIVOT'!$A$2690:$A$2817, 0))</f>
        <v>0</v>
      </c>
      <c r="AY75" s="165">
        <f>INDEX('STOPE SUMMARY PIVOT'!$D$2690:$D$2817, MATCH(AY$1,'STOPE SUMMARY PIVOT'!$A$2690:$A$2817, 0))</f>
        <v>0</v>
      </c>
      <c r="AZ75" s="174">
        <f>INDEX('STOPE SUMMARY PIVOT'!$E$2690:$E$2817, MATCH(AY$1,'STOPE SUMMARY PIVOT'!$A$2690:$A$2817, 0))</f>
        <v>0</v>
      </c>
      <c r="BA75" s="165">
        <f>INDEX('STOPE SUMMARY PIVOT'!$D$2690:$D$2817, MATCH(BA$1,'STOPE SUMMARY PIVOT'!$A$2690:$A$2817, 0))</f>
        <v>0</v>
      </c>
      <c r="BB75" s="174">
        <f>INDEX('STOPE SUMMARY PIVOT'!$E$2690:$E$2817, MATCH(BA$1,'STOPE SUMMARY PIVOT'!$A$2690:$A$2817, 0))</f>
        <v>0</v>
      </c>
      <c r="BC75" s="165">
        <f>INDEX('STOPE SUMMARY PIVOT'!$D$2690:$D$2817, MATCH(BC$1,'STOPE SUMMARY PIVOT'!$A$2690:$A$2817, 0))</f>
        <v>0</v>
      </c>
      <c r="BD75" s="174">
        <f>INDEX('STOPE SUMMARY PIVOT'!$E$2690:$E$2817, MATCH(BC$1,'STOPE SUMMARY PIVOT'!$A$2690:$A$2817, 0))</f>
        <v>0</v>
      </c>
      <c r="BE75" s="165">
        <f>INDEX('STOPE SUMMARY PIVOT'!$D$2690:$D$2817, MATCH(BE$1,'STOPE SUMMARY PIVOT'!$A$2690:$A$2817, 0))</f>
        <v>0</v>
      </c>
      <c r="BF75" s="174">
        <f>INDEX('STOPE SUMMARY PIVOT'!$E$2690:$E$2817, MATCH(BE$1,'STOPE SUMMARY PIVOT'!$A$2690:$A$2817, 0))</f>
        <v>0</v>
      </c>
      <c r="BG75" s="165">
        <f>INDEX('STOPE SUMMARY PIVOT'!$D$2690:$D$2817, MATCH(BG$1,'STOPE SUMMARY PIVOT'!$A$2690:$A$2817, 0))</f>
        <v>0</v>
      </c>
      <c r="BH75" s="174">
        <f>INDEX('STOPE SUMMARY PIVOT'!$E$2690:$E$2817, MATCH(BG$1,'STOPE SUMMARY PIVOT'!$A$2690:$A$2817, 0))</f>
        <v>0</v>
      </c>
      <c r="BI75" s="165">
        <f>INDEX('STOPE SUMMARY PIVOT'!$D$2690:$D$2817, MATCH(BI$1,'STOPE SUMMARY PIVOT'!$A$2690:$A$2817, 0))</f>
        <v>0</v>
      </c>
      <c r="BJ75" s="174">
        <f>INDEX('STOPE SUMMARY PIVOT'!$E$2690:$E$2817, MATCH(BI$1,'STOPE SUMMARY PIVOT'!$A$2690:$A$2817, 0))</f>
        <v>0</v>
      </c>
      <c r="BK75" s="165">
        <f>INDEX('STOPE SUMMARY PIVOT'!$D$2690:$D$2817, MATCH(BK$1,'STOPE SUMMARY PIVOT'!$A$2690:$A$2817, 0))</f>
        <v>0</v>
      </c>
      <c r="BL75" s="174">
        <f>INDEX('STOPE SUMMARY PIVOT'!$E$2690:$E$2817, MATCH(BK$1,'STOPE SUMMARY PIVOT'!$A$2690:$A$2817, 0))</f>
        <v>0</v>
      </c>
      <c r="BM75" s="165">
        <f>INDEX('STOPE SUMMARY PIVOT'!$D$2690:$D$2817, MATCH(BM$1,'STOPE SUMMARY PIVOT'!$A$2690:$A$2817, 0))</f>
        <v>0</v>
      </c>
      <c r="BN75" s="174">
        <f>INDEX('STOPE SUMMARY PIVOT'!$E$2690:$E$2817, MATCH(BM$1,'STOPE SUMMARY PIVOT'!$A$2690:$A$2817, 0))</f>
        <v>0</v>
      </c>
      <c r="BO75" s="165">
        <f>INDEX('STOPE SUMMARY PIVOT'!$D$2690:$D$2817, MATCH(BO$1,'STOPE SUMMARY PIVOT'!$A$2690:$A$2817, 0))</f>
        <v>0</v>
      </c>
      <c r="BP75" s="174">
        <f>INDEX('STOPE SUMMARY PIVOT'!$E$2690:$E$2817, MATCH(BO$1,'STOPE SUMMARY PIVOT'!$A$2690:$A$2817, 0))</f>
        <v>0</v>
      </c>
      <c r="BQ75" s="165">
        <f>INDEX('STOPE SUMMARY PIVOT'!$D$2690:$D$2817, MATCH(BQ$1,'STOPE SUMMARY PIVOT'!$A$2690:$A$2817, 0))</f>
        <v>0</v>
      </c>
      <c r="BR75" s="174">
        <f>INDEX('STOPE SUMMARY PIVOT'!$E$2690:$E$2817, MATCH(BQ$1,'STOPE SUMMARY PIVOT'!$A$2690:$A$2817, 0))</f>
        <v>0</v>
      </c>
      <c r="BS75" s="165">
        <f>INDEX('STOPE SUMMARY PIVOT'!$D$2690:$D$2817, MATCH(BS$1,'STOPE SUMMARY PIVOT'!$A$2690:$A$2817, 0))</f>
        <v>0</v>
      </c>
      <c r="BT75" s="174">
        <f>INDEX('STOPE SUMMARY PIVOT'!$E$2690:$E$2817, MATCH(BS$1,'STOPE SUMMARY PIVOT'!$A$2690:$A$2817, 0))</f>
        <v>0</v>
      </c>
      <c r="BU75" s="165">
        <f>INDEX('STOPE SUMMARY PIVOT'!$D$2690:$D$2817, MATCH(BU$1,'STOPE SUMMARY PIVOT'!$A$2690:$A$2817, 0))</f>
        <v>0</v>
      </c>
      <c r="BV75" s="174">
        <f>INDEX('STOPE SUMMARY PIVOT'!$E$2690:$E$2817, MATCH(BU$1,'STOPE SUMMARY PIVOT'!$A$2690:$A$2817, 0))</f>
        <v>0</v>
      </c>
      <c r="BW75" s="165">
        <f>INDEX('STOPE SUMMARY PIVOT'!$D$2690:$D$2817, MATCH(BW$1,'STOPE SUMMARY PIVOT'!$A$2690:$A$2817, 0))</f>
        <v>0</v>
      </c>
      <c r="BX75" s="174">
        <f>INDEX('STOPE SUMMARY PIVOT'!$E$2690:$E$2817, MATCH(BW$1,'STOPE SUMMARY PIVOT'!$A$2690:$A$2817, 0))</f>
        <v>0</v>
      </c>
      <c r="BY75" s="165">
        <f>INDEX('STOPE SUMMARY PIVOT'!$D$2690:$D$2817, MATCH(BY$1,'STOPE SUMMARY PIVOT'!$A$2690:$A$2817, 0))</f>
        <v>0</v>
      </c>
      <c r="BZ75" s="174">
        <f>INDEX('STOPE SUMMARY PIVOT'!$E$2690:$E$2817, MATCH(BY$1,'STOPE SUMMARY PIVOT'!$A$2690:$A$2817, 0))</f>
        <v>0</v>
      </c>
      <c r="CA75" s="165">
        <f>INDEX('STOPE SUMMARY PIVOT'!$D$2690:$D$2817, MATCH(CA$1,'STOPE SUMMARY PIVOT'!$A$2690:$A$2817, 0))</f>
        <v>0</v>
      </c>
      <c r="CB75" s="174">
        <f>INDEX('STOPE SUMMARY PIVOT'!$E$2690:$E$2817, MATCH(CA$1,'STOPE SUMMARY PIVOT'!$A$2690:$A$2817, 0))</f>
        <v>0</v>
      </c>
      <c r="CC75" s="165">
        <f>INDEX('STOPE SUMMARY PIVOT'!$D$2690:$D$2817, MATCH(CC$1,'STOPE SUMMARY PIVOT'!$A$2690:$A$2817, 0))</f>
        <v>0</v>
      </c>
      <c r="CD75" s="174">
        <f>INDEX('STOPE SUMMARY PIVOT'!$E$2690:$E$2817, MATCH(CC$1,'STOPE SUMMARY PIVOT'!$A$2690:$A$2817, 0))</f>
        <v>0</v>
      </c>
      <c r="CE75" s="165">
        <f>INDEX('STOPE SUMMARY PIVOT'!$D$2690:$D$2817, MATCH(CE$1,'STOPE SUMMARY PIVOT'!$A$2690:$A$2817, 0))</f>
        <v>0</v>
      </c>
      <c r="CF75" s="174">
        <f>INDEX('STOPE SUMMARY PIVOT'!$E$2690:$E$2817, MATCH(CE$1,'STOPE SUMMARY PIVOT'!$A$2690:$A$2817, 0))</f>
        <v>0</v>
      </c>
      <c r="CG75" s="165">
        <f>INDEX('STOPE SUMMARY PIVOT'!$D$2690:$D$2817, MATCH(CG$1,'STOPE SUMMARY PIVOT'!$A$2690:$A$2817, 0))</f>
        <v>0</v>
      </c>
      <c r="CH75" s="174">
        <f>INDEX('STOPE SUMMARY PIVOT'!$E$2690:$E$2817, MATCH(CG$1,'STOPE SUMMARY PIVOT'!$A$2690:$A$2817, 0))</f>
        <v>0</v>
      </c>
      <c r="CI75" s="165">
        <f>INDEX('STOPE SUMMARY PIVOT'!$D$2690:$D$2817, MATCH(CI$1,'STOPE SUMMARY PIVOT'!$A$2690:$A$2817, 0))</f>
        <v>0</v>
      </c>
      <c r="CJ75" s="174">
        <f>INDEX('STOPE SUMMARY PIVOT'!$E$2690:$E$2817, MATCH(CI$1,'STOPE SUMMARY PIVOT'!$A$2690:$A$2817, 0))</f>
        <v>0</v>
      </c>
      <c r="CK75" s="165">
        <f>INDEX('STOPE SUMMARY PIVOT'!$D$2690:$D$2817, MATCH(CK$1,'STOPE SUMMARY PIVOT'!$A$2690:$A$2817, 0))</f>
        <v>0</v>
      </c>
      <c r="CL75" s="174">
        <f>INDEX('STOPE SUMMARY PIVOT'!$E$2690:$E$2817, MATCH(CK$1,'STOPE SUMMARY PIVOT'!$A$2690:$A$2817, 0))</f>
        <v>0</v>
      </c>
      <c r="CM75" s="165">
        <f>INDEX('STOPE SUMMARY PIVOT'!$D$2690:$D$2817, MATCH(CM$1,'STOPE SUMMARY PIVOT'!$A$2690:$A$2817, 0))</f>
        <v>0</v>
      </c>
      <c r="CN75" s="174">
        <f>INDEX('STOPE SUMMARY PIVOT'!$E$2690:$E$2817, MATCH(CM$1,'STOPE SUMMARY PIVOT'!$A$2690:$A$2817, 0))</f>
        <v>0</v>
      </c>
      <c r="CO75" s="165">
        <f>INDEX('STOPE SUMMARY PIVOT'!$D$2690:$D$2817, MATCH(CO$1,'STOPE SUMMARY PIVOT'!$A$2690:$A$2817, 0))</f>
        <v>0</v>
      </c>
      <c r="CP75" s="174">
        <f>INDEX('STOPE SUMMARY PIVOT'!$E$2690:$E$2817, MATCH(CO$1,'STOPE SUMMARY PIVOT'!$A$2690:$A$2817, 0))</f>
        <v>0</v>
      </c>
      <c r="CQ75" s="165">
        <f>INDEX('STOPE SUMMARY PIVOT'!$D$2690:$D$2817, MATCH(CQ$1,'STOPE SUMMARY PIVOT'!$A$2690:$A$2817, 0))</f>
        <v>0</v>
      </c>
      <c r="CR75" s="174">
        <f>INDEX('STOPE SUMMARY PIVOT'!$E$2690:$E$2817, MATCH(CQ$1,'STOPE SUMMARY PIVOT'!$A$2690:$A$2817, 0))</f>
        <v>0</v>
      </c>
      <c r="CS75" s="165">
        <f>INDEX('STOPE SUMMARY PIVOT'!$D$2690:$D$2817, MATCH(CS$1,'STOPE SUMMARY PIVOT'!$A$2690:$A$2817, 0))</f>
        <v>0</v>
      </c>
      <c r="CT75" s="174">
        <f>INDEX('STOPE SUMMARY PIVOT'!$E$2690:$E$2817, MATCH(CS$1,'STOPE SUMMARY PIVOT'!$A$2690:$A$2817, 0))</f>
        <v>0</v>
      </c>
      <c r="CU75" s="165">
        <f>INDEX('STOPE SUMMARY PIVOT'!$D$2690:$D$2817, MATCH(CU$1,'STOPE SUMMARY PIVOT'!$A$2690:$A$2817, 0))</f>
        <v>0</v>
      </c>
      <c r="CV75" s="174">
        <f>INDEX('STOPE SUMMARY PIVOT'!$E$2690:$E$2817, MATCH(CU$1,'STOPE SUMMARY PIVOT'!$A$2690:$A$2817, 0))</f>
        <v>0</v>
      </c>
      <c r="CW75" s="165">
        <f>INDEX('STOPE SUMMARY PIVOT'!$D$2690:$D$2817, MATCH(CW$1,'STOPE SUMMARY PIVOT'!$A$2690:$A$2817, 0))</f>
        <v>0</v>
      </c>
      <c r="CX75" s="174">
        <f>INDEX('STOPE SUMMARY PIVOT'!$E$2690:$E$2817, MATCH(CW$1,'STOPE SUMMARY PIVOT'!$A$2690:$A$2817, 0))</f>
        <v>0</v>
      </c>
      <c r="CY75" s="165">
        <f>INDEX('STOPE SUMMARY PIVOT'!$D$2690:$D$2817, MATCH(CY$1,'STOPE SUMMARY PIVOT'!$A$2690:$A$2817, 0))</f>
        <v>0</v>
      </c>
      <c r="CZ75" s="174">
        <f>INDEX('STOPE SUMMARY PIVOT'!$E$2690:$E$2817, MATCH(CY$1,'STOPE SUMMARY PIVOT'!$A$2690:$A$2817, 0))</f>
        <v>0</v>
      </c>
      <c r="DA75" s="165">
        <f>INDEX('STOPE SUMMARY PIVOT'!$D$2690:$D$2817, MATCH(DA$1,'STOPE SUMMARY PIVOT'!$A$2690:$A$2817, 0))</f>
        <v>0</v>
      </c>
      <c r="DB75" s="174">
        <f>INDEX('STOPE SUMMARY PIVOT'!$E$2690:$E$2817, MATCH(DA$1,'STOPE SUMMARY PIVOT'!$A$2690:$A$2817, 0))</f>
        <v>0</v>
      </c>
      <c r="DC75" s="165">
        <f>INDEX('STOPE SUMMARY PIVOT'!$D$2690:$D$2817, MATCH(DC$1,'STOPE SUMMARY PIVOT'!$A$2690:$A$2817, 0))</f>
        <v>0</v>
      </c>
      <c r="DD75" s="174">
        <f>INDEX('STOPE SUMMARY PIVOT'!$E$2690:$E$2817, MATCH(DC$1,'STOPE SUMMARY PIVOT'!$A$2690:$A$2817, 0))</f>
        <v>0</v>
      </c>
      <c r="DE75" s="165">
        <f>INDEX('STOPE SUMMARY PIVOT'!$D$2690:$D$2817, MATCH(DE$1,'STOPE SUMMARY PIVOT'!$A$2690:$A$2817, 0))</f>
        <v>0</v>
      </c>
      <c r="DF75" s="174">
        <f>INDEX('STOPE SUMMARY PIVOT'!$E$2690:$E$2817, MATCH(DE$1,'STOPE SUMMARY PIVOT'!$A$2690:$A$2817, 0))</f>
        <v>0</v>
      </c>
      <c r="DG75" s="165">
        <f>INDEX('STOPE SUMMARY PIVOT'!$D$2690:$D$2817, MATCH(DG$1,'STOPE SUMMARY PIVOT'!$A$2690:$A$2817, 0))</f>
        <v>0</v>
      </c>
      <c r="DH75" s="174">
        <f>INDEX('STOPE SUMMARY PIVOT'!$E$2690:$E$2817, MATCH(DG$1,'STOPE SUMMARY PIVOT'!$A$2690:$A$2817, 0))</f>
        <v>0</v>
      </c>
      <c r="DI75" s="165">
        <f>INDEX('STOPE SUMMARY PIVOT'!$D$2690:$D$2817, MATCH(DI$1,'STOPE SUMMARY PIVOT'!$A$2690:$A$2817, 0))</f>
        <v>0</v>
      </c>
      <c r="DJ75" s="174">
        <f>INDEX('STOPE SUMMARY PIVOT'!$E$2690:$E$2817, MATCH(DI$1,'STOPE SUMMARY PIVOT'!$A$2690:$A$2817, 0))</f>
        <v>0</v>
      </c>
      <c r="DK75" s="165">
        <f>INDEX('STOPE SUMMARY PIVOT'!$D$2690:$D$2817, MATCH(DK$1,'STOPE SUMMARY PIVOT'!$A$2690:$A$2817, 0))</f>
        <v>0</v>
      </c>
      <c r="DL75" s="174">
        <f>INDEX('STOPE SUMMARY PIVOT'!$E$2690:$E$2817, MATCH(DK$1,'STOPE SUMMARY PIVOT'!$A$2690:$A$2817, 0))</f>
        <v>0</v>
      </c>
      <c r="DM75" s="165">
        <f>INDEX('STOPE SUMMARY PIVOT'!$D$2690:$D$2817, MATCH(DM$1,'STOPE SUMMARY PIVOT'!$A$2690:$A$2817, 0))</f>
        <v>0</v>
      </c>
      <c r="DN75" s="174">
        <f>INDEX('STOPE SUMMARY PIVOT'!$E$2690:$E$2817, MATCH(DM$1,'STOPE SUMMARY PIVOT'!$A$2690:$A$2817, 0))</f>
        <v>0</v>
      </c>
      <c r="DO75" s="165">
        <f>INDEX('STOPE SUMMARY PIVOT'!$D$2690:$D$2817, MATCH(DO$1,'STOPE SUMMARY PIVOT'!$A$2690:$A$2817, 0))</f>
        <v>0</v>
      </c>
      <c r="DP75" s="174">
        <f>INDEX('STOPE SUMMARY PIVOT'!$E$2690:$E$2817, MATCH(DO$1,'STOPE SUMMARY PIVOT'!$A$2690:$A$2817, 0))</f>
        <v>0</v>
      </c>
      <c r="DQ75" s="165">
        <f>INDEX('STOPE SUMMARY PIVOT'!$D$2690:$D$2817, MATCH(DQ$1,'STOPE SUMMARY PIVOT'!$A$2690:$A$2817, 0))</f>
        <v>0</v>
      </c>
      <c r="DR75" s="174">
        <f>INDEX('STOPE SUMMARY PIVOT'!$E$2690:$E$2817, MATCH(DQ$1,'STOPE SUMMARY PIVOT'!$A$2690:$A$2817, 0))</f>
        <v>0</v>
      </c>
      <c r="DS75" s="165">
        <f>INDEX('STOPE SUMMARY PIVOT'!$D$2690:$D$2817, MATCH(DS$1,'STOPE SUMMARY PIVOT'!$A$2690:$A$2817, 0))</f>
        <v>0</v>
      </c>
      <c r="DT75" s="174">
        <f>INDEX('STOPE SUMMARY PIVOT'!$E$2690:$E$2817, MATCH(DS$1,'STOPE SUMMARY PIVOT'!$A$2690:$A$2817, 0))</f>
        <v>0</v>
      </c>
      <c r="DU75" s="165">
        <f>INDEX('STOPE SUMMARY PIVOT'!$D$2690:$D$2817, MATCH(DU$1,'STOPE SUMMARY PIVOT'!$A$2690:$A$2817, 0))</f>
        <v>0</v>
      </c>
      <c r="DV75" s="174">
        <f>INDEX('STOPE SUMMARY PIVOT'!$E$2690:$E$2817, MATCH(DU$1,'STOPE SUMMARY PIVOT'!$A$2690:$A$2817, 0))</f>
        <v>0</v>
      </c>
      <c r="DW75" s="165">
        <f>INDEX('STOPE SUMMARY PIVOT'!$D$2690:$D$2817, MATCH(DW$1,'STOPE SUMMARY PIVOT'!$A$2690:$A$2817, 0))</f>
        <v>0</v>
      </c>
      <c r="DX75" s="174">
        <f>INDEX('STOPE SUMMARY PIVOT'!$E$2690:$E$2817, MATCH(DW$1,'STOPE SUMMARY PIVOT'!$A$2690:$A$2817, 0))</f>
        <v>0</v>
      </c>
      <c r="DY75" s="165">
        <f>INDEX('STOPE SUMMARY PIVOT'!$D$2690:$D$2817, MATCH(DY$1,'STOPE SUMMARY PIVOT'!$A$2690:$A$2817, 0))</f>
        <v>0</v>
      </c>
      <c r="DZ75" s="174">
        <f>INDEX('STOPE SUMMARY PIVOT'!$E$2690:$E$2817, MATCH(DY$1,'STOPE SUMMARY PIVOT'!$A$2690:$A$2817, 0))</f>
        <v>0</v>
      </c>
      <c r="EA75" s="165">
        <f>INDEX('STOPE SUMMARY PIVOT'!$D$2690:$D$2817, MATCH(EA$1,'STOPE SUMMARY PIVOT'!$A$2690:$A$2817, 0))</f>
        <v>0</v>
      </c>
      <c r="EB75" s="174">
        <f>INDEX('STOPE SUMMARY PIVOT'!$E$2690:$E$2817, MATCH(EA$1,'STOPE SUMMARY PIVOT'!$A$2690:$A$2817, 0))</f>
        <v>0</v>
      </c>
      <c r="EC75" s="165">
        <f>INDEX('STOPE SUMMARY PIVOT'!$D$2690:$D$2817, MATCH(EC$1,'STOPE SUMMARY PIVOT'!$A$2690:$A$2817, 0))</f>
        <v>93</v>
      </c>
      <c r="ED75" s="174">
        <f>INDEX('STOPE SUMMARY PIVOT'!$E$2690:$E$2817, MATCH(EC$1,'STOPE SUMMARY PIVOT'!$A$2690:$A$2817, 0))</f>
        <v>1.6</v>
      </c>
      <c r="EE75" s="165">
        <f>INDEX('STOPE SUMMARY PIVOT'!$D$2690:$D$2817, MATCH(EE$1,'STOPE SUMMARY PIVOT'!$A$2690:$A$2817, 0))</f>
        <v>0</v>
      </c>
      <c r="EF75" s="174">
        <f>INDEX('STOPE SUMMARY PIVOT'!$E$2690:$E$2817, MATCH(EE$1,'STOPE SUMMARY PIVOT'!$A$2690:$A$2817, 0))</f>
        <v>0</v>
      </c>
      <c r="EG75" s="165">
        <f>INDEX('STOPE SUMMARY PIVOT'!$D$2690:$D$2817, MATCH(EG$1,'STOPE SUMMARY PIVOT'!$A$2690:$A$2817, 0))</f>
        <v>0</v>
      </c>
      <c r="EH75" s="174">
        <f>INDEX('STOPE SUMMARY PIVOT'!$E$2690:$E$2817, MATCH(EG$1,'STOPE SUMMARY PIVOT'!$A$2690:$A$2817, 0))</f>
        <v>0</v>
      </c>
      <c r="EI75" s="165">
        <f>INDEX('STOPE SUMMARY PIVOT'!$D$2690:$D$2817, MATCH(EI$1,'STOPE SUMMARY PIVOT'!$A$2690:$A$2817, 0))</f>
        <v>0</v>
      </c>
      <c r="EJ75" s="174">
        <f>INDEX('STOPE SUMMARY PIVOT'!$E$2690:$E$2817, MATCH(EI$1,'STOPE SUMMARY PIVOT'!$A$2690:$A$2817, 0))</f>
        <v>0</v>
      </c>
      <c r="EK75" s="165">
        <f>INDEX('STOPE SUMMARY PIVOT'!$D$2690:$D$2817, MATCH(EK$1,'STOPE SUMMARY PIVOT'!$A$2690:$A$2817, 0))</f>
        <v>0</v>
      </c>
      <c r="EL75" s="174">
        <f>INDEX('STOPE SUMMARY PIVOT'!$E$2690:$E$2817, MATCH(EK$1,'STOPE SUMMARY PIVOT'!$A$2690:$A$2817, 0))</f>
        <v>0</v>
      </c>
      <c r="EM75" s="165">
        <f>INDEX('STOPE SUMMARY PIVOT'!$D$2690:$D$2817, MATCH(EM$1,'STOPE SUMMARY PIVOT'!$A$2690:$A$2817, 0))</f>
        <v>2022</v>
      </c>
      <c r="EN75" s="174">
        <f>INDEX('STOPE SUMMARY PIVOT'!$E$2690:$E$2817, MATCH(EM$1,'STOPE SUMMARY PIVOT'!$A$2690:$A$2817, 0))</f>
        <v>3.97</v>
      </c>
      <c r="EO75" s="165">
        <f>INDEX('STOPE SUMMARY PIVOT'!$D$2690:$D$2817, MATCH(EO$1,'STOPE SUMMARY PIVOT'!$A$2690:$A$2817, 0))</f>
        <v>3033</v>
      </c>
      <c r="EP75" s="174">
        <f>INDEX('STOPE SUMMARY PIVOT'!$E$2690:$E$2817, MATCH(EO$1,'STOPE SUMMARY PIVOT'!$A$2690:$A$2817, 0))</f>
        <v>2.83</v>
      </c>
      <c r="EQ75" s="165">
        <f>INDEX('STOPE SUMMARY PIVOT'!$D$2690:$D$2817, MATCH(EQ$1,'STOPE SUMMARY PIVOT'!$A$2690:$A$2817, 0))</f>
        <v>0</v>
      </c>
      <c r="ER75" s="174">
        <f>INDEX('STOPE SUMMARY PIVOT'!$E$2690:$E$2817, MATCH(EQ$1,'STOPE SUMMARY PIVOT'!$A$2690:$A$2817, 0))</f>
        <v>0</v>
      </c>
      <c r="ES75" s="165">
        <f>INDEX('STOPE SUMMARY PIVOT'!$D$2690:$D$2817, MATCH(ES$1,'STOPE SUMMARY PIVOT'!$A$2690:$A$2817, 0))</f>
        <v>0</v>
      </c>
      <c r="ET75" s="174">
        <f>INDEX('STOPE SUMMARY PIVOT'!$E$2690:$E$2817, MATCH(ES$1,'STOPE SUMMARY PIVOT'!$A$2690:$A$2817, 0))</f>
        <v>0</v>
      </c>
      <c r="EU75" s="165">
        <f>INDEX('STOPE SUMMARY PIVOT'!$D$2690:$D$2817, MATCH(EU$1,'STOPE SUMMARY PIVOT'!$A$2690:$A$2817, 0))</f>
        <v>0</v>
      </c>
      <c r="EV75" s="174">
        <f>INDEX('STOPE SUMMARY PIVOT'!$E$2690:$E$2817, MATCH(EU$1,'STOPE SUMMARY PIVOT'!$A$2690:$A$2817, 0))</f>
        <v>0</v>
      </c>
      <c r="EW75" s="165">
        <f>INDEX('STOPE SUMMARY PIVOT'!$D$2690:$D$2817, MATCH(EW$1,'STOPE SUMMARY PIVOT'!$A$2690:$A$2817, 0))</f>
        <v>0</v>
      </c>
      <c r="EX75" s="174">
        <f>INDEX('STOPE SUMMARY PIVOT'!$E$2690:$E$2817, MATCH(EW$1,'STOPE SUMMARY PIVOT'!$A$2690:$A$2817, 0))</f>
        <v>0</v>
      </c>
      <c r="EY75" s="165">
        <f>INDEX('STOPE SUMMARY PIVOT'!$D$2690:$D$2817, MATCH(EY$1,'STOPE SUMMARY PIVOT'!$A$2690:$A$2817, 0))</f>
        <v>3033</v>
      </c>
      <c r="EZ75" s="174">
        <f>INDEX('STOPE SUMMARY PIVOT'!$E$2690:$E$2817, MATCH(EY$1,'STOPE SUMMARY PIVOT'!$A$2690:$A$2817, 0))</f>
        <v>2.31</v>
      </c>
      <c r="FA75" s="165">
        <f>INDEX('STOPE SUMMARY PIVOT'!$D$2690:$D$2817, MATCH(FA$1,'STOPE SUMMARY PIVOT'!$A$2690:$A$2817, 0))</f>
        <v>0</v>
      </c>
      <c r="FB75" s="174">
        <f>INDEX('STOPE SUMMARY PIVOT'!$E$2690:$E$2817, MATCH(FA$1,'STOPE SUMMARY PIVOT'!$A$2690:$A$2817, 0))</f>
        <v>0</v>
      </c>
      <c r="FC75" s="165">
        <f>INDEX('STOPE SUMMARY PIVOT'!$D$2690:$D$2817, MATCH(FC$1,'STOPE SUMMARY PIVOT'!$A$2690:$A$2817, 0))</f>
        <v>0</v>
      </c>
      <c r="FD75" s="174">
        <f>INDEX('STOPE SUMMARY PIVOT'!$E$2690:$E$2817, MATCH(FC$1,'STOPE SUMMARY PIVOT'!$A$2690:$A$2817, 0))</f>
        <v>0</v>
      </c>
      <c r="FE75" s="165">
        <f>INDEX('STOPE SUMMARY PIVOT'!$D$2690:$D$2817, MATCH(FE$1,'STOPE SUMMARY PIVOT'!$A$2690:$A$2817, 0))</f>
        <v>0</v>
      </c>
      <c r="FF75" s="174">
        <f>INDEX('STOPE SUMMARY PIVOT'!$E$2690:$E$2817, MATCH(FE$1,'STOPE SUMMARY PIVOT'!$A$2690:$A$2817, 0))</f>
        <v>0</v>
      </c>
      <c r="FG75" s="165">
        <f>INDEX('STOPE SUMMARY PIVOT'!$D$2690:$D$2817, MATCH(FG$1,'STOPE SUMMARY PIVOT'!$A$2690:$A$2817, 0))</f>
        <v>0</v>
      </c>
      <c r="FH75" s="174">
        <f>INDEX('STOPE SUMMARY PIVOT'!$E$2690:$E$2817, MATCH(FG$1,'STOPE SUMMARY PIVOT'!$A$2690:$A$2817, 0))</f>
        <v>0</v>
      </c>
      <c r="FI75" s="165">
        <f>INDEX('STOPE SUMMARY PIVOT'!$D$2690:$D$2817, MATCH(FI$1,'STOPE SUMMARY PIVOT'!$A$2690:$A$2817, 0))</f>
        <v>0</v>
      </c>
      <c r="FJ75" s="174">
        <f>INDEX('STOPE SUMMARY PIVOT'!$E$2690:$E$2817, MATCH(FI$1,'STOPE SUMMARY PIVOT'!$A$2690:$A$2817, 0))</f>
        <v>0</v>
      </c>
      <c r="FK75" s="165">
        <f>INDEX('STOPE SUMMARY PIVOT'!$D$2690:$D$2817, MATCH(FK$1,'STOPE SUMMARY PIVOT'!$A$2690:$A$2817, 0))</f>
        <v>0</v>
      </c>
      <c r="FL75" s="174">
        <f>INDEX('STOPE SUMMARY PIVOT'!$E$2690:$E$2817, MATCH(FK$1,'STOPE SUMMARY PIVOT'!$A$2690:$A$2817, 0))</f>
        <v>0</v>
      </c>
      <c r="FM75" s="165">
        <f>INDEX('STOPE SUMMARY PIVOT'!$D$2690:$D$2817, MATCH(FM$1,'STOPE SUMMARY PIVOT'!$A$2690:$A$2817, 0))</f>
        <v>0</v>
      </c>
      <c r="FN75" s="174">
        <f>INDEX('STOPE SUMMARY PIVOT'!$E$2690:$E$2817, MATCH(FM$1,'STOPE SUMMARY PIVOT'!$A$2690:$A$2817, 0))</f>
        <v>0</v>
      </c>
      <c r="FO75" s="165">
        <f>INDEX('STOPE SUMMARY PIVOT'!$D$2690:$D$2817, MATCH(FO$1,'STOPE SUMMARY PIVOT'!$A$2690:$A$2817, 0))</f>
        <v>0</v>
      </c>
      <c r="FP75" s="174">
        <f>INDEX('STOPE SUMMARY PIVOT'!$E$2690:$E$2817, MATCH(FO$1,'STOPE SUMMARY PIVOT'!$A$2690:$A$2817, 0))</f>
        <v>0</v>
      </c>
      <c r="FQ75" s="165">
        <f>INDEX('STOPE SUMMARY PIVOT'!$D$2690:$D$2817, MATCH(FQ$1,'STOPE SUMMARY PIVOT'!$A$2690:$A$2817, 0))</f>
        <v>0</v>
      </c>
      <c r="FR75" s="174">
        <f>INDEX('STOPE SUMMARY PIVOT'!$E$2690:$E$2817, MATCH(FQ$1,'STOPE SUMMARY PIVOT'!$A$2690:$A$2817, 0))</f>
        <v>0</v>
      </c>
      <c r="FS75" s="165">
        <f>INDEX('STOPE SUMMARY PIVOT'!$D$2690:$D$2817, MATCH(FS$1,'STOPE SUMMARY PIVOT'!$A$2690:$A$2817, 0))</f>
        <v>0</v>
      </c>
      <c r="FT75" s="174">
        <f>INDEX('STOPE SUMMARY PIVOT'!$E$2690:$E$2817, MATCH(FS$1,'STOPE SUMMARY PIVOT'!$A$2690:$A$2817, 0))</f>
        <v>0</v>
      </c>
      <c r="FU75" s="165">
        <f>INDEX('STOPE SUMMARY PIVOT'!$D$2690:$D$2817, MATCH(FU$1,'STOPE SUMMARY PIVOT'!$A$2690:$A$2817, 0))</f>
        <v>0</v>
      </c>
      <c r="FV75" s="174">
        <f>INDEX('STOPE SUMMARY PIVOT'!$E$2690:$E$2817, MATCH(FU$1,'STOPE SUMMARY PIVOT'!$A$2690:$A$2817, 0))</f>
        <v>0</v>
      </c>
      <c r="FW75" s="165">
        <f>INDEX('STOPE SUMMARY PIVOT'!$D$2690:$D$2817, MATCH(FW$1,'STOPE SUMMARY PIVOT'!$A$2690:$A$2817, 0))</f>
        <v>0</v>
      </c>
      <c r="FX75" s="174">
        <f>INDEX('STOPE SUMMARY PIVOT'!$E$2690:$E$2817, MATCH(FW$1,'STOPE SUMMARY PIVOT'!$A$2690:$A$2817, 0))</f>
        <v>0</v>
      </c>
      <c r="FY75" s="165">
        <f>INDEX('STOPE SUMMARY PIVOT'!$D$2690:$D$2817, MATCH(FY$1,'STOPE SUMMARY PIVOT'!$A$2690:$A$2817, 0))</f>
        <v>0</v>
      </c>
      <c r="FZ75" s="174">
        <f>INDEX('STOPE SUMMARY PIVOT'!$E$2690:$E$2817, MATCH(FY$1,'STOPE SUMMARY PIVOT'!$A$2690:$A$2817, 0))</f>
        <v>0</v>
      </c>
      <c r="GA75" s="165">
        <f>INDEX('STOPE SUMMARY PIVOT'!$D$2690:$D$2817, MATCH(GA$1,'STOPE SUMMARY PIVOT'!$A$2690:$A$2817, 0))</f>
        <v>0</v>
      </c>
      <c r="GB75" s="174">
        <f>INDEX('STOPE SUMMARY PIVOT'!$E$2690:$E$2817, MATCH(GA$1,'STOPE SUMMARY PIVOT'!$A$2690:$A$2817, 0))</f>
        <v>0</v>
      </c>
      <c r="GC75" s="165">
        <f>INDEX('STOPE SUMMARY PIVOT'!$D$2690:$D$2817, MATCH(GC$1,'STOPE SUMMARY PIVOT'!$A$2690:$A$2817, 0))</f>
        <v>509</v>
      </c>
      <c r="GD75" s="174">
        <f>INDEX('STOPE SUMMARY PIVOT'!$E$2690:$E$2817, MATCH(GC$1,'STOPE SUMMARY PIVOT'!$A$2690:$A$2817, 0))</f>
        <v>3.49</v>
      </c>
      <c r="GE75" s="165">
        <f>INDEX('STOPE SUMMARY PIVOT'!$D$2690:$D$2817, MATCH(GE$1,'STOPE SUMMARY PIVOT'!$A$2690:$A$2817, 0))</f>
        <v>0</v>
      </c>
      <c r="GF75" s="174">
        <f>INDEX('STOPE SUMMARY PIVOT'!$E$2690:$E$2817, MATCH(GE$1,'STOPE SUMMARY PIVOT'!$A$2690:$A$2817, 0))</f>
        <v>0</v>
      </c>
      <c r="GG75" s="165">
        <f>INDEX('STOPE SUMMARY PIVOT'!$D$2690:$D$2817, MATCH(GG$1,'STOPE SUMMARY PIVOT'!$A$2690:$A$2817, 0))</f>
        <v>2022</v>
      </c>
      <c r="GH75" s="174">
        <f>INDEX('STOPE SUMMARY PIVOT'!$E$2690:$E$2817, MATCH(GG$1,'STOPE SUMMARY PIVOT'!$A$2690:$A$2817, 0))</f>
        <v>2.4500000000000002</v>
      </c>
      <c r="GI75" s="165">
        <f>INDEX('STOPE SUMMARY PIVOT'!$D$2690:$D$2817, MATCH(GI$1,'STOPE SUMMARY PIVOT'!$A$2690:$A$2817, 0))</f>
        <v>0</v>
      </c>
      <c r="GJ75" s="174">
        <f>INDEX('STOPE SUMMARY PIVOT'!$E$2690:$E$2817, MATCH(GI$1,'STOPE SUMMARY PIVOT'!$A$2690:$A$2817, 0))</f>
        <v>0</v>
      </c>
      <c r="GK75" s="165">
        <f>INDEX('STOPE SUMMARY PIVOT'!$D$2690:$D$2817, MATCH(GK$1,'STOPE SUMMARY PIVOT'!$A$2690:$A$2817, 0))</f>
        <v>0</v>
      </c>
      <c r="GL75" s="174">
        <f>INDEX('STOPE SUMMARY PIVOT'!$E$2690:$E$2817, MATCH(GK$1,'STOPE SUMMARY PIVOT'!$A$2690:$A$2817, 0))</f>
        <v>0</v>
      </c>
      <c r="GM75" s="165">
        <f>INDEX('STOPE SUMMARY PIVOT'!$D$2690:$D$2817, MATCH(GM$1,'STOPE SUMMARY PIVOT'!$A$2690:$A$2817, 0))</f>
        <v>0</v>
      </c>
      <c r="GN75" s="174">
        <f>INDEX('STOPE SUMMARY PIVOT'!$E$2690:$E$2817, MATCH(GM$1,'STOPE SUMMARY PIVOT'!$A$2690:$A$2817, 0))</f>
        <v>0</v>
      </c>
      <c r="GO75" s="165">
        <f>INDEX('STOPE SUMMARY PIVOT'!$D$2690:$D$2817, MATCH(GO$1,'STOPE SUMMARY PIVOT'!$A$2690:$A$2817, 0))</f>
        <v>0</v>
      </c>
      <c r="GP75" s="174">
        <f>INDEX('STOPE SUMMARY PIVOT'!$E$2690:$E$2817, MATCH(GO$1,'STOPE SUMMARY PIVOT'!$A$2690:$A$2817, 0))</f>
        <v>0</v>
      </c>
      <c r="GQ75" s="165">
        <f>INDEX('STOPE SUMMARY PIVOT'!$D$2690:$D$2817, MATCH(GQ$1,'STOPE SUMMARY PIVOT'!$A$2690:$A$2817, 0))</f>
        <v>2</v>
      </c>
      <c r="GR75" s="174">
        <f>INDEX('STOPE SUMMARY PIVOT'!$E$2690:$E$2817, MATCH(GQ$1,'STOPE SUMMARY PIVOT'!$A$2690:$A$2817, 0))</f>
        <v>1.55</v>
      </c>
      <c r="GS75" s="165">
        <f>INDEX('STOPE SUMMARY PIVOT'!$D$2690:$D$2817, MATCH(GS$1,'STOPE SUMMARY PIVOT'!$A$2690:$A$2817, 0))</f>
        <v>0</v>
      </c>
      <c r="GT75" s="174">
        <f>INDEX('STOPE SUMMARY PIVOT'!$E$2690:$E$2817, MATCH(GS$1,'STOPE SUMMARY PIVOT'!$A$2690:$A$2817, 0))</f>
        <v>0</v>
      </c>
      <c r="GU75" s="165">
        <f>INDEX('STOPE SUMMARY PIVOT'!$D$2690:$D$2817, MATCH(GU$1,'STOPE SUMMARY PIVOT'!$A$2690:$A$2817, 0))</f>
        <v>0</v>
      </c>
      <c r="GV75" s="174">
        <f>INDEX('STOPE SUMMARY PIVOT'!$E$2690:$E$2817, MATCH(GU$1,'STOPE SUMMARY PIVOT'!$A$2690:$A$2817, 0))</f>
        <v>0</v>
      </c>
      <c r="GW75" s="165">
        <f>INDEX('STOPE SUMMARY PIVOT'!$D$2690:$D$2817, MATCH(GW$1,'STOPE SUMMARY PIVOT'!$A$2690:$A$2817, 0))</f>
        <v>0</v>
      </c>
      <c r="GX75" s="174">
        <f>INDEX('STOPE SUMMARY PIVOT'!$E$2690:$E$2817, MATCH(GW$1,'STOPE SUMMARY PIVOT'!$A$2690:$A$2817, 0))</f>
        <v>0</v>
      </c>
      <c r="GY75" s="165">
        <f>INDEX('STOPE SUMMARY PIVOT'!$D$2690:$D$2817, MATCH(GY$1,'STOPE SUMMARY PIVOT'!$A$2690:$A$2817, 0))</f>
        <v>0</v>
      </c>
      <c r="GZ75" s="174">
        <f>INDEX('STOPE SUMMARY PIVOT'!$E$2690:$E$2817, MATCH(GY$1,'STOPE SUMMARY PIVOT'!$A$2690:$A$2817, 0))</f>
        <v>0</v>
      </c>
      <c r="HA75" s="165">
        <f>INDEX('STOPE SUMMARY PIVOT'!$D$2690:$D$2817, MATCH(HA$1,'STOPE SUMMARY PIVOT'!$A$2690:$A$2817, 0))</f>
        <v>2022</v>
      </c>
      <c r="HB75" s="174">
        <f>INDEX('STOPE SUMMARY PIVOT'!$E$2690:$E$2817, MATCH(HA$1,'STOPE SUMMARY PIVOT'!$A$2690:$A$2817, 0))</f>
        <v>3.61</v>
      </c>
      <c r="HC75" s="165">
        <f>INDEX('STOPE SUMMARY PIVOT'!$D$2690:$D$2817, MATCH(HC$1,'STOPE SUMMARY PIVOT'!$A$2690:$A$2817, 0))</f>
        <v>1611</v>
      </c>
      <c r="HD75" s="174">
        <f>INDEX('STOPE SUMMARY PIVOT'!$E$2690:$E$2817, MATCH(HC$1,'STOPE SUMMARY PIVOT'!$A$2690:$A$2817, 0))</f>
        <v>2.87</v>
      </c>
      <c r="HE75" s="165">
        <f>INDEX('STOPE SUMMARY PIVOT'!$D$2690:$D$2817, MATCH(HE$1,'STOPE SUMMARY PIVOT'!$A$2690:$A$2817, 0))</f>
        <v>3033</v>
      </c>
      <c r="HF75" s="174">
        <f>INDEX('STOPE SUMMARY PIVOT'!$E$2690:$E$2817, MATCH(HE$1,'STOPE SUMMARY PIVOT'!$A$2690:$A$2817, 0))</f>
        <v>2.4300000000000002</v>
      </c>
      <c r="HG75" s="165">
        <f>INDEX('STOPE SUMMARY PIVOT'!$D$2690:$D$2817, MATCH(HG$1,'STOPE SUMMARY PIVOT'!$A$2690:$A$2817, 0))</f>
        <v>0</v>
      </c>
      <c r="HH75" s="174">
        <f>INDEX('STOPE SUMMARY PIVOT'!$E$2690:$E$2817, MATCH(HG$1,'STOPE SUMMARY PIVOT'!$A$2690:$A$2817, 0))</f>
        <v>0</v>
      </c>
      <c r="HI75" s="165">
        <f>INDEX('STOPE SUMMARY PIVOT'!$D$2690:$D$2817, MATCH(HI$1,'STOPE SUMMARY PIVOT'!$A$2690:$A$2817, 0))</f>
        <v>0</v>
      </c>
      <c r="HJ75" s="174">
        <f>INDEX('STOPE SUMMARY PIVOT'!$E$2690:$E$2817, MATCH(HI$1,'STOPE SUMMARY PIVOT'!$A$2690:$A$2817, 0))</f>
        <v>0</v>
      </c>
      <c r="HK75" s="165">
        <f>INDEX('STOPE SUMMARY PIVOT'!$D$2690:$D$2817, MATCH(HK$1,'STOPE SUMMARY PIVOT'!$A$2690:$A$2817, 0))</f>
        <v>0</v>
      </c>
      <c r="HL75" s="174">
        <f>INDEX('STOPE SUMMARY PIVOT'!$E$2690:$E$2817, MATCH(HK$1,'STOPE SUMMARY PIVOT'!$A$2690:$A$2817, 0))</f>
        <v>0</v>
      </c>
      <c r="HM75" s="165">
        <f>INDEX('STOPE SUMMARY PIVOT'!$D$2690:$D$2817, MATCH(HM$1,'STOPE SUMMARY PIVOT'!$A$2690:$A$2817, 0))</f>
        <v>0</v>
      </c>
      <c r="HN75" s="174">
        <f>INDEX('STOPE SUMMARY PIVOT'!$E$2690:$E$2817, MATCH(HM$1,'STOPE SUMMARY PIVOT'!$A$2690:$A$2817, 0))</f>
        <v>0</v>
      </c>
      <c r="HO75" s="165">
        <f>INDEX('STOPE SUMMARY PIVOT'!$D$2690:$D$2817, MATCH(HO$1,'STOPE SUMMARY PIVOT'!$A$2690:$A$2817, 0))</f>
        <v>2946</v>
      </c>
      <c r="HP75" s="174">
        <f>INDEX('STOPE SUMMARY PIVOT'!$E$2690:$E$2817, MATCH(HO$1,'STOPE SUMMARY PIVOT'!$A$2690:$A$2817, 0))</f>
        <v>2.5499999999999998</v>
      </c>
      <c r="HQ75" s="165">
        <f>INDEX('STOPE SUMMARY PIVOT'!$D$2690:$D$2817, MATCH(HQ$1,'STOPE SUMMARY PIVOT'!$A$2690:$A$2817, 0))</f>
        <v>0</v>
      </c>
      <c r="HR75" s="174">
        <f>INDEX('STOPE SUMMARY PIVOT'!$E$2690:$E$2817, MATCH(HQ$1,'STOPE SUMMARY PIVOT'!$A$2690:$A$2817, 0))</f>
        <v>0</v>
      </c>
      <c r="HS75" s="165">
        <f>INDEX('STOPE SUMMARY PIVOT'!$D$2690:$D$2817, MATCH(HS$1,'STOPE SUMMARY PIVOT'!$A$2690:$A$2817, 0))</f>
        <v>2022</v>
      </c>
      <c r="HT75" s="174">
        <f>INDEX('STOPE SUMMARY PIVOT'!$E$2690:$E$2817, MATCH(HS$1,'STOPE SUMMARY PIVOT'!$A$2690:$A$2817, 0))</f>
        <v>2.64</v>
      </c>
      <c r="HU75" s="165">
        <f>INDEX('STOPE SUMMARY PIVOT'!$D$2690:$D$2817, MATCH(HU$1,'STOPE SUMMARY PIVOT'!$A$2690:$A$2817, 0))</f>
        <v>0</v>
      </c>
      <c r="HV75" s="174">
        <f>INDEX('STOPE SUMMARY PIVOT'!$E$2690:$E$2817, MATCH(HU$1,'STOPE SUMMARY PIVOT'!$A$2690:$A$2817, 0))</f>
        <v>0</v>
      </c>
      <c r="HW75" s="165">
        <f>INDEX('STOPE SUMMARY PIVOT'!$D$2690:$D$2817, MATCH(HW$1,'STOPE SUMMARY PIVOT'!$A$2690:$A$2817, 0))</f>
        <v>0</v>
      </c>
      <c r="HX75" s="174">
        <f>INDEX('STOPE SUMMARY PIVOT'!$E$2690:$E$2817, MATCH(HW$1,'STOPE SUMMARY PIVOT'!$A$2690:$A$2817, 0))</f>
        <v>0</v>
      </c>
      <c r="HY75" s="165">
        <f>INDEX('STOPE SUMMARY PIVOT'!$D$2690:$D$2817, MATCH(HY$1,'STOPE SUMMARY PIVOT'!$A$2690:$A$2817, 0))</f>
        <v>0</v>
      </c>
      <c r="HZ75" s="174">
        <f>INDEX('STOPE SUMMARY PIVOT'!$E$2690:$E$2817, MATCH(HY$1,'STOPE SUMMARY PIVOT'!$A$2690:$A$2817, 0))</f>
        <v>0</v>
      </c>
      <c r="IA75" s="165">
        <f>INDEX('STOPE SUMMARY PIVOT'!$D$2690:$D$2817, MATCH(IA$1,'STOPE SUMMARY PIVOT'!$A$2690:$A$2817, 0))</f>
        <v>0</v>
      </c>
      <c r="IB75" s="174">
        <f>INDEX('STOPE SUMMARY PIVOT'!$E$2690:$E$2817, MATCH(IA$1,'STOPE SUMMARY PIVOT'!$A$2690:$A$2817, 0))</f>
        <v>0</v>
      </c>
      <c r="IC75" s="165">
        <f>INDEX('STOPE SUMMARY PIVOT'!$D$2690:$D$2817, MATCH(IC$1,'STOPE SUMMARY PIVOT'!$A$2690:$A$2817, 0))</f>
        <v>0</v>
      </c>
      <c r="ID75" s="174">
        <f>INDEX('STOPE SUMMARY PIVOT'!$E$2690:$E$2817, MATCH(IC$1,'STOPE SUMMARY PIVOT'!$A$2690:$A$2817, 0))</f>
        <v>0</v>
      </c>
      <c r="IE75" s="165">
        <f>INDEX('STOPE SUMMARY PIVOT'!$D$2690:$D$2817, MATCH(IE$1,'STOPE SUMMARY PIVOT'!$A$2690:$A$2817, 0))</f>
        <v>0</v>
      </c>
      <c r="IF75" s="174">
        <f>INDEX('STOPE SUMMARY PIVOT'!$E$2690:$E$2817, MATCH(IE$1,'STOPE SUMMARY PIVOT'!$A$2690:$A$2817, 0))</f>
        <v>0</v>
      </c>
      <c r="IG75" s="165">
        <f>INDEX('STOPE SUMMARY PIVOT'!$D$2690:$D$2817, MATCH(IG$1,'STOPE SUMMARY PIVOT'!$A$2690:$A$2817, 0))</f>
        <v>0</v>
      </c>
      <c r="IH75" s="174">
        <f>INDEX('STOPE SUMMARY PIVOT'!$E$2690:$E$2817, MATCH(IG$1,'STOPE SUMMARY PIVOT'!$A$2690:$A$2817, 0))</f>
        <v>0</v>
      </c>
      <c r="II75" s="165">
        <f>INDEX('STOPE SUMMARY PIVOT'!$D$2690:$D$2817, MATCH(II$1,'STOPE SUMMARY PIVOT'!$A$2690:$A$2817, 0))</f>
        <v>0</v>
      </c>
      <c r="IJ75" s="174">
        <f>INDEX('STOPE SUMMARY PIVOT'!$E$2690:$E$2817, MATCH(II$1,'STOPE SUMMARY PIVOT'!$A$2690:$A$2817, 0))</f>
        <v>0</v>
      </c>
      <c r="IK75" s="165">
        <f>INDEX('STOPE SUMMARY PIVOT'!$D$2690:$D$2817, MATCH(IK$1,'STOPE SUMMARY PIVOT'!$A$2690:$A$2817, 0))</f>
        <v>1158</v>
      </c>
      <c r="IL75" s="174">
        <f>INDEX('STOPE SUMMARY PIVOT'!$E$2690:$E$2817, MATCH(IK$1,'STOPE SUMMARY PIVOT'!$A$2690:$A$2817, 0))</f>
        <v>2.85</v>
      </c>
      <c r="IM75" s="165">
        <f>INDEX('STOPE SUMMARY PIVOT'!$D$2690:$D$2817, MATCH(IM$1,'STOPE SUMMARY PIVOT'!$A$2690:$A$2817, 0))</f>
        <v>831</v>
      </c>
      <c r="IN75" s="174">
        <f>INDEX('STOPE SUMMARY PIVOT'!$E$2690:$E$2817, MATCH(IM$1,'STOPE SUMMARY PIVOT'!$A$2690:$A$2817, 0))</f>
        <v>2.73</v>
      </c>
      <c r="IO75" s="165">
        <f>INDEX('STOPE SUMMARY PIVOT'!$D$2690:$D$2817, MATCH(IO$1,'STOPE SUMMARY PIVOT'!$A$2690:$A$2817, 0))</f>
        <v>0</v>
      </c>
      <c r="IP75" s="174">
        <f>INDEX('STOPE SUMMARY PIVOT'!$E$2690:$E$2817, MATCH(IO$1,'STOPE SUMMARY PIVOT'!$A$2690:$A$2817, 0))</f>
        <v>0</v>
      </c>
      <c r="IQ75" s="165">
        <f>INDEX('STOPE SUMMARY PIVOT'!$D$2690:$D$2817, MATCH(IQ$1,'STOPE SUMMARY PIVOT'!$A$2690:$A$2817, 0))</f>
        <v>0</v>
      </c>
      <c r="IR75" s="174">
        <f>INDEX('STOPE SUMMARY PIVOT'!$E$2690:$E$2817, MATCH(IQ$1,'STOPE SUMMARY PIVOT'!$A$2690:$A$2817, 0))</f>
        <v>0</v>
      </c>
      <c r="IS75" s="165">
        <f>INDEX('STOPE SUMMARY PIVOT'!$D$2690:$D$2817, MATCH(IS$1,'STOPE SUMMARY PIVOT'!$A$2690:$A$2817, 0))</f>
        <v>0</v>
      </c>
      <c r="IT75" s="174">
        <f>INDEX('STOPE SUMMARY PIVOT'!$E$2690:$E$2817, MATCH(IS$1,'STOPE SUMMARY PIVOT'!$A$2690:$A$2817, 0))</f>
        <v>0</v>
      </c>
      <c r="IU75" s="165">
        <f>INDEX('STOPE SUMMARY PIVOT'!$D$2690:$D$2817, MATCH(IU$1,'STOPE SUMMARY PIVOT'!$A$2690:$A$2817, 0))</f>
        <v>0</v>
      </c>
      <c r="IV75" s="174">
        <f>INDEX('STOPE SUMMARY PIVOT'!$E$2690:$E$2817, MATCH(IU$1,'STOPE SUMMARY PIVOT'!$A$2690:$A$2817, 0))</f>
        <v>0</v>
      </c>
      <c r="IW75" s="165">
        <f>INDEX('STOPE SUMMARY PIVOT'!$D$2690:$D$2817, MATCH(IW$1,'STOPE SUMMARY PIVOT'!$A$2690:$A$2817, 0))</f>
        <v>0</v>
      </c>
      <c r="IX75" s="174">
        <f>INDEX('STOPE SUMMARY PIVOT'!$E$2690:$E$2817, MATCH(IW$1,'STOPE SUMMARY PIVOT'!$A$2690:$A$2817, 0))</f>
        <v>0</v>
      </c>
      <c r="IY75" s="165">
        <f>INDEX('STOPE SUMMARY PIVOT'!$D$2690:$D$2817, MATCH(IY$1,'STOPE SUMMARY PIVOT'!$A$2690:$A$2817, 0))</f>
        <v>0</v>
      </c>
      <c r="IZ75" s="174">
        <f>INDEX('STOPE SUMMARY PIVOT'!$E$2690:$E$2817, MATCH(IY$1,'STOPE SUMMARY PIVOT'!$A$2690:$A$2817, 0))</f>
        <v>0</v>
      </c>
    </row>
    <row r="76" spans="1:260" x14ac:dyDescent="0.25">
      <c r="A76" s="1590"/>
      <c r="B76" s="167" t="s">
        <v>219</v>
      </c>
      <c r="C76" s="168" cm="1">
        <f t="array" ref="C76">SUM(_xlfn._xlws.FILTER(E76:IZ76, MOD(COLUMN(E76:IZ76)-COLUMN(E76)+1,2)=1))</f>
        <v>0</v>
      </c>
      <c r="D76" s="26" t="str" cm="1">
        <f t="array" ref="D76">IFERROR(SUMPRODUCT(_xlfn._xlws.FILTER(E76:IZ76, MOD(COLUMN(E76:IZ76)-COLUMN(E76)+1,2)=1), _xlfn._xlws.FILTER(E76:IZ76, MOD(COLUMN(E76:IZ76)-COLUMN(E76)+1,2)=0))/C76,"")</f>
        <v/>
      </c>
      <c r="E76" s="154">
        <f>INDEX('STOPE SUMMARY PIVOT'!$G$2690:$G$2817, MATCH(E$1,'STOPE SUMMARY PIVOT'!$A$2690:$A$2817, 0))</f>
        <v>0</v>
      </c>
      <c r="F76" s="175">
        <f>INDEX('STOPE SUMMARY PIVOT'!$H$2690:$H$2817, MATCH(E$1,'STOPE SUMMARY PIVOT'!$A$2690:$A$2817, 0))</f>
        <v>0</v>
      </c>
      <c r="G76" s="154">
        <f>INDEX('STOPE SUMMARY PIVOT'!$G$2690:$G$2817, MATCH(G$1,'STOPE SUMMARY PIVOT'!$A$2690:$A$2817, 0))</f>
        <v>0</v>
      </c>
      <c r="H76" s="175">
        <f>INDEX('STOPE SUMMARY PIVOT'!$H$2690:$H$2817, MATCH(G$1,'STOPE SUMMARY PIVOT'!$A$2690:$A$2817, 0))</f>
        <v>0</v>
      </c>
      <c r="I76" s="154">
        <f>INDEX('STOPE SUMMARY PIVOT'!$G$2690:$G$2817, MATCH(I$1,'STOPE SUMMARY PIVOT'!$A$2690:$A$2817, 0))</f>
        <v>0</v>
      </c>
      <c r="J76" s="143">
        <f>INDEX('STOPE SUMMARY PIVOT'!$H$2690:$H$2817, MATCH(I$1,'STOPE SUMMARY PIVOT'!$A$2690:$A$2817, 0))</f>
        <v>0</v>
      </c>
      <c r="K76" s="154">
        <f>INDEX('STOPE SUMMARY PIVOT'!$G$2690:$G$2817, MATCH(K$1,'STOPE SUMMARY PIVOT'!$A$2690:$A$2817, 0))</f>
        <v>0</v>
      </c>
      <c r="L76" s="143">
        <f>INDEX('STOPE SUMMARY PIVOT'!$H$2690:$H$2817, MATCH(K$1,'STOPE SUMMARY PIVOT'!$A$2690:$A$2817, 0))</f>
        <v>0</v>
      </c>
      <c r="M76" s="154">
        <f>INDEX('STOPE SUMMARY PIVOT'!$G$2690:$G$2817, MATCH(M$1,'STOPE SUMMARY PIVOT'!$A$2690:$A$2817, 0))</f>
        <v>0</v>
      </c>
      <c r="N76" s="143">
        <f>INDEX('STOPE SUMMARY PIVOT'!$H$2690:$H$2817, MATCH(M$1,'STOPE SUMMARY PIVOT'!$A$2690:$A$2817, 0))</f>
        <v>0</v>
      </c>
      <c r="O76" s="154">
        <f>INDEX('STOPE SUMMARY PIVOT'!$G$2690:$G$2817, MATCH(O$1,'STOPE SUMMARY PIVOT'!$A$2690:$A$2817, 0))</f>
        <v>0</v>
      </c>
      <c r="P76" s="143">
        <f>INDEX('STOPE SUMMARY PIVOT'!$H$2690:$H$2817, MATCH(O$1,'STOPE SUMMARY PIVOT'!$A$2690:$A$2817, 0))</f>
        <v>0</v>
      </c>
      <c r="Q76" s="154">
        <f>INDEX('STOPE SUMMARY PIVOT'!$G$2690:$G$2817, MATCH(Q$1,'STOPE SUMMARY PIVOT'!$A$2690:$A$2817, 0))</f>
        <v>0</v>
      </c>
      <c r="R76" s="143">
        <f>INDEX('STOPE SUMMARY PIVOT'!$H$2690:$H$2817, MATCH(Q$1,'STOPE SUMMARY PIVOT'!$A$2690:$A$2817, 0))</f>
        <v>0</v>
      </c>
      <c r="S76" s="154">
        <f>INDEX('STOPE SUMMARY PIVOT'!$G$2690:$G$2817, MATCH(S$1,'STOPE SUMMARY PIVOT'!$A$2690:$A$2817, 0))</f>
        <v>0</v>
      </c>
      <c r="T76" s="143">
        <f>INDEX('STOPE SUMMARY PIVOT'!$H$2690:$H$2817, MATCH(S$1,'STOPE SUMMARY PIVOT'!$A$2690:$A$2817, 0))</f>
        <v>0</v>
      </c>
      <c r="U76" s="154">
        <f>INDEX('STOPE SUMMARY PIVOT'!$G$2690:$G$2817, MATCH(U$1,'STOPE SUMMARY PIVOT'!$A$2690:$A$2817, 0))</f>
        <v>0</v>
      </c>
      <c r="V76" s="175">
        <f>INDEX('STOPE SUMMARY PIVOT'!$H$2690:$H$2817, MATCH(U$1,'STOPE SUMMARY PIVOT'!$A$2690:$A$2817, 0))</f>
        <v>0</v>
      </c>
      <c r="W76" s="154">
        <f>INDEX('STOPE SUMMARY PIVOT'!$G$2690:$G$2817, MATCH(W$1,'STOPE SUMMARY PIVOT'!$A$2690:$A$2817, 0))</f>
        <v>0</v>
      </c>
      <c r="X76" s="175">
        <f>INDEX('STOPE SUMMARY PIVOT'!$H$2690:$H$2817, MATCH(W$1,'STOPE SUMMARY PIVOT'!$A$2690:$A$2817, 0))</f>
        <v>0</v>
      </c>
      <c r="Y76" s="154">
        <f>INDEX('STOPE SUMMARY PIVOT'!$G$2690:$G$2817, MATCH(Y$1,'STOPE SUMMARY PIVOT'!$A$2690:$A$2817, 0))</f>
        <v>0</v>
      </c>
      <c r="Z76" s="175">
        <f>INDEX('STOPE SUMMARY PIVOT'!$H$2690:$H$2817, MATCH(Y$1,'STOPE SUMMARY PIVOT'!$A$2690:$A$2817, 0))</f>
        <v>0</v>
      </c>
      <c r="AA76" s="154">
        <f>INDEX('STOPE SUMMARY PIVOT'!$G$2690:$G$2817, MATCH(AA$1,'STOPE SUMMARY PIVOT'!$A$2690:$A$2817, 0))</f>
        <v>0</v>
      </c>
      <c r="AB76" s="175">
        <f>INDEX('STOPE SUMMARY PIVOT'!$H$2690:$H$2817, MATCH(AA$1,'STOPE SUMMARY PIVOT'!$A$2690:$A$2817, 0))</f>
        <v>0</v>
      </c>
      <c r="AC76" s="154">
        <f>INDEX('STOPE SUMMARY PIVOT'!$G$2690:$G$2817, MATCH(AC$1,'STOPE SUMMARY PIVOT'!$A$2690:$A$2817, 0))</f>
        <v>0</v>
      </c>
      <c r="AD76" s="175">
        <f>INDEX('STOPE SUMMARY PIVOT'!$H$2690:$H$2817, MATCH(AC$1,'STOPE SUMMARY PIVOT'!$A$2690:$A$2817, 0))</f>
        <v>0</v>
      </c>
      <c r="AE76" s="154">
        <f>INDEX('STOPE SUMMARY PIVOT'!$G$2690:$G$2817, MATCH(AE$1,'STOPE SUMMARY PIVOT'!$A$2690:$A$2817, 0))</f>
        <v>0</v>
      </c>
      <c r="AF76" s="175">
        <f>INDEX('STOPE SUMMARY PIVOT'!$H$2690:$H$2817, MATCH(AE$1,'STOPE SUMMARY PIVOT'!$A$2690:$A$2817, 0))</f>
        <v>0</v>
      </c>
      <c r="AG76" s="154">
        <f>INDEX('STOPE SUMMARY PIVOT'!$G$2690:$G$2817, MATCH(AG$1,'STOPE SUMMARY PIVOT'!$A$2690:$A$2817, 0))</f>
        <v>0</v>
      </c>
      <c r="AH76" s="175">
        <f>INDEX('STOPE SUMMARY PIVOT'!$H$2690:$H$2817, MATCH(AG$1,'STOPE SUMMARY PIVOT'!$A$2690:$A$2817, 0))</f>
        <v>0</v>
      </c>
      <c r="AI76" s="154">
        <f>INDEX('STOPE SUMMARY PIVOT'!$G$2690:$G$2817, MATCH(AI$1,'STOPE SUMMARY PIVOT'!$A$2690:$A$2817, 0))</f>
        <v>0</v>
      </c>
      <c r="AJ76" s="175">
        <f>INDEX('STOPE SUMMARY PIVOT'!$H$2690:$H$2817, MATCH(AI$1,'STOPE SUMMARY PIVOT'!$A$2690:$A$2817, 0))</f>
        <v>0</v>
      </c>
      <c r="AK76" s="154">
        <f>INDEX('STOPE SUMMARY PIVOT'!$G$2690:$G$2817, MATCH(AK$1,'STOPE SUMMARY PIVOT'!$A$2690:$A$2817, 0))</f>
        <v>0</v>
      </c>
      <c r="AL76" s="175">
        <f>INDEX('STOPE SUMMARY PIVOT'!$H$2690:$H$2817, MATCH(AK$1,'STOPE SUMMARY PIVOT'!$A$2690:$A$2817, 0))</f>
        <v>0</v>
      </c>
      <c r="AM76" s="154">
        <f>INDEX('STOPE SUMMARY PIVOT'!$G$2690:$G$2817, MATCH(AM$1,'STOPE SUMMARY PIVOT'!$A$2690:$A$2817, 0))</f>
        <v>0</v>
      </c>
      <c r="AN76" s="175">
        <f>INDEX('STOPE SUMMARY PIVOT'!$H$2690:$H$2817, MATCH(AM$1,'STOPE SUMMARY PIVOT'!$A$2690:$A$2817, 0))</f>
        <v>0</v>
      </c>
      <c r="AO76" s="154">
        <f>INDEX('STOPE SUMMARY PIVOT'!$G$2690:$G$2817, MATCH(AO$1,'STOPE SUMMARY PIVOT'!$A$2690:$A$2817, 0))</f>
        <v>0</v>
      </c>
      <c r="AP76" s="175">
        <f>INDEX('STOPE SUMMARY PIVOT'!$H$2690:$H$2817, MATCH(AO$1,'STOPE SUMMARY PIVOT'!$A$2690:$A$2817, 0))</f>
        <v>0</v>
      </c>
      <c r="AQ76" s="154">
        <f>INDEX('STOPE SUMMARY PIVOT'!$G$2690:$G$2817, MATCH(AQ$1,'STOPE SUMMARY PIVOT'!$A$2690:$A$2817, 0))</f>
        <v>0</v>
      </c>
      <c r="AR76" s="175">
        <f>INDEX('STOPE SUMMARY PIVOT'!$H$2690:$H$2817, MATCH(AQ$1,'STOPE SUMMARY PIVOT'!$A$2690:$A$2817, 0))</f>
        <v>0</v>
      </c>
      <c r="AS76" s="154">
        <f>INDEX('STOPE SUMMARY PIVOT'!$G$2690:$G$2817, MATCH(AS$1,'STOPE SUMMARY PIVOT'!$A$2690:$A$2817, 0))</f>
        <v>0</v>
      </c>
      <c r="AT76" s="175">
        <f>INDEX('STOPE SUMMARY PIVOT'!$H$2690:$H$2817, MATCH(AS$1,'STOPE SUMMARY PIVOT'!$A$2690:$A$2817, 0))</f>
        <v>0</v>
      </c>
      <c r="AU76" s="154">
        <f>INDEX('STOPE SUMMARY PIVOT'!$G$2690:$G$2817, MATCH(AU$1,'STOPE SUMMARY PIVOT'!$A$2690:$A$2817, 0))</f>
        <v>0</v>
      </c>
      <c r="AV76" s="175">
        <f>INDEX('STOPE SUMMARY PIVOT'!$H$2690:$H$2817, MATCH(AU$1,'STOPE SUMMARY PIVOT'!$A$2690:$A$2817, 0))</f>
        <v>0</v>
      </c>
      <c r="AW76" s="154">
        <f>INDEX('STOPE SUMMARY PIVOT'!$G$2690:$G$2817, MATCH(AW$1,'STOPE SUMMARY PIVOT'!$A$2690:$A$2817, 0))</f>
        <v>0</v>
      </c>
      <c r="AX76" s="175">
        <f>INDEX('STOPE SUMMARY PIVOT'!$H$2690:$H$2817, MATCH(AW$1,'STOPE SUMMARY PIVOT'!$A$2690:$A$2817, 0))</f>
        <v>0</v>
      </c>
      <c r="AY76" s="154">
        <f>INDEX('STOPE SUMMARY PIVOT'!$G$2690:$G$2817, MATCH(AY$1,'STOPE SUMMARY PIVOT'!$A$2690:$A$2817, 0))</f>
        <v>0</v>
      </c>
      <c r="AZ76" s="175">
        <f>INDEX('STOPE SUMMARY PIVOT'!$H$2690:$H$2817, MATCH(AY$1,'STOPE SUMMARY PIVOT'!$A$2690:$A$2817, 0))</f>
        <v>0</v>
      </c>
      <c r="BA76" s="154">
        <f>INDEX('STOPE SUMMARY PIVOT'!$G$2690:$G$2817, MATCH(BA$1,'STOPE SUMMARY PIVOT'!$A$2690:$A$2817, 0))</f>
        <v>0</v>
      </c>
      <c r="BB76" s="175">
        <f>INDEX('STOPE SUMMARY PIVOT'!$H$2690:$H$2817, MATCH(BA$1,'STOPE SUMMARY PIVOT'!$A$2690:$A$2817, 0))</f>
        <v>0</v>
      </c>
      <c r="BC76" s="154">
        <f>INDEX('STOPE SUMMARY PIVOT'!$G$2690:$G$2817, MATCH(BC$1,'STOPE SUMMARY PIVOT'!$A$2690:$A$2817, 0))</f>
        <v>0</v>
      </c>
      <c r="BD76" s="175">
        <f>INDEX('STOPE SUMMARY PIVOT'!$H$2690:$H$2817, MATCH(BC$1,'STOPE SUMMARY PIVOT'!$A$2690:$A$2817, 0))</f>
        <v>0</v>
      </c>
      <c r="BE76" s="154">
        <f>INDEX('STOPE SUMMARY PIVOT'!$G$2690:$G$2817, MATCH(BE$1,'STOPE SUMMARY PIVOT'!$A$2690:$A$2817, 0))</f>
        <v>0</v>
      </c>
      <c r="BF76" s="175">
        <f>INDEX('STOPE SUMMARY PIVOT'!$H$2690:$H$2817, MATCH(BE$1,'STOPE SUMMARY PIVOT'!$A$2690:$A$2817, 0))</f>
        <v>0</v>
      </c>
      <c r="BG76" s="154">
        <f>INDEX('STOPE SUMMARY PIVOT'!$G$2690:$G$2817, MATCH(BG$1,'STOPE SUMMARY PIVOT'!$A$2690:$A$2817, 0))</f>
        <v>0</v>
      </c>
      <c r="BH76" s="175">
        <f>INDEX('STOPE SUMMARY PIVOT'!$H$2690:$H$2817, MATCH(BG$1,'STOPE SUMMARY PIVOT'!$A$2690:$A$2817, 0))</f>
        <v>0</v>
      </c>
      <c r="BI76" s="154">
        <f>INDEX('STOPE SUMMARY PIVOT'!$G$2690:$G$2817, MATCH(BI$1,'STOPE SUMMARY PIVOT'!$A$2690:$A$2817, 0))</f>
        <v>0</v>
      </c>
      <c r="BJ76" s="175">
        <f>INDEX('STOPE SUMMARY PIVOT'!$H$2690:$H$2817, MATCH(BI$1,'STOPE SUMMARY PIVOT'!$A$2690:$A$2817, 0))</f>
        <v>0</v>
      </c>
      <c r="BK76" s="154">
        <f>INDEX('STOPE SUMMARY PIVOT'!$G$2690:$G$2817, MATCH(BK$1,'STOPE SUMMARY PIVOT'!$A$2690:$A$2817, 0))</f>
        <v>0</v>
      </c>
      <c r="BL76" s="175">
        <f>INDEX('STOPE SUMMARY PIVOT'!$H$2690:$H$2817, MATCH(BK$1,'STOPE SUMMARY PIVOT'!$A$2690:$A$2817, 0))</f>
        <v>0</v>
      </c>
      <c r="BM76" s="154">
        <f>INDEX('STOPE SUMMARY PIVOT'!$G$2690:$G$2817, MATCH(BM$1,'STOPE SUMMARY PIVOT'!$A$2690:$A$2817, 0))</f>
        <v>0</v>
      </c>
      <c r="BN76" s="175">
        <f>INDEX('STOPE SUMMARY PIVOT'!$H$2690:$H$2817, MATCH(BM$1,'STOPE SUMMARY PIVOT'!$A$2690:$A$2817, 0))</f>
        <v>0</v>
      </c>
      <c r="BO76" s="154">
        <f>INDEX('STOPE SUMMARY PIVOT'!$G$2690:$G$2817, MATCH(BO$1,'STOPE SUMMARY PIVOT'!$A$2690:$A$2817, 0))</f>
        <v>0</v>
      </c>
      <c r="BP76" s="175">
        <f>INDEX('STOPE SUMMARY PIVOT'!$H$2690:$H$2817, MATCH(BO$1,'STOPE SUMMARY PIVOT'!$A$2690:$A$2817, 0))</f>
        <v>0</v>
      </c>
      <c r="BQ76" s="154">
        <f>INDEX('STOPE SUMMARY PIVOT'!$G$2690:$G$2817, MATCH(BQ$1,'STOPE SUMMARY PIVOT'!$A$2690:$A$2817, 0))</f>
        <v>0</v>
      </c>
      <c r="BR76" s="175">
        <f>INDEX('STOPE SUMMARY PIVOT'!$H$2690:$H$2817, MATCH(BQ$1,'STOPE SUMMARY PIVOT'!$A$2690:$A$2817, 0))</f>
        <v>0</v>
      </c>
      <c r="BS76" s="154">
        <f>INDEX('STOPE SUMMARY PIVOT'!$G$2690:$G$2817, MATCH(BS$1,'STOPE SUMMARY PIVOT'!$A$2690:$A$2817, 0))</f>
        <v>0</v>
      </c>
      <c r="BT76" s="175">
        <f>INDEX('STOPE SUMMARY PIVOT'!$H$2690:$H$2817, MATCH(BS$1,'STOPE SUMMARY PIVOT'!$A$2690:$A$2817, 0))</f>
        <v>0</v>
      </c>
      <c r="BU76" s="154">
        <f>INDEX('STOPE SUMMARY PIVOT'!$G$2690:$G$2817, MATCH(BU$1,'STOPE SUMMARY PIVOT'!$A$2690:$A$2817, 0))</f>
        <v>0</v>
      </c>
      <c r="BV76" s="175">
        <f>INDEX('STOPE SUMMARY PIVOT'!$H$2690:$H$2817, MATCH(BU$1,'STOPE SUMMARY PIVOT'!$A$2690:$A$2817, 0))</f>
        <v>0</v>
      </c>
      <c r="BW76" s="154">
        <f>INDEX('STOPE SUMMARY PIVOT'!$G$2690:$G$2817, MATCH(BW$1,'STOPE SUMMARY PIVOT'!$A$2690:$A$2817, 0))</f>
        <v>0</v>
      </c>
      <c r="BX76" s="175">
        <f>INDEX('STOPE SUMMARY PIVOT'!$H$2690:$H$2817, MATCH(BW$1,'STOPE SUMMARY PIVOT'!$A$2690:$A$2817, 0))</f>
        <v>0</v>
      </c>
      <c r="BY76" s="154">
        <f>INDEX('STOPE SUMMARY PIVOT'!$G$2690:$G$2817, MATCH(BY$1,'STOPE SUMMARY PIVOT'!$A$2690:$A$2817, 0))</f>
        <v>0</v>
      </c>
      <c r="BZ76" s="175">
        <f>INDEX('STOPE SUMMARY PIVOT'!$H$2690:$H$2817, MATCH(BY$1,'STOPE SUMMARY PIVOT'!$A$2690:$A$2817, 0))</f>
        <v>0</v>
      </c>
      <c r="CA76" s="154">
        <f>INDEX('STOPE SUMMARY PIVOT'!$G$2690:$G$2817, MATCH(CA$1,'STOPE SUMMARY PIVOT'!$A$2690:$A$2817, 0))</f>
        <v>0</v>
      </c>
      <c r="CB76" s="175">
        <f>INDEX('STOPE SUMMARY PIVOT'!$H$2690:$H$2817, MATCH(CA$1,'STOPE SUMMARY PIVOT'!$A$2690:$A$2817, 0))</f>
        <v>0</v>
      </c>
      <c r="CC76" s="154">
        <f>INDEX('STOPE SUMMARY PIVOT'!$G$2690:$G$2817, MATCH(CC$1,'STOPE SUMMARY PIVOT'!$A$2690:$A$2817, 0))</f>
        <v>0</v>
      </c>
      <c r="CD76" s="175">
        <f>INDEX('STOPE SUMMARY PIVOT'!$H$2690:$H$2817, MATCH(CC$1,'STOPE SUMMARY PIVOT'!$A$2690:$A$2817, 0))</f>
        <v>0</v>
      </c>
      <c r="CE76" s="154">
        <f>INDEX('STOPE SUMMARY PIVOT'!$G$2690:$G$2817, MATCH(CE$1,'STOPE SUMMARY PIVOT'!$A$2690:$A$2817, 0))</f>
        <v>0</v>
      </c>
      <c r="CF76" s="175">
        <f>INDEX('STOPE SUMMARY PIVOT'!$H$2690:$H$2817, MATCH(CE$1,'STOPE SUMMARY PIVOT'!$A$2690:$A$2817, 0))</f>
        <v>0</v>
      </c>
      <c r="CG76" s="154">
        <f>INDEX('STOPE SUMMARY PIVOT'!$G$2690:$G$2817, MATCH(CG$1,'STOPE SUMMARY PIVOT'!$A$2690:$A$2817, 0))</f>
        <v>0</v>
      </c>
      <c r="CH76" s="175">
        <f>INDEX('STOPE SUMMARY PIVOT'!$H$2690:$H$2817, MATCH(CG$1,'STOPE SUMMARY PIVOT'!$A$2690:$A$2817, 0))</f>
        <v>0</v>
      </c>
      <c r="CI76" s="154">
        <f>INDEX('STOPE SUMMARY PIVOT'!$G$2690:$G$2817, MATCH(CI$1,'STOPE SUMMARY PIVOT'!$A$2690:$A$2817, 0))</f>
        <v>0</v>
      </c>
      <c r="CJ76" s="175">
        <f>INDEX('STOPE SUMMARY PIVOT'!$H$2690:$H$2817, MATCH(CI$1,'STOPE SUMMARY PIVOT'!$A$2690:$A$2817, 0))</f>
        <v>0</v>
      </c>
      <c r="CK76" s="154">
        <f>INDEX('STOPE SUMMARY PIVOT'!$G$2690:$G$2817, MATCH(CK$1,'STOPE SUMMARY PIVOT'!$A$2690:$A$2817, 0))</f>
        <v>0</v>
      </c>
      <c r="CL76" s="175">
        <f>INDEX('STOPE SUMMARY PIVOT'!$H$2690:$H$2817, MATCH(CK$1,'STOPE SUMMARY PIVOT'!$A$2690:$A$2817, 0))</f>
        <v>0</v>
      </c>
      <c r="CM76" s="154">
        <f>INDEX('STOPE SUMMARY PIVOT'!$G$2690:$G$2817, MATCH(CM$1,'STOPE SUMMARY PIVOT'!$A$2690:$A$2817, 0))</f>
        <v>0</v>
      </c>
      <c r="CN76" s="175">
        <f>INDEX('STOPE SUMMARY PIVOT'!$H$2690:$H$2817, MATCH(CM$1,'STOPE SUMMARY PIVOT'!$A$2690:$A$2817, 0))</f>
        <v>0</v>
      </c>
      <c r="CO76" s="154">
        <f>INDEX('STOPE SUMMARY PIVOT'!$G$2690:$G$2817, MATCH(CO$1,'STOPE SUMMARY PIVOT'!$A$2690:$A$2817, 0))</f>
        <v>0</v>
      </c>
      <c r="CP76" s="175">
        <f>INDEX('STOPE SUMMARY PIVOT'!$H$2690:$H$2817, MATCH(CO$1,'STOPE SUMMARY PIVOT'!$A$2690:$A$2817, 0))</f>
        <v>0</v>
      </c>
      <c r="CQ76" s="154">
        <f>INDEX('STOPE SUMMARY PIVOT'!$G$2690:$G$2817, MATCH(CQ$1,'STOPE SUMMARY PIVOT'!$A$2690:$A$2817, 0))</f>
        <v>0</v>
      </c>
      <c r="CR76" s="175">
        <f>INDEX('STOPE SUMMARY PIVOT'!$H$2690:$H$2817, MATCH(CQ$1,'STOPE SUMMARY PIVOT'!$A$2690:$A$2817, 0))</f>
        <v>0</v>
      </c>
      <c r="CS76" s="154">
        <f>INDEX('STOPE SUMMARY PIVOT'!$G$2690:$G$2817, MATCH(CS$1,'STOPE SUMMARY PIVOT'!$A$2690:$A$2817, 0))</f>
        <v>0</v>
      </c>
      <c r="CT76" s="175">
        <f>INDEX('STOPE SUMMARY PIVOT'!$H$2690:$H$2817, MATCH(CS$1,'STOPE SUMMARY PIVOT'!$A$2690:$A$2817, 0))</f>
        <v>0</v>
      </c>
      <c r="CU76" s="154">
        <f>INDEX('STOPE SUMMARY PIVOT'!$G$2690:$G$2817, MATCH(CU$1,'STOPE SUMMARY PIVOT'!$A$2690:$A$2817, 0))</f>
        <v>0</v>
      </c>
      <c r="CV76" s="175">
        <f>INDEX('STOPE SUMMARY PIVOT'!$H$2690:$H$2817, MATCH(CU$1,'STOPE SUMMARY PIVOT'!$A$2690:$A$2817, 0))</f>
        <v>0</v>
      </c>
      <c r="CW76" s="154">
        <f>INDEX('STOPE SUMMARY PIVOT'!$G$2690:$G$2817, MATCH(CW$1,'STOPE SUMMARY PIVOT'!$A$2690:$A$2817, 0))</f>
        <v>0</v>
      </c>
      <c r="CX76" s="175">
        <f>INDEX('STOPE SUMMARY PIVOT'!$H$2690:$H$2817, MATCH(CW$1,'STOPE SUMMARY PIVOT'!$A$2690:$A$2817, 0))</f>
        <v>0</v>
      </c>
      <c r="CY76" s="154">
        <f>INDEX('STOPE SUMMARY PIVOT'!$G$2690:$G$2817, MATCH(CY$1,'STOPE SUMMARY PIVOT'!$A$2690:$A$2817, 0))</f>
        <v>0</v>
      </c>
      <c r="CZ76" s="175">
        <f>INDEX('STOPE SUMMARY PIVOT'!$H$2690:$H$2817, MATCH(CY$1,'STOPE SUMMARY PIVOT'!$A$2690:$A$2817, 0))</f>
        <v>0</v>
      </c>
      <c r="DA76" s="154">
        <f>INDEX('STOPE SUMMARY PIVOT'!$G$2690:$G$2817, MATCH(DA$1,'STOPE SUMMARY PIVOT'!$A$2690:$A$2817, 0))</f>
        <v>0</v>
      </c>
      <c r="DB76" s="175">
        <f>INDEX('STOPE SUMMARY PIVOT'!$H$2690:$H$2817, MATCH(DA$1,'STOPE SUMMARY PIVOT'!$A$2690:$A$2817, 0))</f>
        <v>0</v>
      </c>
      <c r="DC76" s="154">
        <f>INDEX('STOPE SUMMARY PIVOT'!$G$2690:$G$2817, MATCH(DC$1,'STOPE SUMMARY PIVOT'!$A$2690:$A$2817, 0))</f>
        <v>0</v>
      </c>
      <c r="DD76" s="175">
        <f>INDEX('STOPE SUMMARY PIVOT'!$H$2690:$H$2817, MATCH(DC$1,'STOPE SUMMARY PIVOT'!$A$2690:$A$2817, 0))</f>
        <v>0</v>
      </c>
      <c r="DE76" s="154">
        <f>INDEX('STOPE SUMMARY PIVOT'!$G$2690:$G$2817, MATCH(DE$1,'STOPE SUMMARY PIVOT'!$A$2690:$A$2817, 0))</f>
        <v>0</v>
      </c>
      <c r="DF76" s="175">
        <f>INDEX('STOPE SUMMARY PIVOT'!$H$2690:$H$2817, MATCH(DE$1,'STOPE SUMMARY PIVOT'!$A$2690:$A$2817, 0))</f>
        <v>0</v>
      </c>
      <c r="DG76" s="154">
        <f>INDEX('STOPE SUMMARY PIVOT'!$G$2690:$G$2817, MATCH(DG$1,'STOPE SUMMARY PIVOT'!$A$2690:$A$2817, 0))</f>
        <v>0</v>
      </c>
      <c r="DH76" s="175">
        <f>INDEX('STOPE SUMMARY PIVOT'!$H$2690:$H$2817, MATCH(DG$1,'STOPE SUMMARY PIVOT'!$A$2690:$A$2817, 0))</f>
        <v>0</v>
      </c>
      <c r="DI76" s="154">
        <f>INDEX('STOPE SUMMARY PIVOT'!$G$2690:$G$2817, MATCH(DI$1,'STOPE SUMMARY PIVOT'!$A$2690:$A$2817, 0))</f>
        <v>0</v>
      </c>
      <c r="DJ76" s="175">
        <f>INDEX('STOPE SUMMARY PIVOT'!$H$2690:$H$2817, MATCH(DI$1,'STOPE SUMMARY PIVOT'!$A$2690:$A$2817, 0))</f>
        <v>0</v>
      </c>
      <c r="DK76" s="154">
        <f>INDEX('STOPE SUMMARY PIVOT'!$G$2690:$G$2817, MATCH(DK$1,'STOPE SUMMARY PIVOT'!$A$2690:$A$2817, 0))</f>
        <v>0</v>
      </c>
      <c r="DL76" s="175">
        <f>INDEX('STOPE SUMMARY PIVOT'!$H$2690:$H$2817, MATCH(DK$1,'STOPE SUMMARY PIVOT'!$A$2690:$A$2817, 0))</f>
        <v>0</v>
      </c>
      <c r="DM76" s="154">
        <f>INDEX('STOPE SUMMARY PIVOT'!$G$2690:$G$2817, MATCH(DM$1,'STOPE SUMMARY PIVOT'!$A$2690:$A$2817, 0))</f>
        <v>0</v>
      </c>
      <c r="DN76" s="175">
        <f>INDEX('STOPE SUMMARY PIVOT'!$H$2690:$H$2817, MATCH(DM$1,'STOPE SUMMARY PIVOT'!$A$2690:$A$2817, 0))</f>
        <v>0</v>
      </c>
      <c r="DO76" s="154">
        <f>INDEX('STOPE SUMMARY PIVOT'!$G$2690:$G$2817, MATCH(DO$1,'STOPE SUMMARY PIVOT'!$A$2690:$A$2817, 0))</f>
        <v>0</v>
      </c>
      <c r="DP76" s="175">
        <f>INDEX('STOPE SUMMARY PIVOT'!$H$2690:$H$2817, MATCH(DO$1,'STOPE SUMMARY PIVOT'!$A$2690:$A$2817, 0))</f>
        <v>0</v>
      </c>
      <c r="DQ76" s="154">
        <f>INDEX('STOPE SUMMARY PIVOT'!$G$2690:$G$2817, MATCH(DQ$1,'STOPE SUMMARY PIVOT'!$A$2690:$A$2817, 0))</f>
        <v>0</v>
      </c>
      <c r="DR76" s="175">
        <f>INDEX('STOPE SUMMARY PIVOT'!$H$2690:$H$2817, MATCH(DQ$1,'STOPE SUMMARY PIVOT'!$A$2690:$A$2817, 0))</f>
        <v>0</v>
      </c>
      <c r="DS76" s="154">
        <f>INDEX('STOPE SUMMARY PIVOT'!$G$2690:$G$2817, MATCH(DS$1,'STOPE SUMMARY PIVOT'!$A$2690:$A$2817, 0))</f>
        <v>0</v>
      </c>
      <c r="DT76" s="175">
        <f>INDEX('STOPE SUMMARY PIVOT'!$H$2690:$H$2817, MATCH(DS$1,'STOPE SUMMARY PIVOT'!$A$2690:$A$2817, 0))</f>
        <v>0</v>
      </c>
      <c r="DU76" s="154">
        <f>INDEX('STOPE SUMMARY PIVOT'!$G$2690:$G$2817, MATCH(DU$1,'STOPE SUMMARY PIVOT'!$A$2690:$A$2817, 0))</f>
        <v>0</v>
      </c>
      <c r="DV76" s="175">
        <f>INDEX('STOPE SUMMARY PIVOT'!$H$2690:$H$2817, MATCH(DU$1,'STOPE SUMMARY PIVOT'!$A$2690:$A$2817, 0))</f>
        <v>0</v>
      </c>
      <c r="DW76" s="154">
        <f>INDEX('STOPE SUMMARY PIVOT'!$G$2690:$G$2817, MATCH(DW$1,'STOPE SUMMARY PIVOT'!$A$2690:$A$2817, 0))</f>
        <v>0</v>
      </c>
      <c r="DX76" s="175">
        <f>INDEX('STOPE SUMMARY PIVOT'!$H$2690:$H$2817, MATCH(DW$1,'STOPE SUMMARY PIVOT'!$A$2690:$A$2817, 0))</f>
        <v>0</v>
      </c>
      <c r="DY76" s="154">
        <f>INDEX('STOPE SUMMARY PIVOT'!$G$2690:$G$2817, MATCH(DY$1,'STOPE SUMMARY PIVOT'!$A$2690:$A$2817, 0))</f>
        <v>0</v>
      </c>
      <c r="DZ76" s="175">
        <f>INDEX('STOPE SUMMARY PIVOT'!$H$2690:$H$2817, MATCH(DY$1,'STOPE SUMMARY PIVOT'!$A$2690:$A$2817, 0))</f>
        <v>0</v>
      </c>
      <c r="EA76" s="154">
        <f>INDEX('STOPE SUMMARY PIVOT'!$G$2690:$G$2817, MATCH(EA$1,'STOPE SUMMARY PIVOT'!$A$2690:$A$2817, 0))</f>
        <v>0</v>
      </c>
      <c r="EB76" s="175">
        <f>INDEX('STOPE SUMMARY PIVOT'!$H$2690:$H$2817, MATCH(EA$1,'STOPE SUMMARY PIVOT'!$A$2690:$A$2817, 0))</f>
        <v>0</v>
      </c>
      <c r="EC76" s="154">
        <f>INDEX('STOPE SUMMARY PIVOT'!$G$2690:$G$2817, MATCH(EC$1,'STOPE SUMMARY PIVOT'!$A$2690:$A$2817, 0))</f>
        <v>0</v>
      </c>
      <c r="ED76" s="175">
        <f>INDEX('STOPE SUMMARY PIVOT'!$H$2690:$H$2817, MATCH(EC$1,'STOPE SUMMARY PIVOT'!$A$2690:$A$2817, 0))</f>
        <v>0</v>
      </c>
      <c r="EE76" s="154">
        <f>INDEX('STOPE SUMMARY PIVOT'!$G$2690:$G$2817, MATCH(EE$1,'STOPE SUMMARY PIVOT'!$A$2690:$A$2817, 0))</f>
        <v>0</v>
      </c>
      <c r="EF76" s="175">
        <f>INDEX('STOPE SUMMARY PIVOT'!$H$2690:$H$2817, MATCH(EE$1,'STOPE SUMMARY PIVOT'!$A$2690:$A$2817, 0))</f>
        <v>0</v>
      </c>
      <c r="EG76" s="154">
        <f>INDEX('STOPE SUMMARY PIVOT'!$G$2690:$G$2817, MATCH(EG$1,'STOPE SUMMARY PIVOT'!$A$2690:$A$2817, 0))</f>
        <v>0</v>
      </c>
      <c r="EH76" s="175">
        <f>INDEX('STOPE SUMMARY PIVOT'!$H$2690:$H$2817, MATCH(EG$1,'STOPE SUMMARY PIVOT'!$A$2690:$A$2817, 0))</f>
        <v>0</v>
      </c>
      <c r="EI76" s="154">
        <f>INDEX('STOPE SUMMARY PIVOT'!$G$2690:$G$2817, MATCH(EI$1,'STOPE SUMMARY PIVOT'!$A$2690:$A$2817, 0))</f>
        <v>0</v>
      </c>
      <c r="EJ76" s="175">
        <f>INDEX('STOPE SUMMARY PIVOT'!$H$2690:$H$2817, MATCH(EI$1,'STOPE SUMMARY PIVOT'!$A$2690:$A$2817, 0))</f>
        <v>0</v>
      </c>
      <c r="EK76" s="154">
        <f>INDEX('STOPE SUMMARY PIVOT'!$G$2690:$G$2817, MATCH(EK$1,'STOPE SUMMARY PIVOT'!$A$2690:$A$2817, 0))</f>
        <v>0</v>
      </c>
      <c r="EL76" s="175">
        <f>INDEX('STOPE SUMMARY PIVOT'!$H$2690:$H$2817, MATCH(EK$1,'STOPE SUMMARY PIVOT'!$A$2690:$A$2817, 0))</f>
        <v>0</v>
      </c>
      <c r="EM76" s="154">
        <f>INDEX('STOPE SUMMARY PIVOT'!$G$2690:$G$2817, MATCH(EM$1,'STOPE SUMMARY PIVOT'!$A$2690:$A$2817, 0))</f>
        <v>0</v>
      </c>
      <c r="EN76" s="175">
        <f>INDEX('STOPE SUMMARY PIVOT'!$H$2690:$H$2817, MATCH(EM$1,'STOPE SUMMARY PIVOT'!$A$2690:$A$2817, 0))</f>
        <v>0</v>
      </c>
      <c r="EO76" s="154">
        <f>INDEX('STOPE SUMMARY PIVOT'!$G$2690:$G$2817, MATCH(EO$1,'STOPE SUMMARY PIVOT'!$A$2690:$A$2817, 0))</f>
        <v>0</v>
      </c>
      <c r="EP76" s="175">
        <f>INDEX('STOPE SUMMARY PIVOT'!$H$2690:$H$2817, MATCH(EO$1,'STOPE SUMMARY PIVOT'!$A$2690:$A$2817, 0))</f>
        <v>0</v>
      </c>
      <c r="EQ76" s="154">
        <f>INDEX('STOPE SUMMARY PIVOT'!$G$2690:$G$2817, MATCH(EQ$1,'STOPE SUMMARY PIVOT'!$A$2690:$A$2817, 0))</f>
        <v>0</v>
      </c>
      <c r="ER76" s="175">
        <f>INDEX('STOPE SUMMARY PIVOT'!$H$2690:$H$2817, MATCH(EQ$1,'STOPE SUMMARY PIVOT'!$A$2690:$A$2817, 0))</f>
        <v>0</v>
      </c>
      <c r="ES76" s="154">
        <f>INDEX('STOPE SUMMARY PIVOT'!$G$2690:$G$2817, MATCH(ES$1,'STOPE SUMMARY PIVOT'!$A$2690:$A$2817, 0))</f>
        <v>0</v>
      </c>
      <c r="ET76" s="175">
        <f>INDEX('STOPE SUMMARY PIVOT'!$H$2690:$H$2817, MATCH(ES$1,'STOPE SUMMARY PIVOT'!$A$2690:$A$2817, 0))</f>
        <v>0</v>
      </c>
      <c r="EU76" s="154">
        <f>INDEX('STOPE SUMMARY PIVOT'!$G$2690:$G$2817, MATCH(EU$1,'STOPE SUMMARY PIVOT'!$A$2690:$A$2817, 0))</f>
        <v>0</v>
      </c>
      <c r="EV76" s="175">
        <f>INDEX('STOPE SUMMARY PIVOT'!$H$2690:$H$2817, MATCH(EU$1,'STOPE SUMMARY PIVOT'!$A$2690:$A$2817, 0))</f>
        <v>0</v>
      </c>
      <c r="EW76" s="154">
        <f>INDEX('STOPE SUMMARY PIVOT'!$G$2690:$G$2817, MATCH(EW$1,'STOPE SUMMARY PIVOT'!$A$2690:$A$2817, 0))</f>
        <v>0</v>
      </c>
      <c r="EX76" s="175">
        <f>INDEX('STOPE SUMMARY PIVOT'!$H$2690:$H$2817, MATCH(EW$1,'STOPE SUMMARY PIVOT'!$A$2690:$A$2817, 0))</f>
        <v>0</v>
      </c>
      <c r="EY76" s="154">
        <f>INDEX('STOPE SUMMARY PIVOT'!$G$2690:$G$2817, MATCH(EY$1,'STOPE SUMMARY PIVOT'!$A$2690:$A$2817, 0))</f>
        <v>0</v>
      </c>
      <c r="EZ76" s="175">
        <f>INDEX('STOPE SUMMARY PIVOT'!$H$2690:$H$2817, MATCH(EY$1,'STOPE SUMMARY PIVOT'!$A$2690:$A$2817, 0))</f>
        <v>0</v>
      </c>
      <c r="FA76" s="154">
        <f>INDEX('STOPE SUMMARY PIVOT'!$G$2690:$G$2817, MATCH(FA$1,'STOPE SUMMARY PIVOT'!$A$2690:$A$2817, 0))</f>
        <v>0</v>
      </c>
      <c r="FB76" s="175">
        <f>INDEX('STOPE SUMMARY PIVOT'!$H$2690:$H$2817, MATCH(FA$1,'STOPE SUMMARY PIVOT'!$A$2690:$A$2817, 0))</f>
        <v>0</v>
      </c>
      <c r="FC76" s="154">
        <f>INDEX('STOPE SUMMARY PIVOT'!$G$2690:$G$2817, MATCH(FC$1,'STOPE SUMMARY PIVOT'!$A$2690:$A$2817, 0))</f>
        <v>0</v>
      </c>
      <c r="FD76" s="175">
        <f>INDEX('STOPE SUMMARY PIVOT'!$H$2690:$H$2817, MATCH(FC$1,'STOPE SUMMARY PIVOT'!$A$2690:$A$2817, 0))</f>
        <v>0</v>
      </c>
      <c r="FE76" s="154">
        <f>INDEX('STOPE SUMMARY PIVOT'!$G$2690:$G$2817, MATCH(FE$1,'STOPE SUMMARY PIVOT'!$A$2690:$A$2817, 0))</f>
        <v>0</v>
      </c>
      <c r="FF76" s="175">
        <f>INDEX('STOPE SUMMARY PIVOT'!$H$2690:$H$2817, MATCH(FE$1,'STOPE SUMMARY PIVOT'!$A$2690:$A$2817, 0))</f>
        <v>0</v>
      </c>
      <c r="FG76" s="154">
        <f>INDEX('STOPE SUMMARY PIVOT'!$G$2690:$G$2817, MATCH(FG$1,'STOPE SUMMARY PIVOT'!$A$2690:$A$2817, 0))</f>
        <v>0</v>
      </c>
      <c r="FH76" s="175">
        <f>INDEX('STOPE SUMMARY PIVOT'!$H$2690:$H$2817, MATCH(FG$1,'STOPE SUMMARY PIVOT'!$A$2690:$A$2817, 0))</f>
        <v>0</v>
      </c>
      <c r="FI76" s="154">
        <f>INDEX('STOPE SUMMARY PIVOT'!$G$2690:$G$2817, MATCH(FI$1,'STOPE SUMMARY PIVOT'!$A$2690:$A$2817, 0))</f>
        <v>0</v>
      </c>
      <c r="FJ76" s="175">
        <f>INDEX('STOPE SUMMARY PIVOT'!$H$2690:$H$2817, MATCH(FI$1,'STOPE SUMMARY PIVOT'!$A$2690:$A$2817, 0))</f>
        <v>0</v>
      </c>
      <c r="FK76" s="154">
        <f>INDEX('STOPE SUMMARY PIVOT'!$G$2690:$G$2817, MATCH(FK$1,'STOPE SUMMARY PIVOT'!$A$2690:$A$2817, 0))</f>
        <v>0</v>
      </c>
      <c r="FL76" s="175">
        <f>INDEX('STOPE SUMMARY PIVOT'!$H$2690:$H$2817, MATCH(FK$1,'STOPE SUMMARY PIVOT'!$A$2690:$A$2817, 0))</f>
        <v>0</v>
      </c>
      <c r="FM76" s="154">
        <f>INDEX('STOPE SUMMARY PIVOT'!$G$2690:$G$2817, MATCH(FM$1,'STOPE SUMMARY PIVOT'!$A$2690:$A$2817, 0))</f>
        <v>0</v>
      </c>
      <c r="FN76" s="175">
        <f>INDEX('STOPE SUMMARY PIVOT'!$H$2690:$H$2817, MATCH(FM$1,'STOPE SUMMARY PIVOT'!$A$2690:$A$2817, 0))</f>
        <v>0</v>
      </c>
      <c r="FO76" s="154">
        <f>INDEX('STOPE SUMMARY PIVOT'!$G$2690:$G$2817, MATCH(FO$1,'STOPE SUMMARY PIVOT'!$A$2690:$A$2817, 0))</f>
        <v>0</v>
      </c>
      <c r="FP76" s="175">
        <f>INDEX('STOPE SUMMARY PIVOT'!$H$2690:$H$2817, MATCH(FO$1,'STOPE SUMMARY PIVOT'!$A$2690:$A$2817, 0))</f>
        <v>0</v>
      </c>
      <c r="FQ76" s="154">
        <f>INDEX('STOPE SUMMARY PIVOT'!$G$2690:$G$2817, MATCH(FQ$1,'STOPE SUMMARY PIVOT'!$A$2690:$A$2817, 0))</f>
        <v>0</v>
      </c>
      <c r="FR76" s="175">
        <f>INDEX('STOPE SUMMARY PIVOT'!$H$2690:$H$2817, MATCH(FQ$1,'STOPE SUMMARY PIVOT'!$A$2690:$A$2817, 0))</f>
        <v>0</v>
      </c>
      <c r="FS76" s="154">
        <f>INDEX('STOPE SUMMARY PIVOT'!$G$2690:$G$2817, MATCH(FS$1,'STOPE SUMMARY PIVOT'!$A$2690:$A$2817, 0))</f>
        <v>0</v>
      </c>
      <c r="FT76" s="175">
        <f>INDEX('STOPE SUMMARY PIVOT'!$H$2690:$H$2817, MATCH(FS$1,'STOPE SUMMARY PIVOT'!$A$2690:$A$2817, 0))</f>
        <v>0</v>
      </c>
      <c r="FU76" s="154">
        <f>INDEX('STOPE SUMMARY PIVOT'!$G$2690:$G$2817, MATCH(FU$1,'STOPE SUMMARY PIVOT'!$A$2690:$A$2817, 0))</f>
        <v>0</v>
      </c>
      <c r="FV76" s="175">
        <f>INDEX('STOPE SUMMARY PIVOT'!$H$2690:$H$2817, MATCH(FU$1,'STOPE SUMMARY PIVOT'!$A$2690:$A$2817, 0))</f>
        <v>0</v>
      </c>
      <c r="FW76" s="154">
        <f>INDEX('STOPE SUMMARY PIVOT'!$G$2690:$G$2817, MATCH(FW$1,'STOPE SUMMARY PIVOT'!$A$2690:$A$2817, 0))</f>
        <v>0</v>
      </c>
      <c r="FX76" s="175">
        <f>INDEX('STOPE SUMMARY PIVOT'!$H$2690:$H$2817, MATCH(FW$1,'STOPE SUMMARY PIVOT'!$A$2690:$A$2817, 0))</f>
        <v>0</v>
      </c>
      <c r="FY76" s="154">
        <f>INDEX('STOPE SUMMARY PIVOT'!$G$2690:$G$2817, MATCH(FY$1,'STOPE SUMMARY PIVOT'!$A$2690:$A$2817, 0))</f>
        <v>0</v>
      </c>
      <c r="FZ76" s="175">
        <f>INDEX('STOPE SUMMARY PIVOT'!$H$2690:$H$2817, MATCH(FY$1,'STOPE SUMMARY PIVOT'!$A$2690:$A$2817, 0))</f>
        <v>0</v>
      </c>
      <c r="GA76" s="154">
        <f>INDEX('STOPE SUMMARY PIVOT'!$G$2690:$G$2817, MATCH(GA$1,'STOPE SUMMARY PIVOT'!$A$2690:$A$2817, 0))</f>
        <v>0</v>
      </c>
      <c r="GB76" s="175">
        <f>INDEX('STOPE SUMMARY PIVOT'!$H$2690:$H$2817, MATCH(GA$1,'STOPE SUMMARY PIVOT'!$A$2690:$A$2817, 0))</f>
        <v>0</v>
      </c>
      <c r="GC76" s="154">
        <f>INDEX('STOPE SUMMARY PIVOT'!$G$2690:$G$2817, MATCH(GC$1,'STOPE SUMMARY PIVOT'!$A$2690:$A$2817, 0))</f>
        <v>0</v>
      </c>
      <c r="GD76" s="175">
        <f>INDEX('STOPE SUMMARY PIVOT'!$H$2690:$H$2817, MATCH(GC$1,'STOPE SUMMARY PIVOT'!$A$2690:$A$2817, 0))</f>
        <v>0</v>
      </c>
      <c r="GE76" s="154">
        <f>INDEX('STOPE SUMMARY PIVOT'!$G$2690:$G$2817, MATCH(GE$1,'STOPE SUMMARY PIVOT'!$A$2690:$A$2817, 0))</f>
        <v>0</v>
      </c>
      <c r="GF76" s="175">
        <f>INDEX('STOPE SUMMARY PIVOT'!$H$2690:$H$2817, MATCH(GE$1,'STOPE SUMMARY PIVOT'!$A$2690:$A$2817, 0))</f>
        <v>0</v>
      </c>
      <c r="GG76" s="154">
        <f>INDEX('STOPE SUMMARY PIVOT'!$G$2690:$G$2817, MATCH(GG$1,'STOPE SUMMARY PIVOT'!$A$2690:$A$2817, 0))</f>
        <v>0</v>
      </c>
      <c r="GH76" s="175">
        <f>INDEX('STOPE SUMMARY PIVOT'!$H$2690:$H$2817, MATCH(GG$1,'STOPE SUMMARY PIVOT'!$A$2690:$A$2817, 0))</f>
        <v>0</v>
      </c>
      <c r="GI76" s="154">
        <f>INDEX('STOPE SUMMARY PIVOT'!$G$2690:$G$2817, MATCH(GI$1,'STOPE SUMMARY PIVOT'!$A$2690:$A$2817, 0))</f>
        <v>0</v>
      </c>
      <c r="GJ76" s="175">
        <f>INDEX('STOPE SUMMARY PIVOT'!$H$2690:$H$2817, MATCH(GI$1,'STOPE SUMMARY PIVOT'!$A$2690:$A$2817, 0))</f>
        <v>0</v>
      </c>
      <c r="GK76" s="154">
        <f>INDEX('STOPE SUMMARY PIVOT'!$G$2690:$G$2817, MATCH(GK$1,'STOPE SUMMARY PIVOT'!$A$2690:$A$2817, 0))</f>
        <v>0</v>
      </c>
      <c r="GL76" s="175">
        <f>INDEX('STOPE SUMMARY PIVOT'!$H$2690:$H$2817, MATCH(GK$1,'STOPE SUMMARY PIVOT'!$A$2690:$A$2817, 0))</f>
        <v>0</v>
      </c>
      <c r="GM76" s="154">
        <f>INDEX('STOPE SUMMARY PIVOT'!$G$2690:$G$2817, MATCH(GM$1,'STOPE SUMMARY PIVOT'!$A$2690:$A$2817, 0))</f>
        <v>0</v>
      </c>
      <c r="GN76" s="175">
        <f>INDEX('STOPE SUMMARY PIVOT'!$H$2690:$H$2817, MATCH(GM$1,'STOPE SUMMARY PIVOT'!$A$2690:$A$2817, 0))</f>
        <v>0</v>
      </c>
      <c r="GO76" s="154">
        <f>INDEX('STOPE SUMMARY PIVOT'!$G$2690:$G$2817, MATCH(GO$1,'STOPE SUMMARY PIVOT'!$A$2690:$A$2817, 0))</f>
        <v>0</v>
      </c>
      <c r="GP76" s="175">
        <f>INDEX('STOPE SUMMARY PIVOT'!$H$2690:$H$2817, MATCH(GO$1,'STOPE SUMMARY PIVOT'!$A$2690:$A$2817, 0))</f>
        <v>0</v>
      </c>
      <c r="GQ76" s="154">
        <f>INDEX('STOPE SUMMARY PIVOT'!$G$2690:$G$2817, MATCH(GQ$1,'STOPE SUMMARY PIVOT'!$A$2690:$A$2817, 0))</f>
        <v>0</v>
      </c>
      <c r="GR76" s="175">
        <f>INDEX('STOPE SUMMARY PIVOT'!$H$2690:$H$2817, MATCH(GQ$1,'STOPE SUMMARY PIVOT'!$A$2690:$A$2817, 0))</f>
        <v>0</v>
      </c>
      <c r="GS76" s="154">
        <f>INDEX('STOPE SUMMARY PIVOT'!$G$2690:$G$2817, MATCH(GS$1,'STOPE SUMMARY PIVOT'!$A$2690:$A$2817, 0))</f>
        <v>0</v>
      </c>
      <c r="GT76" s="175">
        <f>INDEX('STOPE SUMMARY PIVOT'!$H$2690:$H$2817, MATCH(GS$1,'STOPE SUMMARY PIVOT'!$A$2690:$A$2817, 0))</f>
        <v>0</v>
      </c>
      <c r="GU76" s="154">
        <f>INDEX('STOPE SUMMARY PIVOT'!$G$2690:$G$2817, MATCH(GU$1,'STOPE SUMMARY PIVOT'!$A$2690:$A$2817, 0))</f>
        <v>0</v>
      </c>
      <c r="GV76" s="175">
        <f>INDEX('STOPE SUMMARY PIVOT'!$H$2690:$H$2817, MATCH(GU$1,'STOPE SUMMARY PIVOT'!$A$2690:$A$2817, 0))</f>
        <v>0</v>
      </c>
      <c r="GW76" s="154">
        <f>INDEX('STOPE SUMMARY PIVOT'!$G$2690:$G$2817, MATCH(GW$1,'STOPE SUMMARY PIVOT'!$A$2690:$A$2817, 0))</f>
        <v>0</v>
      </c>
      <c r="GX76" s="175">
        <f>INDEX('STOPE SUMMARY PIVOT'!$H$2690:$H$2817, MATCH(GW$1,'STOPE SUMMARY PIVOT'!$A$2690:$A$2817, 0))</f>
        <v>0</v>
      </c>
      <c r="GY76" s="154">
        <f>INDEX('STOPE SUMMARY PIVOT'!$G$2690:$G$2817, MATCH(GY$1,'STOPE SUMMARY PIVOT'!$A$2690:$A$2817, 0))</f>
        <v>0</v>
      </c>
      <c r="GZ76" s="175">
        <f>INDEX('STOPE SUMMARY PIVOT'!$H$2690:$H$2817, MATCH(GY$1,'STOPE SUMMARY PIVOT'!$A$2690:$A$2817, 0))</f>
        <v>0</v>
      </c>
      <c r="HA76" s="154">
        <f>INDEX('STOPE SUMMARY PIVOT'!$G$2690:$G$2817, MATCH(HA$1,'STOPE SUMMARY PIVOT'!$A$2690:$A$2817, 0))</f>
        <v>0</v>
      </c>
      <c r="HB76" s="175">
        <f>INDEX('STOPE SUMMARY PIVOT'!$H$2690:$H$2817, MATCH(HA$1,'STOPE SUMMARY PIVOT'!$A$2690:$A$2817, 0))</f>
        <v>0</v>
      </c>
      <c r="HC76" s="154">
        <f>INDEX('STOPE SUMMARY PIVOT'!$G$2690:$G$2817, MATCH(HC$1,'STOPE SUMMARY PIVOT'!$A$2690:$A$2817, 0))</f>
        <v>0</v>
      </c>
      <c r="HD76" s="175">
        <f>INDEX('STOPE SUMMARY PIVOT'!$H$2690:$H$2817, MATCH(HC$1,'STOPE SUMMARY PIVOT'!$A$2690:$A$2817, 0))</f>
        <v>0</v>
      </c>
      <c r="HE76" s="154">
        <f>INDEX('STOPE SUMMARY PIVOT'!$G$2690:$G$2817, MATCH(HE$1,'STOPE SUMMARY PIVOT'!$A$2690:$A$2817, 0))</f>
        <v>0</v>
      </c>
      <c r="HF76" s="175">
        <f>INDEX('STOPE SUMMARY PIVOT'!$H$2690:$H$2817, MATCH(HE$1,'STOPE SUMMARY PIVOT'!$A$2690:$A$2817, 0))</f>
        <v>0</v>
      </c>
      <c r="HG76" s="154">
        <f>INDEX('STOPE SUMMARY PIVOT'!$G$2690:$G$2817, MATCH(HG$1,'STOPE SUMMARY PIVOT'!$A$2690:$A$2817, 0))</f>
        <v>0</v>
      </c>
      <c r="HH76" s="175">
        <f>INDEX('STOPE SUMMARY PIVOT'!$H$2690:$H$2817, MATCH(HG$1,'STOPE SUMMARY PIVOT'!$A$2690:$A$2817, 0))</f>
        <v>0</v>
      </c>
      <c r="HI76" s="154">
        <f>INDEX('STOPE SUMMARY PIVOT'!$G$2690:$G$2817, MATCH(HI$1,'STOPE SUMMARY PIVOT'!$A$2690:$A$2817, 0))</f>
        <v>0</v>
      </c>
      <c r="HJ76" s="175">
        <f>INDEX('STOPE SUMMARY PIVOT'!$H$2690:$H$2817, MATCH(HI$1,'STOPE SUMMARY PIVOT'!$A$2690:$A$2817, 0))</f>
        <v>0</v>
      </c>
      <c r="HK76" s="154">
        <f>INDEX('STOPE SUMMARY PIVOT'!$G$2690:$G$2817, MATCH(HK$1,'STOPE SUMMARY PIVOT'!$A$2690:$A$2817, 0))</f>
        <v>0</v>
      </c>
      <c r="HL76" s="175">
        <f>INDEX('STOPE SUMMARY PIVOT'!$H$2690:$H$2817, MATCH(HK$1,'STOPE SUMMARY PIVOT'!$A$2690:$A$2817, 0))</f>
        <v>0</v>
      </c>
      <c r="HM76" s="154">
        <f>INDEX('STOPE SUMMARY PIVOT'!$G$2690:$G$2817, MATCH(HM$1,'STOPE SUMMARY PIVOT'!$A$2690:$A$2817, 0))</f>
        <v>0</v>
      </c>
      <c r="HN76" s="175">
        <f>INDEX('STOPE SUMMARY PIVOT'!$H$2690:$H$2817, MATCH(HM$1,'STOPE SUMMARY PIVOT'!$A$2690:$A$2817, 0))</f>
        <v>0</v>
      </c>
      <c r="HO76" s="154">
        <f>INDEX('STOPE SUMMARY PIVOT'!$G$2690:$G$2817, MATCH(HO$1,'STOPE SUMMARY PIVOT'!$A$2690:$A$2817, 0))</f>
        <v>0</v>
      </c>
      <c r="HP76" s="175">
        <f>INDEX('STOPE SUMMARY PIVOT'!$H$2690:$H$2817, MATCH(HO$1,'STOPE SUMMARY PIVOT'!$A$2690:$A$2817, 0))</f>
        <v>0</v>
      </c>
      <c r="HQ76" s="154">
        <f>INDEX('STOPE SUMMARY PIVOT'!$G$2690:$G$2817, MATCH(HQ$1,'STOPE SUMMARY PIVOT'!$A$2690:$A$2817, 0))</f>
        <v>0</v>
      </c>
      <c r="HR76" s="175">
        <f>INDEX('STOPE SUMMARY PIVOT'!$H$2690:$H$2817, MATCH(HQ$1,'STOPE SUMMARY PIVOT'!$A$2690:$A$2817, 0))</f>
        <v>0</v>
      </c>
      <c r="HS76" s="154">
        <f>INDEX('STOPE SUMMARY PIVOT'!$G$2690:$G$2817, MATCH(HS$1,'STOPE SUMMARY PIVOT'!$A$2690:$A$2817, 0))</f>
        <v>0</v>
      </c>
      <c r="HT76" s="175">
        <f>INDEX('STOPE SUMMARY PIVOT'!$H$2690:$H$2817, MATCH(HS$1,'STOPE SUMMARY PIVOT'!$A$2690:$A$2817, 0))</f>
        <v>0</v>
      </c>
      <c r="HU76" s="154">
        <f>INDEX('STOPE SUMMARY PIVOT'!$G$2690:$G$2817, MATCH(HU$1,'STOPE SUMMARY PIVOT'!$A$2690:$A$2817, 0))</f>
        <v>0</v>
      </c>
      <c r="HV76" s="175">
        <f>INDEX('STOPE SUMMARY PIVOT'!$H$2690:$H$2817, MATCH(HU$1,'STOPE SUMMARY PIVOT'!$A$2690:$A$2817, 0))</f>
        <v>0</v>
      </c>
      <c r="HW76" s="154">
        <f>INDEX('STOPE SUMMARY PIVOT'!$G$2690:$G$2817, MATCH(HW$1,'STOPE SUMMARY PIVOT'!$A$2690:$A$2817, 0))</f>
        <v>0</v>
      </c>
      <c r="HX76" s="175">
        <f>INDEX('STOPE SUMMARY PIVOT'!$H$2690:$H$2817, MATCH(HW$1,'STOPE SUMMARY PIVOT'!$A$2690:$A$2817, 0))</f>
        <v>0</v>
      </c>
      <c r="HY76" s="154">
        <f>INDEX('STOPE SUMMARY PIVOT'!$G$2690:$G$2817, MATCH(HY$1,'STOPE SUMMARY PIVOT'!$A$2690:$A$2817, 0))</f>
        <v>0</v>
      </c>
      <c r="HZ76" s="175">
        <f>INDEX('STOPE SUMMARY PIVOT'!$H$2690:$H$2817, MATCH(HY$1,'STOPE SUMMARY PIVOT'!$A$2690:$A$2817, 0))</f>
        <v>0</v>
      </c>
      <c r="IA76" s="154">
        <f>INDEX('STOPE SUMMARY PIVOT'!$G$2690:$G$2817, MATCH(IA$1,'STOPE SUMMARY PIVOT'!$A$2690:$A$2817, 0))</f>
        <v>0</v>
      </c>
      <c r="IB76" s="175">
        <f>INDEX('STOPE SUMMARY PIVOT'!$H$2690:$H$2817, MATCH(IA$1,'STOPE SUMMARY PIVOT'!$A$2690:$A$2817, 0))</f>
        <v>0</v>
      </c>
      <c r="IC76" s="154">
        <f>INDEX('STOPE SUMMARY PIVOT'!$G$2690:$G$2817, MATCH(IC$1,'STOPE SUMMARY PIVOT'!$A$2690:$A$2817, 0))</f>
        <v>0</v>
      </c>
      <c r="ID76" s="175">
        <f>INDEX('STOPE SUMMARY PIVOT'!$H$2690:$H$2817, MATCH(IC$1,'STOPE SUMMARY PIVOT'!$A$2690:$A$2817, 0))</f>
        <v>0</v>
      </c>
      <c r="IE76" s="154">
        <f>INDEX('STOPE SUMMARY PIVOT'!$G$2690:$G$2817, MATCH(IE$1,'STOPE SUMMARY PIVOT'!$A$2690:$A$2817, 0))</f>
        <v>0</v>
      </c>
      <c r="IF76" s="175">
        <f>INDEX('STOPE SUMMARY PIVOT'!$H$2690:$H$2817, MATCH(IE$1,'STOPE SUMMARY PIVOT'!$A$2690:$A$2817, 0))</f>
        <v>0</v>
      </c>
      <c r="IG76" s="154">
        <f>INDEX('STOPE SUMMARY PIVOT'!$G$2690:$G$2817, MATCH(IG$1,'STOPE SUMMARY PIVOT'!$A$2690:$A$2817, 0))</f>
        <v>0</v>
      </c>
      <c r="IH76" s="175">
        <f>INDEX('STOPE SUMMARY PIVOT'!$H$2690:$H$2817, MATCH(IG$1,'STOPE SUMMARY PIVOT'!$A$2690:$A$2817, 0))</f>
        <v>0</v>
      </c>
      <c r="II76" s="154">
        <f>INDEX('STOPE SUMMARY PIVOT'!$G$2690:$G$2817, MATCH(II$1,'STOPE SUMMARY PIVOT'!$A$2690:$A$2817, 0))</f>
        <v>0</v>
      </c>
      <c r="IJ76" s="175">
        <f>INDEX('STOPE SUMMARY PIVOT'!$H$2690:$H$2817, MATCH(II$1,'STOPE SUMMARY PIVOT'!$A$2690:$A$2817, 0))</f>
        <v>0</v>
      </c>
      <c r="IK76" s="154">
        <f>INDEX('STOPE SUMMARY PIVOT'!$G$2690:$G$2817, MATCH(IK$1,'STOPE SUMMARY PIVOT'!$A$2690:$A$2817, 0))</f>
        <v>0</v>
      </c>
      <c r="IL76" s="175">
        <f>INDEX('STOPE SUMMARY PIVOT'!$H$2690:$H$2817, MATCH(IK$1,'STOPE SUMMARY PIVOT'!$A$2690:$A$2817, 0))</f>
        <v>0</v>
      </c>
      <c r="IM76" s="154">
        <f>INDEX('STOPE SUMMARY PIVOT'!$G$2690:$G$2817, MATCH(IM$1,'STOPE SUMMARY PIVOT'!$A$2690:$A$2817, 0))</f>
        <v>0</v>
      </c>
      <c r="IN76" s="175">
        <f>INDEX('STOPE SUMMARY PIVOT'!$H$2690:$H$2817, MATCH(IM$1,'STOPE SUMMARY PIVOT'!$A$2690:$A$2817, 0))</f>
        <v>0</v>
      </c>
      <c r="IO76" s="154">
        <f>INDEX('STOPE SUMMARY PIVOT'!$G$2690:$G$2817, MATCH(IO$1,'STOPE SUMMARY PIVOT'!$A$2690:$A$2817, 0))</f>
        <v>0</v>
      </c>
      <c r="IP76" s="175">
        <f>INDEX('STOPE SUMMARY PIVOT'!$H$2690:$H$2817, MATCH(IO$1,'STOPE SUMMARY PIVOT'!$A$2690:$A$2817, 0))</f>
        <v>0</v>
      </c>
      <c r="IQ76" s="154">
        <f>INDEX('STOPE SUMMARY PIVOT'!$G$2690:$G$2817, MATCH(IQ$1,'STOPE SUMMARY PIVOT'!$A$2690:$A$2817, 0))</f>
        <v>0</v>
      </c>
      <c r="IR76" s="175">
        <f>INDEX('STOPE SUMMARY PIVOT'!$H$2690:$H$2817, MATCH(IQ$1,'STOPE SUMMARY PIVOT'!$A$2690:$A$2817, 0))</f>
        <v>0</v>
      </c>
      <c r="IS76" s="154">
        <f>INDEX('STOPE SUMMARY PIVOT'!$G$2690:$G$2817, MATCH(IS$1,'STOPE SUMMARY PIVOT'!$A$2690:$A$2817, 0))</f>
        <v>0</v>
      </c>
      <c r="IT76" s="175">
        <f>INDEX('STOPE SUMMARY PIVOT'!$H$2690:$H$2817, MATCH(IS$1,'STOPE SUMMARY PIVOT'!$A$2690:$A$2817, 0))</f>
        <v>0</v>
      </c>
      <c r="IU76" s="154">
        <f>INDEX('STOPE SUMMARY PIVOT'!$G$2690:$G$2817, MATCH(IU$1,'STOPE SUMMARY PIVOT'!$A$2690:$A$2817, 0))</f>
        <v>0</v>
      </c>
      <c r="IV76" s="175">
        <f>INDEX('STOPE SUMMARY PIVOT'!$H$2690:$H$2817, MATCH(IU$1,'STOPE SUMMARY PIVOT'!$A$2690:$A$2817, 0))</f>
        <v>0</v>
      </c>
      <c r="IW76" s="154">
        <f>INDEX('STOPE SUMMARY PIVOT'!$G$2690:$G$2817, MATCH(IW$1,'STOPE SUMMARY PIVOT'!$A$2690:$A$2817, 0))</f>
        <v>0</v>
      </c>
      <c r="IX76" s="175">
        <f>INDEX('STOPE SUMMARY PIVOT'!$H$2690:$H$2817, MATCH(IW$1,'STOPE SUMMARY PIVOT'!$A$2690:$A$2817, 0))</f>
        <v>0</v>
      </c>
      <c r="IY76" s="154">
        <f>INDEX('STOPE SUMMARY PIVOT'!$G$2690:$G$2817, MATCH(IY$1,'STOPE SUMMARY PIVOT'!$A$2690:$A$2817, 0))</f>
        <v>0</v>
      </c>
      <c r="IZ76" s="175">
        <f>INDEX('STOPE SUMMARY PIVOT'!$H$2690:$H$2817, MATCH(IY$1,'STOPE SUMMARY PIVOT'!$A$2690:$A$2817, 0))</f>
        <v>0</v>
      </c>
    </row>
    <row r="77" spans="1:260" ht="15.75" thickBot="1" x14ac:dyDescent="0.3">
      <c r="A77" s="1591"/>
      <c r="B77" s="169" t="s">
        <v>5</v>
      </c>
      <c r="C77" s="170" cm="1">
        <f t="array" ref="C77">SUM(_xlfn._xlws.FILTER(E77:IZ77, MOD(COLUMN(E77:IZ77)-COLUMN(E77)+1,2)=1))</f>
        <v>0</v>
      </c>
      <c r="D77" s="171" t="str" cm="1">
        <f t="array" ref="D77">IFERROR(SUMPRODUCT(_xlfn._xlws.FILTER(E77:IZ77, MOD(COLUMN(E77:IZ77)-COLUMN(E77)+1,2)=1), _xlfn._xlws.FILTER(E77:IZ77, MOD(COLUMN(E77:IZ77)-COLUMN(E77)+1,2)=0))/C77,"")</f>
        <v/>
      </c>
      <c r="E77" s="172">
        <f>INDEX('STOPE SUMMARY PIVOT'!$J$2690:$J$2817, MATCH(E$1,'STOPE SUMMARY PIVOT'!$A$2690:$A$2817, 0))</f>
        <v>0</v>
      </c>
      <c r="F77" s="176">
        <f>INDEX('STOPE SUMMARY PIVOT'!$K$2690:$K$2817, MATCH(E$1,'STOPE SUMMARY PIVOT'!$A$2690:$A$2817, 0))</f>
        <v>0</v>
      </c>
      <c r="G77" s="172">
        <f>INDEX('STOPE SUMMARY PIVOT'!$J$2690:$J$2817, MATCH(G$1,'STOPE SUMMARY PIVOT'!$A$2690:$A$2817, 0))</f>
        <v>0</v>
      </c>
      <c r="H77" s="176">
        <f>INDEX('STOPE SUMMARY PIVOT'!$K$2690:$K$2817, MATCH(G$1,'STOPE SUMMARY PIVOT'!$A$2690:$A$2817, 0))</f>
        <v>0</v>
      </c>
      <c r="I77" s="172">
        <f>INDEX('STOPE SUMMARY PIVOT'!$J$2690:$J$2817, MATCH(I$1,'STOPE SUMMARY PIVOT'!$A$2690:$A$2817, 0))</f>
        <v>0</v>
      </c>
      <c r="J77" s="173">
        <f>INDEX('STOPE SUMMARY PIVOT'!$K$2690:$K$2817, MATCH(I$1,'STOPE SUMMARY PIVOT'!$A$2690:$A$2817, 0))</f>
        <v>0</v>
      </c>
      <c r="K77" s="172">
        <f>INDEX('STOPE SUMMARY PIVOT'!$J$2690:$J$2817, MATCH(K$1,'STOPE SUMMARY PIVOT'!$A$2690:$A$2817, 0))</f>
        <v>0</v>
      </c>
      <c r="L77" s="173">
        <f>INDEX('STOPE SUMMARY PIVOT'!$K$2690:$K$2817, MATCH(K$1,'STOPE SUMMARY PIVOT'!$A$2690:$A$2817, 0))</f>
        <v>0</v>
      </c>
      <c r="M77" s="172">
        <f>INDEX('STOPE SUMMARY PIVOT'!$J$2690:$J$2817, MATCH(M$1,'STOPE SUMMARY PIVOT'!$A$2690:$A$2817, 0))</f>
        <v>0</v>
      </c>
      <c r="N77" s="173">
        <f>INDEX('STOPE SUMMARY PIVOT'!$K$2690:$K$2817, MATCH(M$1,'STOPE SUMMARY PIVOT'!$A$2690:$A$2817, 0))</f>
        <v>0</v>
      </c>
      <c r="O77" s="172">
        <f>INDEX('STOPE SUMMARY PIVOT'!$J$2690:$J$2817, MATCH(O$1,'STOPE SUMMARY PIVOT'!$A$2690:$A$2817, 0))</f>
        <v>0</v>
      </c>
      <c r="P77" s="173">
        <f>INDEX('STOPE SUMMARY PIVOT'!$K$2690:$K$2817, MATCH(O$1,'STOPE SUMMARY PIVOT'!$A$2690:$A$2817, 0))</f>
        <v>0</v>
      </c>
      <c r="Q77" s="172">
        <f>INDEX('STOPE SUMMARY PIVOT'!$J$2690:$J$2817, MATCH(Q$1,'STOPE SUMMARY PIVOT'!$A$2690:$A$2817, 0))</f>
        <v>0</v>
      </c>
      <c r="R77" s="173">
        <f>INDEX('STOPE SUMMARY PIVOT'!$K$2690:$K$2817, MATCH(Q$1,'STOPE SUMMARY PIVOT'!$A$2690:$A$2817, 0))</f>
        <v>0</v>
      </c>
      <c r="S77" s="172">
        <f>INDEX('STOPE SUMMARY PIVOT'!$J$2690:$J$2817, MATCH(S$1,'STOPE SUMMARY PIVOT'!$A$2690:$A$2817, 0))</f>
        <v>0</v>
      </c>
      <c r="T77" s="173">
        <f>INDEX('STOPE SUMMARY PIVOT'!$K$2690:$K$2817, MATCH(S$1,'STOPE SUMMARY PIVOT'!$A$2690:$A$2817, 0))</f>
        <v>0</v>
      </c>
      <c r="U77" s="172">
        <f>INDEX('STOPE SUMMARY PIVOT'!$J$2690:$J$2817, MATCH(U$1,'STOPE SUMMARY PIVOT'!$A$2690:$A$2817, 0))</f>
        <v>0</v>
      </c>
      <c r="V77" s="176">
        <f>INDEX('STOPE SUMMARY PIVOT'!$K$2690:$K$2817, MATCH(U$1,'STOPE SUMMARY PIVOT'!$A$2690:$A$2817, 0))</f>
        <v>0</v>
      </c>
      <c r="W77" s="172">
        <f>INDEX('STOPE SUMMARY PIVOT'!$J$2690:$J$2817, MATCH(W$1,'STOPE SUMMARY PIVOT'!$A$2690:$A$2817, 0))</f>
        <v>0</v>
      </c>
      <c r="X77" s="176">
        <f>INDEX('STOPE SUMMARY PIVOT'!$K$2690:$K$2817, MATCH(W$1,'STOPE SUMMARY PIVOT'!$A$2690:$A$2817, 0))</f>
        <v>0</v>
      </c>
      <c r="Y77" s="172">
        <f>INDEX('STOPE SUMMARY PIVOT'!$J$2690:$J$2817, MATCH(Y$1,'STOPE SUMMARY PIVOT'!$A$2690:$A$2817, 0))</f>
        <v>0</v>
      </c>
      <c r="Z77" s="176">
        <f>INDEX('STOPE SUMMARY PIVOT'!$K$2690:$K$2817, MATCH(Y$1,'STOPE SUMMARY PIVOT'!$A$2690:$A$2817, 0))</f>
        <v>0</v>
      </c>
      <c r="AA77" s="172">
        <f>INDEX('STOPE SUMMARY PIVOT'!$J$2690:$J$2817, MATCH(AA$1,'STOPE SUMMARY PIVOT'!$A$2690:$A$2817, 0))</f>
        <v>0</v>
      </c>
      <c r="AB77" s="176">
        <f>INDEX('STOPE SUMMARY PIVOT'!$K$2690:$K$2817, MATCH(AA$1,'STOPE SUMMARY PIVOT'!$A$2690:$A$2817, 0))</f>
        <v>0</v>
      </c>
      <c r="AC77" s="172">
        <f>INDEX('STOPE SUMMARY PIVOT'!$J$2690:$J$2817, MATCH(AC$1,'STOPE SUMMARY PIVOT'!$A$2690:$A$2817, 0))</f>
        <v>0</v>
      </c>
      <c r="AD77" s="176">
        <f>INDEX('STOPE SUMMARY PIVOT'!$K$2690:$K$2817, MATCH(AC$1,'STOPE SUMMARY PIVOT'!$A$2690:$A$2817, 0))</f>
        <v>0</v>
      </c>
      <c r="AE77" s="172">
        <f>INDEX('STOPE SUMMARY PIVOT'!$J$2690:$J$2817, MATCH(AE$1,'STOPE SUMMARY PIVOT'!$A$2690:$A$2817, 0))</f>
        <v>0</v>
      </c>
      <c r="AF77" s="176">
        <f>INDEX('STOPE SUMMARY PIVOT'!$K$2690:$K$2817, MATCH(AE$1,'STOPE SUMMARY PIVOT'!$A$2690:$A$2817, 0))</f>
        <v>0</v>
      </c>
      <c r="AG77" s="172">
        <f>INDEX('STOPE SUMMARY PIVOT'!$J$2690:$J$2817, MATCH(AG$1,'STOPE SUMMARY PIVOT'!$A$2690:$A$2817, 0))</f>
        <v>0</v>
      </c>
      <c r="AH77" s="176">
        <f>INDEX('STOPE SUMMARY PIVOT'!$K$2690:$K$2817, MATCH(AG$1,'STOPE SUMMARY PIVOT'!$A$2690:$A$2817, 0))</f>
        <v>0</v>
      </c>
      <c r="AI77" s="172">
        <f>INDEX('STOPE SUMMARY PIVOT'!$J$2690:$J$2817, MATCH(AI$1,'STOPE SUMMARY PIVOT'!$A$2690:$A$2817, 0))</f>
        <v>0</v>
      </c>
      <c r="AJ77" s="176">
        <f>INDEX('STOPE SUMMARY PIVOT'!$K$2690:$K$2817, MATCH(AI$1,'STOPE SUMMARY PIVOT'!$A$2690:$A$2817, 0))</f>
        <v>0</v>
      </c>
      <c r="AK77" s="172">
        <f>INDEX('STOPE SUMMARY PIVOT'!$J$2690:$J$2817, MATCH(AK$1,'STOPE SUMMARY PIVOT'!$A$2690:$A$2817, 0))</f>
        <v>0</v>
      </c>
      <c r="AL77" s="176">
        <f>INDEX('STOPE SUMMARY PIVOT'!$K$2690:$K$2817, MATCH(AK$1,'STOPE SUMMARY PIVOT'!$A$2690:$A$2817, 0))</f>
        <v>0</v>
      </c>
      <c r="AM77" s="172">
        <f>INDEX('STOPE SUMMARY PIVOT'!$J$2690:$J$2817, MATCH(AM$1,'STOPE SUMMARY PIVOT'!$A$2690:$A$2817, 0))</f>
        <v>0</v>
      </c>
      <c r="AN77" s="176">
        <f>INDEX('STOPE SUMMARY PIVOT'!$K$2690:$K$2817, MATCH(AM$1,'STOPE SUMMARY PIVOT'!$A$2690:$A$2817, 0))</f>
        <v>0</v>
      </c>
      <c r="AO77" s="172">
        <f>INDEX('STOPE SUMMARY PIVOT'!$J$2690:$J$2817, MATCH(AO$1,'STOPE SUMMARY PIVOT'!$A$2690:$A$2817, 0))</f>
        <v>0</v>
      </c>
      <c r="AP77" s="176">
        <f>INDEX('STOPE SUMMARY PIVOT'!$K$2690:$K$2817, MATCH(AO$1,'STOPE SUMMARY PIVOT'!$A$2690:$A$2817, 0))</f>
        <v>0</v>
      </c>
      <c r="AQ77" s="172">
        <f>INDEX('STOPE SUMMARY PIVOT'!$J$2690:$J$2817, MATCH(AQ$1,'STOPE SUMMARY PIVOT'!$A$2690:$A$2817, 0))</f>
        <v>0</v>
      </c>
      <c r="AR77" s="176">
        <f>INDEX('STOPE SUMMARY PIVOT'!$K$2690:$K$2817, MATCH(AQ$1,'STOPE SUMMARY PIVOT'!$A$2690:$A$2817, 0))</f>
        <v>0</v>
      </c>
      <c r="AS77" s="172">
        <f>INDEX('STOPE SUMMARY PIVOT'!$J$2690:$J$2817, MATCH(AS$1,'STOPE SUMMARY PIVOT'!$A$2690:$A$2817, 0))</f>
        <v>0</v>
      </c>
      <c r="AT77" s="176">
        <f>INDEX('STOPE SUMMARY PIVOT'!$K$2690:$K$2817, MATCH(AS$1,'STOPE SUMMARY PIVOT'!$A$2690:$A$2817, 0))</f>
        <v>0</v>
      </c>
      <c r="AU77" s="172">
        <f>INDEX('STOPE SUMMARY PIVOT'!$J$2690:$J$2817, MATCH(AU$1,'STOPE SUMMARY PIVOT'!$A$2690:$A$2817, 0))</f>
        <v>0</v>
      </c>
      <c r="AV77" s="176">
        <f>INDEX('STOPE SUMMARY PIVOT'!$K$2690:$K$2817, MATCH(AU$1,'STOPE SUMMARY PIVOT'!$A$2690:$A$2817, 0))</f>
        <v>0</v>
      </c>
      <c r="AW77" s="172">
        <f>INDEX('STOPE SUMMARY PIVOT'!$J$2690:$J$2817, MATCH(AW$1,'STOPE SUMMARY PIVOT'!$A$2690:$A$2817, 0))</f>
        <v>0</v>
      </c>
      <c r="AX77" s="176">
        <f>INDEX('STOPE SUMMARY PIVOT'!$K$2690:$K$2817, MATCH(AW$1,'STOPE SUMMARY PIVOT'!$A$2690:$A$2817, 0))</f>
        <v>0</v>
      </c>
      <c r="AY77" s="172">
        <f>INDEX('STOPE SUMMARY PIVOT'!$J$2690:$J$2817, MATCH(AY$1,'STOPE SUMMARY PIVOT'!$A$2690:$A$2817, 0))</f>
        <v>0</v>
      </c>
      <c r="AZ77" s="176">
        <f>INDEX('STOPE SUMMARY PIVOT'!$K$2690:$K$2817, MATCH(AY$1,'STOPE SUMMARY PIVOT'!$A$2690:$A$2817, 0))</f>
        <v>0</v>
      </c>
      <c r="BA77" s="172">
        <f>INDEX('STOPE SUMMARY PIVOT'!$J$2690:$J$2817, MATCH(BA$1,'STOPE SUMMARY PIVOT'!$A$2690:$A$2817, 0))</f>
        <v>0</v>
      </c>
      <c r="BB77" s="176">
        <f>INDEX('STOPE SUMMARY PIVOT'!$K$2690:$K$2817, MATCH(BA$1,'STOPE SUMMARY PIVOT'!$A$2690:$A$2817, 0))</f>
        <v>0</v>
      </c>
      <c r="BC77" s="172">
        <f>INDEX('STOPE SUMMARY PIVOT'!$J$2690:$J$2817, MATCH(BC$1,'STOPE SUMMARY PIVOT'!$A$2690:$A$2817, 0))</f>
        <v>0</v>
      </c>
      <c r="BD77" s="176">
        <f>INDEX('STOPE SUMMARY PIVOT'!$K$2690:$K$2817, MATCH(BC$1,'STOPE SUMMARY PIVOT'!$A$2690:$A$2817, 0))</f>
        <v>0</v>
      </c>
      <c r="BE77" s="172">
        <f>INDEX('STOPE SUMMARY PIVOT'!$J$2690:$J$2817, MATCH(BE$1,'STOPE SUMMARY PIVOT'!$A$2690:$A$2817, 0))</f>
        <v>0</v>
      </c>
      <c r="BF77" s="176">
        <f>INDEX('STOPE SUMMARY PIVOT'!$K$2690:$K$2817, MATCH(BE$1,'STOPE SUMMARY PIVOT'!$A$2690:$A$2817, 0))</f>
        <v>0</v>
      </c>
      <c r="BG77" s="172">
        <f>INDEX('STOPE SUMMARY PIVOT'!$J$2690:$J$2817, MATCH(BG$1,'STOPE SUMMARY PIVOT'!$A$2690:$A$2817, 0))</f>
        <v>0</v>
      </c>
      <c r="BH77" s="176">
        <f>INDEX('STOPE SUMMARY PIVOT'!$K$2690:$K$2817, MATCH(BG$1,'STOPE SUMMARY PIVOT'!$A$2690:$A$2817, 0))</f>
        <v>0</v>
      </c>
      <c r="BI77" s="172">
        <f>INDEX('STOPE SUMMARY PIVOT'!$J$2690:$J$2817, MATCH(BI$1,'STOPE SUMMARY PIVOT'!$A$2690:$A$2817, 0))</f>
        <v>0</v>
      </c>
      <c r="BJ77" s="176">
        <f>INDEX('STOPE SUMMARY PIVOT'!$K$2690:$K$2817, MATCH(BI$1,'STOPE SUMMARY PIVOT'!$A$2690:$A$2817, 0))</f>
        <v>0</v>
      </c>
      <c r="BK77" s="172">
        <f>INDEX('STOPE SUMMARY PIVOT'!$J$2690:$J$2817, MATCH(BK$1,'STOPE SUMMARY PIVOT'!$A$2690:$A$2817, 0))</f>
        <v>0</v>
      </c>
      <c r="BL77" s="176">
        <f>INDEX('STOPE SUMMARY PIVOT'!$K$2690:$K$2817, MATCH(BK$1,'STOPE SUMMARY PIVOT'!$A$2690:$A$2817, 0))</f>
        <v>0</v>
      </c>
      <c r="BM77" s="172">
        <f>INDEX('STOPE SUMMARY PIVOT'!$J$2690:$J$2817, MATCH(BM$1,'STOPE SUMMARY PIVOT'!$A$2690:$A$2817, 0))</f>
        <v>0</v>
      </c>
      <c r="BN77" s="176">
        <f>INDEX('STOPE SUMMARY PIVOT'!$K$2690:$K$2817, MATCH(BM$1,'STOPE SUMMARY PIVOT'!$A$2690:$A$2817, 0))</f>
        <v>0</v>
      </c>
      <c r="BO77" s="172">
        <f>INDEX('STOPE SUMMARY PIVOT'!$J$2690:$J$2817, MATCH(BO$1,'STOPE SUMMARY PIVOT'!$A$2690:$A$2817, 0))</f>
        <v>0</v>
      </c>
      <c r="BP77" s="176">
        <f>INDEX('STOPE SUMMARY PIVOT'!$K$2690:$K$2817, MATCH(BO$1,'STOPE SUMMARY PIVOT'!$A$2690:$A$2817, 0))</f>
        <v>0</v>
      </c>
      <c r="BQ77" s="172">
        <f>INDEX('STOPE SUMMARY PIVOT'!$J$2690:$J$2817, MATCH(BQ$1,'STOPE SUMMARY PIVOT'!$A$2690:$A$2817, 0))</f>
        <v>0</v>
      </c>
      <c r="BR77" s="176">
        <f>INDEX('STOPE SUMMARY PIVOT'!$K$2690:$K$2817, MATCH(BQ$1,'STOPE SUMMARY PIVOT'!$A$2690:$A$2817, 0))</f>
        <v>0</v>
      </c>
      <c r="BS77" s="172">
        <f>INDEX('STOPE SUMMARY PIVOT'!$J$2690:$J$2817, MATCH(BS$1,'STOPE SUMMARY PIVOT'!$A$2690:$A$2817, 0))</f>
        <v>0</v>
      </c>
      <c r="BT77" s="176">
        <f>INDEX('STOPE SUMMARY PIVOT'!$K$2690:$K$2817, MATCH(BS$1,'STOPE SUMMARY PIVOT'!$A$2690:$A$2817, 0))</f>
        <v>0</v>
      </c>
      <c r="BU77" s="172">
        <f>INDEX('STOPE SUMMARY PIVOT'!$J$2690:$J$2817, MATCH(BU$1,'STOPE SUMMARY PIVOT'!$A$2690:$A$2817, 0))</f>
        <v>0</v>
      </c>
      <c r="BV77" s="176">
        <f>INDEX('STOPE SUMMARY PIVOT'!$K$2690:$K$2817, MATCH(BU$1,'STOPE SUMMARY PIVOT'!$A$2690:$A$2817, 0))</f>
        <v>0</v>
      </c>
      <c r="BW77" s="172">
        <f>INDEX('STOPE SUMMARY PIVOT'!$J$2690:$J$2817, MATCH(BW$1,'STOPE SUMMARY PIVOT'!$A$2690:$A$2817, 0))</f>
        <v>0</v>
      </c>
      <c r="BX77" s="176">
        <f>INDEX('STOPE SUMMARY PIVOT'!$K$2690:$K$2817, MATCH(BW$1,'STOPE SUMMARY PIVOT'!$A$2690:$A$2817, 0))</f>
        <v>0</v>
      </c>
      <c r="BY77" s="172">
        <f>INDEX('STOPE SUMMARY PIVOT'!$J$2690:$J$2817, MATCH(BY$1,'STOPE SUMMARY PIVOT'!$A$2690:$A$2817, 0))</f>
        <v>0</v>
      </c>
      <c r="BZ77" s="176">
        <f>INDEX('STOPE SUMMARY PIVOT'!$K$2690:$K$2817, MATCH(BY$1,'STOPE SUMMARY PIVOT'!$A$2690:$A$2817, 0))</f>
        <v>0</v>
      </c>
      <c r="CA77" s="172">
        <f>INDEX('STOPE SUMMARY PIVOT'!$J$2690:$J$2817, MATCH(CA$1,'STOPE SUMMARY PIVOT'!$A$2690:$A$2817, 0))</f>
        <v>0</v>
      </c>
      <c r="CB77" s="176">
        <f>INDEX('STOPE SUMMARY PIVOT'!$K$2690:$K$2817, MATCH(CA$1,'STOPE SUMMARY PIVOT'!$A$2690:$A$2817, 0))</f>
        <v>0</v>
      </c>
      <c r="CC77" s="172">
        <f>INDEX('STOPE SUMMARY PIVOT'!$J$2690:$J$2817, MATCH(CC$1,'STOPE SUMMARY PIVOT'!$A$2690:$A$2817, 0))</f>
        <v>0</v>
      </c>
      <c r="CD77" s="176">
        <f>INDEX('STOPE SUMMARY PIVOT'!$K$2690:$K$2817, MATCH(CC$1,'STOPE SUMMARY PIVOT'!$A$2690:$A$2817, 0))</f>
        <v>0</v>
      </c>
      <c r="CE77" s="172">
        <f>INDEX('STOPE SUMMARY PIVOT'!$J$2690:$J$2817, MATCH(CE$1,'STOPE SUMMARY PIVOT'!$A$2690:$A$2817, 0))</f>
        <v>0</v>
      </c>
      <c r="CF77" s="176">
        <f>INDEX('STOPE SUMMARY PIVOT'!$K$2690:$K$2817, MATCH(CE$1,'STOPE SUMMARY PIVOT'!$A$2690:$A$2817, 0))</f>
        <v>0</v>
      </c>
      <c r="CG77" s="172">
        <f>INDEX('STOPE SUMMARY PIVOT'!$J$2690:$J$2817, MATCH(CG$1,'STOPE SUMMARY PIVOT'!$A$2690:$A$2817, 0))</f>
        <v>0</v>
      </c>
      <c r="CH77" s="176">
        <f>INDEX('STOPE SUMMARY PIVOT'!$K$2690:$K$2817, MATCH(CG$1,'STOPE SUMMARY PIVOT'!$A$2690:$A$2817, 0))</f>
        <v>0</v>
      </c>
      <c r="CI77" s="172">
        <f>INDEX('STOPE SUMMARY PIVOT'!$J$2690:$J$2817, MATCH(CI$1,'STOPE SUMMARY PIVOT'!$A$2690:$A$2817, 0))</f>
        <v>0</v>
      </c>
      <c r="CJ77" s="176">
        <f>INDEX('STOPE SUMMARY PIVOT'!$K$2690:$K$2817, MATCH(CI$1,'STOPE SUMMARY PIVOT'!$A$2690:$A$2817, 0))</f>
        <v>0</v>
      </c>
      <c r="CK77" s="172">
        <f>INDEX('STOPE SUMMARY PIVOT'!$J$2690:$J$2817, MATCH(CK$1,'STOPE SUMMARY PIVOT'!$A$2690:$A$2817, 0))</f>
        <v>0</v>
      </c>
      <c r="CL77" s="176">
        <f>INDEX('STOPE SUMMARY PIVOT'!$K$2690:$K$2817, MATCH(CK$1,'STOPE SUMMARY PIVOT'!$A$2690:$A$2817, 0))</f>
        <v>0</v>
      </c>
      <c r="CM77" s="172">
        <f>INDEX('STOPE SUMMARY PIVOT'!$J$2690:$J$2817, MATCH(CM$1,'STOPE SUMMARY PIVOT'!$A$2690:$A$2817, 0))</f>
        <v>0</v>
      </c>
      <c r="CN77" s="176">
        <f>INDEX('STOPE SUMMARY PIVOT'!$K$2690:$K$2817, MATCH(CM$1,'STOPE SUMMARY PIVOT'!$A$2690:$A$2817, 0))</f>
        <v>0</v>
      </c>
      <c r="CO77" s="172">
        <f>INDEX('STOPE SUMMARY PIVOT'!$J$2690:$J$2817, MATCH(CO$1,'STOPE SUMMARY PIVOT'!$A$2690:$A$2817, 0))</f>
        <v>0</v>
      </c>
      <c r="CP77" s="176">
        <f>INDEX('STOPE SUMMARY PIVOT'!$K$2690:$K$2817, MATCH(CO$1,'STOPE SUMMARY PIVOT'!$A$2690:$A$2817, 0))</f>
        <v>0</v>
      </c>
      <c r="CQ77" s="172">
        <f>INDEX('STOPE SUMMARY PIVOT'!$J$2690:$J$2817, MATCH(CQ$1,'STOPE SUMMARY PIVOT'!$A$2690:$A$2817, 0))</f>
        <v>0</v>
      </c>
      <c r="CR77" s="176">
        <f>INDEX('STOPE SUMMARY PIVOT'!$K$2690:$K$2817, MATCH(CQ$1,'STOPE SUMMARY PIVOT'!$A$2690:$A$2817, 0))</f>
        <v>0</v>
      </c>
      <c r="CS77" s="172">
        <f>INDEX('STOPE SUMMARY PIVOT'!$J$2690:$J$2817, MATCH(CS$1,'STOPE SUMMARY PIVOT'!$A$2690:$A$2817, 0))</f>
        <v>0</v>
      </c>
      <c r="CT77" s="176">
        <f>INDEX('STOPE SUMMARY PIVOT'!$K$2690:$K$2817, MATCH(CS$1,'STOPE SUMMARY PIVOT'!$A$2690:$A$2817, 0))</f>
        <v>0</v>
      </c>
      <c r="CU77" s="172">
        <f>INDEX('STOPE SUMMARY PIVOT'!$J$2690:$J$2817, MATCH(CU$1,'STOPE SUMMARY PIVOT'!$A$2690:$A$2817, 0))</f>
        <v>0</v>
      </c>
      <c r="CV77" s="176">
        <f>INDEX('STOPE SUMMARY PIVOT'!$K$2690:$K$2817, MATCH(CU$1,'STOPE SUMMARY PIVOT'!$A$2690:$A$2817, 0))</f>
        <v>0</v>
      </c>
      <c r="CW77" s="172">
        <f>INDEX('STOPE SUMMARY PIVOT'!$J$2690:$J$2817, MATCH(CW$1,'STOPE SUMMARY PIVOT'!$A$2690:$A$2817, 0))</f>
        <v>0</v>
      </c>
      <c r="CX77" s="176">
        <f>INDEX('STOPE SUMMARY PIVOT'!$K$2690:$K$2817, MATCH(CW$1,'STOPE SUMMARY PIVOT'!$A$2690:$A$2817, 0))</f>
        <v>0</v>
      </c>
      <c r="CY77" s="172">
        <f>INDEX('STOPE SUMMARY PIVOT'!$J$2690:$J$2817, MATCH(CY$1,'STOPE SUMMARY PIVOT'!$A$2690:$A$2817, 0))</f>
        <v>0</v>
      </c>
      <c r="CZ77" s="176">
        <f>INDEX('STOPE SUMMARY PIVOT'!$K$2690:$K$2817, MATCH(CY$1,'STOPE SUMMARY PIVOT'!$A$2690:$A$2817, 0))</f>
        <v>0</v>
      </c>
      <c r="DA77" s="172">
        <f>INDEX('STOPE SUMMARY PIVOT'!$J$2690:$J$2817, MATCH(DA$1,'STOPE SUMMARY PIVOT'!$A$2690:$A$2817, 0))</f>
        <v>0</v>
      </c>
      <c r="DB77" s="176">
        <f>INDEX('STOPE SUMMARY PIVOT'!$K$2690:$K$2817, MATCH(DA$1,'STOPE SUMMARY PIVOT'!$A$2690:$A$2817, 0))</f>
        <v>0</v>
      </c>
      <c r="DC77" s="172">
        <f>INDEX('STOPE SUMMARY PIVOT'!$J$2690:$J$2817, MATCH(DC$1,'STOPE SUMMARY PIVOT'!$A$2690:$A$2817, 0))</f>
        <v>0</v>
      </c>
      <c r="DD77" s="176">
        <f>INDEX('STOPE SUMMARY PIVOT'!$K$2690:$K$2817, MATCH(DC$1,'STOPE SUMMARY PIVOT'!$A$2690:$A$2817, 0))</f>
        <v>0</v>
      </c>
      <c r="DE77" s="172">
        <f>INDEX('STOPE SUMMARY PIVOT'!$J$2690:$J$2817, MATCH(DE$1,'STOPE SUMMARY PIVOT'!$A$2690:$A$2817, 0))</f>
        <v>0</v>
      </c>
      <c r="DF77" s="176">
        <f>INDEX('STOPE SUMMARY PIVOT'!$K$2690:$K$2817, MATCH(DE$1,'STOPE SUMMARY PIVOT'!$A$2690:$A$2817, 0))</f>
        <v>0</v>
      </c>
      <c r="DG77" s="172">
        <f>INDEX('STOPE SUMMARY PIVOT'!$J$2690:$J$2817, MATCH(DG$1,'STOPE SUMMARY PIVOT'!$A$2690:$A$2817, 0))</f>
        <v>0</v>
      </c>
      <c r="DH77" s="176">
        <f>INDEX('STOPE SUMMARY PIVOT'!$K$2690:$K$2817, MATCH(DG$1,'STOPE SUMMARY PIVOT'!$A$2690:$A$2817, 0))</f>
        <v>0</v>
      </c>
      <c r="DI77" s="172">
        <f>INDEX('STOPE SUMMARY PIVOT'!$J$2690:$J$2817, MATCH(DI$1,'STOPE SUMMARY PIVOT'!$A$2690:$A$2817, 0))</f>
        <v>0</v>
      </c>
      <c r="DJ77" s="176">
        <f>INDEX('STOPE SUMMARY PIVOT'!$K$2690:$K$2817, MATCH(DI$1,'STOPE SUMMARY PIVOT'!$A$2690:$A$2817, 0))</f>
        <v>0</v>
      </c>
      <c r="DK77" s="172">
        <f>INDEX('STOPE SUMMARY PIVOT'!$J$2690:$J$2817, MATCH(DK$1,'STOPE SUMMARY PIVOT'!$A$2690:$A$2817, 0))</f>
        <v>0</v>
      </c>
      <c r="DL77" s="176">
        <f>INDEX('STOPE SUMMARY PIVOT'!$K$2690:$K$2817, MATCH(DK$1,'STOPE SUMMARY PIVOT'!$A$2690:$A$2817, 0))</f>
        <v>0</v>
      </c>
      <c r="DM77" s="172">
        <f>INDEX('STOPE SUMMARY PIVOT'!$J$2690:$J$2817, MATCH(DM$1,'STOPE SUMMARY PIVOT'!$A$2690:$A$2817, 0))</f>
        <v>0</v>
      </c>
      <c r="DN77" s="176">
        <f>INDEX('STOPE SUMMARY PIVOT'!$K$2690:$K$2817, MATCH(DM$1,'STOPE SUMMARY PIVOT'!$A$2690:$A$2817, 0))</f>
        <v>0</v>
      </c>
      <c r="DO77" s="172">
        <f>INDEX('STOPE SUMMARY PIVOT'!$J$2690:$J$2817, MATCH(DO$1,'STOPE SUMMARY PIVOT'!$A$2690:$A$2817, 0))</f>
        <v>0</v>
      </c>
      <c r="DP77" s="176">
        <f>INDEX('STOPE SUMMARY PIVOT'!$K$2690:$K$2817, MATCH(DO$1,'STOPE SUMMARY PIVOT'!$A$2690:$A$2817, 0))</f>
        <v>0</v>
      </c>
      <c r="DQ77" s="172">
        <f>INDEX('STOPE SUMMARY PIVOT'!$J$2690:$J$2817, MATCH(DQ$1,'STOPE SUMMARY PIVOT'!$A$2690:$A$2817, 0))</f>
        <v>0</v>
      </c>
      <c r="DR77" s="176">
        <f>INDEX('STOPE SUMMARY PIVOT'!$K$2690:$K$2817, MATCH(DQ$1,'STOPE SUMMARY PIVOT'!$A$2690:$A$2817, 0))</f>
        <v>0</v>
      </c>
      <c r="DS77" s="172">
        <f>INDEX('STOPE SUMMARY PIVOT'!$J$2690:$J$2817, MATCH(DS$1,'STOPE SUMMARY PIVOT'!$A$2690:$A$2817, 0))</f>
        <v>0</v>
      </c>
      <c r="DT77" s="176">
        <f>INDEX('STOPE SUMMARY PIVOT'!$K$2690:$K$2817, MATCH(DS$1,'STOPE SUMMARY PIVOT'!$A$2690:$A$2817, 0))</f>
        <v>0</v>
      </c>
      <c r="DU77" s="172">
        <f>INDEX('STOPE SUMMARY PIVOT'!$J$2690:$J$2817, MATCH(DU$1,'STOPE SUMMARY PIVOT'!$A$2690:$A$2817, 0))</f>
        <v>0</v>
      </c>
      <c r="DV77" s="176">
        <f>INDEX('STOPE SUMMARY PIVOT'!$K$2690:$K$2817, MATCH(DU$1,'STOPE SUMMARY PIVOT'!$A$2690:$A$2817, 0))</f>
        <v>0</v>
      </c>
      <c r="DW77" s="172">
        <f>INDEX('STOPE SUMMARY PIVOT'!$J$2690:$J$2817, MATCH(DW$1,'STOPE SUMMARY PIVOT'!$A$2690:$A$2817, 0))</f>
        <v>0</v>
      </c>
      <c r="DX77" s="176">
        <f>INDEX('STOPE SUMMARY PIVOT'!$K$2690:$K$2817, MATCH(DW$1,'STOPE SUMMARY PIVOT'!$A$2690:$A$2817, 0))</f>
        <v>0</v>
      </c>
      <c r="DY77" s="172">
        <f>INDEX('STOPE SUMMARY PIVOT'!$J$2690:$J$2817, MATCH(DY$1,'STOPE SUMMARY PIVOT'!$A$2690:$A$2817, 0))</f>
        <v>0</v>
      </c>
      <c r="DZ77" s="176">
        <f>INDEX('STOPE SUMMARY PIVOT'!$K$2690:$K$2817, MATCH(DY$1,'STOPE SUMMARY PIVOT'!$A$2690:$A$2817, 0))</f>
        <v>0</v>
      </c>
      <c r="EA77" s="172">
        <f>INDEX('STOPE SUMMARY PIVOT'!$J$2690:$J$2817, MATCH(EA$1,'STOPE SUMMARY PIVOT'!$A$2690:$A$2817, 0))</f>
        <v>0</v>
      </c>
      <c r="EB77" s="176">
        <f>INDEX('STOPE SUMMARY PIVOT'!$K$2690:$K$2817, MATCH(EA$1,'STOPE SUMMARY PIVOT'!$A$2690:$A$2817, 0))</f>
        <v>0</v>
      </c>
      <c r="EC77" s="172">
        <f>INDEX('STOPE SUMMARY PIVOT'!$J$2690:$J$2817, MATCH(EC$1,'STOPE SUMMARY PIVOT'!$A$2690:$A$2817, 0))</f>
        <v>0</v>
      </c>
      <c r="ED77" s="176">
        <f>INDEX('STOPE SUMMARY PIVOT'!$K$2690:$K$2817, MATCH(EC$1,'STOPE SUMMARY PIVOT'!$A$2690:$A$2817, 0))</f>
        <v>0</v>
      </c>
      <c r="EE77" s="172">
        <f>INDEX('STOPE SUMMARY PIVOT'!$J$2690:$J$2817, MATCH(EE$1,'STOPE SUMMARY PIVOT'!$A$2690:$A$2817, 0))</f>
        <v>0</v>
      </c>
      <c r="EF77" s="176">
        <f>INDEX('STOPE SUMMARY PIVOT'!$K$2690:$K$2817, MATCH(EE$1,'STOPE SUMMARY PIVOT'!$A$2690:$A$2817, 0))</f>
        <v>0</v>
      </c>
      <c r="EG77" s="172">
        <f>INDEX('STOPE SUMMARY PIVOT'!$J$2690:$J$2817, MATCH(EG$1,'STOPE SUMMARY PIVOT'!$A$2690:$A$2817, 0))</f>
        <v>0</v>
      </c>
      <c r="EH77" s="176">
        <f>INDEX('STOPE SUMMARY PIVOT'!$K$2690:$K$2817, MATCH(EG$1,'STOPE SUMMARY PIVOT'!$A$2690:$A$2817, 0))</f>
        <v>0</v>
      </c>
      <c r="EI77" s="172">
        <f>INDEX('STOPE SUMMARY PIVOT'!$J$2690:$J$2817, MATCH(EI$1,'STOPE SUMMARY PIVOT'!$A$2690:$A$2817, 0))</f>
        <v>0</v>
      </c>
      <c r="EJ77" s="176">
        <f>INDEX('STOPE SUMMARY PIVOT'!$K$2690:$K$2817, MATCH(EI$1,'STOPE SUMMARY PIVOT'!$A$2690:$A$2817, 0))</f>
        <v>0</v>
      </c>
      <c r="EK77" s="172">
        <f>INDEX('STOPE SUMMARY PIVOT'!$J$2690:$J$2817, MATCH(EK$1,'STOPE SUMMARY PIVOT'!$A$2690:$A$2817, 0))</f>
        <v>0</v>
      </c>
      <c r="EL77" s="176">
        <f>INDEX('STOPE SUMMARY PIVOT'!$K$2690:$K$2817, MATCH(EK$1,'STOPE SUMMARY PIVOT'!$A$2690:$A$2817, 0))</f>
        <v>0</v>
      </c>
      <c r="EM77" s="172">
        <f>INDEX('STOPE SUMMARY PIVOT'!$J$2690:$J$2817, MATCH(EM$1,'STOPE SUMMARY PIVOT'!$A$2690:$A$2817, 0))</f>
        <v>0</v>
      </c>
      <c r="EN77" s="176">
        <f>INDEX('STOPE SUMMARY PIVOT'!$K$2690:$K$2817, MATCH(EM$1,'STOPE SUMMARY PIVOT'!$A$2690:$A$2817, 0))</f>
        <v>0</v>
      </c>
      <c r="EO77" s="172">
        <f>INDEX('STOPE SUMMARY PIVOT'!$J$2690:$J$2817, MATCH(EO$1,'STOPE SUMMARY PIVOT'!$A$2690:$A$2817, 0))</f>
        <v>0</v>
      </c>
      <c r="EP77" s="176">
        <f>INDEX('STOPE SUMMARY PIVOT'!$K$2690:$K$2817, MATCH(EO$1,'STOPE SUMMARY PIVOT'!$A$2690:$A$2817, 0))</f>
        <v>0</v>
      </c>
      <c r="EQ77" s="172">
        <f>INDEX('STOPE SUMMARY PIVOT'!$J$2690:$J$2817, MATCH(EQ$1,'STOPE SUMMARY PIVOT'!$A$2690:$A$2817, 0))</f>
        <v>0</v>
      </c>
      <c r="ER77" s="176">
        <f>INDEX('STOPE SUMMARY PIVOT'!$K$2690:$K$2817, MATCH(EQ$1,'STOPE SUMMARY PIVOT'!$A$2690:$A$2817, 0))</f>
        <v>0</v>
      </c>
      <c r="ES77" s="172">
        <f>INDEX('STOPE SUMMARY PIVOT'!$J$2690:$J$2817, MATCH(ES$1,'STOPE SUMMARY PIVOT'!$A$2690:$A$2817, 0))</f>
        <v>0</v>
      </c>
      <c r="ET77" s="176">
        <f>INDEX('STOPE SUMMARY PIVOT'!$K$2690:$K$2817, MATCH(ES$1,'STOPE SUMMARY PIVOT'!$A$2690:$A$2817, 0))</f>
        <v>0</v>
      </c>
      <c r="EU77" s="172">
        <f>INDEX('STOPE SUMMARY PIVOT'!$J$2690:$J$2817, MATCH(EU$1,'STOPE SUMMARY PIVOT'!$A$2690:$A$2817, 0))</f>
        <v>0</v>
      </c>
      <c r="EV77" s="176">
        <f>INDEX('STOPE SUMMARY PIVOT'!$K$2690:$K$2817, MATCH(EU$1,'STOPE SUMMARY PIVOT'!$A$2690:$A$2817, 0))</f>
        <v>0</v>
      </c>
      <c r="EW77" s="172">
        <f>INDEX('STOPE SUMMARY PIVOT'!$J$2690:$J$2817, MATCH(EW$1,'STOPE SUMMARY PIVOT'!$A$2690:$A$2817, 0))</f>
        <v>0</v>
      </c>
      <c r="EX77" s="176">
        <f>INDEX('STOPE SUMMARY PIVOT'!$K$2690:$K$2817, MATCH(EW$1,'STOPE SUMMARY PIVOT'!$A$2690:$A$2817, 0))</f>
        <v>0</v>
      </c>
      <c r="EY77" s="172">
        <f>INDEX('STOPE SUMMARY PIVOT'!$J$2690:$J$2817, MATCH(EY$1,'STOPE SUMMARY PIVOT'!$A$2690:$A$2817, 0))</f>
        <v>0</v>
      </c>
      <c r="EZ77" s="176">
        <f>INDEX('STOPE SUMMARY PIVOT'!$K$2690:$K$2817, MATCH(EY$1,'STOPE SUMMARY PIVOT'!$A$2690:$A$2817, 0))</f>
        <v>0</v>
      </c>
      <c r="FA77" s="172">
        <f>INDEX('STOPE SUMMARY PIVOT'!$J$2690:$J$2817, MATCH(FA$1,'STOPE SUMMARY PIVOT'!$A$2690:$A$2817, 0))</f>
        <v>0</v>
      </c>
      <c r="FB77" s="176">
        <f>INDEX('STOPE SUMMARY PIVOT'!$K$2690:$K$2817, MATCH(FA$1,'STOPE SUMMARY PIVOT'!$A$2690:$A$2817, 0))</f>
        <v>0</v>
      </c>
      <c r="FC77" s="172">
        <f>INDEX('STOPE SUMMARY PIVOT'!$J$2690:$J$2817, MATCH(FC$1,'STOPE SUMMARY PIVOT'!$A$2690:$A$2817, 0))</f>
        <v>0</v>
      </c>
      <c r="FD77" s="176">
        <f>INDEX('STOPE SUMMARY PIVOT'!$K$2690:$K$2817, MATCH(FC$1,'STOPE SUMMARY PIVOT'!$A$2690:$A$2817, 0))</f>
        <v>0</v>
      </c>
      <c r="FE77" s="172">
        <f>INDEX('STOPE SUMMARY PIVOT'!$J$2690:$J$2817, MATCH(FE$1,'STOPE SUMMARY PIVOT'!$A$2690:$A$2817, 0))</f>
        <v>0</v>
      </c>
      <c r="FF77" s="176">
        <f>INDEX('STOPE SUMMARY PIVOT'!$K$2690:$K$2817, MATCH(FE$1,'STOPE SUMMARY PIVOT'!$A$2690:$A$2817, 0))</f>
        <v>0</v>
      </c>
      <c r="FG77" s="172">
        <f>INDEX('STOPE SUMMARY PIVOT'!$J$2690:$J$2817, MATCH(FG$1,'STOPE SUMMARY PIVOT'!$A$2690:$A$2817, 0))</f>
        <v>0</v>
      </c>
      <c r="FH77" s="176">
        <f>INDEX('STOPE SUMMARY PIVOT'!$K$2690:$K$2817, MATCH(FG$1,'STOPE SUMMARY PIVOT'!$A$2690:$A$2817, 0))</f>
        <v>0</v>
      </c>
      <c r="FI77" s="172">
        <f>INDEX('STOPE SUMMARY PIVOT'!$J$2690:$J$2817, MATCH(FI$1,'STOPE SUMMARY PIVOT'!$A$2690:$A$2817, 0))</f>
        <v>0</v>
      </c>
      <c r="FJ77" s="176">
        <f>INDEX('STOPE SUMMARY PIVOT'!$K$2690:$K$2817, MATCH(FI$1,'STOPE SUMMARY PIVOT'!$A$2690:$A$2817, 0))</f>
        <v>0</v>
      </c>
      <c r="FK77" s="172">
        <f>INDEX('STOPE SUMMARY PIVOT'!$J$2690:$J$2817, MATCH(FK$1,'STOPE SUMMARY PIVOT'!$A$2690:$A$2817, 0))</f>
        <v>0</v>
      </c>
      <c r="FL77" s="176">
        <f>INDEX('STOPE SUMMARY PIVOT'!$K$2690:$K$2817, MATCH(FK$1,'STOPE SUMMARY PIVOT'!$A$2690:$A$2817, 0))</f>
        <v>0</v>
      </c>
      <c r="FM77" s="172">
        <f>INDEX('STOPE SUMMARY PIVOT'!$J$2690:$J$2817, MATCH(FM$1,'STOPE SUMMARY PIVOT'!$A$2690:$A$2817, 0))</f>
        <v>0</v>
      </c>
      <c r="FN77" s="176">
        <f>INDEX('STOPE SUMMARY PIVOT'!$K$2690:$K$2817, MATCH(FM$1,'STOPE SUMMARY PIVOT'!$A$2690:$A$2817, 0))</f>
        <v>0</v>
      </c>
      <c r="FO77" s="172">
        <f>INDEX('STOPE SUMMARY PIVOT'!$J$2690:$J$2817, MATCH(FO$1,'STOPE SUMMARY PIVOT'!$A$2690:$A$2817, 0))</f>
        <v>0</v>
      </c>
      <c r="FP77" s="176">
        <f>INDEX('STOPE SUMMARY PIVOT'!$K$2690:$K$2817, MATCH(FO$1,'STOPE SUMMARY PIVOT'!$A$2690:$A$2817, 0))</f>
        <v>0</v>
      </c>
      <c r="FQ77" s="172">
        <f>INDEX('STOPE SUMMARY PIVOT'!$J$2690:$J$2817, MATCH(FQ$1,'STOPE SUMMARY PIVOT'!$A$2690:$A$2817, 0))</f>
        <v>0</v>
      </c>
      <c r="FR77" s="176">
        <f>INDEX('STOPE SUMMARY PIVOT'!$K$2690:$K$2817, MATCH(FQ$1,'STOPE SUMMARY PIVOT'!$A$2690:$A$2817, 0))</f>
        <v>0</v>
      </c>
      <c r="FS77" s="172">
        <f>INDEX('STOPE SUMMARY PIVOT'!$J$2690:$J$2817, MATCH(FS$1,'STOPE SUMMARY PIVOT'!$A$2690:$A$2817, 0))</f>
        <v>0</v>
      </c>
      <c r="FT77" s="176">
        <f>INDEX('STOPE SUMMARY PIVOT'!$K$2690:$K$2817, MATCH(FS$1,'STOPE SUMMARY PIVOT'!$A$2690:$A$2817, 0))</f>
        <v>0</v>
      </c>
      <c r="FU77" s="172">
        <f>INDEX('STOPE SUMMARY PIVOT'!$J$2690:$J$2817, MATCH(FU$1,'STOPE SUMMARY PIVOT'!$A$2690:$A$2817, 0))</f>
        <v>0</v>
      </c>
      <c r="FV77" s="176">
        <f>INDEX('STOPE SUMMARY PIVOT'!$K$2690:$K$2817, MATCH(FU$1,'STOPE SUMMARY PIVOT'!$A$2690:$A$2817, 0))</f>
        <v>0</v>
      </c>
      <c r="FW77" s="172">
        <f>INDEX('STOPE SUMMARY PIVOT'!$J$2690:$J$2817, MATCH(FW$1,'STOPE SUMMARY PIVOT'!$A$2690:$A$2817, 0))</f>
        <v>0</v>
      </c>
      <c r="FX77" s="176">
        <f>INDEX('STOPE SUMMARY PIVOT'!$K$2690:$K$2817, MATCH(FW$1,'STOPE SUMMARY PIVOT'!$A$2690:$A$2817, 0))</f>
        <v>0</v>
      </c>
      <c r="FY77" s="172">
        <f>INDEX('STOPE SUMMARY PIVOT'!$J$2690:$J$2817, MATCH(FY$1,'STOPE SUMMARY PIVOT'!$A$2690:$A$2817, 0))</f>
        <v>0</v>
      </c>
      <c r="FZ77" s="176">
        <f>INDEX('STOPE SUMMARY PIVOT'!$K$2690:$K$2817, MATCH(FY$1,'STOPE SUMMARY PIVOT'!$A$2690:$A$2817, 0))</f>
        <v>0</v>
      </c>
      <c r="GA77" s="172">
        <f>INDEX('STOPE SUMMARY PIVOT'!$J$2690:$J$2817, MATCH(GA$1,'STOPE SUMMARY PIVOT'!$A$2690:$A$2817, 0))</f>
        <v>0</v>
      </c>
      <c r="GB77" s="176">
        <f>INDEX('STOPE SUMMARY PIVOT'!$K$2690:$K$2817, MATCH(GA$1,'STOPE SUMMARY PIVOT'!$A$2690:$A$2817, 0))</f>
        <v>0</v>
      </c>
      <c r="GC77" s="172">
        <f>INDEX('STOPE SUMMARY PIVOT'!$J$2690:$J$2817, MATCH(GC$1,'STOPE SUMMARY PIVOT'!$A$2690:$A$2817, 0))</f>
        <v>0</v>
      </c>
      <c r="GD77" s="176">
        <f>INDEX('STOPE SUMMARY PIVOT'!$K$2690:$K$2817, MATCH(GC$1,'STOPE SUMMARY PIVOT'!$A$2690:$A$2817, 0))</f>
        <v>0</v>
      </c>
      <c r="GE77" s="172">
        <f>INDEX('STOPE SUMMARY PIVOT'!$J$2690:$J$2817, MATCH(GE$1,'STOPE SUMMARY PIVOT'!$A$2690:$A$2817, 0))</f>
        <v>0</v>
      </c>
      <c r="GF77" s="176">
        <f>INDEX('STOPE SUMMARY PIVOT'!$K$2690:$K$2817, MATCH(GE$1,'STOPE SUMMARY PIVOT'!$A$2690:$A$2817, 0))</f>
        <v>0</v>
      </c>
      <c r="GG77" s="172">
        <f>INDEX('STOPE SUMMARY PIVOT'!$J$2690:$J$2817, MATCH(GG$1,'STOPE SUMMARY PIVOT'!$A$2690:$A$2817, 0))</f>
        <v>0</v>
      </c>
      <c r="GH77" s="176">
        <f>INDEX('STOPE SUMMARY PIVOT'!$K$2690:$K$2817, MATCH(GG$1,'STOPE SUMMARY PIVOT'!$A$2690:$A$2817, 0))</f>
        <v>0</v>
      </c>
      <c r="GI77" s="172">
        <f>INDEX('STOPE SUMMARY PIVOT'!$J$2690:$J$2817, MATCH(GI$1,'STOPE SUMMARY PIVOT'!$A$2690:$A$2817, 0))</f>
        <v>0</v>
      </c>
      <c r="GJ77" s="176">
        <f>INDEX('STOPE SUMMARY PIVOT'!$K$2690:$K$2817, MATCH(GI$1,'STOPE SUMMARY PIVOT'!$A$2690:$A$2817, 0))</f>
        <v>0</v>
      </c>
      <c r="GK77" s="172">
        <f>INDEX('STOPE SUMMARY PIVOT'!$J$2690:$J$2817, MATCH(GK$1,'STOPE SUMMARY PIVOT'!$A$2690:$A$2817, 0))</f>
        <v>0</v>
      </c>
      <c r="GL77" s="176">
        <f>INDEX('STOPE SUMMARY PIVOT'!$K$2690:$K$2817, MATCH(GK$1,'STOPE SUMMARY PIVOT'!$A$2690:$A$2817, 0))</f>
        <v>0</v>
      </c>
      <c r="GM77" s="172">
        <f>INDEX('STOPE SUMMARY PIVOT'!$J$2690:$J$2817, MATCH(GM$1,'STOPE SUMMARY PIVOT'!$A$2690:$A$2817, 0))</f>
        <v>0</v>
      </c>
      <c r="GN77" s="176">
        <f>INDEX('STOPE SUMMARY PIVOT'!$K$2690:$K$2817, MATCH(GM$1,'STOPE SUMMARY PIVOT'!$A$2690:$A$2817, 0))</f>
        <v>0</v>
      </c>
      <c r="GO77" s="172">
        <f>INDEX('STOPE SUMMARY PIVOT'!$J$2690:$J$2817, MATCH(GO$1,'STOPE SUMMARY PIVOT'!$A$2690:$A$2817, 0))</f>
        <v>0</v>
      </c>
      <c r="GP77" s="176">
        <f>INDEX('STOPE SUMMARY PIVOT'!$K$2690:$K$2817, MATCH(GO$1,'STOPE SUMMARY PIVOT'!$A$2690:$A$2817, 0))</f>
        <v>0</v>
      </c>
      <c r="GQ77" s="172">
        <f>INDEX('STOPE SUMMARY PIVOT'!$J$2690:$J$2817, MATCH(GQ$1,'STOPE SUMMARY PIVOT'!$A$2690:$A$2817, 0))</f>
        <v>0</v>
      </c>
      <c r="GR77" s="176">
        <f>INDEX('STOPE SUMMARY PIVOT'!$K$2690:$K$2817, MATCH(GQ$1,'STOPE SUMMARY PIVOT'!$A$2690:$A$2817, 0))</f>
        <v>0</v>
      </c>
      <c r="GS77" s="172">
        <f>INDEX('STOPE SUMMARY PIVOT'!$J$2690:$J$2817, MATCH(GS$1,'STOPE SUMMARY PIVOT'!$A$2690:$A$2817, 0))</f>
        <v>0</v>
      </c>
      <c r="GT77" s="176">
        <f>INDEX('STOPE SUMMARY PIVOT'!$K$2690:$K$2817, MATCH(GS$1,'STOPE SUMMARY PIVOT'!$A$2690:$A$2817, 0))</f>
        <v>0</v>
      </c>
      <c r="GU77" s="172">
        <f>INDEX('STOPE SUMMARY PIVOT'!$J$2690:$J$2817, MATCH(GU$1,'STOPE SUMMARY PIVOT'!$A$2690:$A$2817, 0))</f>
        <v>0</v>
      </c>
      <c r="GV77" s="176">
        <f>INDEX('STOPE SUMMARY PIVOT'!$K$2690:$K$2817, MATCH(GU$1,'STOPE SUMMARY PIVOT'!$A$2690:$A$2817, 0))</f>
        <v>0</v>
      </c>
      <c r="GW77" s="172">
        <f>INDEX('STOPE SUMMARY PIVOT'!$J$2690:$J$2817, MATCH(GW$1,'STOPE SUMMARY PIVOT'!$A$2690:$A$2817, 0))</f>
        <v>0</v>
      </c>
      <c r="GX77" s="176">
        <f>INDEX('STOPE SUMMARY PIVOT'!$K$2690:$K$2817, MATCH(GW$1,'STOPE SUMMARY PIVOT'!$A$2690:$A$2817, 0))</f>
        <v>0</v>
      </c>
      <c r="GY77" s="172">
        <f>INDEX('STOPE SUMMARY PIVOT'!$J$2690:$J$2817, MATCH(GY$1,'STOPE SUMMARY PIVOT'!$A$2690:$A$2817, 0))</f>
        <v>0</v>
      </c>
      <c r="GZ77" s="176">
        <f>INDEX('STOPE SUMMARY PIVOT'!$K$2690:$K$2817, MATCH(GY$1,'STOPE SUMMARY PIVOT'!$A$2690:$A$2817, 0))</f>
        <v>0</v>
      </c>
      <c r="HA77" s="172">
        <f>INDEX('STOPE SUMMARY PIVOT'!$J$2690:$J$2817, MATCH(HA$1,'STOPE SUMMARY PIVOT'!$A$2690:$A$2817, 0))</f>
        <v>0</v>
      </c>
      <c r="HB77" s="176">
        <f>INDEX('STOPE SUMMARY PIVOT'!$K$2690:$K$2817, MATCH(HA$1,'STOPE SUMMARY PIVOT'!$A$2690:$A$2817, 0))</f>
        <v>0</v>
      </c>
      <c r="HC77" s="172">
        <f>INDEX('STOPE SUMMARY PIVOT'!$J$2690:$J$2817, MATCH(HC$1,'STOPE SUMMARY PIVOT'!$A$2690:$A$2817, 0))</f>
        <v>0</v>
      </c>
      <c r="HD77" s="176">
        <f>INDEX('STOPE SUMMARY PIVOT'!$K$2690:$K$2817, MATCH(HC$1,'STOPE SUMMARY PIVOT'!$A$2690:$A$2817, 0))</f>
        <v>0</v>
      </c>
      <c r="HE77" s="172">
        <f>INDEX('STOPE SUMMARY PIVOT'!$J$2690:$J$2817, MATCH(HE$1,'STOPE SUMMARY PIVOT'!$A$2690:$A$2817, 0))</f>
        <v>0</v>
      </c>
      <c r="HF77" s="176">
        <f>INDEX('STOPE SUMMARY PIVOT'!$K$2690:$K$2817, MATCH(HE$1,'STOPE SUMMARY PIVOT'!$A$2690:$A$2817, 0))</f>
        <v>0</v>
      </c>
      <c r="HG77" s="172">
        <f>INDEX('STOPE SUMMARY PIVOT'!$J$2690:$J$2817, MATCH(HG$1,'STOPE SUMMARY PIVOT'!$A$2690:$A$2817, 0))</f>
        <v>0</v>
      </c>
      <c r="HH77" s="176">
        <f>INDEX('STOPE SUMMARY PIVOT'!$K$2690:$K$2817, MATCH(HG$1,'STOPE SUMMARY PIVOT'!$A$2690:$A$2817, 0))</f>
        <v>0</v>
      </c>
      <c r="HI77" s="172">
        <f>INDEX('STOPE SUMMARY PIVOT'!$J$2690:$J$2817, MATCH(HI$1,'STOPE SUMMARY PIVOT'!$A$2690:$A$2817, 0))</f>
        <v>0</v>
      </c>
      <c r="HJ77" s="176">
        <f>INDEX('STOPE SUMMARY PIVOT'!$K$2690:$K$2817, MATCH(HI$1,'STOPE SUMMARY PIVOT'!$A$2690:$A$2817, 0))</f>
        <v>0</v>
      </c>
      <c r="HK77" s="172">
        <f>INDEX('STOPE SUMMARY PIVOT'!$J$2690:$J$2817, MATCH(HK$1,'STOPE SUMMARY PIVOT'!$A$2690:$A$2817, 0))</f>
        <v>0</v>
      </c>
      <c r="HL77" s="176">
        <f>INDEX('STOPE SUMMARY PIVOT'!$K$2690:$K$2817, MATCH(HK$1,'STOPE SUMMARY PIVOT'!$A$2690:$A$2817, 0))</f>
        <v>0</v>
      </c>
      <c r="HM77" s="172">
        <f>INDEX('STOPE SUMMARY PIVOT'!$J$2690:$J$2817, MATCH(HM$1,'STOPE SUMMARY PIVOT'!$A$2690:$A$2817, 0))</f>
        <v>0</v>
      </c>
      <c r="HN77" s="176">
        <f>INDEX('STOPE SUMMARY PIVOT'!$K$2690:$K$2817, MATCH(HM$1,'STOPE SUMMARY PIVOT'!$A$2690:$A$2817, 0))</f>
        <v>0</v>
      </c>
      <c r="HO77" s="172">
        <f>INDEX('STOPE SUMMARY PIVOT'!$J$2690:$J$2817, MATCH(HO$1,'STOPE SUMMARY PIVOT'!$A$2690:$A$2817, 0))</f>
        <v>0</v>
      </c>
      <c r="HP77" s="176">
        <f>INDEX('STOPE SUMMARY PIVOT'!$K$2690:$K$2817, MATCH(HO$1,'STOPE SUMMARY PIVOT'!$A$2690:$A$2817, 0))</f>
        <v>0</v>
      </c>
      <c r="HQ77" s="172">
        <f>INDEX('STOPE SUMMARY PIVOT'!$J$2690:$J$2817, MATCH(HQ$1,'STOPE SUMMARY PIVOT'!$A$2690:$A$2817, 0))</f>
        <v>0</v>
      </c>
      <c r="HR77" s="176">
        <f>INDEX('STOPE SUMMARY PIVOT'!$K$2690:$K$2817, MATCH(HQ$1,'STOPE SUMMARY PIVOT'!$A$2690:$A$2817, 0))</f>
        <v>0</v>
      </c>
      <c r="HS77" s="172">
        <f>INDEX('STOPE SUMMARY PIVOT'!$J$2690:$J$2817, MATCH(HS$1,'STOPE SUMMARY PIVOT'!$A$2690:$A$2817, 0))</f>
        <v>0</v>
      </c>
      <c r="HT77" s="176">
        <f>INDEX('STOPE SUMMARY PIVOT'!$K$2690:$K$2817, MATCH(HS$1,'STOPE SUMMARY PIVOT'!$A$2690:$A$2817, 0))</f>
        <v>0</v>
      </c>
      <c r="HU77" s="172">
        <f>INDEX('STOPE SUMMARY PIVOT'!$J$2690:$J$2817, MATCH(HU$1,'STOPE SUMMARY PIVOT'!$A$2690:$A$2817, 0))</f>
        <v>0</v>
      </c>
      <c r="HV77" s="176">
        <f>INDEX('STOPE SUMMARY PIVOT'!$K$2690:$K$2817, MATCH(HU$1,'STOPE SUMMARY PIVOT'!$A$2690:$A$2817, 0))</f>
        <v>0</v>
      </c>
      <c r="HW77" s="172">
        <f>INDEX('STOPE SUMMARY PIVOT'!$J$2690:$J$2817, MATCH(HW$1,'STOPE SUMMARY PIVOT'!$A$2690:$A$2817, 0))</f>
        <v>0</v>
      </c>
      <c r="HX77" s="176">
        <f>INDEX('STOPE SUMMARY PIVOT'!$K$2690:$K$2817, MATCH(HW$1,'STOPE SUMMARY PIVOT'!$A$2690:$A$2817, 0))</f>
        <v>0</v>
      </c>
      <c r="HY77" s="172">
        <f>INDEX('STOPE SUMMARY PIVOT'!$J$2690:$J$2817, MATCH(HY$1,'STOPE SUMMARY PIVOT'!$A$2690:$A$2817, 0))</f>
        <v>0</v>
      </c>
      <c r="HZ77" s="176">
        <f>INDEX('STOPE SUMMARY PIVOT'!$K$2690:$K$2817, MATCH(HY$1,'STOPE SUMMARY PIVOT'!$A$2690:$A$2817, 0))</f>
        <v>0</v>
      </c>
      <c r="IA77" s="172">
        <f>INDEX('STOPE SUMMARY PIVOT'!$J$2690:$J$2817, MATCH(IA$1,'STOPE SUMMARY PIVOT'!$A$2690:$A$2817, 0))</f>
        <v>0</v>
      </c>
      <c r="IB77" s="176">
        <f>INDEX('STOPE SUMMARY PIVOT'!$K$2690:$K$2817, MATCH(IA$1,'STOPE SUMMARY PIVOT'!$A$2690:$A$2817, 0))</f>
        <v>0</v>
      </c>
      <c r="IC77" s="172">
        <f>INDEX('STOPE SUMMARY PIVOT'!$J$2690:$J$2817, MATCH(IC$1,'STOPE SUMMARY PIVOT'!$A$2690:$A$2817, 0))</f>
        <v>0</v>
      </c>
      <c r="ID77" s="176">
        <f>INDEX('STOPE SUMMARY PIVOT'!$K$2690:$K$2817, MATCH(IC$1,'STOPE SUMMARY PIVOT'!$A$2690:$A$2817, 0))</f>
        <v>0</v>
      </c>
      <c r="IE77" s="172">
        <f>INDEX('STOPE SUMMARY PIVOT'!$J$2690:$J$2817, MATCH(IE$1,'STOPE SUMMARY PIVOT'!$A$2690:$A$2817, 0))</f>
        <v>0</v>
      </c>
      <c r="IF77" s="176">
        <f>INDEX('STOPE SUMMARY PIVOT'!$K$2690:$K$2817, MATCH(IE$1,'STOPE SUMMARY PIVOT'!$A$2690:$A$2817, 0))</f>
        <v>0</v>
      </c>
      <c r="IG77" s="172">
        <f>INDEX('STOPE SUMMARY PIVOT'!$J$2690:$J$2817, MATCH(IG$1,'STOPE SUMMARY PIVOT'!$A$2690:$A$2817, 0))</f>
        <v>0</v>
      </c>
      <c r="IH77" s="176">
        <f>INDEX('STOPE SUMMARY PIVOT'!$K$2690:$K$2817, MATCH(IG$1,'STOPE SUMMARY PIVOT'!$A$2690:$A$2817, 0))</f>
        <v>0</v>
      </c>
      <c r="II77" s="172">
        <f>INDEX('STOPE SUMMARY PIVOT'!$J$2690:$J$2817, MATCH(II$1,'STOPE SUMMARY PIVOT'!$A$2690:$A$2817, 0))</f>
        <v>0</v>
      </c>
      <c r="IJ77" s="176">
        <f>INDEX('STOPE SUMMARY PIVOT'!$K$2690:$K$2817, MATCH(II$1,'STOPE SUMMARY PIVOT'!$A$2690:$A$2817, 0))</f>
        <v>0</v>
      </c>
      <c r="IK77" s="172">
        <f>INDEX('STOPE SUMMARY PIVOT'!$J$2690:$J$2817, MATCH(IK$1,'STOPE SUMMARY PIVOT'!$A$2690:$A$2817, 0))</f>
        <v>0</v>
      </c>
      <c r="IL77" s="176">
        <f>INDEX('STOPE SUMMARY PIVOT'!$K$2690:$K$2817, MATCH(IK$1,'STOPE SUMMARY PIVOT'!$A$2690:$A$2817, 0))</f>
        <v>0</v>
      </c>
      <c r="IM77" s="172">
        <f>INDEX('STOPE SUMMARY PIVOT'!$J$2690:$J$2817, MATCH(IM$1,'STOPE SUMMARY PIVOT'!$A$2690:$A$2817, 0))</f>
        <v>0</v>
      </c>
      <c r="IN77" s="176">
        <f>INDEX('STOPE SUMMARY PIVOT'!$K$2690:$K$2817, MATCH(IM$1,'STOPE SUMMARY PIVOT'!$A$2690:$A$2817, 0))</f>
        <v>0</v>
      </c>
      <c r="IO77" s="172">
        <f>INDEX('STOPE SUMMARY PIVOT'!$J$2690:$J$2817, MATCH(IO$1,'STOPE SUMMARY PIVOT'!$A$2690:$A$2817, 0))</f>
        <v>0</v>
      </c>
      <c r="IP77" s="176">
        <f>INDEX('STOPE SUMMARY PIVOT'!$K$2690:$K$2817, MATCH(IO$1,'STOPE SUMMARY PIVOT'!$A$2690:$A$2817, 0))</f>
        <v>0</v>
      </c>
      <c r="IQ77" s="172">
        <f>INDEX('STOPE SUMMARY PIVOT'!$J$2690:$J$2817, MATCH(IQ$1,'STOPE SUMMARY PIVOT'!$A$2690:$A$2817, 0))</f>
        <v>0</v>
      </c>
      <c r="IR77" s="176">
        <f>INDEX('STOPE SUMMARY PIVOT'!$K$2690:$K$2817, MATCH(IQ$1,'STOPE SUMMARY PIVOT'!$A$2690:$A$2817, 0))</f>
        <v>0</v>
      </c>
      <c r="IS77" s="172">
        <f>INDEX('STOPE SUMMARY PIVOT'!$J$2690:$J$2817, MATCH(IS$1,'STOPE SUMMARY PIVOT'!$A$2690:$A$2817, 0))</f>
        <v>0</v>
      </c>
      <c r="IT77" s="176">
        <f>INDEX('STOPE SUMMARY PIVOT'!$K$2690:$K$2817, MATCH(IS$1,'STOPE SUMMARY PIVOT'!$A$2690:$A$2817, 0))</f>
        <v>0</v>
      </c>
      <c r="IU77" s="172">
        <f>INDEX('STOPE SUMMARY PIVOT'!$J$2690:$J$2817, MATCH(IU$1,'STOPE SUMMARY PIVOT'!$A$2690:$A$2817, 0))</f>
        <v>0</v>
      </c>
      <c r="IV77" s="176">
        <f>INDEX('STOPE SUMMARY PIVOT'!$K$2690:$K$2817, MATCH(IU$1,'STOPE SUMMARY PIVOT'!$A$2690:$A$2817, 0))</f>
        <v>0</v>
      </c>
      <c r="IW77" s="172">
        <f>INDEX('STOPE SUMMARY PIVOT'!$J$2690:$J$2817, MATCH(IW$1,'STOPE SUMMARY PIVOT'!$A$2690:$A$2817, 0))</f>
        <v>0</v>
      </c>
      <c r="IX77" s="176">
        <f>INDEX('STOPE SUMMARY PIVOT'!$K$2690:$K$2817, MATCH(IW$1,'STOPE SUMMARY PIVOT'!$A$2690:$A$2817, 0))</f>
        <v>0</v>
      </c>
      <c r="IY77" s="172">
        <f>INDEX('STOPE SUMMARY PIVOT'!$J$2690:$J$2817, MATCH(IY$1,'STOPE SUMMARY PIVOT'!$A$2690:$A$2817, 0))</f>
        <v>0</v>
      </c>
      <c r="IZ77" s="176">
        <f>INDEX('STOPE SUMMARY PIVOT'!$K$2690:$K$2817, MATCH(IY$1,'STOPE SUMMARY PIVOT'!$A$2690:$A$2817, 0))</f>
        <v>0</v>
      </c>
    </row>
    <row r="78" spans="1:260" x14ac:dyDescent="0.25">
      <c r="A78" s="1589">
        <v>45962</v>
      </c>
      <c r="B78" s="162" t="s">
        <v>218</v>
      </c>
      <c r="C78" s="163" cm="1">
        <f t="array" ref="C78">SUM(_xlfn._xlws.FILTER(E78:IZ78, MOD(COLUMN(E78:IZ78)-COLUMN(E78)+1,2)=1))</f>
        <v>29084</v>
      </c>
      <c r="D78" s="164" cm="1">
        <f t="array" ref="D78">SUMPRODUCT(_xlfn._xlws.FILTER(E78:IZ78, MOD(COLUMN(E78:IZ78)-COLUMN(E78)+1,2)=1), _xlfn._xlws.FILTER(E78:IZ78, MOD(COLUMN(E78:IZ78)-COLUMN(E78)+1,2)=0))/C78</f>
        <v>2.6428366111951593</v>
      </c>
      <c r="E78" s="165">
        <f>INDEX('STOPE SUMMARY PIVOT'!$D$2818:$D$2945, MATCH(E$1,'STOPE SUMMARY PIVOT'!$A$2818:$A$2945, 0))</f>
        <v>0</v>
      </c>
      <c r="F78" s="174">
        <f>INDEX('STOPE SUMMARY PIVOT'!$E$2818:$E$2945, MATCH(E$1,'STOPE SUMMARY PIVOT'!$A$2818:$A$2945, 0))</f>
        <v>0</v>
      </c>
      <c r="G78" s="165">
        <f>INDEX('STOPE SUMMARY PIVOT'!$D$2818:$D$2945, MATCH(G$1,'STOPE SUMMARY PIVOT'!$A$2818:$A$2945, 0))</f>
        <v>0</v>
      </c>
      <c r="H78" s="174">
        <f>INDEX('STOPE SUMMARY PIVOT'!$E$2818:$E$2945, MATCH(G$1,'STOPE SUMMARY PIVOT'!$A$2818:$A$2945, 0))</f>
        <v>0</v>
      </c>
      <c r="I78" s="165">
        <f>INDEX('STOPE SUMMARY PIVOT'!$D$2818:$D$2945, MATCH(I$1,'STOPE SUMMARY PIVOT'!$A$2818:$A$2945, 0))</f>
        <v>0</v>
      </c>
      <c r="J78" s="166">
        <f>INDEX('STOPE SUMMARY PIVOT'!$E$2818:$E$2945, MATCH(I$1,'STOPE SUMMARY PIVOT'!$A$2818:$A$2945, 0))</f>
        <v>0</v>
      </c>
      <c r="K78" s="165">
        <f>INDEX('STOPE SUMMARY PIVOT'!$D$2818:$D$2945, MATCH(K$1,'STOPE SUMMARY PIVOT'!$A$2818:$A$2945, 0))</f>
        <v>0</v>
      </c>
      <c r="L78" s="166">
        <f>INDEX('STOPE SUMMARY PIVOT'!$E$2818:$E$2945, MATCH(K$1,'STOPE SUMMARY PIVOT'!$A$2818:$A$2945, 0))</f>
        <v>0</v>
      </c>
      <c r="M78" s="165">
        <f>INDEX('STOPE SUMMARY PIVOT'!$D$2818:$D$2945, MATCH(M$1,'STOPE SUMMARY PIVOT'!$A$2818:$A$2945, 0))</f>
        <v>0</v>
      </c>
      <c r="N78" s="166">
        <f>INDEX('STOPE SUMMARY PIVOT'!$E$2818:$E$2945, MATCH(M$1,'STOPE SUMMARY PIVOT'!$A$2818:$A$2945, 0))</f>
        <v>0</v>
      </c>
      <c r="O78" s="165">
        <f>INDEX('STOPE SUMMARY PIVOT'!$D$2818:$D$2945, MATCH(O$1,'STOPE SUMMARY PIVOT'!$A$2818:$A$2945, 0))</f>
        <v>0</v>
      </c>
      <c r="P78" s="166">
        <f>INDEX('STOPE SUMMARY PIVOT'!$E$2818:$E$2945, MATCH(O$1,'STOPE SUMMARY PIVOT'!$A$2818:$A$2945, 0))</f>
        <v>0</v>
      </c>
      <c r="Q78" s="165">
        <f>INDEX('STOPE SUMMARY PIVOT'!$D$2818:$D$2945, MATCH(Q$1,'STOPE SUMMARY PIVOT'!$A$2818:$A$2945, 0))</f>
        <v>0</v>
      </c>
      <c r="R78" s="166">
        <f>INDEX('STOPE SUMMARY PIVOT'!$E$2818:$E$2945, MATCH(Q$1,'STOPE SUMMARY PIVOT'!$A$2818:$A$2945, 0))</f>
        <v>0</v>
      </c>
      <c r="S78" s="165">
        <f>INDEX('STOPE SUMMARY PIVOT'!$D$2818:$D$2945, MATCH(S$1,'STOPE SUMMARY PIVOT'!$A$2818:$A$2945, 0))</f>
        <v>0</v>
      </c>
      <c r="T78" s="166">
        <f>INDEX('STOPE SUMMARY PIVOT'!$E$2818:$E$2945, MATCH(S$1,'STOPE SUMMARY PIVOT'!$A$2818:$A$2945, 0))</f>
        <v>0</v>
      </c>
      <c r="U78" s="165">
        <f>INDEX('STOPE SUMMARY PIVOT'!$D$2818:$D$2945, MATCH(U$1,'STOPE SUMMARY PIVOT'!$A$2818:$A$2945, 0))</f>
        <v>0</v>
      </c>
      <c r="V78" s="174">
        <f>INDEX('STOPE SUMMARY PIVOT'!$E$2818:$E$2945, MATCH(U$1,'STOPE SUMMARY PIVOT'!$A$2818:$A$2945, 0))</f>
        <v>0</v>
      </c>
      <c r="W78" s="165">
        <f>INDEX('STOPE SUMMARY PIVOT'!$D$2818:$D$2945, MATCH(W$1,'STOPE SUMMARY PIVOT'!$A$2818:$A$2945, 0))</f>
        <v>0</v>
      </c>
      <c r="X78" s="174">
        <f>INDEX('STOPE SUMMARY PIVOT'!$E$2818:$E$2945, MATCH(W$1,'STOPE SUMMARY PIVOT'!$A$2818:$A$2945, 0))</f>
        <v>0</v>
      </c>
      <c r="Y78" s="165">
        <f>INDEX('STOPE SUMMARY PIVOT'!$D$2818:$D$2945, MATCH(Y$1,'STOPE SUMMARY PIVOT'!$A$2818:$A$2945, 0))</f>
        <v>0</v>
      </c>
      <c r="Z78" s="174">
        <f>INDEX('STOPE SUMMARY PIVOT'!$E$2818:$E$2945, MATCH(Y$1,'STOPE SUMMARY PIVOT'!$A$2818:$A$2945, 0))</f>
        <v>0</v>
      </c>
      <c r="AA78" s="165">
        <f>INDEX('STOPE SUMMARY PIVOT'!$D$2818:$D$2945, MATCH(AA$1,'STOPE SUMMARY PIVOT'!$A$2818:$A$2945, 0))</f>
        <v>0</v>
      </c>
      <c r="AB78" s="174">
        <f>INDEX('STOPE SUMMARY PIVOT'!$E$2818:$E$2945, MATCH(AA$1,'STOPE SUMMARY PIVOT'!$A$2818:$A$2945, 0))</f>
        <v>0</v>
      </c>
      <c r="AC78" s="165">
        <f>INDEX('STOPE SUMMARY PIVOT'!$D$2818:$D$2945, MATCH(AC$1,'STOPE SUMMARY PIVOT'!$A$2818:$A$2945, 0))</f>
        <v>0</v>
      </c>
      <c r="AD78" s="174">
        <f>INDEX('STOPE SUMMARY PIVOT'!$E$2818:$E$2945, MATCH(AC$1,'STOPE SUMMARY PIVOT'!$A$2818:$A$2945, 0))</f>
        <v>0</v>
      </c>
      <c r="AE78" s="165">
        <f>INDEX('STOPE SUMMARY PIVOT'!$D$2818:$D$2945, MATCH(AE$1,'STOPE SUMMARY PIVOT'!$A$2818:$A$2945, 0))</f>
        <v>0</v>
      </c>
      <c r="AF78" s="174">
        <f>INDEX('STOPE SUMMARY PIVOT'!$E$2818:$E$2945, MATCH(AE$1,'STOPE SUMMARY PIVOT'!$A$2818:$A$2945, 0))</f>
        <v>0</v>
      </c>
      <c r="AG78" s="165">
        <f>INDEX('STOPE SUMMARY PIVOT'!$D$2818:$D$2945, MATCH(AG$1,'STOPE SUMMARY PIVOT'!$A$2818:$A$2945, 0))</f>
        <v>1046</v>
      </c>
      <c r="AH78" s="174">
        <f>INDEX('STOPE SUMMARY PIVOT'!$E$2818:$E$2945, MATCH(AG$1,'STOPE SUMMARY PIVOT'!$A$2818:$A$2945, 0))</f>
        <v>2.2000000000000002</v>
      </c>
      <c r="AI78" s="165">
        <f>INDEX('STOPE SUMMARY PIVOT'!$D$2818:$D$2945, MATCH(AI$1,'STOPE SUMMARY PIVOT'!$A$2818:$A$2945, 0))</f>
        <v>2921</v>
      </c>
      <c r="AJ78" s="174">
        <f>INDEX('STOPE SUMMARY PIVOT'!$E$2818:$E$2945, MATCH(AI$1,'STOPE SUMMARY PIVOT'!$A$2818:$A$2945, 0))</f>
        <v>2.5299999999999998</v>
      </c>
      <c r="AK78" s="165">
        <f>INDEX('STOPE SUMMARY PIVOT'!$D$2818:$D$2945, MATCH(AK$1,'STOPE SUMMARY PIVOT'!$A$2818:$A$2945, 0))</f>
        <v>2332</v>
      </c>
      <c r="AL78" s="174">
        <f>INDEX('STOPE SUMMARY PIVOT'!$E$2818:$E$2945, MATCH(AK$1,'STOPE SUMMARY PIVOT'!$A$2818:$A$2945, 0))</f>
        <v>2.63</v>
      </c>
      <c r="AM78" s="165">
        <f>INDEX('STOPE SUMMARY PIVOT'!$D$2818:$D$2945, MATCH(AM$1,'STOPE SUMMARY PIVOT'!$A$2818:$A$2945, 0))</f>
        <v>0</v>
      </c>
      <c r="AN78" s="174">
        <f>INDEX('STOPE SUMMARY PIVOT'!$E$2818:$E$2945, MATCH(AM$1,'STOPE SUMMARY PIVOT'!$A$2818:$A$2945, 0))</f>
        <v>0</v>
      </c>
      <c r="AO78" s="165">
        <f>INDEX('STOPE SUMMARY PIVOT'!$D$2818:$D$2945, MATCH(AO$1,'STOPE SUMMARY PIVOT'!$A$2818:$A$2945, 0))</f>
        <v>0</v>
      </c>
      <c r="AP78" s="174">
        <f>INDEX('STOPE SUMMARY PIVOT'!$E$2818:$E$2945, MATCH(AO$1,'STOPE SUMMARY PIVOT'!$A$2818:$A$2945, 0))</f>
        <v>0</v>
      </c>
      <c r="AQ78" s="165">
        <f>INDEX('STOPE SUMMARY PIVOT'!$D$2818:$D$2945, MATCH(AQ$1,'STOPE SUMMARY PIVOT'!$A$2818:$A$2945, 0))</f>
        <v>0</v>
      </c>
      <c r="AR78" s="174">
        <f>INDEX('STOPE SUMMARY PIVOT'!$E$2818:$E$2945, MATCH(AQ$1,'STOPE SUMMARY PIVOT'!$A$2818:$A$2945, 0))</f>
        <v>0</v>
      </c>
      <c r="AS78" s="165">
        <f>INDEX('STOPE SUMMARY PIVOT'!$D$2818:$D$2945, MATCH(AS$1,'STOPE SUMMARY PIVOT'!$A$2818:$A$2945, 0))</f>
        <v>0</v>
      </c>
      <c r="AT78" s="174">
        <f>INDEX('STOPE SUMMARY PIVOT'!$E$2818:$E$2945, MATCH(AS$1,'STOPE SUMMARY PIVOT'!$A$2818:$A$2945, 0))</f>
        <v>0</v>
      </c>
      <c r="AU78" s="165">
        <f>INDEX('STOPE SUMMARY PIVOT'!$D$2818:$D$2945, MATCH(AU$1,'STOPE SUMMARY PIVOT'!$A$2818:$A$2945, 0))</f>
        <v>0</v>
      </c>
      <c r="AV78" s="174">
        <f>INDEX('STOPE SUMMARY PIVOT'!$E$2818:$E$2945, MATCH(AU$1,'STOPE SUMMARY PIVOT'!$A$2818:$A$2945, 0))</f>
        <v>0</v>
      </c>
      <c r="AW78" s="165">
        <f>INDEX('STOPE SUMMARY PIVOT'!$D$2818:$D$2945, MATCH(AW$1,'STOPE SUMMARY PIVOT'!$A$2818:$A$2945, 0))</f>
        <v>0</v>
      </c>
      <c r="AX78" s="174">
        <f>INDEX('STOPE SUMMARY PIVOT'!$E$2818:$E$2945, MATCH(AW$1,'STOPE SUMMARY PIVOT'!$A$2818:$A$2945, 0))</f>
        <v>0</v>
      </c>
      <c r="AY78" s="165">
        <f>INDEX('STOPE SUMMARY PIVOT'!$D$2818:$D$2945, MATCH(AY$1,'STOPE SUMMARY PIVOT'!$A$2818:$A$2945, 0))</f>
        <v>0</v>
      </c>
      <c r="AZ78" s="174">
        <f>INDEX('STOPE SUMMARY PIVOT'!$E$2818:$E$2945, MATCH(AY$1,'STOPE SUMMARY PIVOT'!$A$2818:$A$2945, 0))</f>
        <v>0</v>
      </c>
      <c r="BA78" s="165">
        <f>INDEX('STOPE SUMMARY PIVOT'!$D$2818:$D$2945, MATCH(BA$1,'STOPE SUMMARY PIVOT'!$A$2818:$A$2945, 0))</f>
        <v>0</v>
      </c>
      <c r="BB78" s="174">
        <f>INDEX('STOPE SUMMARY PIVOT'!$E$2818:$E$2945, MATCH(BA$1,'STOPE SUMMARY PIVOT'!$A$2818:$A$2945, 0))</f>
        <v>0</v>
      </c>
      <c r="BC78" s="165">
        <f>INDEX('STOPE SUMMARY PIVOT'!$D$2818:$D$2945, MATCH(BC$1,'STOPE SUMMARY PIVOT'!$A$2818:$A$2945, 0))</f>
        <v>0</v>
      </c>
      <c r="BD78" s="174">
        <f>INDEX('STOPE SUMMARY PIVOT'!$E$2818:$E$2945, MATCH(BC$1,'STOPE SUMMARY PIVOT'!$A$2818:$A$2945, 0))</f>
        <v>0</v>
      </c>
      <c r="BE78" s="165">
        <f>INDEX('STOPE SUMMARY PIVOT'!$D$2818:$D$2945, MATCH(BE$1,'STOPE SUMMARY PIVOT'!$A$2818:$A$2945, 0))</f>
        <v>0</v>
      </c>
      <c r="BF78" s="174">
        <f>INDEX('STOPE SUMMARY PIVOT'!$E$2818:$E$2945, MATCH(BE$1,'STOPE SUMMARY PIVOT'!$A$2818:$A$2945, 0))</f>
        <v>0</v>
      </c>
      <c r="BG78" s="165">
        <f>INDEX('STOPE SUMMARY PIVOT'!$D$2818:$D$2945, MATCH(BG$1,'STOPE SUMMARY PIVOT'!$A$2818:$A$2945, 0))</f>
        <v>0</v>
      </c>
      <c r="BH78" s="174">
        <f>INDEX('STOPE SUMMARY PIVOT'!$E$2818:$E$2945, MATCH(BG$1,'STOPE SUMMARY PIVOT'!$A$2818:$A$2945, 0))</f>
        <v>0</v>
      </c>
      <c r="BI78" s="165">
        <f>INDEX('STOPE SUMMARY PIVOT'!$D$2818:$D$2945, MATCH(BI$1,'STOPE SUMMARY PIVOT'!$A$2818:$A$2945, 0))</f>
        <v>0</v>
      </c>
      <c r="BJ78" s="174">
        <f>INDEX('STOPE SUMMARY PIVOT'!$E$2818:$E$2945, MATCH(BI$1,'STOPE SUMMARY PIVOT'!$A$2818:$A$2945, 0))</f>
        <v>0</v>
      </c>
      <c r="BK78" s="165">
        <f>INDEX('STOPE SUMMARY PIVOT'!$D$2818:$D$2945, MATCH(BK$1,'STOPE SUMMARY PIVOT'!$A$2818:$A$2945, 0))</f>
        <v>0</v>
      </c>
      <c r="BL78" s="174">
        <f>INDEX('STOPE SUMMARY PIVOT'!$E$2818:$E$2945, MATCH(BK$1,'STOPE SUMMARY PIVOT'!$A$2818:$A$2945, 0))</f>
        <v>0</v>
      </c>
      <c r="BM78" s="165">
        <f>INDEX('STOPE SUMMARY PIVOT'!$D$2818:$D$2945, MATCH(BM$1,'STOPE SUMMARY PIVOT'!$A$2818:$A$2945, 0))</f>
        <v>0</v>
      </c>
      <c r="BN78" s="174">
        <f>INDEX('STOPE SUMMARY PIVOT'!$E$2818:$E$2945, MATCH(BM$1,'STOPE SUMMARY PIVOT'!$A$2818:$A$2945, 0))</f>
        <v>0</v>
      </c>
      <c r="BO78" s="165">
        <f>INDEX('STOPE SUMMARY PIVOT'!$D$2818:$D$2945, MATCH(BO$1,'STOPE SUMMARY PIVOT'!$A$2818:$A$2945, 0))</f>
        <v>0</v>
      </c>
      <c r="BP78" s="174">
        <f>INDEX('STOPE SUMMARY PIVOT'!$E$2818:$E$2945, MATCH(BO$1,'STOPE SUMMARY PIVOT'!$A$2818:$A$2945, 0))</f>
        <v>0</v>
      </c>
      <c r="BQ78" s="165">
        <f>INDEX('STOPE SUMMARY PIVOT'!$D$2818:$D$2945, MATCH(BQ$1,'STOPE SUMMARY PIVOT'!$A$2818:$A$2945, 0))</f>
        <v>0</v>
      </c>
      <c r="BR78" s="174">
        <f>INDEX('STOPE SUMMARY PIVOT'!$E$2818:$E$2945, MATCH(BQ$1,'STOPE SUMMARY PIVOT'!$A$2818:$A$2945, 0))</f>
        <v>0</v>
      </c>
      <c r="BS78" s="165">
        <f>INDEX('STOPE SUMMARY PIVOT'!$D$2818:$D$2945, MATCH(BS$1,'STOPE SUMMARY PIVOT'!$A$2818:$A$2945, 0))</f>
        <v>0</v>
      </c>
      <c r="BT78" s="174">
        <f>INDEX('STOPE SUMMARY PIVOT'!$E$2818:$E$2945, MATCH(BS$1,'STOPE SUMMARY PIVOT'!$A$2818:$A$2945, 0))</f>
        <v>0</v>
      </c>
      <c r="BU78" s="165">
        <f>INDEX('STOPE SUMMARY PIVOT'!$D$2818:$D$2945, MATCH(BU$1,'STOPE SUMMARY PIVOT'!$A$2818:$A$2945, 0))</f>
        <v>0</v>
      </c>
      <c r="BV78" s="174">
        <f>INDEX('STOPE SUMMARY PIVOT'!$E$2818:$E$2945, MATCH(BU$1,'STOPE SUMMARY PIVOT'!$A$2818:$A$2945, 0))</f>
        <v>0</v>
      </c>
      <c r="BW78" s="165">
        <f>INDEX('STOPE SUMMARY PIVOT'!$D$2818:$D$2945, MATCH(BW$1,'STOPE SUMMARY PIVOT'!$A$2818:$A$2945, 0))</f>
        <v>0</v>
      </c>
      <c r="BX78" s="174">
        <f>INDEX('STOPE SUMMARY PIVOT'!$E$2818:$E$2945, MATCH(BW$1,'STOPE SUMMARY PIVOT'!$A$2818:$A$2945, 0))</f>
        <v>0</v>
      </c>
      <c r="BY78" s="165">
        <f>INDEX('STOPE SUMMARY PIVOT'!$D$2818:$D$2945, MATCH(BY$1,'STOPE SUMMARY PIVOT'!$A$2818:$A$2945, 0))</f>
        <v>0</v>
      </c>
      <c r="BZ78" s="174">
        <f>INDEX('STOPE SUMMARY PIVOT'!$E$2818:$E$2945, MATCH(BY$1,'STOPE SUMMARY PIVOT'!$A$2818:$A$2945, 0))</f>
        <v>0</v>
      </c>
      <c r="CA78" s="165">
        <f>INDEX('STOPE SUMMARY PIVOT'!$D$2818:$D$2945, MATCH(CA$1,'STOPE SUMMARY PIVOT'!$A$2818:$A$2945, 0))</f>
        <v>0</v>
      </c>
      <c r="CB78" s="174">
        <f>INDEX('STOPE SUMMARY PIVOT'!$E$2818:$E$2945, MATCH(CA$1,'STOPE SUMMARY PIVOT'!$A$2818:$A$2945, 0))</f>
        <v>0</v>
      </c>
      <c r="CC78" s="165">
        <f>INDEX('STOPE SUMMARY PIVOT'!$D$2818:$D$2945, MATCH(CC$1,'STOPE SUMMARY PIVOT'!$A$2818:$A$2945, 0))</f>
        <v>0</v>
      </c>
      <c r="CD78" s="174">
        <f>INDEX('STOPE SUMMARY PIVOT'!$E$2818:$E$2945, MATCH(CC$1,'STOPE SUMMARY PIVOT'!$A$2818:$A$2945, 0))</f>
        <v>0</v>
      </c>
      <c r="CE78" s="165">
        <f>INDEX('STOPE SUMMARY PIVOT'!$D$2818:$D$2945, MATCH(CE$1,'STOPE SUMMARY PIVOT'!$A$2818:$A$2945, 0))</f>
        <v>0</v>
      </c>
      <c r="CF78" s="174">
        <f>INDEX('STOPE SUMMARY PIVOT'!$E$2818:$E$2945, MATCH(CE$1,'STOPE SUMMARY PIVOT'!$A$2818:$A$2945, 0))</f>
        <v>0</v>
      </c>
      <c r="CG78" s="165">
        <f>INDEX('STOPE SUMMARY PIVOT'!$D$2818:$D$2945, MATCH(CG$1,'STOPE SUMMARY PIVOT'!$A$2818:$A$2945, 0))</f>
        <v>0</v>
      </c>
      <c r="CH78" s="174">
        <f>INDEX('STOPE SUMMARY PIVOT'!$E$2818:$E$2945, MATCH(CG$1,'STOPE SUMMARY PIVOT'!$A$2818:$A$2945, 0))</f>
        <v>0</v>
      </c>
      <c r="CI78" s="165">
        <f>INDEX('STOPE SUMMARY PIVOT'!$D$2818:$D$2945, MATCH(CI$1,'STOPE SUMMARY PIVOT'!$A$2818:$A$2945, 0))</f>
        <v>0</v>
      </c>
      <c r="CJ78" s="174">
        <f>INDEX('STOPE SUMMARY PIVOT'!$E$2818:$E$2945, MATCH(CI$1,'STOPE SUMMARY PIVOT'!$A$2818:$A$2945, 0))</f>
        <v>0</v>
      </c>
      <c r="CK78" s="165">
        <f>INDEX('STOPE SUMMARY PIVOT'!$D$2818:$D$2945, MATCH(CK$1,'STOPE SUMMARY PIVOT'!$A$2818:$A$2945, 0))</f>
        <v>0</v>
      </c>
      <c r="CL78" s="174">
        <f>INDEX('STOPE SUMMARY PIVOT'!$E$2818:$E$2945, MATCH(CK$1,'STOPE SUMMARY PIVOT'!$A$2818:$A$2945, 0))</f>
        <v>0</v>
      </c>
      <c r="CM78" s="165">
        <f>INDEX('STOPE SUMMARY PIVOT'!$D$2818:$D$2945, MATCH(CM$1,'STOPE SUMMARY PIVOT'!$A$2818:$A$2945, 0))</f>
        <v>0</v>
      </c>
      <c r="CN78" s="174">
        <f>INDEX('STOPE SUMMARY PIVOT'!$E$2818:$E$2945, MATCH(CM$1,'STOPE SUMMARY PIVOT'!$A$2818:$A$2945, 0))</f>
        <v>0</v>
      </c>
      <c r="CO78" s="165">
        <f>INDEX('STOPE SUMMARY PIVOT'!$D$2818:$D$2945, MATCH(CO$1,'STOPE SUMMARY PIVOT'!$A$2818:$A$2945, 0))</f>
        <v>0</v>
      </c>
      <c r="CP78" s="174">
        <f>INDEX('STOPE SUMMARY PIVOT'!$E$2818:$E$2945, MATCH(CO$1,'STOPE SUMMARY PIVOT'!$A$2818:$A$2945, 0))</f>
        <v>0</v>
      </c>
      <c r="CQ78" s="165">
        <f>INDEX('STOPE SUMMARY PIVOT'!$D$2818:$D$2945, MATCH(CQ$1,'STOPE SUMMARY PIVOT'!$A$2818:$A$2945, 0))</f>
        <v>0</v>
      </c>
      <c r="CR78" s="174">
        <f>INDEX('STOPE SUMMARY PIVOT'!$E$2818:$E$2945, MATCH(CQ$1,'STOPE SUMMARY PIVOT'!$A$2818:$A$2945, 0))</f>
        <v>0</v>
      </c>
      <c r="CS78" s="165">
        <f>INDEX('STOPE SUMMARY PIVOT'!$D$2818:$D$2945, MATCH(CS$1,'STOPE SUMMARY PIVOT'!$A$2818:$A$2945, 0))</f>
        <v>0</v>
      </c>
      <c r="CT78" s="174">
        <f>INDEX('STOPE SUMMARY PIVOT'!$E$2818:$E$2945, MATCH(CS$1,'STOPE SUMMARY PIVOT'!$A$2818:$A$2945, 0))</f>
        <v>0</v>
      </c>
      <c r="CU78" s="165">
        <f>INDEX('STOPE SUMMARY PIVOT'!$D$2818:$D$2945, MATCH(CU$1,'STOPE SUMMARY PIVOT'!$A$2818:$A$2945, 0))</f>
        <v>0</v>
      </c>
      <c r="CV78" s="174">
        <f>INDEX('STOPE SUMMARY PIVOT'!$E$2818:$E$2945, MATCH(CU$1,'STOPE SUMMARY PIVOT'!$A$2818:$A$2945, 0))</f>
        <v>0</v>
      </c>
      <c r="CW78" s="165">
        <f>INDEX('STOPE SUMMARY PIVOT'!$D$2818:$D$2945, MATCH(CW$1,'STOPE SUMMARY PIVOT'!$A$2818:$A$2945, 0))</f>
        <v>0</v>
      </c>
      <c r="CX78" s="174">
        <f>INDEX('STOPE SUMMARY PIVOT'!$E$2818:$E$2945, MATCH(CW$1,'STOPE SUMMARY PIVOT'!$A$2818:$A$2945, 0))</f>
        <v>0</v>
      </c>
      <c r="CY78" s="165">
        <f>INDEX('STOPE SUMMARY PIVOT'!$D$2818:$D$2945, MATCH(CY$1,'STOPE SUMMARY PIVOT'!$A$2818:$A$2945, 0))</f>
        <v>0</v>
      </c>
      <c r="CZ78" s="174">
        <f>INDEX('STOPE SUMMARY PIVOT'!$E$2818:$E$2945, MATCH(CY$1,'STOPE SUMMARY PIVOT'!$A$2818:$A$2945, 0))</f>
        <v>0</v>
      </c>
      <c r="DA78" s="165">
        <f>INDEX('STOPE SUMMARY PIVOT'!$D$2818:$D$2945, MATCH(DA$1,'STOPE SUMMARY PIVOT'!$A$2818:$A$2945, 0))</f>
        <v>0</v>
      </c>
      <c r="DB78" s="174">
        <f>INDEX('STOPE SUMMARY PIVOT'!$E$2818:$E$2945, MATCH(DA$1,'STOPE SUMMARY PIVOT'!$A$2818:$A$2945, 0))</f>
        <v>0</v>
      </c>
      <c r="DC78" s="165">
        <f>INDEX('STOPE SUMMARY PIVOT'!$D$2818:$D$2945, MATCH(DC$1,'STOPE SUMMARY PIVOT'!$A$2818:$A$2945, 0))</f>
        <v>0</v>
      </c>
      <c r="DD78" s="174">
        <f>INDEX('STOPE SUMMARY PIVOT'!$E$2818:$E$2945, MATCH(DC$1,'STOPE SUMMARY PIVOT'!$A$2818:$A$2945, 0))</f>
        <v>0</v>
      </c>
      <c r="DE78" s="165">
        <f>INDEX('STOPE SUMMARY PIVOT'!$D$2818:$D$2945, MATCH(DE$1,'STOPE SUMMARY PIVOT'!$A$2818:$A$2945, 0))</f>
        <v>0</v>
      </c>
      <c r="DF78" s="174">
        <f>INDEX('STOPE SUMMARY PIVOT'!$E$2818:$E$2945, MATCH(DE$1,'STOPE SUMMARY PIVOT'!$A$2818:$A$2945, 0))</f>
        <v>0</v>
      </c>
      <c r="DG78" s="165">
        <f>INDEX('STOPE SUMMARY PIVOT'!$D$2818:$D$2945, MATCH(DG$1,'STOPE SUMMARY PIVOT'!$A$2818:$A$2945, 0))</f>
        <v>0</v>
      </c>
      <c r="DH78" s="174">
        <f>INDEX('STOPE SUMMARY PIVOT'!$E$2818:$E$2945, MATCH(DG$1,'STOPE SUMMARY PIVOT'!$A$2818:$A$2945, 0))</f>
        <v>0</v>
      </c>
      <c r="DI78" s="165">
        <f>INDEX('STOPE SUMMARY PIVOT'!$D$2818:$D$2945, MATCH(DI$1,'STOPE SUMMARY PIVOT'!$A$2818:$A$2945, 0))</f>
        <v>0</v>
      </c>
      <c r="DJ78" s="174">
        <f>INDEX('STOPE SUMMARY PIVOT'!$E$2818:$E$2945, MATCH(DI$1,'STOPE SUMMARY PIVOT'!$A$2818:$A$2945, 0))</f>
        <v>0</v>
      </c>
      <c r="DK78" s="165">
        <f>INDEX('STOPE SUMMARY PIVOT'!$D$2818:$D$2945, MATCH(DK$1,'STOPE SUMMARY PIVOT'!$A$2818:$A$2945, 0))</f>
        <v>0</v>
      </c>
      <c r="DL78" s="174">
        <f>INDEX('STOPE SUMMARY PIVOT'!$E$2818:$E$2945, MATCH(DK$1,'STOPE SUMMARY PIVOT'!$A$2818:$A$2945, 0))</f>
        <v>0</v>
      </c>
      <c r="DM78" s="165">
        <f>INDEX('STOPE SUMMARY PIVOT'!$D$2818:$D$2945, MATCH(DM$1,'STOPE SUMMARY PIVOT'!$A$2818:$A$2945, 0))</f>
        <v>0</v>
      </c>
      <c r="DN78" s="174">
        <f>INDEX('STOPE SUMMARY PIVOT'!$E$2818:$E$2945, MATCH(DM$1,'STOPE SUMMARY PIVOT'!$A$2818:$A$2945, 0))</f>
        <v>0</v>
      </c>
      <c r="DO78" s="165">
        <f>INDEX('STOPE SUMMARY PIVOT'!$D$2818:$D$2945, MATCH(DO$1,'STOPE SUMMARY PIVOT'!$A$2818:$A$2945, 0))</f>
        <v>0</v>
      </c>
      <c r="DP78" s="174">
        <f>INDEX('STOPE SUMMARY PIVOT'!$E$2818:$E$2945, MATCH(DO$1,'STOPE SUMMARY PIVOT'!$A$2818:$A$2945, 0))</f>
        <v>0</v>
      </c>
      <c r="DQ78" s="165">
        <f>INDEX('STOPE SUMMARY PIVOT'!$D$2818:$D$2945, MATCH(DQ$1,'STOPE SUMMARY PIVOT'!$A$2818:$A$2945, 0))</f>
        <v>0</v>
      </c>
      <c r="DR78" s="174">
        <f>INDEX('STOPE SUMMARY PIVOT'!$E$2818:$E$2945, MATCH(DQ$1,'STOPE SUMMARY PIVOT'!$A$2818:$A$2945, 0))</f>
        <v>0</v>
      </c>
      <c r="DS78" s="165">
        <f>INDEX('STOPE SUMMARY PIVOT'!$D$2818:$D$2945, MATCH(DS$1,'STOPE SUMMARY PIVOT'!$A$2818:$A$2945, 0))</f>
        <v>0</v>
      </c>
      <c r="DT78" s="174">
        <f>INDEX('STOPE SUMMARY PIVOT'!$E$2818:$E$2945, MATCH(DS$1,'STOPE SUMMARY PIVOT'!$A$2818:$A$2945, 0))</f>
        <v>0</v>
      </c>
      <c r="DU78" s="165">
        <f>INDEX('STOPE SUMMARY PIVOT'!$D$2818:$D$2945, MATCH(DU$1,'STOPE SUMMARY PIVOT'!$A$2818:$A$2945, 0))</f>
        <v>0</v>
      </c>
      <c r="DV78" s="174">
        <f>INDEX('STOPE SUMMARY PIVOT'!$E$2818:$E$2945, MATCH(DU$1,'STOPE SUMMARY PIVOT'!$A$2818:$A$2945, 0))</f>
        <v>0</v>
      </c>
      <c r="DW78" s="165">
        <f>INDEX('STOPE SUMMARY PIVOT'!$D$2818:$D$2945, MATCH(DW$1,'STOPE SUMMARY PIVOT'!$A$2818:$A$2945, 0))</f>
        <v>0</v>
      </c>
      <c r="DX78" s="174">
        <f>INDEX('STOPE SUMMARY PIVOT'!$E$2818:$E$2945, MATCH(DW$1,'STOPE SUMMARY PIVOT'!$A$2818:$A$2945, 0))</f>
        <v>0</v>
      </c>
      <c r="DY78" s="165">
        <f>INDEX('STOPE SUMMARY PIVOT'!$D$2818:$D$2945, MATCH(DY$1,'STOPE SUMMARY PIVOT'!$A$2818:$A$2945, 0))</f>
        <v>0</v>
      </c>
      <c r="DZ78" s="174">
        <f>INDEX('STOPE SUMMARY PIVOT'!$E$2818:$E$2945, MATCH(DY$1,'STOPE SUMMARY PIVOT'!$A$2818:$A$2945, 0))</f>
        <v>0</v>
      </c>
      <c r="EA78" s="165">
        <f>INDEX('STOPE SUMMARY PIVOT'!$D$2818:$D$2945, MATCH(EA$1,'STOPE SUMMARY PIVOT'!$A$2818:$A$2945, 0))</f>
        <v>0</v>
      </c>
      <c r="EB78" s="174">
        <f>INDEX('STOPE SUMMARY PIVOT'!$E$2818:$E$2945, MATCH(EA$1,'STOPE SUMMARY PIVOT'!$A$2818:$A$2945, 0))</f>
        <v>0</v>
      </c>
      <c r="EC78" s="165">
        <f>INDEX('STOPE SUMMARY PIVOT'!$D$2818:$D$2945, MATCH(EC$1,'STOPE SUMMARY PIVOT'!$A$2818:$A$2945, 0))</f>
        <v>1872</v>
      </c>
      <c r="ED78" s="174">
        <f>INDEX('STOPE SUMMARY PIVOT'!$E$2818:$E$2945, MATCH(EC$1,'STOPE SUMMARY PIVOT'!$A$2818:$A$2945, 0))</f>
        <v>1.6</v>
      </c>
      <c r="EE78" s="165">
        <f>INDEX('STOPE SUMMARY PIVOT'!$D$2818:$D$2945, MATCH(EE$1,'STOPE SUMMARY PIVOT'!$A$2818:$A$2945, 0))</f>
        <v>0</v>
      </c>
      <c r="EF78" s="174">
        <f>INDEX('STOPE SUMMARY PIVOT'!$E$2818:$E$2945, MATCH(EE$1,'STOPE SUMMARY PIVOT'!$A$2818:$A$2945, 0))</f>
        <v>0</v>
      </c>
      <c r="EG78" s="165">
        <f>INDEX('STOPE SUMMARY PIVOT'!$D$2818:$D$2945, MATCH(EG$1,'STOPE SUMMARY PIVOT'!$A$2818:$A$2945, 0))</f>
        <v>0</v>
      </c>
      <c r="EH78" s="174">
        <f>INDEX('STOPE SUMMARY PIVOT'!$E$2818:$E$2945, MATCH(EG$1,'STOPE SUMMARY PIVOT'!$A$2818:$A$2945, 0))</f>
        <v>0</v>
      </c>
      <c r="EI78" s="165">
        <f>INDEX('STOPE SUMMARY PIVOT'!$D$2818:$D$2945, MATCH(EI$1,'STOPE SUMMARY PIVOT'!$A$2818:$A$2945, 0))</f>
        <v>0</v>
      </c>
      <c r="EJ78" s="174">
        <f>INDEX('STOPE SUMMARY PIVOT'!$E$2818:$E$2945, MATCH(EI$1,'STOPE SUMMARY PIVOT'!$A$2818:$A$2945, 0))</f>
        <v>0</v>
      </c>
      <c r="EK78" s="165">
        <f>INDEX('STOPE SUMMARY PIVOT'!$D$2818:$D$2945, MATCH(EK$1,'STOPE SUMMARY PIVOT'!$A$2818:$A$2945, 0))</f>
        <v>0</v>
      </c>
      <c r="EL78" s="174">
        <f>INDEX('STOPE SUMMARY PIVOT'!$E$2818:$E$2945, MATCH(EK$1,'STOPE SUMMARY PIVOT'!$A$2818:$A$2945, 0))</f>
        <v>0</v>
      </c>
      <c r="EM78" s="165">
        <f>INDEX('STOPE SUMMARY PIVOT'!$D$2818:$D$2945, MATCH(EM$1,'STOPE SUMMARY PIVOT'!$A$2818:$A$2945, 0))</f>
        <v>1416</v>
      </c>
      <c r="EN78" s="174">
        <f>INDEX('STOPE SUMMARY PIVOT'!$E$2818:$E$2945, MATCH(EM$1,'STOPE SUMMARY PIVOT'!$A$2818:$A$2945, 0))</f>
        <v>3.97</v>
      </c>
      <c r="EO78" s="165">
        <f>INDEX('STOPE SUMMARY PIVOT'!$D$2818:$D$2945, MATCH(EO$1,'STOPE SUMMARY PIVOT'!$A$2818:$A$2945, 0))</f>
        <v>2809</v>
      </c>
      <c r="EP78" s="174">
        <f>INDEX('STOPE SUMMARY PIVOT'!$E$2818:$E$2945, MATCH(EO$1,'STOPE SUMMARY PIVOT'!$A$2818:$A$2945, 0))</f>
        <v>2.83</v>
      </c>
      <c r="EQ78" s="165">
        <f>INDEX('STOPE SUMMARY PIVOT'!$D$2818:$D$2945, MATCH(EQ$1,'STOPE SUMMARY PIVOT'!$A$2818:$A$2945, 0))</f>
        <v>0</v>
      </c>
      <c r="ER78" s="174">
        <f>INDEX('STOPE SUMMARY PIVOT'!$E$2818:$E$2945, MATCH(EQ$1,'STOPE SUMMARY PIVOT'!$A$2818:$A$2945, 0))</f>
        <v>0</v>
      </c>
      <c r="ES78" s="165">
        <f>INDEX('STOPE SUMMARY PIVOT'!$D$2818:$D$2945, MATCH(ES$1,'STOPE SUMMARY PIVOT'!$A$2818:$A$2945, 0))</f>
        <v>0</v>
      </c>
      <c r="ET78" s="174">
        <f>INDEX('STOPE SUMMARY PIVOT'!$E$2818:$E$2945, MATCH(ES$1,'STOPE SUMMARY PIVOT'!$A$2818:$A$2945, 0))</f>
        <v>0</v>
      </c>
      <c r="EU78" s="165">
        <f>INDEX('STOPE SUMMARY PIVOT'!$D$2818:$D$2945, MATCH(EU$1,'STOPE SUMMARY PIVOT'!$A$2818:$A$2945, 0))</f>
        <v>0</v>
      </c>
      <c r="EV78" s="174">
        <f>INDEX('STOPE SUMMARY PIVOT'!$E$2818:$E$2945, MATCH(EU$1,'STOPE SUMMARY PIVOT'!$A$2818:$A$2945, 0))</f>
        <v>0</v>
      </c>
      <c r="EW78" s="165">
        <f>INDEX('STOPE SUMMARY PIVOT'!$D$2818:$D$2945, MATCH(EW$1,'STOPE SUMMARY PIVOT'!$A$2818:$A$2945, 0))</f>
        <v>0</v>
      </c>
      <c r="EX78" s="174">
        <f>INDEX('STOPE SUMMARY PIVOT'!$E$2818:$E$2945, MATCH(EW$1,'STOPE SUMMARY PIVOT'!$A$2818:$A$2945, 0))</f>
        <v>0</v>
      </c>
      <c r="EY78" s="165">
        <f>INDEX('STOPE SUMMARY PIVOT'!$D$2818:$D$2945, MATCH(EY$1,'STOPE SUMMARY PIVOT'!$A$2818:$A$2945, 0))</f>
        <v>2809</v>
      </c>
      <c r="EZ78" s="174">
        <f>INDEX('STOPE SUMMARY PIVOT'!$E$2818:$E$2945, MATCH(EY$1,'STOPE SUMMARY PIVOT'!$A$2818:$A$2945, 0))</f>
        <v>2.31</v>
      </c>
      <c r="FA78" s="165">
        <f>INDEX('STOPE SUMMARY PIVOT'!$D$2818:$D$2945, MATCH(FA$1,'STOPE SUMMARY PIVOT'!$A$2818:$A$2945, 0))</f>
        <v>0</v>
      </c>
      <c r="FB78" s="174">
        <f>INDEX('STOPE SUMMARY PIVOT'!$E$2818:$E$2945, MATCH(FA$1,'STOPE SUMMARY PIVOT'!$A$2818:$A$2945, 0))</f>
        <v>0</v>
      </c>
      <c r="FC78" s="165">
        <f>INDEX('STOPE SUMMARY PIVOT'!$D$2818:$D$2945, MATCH(FC$1,'STOPE SUMMARY PIVOT'!$A$2818:$A$2945, 0))</f>
        <v>0</v>
      </c>
      <c r="FD78" s="174">
        <f>INDEX('STOPE SUMMARY PIVOT'!$E$2818:$E$2945, MATCH(FC$1,'STOPE SUMMARY PIVOT'!$A$2818:$A$2945, 0))</f>
        <v>0</v>
      </c>
      <c r="FE78" s="165">
        <f>INDEX('STOPE SUMMARY PIVOT'!$D$2818:$D$2945, MATCH(FE$1,'STOPE SUMMARY PIVOT'!$A$2818:$A$2945, 0))</f>
        <v>0</v>
      </c>
      <c r="FF78" s="174">
        <f>INDEX('STOPE SUMMARY PIVOT'!$E$2818:$E$2945, MATCH(FE$1,'STOPE SUMMARY PIVOT'!$A$2818:$A$2945, 0))</f>
        <v>0</v>
      </c>
      <c r="FG78" s="165">
        <f>INDEX('STOPE SUMMARY PIVOT'!$D$2818:$D$2945, MATCH(FG$1,'STOPE SUMMARY PIVOT'!$A$2818:$A$2945, 0))</f>
        <v>0</v>
      </c>
      <c r="FH78" s="174">
        <f>INDEX('STOPE SUMMARY PIVOT'!$E$2818:$E$2945, MATCH(FG$1,'STOPE SUMMARY PIVOT'!$A$2818:$A$2945, 0))</f>
        <v>0</v>
      </c>
      <c r="FI78" s="165">
        <f>INDEX('STOPE SUMMARY PIVOT'!$D$2818:$D$2945, MATCH(FI$1,'STOPE SUMMARY PIVOT'!$A$2818:$A$2945, 0))</f>
        <v>0</v>
      </c>
      <c r="FJ78" s="174">
        <f>INDEX('STOPE SUMMARY PIVOT'!$E$2818:$E$2945, MATCH(FI$1,'STOPE SUMMARY PIVOT'!$A$2818:$A$2945, 0))</f>
        <v>0</v>
      </c>
      <c r="FK78" s="165">
        <f>INDEX('STOPE SUMMARY PIVOT'!$D$2818:$D$2945, MATCH(FK$1,'STOPE SUMMARY PIVOT'!$A$2818:$A$2945, 0))</f>
        <v>0</v>
      </c>
      <c r="FL78" s="174">
        <f>INDEX('STOPE SUMMARY PIVOT'!$E$2818:$E$2945, MATCH(FK$1,'STOPE SUMMARY PIVOT'!$A$2818:$A$2945, 0))</f>
        <v>0</v>
      </c>
      <c r="FM78" s="165">
        <f>INDEX('STOPE SUMMARY PIVOT'!$D$2818:$D$2945, MATCH(FM$1,'STOPE SUMMARY PIVOT'!$A$2818:$A$2945, 0))</f>
        <v>0</v>
      </c>
      <c r="FN78" s="174">
        <f>INDEX('STOPE SUMMARY PIVOT'!$E$2818:$E$2945, MATCH(FM$1,'STOPE SUMMARY PIVOT'!$A$2818:$A$2945, 0))</f>
        <v>0</v>
      </c>
      <c r="FO78" s="165">
        <f>INDEX('STOPE SUMMARY PIVOT'!$D$2818:$D$2945, MATCH(FO$1,'STOPE SUMMARY PIVOT'!$A$2818:$A$2945, 0))</f>
        <v>0</v>
      </c>
      <c r="FP78" s="174">
        <f>INDEX('STOPE SUMMARY PIVOT'!$E$2818:$E$2945, MATCH(FO$1,'STOPE SUMMARY PIVOT'!$A$2818:$A$2945, 0))</f>
        <v>0</v>
      </c>
      <c r="FQ78" s="165">
        <f>INDEX('STOPE SUMMARY PIVOT'!$D$2818:$D$2945, MATCH(FQ$1,'STOPE SUMMARY PIVOT'!$A$2818:$A$2945, 0))</f>
        <v>0</v>
      </c>
      <c r="FR78" s="174">
        <f>INDEX('STOPE SUMMARY PIVOT'!$E$2818:$E$2945, MATCH(FQ$1,'STOPE SUMMARY PIVOT'!$A$2818:$A$2945, 0))</f>
        <v>0</v>
      </c>
      <c r="FS78" s="165">
        <f>INDEX('STOPE SUMMARY PIVOT'!$D$2818:$D$2945, MATCH(FS$1,'STOPE SUMMARY PIVOT'!$A$2818:$A$2945, 0))</f>
        <v>0</v>
      </c>
      <c r="FT78" s="174">
        <f>INDEX('STOPE SUMMARY PIVOT'!$E$2818:$E$2945, MATCH(FS$1,'STOPE SUMMARY PIVOT'!$A$2818:$A$2945, 0))</f>
        <v>0</v>
      </c>
      <c r="FU78" s="165">
        <f>INDEX('STOPE SUMMARY PIVOT'!$D$2818:$D$2945, MATCH(FU$1,'STOPE SUMMARY PIVOT'!$A$2818:$A$2945, 0))</f>
        <v>0</v>
      </c>
      <c r="FV78" s="174">
        <f>INDEX('STOPE SUMMARY PIVOT'!$E$2818:$E$2945, MATCH(FU$1,'STOPE SUMMARY PIVOT'!$A$2818:$A$2945, 0))</f>
        <v>0</v>
      </c>
      <c r="FW78" s="165">
        <f>INDEX('STOPE SUMMARY PIVOT'!$D$2818:$D$2945, MATCH(FW$1,'STOPE SUMMARY PIVOT'!$A$2818:$A$2945, 0))</f>
        <v>0</v>
      </c>
      <c r="FX78" s="174">
        <f>INDEX('STOPE SUMMARY PIVOT'!$E$2818:$E$2945, MATCH(FW$1,'STOPE SUMMARY PIVOT'!$A$2818:$A$2945, 0))</f>
        <v>0</v>
      </c>
      <c r="FY78" s="165">
        <f>INDEX('STOPE SUMMARY PIVOT'!$D$2818:$D$2945, MATCH(FY$1,'STOPE SUMMARY PIVOT'!$A$2818:$A$2945, 0))</f>
        <v>0</v>
      </c>
      <c r="FZ78" s="174">
        <f>INDEX('STOPE SUMMARY PIVOT'!$E$2818:$E$2945, MATCH(FY$1,'STOPE SUMMARY PIVOT'!$A$2818:$A$2945, 0))</f>
        <v>0</v>
      </c>
      <c r="GA78" s="165">
        <f>INDEX('STOPE SUMMARY PIVOT'!$D$2818:$D$2945, MATCH(GA$1,'STOPE SUMMARY PIVOT'!$A$2818:$A$2945, 0))</f>
        <v>0</v>
      </c>
      <c r="GB78" s="174">
        <f>INDEX('STOPE SUMMARY PIVOT'!$E$2818:$E$2945, MATCH(GA$1,'STOPE SUMMARY PIVOT'!$A$2818:$A$2945, 0))</f>
        <v>0</v>
      </c>
      <c r="GC78" s="165">
        <f>INDEX('STOPE SUMMARY PIVOT'!$D$2818:$D$2945, MATCH(GC$1,'STOPE SUMMARY PIVOT'!$A$2818:$A$2945, 0))</f>
        <v>0</v>
      </c>
      <c r="GD78" s="174">
        <f>INDEX('STOPE SUMMARY PIVOT'!$E$2818:$E$2945, MATCH(GC$1,'STOPE SUMMARY PIVOT'!$A$2818:$A$2945, 0))</f>
        <v>0</v>
      </c>
      <c r="GE78" s="165">
        <f>INDEX('STOPE SUMMARY PIVOT'!$D$2818:$D$2945, MATCH(GE$1,'STOPE SUMMARY PIVOT'!$A$2818:$A$2945, 0))</f>
        <v>0</v>
      </c>
      <c r="GF78" s="174">
        <f>INDEX('STOPE SUMMARY PIVOT'!$E$2818:$E$2945, MATCH(GE$1,'STOPE SUMMARY PIVOT'!$A$2818:$A$2945, 0))</f>
        <v>0</v>
      </c>
      <c r="GG78" s="165">
        <f>INDEX('STOPE SUMMARY PIVOT'!$D$2818:$D$2945, MATCH(GG$1,'STOPE SUMMARY PIVOT'!$A$2818:$A$2945, 0))</f>
        <v>1872</v>
      </c>
      <c r="GH78" s="174">
        <f>INDEX('STOPE SUMMARY PIVOT'!$E$2818:$E$2945, MATCH(GG$1,'STOPE SUMMARY PIVOT'!$A$2818:$A$2945, 0))</f>
        <v>2.4500000000000002</v>
      </c>
      <c r="GI78" s="165">
        <f>INDEX('STOPE SUMMARY PIVOT'!$D$2818:$D$2945, MATCH(GI$1,'STOPE SUMMARY PIVOT'!$A$2818:$A$2945, 0))</f>
        <v>0</v>
      </c>
      <c r="GJ78" s="174">
        <f>INDEX('STOPE SUMMARY PIVOT'!$E$2818:$E$2945, MATCH(GI$1,'STOPE SUMMARY PIVOT'!$A$2818:$A$2945, 0))</f>
        <v>0</v>
      </c>
      <c r="GK78" s="165">
        <f>INDEX('STOPE SUMMARY PIVOT'!$D$2818:$D$2945, MATCH(GK$1,'STOPE SUMMARY PIVOT'!$A$2818:$A$2945, 0))</f>
        <v>0</v>
      </c>
      <c r="GL78" s="174">
        <f>INDEX('STOPE SUMMARY PIVOT'!$E$2818:$E$2945, MATCH(GK$1,'STOPE SUMMARY PIVOT'!$A$2818:$A$2945, 0))</f>
        <v>0</v>
      </c>
      <c r="GM78" s="165">
        <f>INDEX('STOPE SUMMARY PIVOT'!$D$2818:$D$2945, MATCH(GM$1,'STOPE SUMMARY PIVOT'!$A$2818:$A$2945, 0))</f>
        <v>0</v>
      </c>
      <c r="GN78" s="174">
        <f>INDEX('STOPE SUMMARY PIVOT'!$E$2818:$E$2945, MATCH(GM$1,'STOPE SUMMARY PIVOT'!$A$2818:$A$2945, 0))</f>
        <v>0</v>
      </c>
      <c r="GO78" s="165">
        <f>INDEX('STOPE SUMMARY PIVOT'!$D$2818:$D$2945, MATCH(GO$1,'STOPE SUMMARY PIVOT'!$A$2818:$A$2945, 0))</f>
        <v>0</v>
      </c>
      <c r="GP78" s="174">
        <f>INDEX('STOPE SUMMARY PIVOT'!$E$2818:$E$2945, MATCH(GO$1,'STOPE SUMMARY PIVOT'!$A$2818:$A$2945, 0))</f>
        <v>0</v>
      </c>
      <c r="GQ78" s="165">
        <f>INDEX('STOPE SUMMARY PIVOT'!$D$2818:$D$2945, MATCH(GQ$1,'STOPE SUMMARY PIVOT'!$A$2818:$A$2945, 0))</f>
        <v>0</v>
      </c>
      <c r="GR78" s="174">
        <f>INDEX('STOPE SUMMARY PIVOT'!$E$2818:$E$2945, MATCH(GQ$1,'STOPE SUMMARY PIVOT'!$A$2818:$A$2945, 0))</f>
        <v>0</v>
      </c>
      <c r="GS78" s="165">
        <f>INDEX('STOPE SUMMARY PIVOT'!$D$2818:$D$2945, MATCH(GS$1,'STOPE SUMMARY PIVOT'!$A$2818:$A$2945, 0))</f>
        <v>0</v>
      </c>
      <c r="GT78" s="174">
        <f>INDEX('STOPE SUMMARY PIVOT'!$E$2818:$E$2945, MATCH(GS$1,'STOPE SUMMARY PIVOT'!$A$2818:$A$2945, 0))</f>
        <v>0</v>
      </c>
      <c r="GU78" s="165">
        <f>INDEX('STOPE SUMMARY PIVOT'!$D$2818:$D$2945, MATCH(GU$1,'STOPE SUMMARY PIVOT'!$A$2818:$A$2945, 0))</f>
        <v>0</v>
      </c>
      <c r="GV78" s="174">
        <f>INDEX('STOPE SUMMARY PIVOT'!$E$2818:$E$2945, MATCH(GU$1,'STOPE SUMMARY PIVOT'!$A$2818:$A$2945, 0))</f>
        <v>0</v>
      </c>
      <c r="GW78" s="165">
        <f>INDEX('STOPE SUMMARY PIVOT'!$D$2818:$D$2945, MATCH(GW$1,'STOPE SUMMARY PIVOT'!$A$2818:$A$2945, 0))</f>
        <v>0</v>
      </c>
      <c r="GX78" s="174">
        <f>INDEX('STOPE SUMMARY PIVOT'!$E$2818:$E$2945, MATCH(GW$1,'STOPE SUMMARY PIVOT'!$A$2818:$A$2945, 0))</f>
        <v>0</v>
      </c>
      <c r="GY78" s="165">
        <f>INDEX('STOPE SUMMARY PIVOT'!$D$2818:$D$2945, MATCH(GY$1,'STOPE SUMMARY PIVOT'!$A$2818:$A$2945, 0))</f>
        <v>594</v>
      </c>
      <c r="GZ78" s="174">
        <f>INDEX('STOPE SUMMARY PIVOT'!$E$2818:$E$2945, MATCH(GY$1,'STOPE SUMMARY PIVOT'!$A$2818:$A$2945, 0))</f>
        <v>2.88</v>
      </c>
      <c r="HA78" s="165">
        <f>INDEX('STOPE SUMMARY PIVOT'!$D$2818:$D$2945, MATCH(HA$1,'STOPE SUMMARY PIVOT'!$A$2818:$A$2945, 0))</f>
        <v>1872</v>
      </c>
      <c r="HB78" s="174">
        <f>INDEX('STOPE SUMMARY PIVOT'!$E$2818:$E$2945, MATCH(HA$1,'STOPE SUMMARY PIVOT'!$A$2818:$A$2945, 0))</f>
        <v>3.61</v>
      </c>
      <c r="HC78" s="165">
        <f>INDEX('STOPE SUMMARY PIVOT'!$D$2818:$D$2945, MATCH(HC$1,'STOPE SUMMARY PIVOT'!$A$2818:$A$2945, 0))</f>
        <v>1873</v>
      </c>
      <c r="HD78" s="174">
        <f>INDEX('STOPE SUMMARY PIVOT'!$E$2818:$E$2945, MATCH(HC$1,'STOPE SUMMARY PIVOT'!$A$2818:$A$2945, 0))</f>
        <v>2.87</v>
      </c>
      <c r="HE78" s="165">
        <f>INDEX('STOPE SUMMARY PIVOT'!$D$2818:$D$2945, MATCH(HE$1,'STOPE SUMMARY PIVOT'!$A$2818:$A$2945, 0))</f>
        <v>2809</v>
      </c>
      <c r="HF78" s="174">
        <f>INDEX('STOPE SUMMARY PIVOT'!$E$2818:$E$2945, MATCH(HE$1,'STOPE SUMMARY PIVOT'!$A$2818:$A$2945, 0))</f>
        <v>2.4300000000000002</v>
      </c>
      <c r="HG78" s="165">
        <f>INDEX('STOPE SUMMARY PIVOT'!$D$2818:$D$2945, MATCH(HG$1,'STOPE SUMMARY PIVOT'!$A$2818:$A$2945, 0))</f>
        <v>0</v>
      </c>
      <c r="HH78" s="174">
        <f>INDEX('STOPE SUMMARY PIVOT'!$E$2818:$E$2945, MATCH(HG$1,'STOPE SUMMARY PIVOT'!$A$2818:$A$2945, 0))</f>
        <v>0</v>
      </c>
      <c r="HI78" s="165">
        <f>INDEX('STOPE SUMMARY PIVOT'!$D$2818:$D$2945, MATCH(HI$1,'STOPE SUMMARY PIVOT'!$A$2818:$A$2945, 0))</f>
        <v>0</v>
      </c>
      <c r="HJ78" s="174">
        <f>INDEX('STOPE SUMMARY PIVOT'!$E$2818:$E$2945, MATCH(HI$1,'STOPE SUMMARY PIVOT'!$A$2818:$A$2945, 0))</f>
        <v>0</v>
      </c>
      <c r="HK78" s="165">
        <f>INDEX('STOPE SUMMARY PIVOT'!$D$2818:$D$2945, MATCH(HK$1,'STOPE SUMMARY PIVOT'!$A$2818:$A$2945, 0))</f>
        <v>0</v>
      </c>
      <c r="HL78" s="174">
        <f>INDEX('STOPE SUMMARY PIVOT'!$E$2818:$E$2945, MATCH(HK$1,'STOPE SUMMARY PIVOT'!$A$2818:$A$2945, 0))</f>
        <v>0</v>
      </c>
      <c r="HM78" s="165">
        <f>INDEX('STOPE SUMMARY PIVOT'!$D$2818:$D$2945, MATCH(HM$1,'STOPE SUMMARY PIVOT'!$A$2818:$A$2945, 0))</f>
        <v>0</v>
      </c>
      <c r="HN78" s="174">
        <f>INDEX('STOPE SUMMARY PIVOT'!$E$2818:$E$2945, MATCH(HM$1,'STOPE SUMMARY PIVOT'!$A$2818:$A$2945, 0))</f>
        <v>0</v>
      </c>
      <c r="HO78" s="165">
        <f>INDEX('STOPE SUMMARY PIVOT'!$D$2818:$D$2945, MATCH(HO$1,'STOPE SUMMARY PIVOT'!$A$2818:$A$2945, 0))</f>
        <v>2809</v>
      </c>
      <c r="HP78" s="174">
        <f>INDEX('STOPE SUMMARY PIVOT'!$E$2818:$E$2945, MATCH(HO$1,'STOPE SUMMARY PIVOT'!$A$2818:$A$2945, 0))</f>
        <v>2.5499999999999998</v>
      </c>
      <c r="HQ78" s="165">
        <f>INDEX('STOPE SUMMARY PIVOT'!$D$2818:$D$2945, MATCH(HQ$1,'STOPE SUMMARY PIVOT'!$A$2818:$A$2945, 0))</f>
        <v>0</v>
      </c>
      <c r="HR78" s="174">
        <f>INDEX('STOPE SUMMARY PIVOT'!$E$2818:$E$2945, MATCH(HQ$1,'STOPE SUMMARY PIVOT'!$A$2818:$A$2945, 0))</f>
        <v>0</v>
      </c>
      <c r="HS78" s="165">
        <f>INDEX('STOPE SUMMARY PIVOT'!$D$2818:$D$2945, MATCH(HS$1,'STOPE SUMMARY PIVOT'!$A$2818:$A$2945, 0))</f>
        <v>876</v>
      </c>
      <c r="HT78" s="174">
        <f>INDEX('STOPE SUMMARY PIVOT'!$E$2818:$E$2945, MATCH(HS$1,'STOPE SUMMARY PIVOT'!$A$2818:$A$2945, 0))</f>
        <v>2.64</v>
      </c>
      <c r="HU78" s="165">
        <f>INDEX('STOPE SUMMARY PIVOT'!$D$2818:$D$2945, MATCH(HU$1,'STOPE SUMMARY PIVOT'!$A$2818:$A$2945, 0))</f>
        <v>0</v>
      </c>
      <c r="HV78" s="174">
        <f>INDEX('STOPE SUMMARY PIVOT'!$E$2818:$E$2945, MATCH(HU$1,'STOPE SUMMARY PIVOT'!$A$2818:$A$2945, 0))</f>
        <v>0</v>
      </c>
      <c r="HW78" s="165">
        <f>INDEX('STOPE SUMMARY PIVOT'!$D$2818:$D$2945, MATCH(HW$1,'STOPE SUMMARY PIVOT'!$A$2818:$A$2945, 0))</f>
        <v>0</v>
      </c>
      <c r="HX78" s="174">
        <f>INDEX('STOPE SUMMARY PIVOT'!$E$2818:$E$2945, MATCH(HW$1,'STOPE SUMMARY PIVOT'!$A$2818:$A$2945, 0))</f>
        <v>0</v>
      </c>
      <c r="HY78" s="165">
        <f>INDEX('STOPE SUMMARY PIVOT'!$D$2818:$D$2945, MATCH(HY$1,'STOPE SUMMARY PIVOT'!$A$2818:$A$2945, 0))</f>
        <v>0</v>
      </c>
      <c r="HZ78" s="174">
        <f>INDEX('STOPE SUMMARY PIVOT'!$E$2818:$E$2945, MATCH(HY$1,'STOPE SUMMARY PIVOT'!$A$2818:$A$2945, 0))</f>
        <v>0</v>
      </c>
      <c r="IA78" s="165">
        <f>INDEX('STOPE SUMMARY PIVOT'!$D$2818:$D$2945, MATCH(IA$1,'STOPE SUMMARY PIVOT'!$A$2818:$A$2945, 0))</f>
        <v>0</v>
      </c>
      <c r="IB78" s="174">
        <f>INDEX('STOPE SUMMARY PIVOT'!$E$2818:$E$2945, MATCH(IA$1,'STOPE SUMMARY PIVOT'!$A$2818:$A$2945, 0))</f>
        <v>0</v>
      </c>
      <c r="IC78" s="165">
        <f>INDEX('STOPE SUMMARY PIVOT'!$D$2818:$D$2945, MATCH(IC$1,'STOPE SUMMARY PIVOT'!$A$2818:$A$2945, 0))</f>
        <v>0</v>
      </c>
      <c r="ID78" s="174">
        <f>INDEX('STOPE SUMMARY PIVOT'!$E$2818:$E$2945, MATCH(IC$1,'STOPE SUMMARY PIVOT'!$A$2818:$A$2945, 0))</f>
        <v>0</v>
      </c>
      <c r="IE78" s="165">
        <f>INDEX('STOPE SUMMARY PIVOT'!$D$2818:$D$2945, MATCH(IE$1,'STOPE SUMMARY PIVOT'!$A$2818:$A$2945, 0))</f>
        <v>0</v>
      </c>
      <c r="IF78" s="174">
        <f>INDEX('STOPE SUMMARY PIVOT'!$E$2818:$E$2945, MATCH(IE$1,'STOPE SUMMARY PIVOT'!$A$2818:$A$2945, 0))</f>
        <v>0</v>
      </c>
      <c r="IG78" s="165">
        <f>INDEX('STOPE SUMMARY PIVOT'!$D$2818:$D$2945, MATCH(IG$1,'STOPE SUMMARY PIVOT'!$A$2818:$A$2945, 0))</f>
        <v>0</v>
      </c>
      <c r="IH78" s="174">
        <f>INDEX('STOPE SUMMARY PIVOT'!$E$2818:$E$2945, MATCH(IG$1,'STOPE SUMMARY PIVOT'!$A$2818:$A$2945, 0))</f>
        <v>0</v>
      </c>
      <c r="II78" s="165">
        <f>INDEX('STOPE SUMMARY PIVOT'!$D$2818:$D$2945, MATCH(II$1,'STOPE SUMMARY PIVOT'!$A$2818:$A$2945, 0))</f>
        <v>0</v>
      </c>
      <c r="IJ78" s="174">
        <f>INDEX('STOPE SUMMARY PIVOT'!$E$2818:$E$2945, MATCH(II$1,'STOPE SUMMARY PIVOT'!$A$2818:$A$2945, 0))</f>
        <v>0</v>
      </c>
      <c r="IK78" s="165">
        <f>INDEX('STOPE SUMMARY PIVOT'!$D$2818:$D$2945, MATCH(IK$1,'STOPE SUMMARY PIVOT'!$A$2818:$A$2945, 0))</f>
        <v>398</v>
      </c>
      <c r="IL78" s="174">
        <f>INDEX('STOPE SUMMARY PIVOT'!$E$2818:$E$2945, MATCH(IK$1,'STOPE SUMMARY PIVOT'!$A$2818:$A$2945, 0))</f>
        <v>2.85</v>
      </c>
      <c r="IM78" s="165">
        <f>INDEX('STOPE SUMMARY PIVOT'!$D$2818:$D$2945, MATCH(IM$1,'STOPE SUMMARY PIVOT'!$A$2818:$A$2945, 0))</f>
        <v>776</v>
      </c>
      <c r="IN78" s="174">
        <f>INDEX('STOPE SUMMARY PIVOT'!$E$2818:$E$2945, MATCH(IM$1,'STOPE SUMMARY PIVOT'!$A$2818:$A$2945, 0))</f>
        <v>2.73</v>
      </c>
      <c r="IO78" s="165">
        <f>INDEX('STOPE SUMMARY PIVOT'!$D$2818:$D$2945, MATCH(IO$1,'STOPE SUMMARY PIVOT'!$A$2818:$A$2945, 0))</f>
        <v>0</v>
      </c>
      <c r="IP78" s="174">
        <f>INDEX('STOPE SUMMARY PIVOT'!$E$2818:$E$2945, MATCH(IO$1,'STOPE SUMMARY PIVOT'!$A$2818:$A$2945, 0))</f>
        <v>0</v>
      </c>
      <c r="IQ78" s="165">
        <f>INDEX('STOPE SUMMARY PIVOT'!$D$2818:$D$2945, MATCH(IQ$1,'STOPE SUMMARY PIVOT'!$A$2818:$A$2945, 0))</f>
        <v>0</v>
      </c>
      <c r="IR78" s="174">
        <f>INDEX('STOPE SUMMARY PIVOT'!$E$2818:$E$2945, MATCH(IQ$1,'STOPE SUMMARY PIVOT'!$A$2818:$A$2945, 0))</f>
        <v>0</v>
      </c>
      <c r="IS78" s="165">
        <f>INDEX('STOPE SUMMARY PIVOT'!$D$2818:$D$2945, MATCH(IS$1,'STOPE SUMMARY PIVOT'!$A$2818:$A$2945, 0))</f>
        <v>0</v>
      </c>
      <c r="IT78" s="174">
        <f>INDEX('STOPE SUMMARY PIVOT'!$E$2818:$E$2945, MATCH(IS$1,'STOPE SUMMARY PIVOT'!$A$2818:$A$2945, 0))</f>
        <v>0</v>
      </c>
      <c r="IU78" s="165">
        <f>INDEX('STOPE SUMMARY PIVOT'!$D$2818:$D$2945, MATCH(IU$1,'STOPE SUMMARY PIVOT'!$A$2818:$A$2945, 0))</f>
        <v>0</v>
      </c>
      <c r="IV78" s="174">
        <f>INDEX('STOPE SUMMARY PIVOT'!$E$2818:$E$2945, MATCH(IU$1,'STOPE SUMMARY PIVOT'!$A$2818:$A$2945, 0))</f>
        <v>0</v>
      </c>
      <c r="IW78" s="165">
        <f>INDEX('STOPE SUMMARY PIVOT'!$D$2818:$D$2945, MATCH(IW$1,'STOPE SUMMARY PIVOT'!$A$2818:$A$2945, 0))</f>
        <v>0</v>
      </c>
      <c r="IX78" s="174">
        <f>INDEX('STOPE SUMMARY PIVOT'!$E$2818:$E$2945, MATCH(IW$1,'STOPE SUMMARY PIVOT'!$A$2818:$A$2945, 0))</f>
        <v>0</v>
      </c>
      <c r="IY78" s="165">
        <f>INDEX('STOPE SUMMARY PIVOT'!$D$2818:$D$2945, MATCH(IY$1,'STOPE SUMMARY PIVOT'!$A$2818:$A$2945, 0))</f>
        <v>0</v>
      </c>
      <c r="IZ78" s="174">
        <f>INDEX('STOPE SUMMARY PIVOT'!$E$2818:$E$2945, MATCH(IY$1,'STOPE SUMMARY PIVOT'!$A$2818:$A$2945, 0))</f>
        <v>0</v>
      </c>
    </row>
    <row r="79" spans="1:260" x14ac:dyDescent="0.25">
      <c r="A79" s="1590"/>
      <c r="B79" s="167" t="s">
        <v>219</v>
      </c>
      <c r="C79" s="168" cm="1">
        <f t="array" ref="C79">SUM(_xlfn._xlws.FILTER(E79:IZ79, MOD(COLUMN(E79:IZ79)-COLUMN(E79)+1,2)=1))</f>
        <v>0</v>
      </c>
      <c r="D79" s="26" t="str" cm="1">
        <f t="array" ref="D79">IFERROR(SUMPRODUCT(_xlfn._xlws.FILTER(E79:IZ79, MOD(COLUMN(E79:IZ79)-COLUMN(E79)+1,2)=1), _xlfn._xlws.FILTER(E79:IZ79, MOD(COLUMN(E79:IZ79)-COLUMN(E79)+1,2)=0))/C79,"")</f>
        <v/>
      </c>
      <c r="E79" s="154">
        <f>INDEX('STOPE SUMMARY PIVOT'!$G$2818:$G$2945, MATCH(E$1,'STOPE SUMMARY PIVOT'!$A$2818:$A$2945, 0))</f>
        <v>0</v>
      </c>
      <c r="F79" s="175">
        <f>INDEX('STOPE SUMMARY PIVOT'!$H$2818:$H$2945, MATCH(E$1,'STOPE SUMMARY PIVOT'!$A$2818:$A$2945, 0))</f>
        <v>0</v>
      </c>
      <c r="G79" s="154">
        <f>INDEX('STOPE SUMMARY PIVOT'!$G$2818:$G$2945, MATCH(G$1,'STOPE SUMMARY PIVOT'!$A$2818:$A$2945, 0))</f>
        <v>0</v>
      </c>
      <c r="H79" s="175">
        <f>INDEX('STOPE SUMMARY PIVOT'!$H$2818:$H$2945, MATCH(G$1,'STOPE SUMMARY PIVOT'!$A$2818:$A$2945, 0))</f>
        <v>0</v>
      </c>
      <c r="I79" s="154">
        <f>INDEX('STOPE SUMMARY PIVOT'!$G$2818:$G$2945, MATCH(I$1,'STOPE SUMMARY PIVOT'!$A$2818:$A$2945, 0))</f>
        <v>0</v>
      </c>
      <c r="J79" s="143">
        <f>INDEX('STOPE SUMMARY PIVOT'!$H$2818:$H$2945, MATCH(I$1,'STOPE SUMMARY PIVOT'!$A$2818:$A$2945, 0))</f>
        <v>0</v>
      </c>
      <c r="K79" s="154">
        <f>INDEX('STOPE SUMMARY PIVOT'!$G$2818:$G$2945, MATCH(K$1,'STOPE SUMMARY PIVOT'!$A$2818:$A$2945, 0))</f>
        <v>0</v>
      </c>
      <c r="L79" s="143">
        <f>INDEX('STOPE SUMMARY PIVOT'!$H$2818:$H$2945, MATCH(K$1,'STOPE SUMMARY PIVOT'!$A$2818:$A$2945, 0))</f>
        <v>0</v>
      </c>
      <c r="M79" s="154">
        <f>INDEX('STOPE SUMMARY PIVOT'!$G$2818:$G$2945, MATCH(M$1,'STOPE SUMMARY PIVOT'!$A$2818:$A$2945, 0))</f>
        <v>0</v>
      </c>
      <c r="N79" s="143">
        <f>INDEX('STOPE SUMMARY PIVOT'!$H$2818:$H$2945, MATCH(M$1,'STOPE SUMMARY PIVOT'!$A$2818:$A$2945, 0))</f>
        <v>0</v>
      </c>
      <c r="O79" s="154">
        <f>INDEX('STOPE SUMMARY PIVOT'!$G$2818:$G$2945, MATCH(O$1,'STOPE SUMMARY PIVOT'!$A$2818:$A$2945, 0))</f>
        <v>0</v>
      </c>
      <c r="P79" s="143">
        <f>INDEX('STOPE SUMMARY PIVOT'!$H$2818:$H$2945, MATCH(O$1,'STOPE SUMMARY PIVOT'!$A$2818:$A$2945, 0))</f>
        <v>0</v>
      </c>
      <c r="Q79" s="154">
        <f>INDEX('STOPE SUMMARY PIVOT'!$G$2818:$G$2945, MATCH(Q$1,'STOPE SUMMARY PIVOT'!$A$2818:$A$2945, 0))</f>
        <v>0</v>
      </c>
      <c r="R79" s="143">
        <f>INDEX('STOPE SUMMARY PIVOT'!$H$2818:$H$2945, MATCH(Q$1,'STOPE SUMMARY PIVOT'!$A$2818:$A$2945, 0))</f>
        <v>0</v>
      </c>
      <c r="S79" s="154">
        <f>INDEX('STOPE SUMMARY PIVOT'!$G$2818:$G$2945, MATCH(S$1,'STOPE SUMMARY PIVOT'!$A$2818:$A$2945, 0))</f>
        <v>0</v>
      </c>
      <c r="T79" s="143">
        <f>INDEX('STOPE SUMMARY PIVOT'!$H$2818:$H$2945, MATCH(S$1,'STOPE SUMMARY PIVOT'!$A$2818:$A$2945, 0))</f>
        <v>0</v>
      </c>
      <c r="U79" s="154">
        <f>INDEX('STOPE SUMMARY PIVOT'!$G$2818:$G$2945, MATCH(U$1,'STOPE SUMMARY PIVOT'!$A$2818:$A$2945, 0))</f>
        <v>0</v>
      </c>
      <c r="V79" s="175">
        <f>INDEX('STOPE SUMMARY PIVOT'!$H$2818:$H$2945, MATCH(U$1,'STOPE SUMMARY PIVOT'!$A$2818:$A$2945, 0))</f>
        <v>0</v>
      </c>
      <c r="W79" s="154">
        <f>INDEX('STOPE SUMMARY PIVOT'!$G$2818:$G$2945, MATCH(W$1,'STOPE SUMMARY PIVOT'!$A$2818:$A$2945, 0))</f>
        <v>0</v>
      </c>
      <c r="X79" s="175">
        <f>INDEX('STOPE SUMMARY PIVOT'!$H$2818:$H$2945, MATCH(W$1,'STOPE SUMMARY PIVOT'!$A$2818:$A$2945, 0))</f>
        <v>0</v>
      </c>
      <c r="Y79" s="154">
        <f>INDEX('STOPE SUMMARY PIVOT'!$G$2818:$G$2945, MATCH(Y$1,'STOPE SUMMARY PIVOT'!$A$2818:$A$2945, 0))</f>
        <v>0</v>
      </c>
      <c r="Z79" s="175">
        <f>INDEX('STOPE SUMMARY PIVOT'!$H$2818:$H$2945, MATCH(Y$1,'STOPE SUMMARY PIVOT'!$A$2818:$A$2945, 0))</f>
        <v>0</v>
      </c>
      <c r="AA79" s="154">
        <f>INDEX('STOPE SUMMARY PIVOT'!$G$2818:$G$2945, MATCH(AA$1,'STOPE SUMMARY PIVOT'!$A$2818:$A$2945, 0))</f>
        <v>0</v>
      </c>
      <c r="AB79" s="175">
        <f>INDEX('STOPE SUMMARY PIVOT'!$H$2818:$H$2945, MATCH(AA$1,'STOPE SUMMARY PIVOT'!$A$2818:$A$2945, 0))</f>
        <v>0</v>
      </c>
      <c r="AC79" s="154">
        <f>INDEX('STOPE SUMMARY PIVOT'!$G$2818:$G$2945, MATCH(AC$1,'STOPE SUMMARY PIVOT'!$A$2818:$A$2945, 0))</f>
        <v>0</v>
      </c>
      <c r="AD79" s="175">
        <f>INDEX('STOPE SUMMARY PIVOT'!$H$2818:$H$2945, MATCH(AC$1,'STOPE SUMMARY PIVOT'!$A$2818:$A$2945, 0))</f>
        <v>0</v>
      </c>
      <c r="AE79" s="154">
        <f>INDEX('STOPE SUMMARY PIVOT'!$G$2818:$G$2945, MATCH(AE$1,'STOPE SUMMARY PIVOT'!$A$2818:$A$2945, 0))</f>
        <v>0</v>
      </c>
      <c r="AF79" s="175">
        <f>INDEX('STOPE SUMMARY PIVOT'!$H$2818:$H$2945, MATCH(AE$1,'STOPE SUMMARY PIVOT'!$A$2818:$A$2945, 0))</f>
        <v>0</v>
      </c>
      <c r="AG79" s="154">
        <f>INDEX('STOPE SUMMARY PIVOT'!$G$2818:$G$2945, MATCH(AG$1,'STOPE SUMMARY PIVOT'!$A$2818:$A$2945, 0))</f>
        <v>0</v>
      </c>
      <c r="AH79" s="175">
        <f>INDEX('STOPE SUMMARY PIVOT'!$H$2818:$H$2945, MATCH(AG$1,'STOPE SUMMARY PIVOT'!$A$2818:$A$2945, 0))</f>
        <v>0</v>
      </c>
      <c r="AI79" s="154">
        <f>INDEX('STOPE SUMMARY PIVOT'!$G$2818:$G$2945, MATCH(AI$1,'STOPE SUMMARY PIVOT'!$A$2818:$A$2945, 0))</f>
        <v>0</v>
      </c>
      <c r="AJ79" s="175">
        <f>INDEX('STOPE SUMMARY PIVOT'!$H$2818:$H$2945, MATCH(AI$1,'STOPE SUMMARY PIVOT'!$A$2818:$A$2945, 0))</f>
        <v>0</v>
      </c>
      <c r="AK79" s="154">
        <f>INDEX('STOPE SUMMARY PIVOT'!$G$2818:$G$2945, MATCH(AK$1,'STOPE SUMMARY PIVOT'!$A$2818:$A$2945, 0))</f>
        <v>0</v>
      </c>
      <c r="AL79" s="175">
        <f>INDEX('STOPE SUMMARY PIVOT'!$H$2818:$H$2945, MATCH(AK$1,'STOPE SUMMARY PIVOT'!$A$2818:$A$2945, 0))</f>
        <v>0</v>
      </c>
      <c r="AM79" s="154">
        <f>INDEX('STOPE SUMMARY PIVOT'!$G$2818:$G$2945, MATCH(AM$1,'STOPE SUMMARY PIVOT'!$A$2818:$A$2945, 0))</f>
        <v>0</v>
      </c>
      <c r="AN79" s="175">
        <f>INDEX('STOPE SUMMARY PIVOT'!$H$2818:$H$2945, MATCH(AM$1,'STOPE SUMMARY PIVOT'!$A$2818:$A$2945, 0))</f>
        <v>0</v>
      </c>
      <c r="AO79" s="154">
        <f>INDEX('STOPE SUMMARY PIVOT'!$G$2818:$G$2945, MATCH(AO$1,'STOPE SUMMARY PIVOT'!$A$2818:$A$2945, 0))</f>
        <v>0</v>
      </c>
      <c r="AP79" s="175">
        <f>INDEX('STOPE SUMMARY PIVOT'!$H$2818:$H$2945, MATCH(AO$1,'STOPE SUMMARY PIVOT'!$A$2818:$A$2945, 0))</f>
        <v>0</v>
      </c>
      <c r="AQ79" s="154">
        <f>INDEX('STOPE SUMMARY PIVOT'!$G$2818:$G$2945, MATCH(AQ$1,'STOPE SUMMARY PIVOT'!$A$2818:$A$2945, 0))</f>
        <v>0</v>
      </c>
      <c r="AR79" s="175">
        <f>INDEX('STOPE SUMMARY PIVOT'!$H$2818:$H$2945, MATCH(AQ$1,'STOPE SUMMARY PIVOT'!$A$2818:$A$2945, 0))</f>
        <v>0</v>
      </c>
      <c r="AS79" s="154">
        <f>INDEX('STOPE SUMMARY PIVOT'!$G$2818:$G$2945, MATCH(AS$1,'STOPE SUMMARY PIVOT'!$A$2818:$A$2945, 0))</f>
        <v>0</v>
      </c>
      <c r="AT79" s="175">
        <f>INDEX('STOPE SUMMARY PIVOT'!$H$2818:$H$2945, MATCH(AS$1,'STOPE SUMMARY PIVOT'!$A$2818:$A$2945, 0))</f>
        <v>0</v>
      </c>
      <c r="AU79" s="154">
        <f>INDEX('STOPE SUMMARY PIVOT'!$G$2818:$G$2945, MATCH(AU$1,'STOPE SUMMARY PIVOT'!$A$2818:$A$2945, 0))</f>
        <v>0</v>
      </c>
      <c r="AV79" s="175">
        <f>INDEX('STOPE SUMMARY PIVOT'!$H$2818:$H$2945, MATCH(AU$1,'STOPE SUMMARY PIVOT'!$A$2818:$A$2945, 0))</f>
        <v>0</v>
      </c>
      <c r="AW79" s="154">
        <f>INDEX('STOPE SUMMARY PIVOT'!$G$2818:$G$2945, MATCH(AW$1,'STOPE SUMMARY PIVOT'!$A$2818:$A$2945, 0))</f>
        <v>0</v>
      </c>
      <c r="AX79" s="175">
        <f>INDEX('STOPE SUMMARY PIVOT'!$H$2818:$H$2945, MATCH(AW$1,'STOPE SUMMARY PIVOT'!$A$2818:$A$2945, 0))</f>
        <v>0</v>
      </c>
      <c r="AY79" s="154">
        <f>INDEX('STOPE SUMMARY PIVOT'!$G$2818:$G$2945, MATCH(AY$1,'STOPE SUMMARY PIVOT'!$A$2818:$A$2945, 0))</f>
        <v>0</v>
      </c>
      <c r="AZ79" s="175">
        <f>INDEX('STOPE SUMMARY PIVOT'!$H$2818:$H$2945, MATCH(AY$1,'STOPE SUMMARY PIVOT'!$A$2818:$A$2945, 0))</f>
        <v>0</v>
      </c>
      <c r="BA79" s="154">
        <f>INDEX('STOPE SUMMARY PIVOT'!$G$2818:$G$2945, MATCH(BA$1,'STOPE SUMMARY PIVOT'!$A$2818:$A$2945, 0))</f>
        <v>0</v>
      </c>
      <c r="BB79" s="175">
        <f>INDEX('STOPE SUMMARY PIVOT'!$H$2818:$H$2945, MATCH(BA$1,'STOPE SUMMARY PIVOT'!$A$2818:$A$2945, 0))</f>
        <v>0</v>
      </c>
      <c r="BC79" s="154">
        <f>INDEX('STOPE SUMMARY PIVOT'!$G$2818:$G$2945, MATCH(BC$1,'STOPE SUMMARY PIVOT'!$A$2818:$A$2945, 0))</f>
        <v>0</v>
      </c>
      <c r="BD79" s="175">
        <f>INDEX('STOPE SUMMARY PIVOT'!$H$2818:$H$2945, MATCH(BC$1,'STOPE SUMMARY PIVOT'!$A$2818:$A$2945, 0))</f>
        <v>0</v>
      </c>
      <c r="BE79" s="154">
        <f>INDEX('STOPE SUMMARY PIVOT'!$G$2818:$G$2945, MATCH(BE$1,'STOPE SUMMARY PIVOT'!$A$2818:$A$2945, 0))</f>
        <v>0</v>
      </c>
      <c r="BF79" s="175">
        <f>INDEX('STOPE SUMMARY PIVOT'!$H$2818:$H$2945, MATCH(BE$1,'STOPE SUMMARY PIVOT'!$A$2818:$A$2945, 0))</f>
        <v>0</v>
      </c>
      <c r="BG79" s="154">
        <f>INDEX('STOPE SUMMARY PIVOT'!$G$2818:$G$2945, MATCH(BG$1,'STOPE SUMMARY PIVOT'!$A$2818:$A$2945, 0))</f>
        <v>0</v>
      </c>
      <c r="BH79" s="175">
        <f>INDEX('STOPE SUMMARY PIVOT'!$H$2818:$H$2945, MATCH(BG$1,'STOPE SUMMARY PIVOT'!$A$2818:$A$2945, 0))</f>
        <v>0</v>
      </c>
      <c r="BI79" s="154">
        <f>INDEX('STOPE SUMMARY PIVOT'!$G$2818:$G$2945, MATCH(BI$1,'STOPE SUMMARY PIVOT'!$A$2818:$A$2945, 0))</f>
        <v>0</v>
      </c>
      <c r="BJ79" s="175">
        <f>INDEX('STOPE SUMMARY PIVOT'!$H$2818:$H$2945, MATCH(BI$1,'STOPE SUMMARY PIVOT'!$A$2818:$A$2945, 0))</f>
        <v>0</v>
      </c>
      <c r="BK79" s="154">
        <f>INDEX('STOPE SUMMARY PIVOT'!$G$2818:$G$2945, MATCH(BK$1,'STOPE SUMMARY PIVOT'!$A$2818:$A$2945, 0))</f>
        <v>0</v>
      </c>
      <c r="BL79" s="175">
        <f>INDEX('STOPE SUMMARY PIVOT'!$H$2818:$H$2945, MATCH(BK$1,'STOPE SUMMARY PIVOT'!$A$2818:$A$2945, 0))</f>
        <v>0</v>
      </c>
      <c r="BM79" s="154">
        <f>INDEX('STOPE SUMMARY PIVOT'!$G$2818:$G$2945, MATCH(BM$1,'STOPE SUMMARY PIVOT'!$A$2818:$A$2945, 0))</f>
        <v>0</v>
      </c>
      <c r="BN79" s="175">
        <f>INDEX('STOPE SUMMARY PIVOT'!$H$2818:$H$2945, MATCH(BM$1,'STOPE SUMMARY PIVOT'!$A$2818:$A$2945, 0))</f>
        <v>0</v>
      </c>
      <c r="BO79" s="154">
        <f>INDEX('STOPE SUMMARY PIVOT'!$G$2818:$G$2945, MATCH(BO$1,'STOPE SUMMARY PIVOT'!$A$2818:$A$2945, 0))</f>
        <v>0</v>
      </c>
      <c r="BP79" s="175">
        <f>INDEX('STOPE SUMMARY PIVOT'!$H$2818:$H$2945, MATCH(BO$1,'STOPE SUMMARY PIVOT'!$A$2818:$A$2945, 0))</f>
        <v>0</v>
      </c>
      <c r="BQ79" s="154">
        <f>INDEX('STOPE SUMMARY PIVOT'!$G$2818:$G$2945, MATCH(BQ$1,'STOPE SUMMARY PIVOT'!$A$2818:$A$2945, 0))</f>
        <v>0</v>
      </c>
      <c r="BR79" s="175">
        <f>INDEX('STOPE SUMMARY PIVOT'!$H$2818:$H$2945, MATCH(BQ$1,'STOPE SUMMARY PIVOT'!$A$2818:$A$2945, 0))</f>
        <v>0</v>
      </c>
      <c r="BS79" s="154">
        <f>INDEX('STOPE SUMMARY PIVOT'!$G$2818:$G$2945, MATCH(BS$1,'STOPE SUMMARY PIVOT'!$A$2818:$A$2945, 0))</f>
        <v>0</v>
      </c>
      <c r="BT79" s="175">
        <f>INDEX('STOPE SUMMARY PIVOT'!$H$2818:$H$2945, MATCH(BS$1,'STOPE SUMMARY PIVOT'!$A$2818:$A$2945, 0))</f>
        <v>0</v>
      </c>
      <c r="BU79" s="154">
        <f>INDEX('STOPE SUMMARY PIVOT'!$G$2818:$G$2945, MATCH(BU$1,'STOPE SUMMARY PIVOT'!$A$2818:$A$2945, 0))</f>
        <v>0</v>
      </c>
      <c r="BV79" s="175">
        <f>INDEX('STOPE SUMMARY PIVOT'!$H$2818:$H$2945, MATCH(BU$1,'STOPE SUMMARY PIVOT'!$A$2818:$A$2945, 0))</f>
        <v>0</v>
      </c>
      <c r="BW79" s="154">
        <f>INDEX('STOPE SUMMARY PIVOT'!$G$2818:$G$2945, MATCH(BW$1,'STOPE SUMMARY PIVOT'!$A$2818:$A$2945, 0))</f>
        <v>0</v>
      </c>
      <c r="BX79" s="175">
        <f>INDEX('STOPE SUMMARY PIVOT'!$H$2818:$H$2945, MATCH(BW$1,'STOPE SUMMARY PIVOT'!$A$2818:$A$2945, 0))</f>
        <v>0</v>
      </c>
      <c r="BY79" s="154">
        <f>INDEX('STOPE SUMMARY PIVOT'!$G$2818:$G$2945, MATCH(BY$1,'STOPE SUMMARY PIVOT'!$A$2818:$A$2945, 0))</f>
        <v>0</v>
      </c>
      <c r="BZ79" s="175">
        <f>INDEX('STOPE SUMMARY PIVOT'!$H$2818:$H$2945, MATCH(BY$1,'STOPE SUMMARY PIVOT'!$A$2818:$A$2945, 0))</f>
        <v>0</v>
      </c>
      <c r="CA79" s="154">
        <f>INDEX('STOPE SUMMARY PIVOT'!$G$2818:$G$2945, MATCH(CA$1,'STOPE SUMMARY PIVOT'!$A$2818:$A$2945, 0))</f>
        <v>0</v>
      </c>
      <c r="CB79" s="175">
        <f>INDEX('STOPE SUMMARY PIVOT'!$H$2818:$H$2945, MATCH(CA$1,'STOPE SUMMARY PIVOT'!$A$2818:$A$2945, 0))</f>
        <v>0</v>
      </c>
      <c r="CC79" s="154">
        <f>INDEX('STOPE SUMMARY PIVOT'!$G$2818:$G$2945, MATCH(CC$1,'STOPE SUMMARY PIVOT'!$A$2818:$A$2945, 0))</f>
        <v>0</v>
      </c>
      <c r="CD79" s="175">
        <f>INDEX('STOPE SUMMARY PIVOT'!$H$2818:$H$2945, MATCH(CC$1,'STOPE SUMMARY PIVOT'!$A$2818:$A$2945, 0))</f>
        <v>0</v>
      </c>
      <c r="CE79" s="154">
        <f>INDEX('STOPE SUMMARY PIVOT'!$G$2818:$G$2945, MATCH(CE$1,'STOPE SUMMARY PIVOT'!$A$2818:$A$2945, 0))</f>
        <v>0</v>
      </c>
      <c r="CF79" s="175">
        <f>INDEX('STOPE SUMMARY PIVOT'!$H$2818:$H$2945, MATCH(CE$1,'STOPE SUMMARY PIVOT'!$A$2818:$A$2945, 0))</f>
        <v>0</v>
      </c>
      <c r="CG79" s="154">
        <f>INDEX('STOPE SUMMARY PIVOT'!$G$2818:$G$2945, MATCH(CG$1,'STOPE SUMMARY PIVOT'!$A$2818:$A$2945, 0))</f>
        <v>0</v>
      </c>
      <c r="CH79" s="175">
        <f>INDEX('STOPE SUMMARY PIVOT'!$H$2818:$H$2945, MATCH(CG$1,'STOPE SUMMARY PIVOT'!$A$2818:$A$2945, 0))</f>
        <v>0</v>
      </c>
      <c r="CI79" s="154">
        <f>INDEX('STOPE SUMMARY PIVOT'!$G$2818:$G$2945, MATCH(CI$1,'STOPE SUMMARY PIVOT'!$A$2818:$A$2945, 0))</f>
        <v>0</v>
      </c>
      <c r="CJ79" s="175">
        <f>INDEX('STOPE SUMMARY PIVOT'!$H$2818:$H$2945, MATCH(CI$1,'STOPE SUMMARY PIVOT'!$A$2818:$A$2945, 0))</f>
        <v>0</v>
      </c>
      <c r="CK79" s="154">
        <f>INDEX('STOPE SUMMARY PIVOT'!$G$2818:$G$2945, MATCH(CK$1,'STOPE SUMMARY PIVOT'!$A$2818:$A$2945, 0))</f>
        <v>0</v>
      </c>
      <c r="CL79" s="175">
        <f>INDEX('STOPE SUMMARY PIVOT'!$H$2818:$H$2945, MATCH(CK$1,'STOPE SUMMARY PIVOT'!$A$2818:$A$2945, 0))</f>
        <v>0</v>
      </c>
      <c r="CM79" s="154">
        <f>INDEX('STOPE SUMMARY PIVOT'!$G$2818:$G$2945, MATCH(CM$1,'STOPE SUMMARY PIVOT'!$A$2818:$A$2945, 0))</f>
        <v>0</v>
      </c>
      <c r="CN79" s="175">
        <f>INDEX('STOPE SUMMARY PIVOT'!$H$2818:$H$2945, MATCH(CM$1,'STOPE SUMMARY PIVOT'!$A$2818:$A$2945, 0))</f>
        <v>0</v>
      </c>
      <c r="CO79" s="154">
        <f>INDEX('STOPE SUMMARY PIVOT'!$G$2818:$G$2945, MATCH(CO$1,'STOPE SUMMARY PIVOT'!$A$2818:$A$2945, 0))</f>
        <v>0</v>
      </c>
      <c r="CP79" s="175">
        <f>INDEX('STOPE SUMMARY PIVOT'!$H$2818:$H$2945, MATCH(CO$1,'STOPE SUMMARY PIVOT'!$A$2818:$A$2945, 0))</f>
        <v>0</v>
      </c>
      <c r="CQ79" s="154">
        <f>INDEX('STOPE SUMMARY PIVOT'!$G$2818:$G$2945, MATCH(CQ$1,'STOPE SUMMARY PIVOT'!$A$2818:$A$2945, 0))</f>
        <v>0</v>
      </c>
      <c r="CR79" s="175">
        <f>INDEX('STOPE SUMMARY PIVOT'!$H$2818:$H$2945, MATCH(CQ$1,'STOPE SUMMARY PIVOT'!$A$2818:$A$2945, 0))</f>
        <v>0</v>
      </c>
      <c r="CS79" s="154">
        <f>INDEX('STOPE SUMMARY PIVOT'!$G$2818:$G$2945, MATCH(CS$1,'STOPE SUMMARY PIVOT'!$A$2818:$A$2945, 0))</f>
        <v>0</v>
      </c>
      <c r="CT79" s="175">
        <f>INDEX('STOPE SUMMARY PIVOT'!$H$2818:$H$2945, MATCH(CS$1,'STOPE SUMMARY PIVOT'!$A$2818:$A$2945, 0))</f>
        <v>0</v>
      </c>
      <c r="CU79" s="154">
        <f>INDEX('STOPE SUMMARY PIVOT'!$G$2818:$G$2945, MATCH(CU$1,'STOPE SUMMARY PIVOT'!$A$2818:$A$2945, 0))</f>
        <v>0</v>
      </c>
      <c r="CV79" s="175">
        <f>INDEX('STOPE SUMMARY PIVOT'!$H$2818:$H$2945, MATCH(CU$1,'STOPE SUMMARY PIVOT'!$A$2818:$A$2945, 0))</f>
        <v>0</v>
      </c>
      <c r="CW79" s="154">
        <f>INDEX('STOPE SUMMARY PIVOT'!$G$2818:$G$2945, MATCH(CW$1,'STOPE SUMMARY PIVOT'!$A$2818:$A$2945, 0))</f>
        <v>0</v>
      </c>
      <c r="CX79" s="175">
        <f>INDEX('STOPE SUMMARY PIVOT'!$H$2818:$H$2945, MATCH(CW$1,'STOPE SUMMARY PIVOT'!$A$2818:$A$2945, 0))</f>
        <v>0</v>
      </c>
      <c r="CY79" s="154">
        <f>INDEX('STOPE SUMMARY PIVOT'!$G$2818:$G$2945, MATCH(CY$1,'STOPE SUMMARY PIVOT'!$A$2818:$A$2945, 0))</f>
        <v>0</v>
      </c>
      <c r="CZ79" s="175">
        <f>INDEX('STOPE SUMMARY PIVOT'!$H$2818:$H$2945, MATCH(CY$1,'STOPE SUMMARY PIVOT'!$A$2818:$A$2945, 0))</f>
        <v>0</v>
      </c>
      <c r="DA79" s="154">
        <f>INDEX('STOPE SUMMARY PIVOT'!$G$2818:$G$2945, MATCH(DA$1,'STOPE SUMMARY PIVOT'!$A$2818:$A$2945, 0))</f>
        <v>0</v>
      </c>
      <c r="DB79" s="175">
        <f>INDEX('STOPE SUMMARY PIVOT'!$H$2818:$H$2945, MATCH(DA$1,'STOPE SUMMARY PIVOT'!$A$2818:$A$2945, 0))</f>
        <v>0</v>
      </c>
      <c r="DC79" s="154">
        <f>INDEX('STOPE SUMMARY PIVOT'!$G$2818:$G$2945, MATCH(DC$1,'STOPE SUMMARY PIVOT'!$A$2818:$A$2945, 0))</f>
        <v>0</v>
      </c>
      <c r="DD79" s="175">
        <f>INDEX('STOPE SUMMARY PIVOT'!$H$2818:$H$2945, MATCH(DC$1,'STOPE SUMMARY PIVOT'!$A$2818:$A$2945, 0))</f>
        <v>0</v>
      </c>
      <c r="DE79" s="154">
        <f>INDEX('STOPE SUMMARY PIVOT'!$G$2818:$G$2945, MATCH(DE$1,'STOPE SUMMARY PIVOT'!$A$2818:$A$2945, 0))</f>
        <v>0</v>
      </c>
      <c r="DF79" s="175">
        <f>INDEX('STOPE SUMMARY PIVOT'!$H$2818:$H$2945, MATCH(DE$1,'STOPE SUMMARY PIVOT'!$A$2818:$A$2945, 0))</f>
        <v>0</v>
      </c>
      <c r="DG79" s="154">
        <f>INDEX('STOPE SUMMARY PIVOT'!$G$2818:$G$2945, MATCH(DG$1,'STOPE SUMMARY PIVOT'!$A$2818:$A$2945, 0))</f>
        <v>0</v>
      </c>
      <c r="DH79" s="175">
        <f>INDEX('STOPE SUMMARY PIVOT'!$H$2818:$H$2945, MATCH(DG$1,'STOPE SUMMARY PIVOT'!$A$2818:$A$2945, 0))</f>
        <v>0</v>
      </c>
      <c r="DI79" s="154">
        <f>INDEX('STOPE SUMMARY PIVOT'!$G$2818:$G$2945, MATCH(DI$1,'STOPE SUMMARY PIVOT'!$A$2818:$A$2945, 0))</f>
        <v>0</v>
      </c>
      <c r="DJ79" s="175">
        <f>INDEX('STOPE SUMMARY PIVOT'!$H$2818:$H$2945, MATCH(DI$1,'STOPE SUMMARY PIVOT'!$A$2818:$A$2945, 0))</f>
        <v>0</v>
      </c>
      <c r="DK79" s="154">
        <f>INDEX('STOPE SUMMARY PIVOT'!$G$2818:$G$2945, MATCH(DK$1,'STOPE SUMMARY PIVOT'!$A$2818:$A$2945, 0))</f>
        <v>0</v>
      </c>
      <c r="DL79" s="175">
        <f>INDEX('STOPE SUMMARY PIVOT'!$H$2818:$H$2945, MATCH(DK$1,'STOPE SUMMARY PIVOT'!$A$2818:$A$2945, 0))</f>
        <v>0</v>
      </c>
      <c r="DM79" s="154">
        <f>INDEX('STOPE SUMMARY PIVOT'!$G$2818:$G$2945, MATCH(DM$1,'STOPE SUMMARY PIVOT'!$A$2818:$A$2945, 0))</f>
        <v>0</v>
      </c>
      <c r="DN79" s="175">
        <f>INDEX('STOPE SUMMARY PIVOT'!$H$2818:$H$2945, MATCH(DM$1,'STOPE SUMMARY PIVOT'!$A$2818:$A$2945, 0))</f>
        <v>0</v>
      </c>
      <c r="DO79" s="154">
        <f>INDEX('STOPE SUMMARY PIVOT'!$G$2818:$G$2945, MATCH(DO$1,'STOPE SUMMARY PIVOT'!$A$2818:$A$2945, 0))</f>
        <v>0</v>
      </c>
      <c r="DP79" s="175">
        <f>INDEX('STOPE SUMMARY PIVOT'!$H$2818:$H$2945, MATCH(DO$1,'STOPE SUMMARY PIVOT'!$A$2818:$A$2945, 0))</f>
        <v>0</v>
      </c>
      <c r="DQ79" s="154">
        <f>INDEX('STOPE SUMMARY PIVOT'!$G$2818:$G$2945, MATCH(DQ$1,'STOPE SUMMARY PIVOT'!$A$2818:$A$2945, 0))</f>
        <v>0</v>
      </c>
      <c r="DR79" s="175">
        <f>INDEX('STOPE SUMMARY PIVOT'!$H$2818:$H$2945, MATCH(DQ$1,'STOPE SUMMARY PIVOT'!$A$2818:$A$2945, 0))</f>
        <v>0</v>
      </c>
      <c r="DS79" s="154">
        <f>INDEX('STOPE SUMMARY PIVOT'!$G$2818:$G$2945, MATCH(DS$1,'STOPE SUMMARY PIVOT'!$A$2818:$A$2945, 0))</f>
        <v>0</v>
      </c>
      <c r="DT79" s="175">
        <f>INDEX('STOPE SUMMARY PIVOT'!$H$2818:$H$2945, MATCH(DS$1,'STOPE SUMMARY PIVOT'!$A$2818:$A$2945, 0))</f>
        <v>0</v>
      </c>
      <c r="DU79" s="154">
        <f>INDEX('STOPE SUMMARY PIVOT'!$G$2818:$G$2945, MATCH(DU$1,'STOPE SUMMARY PIVOT'!$A$2818:$A$2945, 0))</f>
        <v>0</v>
      </c>
      <c r="DV79" s="175">
        <f>INDEX('STOPE SUMMARY PIVOT'!$H$2818:$H$2945, MATCH(DU$1,'STOPE SUMMARY PIVOT'!$A$2818:$A$2945, 0))</f>
        <v>0</v>
      </c>
      <c r="DW79" s="154">
        <f>INDEX('STOPE SUMMARY PIVOT'!$G$2818:$G$2945, MATCH(DW$1,'STOPE SUMMARY PIVOT'!$A$2818:$A$2945, 0))</f>
        <v>0</v>
      </c>
      <c r="DX79" s="175">
        <f>INDEX('STOPE SUMMARY PIVOT'!$H$2818:$H$2945, MATCH(DW$1,'STOPE SUMMARY PIVOT'!$A$2818:$A$2945, 0))</f>
        <v>0</v>
      </c>
      <c r="DY79" s="154">
        <f>INDEX('STOPE SUMMARY PIVOT'!$G$2818:$G$2945, MATCH(DY$1,'STOPE SUMMARY PIVOT'!$A$2818:$A$2945, 0))</f>
        <v>0</v>
      </c>
      <c r="DZ79" s="175">
        <f>INDEX('STOPE SUMMARY PIVOT'!$H$2818:$H$2945, MATCH(DY$1,'STOPE SUMMARY PIVOT'!$A$2818:$A$2945, 0))</f>
        <v>0</v>
      </c>
      <c r="EA79" s="154">
        <f>INDEX('STOPE SUMMARY PIVOT'!$G$2818:$G$2945, MATCH(EA$1,'STOPE SUMMARY PIVOT'!$A$2818:$A$2945, 0))</f>
        <v>0</v>
      </c>
      <c r="EB79" s="175">
        <f>INDEX('STOPE SUMMARY PIVOT'!$H$2818:$H$2945, MATCH(EA$1,'STOPE SUMMARY PIVOT'!$A$2818:$A$2945, 0))</f>
        <v>0</v>
      </c>
      <c r="EC79" s="154">
        <f>INDEX('STOPE SUMMARY PIVOT'!$G$2818:$G$2945, MATCH(EC$1,'STOPE SUMMARY PIVOT'!$A$2818:$A$2945, 0))</f>
        <v>0</v>
      </c>
      <c r="ED79" s="175">
        <f>INDEX('STOPE SUMMARY PIVOT'!$H$2818:$H$2945, MATCH(EC$1,'STOPE SUMMARY PIVOT'!$A$2818:$A$2945, 0))</f>
        <v>0</v>
      </c>
      <c r="EE79" s="154">
        <f>INDEX('STOPE SUMMARY PIVOT'!$G$2818:$G$2945, MATCH(EE$1,'STOPE SUMMARY PIVOT'!$A$2818:$A$2945, 0))</f>
        <v>0</v>
      </c>
      <c r="EF79" s="175">
        <f>INDEX('STOPE SUMMARY PIVOT'!$H$2818:$H$2945, MATCH(EE$1,'STOPE SUMMARY PIVOT'!$A$2818:$A$2945, 0))</f>
        <v>0</v>
      </c>
      <c r="EG79" s="154">
        <f>INDEX('STOPE SUMMARY PIVOT'!$G$2818:$G$2945, MATCH(EG$1,'STOPE SUMMARY PIVOT'!$A$2818:$A$2945, 0))</f>
        <v>0</v>
      </c>
      <c r="EH79" s="175">
        <f>INDEX('STOPE SUMMARY PIVOT'!$H$2818:$H$2945, MATCH(EG$1,'STOPE SUMMARY PIVOT'!$A$2818:$A$2945, 0))</f>
        <v>0</v>
      </c>
      <c r="EI79" s="154">
        <f>INDEX('STOPE SUMMARY PIVOT'!$G$2818:$G$2945, MATCH(EI$1,'STOPE SUMMARY PIVOT'!$A$2818:$A$2945, 0))</f>
        <v>0</v>
      </c>
      <c r="EJ79" s="175">
        <f>INDEX('STOPE SUMMARY PIVOT'!$H$2818:$H$2945, MATCH(EI$1,'STOPE SUMMARY PIVOT'!$A$2818:$A$2945, 0))</f>
        <v>0</v>
      </c>
      <c r="EK79" s="154">
        <f>INDEX('STOPE SUMMARY PIVOT'!$G$2818:$G$2945, MATCH(EK$1,'STOPE SUMMARY PIVOT'!$A$2818:$A$2945, 0))</f>
        <v>0</v>
      </c>
      <c r="EL79" s="175">
        <f>INDEX('STOPE SUMMARY PIVOT'!$H$2818:$H$2945, MATCH(EK$1,'STOPE SUMMARY PIVOT'!$A$2818:$A$2945, 0))</f>
        <v>0</v>
      </c>
      <c r="EM79" s="154">
        <f>INDEX('STOPE SUMMARY PIVOT'!$G$2818:$G$2945, MATCH(EM$1,'STOPE SUMMARY PIVOT'!$A$2818:$A$2945, 0))</f>
        <v>0</v>
      </c>
      <c r="EN79" s="175">
        <f>INDEX('STOPE SUMMARY PIVOT'!$H$2818:$H$2945, MATCH(EM$1,'STOPE SUMMARY PIVOT'!$A$2818:$A$2945, 0))</f>
        <v>0</v>
      </c>
      <c r="EO79" s="154">
        <f>INDEX('STOPE SUMMARY PIVOT'!$G$2818:$G$2945, MATCH(EO$1,'STOPE SUMMARY PIVOT'!$A$2818:$A$2945, 0))</f>
        <v>0</v>
      </c>
      <c r="EP79" s="175">
        <f>INDEX('STOPE SUMMARY PIVOT'!$H$2818:$H$2945, MATCH(EO$1,'STOPE SUMMARY PIVOT'!$A$2818:$A$2945, 0))</f>
        <v>0</v>
      </c>
      <c r="EQ79" s="154">
        <f>INDEX('STOPE SUMMARY PIVOT'!$G$2818:$G$2945, MATCH(EQ$1,'STOPE SUMMARY PIVOT'!$A$2818:$A$2945, 0))</f>
        <v>0</v>
      </c>
      <c r="ER79" s="175">
        <f>INDEX('STOPE SUMMARY PIVOT'!$H$2818:$H$2945, MATCH(EQ$1,'STOPE SUMMARY PIVOT'!$A$2818:$A$2945, 0))</f>
        <v>0</v>
      </c>
      <c r="ES79" s="154">
        <f>INDEX('STOPE SUMMARY PIVOT'!$G$2818:$G$2945, MATCH(ES$1,'STOPE SUMMARY PIVOT'!$A$2818:$A$2945, 0))</f>
        <v>0</v>
      </c>
      <c r="ET79" s="175">
        <f>INDEX('STOPE SUMMARY PIVOT'!$H$2818:$H$2945, MATCH(ES$1,'STOPE SUMMARY PIVOT'!$A$2818:$A$2945, 0))</f>
        <v>0</v>
      </c>
      <c r="EU79" s="154">
        <f>INDEX('STOPE SUMMARY PIVOT'!$G$2818:$G$2945, MATCH(EU$1,'STOPE SUMMARY PIVOT'!$A$2818:$A$2945, 0))</f>
        <v>0</v>
      </c>
      <c r="EV79" s="175">
        <f>INDEX('STOPE SUMMARY PIVOT'!$H$2818:$H$2945, MATCH(EU$1,'STOPE SUMMARY PIVOT'!$A$2818:$A$2945, 0))</f>
        <v>0</v>
      </c>
      <c r="EW79" s="154">
        <f>INDEX('STOPE SUMMARY PIVOT'!$G$2818:$G$2945, MATCH(EW$1,'STOPE SUMMARY PIVOT'!$A$2818:$A$2945, 0))</f>
        <v>0</v>
      </c>
      <c r="EX79" s="175">
        <f>INDEX('STOPE SUMMARY PIVOT'!$H$2818:$H$2945, MATCH(EW$1,'STOPE SUMMARY PIVOT'!$A$2818:$A$2945, 0))</f>
        <v>0</v>
      </c>
      <c r="EY79" s="154">
        <f>INDEX('STOPE SUMMARY PIVOT'!$G$2818:$G$2945, MATCH(EY$1,'STOPE SUMMARY PIVOT'!$A$2818:$A$2945, 0))</f>
        <v>0</v>
      </c>
      <c r="EZ79" s="175">
        <f>INDEX('STOPE SUMMARY PIVOT'!$H$2818:$H$2945, MATCH(EY$1,'STOPE SUMMARY PIVOT'!$A$2818:$A$2945, 0))</f>
        <v>0</v>
      </c>
      <c r="FA79" s="154">
        <f>INDEX('STOPE SUMMARY PIVOT'!$G$2818:$G$2945, MATCH(FA$1,'STOPE SUMMARY PIVOT'!$A$2818:$A$2945, 0))</f>
        <v>0</v>
      </c>
      <c r="FB79" s="175">
        <f>INDEX('STOPE SUMMARY PIVOT'!$H$2818:$H$2945, MATCH(FA$1,'STOPE SUMMARY PIVOT'!$A$2818:$A$2945, 0))</f>
        <v>0</v>
      </c>
      <c r="FC79" s="154">
        <f>INDEX('STOPE SUMMARY PIVOT'!$G$2818:$G$2945, MATCH(FC$1,'STOPE SUMMARY PIVOT'!$A$2818:$A$2945, 0))</f>
        <v>0</v>
      </c>
      <c r="FD79" s="175">
        <f>INDEX('STOPE SUMMARY PIVOT'!$H$2818:$H$2945, MATCH(FC$1,'STOPE SUMMARY PIVOT'!$A$2818:$A$2945, 0))</f>
        <v>0</v>
      </c>
      <c r="FE79" s="154">
        <f>INDEX('STOPE SUMMARY PIVOT'!$G$2818:$G$2945, MATCH(FE$1,'STOPE SUMMARY PIVOT'!$A$2818:$A$2945, 0))</f>
        <v>0</v>
      </c>
      <c r="FF79" s="175">
        <f>INDEX('STOPE SUMMARY PIVOT'!$H$2818:$H$2945, MATCH(FE$1,'STOPE SUMMARY PIVOT'!$A$2818:$A$2945, 0))</f>
        <v>0</v>
      </c>
      <c r="FG79" s="154">
        <f>INDEX('STOPE SUMMARY PIVOT'!$G$2818:$G$2945, MATCH(FG$1,'STOPE SUMMARY PIVOT'!$A$2818:$A$2945, 0))</f>
        <v>0</v>
      </c>
      <c r="FH79" s="175">
        <f>INDEX('STOPE SUMMARY PIVOT'!$H$2818:$H$2945, MATCH(FG$1,'STOPE SUMMARY PIVOT'!$A$2818:$A$2945, 0))</f>
        <v>0</v>
      </c>
      <c r="FI79" s="154">
        <f>INDEX('STOPE SUMMARY PIVOT'!$G$2818:$G$2945, MATCH(FI$1,'STOPE SUMMARY PIVOT'!$A$2818:$A$2945, 0))</f>
        <v>0</v>
      </c>
      <c r="FJ79" s="175">
        <f>INDEX('STOPE SUMMARY PIVOT'!$H$2818:$H$2945, MATCH(FI$1,'STOPE SUMMARY PIVOT'!$A$2818:$A$2945, 0))</f>
        <v>0</v>
      </c>
      <c r="FK79" s="154">
        <f>INDEX('STOPE SUMMARY PIVOT'!$G$2818:$G$2945, MATCH(FK$1,'STOPE SUMMARY PIVOT'!$A$2818:$A$2945, 0))</f>
        <v>0</v>
      </c>
      <c r="FL79" s="175">
        <f>INDEX('STOPE SUMMARY PIVOT'!$H$2818:$H$2945, MATCH(FK$1,'STOPE SUMMARY PIVOT'!$A$2818:$A$2945, 0))</f>
        <v>0</v>
      </c>
      <c r="FM79" s="154">
        <f>INDEX('STOPE SUMMARY PIVOT'!$G$2818:$G$2945, MATCH(FM$1,'STOPE SUMMARY PIVOT'!$A$2818:$A$2945, 0))</f>
        <v>0</v>
      </c>
      <c r="FN79" s="175">
        <f>INDEX('STOPE SUMMARY PIVOT'!$H$2818:$H$2945, MATCH(FM$1,'STOPE SUMMARY PIVOT'!$A$2818:$A$2945, 0))</f>
        <v>0</v>
      </c>
      <c r="FO79" s="154">
        <f>INDEX('STOPE SUMMARY PIVOT'!$G$2818:$G$2945, MATCH(FO$1,'STOPE SUMMARY PIVOT'!$A$2818:$A$2945, 0))</f>
        <v>0</v>
      </c>
      <c r="FP79" s="175">
        <f>INDEX('STOPE SUMMARY PIVOT'!$H$2818:$H$2945, MATCH(FO$1,'STOPE SUMMARY PIVOT'!$A$2818:$A$2945, 0))</f>
        <v>0</v>
      </c>
      <c r="FQ79" s="154">
        <f>INDEX('STOPE SUMMARY PIVOT'!$G$2818:$G$2945, MATCH(FQ$1,'STOPE SUMMARY PIVOT'!$A$2818:$A$2945, 0))</f>
        <v>0</v>
      </c>
      <c r="FR79" s="175">
        <f>INDEX('STOPE SUMMARY PIVOT'!$H$2818:$H$2945, MATCH(FQ$1,'STOPE SUMMARY PIVOT'!$A$2818:$A$2945, 0))</f>
        <v>0</v>
      </c>
      <c r="FS79" s="154">
        <f>INDEX('STOPE SUMMARY PIVOT'!$G$2818:$G$2945, MATCH(FS$1,'STOPE SUMMARY PIVOT'!$A$2818:$A$2945, 0))</f>
        <v>0</v>
      </c>
      <c r="FT79" s="175">
        <f>INDEX('STOPE SUMMARY PIVOT'!$H$2818:$H$2945, MATCH(FS$1,'STOPE SUMMARY PIVOT'!$A$2818:$A$2945, 0))</f>
        <v>0</v>
      </c>
      <c r="FU79" s="154">
        <f>INDEX('STOPE SUMMARY PIVOT'!$G$2818:$G$2945, MATCH(FU$1,'STOPE SUMMARY PIVOT'!$A$2818:$A$2945, 0))</f>
        <v>0</v>
      </c>
      <c r="FV79" s="175">
        <f>INDEX('STOPE SUMMARY PIVOT'!$H$2818:$H$2945, MATCH(FU$1,'STOPE SUMMARY PIVOT'!$A$2818:$A$2945, 0))</f>
        <v>0</v>
      </c>
      <c r="FW79" s="154">
        <f>INDEX('STOPE SUMMARY PIVOT'!$G$2818:$G$2945, MATCH(FW$1,'STOPE SUMMARY PIVOT'!$A$2818:$A$2945, 0))</f>
        <v>0</v>
      </c>
      <c r="FX79" s="175">
        <f>INDEX('STOPE SUMMARY PIVOT'!$H$2818:$H$2945, MATCH(FW$1,'STOPE SUMMARY PIVOT'!$A$2818:$A$2945, 0))</f>
        <v>0</v>
      </c>
      <c r="FY79" s="154">
        <f>INDEX('STOPE SUMMARY PIVOT'!$G$2818:$G$2945, MATCH(FY$1,'STOPE SUMMARY PIVOT'!$A$2818:$A$2945, 0))</f>
        <v>0</v>
      </c>
      <c r="FZ79" s="175">
        <f>INDEX('STOPE SUMMARY PIVOT'!$H$2818:$H$2945, MATCH(FY$1,'STOPE SUMMARY PIVOT'!$A$2818:$A$2945, 0))</f>
        <v>0</v>
      </c>
      <c r="GA79" s="154">
        <f>INDEX('STOPE SUMMARY PIVOT'!$G$2818:$G$2945, MATCH(GA$1,'STOPE SUMMARY PIVOT'!$A$2818:$A$2945, 0))</f>
        <v>0</v>
      </c>
      <c r="GB79" s="175">
        <f>INDEX('STOPE SUMMARY PIVOT'!$H$2818:$H$2945, MATCH(GA$1,'STOPE SUMMARY PIVOT'!$A$2818:$A$2945, 0))</f>
        <v>0</v>
      </c>
      <c r="GC79" s="154">
        <f>INDEX('STOPE SUMMARY PIVOT'!$G$2818:$G$2945, MATCH(GC$1,'STOPE SUMMARY PIVOT'!$A$2818:$A$2945, 0))</f>
        <v>0</v>
      </c>
      <c r="GD79" s="175">
        <f>INDEX('STOPE SUMMARY PIVOT'!$H$2818:$H$2945, MATCH(GC$1,'STOPE SUMMARY PIVOT'!$A$2818:$A$2945, 0))</f>
        <v>0</v>
      </c>
      <c r="GE79" s="154">
        <f>INDEX('STOPE SUMMARY PIVOT'!$G$2818:$G$2945, MATCH(GE$1,'STOPE SUMMARY PIVOT'!$A$2818:$A$2945, 0))</f>
        <v>0</v>
      </c>
      <c r="GF79" s="175">
        <f>INDEX('STOPE SUMMARY PIVOT'!$H$2818:$H$2945, MATCH(GE$1,'STOPE SUMMARY PIVOT'!$A$2818:$A$2945, 0))</f>
        <v>0</v>
      </c>
      <c r="GG79" s="154">
        <f>INDEX('STOPE SUMMARY PIVOT'!$G$2818:$G$2945, MATCH(GG$1,'STOPE SUMMARY PIVOT'!$A$2818:$A$2945, 0))</f>
        <v>0</v>
      </c>
      <c r="GH79" s="175">
        <f>INDEX('STOPE SUMMARY PIVOT'!$H$2818:$H$2945, MATCH(GG$1,'STOPE SUMMARY PIVOT'!$A$2818:$A$2945, 0))</f>
        <v>0</v>
      </c>
      <c r="GI79" s="154">
        <f>INDEX('STOPE SUMMARY PIVOT'!$G$2818:$G$2945, MATCH(GI$1,'STOPE SUMMARY PIVOT'!$A$2818:$A$2945, 0))</f>
        <v>0</v>
      </c>
      <c r="GJ79" s="175">
        <f>INDEX('STOPE SUMMARY PIVOT'!$H$2818:$H$2945, MATCH(GI$1,'STOPE SUMMARY PIVOT'!$A$2818:$A$2945, 0))</f>
        <v>0</v>
      </c>
      <c r="GK79" s="154">
        <f>INDEX('STOPE SUMMARY PIVOT'!$G$2818:$G$2945, MATCH(GK$1,'STOPE SUMMARY PIVOT'!$A$2818:$A$2945, 0))</f>
        <v>0</v>
      </c>
      <c r="GL79" s="175">
        <f>INDEX('STOPE SUMMARY PIVOT'!$H$2818:$H$2945, MATCH(GK$1,'STOPE SUMMARY PIVOT'!$A$2818:$A$2945, 0))</f>
        <v>0</v>
      </c>
      <c r="GM79" s="154">
        <f>INDEX('STOPE SUMMARY PIVOT'!$G$2818:$G$2945, MATCH(GM$1,'STOPE SUMMARY PIVOT'!$A$2818:$A$2945, 0))</f>
        <v>0</v>
      </c>
      <c r="GN79" s="175">
        <f>INDEX('STOPE SUMMARY PIVOT'!$H$2818:$H$2945, MATCH(GM$1,'STOPE SUMMARY PIVOT'!$A$2818:$A$2945, 0))</f>
        <v>0</v>
      </c>
      <c r="GO79" s="154">
        <f>INDEX('STOPE SUMMARY PIVOT'!$G$2818:$G$2945, MATCH(GO$1,'STOPE SUMMARY PIVOT'!$A$2818:$A$2945, 0))</f>
        <v>0</v>
      </c>
      <c r="GP79" s="175">
        <f>INDEX('STOPE SUMMARY PIVOT'!$H$2818:$H$2945, MATCH(GO$1,'STOPE SUMMARY PIVOT'!$A$2818:$A$2945, 0))</f>
        <v>0</v>
      </c>
      <c r="GQ79" s="154">
        <f>INDEX('STOPE SUMMARY PIVOT'!$G$2818:$G$2945, MATCH(GQ$1,'STOPE SUMMARY PIVOT'!$A$2818:$A$2945, 0))</f>
        <v>0</v>
      </c>
      <c r="GR79" s="175">
        <f>INDEX('STOPE SUMMARY PIVOT'!$H$2818:$H$2945, MATCH(GQ$1,'STOPE SUMMARY PIVOT'!$A$2818:$A$2945, 0))</f>
        <v>0</v>
      </c>
      <c r="GS79" s="154">
        <f>INDEX('STOPE SUMMARY PIVOT'!$G$2818:$G$2945, MATCH(GS$1,'STOPE SUMMARY PIVOT'!$A$2818:$A$2945, 0))</f>
        <v>0</v>
      </c>
      <c r="GT79" s="175">
        <f>INDEX('STOPE SUMMARY PIVOT'!$H$2818:$H$2945, MATCH(GS$1,'STOPE SUMMARY PIVOT'!$A$2818:$A$2945, 0))</f>
        <v>0</v>
      </c>
      <c r="GU79" s="154">
        <f>INDEX('STOPE SUMMARY PIVOT'!$G$2818:$G$2945, MATCH(GU$1,'STOPE SUMMARY PIVOT'!$A$2818:$A$2945, 0))</f>
        <v>0</v>
      </c>
      <c r="GV79" s="175">
        <f>INDEX('STOPE SUMMARY PIVOT'!$H$2818:$H$2945, MATCH(GU$1,'STOPE SUMMARY PIVOT'!$A$2818:$A$2945, 0))</f>
        <v>0</v>
      </c>
      <c r="GW79" s="154">
        <f>INDEX('STOPE SUMMARY PIVOT'!$G$2818:$G$2945, MATCH(GW$1,'STOPE SUMMARY PIVOT'!$A$2818:$A$2945, 0))</f>
        <v>0</v>
      </c>
      <c r="GX79" s="175">
        <f>INDEX('STOPE SUMMARY PIVOT'!$H$2818:$H$2945, MATCH(GW$1,'STOPE SUMMARY PIVOT'!$A$2818:$A$2945, 0))</f>
        <v>0</v>
      </c>
      <c r="GY79" s="154">
        <f>INDEX('STOPE SUMMARY PIVOT'!$G$2818:$G$2945, MATCH(GY$1,'STOPE SUMMARY PIVOT'!$A$2818:$A$2945, 0))</f>
        <v>0</v>
      </c>
      <c r="GZ79" s="175">
        <f>INDEX('STOPE SUMMARY PIVOT'!$H$2818:$H$2945, MATCH(GY$1,'STOPE SUMMARY PIVOT'!$A$2818:$A$2945, 0))</f>
        <v>0</v>
      </c>
      <c r="HA79" s="154">
        <f>INDEX('STOPE SUMMARY PIVOT'!$G$2818:$G$2945, MATCH(HA$1,'STOPE SUMMARY PIVOT'!$A$2818:$A$2945, 0))</f>
        <v>0</v>
      </c>
      <c r="HB79" s="175">
        <f>INDEX('STOPE SUMMARY PIVOT'!$H$2818:$H$2945, MATCH(HA$1,'STOPE SUMMARY PIVOT'!$A$2818:$A$2945, 0))</f>
        <v>0</v>
      </c>
      <c r="HC79" s="154">
        <f>INDEX('STOPE SUMMARY PIVOT'!$G$2818:$G$2945, MATCH(HC$1,'STOPE SUMMARY PIVOT'!$A$2818:$A$2945, 0))</f>
        <v>0</v>
      </c>
      <c r="HD79" s="175">
        <f>INDEX('STOPE SUMMARY PIVOT'!$H$2818:$H$2945, MATCH(HC$1,'STOPE SUMMARY PIVOT'!$A$2818:$A$2945, 0))</f>
        <v>0</v>
      </c>
      <c r="HE79" s="154">
        <f>INDEX('STOPE SUMMARY PIVOT'!$G$2818:$G$2945, MATCH(HE$1,'STOPE SUMMARY PIVOT'!$A$2818:$A$2945, 0))</f>
        <v>0</v>
      </c>
      <c r="HF79" s="175">
        <f>INDEX('STOPE SUMMARY PIVOT'!$H$2818:$H$2945, MATCH(HE$1,'STOPE SUMMARY PIVOT'!$A$2818:$A$2945, 0))</f>
        <v>0</v>
      </c>
      <c r="HG79" s="154">
        <f>INDEX('STOPE SUMMARY PIVOT'!$G$2818:$G$2945, MATCH(HG$1,'STOPE SUMMARY PIVOT'!$A$2818:$A$2945, 0))</f>
        <v>0</v>
      </c>
      <c r="HH79" s="175">
        <f>INDEX('STOPE SUMMARY PIVOT'!$H$2818:$H$2945, MATCH(HG$1,'STOPE SUMMARY PIVOT'!$A$2818:$A$2945, 0))</f>
        <v>0</v>
      </c>
      <c r="HI79" s="154">
        <f>INDEX('STOPE SUMMARY PIVOT'!$G$2818:$G$2945, MATCH(HI$1,'STOPE SUMMARY PIVOT'!$A$2818:$A$2945, 0))</f>
        <v>0</v>
      </c>
      <c r="HJ79" s="175">
        <f>INDEX('STOPE SUMMARY PIVOT'!$H$2818:$H$2945, MATCH(HI$1,'STOPE SUMMARY PIVOT'!$A$2818:$A$2945, 0))</f>
        <v>0</v>
      </c>
      <c r="HK79" s="154">
        <f>INDEX('STOPE SUMMARY PIVOT'!$G$2818:$G$2945, MATCH(HK$1,'STOPE SUMMARY PIVOT'!$A$2818:$A$2945, 0))</f>
        <v>0</v>
      </c>
      <c r="HL79" s="175">
        <f>INDEX('STOPE SUMMARY PIVOT'!$H$2818:$H$2945, MATCH(HK$1,'STOPE SUMMARY PIVOT'!$A$2818:$A$2945, 0))</f>
        <v>0</v>
      </c>
      <c r="HM79" s="154">
        <f>INDEX('STOPE SUMMARY PIVOT'!$G$2818:$G$2945, MATCH(HM$1,'STOPE SUMMARY PIVOT'!$A$2818:$A$2945, 0))</f>
        <v>0</v>
      </c>
      <c r="HN79" s="175">
        <f>INDEX('STOPE SUMMARY PIVOT'!$H$2818:$H$2945, MATCH(HM$1,'STOPE SUMMARY PIVOT'!$A$2818:$A$2945, 0))</f>
        <v>0</v>
      </c>
      <c r="HO79" s="154">
        <f>INDEX('STOPE SUMMARY PIVOT'!$G$2818:$G$2945, MATCH(HO$1,'STOPE SUMMARY PIVOT'!$A$2818:$A$2945, 0))</f>
        <v>0</v>
      </c>
      <c r="HP79" s="175">
        <f>INDEX('STOPE SUMMARY PIVOT'!$H$2818:$H$2945, MATCH(HO$1,'STOPE SUMMARY PIVOT'!$A$2818:$A$2945, 0))</f>
        <v>0</v>
      </c>
      <c r="HQ79" s="154">
        <f>INDEX('STOPE SUMMARY PIVOT'!$G$2818:$G$2945, MATCH(HQ$1,'STOPE SUMMARY PIVOT'!$A$2818:$A$2945, 0))</f>
        <v>0</v>
      </c>
      <c r="HR79" s="175">
        <f>INDEX('STOPE SUMMARY PIVOT'!$H$2818:$H$2945, MATCH(HQ$1,'STOPE SUMMARY PIVOT'!$A$2818:$A$2945, 0))</f>
        <v>0</v>
      </c>
      <c r="HS79" s="154">
        <f>INDEX('STOPE SUMMARY PIVOT'!$G$2818:$G$2945, MATCH(HS$1,'STOPE SUMMARY PIVOT'!$A$2818:$A$2945, 0))</f>
        <v>0</v>
      </c>
      <c r="HT79" s="175">
        <f>INDEX('STOPE SUMMARY PIVOT'!$H$2818:$H$2945, MATCH(HS$1,'STOPE SUMMARY PIVOT'!$A$2818:$A$2945, 0))</f>
        <v>0</v>
      </c>
      <c r="HU79" s="154">
        <f>INDEX('STOPE SUMMARY PIVOT'!$G$2818:$G$2945, MATCH(HU$1,'STOPE SUMMARY PIVOT'!$A$2818:$A$2945, 0))</f>
        <v>0</v>
      </c>
      <c r="HV79" s="175">
        <f>INDEX('STOPE SUMMARY PIVOT'!$H$2818:$H$2945, MATCH(HU$1,'STOPE SUMMARY PIVOT'!$A$2818:$A$2945, 0))</f>
        <v>0</v>
      </c>
      <c r="HW79" s="154">
        <f>INDEX('STOPE SUMMARY PIVOT'!$G$2818:$G$2945, MATCH(HW$1,'STOPE SUMMARY PIVOT'!$A$2818:$A$2945, 0))</f>
        <v>0</v>
      </c>
      <c r="HX79" s="175">
        <f>INDEX('STOPE SUMMARY PIVOT'!$H$2818:$H$2945, MATCH(HW$1,'STOPE SUMMARY PIVOT'!$A$2818:$A$2945, 0))</f>
        <v>0</v>
      </c>
      <c r="HY79" s="154">
        <f>INDEX('STOPE SUMMARY PIVOT'!$G$2818:$G$2945, MATCH(HY$1,'STOPE SUMMARY PIVOT'!$A$2818:$A$2945, 0))</f>
        <v>0</v>
      </c>
      <c r="HZ79" s="175">
        <f>INDEX('STOPE SUMMARY PIVOT'!$H$2818:$H$2945, MATCH(HY$1,'STOPE SUMMARY PIVOT'!$A$2818:$A$2945, 0))</f>
        <v>0</v>
      </c>
      <c r="IA79" s="154">
        <f>INDEX('STOPE SUMMARY PIVOT'!$G$2818:$G$2945, MATCH(IA$1,'STOPE SUMMARY PIVOT'!$A$2818:$A$2945, 0))</f>
        <v>0</v>
      </c>
      <c r="IB79" s="175">
        <f>INDEX('STOPE SUMMARY PIVOT'!$H$2818:$H$2945, MATCH(IA$1,'STOPE SUMMARY PIVOT'!$A$2818:$A$2945, 0))</f>
        <v>0</v>
      </c>
      <c r="IC79" s="154">
        <f>INDEX('STOPE SUMMARY PIVOT'!$G$2818:$G$2945, MATCH(IC$1,'STOPE SUMMARY PIVOT'!$A$2818:$A$2945, 0))</f>
        <v>0</v>
      </c>
      <c r="ID79" s="175">
        <f>INDEX('STOPE SUMMARY PIVOT'!$H$2818:$H$2945, MATCH(IC$1,'STOPE SUMMARY PIVOT'!$A$2818:$A$2945, 0))</f>
        <v>0</v>
      </c>
      <c r="IE79" s="154">
        <f>INDEX('STOPE SUMMARY PIVOT'!$G$2818:$G$2945, MATCH(IE$1,'STOPE SUMMARY PIVOT'!$A$2818:$A$2945, 0))</f>
        <v>0</v>
      </c>
      <c r="IF79" s="175">
        <f>INDEX('STOPE SUMMARY PIVOT'!$H$2818:$H$2945, MATCH(IE$1,'STOPE SUMMARY PIVOT'!$A$2818:$A$2945, 0))</f>
        <v>0</v>
      </c>
      <c r="IG79" s="154">
        <f>INDEX('STOPE SUMMARY PIVOT'!$G$2818:$G$2945, MATCH(IG$1,'STOPE SUMMARY PIVOT'!$A$2818:$A$2945, 0))</f>
        <v>0</v>
      </c>
      <c r="IH79" s="175">
        <f>INDEX('STOPE SUMMARY PIVOT'!$H$2818:$H$2945, MATCH(IG$1,'STOPE SUMMARY PIVOT'!$A$2818:$A$2945, 0))</f>
        <v>0</v>
      </c>
      <c r="II79" s="154">
        <f>INDEX('STOPE SUMMARY PIVOT'!$G$2818:$G$2945, MATCH(II$1,'STOPE SUMMARY PIVOT'!$A$2818:$A$2945, 0))</f>
        <v>0</v>
      </c>
      <c r="IJ79" s="175">
        <f>INDEX('STOPE SUMMARY PIVOT'!$H$2818:$H$2945, MATCH(II$1,'STOPE SUMMARY PIVOT'!$A$2818:$A$2945, 0))</f>
        <v>0</v>
      </c>
      <c r="IK79" s="154">
        <f>INDEX('STOPE SUMMARY PIVOT'!$G$2818:$G$2945, MATCH(IK$1,'STOPE SUMMARY PIVOT'!$A$2818:$A$2945, 0))</f>
        <v>0</v>
      </c>
      <c r="IL79" s="175">
        <f>INDEX('STOPE SUMMARY PIVOT'!$H$2818:$H$2945, MATCH(IK$1,'STOPE SUMMARY PIVOT'!$A$2818:$A$2945, 0))</f>
        <v>0</v>
      </c>
      <c r="IM79" s="154">
        <f>INDEX('STOPE SUMMARY PIVOT'!$G$2818:$G$2945, MATCH(IM$1,'STOPE SUMMARY PIVOT'!$A$2818:$A$2945, 0))</f>
        <v>0</v>
      </c>
      <c r="IN79" s="175">
        <f>INDEX('STOPE SUMMARY PIVOT'!$H$2818:$H$2945, MATCH(IM$1,'STOPE SUMMARY PIVOT'!$A$2818:$A$2945, 0))</f>
        <v>0</v>
      </c>
      <c r="IO79" s="154">
        <f>INDEX('STOPE SUMMARY PIVOT'!$G$2818:$G$2945, MATCH(IO$1,'STOPE SUMMARY PIVOT'!$A$2818:$A$2945, 0))</f>
        <v>0</v>
      </c>
      <c r="IP79" s="175">
        <f>INDEX('STOPE SUMMARY PIVOT'!$H$2818:$H$2945, MATCH(IO$1,'STOPE SUMMARY PIVOT'!$A$2818:$A$2945, 0))</f>
        <v>0</v>
      </c>
      <c r="IQ79" s="154">
        <f>INDEX('STOPE SUMMARY PIVOT'!$G$2818:$G$2945, MATCH(IQ$1,'STOPE SUMMARY PIVOT'!$A$2818:$A$2945, 0))</f>
        <v>0</v>
      </c>
      <c r="IR79" s="175">
        <f>INDEX('STOPE SUMMARY PIVOT'!$H$2818:$H$2945, MATCH(IQ$1,'STOPE SUMMARY PIVOT'!$A$2818:$A$2945, 0))</f>
        <v>0</v>
      </c>
      <c r="IS79" s="154">
        <f>INDEX('STOPE SUMMARY PIVOT'!$G$2818:$G$2945, MATCH(IS$1,'STOPE SUMMARY PIVOT'!$A$2818:$A$2945, 0))</f>
        <v>0</v>
      </c>
      <c r="IT79" s="175">
        <f>INDEX('STOPE SUMMARY PIVOT'!$H$2818:$H$2945, MATCH(IS$1,'STOPE SUMMARY PIVOT'!$A$2818:$A$2945, 0))</f>
        <v>0</v>
      </c>
      <c r="IU79" s="154">
        <f>INDEX('STOPE SUMMARY PIVOT'!$G$2818:$G$2945, MATCH(IU$1,'STOPE SUMMARY PIVOT'!$A$2818:$A$2945, 0))</f>
        <v>0</v>
      </c>
      <c r="IV79" s="175">
        <f>INDEX('STOPE SUMMARY PIVOT'!$H$2818:$H$2945, MATCH(IU$1,'STOPE SUMMARY PIVOT'!$A$2818:$A$2945, 0))</f>
        <v>0</v>
      </c>
      <c r="IW79" s="154">
        <f>INDEX('STOPE SUMMARY PIVOT'!$G$2818:$G$2945, MATCH(IW$1,'STOPE SUMMARY PIVOT'!$A$2818:$A$2945, 0))</f>
        <v>0</v>
      </c>
      <c r="IX79" s="175">
        <f>INDEX('STOPE SUMMARY PIVOT'!$H$2818:$H$2945, MATCH(IW$1,'STOPE SUMMARY PIVOT'!$A$2818:$A$2945, 0))</f>
        <v>0</v>
      </c>
      <c r="IY79" s="154">
        <f>INDEX('STOPE SUMMARY PIVOT'!$G$2818:$G$2945, MATCH(IY$1,'STOPE SUMMARY PIVOT'!$A$2818:$A$2945, 0))</f>
        <v>0</v>
      </c>
      <c r="IZ79" s="175">
        <f>INDEX('STOPE SUMMARY PIVOT'!$H$2818:$H$2945, MATCH(IY$1,'STOPE SUMMARY PIVOT'!$A$2818:$A$2945, 0))</f>
        <v>0</v>
      </c>
    </row>
    <row r="80" spans="1:260" ht="15.75" thickBot="1" x14ac:dyDescent="0.3">
      <c r="A80" s="1591"/>
      <c r="B80" s="169" t="s">
        <v>5</v>
      </c>
      <c r="C80" s="170" cm="1">
        <f t="array" ref="C80">SUM(_xlfn._xlws.FILTER(E80:IZ80, MOD(COLUMN(E80:IZ80)-COLUMN(E80)+1,2)=1))</f>
        <v>0</v>
      </c>
      <c r="D80" s="171" t="str" cm="1">
        <f t="array" ref="D80">IFERROR(SUMPRODUCT(_xlfn._xlws.FILTER(E80:IZ80, MOD(COLUMN(E80:IZ80)-COLUMN(E80)+1,2)=1), _xlfn._xlws.FILTER(E80:IZ80, MOD(COLUMN(E80:IZ80)-COLUMN(E80)+1,2)=0))/C80,"")</f>
        <v/>
      </c>
      <c r="E80" s="172">
        <f>INDEX('STOPE SUMMARY PIVOT'!$J$2818:$J$2945, MATCH(E$1,'STOPE SUMMARY PIVOT'!$A$2818:$A$2945, 0))</f>
        <v>0</v>
      </c>
      <c r="F80" s="176">
        <f>INDEX('STOPE SUMMARY PIVOT'!$K$2818:$K$2945, MATCH(E$1,'STOPE SUMMARY PIVOT'!$A$2818:$A$2945, 0))</f>
        <v>0</v>
      </c>
      <c r="G80" s="172">
        <f>INDEX('STOPE SUMMARY PIVOT'!$J$2818:$J$2945, MATCH(G$1,'STOPE SUMMARY PIVOT'!$A$2818:$A$2945, 0))</f>
        <v>0</v>
      </c>
      <c r="H80" s="176">
        <f>INDEX('STOPE SUMMARY PIVOT'!$K$2818:$K$2945, MATCH(G$1,'STOPE SUMMARY PIVOT'!$A$2818:$A$2945, 0))</f>
        <v>0</v>
      </c>
      <c r="I80" s="172">
        <f>INDEX('STOPE SUMMARY PIVOT'!$J$2818:$J$2945, MATCH(I$1,'STOPE SUMMARY PIVOT'!$A$2818:$A$2945, 0))</f>
        <v>0</v>
      </c>
      <c r="J80" s="173">
        <f>INDEX('STOPE SUMMARY PIVOT'!$K$2818:$K$2945, MATCH(I$1,'STOPE SUMMARY PIVOT'!$A$2818:$A$2945, 0))</f>
        <v>0</v>
      </c>
      <c r="K80" s="172">
        <f>INDEX('STOPE SUMMARY PIVOT'!$J$2818:$J$2945, MATCH(K$1,'STOPE SUMMARY PIVOT'!$A$2818:$A$2945, 0))</f>
        <v>0</v>
      </c>
      <c r="L80" s="173">
        <f>INDEX('STOPE SUMMARY PIVOT'!$K$2818:$K$2945, MATCH(K$1,'STOPE SUMMARY PIVOT'!$A$2818:$A$2945, 0))</f>
        <v>0</v>
      </c>
      <c r="M80" s="172">
        <f>INDEX('STOPE SUMMARY PIVOT'!$J$2818:$J$2945, MATCH(M$1,'STOPE SUMMARY PIVOT'!$A$2818:$A$2945, 0))</f>
        <v>0</v>
      </c>
      <c r="N80" s="173">
        <f>INDEX('STOPE SUMMARY PIVOT'!$K$2818:$K$2945, MATCH(M$1,'STOPE SUMMARY PIVOT'!$A$2818:$A$2945, 0))</f>
        <v>0</v>
      </c>
      <c r="O80" s="172">
        <f>INDEX('STOPE SUMMARY PIVOT'!$J$2818:$J$2945, MATCH(O$1,'STOPE SUMMARY PIVOT'!$A$2818:$A$2945, 0))</f>
        <v>0</v>
      </c>
      <c r="P80" s="173">
        <f>INDEX('STOPE SUMMARY PIVOT'!$K$2818:$K$2945, MATCH(O$1,'STOPE SUMMARY PIVOT'!$A$2818:$A$2945, 0))</f>
        <v>0</v>
      </c>
      <c r="Q80" s="172">
        <f>INDEX('STOPE SUMMARY PIVOT'!$J$2818:$J$2945, MATCH(Q$1,'STOPE SUMMARY PIVOT'!$A$2818:$A$2945, 0))</f>
        <v>0</v>
      </c>
      <c r="R80" s="173">
        <f>INDEX('STOPE SUMMARY PIVOT'!$K$2818:$K$2945, MATCH(Q$1,'STOPE SUMMARY PIVOT'!$A$2818:$A$2945, 0))</f>
        <v>0</v>
      </c>
      <c r="S80" s="172">
        <f>INDEX('STOPE SUMMARY PIVOT'!$J$2818:$J$2945, MATCH(S$1,'STOPE SUMMARY PIVOT'!$A$2818:$A$2945, 0))</f>
        <v>0</v>
      </c>
      <c r="T80" s="173">
        <f>INDEX('STOPE SUMMARY PIVOT'!$K$2818:$K$2945, MATCH(S$1,'STOPE SUMMARY PIVOT'!$A$2818:$A$2945, 0))</f>
        <v>0</v>
      </c>
      <c r="U80" s="172">
        <f>INDEX('STOPE SUMMARY PIVOT'!$J$2818:$J$2945, MATCH(U$1,'STOPE SUMMARY PIVOT'!$A$2818:$A$2945, 0))</f>
        <v>0</v>
      </c>
      <c r="V80" s="176">
        <f>INDEX('STOPE SUMMARY PIVOT'!$K$2818:$K$2945, MATCH(U$1,'STOPE SUMMARY PIVOT'!$A$2818:$A$2945, 0))</f>
        <v>0</v>
      </c>
      <c r="W80" s="172">
        <f>INDEX('STOPE SUMMARY PIVOT'!$J$2818:$J$2945, MATCH(W$1,'STOPE SUMMARY PIVOT'!$A$2818:$A$2945, 0))</f>
        <v>0</v>
      </c>
      <c r="X80" s="176">
        <f>INDEX('STOPE SUMMARY PIVOT'!$K$2818:$K$2945, MATCH(W$1,'STOPE SUMMARY PIVOT'!$A$2818:$A$2945, 0))</f>
        <v>0</v>
      </c>
      <c r="Y80" s="172">
        <f>INDEX('STOPE SUMMARY PIVOT'!$J$2818:$J$2945, MATCH(Y$1,'STOPE SUMMARY PIVOT'!$A$2818:$A$2945, 0))</f>
        <v>0</v>
      </c>
      <c r="Z80" s="176">
        <f>INDEX('STOPE SUMMARY PIVOT'!$K$2818:$K$2945, MATCH(Y$1,'STOPE SUMMARY PIVOT'!$A$2818:$A$2945, 0))</f>
        <v>0</v>
      </c>
      <c r="AA80" s="172">
        <f>INDEX('STOPE SUMMARY PIVOT'!$J$2818:$J$2945, MATCH(AA$1,'STOPE SUMMARY PIVOT'!$A$2818:$A$2945, 0))</f>
        <v>0</v>
      </c>
      <c r="AB80" s="176">
        <f>INDEX('STOPE SUMMARY PIVOT'!$K$2818:$K$2945, MATCH(AA$1,'STOPE SUMMARY PIVOT'!$A$2818:$A$2945, 0))</f>
        <v>0</v>
      </c>
      <c r="AC80" s="172">
        <f>INDEX('STOPE SUMMARY PIVOT'!$J$2818:$J$2945, MATCH(AC$1,'STOPE SUMMARY PIVOT'!$A$2818:$A$2945, 0))</f>
        <v>0</v>
      </c>
      <c r="AD80" s="176">
        <f>INDEX('STOPE SUMMARY PIVOT'!$K$2818:$K$2945, MATCH(AC$1,'STOPE SUMMARY PIVOT'!$A$2818:$A$2945, 0))</f>
        <v>0</v>
      </c>
      <c r="AE80" s="172">
        <f>INDEX('STOPE SUMMARY PIVOT'!$J$2818:$J$2945, MATCH(AE$1,'STOPE SUMMARY PIVOT'!$A$2818:$A$2945, 0))</f>
        <v>0</v>
      </c>
      <c r="AF80" s="176">
        <f>INDEX('STOPE SUMMARY PIVOT'!$K$2818:$K$2945, MATCH(AE$1,'STOPE SUMMARY PIVOT'!$A$2818:$A$2945, 0))</f>
        <v>0</v>
      </c>
      <c r="AG80" s="172">
        <f>INDEX('STOPE SUMMARY PIVOT'!$J$2818:$J$2945, MATCH(AG$1,'STOPE SUMMARY PIVOT'!$A$2818:$A$2945, 0))</f>
        <v>0</v>
      </c>
      <c r="AH80" s="176">
        <f>INDEX('STOPE SUMMARY PIVOT'!$K$2818:$K$2945, MATCH(AG$1,'STOPE SUMMARY PIVOT'!$A$2818:$A$2945, 0))</f>
        <v>0</v>
      </c>
      <c r="AI80" s="172">
        <f>INDEX('STOPE SUMMARY PIVOT'!$J$2818:$J$2945, MATCH(AI$1,'STOPE SUMMARY PIVOT'!$A$2818:$A$2945, 0))</f>
        <v>0</v>
      </c>
      <c r="AJ80" s="176">
        <f>INDEX('STOPE SUMMARY PIVOT'!$K$2818:$K$2945, MATCH(AI$1,'STOPE SUMMARY PIVOT'!$A$2818:$A$2945, 0))</f>
        <v>0</v>
      </c>
      <c r="AK80" s="172">
        <f>INDEX('STOPE SUMMARY PIVOT'!$J$2818:$J$2945, MATCH(AK$1,'STOPE SUMMARY PIVOT'!$A$2818:$A$2945, 0))</f>
        <v>0</v>
      </c>
      <c r="AL80" s="176">
        <f>INDEX('STOPE SUMMARY PIVOT'!$K$2818:$K$2945, MATCH(AK$1,'STOPE SUMMARY PIVOT'!$A$2818:$A$2945, 0))</f>
        <v>0</v>
      </c>
      <c r="AM80" s="172">
        <f>INDEX('STOPE SUMMARY PIVOT'!$J$2818:$J$2945, MATCH(AM$1,'STOPE SUMMARY PIVOT'!$A$2818:$A$2945, 0))</f>
        <v>0</v>
      </c>
      <c r="AN80" s="176">
        <f>INDEX('STOPE SUMMARY PIVOT'!$K$2818:$K$2945, MATCH(AM$1,'STOPE SUMMARY PIVOT'!$A$2818:$A$2945, 0))</f>
        <v>0</v>
      </c>
      <c r="AO80" s="172">
        <f>INDEX('STOPE SUMMARY PIVOT'!$J$2818:$J$2945, MATCH(AO$1,'STOPE SUMMARY PIVOT'!$A$2818:$A$2945, 0))</f>
        <v>0</v>
      </c>
      <c r="AP80" s="176">
        <f>INDEX('STOPE SUMMARY PIVOT'!$K$2818:$K$2945, MATCH(AO$1,'STOPE SUMMARY PIVOT'!$A$2818:$A$2945, 0))</f>
        <v>0</v>
      </c>
      <c r="AQ80" s="172">
        <f>INDEX('STOPE SUMMARY PIVOT'!$J$2818:$J$2945, MATCH(AQ$1,'STOPE SUMMARY PIVOT'!$A$2818:$A$2945, 0))</f>
        <v>0</v>
      </c>
      <c r="AR80" s="176">
        <f>INDEX('STOPE SUMMARY PIVOT'!$K$2818:$K$2945, MATCH(AQ$1,'STOPE SUMMARY PIVOT'!$A$2818:$A$2945, 0))</f>
        <v>0</v>
      </c>
      <c r="AS80" s="172">
        <f>INDEX('STOPE SUMMARY PIVOT'!$J$2818:$J$2945, MATCH(AS$1,'STOPE SUMMARY PIVOT'!$A$2818:$A$2945, 0))</f>
        <v>0</v>
      </c>
      <c r="AT80" s="176">
        <f>INDEX('STOPE SUMMARY PIVOT'!$K$2818:$K$2945, MATCH(AS$1,'STOPE SUMMARY PIVOT'!$A$2818:$A$2945, 0))</f>
        <v>0</v>
      </c>
      <c r="AU80" s="172">
        <f>INDEX('STOPE SUMMARY PIVOT'!$J$2818:$J$2945, MATCH(AU$1,'STOPE SUMMARY PIVOT'!$A$2818:$A$2945, 0))</f>
        <v>0</v>
      </c>
      <c r="AV80" s="176">
        <f>INDEX('STOPE SUMMARY PIVOT'!$K$2818:$K$2945, MATCH(AU$1,'STOPE SUMMARY PIVOT'!$A$2818:$A$2945, 0))</f>
        <v>0</v>
      </c>
      <c r="AW80" s="172">
        <f>INDEX('STOPE SUMMARY PIVOT'!$J$2818:$J$2945, MATCH(AW$1,'STOPE SUMMARY PIVOT'!$A$2818:$A$2945, 0))</f>
        <v>0</v>
      </c>
      <c r="AX80" s="176">
        <f>INDEX('STOPE SUMMARY PIVOT'!$K$2818:$K$2945, MATCH(AW$1,'STOPE SUMMARY PIVOT'!$A$2818:$A$2945, 0))</f>
        <v>0</v>
      </c>
      <c r="AY80" s="172">
        <f>INDEX('STOPE SUMMARY PIVOT'!$J$2818:$J$2945, MATCH(AY$1,'STOPE SUMMARY PIVOT'!$A$2818:$A$2945, 0))</f>
        <v>0</v>
      </c>
      <c r="AZ80" s="176">
        <f>INDEX('STOPE SUMMARY PIVOT'!$K$2818:$K$2945, MATCH(AY$1,'STOPE SUMMARY PIVOT'!$A$2818:$A$2945, 0))</f>
        <v>0</v>
      </c>
      <c r="BA80" s="172">
        <f>INDEX('STOPE SUMMARY PIVOT'!$J$2818:$J$2945, MATCH(BA$1,'STOPE SUMMARY PIVOT'!$A$2818:$A$2945, 0))</f>
        <v>0</v>
      </c>
      <c r="BB80" s="176">
        <f>INDEX('STOPE SUMMARY PIVOT'!$K$2818:$K$2945, MATCH(BA$1,'STOPE SUMMARY PIVOT'!$A$2818:$A$2945, 0))</f>
        <v>0</v>
      </c>
      <c r="BC80" s="172">
        <f>INDEX('STOPE SUMMARY PIVOT'!$J$2818:$J$2945, MATCH(BC$1,'STOPE SUMMARY PIVOT'!$A$2818:$A$2945, 0))</f>
        <v>0</v>
      </c>
      <c r="BD80" s="176">
        <f>INDEX('STOPE SUMMARY PIVOT'!$K$2818:$K$2945, MATCH(BC$1,'STOPE SUMMARY PIVOT'!$A$2818:$A$2945, 0))</f>
        <v>0</v>
      </c>
      <c r="BE80" s="172">
        <f>INDEX('STOPE SUMMARY PIVOT'!$J$2818:$J$2945, MATCH(BE$1,'STOPE SUMMARY PIVOT'!$A$2818:$A$2945, 0))</f>
        <v>0</v>
      </c>
      <c r="BF80" s="176">
        <f>INDEX('STOPE SUMMARY PIVOT'!$K$2818:$K$2945, MATCH(BE$1,'STOPE SUMMARY PIVOT'!$A$2818:$A$2945, 0))</f>
        <v>0</v>
      </c>
      <c r="BG80" s="172">
        <f>INDEX('STOPE SUMMARY PIVOT'!$J$2818:$J$2945, MATCH(BG$1,'STOPE SUMMARY PIVOT'!$A$2818:$A$2945, 0))</f>
        <v>0</v>
      </c>
      <c r="BH80" s="176">
        <f>INDEX('STOPE SUMMARY PIVOT'!$K$2818:$K$2945, MATCH(BG$1,'STOPE SUMMARY PIVOT'!$A$2818:$A$2945, 0))</f>
        <v>0</v>
      </c>
      <c r="BI80" s="172">
        <f>INDEX('STOPE SUMMARY PIVOT'!$J$2818:$J$2945, MATCH(BI$1,'STOPE SUMMARY PIVOT'!$A$2818:$A$2945, 0))</f>
        <v>0</v>
      </c>
      <c r="BJ80" s="176">
        <f>INDEX('STOPE SUMMARY PIVOT'!$K$2818:$K$2945, MATCH(BI$1,'STOPE SUMMARY PIVOT'!$A$2818:$A$2945, 0))</f>
        <v>0</v>
      </c>
      <c r="BK80" s="172">
        <f>INDEX('STOPE SUMMARY PIVOT'!$J$2818:$J$2945, MATCH(BK$1,'STOPE SUMMARY PIVOT'!$A$2818:$A$2945, 0))</f>
        <v>0</v>
      </c>
      <c r="BL80" s="176">
        <f>INDEX('STOPE SUMMARY PIVOT'!$K$2818:$K$2945, MATCH(BK$1,'STOPE SUMMARY PIVOT'!$A$2818:$A$2945, 0))</f>
        <v>0</v>
      </c>
      <c r="BM80" s="172">
        <f>INDEX('STOPE SUMMARY PIVOT'!$J$2818:$J$2945, MATCH(BM$1,'STOPE SUMMARY PIVOT'!$A$2818:$A$2945, 0))</f>
        <v>0</v>
      </c>
      <c r="BN80" s="176">
        <f>INDEX('STOPE SUMMARY PIVOT'!$K$2818:$K$2945, MATCH(BM$1,'STOPE SUMMARY PIVOT'!$A$2818:$A$2945, 0))</f>
        <v>0</v>
      </c>
      <c r="BO80" s="172">
        <f>INDEX('STOPE SUMMARY PIVOT'!$J$2818:$J$2945, MATCH(BO$1,'STOPE SUMMARY PIVOT'!$A$2818:$A$2945, 0))</f>
        <v>0</v>
      </c>
      <c r="BP80" s="176">
        <f>INDEX('STOPE SUMMARY PIVOT'!$K$2818:$K$2945, MATCH(BO$1,'STOPE SUMMARY PIVOT'!$A$2818:$A$2945, 0))</f>
        <v>0</v>
      </c>
      <c r="BQ80" s="172">
        <f>INDEX('STOPE SUMMARY PIVOT'!$J$2818:$J$2945, MATCH(BQ$1,'STOPE SUMMARY PIVOT'!$A$2818:$A$2945, 0))</f>
        <v>0</v>
      </c>
      <c r="BR80" s="176">
        <f>INDEX('STOPE SUMMARY PIVOT'!$K$2818:$K$2945, MATCH(BQ$1,'STOPE SUMMARY PIVOT'!$A$2818:$A$2945, 0))</f>
        <v>0</v>
      </c>
      <c r="BS80" s="172">
        <f>INDEX('STOPE SUMMARY PIVOT'!$J$2818:$J$2945, MATCH(BS$1,'STOPE SUMMARY PIVOT'!$A$2818:$A$2945, 0))</f>
        <v>0</v>
      </c>
      <c r="BT80" s="176">
        <f>INDEX('STOPE SUMMARY PIVOT'!$K$2818:$K$2945, MATCH(BS$1,'STOPE SUMMARY PIVOT'!$A$2818:$A$2945, 0))</f>
        <v>0</v>
      </c>
      <c r="BU80" s="172">
        <f>INDEX('STOPE SUMMARY PIVOT'!$J$2818:$J$2945, MATCH(BU$1,'STOPE SUMMARY PIVOT'!$A$2818:$A$2945, 0))</f>
        <v>0</v>
      </c>
      <c r="BV80" s="176">
        <f>INDEX('STOPE SUMMARY PIVOT'!$K$2818:$K$2945, MATCH(BU$1,'STOPE SUMMARY PIVOT'!$A$2818:$A$2945, 0))</f>
        <v>0</v>
      </c>
      <c r="BW80" s="172">
        <f>INDEX('STOPE SUMMARY PIVOT'!$J$2818:$J$2945, MATCH(BW$1,'STOPE SUMMARY PIVOT'!$A$2818:$A$2945, 0))</f>
        <v>0</v>
      </c>
      <c r="BX80" s="176">
        <f>INDEX('STOPE SUMMARY PIVOT'!$K$2818:$K$2945, MATCH(BW$1,'STOPE SUMMARY PIVOT'!$A$2818:$A$2945, 0))</f>
        <v>0</v>
      </c>
      <c r="BY80" s="172">
        <f>INDEX('STOPE SUMMARY PIVOT'!$J$2818:$J$2945, MATCH(BY$1,'STOPE SUMMARY PIVOT'!$A$2818:$A$2945, 0))</f>
        <v>0</v>
      </c>
      <c r="BZ80" s="176">
        <f>INDEX('STOPE SUMMARY PIVOT'!$K$2818:$K$2945, MATCH(BY$1,'STOPE SUMMARY PIVOT'!$A$2818:$A$2945, 0))</f>
        <v>0</v>
      </c>
      <c r="CA80" s="172">
        <f>INDEX('STOPE SUMMARY PIVOT'!$J$2818:$J$2945, MATCH(CA$1,'STOPE SUMMARY PIVOT'!$A$2818:$A$2945, 0))</f>
        <v>0</v>
      </c>
      <c r="CB80" s="176">
        <f>INDEX('STOPE SUMMARY PIVOT'!$K$2818:$K$2945, MATCH(CA$1,'STOPE SUMMARY PIVOT'!$A$2818:$A$2945, 0))</f>
        <v>0</v>
      </c>
      <c r="CC80" s="172">
        <f>INDEX('STOPE SUMMARY PIVOT'!$J$2818:$J$2945, MATCH(CC$1,'STOPE SUMMARY PIVOT'!$A$2818:$A$2945, 0))</f>
        <v>0</v>
      </c>
      <c r="CD80" s="176">
        <f>INDEX('STOPE SUMMARY PIVOT'!$K$2818:$K$2945, MATCH(CC$1,'STOPE SUMMARY PIVOT'!$A$2818:$A$2945, 0))</f>
        <v>0</v>
      </c>
      <c r="CE80" s="172">
        <f>INDEX('STOPE SUMMARY PIVOT'!$J$2818:$J$2945, MATCH(CE$1,'STOPE SUMMARY PIVOT'!$A$2818:$A$2945, 0))</f>
        <v>0</v>
      </c>
      <c r="CF80" s="176">
        <f>INDEX('STOPE SUMMARY PIVOT'!$K$2818:$K$2945, MATCH(CE$1,'STOPE SUMMARY PIVOT'!$A$2818:$A$2945, 0))</f>
        <v>0</v>
      </c>
      <c r="CG80" s="172">
        <f>INDEX('STOPE SUMMARY PIVOT'!$J$2818:$J$2945, MATCH(CG$1,'STOPE SUMMARY PIVOT'!$A$2818:$A$2945, 0))</f>
        <v>0</v>
      </c>
      <c r="CH80" s="176">
        <f>INDEX('STOPE SUMMARY PIVOT'!$K$2818:$K$2945, MATCH(CG$1,'STOPE SUMMARY PIVOT'!$A$2818:$A$2945, 0))</f>
        <v>0</v>
      </c>
      <c r="CI80" s="172">
        <f>INDEX('STOPE SUMMARY PIVOT'!$J$2818:$J$2945, MATCH(CI$1,'STOPE SUMMARY PIVOT'!$A$2818:$A$2945, 0))</f>
        <v>0</v>
      </c>
      <c r="CJ80" s="176">
        <f>INDEX('STOPE SUMMARY PIVOT'!$K$2818:$K$2945, MATCH(CI$1,'STOPE SUMMARY PIVOT'!$A$2818:$A$2945, 0))</f>
        <v>0</v>
      </c>
      <c r="CK80" s="172">
        <f>INDEX('STOPE SUMMARY PIVOT'!$J$2818:$J$2945, MATCH(CK$1,'STOPE SUMMARY PIVOT'!$A$2818:$A$2945, 0))</f>
        <v>0</v>
      </c>
      <c r="CL80" s="176">
        <f>INDEX('STOPE SUMMARY PIVOT'!$K$2818:$K$2945, MATCH(CK$1,'STOPE SUMMARY PIVOT'!$A$2818:$A$2945, 0))</f>
        <v>0</v>
      </c>
      <c r="CM80" s="172">
        <f>INDEX('STOPE SUMMARY PIVOT'!$J$2818:$J$2945, MATCH(CM$1,'STOPE SUMMARY PIVOT'!$A$2818:$A$2945, 0))</f>
        <v>0</v>
      </c>
      <c r="CN80" s="176">
        <f>INDEX('STOPE SUMMARY PIVOT'!$K$2818:$K$2945, MATCH(CM$1,'STOPE SUMMARY PIVOT'!$A$2818:$A$2945, 0))</f>
        <v>0</v>
      </c>
      <c r="CO80" s="172">
        <f>INDEX('STOPE SUMMARY PIVOT'!$J$2818:$J$2945, MATCH(CO$1,'STOPE SUMMARY PIVOT'!$A$2818:$A$2945, 0))</f>
        <v>0</v>
      </c>
      <c r="CP80" s="176">
        <f>INDEX('STOPE SUMMARY PIVOT'!$K$2818:$K$2945, MATCH(CO$1,'STOPE SUMMARY PIVOT'!$A$2818:$A$2945, 0))</f>
        <v>0</v>
      </c>
      <c r="CQ80" s="172">
        <f>INDEX('STOPE SUMMARY PIVOT'!$J$2818:$J$2945, MATCH(CQ$1,'STOPE SUMMARY PIVOT'!$A$2818:$A$2945, 0))</f>
        <v>0</v>
      </c>
      <c r="CR80" s="176">
        <f>INDEX('STOPE SUMMARY PIVOT'!$K$2818:$K$2945, MATCH(CQ$1,'STOPE SUMMARY PIVOT'!$A$2818:$A$2945, 0))</f>
        <v>0</v>
      </c>
      <c r="CS80" s="172">
        <f>INDEX('STOPE SUMMARY PIVOT'!$J$2818:$J$2945, MATCH(CS$1,'STOPE SUMMARY PIVOT'!$A$2818:$A$2945, 0))</f>
        <v>0</v>
      </c>
      <c r="CT80" s="176">
        <f>INDEX('STOPE SUMMARY PIVOT'!$K$2818:$K$2945, MATCH(CS$1,'STOPE SUMMARY PIVOT'!$A$2818:$A$2945, 0))</f>
        <v>0</v>
      </c>
      <c r="CU80" s="172">
        <f>INDEX('STOPE SUMMARY PIVOT'!$J$2818:$J$2945, MATCH(CU$1,'STOPE SUMMARY PIVOT'!$A$2818:$A$2945, 0))</f>
        <v>0</v>
      </c>
      <c r="CV80" s="176">
        <f>INDEX('STOPE SUMMARY PIVOT'!$K$2818:$K$2945, MATCH(CU$1,'STOPE SUMMARY PIVOT'!$A$2818:$A$2945, 0))</f>
        <v>0</v>
      </c>
      <c r="CW80" s="172">
        <f>INDEX('STOPE SUMMARY PIVOT'!$J$2818:$J$2945, MATCH(CW$1,'STOPE SUMMARY PIVOT'!$A$2818:$A$2945, 0))</f>
        <v>0</v>
      </c>
      <c r="CX80" s="176">
        <f>INDEX('STOPE SUMMARY PIVOT'!$K$2818:$K$2945, MATCH(CW$1,'STOPE SUMMARY PIVOT'!$A$2818:$A$2945, 0))</f>
        <v>0</v>
      </c>
      <c r="CY80" s="172">
        <f>INDEX('STOPE SUMMARY PIVOT'!$J$2818:$J$2945, MATCH(CY$1,'STOPE SUMMARY PIVOT'!$A$2818:$A$2945, 0))</f>
        <v>0</v>
      </c>
      <c r="CZ80" s="176">
        <f>INDEX('STOPE SUMMARY PIVOT'!$K$2818:$K$2945, MATCH(CY$1,'STOPE SUMMARY PIVOT'!$A$2818:$A$2945, 0))</f>
        <v>0</v>
      </c>
      <c r="DA80" s="172">
        <f>INDEX('STOPE SUMMARY PIVOT'!$J$2818:$J$2945, MATCH(DA$1,'STOPE SUMMARY PIVOT'!$A$2818:$A$2945, 0))</f>
        <v>0</v>
      </c>
      <c r="DB80" s="176">
        <f>INDEX('STOPE SUMMARY PIVOT'!$K$2818:$K$2945, MATCH(DA$1,'STOPE SUMMARY PIVOT'!$A$2818:$A$2945, 0))</f>
        <v>0</v>
      </c>
      <c r="DC80" s="172">
        <f>INDEX('STOPE SUMMARY PIVOT'!$J$2818:$J$2945, MATCH(DC$1,'STOPE SUMMARY PIVOT'!$A$2818:$A$2945, 0))</f>
        <v>0</v>
      </c>
      <c r="DD80" s="176">
        <f>INDEX('STOPE SUMMARY PIVOT'!$K$2818:$K$2945, MATCH(DC$1,'STOPE SUMMARY PIVOT'!$A$2818:$A$2945, 0))</f>
        <v>0</v>
      </c>
      <c r="DE80" s="172">
        <f>INDEX('STOPE SUMMARY PIVOT'!$J$2818:$J$2945, MATCH(DE$1,'STOPE SUMMARY PIVOT'!$A$2818:$A$2945, 0))</f>
        <v>0</v>
      </c>
      <c r="DF80" s="176">
        <f>INDEX('STOPE SUMMARY PIVOT'!$K$2818:$K$2945, MATCH(DE$1,'STOPE SUMMARY PIVOT'!$A$2818:$A$2945, 0))</f>
        <v>0</v>
      </c>
      <c r="DG80" s="172">
        <f>INDEX('STOPE SUMMARY PIVOT'!$J$2818:$J$2945, MATCH(DG$1,'STOPE SUMMARY PIVOT'!$A$2818:$A$2945, 0))</f>
        <v>0</v>
      </c>
      <c r="DH80" s="176">
        <f>INDEX('STOPE SUMMARY PIVOT'!$K$2818:$K$2945, MATCH(DG$1,'STOPE SUMMARY PIVOT'!$A$2818:$A$2945, 0))</f>
        <v>0</v>
      </c>
      <c r="DI80" s="172">
        <f>INDEX('STOPE SUMMARY PIVOT'!$J$2818:$J$2945, MATCH(DI$1,'STOPE SUMMARY PIVOT'!$A$2818:$A$2945, 0))</f>
        <v>0</v>
      </c>
      <c r="DJ80" s="176">
        <f>INDEX('STOPE SUMMARY PIVOT'!$K$2818:$K$2945, MATCH(DI$1,'STOPE SUMMARY PIVOT'!$A$2818:$A$2945, 0))</f>
        <v>0</v>
      </c>
      <c r="DK80" s="172">
        <f>INDEX('STOPE SUMMARY PIVOT'!$J$2818:$J$2945, MATCH(DK$1,'STOPE SUMMARY PIVOT'!$A$2818:$A$2945, 0))</f>
        <v>0</v>
      </c>
      <c r="DL80" s="176">
        <f>INDEX('STOPE SUMMARY PIVOT'!$K$2818:$K$2945, MATCH(DK$1,'STOPE SUMMARY PIVOT'!$A$2818:$A$2945, 0))</f>
        <v>0</v>
      </c>
      <c r="DM80" s="172">
        <f>INDEX('STOPE SUMMARY PIVOT'!$J$2818:$J$2945, MATCH(DM$1,'STOPE SUMMARY PIVOT'!$A$2818:$A$2945, 0))</f>
        <v>0</v>
      </c>
      <c r="DN80" s="176">
        <f>INDEX('STOPE SUMMARY PIVOT'!$K$2818:$K$2945, MATCH(DM$1,'STOPE SUMMARY PIVOT'!$A$2818:$A$2945, 0))</f>
        <v>0</v>
      </c>
      <c r="DO80" s="172">
        <f>INDEX('STOPE SUMMARY PIVOT'!$J$2818:$J$2945, MATCH(DO$1,'STOPE SUMMARY PIVOT'!$A$2818:$A$2945, 0))</f>
        <v>0</v>
      </c>
      <c r="DP80" s="176">
        <f>INDEX('STOPE SUMMARY PIVOT'!$K$2818:$K$2945, MATCH(DO$1,'STOPE SUMMARY PIVOT'!$A$2818:$A$2945, 0))</f>
        <v>0</v>
      </c>
      <c r="DQ80" s="172">
        <f>INDEX('STOPE SUMMARY PIVOT'!$J$2818:$J$2945, MATCH(DQ$1,'STOPE SUMMARY PIVOT'!$A$2818:$A$2945, 0))</f>
        <v>0</v>
      </c>
      <c r="DR80" s="176">
        <f>INDEX('STOPE SUMMARY PIVOT'!$K$2818:$K$2945, MATCH(DQ$1,'STOPE SUMMARY PIVOT'!$A$2818:$A$2945, 0))</f>
        <v>0</v>
      </c>
      <c r="DS80" s="172">
        <f>INDEX('STOPE SUMMARY PIVOT'!$J$2818:$J$2945, MATCH(DS$1,'STOPE SUMMARY PIVOT'!$A$2818:$A$2945, 0))</f>
        <v>0</v>
      </c>
      <c r="DT80" s="176">
        <f>INDEX('STOPE SUMMARY PIVOT'!$K$2818:$K$2945, MATCH(DS$1,'STOPE SUMMARY PIVOT'!$A$2818:$A$2945, 0))</f>
        <v>0</v>
      </c>
      <c r="DU80" s="172">
        <f>INDEX('STOPE SUMMARY PIVOT'!$J$2818:$J$2945, MATCH(DU$1,'STOPE SUMMARY PIVOT'!$A$2818:$A$2945, 0))</f>
        <v>0</v>
      </c>
      <c r="DV80" s="176">
        <f>INDEX('STOPE SUMMARY PIVOT'!$K$2818:$K$2945, MATCH(DU$1,'STOPE SUMMARY PIVOT'!$A$2818:$A$2945, 0))</f>
        <v>0</v>
      </c>
      <c r="DW80" s="172">
        <f>INDEX('STOPE SUMMARY PIVOT'!$J$2818:$J$2945, MATCH(DW$1,'STOPE SUMMARY PIVOT'!$A$2818:$A$2945, 0))</f>
        <v>0</v>
      </c>
      <c r="DX80" s="176">
        <f>INDEX('STOPE SUMMARY PIVOT'!$K$2818:$K$2945, MATCH(DW$1,'STOPE SUMMARY PIVOT'!$A$2818:$A$2945, 0))</f>
        <v>0</v>
      </c>
      <c r="DY80" s="172">
        <f>INDEX('STOPE SUMMARY PIVOT'!$J$2818:$J$2945, MATCH(DY$1,'STOPE SUMMARY PIVOT'!$A$2818:$A$2945, 0))</f>
        <v>0</v>
      </c>
      <c r="DZ80" s="176">
        <f>INDEX('STOPE SUMMARY PIVOT'!$K$2818:$K$2945, MATCH(DY$1,'STOPE SUMMARY PIVOT'!$A$2818:$A$2945, 0))</f>
        <v>0</v>
      </c>
      <c r="EA80" s="172">
        <f>INDEX('STOPE SUMMARY PIVOT'!$J$2818:$J$2945, MATCH(EA$1,'STOPE SUMMARY PIVOT'!$A$2818:$A$2945, 0))</f>
        <v>0</v>
      </c>
      <c r="EB80" s="176">
        <f>INDEX('STOPE SUMMARY PIVOT'!$K$2818:$K$2945, MATCH(EA$1,'STOPE SUMMARY PIVOT'!$A$2818:$A$2945, 0))</f>
        <v>0</v>
      </c>
      <c r="EC80" s="172">
        <f>INDEX('STOPE SUMMARY PIVOT'!$J$2818:$J$2945, MATCH(EC$1,'STOPE SUMMARY PIVOT'!$A$2818:$A$2945, 0))</f>
        <v>0</v>
      </c>
      <c r="ED80" s="176">
        <f>INDEX('STOPE SUMMARY PIVOT'!$K$2818:$K$2945, MATCH(EC$1,'STOPE SUMMARY PIVOT'!$A$2818:$A$2945, 0))</f>
        <v>0</v>
      </c>
      <c r="EE80" s="172">
        <f>INDEX('STOPE SUMMARY PIVOT'!$J$2818:$J$2945, MATCH(EE$1,'STOPE SUMMARY PIVOT'!$A$2818:$A$2945, 0))</f>
        <v>0</v>
      </c>
      <c r="EF80" s="176">
        <f>INDEX('STOPE SUMMARY PIVOT'!$K$2818:$K$2945, MATCH(EE$1,'STOPE SUMMARY PIVOT'!$A$2818:$A$2945, 0))</f>
        <v>0</v>
      </c>
      <c r="EG80" s="172">
        <f>INDEX('STOPE SUMMARY PIVOT'!$J$2818:$J$2945, MATCH(EG$1,'STOPE SUMMARY PIVOT'!$A$2818:$A$2945, 0))</f>
        <v>0</v>
      </c>
      <c r="EH80" s="176">
        <f>INDEX('STOPE SUMMARY PIVOT'!$K$2818:$K$2945, MATCH(EG$1,'STOPE SUMMARY PIVOT'!$A$2818:$A$2945, 0))</f>
        <v>0</v>
      </c>
      <c r="EI80" s="172">
        <f>INDEX('STOPE SUMMARY PIVOT'!$J$2818:$J$2945, MATCH(EI$1,'STOPE SUMMARY PIVOT'!$A$2818:$A$2945, 0))</f>
        <v>0</v>
      </c>
      <c r="EJ80" s="176">
        <f>INDEX('STOPE SUMMARY PIVOT'!$K$2818:$K$2945, MATCH(EI$1,'STOPE SUMMARY PIVOT'!$A$2818:$A$2945, 0))</f>
        <v>0</v>
      </c>
      <c r="EK80" s="172">
        <f>INDEX('STOPE SUMMARY PIVOT'!$J$2818:$J$2945, MATCH(EK$1,'STOPE SUMMARY PIVOT'!$A$2818:$A$2945, 0))</f>
        <v>0</v>
      </c>
      <c r="EL80" s="176">
        <f>INDEX('STOPE SUMMARY PIVOT'!$K$2818:$K$2945, MATCH(EK$1,'STOPE SUMMARY PIVOT'!$A$2818:$A$2945, 0))</f>
        <v>0</v>
      </c>
      <c r="EM80" s="172">
        <f>INDEX('STOPE SUMMARY PIVOT'!$J$2818:$J$2945, MATCH(EM$1,'STOPE SUMMARY PIVOT'!$A$2818:$A$2945, 0))</f>
        <v>0</v>
      </c>
      <c r="EN80" s="176">
        <f>INDEX('STOPE SUMMARY PIVOT'!$K$2818:$K$2945, MATCH(EM$1,'STOPE SUMMARY PIVOT'!$A$2818:$A$2945, 0))</f>
        <v>0</v>
      </c>
      <c r="EO80" s="172">
        <f>INDEX('STOPE SUMMARY PIVOT'!$J$2818:$J$2945, MATCH(EO$1,'STOPE SUMMARY PIVOT'!$A$2818:$A$2945, 0))</f>
        <v>0</v>
      </c>
      <c r="EP80" s="176">
        <f>INDEX('STOPE SUMMARY PIVOT'!$K$2818:$K$2945, MATCH(EO$1,'STOPE SUMMARY PIVOT'!$A$2818:$A$2945, 0))</f>
        <v>0</v>
      </c>
      <c r="EQ80" s="172">
        <f>INDEX('STOPE SUMMARY PIVOT'!$J$2818:$J$2945, MATCH(EQ$1,'STOPE SUMMARY PIVOT'!$A$2818:$A$2945, 0))</f>
        <v>0</v>
      </c>
      <c r="ER80" s="176">
        <f>INDEX('STOPE SUMMARY PIVOT'!$K$2818:$K$2945, MATCH(EQ$1,'STOPE SUMMARY PIVOT'!$A$2818:$A$2945, 0))</f>
        <v>0</v>
      </c>
      <c r="ES80" s="172">
        <f>INDEX('STOPE SUMMARY PIVOT'!$J$2818:$J$2945, MATCH(ES$1,'STOPE SUMMARY PIVOT'!$A$2818:$A$2945, 0))</f>
        <v>0</v>
      </c>
      <c r="ET80" s="176">
        <f>INDEX('STOPE SUMMARY PIVOT'!$K$2818:$K$2945, MATCH(ES$1,'STOPE SUMMARY PIVOT'!$A$2818:$A$2945, 0))</f>
        <v>0</v>
      </c>
      <c r="EU80" s="172">
        <f>INDEX('STOPE SUMMARY PIVOT'!$J$2818:$J$2945, MATCH(EU$1,'STOPE SUMMARY PIVOT'!$A$2818:$A$2945, 0))</f>
        <v>0</v>
      </c>
      <c r="EV80" s="176">
        <f>INDEX('STOPE SUMMARY PIVOT'!$K$2818:$K$2945, MATCH(EU$1,'STOPE SUMMARY PIVOT'!$A$2818:$A$2945, 0))</f>
        <v>0</v>
      </c>
      <c r="EW80" s="172">
        <f>INDEX('STOPE SUMMARY PIVOT'!$J$2818:$J$2945, MATCH(EW$1,'STOPE SUMMARY PIVOT'!$A$2818:$A$2945, 0))</f>
        <v>0</v>
      </c>
      <c r="EX80" s="176">
        <f>INDEX('STOPE SUMMARY PIVOT'!$K$2818:$K$2945, MATCH(EW$1,'STOPE SUMMARY PIVOT'!$A$2818:$A$2945, 0))</f>
        <v>0</v>
      </c>
      <c r="EY80" s="172">
        <f>INDEX('STOPE SUMMARY PIVOT'!$J$2818:$J$2945, MATCH(EY$1,'STOPE SUMMARY PIVOT'!$A$2818:$A$2945, 0))</f>
        <v>0</v>
      </c>
      <c r="EZ80" s="176">
        <f>INDEX('STOPE SUMMARY PIVOT'!$K$2818:$K$2945, MATCH(EY$1,'STOPE SUMMARY PIVOT'!$A$2818:$A$2945, 0))</f>
        <v>0</v>
      </c>
      <c r="FA80" s="172">
        <f>INDEX('STOPE SUMMARY PIVOT'!$J$2818:$J$2945, MATCH(FA$1,'STOPE SUMMARY PIVOT'!$A$2818:$A$2945, 0))</f>
        <v>0</v>
      </c>
      <c r="FB80" s="176">
        <f>INDEX('STOPE SUMMARY PIVOT'!$K$2818:$K$2945, MATCH(FA$1,'STOPE SUMMARY PIVOT'!$A$2818:$A$2945, 0))</f>
        <v>0</v>
      </c>
      <c r="FC80" s="172">
        <f>INDEX('STOPE SUMMARY PIVOT'!$J$2818:$J$2945, MATCH(FC$1,'STOPE SUMMARY PIVOT'!$A$2818:$A$2945, 0))</f>
        <v>0</v>
      </c>
      <c r="FD80" s="176">
        <f>INDEX('STOPE SUMMARY PIVOT'!$K$2818:$K$2945, MATCH(FC$1,'STOPE SUMMARY PIVOT'!$A$2818:$A$2945, 0))</f>
        <v>0</v>
      </c>
      <c r="FE80" s="172">
        <f>INDEX('STOPE SUMMARY PIVOT'!$J$2818:$J$2945, MATCH(FE$1,'STOPE SUMMARY PIVOT'!$A$2818:$A$2945, 0))</f>
        <v>0</v>
      </c>
      <c r="FF80" s="176">
        <f>INDEX('STOPE SUMMARY PIVOT'!$K$2818:$K$2945, MATCH(FE$1,'STOPE SUMMARY PIVOT'!$A$2818:$A$2945, 0))</f>
        <v>0</v>
      </c>
      <c r="FG80" s="172">
        <f>INDEX('STOPE SUMMARY PIVOT'!$J$2818:$J$2945, MATCH(FG$1,'STOPE SUMMARY PIVOT'!$A$2818:$A$2945, 0))</f>
        <v>0</v>
      </c>
      <c r="FH80" s="176">
        <f>INDEX('STOPE SUMMARY PIVOT'!$K$2818:$K$2945, MATCH(FG$1,'STOPE SUMMARY PIVOT'!$A$2818:$A$2945, 0))</f>
        <v>0</v>
      </c>
      <c r="FI80" s="172">
        <f>INDEX('STOPE SUMMARY PIVOT'!$J$2818:$J$2945, MATCH(FI$1,'STOPE SUMMARY PIVOT'!$A$2818:$A$2945, 0))</f>
        <v>0</v>
      </c>
      <c r="FJ80" s="176">
        <f>INDEX('STOPE SUMMARY PIVOT'!$K$2818:$K$2945, MATCH(FI$1,'STOPE SUMMARY PIVOT'!$A$2818:$A$2945, 0))</f>
        <v>0</v>
      </c>
      <c r="FK80" s="172">
        <f>INDEX('STOPE SUMMARY PIVOT'!$J$2818:$J$2945, MATCH(FK$1,'STOPE SUMMARY PIVOT'!$A$2818:$A$2945, 0))</f>
        <v>0</v>
      </c>
      <c r="FL80" s="176">
        <f>INDEX('STOPE SUMMARY PIVOT'!$K$2818:$K$2945, MATCH(FK$1,'STOPE SUMMARY PIVOT'!$A$2818:$A$2945, 0))</f>
        <v>0</v>
      </c>
      <c r="FM80" s="172">
        <f>INDEX('STOPE SUMMARY PIVOT'!$J$2818:$J$2945, MATCH(FM$1,'STOPE SUMMARY PIVOT'!$A$2818:$A$2945, 0))</f>
        <v>0</v>
      </c>
      <c r="FN80" s="176">
        <f>INDEX('STOPE SUMMARY PIVOT'!$K$2818:$K$2945, MATCH(FM$1,'STOPE SUMMARY PIVOT'!$A$2818:$A$2945, 0))</f>
        <v>0</v>
      </c>
      <c r="FO80" s="172">
        <f>INDEX('STOPE SUMMARY PIVOT'!$J$2818:$J$2945, MATCH(FO$1,'STOPE SUMMARY PIVOT'!$A$2818:$A$2945, 0))</f>
        <v>0</v>
      </c>
      <c r="FP80" s="176">
        <f>INDEX('STOPE SUMMARY PIVOT'!$K$2818:$K$2945, MATCH(FO$1,'STOPE SUMMARY PIVOT'!$A$2818:$A$2945, 0))</f>
        <v>0</v>
      </c>
      <c r="FQ80" s="172">
        <f>INDEX('STOPE SUMMARY PIVOT'!$J$2818:$J$2945, MATCH(FQ$1,'STOPE SUMMARY PIVOT'!$A$2818:$A$2945, 0))</f>
        <v>0</v>
      </c>
      <c r="FR80" s="176">
        <f>INDEX('STOPE SUMMARY PIVOT'!$K$2818:$K$2945, MATCH(FQ$1,'STOPE SUMMARY PIVOT'!$A$2818:$A$2945, 0))</f>
        <v>0</v>
      </c>
      <c r="FS80" s="172">
        <f>INDEX('STOPE SUMMARY PIVOT'!$J$2818:$J$2945, MATCH(FS$1,'STOPE SUMMARY PIVOT'!$A$2818:$A$2945, 0))</f>
        <v>0</v>
      </c>
      <c r="FT80" s="176">
        <f>INDEX('STOPE SUMMARY PIVOT'!$K$2818:$K$2945, MATCH(FS$1,'STOPE SUMMARY PIVOT'!$A$2818:$A$2945, 0))</f>
        <v>0</v>
      </c>
      <c r="FU80" s="172">
        <f>INDEX('STOPE SUMMARY PIVOT'!$J$2818:$J$2945, MATCH(FU$1,'STOPE SUMMARY PIVOT'!$A$2818:$A$2945, 0))</f>
        <v>0</v>
      </c>
      <c r="FV80" s="176">
        <f>INDEX('STOPE SUMMARY PIVOT'!$K$2818:$K$2945, MATCH(FU$1,'STOPE SUMMARY PIVOT'!$A$2818:$A$2945, 0))</f>
        <v>0</v>
      </c>
      <c r="FW80" s="172">
        <f>INDEX('STOPE SUMMARY PIVOT'!$J$2818:$J$2945, MATCH(FW$1,'STOPE SUMMARY PIVOT'!$A$2818:$A$2945, 0))</f>
        <v>0</v>
      </c>
      <c r="FX80" s="176">
        <f>INDEX('STOPE SUMMARY PIVOT'!$K$2818:$K$2945, MATCH(FW$1,'STOPE SUMMARY PIVOT'!$A$2818:$A$2945, 0))</f>
        <v>0</v>
      </c>
      <c r="FY80" s="172">
        <f>INDEX('STOPE SUMMARY PIVOT'!$J$2818:$J$2945, MATCH(FY$1,'STOPE SUMMARY PIVOT'!$A$2818:$A$2945, 0))</f>
        <v>0</v>
      </c>
      <c r="FZ80" s="176">
        <f>INDEX('STOPE SUMMARY PIVOT'!$K$2818:$K$2945, MATCH(FY$1,'STOPE SUMMARY PIVOT'!$A$2818:$A$2945, 0))</f>
        <v>0</v>
      </c>
      <c r="GA80" s="172">
        <f>INDEX('STOPE SUMMARY PIVOT'!$J$2818:$J$2945, MATCH(GA$1,'STOPE SUMMARY PIVOT'!$A$2818:$A$2945, 0))</f>
        <v>0</v>
      </c>
      <c r="GB80" s="176">
        <f>INDEX('STOPE SUMMARY PIVOT'!$K$2818:$K$2945, MATCH(GA$1,'STOPE SUMMARY PIVOT'!$A$2818:$A$2945, 0))</f>
        <v>0</v>
      </c>
      <c r="GC80" s="172">
        <f>INDEX('STOPE SUMMARY PIVOT'!$J$2818:$J$2945, MATCH(GC$1,'STOPE SUMMARY PIVOT'!$A$2818:$A$2945, 0))</f>
        <v>0</v>
      </c>
      <c r="GD80" s="176">
        <f>INDEX('STOPE SUMMARY PIVOT'!$K$2818:$K$2945, MATCH(GC$1,'STOPE SUMMARY PIVOT'!$A$2818:$A$2945, 0))</f>
        <v>0</v>
      </c>
      <c r="GE80" s="172">
        <f>INDEX('STOPE SUMMARY PIVOT'!$J$2818:$J$2945, MATCH(GE$1,'STOPE SUMMARY PIVOT'!$A$2818:$A$2945, 0))</f>
        <v>0</v>
      </c>
      <c r="GF80" s="176">
        <f>INDEX('STOPE SUMMARY PIVOT'!$K$2818:$K$2945, MATCH(GE$1,'STOPE SUMMARY PIVOT'!$A$2818:$A$2945, 0))</f>
        <v>0</v>
      </c>
      <c r="GG80" s="172">
        <f>INDEX('STOPE SUMMARY PIVOT'!$J$2818:$J$2945, MATCH(GG$1,'STOPE SUMMARY PIVOT'!$A$2818:$A$2945, 0))</f>
        <v>0</v>
      </c>
      <c r="GH80" s="176">
        <f>INDEX('STOPE SUMMARY PIVOT'!$K$2818:$K$2945, MATCH(GG$1,'STOPE SUMMARY PIVOT'!$A$2818:$A$2945, 0))</f>
        <v>0</v>
      </c>
      <c r="GI80" s="172">
        <f>INDEX('STOPE SUMMARY PIVOT'!$J$2818:$J$2945, MATCH(GI$1,'STOPE SUMMARY PIVOT'!$A$2818:$A$2945, 0))</f>
        <v>0</v>
      </c>
      <c r="GJ80" s="176">
        <f>INDEX('STOPE SUMMARY PIVOT'!$K$2818:$K$2945, MATCH(GI$1,'STOPE SUMMARY PIVOT'!$A$2818:$A$2945, 0))</f>
        <v>0</v>
      </c>
      <c r="GK80" s="172">
        <f>INDEX('STOPE SUMMARY PIVOT'!$J$2818:$J$2945, MATCH(GK$1,'STOPE SUMMARY PIVOT'!$A$2818:$A$2945, 0))</f>
        <v>0</v>
      </c>
      <c r="GL80" s="176">
        <f>INDEX('STOPE SUMMARY PIVOT'!$K$2818:$K$2945, MATCH(GK$1,'STOPE SUMMARY PIVOT'!$A$2818:$A$2945, 0))</f>
        <v>0</v>
      </c>
      <c r="GM80" s="172">
        <f>INDEX('STOPE SUMMARY PIVOT'!$J$2818:$J$2945, MATCH(GM$1,'STOPE SUMMARY PIVOT'!$A$2818:$A$2945, 0))</f>
        <v>0</v>
      </c>
      <c r="GN80" s="176">
        <f>INDEX('STOPE SUMMARY PIVOT'!$K$2818:$K$2945, MATCH(GM$1,'STOPE SUMMARY PIVOT'!$A$2818:$A$2945, 0))</f>
        <v>0</v>
      </c>
      <c r="GO80" s="172">
        <f>INDEX('STOPE SUMMARY PIVOT'!$J$2818:$J$2945, MATCH(GO$1,'STOPE SUMMARY PIVOT'!$A$2818:$A$2945, 0))</f>
        <v>0</v>
      </c>
      <c r="GP80" s="176">
        <f>INDEX('STOPE SUMMARY PIVOT'!$K$2818:$K$2945, MATCH(GO$1,'STOPE SUMMARY PIVOT'!$A$2818:$A$2945, 0))</f>
        <v>0</v>
      </c>
      <c r="GQ80" s="172">
        <f>INDEX('STOPE SUMMARY PIVOT'!$J$2818:$J$2945, MATCH(GQ$1,'STOPE SUMMARY PIVOT'!$A$2818:$A$2945, 0))</f>
        <v>0</v>
      </c>
      <c r="GR80" s="176">
        <f>INDEX('STOPE SUMMARY PIVOT'!$K$2818:$K$2945, MATCH(GQ$1,'STOPE SUMMARY PIVOT'!$A$2818:$A$2945, 0))</f>
        <v>0</v>
      </c>
      <c r="GS80" s="172">
        <f>INDEX('STOPE SUMMARY PIVOT'!$J$2818:$J$2945, MATCH(GS$1,'STOPE SUMMARY PIVOT'!$A$2818:$A$2945, 0))</f>
        <v>0</v>
      </c>
      <c r="GT80" s="176">
        <f>INDEX('STOPE SUMMARY PIVOT'!$K$2818:$K$2945, MATCH(GS$1,'STOPE SUMMARY PIVOT'!$A$2818:$A$2945, 0))</f>
        <v>0</v>
      </c>
      <c r="GU80" s="172">
        <f>INDEX('STOPE SUMMARY PIVOT'!$J$2818:$J$2945, MATCH(GU$1,'STOPE SUMMARY PIVOT'!$A$2818:$A$2945, 0))</f>
        <v>0</v>
      </c>
      <c r="GV80" s="176">
        <f>INDEX('STOPE SUMMARY PIVOT'!$K$2818:$K$2945, MATCH(GU$1,'STOPE SUMMARY PIVOT'!$A$2818:$A$2945, 0))</f>
        <v>0</v>
      </c>
      <c r="GW80" s="172">
        <f>INDEX('STOPE SUMMARY PIVOT'!$J$2818:$J$2945, MATCH(GW$1,'STOPE SUMMARY PIVOT'!$A$2818:$A$2945, 0))</f>
        <v>0</v>
      </c>
      <c r="GX80" s="176">
        <f>INDEX('STOPE SUMMARY PIVOT'!$K$2818:$K$2945, MATCH(GW$1,'STOPE SUMMARY PIVOT'!$A$2818:$A$2945, 0))</f>
        <v>0</v>
      </c>
      <c r="GY80" s="172">
        <f>INDEX('STOPE SUMMARY PIVOT'!$J$2818:$J$2945, MATCH(GY$1,'STOPE SUMMARY PIVOT'!$A$2818:$A$2945, 0))</f>
        <v>0</v>
      </c>
      <c r="GZ80" s="176">
        <f>INDEX('STOPE SUMMARY PIVOT'!$K$2818:$K$2945, MATCH(GY$1,'STOPE SUMMARY PIVOT'!$A$2818:$A$2945, 0))</f>
        <v>0</v>
      </c>
      <c r="HA80" s="172">
        <f>INDEX('STOPE SUMMARY PIVOT'!$J$2818:$J$2945, MATCH(HA$1,'STOPE SUMMARY PIVOT'!$A$2818:$A$2945, 0))</f>
        <v>0</v>
      </c>
      <c r="HB80" s="176">
        <f>INDEX('STOPE SUMMARY PIVOT'!$K$2818:$K$2945, MATCH(HA$1,'STOPE SUMMARY PIVOT'!$A$2818:$A$2945, 0))</f>
        <v>0</v>
      </c>
      <c r="HC80" s="172">
        <f>INDEX('STOPE SUMMARY PIVOT'!$J$2818:$J$2945, MATCH(HC$1,'STOPE SUMMARY PIVOT'!$A$2818:$A$2945, 0))</f>
        <v>0</v>
      </c>
      <c r="HD80" s="176">
        <f>INDEX('STOPE SUMMARY PIVOT'!$K$2818:$K$2945, MATCH(HC$1,'STOPE SUMMARY PIVOT'!$A$2818:$A$2945, 0))</f>
        <v>0</v>
      </c>
      <c r="HE80" s="172">
        <f>INDEX('STOPE SUMMARY PIVOT'!$J$2818:$J$2945, MATCH(HE$1,'STOPE SUMMARY PIVOT'!$A$2818:$A$2945, 0))</f>
        <v>0</v>
      </c>
      <c r="HF80" s="176">
        <f>INDEX('STOPE SUMMARY PIVOT'!$K$2818:$K$2945, MATCH(HE$1,'STOPE SUMMARY PIVOT'!$A$2818:$A$2945, 0))</f>
        <v>0</v>
      </c>
      <c r="HG80" s="172">
        <f>INDEX('STOPE SUMMARY PIVOT'!$J$2818:$J$2945, MATCH(HG$1,'STOPE SUMMARY PIVOT'!$A$2818:$A$2945, 0))</f>
        <v>0</v>
      </c>
      <c r="HH80" s="176">
        <f>INDEX('STOPE SUMMARY PIVOT'!$K$2818:$K$2945, MATCH(HG$1,'STOPE SUMMARY PIVOT'!$A$2818:$A$2945, 0))</f>
        <v>0</v>
      </c>
      <c r="HI80" s="172">
        <f>INDEX('STOPE SUMMARY PIVOT'!$J$2818:$J$2945, MATCH(HI$1,'STOPE SUMMARY PIVOT'!$A$2818:$A$2945, 0))</f>
        <v>0</v>
      </c>
      <c r="HJ80" s="176">
        <f>INDEX('STOPE SUMMARY PIVOT'!$K$2818:$K$2945, MATCH(HI$1,'STOPE SUMMARY PIVOT'!$A$2818:$A$2945, 0))</f>
        <v>0</v>
      </c>
      <c r="HK80" s="172">
        <f>INDEX('STOPE SUMMARY PIVOT'!$J$2818:$J$2945, MATCH(HK$1,'STOPE SUMMARY PIVOT'!$A$2818:$A$2945, 0))</f>
        <v>0</v>
      </c>
      <c r="HL80" s="176">
        <f>INDEX('STOPE SUMMARY PIVOT'!$K$2818:$K$2945, MATCH(HK$1,'STOPE SUMMARY PIVOT'!$A$2818:$A$2945, 0))</f>
        <v>0</v>
      </c>
      <c r="HM80" s="172">
        <f>INDEX('STOPE SUMMARY PIVOT'!$J$2818:$J$2945, MATCH(HM$1,'STOPE SUMMARY PIVOT'!$A$2818:$A$2945, 0))</f>
        <v>0</v>
      </c>
      <c r="HN80" s="176">
        <f>INDEX('STOPE SUMMARY PIVOT'!$K$2818:$K$2945, MATCH(HM$1,'STOPE SUMMARY PIVOT'!$A$2818:$A$2945, 0))</f>
        <v>0</v>
      </c>
      <c r="HO80" s="172">
        <f>INDEX('STOPE SUMMARY PIVOT'!$J$2818:$J$2945, MATCH(HO$1,'STOPE SUMMARY PIVOT'!$A$2818:$A$2945, 0))</f>
        <v>0</v>
      </c>
      <c r="HP80" s="176">
        <f>INDEX('STOPE SUMMARY PIVOT'!$K$2818:$K$2945, MATCH(HO$1,'STOPE SUMMARY PIVOT'!$A$2818:$A$2945, 0))</f>
        <v>0</v>
      </c>
      <c r="HQ80" s="172">
        <f>INDEX('STOPE SUMMARY PIVOT'!$J$2818:$J$2945, MATCH(HQ$1,'STOPE SUMMARY PIVOT'!$A$2818:$A$2945, 0))</f>
        <v>0</v>
      </c>
      <c r="HR80" s="176">
        <f>INDEX('STOPE SUMMARY PIVOT'!$K$2818:$K$2945, MATCH(HQ$1,'STOPE SUMMARY PIVOT'!$A$2818:$A$2945, 0))</f>
        <v>0</v>
      </c>
      <c r="HS80" s="172">
        <f>INDEX('STOPE SUMMARY PIVOT'!$J$2818:$J$2945, MATCH(HS$1,'STOPE SUMMARY PIVOT'!$A$2818:$A$2945, 0))</f>
        <v>0</v>
      </c>
      <c r="HT80" s="176">
        <f>INDEX('STOPE SUMMARY PIVOT'!$K$2818:$K$2945, MATCH(HS$1,'STOPE SUMMARY PIVOT'!$A$2818:$A$2945, 0))</f>
        <v>0</v>
      </c>
      <c r="HU80" s="172">
        <f>INDEX('STOPE SUMMARY PIVOT'!$J$2818:$J$2945, MATCH(HU$1,'STOPE SUMMARY PIVOT'!$A$2818:$A$2945, 0))</f>
        <v>0</v>
      </c>
      <c r="HV80" s="176">
        <f>INDEX('STOPE SUMMARY PIVOT'!$K$2818:$K$2945, MATCH(HU$1,'STOPE SUMMARY PIVOT'!$A$2818:$A$2945, 0))</f>
        <v>0</v>
      </c>
      <c r="HW80" s="172">
        <f>INDEX('STOPE SUMMARY PIVOT'!$J$2818:$J$2945, MATCH(HW$1,'STOPE SUMMARY PIVOT'!$A$2818:$A$2945, 0))</f>
        <v>0</v>
      </c>
      <c r="HX80" s="176">
        <f>INDEX('STOPE SUMMARY PIVOT'!$K$2818:$K$2945, MATCH(HW$1,'STOPE SUMMARY PIVOT'!$A$2818:$A$2945, 0))</f>
        <v>0</v>
      </c>
      <c r="HY80" s="172">
        <f>INDEX('STOPE SUMMARY PIVOT'!$J$2818:$J$2945, MATCH(HY$1,'STOPE SUMMARY PIVOT'!$A$2818:$A$2945, 0))</f>
        <v>0</v>
      </c>
      <c r="HZ80" s="176">
        <f>INDEX('STOPE SUMMARY PIVOT'!$K$2818:$K$2945, MATCH(HY$1,'STOPE SUMMARY PIVOT'!$A$2818:$A$2945, 0))</f>
        <v>0</v>
      </c>
      <c r="IA80" s="172">
        <f>INDEX('STOPE SUMMARY PIVOT'!$J$2818:$J$2945, MATCH(IA$1,'STOPE SUMMARY PIVOT'!$A$2818:$A$2945, 0))</f>
        <v>0</v>
      </c>
      <c r="IB80" s="176">
        <f>INDEX('STOPE SUMMARY PIVOT'!$K$2818:$K$2945, MATCH(IA$1,'STOPE SUMMARY PIVOT'!$A$2818:$A$2945, 0))</f>
        <v>0</v>
      </c>
      <c r="IC80" s="172">
        <f>INDEX('STOPE SUMMARY PIVOT'!$J$2818:$J$2945, MATCH(IC$1,'STOPE SUMMARY PIVOT'!$A$2818:$A$2945, 0))</f>
        <v>0</v>
      </c>
      <c r="ID80" s="176">
        <f>INDEX('STOPE SUMMARY PIVOT'!$K$2818:$K$2945, MATCH(IC$1,'STOPE SUMMARY PIVOT'!$A$2818:$A$2945, 0))</f>
        <v>0</v>
      </c>
      <c r="IE80" s="172">
        <f>INDEX('STOPE SUMMARY PIVOT'!$J$2818:$J$2945, MATCH(IE$1,'STOPE SUMMARY PIVOT'!$A$2818:$A$2945, 0))</f>
        <v>0</v>
      </c>
      <c r="IF80" s="176">
        <f>INDEX('STOPE SUMMARY PIVOT'!$K$2818:$K$2945, MATCH(IE$1,'STOPE SUMMARY PIVOT'!$A$2818:$A$2945, 0))</f>
        <v>0</v>
      </c>
      <c r="IG80" s="172">
        <f>INDEX('STOPE SUMMARY PIVOT'!$J$2818:$J$2945, MATCH(IG$1,'STOPE SUMMARY PIVOT'!$A$2818:$A$2945, 0))</f>
        <v>0</v>
      </c>
      <c r="IH80" s="176">
        <f>INDEX('STOPE SUMMARY PIVOT'!$K$2818:$K$2945, MATCH(IG$1,'STOPE SUMMARY PIVOT'!$A$2818:$A$2945, 0))</f>
        <v>0</v>
      </c>
      <c r="II80" s="172">
        <f>INDEX('STOPE SUMMARY PIVOT'!$J$2818:$J$2945, MATCH(II$1,'STOPE SUMMARY PIVOT'!$A$2818:$A$2945, 0))</f>
        <v>0</v>
      </c>
      <c r="IJ80" s="176">
        <f>INDEX('STOPE SUMMARY PIVOT'!$K$2818:$K$2945, MATCH(II$1,'STOPE SUMMARY PIVOT'!$A$2818:$A$2945, 0))</f>
        <v>0</v>
      </c>
      <c r="IK80" s="172">
        <f>INDEX('STOPE SUMMARY PIVOT'!$J$2818:$J$2945, MATCH(IK$1,'STOPE SUMMARY PIVOT'!$A$2818:$A$2945, 0))</f>
        <v>0</v>
      </c>
      <c r="IL80" s="176">
        <f>INDEX('STOPE SUMMARY PIVOT'!$K$2818:$K$2945, MATCH(IK$1,'STOPE SUMMARY PIVOT'!$A$2818:$A$2945, 0))</f>
        <v>0</v>
      </c>
      <c r="IM80" s="172">
        <f>INDEX('STOPE SUMMARY PIVOT'!$J$2818:$J$2945, MATCH(IM$1,'STOPE SUMMARY PIVOT'!$A$2818:$A$2945, 0))</f>
        <v>0</v>
      </c>
      <c r="IN80" s="176">
        <f>INDEX('STOPE SUMMARY PIVOT'!$K$2818:$K$2945, MATCH(IM$1,'STOPE SUMMARY PIVOT'!$A$2818:$A$2945, 0))</f>
        <v>0</v>
      </c>
      <c r="IO80" s="172">
        <f>INDEX('STOPE SUMMARY PIVOT'!$J$2818:$J$2945, MATCH(IO$1,'STOPE SUMMARY PIVOT'!$A$2818:$A$2945, 0))</f>
        <v>0</v>
      </c>
      <c r="IP80" s="176">
        <f>INDEX('STOPE SUMMARY PIVOT'!$K$2818:$K$2945, MATCH(IO$1,'STOPE SUMMARY PIVOT'!$A$2818:$A$2945, 0))</f>
        <v>0</v>
      </c>
      <c r="IQ80" s="172">
        <f>INDEX('STOPE SUMMARY PIVOT'!$J$2818:$J$2945, MATCH(IQ$1,'STOPE SUMMARY PIVOT'!$A$2818:$A$2945, 0))</f>
        <v>0</v>
      </c>
      <c r="IR80" s="176">
        <f>INDEX('STOPE SUMMARY PIVOT'!$K$2818:$K$2945, MATCH(IQ$1,'STOPE SUMMARY PIVOT'!$A$2818:$A$2945, 0))</f>
        <v>0</v>
      </c>
      <c r="IS80" s="172">
        <f>INDEX('STOPE SUMMARY PIVOT'!$J$2818:$J$2945, MATCH(IS$1,'STOPE SUMMARY PIVOT'!$A$2818:$A$2945, 0))</f>
        <v>0</v>
      </c>
      <c r="IT80" s="176">
        <f>INDEX('STOPE SUMMARY PIVOT'!$K$2818:$K$2945, MATCH(IS$1,'STOPE SUMMARY PIVOT'!$A$2818:$A$2945, 0))</f>
        <v>0</v>
      </c>
      <c r="IU80" s="172">
        <f>INDEX('STOPE SUMMARY PIVOT'!$J$2818:$J$2945, MATCH(IU$1,'STOPE SUMMARY PIVOT'!$A$2818:$A$2945, 0))</f>
        <v>0</v>
      </c>
      <c r="IV80" s="176">
        <f>INDEX('STOPE SUMMARY PIVOT'!$K$2818:$K$2945, MATCH(IU$1,'STOPE SUMMARY PIVOT'!$A$2818:$A$2945, 0))</f>
        <v>0</v>
      </c>
      <c r="IW80" s="172">
        <f>INDEX('STOPE SUMMARY PIVOT'!$J$2818:$J$2945, MATCH(IW$1,'STOPE SUMMARY PIVOT'!$A$2818:$A$2945, 0))</f>
        <v>0</v>
      </c>
      <c r="IX80" s="176">
        <f>INDEX('STOPE SUMMARY PIVOT'!$K$2818:$K$2945, MATCH(IW$1,'STOPE SUMMARY PIVOT'!$A$2818:$A$2945, 0))</f>
        <v>0</v>
      </c>
      <c r="IY80" s="172">
        <f>INDEX('STOPE SUMMARY PIVOT'!$J$2818:$J$2945, MATCH(IY$1,'STOPE SUMMARY PIVOT'!$A$2818:$A$2945, 0))</f>
        <v>0</v>
      </c>
      <c r="IZ80" s="176">
        <f>INDEX('STOPE SUMMARY PIVOT'!$K$2818:$K$2945, MATCH(IY$1,'STOPE SUMMARY PIVOT'!$A$2818:$A$2945, 0))</f>
        <v>0</v>
      </c>
    </row>
    <row r="81" spans="1:260" x14ac:dyDescent="0.25">
      <c r="A81" s="1589">
        <v>45992</v>
      </c>
      <c r="B81" s="162" t="s">
        <v>218</v>
      </c>
      <c r="C81" s="163" cm="1">
        <f t="array" ref="C81">SUM(_xlfn._xlws.FILTER(E81:IZ81, MOD(COLUMN(E81:IZ81)-COLUMN(E81)+1,2)=1))</f>
        <v>30636</v>
      </c>
      <c r="D81" s="164" cm="1">
        <f t="array" ref="D81">SUMPRODUCT(_xlfn._xlws.FILTER(E81:IZ81, MOD(COLUMN(E81:IZ81)-COLUMN(E81)+1,2)=1), _xlfn._xlws.FILTER(E81:IZ81, MOD(COLUMN(E81:IZ81)-COLUMN(E81)+1,2)=0))/C81</f>
        <v>2.4652330591461027</v>
      </c>
      <c r="E81" s="165">
        <f>INDEX('STOPE SUMMARY PIVOT'!$D$2946:$D$3073, MATCH(E$1,'STOPE SUMMARY PIVOT'!$A$2946:$A$3073, 0))</f>
        <v>0</v>
      </c>
      <c r="F81" s="174">
        <f>INDEX('STOPE SUMMARY PIVOT'!$E$2946:$E$3073, MATCH(E$1,'STOPE SUMMARY PIVOT'!$A$2946:$A$3073, 0))</f>
        <v>0</v>
      </c>
      <c r="G81" s="165">
        <f>INDEX('STOPE SUMMARY PIVOT'!$D$2946:$D$3073, MATCH(G$1,'STOPE SUMMARY PIVOT'!$A$2946:$A$3073, 0))</f>
        <v>0</v>
      </c>
      <c r="H81" s="174">
        <f>INDEX('STOPE SUMMARY PIVOT'!$E$2946:$E$3073, MATCH(G$1,'STOPE SUMMARY PIVOT'!$A$2946:$A$3073, 0))</f>
        <v>0</v>
      </c>
      <c r="I81" s="165">
        <f>INDEX('STOPE SUMMARY PIVOT'!$D$2946:$D$3073, MATCH(I$1,'STOPE SUMMARY PIVOT'!$A$2946:$A$3073, 0))</f>
        <v>0</v>
      </c>
      <c r="J81" s="166">
        <f>INDEX('STOPE SUMMARY PIVOT'!$E$2946:$E$3073, MATCH(I$1,'STOPE SUMMARY PIVOT'!$A$2946:$A$3073, 0))</f>
        <v>0</v>
      </c>
      <c r="K81" s="165">
        <f>INDEX('STOPE SUMMARY PIVOT'!$D$2946:$D$3073, MATCH(K$1,'STOPE SUMMARY PIVOT'!$A$2946:$A$3073, 0))</f>
        <v>0</v>
      </c>
      <c r="L81" s="166">
        <f>INDEX('STOPE SUMMARY PIVOT'!$E$2946:$E$3073, MATCH(K$1,'STOPE SUMMARY PIVOT'!$A$2946:$A$3073, 0))</f>
        <v>0</v>
      </c>
      <c r="M81" s="165">
        <f>INDEX('STOPE SUMMARY PIVOT'!$D$2946:$D$3073, MATCH(M$1,'STOPE SUMMARY PIVOT'!$A$2946:$A$3073, 0))</f>
        <v>0</v>
      </c>
      <c r="N81" s="166">
        <f>INDEX('STOPE SUMMARY PIVOT'!$E$2946:$E$3073, MATCH(M$1,'STOPE SUMMARY PIVOT'!$A$2946:$A$3073, 0))</f>
        <v>0</v>
      </c>
      <c r="O81" s="165">
        <f>INDEX('STOPE SUMMARY PIVOT'!$D$2946:$D$3073, MATCH(O$1,'STOPE SUMMARY PIVOT'!$A$2946:$A$3073, 0))</f>
        <v>0</v>
      </c>
      <c r="P81" s="166">
        <f>INDEX('STOPE SUMMARY PIVOT'!$E$2946:$E$3073, MATCH(O$1,'STOPE SUMMARY PIVOT'!$A$2946:$A$3073, 0))</f>
        <v>0</v>
      </c>
      <c r="Q81" s="165">
        <f>INDEX('STOPE SUMMARY PIVOT'!$D$2946:$D$3073, MATCH(Q$1,'STOPE SUMMARY PIVOT'!$A$2946:$A$3073, 0))</f>
        <v>0</v>
      </c>
      <c r="R81" s="166">
        <f>INDEX('STOPE SUMMARY PIVOT'!$E$2946:$E$3073, MATCH(Q$1,'STOPE SUMMARY PIVOT'!$A$2946:$A$3073, 0))</f>
        <v>0</v>
      </c>
      <c r="S81" s="165">
        <f>INDEX('STOPE SUMMARY PIVOT'!$D$2946:$D$3073, MATCH(S$1,'STOPE SUMMARY PIVOT'!$A$2946:$A$3073, 0))</f>
        <v>0</v>
      </c>
      <c r="T81" s="166">
        <f>INDEX('STOPE SUMMARY PIVOT'!$E$2946:$E$3073, MATCH(S$1,'STOPE SUMMARY PIVOT'!$A$2946:$A$3073, 0))</f>
        <v>0</v>
      </c>
      <c r="U81" s="165">
        <f>INDEX('STOPE SUMMARY PIVOT'!$D$2946:$D$3073, MATCH(U$1,'STOPE SUMMARY PIVOT'!$A$2946:$A$3073, 0))</f>
        <v>0</v>
      </c>
      <c r="V81" s="174">
        <f>INDEX('STOPE SUMMARY PIVOT'!$E$2946:$E$3073, MATCH(U$1,'STOPE SUMMARY PIVOT'!$A$2946:$A$3073, 0))</f>
        <v>0</v>
      </c>
      <c r="W81" s="165">
        <f>INDEX('STOPE SUMMARY PIVOT'!$D$2946:$D$3073, MATCH(W$1,'STOPE SUMMARY PIVOT'!$A$2946:$A$3073, 0))</f>
        <v>0</v>
      </c>
      <c r="X81" s="174">
        <f>INDEX('STOPE SUMMARY PIVOT'!$E$2946:$E$3073, MATCH(W$1,'STOPE SUMMARY PIVOT'!$A$2946:$A$3073, 0))</f>
        <v>0</v>
      </c>
      <c r="Y81" s="165">
        <f>INDEX('STOPE SUMMARY PIVOT'!$D$2946:$D$3073, MATCH(Y$1,'STOPE SUMMARY PIVOT'!$A$2946:$A$3073, 0))</f>
        <v>0</v>
      </c>
      <c r="Z81" s="174">
        <f>INDEX('STOPE SUMMARY PIVOT'!$E$2946:$E$3073, MATCH(Y$1,'STOPE SUMMARY PIVOT'!$A$2946:$A$3073, 0))</f>
        <v>0</v>
      </c>
      <c r="AA81" s="165">
        <f>INDEX('STOPE SUMMARY PIVOT'!$D$2946:$D$3073, MATCH(AA$1,'STOPE SUMMARY PIVOT'!$A$2946:$A$3073, 0))</f>
        <v>0</v>
      </c>
      <c r="AB81" s="174">
        <f>INDEX('STOPE SUMMARY PIVOT'!$E$2946:$E$3073, MATCH(AA$1,'STOPE SUMMARY PIVOT'!$A$2946:$A$3073, 0))</f>
        <v>0</v>
      </c>
      <c r="AC81" s="165">
        <f>INDEX('STOPE SUMMARY PIVOT'!$D$2946:$D$3073, MATCH(AC$1,'STOPE SUMMARY PIVOT'!$A$2946:$A$3073, 0))</f>
        <v>0</v>
      </c>
      <c r="AD81" s="174">
        <f>INDEX('STOPE SUMMARY PIVOT'!$E$2946:$E$3073, MATCH(AC$1,'STOPE SUMMARY PIVOT'!$A$2946:$A$3073, 0))</f>
        <v>0</v>
      </c>
      <c r="AE81" s="165">
        <f>INDEX('STOPE SUMMARY PIVOT'!$D$2946:$D$3073, MATCH(AE$1,'STOPE SUMMARY PIVOT'!$A$2946:$A$3073, 0))</f>
        <v>0</v>
      </c>
      <c r="AF81" s="174">
        <f>INDEX('STOPE SUMMARY PIVOT'!$E$2946:$E$3073, MATCH(AE$1,'STOPE SUMMARY PIVOT'!$A$2946:$A$3073, 0))</f>
        <v>0</v>
      </c>
      <c r="AG81" s="165">
        <f>INDEX('STOPE SUMMARY PIVOT'!$D$2946:$D$3073, MATCH(AG$1,'STOPE SUMMARY PIVOT'!$A$2946:$A$3073, 0))</f>
        <v>0</v>
      </c>
      <c r="AH81" s="174">
        <f>INDEX('STOPE SUMMARY PIVOT'!$E$2946:$E$3073, MATCH(AG$1,'STOPE SUMMARY PIVOT'!$A$2946:$A$3073, 0))</f>
        <v>0</v>
      </c>
      <c r="AI81" s="165">
        <f>INDEX('STOPE SUMMARY PIVOT'!$D$2946:$D$3073, MATCH(AI$1,'STOPE SUMMARY PIVOT'!$A$2946:$A$3073, 0))</f>
        <v>3033</v>
      </c>
      <c r="AJ81" s="174">
        <f>INDEX('STOPE SUMMARY PIVOT'!$E$2946:$E$3073, MATCH(AI$1,'STOPE SUMMARY PIVOT'!$A$2946:$A$3073, 0))</f>
        <v>2.5299999999999998</v>
      </c>
      <c r="AK81" s="165">
        <f>INDEX('STOPE SUMMARY PIVOT'!$D$2946:$D$3073, MATCH(AK$1,'STOPE SUMMARY PIVOT'!$A$2946:$A$3073, 0))</f>
        <v>3033</v>
      </c>
      <c r="AL81" s="174">
        <f>INDEX('STOPE SUMMARY PIVOT'!$E$2946:$E$3073, MATCH(AK$1,'STOPE SUMMARY PIVOT'!$A$2946:$A$3073, 0))</f>
        <v>2.63</v>
      </c>
      <c r="AM81" s="165">
        <f>INDEX('STOPE SUMMARY PIVOT'!$D$2946:$D$3073, MATCH(AM$1,'STOPE SUMMARY PIVOT'!$A$2946:$A$3073, 0))</f>
        <v>0</v>
      </c>
      <c r="AN81" s="174">
        <f>INDEX('STOPE SUMMARY PIVOT'!$E$2946:$E$3073, MATCH(AM$1,'STOPE SUMMARY PIVOT'!$A$2946:$A$3073, 0))</f>
        <v>0</v>
      </c>
      <c r="AO81" s="165">
        <f>INDEX('STOPE SUMMARY PIVOT'!$D$2946:$D$3073, MATCH(AO$1,'STOPE SUMMARY PIVOT'!$A$2946:$A$3073, 0))</f>
        <v>0</v>
      </c>
      <c r="AP81" s="174">
        <f>INDEX('STOPE SUMMARY PIVOT'!$E$2946:$E$3073, MATCH(AO$1,'STOPE SUMMARY PIVOT'!$A$2946:$A$3073, 0))</f>
        <v>0</v>
      </c>
      <c r="AQ81" s="165">
        <f>INDEX('STOPE SUMMARY PIVOT'!$D$2946:$D$3073, MATCH(AQ$1,'STOPE SUMMARY PIVOT'!$A$2946:$A$3073, 0))</f>
        <v>0</v>
      </c>
      <c r="AR81" s="174">
        <f>INDEX('STOPE SUMMARY PIVOT'!$E$2946:$E$3073, MATCH(AQ$1,'STOPE SUMMARY PIVOT'!$A$2946:$A$3073, 0))</f>
        <v>0</v>
      </c>
      <c r="AS81" s="165">
        <f>INDEX('STOPE SUMMARY PIVOT'!$D$2946:$D$3073, MATCH(AS$1,'STOPE SUMMARY PIVOT'!$A$2946:$A$3073, 0))</f>
        <v>0</v>
      </c>
      <c r="AT81" s="174">
        <f>INDEX('STOPE SUMMARY PIVOT'!$E$2946:$E$3073, MATCH(AS$1,'STOPE SUMMARY PIVOT'!$A$2946:$A$3073, 0))</f>
        <v>0</v>
      </c>
      <c r="AU81" s="165">
        <f>INDEX('STOPE SUMMARY PIVOT'!$D$2946:$D$3073, MATCH(AU$1,'STOPE SUMMARY PIVOT'!$A$2946:$A$3073, 0))</f>
        <v>0</v>
      </c>
      <c r="AV81" s="174">
        <f>INDEX('STOPE SUMMARY PIVOT'!$E$2946:$E$3073, MATCH(AU$1,'STOPE SUMMARY PIVOT'!$A$2946:$A$3073, 0))</f>
        <v>0</v>
      </c>
      <c r="AW81" s="165">
        <f>INDEX('STOPE SUMMARY PIVOT'!$D$2946:$D$3073, MATCH(AW$1,'STOPE SUMMARY PIVOT'!$A$2946:$A$3073, 0))</f>
        <v>0</v>
      </c>
      <c r="AX81" s="174">
        <f>INDEX('STOPE SUMMARY PIVOT'!$E$2946:$E$3073, MATCH(AW$1,'STOPE SUMMARY PIVOT'!$A$2946:$A$3073, 0))</f>
        <v>0</v>
      </c>
      <c r="AY81" s="165">
        <f>INDEX('STOPE SUMMARY PIVOT'!$D$2946:$D$3073, MATCH(AY$1,'STOPE SUMMARY PIVOT'!$A$2946:$A$3073, 0))</f>
        <v>0</v>
      </c>
      <c r="AZ81" s="174">
        <f>INDEX('STOPE SUMMARY PIVOT'!$E$2946:$E$3073, MATCH(AY$1,'STOPE SUMMARY PIVOT'!$A$2946:$A$3073, 0))</f>
        <v>0</v>
      </c>
      <c r="BA81" s="165">
        <f>INDEX('STOPE SUMMARY PIVOT'!$D$2946:$D$3073, MATCH(BA$1,'STOPE SUMMARY PIVOT'!$A$2946:$A$3073, 0))</f>
        <v>0</v>
      </c>
      <c r="BB81" s="174">
        <f>INDEX('STOPE SUMMARY PIVOT'!$E$2946:$E$3073, MATCH(BA$1,'STOPE SUMMARY PIVOT'!$A$2946:$A$3073, 0))</f>
        <v>0</v>
      </c>
      <c r="BC81" s="165">
        <f>INDEX('STOPE SUMMARY PIVOT'!$D$2946:$D$3073, MATCH(BC$1,'STOPE SUMMARY PIVOT'!$A$2946:$A$3073, 0))</f>
        <v>0</v>
      </c>
      <c r="BD81" s="174">
        <f>INDEX('STOPE SUMMARY PIVOT'!$E$2946:$E$3073, MATCH(BC$1,'STOPE SUMMARY PIVOT'!$A$2946:$A$3073, 0))</f>
        <v>0</v>
      </c>
      <c r="BE81" s="165">
        <f>INDEX('STOPE SUMMARY PIVOT'!$D$2946:$D$3073, MATCH(BE$1,'STOPE SUMMARY PIVOT'!$A$2946:$A$3073, 0))</f>
        <v>0</v>
      </c>
      <c r="BF81" s="174">
        <f>INDEX('STOPE SUMMARY PIVOT'!$E$2946:$E$3073, MATCH(BE$1,'STOPE SUMMARY PIVOT'!$A$2946:$A$3073, 0))</f>
        <v>0</v>
      </c>
      <c r="BG81" s="165">
        <f>INDEX('STOPE SUMMARY PIVOT'!$D$2946:$D$3073, MATCH(BG$1,'STOPE SUMMARY PIVOT'!$A$2946:$A$3073, 0))</f>
        <v>0</v>
      </c>
      <c r="BH81" s="174">
        <f>INDEX('STOPE SUMMARY PIVOT'!$E$2946:$E$3073, MATCH(BG$1,'STOPE SUMMARY PIVOT'!$A$2946:$A$3073, 0))</f>
        <v>0</v>
      </c>
      <c r="BI81" s="165">
        <f>INDEX('STOPE SUMMARY PIVOT'!$D$2946:$D$3073, MATCH(BI$1,'STOPE SUMMARY PIVOT'!$A$2946:$A$3073, 0))</f>
        <v>0</v>
      </c>
      <c r="BJ81" s="174">
        <f>INDEX('STOPE SUMMARY PIVOT'!$E$2946:$E$3073, MATCH(BI$1,'STOPE SUMMARY PIVOT'!$A$2946:$A$3073, 0))</f>
        <v>0</v>
      </c>
      <c r="BK81" s="165">
        <f>INDEX('STOPE SUMMARY PIVOT'!$D$2946:$D$3073, MATCH(BK$1,'STOPE SUMMARY PIVOT'!$A$2946:$A$3073, 0))</f>
        <v>0</v>
      </c>
      <c r="BL81" s="174">
        <f>INDEX('STOPE SUMMARY PIVOT'!$E$2946:$E$3073, MATCH(BK$1,'STOPE SUMMARY PIVOT'!$A$2946:$A$3073, 0))</f>
        <v>0</v>
      </c>
      <c r="BM81" s="165">
        <f>INDEX('STOPE SUMMARY PIVOT'!$D$2946:$D$3073, MATCH(BM$1,'STOPE SUMMARY PIVOT'!$A$2946:$A$3073, 0))</f>
        <v>0</v>
      </c>
      <c r="BN81" s="174">
        <f>INDEX('STOPE SUMMARY PIVOT'!$E$2946:$E$3073, MATCH(BM$1,'STOPE SUMMARY PIVOT'!$A$2946:$A$3073, 0))</f>
        <v>0</v>
      </c>
      <c r="BO81" s="165">
        <f>INDEX('STOPE SUMMARY PIVOT'!$D$2946:$D$3073, MATCH(BO$1,'STOPE SUMMARY PIVOT'!$A$2946:$A$3073, 0))</f>
        <v>0</v>
      </c>
      <c r="BP81" s="174">
        <f>INDEX('STOPE SUMMARY PIVOT'!$E$2946:$E$3073, MATCH(BO$1,'STOPE SUMMARY PIVOT'!$A$2946:$A$3073, 0))</f>
        <v>0</v>
      </c>
      <c r="BQ81" s="165">
        <f>INDEX('STOPE SUMMARY PIVOT'!$D$2946:$D$3073, MATCH(BQ$1,'STOPE SUMMARY PIVOT'!$A$2946:$A$3073, 0))</f>
        <v>0</v>
      </c>
      <c r="BR81" s="174">
        <f>INDEX('STOPE SUMMARY PIVOT'!$E$2946:$E$3073, MATCH(BQ$1,'STOPE SUMMARY PIVOT'!$A$2946:$A$3073, 0))</f>
        <v>0</v>
      </c>
      <c r="BS81" s="165">
        <f>INDEX('STOPE SUMMARY PIVOT'!$D$2946:$D$3073, MATCH(BS$1,'STOPE SUMMARY PIVOT'!$A$2946:$A$3073, 0))</f>
        <v>0</v>
      </c>
      <c r="BT81" s="174">
        <f>INDEX('STOPE SUMMARY PIVOT'!$E$2946:$E$3073, MATCH(BS$1,'STOPE SUMMARY PIVOT'!$A$2946:$A$3073, 0))</f>
        <v>0</v>
      </c>
      <c r="BU81" s="165">
        <f>INDEX('STOPE SUMMARY PIVOT'!$D$2946:$D$3073, MATCH(BU$1,'STOPE SUMMARY PIVOT'!$A$2946:$A$3073, 0))</f>
        <v>0</v>
      </c>
      <c r="BV81" s="174">
        <f>INDEX('STOPE SUMMARY PIVOT'!$E$2946:$E$3073, MATCH(BU$1,'STOPE SUMMARY PIVOT'!$A$2946:$A$3073, 0))</f>
        <v>0</v>
      </c>
      <c r="BW81" s="165">
        <f>INDEX('STOPE SUMMARY PIVOT'!$D$2946:$D$3073, MATCH(BW$1,'STOPE SUMMARY PIVOT'!$A$2946:$A$3073, 0))</f>
        <v>0</v>
      </c>
      <c r="BX81" s="174">
        <f>INDEX('STOPE SUMMARY PIVOT'!$E$2946:$E$3073, MATCH(BW$1,'STOPE SUMMARY PIVOT'!$A$2946:$A$3073, 0))</f>
        <v>0</v>
      </c>
      <c r="BY81" s="165">
        <f>INDEX('STOPE SUMMARY PIVOT'!$D$2946:$D$3073, MATCH(BY$1,'STOPE SUMMARY PIVOT'!$A$2946:$A$3073, 0))</f>
        <v>0</v>
      </c>
      <c r="BZ81" s="174">
        <f>INDEX('STOPE SUMMARY PIVOT'!$E$2946:$E$3073, MATCH(BY$1,'STOPE SUMMARY PIVOT'!$A$2946:$A$3073, 0))</f>
        <v>0</v>
      </c>
      <c r="CA81" s="165">
        <f>INDEX('STOPE SUMMARY PIVOT'!$D$2946:$D$3073, MATCH(CA$1,'STOPE SUMMARY PIVOT'!$A$2946:$A$3073, 0))</f>
        <v>0</v>
      </c>
      <c r="CB81" s="174">
        <f>INDEX('STOPE SUMMARY PIVOT'!$E$2946:$E$3073, MATCH(CA$1,'STOPE SUMMARY PIVOT'!$A$2946:$A$3073, 0))</f>
        <v>0</v>
      </c>
      <c r="CC81" s="165">
        <f>INDEX('STOPE SUMMARY PIVOT'!$D$2946:$D$3073, MATCH(CC$1,'STOPE SUMMARY PIVOT'!$A$2946:$A$3073, 0))</f>
        <v>0</v>
      </c>
      <c r="CD81" s="174">
        <f>INDEX('STOPE SUMMARY PIVOT'!$E$2946:$E$3073, MATCH(CC$1,'STOPE SUMMARY PIVOT'!$A$2946:$A$3073, 0))</f>
        <v>0</v>
      </c>
      <c r="CE81" s="165">
        <f>INDEX('STOPE SUMMARY PIVOT'!$D$2946:$D$3073, MATCH(CE$1,'STOPE SUMMARY PIVOT'!$A$2946:$A$3073, 0))</f>
        <v>0</v>
      </c>
      <c r="CF81" s="174">
        <f>INDEX('STOPE SUMMARY PIVOT'!$E$2946:$E$3073, MATCH(CE$1,'STOPE SUMMARY PIVOT'!$A$2946:$A$3073, 0))</f>
        <v>0</v>
      </c>
      <c r="CG81" s="165">
        <f>INDEX('STOPE SUMMARY PIVOT'!$D$2946:$D$3073, MATCH(CG$1,'STOPE SUMMARY PIVOT'!$A$2946:$A$3073, 0))</f>
        <v>0</v>
      </c>
      <c r="CH81" s="174">
        <f>INDEX('STOPE SUMMARY PIVOT'!$E$2946:$E$3073, MATCH(CG$1,'STOPE SUMMARY PIVOT'!$A$2946:$A$3073, 0))</f>
        <v>0</v>
      </c>
      <c r="CI81" s="165">
        <f>INDEX('STOPE SUMMARY PIVOT'!$D$2946:$D$3073, MATCH(CI$1,'STOPE SUMMARY PIVOT'!$A$2946:$A$3073, 0))</f>
        <v>0</v>
      </c>
      <c r="CJ81" s="174">
        <f>INDEX('STOPE SUMMARY PIVOT'!$E$2946:$E$3073, MATCH(CI$1,'STOPE SUMMARY PIVOT'!$A$2946:$A$3073, 0))</f>
        <v>0</v>
      </c>
      <c r="CK81" s="165">
        <f>INDEX('STOPE SUMMARY PIVOT'!$D$2946:$D$3073, MATCH(CK$1,'STOPE SUMMARY PIVOT'!$A$2946:$A$3073, 0))</f>
        <v>0</v>
      </c>
      <c r="CL81" s="174">
        <f>INDEX('STOPE SUMMARY PIVOT'!$E$2946:$E$3073, MATCH(CK$1,'STOPE SUMMARY PIVOT'!$A$2946:$A$3073, 0))</f>
        <v>0</v>
      </c>
      <c r="CM81" s="165">
        <f>INDEX('STOPE SUMMARY PIVOT'!$D$2946:$D$3073, MATCH(CM$1,'STOPE SUMMARY PIVOT'!$A$2946:$A$3073, 0))</f>
        <v>0</v>
      </c>
      <c r="CN81" s="174">
        <f>INDEX('STOPE SUMMARY PIVOT'!$E$2946:$E$3073, MATCH(CM$1,'STOPE SUMMARY PIVOT'!$A$2946:$A$3073, 0))</f>
        <v>0</v>
      </c>
      <c r="CO81" s="165">
        <f>INDEX('STOPE SUMMARY PIVOT'!$D$2946:$D$3073, MATCH(CO$1,'STOPE SUMMARY PIVOT'!$A$2946:$A$3073, 0))</f>
        <v>0</v>
      </c>
      <c r="CP81" s="174">
        <f>INDEX('STOPE SUMMARY PIVOT'!$E$2946:$E$3073, MATCH(CO$1,'STOPE SUMMARY PIVOT'!$A$2946:$A$3073, 0))</f>
        <v>0</v>
      </c>
      <c r="CQ81" s="165">
        <f>INDEX('STOPE SUMMARY PIVOT'!$D$2946:$D$3073, MATCH(CQ$1,'STOPE SUMMARY PIVOT'!$A$2946:$A$3073, 0))</f>
        <v>0</v>
      </c>
      <c r="CR81" s="174">
        <f>INDEX('STOPE SUMMARY PIVOT'!$E$2946:$E$3073, MATCH(CQ$1,'STOPE SUMMARY PIVOT'!$A$2946:$A$3073, 0))</f>
        <v>0</v>
      </c>
      <c r="CS81" s="165">
        <f>INDEX('STOPE SUMMARY PIVOT'!$D$2946:$D$3073, MATCH(CS$1,'STOPE SUMMARY PIVOT'!$A$2946:$A$3073, 0))</f>
        <v>0</v>
      </c>
      <c r="CT81" s="174">
        <f>INDEX('STOPE SUMMARY PIVOT'!$E$2946:$E$3073, MATCH(CS$1,'STOPE SUMMARY PIVOT'!$A$2946:$A$3073, 0))</f>
        <v>0</v>
      </c>
      <c r="CU81" s="165">
        <f>INDEX('STOPE SUMMARY PIVOT'!$D$2946:$D$3073, MATCH(CU$1,'STOPE SUMMARY PIVOT'!$A$2946:$A$3073, 0))</f>
        <v>0</v>
      </c>
      <c r="CV81" s="174">
        <f>INDEX('STOPE SUMMARY PIVOT'!$E$2946:$E$3073, MATCH(CU$1,'STOPE SUMMARY PIVOT'!$A$2946:$A$3073, 0))</f>
        <v>0</v>
      </c>
      <c r="CW81" s="165">
        <f>INDEX('STOPE SUMMARY PIVOT'!$D$2946:$D$3073, MATCH(CW$1,'STOPE SUMMARY PIVOT'!$A$2946:$A$3073, 0))</f>
        <v>0</v>
      </c>
      <c r="CX81" s="174">
        <f>INDEX('STOPE SUMMARY PIVOT'!$E$2946:$E$3073, MATCH(CW$1,'STOPE SUMMARY PIVOT'!$A$2946:$A$3073, 0))</f>
        <v>0</v>
      </c>
      <c r="CY81" s="165">
        <f>INDEX('STOPE SUMMARY PIVOT'!$D$2946:$D$3073, MATCH(CY$1,'STOPE SUMMARY PIVOT'!$A$2946:$A$3073, 0))</f>
        <v>0</v>
      </c>
      <c r="CZ81" s="174">
        <f>INDEX('STOPE SUMMARY PIVOT'!$E$2946:$E$3073, MATCH(CY$1,'STOPE SUMMARY PIVOT'!$A$2946:$A$3073, 0))</f>
        <v>0</v>
      </c>
      <c r="DA81" s="165">
        <f>INDEX('STOPE SUMMARY PIVOT'!$D$2946:$D$3073, MATCH(DA$1,'STOPE SUMMARY PIVOT'!$A$2946:$A$3073, 0))</f>
        <v>0</v>
      </c>
      <c r="DB81" s="174">
        <f>INDEX('STOPE SUMMARY PIVOT'!$E$2946:$E$3073, MATCH(DA$1,'STOPE SUMMARY PIVOT'!$A$2946:$A$3073, 0))</f>
        <v>0</v>
      </c>
      <c r="DC81" s="165">
        <f>INDEX('STOPE SUMMARY PIVOT'!$D$2946:$D$3073, MATCH(DC$1,'STOPE SUMMARY PIVOT'!$A$2946:$A$3073, 0))</f>
        <v>0</v>
      </c>
      <c r="DD81" s="174">
        <f>INDEX('STOPE SUMMARY PIVOT'!$E$2946:$E$3073, MATCH(DC$1,'STOPE SUMMARY PIVOT'!$A$2946:$A$3073, 0))</f>
        <v>0</v>
      </c>
      <c r="DE81" s="165">
        <f>INDEX('STOPE SUMMARY PIVOT'!$D$2946:$D$3073, MATCH(DE$1,'STOPE SUMMARY PIVOT'!$A$2946:$A$3073, 0))</f>
        <v>0</v>
      </c>
      <c r="DF81" s="174">
        <f>INDEX('STOPE SUMMARY PIVOT'!$E$2946:$E$3073, MATCH(DE$1,'STOPE SUMMARY PIVOT'!$A$2946:$A$3073, 0))</f>
        <v>0</v>
      </c>
      <c r="DG81" s="165">
        <f>INDEX('STOPE SUMMARY PIVOT'!$D$2946:$D$3073, MATCH(DG$1,'STOPE SUMMARY PIVOT'!$A$2946:$A$3073, 0))</f>
        <v>0</v>
      </c>
      <c r="DH81" s="174">
        <f>INDEX('STOPE SUMMARY PIVOT'!$E$2946:$E$3073, MATCH(DG$1,'STOPE SUMMARY PIVOT'!$A$2946:$A$3073, 0))</f>
        <v>0</v>
      </c>
      <c r="DI81" s="165">
        <f>INDEX('STOPE SUMMARY PIVOT'!$D$2946:$D$3073, MATCH(DI$1,'STOPE SUMMARY PIVOT'!$A$2946:$A$3073, 0))</f>
        <v>0</v>
      </c>
      <c r="DJ81" s="174">
        <f>INDEX('STOPE SUMMARY PIVOT'!$E$2946:$E$3073, MATCH(DI$1,'STOPE SUMMARY PIVOT'!$A$2946:$A$3073, 0))</f>
        <v>0</v>
      </c>
      <c r="DK81" s="165">
        <f>INDEX('STOPE SUMMARY PIVOT'!$D$2946:$D$3073, MATCH(DK$1,'STOPE SUMMARY PIVOT'!$A$2946:$A$3073, 0))</f>
        <v>0</v>
      </c>
      <c r="DL81" s="174">
        <f>INDEX('STOPE SUMMARY PIVOT'!$E$2946:$E$3073, MATCH(DK$1,'STOPE SUMMARY PIVOT'!$A$2946:$A$3073, 0))</f>
        <v>0</v>
      </c>
      <c r="DM81" s="165">
        <f>INDEX('STOPE SUMMARY PIVOT'!$D$2946:$D$3073, MATCH(DM$1,'STOPE SUMMARY PIVOT'!$A$2946:$A$3073, 0))</f>
        <v>0</v>
      </c>
      <c r="DN81" s="174">
        <f>INDEX('STOPE SUMMARY PIVOT'!$E$2946:$E$3073, MATCH(DM$1,'STOPE SUMMARY PIVOT'!$A$2946:$A$3073, 0))</f>
        <v>0</v>
      </c>
      <c r="DO81" s="165">
        <f>INDEX('STOPE SUMMARY PIVOT'!$D$2946:$D$3073, MATCH(DO$1,'STOPE SUMMARY PIVOT'!$A$2946:$A$3073, 0))</f>
        <v>0</v>
      </c>
      <c r="DP81" s="174">
        <f>INDEX('STOPE SUMMARY PIVOT'!$E$2946:$E$3073, MATCH(DO$1,'STOPE SUMMARY PIVOT'!$A$2946:$A$3073, 0))</f>
        <v>0</v>
      </c>
      <c r="DQ81" s="165">
        <f>INDEX('STOPE SUMMARY PIVOT'!$D$2946:$D$3073, MATCH(DQ$1,'STOPE SUMMARY PIVOT'!$A$2946:$A$3073, 0))</f>
        <v>0</v>
      </c>
      <c r="DR81" s="174">
        <f>INDEX('STOPE SUMMARY PIVOT'!$E$2946:$E$3073, MATCH(DQ$1,'STOPE SUMMARY PIVOT'!$A$2946:$A$3073, 0))</f>
        <v>0</v>
      </c>
      <c r="DS81" s="165">
        <f>INDEX('STOPE SUMMARY PIVOT'!$D$2946:$D$3073, MATCH(DS$1,'STOPE SUMMARY PIVOT'!$A$2946:$A$3073, 0))</f>
        <v>0</v>
      </c>
      <c r="DT81" s="174">
        <f>INDEX('STOPE SUMMARY PIVOT'!$E$2946:$E$3073, MATCH(DS$1,'STOPE SUMMARY PIVOT'!$A$2946:$A$3073, 0))</f>
        <v>0</v>
      </c>
      <c r="DU81" s="165">
        <f>INDEX('STOPE SUMMARY PIVOT'!$D$2946:$D$3073, MATCH(DU$1,'STOPE SUMMARY PIVOT'!$A$2946:$A$3073, 0))</f>
        <v>0</v>
      </c>
      <c r="DV81" s="174">
        <f>INDEX('STOPE SUMMARY PIVOT'!$E$2946:$E$3073, MATCH(DU$1,'STOPE SUMMARY PIVOT'!$A$2946:$A$3073, 0))</f>
        <v>0</v>
      </c>
      <c r="DW81" s="165">
        <f>INDEX('STOPE SUMMARY PIVOT'!$D$2946:$D$3073, MATCH(DW$1,'STOPE SUMMARY PIVOT'!$A$2946:$A$3073, 0))</f>
        <v>0</v>
      </c>
      <c r="DX81" s="174">
        <f>INDEX('STOPE SUMMARY PIVOT'!$E$2946:$E$3073, MATCH(DW$1,'STOPE SUMMARY PIVOT'!$A$2946:$A$3073, 0))</f>
        <v>0</v>
      </c>
      <c r="DY81" s="165">
        <f>INDEX('STOPE SUMMARY PIVOT'!$D$2946:$D$3073, MATCH(DY$1,'STOPE SUMMARY PIVOT'!$A$2946:$A$3073, 0))</f>
        <v>0</v>
      </c>
      <c r="DZ81" s="174">
        <f>INDEX('STOPE SUMMARY PIVOT'!$E$2946:$E$3073, MATCH(DY$1,'STOPE SUMMARY PIVOT'!$A$2946:$A$3073, 0))</f>
        <v>0</v>
      </c>
      <c r="EA81" s="165">
        <f>INDEX('STOPE SUMMARY PIVOT'!$D$2946:$D$3073, MATCH(EA$1,'STOPE SUMMARY PIVOT'!$A$2946:$A$3073, 0))</f>
        <v>0</v>
      </c>
      <c r="EB81" s="174">
        <f>INDEX('STOPE SUMMARY PIVOT'!$E$2946:$E$3073, MATCH(EA$1,'STOPE SUMMARY PIVOT'!$A$2946:$A$3073, 0))</f>
        <v>0</v>
      </c>
      <c r="EC81" s="165">
        <f>INDEX('STOPE SUMMARY PIVOT'!$D$2946:$D$3073, MATCH(EC$1,'STOPE SUMMARY PIVOT'!$A$2946:$A$3073, 0))</f>
        <v>1798</v>
      </c>
      <c r="ED81" s="174">
        <f>INDEX('STOPE SUMMARY PIVOT'!$E$2946:$E$3073, MATCH(EC$1,'STOPE SUMMARY PIVOT'!$A$2946:$A$3073, 0))</f>
        <v>1.6</v>
      </c>
      <c r="EE81" s="165">
        <f>INDEX('STOPE SUMMARY PIVOT'!$D$2946:$D$3073, MATCH(EE$1,'STOPE SUMMARY PIVOT'!$A$2946:$A$3073, 0))</f>
        <v>0</v>
      </c>
      <c r="EF81" s="174">
        <f>INDEX('STOPE SUMMARY PIVOT'!$E$2946:$E$3073, MATCH(EE$1,'STOPE SUMMARY PIVOT'!$A$2946:$A$3073, 0))</f>
        <v>0</v>
      </c>
      <c r="EG81" s="165">
        <f>INDEX('STOPE SUMMARY PIVOT'!$D$2946:$D$3073, MATCH(EG$1,'STOPE SUMMARY PIVOT'!$A$2946:$A$3073, 0))</f>
        <v>0</v>
      </c>
      <c r="EH81" s="174">
        <f>INDEX('STOPE SUMMARY PIVOT'!$E$2946:$E$3073, MATCH(EG$1,'STOPE SUMMARY PIVOT'!$A$2946:$A$3073, 0))</f>
        <v>0</v>
      </c>
      <c r="EI81" s="165">
        <f>INDEX('STOPE SUMMARY PIVOT'!$D$2946:$D$3073, MATCH(EI$1,'STOPE SUMMARY PIVOT'!$A$2946:$A$3073, 0))</f>
        <v>0</v>
      </c>
      <c r="EJ81" s="174">
        <f>INDEX('STOPE SUMMARY PIVOT'!$E$2946:$E$3073, MATCH(EI$1,'STOPE SUMMARY PIVOT'!$A$2946:$A$3073, 0))</f>
        <v>0</v>
      </c>
      <c r="EK81" s="165">
        <f>INDEX('STOPE SUMMARY PIVOT'!$D$2946:$D$3073, MATCH(EK$1,'STOPE SUMMARY PIVOT'!$A$2946:$A$3073, 0))</f>
        <v>0</v>
      </c>
      <c r="EL81" s="174">
        <f>INDEX('STOPE SUMMARY PIVOT'!$E$2946:$E$3073, MATCH(EK$1,'STOPE SUMMARY PIVOT'!$A$2946:$A$3073, 0))</f>
        <v>0</v>
      </c>
      <c r="EM81" s="165">
        <f>INDEX('STOPE SUMMARY PIVOT'!$D$2946:$D$3073, MATCH(EM$1,'STOPE SUMMARY PIVOT'!$A$2946:$A$3073, 0))</f>
        <v>0</v>
      </c>
      <c r="EN81" s="174">
        <f>INDEX('STOPE SUMMARY PIVOT'!$E$2946:$E$3073, MATCH(EM$1,'STOPE SUMMARY PIVOT'!$A$2946:$A$3073, 0))</f>
        <v>0</v>
      </c>
      <c r="EO81" s="165">
        <f>INDEX('STOPE SUMMARY PIVOT'!$D$2946:$D$3073, MATCH(EO$1,'STOPE SUMMARY PIVOT'!$A$2946:$A$3073, 0))</f>
        <v>2696</v>
      </c>
      <c r="EP81" s="174">
        <f>INDEX('STOPE SUMMARY PIVOT'!$E$2946:$E$3073, MATCH(EO$1,'STOPE SUMMARY PIVOT'!$A$2946:$A$3073, 0))</f>
        <v>2.83</v>
      </c>
      <c r="EQ81" s="165">
        <f>INDEX('STOPE SUMMARY PIVOT'!$D$2946:$D$3073, MATCH(EQ$1,'STOPE SUMMARY PIVOT'!$A$2946:$A$3073, 0))</f>
        <v>0</v>
      </c>
      <c r="ER81" s="174">
        <f>INDEX('STOPE SUMMARY PIVOT'!$E$2946:$E$3073, MATCH(EQ$1,'STOPE SUMMARY PIVOT'!$A$2946:$A$3073, 0))</f>
        <v>0</v>
      </c>
      <c r="ES81" s="165">
        <f>INDEX('STOPE SUMMARY PIVOT'!$D$2946:$D$3073, MATCH(ES$1,'STOPE SUMMARY PIVOT'!$A$2946:$A$3073, 0))</f>
        <v>0</v>
      </c>
      <c r="ET81" s="174">
        <f>INDEX('STOPE SUMMARY PIVOT'!$E$2946:$E$3073, MATCH(ES$1,'STOPE SUMMARY PIVOT'!$A$2946:$A$3073, 0))</f>
        <v>0</v>
      </c>
      <c r="EU81" s="165">
        <f>INDEX('STOPE SUMMARY PIVOT'!$D$2946:$D$3073, MATCH(EU$1,'STOPE SUMMARY PIVOT'!$A$2946:$A$3073, 0))</f>
        <v>2696</v>
      </c>
      <c r="EV81" s="174">
        <f>INDEX('STOPE SUMMARY PIVOT'!$E$2946:$E$3073, MATCH(EU$1,'STOPE SUMMARY PIVOT'!$A$2946:$A$3073, 0))</f>
        <v>2.31</v>
      </c>
      <c r="EW81" s="165">
        <f>INDEX('STOPE SUMMARY PIVOT'!$D$2946:$D$3073, MATCH(EW$1,'STOPE SUMMARY PIVOT'!$A$2946:$A$3073, 0))</f>
        <v>0</v>
      </c>
      <c r="EX81" s="174">
        <f>INDEX('STOPE SUMMARY PIVOT'!$E$2946:$E$3073, MATCH(EW$1,'STOPE SUMMARY PIVOT'!$A$2946:$A$3073, 0))</f>
        <v>0</v>
      </c>
      <c r="EY81" s="165">
        <f>INDEX('STOPE SUMMARY PIVOT'!$D$2946:$D$3073, MATCH(EY$1,'STOPE SUMMARY PIVOT'!$A$2946:$A$3073, 0))</f>
        <v>0</v>
      </c>
      <c r="EZ81" s="174">
        <f>INDEX('STOPE SUMMARY PIVOT'!$E$2946:$E$3073, MATCH(EY$1,'STOPE SUMMARY PIVOT'!$A$2946:$A$3073, 0))</f>
        <v>0</v>
      </c>
      <c r="FA81" s="165">
        <f>INDEX('STOPE SUMMARY PIVOT'!$D$2946:$D$3073, MATCH(FA$1,'STOPE SUMMARY PIVOT'!$A$2946:$A$3073, 0))</f>
        <v>0</v>
      </c>
      <c r="FB81" s="174">
        <f>INDEX('STOPE SUMMARY PIVOT'!$E$2946:$E$3073, MATCH(FA$1,'STOPE SUMMARY PIVOT'!$A$2946:$A$3073, 0))</f>
        <v>0</v>
      </c>
      <c r="FC81" s="165">
        <f>INDEX('STOPE SUMMARY PIVOT'!$D$2946:$D$3073, MATCH(FC$1,'STOPE SUMMARY PIVOT'!$A$2946:$A$3073, 0))</f>
        <v>0</v>
      </c>
      <c r="FD81" s="174">
        <f>INDEX('STOPE SUMMARY PIVOT'!$E$2946:$E$3073, MATCH(FC$1,'STOPE SUMMARY PIVOT'!$A$2946:$A$3073, 0))</f>
        <v>0</v>
      </c>
      <c r="FE81" s="165">
        <f>INDEX('STOPE SUMMARY PIVOT'!$D$2946:$D$3073, MATCH(FE$1,'STOPE SUMMARY PIVOT'!$A$2946:$A$3073, 0))</f>
        <v>0</v>
      </c>
      <c r="FF81" s="174">
        <f>INDEX('STOPE SUMMARY PIVOT'!$E$2946:$E$3073, MATCH(FE$1,'STOPE SUMMARY PIVOT'!$A$2946:$A$3073, 0))</f>
        <v>0</v>
      </c>
      <c r="FG81" s="165">
        <f>INDEX('STOPE SUMMARY PIVOT'!$D$2946:$D$3073, MATCH(FG$1,'STOPE SUMMARY PIVOT'!$A$2946:$A$3073, 0))</f>
        <v>0</v>
      </c>
      <c r="FH81" s="174">
        <f>INDEX('STOPE SUMMARY PIVOT'!$E$2946:$E$3073, MATCH(FG$1,'STOPE SUMMARY PIVOT'!$A$2946:$A$3073, 0))</f>
        <v>0</v>
      </c>
      <c r="FI81" s="165">
        <f>INDEX('STOPE SUMMARY PIVOT'!$D$2946:$D$3073, MATCH(FI$1,'STOPE SUMMARY PIVOT'!$A$2946:$A$3073, 0))</f>
        <v>0</v>
      </c>
      <c r="FJ81" s="174">
        <f>INDEX('STOPE SUMMARY PIVOT'!$E$2946:$E$3073, MATCH(FI$1,'STOPE SUMMARY PIVOT'!$A$2946:$A$3073, 0))</f>
        <v>0</v>
      </c>
      <c r="FK81" s="165">
        <f>INDEX('STOPE SUMMARY PIVOT'!$D$2946:$D$3073, MATCH(FK$1,'STOPE SUMMARY PIVOT'!$A$2946:$A$3073, 0))</f>
        <v>0</v>
      </c>
      <c r="FL81" s="174">
        <f>INDEX('STOPE SUMMARY PIVOT'!$E$2946:$E$3073, MATCH(FK$1,'STOPE SUMMARY PIVOT'!$A$2946:$A$3073, 0))</f>
        <v>0</v>
      </c>
      <c r="FM81" s="165">
        <f>INDEX('STOPE SUMMARY PIVOT'!$D$2946:$D$3073, MATCH(FM$1,'STOPE SUMMARY PIVOT'!$A$2946:$A$3073, 0))</f>
        <v>0</v>
      </c>
      <c r="FN81" s="174">
        <f>INDEX('STOPE SUMMARY PIVOT'!$E$2946:$E$3073, MATCH(FM$1,'STOPE SUMMARY PIVOT'!$A$2946:$A$3073, 0))</f>
        <v>0</v>
      </c>
      <c r="FO81" s="165">
        <f>INDEX('STOPE SUMMARY PIVOT'!$D$2946:$D$3073, MATCH(FO$1,'STOPE SUMMARY PIVOT'!$A$2946:$A$3073, 0))</f>
        <v>0</v>
      </c>
      <c r="FP81" s="174">
        <f>INDEX('STOPE SUMMARY PIVOT'!$E$2946:$E$3073, MATCH(FO$1,'STOPE SUMMARY PIVOT'!$A$2946:$A$3073, 0))</f>
        <v>0</v>
      </c>
      <c r="FQ81" s="165">
        <f>INDEX('STOPE SUMMARY PIVOT'!$D$2946:$D$3073, MATCH(FQ$1,'STOPE SUMMARY PIVOT'!$A$2946:$A$3073, 0))</f>
        <v>0</v>
      </c>
      <c r="FR81" s="174">
        <f>INDEX('STOPE SUMMARY PIVOT'!$E$2946:$E$3073, MATCH(FQ$1,'STOPE SUMMARY PIVOT'!$A$2946:$A$3073, 0))</f>
        <v>0</v>
      </c>
      <c r="FS81" s="165">
        <f>INDEX('STOPE SUMMARY PIVOT'!$D$2946:$D$3073, MATCH(FS$1,'STOPE SUMMARY PIVOT'!$A$2946:$A$3073, 0))</f>
        <v>0</v>
      </c>
      <c r="FT81" s="174">
        <f>INDEX('STOPE SUMMARY PIVOT'!$E$2946:$E$3073, MATCH(FS$1,'STOPE SUMMARY PIVOT'!$A$2946:$A$3073, 0))</f>
        <v>0</v>
      </c>
      <c r="FU81" s="165">
        <f>INDEX('STOPE SUMMARY PIVOT'!$D$2946:$D$3073, MATCH(FU$1,'STOPE SUMMARY PIVOT'!$A$2946:$A$3073, 0))</f>
        <v>0</v>
      </c>
      <c r="FV81" s="174">
        <f>INDEX('STOPE SUMMARY PIVOT'!$E$2946:$E$3073, MATCH(FU$1,'STOPE SUMMARY PIVOT'!$A$2946:$A$3073, 0))</f>
        <v>0</v>
      </c>
      <c r="FW81" s="165">
        <f>INDEX('STOPE SUMMARY PIVOT'!$D$2946:$D$3073, MATCH(FW$1,'STOPE SUMMARY PIVOT'!$A$2946:$A$3073, 0))</f>
        <v>0</v>
      </c>
      <c r="FX81" s="174">
        <f>INDEX('STOPE SUMMARY PIVOT'!$E$2946:$E$3073, MATCH(FW$1,'STOPE SUMMARY PIVOT'!$A$2946:$A$3073, 0))</f>
        <v>0</v>
      </c>
      <c r="FY81" s="165">
        <f>INDEX('STOPE SUMMARY PIVOT'!$D$2946:$D$3073, MATCH(FY$1,'STOPE SUMMARY PIVOT'!$A$2946:$A$3073, 0))</f>
        <v>0</v>
      </c>
      <c r="FZ81" s="174">
        <f>INDEX('STOPE SUMMARY PIVOT'!$E$2946:$E$3073, MATCH(FY$1,'STOPE SUMMARY PIVOT'!$A$2946:$A$3073, 0))</f>
        <v>0</v>
      </c>
      <c r="GA81" s="165">
        <f>INDEX('STOPE SUMMARY PIVOT'!$D$2946:$D$3073, MATCH(GA$1,'STOPE SUMMARY PIVOT'!$A$2946:$A$3073, 0))</f>
        <v>2696</v>
      </c>
      <c r="GB81" s="174">
        <f>INDEX('STOPE SUMMARY PIVOT'!$E$2946:$E$3073, MATCH(GA$1,'STOPE SUMMARY PIVOT'!$A$2946:$A$3073, 0))</f>
        <v>2.17</v>
      </c>
      <c r="GC81" s="165">
        <f>INDEX('STOPE SUMMARY PIVOT'!$D$2946:$D$3073, MATCH(GC$1,'STOPE SUMMARY PIVOT'!$A$2946:$A$3073, 0))</f>
        <v>0</v>
      </c>
      <c r="GD81" s="174">
        <f>INDEX('STOPE SUMMARY PIVOT'!$E$2946:$E$3073, MATCH(GC$1,'STOPE SUMMARY PIVOT'!$A$2946:$A$3073, 0))</f>
        <v>0</v>
      </c>
      <c r="GE81" s="165">
        <f>INDEX('STOPE SUMMARY PIVOT'!$D$2946:$D$3073, MATCH(GE$1,'STOPE SUMMARY PIVOT'!$A$2946:$A$3073, 0))</f>
        <v>0</v>
      </c>
      <c r="GF81" s="174">
        <f>INDEX('STOPE SUMMARY PIVOT'!$E$2946:$E$3073, MATCH(GE$1,'STOPE SUMMARY PIVOT'!$A$2946:$A$3073, 0))</f>
        <v>0</v>
      </c>
      <c r="GG81" s="165">
        <f>INDEX('STOPE SUMMARY PIVOT'!$D$2946:$D$3073, MATCH(GG$1,'STOPE SUMMARY PIVOT'!$A$2946:$A$3073, 0))</f>
        <v>1798</v>
      </c>
      <c r="GH81" s="174">
        <f>INDEX('STOPE SUMMARY PIVOT'!$E$2946:$E$3073, MATCH(GG$1,'STOPE SUMMARY PIVOT'!$A$2946:$A$3073, 0))</f>
        <v>2.4500000000000002</v>
      </c>
      <c r="GI81" s="165">
        <f>INDEX('STOPE SUMMARY PIVOT'!$D$2946:$D$3073, MATCH(GI$1,'STOPE SUMMARY PIVOT'!$A$2946:$A$3073, 0))</f>
        <v>0</v>
      </c>
      <c r="GJ81" s="174">
        <f>INDEX('STOPE SUMMARY PIVOT'!$E$2946:$E$3073, MATCH(GI$1,'STOPE SUMMARY PIVOT'!$A$2946:$A$3073, 0))</f>
        <v>0</v>
      </c>
      <c r="GK81" s="165">
        <f>INDEX('STOPE SUMMARY PIVOT'!$D$2946:$D$3073, MATCH(GK$1,'STOPE SUMMARY PIVOT'!$A$2946:$A$3073, 0))</f>
        <v>0</v>
      </c>
      <c r="GL81" s="174">
        <f>INDEX('STOPE SUMMARY PIVOT'!$E$2946:$E$3073, MATCH(GK$1,'STOPE SUMMARY PIVOT'!$A$2946:$A$3073, 0))</f>
        <v>0</v>
      </c>
      <c r="GM81" s="165">
        <f>INDEX('STOPE SUMMARY PIVOT'!$D$2946:$D$3073, MATCH(GM$1,'STOPE SUMMARY PIVOT'!$A$2946:$A$3073, 0))</f>
        <v>0</v>
      </c>
      <c r="GN81" s="174">
        <f>INDEX('STOPE SUMMARY PIVOT'!$E$2946:$E$3073, MATCH(GM$1,'STOPE SUMMARY PIVOT'!$A$2946:$A$3073, 0))</f>
        <v>0</v>
      </c>
      <c r="GO81" s="165">
        <f>INDEX('STOPE SUMMARY PIVOT'!$D$2946:$D$3073, MATCH(GO$1,'STOPE SUMMARY PIVOT'!$A$2946:$A$3073, 0))</f>
        <v>0</v>
      </c>
      <c r="GP81" s="174">
        <f>INDEX('STOPE SUMMARY PIVOT'!$E$2946:$E$3073, MATCH(GO$1,'STOPE SUMMARY PIVOT'!$A$2946:$A$3073, 0))</f>
        <v>0</v>
      </c>
      <c r="GQ81" s="165">
        <f>INDEX('STOPE SUMMARY PIVOT'!$D$2946:$D$3073, MATCH(GQ$1,'STOPE SUMMARY PIVOT'!$A$2946:$A$3073, 0))</f>
        <v>0</v>
      </c>
      <c r="GR81" s="174">
        <f>INDEX('STOPE SUMMARY PIVOT'!$E$2946:$E$3073, MATCH(GQ$1,'STOPE SUMMARY PIVOT'!$A$2946:$A$3073, 0))</f>
        <v>0</v>
      </c>
      <c r="GS81" s="165">
        <f>INDEX('STOPE SUMMARY PIVOT'!$D$2946:$D$3073, MATCH(GS$1,'STOPE SUMMARY PIVOT'!$A$2946:$A$3073, 0))</f>
        <v>0</v>
      </c>
      <c r="GT81" s="174">
        <f>INDEX('STOPE SUMMARY PIVOT'!$E$2946:$E$3073, MATCH(GS$1,'STOPE SUMMARY PIVOT'!$A$2946:$A$3073, 0))</f>
        <v>0</v>
      </c>
      <c r="GU81" s="165">
        <f>INDEX('STOPE SUMMARY PIVOT'!$D$2946:$D$3073, MATCH(GU$1,'STOPE SUMMARY PIVOT'!$A$2946:$A$3073, 0))</f>
        <v>0</v>
      </c>
      <c r="GV81" s="174">
        <f>INDEX('STOPE SUMMARY PIVOT'!$E$2946:$E$3073, MATCH(GU$1,'STOPE SUMMARY PIVOT'!$A$2946:$A$3073, 0))</f>
        <v>0</v>
      </c>
      <c r="GW81" s="165">
        <f>INDEX('STOPE SUMMARY PIVOT'!$D$2946:$D$3073, MATCH(GW$1,'STOPE SUMMARY PIVOT'!$A$2946:$A$3073, 0))</f>
        <v>0</v>
      </c>
      <c r="GX81" s="174">
        <f>INDEX('STOPE SUMMARY PIVOT'!$E$2946:$E$3073, MATCH(GW$1,'STOPE SUMMARY PIVOT'!$A$2946:$A$3073, 0))</f>
        <v>0</v>
      </c>
      <c r="GY81" s="165">
        <f>INDEX('STOPE SUMMARY PIVOT'!$D$2946:$D$3073, MATCH(GY$1,'STOPE SUMMARY PIVOT'!$A$2946:$A$3073, 0))</f>
        <v>1798</v>
      </c>
      <c r="GZ81" s="174">
        <f>INDEX('STOPE SUMMARY PIVOT'!$E$2946:$E$3073, MATCH(GY$1,'STOPE SUMMARY PIVOT'!$A$2946:$A$3073, 0))</f>
        <v>2.88</v>
      </c>
      <c r="HA81" s="165">
        <f>INDEX('STOPE SUMMARY PIVOT'!$D$2946:$D$3073, MATCH(HA$1,'STOPE SUMMARY PIVOT'!$A$2946:$A$3073, 0))</f>
        <v>1098</v>
      </c>
      <c r="HB81" s="174">
        <f>INDEX('STOPE SUMMARY PIVOT'!$E$2946:$E$3073, MATCH(HA$1,'STOPE SUMMARY PIVOT'!$A$2946:$A$3073, 0))</f>
        <v>3.61</v>
      </c>
      <c r="HC81" s="165">
        <f>INDEX('STOPE SUMMARY PIVOT'!$D$2946:$D$3073, MATCH(HC$1,'STOPE SUMMARY PIVOT'!$A$2946:$A$3073, 0))</f>
        <v>1798</v>
      </c>
      <c r="HD81" s="174">
        <f>INDEX('STOPE SUMMARY PIVOT'!$E$2946:$E$3073, MATCH(HC$1,'STOPE SUMMARY PIVOT'!$A$2946:$A$3073, 0))</f>
        <v>2.87</v>
      </c>
      <c r="HE81" s="165">
        <f>INDEX('STOPE SUMMARY PIVOT'!$D$2946:$D$3073, MATCH(HE$1,'STOPE SUMMARY PIVOT'!$A$2946:$A$3073, 0))</f>
        <v>2696</v>
      </c>
      <c r="HF81" s="174">
        <f>INDEX('STOPE SUMMARY PIVOT'!$E$2946:$E$3073, MATCH(HE$1,'STOPE SUMMARY PIVOT'!$A$2946:$A$3073, 0))</f>
        <v>2.4300000000000002</v>
      </c>
      <c r="HG81" s="165">
        <f>INDEX('STOPE SUMMARY PIVOT'!$D$2946:$D$3073, MATCH(HG$1,'STOPE SUMMARY PIVOT'!$A$2946:$A$3073, 0))</f>
        <v>0</v>
      </c>
      <c r="HH81" s="174">
        <f>INDEX('STOPE SUMMARY PIVOT'!$E$2946:$E$3073, MATCH(HG$1,'STOPE SUMMARY PIVOT'!$A$2946:$A$3073, 0))</f>
        <v>0</v>
      </c>
      <c r="HI81" s="165">
        <f>INDEX('STOPE SUMMARY PIVOT'!$D$2946:$D$3073, MATCH(HI$1,'STOPE SUMMARY PIVOT'!$A$2946:$A$3073, 0))</f>
        <v>0</v>
      </c>
      <c r="HJ81" s="174">
        <f>INDEX('STOPE SUMMARY PIVOT'!$E$2946:$E$3073, MATCH(HI$1,'STOPE SUMMARY PIVOT'!$A$2946:$A$3073, 0))</f>
        <v>0</v>
      </c>
      <c r="HK81" s="165">
        <f>INDEX('STOPE SUMMARY PIVOT'!$D$2946:$D$3073, MATCH(HK$1,'STOPE SUMMARY PIVOT'!$A$2946:$A$3073, 0))</f>
        <v>0</v>
      </c>
      <c r="HL81" s="174">
        <f>INDEX('STOPE SUMMARY PIVOT'!$E$2946:$E$3073, MATCH(HK$1,'STOPE SUMMARY PIVOT'!$A$2946:$A$3073, 0))</f>
        <v>0</v>
      </c>
      <c r="HM81" s="165">
        <f>INDEX('STOPE SUMMARY PIVOT'!$D$2946:$D$3073, MATCH(HM$1,'STOPE SUMMARY PIVOT'!$A$2946:$A$3073, 0))</f>
        <v>0</v>
      </c>
      <c r="HN81" s="174">
        <f>INDEX('STOPE SUMMARY PIVOT'!$E$2946:$E$3073, MATCH(HM$1,'STOPE SUMMARY PIVOT'!$A$2946:$A$3073, 0))</f>
        <v>0</v>
      </c>
      <c r="HO81" s="165">
        <f>INDEX('STOPE SUMMARY PIVOT'!$D$2946:$D$3073, MATCH(HO$1,'STOPE SUMMARY PIVOT'!$A$2946:$A$3073, 0))</f>
        <v>4494</v>
      </c>
      <c r="HP81" s="174">
        <f>INDEX('STOPE SUMMARY PIVOT'!$E$2946:$E$3073, MATCH(HO$1,'STOPE SUMMARY PIVOT'!$A$2946:$A$3073, 0))</f>
        <v>2.1800000000000002</v>
      </c>
      <c r="HQ81" s="165">
        <f>INDEX('STOPE SUMMARY PIVOT'!$D$2946:$D$3073, MATCH(HQ$1,'STOPE SUMMARY PIVOT'!$A$2946:$A$3073, 0))</f>
        <v>0</v>
      </c>
      <c r="HR81" s="174">
        <f>INDEX('STOPE SUMMARY PIVOT'!$E$2946:$E$3073, MATCH(HQ$1,'STOPE SUMMARY PIVOT'!$A$2946:$A$3073, 0))</f>
        <v>0</v>
      </c>
      <c r="HS81" s="165">
        <f>INDEX('STOPE SUMMARY PIVOT'!$D$2946:$D$3073, MATCH(HS$1,'STOPE SUMMARY PIVOT'!$A$2946:$A$3073, 0))</f>
        <v>0</v>
      </c>
      <c r="HT81" s="174">
        <f>INDEX('STOPE SUMMARY PIVOT'!$E$2946:$E$3073, MATCH(HS$1,'STOPE SUMMARY PIVOT'!$A$2946:$A$3073, 0))</f>
        <v>0</v>
      </c>
      <c r="HU81" s="165">
        <f>INDEX('STOPE SUMMARY PIVOT'!$D$2946:$D$3073, MATCH(HU$1,'STOPE SUMMARY PIVOT'!$A$2946:$A$3073, 0))</f>
        <v>0</v>
      </c>
      <c r="HV81" s="174">
        <f>INDEX('STOPE SUMMARY PIVOT'!$E$2946:$E$3073, MATCH(HU$1,'STOPE SUMMARY PIVOT'!$A$2946:$A$3073, 0))</f>
        <v>0</v>
      </c>
      <c r="HW81" s="165">
        <f>INDEX('STOPE SUMMARY PIVOT'!$D$2946:$D$3073, MATCH(HW$1,'STOPE SUMMARY PIVOT'!$A$2946:$A$3073, 0))</f>
        <v>0</v>
      </c>
      <c r="HX81" s="174">
        <f>INDEX('STOPE SUMMARY PIVOT'!$E$2946:$E$3073, MATCH(HW$1,'STOPE SUMMARY PIVOT'!$A$2946:$A$3073, 0))</f>
        <v>0</v>
      </c>
      <c r="HY81" s="165">
        <f>INDEX('STOPE SUMMARY PIVOT'!$D$2946:$D$3073, MATCH(HY$1,'STOPE SUMMARY PIVOT'!$A$2946:$A$3073, 0))</f>
        <v>0</v>
      </c>
      <c r="HZ81" s="174">
        <f>INDEX('STOPE SUMMARY PIVOT'!$E$2946:$E$3073, MATCH(HY$1,'STOPE SUMMARY PIVOT'!$A$2946:$A$3073, 0))</f>
        <v>0</v>
      </c>
      <c r="IA81" s="165">
        <f>INDEX('STOPE SUMMARY PIVOT'!$D$2946:$D$3073, MATCH(IA$1,'STOPE SUMMARY PIVOT'!$A$2946:$A$3073, 0))</f>
        <v>1002</v>
      </c>
      <c r="IB81" s="174">
        <f>INDEX('STOPE SUMMARY PIVOT'!$E$2946:$E$3073, MATCH(IA$1,'STOPE SUMMARY PIVOT'!$A$2946:$A$3073, 0))</f>
        <v>2.23</v>
      </c>
      <c r="IC81" s="165">
        <f>INDEX('STOPE SUMMARY PIVOT'!$D$2946:$D$3073, MATCH(IC$1,'STOPE SUMMARY PIVOT'!$A$2946:$A$3073, 0))</f>
        <v>0</v>
      </c>
      <c r="ID81" s="174">
        <f>INDEX('STOPE SUMMARY PIVOT'!$E$2946:$E$3073, MATCH(IC$1,'STOPE SUMMARY PIVOT'!$A$2946:$A$3073, 0))</f>
        <v>0</v>
      </c>
      <c r="IE81" s="165">
        <f>INDEX('STOPE SUMMARY PIVOT'!$D$2946:$D$3073, MATCH(IE$1,'STOPE SUMMARY PIVOT'!$A$2946:$A$3073, 0))</f>
        <v>0</v>
      </c>
      <c r="IF81" s="174">
        <f>INDEX('STOPE SUMMARY PIVOT'!$E$2946:$E$3073, MATCH(IE$1,'STOPE SUMMARY PIVOT'!$A$2946:$A$3073, 0))</f>
        <v>0</v>
      </c>
      <c r="IG81" s="165">
        <f>INDEX('STOPE SUMMARY PIVOT'!$D$2946:$D$3073, MATCH(IG$1,'STOPE SUMMARY PIVOT'!$A$2946:$A$3073, 0))</f>
        <v>0</v>
      </c>
      <c r="IH81" s="174">
        <f>INDEX('STOPE SUMMARY PIVOT'!$E$2946:$E$3073, MATCH(IG$1,'STOPE SUMMARY PIVOT'!$A$2946:$A$3073, 0))</f>
        <v>0</v>
      </c>
      <c r="II81" s="165">
        <f>INDEX('STOPE SUMMARY PIVOT'!$D$2946:$D$3073, MATCH(II$1,'STOPE SUMMARY PIVOT'!$A$2946:$A$3073, 0))</f>
        <v>0</v>
      </c>
      <c r="IJ81" s="174">
        <f>INDEX('STOPE SUMMARY PIVOT'!$E$2946:$E$3073, MATCH(II$1,'STOPE SUMMARY PIVOT'!$A$2946:$A$3073, 0))</f>
        <v>0</v>
      </c>
      <c r="IK81" s="165">
        <f>INDEX('STOPE SUMMARY PIVOT'!$D$2946:$D$3073, MATCH(IK$1,'STOPE SUMMARY PIVOT'!$A$2946:$A$3073, 0))</f>
        <v>0</v>
      </c>
      <c r="IL81" s="174">
        <f>INDEX('STOPE SUMMARY PIVOT'!$E$2946:$E$3073, MATCH(IK$1,'STOPE SUMMARY PIVOT'!$A$2946:$A$3073, 0))</f>
        <v>0</v>
      </c>
      <c r="IM81" s="165">
        <f>INDEX('STOPE SUMMARY PIVOT'!$D$2946:$D$3073, MATCH(IM$1,'STOPE SUMMARY PIVOT'!$A$2946:$A$3073, 0))</f>
        <v>0</v>
      </c>
      <c r="IN81" s="174">
        <f>INDEX('STOPE SUMMARY PIVOT'!$E$2946:$E$3073, MATCH(IM$1,'STOPE SUMMARY PIVOT'!$A$2946:$A$3073, 0))</f>
        <v>0</v>
      </c>
      <c r="IO81" s="165">
        <f>INDEX('STOPE SUMMARY PIVOT'!$D$2946:$D$3073, MATCH(IO$1,'STOPE SUMMARY PIVOT'!$A$2946:$A$3073, 0))</f>
        <v>0</v>
      </c>
      <c r="IP81" s="174">
        <f>INDEX('STOPE SUMMARY PIVOT'!$E$2946:$E$3073, MATCH(IO$1,'STOPE SUMMARY PIVOT'!$A$2946:$A$3073, 0))</f>
        <v>0</v>
      </c>
      <c r="IQ81" s="165">
        <f>INDEX('STOPE SUMMARY PIVOT'!$D$2946:$D$3073, MATCH(IQ$1,'STOPE SUMMARY PIVOT'!$A$2946:$A$3073, 0))</f>
        <v>0</v>
      </c>
      <c r="IR81" s="174">
        <f>INDEX('STOPE SUMMARY PIVOT'!$E$2946:$E$3073, MATCH(IQ$1,'STOPE SUMMARY PIVOT'!$A$2946:$A$3073, 0))</f>
        <v>0</v>
      </c>
      <c r="IS81" s="165">
        <f>INDEX('STOPE SUMMARY PIVOT'!$D$2946:$D$3073, MATCH(IS$1,'STOPE SUMMARY PIVOT'!$A$2946:$A$3073, 0))</f>
        <v>0</v>
      </c>
      <c r="IT81" s="174">
        <f>INDEX('STOPE SUMMARY PIVOT'!$E$2946:$E$3073, MATCH(IS$1,'STOPE SUMMARY PIVOT'!$A$2946:$A$3073, 0))</f>
        <v>0</v>
      </c>
      <c r="IU81" s="165">
        <f>INDEX('STOPE SUMMARY PIVOT'!$D$2946:$D$3073, MATCH(IU$1,'STOPE SUMMARY PIVOT'!$A$2946:$A$3073, 0))</f>
        <v>0</v>
      </c>
      <c r="IV81" s="174">
        <f>INDEX('STOPE SUMMARY PIVOT'!$E$2946:$E$3073, MATCH(IU$1,'STOPE SUMMARY PIVOT'!$A$2946:$A$3073, 0))</f>
        <v>0</v>
      </c>
      <c r="IW81" s="165">
        <f>INDEX('STOPE SUMMARY PIVOT'!$D$2946:$D$3073, MATCH(IW$1,'STOPE SUMMARY PIVOT'!$A$2946:$A$3073, 0))</f>
        <v>0</v>
      </c>
      <c r="IX81" s="174">
        <f>INDEX('STOPE SUMMARY PIVOT'!$E$2946:$E$3073, MATCH(IW$1,'STOPE SUMMARY PIVOT'!$A$2946:$A$3073, 0))</f>
        <v>0</v>
      </c>
      <c r="IY81" s="165">
        <f>INDEX('STOPE SUMMARY PIVOT'!$D$2946:$D$3073, MATCH(IY$1,'STOPE SUMMARY PIVOT'!$A$2946:$A$3073, 0))</f>
        <v>0</v>
      </c>
      <c r="IZ81" s="174">
        <f>INDEX('STOPE SUMMARY PIVOT'!$E$2946:$E$3073, MATCH(IY$1,'STOPE SUMMARY PIVOT'!$A$2946:$A$3073, 0))</f>
        <v>0</v>
      </c>
    </row>
    <row r="82" spans="1:260" x14ac:dyDescent="0.25">
      <c r="A82" s="1590"/>
      <c r="B82" s="167" t="s">
        <v>219</v>
      </c>
      <c r="C82" s="168" cm="1">
        <f t="array" ref="C82">SUM(_xlfn._xlws.FILTER(E82:IZ82, MOD(COLUMN(E82:IZ82)-COLUMN(E82)+1,2)=1))</f>
        <v>0</v>
      </c>
      <c r="D82" s="26" t="str" cm="1">
        <f t="array" ref="D82">IFERROR(SUMPRODUCT(_xlfn._xlws.FILTER(E82:IZ82, MOD(COLUMN(E82:IZ82)-COLUMN(E82)+1,2)=1), _xlfn._xlws.FILTER(E82:IZ82, MOD(COLUMN(E82:IZ82)-COLUMN(E82)+1,2)=0))/C82,"")</f>
        <v/>
      </c>
      <c r="E82" s="154">
        <f>INDEX('STOPE SUMMARY PIVOT'!$G$2946:$G$3073, MATCH(E$1,'STOPE SUMMARY PIVOT'!$A$2946:$A$3073, 0))</f>
        <v>0</v>
      </c>
      <c r="F82" s="175">
        <f>INDEX('STOPE SUMMARY PIVOT'!$H$2946:$H$3073, MATCH(E$1,'STOPE SUMMARY PIVOT'!$A$2946:$A$3073, 0))</f>
        <v>0</v>
      </c>
      <c r="G82" s="154">
        <f>INDEX('STOPE SUMMARY PIVOT'!$G$2946:$G$3073, MATCH(G$1,'STOPE SUMMARY PIVOT'!$A$2946:$A$3073, 0))</f>
        <v>0</v>
      </c>
      <c r="H82" s="175">
        <f>INDEX('STOPE SUMMARY PIVOT'!$H$2946:$H$3073, MATCH(G$1,'STOPE SUMMARY PIVOT'!$A$2946:$A$3073, 0))</f>
        <v>0</v>
      </c>
      <c r="I82" s="154">
        <f>INDEX('STOPE SUMMARY PIVOT'!$G$2946:$G$3073, MATCH(I$1,'STOPE SUMMARY PIVOT'!$A$2946:$A$3073, 0))</f>
        <v>0</v>
      </c>
      <c r="J82" s="143">
        <f>INDEX('STOPE SUMMARY PIVOT'!$H$2946:$H$3073, MATCH(I$1,'STOPE SUMMARY PIVOT'!$A$2946:$A$3073, 0))</f>
        <v>0</v>
      </c>
      <c r="K82" s="154">
        <f>INDEX('STOPE SUMMARY PIVOT'!$G$2946:$G$3073, MATCH(K$1,'STOPE SUMMARY PIVOT'!$A$2946:$A$3073, 0))</f>
        <v>0</v>
      </c>
      <c r="L82" s="143">
        <f>INDEX('STOPE SUMMARY PIVOT'!$H$2946:$H$3073, MATCH(K$1,'STOPE SUMMARY PIVOT'!$A$2946:$A$3073, 0))</f>
        <v>0</v>
      </c>
      <c r="M82" s="154">
        <f>INDEX('STOPE SUMMARY PIVOT'!$G$2946:$G$3073, MATCH(M$1,'STOPE SUMMARY PIVOT'!$A$2946:$A$3073, 0))</f>
        <v>0</v>
      </c>
      <c r="N82" s="143">
        <f>INDEX('STOPE SUMMARY PIVOT'!$H$2946:$H$3073, MATCH(M$1,'STOPE SUMMARY PIVOT'!$A$2946:$A$3073, 0))</f>
        <v>0</v>
      </c>
      <c r="O82" s="154">
        <f>INDEX('STOPE SUMMARY PIVOT'!$G$2946:$G$3073, MATCH(O$1,'STOPE SUMMARY PIVOT'!$A$2946:$A$3073, 0))</f>
        <v>0</v>
      </c>
      <c r="P82" s="143">
        <f>INDEX('STOPE SUMMARY PIVOT'!$H$2946:$H$3073, MATCH(O$1,'STOPE SUMMARY PIVOT'!$A$2946:$A$3073, 0))</f>
        <v>0</v>
      </c>
      <c r="Q82" s="154">
        <f>INDEX('STOPE SUMMARY PIVOT'!$G$2946:$G$3073, MATCH(Q$1,'STOPE SUMMARY PIVOT'!$A$2946:$A$3073, 0))</f>
        <v>0</v>
      </c>
      <c r="R82" s="143">
        <f>INDEX('STOPE SUMMARY PIVOT'!$H$2946:$H$3073, MATCH(Q$1,'STOPE SUMMARY PIVOT'!$A$2946:$A$3073, 0))</f>
        <v>0</v>
      </c>
      <c r="S82" s="154">
        <f>INDEX('STOPE SUMMARY PIVOT'!$G$2946:$G$3073, MATCH(S$1,'STOPE SUMMARY PIVOT'!$A$2946:$A$3073, 0))</f>
        <v>0</v>
      </c>
      <c r="T82" s="143">
        <f>INDEX('STOPE SUMMARY PIVOT'!$H$2946:$H$3073, MATCH(S$1,'STOPE SUMMARY PIVOT'!$A$2946:$A$3073, 0))</f>
        <v>0</v>
      </c>
      <c r="U82" s="154">
        <f>INDEX('STOPE SUMMARY PIVOT'!$G$2946:$G$3073, MATCH(U$1,'STOPE SUMMARY PIVOT'!$A$2946:$A$3073, 0))</f>
        <v>0</v>
      </c>
      <c r="V82" s="175">
        <f>INDEX('STOPE SUMMARY PIVOT'!$H$2946:$H$3073, MATCH(U$1,'STOPE SUMMARY PIVOT'!$A$2946:$A$3073, 0))</f>
        <v>0</v>
      </c>
      <c r="W82" s="154">
        <f>INDEX('STOPE SUMMARY PIVOT'!$G$2946:$G$3073, MATCH(W$1,'STOPE SUMMARY PIVOT'!$A$2946:$A$3073, 0))</f>
        <v>0</v>
      </c>
      <c r="X82" s="175">
        <f>INDEX('STOPE SUMMARY PIVOT'!$H$2946:$H$3073, MATCH(W$1,'STOPE SUMMARY PIVOT'!$A$2946:$A$3073, 0))</f>
        <v>0</v>
      </c>
      <c r="Y82" s="154">
        <f>INDEX('STOPE SUMMARY PIVOT'!$G$2946:$G$3073, MATCH(Y$1,'STOPE SUMMARY PIVOT'!$A$2946:$A$3073, 0))</f>
        <v>0</v>
      </c>
      <c r="Z82" s="175">
        <f>INDEX('STOPE SUMMARY PIVOT'!$H$2946:$H$3073, MATCH(Y$1,'STOPE SUMMARY PIVOT'!$A$2946:$A$3073, 0))</f>
        <v>0</v>
      </c>
      <c r="AA82" s="154">
        <f>INDEX('STOPE SUMMARY PIVOT'!$G$2946:$G$3073, MATCH(AA$1,'STOPE SUMMARY PIVOT'!$A$2946:$A$3073, 0))</f>
        <v>0</v>
      </c>
      <c r="AB82" s="175">
        <f>INDEX('STOPE SUMMARY PIVOT'!$H$2946:$H$3073, MATCH(AA$1,'STOPE SUMMARY PIVOT'!$A$2946:$A$3073, 0))</f>
        <v>0</v>
      </c>
      <c r="AC82" s="154">
        <f>INDEX('STOPE SUMMARY PIVOT'!$G$2946:$G$3073, MATCH(AC$1,'STOPE SUMMARY PIVOT'!$A$2946:$A$3073, 0))</f>
        <v>0</v>
      </c>
      <c r="AD82" s="175">
        <f>INDEX('STOPE SUMMARY PIVOT'!$H$2946:$H$3073, MATCH(AC$1,'STOPE SUMMARY PIVOT'!$A$2946:$A$3073, 0))</f>
        <v>0</v>
      </c>
      <c r="AE82" s="154">
        <f>INDEX('STOPE SUMMARY PIVOT'!$G$2946:$G$3073, MATCH(AE$1,'STOPE SUMMARY PIVOT'!$A$2946:$A$3073, 0))</f>
        <v>0</v>
      </c>
      <c r="AF82" s="175">
        <f>INDEX('STOPE SUMMARY PIVOT'!$H$2946:$H$3073, MATCH(AE$1,'STOPE SUMMARY PIVOT'!$A$2946:$A$3073, 0))</f>
        <v>0</v>
      </c>
      <c r="AG82" s="154">
        <f>INDEX('STOPE SUMMARY PIVOT'!$G$2946:$G$3073, MATCH(AG$1,'STOPE SUMMARY PIVOT'!$A$2946:$A$3073, 0))</f>
        <v>0</v>
      </c>
      <c r="AH82" s="175">
        <f>INDEX('STOPE SUMMARY PIVOT'!$H$2946:$H$3073, MATCH(AG$1,'STOPE SUMMARY PIVOT'!$A$2946:$A$3073, 0))</f>
        <v>0</v>
      </c>
      <c r="AI82" s="154">
        <f>INDEX('STOPE SUMMARY PIVOT'!$G$2946:$G$3073, MATCH(AI$1,'STOPE SUMMARY PIVOT'!$A$2946:$A$3073, 0))</f>
        <v>0</v>
      </c>
      <c r="AJ82" s="175">
        <f>INDEX('STOPE SUMMARY PIVOT'!$H$2946:$H$3073, MATCH(AI$1,'STOPE SUMMARY PIVOT'!$A$2946:$A$3073, 0))</f>
        <v>0</v>
      </c>
      <c r="AK82" s="154">
        <f>INDEX('STOPE SUMMARY PIVOT'!$G$2946:$G$3073, MATCH(AK$1,'STOPE SUMMARY PIVOT'!$A$2946:$A$3073, 0))</f>
        <v>0</v>
      </c>
      <c r="AL82" s="175">
        <f>INDEX('STOPE SUMMARY PIVOT'!$H$2946:$H$3073, MATCH(AK$1,'STOPE SUMMARY PIVOT'!$A$2946:$A$3073, 0))</f>
        <v>0</v>
      </c>
      <c r="AM82" s="154">
        <f>INDEX('STOPE SUMMARY PIVOT'!$G$2946:$G$3073, MATCH(AM$1,'STOPE SUMMARY PIVOT'!$A$2946:$A$3073, 0))</f>
        <v>0</v>
      </c>
      <c r="AN82" s="175">
        <f>INDEX('STOPE SUMMARY PIVOT'!$H$2946:$H$3073, MATCH(AM$1,'STOPE SUMMARY PIVOT'!$A$2946:$A$3073, 0))</f>
        <v>0</v>
      </c>
      <c r="AO82" s="154">
        <f>INDEX('STOPE SUMMARY PIVOT'!$G$2946:$G$3073, MATCH(AO$1,'STOPE SUMMARY PIVOT'!$A$2946:$A$3073, 0))</f>
        <v>0</v>
      </c>
      <c r="AP82" s="175">
        <f>INDEX('STOPE SUMMARY PIVOT'!$H$2946:$H$3073, MATCH(AO$1,'STOPE SUMMARY PIVOT'!$A$2946:$A$3073, 0))</f>
        <v>0</v>
      </c>
      <c r="AQ82" s="154">
        <f>INDEX('STOPE SUMMARY PIVOT'!$G$2946:$G$3073, MATCH(AQ$1,'STOPE SUMMARY PIVOT'!$A$2946:$A$3073, 0))</f>
        <v>0</v>
      </c>
      <c r="AR82" s="175">
        <f>INDEX('STOPE SUMMARY PIVOT'!$H$2946:$H$3073, MATCH(AQ$1,'STOPE SUMMARY PIVOT'!$A$2946:$A$3073, 0))</f>
        <v>0</v>
      </c>
      <c r="AS82" s="154">
        <f>INDEX('STOPE SUMMARY PIVOT'!$G$2946:$G$3073, MATCH(AS$1,'STOPE SUMMARY PIVOT'!$A$2946:$A$3073, 0))</f>
        <v>0</v>
      </c>
      <c r="AT82" s="175">
        <f>INDEX('STOPE SUMMARY PIVOT'!$H$2946:$H$3073, MATCH(AS$1,'STOPE SUMMARY PIVOT'!$A$2946:$A$3073, 0))</f>
        <v>0</v>
      </c>
      <c r="AU82" s="154">
        <f>INDEX('STOPE SUMMARY PIVOT'!$G$2946:$G$3073, MATCH(AU$1,'STOPE SUMMARY PIVOT'!$A$2946:$A$3073, 0))</f>
        <v>0</v>
      </c>
      <c r="AV82" s="175">
        <f>INDEX('STOPE SUMMARY PIVOT'!$H$2946:$H$3073, MATCH(AU$1,'STOPE SUMMARY PIVOT'!$A$2946:$A$3073, 0))</f>
        <v>0</v>
      </c>
      <c r="AW82" s="154">
        <f>INDEX('STOPE SUMMARY PIVOT'!$G$2946:$G$3073, MATCH(AW$1,'STOPE SUMMARY PIVOT'!$A$2946:$A$3073, 0))</f>
        <v>0</v>
      </c>
      <c r="AX82" s="175">
        <f>INDEX('STOPE SUMMARY PIVOT'!$H$2946:$H$3073, MATCH(AW$1,'STOPE SUMMARY PIVOT'!$A$2946:$A$3073, 0))</f>
        <v>0</v>
      </c>
      <c r="AY82" s="154">
        <f>INDEX('STOPE SUMMARY PIVOT'!$G$2946:$G$3073, MATCH(AY$1,'STOPE SUMMARY PIVOT'!$A$2946:$A$3073, 0))</f>
        <v>0</v>
      </c>
      <c r="AZ82" s="175">
        <f>INDEX('STOPE SUMMARY PIVOT'!$H$2946:$H$3073, MATCH(AY$1,'STOPE SUMMARY PIVOT'!$A$2946:$A$3073, 0))</f>
        <v>0</v>
      </c>
      <c r="BA82" s="154">
        <f>INDEX('STOPE SUMMARY PIVOT'!$G$2946:$G$3073, MATCH(BA$1,'STOPE SUMMARY PIVOT'!$A$2946:$A$3073, 0))</f>
        <v>0</v>
      </c>
      <c r="BB82" s="175">
        <f>INDEX('STOPE SUMMARY PIVOT'!$H$2946:$H$3073, MATCH(BA$1,'STOPE SUMMARY PIVOT'!$A$2946:$A$3073, 0))</f>
        <v>0</v>
      </c>
      <c r="BC82" s="154">
        <f>INDEX('STOPE SUMMARY PIVOT'!$G$2946:$G$3073, MATCH(BC$1,'STOPE SUMMARY PIVOT'!$A$2946:$A$3073, 0))</f>
        <v>0</v>
      </c>
      <c r="BD82" s="175">
        <f>INDEX('STOPE SUMMARY PIVOT'!$H$2946:$H$3073, MATCH(BC$1,'STOPE SUMMARY PIVOT'!$A$2946:$A$3073, 0))</f>
        <v>0</v>
      </c>
      <c r="BE82" s="154">
        <f>INDEX('STOPE SUMMARY PIVOT'!$G$2946:$G$3073, MATCH(BE$1,'STOPE SUMMARY PIVOT'!$A$2946:$A$3073, 0))</f>
        <v>0</v>
      </c>
      <c r="BF82" s="175">
        <f>INDEX('STOPE SUMMARY PIVOT'!$H$2946:$H$3073, MATCH(BE$1,'STOPE SUMMARY PIVOT'!$A$2946:$A$3073, 0))</f>
        <v>0</v>
      </c>
      <c r="BG82" s="154">
        <f>INDEX('STOPE SUMMARY PIVOT'!$G$2946:$G$3073, MATCH(BG$1,'STOPE SUMMARY PIVOT'!$A$2946:$A$3073, 0))</f>
        <v>0</v>
      </c>
      <c r="BH82" s="175">
        <f>INDEX('STOPE SUMMARY PIVOT'!$H$2946:$H$3073, MATCH(BG$1,'STOPE SUMMARY PIVOT'!$A$2946:$A$3073, 0))</f>
        <v>0</v>
      </c>
      <c r="BI82" s="154">
        <f>INDEX('STOPE SUMMARY PIVOT'!$G$2946:$G$3073, MATCH(BI$1,'STOPE SUMMARY PIVOT'!$A$2946:$A$3073, 0))</f>
        <v>0</v>
      </c>
      <c r="BJ82" s="175">
        <f>INDEX('STOPE SUMMARY PIVOT'!$H$2946:$H$3073, MATCH(BI$1,'STOPE SUMMARY PIVOT'!$A$2946:$A$3073, 0))</f>
        <v>0</v>
      </c>
      <c r="BK82" s="154">
        <f>INDEX('STOPE SUMMARY PIVOT'!$G$2946:$G$3073, MATCH(BK$1,'STOPE SUMMARY PIVOT'!$A$2946:$A$3073, 0))</f>
        <v>0</v>
      </c>
      <c r="BL82" s="175">
        <f>INDEX('STOPE SUMMARY PIVOT'!$H$2946:$H$3073, MATCH(BK$1,'STOPE SUMMARY PIVOT'!$A$2946:$A$3073, 0))</f>
        <v>0</v>
      </c>
      <c r="BM82" s="154">
        <f>INDEX('STOPE SUMMARY PIVOT'!$G$2946:$G$3073, MATCH(BM$1,'STOPE SUMMARY PIVOT'!$A$2946:$A$3073, 0))</f>
        <v>0</v>
      </c>
      <c r="BN82" s="175">
        <f>INDEX('STOPE SUMMARY PIVOT'!$H$2946:$H$3073, MATCH(BM$1,'STOPE SUMMARY PIVOT'!$A$2946:$A$3073, 0))</f>
        <v>0</v>
      </c>
      <c r="BO82" s="154">
        <f>INDEX('STOPE SUMMARY PIVOT'!$G$2946:$G$3073, MATCH(BO$1,'STOPE SUMMARY PIVOT'!$A$2946:$A$3073, 0))</f>
        <v>0</v>
      </c>
      <c r="BP82" s="175">
        <f>INDEX('STOPE SUMMARY PIVOT'!$H$2946:$H$3073, MATCH(BO$1,'STOPE SUMMARY PIVOT'!$A$2946:$A$3073, 0))</f>
        <v>0</v>
      </c>
      <c r="BQ82" s="154">
        <f>INDEX('STOPE SUMMARY PIVOT'!$G$2946:$G$3073, MATCH(BQ$1,'STOPE SUMMARY PIVOT'!$A$2946:$A$3073, 0))</f>
        <v>0</v>
      </c>
      <c r="BR82" s="175">
        <f>INDEX('STOPE SUMMARY PIVOT'!$H$2946:$H$3073, MATCH(BQ$1,'STOPE SUMMARY PIVOT'!$A$2946:$A$3073, 0))</f>
        <v>0</v>
      </c>
      <c r="BS82" s="154">
        <f>INDEX('STOPE SUMMARY PIVOT'!$G$2946:$G$3073, MATCH(BS$1,'STOPE SUMMARY PIVOT'!$A$2946:$A$3073, 0))</f>
        <v>0</v>
      </c>
      <c r="BT82" s="175">
        <f>INDEX('STOPE SUMMARY PIVOT'!$H$2946:$H$3073, MATCH(BS$1,'STOPE SUMMARY PIVOT'!$A$2946:$A$3073, 0))</f>
        <v>0</v>
      </c>
      <c r="BU82" s="154">
        <f>INDEX('STOPE SUMMARY PIVOT'!$G$2946:$G$3073, MATCH(BU$1,'STOPE SUMMARY PIVOT'!$A$2946:$A$3073, 0))</f>
        <v>0</v>
      </c>
      <c r="BV82" s="175">
        <f>INDEX('STOPE SUMMARY PIVOT'!$H$2946:$H$3073, MATCH(BU$1,'STOPE SUMMARY PIVOT'!$A$2946:$A$3073, 0))</f>
        <v>0</v>
      </c>
      <c r="BW82" s="154">
        <f>INDEX('STOPE SUMMARY PIVOT'!$G$2946:$G$3073, MATCH(BW$1,'STOPE SUMMARY PIVOT'!$A$2946:$A$3073, 0))</f>
        <v>0</v>
      </c>
      <c r="BX82" s="175">
        <f>INDEX('STOPE SUMMARY PIVOT'!$H$2946:$H$3073, MATCH(BW$1,'STOPE SUMMARY PIVOT'!$A$2946:$A$3073, 0))</f>
        <v>0</v>
      </c>
      <c r="BY82" s="154">
        <f>INDEX('STOPE SUMMARY PIVOT'!$G$2946:$G$3073, MATCH(BY$1,'STOPE SUMMARY PIVOT'!$A$2946:$A$3073, 0))</f>
        <v>0</v>
      </c>
      <c r="BZ82" s="175">
        <f>INDEX('STOPE SUMMARY PIVOT'!$H$2946:$H$3073, MATCH(BY$1,'STOPE SUMMARY PIVOT'!$A$2946:$A$3073, 0))</f>
        <v>0</v>
      </c>
      <c r="CA82" s="154">
        <f>INDEX('STOPE SUMMARY PIVOT'!$G$2946:$G$3073, MATCH(CA$1,'STOPE SUMMARY PIVOT'!$A$2946:$A$3073, 0))</f>
        <v>0</v>
      </c>
      <c r="CB82" s="175">
        <f>INDEX('STOPE SUMMARY PIVOT'!$H$2946:$H$3073, MATCH(CA$1,'STOPE SUMMARY PIVOT'!$A$2946:$A$3073, 0))</f>
        <v>0</v>
      </c>
      <c r="CC82" s="154">
        <f>INDEX('STOPE SUMMARY PIVOT'!$G$2946:$G$3073, MATCH(CC$1,'STOPE SUMMARY PIVOT'!$A$2946:$A$3073, 0))</f>
        <v>0</v>
      </c>
      <c r="CD82" s="175">
        <f>INDEX('STOPE SUMMARY PIVOT'!$H$2946:$H$3073, MATCH(CC$1,'STOPE SUMMARY PIVOT'!$A$2946:$A$3073, 0))</f>
        <v>0</v>
      </c>
      <c r="CE82" s="154">
        <f>INDEX('STOPE SUMMARY PIVOT'!$G$2946:$G$3073, MATCH(CE$1,'STOPE SUMMARY PIVOT'!$A$2946:$A$3073, 0))</f>
        <v>0</v>
      </c>
      <c r="CF82" s="175">
        <f>INDEX('STOPE SUMMARY PIVOT'!$H$2946:$H$3073, MATCH(CE$1,'STOPE SUMMARY PIVOT'!$A$2946:$A$3073, 0))</f>
        <v>0</v>
      </c>
      <c r="CG82" s="154">
        <f>INDEX('STOPE SUMMARY PIVOT'!$G$2946:$G$3073, MATCH(CG$1,'STOPE SUMMARY PIVOT'!$A$2946:$A$3073, 0))</f>
        <v>0</v>
      </c>
      <c r="CH82" s="175">
        <f>INDEX('STOPE SUMMARY PIVOT'!$H$2946:$H$3073, MATCH(CG$1,'STOPE SUMMARY PIVOT'!$A$2946:$A$3073, 0))</f>
        <v>0</v>
      </c>
      <c r="CI82" s="154">
        <f>INDEX('STOPE SUMMARY PIVOT'!$G$2946:$G$3073, MATCH(CI$1,'STOPE SUMMARY PIVOT'!$A$2946:$A$3073, 0))</f>
        <v>0</v>
      </c>
      <c r="CJ82" s="175">
        <f>INDEX('STOPE SUMMARY PIVOT'!$H$2946:$H$3073, MATCH(CI$1,'STOPE SUMMARY PIVOT'!$A$2946:$A$3073, 0))</f>
        <v>0</v>
      </c>
      <c r="CK82" s="154">
        <f>INDEX('STOPE SUMMARY PIVOT'!$G$2946:$G$3073, MATCH(CK$1,'STOPE SUMMARY PIVOT'!$A$2946:$A$3073, 0))</f>
        <v>0</v>
      </c>
      <c r="CL82" s="175">
        <f>INDEX('STOPE SUMMARY PIVOT'!$H$2946:$H$3073, MATCH(CK$1,'STOPE SUMMARY PIVOT'!$A$2946:$A$3073, 0))</f>
        <v>0</v>
      </c>
      <c r="CM82" s="154">
        <f>INDEX('STOPE SUMMARY PIVOT'!$G$2946:$G$3073, MATCH(CM$1,'STOPE SUMMARY PIVOT'!$A$2946:$A$3073, 0))</f>
        <v>0</v>
      </c>
      <c r="CN82" s="175">
        <f>INDEX('STOPE SUMMARY PIVOT'!$H$2946:$H$3073, MATCH(CM$1,'STOPE SUMMARY PIVOT'!$A$2946:$A$3073, 0))</f>
        <v>0</v>
      </c>
      <c r="CO82" s="154">
        <f>INDEX('STOPE SUMMARY PIVOT'!$G$2946:$G$3073, MATCH(CO$1,'STOPE SUMMARY PIVOT'!$A$2946:$A$3073, 0))</f>
        <v>0</v>
      </c>
      <c r="CP82" s="175">
        <f>INDEX('STOPE SUMMARY PIVOT'!$H$2946:$H$3073, MATCH(CO$1,'STOPE SUMMARY PIVOT'!$A$2946:$A$3073, 0))</f>
        <v>0</v>
      </c>
      <c r="CQ82" s="154">
        <f>INDEX('STOPE SUMMARY PIVOT'!$G$2946:$G$3073, MATCH(CQ$1,'STOPE SUMMARY PIVOT'!$A$2946:$A$3073, 0))</f>
        <v>0</v>
      </c>
      <c r="CR82" s="175">
        <f>INDEX('STOPE SUMMARY PIVOT'!$H$2946:$H$3073, MATCH(CQ$1,'STOPE SUMMARY PIVOT'!$A$2946:$A$3073, 0))</f>
        <v>0</v>
      </c>
      <c r="CS82" s="154">
        <f>INDEX('STOPE SUMMARY PIVOT'!$G$2946:$G$3073, MATCH(CS$1,'STOPE SUMMARY PIVOT'!$A$2946:$A$3073, 0))</f>
        <v>0</v>
      </c>
      <c r="CT82" s="175">
        <f>INDEX('STOPE SUMMARY PIVOT'!$H$2946:$H$3073, MATCH(CS$1,'STOPE SUMMARY PIVOT'!$A$2946:$A$3073, 0))</f>
        <v>0</v>
      </c>
      <c r="CU82" s="154">
        <f>INDEX('STOPE SUMMARY PIVOT'!$G$2946:$G$3073, MATCH(CU$1,'STOPE SUMMARY PIVOT'!$A$2946:$A$3073, 0))</f>
        <v>0</v>
      </c>
      <c r="CV82" s="175">
        <f>INDEX('STOPE SUMMARY PIVOT'!$H$2946:$H$3073, MATCH(CU$1,'STOPE SUMMARY PIVOT'!$A$2946:$A$3073, 0))</f>
        <v>0</v>
      </c>
      <c r="CW82" s="154">
        <f>INDEX('STOPE SUMMARY PIVOT'!$G$2946:$G$3073, MATCH(CW$1,'STOPE SUMMARY PIVOT'!$A$2946:$A$3073, 0))</f>
        <v>0</v>
      </c>
      <c r="CX82" s="175">
        <f>INDEX('STOPE SUMMARY PIVOT'!$H$2946:$H$3073, MATCH(CW$1,'STOPE SUMMARY PIVOT'!$A$2946:$A$3073, 0))</f>
        <v>0</v>
      </c>
      <c r="CY82" s="154">
        <f>INDEX('STOPE SUMMARY PIVOT'!$G$2946:$G$3073, MATCH(CY$1,'STOPE SUMMARY PIVOT'!$A$2946:$A$3073, 0))</f>
        <v>0</v>
      </c>
      <c r="CZ82" s="175">
        <f>INDEX('STOPE SUMMARY PIVOT'!$H$2946:$H$3073, MATCH(CY$1,'STOPE SUMMARY PIVOT'!$A$2946:$A$3073, 0))</f>
        <v>0</v>
      </c>
      <c r="DA82" s="154">
        <f>INDEX('STOPE SUMMARY PIVOT'!$G$2946:$G$3073, MATCH(DA$1,'STOPE SUMMARY PIVOT'!$A$2946:$A$3073, 0))</f>
        <v>0</v>
      </c>
      <c r="DB82" s="175">
        <f>INDEX('STOPE SUMMARY PIVOT'!$H$2946:$H$3073, MATCH(DA$1,'STOPE SUMMARY PIVOT'!$A$2946:$A$3073, 0))</f>
        <v>0</v>
      </c>
      <c r="DC82" s="154">
        <f>INDEX('STOPE SUMMARY PIVOT'!$G$2946:$G$3073, MATCH(DC$1,'STOPE SUMMARY PIVOT'!$A$2946:$A$3073, 0))</f>
        <v>0</v>
      </c>
      <c r="DD82" s="175">
        <f>INDEX('STOPE SUMMARY PIVOT'!$H$2946:$H$3073, MATCH(DC$1,'STOPE SUMMARY PIVOT'!$A$2946:$A$3073, 0))</f>
        <v>0</v>
      </c>
      <c r="DE82" s="154">
        <f>INDEX('STOPE SUMMARY PIVOT'!$G$2946:$G$3073, MATCH(DE$1,'STOPE SUMMARY PIVOT'!$A$2946:$A$3073, 0))</f>
        <v>0</v>
      </c>
      <c r="DF82" s="175">
        <f>INDEX('STOPE SUMMARY PIVOT'!$H$2946:$H$3073, MATCH(DE$1,'STOPE SUMMARY PIVOT'!$A$2946:$A$3073, 0))</f>
        <v>0</v>
      </c>
      <c r="DG82" s="154">
        <f>INDEX('STOPE SUMMARY PIVOT'!$G$2946:$G$3073, MATCH(DG$1,'STOPE SUMMARY PIVOT'!$A$2946:$A$3073, 0))</f>
        <v>0</v>
      </c>
      <c r="DH82" s="175">
        <f>INDEX('STOPE SUMMARY PIVOT'!$H$2946:$H$3073, MATCH(DG$1,'STOPE SUMMARY PIVOT'!$A$2946:$A$3073, 0))</f>
        <v>0</v>
      </c>
      <c r="DI82" s="154">
        <f>INDEX('STOPE SUMMARY PIVOT'!$G$2946:$G$3073, MATCH(DI$1,'STOPE SUMMARY PIVOT'!$A$2946:$A$3073, 0))</f>
        <v>0</v>
      </c>
      <c r="DJ82" s="175">
        <f>INDEX('STOPE SUMMARY PIVOT'!$H$2946:$H$3073, MATCH(DI$1,'STOPE SUMMARY PIVOT'!$A$2946:$A$3073, 0))</f>
        <v>0</v>
      </c>
      <c r="DK82" s="154">
        <f>INDEX('STOPE SUMMARY PIVOT'!$G$2946:$G$3073, MATCH(DK$1,'STOPE SUMMARY PIVOT'!$A$2946:$A$3073, 0))</f>
        <v>0</v>
      </c>
      <c r="DL82" s="175">
        <f>INDEX('STOPE SUMMARY PIVOT'!$H$2946:$H$3073, MATCH(DK$1,'STOPE SUMMARY PIVOT'!$A$2946:$A$3073, 0))</f>
        <v>0</v>
      </c>
      <c r="DM82" s="154">
        <f>INDEX('STOPE SUMMARY PIVOT'!$G$2946:$G$3073, MATCH(DM$1,'STOPE SUMMARY PIVOT'!$A$2946:$A$3073, 0))</f>
        <v>0</v>
      </c>
      <c r="DN82" s="175">
        <f>INDEX('STOPE SUMMARY PIVOT'!$H$2946:$H$3073, MATCH(DM$1,'STOPE SUMMARY PIVOT'!$A$2946:$A$3073, 0))</f>
        <v>0</v>
      </c>
      <c r="DO82" s="154">
        <f>INDEX('STOPE SUMMARY PIVOT'!$G$2946:$G$3073, MATCH(DO$1,'STOPE SUMMARY PIVOT'!$A$2946:$A$3073, 0))</f>
        <v>0</v>
      </c>
      <c r="DP82" s="175">
        <f>INDEX('STOPE SUMMARY PIVOT'!$H$2946:$H$3073, MATCH(DO$1,'STOPE SUMMARY PIVOT'!$A$2946:$A$3073, 0))</f>
        <v>0</v>
      </c>
      <c r="DQ82" s="154">
        <f>INDEX('STOPE SUMMARY PIVOT'!$G$2946:$G$3073, MATCH(DQ$1,'STOPE SUMMARY PIVOT'!$A$2946:$A$3073, 0))</f>
        <v>0</v>
      </c>
      <c r="DR82" s="175">
        <f>INDEX('STOPE SUMMARY PIVOT'!$H$2946:$H$3073, MATCH(DQ$1,'STOPE SUMMARY PIVOT'!$A$2946:$A$3073, 0))</f>
        <v>0</v>
      </c>
      <c r="DS82" s="154">
        <f>INDEX('STOPE SUMMARY PIVOT'!$G$2946:$G$3073, MATCH(DS$1,'STOPE SUMMARY PIVOT'!$A$2946:$A$3073, 0))</f>
        <v>0</v>
      </c>
      <c r="DT82" s="175">
        <f>INDEX('STOPE SUMMARY PIVOT'!$H$2946:$H$3073, MATCH(DS$1,'STOPE SUMMARY PIVOT'!$A$2946:$A$3073, 0))</f>
        <v>0</v>
      </c>
      <c r="DU82" s="154">
        <f>INDEX('STOPE SUMMARY PIVOT'!$G$2946:$G$3073, MATCH(DU$1,'STOPE SUMMARY PIVOT'!$A$2946:$A$3073, 0))</f>
        <v>0</v>
      </c>
      <c r="DV82" s="175">
        <f>INDEX('STOPE SUMMARY PIVOT'!$H$2946:$H$3073, MATCH(DU$1,'STOPE SUMMARY PIVOT'!$A$2946:$A$3073, 0))</f>
        <v>0</v>
      </c>
      <c r="DW82" s="154">
        <f>INDEX('STOPE SUMMARY PIVOT'!$G$2946:$G$3073, MATCH(DW$1,'STOPE SUMMARY PIVOT'!$A$2946:$A$3073, 0))</f>
        <v>0</v>
      </c>
      <c r="DX82" s="175">
        <f>INDEX('STOPE SUMMARY PIVOT'!$H$2946:$H$3073, MATCH(DW$1,'STOPE SUMMARY PIVOT'!$A$2946:$A$3073, 0))</f>
        <v>0</v>
      </c>
      <c r="DY82" s="154">
        <f>INDEX('STOPE SUMMARY PIVOT'!$G$2946:$G$3073, MATCH(DY$1,'STOPE SUMMARY PIVOT'!$A$2946:$A$3073, 0))</f>
        <v>0</v>
      </c>
      <c r="DZ82" s="175">
        <f>INDEX('STOPE SUMMARY PIVOT'!$H$2946:$H$3073, MATCH(DY$1,'STOPE SUMMARY PIVOT'!$A$2946:$A$3073, 0))</f>
        <v>0</v>
      </c>
      <c r="EA82" s="154">
        <f>INDEX('STOPE SUMMARY PIVOT'!$G$2946:$G$3073, MATCH(EA$1,'STOPE SUMMARY PIVOT'!$A$2946:$A$3073, 0))</f>
        <v>0</v>
      </c>
      <c r="EB82" s="175">
        <f>INDEX('STOPE SUMMARY PIVOT'!$H$2946:$H$3073, MATCH(EA$1,'STOPE SUMMARY PIVOT'!$A$2946:$A$3073, 0))</f>
        <v>0</v>
      </c>
      <c r="EC82" s="154">
        <f>INDEX('STOPE SUMMARY PIVOT'!$G$2946:$G$3073, MATCH(EC$1,'STOPE SUMMARY PIVOT'!$A$2946:$A$3073, 0))</f>
        <v>0</v>
      </c>
      <c r="ED82" s="175">
        <f>INDEX('STOPE SUMMARY PIVOT'!$H$2946:$H$3073, MATCH(EC$1,'STOPE SUMMARY PIVOT'!$A$2946:$A$3073, 0))</f>
        <v>0</v>
      </c>
      <c r="EE82" s="154">
        <f>INDEX('STOPE SUMMARY PIVOT'!$G$2946:$G$3073, MATCH(EE$1,'STOPE SUMMARY PIVOT'!$A$2946:$A$3073, 0))</f>
        <v>0</v>
      </c>
      <c r="EF82" s="175">
        <f>INDEX('STOPE SUMMARY PIVOT'!$H$2946:$H$3073, MATCH(EE$1,'STOPE SUMMARY PIVOT'!$A$2946:$A$3073, 0))</f>
        <v>0</v>
      </c>
      <c r="EG82" s="154">
        <f>INDEX('STOPE SUMMARY PIVOT'!$G$2946:$G$3073, MATCH(EG$1,'STOPE SUMMARY PIVOT'!$A$2946:$A$3073, 0))</f>
        <v>0</v>
      </c>
      <c r="EH82" s="175">
        <f>INDEX('STOPE SUMMARY PIVOT'!$H$2946:$H$3073, MATCH(EG$1,'STOPE SUMMARY PIVOT'!$A$2946:$A$3073, 0))</f>
        <v>0</v>
      </c>
      <c r="EI82" s="154">
        <f>INDEX('STOPE SUMMARY PIVOT'!$G$2946:$G$3073, MATCH(EI$1,'STOPE SUMMARY PIVOT'!$A$2946:$A$3073, 0))</f>
        <v>0</v>
      </c>
      <c r="EJ82" s="175">
        <f>INDEX('STOPE SUMMARY PIVOT'!$H$2946:$H$3073, MATCH(EI$1,'STOPE SUMMARY PIVOT'!$A$2946:$A$3073, 0))</f>
        <v>0</v>
      </c>
      <c r="EK82" s="154">
        <f>INDEX('STOPE SUMMARY PIVOT'!$G$2946:$G$3073, MATCH(EK$1,'STOPE SUMMARY PIVOT'!$A$2946:$A$3073, 0))</f>
        <v>0</v>
      </c>
      <c r="EL82" s="175">
        <f>INDEX('STOPE SUMMARY PIVOT'!$H$2946:$H$3073, MATCH(EK$1,'STOPE SUMMARY PIVOT'!$A$2946:$A$3073, 0))</f>
        <v>0</v>
      </c>
      <c r="EM82" s="154">
        <f>INDEX('STOPE SUMMARY PIVOT'!$G$2946:$G$3073, MATCH(EM$1,'STOPE SUMMARY PIVOT'!$A$2946:$A$3073, 0))</f>
        <v>0</v>
      </c>
      <c r="EN82" s="175">
        <f>INDEX('STOPE SUMMARY PIVOT'!$H$2946:$H$3073, MATCH(EM$1,'STOPE SUMMARY PIVOT'!$A$2946:$A$3073, 0))</f>
        <v>0</v>
      </c>
      <c r="EO82" s="154">
        <f>INDEX('STOPE SUMMARY PIVOT'!$G$2946:$G$3073, MATCH(EO$1,'STOPE SUMMARY PIVOT'!$A$2946:$A$3073, 0))</f>
        <v>0</v>
      </c>
      <c r="EP82" s="175">
        <f>INDEX('STOPE SUMMARY PIVOT'!$H$2946:$H$3073, MATCH(EO$1,'STOPE SUMMARY PIVOT'!$A$2946:$A$3073, 0))</f>
        <v>0</v>
      </c>
      <c r="EQ82" s="154">
        <f>INDEX('STOPE SUMMARY PIVOT'!$G$2946:$G$3073, MATCH(EQ$1,'STOPE SUMMARY PIVOT'!$A$2946:$A$3073, 0))</f>
        <v>0</v>
      </c>
      <c r="ER82" s="175">
        <f>INDEX('STOPE SUMMARY PIVOT'!$H$2946:$H$3073, MATCH(EQ$1,'STOPE SUMMARY PIVOT'!$A$2946:$A$3073, 0))</f>
        <v>0</v>
      </c>
      <c r="ES82" s="154">
        <f>INDEX('STOPE SUMMARY PIVOT'!$G$2946:$G$3073, MATCH(ES$1,'STOPE SUMMARY PIVOT'!$A$2946:$A$3073, 0))</f>
        <v>0</v>
      </c>
      <c r="ET82" s="175">
        <f>INDEX('STOPE SUMMARY PIVOT'!$H$2946:$H$3073, MATCH(ES$1,'STOPE SUMMARY PIVOT'!$A$2946:$A$3073, 0))</f>
        <v>0</v>
      </c>
      <c r="EU82" s="154">
        <f>INDEX('STOPE SUMMARY PIVOT'!$G$2946:$G$3073, MATCH(EU$1,'STOPE SUMMARY PIVOT'!$A$2946:$A$3073, 0))</f>
        <v>0</v>
      </c>
      <c r="EV82" s="175">
        <f>INDEX('STOPE SUMMARY PIVOT'!$H$2946:$H$3073, MATCH(EU$1,'STOPE SUMMARY PIVOT'!$A$2946:$A$3073, 0))</f>
        <v>0</v>
      </c>
      <c r="EW82" s="154">
        <f>INDEX('STOPE SUMMARY PIVOT'!$G$2946:$G$3073, MATCH(EW$1,'STOPE SUMMARY PIVOT'!$A$2946:$A$3073, 0))</f>
        <v>0</v>
      </c>
      <c r="EX82" s="175">
        <f>INDEX('STOPE SUMMARY PIVOT'!$H$2946:$H$3073, MATCH(EW$1,'STOPE SUMMARY PIVOT'!$A$2946:$A$3073, 0))</f>
        <v>0</v>
      </c>
      <c r="EY82" s="154">
        <f>INDEX('STOPE SUMMARY PIVOT'!$G$2946:$G$3073, MATCH(EY$1,'STOPE SUMMARY PIVOT'!$A$2946:$A$3073, 0))</f>
        <v>0</v>
      </c>
      <c r="EZ82" s="175">
        <f>INDEX('STOPE SUMMARY PIVOT'!$H$2946:$H$3073, MATCH(EY$1,'STOPE SUMMARY PIVOT'!$A$2946:$A$3073, 0))</f>
        <v>0</v>
      </c>
      <c r="FA82" s="154">
        <f>INDEX('STOPE SUMMARY PIVOT'!$G$2946:$G$3073, MATCH(FA$1,'STOPE SUMMARY PIVOT'!$A$2946:$A$3073, 0))</f>
        <v>0</v>
      </c>
      <c r="FB82" s="175">
        <f>INDEX('STOPE SUMMARY PIVOT'!$H$2946:$H$3073, MATCH(FA$1,'STOPE SUMMARY PIVOT'!$A$2946:$A$3073, 0))</f>
        <v>0</v>
      </c>
      <c r="FC82" s="154">
        <f>INDEX('STOPE SUMMARY PIVOT'!$G$2946:$G$3073, MATCH(FC$1,'STOPE SUMMARY PIVOT'!$A$2946:$A$3073, 0))</f>
        <v>0</v>
      </c>
      <c r="FD82" s="175">
        <f>INDEX('STOPE SUMMARY PIVOT'!$H$2946:$H$3073, MATCH(FC$1,'STOPE SUMMARY PIVOT'!$A$2946:$A$3073, 0))</f>
        <v>0</v>
      </c>
      <c r="FE82" s="154">
        <f>INDEX('STOPE SUMMARY PIVOT'!$G$2946:$G$3073, MATCH(FE$1,'STOPE SUMMARY PIVOT'!$A$2946:$A$3073, 0))</f>
        <v>0</v>
      </c>
      <c r="FF82" s="175">
        <f>INDEX('STOPE SUMMARY PIVOT'!$H$2946:$H$3073, MATCH(FE$1,'STOPE SUMMARY PIVOT'!$A$2946:$A$3073, 0))</f>
        <v>0</v>
      </c>
      <c r="FG82" s="154">
        <f>INDEX('STOPE SUMMARY PIVOT'!$G$2946:$G$3073, MATCH(FG$1,'STOPE SUMMARY PIVOT'!$A$2946:$A$3073, 0))</f>
        <v>0</v>
      </c>
      <c r="FH82" s="175">
        <f>INDEX('STOPE SUMMARY PIVOT'!$H$2946:$H$3073, MATCH(FG$1,'STOPE SUMMARY PIVOT'!$A$2946:$A$3073, 0))</f>
        <v>0</v>
      </c>
      <c r="FI82" s="154">
        <f>INDEX('STOPE SUMMARY PIVOT'!$G$2946:$G$3073, MATCH(FI$1,'STOPE SUMMARY PIVOT'!$A$2946:$A$3073, 0))</f>
        <v>0</v>
      </c>
      <c r="FJ82" s="175">
        <f>INDEX('STOPE SUMMARY PIVOT'!$H$2946:$H$3073, MATCH(FI$1,'STOPE SUMMARY PIVOT'!$A$2946:$A$3073, 0))</f>
        <v>0</v>
      </c>
      <c r="FK82" s="154">
        <f>INDEX('STOPE SUMMARY PIVOT'!$G$2946:$G$3073, MATCH(FK$1,'STOPE SUMMARY PIVOT'!$A$2946:$A$3073, 0))</f>
        <v>0</v>
      </c>
      <c r="FL82" s="175">
        <f>INDEX('STOPE SUMMARY PIVOT'!$H$2946:$H$3073, MATCH(FK$1,'STOPE SUMMARY PIVOT'!$A$2946:$A$3073, 0))</f>
        <v>0</v>
      </c>
      <c r="FM82" s="154">
        <f>INDEX('STOPE SUMMARY PIVOT'!$G$2946:$G$3073, MATCH(FM$1,'STOPE SUMMARY PIVOT'!$A$2946:$A$3073, 0))</f>
        <v>0</v>
      </c>
      <c r="FN82" s="175">
        <f>INDEX('STOPE SUMMARY PIVOT'!$H$2946:$H$3073, MATCH(FM$1,'STOPE SUMMARY PIVOT'!$A$2946:$A$3073, 0))</f>
        <v>0</v>
      </c>
      <c r="FO82" s="154">
        <f>INDEX('STOPE SUMMARY PIVOT'!$G$2946:$G$3073, MATCH(FO$1,'STOPE SUMMARY PIVOT'!$A$2946:$A$3073, 0))</f>
        <v>0</v>
      </c>
      <c r="FP82" s="175">
        <f>INDEX('STOPE SUMMARY PIVOT'!$H$2946:$H$3073, MATCH(FO$1,'STOPE SUMMARY PIVOT'!$A$2946:$A$3073, 0))</f>
        <v>0</v>
      </c>
      <c r="FQ82" s="154">
        <f>INDEX('STOPE SUMMARY PIVOT'!$G$2946:$G$3073, MATCH(FQ$1,'STOPE SUMMARY PIVOT'!$A$2946:$A$3073, 0))</f>
        <v>0</v>
      </c>
      <c r="FR82" s="175">
        <f>INDEX('STOPE SUMMARY PIVOT'!$H$2946:$H$3073, MATCH(FQ$1,'STOPE SUMMARY PIVOT'!$A$2946:$A$3073, 0))</f>
        <v>0</v>
      </c>
      <c r="FS82" s="154">
        <f>INDEX('STOPE SUMMARY PIVOT'!$G$2946:$G$3073, MATCH(FS$1,'STOPE SUMMARY PIVOT'!$A$2946:$A$3073, 0))</f>
        <v>0</v>
      </c>
      <c r="FT82" s="175">
        <f>INDEX('STOPE SUMMARY PIVOT'!$H$2946:$H$3073, MATCH(FS$1,'STOPE SUMMARY PIVOT'!$A$2946:$A$3073, 0))</f>
        <v>0</v>
      </c>
      <c r="FU82" s="154">
        <f>INDEX('STOPE SUMMARY PIVOT'!$G$2946:$G$3073, MATCH(FU$1,'STOPE SUMMARY PIVOT'!$A$2946:$A$3073, 0))</f>
        <v>0</v>
      </c>
      <c r="FV82" s="175">
        <f>INDEX('STOPE SUMMARY PIVOT'!$H$2946:$H$3073, MATCH(FU$1,'STOPE SUMMARY PIVOT'!$A$2946:$A$3073, 0))</f>
        <v>0</v>
      </c>
      <c r="FW82" s="154">
        <f>INDEX('STOPE SUMMARY PIVOT'!$G$2946:$G$3073, MATCH(FW$1,'STOPE SUMMARY PIVOT'!$A$2946:$A$3073, 0))</f>
        <v>0</v>
      </c>
      <c r="FX82" s="175">
        <f>INDEX('STOPE SUMMARY PIVOT'!$H$2946:$H$3073, MATCH(FW$1,'STOPE SUMMARY PIVOT'!$A$2946:$A$3073, 0))</f>
        <v>0</v>
      </c>
      <c r="FY82" s="154">
        <f>INDEX('STOPE SUMMARY PIVOT'!$G$2946:$G$3073, MATCH(FY$1,'STOPE SUMMARY PIVOT'!$A$2946:$A$3073, 0))</f>
        <v>0</v>
      </c>
      <c r="FZ82" s="175">
        <f>INDEX('STOPE SUMMARY PIVOT'!$H$2946:$H$3073, MATCH(FY$1,'STOPE SUMMARY PIVOT'!$A$2946:$A$3073, 0))</f>
        <v>0</v>
      </c>
      <c r="GA82" s="154">
        <f>INDEX('STOPE SUMMARY PIVOT'!$G$2946:$G$3073, MATCH(GA$1,'STOPE SUMMARY PIVOT'!$A$2946:$A$3073, 0))</f>
        <v>0</v>
      </c>
      <c r="GB82" s="175">
        <f>INDEX('STOPE SUMMARY PIVOT'!$H$2946:$H$3073, MATCH(GA$1,'STOPE SUMMARY PIVOT'!$A$2946:$A$3073, 0))</f>
        <v>0</v>
      </c>
      <c r="GC82" s="154">
        <f>INDEX('STOPE SUMMARY PIVOT'!$G$2946:$G$3073, MATCH(GC$1,'STOPE SUMMARY PIVOT'!$A$2946:$A$3073, 0))</f>
        <v>0</v>
      </c>
      <c r="GD82" s="175">
        <f>INDEX('STOPE SUMMARY PIVOT'!$H$2946:$H$3073, MATCH(GC$1,'STOPE SUMMARY PIVOT'!$A$2946:$A$3073, 0))</f>
        <v>0</v>
      </c>
      <c r="GE82" s="154">
        <f>INDEX('STOPE SUMMARY PIVOT'!$G$2946:$G$3073, MATCH(GE$1,'STOPE SUMMARY PIVOT'!$A$2946:$A$3073, 0))</f>
        <v>0</v>
      </c>
      <c r="GF82" s="175">
        <f>INDEX('STOPE SUMMARY PIVOT'!$H$2946:$H$3073, MATCH(GE$1,'STOPE SUMMARY PIVOT'!$A$2946:$A$3073, 0))</f>
        <v>0</v>
      </c>
      <c r="GG82" s="154">
        <f>INDEX('STOPE SUMMARY PIVOT'!$G$2946:$G$3073, MATCH(GG$1,'STOPE SUMMARY PIVOT'!$A$2946:$A$3073, 0))</f>
        <v>0</v>
      </c>
      <c r="GH82" s="175">
        <f>INDEX('STOPE SUMMARY PIVOT'!$H$2946:$H$3073, MATCH(GG$1,'STOPE SUMMARY PIVOT'!$A$2946:$A$3073, 0))</f>
        <v>0</v>
      </c>
      <c r="GI82" s="154">
        <f>INDEX('STOPE SUMMARY PIVOT'!$G$2946:$G$3073, MATCH(GI$1,'STOPE SUMMARY PIVOT'!$A$2946:$A$3073, 0))</f>
        <v>0</v>
      </c>
      <c r="GJ82" s="175">
        <f>INDEX('STOPE SUMMARY PIVOT'!$H$2946:$H$3073, MATCH(GI$1,'STOPE SUMMARY PIVOT'!$A$2946:$A$3073, 0))</f>
        <v>0</v>
      </c>
      <c r="GK82" s="154">
        <f>INDEX('STOPE SUMMARY PIVOT'!$G$2946:$G$3073, MATCH(GK$1,'STOPE SUMMARY PIVOT'!$A$2946:$A$3073, 0))</f>
        <v>0</v>
      </c>
      <c r="GL82" s="175">
        <f>INDEX('STOPE SUMMARY PIVOT'!$H$2946:$H$3073, MATCH(GK$1,'STOPE SUMMARY PIVOT'!$A$2946:$A$3073, 0))</f>
        <v>0</v>
      </c>
      <c r="GM82" s="154">
        <f>INDEX('STOPE SUMMARY PIVOT'!$G$2946:$G$3073, MATCH(GM$1,'STOPE SUMMARY PIVOT'!$A$2946:$A$3073, 0))</f>
        <v>0</v>
      </c>
      <c r="GN82" s="175">
        <f>INDEX('STOPE SUMMARY PIVOT'!$H$2946:$H$3073, MATCH(GM$1,'STOPE SUMMARY PIVOT'!$A$2946:$A$3073, 0))</f>
        <v>0</v>
      </c>
      <c r="GO82" s="154">
        <f>INDEX('STOPE SUMMARY PIVOT'!$G$2946:$G$3073, MATCH(GO$1,'STOPE SUMMARY PIVOT'!$A$2946:$A$3073, 0))</f>
        <v>0</v>
      </c>
      <c r="GP82" s="175">
        <f>INDEX('STOPE SUMMARY PIVOT'!$H$2946:$H$3073, MATCH(GO$1,'STOPE SUMMARY PIVOT'!$A$2946:$A$3073, 0))</f>
        <v>0</v>
      </c>
      <c r="GQ82" s="154">
        <f>INDEX('STOPE SUMMARY PIVOT'!$G$2946:$G$3073, MATCH(GQ$1,'STOPE SUMMARY PIVOT'!$A$2946:$A$3073, 0))</f>
        <v>0</v>
      </c>
      <c r="GR82" s="175">
        <f>INDEX('STOPE SUMMARY PIVOT'!$H$2946:$H$3073, MATCH(GQ$1,'STOPE SUMMARY PIVOT'!$A$2946:$A$3073, 0))</f>
        <v>0</v>
      </c>
      <c r="GS82" s="154">
        <f>INDEX('STOPE SUMMARY PIVOT'!$G$2946:$G$3073, MATCH(GS$1,'STOPE SUMMARY PIVOT'!$A$2946:$A$3073, 0))</f>
        <v>0</v>
      </c>
      <c r="GT82" s="175">
        <f>INDEX('STOPE SUMMARY PIVOT'!$H$2946:$H$3073, MATCH(GS$1,'STOPE SUMMARY PIVOT'!$A$2946:$A$3073, 0))</f>
        <v>0</v>
      </c>
      <c r="GU82" s="154">
        <f>INDEX('STOPE SUMMARY PIVOT'!$G$2946:$G$3073, MATCH(GU$1,'STOPE SUMMARY PIVOT'!$A$2946:$A$3073, 0))</f>
        <v>0</v>
      </c>
      <c r="GV82" s="175">
        <f>INDEX('STOPE SUMMARY PIVOT'!$H$2946:$H$3073, MATCH(GU$1,'STOPE SUMMARY PIVOT'!$A$2946:$A$3073, 0))</f>
        <v>0</v>
      </c>
      <c r="GW82" s="154">
        <f>INDEX('STOPE SUMMARY PIVOT'!$G$2946:$G$3073, MATCH(GW$1,'STOPE SUMMARY PIVOT'!$A$2946:$A$3073, 0))</f>
        <v>0</v>
      </c>
      <c r="GX82" s="175">
        <f>INDEX('STOPE SUMMARY PIVOT'!$H$2946:$H$3073, MATCH(GW$1,'STOPE SUMMARY PIVOT'!$A$2946:$A$3073, 0))</f>
        <v>0</v>
      </c>
      <c r="GY82" s="154">
        <f>INDEX('STOPE SUMMARY PIVOT'!$G$2946:$G$3073, MATCH(GY$1,'STOPE SUMMARY PIVOT'!$A$2946:$A$3073, 0))</f>
        <v>0</v>
      </c>
      <c r="GZ82" s="175">
        <f>INDEX('STOPE SUMMARY PIVOT'!$H$2946:$H$3073, MATCH(GY$1,'STOPE SUMMARY PIVOT'!$A$2946:$A$3073, 0))</f>
        <v>0</v>
      </c>
      <c r="HA82" s="154">
        <f>INDEX('STOPE SUMMARY PIVOT'!$G$2946:$G$3073, MATCH(HA$1,'STOPE SUMMARY PIVOT'!$A$2946:$A$3073, 0))</f>
        <v>0</v>
      </c>
      <c r="HB82" s="175">
        <f>INDEX('STOPE SUMMARY PIVOT'!$H$2946:$H$3073, MATCH(HA$1,'STOPE SUMMARY PIVOT'!$A$2946:$A$3073, 0))</f>
        <v>0</v>
      </c>
      <c r="HC82" s="154">
        <f>INDEX('STOPE SUMMARY PIVOT'!$G$2946:$G$3073, MATCH(HC$1,'STOPE SUMMARY PIVOT'!$A$2946:$A$3073, 0))</f>
        <v>0</v>
      </c>
      <c r="HD82" s="175">
        <f>INDEX('STOPE SUMMARY PIVOT'!$H$2946:$H$3073, MATCH(HC$1,'STOPE SUMMARY PIVOT'!$A$2946:$A$3073, 0))</f>
        <v>0</v>
      </c>
      <c r="HE82" s="154">
        <f>INDEX('STOPE SUMMARY PIVOT'!$G$2946:$G$3073, MATCH(HE$1,'STOPE SUMMARY PIVOT'!$A$2946:$A$3073, 0))</f>
        <v>0</v>
      </c>
      <c r="HF82" s="175">
        <f>INDEX('STOPE SUMMARY PIVOT'!$H$2946:$H$3073, MATCH(HE$1,'STOPE SUMMARY PIVOT'!$A$2946:$A$3073, 0))</f>
        <v>0</v>
      </c>
      <c r="HG82" s="154">
        <f>INDEX('STOPE SUMMARY PIVOT'!$G$2946:$G$3073, MATCH(HG$1,'STOPE SUMMARY PIVOT'!$A$2946:$A$3073, 0))</f>
        <v>0</v>
      </c>
      <c r="HH82" s="175">
        <f>INDEX('STOPE SUMMARY PIVOT'!$H$2946:$H$3073, MATCH(HG$1,'STOPE SUMMARY PIVOT'!$A$2946:$A$3073, 0))</f>
        <v>0</v>
      </c>
      <c r="HI82" s="154">
        <f>INDEX('STOPE SUMMARY PIVOT'!$G$2946:$G$3073, MATCH(HI$1,'STOPE SUMMARY PIVOT'!$A$2946:$A$3073, 0))</f>
        <v>0</v>
      </c>
      <c r="HJ82" s="175">
        <f>INDEX('STOPE SUMMARY PIVOT'!$H$2946:$H$3073, MATCH(HI$1,'STOPE SUMMARY PIVOT'!$A$2946:$A$3073, 0))</f>
        <v>0</v>
      </c>
      <c r="HK82" s="154">
        <f>INDEX('STOPE SUMMARY PIVOT'!$G$2946:$G$3073, MATCH(HK$1,'STOPE SUMMARY PIVOT'!$A$2946:$A$3073, 0))</f>
        <v>0</v>
      </c>
      <c r="HL82" s="175">
        <f>INDEX('STOPE SUMMARY PIVOT'!$H$2946:$H$3073, MATCH(HK$1,'STOPE SUMMARY PIVOT'!$A$2946:$A$3073, 0))</f>
        <v>0</v>
      </c>
      <c r="HM82" s="154">
        <f>INDEX('STOPE SUMMARY PIVOT'!$G$2946:$G$3073, MATCH(HM$1,'STOPE SUMMARY PIVOT'!$A$2946:$A$3073, 0))</f>
        <v>0</v>
      </c>
      <c r="HN82" s="175">
        <f>INDEX('STOPE SUMMARY PIVOT'!$H$2946:$H$3073, MATCH(HM$1,'STOPE SUMMARY PIVOT'!$A$2946:$A$3073, 0))</f>
        <v>0</v>
      </c>
      <c r="HO82" s="154">
        <f>INDEX('STOPE SUMMARY PIVOT'!$G$2946:$G$3073, MATCH(HO$1,'STOPE SUMMARY PIVOT'!$A$2946:$A$3073, 0))</f>
        <v>0</v>
      </c>
      <c r="HP82" s="175">
        <f>INDEX('STOPE SUMMARY PIVOT'!$H$2946:$H$3073, MATCH(HO$1,'STOPE SUMMARY PIVOT'!$A$2946:$A$3073, 0))</f>
        <v>0</v>
      </c>
      <c r="HQ82" s="154">
        <f>INDEX('STOPE SUMMARY PIVOT'!$G$2946:$G$3073, MATCH(HQ$1,'STOPE SUMMARY PIVOT'!$A$2946:$A$3073, 0))</f>
        <v>0</v>
      </c>
      <c r="HR82" s="175">
        <f>INDEX('STOPE SUMMARY PIVOT'!$H$2946:$H$3073, MATCH(HQ$1,'STOPE SUMMARY PIVOT'!$A$2946:$A$3073, 0))</f>
        <v>0</v>
      </c>
      <c r="HS82" s="154">
        <f>INDEX('STOPE SUMMARY PIVOT'!$G$2946:$G$3073, MATCH(HS$1,'STOPE SUMMARY PIVOT'!$A$2946:$A$3073, 0))</f>
        <v>0</v>
      </c>
      <c r="HT82" s="175">
        <f>INDEX('STOPE SUMMARY PIVOT'!$H$2946:$H$3073, MATCH(HS$1,'STOPE SUMMARY PIVOT'!$A$2946:$A$3073, 0))</f>
        <v>0</v>
      </c>
      <c r="HU82" s="154">
        <f>INDEX('STOPE SUMMARY PIVOT'!$G$2946:$G$3073, MATCH(HU$1,'STOPE SUMMARY PIVOT'!$A$2946:$A$3073, 0))</f>
        <v>0</v>
      </c>
      <c r="HV82" s="175">
        <f>INDEX('STOPE SUMMARY PIVOT'!$H$2946:$H$3073, MATCH(HU$1,'STOPE SUMMARY PIVOT'!$A$2946:$A$3073, 0))</f>
        <v>0</v>
      </c>
      <c r="HW82" s="154">
        <f>INDEX('STOPE SUMMARY PIVOT'!$G$2946:$G$3073, MATCH(HW$1,'STOPE SUMMARY PIVOT'!$A$2946:$A$3073, 0))</f>
        <v>0</v>
      </c>
      <c r="HX82" s="175">
        <f>INDEX('STOPE SUMMARY PIVOT'!$H$2946:$H$3073, MATCH(HW$1,'STOPE SUMMARY PIVOT'!$A$2946:$A$3073, 0))</f>
        <v>0</v>
      </c>
      <c r="HY82" s="154">
        <f>INDEX('STOPE SUMMARY PIVOT'!$G$2946:$G$3073, MATCH(HY$1,'STOPE SUMMARY PIVOT'!$A$2946:$A$3073, 0))</f>
        <v>0</v>
      </c>
      <c r="HZ82" s="175">
        <f>INDEX('STOPE SUMMARY PIVOT'!$H$2946:$H$3073, MATCH(HY$1,'STOPE SUMMARY PIVOT'!$A$2946:$A$3073, 0))</f>
        <v>0</v>
      </c>
      <c r="IA82" s="154">
        <f>INDEX('STOPE SUMMARY PIVOT'!$G$2946:$G$3073, MATCH(IA$1,'STOPE SUMMARY PIVOT'!$A$2946:$A$3073, 0))</f>
        <v>0</v>
      </c>
      <c r="IB82" s="175">
        <f>INDEX('STOPE SUMMARY PIVOT'!$H$2946:$H$3073, MATCH(IA$1,'STOPE SUMMARY PIVOT'!$A$2946:$A$3073, 0))</f>
        <v>0</v>
      </c>
      <c r="IC82" s="154">
        <f>INDEX('STOPE SUMMARY PIVOT'!$G$2946:$G$3073, MATCH(IC$1,'STOPE SUMMARY PIVOT'!$A$2946:$A$3073, 0))</f>
        <v>0</v>
      </c>
      <c r="ID82" s="175">
        <f>INDEX('STOPE SUMMARY PIVOT'!$H$2946:$H$3073, MATCH(IC$1,'STOPE SUMMARY PIVOT'!$A$2946:$A$3073, 0))</f>
        <v>0</v>
      </c>
      <c r="IE82" s="154">
        <f>INDEX('STOPE SUMMARY PIVOT'!$G$2946:$G$3073, MATCH(IE$1,'STOPE SUMMARY PIVOT'!$A$2946:$A$3073, 0))</f>
        <v>0</v>
      </c>
      <c r="IF82" s="175">
        <f>INDEX('STOPE SUMMARY PIVOT'!$H$2946:$H$3073, MATCH(IE$1,'STOPE SUMMARY PIVOT'!$A$2946:$A$3073, 0))</f>
        <v>0</v>
      </c>
      <c r="IG82" s="154">
        <f>INDEX('STOPE SUMMARY PIVOT'!$G$2946:$G$3073, MATCH(IG$1,'STOPE SUMMARY PIVOT'!$A$2946:$A$3073, 0))</f>
        <v>0</v>
      </c>
      <c r="IH82" s="175">
        <f>INDEX('STOPE SUMMARY PIVOT'!$H$2946:$H$3073, MATCH(IG$1,'STOPE SUMMARY PIVOT'!$A$2946:$A$3073, 0))</f>
        <v>0</v>
      </c>
      <c r="II82" s="154">
        <f>INDEX('STOPE SUMMARY PIVOT'!$G$2946:$G$3073, MATCH(II$1,'STOPE SUMMARY PIVOT'!$A$2946:$A$3073, 0))</f>
        <v>0</v>
      </c>
      <c r="IJ82" s="175">
        <f>INDEX('STOPE SUMMARY PIVOT'!$H$2946:$H$3073, MATCH(II$1,'STOPE SUMMARY PIVOT'!$A$2946:$A$3073, 0))</f>
        <v>0</v>
      </c>
      <c r="IK82" s="154">
        <f>INDEX('STOPE SUMMARY PIVOT'!$G$2946:$G$3073, MATCH(IK$1,'STOPE SUMMARY PIVOT'!$A$2946:$A$3073, 0))</f>
        <v>0</v>
      </c>
      <c r="IL82" s="175">
        <f>INDEX('STOPE SUMMARY PIVOT'!$H$2946:$H$3073, MATCH(IK$1,'STOPE SUMMARY PIVOT'!$A$2946:$A$3073, 0))</f>
        <v>0</v>
      </c>
      <c r="IM82" s="154">
        <f>INDEX('STOPE SUMMARY PIVOT'!$G$2946:$G$3073, MATCH(IM$1,'STOPE SUMMARY PIVOT'!$A$2946:$A$3073, 0))</f>
        <v>0</v>
      </c>
      <c r="IN82" s="175">
        <f>INDEX('STOPE SUMMARY PIVOT'!$H$2946:$H$3073, MATCH(IM$1,'STOPE SUMMARY PIVOT'!$A$2946:$A$3073, 0))</f>
        <v>0</v>
      </c>
      <c r="IO82" s="154">
        <f>INDEX('STOPE SUMMARY PIVOT'!$G$2946:$G$3073, MATCH(IO$1,'STOPE SUMMARY PIVOT'!$A$2946:$A$3073, 0))</f>
        <v>0</v>
      </c>
      <c r="IP82" s="175">
        <f>INDEX('STOPE SUMMARY PIVOT'!$H$2946:$H$3073, MATCH(IO$1,'STOPE SUMMARY PIVOT'!$A$2946:$A$3073, 0))</f>
        <v>0</v>
      </c>
      <c r="IQ82" s="154">
        <f>INDEX('STOPE SUMMARY PIVOT'!$G$2946:$G$3073, MATCH(IQ$1,'STOPE SUMMARY PIVOT'!$A$2946:$A$3073, 0))</f>
        <v>0</v>
      </c>
      <c r="IR82" s="175">
        <f>INDEX('STOPE SUMMARY PIVOT'!$H$2946:$H$3073, MATCH(IQ$1,'STOPE SUMMARY PIVOT'!$A$2946:$A$3073, 0))</f>
        <v>0</v>
      </c>
      <c r="IS82" s="154">
        <f>INDEX('STOPE SUMMARY PIVOT'!$G$2946:$G$3073, MATCH(IS$1,'STOPE SUMMARY PIVOT'!$A$2946:$A$3073, 0))</f>
        <v>0</v>
      </c>
      <c r="IT82" s="175">
        <f>INDEX('STOPE SUMMARY PIVOT'!$H$2946:$H$3073, MATCH(IS$1,'STOPE SUMMARY PIVOT'!$A$2946:$A$3073, 0))</f>
        <v>0</v>
      </c>
      <c r="IU82" s="154">
        <f>INDEX('STOPE SUMMARY PIVOT'!$G$2946:$G$3073, MATCH(IU$1,'STOPE SUMMARY PIVOT'!$A$2946:$A$3073, 0))</f>
        <v>0</v>
      </c>
      <c r="IV82" s="175">
        <f>INDEX('STOPE SUMMARY PIVOT'!$H$2946:$H$3073, MATCH(IU$1,'STOPE SUMMARY PIVOT'!$A$2946:$A$3073, 0))</f>
        <v>0</v>
      </c>
      <c r="IW82" s="154">
        <f>INDEX('STOPE SUMMARY PIVOT'!$G$2946:$G$3073, MATCH(IW$1,'STOPE SUMMARY PIVOT'!$A$2946:$A$3073, 0))</f>
        <v>0</v>
      </c>
      <c r="IX82" s="175">
        <f>INDEX('STOPE SUMMARY PIVOT'!$H$2946:$H$3073, MATCH(IW$1,'STOPE SUMMARY PIVOT'!$A$2946:$A$3073, 0))</f>
        <v>0</v>
      </c>
      <c r="IY82" s="154">
        <f>INDEX('STOPE SUMMARY PIVOT'!$G$2946:$G$3073, MATCH(IY$1,'STOPE SUMMARY PIVOT'!$A$2946:$A$3073, 0))</f>
        <v>0</v>
      </c>
      <c r="IZ82" s="175">
        <f>INDEX('STOPE SUMMARY PIVOT'!$H$2946:$H$3073, MATCH(IY$1,'STOPE SUMMARY PIVOT'!$A$2946:$A$3073, 0))</f>
        <v>0</v>
      </c>
    </row>
    <row r="83" spans="1:260" ht="15.75" thickBot="1" x14ac:dyDescent="0.3">
      <c r="A83" s="1591"/>
      <c r="B83" s="169" t="s">
        <v>5</v>
      </c>
      <c r="C83" s="170" cm="1">
        <f t="array" ref="C83">SUM(_xlfn._xlws.FILTER(E83:IZ83, MOD(COLUMN(E83:IZ83)-COLUMN(E83)+1,2)=1))</f>
        <v>0</v>
      </c>
      <c r="D83" s="171" t="str" cm="1">
        <f t="array" ref="D83">IFERROR(SUMPRODUCT(_xlfn._xlws.FILTER(E83:IZ83, MOD(COLUMN(E83:IZ83)-COLUMN(E83)+1,2)=1), _xlfn._xlws.FILTER(E83:IZ83, MOD(COLUMN(E83:IZ83)-COLUMN(E83)+1,2)=0))/C83,"")</f>
        <v/>
      </c>
      <c r="E83" s="172">
        <f>INDEX('STOPE SUMMARY PIVOT'!$J$2946:$J$3073, MATCH(E$1,'STOPE SUMMARY PIVOT'!$A$2946:$A$3073, 0))</f>
        <v>0</v>
      </c>
      <c r="F83" s="176">
        <f>INDEX('STOPE SUMMARY PIVOT'!$K$2946:$K$3073, MATCH(E$1,'STOPE SUMMARY PIVOT'!$A$2946:$A$3073, 0))</f>
        <v>0</v>
      </c>
      <c r="G83" s="172">
        <f>INDEX('STOPE SUMMARY PIVOT'!$J$2946:$J$3073, MATCH(G$1,'STOPE SUMMARY PIVOT'!$A$2946:$A$3073, 0))</f>
        <v>0</v>
      </c>
      <c r="H83" s="176">
        <f>INDEX('STOPE SUMMARY PIVOT'!$K$2946:$K$3073, MATCH(G$1,'STOPE SUMMARY PIVOT'!$A$2946:$A$3073, 0))</f>
        <v>0</v>
      </c>
      <c r="I83" s="172">
        <f>INDEX('STOPE SUMMARY PIVOT'!$J$2946:$J$3073, MATCH(I$1,'STOPE SUMMARY PIVOT'!$A$2946:$A$3073, 0))</f>
        <v>0</v>
      </c>
      <c r="J83" s="173">
        <f>INDEX('STOPE SUMMARY PIVOT'!$K$2946:$K$3073, MATCH(I$1,'STOPE SUMMARY PIVOT'!$A$2946:$A$3073, 0))</f>
        <v>0</v>
      </c>
      <c r="K83" s="172">
        <f>INDEX('STOPE SUMMARY PIVOT'!$J$2946:$J$3073, MATCH(K$1,'STOPE SUMMARY PIVOT'!$A$2946:$A$3073, 0))</f>
        <v>0</v>
      </c>
      <c r="L83" s="173">
        <f>INDEX('STOPE SUMMARY PIVOT'!$K$2946:$K$3073, MATCH(K$1,'STOPE SUMMARY PIVOT'!$A$2946:$A$3073, 0))</f>
        <v>0</v>
      </c>
      <c r="M83" s="172">
        <f>INDEX('STOPE SUMMARY PIVOT'!$J$2946:$J$3073, MATCH(M$1,'STOPE SUMMARY PIVOT'!$A$2946:$A$3073, 0))</f>
        <v>0</v>
      </c>
      <c r="N83" s="173">
        <f>INDEX('STOPE SUMMARY PIVOT'!$K$2946:$K$3073, MATCH(M$1,'STOPE SUMMARY PIVOT'!$A$2946:$A$3073, 0))</f>
        <v>0</v>
      </c>
      <c r="O83" s="172">
        <f>INDEX('STOPE SUMMARY PIVOT'!$J$2946:$J$3073, MATCH(O$1,'STOPE SUMMARY PIVOT'!$A$2946:$A$3073, 0))</f>
        <v>0</v>
      </c>
      <c r="P83" s="173">
        <f>INDEX('STOPE SUMMARY PIVOT'!$K$2946:$K$3073, MATCH(O$1,'STOPE SUMMARY PIVOT'!$A$2946:$A$3073, 0))</f>
        <v>0</v>
      </c>
      <c r="Q83" s="172">
        <f>INDEX('STOPE SUMMARY PIVOT'!$J$2946:$J$3073, MATCH(Q$1,'STOPE SUMMARY PIVOT'!$A$2946:$A$3073, 0))</f>
        <v>0</v>
      </c>
      <c r="R83" s="173">
        <f>INDEX('STOPE SUMMARY PIVOT'!$K$2946:$K$3073, MATCH(Q$1,'STOPE SUMMARY PIVOT'!$A$2946:$A$3073, 0))</f>
        <v>0</v>
      </c>
      <c r="S83" s="172">
        <f>INDEX('STOPE SUMMARY PIVOT'!$J$2946:$J$3073, MATCH(S$1,'STOPE SUMMARY PIVOT'!$A$2946:$A$3073, 0))</f>
        <v>0</v>
      </c>
      <c r="T83" s="173">
        <f>INDEX('STOPE SUMMARY PIVOT'!$K$2946:$K$3073, MATCH(S$1,'STOPE SUMMARY PIVOT'!$A$2946:$A$3073, 0))</f>
        <v>0</v>
      </c>
      <c r="U83" s="172">
        <f>INDEX('STOPE SUMMARY PIVOT'!$J$2946:$J$3073, MATCH(U$1,'STOPE SUMMARY PIVOT'!$A$2946:$A$3073, 0))</f>
        <v>0</v>
      </c>
      <c r="V83" s="176">
        <f>INDEX('STOPE SUMMARY PIVOT'!$K$2946:$K$3073, MATCH(U$1,'STOPE SUMMARY PIVOT'!$A$2946:$A$3073, 0))</f>
        <v>0</v>
      </c>
      <c r="W83" s="172">
        <f>INDEX('STOPE SUMMARY PIVOT'!$J$2946:$J$3073, MATCH(W$1,'STOPE SUMMARY PIVOT'!$A$2946:$A$3073, 0))</f>
        <v>0</v>
      </c>
      <c r="X83" s="176">
        <f>INDEX('STOPE SUMMARY PIVOT'!$K$2946:$K$3073, MATCH(W$1,'STOPE SUMMARY PIVOT'!$A$2946:$A$3073, 0))</f>
        <v>0</v>
      </c>
      <c r="Y83" s="172">
        <f>INDEX('STOPE SUMMARY PIVOT'!$J$2946:$J$3073, MATCH(Y$1,'STOPE SUMMARY PIVOT'!$A$2946:$A$3073, 0))</f>
        <v>0</v>
      </c>
      <c r="Z83" s="176">
        <f>INDEX('STOPE SUMMARY PIVOT'!$K$2946:$K$3073, MATCH(Y$1,'STOPE SUMMARY PIVOT'!$A$2946:$A$3073, 0))</f>
        <v>0</v>
      </c>
      <c r="AA83" s="172">
        <f>INDEX('STOPE SUMMARY PIVOT'!$J$2946:$J$3073, MATCH(AA$1,'STOPE SUMMARY PIVOT'!$A$2946:$A$3073, 0))</f>
        <v>0</v>
      </c>
      <c r="AB83" s="176">
        <f>INDEX('STOPE SUMMARY PIVOT'!$K$2946:$K$3073, MATCH(AA$1,'STOPE SUMMARY PIVOT'!$A$2946:$A$3073, 0))</f>
        <v>0</v>
      </c>
      <c r="AC83" s="172">
        <f>INDEX('STOPE SUMMARY PIVOT'!$J$2946:$J$3073, MATCH(AC$1,'STOPE SUMMARY PIVOT'!$A$2946:$A$3073, 0))</f>
        <v>0</v>
      </c>
      <c r="AD83" s="176">
        <f>INDEX('STOPE SUMMARY PIVOT'!$K$2946:$K$3073, MATCH(AC$1,'STOPE SUMMARY PIVOT'!$A$2946:$A$3073, 0))</f>
        <v>0</v>
      </c>
      <c r="AE83" s="172">
        <f>INDEX('STOPE SUMMARY PIVOT'!$J$2946:$J$3073, MATCH(AE$1,'STOPE SUMMARY PIVOT'!$A$2946:$A$3073, 0))</f>
        <v>0</v>
      </c>
      <c r="AF83" s="176">
        <f>INDEX('STOPE SUMMARY PIVOT'!$K$2946:$K$3073, MATCH(AE$1,'STOPE SUMMARY PIVOT'!$A$2946:$A$3073, 0))</f>
        <v>0</v>
      </c>
      <c r="AG83" s="172">
        <f>INDEX('STOPE SUMMARY PIVOT'!$J$2946:$J$3073, MATCH(AG$1,'STOPE SUMMARY PIVOT'!$A$2946:$A$3073, 0))</f>
        <v>0</v>
      </c>
      <c r="AH83" s="176">
        <f>INDEX('STOPE SUMMARY PIVOT'!$K$2946:$K$3073, MATCH(AG$1,'STOPE SUMMARY PIVOT'!$A$2946:$A$3073, 0))</f>
        <v>0</v>
      </c>
      <c r="AI83" s="172">
        <f>INDEX('STOPE SUMMARY PIVOT'!$J$2946:$J$3073, MATCH(AI$1,'STOPE SUMMARY PIVOT'!$A$2946:$A$3073, 0))</f>
        <v>0</v>
      </c>
      <c r="AJ83" s="176">
        <f>INDEX('STOPE SUMMARY PIVOT'!$K$2946:$K$3073, MATCH(AI$1,'STOPE SUMMARY PIVOT'!$A$2946:$A$3073, 0))</f>
        <v>0</v>
      </c>
      <c r="AK83" s="172">
        <f>INDEX('STOPE SUMMARY PIVOT'!$J$2946:$J$3073, MATCH(AK$1,'STOPE SUMMARY PIVOT'!$A$2946:$A$3073, 0))</f>
        <v>0</v>
      </c>
      <c r="AL83" s="176">
        <f>INDEX('STOPE SUMMARY PIVOT'!$K$2946:$K$3073, MATCH(AK$1,'STOPE SUMMARY PIVOT'!$A$2946:$A$3073, 0))</f>
        <v>0</v>
      </c>
      <c r="AM83" s="172">
        <f>INDEX('STOPE SUMMARY PIVOT'!$J$2946:$J$3073, MATCH(AM$1,'STOPE SUMMARY PIVOT'!$A$2946:$A$3073, 0))</f>
        <v>0</v>
      </c>
      <c r="AN83" s="176">
        <f>INDEX('STOPE SUMMARY PIVOT'!$K$2946:$K$3073, MATCH(AM$1,'STOPE SUMMARY PIVOT'!$A$2946:$A$3073, 0))</f>
        <v>0</v>
      </c>
      <c r="AO83" s="172">
        <f>INDEX('STOPE SUMMARY PIVOT'!$J$2946:$J$3073, MATCH(AO$1,'STOPE SUMMARY PIVOT'!$A$2946:$A$3073, 0))</f>
        <v>0</v>
      </c>
      <c r="AP83" s="176">
        <f>INDEX('STOPE SUMMARY PIVOT'!$K$2946:$K$3073, MATCH(AO$1,'STOPE SUMMARY PIVOT'!$A$2946:$A$3073, 0))</f>
        <v>0</v>
      </c>
      <c r="AQ83" s="172">
        <f>INDEX('STOPE SUMMARY PIVOT'!$J$2946:$J$3073, MATCH(AQ$1,'STOPE SUMMARY PIVOT'!$A$2946:$A$3073, 0))</f>
        <v>0</v>
      </c>
      <c r="AR83" s="176">
        <f>INDEX('STOPE SUMMARY PIVOT'!$K$2946:$K$3073, MATCH(AQ$1,'STOPE SUMMARY PIVOT'!$A$2946:$A$3073, 0))</f>
        <v>0</v>
      </c>
      <c r="AS83" s="172">
        <f>INDEX('STOPE SUMMARY PIVOT'!$J$2946:$J$3073, MATCH(AS$1,'STOPE SUMMARY PIVOT'!$A$2946:$A$3073, 0))</f>
        <v>0</v>
      </c>
      <c r="AT83" s="176">
        <f>INDEX('STOPE SUMMARY PIVOT'!$K$2946:$K$3073, MATCH(AS$1,'STOPE SUMMARY PIVOT'!$A$2946:$A$3073, 0))</f>
        <v>0</v>
      </c>
      <c r="AU83" s="172">
        <f>INDEX('STOPE SUMMARY PIVOT'!$J$2946:$J$3073, MATCH(AU$1,'STOPE SUMMARY PIVOT'!$A$2946:$A$3073, 0))</f>
        <v>0</v>
      </c>
      <c r="AV83" s="176">
        <f>INDEX('STOPE SUMMARY PIVOT'!$K$2946:$K$3073, MATCH(AU$1,'STOPE SUMMARY PIVOT'!$A$2946:$A$3073, 0))</f>
        <v>0</v>
      </c>
      <c r="AW83" s="172">
        <f>INDEX('STOPE SUMMARY PIVOT'!$J$2946:$J$3073, MATCH(AW$1,'STOPE SUMMARY PIVOT'!$A$2946:$A$3073, 0))</f>
        <v>0</v>
      </c>
      <c r="AX83" s="176">
        <f>INDEX('STOPE SUMMARY PIVOT'!$K$2946:$K$3073, MATCH(AW$1,'STOPE SUMMARY PIVOT'!$A$2946:$A$3073, 0))</f>
        <v>0</v>
      </c>
      <c r="AY83" s="172">
        <f>INDEX('STOPE SUMMARY PIVOT'!$J$2946:$J$3073, MATCH(AY$1,'STOPE SUMMARY PIVOT'!$A$2946:$A$3073, 0))</f>
        <v>0</v>
      </c>
      <c r="AZ83" s="176">
        <f>INDEX('STOPE SUMMARY PIVOT'!$K$2946:$K$3073, MATCH(AY$1,'STOPE SUMMARY PIVOT'!$A$2946:$A$3073, 0))</f>
        <v>0</v>
      </c>
      <c r="BA83" s="172">
        <f>INDEX('STOPE SUMMARY PIVOT'!$J$2946:$J$3073, MATCH(BA$1,'STOPE SUMMARY PIVOT'!$A$2946:$A$3073, 0))</f>
        <v>0</v>
      </c>
      <c r="BB83" s="176">
        <f>INDEX('STOPE SUMMARY PIVOT'!$K$2946:$K$3073, MATCH(BA$1,'STOPE SUMMARY PIVOT'!$A$2946:$A$3073, 0))</f>
        <v>0</v>
      </c>
      <c r="BC83" s="172">
        <f>INDEX('STOPE SUMMARY PIVOT'!$J$2946:$J$3073, MATCH(BC$1,'STOPE SUMMARY PIVOT'!$A$2946:$A$3073, 0))</f>
        <v>0</v>
      </c>
      <c r="BD83" s="176">
        <f>INDEX('STOPE SUMMARY PIVOT'!$K$2946:$K$3073, MATCH(BC$1,'STOPE SUMMARY PIVOT'!$A$2946:$A$3073, 0))</f>
        <v>0</v>
      </c>
      <c r="BE83" s="172">
        <f>INDEX('STOPE SUMMARY PIVOT'!$J$2946:$J$3073, MATCH(BE$1,'STOPE SUMMARY PIVOT'!$A$2946:$A$3073, 0))</f>
        <v>0</v>
      </c>
      <c r="BF83" s="176">
        <f>INDEX('STOPE SUMMARY PIVOT'!$K$2946:$K$3073, MATCH(BE$1,'STOPE SUMMARY PIVOT'!$A$2946:$A$3073, 0))</f>
        <v>0</v>
      </c>
      <c r="BG83" s="172">
        <f>INDEX('STOPE SUMMARY PIVOT'!$J$2946:$J$3073, MATCH(BG$1,'STOPE SUMMARY PIVOT'!$A$2946:$A$3073, 0))</f>
        <v>0</v>
      </c>
      <c r="BH83" s="176">
        <f>INDEX('STOPE SUMMARY PIVOT'!$K$2946:$K$3073, MATCH(BG$1,'STOPE SUMMARY PIVOT'!$A$2946:$A$3073, 0))</f>
        <v>0</v>
      </c>
      <c r="BI83" s="172">
        <f>INDEX('STOPE SUMMARY PIVOT'!$J$2946:$J$3073, MATCH(BI$1,'STOPE SUMMARY PIVOT'!$A$2946:$A$3073, 0))</f>
        <v>0</v>
      </c>
      <c r="BJ83" s="176">
        <f>INDEX('STOPE SUMMARY PIVOT'!$K$2946:$K$3073, MATCH(BI$1,'STOPE SUMMARY PIVOT'!$A$2946:$A$3073, 0))</f>
        <v>0</v>
      </c>
      <c r="BK83" s="172">
        <f>INDEX('STOPE SUMMARY PIVOT'!$J$2946:$J$3073, MATCH(BK$1,'STOPE SUMMARY PIVOT'!$A$2946:$A$3073, 0))</f>
        <v>0</v>
      </c>
      <c r="BL83" s="176">
        <f>INDEX('STOPE SUMMARY PIVOT'!$K$2946:$K$3073, MATCH(BK$1,'STOPE SUMMARY PIVOT'!$A$2946:$A$3073, 0))</f>
        <v>0</v>
      </c>
      <c r="BM83" s="172">
        <f>INDEX('STOPE SUMMARY PIVOT'!$J$2946:$J$3073, MATCH(BM$1,'STOPE SUMMARY PIVOT'!$A$2946:$A$3073, 0))</f>
        <v>0</v>
      </c>
      <c r="BN83" s="176">
        <f>INDEX('STOPE SUMMARY PIVOT'!$K$2946:$K$3073, MATCH(BM$1,'STOPE SUMMARY PIVOT'!$A$2946:$A$3073, 0))</f>
        <v>0</v>
      </c>
      <c r="BO83" s="172">
        <f>INDEX('STOPE SUMMARY PIVOT'!$J$2946:$J$3073, MATCH(BO$1,'STOPE SUMMARY PIVOT'!$A$2946:$A$3073, 0))</f>
        <v>0</v>
      </c>
      <c r="BP83" s="176">
        <f>INDEX('STOPE SUMMARY PIVOT'!$K$2946:$K$3073, MATCH(BO$1,'STOPE SUMMARY PIVOT'!$A$2946:$A$3073, 0))</f>
        <v>0</v>
      </c>
      <c r="BQ83" s="172">
        <f>INDEX('STOPE SUMMARY PIVOT'!$J$2946:$J$3073, MATCH(BQ$1,'STOPE SUMMARY PIVOT'!$A$2946:$A$3073, 0))</f>
        <v>0</v>
      </c>
      <c r="BR83" s="176">
        <f>INDEX('STOPE SUMMARY PIVOT'!$K$2946:$K$3073, MATCH(BQ$1,'STOPE SUMMARY PIVOT'!$A$2946:$A$3073, 0))</f>
        <v>0</v>
      </c>
      <c r="BS83" s="172">
        <f>INDEX('STOPE SUMMARY PIVOT'!$J$2946:$J$3073, MATCH(BS$1,'STOPE SUMMARY PIVOT'!$A$2946:$A$3073, 0))</f>
        <v>0</v>
      </c>
      <c r="BT83" s="176">
        <f>INDEX('STOPE SUMMARY PIVOT'!$K$2946:$K$3073, MATCH(BS$1,'STOPE SUMMARY PIVOT'!$A$2946:$A$3073, 0))</f>
        <v>0</v>
      </c>
      <c r="BU83" s="172">
        <f>INDEX('STOPE SUMMARY PIVOT'!$J$2946:$J$3073, MATCH(BU$1,'STOPE SUMMARY PIVOT'!$A$2946:$A$3073, 0))</f>
        <v>0</v>
      </c>
      <c r="BV83" s="176">
        <f>INDEX('STOPE SUMMARY PIVOT'!$K$2946:$K$3073, MATCH(BU$1,'STOPE SUMMARY PIVOT'!$A$2946:$A$3073, 0))</f>
        <v>0</v>
      </c>
      <c r="BW83" s="172">
        <f>INDEX('STOPE SUMMARY PIVOT'!$J$2946:$J$3073, MATCH(BW$1,'STOPE SUMMARY PIVOT'!$A$2946:$A$3073, 0))</f>
        <v>0</v>
      </c>
      <c r="BX83" s="176">
        <f>INDEX('STOPE SUMMARY PIVOT'!$K$2946:$K$3073, MATCH(BW$1,'STOPE SUMMARY PIVOT'!$A$2946:$A$3073, 0))</f>
        <v>0</v>
      </c>
      <c r="BY83" s="172">
        <f>INDEX('STOPE SUMMARY PIVOT'!$J$2946:$J$3073, MATCH(BY$1,'STOPE SUMMARY PIVOT'!$A$2946:$A$3073, 0))</f>
        <v>0</v>
      </c>
      <c r="BZ83" s="176">
        <f>INDEX('STOPE SUMMARY PIVOT'!$K$2946:$K$3073, MATCH(BY$1,'STOPE SUMMARY PIVOT'!$A$2946:$A$3073, 0))</f>
        <v>0</v>
      </c>
      <c r="CA83" s="172">
        <f>INDEX('STOPE SUMMARY PIVOT'!$J$2946:$J$3073, MATCH(CA$1,'STOPE SUMMARY PIVOT'!$A$2946:$A$3073, 0))</f>
        <v>0</v>
      </c>
      <c r="CB83" s="176">
        <f>INDEX('STOPE SUMMARY PIVOT'!$K$2946:$K$3073, MATCH(CA$1,'STOPE SUMMARY PIVOT'!$A$2946:$A$3073, 0))</f>
        <v>0</v>
      </c>
      <c r="CC83" s="172">
        <f>INDEX('STOPE SUMMARY PIVOT'!$J$2946:$J$3073, MATCH(CC$1,'STOPE SUMMARY PIVOT'!$A$2946:$A$3073, 0))</f>
        <v>0</v>
      </c>
      <c r="CD83" s="176">
        <f>INDEX('STOPE SUMMARY PIVOT'!$K$2946:$K$3073, MATCH(CC$1,'STOPE SUMMARY PIVOT'!$A$2946:$A$3073, 0))</f>
        <v>0</v>
      </c>
      <c r="CE83" s="172">
        <f>INDEX('STOPE SUMMARY PIVOT'!$J$2946:$J$3073, MATCH(CE$1,'STOPE SUMMARY PIVOT'!$A$2946:$A$3073, 0))</f>
        <v>0</v>
      </c>
      <c r="CF83" s="176">
        <f>INDEX('STOPE SUMMARY PIVOT'!$K$2946:$K$3073, MATCH(CE$1,'STOPE SUMMARY PIVOT'!$A$2946:$A$3073, 0))</f>
        <v>0</v>
      </c>
      <c r="CG83" s="172">
        <f>INDEX('STOPE SUMMARY PIVOT'!$J$2946:$J$3073, MATCH(CG$1,'STOPE SUMMARY PIVOT'!$A$2946:$A$3073, 0))</f>
        <v>0</v>
      </c>
      <c r="CH83" s="176">
        <f>INDEX('STOPE SUMMARY PIVOT'!$K$2946:$K$3073, MATCH(CG$1,'STOPE SUMMARY PIVOT'!$A$2946:$A$3073, 0))</f>
        <v>0</v>
      </c>
      <c r="CI83" s="172">
        <f>INDEX('STOPE SUMMARY PIVOT'!$J$2946:$J$3073, MATCH(CI$1,'STOPE SUMMARY PIVOT'!$A$2946:$A$3073, 0))</f>
        <v>0</v>
      </c>
      <c r="CJ83" s="176">
        <f>INDEX('STOPE SUMMARY PIVOT'!$K$2946:$K$3073, MATCH(CI$1,'STOPE SUMMARY PIVOT'!$A$2946:$A$3073, 0))</f>
        <v>0</v>
      </c>
      <c r="CK83" s="172">
        <f>INDEX('STOPE SUMMARY PIVOT'!$J$2946:$J$3073, MATCH(CK$1,'STOPE SUMMARY PIVOT'!$A$2946:$A$3073, 0))</f>
        <v>0</v>
      </c>
      <c r="CL83" s="176">
        <f>INDEX('STOPE SUMMARY PIVOT'!$K$2946:$K$3073, MATCH(CK$1,'STOPE SUMMARY PIVOT'!$A$2946:$A$3073, 0))</f>
        <v>0</v>
      </c>
      <c r="CM83" s="172">
        <f>INDEX('STOPE SUMMARY PIVOT'!$J$2946:$J$3073, MATCH(CM$1,'STOPE SUMMARY PIVOT'!$A$2946:$A$3073, 0))</f>
        <v>0</v>
      </c>
      <c r="CN83" s="176">
        <f>INDEX('STOPE SUMMARY PIVOT'!$K$2946:$K$3073, MATCH(CM$1,'STOPE SUMMARY PIVOT'!$A$2946:$A$3073, 0))</f>
        <v>0</v>
      </c>
      <c r="CO83" s="172">
        <f>INDEX('STOPE SUMMARY PIVOT'!$J$2946:$J$3073, MATCH(CO$1,'STOPE SUMMARY PIVOT'!$A$2946:$A$3073, 0))</f>
        <v>0</v>
      </c>
      <c r="CP83" s="176">
        <f>INDEX('STOPE SUMMARY PIVOT'!$K$2946:$K$3073, MATCH(CO$1,'STOPE SUMMARY PIVOT'!$A$2946:$A$3073, 0))</f>
        <v>0</v>
      </c>
      <c r="CQ83" s="172">
        <f>INDEX('STOPE SUMMARY PIVOT'!$J$2946:$J$3073, MATCH(CQ$1,'STOPE SUMMARY PIVOT'!$A$2946:$A$3073, 0))</f>
        <v>0</v>
      </c>
      <c r="CR83" s="176">
        <f>INDEX('STOPE SUMMARY PIVOT'!$K$2946:$K$3073, MATCH(CQ$1,'STOPE SUMMARY PIVOT'!$A$2946:$A$3073, 0))</f>
        <v>0</v>
      </c>
      <c r="CS83" s="172">
        <f>INDEX('STOPE SUMMARY PIVOT'!$J$2946:$J$3073, MATCH(CS$1,'STOPE SUMMARY PIVOT'!$A$2946:$A$3073, 0))</f>
        <v>0</v>
      </c>
      <c r="CT83" s="176">
        <f>INDEX('STOPE SUMMARY PIVOT'!$K$2946:$K$3073, MATCH(CS$1,'STOPE SUMMARY PIVOT'!$A$2946:$A$3073, 0))</f>
        <v>0</v>
      </c>
      <c r="CU83" s="172">
        <f>INDEX('STOPE SUMMARY PIVOT'!$J$2946:$J$3073, MATCH(CU$1,'STOPE SUMMARY PIVOT'!$A$2946:$A$3073, 0))</f>
        <v>0</v>
      </c>
      <c r="CV83" s="176">
        <f>INDEX('STOPE SUMMARY PIVOT'!$K$2946:$K$3073, MATCH(CU$1,'STOPE SUMMARY PIVOT'!$A$2946:$A$3073, 0))</f>
        <v>0</v>
      </c>
      <c r="CW83" s="172">
        <f>INDEX('STOPE SUMMARY PIVOT'!$J$2946:$J$3073, MATCH(CW$1,'STOPE SUMMARY PIVOT'!$A$2946:$A$3073, 0))</f>
        <v>0</v>
      </c>
      <c r="CX83" s="176">
        <f>INDEX('STOPE SUMMARY PIVOT'!$K$2946:$K$3073, MATCH(CW$1,'STOPE SUMMARY PIVOT'!$A$2946:$A$3073, 0))</f>
        <v>0</v>
      </c>
      <c r="CY83" s="172">
        <f>INDEX('STOPE SUMMARY PIVOT'!$J$2946:$J$3073, MATCH(CY$1,'STOPE SUMMARY PIVOT'!$A$2946:$A$3073, 0))</f>
        <v>0</v>
      </c>
      <c r="CZ83" s="176">
        <f>INDEX('STOPE SUMMARY PIVOT'!$K$2946:$K$3073, MATCH(CY$1,'STOPE SUMMARY PIVOT'!$A$2946:$A$3073, 0))</f>
        <v>0</v>
      </c>
      <c r="DA83" s="172">
        <f>INDEX('STOPE SUMMARY PIVOT'!$J$2946:$J$3073, MATCH(DA$1,'STOPE SUMMARY PIVOT'!$A$2946:$A$3073, 0))</f>
        <v>0</v>
      </c>
      <c r="DB83" s="176">
        <f>INDEX('STOPE SUMMARY PIVOT'!$K$2946:$K$3073, MATCH(DA$1,'STOPE SUMMARY PIVOT'!$A$2946:$A$3073, 0))</f>
        <v>0</v>
      </c>
      <c r="DC83" s="172">
        <f>INDEX('STOPE SUMMARY PIVOT'!$J$2946:$J$3073, MATCH(DC$1,'STOPE SUMMARY PIVOT'!$A$2946:$A$3073, 0))</f>
        <v>0</v>
      </c>
      <c r="DD83" s="176">
        <f>INDEX('STOPE SUMMARY PIVOT'!$K$2946:$K$3073, MATCH(DC$1,'STOPE SUMMARY PIVOT'!$A$2946:$A$3073, 0))</f>
        <v>0</v>
      </c>
      <c r="DE83" s="172">
        <f>INDEX('STOPE SUMMARY PIVOT'!$J$2946:$J$3073, MATCH(DE$1,'STOPE SUMMARY PIVOT'!$A$2946:$A$3073, 0))</f>
        <v>0</v>
      </c>
      <c r="DF83" s="176">
        <f>INDEX('STOPE SUMMARY PIVOT'!$K$2946:$K$3073, MATCH(DE$1,'STOPE SUMMARY PIVOT'!$A$2946:$A$3073, 0))</f>
        <v>0</v>
      </c>
      <c r="DG83" s="172">
        <f>INDEX('STOPE SUMMARY PIVOT'!$J$2946:$J$3073, MATCH(DG$1,'STOPE SUMMARY PIVOT'!$A$2946:$A$3073, 0))</f>
        <v>0</v>
      </c>
      <c r="DH83" s="176">
        <f>INDEX('STOPE SUMMARY PIVOT'!$K$2946:$K$3073, MATCH(DG$1,'STOPE SUMMARY PIVOT'!$A$2946:$A$3073, 0))</f>
        <v>0</v>
      </c>
      <c r="DI83" s="172">
        <f>INDEX('STOPE SUMMARY PIVOT'!$J$2946:$J$3073, MATCH(DI$1,'STOPE SUMMARY PIVOT'!$A$2946:$A$3073, 0))</f>
        <v>0</v>
      </c>
      <c r="DJ83" s="176">
        <f>INDEX('STOPE SUMMARY PIVOT'!$K$2946:$K$3073, MATCH(DI$1,'STOPE SUMMARY PIVOT'!$A$2946:$A$3073, 0))</f>
        <v>0</v>
      </c>
      <c r="DK83" s="172">
        <f>INDEX('STOPE SUMMARY PIVOT'!$J$2946:$J$3073, MATCH(DK$1,'STOPE SUMMARY PIVOT'!$A$2946:$A$3073, 0))</f>
        <v>0</v>
      </c>
      <c r="DL83" s="176">
        <f>INDEX('STOPE SUMMARY PIVOT'!$K$2946:$K$3073, MATCH(DK$1,'STOPE SUMMARY PIVOT'!$A$2946:$A$3073, 0))</f>
        <v>0</v>
      </c>
      <c r="DM83" s="172">
        <f>INDEX('STOPE SUMMARY PIVOT'!$J$2946:$J$3073, MATCH(DM$1,'STOPE SUMMARY PIVOT'!$A$2946:$A$3073, 0))</f>
        <v>0</v>
      </c>
      <c r="DN83" s="176">
        <f>INDEX('STOPE SUMMARY PIVOT'!$K$2946:$K$3073, MATCH(DM$1,'STOPE SUMMARY PIVOT'!$A$2946:$A$3073, 0))</f>
        <v>0</v>
      </c>
      <c r="DO83" s="172">
        <f>INDEX('STOPE SUMMARY PIVOT'!$J$2946:$J$3073, MATCH(DO$1,'STOPE SUMMARY PIVOT'!$A$2946:$A$3073, 0))</f>
        <v>0</v>
      </c>
      <c r="DP83" s="176">
        <f>INDEX('STOPE SUMMARY PIVOT'!$K$2946:$K$3073, MATCH(DO$1,'STOPE SUMMARY PIVOT'!$A$2946:$A$3073, 0))</f>
        <v>0</v>
      </c>
      <c r="DQ83" s="172">
        <f>INDEX('STOPE SUMMARY PIVOT'!$J$2946:$J$3073, MATCH(DQ$1,'STOPE SUMMARY PIVOT'!$A$2946:$A$3073, 0))</f>
        <v>0</v>
      </c>
      <c r="DR83" s="176">
        <f>INDEX('STOPE SUMMARY PIVOT'!$K$2946:$K$3073, MATCH(DQ$1,'STOPE SUMMARY PIVOT'!$A$2946:$A$3073, 0))</f>
        <v>0</v>
      </c>
      <c r="DS83" s="172">
        <f>INDEX('STOPE SUMMARY PIVOT'!$J$2946:$J$3073, MATCH(DS$1,'STOPE SUMMARY PIVOT'!$A$2946:$A$3073, 0))</f>
        <v>0</v>
      </c>
      <c r="DT83" s="176">
        <f>INDEX('STOPE SUMMARY PIVOT'!$K$2946:$K$3073, MATCH(DS$1,'STOPE SUMMARY PIVOT'!$A$2946:$A$3073, 0))</f>
        <v>0</v>
      </c>
      <c r="DU83" s="172">
        <f>INDEX('STOPE SUMMARY PIVOT'!$J$2946:$J$3073, MATCH(DU$1,'STOPE SUMMARY PIVOT'!$A$2946:$A$3073, 0))</f>
        <v>0</v>
      </c>
      <c r="DV83" s="176">
        <f>INDEX('STOPE SUMMARY PIVOT'!$K$2946:$K$3073, MATCH(DU$1,'STOPE SUMMARY PIVOT'!$A$2946:$A$3073, 0))</f>
        <v>0</v>
      </c>
      <c r="DW83" s="172">
        <f>INDEX('STOPE SUMMARY PIVOT'!$J$2946:$J$3073, MATCH(DW$1,'STOPE SUMMARY PIVOT'!$A$2946:$A$3073, 0))</f>
        <v>0</v>
      </c>
      <c r="DX83" s="176">
        <f>INDEX('STOPE SUMMARY PIVOT'!$K$2946:$K$3073, MATCH(DW$1,'STOPE SUMMARY PIVOT'!$A$2946:$A$3073, 0))</f>
        <v>0</v>
      </c>
      <c r="DY83" s="172">
        <f>INDEX('STOPE SUMMARY PIVOT'!$J$2946:$J$3073, MATCH(DY$1,'STOPE SUMMARY PIVOT'!$A$2946:$A$3073, 0))</f>
        <v>0</v>
      </c>
      <c r="DZ83" s="176">
        <f>INDEX('STOPE SUMMARY PIVOT'!$K$2946:$K$3073, MATCH(DY$1,'STOPE SUMMARY PIVOT'!$A$2946:$A$3073, 0))</f>
        <v>0</v>
      </c>
      <c r="EA83" s="172">
        <f>INDEX('STOPE SUMMARY PIVOT'!$J$2946:$J$3073, MATCH(EA$1,'STOPE SUMMARY PIVOT'!$A$2946:$A$3073, 0))</f>
        <v>0</v>
      </c>
      <c r="EB83" s="176">
        <f>INDEX('STOPE SUMMARY PIVOT'!$K$2946:$K$3073, MATCH(EA$1,'STOPE SUMMARY PIVOT'!$A$2946:$A$3073, 0))</f>
        <v>0</v>
      </c>
      <c r="EC83" s="172">
        <f>INDEX('STOPE SUMMARY PIVOT'!$J$2946:$J$3073, MATCH(EC$1,'STOPE SUMMARY PIVOT'!$A$2946:$A$3073, 0))</f>
        <v>0</v>
      </c>
      <c r="ED83" s="176">
        <f>INDEX('STOPE SUMMARY PIVOT'!$K$2946:$K$3073, MATCH(EC$1,'STOPE SUMMARY PIVOT'!$A$2946:$A$3073, 0))</f>
        <v>0</v>
      </c>
      <c r="EE83" s="172">
        <f>INDEX('STOPE SUMMARY PIVOT'!$J$2946:$J$3073, MATCH(EE$1,'STOPE SUMMARY PIVOT'!$A$2946:$A$3073, 0))</f>
        <v>0</v>
      </c>
      <c r="EF83" s="176">
        <f>INDEX('STOPE SUMMARY PIVOT'!$K$2946:$K$3073, MATCH(EE$1,'STOPE SUMMARY PIVOT'!$A$2946:$A$3073, 0))</f>
        <v>0</v>
      </c>
      <c r="EG83" s="172">
        <f>INDEX('STOPE SUMMARY PIVOT'!$J$2946:$J$3073, MATCH(EG$1,'STOPE SUMMARY PIVOT'!$A$2946:$A$3073, 0))</f>
        <v>0</v>
      </c>
      <c r="EH83" s="176">
        <f>INDEX('STOPE SUMMARY PIVOT'!$K$2946:$K$3073, MATCH(EG$1,'STOPE SUMMARY PIVOT'!$A$2946:$A$3073, 0))</f>
        <v>0</v>
      </c>
      <c r="EI83" s="172">
        <f>INDEX('STOPE SUMMARY PIVOT'!$J$2946:$J$3073, MATCH(EI$1,'STOPE SUMMARY PIVOT'!$A$2946:$A$3073, 0))</f>
        <v>0</v>
      </c>
      <c r="EJ83" s="176">
        <f>INDEX('STOPE SUMMARY PIVOT'!$K$2946:$K$3073, MATCH(EI$1,'STOPE SUMMARY PIVOT'!$A$2946:$A$3073, 0))</f>
        <v>0</v>
      </c>
      <c r="EK83" s="172">
        <f>INDEX('STOPE SUMMARY PIVOT'!$J$2946:$J$3073, MATCH(EK$1,'STOPE SUMMARY PIVOT'!$A$2946:$A$3073, 0))</f>
        <v>0</v>
      </c>
      <c r="EL83" s="176">
        <f>INDEX('STOPE SUMMARY PIVOT'!$K$2946:$K$3073, MATCH(EK$1,'STOPE SUMMARY PIVOT'!$A$2946:$A$3073, 0))</f>
        <v>0</v>
      </c>
      <c r="EM83" s="172">
        <f>INDEX('STOPE SUMMARY PIVOT'!$J$2946:$J$3073, MATCH(EM$1,'STOPE SUMMARY PIVOT'!$A$2946:$A$3073, 0))</f>
        <v>0</v>
      </c>
      <c r="EN83" s="176">
        <f>INDEX('STOPE SUMMARY PIVOT'!$K$2946:$K$3073, MATCH(EM$1,'STOPE SUMMARY PIVOT'!$A$2946:$A$3073, 0))</f>
        <v>0</v>
      </c>
      <c r="EO83" s="172">
        <f>INDEX('STOPE SUMMARY PIVOT'!$J$2946:$J$3073, MATCH(EO$1,'STOPE SUMMARY PIVOT'!$A$2946:$A$3073, 0))</f>
        <v>0</v>
      </c>
      <c r="EP83" s="176">
        <f>INDEX('STOPE SUMMARY PIVOT'!$K$2946:$K$3073, MATCH(EO$1,'STOPE SUMMARY PIVOT'!$A$2946:$A$3073, 0))</f>
        <v>0</v>
      </c>
      <c r="EQ83" s="172">
        <f>INDEX('STOPE SUMMARY PIVOT'!$J$2946:$J$3073, MATCH(EQ$1,'STOPE SUMMARY PIVOT'!$A$2946:$A$3073, 0))</f>
        <v>0</v>
      </c>
      <c r="ER83" s="176">
        <f>INDEX('STOPE SUMMARY PIVOT'!$K$2946:$K$3073, MATCH(EQ$1,'STOPE SUMMARY PIVOT'!$A$2946:$A$3073, 0))</f>
        <v>0</v>
      </c>
      <c r="ES83" s="172">
        <f>INDEX('STOPE SUMMARY PIVOT'!$J$2946:$J$3073, MATCH(ES$1,'STOPE SUMMARY PIVOT'!$A$2946:$A$3073, 0))</f>
        <v>0</v>
      </c>
      <c r="ET83" s="176">
        <f>INDEX('STOPE SUMMARY PIVOT'!$K$2946:$K$3073, MATCH(ES$1,'STOPE SUMMARY PIVOT'!$A$2946:$A$3073, 0))</f>
        <v>0</v>
      </c>
      <c r="EU83" s="172">
        <f>INDEX('STOPE SUMMARY PIVOT'!$J$2946:$J$3073, MATCH(EU$1,'STOPE SUMMARY PIVOT'!$A$2946:$A$3073, 0))</f>
        <v>0</v>
      </c>
      <c r="EV83" s="176">
        <f>INDEX('STOPE SUMMARY PIVOT'!$K$2946:$K$3073, MATCH(EU$1,'STOPE SUMMARY PIVOT'!$A$2946:$A$3073, 0))</f>
        <v>0</v>
      </c>
      <c r="EW83" s="172">
        <f>INDEX('STOPE SUMMARY PIVOT'!$J$2946:$J$3073, MATCH(EW$1,'STOPE SUMMARY PIVOT'!$A$2946:$A$3073, 0))</f>
        <v>0</v>
      </c>
      <c r="EX83" s="176">
        <f>INDEX('STOPE SUMMARY PIVOT'!$K$2946:$K$3073, MATCH(EW$1,'STOPE SUMMARY PIVOT'!$A$2946:$A$3073, 0))</f>
        <v>0</v>
      </c>
      <c r="EY83" s="172">
        <f>INDEX('STOPE SUMMARY PIVOT'!$J$2946:$J$3073, MATCH(EY$1,'STOPE SUMMARY PIVOT'!$A$2946:$A$3073, 0))</f>
        <v>0</v>
      </c>
      <c r="EZ83" s="176">
        <f>INDEX('STOPE SUMMARY PIVOT'!$K$2946:$K$3073, MATCH(EY$1,'STOPE SUMMARY PIVOT'!$A$2946:$A$3073, 0))</f>
        <v>0</v>
      </c>
      <c r="FA83" s="172">
        <f>INDEX('STOPE SUMMARY PIVOT'!$J$2946:$J$3073, MATCH(FA$1,'STOPE SUMMARY PIVOT'!$A$2946:$A$3073, 0))</f>
        <v>0</v>
      </c>
      <c r="FB83" s="176">
        <f>INDEX('STOPE SUMMARY PIVOT'!$K$2946:$K$3073, MATCH(FA$1,'STOPE SUMMARY PIVOT'!$A$2946:$A$3073, 0))</f>
        <v>0</v>
      </c>
      <c r="FC83" s="172">
        <f>INDEX('STOPE SUMMARY PIVOT'!$J$2946:$J$3073, MATCH(FC$1,'STOPE SUMMARY PIVOT'!$A$2946:$A$3073, 0))</f>
        <v>0</v>
      </c>
      <c r="FD83" s="176">
        <f>INDEX('STOPE SUMMARY PIVOT'!$K$2946:$K$3073, MATCH(FC$1,'STOPE SUMMARY PIVOT'!$A$2946:$A$3073, 0))</f>
        <v>0</v>
      </c>
      <c r="FE83" s="172">
        <f>INDEX('STOPE SUMMARY PIVOT'!$J$2946:$J$3073, MATCH(FE$1,'STOPE SUMMARY PIVOT'!$A$2946:$A$3073, 0))</f>
        <v>0</v>
      </c>
      <c r="FF83" s="176">
        <f>INDEX('STOPE SUMMARY PIVOT'!$K$2946:$K$3073, MATCH(FE$1,'STOPE SUMMARY PIVOT'!$A$2946:$A$3073, 0))</f>
        <v>0</v>
      </c>
      <c r="FG83" s="172">
        <f>INDEX('STOPE SUMMARY PIVOT'!$J$2946:$J$3073, MATCH(FG$1,'STOPE SUMMARY PIVOT'!$A$2946:$A$3073, 0))</f>
        <v>0</v>
      </c>
      <c r="FH83" s="176">
        <f>INDEX('STOPE SUMMARY PIVOT'!$K$2946:$K$3073, MATCH(FG$1,'STOPE SUMMARY PIVOT'!$A$2946:$A$3073, 0))</f>
        <v>0</v>
      </c>
      <c r="FI83" s="172">
        <f>INDEX('STOPE SUMMARY PIVOT'!$J$2946:$J$3073, MATCH(FI$1,'STOPE SUMMARY PIVOT'!$A$2946:$A$3073, 0))</f>
        <v>0</v>
      </c>
      <c r="FJ83" s="176">
        <f>INDEX('STOPE SUMMARY PIVOT'!$K$2946:$K$3073, MATCH(FI$1,'STOPE SUMMARY PIVOT'!$A$2946:$A$3073, 0))</f>
        <v>0</v>
      </c>
      <c r="FK83" s="172">
        <f>INDEX('STOPE SUMMARY PIVOT'!$J$2946:$J$3073, MATCH(FK$1,'STOPE SUMMARY PIVOT'!$A$2946:$A$3073, 0))</f>
        <v>0</v>
      </c>
      <c r="FL83" s="176">
        <f>INDEX('STOPE SUMMARY PIVOT'!$K$2946:$K$3073, MATCH(FK$1,'STOPE SUMMARY PIVOT'!$A$2946:$A$3073, 0))</f>
        <v>0</v>
      </c>
      <c r="FM83" s="172">
        <f>INDEX('STOPE SUMMARY PIVOT'!$J$2946:$J$3073, MATCH(FM$1,'STOPE SUMMARY PIVOT'!$A$2946:$A$3073, 0))</f>
        <v>0</v>
      </c>
      <c r="FN83" s="176">
        <f>INDEX('STOPE SUMMARY PIVOT'!$K$2946:$K$3073, MATCH(FM$1,'STOPE SUMMARY PIVOT'!$A$2946:$A$3073, 0))</f>
        <v>0</v>
      </c>
      <c r="FO83" s="172">
        <f>INDEX('STOPE SUMMARY PIVOT'!$J$2946:$J$3073, MATCH(FO$1,'STOPE SUMMARY PIVOT'!$A$2946:$A$3073, 0))</f>
        <v>0</v>
      </c>
      <c r="FP83" s="176">
        <f>INDEX('STOPE SUMMARY PIVOT'!$K$2946:$K$3073, MATCH(FO$1,'STOPE SUMMARY PIVOT'!$A$2946:$A$3073, 0))</f>
        <v>0</v>
      </c>
      <c r="FQ83" s="172">
        <f>INDEX('STOPE SUMMARY PIVOT'!$J$2946:$J$3073, MATCH(FQ$1,'STOPE SUMMARY PIVOT'!$A$2946:$A$3073, 0))</f>
        <v>0</v>
      </c>
      <c r="FR83" s="176">
        <f>INDEX('STOPE SUMMARY PIVOT'!$K$2946:$K$3073, MATCH(FQ$1,'STOPE SUMMARY PIVOT'!$A$2946:$A$3073, 0))</f>
        <v>0</v>
      </c>
      <c r="FS83" s="172">
        <f>INDEX('STOPE SUMMARY PIVOT'!$J$2946:$J$3073, MATCH(FS$1,'STOPE SUMMARY PIVOT'!$A$2946:$A$3073, 0))</f>
        <v>0</v>
      </c>
      <c r="FT83" s="176">
        <f>INDEX('STOPE SUMMARY PIVOT'!$K$2946:$K$3073, MATCH(FS$1,'STOPE SUMMARY PIVOT'!$A$2946:$A$3073, 0))</f>
        <v>0</v>
      </c>
      <c r="FU83" s="172">
        <f>INDEX('STOPE SUMMARY PIVOT'!$J$2946:$J$3073, MATCH(FU$1,'STOPE SUMMARY PIVOT'!$A$2946:$A$3073, 0))</f>
        <v>0</v>
      </c>
      <c r="FV83" s="176">
        <f>INDEX('STOPE SUMMARY PIVOT'!$K$2946:$K$3073, MATCH(FU$1,'STOPE SUMMARY PIVOT'!$A$2946:$A$3073, 0))</f>
        <v>0</v>
      </c>
      <c r="FW83" s="172">
        <f>INDEX('STOPE SUMMARY PIVOT'!$J$2946:$J$3073, MATCH(FW$1,'STOPE SUMMARY PIVOT'!$A$2946:$A$3073, 0))</f>
        <v>0</v>
      </c>
      <c r="FX83" s="176">
        <f>INDEX('STOPE SUMMARY PIVOT'!$K$2946:$K$3073, MATCH(FW$1,'STOPE SUMMARY PIVOT'!$A$2946:$A$3073, 0))</f>
        <v>0</v>
      </c>
      <c r="FY83" s="172">
        <f>INDEX('STOPE SUMMARY PIVOT'!$J$2946:$J$3073, MATCH(FY$1,'STOPE SUMMARY PIVOT'!$A$2946:$A$3073, 0))</f>
        <v>0</v>
      </c>
      <c r="FZ83" s="176">
        <f>INDEX('STOPE SUMMARY PIVOT'!$K$2946:$K$3073, MATCH(FY$1,'STOPE SUMMARY PIVOT'!$A$2946:$A$3073, 0))</f>
        <v>0</v>
      </c>
      <c r="GA83" s="172">
        <f>INDEX('STOPE SUMMARY PIVOT'!$J$2946:$J$3073, MATCH(GA$1,'STOPE SUMMARY PIVOT'!$A$2946:$A$3073, 0))</f>
        <v>0</v>
      </c>
      <c r="GB83" s="176">
        <f>INDEX('STOPE SUMMARY PIVOT'!$K$2946:$K$3073, MATCH(GA$1,'STOPE SUMMARY PIVOT'!$A$2946:$A$3073, 0))</f>
        <v>0</v>
      </c>
      <c r="GC83" s="172">
        <f>INDEX('STOPE SUMMARY PIVOT'!$J$2946:$J$3073, MATCH(GC$1,'STOPE SUMMARY PIVOT'!$A$2946:$A$3073, 0))</f>
        <v>0</v>
      </c>
      <c r="GD83" s="176">
        <f>INDEX('STOPE SUMMARY PIVOT'!$K$2946:$K$3073, MATCH(GC$1,'STOPE SUMMARY PIVOT'!$A$2946:$A$3073, 0))</f>
        <v>0</v>
      </c>
      <c r="GE83" s="172">
        <f>INDEX('STOPE SUMMARY PIVOT'!$J$2946:$J$3073, MATCH(GE$1,'STOPE SUMMARY PIVOT'!$A$2946:$A$3073, 0))</f>
        <v>0</v>
      </c>
      <c r="GF83" s="176">
        <f>INDEX('STOPE SUMMARY PIVOT'!$K$2946:$K$3073, MATCH(GE$1,'STOPE SUMMARY PIVOT'!$A$2946:$A$3073, 0))</f>
        <v>0</v>
      </c>
      <c r="GG83" s="172">
        <f>INDEX('STOPE SUMMARY PIVOT'!$J$2946:$J$3073, MATCH(GG$1,'STOPE SUMMARY PIVOT'!$A$2946:$A$3073, 0))</f>
        <v>0</v>
      </c>
      <c r="GH83" s="176">
        <f>INDEX('STOPE SUMMARY PIVOT'!$K$2946:$K$3073, MATCH(GG$1,'STOPE SUMMARY PIVOT'!$A$2946:$A$3073, 0))</f>
        <v>0</v>
      </c>
      <c r="GI83" s="172">
        <f>INDEX('STOPE SUMMARY PIVOT'!$J$2946:$J$3073, MATCH(GI$1,'STOPE SUMMARY PIVOT'!$A$2946:$A$3073, 0))</f>
        <v>0</v>
      </c>
      <c r="GJ83" s="176">
        <f>INDEX('STOPE SUMMARY PIVOT'!$K$2946:$K$3073, MATCH(GI$1,'STOPE SUMMARY PIVOT'!$A$2946:$A$3073, 0))</f>
        <v>0</v>
      </c>
      <c r="GK83" s="172">
        <f>INDEX('STOPE SUMMARY PIVOT'!$J$2946:$J$3073, MATCH(GK$1,'STOPE SUMMARY PIVOT'!$A$2946:$A$3073, 0))</f>
        <v>0</v>
      </c>
      <c r="GL83" s="176">
        <f>INDEX('STOPE SUMMARY PIVOT'!$K$2946:$K$3073, MATCH(GK$1,'STOPE SUMMARY PIVOT'!$A$2946:$A$3073, 0))</f>
        <v>0</v>
      </c>
      <c r="GM83" s="172">
        <f>INDEX('STOPE SUMMARY PIVOT'!$J$2946:$J$3073, MATCH(GM$1,'STOPE SUMMARY PIVOT'!$A$2946:$A$3073, 0))</f>
        <v>0</v>
      </c>
      <c r="GN83" s="176">
        <f>INDEX('STOPE SUMMARY PIVOT'!$K$2946:$K$3073, MATCH(GM$1,'STOPE SUMMARY PIVOT'!$A$2946:$A$3073, 0))</f>
        <v>0</v>
      </c>
      <c r="GO83" s="172">
        <f>INDEX('STOPE SUMMARY PIVOT'!$J$2946:$J$3073, MATCH(GO$1,'STOPE SUMMARY PIVOT'!$A$2946:$A$3073, 0))</f>
        <v>0</v>
      </c>
      <c r="GP83" s="176">
        <f>INDEX('STOPE SUMMARY PIVOT'!$K$2946:$K$3073, MATCH(GO$1,'STOPE SUMMARY PIVOT'!$A$2946:$A$3073, 0))</f>
        <v>0</v>
      </c>
      <c r="GQ83" s="172">
        <f>INDEX('STOPE SUMMARY PIVOT'!$J$2946:$J$3073, MATCH(GQ$1,'STOPE SUMMARY PIVOT'!$A$2946:$A$3073, 0))</f>
        <v>0</v>
      </c>
      <c r="GR83" s="176">
        <f>INDEX('STOPE SUMMARY PIVOT'!$K$2946:$K$3073, MATCH(GQ$1,'STOPE SUMMARY PIVOT'!$A$2946:$A$3073, 0))</f>
        <v>0</v>
      </c>
      <c r="GS83" s="172">
        <f>INDEX('STOPE SUMMARY PIVOT'!$J$2946:$J$3073, MATCH(GS$1,'STOPE SUMMARY PIVOT'!$A$2946:$A$3073, 0))</f>
        <v>0</v>
      </c>
      <c r="GT83" s="176">
        <f>INDEX('STOPE SUMMARY PIVOT'!$K$2946:$K$3073, MATCH(GS$1,'STOPE SUMMARY PIVOT'!$A$2946:$A$3073, 0))</f>
        <v>0</v>
      </c>
      <c r="GU83" s="172">
        <f>INDEX('STOPE SUMMARY PIVOT'!$J$2946:$J$3073, MATCH(GU$1,'STOPE SUMMARY PIVOT'!$A$2946:$A$3073, 0))</f>
        <v>0</v>
      </c>
      <c r="GV83" s="176">
        <f>INDEX('STOPE SUMMARY PIVOT'!$K$2946:$K$3073, MATCH(GU$1,'STOPE SUMMARY PIVOT'!$A$2946:$A$3073, 0))</f>
        <v>0</v>
      </c>
      <c r="GW83" s="172">
        <f>INDEX('STOPE SUMMARY PIVOT'!$J$2946:$J$3073, MATCH(GW$1,'STOPE SUMMARY PIVOT'!$A$2946:$A$3073, 0))</f>
        <v>0</v>
      </c>
      <c r="GX83" s="176">
        <f>INDEX('STOPE SUMMARY PIVOT'!$K$2946:$K$3073, MATCH(GW$1,'STOPE SUMMARY PIVOT'!$A$2946:$A$3073, 0))</f>
        <v>0</v>
      </c>
      <c r="GY83" s="172">
        <f>INDEX('STOPE SUMMARY PIVOT'!$J$2946:$J$3073, MATCH(GY$1,'STOPE SUMMARY PIVOT'!$A$2946:$A$3073, 0))</f>
        <v>0</v>
      </c>
      <c r="GZ83" s="176">
        <f>INDEX('STOPE SUMMARY PIVOT'!$K$2946:$K$3073, MATCH(GY$1,'STOPE SUMMARY PIVOT'!$A$2946:$A$3073, 0))</f>
        <v>0</v>
      </c>
      <c r="HA83" s="172">
        <f>INDEX('STOPE SUMMARY PIVOT'!$J$2946:$J$3073, MATCH(HA$1,'STOPE SUMMARY PIVOT'!$A$2946:$A$3073, 0))</f>
        <v>0</v>
      </c>
      <c r="HB83" s="176">
        <f>INDEX('STOPE SUMMARY PIVOT'!$K$2946:$K$3073, MATCH(HA$1,'STOPE SUMMARY PIVOT'!$A$2946:$A$3073, 0))</f>
        <v>0</v>
      </c>
      <c r="HC83" s="172">
        <f>INDEX('STOPE SUMMARY PIVOT'!$J$2946:$J$3073, MATCH(HC$1,'STOPE SUMMARY PIVOT'!$A$2946:$A$3073, 0))</f>
        <v>0</v>
      </c>
      <c r="HD83" s="176">
        <f>INDEX('STOPE SUMMARY PIVOT'!$K$2946:$K$3073, MATCH(HC$1,'STOPE SUMMARY PIVOT'!$A$2946:$A$3073, 0))</f>
        <v>0</v>
      </c>
      <c r="HE83" s="172">
        <f>INDEX('STOPE SUMMARY PIVOT'!$J$2946:$J$3073, MATCH(HE$1,'STOPE SUMMARY PIVOT'!$A$2946:$A$3073, 0))</f>
        <v>0</v>
      </c>
      <c r="HF83" s="176">
        <f>INDEX('STOPE SUMMARY PIVOT'!$K$2946:$K$3073, MATCH(HE$1,'STOPE SUMMARY PIVOT'!$A$2946:$A$3073, 0))</f>
        <v>0</v>
      </c>
      <c r="HG83" s="172">
        <f>INDEX('STOPE SUMMARY PIVOT'!$J$2946:$J$3073, MATCH(HG$1,'STOPE SUMMARY PIVOT'!$A$2946:$A$3073, 0))</f>
        <v>0</v>
      </c>
      <c r="HH83" s="176">
        <f>INDEX('STOPE SUMMARY PIVOT'!$K$2946:$K$3073, MATCH(HG$1,'STOPE SUMMARY PIVOT'!$A$2946:$A$3073, 0))</f>
        <v>0</v>
      </c>
      <c r="HI83" s="172">
        <f>INDEX('STOPE SUMMARY PIVOT'!$J$2946:$J$3073, MATCH(HI$1,'STOPE SUMMARY PIVOT'!$A$2946:$A$3073, 0))</f>
        <v>0</v>
      </c>
      <c r="HJ83" s="176">
        <f>INDEX('STOPE SUMMARY PIVOT'!$K$2946:$K$3073, MATCH(HI$1,'STOPE SUMMARY PIVOT'!$A$2946:$A$3073, 0))</f>
        <v>0</v>
      </c>
      <c r="HK83" s="172">
        <f>INDEX('STOPE SUMMARY PIVOT'!$J$2946:$J$3073, MATCH(HK$1,'STOPE SUMMARY PIVOT'!$A$2946:$A$3073, 0))</f>
        <v>0</v>
      </c>
      <c r="HL83" s="176">
        <f>INDEX('STOPE SUMMARY PIVOT'!$K$2946:$K$3073, MATCH(HK$1,'STOPE SUMMARY PIVOT'!$A$2946:$A$3073, 0))</f>
        <v>0</v>
      </c>
      <c r="HM83" s="172">
        <f>INDEX('STOPE SUMMARY PIVOT'!$J$2946:$J$3073, MATCH(HM$1,'STOPE SUMMARY PIVOT'!$A$2946:$A$3073, 0))</f>
        <v>0</v>
      </c>
      <c r="HN83" s="176">
        <f>INDEX('STOPE SUMMARY PIVOT'!$K$2946:$K$3073, MATCH(HM$1,'STOPE SUMMARY PIVOT'!$A$2946:$A$3073, 0))</f>
        <v>0</v>
      </c>
      <c r="HO83" s="172">
        <f>INDEX('STOPE SUMMARY PIVOT'!$J$2946:$J$3073, MATCH(HO$1,'STOPE SUMMARY PIVOT'!$A$2946:$A$3073, 0))</f>
        <v>0</v>
      </c>
      <c r="HP83" s="176">
        <f>INDEX('STOPE SUMMARY PIVOT'!$K$2946:$K$3073, MATCH(HO$1,'STOPE SUMMARY PIVOT'!$A$2946:$A$3073, 0))</f>
        <v>0</v>
      </c>
      <c r="HQ83" s="172">
        <f>INDEX('STOPE SUMMARY PIVOT'!$J$2946:$J$3073, MATCH(HQ$1,'STOPE SUMMARY PIVOT'!$A$2946:$A$3073, 0))</f>
        <v>0</v>
      </c>
      <c r="HR83" s="176">
        <f>INDEX('STOPE SUMMARY PIVOT'!$K$2946:$K$3073, MATCH(HQ$1,'STOPE SUMMARY PIVOT'!$A$2946:$A$3073, 0))</f>
        <v>0</v>
      </c>
      <c r="HS83" s="172">
        <f>INDEX('STOPE SUMMARY PIVOT'!$J$2946:$J$3073, MATCH(HS$1,'STOPE SUMMARY PIVOT'!$A$2946:$A$3073, 0))</f>
        <v>0</v>
      </c>
      <c r="HT83" s="176">
        <f>INDEX('STOPE SUMMARY PIVOT'!$K$2946:$K$3073, MATCH(HS$1,'STOPE SUMMARY PIVOT'!$A$2946:$A$3073, 0))</f>
        <v>0</v>
      </c>
      <c r="HU83" s="172">
        <f>INDEX('STOPE SUMMARY PIVOT'!$J$2946:$J$3073, MATCH(HU$1,'STOPE SUMMARY PIVOT'!$A$2946:$A$3073, 0))</f>
        <v>0</v>
      </c>
      <c r="HV83" s="176">
        <f>INDEX('STOPE SUMMARY PIVOT'!$K$2946:$K$3073, MATCH(HU$1,'STOPE SUMMARY PIVOT'!$A$2946:$A$3073, 0))</f>
        <v>0</v>
      </c>
      <c r="HW83" s="172">
        <f>INDEX('STOPE SUMMARY PIVOT'!$J$2946:$J$3073, MATCH(HW$1,'STOPE SUMMARY PIVOT'!$A$2946:$A$3073, 0))</f>
        <v>0</v>
      </c>
      <c r="HX83" s="176">
        <f>INDEX('STOPE SUMMARY PIVOT'!$K$2946:$K$3073, MATCH(HW$1,'STOPE SUMMARY PIVOT'!$A$2946:$A$3073, 0))</f>
        <v>0</v>
      </c>
      <c r="HY83" s="172">
        <f>INDEX('STOPE SUMMARY PIVOT'!$J$2946:$J$3073, MATCH(HY$1,'STOPE SUMMARY PIVOT'!$A$2946:$A$3073, 0))</f>
        <v>0</v>
      </c>
      <c r="HZ83" s="176">
        <f>INDEX('STOPE SUMMARY PIVOT'!$K$2946:$K$3073, MATCH(HY$1,'STOPE SUMMARY PIVOT'!$A$2946:$A$3073, 0))</f>
        <v>0</v>
      </c>
      <c r="IA83" s="172">
        <f>INDEX('STOPE SUMMARY PIVOT'!$J$2946:$J$3073, MATCH(IA$1,'STOPE SUMMARY PIVOT'!$A$2946:$A$3073, 0))</f>
        <v>0</v>
      </c>
      <c r="IB83" s="176">
        <f>INDEX('STOPE SUMMARY PIVOT'!$K$2946:$K$3073, MATCH(IA$1,'STOPE SUMMARY PIVOT'!$A$2946:$A$3073, 0))</f>
        <v>0</v>
      </c>
      <c r="IC83" s="172">
        <f>INDEX('STOPE SUMMARY PIVOT'!$J$2946:$J$3073, MATCH(IC$1,'STOPE SUMMARY PIVOT'!$A$2946:$A$3073, 0))</f>
        <v>0</v>
      </c>
      <c r="ID83" s="176">
        <f>INDEX('STOPE SUMMARY PIVOT'!$K$2946:$K$3073, MATCH(IC$1,'STOPE SUMMARY PIVOT'!$A$2946:$A$3073, 0))</f>
        <v>0</v>
      </c>
      <c r="IE83" s="172">
        <f>INDEX('STOPE SUMMARY PIVOT'!$J$2946:$J$3073, MATCH(IE$1,'STOPE SUMMARY PIVOT'!$A$2946:$A$3073, 0))</f>
        <v>0</v>
      </c>
      <c r="IF83" s="176">
        <f>INDEX('STOPE SUMMARY PIVOT'!$K$2946:$K$3073, MATCH(IE$1,'STOPE SUMMARY PIVOT'!$A$2946:$A$3073, 0))</f>
        <v>0</v>
      </c>
      <c r="IG83" s="172">
        <f>INDEX('STOPE SUMMARY PIVOT'!$J$2946:$J$3073, MATCH(IG$1,'STOPE SUMMARY PIVOT'!$A$2946:$A$3073, 0))</f>
        <v>0</v>
      </c>
      <c r="IH83" s="176">
        <f>INDEX('STOPE SUMMARY PIVOT'!$K$2946:$K$3073, MATCH(IG$1,'STOPE SUMMARY PIVOT'!$A$2946:$A$3073, 0))</f>
        <v>0</v>
      </c>
      <c r="II83" s="172">
        <f>INDEX('STOPE SUMMARY PIVOT'!$J$2946:$J$3073, MATCH(II$1,'STOPE SUMMARY PIVOT'!$A$2946:$A$3073, 0))</f>
        <v>0</v>
      </c>
      <c r="IJ83" s="176">
        <f>INDEX('STOPE SUMMARY PIVOT'!$K$2946:$K$3073, MATCH(II$1,'STOPE SUMMARY PIVOT'!$A$2946:$A$3073, 0))</f>
        <v>0</v>
      </c>
      <c r="IK83" s="172">
        <f>INDEX('STOPE SUMMARY PIVOT'!$J$2946:$J$3073, MATCH(IK$1,'STOPE SUMMARY PIVOT'!$A$2946:$A$3073, 0))</f>
        <v>0</v>
      </c>
      <c r="IL83" s="176">
        <f>INDEX('STOPE SUMMARY PIVOT'!$K$2946:$K$3073, MATCH(IK$1,'STOPE SUMMARY PIVOT'!$A$2946:$A$3073, 0))</f>
        <v>0</v>
      </c>
      <c r="IM83" s="172">
        <f>INDEX('STOPE SUMMARY PIVOT'!$J$2946:$J$3073, MATCH(IM$1,'STOPE SUMMARY PIVOT'!$A$2946:$A$3073, 0))</f>
        <v>0</v>
      </c>
      <c r="IN83" s="176">
        <f>INDEX('STOPE SUMMARY PIVOT'!$K$2946:$K$3073, MATCH(IM$1,'STOPE SUMMARY PIVOT'!$A$2946:$A$3073, 0))</f>
        <v>0</v>
      </c>
      <c r="IO83" s="172">
        <f>INDEX('STOPE SUMMARY PIVOT'!$J$2946:$J$3073, MATCH(IO$1,'STOPE SUMMARY PIVOT'!$A$2946:$A$3073, 0))</f>
        <v>0</v>
      </c>
      <c r="IP83" s="176">
        <f>INDEX('STOPE SUMMARY PIVOT'!$K$2946:$K$3073, MATCH(IO$1,'STOPE SUMMARY PIVOT'!$A$2946:$A$3073, 0))</f>
        <v>0</v>
      </c>
      <c r="IQ83" s="172">
        <f>INDEX('STOPE SUMMARY PIVOT'!$J$2946:$J$3073, MATCH(IQ$1,'STOPE SUMMARY PIVOT'!$A$2946:$A$3073, 0))</f>
        <v>0</v>
      </c>
      <c r="IR83" s="176">
        <f>INDEX('STOPE SUMMARY PIVOT'!$K$2946:$K$3073, MATCH(IQ$1,'STOPE SUMMARY PIVOT'!$A$2946:$A$3073, 0))</f>
        <v>0</v>
      </c>
      <c r="IS83" s="172">
        <f>INDEX('STOPE SUMMARY PIVOT'!$J$2946:$J$3073, MATCH(IS$1,'STOPE SUMMARY PIVOT'!$A$2946:$A$3073, 0))</f>
        <v>0</v>
      </c>
      <c r="IT83" s="176">
        <f>INDEX('STOPE SUMMARY PIVOT'!$K$2946:$K$3073, MATCH(IS$1,'STOPE SUMMARY PIVOT'!$A$2946:$A$3073, 0))</f>
        <v>0</v>
      </c>
      <c r="IU83" s="172">
        <f>INDEX('STOPE SUMMARY PIVOT'!$J$2946:$J$3073, MATCH(IU$1,'STOPE SUMMARY PIVOT'!$A$2946:$A$3073, 0))</f>
        <v>0</v>
      </c>
      <c r="IV83" s="176">
        <f>INDEX('STOPE SUMMARY PIVOT'!$K$2946:$K$3073, MATCH(IU$1,'STOPE SUMMARY PIVOT'!$A$2946:$A$3073, 0))</f>
        <v>0</v>
      </c>
      <c r="IW83" s="172">
        <f>INDEX('STOPE SUMMARY PIVOT'!$J$2946:$J$3073, MATCH(IW$1,'STOPE SUMMARY PIVOT'!$A$2946:$A$3073, 0))</f>
        <v>0</v>
      </c>
      <c r="IX83" s="176">
        <f>INDEX('STOPE SUMMARY PIVOT'!$K$2946:$K$3073, MATCH(IW$1,'STOPE SUMMARY PIVOT'!$A$2946:$A$3073, 0))</f>
        <v>0</v>
      </c>
      <c r="IY83" s="172">
        <f>INDEX('STOPE SUMMARY PIVOT'!$J$2946:$J$3073, MATCH(IY$1,'STOPE SUMMARY PIVOT'!$A$2946:$A$3073, 0))</f>
        <v>0</v>
      </c>
      <c r="IZ83" s="176">
        <f>INDEX('STOPE SUMMARY PIVOT'!$K$2946:$K$3073, MATCH(IY$1,'STOPE SUMMARY PIVOT'!$A$2946:$A$3073, 0))</f>
        <v>0</v>
      </c>
    </row>
    <row r="84" spans="1:260" x14ac:dyDescent="0.25">
      <c r="A84" s="1577" t="s">
        <v>215</v>
      </c>
      <c r="B84" s="13" t="s">
        <v>218</v>
      </c>
      <c r="C84" s="131">
        <f>SUM(C75,C78,C81)</f>
        <v>88254</v>
      </c>
      <c r="D84" s="132">
        <f>(C75*D75+C78*D78+C81*D81)/C84</f>
        <v>2.6018709633557688</v>
      </c>
      <c r="E84" s="155">
        <f t="shared" ref="E84:E85" si="3670">SUM(E75,E78,E81)</f>
        <v>0</v>
      </c>
      <c r="F84" s="156" t="str">
        <f t="shared" ref="F84" si="3671">IFERROR((F75*E75+E78*F78+E81*F81)/E84,"")</f>
        <v/>
      </c>
      <c r="G84" s="155">
        <f t="shared" ref="G84" si="3672">SUM(G75,G78,G81)</f>
        <v>0</v>
      </c>
      <c r="H84" s="156" t="str">
        <f t="shared" ref="H84" si="3673">IFERROR((H75*G75+G78*H78+G81*H81)/G84,"")</f>
        <v/>
      </c>
      <c r="I84" s="155">
        <f t="shared" ref="I84" si="3674">SUM(I75,I78,I81)</f>
        <v>0</v>
      </c>
      <c r="J84" s="156" t="str">
        <f t="shared" ref="J84" si="3675">IFERROR((J75*I75+I78*J78+I81*J81)/I84,"")</f>
        <v/>
      </c>
      <c r="K84" s="155">
        <f t="shared" ref="K84" si="3676">SUM(K75,K78,K81)</f>
        <v>0</v>
      </c>
      <c r="L84" s="156" t="str">
        <f t="shared" ref="L84" si="3677">IFERROR((L75*K75+K78*L78+K81*L81)/K84,"")</f>
        <v/>
      </c>
      <c r="M84" s="155">
        <f t="shared" ref="M84" si="3678">SUM(M75,M78,M81)</f>
        <v>0</v>
      </c>
      <c r="N84" s="156" t="str">
        <f t="shared" ref="N84" si="3679">IFERROR((N75*M75+M78*N78+M81*N81)/M84,"")</f>
        <v/>
      </c>
      <c r="O84" s="155">
        <f t="shared" ref="O84" si="3680">SUM(O75,O78,O81)</f>
        <v>0</v>
      </c>
      <c r="P84" s="156" t="str">
        <f t="shared" ref="P84" si="3681">IFERROR((P75*O75+O78*P78+O81*P81)/O84,"")</f>
        <v/>
      </c>
      <c r="Q84" s="155">
        <f t="shared" ref="Q84" si="3682">SUM(Q75,Q78,Q81)</f>
        <v>0</v>
      </c>
      <c r="R84" s="156" t="str">
        <f t="shared" ref="R84" si="3683">IFERROR((R75*Q75+Q78*R78+Q81*R81)/Q84,"")</f>
        <v/>
      </c>
      <c r="S84" s="155">
        <f t="shared" ref="S84" si="3684">SUM(S75,S78,S81)</f>
        <v>0</v>
      </c>
      <c r="T84" s="156" t="str">
        <f t="shared" ref="T84" si="3685">IFERROR((T75*S75+S78*T78+S81*T81)/S84,"")</f>
        <v/>
      </c>
      <c r="U84" s="155">
        <f t="shared" ref="U84" si="3686">SUM(U75,U78,U81)</f>
        <v>0</v>
      </c>
      <c r="V84" s="156" t="str">
        <f t="shared" ref="V84" si="3687">IFERROR((V75*U75+U78*V78+U81*V81)/U84,"")</f>
        <v/>
      </c>
      <c r="W84" s="155">
        <f t="shared" ref="W84" si="3688">SUM(W75,W78,W81)</f>
        <v>0</v>
      </c>
      <c r="X84" s="156" t="str">
        <f t="shared" ref="X84" si="3689">IFERROR((X75*W75+W78*X78+W81*X81)/W84,"")</f>
        <v/>
      </c>
      <c r="Y84" s="155">
        <f>SUM(Y75,Y78,Y81)</f>
        <v>0</v>
      </c>
      <c r="Z84" s="156" t="str">
        <f>IFERROR((Z75*Y75+Y78*Z78+Y81*Z81)/Y84,"")</f>
        <v/>
      </c>
      <c r="AA84" s="155">
        <f t="shared" ref="AA84" si="3690">SUM(AA75,AA78,AA81)</f>
        <v>0</v>
      </c>
      <c r="AB84" s="156" t="str">
        <f t="shared" ref="AB84" si="3691">IFERROR((AB75*AA75+AA78*AB78+AA81*AB81)/AA84,"")</f>
        <v/>
      </c>
      <c r="AC84" s="155">
        <f t="shared" ref="AC84" si="3692">SUM(AC75,AC78,AC81)</f>
        <v>0</v>
      </c>
      <c r="AD84" s="156" t="str">
        <f t="shared" ref="AD84" si="3693">IFERROR((AD75*AC75+AC78*AD78+AC81*AD81)/AC84,"")</f>
        <v/>
      </c>
      <c r="AE84" s="155">
        <f t="shared" ref="AE84" si="3694">SUM(AE75,AE78,AE81)</f>
        <v>1053</v>
      </c>
      <c r="AF84" s="156">
        <f t="shared" ref="AF84" si="3695">IFERROR((AF75*AE75+AE78*AF78+AE81*AF81)/AE84,"")</f>
        <v>1.58</v>
      </c>
      <c r="AG84" s="155">
        <f t="shared" ref="AG84" si="3696">SUM(AG75,AG78,AG81)</f>
        <v>2844</v>
      </c>
      <c r="AH84" s="156">
        <f t="shared" ref="AH84" si="3697">IFERROR((AH75*AG75+AG78*AH78+AG81*AH81)/AG84,"")</f>
        <v>2.2000000000000002</v>
      </c>
      <c r="AI84" s="155">
        <f t="shared" ref="AI84" si="3698">SUM(AI75,AI78,AI81)</f>
        <v>7300</v>
      </c>
      <c r="AJ84" s="156">
        <f t="shared" ref="AJ84" si="3699">IFERROR((AJ75*AI75+AI78*AJ78+AI81*AJ81)/AI84,"")</f>
        <v>2.5299999999999998</v>
      </c>
      <c r="AK84" s="155">
        <f t="shared" ref="AK84" si="3700">SUM(AK75,AK78,AK81)</f>
        <v>5365</v>
      </c>
      <c r="AL84" s="156">
        <f t="shared" ref="AL84" si="3701">IFERROR((AL75*AK75+AK78*AL78+AK81*AL81)/AK84,"")</f>
        <v>2.6300000000000003</v>
      </c>
      <c r="AM84" s="155">
        <f t="shared" ref="AM84" si="3702">SUM(AM75,AM78,AM81)</f>
        <v>0</v>
      </c>
      <c r="AN84" s="156" t="str">
        <f t="shared" ref="AN84" si="3703">IFERROR((AN75*AM75+AM78*AN78+AM81*AN81)/AM84,"")</f>
        <v/>
      </c>
      <c r="AO84" s="155">
        <f t="shared" ref="AO84" si="3704">SUM(AO75,AO78,AO81)</f>
        <v>0</v>
      </c>
      <c r="AP84" s="156" t="str">
        <f t="shared" ref="AP84" si="3705">IFERROR((AP75*AO75+AO78*AP78+AO81*AP81)/AO84,"")</f>
        <v/>
      </c>
      <c r="AQ84" s="155">
        <f t="shared" ref="AQ84" si="3706">SUM(AQ75,AQ78,AQ81)</f>
        <v>0</v>
      </c>
      <c r="AR84" s="156" t="str">
        <f t="shared" ref="AR84" si="3707">IFERROR((AR75*AQ75+AQ78*AR78+AQ81*AR81)/AQ84,"")</f>
        <v/>
      </c>
      <c r="AS84" s="155">
        <f t="shared" ref="AS84" si="3708">SUM(AS75,AS78,AS81)</f>
        <v>0</v>
      </c>
      <c r="AT84" s="156" t="str">
        <f t="shared" ref="AT84" si="3709">IFERROR((AT75*AS75+AS78*AT78+AS81*AT81)/AS84,"")</f>
        <v/>
      </c>
      <c r="AU84" s="155">
        <f t="shared" ref="AU84" si="3710">SUM(AU75,AU78,AU81)</f>
        <v>0</v>
      </c>
      <c r="AV84" s="156" t="str">
        <f t="shared" ref="AV84" si="3711">IFERROR((AV75*AU75+AU78*AV78+AU81*AV81)/AU84,"")</f>
        <v/>
      </c>
      <c r="AW84" s="155">
        <f t="shared" ref="AW84" si="3712">SUM(AW75,AW78,AW81)</f>
        <v>0</v>
      </c>
      <c r="AX84" s="156" t="str">
        <f t="shared" ref="AX84" si="3713">IFERROR((AX75*AW75+AW78*AX78+AW81*AX81)/AW84,"")</f>
        <v/>
      </c>
      <c r="AY84" s="155">
        <f t="shared" ref="AY84" si="3714">SUM(AY75,AY78,AY81)</f>
        <v>0</v>
      </c>
      <c r="AZ84" s="156" t="str">
        <f t="shared" ref="AZ84" si="3715">IFERROR((AZ75*AY75+AY78*AZ78+AY81*AZ81)/AY84,"")</f>
        <v/>
      </c>
      <c r="BA84" s="155">
        <f t="shared" ref="BA84" si="3716">SUM(BA75,BA78,BA81)</f>
        <v>0</v>
      </c>
      <c r="BB84" s="156" t="str">
        <f t="shared" ref="BB84" si="3717">IFERROR((BB75*BA75+BA78*BB78+BA81*BB81)/BA84,"")</f>
        <v/>
      </c>
      <c r="BC84" s="155">
        <f t="shared" ref="BC84" si="3718">SUM(BC75,BC78,BC81)</f>
        <v>0</v>
      </c>
      <c r="BD84" s="156" t="str">
        <f t="shared" ref="BD84" si="3719">IFERROR((BD75*BC75+BC78*BD78+BC81*BD81)/BC84,"")</f>
        <v/>
      </c>
      <c r="BE84" s="155">
        <f t="shared" ref="BE84" si="3720">SUM(BE75,BE78,BE81)</f>
        <v>0</v>
      </c>
      <c r="BF84" s="156" t="str">
        <f t="shared" ref="BF84" si="3721">IFERROR((BF75*BE75+BE78*BF78+BE81*BF81)/BE84,"")</f>
        <v/>
      </c>
      <c r="BG84" s="155">
        <f t="shared" ref="BG84" si="3722">SUM(BG75,BG78,BG81)</f>
        <v>0</v>
      </c>
      <c r="BH84" s="156" t="str">
        <f t="shared" ref="BH84" si="3723">IFERROR((BH75*BG75+BG78*BH78+BG81*BH81)/BG84,"")</f>
        <v/>
      </c>
      <c r="BI84" s="155">
        <f t="shared" ref="BI84" si="3724">SUM(BI75,BI78,BI81)</f>
        <v>0</v>
      </c>
      <c r="BJ84" s="156" t="str">
        <f t="shared" ref="BJ84" si="3725">IFERROR((BJ75*BI75+BI78*BJ78+BI81*BJ81)/BI84,"")</f>
        <v/>
      </c>
      <c r="BK84" s="155">
        <f t="shared" ref="BK84" si="3726">SUM(BK75,BK78,BK81)</f>
        <v>0</v>
      </c>
      <c r="BL84" s="156" t="str">
        <f t="shared" ref="BL84" si="3727">IFERROR((BL75*BK75+BK78*BL78+BK81*BL81)/BK84,"")</f>
        <v/>
      </c>
      <c r="BM84" s="155">
        <f t="shared" ref="BM84" si="3728">SUM(BM75,BM78,BM81)</f>
        <v>0</v>
      </c>
      <c r="BN84" s="156" t="str">
        <f t="shared" ref="BN84" si="3729">IFERROR((BN75*BM75+BM78*BN78+BM81*BN81)/BM84,"")</f>
        <v/>
      </c>
      <c r="BO84" s="155">
        <f t="shared" ref="BO84" si="3730">SUM(BO75,BO78,BO81)</f>
        <v>0</v>
      </c>
      <c r="BP84" s="156" t="str">
        <f t="shared" ref="BP84" si="3731">IFERROR((BP75*BO75+BO78*BP78+BO81*BP81)/BO84,"")</f>
        <v/>
      </c>
      <c r="BQ84" s="155">
        <f t="shared" ref="BQ84" si="3732">SUM(BQ75,BQ78,BQ81)</f>
        <v>0</v>
      </c>
      <c r="BR84" s="156" t="str">
        <f t="shared" ref="BR84" si="3733">IFERROR((BR75*BQ75+BQ78*BR78+BQ81*BR81)/BQ84,"")</f>
        <v/>
      </c>
      <c r="BS84" s="155">
        <f t="shared" ref="BS84" si="3734">SUM(BS75,BS78,BS81)</f>
        <v>0</v>
      </c>
      <c r="BT84" s="156" t="str">
        <f t="shared" ref="BT84" si="3735">IFERROR((BT75*BS75+BS78*BT78+BS81*BT81)/BS84,"")</f>
        <v/>
      </c>
      <c r="BU84" s="155">
        <f t="shared" ref="BU84" si="3736">SUM(BU75,BU78,BU81)</f>
        <v>0</v>
      </c>
      <c r="BV84" s="156" t="str">
        <f t="shared" ref="BV84" si="3737">IFERROR((BV75*BU75+BU78*BV78+BU81*BV81)/BU84,"")</f>
        <v/>
      </c>
      <c r="BW84" s="155">
        <f t="shared" ref="BW84" si="3738">SUM(BW75,BW78,BW81)</f>
        <v>0</v>
      </c>
      <c r="BX84" s="156" t="str">
        <f t="shared" ref="BX84" si="3739">IFERROR((BX75*BW75+BW78*BX78+BW81*BX81)/BW84,"")</f>
        <v/>
      </c>
      <c r="BY84" s="155">
        <f t="shared" ref="BY84" si="3740">SUM(BY75,BY78,BY81)</f>
        <v>0</v>
      </c>
      <c r="BZ84" s="156" t="str">
        <f t="shared" ref="BZ84" si="3741">IFERROR((BZ75*BY75+BY78*BZ78+BY81*BZ81)/BY84,"")</f>
        <v/>
      </c>
      <c r="CA84" s="155">
        <f t="shared" ref="CA84" si="3742">SUM(CA75,CA78,CA81)</f>
        <v>0</v>
      </c>
      <c r="CB84" s="156" t="str">
        <f t="shared" ref="CB84" si="3743">IFERROR((CB75*CA75+CA78*CB78+CA81*CB81)/CA84,"")</f>
        <v/>
      </c>
      <c r="CC84" s="155">
        <f t="shared" ref="CC84" si="3744">SUM(CC75,CC78,CC81)</f>
        <v>0</v>
      </c>
      <c r="CD84" s="156" t="str">
        <f t="shared" ref="CD84" si="3745">IFERROR((CD75*CC75+CC78*CD78+CC81*CD81)/CC84,"")</f>
        <v/>
      </c>
      <c r="CE84" s="155">
        <f t="shared" ref="CE84" si="3746">SUM(CE75,CE78,CE81)</f>
        <v>0</v>
      </c>
      <c r="CF84" s="156" t="str">
        <f t="shared" ref="CF84" si="3747">IFERROR((CF75*CE75+CE78*CF78+CE81*CF81)/CE84,"")</f>
        <v/>
      </c>
      <c r="CG84" s="155">
        <f t="shared" ref="CG84" si="3748">SUM(CG75,CG78,CG81)</f>
        <v>0</v>
      </c>
      <c r="CH84" s="156" t="str">
        <f t="shared" ref="CH84" si="3749">IFERROR((CH75*CG75+CG78*CH78+CG81*CH81)/CG84,"")</f>
        <v/>
      </c>
      <c r="CI84" s="155">
        <f t="shared" ref="CI84" si="3750">SUM(CI75,CI78,CI81)</f>
        <v>0</v>
      </c>
      <c r="CJ84" s="156" t="str">
        <f t="shared" ref="CJ84" si="3751">IFERROR((CJ75*CI75+CI78*CJ78+CI81*CJ81)/CI84,"")</f>
        <v/>
      </c>
      <c r="CK84" s="155">
        <f t="shared" ref="CK84" si="3752">SUM(CK75,CK78,CK81)</f>
        <v>0</v>
      </c>
      <c r="CL84" s="156" t="str">
        <f t="shared" ref="CL84" si="3753">IFERROR((CL75*CK75+CK78*CL78+CK81*CL81)/CK84,"")</f>
        <v/>
      </c>
      <c r="CM84" s="155">
        <f t="shared" ref="CM84" si="3754">SUM(CM75,CM78,CM81)</f>
        <v>0</v>
      </c>
      <c r="CN84" s="156" t="str">
        <f t="shared" ref="CN84" si="3755">IFERROR((CN75*CM75+CM78*CN78+CM81*CN81)/CM84,"")</f>
        <v/>
      </c>
      <c r="CO84" s="155">
        <f t="shared" ref="CO84" si="3756">SUM(CO75,CO78,CO81)</f>
        <v>0</v>
      </c>
      <c r="CP84" s="156" t="str">
        <f t="shared" ref="CP84" si="3757">IFERROR((CP75*CO75+CO78*CP78+CO81*CP81)/CO84,"")</f>
        <v/>
      </c>
      <c r="CQ84" s="155">
        <f t="shared" ref="CQ84:CW84" si="3758">SUM(CQ75,CQ78,CQ81)</f>
        <v>0</v>
      </c>
      <c r="CR84" s="156" t="str">
        <f t="shared" ref="CR84" si="3759">IFERROR((CR75*CQ75+CQ78*CR78+CQ81*CR81)/CQ84,"")</f>
        <v/>
      </c>
      <c r="CS84" s="155">
        <f t="shared" ref="CS84" si="3760">SUM(CS75,CS78,CS81)</f>
        <v>0</v>
      </c>
      <c r="CT84" s="156" t="str">
        <f t="shared" ref="CT84:CT86" si="3761">IFERROR((CT75*CS75+CS78*CT78+CS81*CT81)/CS84,"")</f>
        <v/>
      </c>
      <c r="CU84" s="155">
        <f t="shared" si="3758"/>
        <v>0</v>
      </c>
      <c r="CV84" s="156" t="str">
        <f t="shared" ref="CV84:CV86" si="3762">IFERROR((CV75*CU75+CU78*CV78+CU81*CV81)/CU84,"")</f>
        <v/>
      </c>
      <c r="CW84" s="155">
        <f t="shared" si="3758"/>
        <v>0</v>
      </c>
      <c r="CX84" s="156" t="str">
        <f t="shared" ref="CX84:CX86" si="3763">IFERROR((CX75*CW75+CW78*CX78+CW81*CX81)/CW84,"")</f>
        <v/>
      </c>
      <c r="CY84" s="155">
        <f t="shared" ref="CY84" si="3764">SUM(CY75,CY78,CY81)</f>
        <v>0</v>
      </c>
      <c r="CZ84" s="156" t="str">
        <f t="shared" ref="CZ84" si="3765">IFERROR((CZ75*CY75+CY78*CZ78+CY81*CZ81)/CY84,"")</f>
        <v/>
      </c>
      <c r="DA84" s="155">
        <f t="shared" ref="DA84" si="3766">SUM(DA75,DA78,DA81)</f>
        <v>0</v>
      </c>
      <c r="DB84" s="156" t="str">
        <f t="shared" ref="DB84" si="3767">IFERROR((DB75*DA75+DA78*DB78+DA81*DB81)/DA84,"")</f>
        <v/>
      </c>
      <c r="DC84" s="155">
        <f t="shared" ref="DC84" si="3768">SUM(DC75,DC78,DC81)</f>
        <v>0</v>
      </c>
      <c r="DD84" s="156" t="str">
        <f t="shared" ref="DD84" si="3769">IFERROR((DD75*DC75+DC78*DD78+DC81*DD81)/DC84,"")</f>
        <v/>
      </c>
      <c r="DE84" s="155">
        <f t="shared" ref="DE84" si="3770">SUM(DE75,DE78,DE81)</f>
        <v>0</v>
      </c>
      <c r="DF84" s="156" t="str">
        <f t="shared" ref="DF84" si="3771">IFERROR((DF75*DE75+DE78*DF78+DE81*DF81)/DE84,"")</f>
        <v/>
      </c>
      <c r="DG84" s="155">
        <f t="shared" ref="DG84" si="3772">SUM(DG75,DG78,DG81)</f>
        <v>0</v>
      </c>
      <c r="DH84" s="156" t="str">
        <f t="shared" ref="DH84" si="3773">IFERROR((DH75*DG75+DG78*DH78+DG81*DH81)/DG84,"")</f>
        <v/>
      </c>
      <c r="DI84" s="155">
        <f t="shared" ref="DI84" si="3774">SUM(DI75,DI78,DI81)</f>
        <v>0</v>
      </c>
      <c r="DJ84" s="156" t="str">
        <f t="shared" ref="DJ84" si="3775">IFERROR((DJ75*DI75+DI78*DJ78+DI81*DJ81)/DI84,"")</f>
        <v/>
      </c>
      <c r="DK84" s="155">
        <f t="shared" ref="DK84" si="3776">SUM(DK75,DK78,DK81)</f>
        <v>0</v>
      </c>
      <c r="DL84" s="156" t="str">
        <f t="shared" ref="DL84" si="3777">IFERROR((DL75*DK75+DK78*DL78+DK81*DL81)/DK84,"")</f>
        <v/>
      </c>
      <c r="DM84" s="155">
        <f t="shared" ref="DM84" si="3778">SUM(DM75,DM78,DM81)</f>
        <v>0</v>
      </c>
      <c r="DN84" s="156" t="str">
        <f t="shared" ref="DN84" si="3779">IFERROR((DN75*DM75+DM78*DN78+DM81*DN81)/DM84,"")</f>
        <v/>
      </c>
      <c r="DO84" s="155">
        <f t="shared" ref="DO84" si="3780">SUM(DO75,DO78,DO81)</f>
        <v>0</v>
      </c>
      <c r="DP84" s="156" t="str">
        <f t="shared" ref="DP84" si="3781">IFERROR((DP75*DO75+DO78*DP78+DO81*DP81)/DO84,"")</f>
        <v/>
      </c>
      <c r="DQ84" s="155">
        <f t="shared" ref="DQ84" si="3782">SUM(DQ75,DQ78,DQ81)</f>
        <v>0</v>
      </c>
      <c r="DR84" s="156" t="str">
        <f t="shared" ref="DR84" si="3783">IFERROR((DR75*DQ75+DQ78*DR78+DQ81*DR81)/DQ84,"")</f>
        <v/>
      </c>
      <c r="DS84" s="155">
        <f t="shared" ref="DS84" si="3784">SUM(DS75,DS78,DS81)</f>
        <v>0</v>
      </c>
      <c r="DT84" s="156" t="str">
        <f t="shared" ref="DT84" si="3785">IFERROR((DT75*DS75+DS78*DT78+DS81*DT81)/DS84,"")</f>
        <v/>
      </c>
      <c r="DU84" s="155">
        <f t="shared" ref="DU84" si="3786">SUM(DU75,DU78,DU81)</f>
        <v>0</v>
      </c>
      <c r="DV84" s="156" t="str">
        <f t="shared" ref="DV84" si="3787">IFERROR((DV75*DU75+DU78*DV78+DU81*DV81)/DU84,"")</f>
        <v/>
      </c>
      <c r="DW84" s="155">
        <f t="shared" ref="DW84" si="3788">SUM(DW75,DW78,DW81)</f>
        <v>0</v>
      </c>
      <c r="DX84" s="156" t="str">
        <f t="shared" ref="DX84" si="3789">IFERROR((DX75*DW75+DW78*DX78+DW81*DX81)/DW84,"")</f>
        <v/>
      </c>
      <c r="DY84" s="155">
        <f t="shared" ref="DY84" si="3790">SUM(DY75,DY78,DY81)</f>
        <v>0</v>
      </c>
      <c r="DZ84" s="156" t="str">
        <f t="shared" ref="DZ84" si="3791">IFERROR((DZ75*DY75+DY78*DZ78+DY81*DZ81)/DY84,"")</f>
        <v/>
      </c>
      <c r="EA84" s="155">
        <f t="shared" ref="EA84" si="3792">SUM(EA75,EA78,EA81)</f>
        <v>0</v>
      </c>
      <c r="EB84" s="156" t="str">
        <f t="shared" ref="EB84" si="3793">IFERROR((EB75*EA75+EA78*EB78+EA81*EB81)/EA84,"")</f>
        <v/>
      </c>
      <c r="EC84" s="155">
        <f t="shared" ref="EC84" si="3794">SUM(EC75,EC78,EC81)</f>
        <v>3763</v>
      </c>
      <c r="ED84" s="156">
        <f t="shared" ref="ED84" si="3795">IFERROR((ED75*EC75+EC78*ED78+EC81*ED81)/EC84,"")</f>
        <v>1.6000000000000003</v>
      </c>
      <c r="EE84" s="155">
        <f t="shared" ref="EE84" si="3796">SUM(EE75,EE78,EE81)</f>
        <v>0</v>
      </c>
      <c r="EF84" s="156" t="str">
        <f t="shared" ref="EF84" si="3797">IFERROR((EF75*EE75+EE78*EF78+EE81*EF81)/EE84,"")</f>
        <v/>
      </c>
      <c r="EG84" s="155">
        <f t="shared" ref="EG84" si="3798">SUM(EG75,EG78,EG81)</f>
        <v>0</v>
      </c>
      <c r="EH84" s="156" t="str">
        <f t="shared" ref="EH84" si="3799">IFERROR((EH75*EG75+EG78*EH78+EG81*EH81)/EG84,"")</f>
        <v/>
      </c>
      <c r="EI84" s="155">
        <f t="shared" ref="EI84" si="3800">SUM(EI75,EI78,EI81)</f>
        <v>0</v>
      </c>
      <c r="EJ84" s="156" t="str">
        <f t="shared" ref="EJ84" si="3801">IFERROR((EJ75*EI75+EI78*EJ78+EI81*EJ81)/EI84,"")</f>
        <v/>
      </c>
      <c r="EK84" s="155">
        <f t="shared" ref="EK84" si="3802">SUM(EK75,EK78,EK81)</f>
        <v>0</v>
      </c>
      <c r="EL84" s="156" t="str">
        <f t="shared" ref="EL84" si="3803">IFERROR((EL75*EK75+EK78*EL78+EK81*EL81)/EK84,"")</f>
        <v/>
      </c>
      <c r="EM84" s="155">
        <f t="shared" ref="EM84" si="3804">SUM(EM75,EM78,EM81)</f>
        <v>3438</v>
      </c>
      <c r="EN84" s="156">
        <f t="shared" ref="EN84" si="3805">IFERROR((EN75*EM75+EM78*EN78+EM81*EN81)/EM84,"")</f>
        <v>3.97</v>
      </c>
      <c r="EO84" s="155">
        <f t="shared" ref="EO84" si="3806">SUM(EO75,EO78,EO81)</f>
        <v>8538</v>
      </c>
      <c r="EP84" s="156">
        <f t="shared" ref="EP84" si="3807">IFERROR((EP75*EO75+EO78*EP78+EO81*EP81)/EO84,"")</f>
        <v>2.83</v>
      </c>
      <c r="EQ84" s="155">
        <f t="shared" ref="EQ84:ES84" si="3808">SUM(EQ75,EQ78,EQ81)</f>
        <v>0</v>
      </c>
      <c r="ER84" s="156" t="str">
        <f t="shared" ref="ER84" si="3809">IFERROR((ER75*EQ75+EQ78*ER78+EQ81*ER81)/EQ84,"")</f>
        <v/>
      </c>
      <c r="ES84" s="155">
        <f t="shared" si="3808"/>
        <v>0</v>
      </c>
      <c r="ET84" s="156" t="str">
        <f t="shared" ref="ET84:ET86" si="3810">IFERROR((ET75*ES75+ES78*ET78+ES81*ET81)/ES84,"")</f>
        <v/>
      </c>
      <c r="EU84" s="155">
        <f t="shared" ref="EU84" si="3811">SUM(EU75,EU78,EU81)</f>
        <v>2696</v>
      </c>
      <c r="EV84" s="156">
        <f t="shared" ref="EV84" si="3812">IFERROR((EV75*EU75+EU78*EV78+EU81*EV81)/EU84,"")</f>
        <v>2.31</v>
      </c>
      <c r="EW84" s="155">
        <f t="shared" ref="EW84" si="3813">SUM(EW75,EW78,EW81)</f>
        <v>0</v>
      </c>
      <c r="EX84" s="156" t="str">
        <f t="shared" ref="EX84:EX86" si="3814">IFERROR((EX75*EW75+EW78*EX78+EW81*EX81)/EW84,"")</f>
        <v/>
      </c>
      <c r="EY84" s="155">
        <f t="shared" ref="EY84" si="3815">SUM(EY75,EY78,EY81)</f>
        <v>5842</v>
      </c>
      <c r="EZ84" s="156">
        <f t="shared" ref="EZ84" si="3816">IFERROR((EZ75*EY75+EY78*EZ78+EY81*EZ81)/EY84,"")</f>
        <v>2.31</v>
      </c>
      <c r="FA84" s="155">
        <f t="shared" ref="FA84" si="3817">SUM(FA75,FA78,FA81)</f>
        <v>0</v>
      </c>
      <c r="FB84" s="156" t="str">
        <f t="shared" ref="FB84" si="3818">IFERROR((FB75*FA75+FA78*FB78+FA81*FB81)/FA84,"")</f>
        <v/>
      </c>
      <c r="FC84" s="155">
        <f t="shared" ref="FC84" si="3819">SUM(FC75,FC78,FC81)</f>
        <v>0</v>
      </c>
      <c r="FD84" s="156" t="str">
        <f t="shared" ref="FD84" si="3820">IFERROR((FD75*FC75+FC78*FD78+FC81*FD81)/FC84,"")</f>
        <v/>
      </c>
      <c r="FE84" s="155">
        <f t="shared" ref="FE84" si="3821">SUM(FE75,FE78,FE81)</f>
        <v>0</v>
      </c>
      <c r="FF84" s="156" t="str">
        <f t="shared" ref="FF84" si="3822">IFERROR((FF75*FE75+FE78*FF78+FE81*FF81)/FE84,"")</f>
        <v/>
      </c>
      <c r="FG84" s="155">
        <f t="shared" ref="FG84" si="3823">SUM(FG75,FG78,FG81)</f>
        <v>0</v>
      </c>
      <c r="FH84" s="156" t="str">
        <f t="shared" ref="FH84" si="3824">IFERROR((FH75*FG75+FG78*FH78+FG81*FH81)/FG84,"")</f>
        <v/>
      </c>
      <c r="FI84" s="155">
        <f t="shared" ref="FI84" si="3825">SUM(FI75,FI78,FI81)</f>
        <v>0</v>
      </c>
      <c r="FJ84" s="156" t="str">
        <f t="shared" ref="FJ84" si="3826">IFERROR((FJ75*FI75+FI78*FJ78+FI81*FJ81)/FI84,"")</f>
        <v/>
      </c>
      <c r="FK84" s="155">
        <f t="shared" ref="FK84" si="3827">SUM(FK75,FK78,FK81)</f>
        <v>0</v>
      </c>
      <c r="FL84" s="156" t="str">
        <f t="shared" ref="FL84" si="3828">IFERROR((FL75*FK75+FK78*FL78+FK81*FL81)/FK84,"")</f>
        <v/>
      </c>
      <c r="FM84" s="155">
        <f t="shared" ref="FM84" si="3829">SUM(FM75,FM78,FM81)</f>
        <v>0</v>
      </c>
      <c r="FN84" s="156" t="str">
        <f t="shared" ref="FN84" si="3830">IFERROR((FN75*FM75+FM78*FN78+FM81*FN81)/FM84,"")</f>
        <v/>
      </c>
      <c r="FO84" s="155">
        <f t="shared" ref="FO84" si="3831">SUM(FO75,FO78,FO81)</f>
        <v>0</v>
      </c>
      <c r="FP84" s="156" t="str">
        <f t="shared" ref="FP84" si="3832">IFERROR((FP75*FO75+FO78*FP78+FO81*FP81)/FO84,"")</f>
        <v/>
      </c>
      <c r="FQ84" s="155">
        <f t="shared" ref="FQ84" si="3833">SUM(FQ75,FQ78,FQ81)</f>
        <v>0</v>
      </c>
      <c r="FR84" s="156" t="str">
        <f t="shared" ref="FR84" si="3834">IFERROR((FR75*FQ75+FQ78*FR78+FQ81*FR81)/FQ84,"")</f>
        <v/>
      </c>
      <c r="FS84" s="155">
        <f t="shared" ref="FS84" si="3835">SUM(FS75,FS78,FS81)</f>
        <v>0</v>
      </c>
      <c r="FT84" s="156" t="str">
        <f t="shared" ref="FT84" si="3836">IFERROR((FT75*FS75+FS78*FT78+FS81*FT81)/FS84,"")</f>
        <v/>
      </c>
      <c r="FU84" s="155">
        <f t="shared" ref="FU84" si="3837">SUM(FU75,FU78,FU81)</f>
        <v>0</v>
      </c>
      <c r="FV84" s="156" t="str">
        <f t="shared" ref="FV84" si="3838">IFERROR((FV75*FU75+FU78*FV78+FU81*FV81)/FU84,"")</f>
        <v/>
      </c>
      <c r="FW84" s="155">
        <f t="shared" ref="FW84" si="3839">SUM(FW75,FW78,FW81)</f>
        <v>0</v>
      </c>
      <c r="FX84" s="156" t="str">
        <f t="shared" ref="FX84" si="3840">IFERROR((FX75*FW75+FW78*FX78+FW81*FX81)/FW84,"")</f>
        <v/>
      </c>
      <c r="FY84" s="155">
        <f t="shared" ref="FY84" si="3841">SUM(FY75,FY78,FY81)</f>
        <v>0</v>
      </c>
      <c r="FZ84" s="156" t="str">
        <f t="shared" ref="FZ84" si="3842">IFERROR((FZ75*FY75+FY78*FZ78+FY81*FZ81)/FY84,"")</f>
        <v/>
      </c>
      <c r="GA84" s="155">
        <f t="shared" ref="GA84" si="3843">SUM(GA75,GA78,GA81)</f>
        <v>2696</v>
      </c>
      <c r="GB84" s="156">
        <f t="shared" ref="GB84" si="3844">IFERROR((GB75*GA75+GA78*GB78+GA81*GB81)/GA84,"")</f>
        <v>2.17</v>
      </c>
      <c r="GC84" s="155">
        <f t="shared" ref="GC84" si="3845">SUM(GC75,GC78,GC81)</f>
        <v>509</v>
      </c>
      <c r="GD84" s="156">
        <f t="shared" ref="GD84" si="3846">IFERROR((GD75*GC75+GC78*GD78+GC81*GD81)/GC84,"")</f>
        <v>3.49</v>
      </c>
      <c r="GE84" s="155">
        <f t="shared" ref="GE84" si="3847">SUM(GE75,GE78,GE81)</f>
        <v>0</v>
      </c>
      <c r="GF84" s="156" t="str">
        <f t="shared" ref="GF84" si="3848">IFERROR((GF75*GE75+GE78*GF78+GE81*GF81)/GE84,"")</f>
        <v/>
      </c>
      <c r="GG84" s="155">
        <f t="shared" ref="GG84" si="3849">SUM(GG75,GG78,GG81)</f>
        <v>5692</v>
      </c>
      <c r="GH84" s="156">
        <f t="shared" ref="GH84" si="3850">IFERROR((GH75*GG75+GG78*GH78+GG81*GH81)/GG84,"")</f>
        <v>2.4500000000000002</v>
      </c>
      <c r="GI84" s="155">
        <f t="shared" ref="GI84" si="3851">SUM(GI75,GI78,GI81)</f>
        <v>0</v>
      </c>
      <c r="GJ84" s="156" t="str">
        <f t="shared" ref="GJ84" si="3852">IFERROR((GJ75*GI75+GI78*GJ78+GI81*GJ81)/GI84,"")</f>
        <v/>
      </c>
      <c r="GK84" s="155">
        <f t="shared" ref="GK84" si="3853">SUM(GK75,GK78,GK81)</f>
        <v>0</v>
      </c>
      <c r="GL84" s="156" t="str">
        <f t="shared" ref="GL84" si="3854">IFERROR((GL75*GK75+GK78*GL78+GK81*GL81)/GK84,"")</f>
        <v/>
      </c>
      <c r="GM84" s="155">
        <f t="shared" ref="GM84" si="3855">SUM(GM75,GM78,GM81)</f>
        <v>0</v>
      </c>
      <c r="GN84" s="156" t="str">
        <f t="shared" ref="GN84" si="3856">IFERROR((GN75*GM75+GM78*GN78+GM81*GN81)/GM84,"")</f>
        <v/>
      </c>
      <c r="GO84" s="155">
        <f t="shared" ref="GO84" si="3857">SUM(GO75,GO78,GO81)</f>
        <v>0</v>
      </c>
      <c r="GP84" s="156" t="str">
        <f t="shared" ref="GP84" si="3858">IFERROR((GP75*GO75+GO78*GP78+GO81*GP81)/GO84,"")</f>
        <v/>
      </c>
      <c r="GQ84" s="155">
        <f t="shared" ref="GQ84" si="3859">SUM(GQ75,GQ78,GQ81)</f>
        <v>2</v>
      </c>
      <c r="GR84" s="156">
        <f t="shared" ref="GR84" si="3860">IFERROR((GR75*GQ75+GQ78*GR78+GQ81*GR81)/GQ84,"")</f>
        <v>1.55</v>
      </c>
      <c r="GS84" s="155">
        <f t="shared" ref="GS84" si="3861">SUM(GS75,GS78,GS81)</f>
        <v>0</v>
      </c>
      <c r="GT84" s="156" t="str">
        <f t="shared" ref="GT84" si="3862">IFERROR((GT75*GS75+GS78*GT78+GS81*GT81)/GS84,"")</f>
        <v/>
      </c>
      <c r="GU84" s="155">
        <f t="shared" ref="GU84" si="3863">SUM(GU75,GU78,GU81)</f>
        <v>0</v>
      </c>
      <c r="GV84" s="156" t="str">
        <f t="shared" ref="GV84" si="3864">IFERROR((GV75*GU75+GU78*GV78+GU81*GV81)/GU84,"")</f>
        <v/>
      </c>
      <c r="GW84" s="155">
        <f t="shared" ref="GW84" si="3865">SUM(GW75,GW78,GW81)</f>
        <v>0</v>
      </c>
      <c r="GX84" s="156" t="str">
        <f t="shared" ref="GX84" si="3866">IFERROR((GX75*GW75+GW78*GX78+GW81*GX81)/GW84,"")</f>
        <v/>
      </c>
      <c r="GY84" s="155">
        <f t="shared" ref="GY84" si="3867">SUM(GY75,GY78,GY81)</f>
        <v>2392</v>
      </c>
      <c r="GZ84" s="156">
        <f t="shared" ref="GZ84" si="3868">IFERROR((GZ75*GY75+GY78*GZ78+GY81*GZ81)/GY84,"")</f>
        <v>2.88</v>
      </c>
      <c r="HA84" s="155">
        <f t="shared" ref="HA84" si="3869">SUM(HA75,HA78,HA81)</f>
        <v>4992</v>
      </c>
      <c r="HB84" s="156">
        <f t="shared" ref="HB84" si="3870">IFERROR((HB75*HA75+HA78*HB78+HA81*HB81)/HA84,"")</f>
        <v>3.61</v>
      </c>
      <c r="HC84" s="155">
        <f t="shared" ref="HC84" si="3871">SUM(HC75,HC78,HC81)</f>
        <v>5282</v>
      </c>
      <c r="HD84" s="156">
        <f t="shared" ref="HD84" si="3872">IFERROR((HD75*HC75+HC78*HD78+HC81*HD81)/HC84,"")</f>
        <v>2.8700000000000006</v>
      </c>
      <c r="HE84" s="155">
        <f t="shared" ref="HE84" si="3873">SUM(HE75,HE78,HE81)</f>
        <v>8538</v>
      </c>
      <c r="HF84" s="156">
        <f t="shared" ref="HF84" si="3874">IFERROR((HF75*HE75+HE78*HF78+HE81*HF81)/HE84,"")</f>
        <v>2.4300000000000006</v>
      </c>
      <c r="HG84" s="155">
        <f t="shared" ref="HG84" si="3875">SUM(HG75,HG78,HG81)</f>
        <v>0</v>
      </c>
      <c r="HH84" s="156" t="str">
        <f t="shared" ref="HH84" si="3876">IFERROR((HH75*HG75+HG78*HH78+HG81*HH81)/HG84,"")</f>
        <v/>
      </c>
      <c r="HI84" s="155">
        <f t="shared" ref="HI84" si="3877">SUM(HI75,HI78,HI81)</f>
        <v>0</v>
      </c>
      <c r="HJ84" s="156" t="str">
        <f t="shared" ref="HJ84" si="3878">IFERROR((HJ75*HI75+HI78*HJ78+HI81*HJ81)/HI84,"")</f>
        <v/>
      </c>
      <c r="HK84" s="155">
        <f t="shared" ref="HK84" si="3879">SUM(HK75,HK78,HK81)</f>
        <v>0</v>
      </c>
      <c r="HL84" s="156" t="str">
        <f t="shared" ref="HL84" si="3880">IFERROR((HL75*HK75+HK78*HL78+HK81*HL81)/HK84,"")</f>
        <v/>
      </c>
      <c r="HM84" s="155">
        <f t="shared" ref="HM84" si="3881">SUM(HM75,HM78,HM81)</f>
        <v>0</v>
      </c>
      <c r="HN84" s="156" t="str">
        <f t="shared" ref="HN84" si="3882">IFERROR((HN75*HM75+HM78*HN78+HM81*HN81)/HM84,"")</f>
        <v/>
      </c>
      <c r="HO84" s="155">
        <f t="shared" ref="HO84" si="3883">SUM(HO75,HO78,HO81)</f>
        <v>10249</v>
      </c>
      <c r="HP84" s="156">
        <f t="shared" ref="HP84" si="3884">IFERROR((HP75*HO75+HO78*HP78+HO81*HP81)/HO84,"")</f>
        <v>2.3877617328519856</v>
      </c>
      <c r="HQ84" s="155">
        <f t="shared" ref="HQ84" si="3885">SUM(HQ75,HQ78,HQ81)</f>
        <v>0</v>
      </c>
      <c r="HR84" s="156" t="str">
        <f t="shared" ref="HR84" si="3886">IFERROR((HR75*HQ75+HQ78*HR78+HQ81*HR81)/HQ84,"")</f>
        <v/>
      </c>
      <c r="HS84" s="155">
        <f t="shared" ref="HS84" si="3887">SUM(HS75,HS78,HS81)</f>
        <v>2898</v>
      </c>
      <c r="HT84" s="156">
        <f t="shared" ref="HT84" si="3888">IFERROR((HT75*HS75+HS78*HT78+HS81*HT81)/HS84,"")</f>
        <v>2.64</v>
      </c>
      <c r="HU84" s="155">
        <f t="shared" ref="HU84" si="3889">SUM(HU75,HU78,HU81)</f>
        <v>0</v>
      </c>
      <c r="HV84" s="156" t="str">
        <f t="shared" ref="HV84" si="3890">IFERROR((HV75*HU75+HU78*HV78+HU81*HV81)/HU84,"")</f>
        <v/>
      </c>
      <c r="HW84" s="155">
        <f t="shared" ref="HW84" si="3891">SUM(HW75,HW78,HW81)</f>
        <v>0</v>
      </c>
      <c r="HX84" s="156" t="str">
        <f t="shared" ref="HX84" si="3892">IFERROR((HX75*HW75+HW78*HX78+HW81*HX81)/HW84,"")</f>
        <v/>
      </c>
      <c r="HY84" s="155">
        <f t="shared" ref="HY84" si="3893">SUM(HY75,HY78,HY81)</f>
        <v>0</v>
      </c>
      <c r="HZ84" s="156" t="str">
        <f t="shared" ref="HZ84" si="3894">IFERROR((HZ75*HY75+HY78*HZ78+HY81*HZ81)/HY84,"")</f>
        <v/>
      </c>
      <c r="IA84" s="155">
        <f t="shared" ref="IA84" si="3895">SUM(IA75,IA78,IA81)</f>
        <v>1002</v>
      </c>
      <c r="IB84" s="156">
        <f t="shared" ref="IB84" si="3896">IFERROR((IB75*IA75+IA78*IB78+IA81*IB81)/IA84,"")</f>
        <v>2.23</v>
      </c>
      <c r="IC84" s="155">
        <f t="shared" ref="IC84" si="3897">SUM(IC75,IC78,IC81)</f>
        <v>0</v>
      </c>
      <c r="ID84" s="156" t="str">
        <f t="shared" ref="ID84" si="3898">IFERROR((ID75*IC75+IC78*ID78+IC81*ID81)/IC84,"")</f>
        <v/>
      </c>
      <c r="IE84" s="155">
        <f t="shared" ref="IE84" si="3899">SUM(IE75,IE78,IE81)</f>
        <v>0</v>
      </c>
      <c r="IF84" s="156" t="str">
        <f t="shared" ref="IF84" si="3900">IFERROR((IF75*IE75+IE78*IF78+IE81*IF81)/IE84,"")</f>
        <v/>
      </c>
      <c r="IG84" s="155">
        <f t="shared" ref="IG84" si="3901">SUM(IG75,IG78,IG81)</f>
        <v>0</v>
      </c>
      <c r="IH84" s="156" t="str">
        <f t="shared" ref="IH84" si="3902">IFERROR((IH75*IG75+IG78*IH78+IG81*IH81)/IG84,"")</f>
        <v/>
      </c>
      <c r="II84" s="155">
        <f t="shared" ref="II84" si="3903">SUM(II75,II78,II81)</f>
        <v>0</v>
      </c>
      <c r="IJ84" s="156" t="str">
        <f t="shared" ref="IJ84" si="3904">IFERROR((IJ75*II75+II78*IJ78+II81*IJ81)/II84,"")</f>
        <v/>
      </c>
      <c r="IK84" s="155">
        <f t="shared" ref="IK84" si="3905">SUM(IK75,IK78,IK81)</f>
        <v>1556</v>
      </c>
      <c r="IL84" s="156">
        <f t="shared" ref="IL84" si="3906">IFERROR((IL75*IK75+IK78*IL78+IK81*IL81)/IK84,"")</f>
        <v>2.85</v>
      </c>
      <c r="IM84" s="155">
        <f t="shared" ref="IM84" si="3907">SUM(IM75,IM78,IM81)</f>
        <v>1607</v>
      </c>
      <c r="IN84" s="156">
        <f t="shared" ref="IN84" si="3908">IFERROR((IN75*IM75+IM78*IN78+IM81*IN81)/IM84,"")</f>
        <v>2.7300000000000004</v>
      </c>
      <c r="IO84" s="155">
        <f t="shared" ref="IO84" si="3909">SUM(IO75,IO78,IO81)</f>
        <v>0</v>
      </c>
      <c r="IP84" s="156" t="str">
        <f t="shared" ref="IP84" si="3910">IFERROR((IP75*IO75+IO78*IP78+IO81*IP81)/IO84,"")</f>
        <v/>
      </c>
      <c r="IQ84" s="155">
        <f t="shared" ref="IQ84" si="3911">SUM(IQ75,IQ78,IQ81)</f>
        <v>0</v>
      </c>
      <c r="IR84" s="156" t="str">
        <f t="shared" ref="IR84" si="3912">IFERROR((IR75*IQ75+IQ78*IR78+IQ81*IR81)/IQ84,"")</f>
        <v/>
      </c>
      <c r="IS84" s="155">
        <f t="shared" ref="IS84" si="3913">SUM(IS75,IS78,IS81)</f>
        <v>0</v>
      </c>
      <c r="IT84" s="156" t="str">
        <f t="shared" ref="IT84" si="3914">IFERROR((IT75*IS75+IS78*IT78+IS81*IT81)/IS84,"")</f>
        <v/>
      </c>
      <c r="IU84" s="155">
        <f t="shared" ref="IU84" si="3915">SUM(IU75,IU78,IU81)</f>
        <v>0</v>
      </c>
      <c r="IV84" s="156" t="str">
        <f t="shared" ref="IV84" si="3916">IFERROR((IV75*IU75+IU78*IV78+IU81*IV81)/IU84,"")</f>
        <v/>
      </c>
      <c r="IW84" s="155">
        <f t="shared" ref="IW84" si="3917">SUM(IW75,IW78,IW81)</f>
        <v>0</v>
      </c>
      <c r="IX84" s="156" t="str">
        <f t="shared" ref="IX84" si="3918">IFERROR((IX75*IW75+IW78*IX78+IW81*IX81)/IW84,"")</f>
        <v/>
      </c>
      <c r="IY84" s="155">
        <f t="shared" ref="IY84" si="3919">SUM(IY75,IY78,IY81)</f>
        <v>0</v>
      </c>
      <c r="IZ84" s="156" t="str">
        <f t="shared" ref="IZ84" si="3920">IFERROR((IZ75*IY75+IY78*IZ78+IY81*IZ81)/IY84,"")</f>
        <v/>
      </c>
    </row>
    <row r="85" spans="1:260" x14ac:dyDescent="0.25">
      <c r="A85" s="1577"/>
      <c r="B85" s="13" t="s">
        <v>211</v>
      </c>
      <c r="C85" s="131">
        <f>SUM(C76,C79,C82)</f>
        <v>0</v>
      </c>
      <c r="D85" s="132" t="str">
        <f>IFERROR((C76*D76+C79*D79+C82*D82)/C85,"")</f>
        <v/>
      </c>
      <c r="E85" s="155">
        <f t="shared" si="3670"/>
        <v>0</v>
      </c>
      <c r="F85" s="156" t="str">
        <f t="shared" ref="F85" si="3921">IFERROR((F76*E76+E79*F79+E82*F82)/E85,"")</f>
        <v/>
      </c>
      <c r="G85" s="155">
        <f t="shared" ref="G85" si="3922">SUM(G76,G79,G82)</f>
        <v>0</v>
      </c>
      <c r="H85" s="156" t="str">
        <f t="shared" ref="H85" si="3923">IFERROR((H76*G76+G79*H79+G82*H82)/G85,"")</f>
        <v/>
      </c>
      <c r="I85" s="155">
        <f t="shared" ref="I85" si="3924">SUM(I76,I79,I82)</f>
        <v>0</v>
      </c>
      <c r="J85" s="156" t="str">
        <f t="shared" ref="J85" si="3925">IFERROR((J76*I76+I79*J79+I82*J82)/I85,"")</f>
        <v/>
      </c>
      <c r="K85" s="155">
        <f t="shared" ref="K85" si="3926">SUM(K76,K79,K82)</f>
        <v>0</v>
      </c>
      <c r="L85" s="156" t="str">
        <f t="shared" ref="L85" si="3927">IFERROR((L76*K76+K79*L79+K82*L82)/K85,"")</f>
        <v/>
      </c>
      <c r="M85" s="155">
        <f t="shared" ref="M85" si="3928">SUM(M76,M79,M82)</f>
        <v>0</v>
      </c>
      <c r="N85" s="156" t="str">
        <f t="shared" ref="N85" si="3929">IFERROR((N76*M76+M79*N79+M82*N82)/M85,"")</f>
        <v/>
      </c>
      <c r="O85" s="155">
        <f t="shared" ref="O85" si="3930">SUM(O76,O79,O82)</f>
        <v>0</v>
      </c>
      <c r="P85" s="156" t="str">
        <f t="shared" ref="P85" si="3931">IFERROR((P76*O76+O79*P79+O82*P82)/O85,"")</f>
        <v/>
      </c>
      <c r="Q85" s="155">
        <f t="shared" ref="Q85" si="3932">SUM(Q76,Q79,Q82)</f>
        <v>0</v>
      </c>
      <c r="R85" s="156" t="str">
        <f t="shared" ref="R85" si="3933">IFERROR((R76*Q76+Q79*R79+Q82*R82)/Q85,"")</f>
        <v/>
      </c>
      <c r="S85" s="155">
        <f t="shared" ref="S85" si="3934">SUM(S76,S79,S82)</f>
        <v>0</v>
      </c>
      <c r="T85" s="156" t="str">
        <f t="shared" ref="T85" si="3935">IFERROR((T76*S76+S79*T79+S82*T82)/S85,"")</f>
        <v/>
      </c>
      <c r="U85" s="155">
        <f t="shared" ref="U85" si="3936">SUM(U76,U79,U82)</f>
        <v>0</v>
      </c>
      <c r="V85" s="156" t="str">
        <f t="shared" ref="V85" si="3937">IFERROR((V76*U76+U79*V79+U82*V82)/U85,"")</f>
        <v/>
      </c>
      <c r="W85" s="155">
        <f t="shared" ref="W85" si="3938">SUM(W76,W79,W82)</f>
        <v>0</v>
      </c>
      <c r="X85" s="156" t="str">
        <f t="shared" ref="X85" si="3939">IFERROR((X76*W76+W79*X79+W82*X82)/W85,"")</f>
        <v/>
      </c>
      <c r="Y85" s="155">
        <f t="shared" ref="Y85" si="3940">SUM(Y76,Y79,Y82)</f>
        <v>0</v>
      </c>
      <c r="Z85" s="156" t="str">
        <f t="shared" ref="Z85" si="3941">IFERROR((Z76*Y76+Y79*Z79+Y82*Z82)/Y85,"")</f>
        <v/>
      </c>
      <c r="AA85" s="155">
        <f t="shared" ref="AA85" si="3942">SUM(AA76,AA79,AA82)</f>
        <v>0</v>
      </c>
      <c r="AB85" s="156" t="str">
        <f t="shared" ref="AB85" si="3943">IFERROR((AB76*AA76+AA79*AB79+AA82*AB82)/AA85,"")</f>
        <v/>
      </c>
      <c r="AC85" s="155">
        <f t="shared" ref="AC85" si="3944">SUM(AC76,AC79,AC82)</f>
        <v>0</v>
      </c>
      <c r="AD85" s="156" t="str">
        <f t="shared" ref="AD85" si="3945">IFERROR((AD76*AC76+AC79*AD79+AC82*AD82)/AC85,"")</f>
        <v/>
      </c>
      <c r="AE85" s="155">
        <f t="shared" ref="AE85" si="3946">SUM(AE76,AE79,AE82)</f>
        <v>0</v>
      </c>
      <c r="AF85" s="156" t="str">
        <f t="shared" ref="AF85" si="3947">IFERROR((AF76*AE76+AE79*AF79+AE82*AF82)/AE85,"")</f>
        <v/>
      </c>
      <c r="AG85" s="155">
        <f t="shared" ref="AG85" si="3948">SUM(AG76,AG79,AG82)</f>
        <v>0</v>
      </c>
      <c r="AH85" s="156" t="str">
        <f t="shared" ref="AH85" si="3949">IFERROR((AH76*AG76+AG79*AH79+AG82*AH82)/AG85,"")</f>
        <v/>
      </c>
      <c r="AI85" s="155">
        <f t="shared" ref="AI85" si="3950">SUM(AI76,AI79,AI82)</f>
        <v>0</v>
      </c>
      <c r="AJ85" s="156" t="str">
        <f t="shared" ref="AJ85" si="3951">IFERROR((AJ76*AI76+AI79*AJ79+AI82*AJ82)/AI85,"")</f>
        <v/>
      </c>
      <c r="AK85" s="155">
        <f t="shared" ref="AK85" si="3952">SUM(AK76,AK79,AK82)</f>
        <v>0</v>
      </c>
      <c r="AL85" s="156" t="str">
        <f t="shared" ref="AL85" si="3953">IFERROR((AL76*AK76+AK79*AL79+AK82*AL82)/AK85,"")</f>
        <v/>
      </c>
      <c r="AM85" s="155">
        <f t="shared" ref="AM85" si="3954">SUM(AM76,AM79,AM82)</f>
        <v>0</v>
      </c>
      <c r="AN85" s="156" t="str">
        <f t="shared" ref="AN85" si="3955">IFERROR((AN76*AM76+AM79*AN79+AM82*AN82)/AM85,"")</f>
        <v/>
      </c>
      <c r="AO85" s="155">
        <f t="shared" ref="AO85" si="3956">SUM(AO76,AO79,AO82)</f>
        <v>0</v>
      </c>
      <c r="AP85" s="156" t="str">
        <f t="shared" ref="AP85" si="3957">IFERROR((AP76*AO76+AO79*AP79+AO82*AP82)/AO85,"")</f>
        <v/>
      </c>
      <c r="AQ85" s="155">
        <f t="shared" ref="AQ85" si="3958">SUM(AQ76,AQ79,AQ82)</f>
        <v>0</v>
      </c>
      <c r="AR85" s="156" t="str">
        <f t="shared" ref="AR85" si="3959">IFERROR((AR76*AQ76+AQ79*AR79+AQ82*AR82)/AQ85,"")</f>
        <v/>
      </c>
      <c r="AS85" s="155">
        <f t="shared" ref="AS85" si="3960">SUM(AS76,AS79,AS82)</f>
        <v>0</v>
      </c>
      <c r="AT85" s="156" t="str">
        <f t="shared" ref="AT85" si="3961">IFERROR((AT76*AS76+AS79*AT79+AS82*AT82)/AS85,"")</f>
        <v/>
      </c>
      <c r="AU85" s="155">
        <f t="shared" ref="AU85" si="3962">SUM(AU76,AU79,AU82)</f>
        <v>0</v>
      </c>
      <c r="AV85" s="156" t="str">
        <f t="shared" ref="AV85" si="3963">IFERROR((AV76*AU76+AU79*AV79+AU82*AV82)/AU85,"")</f>
        <v/>
      </c>
      <c r="AW85" s="155">
        <f t="shared" ref="AW85" si="3964">SUM(AW76,AW79,AW82)</f>
        <v>0</v>
      </c>
      <c r="AX85" s="156" t="str">
        <f t="shared" ref="AX85" si="3965">IFERROR((AX76*AW76+AW79*AX79+AW82*AX82)/AW85,"")</f>
        <v/>
      </c>
      <c r="AY85" s="155">
        <f t="shared" ref="AY85" si="3966">SUM(AY76,AY79,AY82)</f>
        <v>0</v>
      </c>
      <c r="AZ85" s="156" t="str">
        <f t="shared" ref="AZ85" si="3967">IFERROR((AZ76*AY76+AY79*AZ79+AY82*AZ82)/AY85,"")</f>
        <v/>
      </c>
      <c r="BA85" s="155">
        <f t="shared" ref="BA85" si="3968">SUM(BA76,BA79,BA82)</f>
        <v>0</v>
      </c>
      <c r="BB85" s="156" t="str">
        <f t="shared" ref="BB85" si="3969">IFERROR((BB76*BA76+BA79*BB79+BA82*BB82)/BA85,"")</f>
        <v/>
      </c>
      <c r="BC85" s="155">
        <f t="shared" ref="BC85" si="3970">SUM(BC76,BC79,BC82)</f>
        <v>0</v>
      </c>
      <c r="BD85" s="156" t="str">
        <f t="shared" ref="BD85" si="3971">IFERROR((BD76*BC76+BC79*BD79+BC82*BD82)/BC85,"")</f>
        <v/>
      </c>
      <c r="BE85" s="155">
        <f t="shared" ref="BE85" si="3972">SUM(BE76,BE79,BE82)</f>
        <v>0</v>
      </c>
      <c r="BF85" s="156" t="str">
        <f t="shared" ref="BF85" si="3973">IFERROR((BF76*BE76+BE79*BF79+BE82*BF82)/BE85,"")</f>
        <v/>
      </c>
      <c r="BG85" s="155">
        <f t="shared" ref="BG85" si="3974">SUM(BG76,BG79,BG82)</f>
        <v>0</v>
      </c>
      <c r="BH85" s="156" t="str">
        <f t="shared" ref="BH85" si="3975">IFERROR((BH76*BG76+BG79*BH79+BG82*BH82)/BG85,"")</f>
        <v/>
      </c>
      <c r="BI85" s="155">
        <f t="shared" ref="BI85" si="3976">SUM(BI76,BI79,BI82)</f>
        <v>0</v>
      </c>
      <c r="BJ85" s="156" t="str">
        <f t="shared" ref="BJ85" si="3977">IFERROR((BJ76*BI76+BI79*BJ79+BI82*BJ82)/BI85,"")</f>
        <v/>
      </c>
      <c r="BK85" s="155">
        <f t="shared" ref="BK85" si="3978">SUM(BK76,BK79,BK82)</f>
        <v>0</v>
      </c>
      <c r="BL85" s="156" t="str">
        <f t="shared" ref="BL85" si="3979">IFERROR((BL76*BK76+BK79*BL79+BK82*BL82)/BK85,"")</f>
        <v/>
      </c>
      <c r="BM85" s="155">
        <f t="shared" ref="BM85" si="3980">SUM(BM76,BM79,BM82)</f>
        <v>0</v>
      </c>
      <c r="BN85" s="156" t="str">
        <f t="shared" ref="BN85" si="3981">IFERROR((BN76*BM76+BM79*BN79+BM82*BN82)/BM85,"")</f>
        <v/>
      </c>
      <c r="BO85" s="155">
        <f t="shared" ref="BO85" si="3982">SUM(BO76,BO79,BO82)</f>
        <v>0</v>
      </c>
      <c r="BP85" s="156" t="str">
        <f t="shared" ref="BP85" si="3983">IFERROR((BP76*BO76+BO79*BP79+BO82*BP82)/BO85,"")</f>
        <v/>
      </c>
      <c r="BQ85" s="155">
        <f t="shared" ref="BQ85" si="3984">SUM(BQ76,BQ79,BQ82)</f>
        <v>0</v>
      </c>
      <c r="BR85" s="156" t="str">
        <f t="shared" ref="BR85" si="3985">IFERROR((BR76*BQ76+BQ79*BR79+BQ82*BR82)/BQ85,"")</f>
        <v/>
      </c>
      <c r="BS85" s="155">
        <f t="shared" ref="BS85" si="3986">SUM(BS76,BS79,BS82)</f>
        <v>0</v>
      </c>
      <c r="BT85" s="156" t="str">
        <f t="shared" ref="BT85" si="3987">IFERROR((BT76*BS76+BS79*BT79+BS82*BT82)/BS85,"")</f>
        <v/>
      </c>
      <c r="BU85" s="155">
        <f t="shared" ref="BU85" si="3988">SUM(BU76,BU79,BU82)</f>
        <v>0</v>
      </c>
      <c r="BV85" s="156" t="str">
        <f t="shared" ref="BV85" si="3989">IFERROR((BV76*BU76+BU79*BV79+BU82*BV82)/BU85,"")</f>
        <v/>
      </c>
      <c r="BW85" s="155">
        <f t="shared" ref="BW85" si="3990">SUM(BW76,BW79,BW82)</f>
        <v>0</v>
      </c>
      <c r="BX85" s="156" t="str">
        <f t="shared" ref="BX85" si="3991">IFERROR((BX76*BW76+BW79*BX79+BW82*BX82)/BW85,"")</f>
        <v/>
      </c>
      <c r="BY85" s="155">
        <f t="shared" ref="BY85" si="3992">SUM(BY76,BY79,BY82)</f>
        <v>0</v>
      </c>
      <c r="BZ85" s="156" t="str">
        <f t="shared" ref="BZ85" si="3993">IFERROR((BZ76*BY76+BY79*BZ79+BY82*BZ82)/BY85,"")</f>
        <v/>
      </c>
      <c r="CA85" s="155">
        <f t="shared" ref="CA85" si="3994">SUM(CA76,CA79,CA82)</f>
        <v>0</v>
      </c>
      <c r="CB85" s="156" t="str">
        <f t="shared" ref="CB85" si="3995">IFERROR((CB76*CA76+CA79*CB79+CA82*CB82)/CA85,"")</f>
        <v/>
      </c>
      <c r="CC85" s="155">
        <f t="shared" ref="CC85" si="3996">SUM(CC76,CC79,CC82)</f>
        <v>0</v>
      </c>
      <c r="CD85" s="156" t="str">
        <f t="shared" ref="CD85" si="3997">IFERROR((CD76*CC76+CC79*CD79+CC82*CD82)/CC85,"")</f>
        <v/>
      </c>
      <c r="CE85" s="155">
        <f t="shared" ref="CE85" si="3998">SUM(CE76,CE79,CE82)</f>
        <v>0</v>
      </c>
      <c r="CF85" s="156" t="str">
        <f t="shared" ref="CF85" si="3999">IFERROR((CF76*CE76+CE79*CF79+CE82*CF82)/CE85,"")</f>
        <v/>
      </c>
      <c r="CG85" s="155">
        <f t="shared" ref="CG85" si="4000">SUM(CG76,CG79,CG82)</f>
        <v>0</v>
      </c>
      <c r="CH85" s="156" t="str">
        <f t="shared" ref="CH85" si="4001">IFERROR((CH76*CG76+CG79*CH79+CG82*CH82)/CG85,"")</f>
        <v/>
      </c>
      <c r="CI85" s="155">
        <f t="shared" ref="CI85" si="4002">SUM(CI76,CI79,CI82)</f>
        <v>0</v>
      </c>
      <c r="CJ85" s="156" t="str">
        <f t="shared" ref="CJ85" si="4003">IFERROR((CJ76*CI76+CI79*CJ79+CI82*CJ82)/CI85,"")</f>
        <v/>
      </c>
      <c r="CK85" s="155">
        <f t="shared" ref="CK85" si="4004">SUM(CK76,CK79,CK82)</f>
        <v>0</v>
      </c>
      <c r="CL85" s="156" t="str">
        <f t="shared" ref="CL85" si="4005">IFERROR((CL76*CK76+CK79*CL79+CK82*CL82)/CK85,"")</f>
        <v/>
      </c>
      <c r="CM85" s="155">
        <f t="shared" ref="CM85" si="4006">SUM(CM76,CM79,CM82)</f>
        <v>0</v>
      </c>
      <c r="CN85" s="156" t="str">
        <f t="shared" ref="CN85" si="4007">IFERROR((CN76*CM76+CM79*CN79+CM82*CN82)/CM85,"")</f>
        <v/>
      </c>
      <c r="CO85" s="155">
        <f t="shared" ref="CO85" si="4008">SUM(CO76,CO79,CO82)</f>
        <v>0</v>
      </c>
      <c r="CP85" s="156" t="str">
        <f t="shared" ref="CP85" si="4009">IFERROR((CP76*CO76+CO79*CP79+CO82*CP82)/CO85,"")</f>
        <v/>
      </c>
      <c r="CQ85" s="155">
        <f t="shared" ref="CQ85:CW85" si="4010">SUM(CQ76,CQ79,CQ82)</f>
        <v>0</v>
      </c>
      <c r="CR85" s="156" t="str">
        <f t="shared" ref="CR85" si="4011">IFERROR((CR76*CQ76+CQ79*CR79+CQ82*CR82)/CQ85,"")</f>
        <v/>
      </c>
      <c r="CS85" s="155">
        <f t="shared" ref="CS85" si="4012">SUM(CS76,CS79,CS82)</f>
        <v>0</v>
      </c>
      <c r="CT85" s="156" t="str">
        <f t="shared" si="3761"/>
        <v/>
      </c>
      <c r="CU85" s="155">
        <f t="shared" si="4010"/>
        <v>0</v>
      </c>
      <c r="CV85" s="156" t="str">
        <f t="shared" si="3762"/>
        <v/>
      </c>
      <c r="CW85" s="155">
        <f t="shared" si="4010"/>
        <v>0</v>
      </c>
      <c r="CX85" s="156" t="str">
        <f t="shared" si="3763"/>
        <v/>
      </c>
      <c r="CY85" s="155">
        <f t="shared" ref="CY85" si="4013">SUM(CY76,CY79,CY82)</f>
        <v>0</v>
      </c>
      <c r="CZ85" s="156" t="str">
        <f t="shared" ref="CZ85" si="4014">IFERROR((CZ76*CY76+CY79*CZ79+CY82*CZ82)/CY85,"")</f>
        <v/>
      </c>
      <c r="DA85" s="155">
        <f t="shared" ref="DA85" si="4015">SUM(DA76,DA79,DA82)</f>
        <v>0</v>
      </c>
      <c r="DB85" s="156" t="str">
        <f t="shared" ref="DB85" si="4016">IFERROR((DB76*DA76+DA79*DB79+DA82*DB82)/DA85,"")</f>
        <v/>
      </c>
      <c r="DC85" s="155">
        <f t="shared" ref="DC85" si="4017">SUM(DC76,DC79,DC82)</f>
        <v>0</v>
      </c>
      <c r="DD85" s="156" t="str">
        <f t="shared" ref="DD85" si="4018">IFERROR((DD76*DC76+DC79*DD79+DC82*DD82)/DC85,"")</f>
        <v/>
      </c>
      <c r="DE85" s="155">
        <f t="shared" ref="DE85" si="4019">SUM(DE76,DE79,DE82)</f>
        <v>0</v>
      </c>
      <c r="DF85" s="156" t="str">
        <f t="shared" ref="DF85" si="4020">IFERROR((DF76*DE76+DE79*DF79+DE82*DF82)/DE85,"")</f>
        <v/>
      </c>
      <c r="DG85" s="155">
        <f t="shared" ref="DG85" si="4021">SUM(DG76,DG79,DG82)</f>
        <v>0</v>
      </c>
      <c r="DH85" s="156" t="str">
        <f t="shared" ref="DH85" si="4022">IFERROR((DH76*DG76+DG79*DH79+DG82*DH82)/DG85,"")</f>
        <v/>
      </c>
      <c r="DI85" s="155">
        <f t="shared" ref="DI85" si="4023">SUM(DI76,DI79,DI82)</f>
        <v>0</v>
      </c>
      <c r="DJ85" s="156" t="str">
        <f t="shared" ref="DJ85" si="4024">IFERROR((DJ76*DI76+DI79*DJ79+DI82*DJ82)/DI85,"")</f>
        <v/>
      </c>
      <c r="DK85" s="155">
        <f t="shared" ref="DK85" si="4025">SUM(DK76,DK79,DK82)</f>
        <v>0</v>
      </c>
      <c r="DL85" s="156" t="str">
        <f t="shared" ref="DL85" si="4026">IFERROR((DL76*DK76+DK79*DL79+DK82*DL82)/DK85,"")</f>
        <v/>
      </c>
      <c r="DM85" s="155">
        <f t="shared" ref="DM85" si="4027">SUM(DM76,DM79,DM82)</f>
        <v>0</v>
      </c>
      <c r="DN85" s="156" t="str">
        <f t="shared" ref="DN85" si="4028">IFERROR((DN76*DM76+DM79*DN79+DM82*DN82)/DM85,"")</f>
        <v/>
      </c>
      <c r="DO85" s="155">
        <f t="shared" ref="DO85" si="4029">SUM(DO76,DO79,DO82)</f>
        <v>0</v>
      </c>
      <c r="DP85" s="156" t="str">
        <f t="shared" ref="DP85" si="4030">IFERROR((DP76*DO76+DO79*DP79+DO82*DP82)/DO85,"")</f>
        <v/>
      </c>
      <c r="DQ85" s="155">
        <f t="shared" ref="DQ85" si="4031">SUM(DQ76,DQ79,DQ82)</f>
        <v>0</v>
      </c>
      <c r="DR85" s="156" t="str">
        <f t="shared" ref="DR85" si="4032">IFERROR((DR76*DQ76+DQ79*DR79+DQ82*DR82)/DQ85,"")</f>
        <v/>
      </c>
      <c r="DS85" s="155">
        <f t="shared" ref="DS85" si="4033">SUM(DS76,DS79,DS82)</f>
        <v>0</v>
      </c>
      <c r="DT85" s="156" t="str">
        <f t="shared" ref="DT85" si="4034">IFERROR((DT76*DS76+DS79*DT79+DS82*DT82)/DS85,"")</f>
        <v/>
      </c>
      <c r="DU85" s="155">
        <f t="shared" ref="DU85" si="4035">SUM(DU76,DU79,DU82)</f>
        <v>0</v>
      </c>
      <c r="DV85" s="156" t="str">
        <f t="shared" ref="DV85" si="4036">IFERROR((DV76*DU76+DU79*DV79+DU82*DV82)/DU85,"")</f>
        <v/>
      </c>
      <c r="DW85" s="155">
        <f t="shared" ref="DW85" si="4037">SUM(DW76,DW79,DW82)</f>
        <v>0</v>
      </c>
      <c r="DX85" s="156" t="str">
        <f t="shared" ref="DX85" si="4038">IFERROR((DX76*DW76+DW79*DX79+DW82*DX82)/DW85,"")</f>
        <v/>
      </c>
      <c r="DY85" s="155">
        <f t="shared" ref="DY85" si="4039">SUM(DY76,DY79,DY82)</f>
        <v>0</v>
      </c>
      <c r="DZ85" s="156" t="str">
        <f t="shared" ref="DZ85" si="4040">IFERROR((DZ76*DY76+DY79*DZ79+DY82*DZ82)/DY85,"")</f>
        <v/>
      </c>
      <c r="EA85" s="155">
        <f t="shared" ref="EA85" si="4041">SUM(EA76,EA79,EA82)</f>
        <v>0</v>
      </c>
      <c r="EB85" s="156" t="str">
        <f t="shared" ref="EB85" si="4042">IFERROR((EB76*EA76+EA79*EB79+EA82*EB82)/EA85,"")</f>
        <v/>
      </c>
      <c r="EC85" s="155">
        <f t="shared" ref="EC85" si="4043">SUM(EC76,EC79,EC82)</f>
        <v>0</v>
      </c>
      <c r="ED85" s="156" t="str">
        <f t="shared" ref="ED85" si="4044">IFERROR((ED76*EC76+EC79*ED79+EC82*ED82)/EC85,"")</f>
        <v/>
      </c>
      <c r="EE85" s="155">
        <f t="shared" ref="EE85" si="4045">SUM(EE76,EE79,EE82)</f>
        <v>0</v>
      </c>
      <c r="EF85" s="156" t="str">
        <f t="shared" ref="EF85" si="4046">IFERROR((EF76*EE76+EE79*EF79+EE82*EF82)/EE85,"")</f>
        <v/>
      </c>
      <c r="EG85" s="155">
        <f t="shared" ref="EG85" si="4047">SUM(EG76,EG79,EG82)</f>
        <v>0</v>
      </c>
      <c r="EH85" s="156" t="str">
        <f t="shared" ref="EH85" si="4048">IFERROR((EH76*EG76+EG79*EH79+EG82*EH82)/EG85,"")</f>
        <v/>
      </c>
      <c r="EI85" s="155">
        <f t="shared" ref="EI85" si="4049">SUM(EI76,EI79,EI82)</f>
        <v>0</v>
      </c>
      <c r="EJ85" s="156" t="str">
        <f t="shared" ref="EJ85" si="4050">IFERROR((EJ76*EI76+EI79*EJ79+EI82*EJ82)/EI85,"")</f>
        <v/>
      </c>
      <c r="EK85" s="155">
        <f t="shared" ref="EK85" si="4051">SUM(EK76,EK79,EK82)</f>
        <v>0</v>
      </c>
      <c r="EL85" s="156" t="str">
        <f t="shared" ref="EL85" si="4052">IFERROR((EL76*EK76+EK79*EL79+EK82*EL82)/EK85,"")</f>
        <v/>
      </c>
      <c r="EM85" s="155">
        <f t="shared" ref="EM85" si="4053">SUM(EM76,EM79,EM82)</f>
        <v>0</v>
      </c>
      <c r="EN85" s="156" t="str">
        <f t="shared" ref="EN85" si="4054">IFERROR((EN76*EM76+EM79*EN79+EM82*EN82)/EM85,"")</f>
        <v/>
      </c>
      <c r="EO85" s="155">
        <f t="shared" ref="EO85" si="4055">SUM(EO76,EO79,EO82)</f>
        <v>0</v>
      </c>
      <c r="EP85" s="156" t="str">
        <f t="shared" ref="EP85" si="4056">IFERROR((EP76*EO76+EO79*EP79+EO82*EP82)/EO85,"")</f>
        <v/>
      </c>
      <c r="EQ85" s="155">
        <f t="shared" ref="EQ85:ES85" si="4057">SUM(EQ76,EQ79,EQ82)</f>
        <v>0</v>
      </c>
      <c r="ER85" s="156" t="str">
        <f t="shared" ref="ER85" si="4058">IFERROR((ER76*EQ76+EQ79*ER79+EQ82*ER82)/EQ85,"")</f>
        <v/>
      </c>
      <c r="ES85" s="155">
        <f t="shared" si="4057"/>
        <v>0</v>
      </c>
      <c r="ET85" s="156" t="str">
        <f t="shared" si="3810"/>
        <v/>
      </c>
      <c r="EU85" s="155">
        <f t="shared" ref="EU85" si="4059">SUM(EU76,EU79,EU82)</f>
        <v>0</v>
      </c>
      <c r="EV85" s="156" t="str">
        <f t="shared" ref="EV85" si="4060">IFERROR((EV76*EU76+EU79*EV79+EU82*EV82)/EU85,"")</f>
        <v/>
      </c>
      <c r="EW85" s="155">
        <f t="shared" ref="EW85" si="4061">SUM(EW76,EW79,EW82)</f>
        <v>0</v>
      </c>
      <c r="EX85" s="156" t="str">
        <f t="shared" si="3814"/>
        <v/>
      </c>
      <c r="EY85" s="155">
        <f t="shared" ref="EY85" si="4062">SUM(EY76,EY79,EY82)</f>
        <v>0</v>
      </c>
      <c r="EZ85" s="156" t="str">
        <f t="shared" ref="EZ85" si="4063">IFERROR((EZ76*EY76+EY79*EZ79+EY82*EZ82)/EY85,"")</f>
        <v/>
      </c>
      <c r="FA85" s="155">
        <f t="shared" ref="FA85" si="4064">SUM(FA76,FA79,FA82)</f>
        <v>0</v>
      </c>
      <c r="FB85" s="156" t="str">
        <f t="shared" ref="FB85" si="4065">IFERROR((FB76*FA76+FA79*FB79+FA82*FB82)/FA85,"")</f>
        <v/>
      </c>
      <c r="FC85" s="155">
        <f t="shared" ref="FC85" si="4066">SUM(FC76,FC79,FC82)</f>
        <v>0</v>
      </c>
      <c r="FD85" s="156" t="str">
        <f t="shared" ref="FD85" si="4067">IFERROR((FD76*FC76+FC79*FD79+FC82*FD82)/FC85,"")</f>
        <v/>
      </c>
      <c r="FE85" s="155">
        <f t="shared" ref="FE85" si="4068">SUM(FE76,FE79,FE82)</f>
        <v>0</v>
      </c>
      <c r="FF85" s="156" t="str">
        <f t="shared" ref="FF85" si="4069">IFERROR((FF76*FE76+FE79*FF79+FE82*FF82)/FE85,"")</f>
        <v/>
      </c>
      <c r="FG85" s="155">
        <f t="shared" ref="FG85" si="4070">SUM(FG76,FG79,FG82)</f>
        <v>0</v>
      </c>
      <c r="FH85" s="156" t="str">
        <f t="shared" ref="FH85" si="4071">IFERROR((FH76*FG76+FG79*FH79+FG82*FH82)/FG85,"")</f>
        <v/>
      </c>
      <c r="FI85" s="155">
        <f t="shared" ref="FI85" si="4072">SUM(FI76,FI79,FI82)</f>
        <v>0</v>
      </c>
      <c r="FJ85" s="156" t="str">
        <f t="shared" ref="FJ85" si="4073">IFERROR((FJ76*FI76+FI79*FJ79+FI82*FJ82)/FI85,"")</f>
        <v/>
      </c>
      <c r="FK85" s="155">
        <f t="shared" ref="FK85" si="4074">SUM(FK76,FK79,FK82)</f>
        <v>0</v>
      </c>
      <c r="FL85" s="156" t="str">
        <f t="shared" ref="FL85" si="4075">IFERROR((FL76*FK76+FK79*FL79+FK82*FL82)/FK85,"")</f>
        <v/>
      </c>
      <c r="FM85" s="155">
        <f t="shared" ref="FM85" si="4076">SUM(FM76,FM79,FM82)</f>
        <v>0</v>
      </c>
      <c r="FN85" s="156" t="str">
        <f t="shared" ref="FN85" si="4077">IFERROR((FN76*FM76+FM79*FN79+FM82*FN82)/FM85,"")</f>
        <v/>
      </c>
      <c r="FO85" s="155">
        <f t="shared" ref="FO85" si="4078">SUM(FO76,FO79,FO82)</f>
        <v>0</v>
      </c>
      <c r="FP85" s="156" t="str">
        <f t="shared" ref="FP85" si="4079">IFERROR((FP76*FO76+FO79*FP79+FO82*FP82)/FO85,"")</f>
        <v/>
      </c>
      <c r="FQ85" s="155">
        <f t="shared" ref="FQ85" si="4080">SUM(FQ76,FQ79,FQ82)</f>
        <v>0</v>
      </c>
      <c r="FR85" s="156" t="str">
        <f t="shared" ref="FR85" si="4081">IFERROR((FR76*FQ76+FQ79*FR79+FQ82*FR82)/FQ85,"")</f>
        <v/>
      </c>
      <c r="FS85" s="155">
        <f t="shared" ref="FS85" si="4082">SUM(FS76,FS79,FS82)</f>
        <v>0</v>
      </c>
      <c r="FT85" s="156" t="str">
        <f t="shared" ref="FT85" si="4083">IFERROR((FT76*FS76+FS79*FT79+FS82*FT82)/FS85,"")</f>
        <v/>
      </c>
      <c r="FU85" s="155">
        <f t="shared" ref="FU85" si="4084">SUM(FU76,FU79,FU82)</f>
        <v>0</v>
      </c>
      <c r="FV85" s="156" t="str">
        <f t="shared" ref="FV85" si="4085">IFERROR((FV76*FU76+FU79*FV79+FU82*FV82)/FU85,"")</f>
        <v/>
      </c>
      <c r="FW85" s="155">
        <f t="shared" ref="FW85" si="4086">SUM(FW76,FW79,FW82)</f>
        <v>0</v>
      </c>
      <c r="FX85" s="156" t="str">
        <f t="shared" ref="FX85" si="4087">IFERROR((FX76*FW76+FW79*FX79+FW82*FX82)/FW85,"")</f>
        <v/>
      </c>
      <c r="FY85" s="155">
        <f t="shared" ref="FY85" si="4088">SUM(FY76,FY79,FY82)</f>
        <v>0</v>
      </c>
      <c r="FZ85" s="156" t="str">
        <f t="shared" ref="FZ85" si="4089">IFERROR((FZ76*FY76+FY79*FZ79+FY82*FZ82)/FY85,"")</f>
        <v/>
      </c>
      <c r="GA85" s="155">
        <f t="shared" ref="GA85" si="4090">SUM(GA76,GA79,GA82)</f>
        <v>0</v>
      </c>
      <c r="GB85" s="156" t="str">
        <f t="shared" ref="GB85" si="4091">IFERROR((GB76*GA76+GA79*GB79+GA82*GB82)/GA85,"")</f>
        <v/>
      </c>
      <c r="GC85" s="155">
        <f t="shared" ref="GC85" si="4092">SUM(GC76,GC79,GC82)</f>
        <v>0</v>
      </c>
      <c r="GD85" s="156" t="str">
        <f t="shared" ref="GD85" si="4093">IFERROR((GD76*GC76+GC79*GD79+GC82*GD82)/GC85,"")</f>
        <v/>
      </c>
      <c r="GE85" s="155">
        <f t="shared" ref="GE85" si="4094">SUM(GE76,GE79,GE82)</f>
        <v>0</v>
      </c>
      <c r="GF85" s="156" t="str">
        <f t="shared" ref="GF85" si="4095">IFERROR((GF76*GE76+GE79*GF79+GE82*GF82)/GE85,"")</f>
        <v/>
      </c>
      <c r="GG85" s="155">
        <f t="shared" ref="GG85" si="4096">SUM(GG76,GG79,GG82)</f>
        <v>0</v>
      </c>
      <c r="GH85" s="156" t="str">
        <f t="shared" ref="GH85" si="4097">IFERROR((GH76*GG76+GG79*GH79+GG82*GH82)/GG85,"")</f>
        <v/>
      </c>
      <c r="GI85" s="155">
        <f t="shared" ref="GI85" si="4098">SUM(GI76,GI79,GI82)</f>
        <v>0</v>
      </c>
      <c r="GJ85" s="156" t="str">
        <f t="shared" ref="GJ85" si="4099">IFERROR((GJ76*GI76+GI79*GJ79+GI82*GJ82)/GI85,"")</f>
        <v/>
      </c>
      <c r="GK85" s="155">
        <f t="shared" ref="GK85" si="4100">SUM(GK76,GK79,GK82)</f>
        <v>0</v>
      </c>
      <c r="GL85" s="156" t="str">
        <f t="shared" ref="GL85" si="4101">IFERROR((GL76*GK76+GK79*GL79+GK82*GL82)/GK85,"")</f>
        <v/>
      </c>
      <c r="GM85" s="155">
        <f t="shared" ref="GM85" si="4102">SUM(GM76,GM79,GM82)</f>
        <v>0</v>
      </c>
      <c r="GN85" s="156" t="str">
        <f t="shared" ref="GN85" si="4103">IFERROR((GN76*GM76+GM79*GN79+GM82*GN82)/GM85,"")</f>
        <v/>
      </c>
      <c r="GO85" s="155">
        <f t="shared" ref="GO85" si="4104">SUM(GO76,GO79,GO82)</f>
        <v>0</v>
      </c>
      <c r="GP85" s="156" t="str">
        <f t="shared" ref="GP85" si="4105">IFERROR((GP76*GO76+GO79*GP79+GO82*GP82)/GO85,"")</f>
        <v/>
      </c>
      <c r="GQ85" s="155">
        <f t="shared" ref="GQ85" si="4106">SUM(GQ76,GQ79,GQ82)</f>
        <v>0</v>
      </c>
      <c r="GR85" s="156" t="str">
        <f t="shared" ref="GR85" si="4107">IFERROR((GR76*GQ76+GQ79*GR79+GQ82*GR82)/GQ85,"")</f>
        <v/>
      </c>
      <c r="GS85" s="155">
        <f t="shared" ref="GS85" si="4108">SUM(GS76,GS79,GS82)</f>
        <v>0</v>
      </c>
      <c r="GT85" s="156" t="str">
        <f t="shared" ref="GT85" si="4109">IFERROR((GT76*GS76+GS79*GT79+GS82*GT82)/GS85,"")</f>
        <v/>
      </c>
      <c r="GU85" s="155">
        <f t="shared" ref="GU85" si="4110">SUM(GU76,GU79,GU82)</f>
        <v>0</v>
      </c>
      <c r="GV85" s="156" t="str">
        <f t="shared" ref="GV85" si="4111">IFERROR((GV76*GU76+GU79*GV79+GU82*GV82)/GU85,"")</f>
        <v/>
      </c>
      <c r="GW85" s="155">
        <f t="shared" ref="GW85" si="4112">SUM(GW76,GW79,GW82)</f>
        <v>0</v>
      </c>
      <c r="GX85" s="156" t="str">
        <f t="shared" ref="GX85" si="4113">IFERROR((GX76*GW76+GW79*GX79+GW82*GX82)/GW85,"")</f>
        <v/>
      </c>
      <c r="GY85" s="155">
        <f t="shared" ref="GY85" si="4114">SUM(GY76,GY79,GY82)</f>
        <v>0</v>
      </c>
      <c r="GZ85" s="156" t="str">
        <f t="shared" ref="GZ85" si="4115">IFERROR((GZ76*GY76+GY79*GZ79+GY82*GZ82)/GY85,"")</f>
        <v/>
      </c>
      <c r="HA85" s="155">
        <f t="shared" ref="HA85" si="4116">SUM(HA76,HA79,HA82)</f>
        <v>0</v>
      </c>
      <c r="HB85" s="156" t="str">
        <f t="shared" ref="HB85" si="4117">IFERROR((HB76*HA76+HA79*HB79+HA82*HB82)/HA85,"")</f>
        <v/>
      </c>
      <c r="HC85" s="155">
        <f t="shared" ref="HC85" si="4118">SUM(HC76,HC79,HC82)</f>
        <v>0</v>
      </c>
      <c r="HD85" s="156" t="str">
        <f t="shared" ref="HD85" si="4119">IFERROR((HD76*HC76+HC79*HD79+HC82*HD82)/HC85,"")</f>
        <v/>
      </c>
      <c r="HE85" s="155">
        <f t="shared" ref="HE85" si="4120">SUM(HE76,HE79,HE82)</f>
        <v>0</v>
      </c>
      <c r="HF85" s="156" t="str">
        <f t="shared" ref="HF85" si="4121">IFERROR((HF76*HE76+HE79*HF79+HE82*HF82)/HE85,"")</f>
        <v/>
      </c>
      <c r="HG85" s="155">
        <f t="shared" ref="HG85" si="4122">SUM(HG76,HG79,HG82)</f>
        <v>0</v>
      </c>
      <c r="HH85" s="156" t="str">
        <f t="shared" ref="HH85" si="4123">IFERROR((HH76*HG76+HG79*HH79+HG82*HH82)/HG85,"")</f>
        <v/>
      </c>
      <c r="HI85" s="155">
        <f t="shared" ref="HI85" si="4124">SUM(HI76,HI79,HI82)</f>
        <v>0</v>
      </c>
      <c r="HJ85" s="156" t="str">
        <f t="shared" ref="HJ85" si="4125">IFERROR((HJ76*HI76+HI79*HJ79+HI82*HJ82)/HI85,"")</f>
        <v/>
      </c>
      <c r="HK85" s="155">
        <f t="shared" ref="HK85" si="4126">SUM(HK76,HK79,HK82)</f>
        <v>0</v>
      </c>
      <c r="HL85" s="156" t="str">
        <f t="shared" ref="HL85" si="4127">IFERROR((HL76*HK76+HK79*HL79+HK82*HL82)/HK85,"")</f>
        <v/>
      </c>
      <c r="HM85" s="155">
        <f t="shared" ref="HM85" si="4128">SUM(HM76,HM79,HM82)</f>
        <v>0</v>
      </c>
      <c r="HN85" s="156" t="str">
        <f t="shared" ref="HN85" si="4129">IFERROR((HN76*HM76+HM79*HN79+HM82*HN82)/HM85,"")</f>
        <v/>
      </c>
      <c r="HO85" s="155">
        <f t="shared" ref="HO85" si="4130">SUM(HO76,HO79,HO82)</f>
        <v>0</v>
      </c>
      <c r="HP85" s="156" t="str">
        <f t="shared" ref="HP85" si="4131">IFERROR((HP76*HO76+HO79*HP79+HO82*HP82)/HO85,"")</f>
        <v/>
      </c>
      <c r="HQ85" s="155">
        <f t="shared" ref="HQ85" si="4132">SUM(HQ76,HQ79,HQ82)</f>
        <v>0</v>
      </c>
      <c r="HR85" s="156" t="str">
        <f t="shared" ref="HR85" si="4133">IFERROR((HR76*HQ76+HQ79*HR79+HQ82*HR82)/HQ85,"")</f>
        <v/>
      </c>
      <c r="HS85" s="155">
        <f t="shared" ref="HS85" si="4134">SUM(HS76,HS79,HS82)</f>
        <v>0</v>
      </c>
      <c r="HT85" s="156" t="str">
        <f t="shared" ref="HT85" si="4135">IFERROR((HT76*HS76+HS79*HT79+HS82*HT82)/HS85,"")</f>
        <v/>
      </c>
      <c r="HU85" s="155">
        <f t="shared" ref="HU85" si="4136">SUM(HU76,HU79,HU82)</f>
        <v>0</v>
      </c>
      <c r="HV85" s="156" t="str">
        <f t="shared" ref="HV85" si="4137">IFERROR((HV76*HU76+HU79*HV79+HU82*HV82)/HU85,"")</f>
        <v/>
      </c>
      <c r="HW85" s="155">
        <f t="shared" ref="HW85" si="4138">SUM(HW76,HW79,HW82)</f>
        <v>0</v>
      </c>
      <c r="HX85" s="156" t="str">
        <f t="shared" ref="HX85" si="4139">IFERROR((HX76*HW76+HW79*HX79+HW82*HX82)/HW85,"")</f>
        <v/>
      </c>
      <c r="HY85" s="155">
        <f t="shared" ref="HY85" si="4140">SUM(HY76,HY79,HY82)</f>
        <v>0</v>
      </c>
      <c r="HZ85" s="156" t="str">
        <f t="shared" ref="HZ85" si="4141">IFERROR((HZ76*HY76+HY79*HZ79+HY82*HZ82)/HY85,"")</f>
        <v/>
      </c>
      <c r="IA85" s="155">
        <f t="shared" ref="IA85" si="4142">SUM(IA76,IA79,IA82)</f>
        <v>0</v>
      </c>
      <c r="IB85" s="156" t="str">
        <f t="shared" ref="IB85" si="4143">IFERROR((IB76*IA76+IA79*IB79+IA82*IB82)/IA85,"")</f>
        <v/>
      </c>
      <c r="IC85" s="155">
        <f t="shared" ref="IC85" si="4144">SUM(IC76,IC79,IC82)</f>
        <v>0</v>
      </c>
      <c r="ID85" s="156" t="str">
        <f t="shared" ref="ID85" si="4145">IFERROR((ID76*IC76+IC79*ID79+IC82*ID82)/IC85,"")</f>
        <v/>
      </c>
      <c r="IE85" s="155">
        <f t="shared" ref="IE85" si="4146">SUM(IE76,IE79,IE82)</f>
        <v>0</v>
      </c>
      <c r="IF85" s="156" t="str">
        <f t="shared" ref="IF85" si="4147">IFERROR((IF76*IE76+IE79*IF79+IE82*IF82)/IE85,"")</f>
        <v/>
      </c>
      <c r="IG85" s="155">
        <f t="shared" ref="IG85" si="4148">SUM(IG76,IG79,IG82)</f>
        <v>0</v>
      </c>
      <c r="IH85" s="156" t="str">
        <f t="shared" ref="IH85" si="4149">IFERROR((IH76*IG76+IG79*IH79+IG82*IH82)/IG85,"")</f>
        <v/>
      </c>
      <c r="II85" s="155">
        <f t="shared" ref="II85" si="4150">SUM(II76,II79,II82)</f>
        <v>0</v>
      </c>
      <c r="IJ85" s="156" t="str">
        <f t="shared" ref="IJ85" si="4151">IFERROR((IJ76*II76+II79*IJ79+II82*IJ82)/II85,"")</f>
        <v/>
      </c>
      <c r="IK85" s="155">
        <f t="shared" ref="IK85" si="4152">SUM(IK76,IK79,IK82)</f>
        <v>0</v>
      </c>
      <c r="IL85" s="156" t="str">
        <f t="shared" ref="IL85" si="4153">IFERROR((IL76*IK76+IK79*IL79+IK82*IL82)/IK85,"")</f>
        <v/>
      </c>
      <c r="IM85" s="155">
        <f t="shared" ref="IM85" si="4154">SUM(IM76,IM79,IM82)</f>
        <v>0</v>
      </c>
      <c r="IN85" s="156" t="str">
        <f t="shared" ref="IN85" si="4155">IFERROR((IN76*IM76+IM79*IN79+IM82*IN82)/IM85,"")</f>
        <v/>
      </c>
      <c r="IO85" s="155">
        <f t="shared" ref="IO85" si="4156">SUM(IO76,IO79,IO82)</f>
        <v>0</v>
      </c>
      <c r="IP85" s="156" t="str">
        <f t="shared" ref="IP85" si="4157">IFERROR((IP76*IO76+IO79*IP79+IO82*IP82)/IO85,"")</f>
        <v/>
      </c>
      <c r="IQ85" s="155">
        <f t="shared" ref="IQ85" si="4158">SUM(IQ76,IQ79,IQ82)</f>
        <v>0</v>
      </c>
      <c r="IR85" s="156" t="str">
        <f t="shared" ref="IR85" si="4159">IFERROR((IR76*IQ76+IQ79*IR79+IQ82*IR82)/IQ85,"")</f>
        <v/>
      </c>
      <c r="IS85" s="155">
        <f t="shared" ref="IS85" si="4160">SUM(IS76,IS79,IS82)</f>
        <v>0</v>
      </c>
      <c r="IT85" s="156" t="str">
        <f t="shared" ref="IT85" si="4161">IFERROR((IT76*IS76+IS79*IT79+IS82*IT82)/IS85,"")</f>
        <v/>
      </c>
      <c r="IU85" s="155">
        <f t="shared" ref="IU85" si="4162">SUM(IU76,IU79,IU82)</f>
        <v>0</v>
      </c>
      <c r="IV85" s="156" t="str">
        <f t="shared" ref="IV85" si="4163">IFERROR((IV76*IU76+IU79*IV79+IU82*IV82)/IU85,"")</f>
        <v/>
      </c>
      <c r="IW85" s="155">
        <f t="shared" ref="IW85" si="4164">SUM(IW76,IW79,IW82)</f>
        <v>0</v>
      </c>
      <c r="IX85" s="156" t="str">
        <f t="shared" ref="IX85" si="4165">IFERROR((IX76*IW76+IW79*IX79+IW82*IX82)/IW85,"")</f>
        <v/>
      </c>
      <c r="IY85" s="155">
        <f t="shared" ref="IY85" si="4166">SUM(IY76,IY79,IY82)</f>
        <v>0</v>
      </c>
      <c r="IZ85" s="156" t="str">
        <f t="shared" ref="IZ85" si="4167">IFERROR((IZ76*IY76+IY79*IZ79+IY82*IZ82)/IY85,"")</f>
        <v/>
      </c>
    </row>
    <row r="86" spans="1:260" x14ac:dyDescent="0.25">
      <c r="A86" s="1577"/>
      <c r="B86" s="13" t="s">
        <v>5</v>
      </c>
      <c r="C86" s="131">
        <f>SUM(C77,C80,C83)</f>
        <v>0</v>
      </c>
      <c r="D86" s="132" t="str">
        <f>IFERROR((C77*D77+C80*D80+C83*D83)/C86,"")</f>
        <v/>
      </c>
      <c r="E86" s="155">
        <f t="shared" ref="E86" si="4168">SUM(E77,E80,E83)</f>
        <v>0</v>
      </c>
      <c r="F86" s="156" t="str">
        <f t="shared" ref="F86" si="4169">IFERROR((F77*E77+E80*F80+E83*F83)/E86,"")</f>
        <v/>
      </c>
      <c r="G86" s="155">
        <f t="shared" ref="G86" si="4170">SUM(G77,G80,G83)</f>
        <v>0</v>
      </c>
      <c r="H86" s="156" t="str">
        <f t="shared" ref="H86" si="4171">IFERROR((H77*G77+G80*H80+G83*H83)/G86,"")</f>
        <v/>
      </c>
      <c r="I86" s="155">
        <f t="shared" ref="I86" si="4172">SUM(I77,I80,I83)</f>
        <v>0</v>
      </c>
      <c r="J86" s="156" t="str">
        <f t="shared" ref="J86" si="4173">IFERROR((J77*I77+I80*J80+I83*J83)/I86,"")</f>
        <v/>
      </c>
      <c r="K86" s="155">
        <f t="shared" ref="K86" si="4174">SUM(K77,K80,K83)</f>
        <v>0</v>
      </c>
      <c r="L86" s="156" t="str">
        <f t="shared" ref="L86" si="4175">IFERROR((L77*K77+K80*L80+K83*L83)/K86,"")</f>
        <v/>
      </c>
      <c r="M86" s="155">
        <f t="shared" ref="M86" si="4176">SUM(M77,M80,M83)</f>
        <v>0</v>
      </c>
      <c r="N86" s="156" t="str">
        <f t="shared" ref="N86" si="4177">IFERROR((N77*M77+M80*N80+M83*N83)/M86,"")</f>
        <v/>
      </c>
      <c r="O86" s="155">
        <f t="shared" ref="O86" si="4178">SUM(O77,O80,O83)</f>
        <v>0</v>
      </c>
      <c r="P86" s="156" t="str">
        <f t="shared" ref="P86" si="4179">IFERROR((P77*O77+O80*P80+O83*P83)/O86,"")</f>
        <v/>
      </c>
      <c r="Q86" s="155">
        <f t="shared" ref="Q86" si="4180">SUM(Q77,Q80,Q83)</f>
        <v>0</v>
      </c>
      <c r="R86" s="156" t="str">
        <f t="shared" ref="R86" si="4181">IFERROR((R77*Q77+Q80*R80+Q83*R83)/Q86,"")</f>
        <v/>
      </c>
      <c r="S86" s="155">
        <f t="shared" ref="S86" si="4182">SUM(S77,S80,S83)</f>
        <v>0</v>
      </c>
      <c r="T86" s="156" t="str">
        <f t="shared" ref="T86" si="4183">IFERROR((T77*S77+S80*T80+S83*T83)/S86,"")</f>
        <v/>
      </c>
      <c r="U86" s="155">
        <f t="shared" ref="U86" si="4184">SUM(U77,U80,U83)</f>
        <v>0</v>
      </c>
      <c r="V86" s="156" t="str">
        <f t="shared" ref="V86" si="4185">IFERROR((V77*U77+U80*V80+U83*V83)/U86,"")</f>
        <v/>
      </c>
      <c r="W86" s="155">
        <f t="shared" ref="W86" si="4186">SUM(W77,W80,W83)</f>
        <v>0</v>
      </c>
      <c r="X86" s="156" t="str">
        <f t="shared" ref="X86" si="4187">IFERROR((X77*W77+W80*X80+W83*X83)/W86,"")</f>
        <v/>
      </c>
      <c r="Y86" s="155">
        <f t="shared" ref="Y86" si="4188">SUM(Y77,Y80,Y83)</f>
        <v>0</v>
      </c>
      <c r="Z86" s="156" t="str">
        <f t="shared" ref="Z86" si="4189">IFERROR((Z77*Y77+Y80*Z80+Y83*Z83)/Y86,"")</f>
        <v/>
      </c>
      <c r="AA86" s="155">
        <f t="shared" ref="AA86" si="4190">SUM(AA77,AA80,AA83)</f>
        <v>0</v>
      </c>
      <c r="AB86" s="156" t="str">
        <f t="shared" ref="AB86" si="4191">IFERROR((AB77*AA77+AA80*AB80+AA83*AB83)/AA86,"")</f>
        <v/>
      </c>
      <c r="AC86" s="155">
        <f t="shared" ref="AC86" si="4192">SUM(AC77,AC80,AC83)</f>
        <v>0</v>
      </c>
      <c r="AD86" s="156" t="str">
        <f t="shared" ref="AD86" si="4193">IFERROR((AD77*AC77+AC80*AD80+AC83*AD83)/AC86,"")</f>
        <v/>
      </c>
      <c r="AE86" s="155">
        <f t="shared" ref="AE86" si="4194">SUM(AE77,AE80,AE83)</f>
        <v>0</v>
      </c>
      <c r="AF86" s="156" t="str">
        <f t="shared" ref="AF86" si="4195">IFERROR((AF77*AE77+AE80*AF80+AE83*AF83)/AE86,"")</f>
        <v/>
      </c>
      <c r="AG86" s="155">
        <f t="shared" ref="AG86" si="4196">SUM(AG77,AG80,AG83)</f>
        <v>0</v>
      </c>
      <c r="AH86" s="156" t="str">
        <f t="shared" ref="AH86" si="4197">IFERROR((AH77*AG77+AG80*AH80+AG83*AH83)/AG86,"")</f>
        <v/>
      </c>
      <c r="AI86" s="155">
        <f t="shared" ref="AI86" si="4198">SUM(AI77,AI80,AI83)</f>
        <v>0</v>
      </c>
      <c r="AJ86" s="156" t="str">
        <f t="shared" ref="AJ86" si="4199">IFERROR((AJ77*AI77+AI80*AJ80+AI83*AJ83)/AI86,"")</f>
        <v/>
      </c>
      <c r="AK86" s="155">
        <f t="shared" ref="AK86" si="4200">SUM(AK77,AK80,AK83)</f>
        <v>0</v>
      </c>
      <c r="AL86" s="156" t="str">
        <f t="shared" ref="AL86" si="4201">IFERROR((AL77*AK77+AK80*AL80+AK83*AL83)/AK86,"")</f>
        <v/>
      </c>
      <c r="AM86" s="155">
        <f t="shared" ref="AM86" si="4202">SUM(AM77,AM80,AM83)</f>
        <v>0</v>
      </c>
      <c r="AN86" s="156" t="str">
        <f t="shared" ref="AN86" si="4203">IFERROR((AN77*AM77+AM80*AN80+AM83*AN83)/AM86,"")</f>
        <v/>
      </c>
      <c r="AO86" s="155">
        <f t="shared" ref="AO86" si="4204">SUM(AO77,AO80,AO83)</f>
        <v>0</v>
      </c>
      <c r="AP86" s="156" t="str">
        <f t="shared" ref="AP86" si="4205">IFERROR((AP77*AO77+AO80*AP80+AO83*AP83)/AO86,"")</f>
        <v/>
      </c>
      <c r="AQ86" s="155">
        <f t="shared" ref="AQ86" si="4206">SUM(AQ77,AQ80,AQ83)</f>
        <v>0</v>
      </c>
      <c r="AR86" s="156" t="str">
        <f t="shared" ref="AR86" si="4207">IFERROR((AR77*AQ77+AQ80*AR80+AQ83*AR83)/AQ86,"")</f>
        <v/>
      </c>
      <c r="AS86" s="155">
        <f t="shared" ref="AS86" si="4208">SUM(AS77,AS80,AS83)</f>
        <v>0</v>
      </c>
      <c r="AT86" s="156" t="str">
        <f t="shared" ref="AT86" si="4209">IFERROR((AT77*AS77+AS80*AT80+AS83*AT83)/AS86,"")</f>
        <v/>
      </c>
      <c r="AU86" s="155">
        <f t="shared" ref="AU86" si="4210">SUM(AU77,AU80,AU83)</f>
        <v>0</v>
      </c>
      <c r="AV86" s="156" t="str">
        <f t="shared" ref="AV86" si="4211">IFERROR((AV77*AU77+AU80*AV80+AU83*AV83)/AU86,"")</f>
        <v/>
      </c>
      <c r="AW86" s="155">
        <f t="shared" ref="AW86" si="4212">SUM(AW77,AW80,AW83)</f>
        <v>0</v>
      </c>
      <c r="AX86" s="156" t="str">
        <f t="shared" ref="AX86" si="4213">IFERROR((AX77*AW77+AW80*AX80+AW83*AX83)/AW86,"")</f>
        <v/>
      </c>
      <c r="AY86" s="155">
        <f t="shared" ref="AY86" si="4214">SUM(AY77,AY80,AY83)</f>
        <v>0</v>
      </c>
      <c r="AZ86" s="156" t="str">
        <f t="shared" ref="AZ86" si="4215">IFERROR((AZ77*AY77+AY80*AZ80+AY83*AZ83)/AY86,"")</f>
        <v/>
      </c>
      <c r="BA86" s="155">
        <f t="shared" ref="BA86" si="4216">SUM(BA77,BA80,BA83)</f>
        <v>0</v>
      </c>
      <c r="BB86" s="156" t="str">
        <f t="shared" ref="BB86" si="4217">IFERROR((BB77*BA77+BA80*BB80+BA83*BB83)/BA86,"")</f>
        <v/>
      </c>
      <c r="BC86" s="155">
        <f t="shared" ref="BC86" si="4218">SUM(BC77,BC80,BC83)</f>
        <v>0</v>
      </c>
      <c r="BD86" s="156" t="str">
        <f t="shared" ref="BD86" si="4219">IFERROR((BD77*BC77+BC80*BD80+BC83*BD83)/BC86,"")</f>
        <v/>
      </c>
      <c r="BE86" s="155">
        <f t="shared" ref="BE86" si="4220">SUM(BE77,BE80,BE83)</f>
        <v>0</v>
      </c>
      <c r="BF86" s="156" t="str">
        <f t="shared" ref="BF86" si="4221">IFERROR((BF77*BE77+BE80*BF80+BE83*BF83)/BE86,"")</f>
        <v/>
      </c>
      <c r="BG86" s="155">
        <f t="shared" ref="BG86" si="4222">SUM(BG77,BG80,BG83)</f>
        <v>0</v>
      </c>
      <c r="BH86" s="156" t="str">
        <f t="shared" ref="BH86" si="4223">IFERROR((BH77*BG77+BG80*BH80+BG83*BH83)/BG86,"")</f>
        <v/>
      </c>
      <c r="BI86" s="155">
        <f t="shared" ref="BI86" si="4224">SUM(BI77,BI80,BI83)</f>
        <v>0</v>
      </c>
      <c r="BJ86" s="156" t="str">
        <f t="shared" ref="BJ86" si="4225">IFERROR((BJ77*BI77+BI80*BJ80+BI83*BJ83)/BI86,"")</f>
        <v/>
      </c>
      <c r="BK86" s="155">
        <f t="shared" ref="BK86" si="4226">SUM(BK77,BK80,BK83)</f>
        <v>0</v>
      </c>
      <c r="BL86" s="156" t="str">
        <f t="shared" ref="BL86" si="4227">IFERROR((BL77*BK77+BK80*BL80+BK83*BL83)/BK86,"")</f>
        <v/>
      </c>
      <c r="BM86" s="155">
        <f t="shared" ref="BM86" si="4228">SUM(BM77,BM80,BM83)</f>
        <v>0</v>
      </c>
      <c r="BN86" s="156" t="str">
        <f t="shared" ref="BN86" si="4229">IFERROR((BN77*BM77+BM80*BN80+BM83*BN83)/BM86,"")</f>
        <v/>
      </c>
      <c r="BO86" s="155">
        <f t="shared" ref="BO86" si="4230">SUM(BO77,BO80,BO83)</f>
        <v>0</v>
      </c>
      <c r="BP86" s="156" t="str">
        <f t="shared" ref="BP86" si="4231">IFERROR((BP77*BO77+BO80*BP80+BO83*BP83)/BO86,"")</f>
        <v/>
      </c>
      <c r="BQ86" s="155">
        <f t="shared" ref="BQ86" si="4232">SUM(BQ77,BQ80,BQ83)</f>
        <v>0</v>
      </c>
      <c r="BR86" s="156" t="str">
        <f t="shared" ref="BR86" si="4233">IFERROR((BR77*BQ77+BQ80*BR80+BQ83*BR83)/BQ86,"")</f>
        <v/>
      </c>
      <c r="BS86" s="155">
        <f t="shared" ref="BS86" si="4234">SUM(BS77,BS80,BS83)</f>
        <v>0</v>
      </c>
      <c r="BT86" s="156" t="str">
        <f t="shared" ref="BT86" si="4235">IFERROR((BT77*BS77+BS80*BT80+BS83*BT83)/BS86,"")</f>
        <v/>
      </c>
      <c r="BU86" s="155">
        <f t="shared" ref="BU86" si="4236">SUM(BU77,BU80,BU83)</f>
        <v>0</v>
      </c>
      <c r="BV86" s="156" t="str">
        <f t="shared" ref="BV86" si="4237">IFERROR((BV77*BU77+BU80*BV80+BU83*BV83)/BU86,"")</f>
        <v/>
      </c>
      <c r="BW86" s="155">
        <f t="shared" ref="BW86" si="4238">SUM(BW77,BW80,BW83)</f>
        <v>0</v>
      </c>
      <c r="BX86" s="156" t="str">
        <f t="shared" ref="BX86" si="4239">IFERROR((BX77*BW77+BW80*BX80+BW83*BX83)/BW86,"")</f>
        <v/>
      </c>
      <c r="BY86" s="155">
        <f t="shared" ref="BY86" si="4240">SUM(BY77,BY80,BY83)</f>
        <v>0</v>
      </c>
      <c r="BZ86" s="156" t="str">
        <f t="shared" ref="BZ86" si="4241">IFERROR((BZ77*BY77+BY80*BZ80+BY83*BZ83)/BY86,"")</f>
        <v/>
      </c>
      <c r="CA86" s="155">
        <f t="shared" ref="CA86" si="4242">SUM(CA77,CA80,CA83)</f>
        <v>0</v>
      </c>
      <c r="CB86" s="156" t="str">
        <f t="shared" ref="CB86" si="4243">IFERROR((CB77*CA77+CA80*CB80+CA83*CB83)/CA86,"")</f>
        <v/>
      </c>
      <c r="CC86" s="155">
        <f t="shared" ref="CC86" si="4244">SUM(CC77,CC80,CC83)</f>
        <v>0</v>
      </c>
      <c r="CD86" s="156" t="str">
        <f t="shared" ref="CD86" si="4245">IFERROR((CD77*CC77+CC80*CD80+CC83*CD83)/CC86,"")</f>
        <v/>
      </c>
      <c r="CE86" s="155">
        <f t="shared" ref="CE86" si="4246">SUM(CE77,CE80,CE83)</f>
        <v>0</v>
      </c>
      <c r="CF86" s="156" t="str">
        <f t="shared" ref="CF86" si="4247">IFERROR((CF77*CE77+CE80*CF80+CE83*CF83)/CE86,"")</f>
        <v/>
      </c>
      <c r="CG86" s="155">
        <f t="shared" ref="CG86" si="4248">SUM(CG77,CG80,CG83)</f>
        <v>0</v>
      </c>
      <c r="CH86" s="156" t="str">
        <f t="shared" ref="CH86" si="4249">IFERROR((CH77*CG77+CG80*CH80+CG83*CH83)/CG86,"")</f>
        <v/>
      </c>
      <c r="CI86" s="155">
        <f t="shared" ref="CI86" si="4250">SUM(CI77,CI80,CI83)</f>
        <v>0</v>
      </c>
      <c r="CJ86" s="156" t="str">
        <f t="shared" ref="CJ86" si="4251">IFERROR((CJ77*CI77+CI80*CJ80+CI83*CJ83)/CI86,"")</f>
        <v/>
      </c>
      <c r="CK86" s="155">
        <f t="shared" ref="CK86" si="4252">SUM(CK77,CK80,CK83)</f>
        <v>0</v>
      </c>
      <c r="CL86" s="156" t="str">
        <f t="shared" ref="CL86" si="4253">IFERROR((CL77*CK77+CK80*CL80+CK83*CL83)/CK86,"")</f>
        <v/>
      </c>
      <c r="CM86" s="155">
        <f t="shared" ref="CM86" si="4254">SUM(CM77,CM80,CM83)</f>
        <v>0</v>
      </c>
      <c r="CN86" s="156" t="str">
        <f t="shared" ref="CN86" si="4255">IFERROR((CN77*CM77+CM80*CN80+CM83*CN83)/CM86,"")</f>
        <v/>
      </c>
      <c r="CO86" s="155">
        <f t="shared" ref="CO86" si="4256">SUM(CO77,CO80,CO83)</f>
        <v>0</v>
      </c>
      <c r="CP86" s="156" t="str">
        <f t="shared" ref="CP86" si="4257">IFERROR((CP77*CO77+CO80*CP80+CO83*CP83)/CO86,"")</f>
        <v/>
      </c>
      <c r="CQ86" s="155">
        <f t="shared" ref="CQ86:CW86" si="4258">SUM(CQ77,CQ80,CQ83)</f>
        <v>0</v>
      </c>
      <c r="CR86" s="156" t="str">
        <f t="shared" ref="CR86" si="4259">IFERROR((CR77*CQ77+CQ80*CR80+CQ83*CR83)/CQ86,"")</f>
        <v/>
      </c>
      <c r="CS86" s="155">
        <f t="shared" ref="CS86" si="4260">SUM(CS77,CS80,CS83)</f>
        <v>0</v>
      </c>
      <c r="CT86" s="156" t="str">
        <f t="shared" si="3761"/>
        <v/>
      </c>
      <c r="CU86" s="155">
        <f t="shared" si="4258"/>
        <v>0</v>
      </c>
      <c r="CV86" s="156" t="str">
        <f t="shared" si="3762"/>
        <v/>
      </c>
      <c r="CW86" s="155">
        <f t="shared" si="4258"/>
        <v>0</v>
      </c>
      <c r="CX86" s="156" t="str">
        <f t="shared" si="3763"/>
        <v/>
      </c>
      <c r="CY86" s="155">
        <f t="shared" ref="CY86" si="4261">SUM(CY77,CY80,CY83)</f>
        <v>0</v>
      </c>
      <c r="CZ86" s="156" t="str">
        <f t="shared" ref="CZ86" si="4262">IFERROR((CZ77*CY77+CY80*CZ80+CY83*CZ83)/CY86,"")</f>
        <v/>
      </c>
      <c r="DA86" s="155">
        <f t="shared" ref="DA86" si="4263">SUM(DA77,DA80,DA83)</f>
        <v>0</v>
      </c>
      <c r="DB86" s="156" t="str">
        <f t="shared" ref="DB86" si="4264">IFERROR((DB77*DA77+DA80*DB80+DA83*DB83)/DA86,"")</f>
        <v/>
      </c>
      <c r="DC86" s="155">
        <f t="shared" ref="DC86" si="4265">SUM(DC77,DC80,DC83)</f>
        <v>0</v>
      </c>
      <c r="DD86" s="156" t="str">
        <f t="shared" ref="DD86" si="4266">IFERROR((DD77*DC77+DC80*DD80+DC83*DD83)/DC86,"")</f>
        <v/>
      </c>
      <c r="DE86" s="155">
        <f t="shared" ref="DE86" si="4267">SUM(DE77,DE80,DE83)</f>
        <v>0</v>
      </c>
      <c r="DF86" s="156" t="str">
        <f t="shared" ref="DF86" si="4268">IFERROR((DF77*DE77+DE80*DF80+DE83*DF83)/DE86,"")</f>
        <v/>
      </c>
      <c r="DG86" s="155">
        <f t="shared" ref="DG86" si="4269">SUM(DG77,DG80,DG83)</f>
        <v>0</v>
      </c>
      <c r="DH86" s="156" t="str">
        <f t="shared" ref="DH86" si="4270">IFERROR((DH77*DG77+DG80*DH80+DG83*DH83)/DG86,"")</f>
        <v/>
      </c>
      <c r="DI86" s="155">
        <f t="shared" ref="DI86" si="4271">SUM(DI77,DI80,DI83)</f>
        <v>0</v>
      </c>
      <c r="DJ86" s="156" t="str">
        <f t="shared" ref="DJ86" si="4272">IFERROR((DJ77*DI77+DI80*DJ80+DI83*DJ83)/DI86,"")</f>
        <v/>
      </c>
      <c r="DK86" s="155">
        <f t="shared" ref="DK86" si="4273">SUM(DK77,DK80,DK83)</f>
        <v>0</v>
      </c>
      <c r="DL86" s="156" t="str">
        <f t="shared" ref="DL86" si="4274">IFERROR((DL77*DK77+DK80*DL80+DK83*DL83)/DK86,"")</f>
        <v/>
      </c>
      <c r="DM86" s="155">
        <f t="shared" ref="DM86" si="4275">SUM(DM77,DM80,DM83)</f>
        <v>0</v>
      </c>
      <c r="DN86" s="156" t="str">
        <f t="shared" ref="DN86" si="4276">IFERROR((DN77*DM77+DM80*DN80+DM83*DN83)/DM86,"")</f>
        <v/>
      </c>
      <c r="DO86" s="155">
        <f t="shared" ref="DO86" si="4277">SUM(DO77,DO80,DO83)</f>
        <v>0</v>
      </c>
      <c r="DP86" s="156" t="str">
        <f t="shared" ref="DP86" si="4278">IFERROR((DP77*DO77+DO80*DP80+DO83*DP83)/DO86,"")</f>
        <v/>
      </c>
      <c r="DQ86" s="155">
        <f t="shared" ref="DQ86" si="4279">SUM(DQ77,DQ80,DQ83)</f>
        <v>0</v>
      </c>
      <c r="DR86" s="156" t="str">
        <f t="shared" ref="DR86" si="4280">IFERROR((DR77*DQ77+DQ80*DR80+DQ83*DR83)/DQ86,"")</f>
        <v/>
      </c>
      <c r="DS86" s="155">
        <f t="shared" ref="DS86" si="4281">SUM(DS77,DS80,DS83)</f>
        <v>0</v>
      </c>
      <c r="DT86" s="156" t="str">
        <f t="shared" ref="DT86" si="4282">IFERROR((DT77*DS77+DS80*DT80+DS83*DT83)/DS86,"")</f>
        <v/>
      </c>
      <c r="DU86" s="155">
        <f t="shared" ref="DU86" si="4283">SUM(DU77,DU80,DU83)</f>
        <v>0</v>
      </c>
      <c r="DV86" s="156" t="str">
        <f t="shared" ref="DV86" si="4284">IFERROR((DV77*DU77+DU80*DV80+DU83*DV83)/DU86,"")</f>
        <v/>
      </c>
      <c r="DW86" s="155">
        <f t="shared" ref="DW86" si="4285">SUM(DW77,DW80,DW83)</f>
        <v>0</v>
      </c>
      <c r="DX86" s="156" t="str">
        <f t="shared" ref="DX86" si="4286">IFERROR((DX77*DW77+DW80*DX80+DW83*DX83)/DW86,"")</f>
        <v/>
      </c>
      <c r="DY86" s="155">
        <f t="shared" ref="DY86" si="4287">SUM(DY77,DY80,DY83)</f>
        <v>0</v>
      </c>
      <c r="DZ86" s="156" t="str">
        <f t="shared" ref="DZ86" si="4288">IFERROR((DZ77*DY77+DY80*DZ80+DY83*DZ83)/DY86,"")</f>
        <v/>
      </c>
      <c r="EA86" s="155">
        <f t="shared" ref="EA86" si="4289">SUM(EA77,EA80,EA83)</f>
        <v>0</v>
      </c>
      <c r="EB86" s="156" t="str">
        <f t="shared" ref="EB86" si="4290">IFERROR((EB77*EA77+EA80*EB80+EA83*EB83)/EA86,"")</f>
        <v/>
      </c>
      <c r="EC86" s="155">
        <f t="shared" ref="EC86" si="4291">SUM(EC77,EC80,EC83)</f>
        <v>0</v>
      </c>
      <c r="ED86" s="156" t="str">
        <f t="shared" ref="ED86" si="4292">IFERROR((ED77*EC77+EC80*ED80+EC83*ED83)/EC86,"")</f>
        <v/>
      </c>
      <c r="EE86" s="155">
        <f t="shared" ref="EE86" si="4293">SUM(EE77,EE80,EE83)</f>
        <v>0</v>
      </c>
      <c r="EF86" s="156" t="str">
        <f t="shared" ref="EF86" si="4294">IFERROR((EF77*EE77+EE80*EF80+EE83*EF83)/EE86,"")</f>
        <v/>
      </c>
      <c r="EG86" s="155">
        <f t="shared" ref="EG86" si="4295">SUM(EG77,EG80,EG83)</f>
        <v>0</v>
      </c>
      <c r="EH86" s="156" t="str">
        <f t="shared" ref="EH86" si="4296">IFERROR((EH77*EG77+EG80*EH80+EG83*EH83)/EG86,"")</f>
        <v/>
      </c>
      <c r="EI86" s="155">
        <f t="shared" ref="EI86" si="4297">SUM(EI77,EI80,EI83)</f>
        <v>0</v>
      </c>
      <c r="EJ86" s="156" t="str">
        <f t="shared" ref="EJ86" si="4298">IFERROR((EJ77*EI77+EI80*EJ80+EI83*EJ83)/EI86,"")</f>
        <v/>
      </c>
      <c r="EK86" s="155">
        <f t="shared" ref="EK86" si="4299">SUM(EK77,EK80,EK83)</f>
        <v>0</v>
      </c>
      <c r="EL86" s="156" t="str">
        <f t="shared" ref="EL86" si="4300">IFERROR((EL77*EK77+EK80*EL80+EK83*EL83)/EK86,"")</f>
        <v/>
      </c>
      <c r="EM86" s="155">
        <f t="shared" ref="EM86" si="4301">SUM(EM77,EM80,EM83)</f>
        <v>0</v>
      </c>
      <c r="EN86" s="156" t="str">
        <f t="shared" ref="EN86" si="4302">IFERROR((EN77*EM77+EM80*EN80+EM83*EN83)/EM86,"")</f>
        <v/>
      </c>
      <c r="EO86" s="155">
        <f t="shared" ref="EO86" si="4303">SUM(EO77,EO80,EO83)</f>
        <v>0</v>
      </c>
      <c r="EP86" s="156" t="str">
        <f t="shared" ref="EP86" si="4304">IFERROR((EP77*EO77+EO80*EP80+EO83*EP83)/EO86,"")</f>
        <v/>
      </c>
      <c r="EQ86" s="155">
        <f t="shared" ref="EQ86:ES86" si="4305">SUM(EQ77,EQ80,EQ83)</f>
        <v>0</v>
      </c>
      <c r="ER86" s="156" t="str">
        <f t="shared" ref="ER86" si="4306">IFERROR((ER77*EQ77+EQ80*ER80+EQ83*ER83)/EQ86,"")</f>
        <v/>
      </c>
      <c r="ES86" s="155">
        <f t="shared" si="4305"/>
        <v>0</v>
      </c>
      <c r="ET86" s="156" t="str">
        <f t="shared" si="3810"/>
        <v/>
      </c>
      <c r="EU86" s="155">
        <f t="shared" ref="EU86" si="4307">SUM(EU77,EU80,EU83)</f>
        <v>0</v>
      </c>
      <c r="EV86" s="156" t="str">
        <f t="shared" ref="EV86" si="4308">IFERROR((EV77*EU77+EU80*EV80+EU83*EV83)/EU86,"")</f>
        <v/>
      </c>
      <c r="EW86" s="155">
        <f t="shared" ref="EW86" si="4309">SUM(EW77,EW80,EW83)</f>
        <v>0</v>
      </c>
      <c r="EX86" s="156" t="str">
        <f t="shared" si="3814"/>
        <v/>
      </c>
      <c r="EY86" s="155">
        <f t="shared" ref="EY86" si="4310">SUM(EY77,EY80,EY83)</f>
        <v>0</v>
      </c>
      <c r="EZ86" s="156" t="str">
        <f t="shared" ref="EZ86" si="4311">IFERROR((EZ77*EY77+EY80*EZ80+EY83*EZ83)/EY86,"")</f>
        <v/>
      </c>
      <c r="FA86" s="155">
        <f t="shared" ref="FA86" si="4312">SUM(FA77,FA80,FA83)</f>
        <v>0</v>
      </c>
      <c r="FB86" s="156" t="str">
        <f t="shared" ref="FB86" si="4313">IFERROR((FB77*FA77+FA80*FB80+FA83*FB83)/FA86,"")</f>
        <v/>
      </c>
      <c r="FC86" s="155">
        <f t="shared" ref="FC86" si="4314">SUM(FC77,FC80,FC83)</f>
        <v>0</v>
      </c>
      <c r="FD86" s="156" t="str">
        <f t="shared" ref="FD86" si="4315">IFERROR((FD77*FC77+FC80*FD80+FC83*FD83)/FC86,"")</f>
        <v/>
      </c>
      <c r="FE86" s="155">
        <f t="shared" ref="FE86" si="4316">SUM(FE77,FE80,FE83)</f>
        <v>0</v>
      </c>
      <c r="FF86" s="156" t="str">
        <f t="shared" ref="FF86" si="4317">IFERROR((FF77*FE77+FE80*FF80+FE83*FF83)/FE86,"")</f>
        <v/>
      </c>
      <c r="FG86" s="155">
        <f t="shared" ref="FG86" si="4318">SUM(FG77,FG80,FG83)</f>
        <v>0</v>
      </c>
      <c r="FH86" s="156" t="str">
        <f t="shared" ref="FH86" si="4319">IFERROR((FH77*FG77+FG80*FH80+FG83*FH83)/FG86,"")</f>
        <v/>
      </c>
      <c r="FI86" s="155">
        <f t="shared" ref="FI86" si="4320">SUM(FI77,FI80,FI83)</f>
        <v>0</v>
      </c>
      <c r="FJ86" s="156" t="str">
        <f t="shared" ref="FJ86" si="4321">IFERROR((FJ77*FI77+FI80*FJ80+FI83*FJ83)/FI86,"")</f>
        <v/>
      </c>
      <c r="FK86" s="155">
        <f t="shared" ref="FK86" si="4322">SUM(FK77,FK80,FK83)</f>
        <v>0</v>
      </c>
      <c r="FL86" s="156" t="str">
        <f t="shared" ref="FL86" si="4323">IFERROR((FL77*FK77+FK80*FL80+FK83*FL83)/FK86,"")</f>
        <v/>
      </c>
      <c r="FM86" s="155">
        <f t="shared" ref="FM86" si="4324">SUM(FM77,FM80,FM83)</f>
        <v>0</v>
      </c>
      <c r="FN86" s="156" t="str">
        <f t="shared" ref="FN86" si="4325">IFERROR((FN77*FM77+FM80*FN80+FM83*FN83)/FM86,"")</f>
        <v/>
      </c>
      <c r="FO86" s="155">
        <f t="shared" ref="FO86" si="4326">SUM(FO77,FO80,FO83)</f>
        <v>0</v>
      </c>
      <c r="FP86" s="156" t="str">
        <f t="shared" ref="FP86" si="4327">IFERROR((FP77*FO77+FO80*FP80+FO83*FP83)/FO86,"")</f>
        <v/>
      </c>
      <c r="FQ86" s="155">
        <f t="shared" ref="FQ86" si="4328">SUM(FQ77,FQ80,FQ83)</f>
        <v>0</v>
      </c>
      <c r="FR86" s="156" t="str">
        <f t="shared" ref="FR86" si="4329">IFERROR((FR77*FQ77+FQ80*FR80+FQ83*FR83)/FQ86,"")</f>
        <v/>
      </c>
      <c r="FS86" s="155">
        <f t="shared" ref="FS86" si="4330">SUM(FS77,FS80,FS83)</f>
        <v>0</v>
      </c>
      <c r="FT86" s="156" t="str">
        <f t="shared" ref="FT86" si="4331">IFERROR((FT77*FS77+FS80*FT80+FS83*FT83)/FS86,"")</f>
        <v/>
      </c>
      <c r="FU86" s="155">
        <f t="shared" ref="FU86" si="4332">SUM(FU77,FU80,FU83)</f>
        <v>0</v>
      </c>
      <c r="FV86" s="156" t="str">
        <f t="shared" ref="FV86" si="4333">IFERROR((FV77*FU77+FU80*FV80+FU83*FV83)/FU86,"")</f>
        <v/>
      </c>
      <c r="FW86" s="155">
        <f t="shared" ref="FW86" si="4334">SUM(FW77,FW80,FW83)</f>
        <v>0</v>
      </c>
      <c r="FX86" s="156" t="str">
        <f t="shared" ref="FX86" si="4335">IFERROR((FX77*FW77+FW80*FX80+FW83*FX83)/FW86,"")</f>
        <v/>
      </c>
      <c r="FY86" s="155">
        <f t="shared" ref="FY86" si="4336">SUM(FY77,FY80,FY83)</f>
        <v>0</v>
      </c>
      <c r="FZ86" s="156" t="str">
        <f t="shared" ref="FZ86" si="4337">IFERROR((FZ77*FY77+FY80*FZ80+FY83*FZ83)/FY86,"")</f>
        <v/>
      </c>
      <c r="GA86" s="155">
        <f t="shared" ref="GA86" si="4338">SUM(GA77,GA80,GA83)</f>
        <v>0</v>
      </c>
      <c r="GB86" s="156" t="str">
        <f t="shared" ref="GB86" si="4339">IFERROR((GB77*GA77+GA80*GB80+GA83*GB83)/GA86,"")</f>
        <v/>
      </c>
      <c r="GC86" s="155">
        <f t="shared" ref="GC86" si="4340">SUM(GC77,GC80,GC83)</f>
        <v>0</v>
      </c>
      <c r="GD86" s="156" t="str">
        <f t="shared" ref="GD86" si="4341">IFERROR((GD77*GC77+GC80*GD80+GC83*GD83)/GC86,"")</f>
        <v/>
      </c>
      <c r="GE86" s="155">
        <f t="shared" ref="GE86" si="4342">SUM(GE77,GE80,GE83)</f>
        <v>0</v>
      </c>
      <c r="GF86" s="156" t="str">
        <f t="shared" ref="GF86" si="4343">IFERROR((GF77*GE77+GE80*GF80+GE83*GF83)/GE86,"")</f>
        <v/>
      </c>
      <c r="GG86" s="155">
        <f t="shared" ref="GG86" si="4344">SUM(GG77,GG80,GG83)</f>
        <v>0</v>
      </c>
      <c r="GH86" s="156" t="str">
        <f t="shared" ref="GH86" si="4345">IFERROR((GH77*GG77+GG80*GH80+GG83*GH83)/GG86,"")</f>
        <v/>
      </c>
      <c r="GI86" s="155">
        <f t="shared" ref="GI86" si="4346">SUM(GI77,GI80,GI83)</f>
        <v>0</v>
      </c>
      <c r="GJ86" s="156" t="str">
        <f t="shared" ref="GJ86" si="4347">IFERROR((GJ77*GI77+GI80*GJ80+GI83*GJ83)/GI86,"")</f>
        <v/>
      </c>
      <c r="GK86" s="155">
        <f t="shared" ref="GK86" si="4348">SUM(GK77,GK80,GK83)</f>
        <v>0</v>
      </c>
      <c r="GL86" s="156" t="str">
        <f t="shared" ref="GL86" si="4349">IFERROR((GL77*GK77+GK80*GL80+GK83*GL83)/GK86,"")</f>
        <v/>
      </c>
      <c r="GM86" s="155">
        <f t="shared" ref="GM86" si="4350">SUM(GM77,GM80,GM83)</f>
        <v>0</v>
      </c>
      <c r="GN86" s="156" t="str">
        <f t="shared" ref="GN86" si="4351">IFERROR((GN77*GM77+GM80*GN80+GM83*GN83)/GM86,"")</f>
        <v/>
      </c>
      <c r="GO86" s="155">
        <f t="shared" ref="GO86" si="4352">SUM(GO77,GO80,GO83)</f>
        <v>0</v>
      </c>
      <c r="GP86" s="156" t="str">
        <f t="shared" ref="GP86" si="4353">IFERROR((GP77*GO77+GO80*GP80+GO83*GP83)/GO86,"")</f>
        <v/>
      </c>
      <c r="GQ86" s="155">
        <f t="shared" ref="GQ86" si="4354">SUM(GQ77,GQ80,GQ83)</f>
        <v>0</v>
      </c>
      <c r="GR86" s="156" t="str">
        <f t="shared" ref="GR86" si="4355">IFERROR((GR77*GQ77+GQ80*GR80+GQ83*GR83)/GQ86,"")</f>
        <v/>
      </c>
      <c r="GS86" s="155">
        <f t="shared" ref="GS86" si="4356">SUM(GS77,GS80,GS83)</f>
        <v>0</v>
      </c>
      <c r="GT86" s="156" t="str">
        <f t="shared" ref="GT86" si="4357">IFERROR((GT77*GS77+GS80*GT80+GS83*GT83)/GS86,"")</f>
        <v/>
      </c>
      <c r="GU86" s="155">
        <f t="shared" ref="GU86" si="4358">SUM(GU77,GU80,GU83)</f>
        <v>0</v>
      </c>
      <c r="GV86" s="156" t="str">
        <f t="shared" ref="GV86" si="4359">IFERROR((GV77*GU77+GU80*GV80+GU83*GV83)/GU86,"")</f>
        <v/>
      </c>
      <c r="GW86" s="155">
        <f t="shared" ref="GW86" si="4360">SUM(GW77,GW80,GW83)</f>
        <v>0</v>
      </c>
      <c r="GX86" s="156" t="str">
        <f t="shared" ref="GX86" si="4361">IFERROR((GX77*GW77+GW80*GX80+GW83*GX83)/GW86,"")</f>
        <v/>
      </c>
      <c r="GY86" s="155">
        <f t="shared" ref="GY86" si="4362">SUM(GY77,GY80,GY83)</f>
        <v>0</v>
      </c>
      <c r="GZ86" s="156" t="str">
        <f t="shared" ref="GZ86" si="4363">IFERROR((GZ77*GY77+GY80*GZ80+GY83*GZ83)/GY86,"")</f>
        <v/>
      </c>
      <c r="HA86" s="155">
        <f t="shared" ref="HA86" si="4364">SUM(HA77,HA80,HA83)</f>
        <v>0</v>
      </c>
      <c r="HB86" s="156" t="str">
        <f t="shared" ref="HB86" si="4365">IFERROR((HB77*HA77+HA80*HB80+HA83*HB83)/HA86,"")</f>
        <v/>
      </c>
      <c r="HC86" s="155">
        <f t="shared" ref="HC86" si="4366">SUM(HC77,HC80,HC83)</f>
        <v>0</v>
      </c>
      <c r="HD86" s="156" t="str">
        <f t="shared" ref="HD86" si="4367">IFERROR((HD77*HC77+HC80*HD80+HC83*HD83)/HC86,"")</f>
        <v/>
      </c>
      <c r="HE86" s="155">
        <f t="shared" ref="HE86" si="4368">SUM(HE77,HE80,HE83)</f>
        <v>0</v>
      </c>
      <c r="HF86" s="156" t="str">
        <f t="shared" ref="HF86" si="4369">IFERROR((HF77*HE77+HE80*HF80+HE83*HF83)/HE86,"")</f>
        <v/>
      </c>
      <c r="HG86" s="155">
        <f t="shared" ref="HG86" si="4370">SUM(HG77,HG80,HG83)</f>
        <v>0</v>
      </c>
      <c r="HH86" s="156" t="str">
        <f t="shared" ref="HH86" si="4371">IFERROR((HH77*HG77+HG80*HH80+HG83*HH83)/HG86,"")</f>
        <v/>
      </c>
      <c r="HI86" s="155">
        <f t="shared" ref="HI86" si="4372">SUM(HI77,HI80,HI83)</f>
        <v>0</v>
      </c>
      <c r="HJ86" s="156" t="str">
        <f t="shared" ref="HJ86" si="4373">IFERROR((HJ77*HI77+HI80*HJ80+HI83*HJ83)/HI86,"")</f>
        <v/>
      </c>
      <c r="HK86" s="155">
        <f t="shared" ref="HK86" si="4374">SUM(HK77,HK80,HK83)</f>
        <v>0</v>
      </c>
      <c r="HL86" s="156" t="str">
        <f t="shared" ref="HL86" si="4375">IFERROR((HL77*HK77+HK80*HL80+HK83*HL83)/HK86,"")</f>
        <v/>
      </c>
      <c r="HM86" s="155">
        <f t="shared" ref="HM86" si="4376">SUM(HM77,HM80,HM83)</f>
        <v>0</v>
      </c>
      <c r="HN86" s="156" t="str">
        <f t="shared" ref="HN86" si="4377">IFERROR((HN77*HM77+HM80*HN80+HM83*HN83)/HM86,"")</f>
        <v/>
      </c>
      <c r="HO86" s="155">
        <f t="shared" ref="HO86" si="4378">SUM(HO77,HO80,HO83)</f>
        <v>0</v>
      </c>
      <c r="HP86" s="156" t="str">
        <f t="shared" ref="HP86" si="4379">IFERROR((HP77*HO77+HO80*HP80+HO83*HP83)/HO86,"")</f>
        <v/>
      </c>
      <c r="HQ86" s="155">
        <f t="shared" ref="HQ86" si="4380">SUM(HQ77,HQ80,HQ83)</f>
        <v>0</v>
      </c>
      <c r="HR86" s="156" t="str">
        <f t="shared" ref="HR86" si="4381">IFERROR((HR77*HQ77+HQ80*HR80+HQ83*HR83)/HQ86,"")</f>
        <v/>
      </c>
      <c r="HS86" s="155">
        <f t="shared" ref="HS86" si="4382">SUM(HS77,HS80,HS83)</f>
        <v>0</v>
      </c>
      <c r="HT86" s="156" t="str">
        <f t="shared" ref="HT86" si="4383">IFERROR((HT77*HS77+HS80*HT80+HS83*HT83)/HS86,"")</f>
        <v/>
      </c>
      <c r="HU86" s="155">
        <f t="shared" ref="HU86" si="4384">SUM(HU77,HU80,HU83)</f>
        <v>0</v>
      </c>
      <c r="HV86" s="156" t="str">
        <f t="shared" ref="HV86" si="4385">IFERROR((HV77*HU77+HU80*HV80+HU83*HV83)/HU86,"")</f>
        <v/>
      </c>
      <c r="HW86" s="155">
        <f t="shared" ref="HW86" si="4386">SUM(HW77,HW80,HW83)</f>
        <v>0</v>
      </c>
      <c r="HX86" s="156" t="str">
        <f t="shared" ref="HX86" si="4387">IFERROR((HX77*HW77+HW80*HX80+HW83*HX83)/HW86,"")</f>
        <v/>
      </c>
      <c r="HY86" s="155">
        <f t="shared" ref="HY86" si="4388">SUM(HY77,HY80,HY83)</f>
        <v>0</v>
      </c>
      <c r="HZ86" s="156" t="str">
        <f t="shared" ref="HZ86" si="4389">IFERROR((HZ77*HY77+HY80*HZ80+HY83*HZ83)/HY86,"")</f>
        <v/>
      </c>
      <c r="IA86" s="155">
        <f t="shared" ref="IA86" si="4390">SUM(IA77,IA80,IA83)</f>
        <v>0</v>
      </c>
      <c r="IB86" s="156" t="str">
        <f t="shared" ref="IB86" si="4391">IFERROR((IB77*IA77+IA80*IB80+IA83*IB83)/IA86,"")</f>
        <v/>
      </c>
      <c r="IC86" s="155">
        <f t="shared" ref="IC86" si="4392">SUM(IC77,IC80,IC83)</f>
        <v>0</v>
      </c>
      <c r="ID86" s="156" t="str">
        <f t="shared" ref="ID86" si="4393">IFERROR((ID77*IC77+IC80*ID80+IC83*ID83)/IC86,"")</f>
        <v/>
      </c>
      <c r="IE86" s="155">
        <f t="shared" ref="IE86" si="4394">SUM(IE77,IE80,IE83)</f>
        <v>0</v>
      </c>
      <c r="IF86" s="156" t="str">
        <f t="shared" ref="IF86" si="4395">IFERROR((IF77*IE77+IE80*IF80+IE83*IF83)/IE86,"")</f>
        <v/>
      </c>
      <c r="IG86" s="155">
        <f t="shared" ref="IG86" si="4396">SUM(IG77,IG80,IG83)</f>
        <v>0</v>
      </c>
      <c r="IH86" s="156" t="str">
        <f t="shared" ref="IH86" si="4397">IFERROR((IH77*IG77+IG80*IH80+IG83*IH83)/IG86,"")</f>
        <v/>
      </c>
      <c r="II86" s="155">
        <f t="shared" ref="II86" si="4398">SUM(II77,II80,II83)</f>
        <v>0</v>
      </c>
      <c r="IJ86" s="156" t="str">
        <f t="shared" ref="IJ86" si="4399">IFERROR((IJ77*II77+II80*IJ80+II83*IJ83)/II86,"")</f>
        <v/>
      </c>
      <c r="IK86" s="155">
        <f t="shared" ref="IK86" si="4400">SUM(IK77,IK80,IK83)</f>
        <v>0</v>
      </c>
      <c r="IL86" s="156" t="str">
        <f t="shared" ref="IL86" si="4401">IFERROR((IL77*IK77+IK80*IL80+IK83*IL83)/IK86,"")</f>
        <v/>
      </c>
      <c r="IM86" s="155">
        <f t="shared" ref="IM86" si="4402">SUM(IM77,IM80,IM83)</f>
        <v>0</v>
      </c>
      <c r="IN86" s="156" t="str">
        <f t="shared" ref="IN86" si="4403">IFERROR((IN77*IM77+IM80*IN80+IM83*IN83)/IM86,"")</f>
        <v/>
      </c>
      <c r="IO86" s="155">
        <f t="shared" ref="IO86" si="4404">SUM(IO77,IO80,IO83)</f>
        <v>0</v>
      </c>
      <c r="IP86" s="156" t="str">
        <f t="shared" ref="IP86" si="4405">IFERROR((IP77*IO77+IO80*IP80+IO83*IP83)/IO86,"")</f>
        <v/>
      </c>
      <c r="IQ86" s="155">
        <f t="shared" ref="IQ86" si="4406">SUM(IQ77,IQ80,IQ83)</f>
        <v>0</v>
      </c>
      <c r="IR86" s="156" t="str">
        <f t="shared" ref="IR86" si="4407">IFERROR((IR77*IQ77+IQ80*IR80+IQ83*IR83)/IQ86,"")</f>
        <v/>
      </c>
      <c r="IS86" s="155">
        <f t="shared" ref="IS86" si="4408">SUM(IS77,IS80,IS83)</f>
        <v>0</v>
      </c>
      <c r="IT86" s="156" t="str">
        <f t="shared" ref="IT86" si="4409">IFERROR((IT77*IS77+IS80*IT80+IS83*IT83)/IS86,"")</f>
        <v/>
      </c>
      <c r="IU86" s="155">
        <f t="shared" ref="IU86" si="4410">SUM(IU77,IU80,IU83)</f>
        <v>0</v>
      </c>
      <c r="IV86" s="156" t="str">
        <f t="shared" ref="IV86" si="4411">IFERROR((IV77*IU77+IU80*IV80+IU83*IV83)/IU86,"")</f>
        <v/>
      </c>
      <c r="IW86" s="155">
        <f t="shared" ref="IW86" si="4412">SUM(IW77,IW80,IW83)</f>
        <v>0</v>
      </c>
      <c r="IX86" s="156" t="str">
        <f t="shared" ref="IX86" si="4413">IFERROR((IX77*IW77+IW80*IX80+IW83*IX83)/IW86,"")</f>
        <v/>
      </c>
      <c r="IY86" s="155">
        <f t="shared" ref="IY86" si="4414">SUM(IY77,IY80,IY83)</f>
        <v>0</v>
      </c>
      <c r="IZ86" s="156" t="str">
        <f t="shared" ref="IZ86" si="4415">IFERROR((IZ77*IY77+IY80*IZ80+IY83*IZ83)/IY86,"")</f>
        <v/>
      </c>
    </row>
    <row r="87" spans="1:260" s="37" customFormat="1" x14ac:dyDescent="0.25">
      <c r="E87" s="157"/>
      <c r="F87" s="177"/>
      <c r="G87" s="157"/>
      <c r="H87" s="177"/>
      <c r="I87" s="157"/>
      <c r="J87" s="158"/>
      <c r="K87" s="157"/>
      <c r="L87" s="158"/>
      <c r="M87" s="157"/>
      <c r="N87" s="158"/>
      <c r="O87" s="157"/>
      <c r="P87" s="158"/>
      <c r="Q87" s="157"/>
      <c r="R87" s="158"/>
      <c r="S87" s="157"/>
      <c r="T87" s="158"/>
      <c r="U87" s="157"/>
      <c r="V87" s="177"/>
      <c r="W87" s="157"/>
      <c r="X87" s="177"/>
      <c r="Y87" s="157"/>
      <c r="Z87" s="177"/>
      <c r="AA87" s="157"/>
      <c r="AB87" s="177"/>
      <c r="AC87" s="157"/>
      <c r="AD87" s="177"/>
      <c r="AE87" s="157"/>
      <c r="AF87" s="177"/>
      <c r="AG87" s="157"/>
      <c r="AH87" s="177"/>
      <c r="AI87" s="157"/>
      <c r="AJ87" s="177"/>
      <c r="AK87" s="157"/>
      <c r="AL87" s="177"/>
      <c r="AM87" s="157"/>
      <c r="AN87" s="177"/>
      <c r="AO87" s="157"/>
      <c r="AP87" s="177"/>
      <c r="AQ87" s="157"/>
      <c r="AR87" s="177"/>
      <c r="AS87" s="157"/>
      <c r="AT87" s="177"/>
      <c r="AU87" s="157"/>
      <c r="AV87" s="177"/>
      <c r="AW87" s="157"/>
      <c r="AX87" s="177"/>
      <c r="AY87" s="157"/>
      <c r="AZ87" s="177"/>
      <c r="BA87" s="157"/>
      <c r="BB87" s="177"/>
      <c r="BC87" s="157"/>
      <c r="BD87" s="177"/>
      <c r="BE87" s="157"/>
      <c r="BF87" s="177"/>
      <c r="BG87" s="157"/>
      <c r="BH87" s="177"/>
      <c r="BI87" s="157"/>
      <c r="BJ87" s="177"/>
      <c r="BK87" s="157"/>
      <c r="BL87" s="177"/>
      <c r="BM87" s="157"/>
      <c r="BN87" s="177"/>
      <c r="BO87" s="157"/>
      <c r="BP87" s="177"/>
      <c r="BQ87" s="157"/>
      <c r="BR87" s="177"/>
      <c r="BS87" s="157"/>
      <c r="BT87" s="177"/>
      <c r="BU87" s="157"/>
      <c r="BV87" s="177"/>
      <c r="BW87" s="157"/>
      <c r="BX87" s="177"/>
      <c r="BY87" s="157"/>
      <c r="BZ87" s="177"/>
      <c r="CA87" s="157"/>
      <c r="CB87" s="177"/>
      <c r="CC87" s="157"/>
      <c r="CD87" s="177"/>
      <c r="CE87" s="157"/>
      <c r="CF87" s="177"/>
      <c r="CG87" s="157"/>
      <c r="CH87" s="177"/>
      <c r="CI87" s="157"/>
      <c r="CJ87" s="177"/>
      <c r="CK87" s="157"/>
      <c r="CL87" s="177"/>
      <c r="CM87" s="157"/>
      <c r="CN87" s="177"/>
      <c r="CO87" s="157"/>
      <c r="CP87" s="177"/>
      <c r="CQ87" s="157"/>
      <c r="CR87" s="177"/>
      <c r="CS87" s="157"/>
      <c r="CT87" s="177"/>
      <c r="CU87" s="157"/>
      <c r="CV87" s="177"/>
      <c r="CW87" s="157"/>
      <c r="CX87" s="177"/>
      <c r="CY87" s="157"/>
      <c r="CZ87" s="177"/>
      <c r="DA87" s="157"/>
      <c r="DB87" s="177"/>
      <c r="DC87" s="157"/>
      <c r="DD87" s="177"/>
      <c r="DE87" s="157"/>
      <c r="DF87" s="177"/>
      <c r="DG87" s="157"/>
      <c r="DH87" s="177"/>
      <c r="DI87" s="157"/>
      <c r="DJ87" s="177"/>
      <c r="DK87" s="157"/>
      <c r="DL87" s="177"/>
      <c r="DM87" s="157"/>
      <c r="DN87" s="177"/>
      <c r="DO87" s="157"/>
      <c r="DP87" s="177"/>
      <c r="DQ87" s="157"/>
      <c r="DR87" s="177"/>
      <c r="DS87" s="157"/>
      <c r="DT87" s="177"/>
      <c r="DU87" s="157"/>
      <c r="DV87" s="177"/>
      <c r="DW87" s="157"/>
      <c r="DX87" s="177"/>
      <c r="DY87" s="157"/>
      <c r="DZ87" s="177"/>
      <c r="EA87" s="157"/>
      <c r="EB87" s="177"/>
      <c r="EC87" s="157"/>
      <c r="ED87" s="177"/>
      <c r="EE87" s="157"/>
      <c r="EF87" s="177"/>
      <c r="EG87" s="157"/>
      <c r="EH87" s="177"/>
      <c r="EI87" s="157"/>
      <c r="EJ87" s="177"/>
      <c r="EK87" s="157"/>
      <c r="EL87" s="177"/>
      <c r="EM87" s="157"/>
      <c r="EN87" s="177"/>
      <c r="EO87" s="157"/>
      <c r="EP87" s="177"/>
      <c r="EQ87" s="157"/>
      <c r="ER87" s="177"/>
      <c r="ES87" s="157"/>
      <c r="ET87" s="177"/>
      <c r="EU87" s="157"/>
      <c r="EV87" s="177"/>
      <c r="EW87" s="157"/>
      <c r="EX87" s="177"/>
      <c r="EY87" s="157"/>
      <c r="EZ87" s="177"/>
      <c r="FA87" s="157"/>
      <c r="FB87" s="177"/>
      <c r="FC87" s="157"/>
      <c r="FD87" s="177"/>
      <c r="FE87" s="157"/>
      <c r="FF87" s="177"/>
      <c r="FG87" s="157"/>
      <c r="FH87" s="177"/>
      <c r="FI87" s="157"/>
      <c r="FJ87" s="177"/>
      <c r="FK87" s="157"/>
      <c r="FL87" s="177"/>
      <c r="FM87" s="157"/>
      <c r="FN87" s="177"/>
      <c r="FO87" s="157"/>
      <c r="FP87" s="177"/>
      <c r="FQ87" s="157"/>
      <c r="FR87" s="177"/>
      <c r="FS87" s="157"/>
      <c r="FT87" s="177"/>
      <c r="FU87" s="157"/>
      <c r="FV87" s="177"/>
      <c r="FW87" s="157"/>
      <c r="FX87" s="177"/>
      <c r="FY87" s="157"/>
      <c r="FZ87" s="177"/>
      <c r="GA87" s="157"/>
      <c r="GB87" s="177"/>
      <c r="GC87" s="157"/>
      <c r="GD87" s="177"/>
      <c r="GE87" s="157"/>
      <c r="GF87" s="177"/>
      <c r="GG87" s="157"/>
      <c r="GH87" s="177"/>
      <c r="GI87" s="157"/>
      <c r="GJ87" s="177"/>
      <c r="GK87" s="157"/>
      <c r="GL87" s="177"/>
      <c r="GM87" s="157"/>
      <c r="GN87" s="177"/>
      <c r="GO87" s="157"/>
      <c r="GP87" s="177"/>
      <c r="GQ87" s="157"/>
      <c r="GR87" s="177"/>
      <c r="GS87" s="157"/>
      <c r="GT87" s="177"/>
      <c r="GU87" s="157"/>
      <c r="GV87" s="177"/>
      <c r="GW87" s="157"/>
      <c r="GX87" s="177"/>
      <c r="GY87" s="157"/>
      <c r="GZ87" s="177"/>
      <c r="HA87" s="157"/>
      <c r="HB87" s="177"/>
      <c r="HC87" s="157"/>
      <c r="HD87" s="177"/>
      <c r="HE87" s="157"/>
      <c r="HF87" s="177"/>
      <c r="HG87" s="157"/>
      <c r="HH87" s="177"/>
      <c r="HI87" s="157"/>
      <c r="HJ87" s="177"/>
      <c r="HK87" s="157"/>
      <c r="HL87" s="177"/>
      <c r="HM87" s="157"/>
      <c r="HN87" s="177"/>
      <c r="HO87" s="157"/>
      <c r="HP87" s="177"/>
      <c r="HQ87" s="157"/>
      <c r="HR87" s="177"/>
      <c r="HS87" s="157"/>
      <c r="HT87" s="177"/>
      <c r="HU87" s="157"/>
      <c r="HV87" s="177"/>
      <c r="HW87" s="157"/>
      <c r="HX87" s="177"/>
      <c r="HY87" s="157"/>
      <c r="HZ87" s="177"/>
      <c r="IA87" s="157"/>
      <c r="IB87" s="177"/>
      <c r="IC87" s="157"/>
      <c r="ID87" s="177"/>
      <c r="IE87" s="157"/>
      <c r="IF87" s="177"/>
      <c r="IG87" s="157"/>
      <c r="IH87" s="177"/>
      <c r="II87" s="157"/>
      <c r="IJ87" s="177"/>
      <c r="IK87" s="157"/>
      <c r="IL87" s="177"/>
      <c r="IM87" s="157"/>
      <c r="IN87" s="177"/>
      <c r="IO87" s="157"/>
      <c r="IP87" s="177"/>
      <c r="IQ87" s="157"/>
      <c r="IR87" s="177"/>
      <c r="IS87" s="157"/>
      <c r="IT87" s="177"/>
      <c r="IU87" s="157"/>
      <c r="IV87" s="177"/>
      <c r="IW87" s="157"/>
      <c r="IX87" s="177"/>
      <c r="IY87" s="157"/>
      <c r="IZ87" s="177"/>
    </row>
    <row r="88" spans="1:260" x14ac:dyDescent="0.25">
      <c r="A88" s="1578" t="s">
        <v>220</v>
      </c>
      <c r="B88" s="74" t="s">
        <v>218</v>
      </c>
      <c r="C88" s="134">
        <f>SUM(C84,C72,C60,C48)</f>
        <v>283491</v>
      </c>
      <c r="D88" s="135">
        <f>IFERROR((C48*D48+C60*D60+C72*D72+C84+D84)/C88,"")</f>
        <v>1.9181980799071692</v>
      </c>
      <c r="E88" s="150">
        <f>SUM(E48,E60,E72,E84)</f>
        <v>4775</v>
      </c>
      <c r="F88" s="159" t="str">
        <f>IFERROR((F48*E48+E60*F60+E72*F72+E84*F84)/E88,"")</f>
        <v/>
      </c>
      <c r="G88" s="150">
        <f t="shared" ref="G88" si="4416">SUM(G48,G60,G72,G84)</f>
        <v>0</v>
      </c>
      <c r="H88" s="159" t="str">
        <f t="shared" ref="H88" si="4417">IFERROR((H48*G48+G60*H60+G72*H72+G84*H84)/G88,"")</f>
        <v/>
      </c>
      <c r="I88" s="150">
        <f t="shared" ref="I88" si="4418">SUM(I48,I60,I72,I84)</f>
        <v>0</v>
      </c>
      <c r="J88" s="159" t="str">
        <f t="shared" ref="J88" si="4419">IFERROR((J48*I48+I60*J60+I72*J72+I84*J84)/I88,"")</f>
        <v/>
      </c>
      <c r="K88" s="150">
        <f t="shared" ref="K88" si="4420">SUM(K48,K60,K72,K84)</f>
        <v>0</v>
      </c>
      <c r="L88" s="159" t="str">
        <f t="shared" ref="L88" si="4421">IFERROR((L48*K48+K60*L60+K72*L72+K84*L84)/K88,"")</f>
        <v/>
      </c>
      <c r="M88" s="150">
        <f t="shared" ref="M88" si="4422">SUM(M48,M60,M72,M84)</f>
        <v>0</v>
      </c>
      <c r="N88" s="159" t="str">
        <f t="shared" ref="N88" si="4423">IFERROR((N48*M48+M60*N60+M72*N72+M84*N84)/M88,"")</f>
        <v/>
      </c>
      <c r="O88" s="150">
        <f t="shared" ref="O88" si="4424">SUM(O48,O60,O72,O84)</f>
        <v>0</v>
      </c>
      <c r="P88" s="159" t="str">
        <f t="shared" ref="P88" si="4425">IFERROR((P48*O48+O60*P60+O72*P72+O84*P84)/O88,"")</f>
        <v/>
      </c>
      <c r="Q88" s="150">
        <f t="shared" ref="Q88" si="4426">SUM(Q48,Q60,Q72,Q84)</f>
        <v>0</v>
      </c>
      <c r="R88" s="159" t="str">
        <f t="shared" ref="R88" si="4427">IFERROR((R48*Q48+Q60*R60+Q72*R72+Q84*R84)/Q88,"")</f>
        <v/>
      </c>
      <c r="S88" s="150">
        <f t="shared" ref="S88" si="4428">SUM(S48,S60,S72,S84)</f>
        <v>0</v>
      </c>
      <c r="T88" s="159" t="str">
        <f t="shared" ref="T88" si="4429">IFERROR((T48*S48+S60*T60+S72*T72+S84*T84)/S88,"")</f>
        <v/>
      </c>
      <c r="U88" s="150">
        <f t="shared" ref="U88:CE90" si="4430">SUM(U48,U60,U72,U84)</f>
        <v>521</v>
      </c>
      <c r="V88" s="159" t="str">
        <f t="shared" ref="V88:CF90" si="4431">IFERROR((V48*U48+U60*V60+U72*V72+U84*V84)/U88,"")</f>
        <v/>
      </c>
      <c r="W88" s="150">
        <f t="shared" ref="W88" si="4432">SUM(W48,W60,W72,W84)</f>
        <v>0</v>
      </c>
      <c r="X88" s="159" t="str">
        <f t="shared" ref="X88" si="4433">IFERROR((X48*W48+W60*X60+W72*X72+W84*X84)/W88,"")</f>
        <v/>
      </c>
      <c r="Y88" s="150">
        <f t="shared" ref="Y88" si="4434">SUM(Y48,Y60,Y72,Y84)</f>
        <v>11200</v>
      </c>
      <c r="Z88" s="159" t="str">
        <f t="shared" ref="Z88" si="4435">IFERROR((Z48*Y48+Y60*Z60+Y72*Z72+Y84*Z84)/Y88,"")</f>
        <v/>
      </c>
      <c r="AA88" s="150">
        <f t="shared" ref="AA88" si="4436">SUM(AA48,AA60,AA72,AA84)</f>
        <v>5143</v>
      </c>
      <c r="AB88" s="159" t="str">
        <f t="shared" ref="AB88" si="4437">IFERROR((AB48*AA48+AA60*AB60+AA72*AB72+AA84*AB84)/AA88,"")</f>
        <v/>
      </c>
      <c r="AC88" s="150">
        <f t="shared" ref="AC88" si="4438">SUM(AC48,AC60,AC72,AC84)</f>
        <v>7459</v>
      </c>
      <c r="AD88" s="159" t="str">
        <f t="shared" ref="AD88" si="4439">IFERROR((AD48*AC48+AC60*AD60+AC72*AD72+AC84*AD84)/AC88,"")</f>
        <v/>
      </c>
      <c r="AE88" s="150">
        <f t="shared" ref="AE88" si="4440">SUM(AE48,AE60,AE72,AE84)</f>
        <v>3243</v>
      </c>
      <c r="AF88" s="159" t="str">
        <f t="shared" ref="AF88" si="4441">IFERROR((AF48*AE48+AE60*AF60+AE72*AF72+AE84*AF84)/AE88,"")</f>
        <v/>
      </c>
      <c r="AG88" s="150">
        <f t="shared" ref="AG88" si="4442">SUM(AG48,AG60,AG72,AG84)</f>
        <v>3102</v>
      </c>
      <c r="AH88" s="159" t="str">
        <f t="shared" ref="AH88" si="4443">IFERROR((AH48*AG48+AG60*AH60+AG72*AH72+AG84*AH84)/AG88,"")</f>
        <v/>
      </c>
      <c r="AI88" s="150">
        <f t="shared" ref="AI88" si="4444">SUM(AI48,AI60,AI72,AI84)</f>
        <v>7300</v>
      </c>
      <c r="AJ88" s="159" t="str">
        <f t="shared" ref="AJ88" si="4445">IFERROR((AJ48*AI48+AI60*AJ60+AI72*AJ72+AI84*AJ84)/AI88,"")</f>
        <v/>
      </c>
      <c r="AK88" s="150">
        <f t="shared" ref="AK88" si="4446">SUM(AK48,AK60,AK72,AK84)</f>
        <v>5365</v>
      </c>
      <c r="AL88" s="159" t="str">
        <f t="shared" ref="AL88" si="4447">IFERROR((AL48*AK48+AK60*AL60+AK72*AL72+AK84*AL84)/AK88,"")</f>
        <v/>
      </c>
      <c r="AM88" s="150">
        <f t="shared" ref="AM88" si="4448">SUM(AM48,AM60,AM72,AM84)</f>
        <v>0</v>
      </c>
      <c r="AN88" s="159" t="str">
        <f t="shared" ref="AN88" si="4449">IFERROR((AN48*AM48+AM60*AN60+AM72*AN72+AM84*AN84)/AM88,"")</f>
        <v/>
      </c>
      <c r="AO88" s="150">
        <f t="shared" ref="AO88" si="4450">SUM(AO48,AO60,AO72,AO84)</f>
        <v>0</v>
      </c>
      <c r="AP88" s="159" t="str">
        <f t="shared" ref="AP88" si="4451">IFERROR((AP48*AO48+AO60*AP60+AO72*AP72+AO84*AP84)/AO88,"")</f>
        <v/>
      </c>
      <c r="AQ88" s="150">
        <f t="shared" ref="AQ88" si="4452">SUM(AQ48,AQ60,AQ72,AQ84)</f>
        <v>0</v>
      </c>
      <c r="AR88" s="159" t="str">
        <f t="shared" ref="AR88" si="4453">IFERROR((AR48*AQ48+AQ60*AR60+AQ72*AR72+AQ84*AR84)/AQ88,"")</f>
        <v/>
      </c>
      <c r="AS88" s="150">
        <f t="shared" ref="AS88" si="4454">SUM(AS48,AS60,AS72,AS84)</f>
        <v>0</v>
      </c>
      <c r="AT88" s="159" t="str">
        <f t="shared" ref="AT88" si="4455">IFERROR((AT48*AS48+AS60*AT60+AS72*AT72+AS84*AT84)/AS88,"")</f>
        <v/>
      </c>
      <c r="AU88" s="150">
        <f t="shared" ref="AU88" si="4456">SUM(AU48,AU60,AU72,AU84)</f>
        <v>0</v>
      </c>
      <c r="AV88" s="159" t="str">
        <f t="shared" ref="AV88" si="4457">IFERROR((AV48*AU48+AU60*AV60+AU72*AV72+AU84*AV84)/AU88,"")</f>
        <v/>
      </c>
      <c r="AW88" s="150">
        <f t="shared" ref="AW88" si="4458">SUM(AW48,AW60,AW72,AW84)</f>
        <v>0</v>
      </c>
      <c r="AX88" s="159" t="str">
        <f t="shared" ref="AX88" si="4459">IFERROR((AX48*AW48+AW60*AX60+AW72*AX72+AW84*AX84)/AW88,"")</f>
        <v/>
      </c>
      <c r="AY88" s="150">
        <f t="shared" ref="AY88" si="4460">SUM(AY48,AY60,AY72,AY84)</f>
        <v>0</v>
      </c>
      <c r="AZ88" s="159" t="str">
        <f t="shared" ref="AZ88" si="4461">IFERROR((AZ48*AY48+AY60*AZ60+AY72*AZ72+AY84*AZ84)/AY88,"")</f>
        <v/>
      </c>
      <c r="BA88" s="150">
        <f t="shared" ref="BA88" si="4462">SUM(BA48,BA60,BA72,BA84)</f>
        <v>0</v>
      </c>
      <c r="BB88" s="159" t="str">
        <f t="shared" ref="BB88" si="4463">IFERROR((BB48*BA48+BA60*BB60+BA72*BB72+BA84*BB84)/BA88,"")</f>
        <v/>
      </c>
      <c r="BC88" s="150">
        <f t="shared" ref="BC88" si="4464">SUM(BC48,BC60,BC72,BC84)</f>
        <v>0</v>
      </c>
      <c r="BD88" s="159" t="str">
        <f t="shared" ref="BD88" si="4465">IFERROR((BD48*BC48+BC60*BD60+BC72*BD72+BC84*BD84)/BC88,"")</f>
        <v/>
      </c>
      <c r="BE88" s="150">
        <f t="shared" ref="BE88" si="4466">SUM(BE48,BE60,BE72,BE84)</f>
        <v>0</v>
      </c>
      <c r="BF88" s="159" t="str">
        <f t="shared" ref="BF88" si="4467">IFERROR((BF48*BE48+BE60*BF60+BE72*BF72+BE84*BF84)/BE88,"")</f>
        <v/>
      </c>
      <c r="BG88" s="150">
        <f t="shared" ref="BG88" si="4468">SUM(BG48,BG60,BG72,BG84)</f>
        <v>0</v>
      </c>
      <c r="BH88" s="159" t="str">
        <f t="shared" ref="BH88" si="4469">IFERROR((BH48*BG48+BG60*BH60+BG72*BH72+BG84*BH84)/BG88,"")</f>
        <v/>
      </c>
      <c r="BI88" s="150">
        <f t="shared" ref="BI88" si="4470">SUM(BI48,BI60,BI72,BI84)</f>
        <v>0</v>
      </c>
      <c r="BJ88" s="159" t="str">
        <f t="shared" ref="BJ88" si="4471">IFERROR((BJ48*BI48+BI60*BJ60+BI72*BJ72+BI84*BJ84)/BI88,"")</f>
        <v/>
      </c>
      <c r="BK88" s="150">
        <f t="shared" ref="BK88" si="4472">SUM(BK48,BK60,BK72,BK84)</f>
        <v>0</v>
      </c>
      <c r="BL88" s="159" t="str">
        <f t="shared" ref="BL88" si="4473">IFERROR((BL48*BK48+BK60*BL60+BK72*BL72+BK84*BL84)/BK88,"")</f>
        <v/>
      </c>
      <c r="BM88" s="150">
        <f t="shared" ref="BM88" si="4474">SUM(BM48,BM60,BM72,BM84)</f>
        <v>0</v>
      </c>
      <c r="BN88" s="159" t="str">
        <f t="shared" ref="BN88" si="4475">IFERROR((BN48*BM48+BM60*BN60+BM72*BN72+BM84*BN84)/BM88,"")</f>
        <v/>
      </c>
      <c r="BO88" s="150">
        <f t="shared" ref="BO88" si="4476">SUM(BO48,BO60,BO72,BO84)</f>
        <v>0</v>
      </c>
      <c r="BP88" s="159" t="str">
        <f t="shared" ref="BP88" si="4477">IFERROR((BP48*BO48+BO60*BP60+BO72*BP72+BO84*BP84)/BO88,"")</f>
        <v/>
      </c>
      <c r="BQ88" s="150">
        <f t="shared" ref="BQ88" si="4478">SUM(BQ48,BQ60,BQ72,BQ84)</f>
        <v>0</v>
      </c>
      <c r="BR88" s="159" t="str">
        <f t="shared" ref="BR88" si="4479">IFERROR((BR48*BQ48+BQ60*BR60+BQ72*BR72+BQ84*BR84)/BQ88,"")</f>
        <v/>
      </c>
      <c r="BS88" s="150">
        <f t="shared" ref="BS88" si="4480">SUM(BS48,BS60,BS72,BS84)</f>
        <v>3266</v>
      </c>
      <c r="BT88" s="159" t="str">
        <f t="shared" ref="BT88" si="4481">IFERROR((BT48*BS48+BS60*BT60+BS72*BT72+BS84*BT84)/BS88,"")</f>
        <v/>
      </c>
      <c r="BU88" s="150">
        <f t="shared" ref="BU88" si="4482">SUM(BU48,BU60,BU72,BU84)</f>
        <v>12695</v>
      </c>
      <c r="BV88" s="159" t="str">
        <f t="shared" ref="BV88" si="4483">IFERROR((BV48*BU48+BU60*BV60+BU72*BV72+BU84*BV84)/BU88,"")</f>
        <v/>
      </c>
      <c r="BW88" s="150">
        <f t="shared" ref="BW88" si="4484">SUM(BW48,BW60,BW72,BW84)</f>
        <v>0</v>
      </c>
      <c r="BX88" s="159" t="str">
        <f t="shared" ref="BX88" si="4485">IFERROR((BX48*BW48+BW60*BX60+BW72*BX72+BW84*BX84)/BW88,"")</f>
        <v/>
      </c>
      <c r="BY88" s="150">
        <f t="shared" ref="BY88" si="4486">SUM(BY48,BY60,BY72,BY84)</f>
        <v>408</v>
      </c>
      <c r="BZ88" s="159" t="str">
        <f t="shared" ref="BZ88" si="4487">IFERROR((BZ48*BY48+BY60*BZ60+BY72*BZ72+BY84*BZ84)/BY88,"")</f>
        <v/>
      </c>
      <c r="CA88" s="150">
        <f t="shared" ref="CA88" si="4488">SUM(CA48,CA60,CA72,CA84)</f>
        <v>0</v>
      </c>
      <c r="CB88" s="159" t="str">
        <f t="shared" ref="CB88" si="4489">IFERROR((CB48*CA48+CA60*CB60+CA72*CB72+CA84*CB84)/CA88,"")</f>
        <v/>
      </c>
      <c r="CC88" s="150">
        <f t="shared" ref="CC88" si="4490">SUM(CC48,CC60,CC72,CC84)</f>
        <v>0</v>
      </c>
      <c r="CD88" s="159" t="str">
        <f t="shared" ref="CD88" si="4491">IFERROR((CD48*CC48+CC60*CD60+CC72*CD72+CC84*CD84)/CC88,"")</f>
        <v/>
      </c>
      <c r="CE88" s="150">
        <f t="shared" ref="CE88" si="4492">SUM(CE48,CE60,CE72,CE84)</f>
        <v>0</v>
      </c>
      <c r="CF88" s="159" t="str">
        <f t="shared" ref="CF88" si="4493">IFERROR((CF48*CE48+CE60*CF60+CE72*CF72+CE84*CF84)/CE88,"")</f>
        <v/>
      </c>
      <c r="CG88" s="150">
        <f t="shared" ref="CG88:DQ90" si="4494">SUM(CG48,CG60,CG72,CG84)</f>
        <v>0</v>
      </c>
      <c r="CH88" s="159" t="str">
        <f t="shared" ref="CH88:DR90" si="4495">IFERROR((CH48*CG48+CG60*CH60+CG72*CH72+CG84*CH84)/CG88,"")</f>
        <v/>
      </c>
      <c r="CI88" s="150">
        <f t="shared" ref="CI88" si="4496">SUM(CI48,CI60,CI72,CI84)</f>
        <v>0</v>
      </c>
      <c r="CJ88" s="159" t="str">
        <f t="shared" ref="CJ88" si="4497">IFERROR((CJ48*CI48+CI60*CJ60+CI72*CJ72+CI84*CJ84)/CI88,"")</f>
        <v/>
      </c>
      <c r="CK88" s="150">
        <f t="shared" ref="CK88" si="4498">SUM(CK48,CK60,CK72,CK84)</f>
        <v>0</v>
      </c>
      <c r="CL88" s="159" t="str">
        <f t="shared" ref="CL88" si="4499">IFERROR((CL48*CK48+CK60*CL60+CK72*CL72+CK84*CL84)/CK88,"")</f>
        <v/>
      </c>
      <c r="CM88" s="150">
        <f t="shared" ref="CM88" si="4500">SUM(CM48,CM60,CM72,CM84)</f>
        <v>0</v>
      </c>
      <c r="CN88" s="159" t="str">
        <f t="shared" ref="CN88" si="4501">IFERROR((CN48*CM48+CM60*CN60+CM72*CN72+CM84*CN84)/CM88,"")</f>
        <v/>
      </c>
      <c r="CO88" s="150">
        <f t="shared" ref="CO88" si="4502">SUM(CO48,CO60,CO72,CO84)</f>
        <v>0</v>
      </c>
      <c r="CP88" s="159" t="str">
        <f t="shared" ref="CP88" si="4503">IFERROR((CP48*CO48+CO60*CP60+CO72*CP72+CO84*CP84)/CO88,"")</f>
        <v/>
      </c>
      <c r="CQ88" s="150">
        <f t="shared" ref="CQ88" si="4504">SUM(CQ48,CQ60,CQ72,CQ84)</f>
        <v>8488</v>
      </c>
      <c r="CR88" s="159" t="str">
        <f t="shared" ref="CR88" si="4505">IFERROR((CR48*CQ48+CQ60*CR60+CQ72*CR72+CQ84*CR84)/CQ88,"")</f>
        <v/>
      </c>
      <c r="CS88" s="150">
        <f t="shared" ref="CS88" si="4506">SUM(CS48,CS60,CS72,CS84)</f>
        <v>0</v>
      </c>
      <c r="CT88" s="159" t="str">
        <f t="shared" ref="CT88:CT90" si="4507">IFERROR((CT48*CS48+CS60*CT60+CS72*CT72+CS84*CT84)/CS88,"")</f>
        <v/>
      </c>
      <c r="CU88" s="150">
        <f t="shared" ref="CU88" si="4508">SUM(CU48,CU60,CU72,CU84)</f>
        <v>0</v>
      </c>
      <c r="CV88" s="159" t="str">
        <f t="shared" ref="CV88:CV90" si="4509">IFERROR((CV48*CU48+CU60*CV60+CU72*CV72+CU84*CV84)/CU88,"")</f>
        <v/>
      </c>
      <c r="CW88" s="150">
        <f t="shared" ref="CW88" si="4510">SUM(CW48,CW60,CW72,CW84)</f>
        <v>0</v>
      </c>
      <c r="CX88" s="159" t="str">
        <f t="shared" ref="CX88:CX90" si="4511">IFERROR((CX48*CW48+CW60*CX60+CW72*CX72+CW84*CX84)/CW88,"")</f>
        <v/>
      </c>
      <c r="CY88" s="150">
        <f t="shared" ref="CY88" si="4512">SUM(CY48,CY60,CY72,CY84)</f>
        <v>0</v>
      </c>
      <c r="CZ88" s="159" t="str">
        <f t="shared" ref="CZ88" si="4513">IFERROR((CZ48*CY48+CY60*CZ60+CY72*CZ72+CY84*CZ84)/CY88,"")</f>
        <v/>
      </c>
      <c r="DA88" s="150">
        <f t="shared" ref="DA88" si="4514">SUM(DA48,DA60,DA72,DA84)</f>
        <v>0</v>
      </c>
      <c r="DB88" s="159" t="str">
        <f t="shared" ref="DB88" si="4515">IFERROR((DB48*DA48+DA60*DB60+DA72*DB72+DA84*DB84)/DA88,"")</f>
        <v/>
      </c>
      <c r="DC88" s="150">
        <f t="shared" ref="DC88" si="4516">SUM(DC48,DC60,DC72,DC84)</f>
        <v>0</v>
      </c>
      <c r="DD88" s="159" t="str">
        <f t="shared" ref="DD88" si="4517">IFERROR((DD48*DC48+DC60*DD60+DC72*DD72+DC84*DD84)/DC88,"")</f>
        <v/>
      </c>
      <c r="DE88" s="150">
        <f t="shared" ref="DE88" si="4518">SUM(DE48,DE60,DE72,DE84)</f>
        <v>0</v>
      </c>
      <c r="DF88" s="159" t="str">
        <f t="shared" ref="DF88" si="4519">IFERROR((DF48*DE48+DE60*DF60+DE72*DF72+DE84*DF84)/DE88,"")</f>
        <v/>
      </c>
      <c r="DG88" s="150">
        <f t="shared" ref="DG88" si="4520">SUM(DG48,DG60,DG72,DG84)</f>
        <v>351</v>
      </c>
      <c r="DH88" s="159" t="str">
        <f t="shared" ref="DH88" si="4521">IFERROR((DH48*DG48+DG60*DH60+DG72*DH72+DG84*DH84)/DG88,"")</f>
        <v/>
      </c>
      <c r="DI88" s="150">
        <f t="shared" ref="DI88" si="4522">SUM(DI48,DI60,DI72,DI84)</f>
        <v>0</v>
      </c>
      <c r="DJ88" s="159" t="str">
        <f t="shared" ref="DJ88" si="4523">IFERROR((DJ48*DI48+DI60*DJ60+DI72*DJ72+DI84*DJ84)/DI88,"")</f>
        <v/>
      </c>
      <c r="DK88" s="150">
        <f t="shared" ref="DK88" si="4524">SUM(DK48,DK60,DK72,DK84)</f>
        <v>1907</v>
      </c>
      <c r="DL88" s="159" t="str">
        <f t="shared" ref="DL88" si="4525">IFERROR((DL48*DK48+DK60*DL60+DK72*DL72+DK84*DL84)/DK88,"")</f>
        <v/>
      </c>
      <c r="DM88" s="150">
        <f t="shared" ref="DM88" si="4526">SUM(DM48,DM60,DM72,DM84)</f>
        <v>1908</v>
      </c>
      <c r="DN88" s="159" t="str">
        <f t="shared" ref="DN88" si="4527">IFERROR((DN48*DM48+DM60*DN60+DM72*DN72+DM84*DN84)/DM88,"")</f>
        <v/>
      </c>
      <c r="DO88" s="150">
        <f t="shared" ref="DO88" si="4528">SUM(DO48,DO60,DO72,DO84)</f>
        <v>2957</v>
      </c>
      <c r="DP88" s="159" t="str">
        <f t="shared" ref="DP88" si="4529">IFERROR((DP48*DO48+DO60*DP60+DO72*DP72+DO84*DP84)/DO88,"")</f>
        <v/>
      </c>
      <c r="DQ88" s="150">
        <f t="shared" ref="DQ88" si="4530">SUM(DQ48,DQ60,DQ72,DQ84)</f>
        <v>2939</v>
      </c>
      <c r="DR88" s="159" t="str">
        <f t="shared" ref="DR88" si="4531">IFERROR((DR48*DQ48+DQ60*DR60+DQ72*DR72+DQ84*DR84)/DQ88,"")</f>
        <v/>
      </c>
      <c r="DS88" s="150">
        <f t="shared" ref="DS88:FA90" si="4532">SUM(DS48,DS60,DS72,DS84)</f>
        <v>4753</v>
      </c>
      <c r="DT88" s="159" t="str">
        <f t="shared" ref="DT88:FB90" si="4533">IFERROR((DT48*DS48+DS60*DT60+DS72*DT72+DS84*DT84)/DS88,"")</f>
        <v/>
      </c>
      <c r="DU88" s="150">
        <f t="shared" ref="DU88" si="4534">SUM(DU48,DU60,DU72,DU84)</f>
        <v>4495</v>
      </c>
      <c r="DV88" s="159" t="str">
        <f t="shared" ref="DV88" si="4535">IFERROR((DV48*DU48+DU60*DV60+DU72*DV72+DU84*DV84)/DU88,"")</f>
        <v/>
      </c>
      <c r="DW88" s="150">
        <f t="shared" ref="DW88" si="4536">SUM(DW48,DW60,DW72,DW84)</f>
        <v>4014</v>
      </c>
      <c r="DX88" s="159" t="str">
        <f t="shared" ref="DX88" si="4537">IFERROR((DX48*DW48+DW60*DX60+DW72*DX72+DW84*DX84)/DW88,"")</f>
        <v/>
      </c>
      <c r="DY88" s="150">
        <f t="shared" ref="DY88" si="4538">SUM(DY48,DY60,DY72,DY84)</f>
        <v>2470</v>
      </c>
      <c r="DZ88" s="159" t="str">
        <f t="shared" ref="DZ88" si="4539">IFERROR((DZ48*DY48+DY60*DZ60+DY72*DZ72+DY84*DZ84)/DY88,"")</f>
        <v/>
      </c>
      <c r="EA88" s="150">
        <f t="shared" ref="EA88" si="4540">SUM(EA48,EA60,EA72,EA84)</f>
        <v>2645</v>
      </c>
      <c r="EB88" s="159" t="str">
        <f t="shared" ref="EB88" si="4541">IFERROR((EB48*EA48+EA60*EB60+EA72*EB72+EA84*EB84)/EA88,"")</f>
        <v/>
      </c>
      <c r="EC88" s="150">
        <f t="shared" ref="EC88" si="4542">SUM(EC48,EC60,EC72,EC84)</f>
        <v>3763</v>
      </c>
      <c r="ED88" s="159" t="str">
        <f t="shared" ref="ED88" si="4543">IFERROR((ED48*EC48+EC60*ED60+EC72*ED72+EC84*ED84)/EC88,"")</f>
        <v/>
      </c>
      <c r="EE88" s="150">
        <f t="shared" ref="EE88" si="4544">SUM(EE48,EE60,EE72,EE84)</f>
        <v>0</v>
      </c>
      <c r="EF88" s="159" t="str">
        <f t="shared" ref="EF88" si="4545">IFERROR((EF48*EE48+EE60*EF60+EE72*EF72+EE84*EF84)/EE88,"")</f>
        <v/>
      </c>
      <c r="EG88" s="150">
        <f t="shared" ref="EG88" si="4546">SUM(EG48,EG60,EG72,EG84)</f>
        <v>0</v>
      </c>
      <c r="EH88" s="159" t="str">
        <f t="shared" ref="EH88" si="4547">IFERROR((EH48*EG48+EG60*EH60+EG72*EH72+EG84*EH84)/EG88,"")</f>
        <v/>
      </c>
      <c r="EI88" s="150">
        <f t="shared" ref="EI88" si="4548">SUM(EI48,EI60,EI72,EI84)</f>
        <v>0</v>
      </c>
      <c r="EJ88" s="159" t="str">
        <f t="shared" ref="EJ88" si="4549">IFERROR((EJ48*EI48+EI60*EJ60+EI72*EJ72+EI84*EJ84)/EI88,"")</f>
        <v/>
      </c>
      <c r="EK88" s="150">
        <f t="shared" ref="EK88" si="4550">SUM(EK48,EK60,EK72,EK84)</f>
        <v>4877</v>
      </c>
      <c r="EL88" s="159" t="str">
        <f t="shared" ref="EL88" si="4551">IFERROR((EL48*EK48+EK60*EL60+EK72*EL72+EK84*EL84)/EK88,"")</f>
        <v/>
      </c>
      <c r="EM88" s="150">
        <f t="shared" ref="EM88" si="4552">SUM(EM48,EM60,EM72,EM84)</f>
        <v>6421</v>
      </c>
      <c r="EN88" s="159" t="str">
        <f t="shared" ref="EN88" si="4553">IFERROR((EN48*EM48+EM60*EN60+EM72*EN72+EM84*EN84)/EM88,"")</f>
        <v/>
      </c>
      <c r="EO88" s="150">
        <f t="shared" ref="EO88" si="4554">SUM(EO48,EO60,EO72,EO84)</f>
        <v>28310</v>
      </c>
      <c r="EP88" s="159">
        <f t="shared" ref="EP88" si="4555">IFERROR((EP48*EO48+EO60*EP60+EO72*EP72+EO84*EP84)/EO88,"")</f>
        <v>2.83</v>
      </c>
      <c r="EQ88" s="150">
        <f t="shared" ref="EQ88" si="4556">SUM(EQ48,EQ60,EQ72,EQ84)</f>
        <v>0</v>
      </c>
      <c r="ER88" s="159" t="str">
        <f t="shared" ref="ER88" si="4557">IFERROR((ER48*EQ48+EQ60*ER60+EQ72*ER72+EQ84*ER84)/EQ88,"")</f>
        <v/>
      </c>
      <c r="ES88" s="150">
        <f t="shared" ref="ES88" si="4558">SUM(ES48,ES60,ES72,ES84)</f>
        <v>0</v>
      </c>
      <c r="ET88" s="159" t="str">
        <f t="shared" ref="ET88:ET89" si="4559">IFERROR((ET48*ES48+ES60*ET60+ES72*ET72+ES84*ET84)/ES88,"")</f>
        <v/>
      </c>
      <c r="EU88" s="150">
        <f t="shared" ref="EU88" si="4560">SUM(EU48,EU60,EU72,EU84)</f>
        <v>2696</v>
      </c>
      <c r="EV88" s="159" t="str">
        <f t="shared" ref="EV88" si="4561">IFERROR((EV48*EU48+EU60*EV60+EU72*EV72+EU84*EV84)/EU88,"")</f>
        <v/>
      </c>
      <c r="EW88" s="150">
        <f t="shared" ref="EW88" si="4562">SUM(EW48,EW60,EW72,EW84)</f>
        <v>0</v>
      </c>
      <c r="EX88" s="159" t="str">
        <f t="shared" ref="EX88:EX90" si="4563">IFERROR((EX48*EW48+EW60*EX60+EW72*EX72+EW84*EX84)/EW88,"")</f>
        <v/>
      </c>
      <c r="EY88" s="150">
        <f t="shared" ref="EY88" si="4564">SUM(EY48,EY60,EY72,EY84)</f>
        <v>23031</v>
      </c>
      <c r="EZ88" s="159" t="str">
        <f t="shared" ref="EZ88" si="4565">IFERROR((EZ48*EY48+EY60*EZ60+EY72*EZ72+EY84*EZ84)/EY88,"")</f>
        <v/>
      </c>
      <c r="FA88" s="150">
        <f t="shared" ref="FA88" si="4566">SUM(FA48,FA60,FA72,FA84)</f>
        <v>0</v>
      </c>
      <c r="FB88" s="159" t="str">
        <f t="shared" ref="FB88" si="4567">IFERROR((FB48*FA48+FA60*FB60+FA72*FB72+FA84*FB84)/FA88,"")</f>
        <v/>
      </c>
      <c r="FC88" s="150">
        <f t="shared" ref="FC88:GG90" si="4568">SUM(FC48,FC60,FC72,FC84)</f>
        <v>10141</v>
      </c>
      <c r="FD88" s="159" t="str">
        <f t="shared" ref="FD88:GH90" si="4569">IFERROR((FD48*FC48+FC60*FD60+FC72*FD72+FC84*FD84)/FC88,"")</f>
        <v/>
      </c>
      <c r="FE88" s="150">
        <f t="shared" ref="FE88" si="4570">SUM(FE48,FE60,FE72,FE84)</f>
        <v>5380</v>
      </c>
      <c r="FF88" s="159" t="str">
        <f t="shared" ref="FF88" si="4571">IFERROR((FF48*FE48+FE60*FF60+FE72*FF72+FE84*FF84)/FE88,"")</f>
        <v/>
      </c>
      <c r="FG88" s="150">
        <f t="shared" ref="FG88" si="4572">SUM(FG48,FG60,FG72,FG84)</f>
        <v>1807</v>
      </c>
      <c r="FH88" s="159" t="str">
        <f t="shared" ref="FH88" si="4573">IFERROR((FH48*FG48+FG60*FH60+FG72*FH72+FG84*FH84)/FG88,"")</f>
        <v/>
      </c>
      <c r="FI88" s="150">
        <f t="shared" ref="FI88" si="4574">SUM(FI48,FI60,FI72,FI84)</f>
        <v>3791</v>
      </c>
      <c r="FJ88" s="159" t="str">
        <f t="shared" ref="FJ88" si="4575">IFERROR((FJ48*FI48+FI60*FJ60+FI72*FJ72+FI84*FJ84)/FI88,"")</f>
        <v/>
      </c>
      <c r="FK88" s="150">
        <f t="shared" ref="FK88" si="4576">SUM(FK48,FK60,FK72,FK84)</f>
        <v>0</v>
      </c>
      <c r="FL88" s="159" t="str">
        <f t="shared" ref="FL88" si="4577">IFERROR((FL48*FK48+FK60*FL60+FK72*FL72+FK84*FL84)/FK88,"")</f>
        <v/>
      </c>
      <c r="FM88" s="150">
        <f t="shared" ref="FM88" si="4578">SUM(FM48,FM60,FM72,FM84)</f>
        <v>2154</v>
      </c>
      <c r="FN88" s="159" t="str">
        <f t="shared" ref="FN88" si="4579">IFERROR((FN48*FM48+FM60*FN60+FM72*FN72+FM84*FN84)/FM88,"")</f>
        <v/>
      </c>
      <c r="FO88" s="150">
        <f t="shared" ref="FO88" si="4580">SUM(FO48,FO60,FO72,FO84)</f>
        <v>2428</v>
      </c>
      <c r="FP88" s="159" t="str">
        <f t="shared" ref="FP88" si="4581">IFERROR((FP48*FO48+FO60*FP60+FO72*FP72+FO84*FP84)/FO88,"")</f>
        <v/>
      </c>
      <c r="FQ88" s="150">
        <f t="shared" ref="FQ88" si="4582">SUM(FQ48,FQ60,FQ72,FQ84)</f>
        <v>4322</v>
      </c>
      <c r="FR88" s="159" t="str">
        <f t="shared" ref="FR88" si="4583">IFERROR((FR48*FQ48+FQ60*FR60+FQ72*FR72+FQ84*FR84)/FQ88,"")</f>
        <v/>
      </c>
      <c r="FS88" s="150">
        <f t="shared" ref="FS88" si="4584">SUM(FS48,FS60,FS72,FS84)</f>
        <v>4755</v>
      </c>
      <c r="FT88" s="159" t="str">
        <f t="shared" ref="FT88" si="4585">IFERROR((FT48*FS48+FS60*FT60+FS72*FT72+FS84*FT84)/FS88,"")</f>
        <v/>
      </c>
      <c r="FU88" s="150">
        <f t="shared" ref="FU88" si="4586">SUM(FU48,FU60,FU72,FU84)</f>
        <v>5866</v>
      </c>
      <c r="FV88" s="159" t="str">
        <f t="shared" ref="FV88" si="4587">IFERROR((FV48*FU48+FU60*FV60+FU72*FV72+FU84*FV84)/FU88,"")</f>
        <v/>
      </c>
      <c r="FW88" s="150">
        <f t="shared" ref="FW88" si="4588">SUM(FW48,FW60,FW72,FW84)</f>
        <v>1166</v>
      </c>
      <c r="FX88" s="159" t="str">
        <f t="shared" ref="FX88" si="4589">IFERROR((FX48*FW48+FW60*FX60+FW72*FX72+FW84*FX84)/FW88,"")</f>
        <v/>
      </c>
      <c r="FY88" s="150">
        <f t="shared" ref="FY88" si="4590">SUM(FY48,FY60,FY72,FY84)</f>
        <v>635</v>
      </c>
      <c r="FZ88" s="159" t="str">
        <f t="shared" ref="FZ88" si="4591">IFERROR((FZ48*FY48+FY60*FZ60+FY72*FZ72+FY84*FZ84)/FY88,"")</f>
        <v/>
      </c>
      <c r="GA88" s="150">
        <f t="shared" ref="GA88" si="4592">SUM(GA48,GA60,GA72,GA84)</f>
        <v>2696</v>
      </c>
      <c r="GB88" s="159" t="str">
        <f t="shared" ref="GB88" si="4593">IFERROR((GB48*GA48+GA60*GB60+GA72*GB72+GA84*GB84)/GA88,"")</f>
        <v/>
      </c>
      <c r="GC88" s="150">
        <f t="shared" ref="GC88" si="4594">SUM(GC48,GC60,GC72,GC84)</f>
        <v>2611</v>
      </c>
      <c r="GD88" s="159" t="str">
        <f t="shared" ref="GD88" si="4595">IFERROR((GD48*GC48+GC60*GD60+GC72*GD72+GC84*GD84)/GC88,"")</f>
        <v/>
      </c>
      <c r="GE88" s="150">
        <f t="shared" ref="GE88" si="4596">SUM(GE48,GE60,GE72,GE84)</f>
        <v>2285</v>
      </c>
      <c r="GF88" s="159" t="str">
        <f t="shared" ref="GF88" si="4597">IFERROR((GF48*GE48+GE60*GF60+GE72*GF72+GE84*GF84)/GE88,"")</f>
        <v/>
      </c>
      <c r="GG88" s="150">
        <f t="shared" ref="GG88" si="4598">SUM(GG48,GG60,GG72,GG84)</f>
        <v>9260</v>
      </c>
      <c r="GH88" s="159" t="str">
        <f t="shared" ref="GH88" si="4599">IFERROR((GH48*GG48+GG60*GH60+GG72*GH72+GG84*GH84)/GG88,"")</f>
        <v/>
      </c>
      <c r="GI88" s="150">
        <f t="shared" ref="GI88:HM90" si="4600">SUM(GI48,GI60,GI72,GI84)</f>
        <v>894</v>
      </c>
      <c r="GJ88" s="159" t="str">
        <f t="shared" ref="GJ88:HN90" si="4601">IFERROR((GJ48*GI48+GI60*GJ60+GI72*GJ72+GI84*GJ84)/GI88,"")</f>
        <v/>
      </c>
      <c r="GK88" s="150">
        <f t="shared" ref="GK88" si="4602">SUM(GK48,GK60,GK72,GK84)</f>
        <v>2043</v>
      </c>
      <c r="GL88" s="159" t="str">
        <f t="shared" ref="GL88" si="4603">IFERROR((GL48*GK48+GK60*GL60+GK72*GL72+GK84*GL84)/GK88,"")</f>
        <v/>
      </c>
      <c r="GM88" s="150">
        <f t="shared" ref="GM88" si="4604">SUM(GM48,GM60,GM72,GM84)</f>
        <v>2170</v>
      </c>
      <c r="GN88" s="159" t="str">
        <f t="shared" ref="GN88" si="4605">IFERROR((GN48*GM48+GM60*GN60+GM72*GN72+GM84*GN84)/GM88,"")</f>
        <v/>
      </c>
      <c r="GO88" s="150">
        <f t="shared" ref="GO88" si="4606">SUM(GO48,GO60,GO72,GO84)</f>
        <v>3111</v>
      </c>
      <c r="GP88" s="159" t="str">
        <f t="shared" ref="GP88" si="4607">IFERROR((GP48*GO48+GO60*GP60+GO72*GP72+GO84*GP84)/GO88,"")</f>
        <v/>
      </c>
      <c r="GQ88" s="150">
        <f t="shared" ref="GQ88" si="4608">SUM(GQ48,GQ60,GQ72,GQ84)</f>
        <v>1962</v>
      </c>
      <c r="GR88" s="159" t="str">
        <f t="shared" ref="GR88" si="4609">IFERROR((GR48*GQ48+GQ60*GR60+GQ72*GR72+GQ84*GR84)/GQ88,"")</f>
        <v/>
      </c>
      <c r="GS88" s="150">
        <f t="shared" ref="GS88" si="4610">SUM(GS48,GS60,GS72,GS84)</f>
        <v>0</v>
      </c>
      <c r="GT88" s="159" t="str">
        <f t="shared" ref="GT88" si="4611">IFERROR((GT48*GS48+GS60*GT60+GS72*GT72+GS84*GT84)/GS88,"")</f>
        <v/>
      </c>
      <c r="GU88" s="150">
        <f t="shared" ref="GU88" si="4612">SUM(GU48,GU60,GU72,GU84)</f>
        <v>0</v>
      </c>
      <c r="GV88" s="159" t="str">
        <f t="shared" ref="GV88" si="4613">IFERROR((GV48*GU48+GU60*GV60+GU72*GV72+GU84*GV84)/GU88,"")</f>
        <v/>
      </c>
      <c r="GW88" s="150">
        <f t="shared" ref="GW88" si="4614">SUM(GW48,GW60,GW72,GW84)</f>
        <v>0</v>
      </c>
      <c r="GX88" s="159" t="str">
        <f t="shared" ref="GX88" si="4615">IFERROR((GX48*GW48+GW60*GX60+GW72*GX72+GW84*GX84)/GW88,"")</f>
        <v/>
      </c>
      <c r="GY88" s="150">
        <f t="shared" ref="GY88" si="4616">SUM(GY48,GY60,GY72,GY84)</f>
        <v>2392</v>
      </c>
      <c r="GZ88" s="159" t="str">
        <f t="shared" ref="GZ88" si="4617">IFERROR((GZ48*GY48+GY60*GZ60+GY72*GZ72+GY84*GZ84)/GY88,"")</f>
        <v/>
      </c>
      <c r="HA88" s="150">
        <f t="shared" ref="HA88" si="4618">SUM(HA48,HA60,HA72,HA84)</f>
        <v>5120</v>
      </c>
      <c r="HB88" s="159" t="str">
        <f t="shared" ref="HB88" si="4619">IFERROR((HB48*HA48+HA60*HB60+HA72*HB72+HA84*HB84)/HA88,"")</f>
        <v/>
      </c>
      <c r="HC88" s="150">
        <f t="shared" ref="HC88" si="4620">SUM(HC48,HC60,HC72,HC84)</f>
        <v>5282</v>
      </c>
      <c r="HD88" s="159" t="str">
        <f t="shared" ref="HD88" si="4621">IFERROR((HD48*HC48+HC60*HD60+HC72*HD72+HC84*HD84)/HC88,"")</f>
        <v/>
      </c>
      <c r="HE88" s="150">
        <f t="shared" ref="HE88" si="4622">SUM(HE48,HE60,HE72,HE84)</f>
        <v>11459</v>
      </c>
      <c r="HF88" s="159" t="str">
        <f t="shared" ref="HF88" si="4623">IFERROR((HF48*HE48+HE60*HF60+HE72*HF72+HE84*HF84)/HE88,"")</f>
        <v/>
      </c>
      <c r="HG88" s="150">
        <f t="shared" ref="HG88" si="4624">SUM(HG48,HG60,HG72,HG84)</f>
        <v>0</v>
      </c>
      <c r="HH88" s="159" t="str">
        <f t="shared" ref="HH88" si="4625">IFERROR((HH48*HG48+HG60*HH60+HG72*HH72+HG84*HH84)/HG88,"")</f>
        <v/>
      </c>
      <c r="HI88" s="150">
        <f t="shared" ref="HI88" si="4626">SUM(HI48,HI60,HI72,HI84)</f>
        <v>0</v>
      </c>
      <c r="HJ88" s="159" t="str">
        <f t="shared" ref="HJ88" si="4627">IFERROR((HJ48*HI48+HI60*HJ60+HI72*HJ72+HI84*HJ84)/HI88,"")</f>
        <v/>
      </c>
      <c r="HK88" s="150">
        <f t="shared" ref="HK88" si="4628">SUM(HK48,HK60,HK72,HK84)</f>
        <v>0</v>
      </c>
      <c r="HL88" s="159" t="str">
        <f t="shared" ref="HL88" si="4629">IFERROR((HL48*HK48+HK60*HL60+HK72*HL72+HK84*HL84)/HK88,"")</f>
        <v/>
      </c>
      <c r="HM88" s="150">
        <f t="shared" ref="HM88" si="4630">SUM(HM48,HM60,HM72,HM84)</f>
        <v>0</v>
      </c>
      <c r="HN88" s="159" t="str">
        <f t="shared" ref="HN88" si="4631">IFERROR((HN48*HM48+HM60*HN60+HM72*HN72+HM84*HN84)/HM88,"")</f>
        <v/>
      </c>
      <c r="HO88" s="150">
        <f t="shared" ref="HO88:IY90" si="4632">SUM(HO48,HO60,HO72,HO84)</f>
        <v>10249</v>
      </c>
      <c r="HP88" s="159" t="str">
        <f t="shared" ref="HP88:IZ90" si="4633">IFERROR((HP48*HO48+HO60*HP60+HO72*HP72+HO84*HP84)/HO88,"")</f>
        <v/>
      </c>
      <c r="HQ88" s="150">
        <f t="shared" ref="HQ88" si="4634">SUM(HQ48,HQ60,HQ72,HQ84)</f>
        <v>0</v>
      </c>
      <c r="HR88" s="159" t="str">
        <f t="shared" ref="HR88" si="4635">IFERROR((HR48*HQ48+HQ60*HR60+HQ72*HR72+HQ84*HR84)/HQ88,"")</f>
        <v/>
      </c>
      <c r="HS88" s="150">
        <f t="shared" ref="HS88" si="4636">SUM(HS48,HS60,HS72,HS84)</f>
        <v>4845</v>
      </c>
      <c r="HT88" s="159" t="str">
        <f t="shared" ref="HT88" si="4637">IFERROR((HT48*HS48+HS60*HT60+HS72*HT72+HS84*HT84)/HS88,"")</f>
        <v/>
      </c>
      <c r="HU88" s="150">
        <f t="shared" ref="HU88" si="4638">SUM(HU48,HU60,HU72,HU84)</f>
        <v>0</v>
      </c>
      <c r="HV88" s="159" t="str">
        <f t="shared" ref="HV88" si="4639">IFERROR((HV48*HU48+HU60*HV60+HU72*HV72+HU84*HV84)/HU88,"")</f>
        <v/>
      </c>
      <c r="HW88" s="150">
        <f t="shared" ref="HW88" si="4640">SUM(HW48,HW60,HW72,HW84)</f>
        <v>0</v>
      </c>
      <c r="HX88" s="159" t="str">
        <f t="shared" ref="HX88" si="4641">IFERROR((HX48*HW48+HW60*HX60+HW72*HX72+HW84*HX84)/HW88,"")</f>
        <v/>
      </c>
      <c r="HY88" s="150">
        <f t="shared" ref="HY88" si="4642">SUM(HY48,HY60,HY72,HY84)</f>
        <v>0</v>
      </c>
      <c r="HZ88" s="159" t="str">
        <f t="shared" ref="HZ88" si="4643">IFERROR((HZ48*HY48+HY60*HZ60+HY72*HZ72+HY84*HZ84)/HY88,"")</f>
        <v/>
      </c>
      <c r="IA88" s="150">
        <f t="shared" ref="IA88" si="4644">SUM(IA48,IA60,IA72,IA84)</f>
        <v>1002</v>
      </c>
      <c r="IB88" s="159" t="str">
        <f t="shared" ref="IB88" si="4645">IFERROR((IB48*IA48+IA60*IB60+IA72*IB72+IA84*IB84)/IA88,"")</f>
        <v/>
      </c>
      <c r="IC88" s="150">
        <f t="shared" ref="IC88" si="4646">SUM(IC48,IC60,IC72,IC84)</f>
        <v>0</v>
      </c>
      <c r="ID88" s="159" t="str">
        <f t="shared" ref="ID88" si="4647">IFERROR((ID48*IC48+IC60*ID60+IC72*ID72+IC84*ID84)/IC88,"")</f>
        <v/>
      </c>
      <c r="IE88" s="150">
        <f t="shared" ref="IE88" si="4648">SUM(IE48,IE60,IE72,IE84)</f>
        <v>0</v>
      </c>
      <c r="IF88" s="159" t="str">
        <f t="shared" ref="IF88" si="4649">IFERROR((IF48*IE48+IE60*IF60+IE72*IF72+IE84*IF84)/IE88,"")</f>
        <v/>
      </c>
      <c r="IG88" s="150">
        <f t="shared" ref="IG88" si="4650">SUM(IG48,IG60,IG72,IG84)</f>
        <v>0</v>
      </c>
      <c r="IH88" s="159" t="str">
        <f t="shared" ref="IH88" si="4651">IFERROR((IH48*IG48+IG60*IH60+IG72*IH72+IG84*IH84)/IG88,"")</f>
        <v/>
      </c>
      <c r="II88" s="150">
        <f t="shared" ref="II88" si="4652">SUM(II48,II60,II72,II84)</f>
        <v>0</v>
      </c>
      <c r="IJ88" s="159" t="str">
        <f t="shared" ref="IJ88" si="4653">IFERROR((IJ48*II48+II60*IJ60+II72*IJ72+II84*IJ84)/II88,"")</f>
        <v/>
      </c>
      <c r="IK88" s="150">
        <f t="shared" ref="IK88" si="4654">SUM(IK48,IK60,IK72,IK84)</f>
        <v>1556</v>
      </c>
      <c r="IL88" s="159" t="str">
        <f t="shared" ref="IL88" si="4655">IFERROR((IL48*IK48+IK60*IL60+IK72*IL72+IK84*IL84)/IK88,"")</f>
        <v/>
      </c>
      <c r="IM88" s="150">
        <f t="shared" ref="IM88" si="4656">SUM(IM48,IM60,IM72,IM84)</f>
        <v>1607</v>
      </c>
      <c r="IN88" s="159" t="str">
        <f t="shared" ref="IN88" si="4657">IFERROR((IN48*IM48+IM60*IN60+IM72*IN72+IM84*IN84)/IM88,"")</f>
        <v/>
      </c>
      <c r="IO88" s="150">
        <f t="shared" ref="IO88" si="4658">SUM(IO48,IO60,IO72,IO84)</f>
        <v>0</v>
      </c>
      <c r="IP88" s="159" t="str">
        <f t="shared" ref="IP88" si="4659">IFERROR((IP48*IO48+IO60*IP60+IO72*IP72+IO84*IP84)/IO88,"")</f>
        <v/>
      </c>
      <c r="IQ88" s="150">
        <f t="shared" ref="IQ88" si="4660">SUM(IQ48,IQ60,IQ72,IQ84)</f>
        <v>0</v>
      </c>
      <c r="IR88" s="159" t="str">
        <f t="shared" ref="IR88" si="4661">IFERROR((IR48*IQ48+IQ60*IR60+IQ72*IR72+IQ84*IR84)/IQ88,"")</f>
        <v/>
      </c>
      <c r="IS88" s="150">
        <f t="shared" ref="IS88" si="4662">SUM(IS48,IS60,IS72,IS84)</f>
        <v>0</v>
      </c>
      <c r="IT88" s="159" t="str">
        <f t="shared" ref="IT88" si="4663">IFERROR((IT48*IS48+IS60*IT60+IS72*IT72+IS84*IT84)/IS88,"")</f>
        <v/>
      </c>
      <c r="IU88" s="150">
        <f t="shared" ref="IU88" si="4664">SUM(IU48,IU60,IU72,IU84)</f>
        <v>0</v>
      </c>
      <c r="IV88" s="159" t="str">
        <f t="shared" ref="IV88" si="4665">IFERROR((IV48*IU48+IU60*IV60+IU72*IV72+IU84*IV84)/IU88,"")</f>
        <v/>
      </c>
      <c r="IW88" s="150">
        <f t="shared" ref="IW88" si="4666">SUM(IW48,IW60,IW72,IW84)</f>
        <v>0</v>
      </c>
      <c r="IX88" s="159" t="str">
        <f t="shared" ref="IX88" si="4667">IFERROR((IX48*IW48+IW60*IX60+IW72*IX72+IW84*IX84)/IW88,"")</f>
        <v/>
      </c>
      <c r="IY88" s="150">
        <f t="shared" ref="IY88" si="4668">SUM(IY48,IY60,IY72,IY84)</f>
        <v>0</v>
      </c>
      <c r="IZ88" s="159" t="str">
        <f t="shared" ref="IZ88" si="4669">IFERROR((IZ48*IY48+IY60*IZ60+IY72*IZ72+IY84*IZ84)/IY88,"")</f>
        <v/>
      </c>
    </row>
    <row r="89" spans="1:260" x14ac:dyDescent="0.25">
      <c r="A89" s="1578"/>
      <c r="B89" s="74" t="s">
        <v>211</v>
      </c>
      <c r="C89" s="134">
        <f t="shared" ref="C89:C90" si="4670">SUM(C85,C73,C61,C49)</f>
        <v>133770</v>
      </c>
      <c r="D89" s="77" t="str">
        <f>IFERROR((C49*D49+C61*D61+C73*D73+C85*D85)/C89,"")</f>
        <v/>
      </c>
      <c r="E89" s="150">
        <f t="shared" ref="E89:S90" si="4671">SUM(E49,E61,E73,E85)</f>
        <v>5005</v>
      </c>
      <c r="F89" s="159" t="str">
        <f t="shared" ref="F89:T90" si="4672">IFERROR((F49*E49+E61*F61+E73*F73+E85*F85)/E89,"")</f>
        <v/>
      </c>
      <c r="G89" s="150">
        <f t="shared" si="4671"/>
        <v>0</v>
      </c>
      <c r="H89" s="159" t="str">
        <f t="shared" si="4672"/>
        <v/>
      </c>
      <c r="I89" s="150">
        <f t="shared" si="4671"/>
        <v>0</v>
      </c>
      <c r="J89" s="159" t="str">
        <f t="shared" si="4672"/>
        <v/>
      </c>
      <c r="K89" s="150">
        <f t="shared" si="4671"/>
        <v>0</v>
      </c>
      <c r="L89" s="159" t="str">
        <f t="shared" si="4672"/>
        <v/>
      </c>
      <c r="M89" s="150">
        <f t="shared" si="4671"/>
        <v>0</v>
      </c>
      <c r="N89" s="159" t="str">
        <f t="shared" si="4672"/>
        <v/>
      </c>
      <c r="O89" s="150">
        <f t="shared" si="4671"/>
        <v>0</v>
      </c>
      <c r="P89" s="159" t="str">
        <f t="shared" si="4672"/>
        <v/>
      </c>
      <c r="Q89" s="150">
        <f t="shared" si="4671"/>
        <v>0</v>
      </c>
      <c r="R89" s="159" t="str">
        <f t="shared" si="4672"/>
        <v/>
      </c>
      <c r="S89" s="150">
        <f t="shared" si="4671"/>
        <v>0</v>
      </c>
      <c r="T89" s="159" t="str">
        <f t="shared" si="4672"/>
        <v/>
      </c>
      <c r="U89" s="150">
        <f t="shared" si="4430"/>
        <v>0</v>
      </c>
      <c r="V89" s="159" t="str">
        <f t="shared" si="4431"/>
        <v/>
      </c>
      <c r="W89" s="150">
        <f t="shared" si="4430"/>
        <v>0</v>
      </c>
      <c r="X89" s="159" t="str">
        <f t="shared" si="4431"/>
        <v/>
      </c>
      <c r="Y89" s="150">
        <f t="shared" si="4430"/>
        <v>8190</v>
      </c>
      <c r="Z89" s="159" t="str">
        <f t="shared" si="4431"/>
        <v/>
      </c>
      <c r="AA89" s="150">
        <f t="shared" si="4430"/>
        <v>2940</v>
      </c>
      <c r="AB89" s="159" t="str">
        <f t="shared" si="4431"/>
        <v/>
      </c>
      <c r="AC89" s="150">
        <f t="shared" si="4430"/>
        <v>0</v>
      </c>
      <c r="AD89" s="159" t="str">
        <f t="shared" si="4431"/>
        <v/>
      </c>
      <c r="AE89" s="150">
        <f t="shared" si="4430"/>
        <v>0</v>
      </c>
      <c r="AF89" s="159" t="str">
        <f t="shared" si="4431"/>
        <v/>
      </c>
      <c r="AG89" s="150">
        <f t="shared" si="4430"/>
        <v>0</v>
      </c>
      <c r="AH89" s="159" t="str">
        <f t="shared" si="4431"/>
        <v/>
      </c>
      <c r="AI89" s="150">
        <f t="shared" si="4430"/>
        <v>0</v>
      </c>
      <c r="AJ89" s="159" t="str">
        <f t="shared" si="4431"/>
        <v/>
      </c>
      <c r="AK89" s="150">
        <f t="shared" si="4430"/>
        <v>0</v>
      </c>
      <c r="AL89" s="159" t="str">
        <f t="shared" si="4431"/>
        <v/>
      </c>
      <c r="AM89" s="150">
        <f t="shared" si="4430"/>
        <v>0</v>
      </c>
      <c r="AN89" s="159" t="str">
        <f t="shared" si="4431"/>
        <v/>
      </c>
      <c r="AO89" s="150">
        <f t="shared" si="4430"/>
        <v>0</v>
      </c>
      <c r="AP89" s="159" t="str">
        <f t="shared" si="4431"/>
        <v/>
      </c>
      <c r="AQ89" s="150">
        <f t="shared" si="4430"/>
        <v>0</v>
      </c>
      <c r="AR89" s="159" t="str">
        <f t="shared" si="4431"/>
        <v/>
      </c>
      <c r="AS89" s="150">
        <f t="shared" si="4430"/>
        <v>0</v>
      </c>
      <c r="AT89" s="159" t="str">
        <f t="shared" si="4431"/>
        <v/>
      </c>
      <c r="AU89" s="150">
        <f t="shared" si="4430"/>
        <v>0</v>
      </c>
      <c r="AV89" s="159" t="str">
        <f t="shared" si="4431"/>
        <v/>
      </c>
      <c r="AW89" s="150">
        <f t="shared" si="4430"/>
        <v>0</v>
      </c>
      <c r="AX89" s="159" t="str">
        <f t="shared" si="4431"/>
        <v/>
      </c>
      <c r="AY89" s="150">
        <f t="shared" si="4430"/>
        <v>0</v>
      </c>
      <c r="AZ89" s="159" t="str">
        <f t="shared" si="4431"/>
        <v/>
      </c>
      <c r="BA89" s="150">
        <f t="shared" si="4430"/>
        <v>0</v>
      </c>
      <c r="BB89" s="159" t="str">
        <f t="shared" si="4431"/>
        <v/>
      </c>
      <c r="BC89" s="150">
        <f t="shared" si="4430"/>
        <v>0</v>
      </c>
      <c r="BD89" s="159" t="str">
        <f t="shared" si="4431"/>
        <v/>
      </c>
      <c r="BE89" s="150">
        <f t="shared" si="4430"/>
        <v>0</v>
      </c>
      <c r="BF89" s="159" t="str">
        <f t="shared" si="4431"/>
        <v/>
      </c>
      <c r="BG89" s="150">
        <f t="shared" si="4430"/>
        <v>0</v>
      </c>
      <c r="BH89" s="159" t="str">
        <f t="shared" si="4431"/>
        <v/>
      </c>
      <c r="BI89" s="150">
        <f t="shared" si="4430"/>
        <v>0</v>
      </c>
      <c r="BJ89" s="159" t="str">
        <f t="shared" si="4431"/>
        <v/>
      </c>
      <c r="BK89" s="150">
        <f t="shared" si="4430"/>
        <v>0</v>
      </c>
      <c r="BL89" s="159" t="str">
        <f t="shared" si="4431"/>
        <v/>
      </c>
      <c r="BM89" s="150">
        <f t="shared" si="4430"/>
        <v>0</v>
      </c>
      <c r="BN89" s="159" t="str">
        <f t="shared" si="4431"/>
        <v/>
      </c>
      <c r="BO89" s="150">
        <f t="shared" si="4430"/>
        <v>0</v>
      </c>
      <c r="BP89" s="159" t="str">
        <f t="shared" si="4431"/>
        <v/>
      </c>
      <c r="BQ89" s="150">
        <f t="shared" si="4430"/>
        <v>0</v>
      </c>
      <c r="BR89" s="159" t="str">
        <f t="shared" si="4431"/>
        <v/>
      </c>
      <c r="BS89" s="150">
        <f t="shared" si="4430"/>
        <v>0</v>
      </c>
      <c r="BT89" s="159" t="str">
        <f t="shared" si="4431"/>
        <v/>
      </c>
      <c r="BU89" s="150">
        <f t="shared" si="4430"/>
        <v>0</v>
      </c>
      <c r="BV89" s="159" t="str">
        <f t="shared" si="4431"/>
        <v/>
      </c>
      <c r="BW89" s="150">
        <f t="shared" si="4430"/>
        <v>0</v>
      </c>
      <c r="BX89" s="159" t="str">
        <f t="shared" si="4431"/>
        <v/>
      </c>
      <c r="BY89" s="150">
        <f t="shared" si="4430"/>
        <v>0</v>
      </c>
      <c r="BZ89" s="159" t="str">
        <f t="shared" si="4431"/>
        <v/>
      </c>
      <c r="CA89" s="150">
        <f t="shared" si="4430"/>
        <v>0</v>
      </c>
      <c r="CB89" s="159" t="str">
        <f t="shared" si="4431"/>
        <v/>
      </c>
      <c r="CC89" s="150">
        <f t="shared" si="4430"/>
        <v>0</v>
      </c>
      <c r="CD89" s="159" t="str">
        <f t="shared" si="4431"/>
        <v/>
      </c>
      <c r="CE89" s="150">
        <f t="shared" si="4430"/>
        <v>0</v>
      </c>
      <c r="CF89" s="159" t="str">
        <f t="shared" si="4431"/>
        <v/>
      </c>
      <c r="CG89" s="150">
        <f t="shared" si="4494"/>
        <v>0</v>
      </c>
      <c r="CH89" s="159" t="str">
        <f t="shared" si="4495"/>
        <v/>
      </c>
      <c r="CI89" s="150">
        <f t="shared" si="4494"/>
        <v>0</v>
      </c>
      <c r="CJ89" s="159" t="str">
        <f t="shared" si="4495"/>
        <v/>
      </c>
      <c r="CK89" s="150">
        <f t="shared" si="4494"/>
        <v>0</v>
      </c>
      <c r="CL89" s="159" t="str">
        <f t="shared" si="4495"/>
        <v/>
      </c>
      <c r="CM89" s="150">
        <f t="shared" si="4494"/>
        <v>0</v>
      </c>
      <c r="CN89" s="159" t="str">
        <f t="shared" si="4495"/>
        <v/>
      </c>
      <c r="CO89" s="150">
        <f t="shared" si="4494"/>
        <v>0</v>
      </c>
      <c r="CP89" s="159" t="str">
        <f t="shared" si="4495"/>
        <v/>
      </c>
      <c r="CQ89" s="150">
        <f t="shared" si="4494"/>
        <v>12110</v>
      </c>
      <c r="CR89" s="159" t="str">
        <f t="shared" si="4495"/>
        <v/>
      </c>
      <c r="CS89" s="150">
        <f t="shared" ref="CS89" si="4673">SUM(CS49,CS61,CS73,CS85)</f>
        <v>12320</v>
      </c>
      <c r="CT89" s="159" t="str">
        <f t="shared" si="4507"/>
        <v/>
      </c>
      <c r="CU89" s="150">
        <f t="shared" ref="CU89" si="4674">SUM(CU49,CU61,CU73,CU85)</f>
        <v>0</v>
      </c>
      <c r="CV89" s="159" t="str">
        <f t="shared" si="4509"/>
        <v/>
      </c>
      <c r="CW89" s="150">
        <f t="shared" ref="CW89" si="4675">SUM(CW49,CW61,CW73,CW85)</f>
        <v>0</v>
      </c>
      <c r="CX89" s="159" t="str">
        <f t="shared" si="4511"/>
        <v/>
      </c>
      <c r="CY89" s="150">
        <f t="shared" si="4494"/>
        <v>9135</v>
      </c>
      <c r="CZ89" s="159" t="str">
        <f t="shared" si="4495"/>
        <v/>
      </c>
      <c r="DA89" s="150">
        <f t="shared" si="4494"/>
        <v>0</v>
      </c>
      <c r="DB89" s="159" t="str">
        <f t="shared" si="4495"/>
        <v/>
      </c>
      <c r="DC89" s="150">
        <f t="shared" si="4494"/>
        <v>0</v>
      </c>
      <c r="DD89" s="159" t="str">
        <f t="shared" si="4495"/>
        <v/>
      </c>
      <c r="DE89" s="150">
        <f t="shared" si="4494"/>
        <v>1085</v>
      </c>
      <c r="DF89" s="159" t="str">
        <f t="shared" si="4495"/>
        <v/>
      </c>
      <c r="DG89" s="150">
        <f t="shared" si="4494"/>
        <v>0</v>
      </c>
      <c r="DH89" s="159" t="str">
        <f t="shared" si="4495"/>
        <v/>
      </c>
      <c r="DI89" s="150">
        <f t="shared" si="4494"/>
        <v>0</v>
      </c>
      <c r="DJ89" s="159" t="str">
        <f t="shared" si="4495"/>
        <v/>
      </c>
      <c r="DK89" s="150">
        <f t="shared" si="4494"/>
        <v>0</v>
      </c>
      <c r="DL89" s="159" t="str">
        <f t="shared" si="4495"/>
        <v/>
      </c>
      <c r="DM89" s="150">
        <f t="shared" si="4494"/>
        <v>0</v>
      </c>
      <c r="DN89" s="159" t="str">
        <f t="shared" si="4495"/>
        <v/>
      </c>
      <c r="DO89" s="150">
        <f t="shared" si="4494"/>
        <v>6020</v>
      </c>
      <c r="DP89" s="159" t="str">
        <f t="shared" si="4495"/>
        <v/>
      </c>
      <c r="DQ89" s="150">
        <f t="shared" si="4494"/>
        <v>3220</v>
      </c>
      <c r="DR89" s="159" t="str">
        <f t="shared" si="4495"/>
        <v/>
      </c>
      <c r="DS89" s="150">
        <f t="shared" si="4532"/>
        <v>9765</v>
      </c>
      <c r="DT89" s="159" t="str">
        <f t="shared" si="4533"/>
        <v/>
      </c>
      <c r="DU89" s="150">
        <f t="shared" si="4532"/>
        <v>1750</v>
      </c>
      <c r="DV89" s="159" t="str">
        <f t="shared" si="4533"/>
        <v/>
      </c>
      <c r="DW89" s="150">
        <f t="shared" si="4532"/>
        <v>0</v>
      </c>
      <c r="DX89" s="159" t="str">
        <f t="shared" si="4533"/>
        <v/>
      </c>
      <c r="DY89" s="150">
        <f t="shared" si="4532"/>
        <v>0</v>
      </c>
      <c r="DZ89" s="159" t="str">
        <f t="shared" si="4533"/>
        <v/>
      </c>
      <c r="EA89" s="150">
        <f t="shared" si="4532"/>
        <v>0</v>
      </c>
      <c r="EB89" s="159" t="str">
        <f t="shared" si="4533"/>
        <v/>
      </c>
      <c r="EC89" s="150">
        <f t="shared" si="4532"/>
        <v>0</v>
      </c>
      <c r="ED89" s="159" t="str">
        <f t="shared" si="4533"/>
        <v/>
      </c>
      <c r="EE89" s="150">
        <f t="shared" si="4532"/>
        <v>0</v>
      </c>
      <c r="EF89" s="159" t="str">
        <f t="shared" si="4533"/>
        <v/>
      </c>
      <c r="EG89" s="150">
        <f t="shared" si="4532"/>
        <v>0</v>
      </c>
      <c r="EH89" s="159" t="str">
        <f t="shared" si="4533"/>
        <v/>
      </c>
      <c r="EI89" s="150">
        <f t="shared" si="4532"/>
        <v>0</v>
      </c>
      <c r="EJ89" s="159" t="str">
        <f t="shared" si="4533"/>
        <v/>
      </c>
      <c r="EK89" s="150">
        <f t="shared" si="4532"/>
        <v>0</v>
      </c>
      <c r="EL89" s="159" t="str">
        <f t="shared" si="4533"/>
        <v/>
      </c>
      <c r="EM89" s="150">
        <f t="shared" si="4532"/>
        <v>0</v>
      </c>
      <c r="EN89" s="159" t="str">
        <f t="shared" si="4533"/>
        <v/>
      </c>
      <c r="EO89" s="150">
        <f t="shared" si="4532"/>
        <v>11200</v>
      </c>
      <c r="EP89" s="159" t="str">
        <f t="shared" si="4533"/>
        <v/>
      </c>
      <c r="EQ89" s="150">
        <f t="shared" si="4532"/>
        <v>1050</v>
      </c>
      <c r="ER89" s="159" t="str">
        <f t="shared" si="4533"/>
        <v/>
      </c>
      <c r="ES89" s="150">
        <f t="shared" ref="ES89" si="4676">SUM(ES49,ES61,ES73,ES85)</f>
        <v>7245</v>
      </c>
      <c r="ET89" s="159" t="str">
        <f t="shared" si="4559"/>
        <v/>
      </c>
      <c r="EU89" s="150">
        <f t="shared" si="4532"/>
        <v>6160</v>
      </c>
      <c r="EV89" s="159" t="str">
        <f t="shared" si="4533"/>
        <v/>
      </c>
      <c r="EW89" s="150">
        <f t="shared" ref="EW89" si="4677">SUM(EW49,EW61,EW73,EW85)</f>
        <v>0</v>
      </c>
      <c r="EX89" s="159" t="str">
        <f t="shared" si="4563"/>
        <v/>
      </c>
      <c r="EY89" s="150">
        <f t="shared" si="4532"/>
        <v>0</v>
      </c>
      <c r="EZ89" s="159" t="str">
        <f t="shared" si="4533"/>
        <v/>
      </c>
      <c r="FA89" s="150">
        <f t="shared" si="4532"/>
        <v>2030</v>
      </c>
      <c r="FB89" s="159" t="str">
        <f t="shared" si="4533"/>
        <v/>
      </c>
      <c r="FC89" s="150">
        <f t="shared" si="4568"/>
        <v>10220</v>
      </c>
      <c r="FD89" s="159" t="str">
        <f t="shared" si="4569"/>
        <v/>
      </c>
      <c r="FE89" s="150">
        <f t="shared" si="4568"/>
        <v>13300</v>
      </c>
      <c r="FF89" s="159" t="str">
        <f t="shared" si="4569"/>
        <v/>
      </c>
      <c r="FG89" s="150">
        <f t="shared" si="4568"/>
        <v>4025</v>
      </c>
      <c r="FH89" s="159" t="str">
        <f t="shared" si="4569"/>
        <v/>
      </c>
      <c r="FI89" s="150">
        <f t="shared" si="4568"/>
        <v>0</v>
      </c>
      <c r="FJ89" s="159" t="str">
        <f t="shared" si="4569"/>
        <v/>
      </c>
      <c r="FK89" s="150">
        <f t="shared" si="4568"/>
        <v>4970</v>
      </c>
      <c r="FL89" s="159" t="str">
        <f t="shared" si="4569"/>
        <v/>
      </c>
      <c r="FM89" s="150">
        <f t="shared" si="4568"/>
        <v>2030</v>
      </c>
      <c r="FN89" s="159" t="str">
        <f t="shared" si="4569"/>
        <v/>
      </c>
      <c r="FO89" s="150">
        <f t="shared" si="4568"/>
        <v>0</v>
      </c>
      <c r="FP89" s="159" t="str">
        <f t="shared" si="4569"/>
        <v/>
      </c>
      <c r="FQ89" s="150">
        <f t="shared" si="4568"/>
        <v>0</v>
      </c>
      <c r="FR89" s="159" t="str">
        <f t="shared" si="4569"/>
        <v/>
      </c>
      <c r="FS89" s="150">
        <f t="shared" si="4568"/>
        <v>0</v>
      </c>
      <c r="FT89" s="159" t="str">
        <f t="shared" si="4569"/>
        <v/>
      </c>
      <c r="FU89" s="150">
        <f t="shared" si="4568"/>
        <v>0</v>
      </c>
      <c r="FV89" s="159" t="str">
        <f t="shared" si="4569"/>
        <v/>
      </c>
      <c r="FW89" s="150">
        <f t="shared" si="4568"/>
        <v>0</v>
      </c>
      <c r="FX89" s="159" t="str">
        <f t="shared" si="4569"/>
        <v/>
      </c>
      <c r="FY89" s="150">
        <f t="shared" si="4568"/>
        <v>0</v>
      </c>
      <c r="FZ89" s="159" t="str">
        <f t="shared" si="4569"/>
        <v/>
      </c>
      <c r="GA89" s="150">
        <f t="shared" si="4568"/>
        <v>0</v>
      </c>
      <c r="GB89" s="159" t="str">
        <f t="shared" si="4569"/>
        <v/>
      </c>
      <c r="GC89" s="150">
        <f t="shared" si="4568"/>
        <v>0</v>
      </c>
      <c r="GD89" s="159" t="str">
        <f t="shared" si="4569"/>
        <v/>
      </c>
      <c r="GE89" s="150">
        <f t="shared" si="4568"/>
        <v>0</v>
      </c>
      <c r="GF89" s="159" t="str">
        <f t="shared" si="4569"/>
        <v/>
      </c>
      <c r="GG89" s="150">
        <f t="shared" si="4568"/>
        <v>0</v>
      </c>
      <c r="GH89" s="159" t="str">
        <f t="shared" si="4569"/>
        <v/>
      </c>
      <c r="GI89" s="150">
        <f t="shared" si="4600"/>
        <v>0</v>
      </c>
      <c r="GJ89" s="159" t="str">
        <f t="shared" si="4601"/>
        <v/>
      </c>
      <c r="GK89" s="150">
        <f t="shared" si="4600"/>
        <v>0</v>
      </c>
      <c r="GL89" s="159" t="str">
        <f t="shared" si="4601"/>
        <v/>
      </c>
      <c r="GM89" s="150">
        <f t="shared" si="4600"/>
        <v>0</v>
      </c>
      <c r="GN89" s="159" t="str">
        <f t="shared" si="4601"/>
        <v/>
      </c>
      <c r="GO89" s="150">
        <f t="shared" si="4600"/>
        <v>0</v>
      </c>
      <c r="GP89" s="159" t="str">
        <f t="shared" si="4601"/>
        <v/>
      </c>
      <c r="GQ89" s="150">
        <f t="shared" si="4600"/>
        <v>0</v>
      </c>
      <c r="GR89" s="159" t="str">
        <f t="shared" si="4601"/>
        <v/>
      </c>
      <c r="GS89" s="150">
        <f t="shared" si="4600"/>
        <v>0</v>
      </c>
      <c r="GT89" s="159" t="str">
        <f t="shared" si="4601"/>
        <v/>
      </c>
      <c r="GU89" s="150">
        <f t="shared" si="4600"/>
        <v>0</v>
      </c>
      <c r="GV89" s="159" t="str">
        <f t="shared" si="4601"/>
        <v/>
      </c>
      <c r="GW89" s="150">
        <f t="shared" si="4600"/>
        <v>0</v>
      </c>
      <c r="GX89" s="159" t="str">
        <f t="shared" si="4601"/>
        <v/>
      </c>
      <c r="GY89" s="150">
        <f t="shared" si="4600"/>
        <v>0</v>
      </c>
      <c r="GZ89" s="159" t="str">
        <f t="shared" si="4601"/>
        <v/>
      </c>
      <c r="HA89" s="150">
        <f t="shared" si="4600"/>
        <v>0</v>
      </c>
      <c r="HB89" s="159" t="str">
        <f t="shared" si="4601"/>
        <v/>
      </c>
      <c r="HC89" s="150">
        <f t="shared" si="4600"/>
        <v>0</v>
      </c>
      <c r="HD89" s="159" t="str">
        <f t="shared" si="4601"/>
        <v/>
      </c>
      <c r="HE89" s="150">
        <f t="shared" si="4600"/>
        <v>0</v>
      </c>
      <c r="HF89" s="159" t="str">
        <f t="shared" si="4601"/>
        <v/>
      </c>
      <c r="HG89" s="150">
        <f t="shared" si="4600"/>
        <v>0</v>
      </c>
      <c r="HH89" s="159" t="str">
        <f t="shared" si="4601"/>
        <v/>
      </c>
      <c r="HI89" s="150">
        <f t="shared" si="4600"/>
        <v>0</v>
      </c>
      <c r="HJ89" s="159" t="str">
        <f t="shared" si="4601"/>
        <v/>
      </c>
      <c r="HK89" s="150">
        <f t="shared" si="4600"/>
        <v>0</v>
      </c>
      <c r="HL89" s="159" t="str">
        <f t="shared" si="4601"/>
        <v/>
      </c>
      <c r="HM89" s="150">
        <f t="shared" si="4600"/>
        <v>0</v>
      </c>
      <c r="HN89" s="159" t="str">
        <f t="shared" si="4601"/>
        <v/>
      </c>
      <c r="HO89" s="150">
        <f t="shared" si="4632"/>
        <v>0</v>
      </c>
      <c r="HP89" s="159" t="str">
        <f t="shared" si="4633"/>
        <v/>
      </c>
      <c r="HQ89" s="150">
        <f t="shared" si="4632"/>
        <v>0</v>
      </c>
      <c r="HR89" s="159" t="str">
        <f t="shared" si="4633"/>
        <v/>
      </c>
      <c r="HS89" s="150">
        <f t="shared" si="4632"/>
        <v>0</v>
      </c>
      <c r="HT89" s="159" t="str">
        <f t="shared" si="4633"/>
        <v/>
      </c>
      <c r="HU89" s="150">
        <f t="shared" si="4632"/>
        <v>0</v>
      </c>
      <c r="HV89" s="159" t="str">
        <f t="shared" si="4633"/>
        <v/>
      </c>
      <c r="HW89" s="150">
        <f t="shared" si="4632"/>
        <v>0</v>
      </c>
      <c r="HX89" s="159" t="str">
        <f t="shared" si="4633"/>
        <v/>
      </c>
      <c r="HY89" s="150">
        <f t="shared" si="4632"/>
        <v>0</v>
      </c>
      <c r="HZ89" s="159" t="str">
        <f t="shared" si="4633"/>
        <v/>
      </c>
      <c r="IA89" s="150">
        <f t="shared" si="4632"/>
        <v>0</v>
      </c>
      <c r="IB89" s="159" t="str">
        <f t="shared" si="4633"/>
        <v/>
      </c>
      <c r="IC89" s="150">
        <f t="shared" si="4632"/>
        <v>0</v>
      </c>
      <c r="ID89" s="159" t="str">
        <f t="shared" si="4633"/>
        <v/>
      </c>
      <c r="IE89" s="150">
        <f t="shared" si="4632"/>
        <v>0</v>
      </c>
      <c r="IF89" s="159" t="str">
        <f t="shared" si="4633"/>
        <v/>
      </c>
      <c r="IG89" s="150">
        <f t="shared" si="4632"/>
        <v>0</v>
      </c>
      <c r="IH89" s="159" t="str">
        <f t="shared" si="4633"/>
        <v/>
      </c>
      <c r="II89" s="150">
        <f t="shared" si="4632"/>
        <v>0</v>
      </c>
      <c r="IJ89" s="159" t="str">
        <f t="shared" si="4633"/>
        <v/>
      </c>
      <c r="IK89" s="150">
        <f t="shared" si="4632"/>
        <v>0</v>
      </c>
      <c r="IL89" s="159" t="str">
        <f t="shared" si="4633"/>
        <v/>
      </c>
      <c r="IM89" s="150">
        <f t="shared" si="4632"/>
        <v>0</v>
      </c>
      <c r="IN89" s="159" t="str">
        <f t="shared" si="4633"/>
        <v/>
      </c>
      <c r="IO89" s="150">
        <f t="shared" si="4632"/>
        <v>0</v>
      </c>
      <c r="IP89" s="159" t="str">
        <f t="shared" si="4633"/>
        <v/>
      </c>
      <c r="IQ89" s="150">
        <f t="shared" si="4632"/>
        <v>0</v>
      </c>
      <c r="IR89" s="159" t="str">
        <f t="shared" si="4633"/>
        <v/>
      </c>
      <c r="IS89" s="150">
        <f t="shared" si="4632"/>
        <v>0</v>
      </c>
      <c r="IT89" s="159" t="str">
        <f t="shared" si="4633"/>
        <v/>
      </c>
      <c r="IU89" s="150">
        <f t="shared" si="4632"/>
        <v>0</v>
      </c>
      <c r="IV89" s="159" t="str">
        <f t="shared" si="4633"/>
        <v/>
      </c>
      <c r="IW89" s="150">
        <f t="shared" si="4632"/>
        <v>0</v>
      </c>
      <c r="IX89" s="159" t="str">
        <f t="shared" si="4633"/>
        <v/>
      </c>
      <c r="IY89" s="150">
        <f t="shared" si="4632"/>
        <v>0</v>
      </c>
      <c r="IZ89" s="159" t="str">
        <f t="shared" si="4633"/>
        <v/>
      </c>
    </row>
    <row r="90" spans="1:260" ht="15.75" thickBot="1" x14ac:dyDescent="0.3">
      <c r="A90" s="1578"/>
      <c r="B90" s="74" t="s">
        <v>5</v>
      </c>
      <c r="C90" s="134">
        <f t="shared" si="4670"/>
        <v>102247.6</v>
      </c>
      <c r="D90" s="77" t="str">
        <f>IFERROR((C50*D50+C62*D62+C74*D74+C86*D86)/C90,"")</f>
        <v/>
      </c>
      <c r="E90" s="160">
        <f t="shared" si="4671"/>
        <v>2404</v>
      </c>
      <c r="F90" s="161" t="str">
        <f t="shared" si="4672"/>
        <v/>
      </c>
      <c r="G90" s="160">
        <f t="shared" ref="G90:BQ90" si="4678">SUM(G50,G62,G74,G86)</f>
        <v>0</v>
      </c>
      <c r="H90" s="161" t="str">
        <f t="shared" ref="H90:BR90" si="4679">IFERROR((H50*G50+G62*H62+G74*H74+G86*H86)/G90,"")</f>
        <v/>
      </c>
      <c r="I90" s="160">
        <f t="shared" si="4678"/>
        <v>0</v>
      </c>
      <c r="J90" s="161" t="str">
        <f t="shared" si="4679"/>
        <v/>
      </c>
      <c r="K90" s="160">
        <f t="shared" si="4678"/>
        <v>0</v>
      </c>
      <c r="L90" s="161" t="str">
        <f t="shared" si="4679"/>
        <v/>
      </c>
      <c r="M90" s="160">
        <f t="shared" si="4678"/>
        <v>0</v>
      </c>
      <c r="N90" s="161" t="str">
        <f t="shared" si="4679"/>
        <v/>
      </c>
      <c r="O90" s="160">
        <f t="shared" si="4678"/>
        <v>0</v>
      </c>
      <c r="P90" s="161" t="str">
        <f t="shared" si="4679"/>
        <v/>
      </c>
      <c r="Q90" s="160">
        <f t="shared" si="4678"/>
        <v>0</v>
      </c>
      <c r="R90" s="161" t="str">
        <f t="shared" si="4679"/>
        <v/>
      </c>
      <c r="S90" s="160">
        <f t="shared" si="4678"/>
        <v>0</v>
      </c>
      <c r="T90" s="161" t="str">
        <f t="shared" si="4679"/>
        <v/>
      </c>
      <c r="U90" s="160">
        <f t="shared" si="4678"/>
        <v>0</v>
      </c>
      <c r="V90" s="161" t="str">
        <f t="shared" si="4679"/>
        <v/>
      </c>
      <c r="W90" s="160">
        <f t="shared" si="4678"/>
        <v>0</v>
      </c>
      <c r="X90" s="161" t="str">
        <f t="shared" si="4679"/>
        <v/>
      </c>
      <c r="Y90" s="160">
        <f t="shared" si="4678"/>
        <v>5584</v>
      </c>
      <c r="Z90" s="161" t="str">
        <f t="shared" si="4679"/>
        <v/>
      </c>
      <c r="AA90" s="160">
        <f t="shared" si="4678"/>
        <v>0</v>
      </c>
      <c r="AB90" s="161" t="str">
        <f t="shared" si="4679"/>
        <v/>
      </c>
      <c r="AC90" s="160">
        <f t="shared" si="4678"/>
        <v>0</v>
      </c>
      <c r="AD90" s="161" t="str">
        <f t="shared" si="4679"/>
        <v/>
      </c>
      <c r="AE90" s="160">
        <f t="shared" si="4678"/>
        <v>0</v>
      </c>
      <c r="AF90" s="161" t="str">
        <f t="shared" si="4679"/>
        <v/>
      </c>
      <c r="AG90" s="160">
        <f t="shared" si="4678"/>
        <v>0</v>
      </c>
      <c r="AH90" s="161" t="str">
        <f t="shared" si="4679"/>
        <v/>
      </c>
      <c r="AI90" s="160">
        <f t="shared" si="4678"/>
        <v>0</v>
      </c>
      <c r="AJ90" s="161" t="str">
        <f t="shared" si="4679"/>
        <v/>
      </c>
      <c r="AK90" s="160">
        <f t="shared" si="4678"/>
        <v>0</v>
      </c>
      <c r="AL90" s="161" t="str">
        <f t="shared" si="4679"/>
        <v/>
      </c>
      <c r="AM90" s="160">
        <f t="shared" si="4678"/>
        <v>0</v>
      </c>
      <c r="AN90" s="161" t="str">
        <f t="shared" si="4679"/>
        <v/>
      </c>
      <c r="AO90" s="160">
        <f t="shared" si="4678"/>
        <v>0</v>
      </c>
      <c r="AP90" s="161" t="str">
        <f t="shared" si="4679"/>
        <v/>
      </c>
      <c r="AQ90" s="160">
        <f t="shared" si="4678"/>
        <v>0</v>
      </c>
      <c r="AR90" s="161" t="str">
        <f t="shared" si="4679"/>
        <v/>
      </c>
      <c r="AS90" s="160">
        <f t="shared" si="4678"/>
        <v>0</v>
      </c>
      <c r="AT90" s="161" t="str">
        <f t="shared" si="4679"/>
        <v/>
      </c>
      <c r="AU90" s="160">
        <f t="shared" si="4678"/>
        <v>0</v>
      </c>
      <c r="AV90" s="161" t="str">
        <f t="shared" si="4679"/>
        <v/>
      </c>
      <c r="AW90" s="160">
        <f t="shared" si="4678"/>
        <v>0</v>
      </c>
      <c r="AX90" s="161" t="str">
        <f t="shared" si="4679"/>
        <v/>
      </c>
      <c r="AY90" s="160">
        <f t="shared" si="4678"/>
        <v>0</v>
      </c>
      <c r="AZ90" s="161" t="str">
        <f t="shared" si="4679"/>
        <v/>
      </c>
      <c r="BA90" s="160">
        <f t="shared" si="4678"/>
        <v>0</v>
      </c>
      <c r="BB90" s="161" t="str">
        <f t="shared" si="4679"/>
        <v/>
      </c>
      <c r="BC90" s="160">
        <f t="shared" si="4678"/>
        <v>0</v>
      </c>
      <c r="BD90" s="161" t="str">
        <f t="shared" si="4679"/>
        <v/>
      </c>
      <c r="BE90" s="160">
        <f t="shared" si="4678"/>
        <v>0</v>
      </c>
      <c r="BF90" s="161" t="str">
        <f t="shared" si="4679"/>
        <v/>
      </c>
      <c r="BG90" s="160">
        <f t="shared" si="4678"/>
        <v>0</v>
      </c>
      <c r="BH90" s="161" t="str">
        <f t="shared" si="4679"/>
        <v/>
      </c>
      <c r="BI90" s="160">
        <f t="shared" si="4678"/>
        <v>0</v>
      </c>
      <c r="BJ90" s="161" t="str">
        <f t="shared" si="4679"/>
        <v/>
      </c>
      <c r="BK90" s="160">
        <f t="shared" si="4678"/>
        <v>0</v>
      </c>
      <c r="BL90" s="161" t="str">
        <f t="shared" si="4679"/>
        <v/>
      </c>
      <c r="BM90" s="160">
        <f t="shared" si="4678"/>
        <v>0</v>
      </c>
      <c r="BN90" s="161" t="str">
        <f t="shared" si="4679"/>
        <v/>
      </c>
      <c r="BO90" s="160">
        <f t="shared" si="4678"/>
        <v>0</v>
      </c>
      <c r="BP90" s="161" t="str">
        <f t="shared" si="4679"/>
        <v/>
      </c>
      <c r="BQ90" s="160">
        <f t="shared" si="4678"/>
        <v>0</v>
      </c>
      <c r="BR90" s="161" t="str">
        <f t="shared" si="4679"/>
        <v/>
      </c>
      <c r="BS90" s="160">
        <f t="shared" si="4430"/>
        <v>0</v>
      </c>
      <c r="BT90" s="161" t="str">
        <f t="shared" si="4431"/>
        <v/>
      </c>
      <c r="BU90" s="160">
        <f t="shared" si="4430"/>
        <v>0</v>
      </c>
      <c r="BV90" s="161" t="str">
        <f t="shared" si="4431"/>
        <v/>
      </c>
      <c r="BW90" s="160">
        <f t="shared" si="4430"/>
        <v>0</v>
      </c>
      <c r="BX90" s="161" t="str">
        <f t="shared" si="4431"/>
        <v/>
      </c>
      <c r="BY90" s="160">
        <f t="shared" si="4430"/>
        <v>0</v>
      </c>
      <c r="BZ90" s="161" t="str">
        <f t="shared" si="4431"/>
        <v/>
      </c>
      <c r="CA90" s="160">
        <f t="shared" si="4430"/>
        <v>0</v>
      </c>
      <c r="CB90" s="161" t="str">
        <f t="shared" si="4431"/>
        <v/>
      </c>
      <c r="CC90" s="160">
        <f t="shared" si="4430"/>
        <v>0</v>
      </c>
      <c r="CD90" s="161" t="str">
        <f t="shared" si="4431"/>
        <v/>
      </c>
      <c r="CE90" s="160">
        <f t="shared" si="4430"/>
        <v>0</v>
      </c>
      <c r="CF90" s="161" t="str">
        <f t="shared" si="4431"/>
        <v/>
      </c>
      <c r="CG90" s="160">
        <f t="shared" si="4494"/>
        <v>0</v>
      </c>
      <c r="CH90" s="161" t="str">
        <f t="shared" si="4495"/>
        <v/>
      </c>
      <c r="CI90" s="160">
        <f t="shared" si="4494"/>
        <v>0</v>
      </c>
      <c r="CJ90" s="161" t="str">
        <f t="shared" si="4495"/>
        <v/>
      </c>
      <c r="CK90" s="160">
        <f t="shared" si="4494"/>
        <v>0</v>
      </c>
      <c r="CL90" s="161" t="str">
        <f t="shared" si="4495"/>
        <v/>
      </c>
      <c r="CM90" s="160">
        <f t="shared" si="4494"/>
        <v>0</v>
      </c>
      <c r="CN90" s="161" t="str">
        <f t="shared" si="4495"/>
        <v/>
      </c>
      <c r="CO90" s="160">
        <f t="shared" si="4494"/>
        <v>0</v>
      </c>
      <c r="CP90" s="161" t="str">
        <f t="shared" si="4495"/>
        <v/>
      </c>
      <c r="CQ90" s="160">
        <f t="shared" si="4494"/>
        <v>14794</v>
      </c>
      <c r="CR90" s="161" t="str">
        <f t="shared" si="4495"/>
        <v/>
      </c>
      <c r="CS90" s="160">
        <f t="shared" ref="CS90" si="4680">SUM(CS50,CS62,CS74,CS86)</f>
        <v>8742</v>
      </c>
      <c r="CT90" s="161" t="str">
        <f t="shared" si="4507"/>
        <v/>
      </c>
      <c r="CU90" s="160">
        <f t="shared" ref="CU90" si="4681">SUM(CU50,CU62,CU74,CU86)</f>
        <v>0</v>
      </c>
      <c r="CV90" s="161" t="str">
        <f t="shared" si="4509"/>
        <v/>
      </c>
      <c r="CW90" s="160">
        <f t="shared" ref="CW90" si="4682">SUM(CW50,CW62,CW74,CW86)</f>
        <v>0</v>
      </c>
      <c r="CX90" s="161" t="str">
        <f t="shared" si="4511"/>
        <v/>
      </c>
      <c r="CY90" s="160">
        <f t="shared" si="4494"/>
        <v>5516</v>
      </c>
      <c r="CZ90" s="161" t="str">
        <f t="shared" si="4495"/>
        <v/>
      </c>
      <c r="DA90" s="160">
        <f t="shared" si="4494"/>
        <v>0</v>
      </c>
      <c r="DB90" s="161" t="str">
        <f t="shared" si="4495"/>
        <v/>
      </c>
      <c r="DC90" s="160">
        <f t="shared" si="4494"/>
        <v>0</v>
      </c>
      <c r="DD90" s="161" t="str">
        <f t="shared" si="4495"/>
        <v/>
      </c>
      <c r="DE90" s="160">
        <f t="shared" si="4494"/>
        <v>754</v>
      </c>
      <c r="DF90" s="161" t="str">
        <f t="shared" si="4495"/>
        <v/>
      </c>
      <c r="DG90" s="160">
        <f t="shared" si="4494"/>
        <v>0</v>
      </c>
      <c r="DH90" s="161" t="str">
        <f t="shared" si="4495"/>
        <v/>
      </c>
      <c r="DI90" s="160">
        <f t="shared" si="4494"/>
        <v>0</v>
      </c>
      <c r="DJ90" s="161" t="str">
        <f t="shared" si="4495"/>
        <v/>
      </c>
      <c r="DK90" s="160">
        <f t="shared" si="4494"/>
        <v>0</v>
      </c>
      <c r="DL90" s="161" t="str">
        <f t="shared" si="4495"/>
        <v/>
      </c>
      <c r="DM90" s="160">
        <f t="shared" si="4494"/>
        <v>0</v>
      </c>
      <c r="DN90" s="161" t="str">
        <f t="shared" si="4495"/>
        <v/>
      </c>
      <c r="DO90" s="160">
        <f t="shared" si="4494"/>
        <v>7244</v>
      </c>
      <c r="DP90" s="161" t="str">
        <f t="shared" si="4495"/>
        <v/>
      </c>
      <c r="DQ90" s="160">
        <f t="shared" si="4494"/>
        <v>4068</v>
      </c>
      <c r="DR90" s="161" t="str">
        <f t="shared" si="4495"/>
        <v/>
      </c>
      <c r="DS90" s="160">
        <f t="shared" si="4532"/>
        <v>6871.5</v>
      </c>
      <c r="DT90" s="161" t="str">
        <f t="shared" si="4533"/>
        <v/>
      </c>
      <c r="DU90" s="160">
        <f t="shared" si="4532"/>
        <v>0</v>
      </c>
      <c r="DV90" s="161" t="str">
        <f t="shared" si="4533"/>
        <v/>
      </c>
      <c r="DW90" s="160">
        <f t="shared" si="4532"/>
        <v>0</v>
      </c>
      <c r="DX90" s="161" t="str">
        <f t="shared" si="4533"/>
        <v/>
      </c>
      <c r="DY90" s="160">
        <f t="shared" si="4532"/>
        <v>0</v>
      </c>
      <c r="DZ90" s="161" t="str">
        <f t="shared" si="4533"/>
        <v/>
      </c>
      <c r="EA90" s="160">
        <f t="shared" si="4532"/>
        <v>0</v>
      </c>
      <c r="EB90" s="161" t="str">
        <f t="shared" si="4533"/>
        <v/>
      </c>
      <c r="EC90" s="160">
        <f t="shared" si="4532"/>
        <v>0</v>
      </c>
      <c r="ED90" s="161" t="str">
        <f t="shared" si="4533"/>
        <v/>
      </c>
      <c r="EE90" s="160">
        <f t="shared" si="4532"/>
        <v>0</v>
      </c>
      <c r="EF90" s="161" t="str">
        <f t="shared" si="4533"/>
        <v/>
      </c>
      <c r="EG90" s="160">
        <f t="shared" si="4532"/>
        <v>0</v>
      </c>
      <c r="EH90" s="161" t="str">
        <f t="shared" si="4533"/>
        <v/>
      </c>
      <c r="EI90" s="160">
        <f t="shared" si="4532"/>
        <v>0</v>
      </c>
      <c r="EJ90" s="161" t="str">
        <f t="shared" si="4533"/>
        <v/>
      </c>
      <c r="EK90" s="160">
        <f t="shared" si="4532"/>
        <v>0</v>
      </c>
      <c r="EL90" s="161" t="str">
        <f t="shared" si="4533"/>
        <v/>
      </c>
      <c r="EM90" s="160">
        <f t="shared" si="4532"/>
        <v>0</v>
      </c>
      <c r="EN90" s="161" t="str">
        <f t="shared" si="4533"/>
        <v/>
      </c>
      <c r="EO90" s="160">
        <f t="shared" si="4532"/>
        <v>10832.4</v>
      </c>
      <c r="EP90" s="161" t="str">
        <f t="shared" si="4533"/>
        <v/>
      </c>
      <c r="EQ90" s="160">
        <f t="shared" si="4532"/>
        <v>0</v>
      </c>
      <c r="ER90" s="161" t="str">
        <f t="shared" si="4533"/>
        <v/>
      </c>
      <c r="ES90" s="160">
        <f t="shared" ref="ES90" si="4683">SUM(ES50,ES62,ES74,ES86)</f>
        <v>5257.1</v>
      </c>
      <c r="ET90" s="161" t="str">
        <f>IFERROR((ET50*ES50+ES62*ET62+ES74*ET74+ES86*ET86)/ES90,"")</f>
        <v/>
      </c>
      <c r="EU90" s="160">
        <f t="shared" si="4532"/>
        <v>4302.1000000000004</v>
      </c>
      <c r="EV90" s="161" t="str">
        <f t="shared" si="4533"/>
        <v/>
      </c>
      <c r="EW90" s="160">
        <f t="shared" ref="EW90" si="4684">SUM(EW50,EW62,EW74,EW86)</f>
        <v>0</v>
      </c>
      <c r="EX90" s="161" t="str">
        <f t="shared" si="4563"/>
        <v/>
      </c>
      <c r="EY90" s="160">
        <f t="shared" si="4532"/>
        <v>0</v>
      </c>
      <c r="EZ90" s="161" t="str">
        <f t="shared" si="4533"/>
        <v/>
      </c>
      <c r="FA90" s="160">
        <f t="shared" si="4532"/>
        <v>4278</v>
      </c>
      <c r="FB90" s="161" t="str">
        <f t="shared" si="4533"/>
        <v/>
      </c>
      <c r="FC90" s="160">
        <f t="shared" si="4568"/>
        <v>2821.8</v>
      </c>
      <c r="FD90" s="161" t="str">
        <f t="shared" si="4569"/>
        <v/>
      </c>
      <c r="FE90" s="160">
        <f t="shared" si="4568"/>
        <v>16046.699999999999</v>
      </c>
      <c r="FF90" s="161" t="str">
        <f t="shared" si="4569"/>
        <v/>
      </c>
      <c r="FG90" s="160">
        <f t="shared" si="4568"/>
        <v>2664</v>
      </c>
      <c r="FH90" s="161" t="str">
        <f t="shared" si="4569"/>
        <v/>
      </c>
      <c r="FI90" s="160">
        <f t="shared" si="4568"/>
        <v>0</v>
      </c>
      <c r="FJ90" s="161" t="str">
        <f t="shared" si="4569"/>
        <v/>
      </c>
      <c r="FK90" s="160">
        <f t="shared" si="4568"/>
        <v>68</v>
      </c>
      <c r="FL90" s="161" t="str">
        <f t="shared" si="4569"/>
        <v/>
      </c>
      <c r="FM90" s="160">
        <f t="shared" si="4568"/>
        <v>0</v>
      </c>
      <c r="FN90" s="161" t="str">
        <f t="shared" si="4569"/>
        <v/>
      </c>
      <c r="FO90" s="160">
        <f t="shared" si="4568"/>
        <v>0</v>
      </c>
      <c r="FP90" s="161" t="str">
        <f t="shared" si="4569"/>
        <v/>
      </c>
      <c r="FQ90" s="160">
        <f t="shared" si="4568"/>
        <v>0</v>
      </c>
      <c r="FR90" s="161" t="str">
        <f t="shared" si="4569"/>
        <v/>
      </c>
      <c r="FS90" s="160">
        <f t="shared" si="4568"/>
        <v>0</v>
      </c>
      <c r="FT90" s="161" t="str">
        <f t="shared" si="4569"/>
        <v/>
      </c>
      <c r="FU90" s="160">
        <f t="shared" si="4568"/>
        <v>0</v>
      </c>
      <c r="FV90" s="161" t="str">
        <f t="shared" si="4569"/>
        <v/>
      </c>
      <c r="FW90" s="160">
        <f t="shared" si="4568"/>
        <v>0</v>
      </c>
      <c r="FX90" s="161" t="str">
        <f t="shared" si="4569"/>
        <v/>
      </c>
      <c r="FY90" s="160">
        <f t="shared" si="4568"/>
        <v>0</v>
      </c>
      <c r="FZ90" s="161" t="str">
        <f t="shared" si="4569"/>
        <v/>
      </c>
      <c r="GA90" s="160">
        <f t="shared" si="4568"/>
        <v>0</v>
      </c>
      <c r="GB90" s="161" t="str">
        <f t="shared" si="4569"/>
        <v/>
      </c>
      <c r="GC90" s="160">
        <f t="shared" si="4568"/>
        <v>0</v>
      </c>
      <c r="GD90" s="161" t="str">
        <f t="shared" si="4569"/>
        <v/>
      </c>
      <c r="GE90" s="160">
        <f t="shared" si="4568"/>
        <v>0</v>
      </c>
      <c r="GF90" s="161" t="str">
        <f t="shared" si="4569"/>
        <v/>
      </c>
      <c r="GG90" s="160">
        <f t="shared" si="4568"/>
        <v>0</v>
      </c>
      <c r="GH90" s="161" t="str">
        <f t="shared" si="4569"/>
        <v/>
      </c>
      <c r="GI90" s="160">
        <f t="shared" si="4600"/>
        <v>0</v>
      </c>
      <c r="GJ90" s="161" t="str">
        <f t="shared" si="4601"/>
        <v/>
      </c>
      <c r="GK90" s="160">
        <f t="shared" si="4600"/>
        <v>0</v>
      </c>
      <c r="GL90" s="161" t="str">
        <f t="shared" si="4601"/>
        <v/>
      </c>
      <c r="GM90" s="160">
        <f t="shared" si="4600"/>
        <v>0</v>
      </c>
      <c r="GN90" s="161" t="str">
        <f t="shared" si="4601"/>
        <v/>
      </c>
      <c r="GO90" s="160">
        <f t="shared" si="4600"/>
        <v>0</v>
      </c>
      <c r="GP90" s="161" t="str">
        <f t="shared" si="4601"/>
        <v/>
      </c>
      <c r="GQ90" s="160">
        <f t="shared" si="4600"/>
        <v>0</v>
      </c>
      <c r="GR90" s="161" t="str">
        <f t="shared" si="4601"/>
        <v/>
      </c>
      <c r="GS90" s="160">
        <f t="shared" si="4600"/>
        <v>0</v>
      </c>
      <c r="GT90" s="161" t="str">
        <f t="shared" si="4601"/>
        <v/>
      </c>
      <c r="GU90" s="160">
        <f t="shared" si="4600"/>
        <v>0</v>
      </c>
      <c r="GV90" s="161" t="str">
        <f t="shared" si="4601"/>
        <v/>
      </c>
      <c r="GW90" s="160">
        <f t="shared" si="4600"/>
        <v>0</v>
      </c>
      <c r="GX90" s="161" t="str">
        <f t="shared" si="4601"/>
        <v/>
      </c>
      <c r="GY90" s="160">
        <f t="shared" si="4600"/>
        <v>0</v>
      </c>
      <c r="GZ90" s="161" t="str">
        <f t="shared" si="4601"/>
        <v/>
      </c>
      <c r="HA90" s="160">
        <f t="shared" si="4600"/>
        <v>0</v>
      </c>
      <c r="HB90" s="161" t="str">
        <f t="shared" si="4601"/>
        <v/>
      </c>
      <c r="HC90" s="160">
        <f t="shared" si="4600"/>
        <v>0</v>
      </c>
      <c r="HD90" s="161" t="str">
        <f t="shared" si="4601"/>
        <v/>
      </c>
      <c r="HE90" s="160">
        <f t="shared" si="4600"/>
        <v>0</v>
      </c>
      <c r="HF90" s="161" t="str">
        <f t="shared" si="4601"/>
        <v/>
      </c>
      <c r="HG90" s="160">
        <f t="shared" si="4600"/>
        <v>0</v>
      </c>
      <c r="HH90" s="161" t="str">
        <f t="shared" si="4601"/>
        <v/>
      </c>
      <c r="HI90" s="160">
        <f t="shared" si="4600"/>
        <v>0</v>
      </c>
      <c r="HJ90" s="161" t="str">
        <f t="shared" si="4601"/>
        <v/>
      </c>
      <c r="HK90" s="160">
        <f t="shared" si="4600"/>
        <v>0</v>
      </c>
      <c r="HL90" s="161" t="str">
        <f t="shared" si="4601"/>
        <v/>
      </c>
      <c r="HM90" s="160">
        <f t="shared" si="4600"/>
        <v>0</v>
      </c>
      <c r="HN90" s="161" t="str">
        <f t="shared" si="4601"/>
        <v/>
      </c>
      <c r="HO90" s="160">
        <f t="shared" si="4632"/>
        <v>0</v>
      </c>
      <c r="HP90" s="161" t="str">
        <f t="shared" si="4633"/>
        <v/>
      </c>
      <c r="HQ90" s="160">
        <f t="shared" si="4632"/>
        <v>0</v>
      </c>
      <c r="HR90" s="161" t="str">
        <f t="shared" si="4633"/>
        <v/>
      </c>
      <c r="HS90" s="160">
        <f t="shared" si="4632"/>
        <v>0</v>
      </c>
      <c r="HT90" s="161" t="str">
        <f t="shared" si="4633"/>
        <v/>
      </c>
      <c r="HU90" s="160">
        <f t="shared" si="4632"/>
        <v>0</v>
      </c>
      <c r="HV90" s="161" t="str">
        <f t="shared" si="4633"/>
        <v/>
      </c>
      <c r="HW90" s="160">
        <f t="shared" si="4632"/>
        <v>0</v>
      </c>
      <c r="HX90" s="161" t="str">
        <f t="shared" si="4633"/>
        <v/>
      </c>
      <c r="HY90" s="160">
        <f t="shared" si="4632"/>
        <v>0</v>
      </c>
      <c r="HZ90" s="161" t="str">
        <f t="shared" si="4633"/>
        <v/>
      </c>
      <c r="IA90" s="160">
        <f t="shared" si="4632"/>
        <v>0</v>
      </c>
      <c r="IB90" s="161" t="str">
        <f t="shared" si="4633"/>
        <v/>
      </c>
      <c r="IC90" s="160">
        <f t="shared" si="4632"/>
        <v>0</v>
      </c>
      <c r="ID90" s="161" t="str">
        <f t="shared" si="4633"/>
        <v/>
      </c>
      <c r="IE90" s="160">
        <f t="shared" si="4632"/>
        <v>0</v>
      </c>
      <c r="IF90" s="161" t="str">
        <f t="shared" si="4633"/>
        <v/>
      </c>
      <c r="IG90" s="160">
        <f t="shared" si="4632"/>
        <v>0</v>
      </c>
      <c r="IH90" s="161" t="str">
        <f t="shared" si="4633"/>
        <v/>
      </c>
      <c r="II90" s="160">
        <f t="shared" si="4632"/>
        <v>0</v>
      </c>
      <c r="IJ90" s="161" t="str">
        <f t="shared" si="4633"/>
        <v/>
      </c>
      <c r="IK90" s="160">
        <f t="shared" si="4632"/>
        <v>0</v>
      </c>
      <c r="IL90" s="161" t="str">
        <f t="shared" si="4633"/>
        <v/>
      </c>
      <c r="IM90" s="160">
        <f t="shared" si="4632"/>
        <v>0</v>
      </c>
      <c r="IN90" s="161" t="str">
        <f t="shared" si="4633"/>
        <v/>
      </c>
      <c r="IO90" s="160">
        <f t="shared" si="4632"/>
        <v>0</v>
      </c>
      <c r="IP90" s="161" t="str">
        <f t="shared" si="4633"/>
        <v/>
      </c>
      <c r="IQ90" s="160">
        <f t="shared" si="4632"/>
        <v>0</v>
      </c>
      <c r="IR90" s="161" t="str">
        <f t="shared" si="4633"/>
        <v/>
      </c>
      <c r="IS90" s="160">
        <f t="shared" si="4632"/>
        <v>0</v>
      </c>
      <c r="IT90" s="161" t="str">
        <f t="shared" si="4633"/>
        <v/>
      </c>
      <c r="IU90" s="160">
        <f t="shared" si="4632"/>
        <v>0</v>
      </c>
      <c r="IV90" s="161" t="str">
        <f t="shared" si="4633"/>
        <v/>
      </c>
      <c r="IW90" s="160">
        <f t="shared" si="4632"/>
        <v>0</v>
      </c>
      <c r="IX90" s="161" t="str">
        <f t="shared" si="4633"/>
        <v/>
      </c>
      <c r="IY90" s="160">
        <f t="shared" si="4632"/>
        <v>0</v>
      </c>
      <c r="IZ90" s="161" t="str">
        <f t="shared" si="4633"/>
        <v/>
      </c>
    </row>
    <row r="91" spans="1:260" x14ac:dyDescent="0.25">
      <c r="DN91" s="174"/>
      <c r="FP91" s="174"/>
      <c r="FR91" s="174"/>
      <c r="HD91" s="174"/>
    </row>
    <row r="121" spans="13:13" x14ac:dyDescent="0.25">
      <c r="M121">
        <v>3033</v>
      </c>
    </row>
    <row r="122" spans="13:13" x14ac:dyDescent="0.25">
      <c r="M122">
        <v>1.81</v>
      </c>
    </row>
    <row r="131" spans="13:13" x14ac:dyDescent="0.25">
      <c r="M131">
        <v>351</v>
      </c>
    </row>
    <row r="132" spans="13:13" x14ac:dyDescent="0.25">
      <c r="M132">
        <v>1.82</v>
      </c>
    </row>
    <row r="137" spans="13:13" x14ac:dyDescent="0.25">
      <c r="M137">
        <v>1908</v>
      </c>
    </row>
    <row r="138" spans="13:13" x14ac:dyDescent="0.25">
      <c r="M138">
        <v>0.92</v>
      </c>
    </row>
    <row r="139" spans="13:13" x14ac:dyDescent="0.25">
      <c r="M139">
        <v>1947</v>
      </c>
    </row>
    <row r="140" spans="13:13" x14ac:dyDescent="0.25">
      <c r="M140">
        <v>0.53</v>
      </c>
    </row>
    <row r="147" spans="13:13" x14ac:dyDescent="0.25">
      <c r="M147">
        <v>2921</v>
      </c>
    </row>
    <row r="148" spans="13:13" x14ac:dyDescent="0.25">
      <c r="M148">
        <v>2.83</v>
      </c>
    </row>
    <row r="151" spans="13:13" x14ac:dyDescent="0.25">
      <c r="M151">
        <v>1947</v>
      </c>
    </row>
    <row r="152" spans="13:13" x14ac:dyDescent="0.25">
      <c r="M152">
        <v>3.06</v>
      </c>
    </row>
    <row r="153" spans="13:13" x14ac:dyDescent="0.25">
      <c r="M153">
        <v>1807</v>
      </c>
    </row>
    <row r="154" spans="13:13" x14ac:dyDescent="0.25">
      <c r="M154">
        <v>1.57</v>
      </c>
    </row>
    <row r="155" spans="13:13" x14ac:dyDescent="0.25">
      <c r="M155">
        <v>1947</v>
      </c>
    </row>
    <row r="156" spans="13:13" x14ac:dyDescent="0.25">
      <c r="M156">
        <v>2.7</v>
      </c>
    </row>
    <row r="159" spans="13:13" x14ac:dyDescent="0.25">
      <c r="M159">
        <v>1947</v>
      </c>
    </row>
    <row r="160" spans="13:13" x14ac:dyDescent="0.25">
      <c r="M160">
        <v>3.63</v>
      </c>
    </row>
    <row r="161" spans="13:13" x14ac:dyDescent="0.25">
      <c r="M161">
        <v>1947</v>
      </c>
    </row>
    <row r="162" spans="13:13" x14ac:dyDescent="0.25">
      <c r="M162">
        <v>2.87</v>
      </c>
    </row>
  </sheetData>
  <mergeCells count="162">
    <mergeCell ref="IS1:IT1"/>
    <mergeCell ref="IU1:IV1"/>
    <mergeCell ref="IW1:IX1"/>
    <mergeCell ref="IY1:IZ1"/>
    <mergeCell ref="E1:F1"/>
    <mergeCell ref="G1:H1"/>
    <mergeCell ref="I1:J1"/>
    <mergeCell ref="K1:L1"/>
    <mergeCell ref="IG1:IH1"/>
    <mergeCell ref="II1:IJ1"/>
    <mergeCell ref="IK1:IL1"/>
    <mergeCell ref="IM1:IN1"/>
    <mergeCell ref="IO1:IP1"/>
    <mergeCell ref="IQ1:IR1"/>
    <mergeCell ref="HU1:HV1"/>
    <mergeCell ref="HW1:HX1"/>
    <mergeCell ref="HY1:HZ1"/>
    <mergeCell ref="IA1:IB1"/>
    <mergeCell ref="IC1:ID1"/>
    <mergeCell ref="IE1:IF1"/>
    <mergeCell ref="HI1:HJ1"/>
    <mergeCell ref="HK1:HL1"/>
    <mergeCell ref="HM1:HN1"/>
    <mergeCell ref="HO1:HP1"/>
    <mergeCell ref="HQ1:HR1"/>
    <mergeCell ref="HS1:HT1"/>
    <mergeCell ref="GW1:GX1"/>
    <mergeCell ref="GY1:GZ1"/>
    <mergeCell ref="HA1:HB1"/>
    <mergeCell ref="HC1:HD1"/>
    <mergeCell ref="HE1:HF1"/>
    <mergeCell ref="HG1:HH1"/>
    <mergeCell ref="GK1:GL1"/>
    <mergeCell ref="GM1:GN1"/>
    <mergeCell ref="GO1:GP1"/>
    <mergeCell ref="GQ1:GR1"/>
    <mergeCell ref="GS1:GT1"/>
    <mergeCell ref="GU1:GV1"/>
    <mergeCell ref="GG1:GH1"/>
    <mergeCell ref="GI1:GJ1"/>
    <mergeCell ref="EY1:EZ1"/>
    <mergeCell ref="FO1:FP1"/>
    <mergeCell ref="FQ1:FR1"/>
    <mergeCell ref="FS1:FT1"/>
    <mergeCell ref="FU1:FV1"/>
    <mergeCell ref="FW1:FX1"/>
    <mergeCell ref="FM1:FN1"/>
    <mergeCell ref="FG1:FH1"/>
    <mergeCell ref="FI1:FJ1"/>
    <mergeCell ref="FK1:FL1"/>
    <mergeCell ref="FA1:FB1"/>
    <mergeCell ref="FC1:FD1"/>
    <mergeCell ref="FE1:FF1"/>
    <mergeCell ref="A21:A22"/>
    <mergeCell ref="A23:A24"/>
    <mergeCell ref="A3:A4"/>
    <mergeCell ref="A5:A6"/>
    <mergeCell ref="A7:A8"/>
    <mergeCell ref="FY1:FZ1"/>
    <mergeCell ref="GA1:GB1"/>
    <mergeCell ref="GC1:GD1"/>
    <mergeCell ref="GE1:GF1"/>
    <mergeCell ref="DO1:DP1"/>
    <mergeCell ref="DQ1:DR1"/>
    <mergeCell ref="CU1:CV1"/>
    <mergeCell ref="CW1:CX1"/>
    <mergeCell ref="EW1:EX1"/>
    <mergeCell ref="ES1:ET1"/>
    <mergeCell ref="EK1:EL1"/>
    <mergeCell ref="EM1:EN1"/>
    <mergeCell ref="EU1:EV1"/>
    <mergeCell ref="CM1:CN1"/>
    <mergeCell ref="CO1:CP1"/>
    <mergeCell ref="CQ1:CR1"/>
    <mergeCell ref="CY1:CZ1"/>
    <mergeCell ref="DA1:DB1"/>
    <mergeCell ref="CI1:CJ1"/>
    <mergeCell ref="A45:A47"/>
    <mergeCell ref="A51:A53"/>
    <mergeCell ref="A54:A56"/>
    <mergeCell ref="A57:A59"/>
    <mergeCell ref="A48:A50"/>
    <mergeCell ref="A60:A62"/>
    <mergeCell ref="A72:A74"/>
    <mergeCell ref="EE1:EF1"/>
    <mergeCell ref="EG1:EH1"/>
    <mergeCell ref="A63:A65"/>
    <mergeCell ref="A66:A68"/>
    <mergeCell ref="A69:A71"/>
    <mergeCell ref="A25:A26"/>
    <mergeCell ref="A27:A28"/>
    <mergeCell ref="A29:A30"/>
    <mergeCell ref="A31:A32"/>
    <mergeCell ref="A33:A34"/>
    <mergeCell ref="A36:A37"/>
    <mergeCell ref="A13:A14"/>
    <mergeCell ref="A15:A16"/>
    <mergeCell ref="A17:A18"/>
    <mergeCell ref="A19:A20"/>
    <mergeCell ref="DM1:DN1"/>
    <mergeCell ref="CG1:CH1"/>
    <mergeCell ref="EQ1:ER1"/>
    <mergeCell ref="DW1:DX1"/>
    <mergeCell ref="DY1:DZ1"/>
    <mergeCell ref="EA1:EB1"/>
    <mergeCell ref="EC1:ED1"/>
    <mergeCell ref="EI1:EJ1"/>
    <mergeCell ref="BU1:BV1"/>
    <mergeCell ref="BW1:BX1"/>
    <mergeCell ref="BY1:BZ1"/>
    <mergeCell ref="CA1:CB1"/>
    <mergeCell ref="CC1:CD1"/>
    <mergeCell ref="CE1:CF1"/>
    <mergeCell ref="CK1:CL1"/>
    <mergeCell ref="DC1:DD1"/>
    <mergeCell ref="DE1:DF1"/>
    <mergeCell ref="DG1:DH1"/>
    <mergeCell ref="DI1:DJ1"/>
    <mergeCell ref="DK1:DL1"/>
    <mergeCell ref="DS1:DT1"/>
    <mergeCell ref="DU1:DV1"/>
    <mergeCell ref="EO1:EP1"/>
    <mergeCell ref="CS1:CT1"/>
    <mergeCell ref="AM1:AN1"/>
    <mergeCell ref="BK1:BL1"/>
    <mergeCell ref="BM1:BN1"/>
    <mergeCell ref="BO1:BP1"/>
    <mergeCell ref="BQ1:BR1"/>
    <mergeCell ref="BS1:BT1"/>
    <mergeCell ref="AU1:AV1"/>
    <mergeCell ref="AW1:AX1"/>
    <mergeCell ref="AY1:AZ1"/>
    <mergeCell ref="BA1:BB1"/>
    <mergeCell ref="BC1:BD1"/>
    <mergeCell ref="BE1:BF1"/>
    <mergeCell ref="BG1:BH1"/>
    <mergeCell ref="BI1:BJ1"/>
    <mergeCell ref="AS1:AT1"/>
    <mergeCell ref="A84:A86"/>
    <mergeCell ref="A88:A90"/>
    <mergeCell ref="Y1:Z1"/>
    <mergeCell ref="AA1:AB1"/>
    <mergeCell ref="AO1:AP1"/>
    <mergeCell ref="AQ1:AR1"/>
    <mergeCell ref="AG1:AH1"/>
    <mergeCell ref="AI1:AJ1"/>
    <mergeCell ref="M1:N1"/>
    <mergeCell ref="O1:P1"/>
    <mergeCell ref="Q1:R1"/>
    <mergeCell ref="S1:T1"/>
    <mergeCell ref="U1:V1"/>
    <mergeCell ref="W1:X1"/>
    <mergeCell ref="A9:A10"/>
    <mergeCell ref="A11:A12"/>
    <mergeCell ref="AC1:AD1"/>
    <mergeCell ref="AE1:AF1"/>
    <mergeCell ref="AK1:AL1"/>
    <mergeCell ref="A75:A77"/>
    <mergeCell ref="A78:A80"/>
    <mergeCell ref="A81:A83"/>
    <mergeCell ref="A42:A44"/>
    <mergeCell ref="A39:A4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4C074-2666-4B06-985C-630C4E5430EF}">
  <sheetPr codeName="Sheet6"/>
  <dimension ref="B1:AN151"/>
  <sheetViews>
    <sheetView topLeftCell="A106" zoomScaleNormal="100" workbookViewId="0">
      <selection activeCell="E85" sqref="E85"/>
    </sheetView>
  </sheetViews>
  <sheetFormatPr defaultRowHeight="15" x14ac:dyDescent="0.25"/>
  <cols>
    <col min="2" max="2" width="11.42578125" bestFit="1" customWidth="1"/>
    <col min="3" max="6" width="9.5703125" customWidth="1"/>
    <col min="9" max="9" width="9.28515625" bestFit="1" customWidth="1"/>
    <col min="10" max="11" width="9.5703125" customWidth="1"/>
    <col min="13" max="13" width="11.85546875" bestFit="1" customWidth="1"/>
    <col min="15" max="15" width="12" customWidth="1"/>
    <col min="16" max="16" width="10.28515625" bestFit="1" customWidth="1"/>
    <col min="17" max="17" width="11.28515625" bestFit="1" customWidth="1"/>
    <col min="19" max="20" width="10.28515625" bestFit="1" customWidth="1"/>
    <col min="21" max="21" width="11.42578125" bestFit="1" customWidth="1"/>
    <col min="22" max="23" width="9" customWidth="1"/>
    <col min="34" max="34" width="12.28515625" customWidth="1"/>
    <col min="35" max="35" width="10" bestFit="1" customWidth="1"/>
    <col min="36" max="37" width="10" customWidth="1"/>
    <col min="38" max="38" width="10" bestFit="1" customWidth="1"/>
  </cols>
  <sheetData>
    <row r="1" spans="2:10" x14ac:dyDescent="0.25">
      <c r="B1" s="71" t="s">
        <v>221</v>
      </c>
    </row>
    <row r="2" spans="2:10" x14ac:dyDescent="0.25">
      <c r="B2" s="71" t="s">
        <v>222</v>
      </c>
    </row>
    <row r="3" spans="2:10" ht="15.75" thickBot="1" x14ac:dyDescent="0.3"/>
    <row r="4" spans="2:10" x14ac:dyDescent="0.25">
      <c r="B4" s="1597" t="s">
        <v>223</v>
      </c>
      <c r="C4" s="1598"/>
      <c r="D4" s="1598"/>
      <c r="E4" s="1598"/>
      <c r="F4" s="1598"/>
      <c r="G4" s="1598"/>
      <c r="H4" s="1598"/>
      <c r="I4" s="1599"/>
      <c r="J4" s="1600"/>
    </row>
    <row r="5" spans="2:10" ht="28.5" customHeight="1" x14ac:dyDescent="0.25">
      <c r="B5" s="1220" t="s">
        <v>224</v>
      </c>
      <c r="C5" s="1221" t="s">
        <v>225</v>
      </c>
      <c r="D5" s="1221" t="s">
        <v>64</v>
      </c>
      <c r="E5" s="1221" t="s">
        <v>226</v>
      </c>
      <c r="F5" s="1221" t="s">
        <v>65</v>
      </c>
      <c r="G5" s="1221" t="s">
        <v>227</v>
      </c>
      <c r="H5" s="1221" t="s">
        <v>66</v>
      </c>
      <c r="I5" s="1222" t="s">
        <v>228</v>
      </c>
      <c r="J5" s="1223" t="s">
        <v>229</v>
      </c>
    </row>
    <row r="6" spans="2:10" x14ac:dyDescent="0.25">
      <c r="B6" s="1224" t="s">
        <v>125</v>
      </c>
      <c r="C6" s="1225">
        <f>'STOPE SUMMARY (OLD)'!AM73</f>
        <v>6510</v>
      </c>
      <c r="D6" s="1225">
        <f>'STOPE SUMMARY (OLD)'!AN73</f>
        <v>6179</v>
      </c>
      <c r="E6" s="1226">
        <f>'STOPE SUMMARY (OLD)'!AM74</f>
        <v>2.4399999999999982</v>
      </c>
      <c r="F6" s="1226">
        <f>'STOPE SUMMARY (OLD)'!AN74</f>
        <v>3.2601958245670826</v>
      </c>
      <c r="G6" s="1227">
        <f>C6*E6/1000</f>
        <v>15.884399999999989</v>
      </c>
      <c r="H6" s="1227">
        <f>D6*F6/1000</f>
        <v>20.144750000000002</v>
      </c>
      <c r="I6" s="1228">
        <f>IFERROR(J6/H6,"")</f>
        <v>17069.119500460925</v>
      </c>
      <c r="J6" s="1229">
        <f>D6*Assumptions!$D$16</f>
        <v>343853.14505691029</v>
      </c>
    </row>
    <row r="7" spans="2:10" x14ac:dyDescent="0.25">
      <c r="B7" s="1224" t="s">
        <v>129</v>
      </c>
      <c r="C7" s="1225">
        <f>'STOPE SUMMARY (OLD)'!AM75</f>
        <v>1085</v>
      </c>
      <c r="D7" s="1225">
        <f>'STOPE SUMMARY (OLD)'!AN75</f>
        <v>1458</v>
      </c>
      <c r="E7" s="1226">
        <f>'STOPE SUMMARY (OLD)'!AM76</f>
        <v>2.1199999999999997</v>
      </c>
      <c r="F7" s="1226">
        <f>'STOPE SUMMARY (OLD)'!AN76</f>
        <v>1.2119204389574763</v>
      </c>
      <c r="G7" s="1227">
        <f t="shared" ref="G7:G15" si="0">C7*E7/1000</f>
        <v>2.3001999999999998</v>
      </c>
      <c r="H7" s="1227">
        <f t="shared" ref="H7:H15" si="1">D7*F7/1000</f>
        <v>1.7669800000000004</v>
      </c>
      <c r="I7" s="1228">
        <f t="shared" ref="I7:I15" si="2">IFERROR(J7/H7,"")</f>
        <v>45917.760222205376</v>
      </c>
      <c r="J7" s="1229">
        <f>D7*Assumptions!$D$16</f>
        <v>81135.763957432471</v>
      </c>
    </row>
    <row r="8" spans="2:10" x14ac:dyDescent="0.25">
      <c r="B8" s="1224" t="s">
        <v>132</v>
      </c>
      <c r="C8" s="1225">
        <f>'STOPE SUMMARY (OLD)'!AM81</f>
        <v>1085</v>
      </c>
      <c r="D8" s="1225">
        <f>'STOPE SUMMARY (OLD)'!AN81</f>
        <v>754</v>
      </c>
      <c r="E8" s="1226">
        <f>'STOPE SUMMARY (OLD)'!AM82</f>
        <v>1.8599999999999994</v>
      </c>
      <c r="F8" s="1226">
        <f>'STOPE SUMMARY (OLD)'!AN82</f>
        <v>0.46722811671087527</v>
      </c>
      <c r="G8" s="1227">
        <f t="shared" si="0"/>
        <v>2.0180999999999996</v>
      </c>
      <c r="H8" s="1227">
        <f t="shared" si="1"/>
        <v>0.35228999999999994</v>
      </c>
      <c r="I8" s="1228">
        <f>IFERROR(J8/H8,"")</f>
        <v>119103.85983657562</v>
      </c>
      <c r="J8" s="1229">
        <f>D8*Assumptions!$D$16</f>
        <v>41959.098781827219</v>
      </c>
    </row>
    <row r="9" spans="2:10" x14ac:dyDescent="0.25">
      <c r="B9" s="1224" t="s">
        <v>230</v>
      </c>
      <c r="C9" s="1225">
        <f>'STOPE SUMMARY (OLD)'!AM91</f>
        <v>4060</v>
      </c>
      <c r="D9" s="1225">
        <f>'STOPE SUMMARY (OLD)'!AN91</f>
        <v>4555</v>
      </c>
      <c r="E9" s="1226">
        <f>'STOPE SUMMARY (OLD)'!AM92</f>
        <v>2.0099999999999993</v>
      </c>
      <c r="F9" s="1226">
        <f>'STOPE SUMMARY (OLD)'!AN92</f>
        <v>1.8785049396267839</v>
      </c>
      <c r="G9" s="1227">
        <f t="shared" si="0"/>
        <v>8.160599999999997</v>
      </c>
      <c r="H9" s="1227">
        <f t="shared" si="1"/>
        <v>8.5565899999999999</v>
      </c>
      <c r="I9" s="1228">
        <f t="shared" si="2"/>
        <v>29623.915780330823</v>
      </c>
      <c r="J9" s="1229">
        <f>D9*Assumptions!$D$16</f>
        <v>253479.70152682092</v>
      </c>
    </row>
    <row r="10" spans="2:10" x14ac:dyDescent="0.25">
      <c r="B10" s="1224" t="s">
        <v>231</v>
      </c>
      <c r="C10" s="1225">
        <f>'STOPE SUMMARY (OLD)'!AM97</f>
        <v>3255</v>
      </c>
      <c r="D10" s="1225">
        <f>'STOPE SUMMARY (OLD)'!AN97</f>
        <v>2609.5</v>
      </c>
      <c r="E10" s="1226">
        <f>'STOPE SUMMARY (OLD)'!AM98</f>
        <v>1.8000000000000003</v>
      </c>
      <c r="F10" s="1226">
        <f>'STOPE SUMMARY (OLD)'!AN98</f>
        <v>2.4268116497413295</v>
      </c>
      <c r="G10" s="1227">
        <f t="shared" si="0"/>
        <v>5.8590000000000009</v>
      </c>
      <c r="H10" s="1227">
        <f t="shared" si="1"/>
        <v>6.3327649999999993</v>
      </c>
      <c r="I10" s="1228">
        <f t="shared" si="2"/>
        <v>22930.775089352646</v>
      </c>
      <c r="J10" s="1229">
        <f>D10*Assumptions!$D$16</f>
        <v>145215.2099087243</v>
      </c>
    </row>
    <row r="11" spans="2:10" x14ac:dyDescent="0.25">
      <c r="B11" s="1224" t="s">
        <v>150</v>
      </c>
      <c r="C11" s="1225">
        <f>'STOPE SUMMARY (OLD)'!AM99</f>
        <v>2100</v>
      </c>
      <c r="D11" s="1225">
        <f>'STOPE SUMMARY (OLD)'!AN99</f>
        <v>2028.2</v>
      </c>
      <c r="E11" s="1226">
        <f>'STOPE SUMMARY (OLD)'!AM100</f>
        <v>3.1619999999999986</v>
      </c>
      <c r="F11" s="1226">
        <f>'STOPE SUMMARY (OLD)'!AN100</f>
        <v>3.1833892121092591</v>
      </c>
      <c r="G11" s="1227">
        <f t="shared" si="0"/>
        <v>6.6401999999999974</v>
      </c>
      <c r="H11" s="1227">
        <f t="shared" si="1"/>
        <v>6.4565499999999991</v>
      </c>
      <c r="I11" s="1228">
        <f t="shared" si="2"/>
        <v>17480.951406368378</v>
      </c>
      <c r="J11" s="1229">
        <f>D11*Assumptions!$D$16</f>
        <v>112866.63680278775</v>
      </c>
    </row>
    <row r="12" spans="2:10" x14ac:dyDescent="0.25">
      <c r="B12" s="1224" t="s">
        <v>151</v>
      </c>
      <c r="C12" s="1225">
        <f>'STOPE SUMMARY (OLD)'!AM101</f>
        <v>1050</v>
      </c>
      <c r="D12" s="1225">
        <f>'STOPE SUMMARY (OLD)'!AN101</f>
        <v>0</v>
      </c>
      <c r="E12" s="1226">
        <f>'STOPE SUMMARY (OLD)'!AM102</f>
        <v>1.0499999999999994</v>
      </c>
      <c r="F12" s="1226">
        <f>'STOPE SUMMARY (OLD)'!AN102</f>
        <v>0</v>
      </c>
      <c r="G12" s="1227">
        <f t="shared" si="0"/>
        <v>1.1024999999999994</v>
      </c>
      <c r="H12" s="1227">
        <f t="shared" si="1"/>
        <v>0</v>
      </c>
      <c r="I12" s="1228" t="str">
        <f t="shared" si="2"/>
        <v/>
      </c>
      <c r="J12" s="1229">
        <f>D12*Assumptions!$D$16</f>
        <v>0</v>
      </c>
    </row>
    <row r="13" spans="2:10" x14ac:dyDescent="0.25">
      <c r="B13" s="1224" t="s">
        <v>156</v>
      </c>
      <c r="C13" s="1225">
        <f>'STOPE SUMMARY (OLD)'!AM103</f>
        <v>1050</v>
      </c>
      <c r="D13" s="1225">
        <f>'STOPE SUMMARY (OLD)'!AN103</f>
        <v>1949</v>
      </c>
      <c r="E13" s="1226">
        <f>'STOPE SUMMARY (OLD)'!AM104</f>
        <v>2.7284999999999999</v>
      </c>
      <c r="F13" s="1226">
        <f>'STOPE SUMMARY (OLD)'!AN104</f>
        <v>2.7855515649050795</v>
      </c>
      <c r="G13" s="1227">
        <f t="shared" si="0"/>
        <v>2.8649249999999999</v>
      </c>
      <c r="H13" s="1227">
        <f t="shared" si="1"/>
        <v>5.4290399999999996</v>
      </c>
      <c r="I13" s="1228">
        <f t="shared" si="2"/>
        <v>19977.613347945891</v>
      </c>
      <c r="J13" s="1229">
        <f>D13*Assumptions!$D$16</f>
        <v>108459.26197053216</v>
      </c>
    </row>
    <row r="14" spans="2:10" x14ac:dyDescent="0.25">
      <c r="B14" s="1224" t="s">
        <v>157</v>
      </c>
      <c r="C14" s="1225">
        <f>'STOPE SUMMARY (OLD)'!AM105</f>
        <v>2100</v>
      </c>
      <c r="D14" s="1225">
        <f>'STOPE SUMMARY (OLD)'!AN105</f>
        <v>804</v>
      </c>
      <c r="E14" s="1226">
        <f>'STOPE SUMMARY (OLD)'!AM106</f>
        <v>2.1929999999999987</v>
      </c>
      <c r="F14" s="1226">
        <f>'STOPE SUMMARY (OLD)'!AN106</f>
        <v>2.6023756218905474</v>
      </c>
      <c r="G14" s="1227">
        <f t="shared" si="0"/>
        <v>4.6052999999999971</v>
      </c>
      <c r="H14" s="1227">
        <f t="shared" si="1"/>
        <v>2.0923099999999999</v>
      </c>
      <c r="I14" s="1228">
        <f t="shared" si="2"/>
        <v>21383.797041570884</v>
      </c>
      <c r="J14" s="1229">
        <f>D14*Assumptions!$D$16</f>
        <v>44741.532388049178</v>
      </c>
    </row>
    <row r="15" spans="2:10" ht="15.75" thickBot="1" x14ac:dyDescent="0.3">
      <c r="B15" s="1224" t="s">
        <v>158</v>
      </c>
      <c r="C15" s="1230">
        <f>'STOPE SUMMARY (OLD)'!AM107</f>
        <v>2100</v>
      </c>
      <c r="D15" s="1230">
        <f>'STOPE SUMMARY (OLD)'!AN107</f>
        <v>3534.5</v>
      </c>
      <c r="E15" s="1231">
        <f>'STOPE SUMMARY (OLD)'!AM108</f>
        <v>2.6604999999999994</v>
      </c>
      <c r="F15" s="1231">
        <f>'STOPE SUMMARY (OLD)'!AN108</f>
        <v>2.2162979204979485</v>
      </c>
      <c r="G15" s="1232">
        <f t="shared" si="0"/>
        <v>5.5870499999999987</v>
      </c>
      <c r="H15" s="1227">
        <f t="shared" si="1"/>
        <v>7.8335049999999988</v>
      </c>
      <c r="I15" s="1228">
        <f t="shared" si="2"/>
        <v>25108.841013547659</v>
      </c>
      <c r="J15" s="1229">
        <f>D15*Assumptions!$D$16</f>
        <v>196690.23162383062</v>
      </c>
    </row>
    <row r="16" spans="2:10" ht="15.75" thickBot="1" x14ac:dyDescent="0.3">
      <c r="B16" s="65" t="s">
        <v>232</v>
      </c>
      <c r="C16" s="70">
        <f>SUM(C6:C15)</f>
        <v>24395</v>
      </c>
      <c r="D16" s="70">
        <f>SUM(D6:D15)</f>
        <v>23871.200000000001</v>
      </c>
      <c r="E16" s="66">
        <f>SUMPRODUCT(C6:C15,E6:E15)/C16</f>
        <v>2.2554734576757522</v>
      </c>
      <c r="F16" s="66">
        <f>SUMPRODUCT(D6:D15,F6:F15)/D16</f>
        <v>2.470122155568216</v>
      </c>
      <c r="G16" s="67">
        <f>SUM(G6:G15)</f>
        <v>55.022274999999986</v>
      </c>
      <c r="H16" s="67">
        <f>SUM(H6:H15)</f>
        <v>58.964780000000005</v>
      </c>
      <c r="I16" s="68">
        <f>SUMPRODUCT(H6:H15,I6:I15)/H16</f>
        <v>22528.712597874783</v>
      </c>
      <c r="J16" s="69">
        <f>SUM(J6:J15)</f>
        <v>1328400.5820169151</v>
      </c>
    </row>
    <row r="17" spans="2:24" ht="15.75" thickBot="1" x14ac:dyDescent="0.3"/>
    <row r="18" spans="2:24" x14ac:dyDescent="0.25">
      <c r="B18" s="1601" t="s">
        <v>233</v>
      </c>
      <c r="C18" s="1602"/>
      <c r="D18" s="1602"/>
      <c r="E18" s="1602"/>
      <c r="F18" s="1602"/>
      <c r="G18" s="1602"/>
      <c r="H18" s="1602"/>
      <c r="I18" s="1602"/>
      <c r="J18" s="1602"/>
      <c r="K18" s="1603"/>
      <c r="M18" s="1601" t="s">
        <v>233</v>
      </c>
      <c r="N18" s="1602"/>
      <c r="O18" s="1602"/>
      <c r="P18" s="1602"/>
      <c r="Q18" s="1602"/>
      <c r="R18" s="1602"/>
      <c r="S18" s="1602"/>
      <c r="T18" s="1602"/>
      <c r="U18" s="1602"/>
      <c r="V18" s="1603"/>
    </row>
    <row r="19" spans="2:24" ht="45" x14ac:dyDescent="0.25">
      <c r="B19" s="1220" t="s">
        <v>224</v>
      </c>
      <c r="C19" s="1221" t="s">
        <v>225</v>
      </c>
      <c r="D19" s="1221" t="s">
        <v>64</v>
      </c>
      <c r="E19" s="1221" t="s">
        <v>226</v>
      </c>
      <c r="F19" s="1221" t="s">
        <v>65</v>
      </c>
      <c r="G19" s="1221" t="s">
        <v>227</v>
      </c>
      <c r="H19" s="1221" t="s">
        <v>66</v>
      </c>
      <c r="I19" s="1221" t="s">
        <v>228</v>
      </c>
      <c r="J19" s="1221" t="s">
        <v>229</v>
      </c>
      <c r="K19" s="1223" t="s">
        <v>234</v>
      </c>
      <c r="M19" s="1220" t="s">
        <v>224</v>
      </c>
      <c r="N19" s="1221" t="s">
        <v>225</v>
      </c>
      <c r="O19" s="1221" t="s">
        <v>64</v>
      </c>
      <c r="P19" s="1221" t="s">
        <v>226</v>
      </c>
      <c r="Q19" s="1221" t="s">
        <v>65</v>
      </c>
      <c r="R19" s="1221" t="s">
        <v>227</v>
      </c>
      <c r="S19" s="1221" t="s">
        <v>66</v>
      </c>
      <c r="T19" s="1221" t="s">
        <v>228</v>
      </c>
      <c r="U19" s="1221" t="s">
        <v>229</v>
      </c>
      <c r="V19" s="1223" t="s">
        <v>234</v>
      </c>
    </row>
    <row r="20" spans="2:24" x14ac:dyDescent="0.25">
      <c r="B20" s="1233" t="str">
        <f>'STOPE SUMMARY (OLD)'!A19</f>
        <v>3L_W23_STOPE</v>
      </c>
      <c r="C20" s="1225">
        <f>'STOPE SUMMARY (OLD)'!AP19</f>
        <v>1960</v>
      </c>
      <c r="D20" s="1225">
        <f>'STOPE SUMMARY'!Y44</f>
        <v>1564</v>
      </c>
      <c r="E20" s="1226">
        <f>'STOPE SUMMARY (OLD)'!AP20</f>
        <v>2.85</v>
      </c>
      <c r="F20" s="1226">
        <f>'STOPE SUMMARY'!Z44</f>
        <v>1.9371099744245526</v>
      </c>
      <c r="G20" s="1227">
        <f>(C20*E20/1000)*Assumptions!$G$5</f>
        <v>4.91568</v>
      </c>
      <c r="H20" s="1227">
        <f>IFERROR((D20*F20/1000)*Assumptions!$G$5,"")</f>
        <v>2.6660832000000001</v>
      </c>
      <c r="I20" s="1225">
        <f>IFERROR(J20/H20,"")</f>
        <v>32645.088946445121</v>
      </c>
      <c r="J20" s="1225">
        <f>D20*Assumptions!$D$16</f>
        <v>87034.523202623037</v>
      </c>
      <c r="K20" s="1234" t="s">
        <v>235</v>
      </c>
      <c r="M20" s="1233" t="s">
        <v>90</v>
      </c>
      <c r="N20" s="1225">
        <f>C20</f>
        <v>1960</v>
      </c>
      <c r="O20" s="1225">
        <f t="shared" ref="O20:S20" si="3">D20</f>
        <v>1564</v>
      </c>
      <c r="P20" s="1226">
        <f t="shared" si="3"/>
        <v>2.85</v>
      </c>
      <c r="Q20" s="1226">
        <f t="shared" si="3"/>
        <v>1.9371099744245526</v>
      </c>
      <c r="R20" s="1227">
        <f t="shared" si="3"/>
        <v>4.91568</v>
      </c>
      <c r="S20" s="1227">
        <f t="shared" si="3"/>
        <v>2.6660832000000001</v>
      </c>
      <c r="T20" s="1225">
        <v>38999.557749434287</v>
      </c>
      <c r="U20" s="1225">
        <v>67294.785377535256</v>
      </c>
      <c r="V20" s="1234" t="s">
        <v>236</v>
      </c>
    </row>
    <row r="21" spans="2:24" x14ac:dyDescent="0.25">
      <c r="B21" s="1235" t="str">
        <f>'STOPE SUMMARY (OLD)'!A21</f>
        <v>3L_W24_STOPE</v>
      </c>
      <c r="C21" s="1225">
        <f>'STOPE SUMMARY (OLD)'!AP21</f>
        <v>980</v>
      </c>
      <c r="D21" s="1225">
        <f>'STOPE SUMMARY'!AA44</f>
        <v>0</v>
      </c>
      <c r="E21" s="1226">
        <f>'STOPE SUMMARY (OLD)'!AP22</f>
        <v>1.81</v>
      </c>
      <c r="F21" s="1226">
        <f>'STOPE SUMMARY'!AB44</f>
        <v>0</v>
      </c>
      <c r="G21" s="1227">
        <f>(C21*E21/1000)*Assumptions!$G$5</f>
        <v>1.5609440000000001</v>
      </c>
      <c r="H21" s="1227">
        <f>IFERROR((D21*F21/1000)*Assumptions!$G$5,"")</f>
        <v>0</v>
      </c>
      <c r="I21" s="1225" t="str">
        <f t="shared" ref="I21:I30" si="4">IFERROR(J21/H21,"")</f>
        <v/>
      </c>
      <c r="J21" s="1225">
        <f>D21*Assumptions!$D$16</f>
        <v>0</v>
      </c>
      <c r="K21" s="1234" t="s">
        <v>237</v>
      </c>
      <c r="M21" s="1235" t="s">
        <v>238</v>
      </c>
      <c r="N21" s="1225">
        <f t="shared" ref="N21:N32" si="5">C21</f>
        <v>980</v>
      </c>
      <c r="O21" s="1225">
        <f t="shared" ref="O21:O32" si="6">D21</f>
        <v>0</v>
      </c>
      <c r="P21" s="1226">
        <f t="shared" ref="P21:P32" si="7">E21</f>
        <v>1.81</v>
      </c>
      <c r="Q21" s="1226">
        <f t="shared" ref="Q21:Q32" si="8">F21</f>
        <v>0</v>
      </c>
      <c r="R21" s="1227">
        <f t="shared" ref="R21:R32" si="9">G21</f>
        <v>1.5609440000000001</v>
      </c>
      <c r="S21" s="1227">
        <f t="shared" ref="S21:S32" si="10">H21</f>
        <v>0</v>
      </c>
      <c r="T21" s="1225" t="s">
        <v>217</v>
      </c>
      <c r="U21" s="1225">
        <v>0</v>
      </c>
      <c r="V21" s="1234" t="s">
        <v>237</v>
      </c>
    </row>
    <row r="22" spans="2:24" x14ac:dyDescent="0.25">
      <c r="B22" s="1233" t="str">
        <f>'STOPE SUMMARY (OLD)'!A73</f>
        <v>4L_W23A_STOPE</v>
      </c>
      <c r="C22" s="1225">
        <f>'STOPE SUMMARY (OLD)'!AP73</f>
        <v>2940</v>
      </c>
      <c r="D22" s="1225">
        <f>'STOPE SUMMARY'!CQ44</f>
        <v>5794</v>
      </c>
      <c r="E22" s="1226">
        <f>'STOPE SUMMARY (OLD)'!AP74</f>
        <v>3.54</v>
      </c>
      <c r="F22" s="1226">
        <f>'STOPE SUMMARY'!CR44</f>
        <v>2.9553227476700035</v>
      </c>
      <c r="G22" s="1227">
        <f>(C22*E22/1000)*Assumptions!$G$5</f>
        <v>9.1586879999999997</v>
      </c>
      <c r="H22" s="1227">
        <f>IFERROR((D22*F22/1000)*Assumptions!$G$5,"")</f>
        <v>15.0683632</v>
      </c>
      <c r="I22" s="1225">
        <f t="shared" si="4"/>
        <v>21397.706042086986</v>
      </c>
      <c r="J22" s="1225">
        <f>D22*Assumptions!$D$16</f>
        <v>322428.40628900117</v>
      </c>
      <c r="K22" s="1234" t="s">
        <v>239</v>
      </c>
      <c r="M22" s="1236" t="s">
        <v>125</v>
      </c>
      <c r="N22" s="1225">
        <f t="shared" si="5"/>
        <v>2940</v>
      </c>
      <c r="O22" s="1225">
        <f t="shared" si="6"/>
        <v>5794</v>
      </c>
      <c r="P22" s="1226">
        <f t="shared" si="7"/>
        <v>3.54</v>
      </c>
      <c r="Q22" s="1226">
        <f t="shared" si="8"/>
        <v>2.9553227476700035</v>
      </c>
      <c r="R22" s="1227">
        <f t="shared" si="9"/>
        <v>9.1586879999999997</v>
      </c>
      <c r="S22" s="1227">
        <f t="shared" si="10"/>
        <v>15.0683632</v>
      </c>
      <c r="T22" s="1225">
        <v>23778.120388840158</v>
      </c>
      <c r="U22" s="1225">
        <v>283291.84900643222</v>
      </c>
      <c r="V22" s="1234" t="s">
        <v>239</v>
      </c>
    </row>
    <row r="23" spans="2:24" x14ac:dyDescent="0.25">
      <c r="B23" s="1233" t="str">
        <f>'STOPE SUMMARY (OLD)'!A75</f>
        <v>4L_W26_STOPE</v>
      </c>
      <c r="C23" s="1225">
        <f>'STOPE SUMMARY (OLD)'!AP75</f>
        <v>1960</v>
      </c>
      <c r="D23" s="1225">
        <f>'STOPE SUMMARY'!CY44</f>
        <v>1105</v>
      </c>
      <c r="E23" s="1226">
        <f>'STOPE SUMMARY (OLD)'!AP76</f>
        <v>1.31</v>
      </c>
      <c r="F23" s="1226">
        <f>'STOPE SUMMARY'!CZ44</f>
        <v>1.0324524886877826</v>
      </c>
      <c r="G23" s="1227">
        <f>(C23*E23/1000)*Assumptions!$G$5</f>
        <v>2.2594880000000002</v>
      </c>
      <c r="H23" s="1227">
        <f>IFERROR((D23*F23/1000)*Assumptions!$G$5,"")</f>
        <v>1.0039567999999999</v>
      </c>
      <c r="I23" s="1225">
        <f t="shared" si="4"/>
        <v>61249.430949125912</v>
      </c>
      <c r="J23" s="1225">
        <f>D23*Assumptions!$D$16</f>
        <v>61491.782697505405</v>
      </c>
      <c r="K23" s="1234" t="s">
        <v>240</v>
      </c>
      <c r="M23" s="1233" t="s">
        <v>129</v>
      </c>
      <c r="N23" s="1225">
        <f t="shared" si="5"/>
        <v>1960</v>
      </c>
      <c r="O23" s="1225">
        <f t="shared" si="6"/>
        <v>1105</v>
      </c>
      <c r="P23" s="1226">
        <f t="shared" si="7"/>
        <v>1.31</v>
      </c>
      <c r="Q23" s="1226">
        <f t="shared" si="8"/>
        <v>1.0324524886877826</v>
      </c>
      <c r="R23" s="1227">
        <f t="shared" si="9"/>
        <v>2.2594880000000002</v>
      </c>
      <c r="S23" s="1227">
        <f t="shared" si="10"/>
        <v>1.0039567999999999</v>
      </c>
      <c r="T23" s="1225">
        <v>48158.078362639615</v>
      </c>
      <c r="U23" s="1225">
        <v>59655.376517398909</v>
      </c>
      <c r="V23" s="1234" t="s">
        <v>240</v>
      </c>
    </row>
    <row r="24" spans="2:24" x14ac:dyDescent="0.25">
      <c r="B24" s="1233" t="str">
        <f>'STOPE SUMMARY (OLD)'!A93</f>
        <v>5L_W7B_STOPE</v>
      </c>
      <c r="C24" s="1225">
        <f>'STOPE SUMMARY (OLD)'!AP93</f>
        <v>1960</v>
      </c>
      <c r="D24" s="1225">
        <f>'STOPE SUMMARY'!DQ44</f>
        <v>0</v>
      </c>
      <c r="E24" s="1226">
        <f>'STOPE SUMMARY (OLD)'!AP94</f>
        <v>1.69</v>
      </c>
      <c r="F24" s="1226">
        <f>'STOPE SUMMARY'!DR44</f>
        <v>0</v>
      </c>
      <c r="G24" s="1227">
        <f>(C24*E24/1000)*Assumptions!$G$5</f>
        <v>2.9149120000000002</v>
      </c>
      <c r="H24" s="1227">
        <f>IFERROR((D24*F24/1000)*Assumptions!$G$5,"")</f>
        <v>0</v>
      </c>
      <c r="I24" s="1225" t="str">
        <f t="shared" si="4"/>
        <v/>
      </c>
      <c r="J24" s="1225">
        <f>D24*Assumptions!$D$16</f>
        <v>0</v>
      </c>
      <c r="K24" s="1234" t="s">
        <v>240</v>
      </c>
      <c r="M24" s="1233" t="s">
        <v>138</v>
      </c>
      <c r="N24" s="1225">
        <f t="shared" si="5"/>
        <v>1960</v>
      </c>
      <c r="O24" s="1225">
        <f t="shared" si="6"/>
        <v>0</v>
      </c>
      <c r="P24" s="1226">
        <f t="shared" si="7"/>
        <v>1.69</v>
      </c>
      <c r="Q24" s="1226">
        <f t="shared" si="8"/>
        <v>0</v>
      </c>
      <c r="R24" s="1227">
        <f t="shared" si="9"/>
        <v>2.9149120000000002</v>
      </c>
      <c r="S24" s="1227">
        <f t="shared" si="10"/>
        <v>0</v>
      </c>
      <c r="T24" s="1225">
        <v>43378.936174890499</v>
      </c>
      <c r="U24" s="1225">
        <v>125320.80962423726</v>
      </c>
      <c r="V24" s="1234" t="s">
        <v>240</v>
      </c>
    </row>
    <row r="25" spans="2:24" x14ac:dyDescent="0.25">
      <c r="B25" s="1233" t="str">
        <f>'STOPE SUMMARY (OLD)'!A97</f>
        <v>5L_W8B_STOPE</v>
      </c>
      <c r="C25" s="1225">
        <f>'STOPE SUMMARY (OLD)'!AP97</f>
        <v>3920</v>
      </c>
      <c r="D25" s="1225">
        <f>'STOPE SUMMARY'!DU44</f>
        <v>0</v>
      </c>
      <c r="E25" s="1226">
        <f>'STOPE SUMMARY (OLD)'!AP98</f>
        <v>2.87</v>
      </c>
      <c r="F25" s="1226">
        <f>'STOPE SUMMARY'!DV44</f>
        <v>0</v>
      </c>
      <c r="G25" s="1227">
        <f>(C25*E25/1000)*Assumptions!$G$5</f>
        <v>9.9003519999999998</v>
      </c>
      <c r="H25" s="1227">
        <f>IFERROR((D25*F25/1000)*Assumptions!$G$5,"")</f>
        <v>0</v>
      </c>
      <c r="I25" s="1225" t="str">
        <f t="shared" si="4"/>
        <v/>
      </c>
      <c r="J25" s="1225">
        <f>D25*Assumptions!$D$16</f>
        <v>0</v>
      </c>
      <c r="K25" s="1234" t="s">
        <v>241</v>
      </c>
      <c r="M25" s="1233" t="s">
        <v>140</v>
      </c>
      <c r="N25" s="1225">
        <f t="shared" si="5"/>
        <v>3920</v>
      </c>
      <c r="O25" s="1225">
        <f t="shared" si="6"/>
        <v>0</v>
      </c>
      <c r="P25" s="1226">
        <f t="shared" si="7"/>
        <v>2.87</v>
      </c>
      <c r="Q25" s="1226">
        <f t="shared" si="8"/>
        <v>0</v>
      </c>
      <c r="R25" s="1227">
        <f t="shared" si="9"/>
        <v>9.9003519999999998</v>
      </c>
      <c r="S25" s="1227">
        <f t="shared" si="10"/>
        <v>0</v>
      </c>
      <c r="T25" s="1225">
        <v>37549.690601640104</v>
      </c>
      <c r="U25" s="1225">
        <v>109071.39736390099</v>
      </c>
      <c r="V25" s="1234" t="s">
        <v>241</v>
      </c>
    </row>
    <row r="26" spans="2:24" x14ac:dyDescent="0.25">
      <c r="B26" s="1233" t="str">
        <f>'STOPE SUMMARY (OLD)'!A99</f>
        <v>6L_E1_STOPE</v>
      </c>
      <c r="C26" s="1225">
        <f>'STOPE SUMMARY (OLD)'!AP99</f>
        <v>2940</v>
      </c>
      <c r="D26" s="1225">
        <f>'STOPE SUMMARY'!EO44</f>
        <v>4343</v>
      </c>
      <c r="E26" s="1226">
        <f>'STOPE SUMMARY (OLD)'!AP100</f>
        <v>3.23</v>
      </c>
      <c r="F26" s="1226">
        <f>'STOPE SUMMARY'!EP44</f>
        <v>3.6885033387059631</v>
      </c>
      <c r="G26" s="1227">
        <f>(C26*E26/1000)*Assumptions!$G$5</f>
        <v>8.3566559999999992</v>
      </c>
      <c r="H26" s="1227">
        <f>IFERROR((D26*F26/1000)*Assumptions!$G$5,"")</f>
        <v>14.0968696</v>
      </c>
      <c r="I26" s="1225">
        <f t="shared" si="4"/>
        <v>17144.386654214337</v>
      </c>
      <c r="J26" s="1225">
        <f>D26*Assumptions!$D$16</f>
        <v>241682.18303643979</v>
      </c>
      <c r="K26" s="1234" t="s">
        <v>240</v>
      </c>
      <c r="M26" s="1233" t="s">
        <v>150</v>
      </c>
      <c r="N26" s="1225">
        <f t="shared" si="5"/>
        <v>2940</v>
      </c>
      <c r="O26" s="1225">
        <f t="shared" si="6"/>
        <v>4343</v>
      </c>
      <c r="P26" s="1226">
        <f t="shared" si="7"/>
        <v>3.23</v>
      </c>
      <c r="Q26" s="1226">
        <f t="shared" si="8"/>
        <v>3.6885033387059631</v>
      </c>
      <c r="R26" s="1227">
        <f t="shared" si="9"/>
        <v>8.3566559999999992</v>
      </c>
      <c r="S26" s="1227">
        <f t="shared" si="10"/>
        <v>14.0968696</v>
      </c>
      <c r="T26" s="1225">
        <v>21609.429024171088</v>
      </c>
      <c r="U26" s="1225">
        <v>143960.33235231822</v>
      </c>
      <c r="V26" s="1234" t="s">
        <v>240</v>
      </c>
    </row>
    <row r="27" spans="2:24" x14ac:dyDescent="0.25">
      <c r="B27" s="1233" t="str">
        <f>'STOPE SUMMARY PIVOT'!A1738</f>
        <v>6L_W1_STOPE</v>
      </c>
      <c r="C27" s="1225">
        <f>'STOPE SUMMARY'!ES43</f>
        <v>0</v>
      </c>
      <c r="D27" s="1225">
        <f>'STOPE SUMMARY'!ES44</f>
        <v>0</v>
      </c>
      <c r="E27" s="1226" t="s">
        <v>10</v>
      </c>
      <c r="F27" s="1226">
        <f>'STOPE SUMMARY'!ET44</f>
        <v>0</v>
      </c>
      <c r="G27" s="1226" t="s">
        <v>10</v>
      </c>
      <c r="H27" s="1227">
        <f>IFERROR((D27*F27/1000)*Assumptions!$G$5,"")</f>
        <v>0</v>
      </c>
      <c r="I27" s="1225" t="str">
        <f t="shared" ref="I27:I28" si="11">IFERROR(J27/H27,"")</f>
        <v/>
      </c>
      <c r="J27" s="1225">
        <f>D27*Assumptions!$D$16</f>
        <v>0</v>
      </c>
      <c r="K27" s="1234" t="s">
        <v>242</v>
      </c>
      <c r="M27" s="1237" t="s">
        <v>152</v>
      </c>
      <c r="N27" s="1225">
        <f t="shared" si="5"/>
        <v>0</v>
      </c>
      <c r="O27" s="1225">
        <f t="shared" si="6"/>
        <v>0</v>
      </c>
      <c r="P27" s="1226" t="str">
        <f t="shared" si="7"/>
        <v>-</v>
      </c>
      <c r="Q27" s="1226">
        <f t="shared" si="8"/>
        <v>0</v>
      </c>
      <c r="R27" s="1227" t="str">
        <f t="shared" si="9"/>
        <v>-</v>
      </c>
      <c r="S27" s="1227">
        <f t="shared" si="10"/>
        <v>0</v>
      </c>
      <c r="T27" s="1225">
        <v>26504.078745685827</v>
      </c>
      <c r="U27" s="1225">
        <v>38976.32995595727</v>
      </c>
      <c r="V27" s="1234" t="s">
        <v>242</v>
      </c>
    </row>
    <row r="28" spans="2:24" x14ac:dyDescent="0.25">
      <c r="B28" s="1233" t="str">
        <f>'STOPE SUMMARY PIVOT'!A1740</f>
        <v>6L_W3_STOPE</v>
      </c>
      <c r="C28" s="1225">
        <f>'STOPE SUMMARY'!EW43</f>
        <v>0</v>
      </c>
      <c r="D28" s="1225">
        <f>'STOPE SUMMARY'!EW44</f>
        <v>0</v>
      </c>
      <c r="E28" s="1226">
        <f>'STOPE SUMMARY'!EX43</f>
        <v>0</v>
      </c>
      <c r="F28" s="1226">
        <f>'STOPE SUMMARY'!EX44</f>
        <v>0</v>
      </c>
      <c r="G28" s="1227">
        <f>(C28*E28/1000)*Assumptions!$G$5</f>
        <v>0</v>
      </c>
      <c r="H28" s="1227">
        <f>IFERROR((D28*F28/1000)*Assumptions!$G$5,"")</f>
        <v>0</v>
      </c>
      <c r="I28" s="1225" t="str">
        <f t="shared" si="11"/>
        <v/>
      </c>
      <c r="J28" s="1225">
        <f>D28*Assumptions!$D$16</f>
        <v>0</v>
      </c>
      <c r="K28" s="1234" t="s">
        <v>242</v>
      </c>
      <c r="M28" s="1236" t="s">
        <v>154</v>
      </c>
      <c r="N28" s="1225">
        <f t="shared" si="5"/>
        <v>0</v>
      </c>
      <c r="O28" s="1225">
        <f t="shared" si="6"/>
        <v>0</v>
      </c>
      <c r="P28" s="1226">
        <f t="shared" si="7"/>
        <v>0</v>
      </c>
      <c r="Q28" s="1226">
        <f t="shared" si="8"/>
        <v>0</v>
      </c>
      <c r="R28" s="1227">
        <f t="shared" si="9"/>
        <v>0</v>
      </c>
      <c r="S28" s="1227">
        <f t="shared" si="10"/>
        <v>0</v>
      </c>
      <c r="T28" s="1225">
        <v>22167.914997183427</v>
      </c>
      <c r="U28" s="1225">
        <v>57668.718922556436</v>
      </c>
      <c r="V28" s="1234" t="s">
        <v>242</v>
      </c>
    </row>
    <row r="29" spans="2:24" x14ac:dyDescent="0.25">
      <c r="B29" s="1233" t="str">
        <f>'STOPE SUMMARY (OLD)'!A105</f>
        <v>6L_W8_STOPE</v>
      </c>
      <c r="C29" s="1225">
        <f>'STOPE SUMMARY (OLD)'!AP105</f>
        <v>1960</v>
      </c>
      <c r="D29" s="1225">
        <f>'STOPE SUMMARY'!FC44</f>
        <v>353</v>
      </c>
      <c r="E29" s="1226">
        <f>'STOPE SUMMARY (OLD)'!AP106</f>
        <v>2.6</v>
      </c>
      <c r="F29" s="1226">
        <f>'STOPE SUMMARY'!FD44</f>
        <v>2.5405665722379602</v>
      </c>
      <c r="G29" s="1227">
        <f>(C29*E29/1000)*Assumptions!$G$5</f>
        <v>4.4844800000000005</v>
      </c>
      <c r="H29" s="1227">
        <f>IFERROR((D29*F29/1000)*Assumptions!$G$5,"")</f>
        <v>0.78920159999999995</v>
      </c>
      <c r="I29" s="1225">
        <f t="shared" si="4"/>
        <v>24890.954681195613</v>
      </c>
      <c r="J29" s="1225">
        <f>D29*Assumptions!$D$16</f>
        <v>19643.981259927066</v>
      </c>
      <c r="K29" s="1234" t="s">
        <v>243</v>
      </c>
      <c r="M29" s="1233" t="s">
        <v>157</v>
      </c>
      <c r="N29" s="1225">
        <f t="shared" si="5"/>
        <v>1960</v>
      </c>
      <c r="O29" s="1225">
        <f t="shared" si="6"/>
        <v>353</v>
      </c>
      <c r="P29" s="1226">
        <f t="shared" si="7"/>
        <v>2.6</v>
      </c>
      <c r="Q29" s="1226">
        <f t="shared" si="8"/>
        <v>2.5405665722379602</v>
      </c>
      <c r="R29" s="1227">
        <f t="shared" si="9"/>
        <v>4.4844800000000005</v>
      </c>
      <c r="S29" s="1227">
        <f t="shared" si="10"/>
        <v>0.78920159999999995</v>
      </c>
      <c r="T29" s="1225">
        <v>14115.78227600731</v>
      </c>
      <c r="U29" s="1225">
        <v>4980.5561551373157</v>
      </c>
      <c r="V29" s="1234" t="s">
        <v>243</v>
      </c>
    </row>
    <row r="30" spans="2:24" x14ac:dyDescent="0.25">
      <c r="B30" s="1233" t="str">
        <f>'STOPE SUMMARY (OLD)'!A107</f>
        <v>6L_W9_STOPE</v>
      </c>
      <c r="C30" s="1225">
        <f>'STOPE SUMMARY (OLD)'!AP107</f>
        <v>2940</v>
      </c>
      <c r="D30" s="1225">
        <f>'STOPE SUMMARY'!FE44</f>
        <v>4489</v>
      </c>
      <c r="E30" s="1226">
        <f>'STOPE SUMMARY (OLD)'!AP108</f>
        <v>2.5299999999999998</v>
      </c>
      <c r="F30" s="1226">
        <f>'STOPE SUMMARY'!FF44</f>
        <v>3.0416930274003122</v>
      </c>
      <c r="G30" s="1227">
        <f>(C30*E30/1000)*Assumptions!$G$5</f>
        <v>6.5456159999999999</v>
      </c>
      <c r="H30" s="1227">
        <f>IFERROR((D30*F30/1000)*Assumptions!$G$5,"")</f>
        <v>12.015660800000001</v>
      </c>
      <c r="I30" s="1225">
        <f t="shared" si="4"/>
        <v>20790.108286562809</v>
      </c>
      <c r="J30" s="1225">
        <f>D30*Assumptions!$D$16</f>
        <v>249806.88916660793</v>
      </c>
      <c r="K30" s="1234" t="s">
        <v>239</v>
      </c>
      <c r="M30" s="1236" t="s">
        <v>158</v>
      </c>
      <c r="N30" s="1225">
        <f t="shared" si="5"/>
        <v>2940</v>
      </c>
      <c r="O30" s="1225">
        <f t="shared" si="6"/>
        <v>4489</v>
      </c>
      <c r="P30" s="1226">
        <f t="shared" si="7"/>
        <v>2.5299999999999998</v>
      </c>
      <c r="Q30" s="1226">
        <f t="shared" si="8"/>
        <v>3.0416930274003122</v>
      </c>
      <c r="R30" s="1227">
        <f t="shared" si="9"/>
        <v>6.5456159999999999</v>
      </c>
      <c r="S30" s="1227">
        <f t="shared" si="10"/>
        <v>12.015660800000001</v>
      </c>
      <c r="T30" s="1225">
        <v>26056.029455765602</v>
      </c>
      <c r="U30" s="1225">
        <v>180385.17069136989</v>
      </c>
      <c r="V30" s="1234" t="s">
        <v>239</v>
      </c>
    </row>
    <row r="31" spans="2:24" x14ac:dyDescent="0.25">
      <c r="B31" s="1233" t="str">
        <f>'STOPE SUMMARY (OLD)'!A109</f>
        <v>6L_W10_STOPE</v>
      </c>
      <c r="C31" s="1225">
        <f>'STOPE SUMMARY (OLD)'!AP109</f>
        <v>980</v>
      </c>
      <c r="D31" s="1225">
        <f>'STOPE SUMMARY'!FG44</f>
        <v>660</v>
      </c>
      <c r="E31" s="1226">
        <f>'STOPE SUMMARY (OLD)'!AP110</f>
        <v>2.75</v>
      </c>
      <c r="F31" s="1226">
        <f>'STOPE SUMMARY'!FH44</f>
        <v>1.2471969696969698</v>
      </c>
      <c r="G31" s="1227">
        <f>(C31*E31/1000)*Assumptions!$G$5</f>
        <v>2.3715999999999999</v>
      </c>
      <c r="H31" s="1227">
        <f>IFERROR((D31*F31/1000)*Assumptions!$G$5,"")</f>
        <v>0.72437200000000002</v>
      </c>
      <c r="I31" s="1225"/>
      <c r="J31" s="1225">
        <f>D31*Assumptions!$D$16</f>
        <v>36728.123602129926</v>
      </c>
      <c r="K31" s="1234" t="s">
        <v>240</v>
      </c>
      <c r="M31" s="1233" t="s">
        <v>159</v>
      </c>
      <c r="N31" s="1225">
        <f t="shared" si="5"/>
        <v>980</v>
      </c>
      <c r="O31" s="1225">
        <f t="shared" si="6"/>
        <v>660</v>
      </c>
      <c r="P31" s="1226">
        <f t="shared" si="7"/>
        <v>2.75</v>
      </c>
      <c r="Q31" s="1226">
        <f t="shared" si="8"/>
        <v>1.2471969696969698</v>
      </c>
      <c r="R31" s="1227">
        <f t="shared" si="9"/>
        <v>2.3715999999999999</v>
      </c>
      <c r="S31" s="1227">
        <f t="shared" si="10"/>
        <v>0.72437200000000002</v>
      </c>
      <c r="T31" s="1225"/>
      <c r="U31" s="1225">
        <v>18753.602505936036</v>
      </c>
      <c r="V31" s="1234" t="s">
        <v>240</v>
      </c>
      <c r="X31">
        <v>6400</v>
      </c>
    </row>
    <row r="32" spans="2:24" x14ac:dyDescent="0.25">
      <c r="B32" s="1233" t="str">
        <f>'STOPE SUMMARY PIVOT'!A1747</f>
        <v>6L_W14A_STOPE</v>
      </c>
      <c r="C32" s="1225">
        <f>'STOPE SUMMARY PIVOT'!G1747</f>
        <v>1960</v>
      </c>
      <c r="D32" s="1225">
        <f>'STOPE SUMMARY PIVOT'!J1747</f>
        <v>68</v>
      </c>
      <c r="E32" s="1226">
        <f>'STOPE SUMMARY PIVOT'!H1747</f>
        <v>2.75</v>
      </c>
      <c r="F32" s="1226">
        <f>'STOPE SUMMARY PIVOT'!K1747</f>
        <v>0.79352941176470582</v>
      </c>
      <c r="G32" s="1227">
        <f>(C32*E32/1000)*Assumptions!$G$5</f>
        <v>4.7431999999999999</v>
      </c>
      <c r="H32" s="1227">
        <f>IFERROR((D32*F32/1000)*Assumptions!$G$5,"")</f>
        <v>4.7484799999999994E-2</v>
      </c>
      <c r="I32" s="1225"/>
      <c r="J32" s="1225">
        <f>D32*Assumptions!$D$16</f>
        <v>3784.1097044618709</v>
      </c>
      <c r="K32" s="1234" t="s">
        <v>237</v>
      </c>
      <c r="M32" s="1233" t="s">
        <v>161</v>
      </c>
      <c r="N32" s="1225">
        <f t="shared" si="5"/>
        <v>1960</v>
      </c>
      <c r="O32" s="1225">
        <f t="shared" si="6"/>
        <v>68</v>
      </c>
      <c r="P32" s="1226">
        <f t="shared" si="7"/>
        <v>2.75</v>
      </c>
      <c r="Q32" s="1226">
        <f t="shared" si="8"/>
        <v>0.79352941176470582</v>
      </c>
      <c r="R32" s="1227">
        <f t="shared" si="9"/>
        <v>4.7431999999999999</v>
      </c>
      <c r="S32" s="1227">
        <f t="shared" si="10"/>
        <v>4.7484799999999994E-2</v>
      </c>
      <c r="T32" s="1225"/>
      <c r="U32" s="1225">
        <v>1919.879188293155</v>
      </c>
      <c r="V32" s="1234" t="s">
        <v>237</v>
      </c>
    </row>
    <row r="33" spans="2:40" ht="15.75" thickBot="1" x14ac:dyDescent="0.3">
      <c r="B33" s="1238" t="s">
        <v>232</v>
      </c>
      <c r="C33" s="1239">
        <f>SUM(C20:C32)</f>
        <v>24500</v>
      </c>
      <c r="D33" s="1239">
        <f>SUM(D20:D32)</f>
        <v>18376</v>
      </c>
      <c r="E33" s="1240">
        <f>SUMPRODUCT(C20:C32,E20:E32)/C33</f>
        <v>2.6536</v>
      </c>
      <c r="F33" s="1240">
        <f>SUMPRODUCT(D20:D32,F20:F32)/D33</f>
        <v>2.8700968654767087</v>
      </c>
      <c r="G33" s="1241">
        <f>SUM(G20:G32)</f>
        <v>57.211616000000006</v>
      </c>
      <c r="H33" s="1241">
        <f>SUM(H20:H32)</f>
        <v>46.411991999999998</v>
      </c>
      <c r="I33" s="1239">
        <v>0</v>
      </c>
      <c r="J33" s="1239">
        <f>SUM(J20:J30)</f>
        <v>982087.76565210451</v>
      </c>
      <c r="K33" s="1242"/>
      <c r="M33" s="1238" t="s">
        <v>232</v>
      </c>
      <c r="N33" s="1239">
        <f>SUM(N20:N32)</f>
        <v>24500</v>
      </c>
      <c r="O33" s="1239">
        <f>SUM(O20:O32)</f>
        <v>18376</v>
      </c>
      <c r="P33" s="1240">
        <f>SUMPRODUCT(N20:N32,P20:P32)/N33</f>
        <v>2.6536</v>
      </c>
      <c r="Q33" s="1240">
        <f>SUMPRODUCT(O20:O32,Q20:Q32)/O33</f>
        <v>2.8700968654767087</v>
      </c>
      <c r="R33" s="1241">
        <f>SUM(R20:R32)</f>
        <v>57.211616000000006</v>
      </c>
      <c r="S33" s="1241">
        <f>SUM(S20:S32)</f>
        <v>46.411991999999998</v>
      </c>
      <c r="T33" s="1239">
        <v>0</v>
      </c>
      <c r="U33" s="1239">
        <v>1070605.3259668439</v>
      </c>
      <c r="V33" s="1242"/>
    </row>
    <row r="34" spans="2:40" ht="15.75" thickBot="1" x14ac:dyDescent="0.3"/>
    <row r="35" spans="2:40" ht="15.75" thickBot="1" x14ac:dyDescent="0.3">
      <c r="B35" s="1594" t="s">
        <v>244</v>
      </c>
      <c r="C35" s="1595"/>
      <c r="D35" s="1595"/>
      <c r="E35" s="1595"/>
      <c r="F35" s="1595"/>
      <c r="G35" s="1595"/>
      <c r="H35" s="1595"/>
      <c r="I35" s="1595"/>
      <c r="J35" s="1595"/>
      <c r="K35" s="1595"/>
      <c r="L35" s="1595"/>
      <c r="M35" s="1596"/>
      <c r="W35" s="1594" t="s">
        <v>245</v>
      </c>
      <c r="X35" s="1595"/>
      <c r="Y35" s="1595"/>
      <c r="Z35" s="1595"/>
      <c r="AA35" s="1595"/>
      <c r="AB35" s="1595"/>
      <c r="AC35" s="1595"/>
      <c r="AD35" s="1595"/>
      <c r="AE35" s="1596"/>
    </row>
    <row r="36" spans="2:40" ht="56.25" customHeight="1" thickBot="1" x14ac:dyDescent="0.3">
      <c r="B36" s="547" t="s">
        <v>224</v>
      </c>
      <c r="C36" s="548" t="s">
        <v>246</v>
      </c>
      <c r="D36" s="548" t="s">
        <v>247</v>
      </c>
      <c r="E36" s="548" t="s">
        <v>248</v>
      </c>
      <c r="F36" s="548" t="s">
        <v>226</v>
      </c>
      <c r="G36" s="548" t="s">
        <v>249</v>
      </c>
      <c r="H36" s="548" t="s">
        <v>227</v>
      </c>
      <c r="I36" s="548" t="s">
        <v>250</v>
      </c>
      <c r="J36" s="548" t="s">
        <v>251</v>
      </c>
      <c r="K36" s="548" t="s">
        <v>228</v>
      </c>
      <c r="L36" s="548" t="s">
        <v>229</v>
      </c>
      <c r="M36" s="549" t="s">
        <v>234</v>
      </c>
      <c r="P36" s="238" t="s">
        <v>70</v>
      </c>
      <c r="Q36" s="238" t="s">
        <v>252</v>
      </c>
      <c r="S36" s="238" t="s">
        <v>253</v>
      </c>
      <c r="T36" s="238" t="s">
        <v>254</v>
      </c>
      <c r="W36" s="547" t="s">
        <v>224</v>
      </c>
      <c r="X36" s="548" t="s">
        <v>225</v>
      </c>
      <c r="Y36" s="548" t="s">
        <v>255</v>
      </c>
      <c r="Z36" s="548" t="s">
        <v>226</v>
      </c>
      <c r="AA36" s="548" t="s">
        <v>65</v>
      </c>
      <c r="AB36" s="548" t="s">
        <v>256</v>
      </c>
      <c r="AC36" s="548" t="s">
        <v>257</v>
      </c>
      <c r="AD36" s="548" t="s">
        <v>258</v>
      </c>
      <c r="AE36" s="549" t="s">
        <v>259</v>
      </c>
      <c r="AH36" s="547" t="s">
        <v>260</v>
      </c>
      <c r="AI36" s="548" t="s">
        <v>261</v>
      </c>
      <c r="AJ36" s="548"/>
      <c r="AK36" s="548"/>
      <c r="AL36" s="548" t="s">
        <v>32</v>
      </c>
      <c r="AM36" s="548" t="s">
        <v>262</v>
      </c>
      <c r="AN36" s="549" t="s">
        <v>263</v>
      </c>
    </row>
    <row r="37" spans="2:40" x14ac:dyDescent="0.25">
      <c r="B37" s="543" t="str">
        <f>'STOPE SUMMARY PIVOT'!A1794</f>
        <v>1L_W24_STOPE</v>
      </c>
      <c r="C37" s="544">
        <f>'STOPE SUMMARY'!E46</f>
        <v>1085</v>
      </c>
      <c r="D37" s="544">
        <f>'March 25 D_R (Tramming)'!F18</f>
        <v>1085</v>
      </c>
      <c r="E37" s="544">
        <f>'STOPE SUMMARY'!E47</f>
        <v>279</v>
      </c>
      <c r="F37" s="545">
        <f>'STOPE SUMMARY'!F46</f>
        <v>1.8271028037383188</v>
      </c>
      <c r="G37" s="545">
        <f>'STOPE SUMMARY'!F47</f>
        <v>1.1235125448028676</v>
      </c>
      <c r="H37" s="545">
        <f>(C37*F37/1000)*Assumptions!$G$5</f>
        <v>1.7445177570093469</v>
      </c>
      <c r="I37" s="545">
        <f>D37*F37/1000*0.88</f>
        <v>1.7445177570093469</v>
      </c>
      <c r="J37" s="545">
        <f>(E37*G37/1000)*Assumptions!$G$5</f>
        <v>0.2758448</v>
      </c>
      <c r="K37" s="551">
        <f>IFERROR(L37/J37,"")</f>
        <v>56285.199223326155</v>
      </c>
      <c r="L37" s="551">
        <f>E37*Assumptions!$D$16</f>
        <v>15525.979522718559</v>
      </c>
      <c r="M37" s="546"/>
      <c r="N37" s="44">
        <f>(J37-I37)/I37</f>
        <v>-0.84187905288342557</v>
      </c>
      <c r="O37" t="str">
        <f>LEFT(B37,6)</f>
        <v>1L_W24</v>
      </c>
      <c r="P37" s="52">
        <f>J37*Assumptions!$G$7</f>
        <v>19860.8256</v>
      </c>
      <c r="Q37" s="52">
        <f>E37*Assumptions!$D$17</f>
        <v>32610.880441557081</v>
      </c>
      <c r="R37" s="52">
        <f>P37-Q37</f>
        <v>-12750.054841557081</v>
      </c>
      <c r="S37" s="52">
        <f>I37*Assumptions!$G$7</f>
        <v>125605.27850467297</v>
      </c>
      <c r="T37" s="52">
        <f>D37*Assumptions!$D$17</f>
        <v>126820.09060605531</v>
      </c>
      <c r="U37" s="52">
        <f>S37-T37</f>
        <v>-1214.8121013823402</v>
      </c>
      <c r="W37" s="673" t="s">
        <v>80</v>
      </c>
      <c r="X37" s="551">
        <f>D37</f>
        <v>1085</v>
      </c>
      <c r="Y37" s="551">
        <f>E37</f>
        <v>279</v>
      </c>
      <c r="Z37" s="545">
        <v>1.8271028037383188</v>
      </c>
      <c r="AA37" s="545">
        <f>G37</f>
        <v>1.1235125448028676</v>
      </c>
      <c r="AB37" s="545">
        <f>I37</f>
        <v>1.7445177570093469</v>
      </c>
      <c r="AC37" s="545">
        <f>(Y37*AA37/1000)*Assumptions!$G$5</f>
        <v>0.2758448</v>
      </c>
      <c r="AD37" s="637">
        <f>'Monthly Stope Performance_HH'!H8</f>
        <v>86.416796542597254</v>
      </c>
      <c r="AE37" s="636">
        <f>'Monthly Stope Performance_HH'!N8</f>
        <v>8.221827167622676</v>
      </c>
      <c r="AH37" s="668" t="s">
        <v>264</v>
      </c>
      <c r="AI37" s="637">
        <f>C50</f>
        <v>28910</v>
      </c>
      <c r="AJ37" s="637"/>
      <c r="AK37" s="637"/>
      <c r="AL37" s="637">
        <f>E50</f>
        <v>27002.799999999996</v>
      </c>
      <c r="AM37" s="637">
        <f>AL37-AI37</f>
        <v>-1907.2000000000044</v>
      </c>
      <c r="AN37" s="669">
        <f>(AL37-AI37)/AL37</f>
        <v>-7.0629712474262099E-2</v>
      </c>
    </row>
    <row r="38" spans="2:40" x14ac:dyDescent="0.25">
      <c r="B38" s="1224" t="str">
        <f>'STOPE SUMMARY PIVOT'!A1804</f>
        <v>3L_W23_STOPE</v>
      </c>
      <c r="C38" s="1180">
        <f>'STOPE SUMMARY'!Y46</f>
        <v>1260</v>
      </c>
      <c r="D38" s="544">
        <f>'March 25 D_R (Tramming)'!F25</f>
        <v>1260</v>
      </c>
      <c r="E38" s="1180">
        <f>'STOPE SUMMARY'!Y47</f>
        <v>1294</v>
      </c>
      <c r="F38" s="1243">
        <f>'STOPE SUMMARY'!Z46</f>
        <v>3.0584112149532694</v>
      </c>
      <c r="G38" s="1243">
        <f>'STOPE SUMMARY'!Z47</f>
        <v>3.3226816074188563</v>
      </c>
      <c r="H38" s="1243">
        <f>(C38*F38/1000)*Assumptions!$G$5</f>
        <v>3.3911663551401854</v>
      </c>
      <c r="I38" s="545">
        <f t="shared" ref="I38:I49" si="12">D38*F38/1000*0.88</f>
        <v>3.3911663551401854</v>
      </c>
      <c r="J38" s="545">
        <f>(E38*G38/1000)*Assumptions!$G$5</f>
        <v>3.783604</v>
      </c>
      <c r="K38" s="551" t="str">
        <f t="shared" ref="K38:K49" si="13">IFERROR(L38/J38,"")</f>
        <v/>
      </c>
      <c r="L38" s="551" t="s">
        <v>10</v>
      </c>
      <c r="M38" s="1234"/>
      <c r="N38" s="44">
        <f t="shared" ref="N38:N49" si="14">(J38-I38)/I38</f>
        <v>0.11572350152182134</v>
      </c>
      <c r="O38" t="str">
        <f t="shared" ref="O38:O41" si="15">LEFT(B38,6)</f>
        <v>3L_W23</v>
      </c>
      <c r="P38" s="52">
        <f>J38*Assumptions!$G$7</f>
        <v>272419.48800000001</v>
      </c>
      <c r="Q38" s="52">
        <f>E38*Assumptions!$D$17</f>
        <v>151249.02971818947</v>
      </c>
      <c r="R38" s="52">
        <f t="shared" ref="R38:R48" si="16">P38-Q38</f>
        <v>121170.45828181054</v>
      </c>
      <c r="S38" s="52">
        <f>I38*Assumptions!$G$7</f>
        <v>244163.97757009335</v>
      </c>
      <c r="T38" s="52">
        <f>D38*Assumptions!$D$17</f>
        <v>147274.94392961264</v>
      </c>
      <c r="U38" s="52">
        <f t="shared" ref="U38:U48" si="17">S38-T38</f>
        <v>96889.033640480717</v>
      </c>
      <c r="W38" s="1244" t="s">
        <v>90</v>
      </c>
      <c r="X38" s="551">
        <f t="shared" ref="X38:X49" si="18">D38</f>
        <v>1260</v>
      </c>
      <c r="Y38" s="551">
        <f t="shared" ref="Y38:Y49" si="19">E38</f>
        <v>1294</v>
      </c>
      <c r="Z38" s="1243">
        <v>3.0584112149532694</v>
      </c>
      <c r="AA38" s="545">
        <f t="shared" ref="AA38:AA49" si="20">G38</f>
        <v>3.3226816074188563</v>
      </c>
      <c r="AB38" s="545">
        <f t="shared" ref="AB38:AB49" si="21">I38</f>
        <v>3.3911663551401854</v>
      </c>
      <c r="AC38" s="545">
        <f>(Y38*AA38/1000)*Assumptions!$G$5</f>
        <v>3.783604</v>
      </c>
      <c r="AD38" s="637">
        <f>'Monthly Stope Performance_HH'!H9</f>
        <v>210.99955221545113</v>
      </c>
      <c r="AE38" s="636" t="str">
        <f>'Monthly Stope Performance_HH'!N9</f>
        <v>-</v>
      </c>
      <c r="AH38" s="668" t="s">
        <v>2</v>
      </c>
      <c r="AI38" s="1245">
        <f>F50</f>
        <v>2.4611160643569954</v>
      </c>
      <c r="AJ38" s="1245"/>
      <c r="AK38" s="1245"/>
      <c r="AL38" s="1243">
        <f>G50</f>
        <v>2.5672741715673935</v>
      </c>
      <c r="AM38" s="545">
        <f t="shared" ref="AM38:AM40" si="22">AL38-AI38</f>
        <v>0.10615810721039809</v>
      </c>
      <c r="AN38" s="669">
        <f t="shared" ref="AN38:AN40" si="23">(AL38-AI38)/AL38</f>
        <v>4.1350514248186261E-2</v>
      </c>
    </row>
    <row r="39" spans="2:40" x14ac:dyDescent="0.25">
      <c r="B39" s="1224" t="str">
        <f>'STOPE SUMMARY PIVOT'!A1839</f>
        <v>4L_W23A_STOPE</v>
      </c>
      <c r="C39" s="1180">
        <f>'STOPE SUMMARY'!CQ46</f>
        <v>2660</v>
      </c>
      <c r="D39" s="635">
        <f>'March 25 D_R (Tramming)'!F32</f>
        <v>2660</v>
      </c>
      <c r="E39" s="1180">
        <f>'STOPE SUMMARY'!CQ47</f>
        <v>2821</v>
      </c>
      <c r="F39" s="1243">
        <f>'STOPE SUMMARY'!CR46</f>
        <v>2.8121495327102815</v>
      </c>
      <c r="G39" s="1243">
        <f>'STOPE SUMMARY'!CR47</f>
        <v>2.590361573909961</v>
      </c>
      <c r="H39" s="1243">
        <f>(C39*F39/1000)*Assumptions!$G$5</f>
        <v>6.5826796261682272</v>
      </c>
      <c r="I39" s="545">
        <f t="shared" si="12"/>
        <v>6.5826796261682272</v>
      </c>
      <c r="J39" s="1243">
        <f>(E39*G39/1000)*Assumptions!$G$5</f>
        <v>6.4305208</v>
      </c>
      <c r="K39" s="551">
        <f>IFERROR(L39/J39,"")</f>
        <v>24412.471236084519</v>
      </c>
      <c r="L39" s="551">
        <f>E39*Assumptions!$D$16</f>
        <v>156984.90406304321</v>
      </c>
      <c r="M39" s="1234"/>
      <c r="N39" s="44">
        <f t="shared" si="14"/>
        <v>-2.3115028348538774E-2</v>
      </c>
      <c r="O39" t="str">
        <f>LEFT(B39,7)</f>
        <v>4L_W23A</v>
      </c>
      <c r="P39" s="52">
        <f>J39*Assumptions!$G$7</f>
        <v>462997.4976</v>
      </c>
      <c r="Q39" s="52">
        <f>E39*Assumptions!$D$17</f>
        <v>329732.23557574383</v>
      </c>
      <c r="R39" s="52">
        <f t="shared" si="16"/>
        <v>133265.26202425617</v>
      </c>
      <c r="S39" s="52">
        <f>I39*Assumptions!$G$7</f>
        <v>473952.93308411236</v>
      </c>
      <c r="T39" s="52">
        <f>D39*Assumptions!$D$17</f>
        <v>310913.77051807108</v>
      </c>
      <c r="U39" s="52">
        <f t="shared" si="17"/>
        <v>163039.16256604128</v>
      </c>
      <c r="W39" s="1246" t="s">
        <v>125</v>
      </c>
      <c r="X39" s="551">
        <f t="shared" si="18"/>
        <v>2660</v>
      </c>
      <c r="Y39" s="551">
        <f t="shared" si="19"/>
        <v>2821</v>
      </c>
      <c r="Z39" s="1243">
        <v>2.8121495327102815</v>
      </c>
      <c r="AA39" s="545">
        <f t="shared" si="20"/>
        <v>2.590361573909961</v>
      </c>
      <c r="AB39" s="545">
        <f t="shared" si="21"/>
        <v>6.5826796261682272</v>
      </c>
      <c r="AC39" s="545">
        <f>(Y39*AA39/1000)*Assumptions!$G$5</f>
        <v>6.4305208</v>
      </c>
      <c r="AD39" s="637">
        <f>'Monthly Stope Performance_HH'!H10</f>
        <v>398.72690598906081</v>
      </c>
      <c r="AE39" s="636">
        <f>'Monthly Stope Performance_HH'!N10</f>
        <v>378.2399482381378</v>
      </c>
      <c r="AH39" s="670" t="s">
        <v>3</v>
      </c>
      <c r="AI39" s="1247">
        <f>H50</f>
        <v>62.61276157009344</v>
      </c>
      <c r="AJ39" s="1247"/>
      <c r="AK39" s="1247"/>
      <c r="AL39" s="1248">
        <f>J50</f>
        <v>61.004760080000004</v>
      </c>
      <c r="AM39" s="545">
        <f t="shared" si="22"/>
        <v>-1.6080014900934358</v>
      </c>
      <c r="AN39" s="669">
        <f t="shared" si="23"/>
        <v>-2.6358623294063379E-2</v>
      </c>
    </row>
    <row r="40" spans="2:40" ht="30.75" thickBot="1" x14ac:dyDescent="0.3">
      <c r="B40" s="1224" t="str">
        <f>'STOPE SUMMARY PIVOT'!A1840</f>
        <v>4L_W23B_STOPE</v>
      </c>
      <c r="C40" s="1180">
        <f>'STOPE SUMMARY'!CS46</f>
        <v>4340</v>
      </c>
      <c r="D40" s="635">
        <f>'March 25 D_R (Tramming)'!F39</f>
        <v>4340</v>
      </c>
      <c r="E40" s="1180">
        <f>'STOPE SUMMARY'!CS47</f>
        <v>4581</v>
      </c>
      <c r="F40" s="1243">
        <f>'STOPE SUMMARY'!CT46</f>
        <v>3.0584112149532698</v>
      </c>
      <c r="G40" s="1243">
        <f>'STOPE SUMMARY'!CT47</f>
        <v>2.7069286182056325</v>
      </c>
      <c r="H40" s="1243">
        <f>(C40*F40/1000)*Assumptions!$G$5</f>
        <v>11.680684112149528</v>
      </c>
      <c r="I40" s="545">
        <f t="shared" si="12"/>
        <v>11.680684112149528</v>
      </c>
      <c r="J40" s="1243">
        <f>(E40*G40/1000)*Assumptions!$G$5</f>
        <v>10.912387200000001</v>
      </c>
      <c r="K40" s="551">
        <f t="shared" si="13"/>
        <v>23361.209818696345</v>
      </c>
      <c r="L40" s="551">
        <f>E40*Assumptions!$D$16</f>
        <v>254926.56700205634</v>
      </c>
      <c r="M40" s="1234"/>
      <c r="N40" s="44">
        <f t="shared" si="14"/>
        <v>-6.577499269502475E-2</v>
      </c>
      <c r="O40" t="str">
        <f>LEFT(B40,7)</f>
        <v>4L_W23B</v>
      </c>
      <c r="P40" s="52">
        <f>J40*Assumptions!$G$7</f>
        <v>785691.87840000005</v>
      </c>
      <c r="Q40" s="52">
        <f>E40*Assumptions!$D$17</f>
        <v>535449.617572663</v>
      </c>
      <c r="R40" s="52">
        <f t="shared" si="16"/>
        <v>250242.26082733704</v>
      </c>
      <c r="S40" s="52">
        <f>I40*Assumptions!$G$7</f>
        <v>841009.25607476605</v>
      </c>
      <c r="T40" s="52">
        <f>D40*Assumptions!$D$17</f>
        <v>507280.36242422124</v>
      </c>
      <c r="U40" s="52">
        <f t="shared" si="17"/>
        <v>333728.89365054481</v>
      </c>
      <c r="W40" s="1246" t="s">
        <v>126</v>
      </c>
      <c r="X40" s="551">
        <f t="shared" si="18"/>
        <v>4340</v>
      </c>
      <c r="Y40" s="551">
        <f t="shared" si="19"/>
        <v>4581</v>
      </c>
      <c r="Z40" s="1243">
        <v>3.0584112149532698</v>
      </c>
      <c r="AA40" s="545">
        <f t="shared" si="20"/>
        <v>2.7069286182056325</v>
      </c>
      <c r="AB40" s="545">
        <f t="shared" si="21"/>
        <v>11.680684112149528</v>
      </c>
      <c r="AC40" s="545">
        <f>(Y40*AA40/1000)*Assumptions!$G$5</f>
        <v>10.912387200000001</v>
      </c>
      <c r="AD40" s="637">
        <f>'Monthly Stope Performance_HH'!H11</f>
        <v>726.77623540877607</v>
      </c>
      <c r="AE40" s="636">
        <f>'Monthly Stope Performance_HH'!N11</f>
        <v>652.30370591143355</v>
      </c>
      <c r="AH40" s="671" t="s">
        <v>265</v>
      </c>
      <c r="AI40" s="1249">
        <f>AD50</f>
        <v>3609.7806905745492</v>
      </c>
      <c r="AJ40" s="1249"/>
      <c r="AK40" s="1249"/>
      <c r="AL40" s="1249">
        <f>AE50</f>
        <v>3334.996114160766</v>
      </c>
      <c r="AM40" s="710">
        <f t="shared" si="22"/>
        <v>-274.78457641378327</v>
      </c>
      <c r="AN40" s="672">
        <f t="shared" si="23"/>
        <v>-8.2394271839483488E-2</v>
      </c>
    </row>
    <row r="41" spans="2:40" x14ac:dyDescent="0.25">
      <c r="B41" s="1224" t="str">
        <f>'STOPE SUMMARY PIVOT'!A1843</f>
        <v>4L_W26_STOPE</v>
      </c>
      <c r="C41" s="1180">
        <f>'STOPE SUMMARY'!CY46</f>
        <v>1085</v>
      </c>
      <c r="D41" s="544">
        <f>'March 25 D_R (Tramming)'!F46</f>
        <v>1085</v>
      </c>
      <c r="E41" s="1180">
        <f>'STOPE SUMMARY'!CY47</f>
        <v>1258</v>
      </c>
      <c r="F41" s="1243">
        <f>'STOPE SUMMARY'!CZ46</f>
        <v>1.6841121495327112</v>
      </c>
      <c r="G41" s="1243">
        <f>'STOPE SUMMARY'!CZ47</f>
        <v>1.9284737678855326</v>
      </c>
      <c r="H41" s="1243">
        <f>(C41*F41/1000)*Assumptions!$G$5</f>
        <v>1.6079902803738326</v>
      </c>
      <c r="I41" s="545">
        <f t="shared" si="12"/>
        <v>1.6079902803738326</v>
      </c>
      <c r="J41" s="1243">
        <f>(E41*G41/1000)*Assumptions!$G$5</f>
        <v>2.1348976</v>
      </c>
      <c r="K41" s="551">
        <f t="shared" si="13"/>
        <v>32791.282135754249</v>
      </c>
      <c r="L41" s="551">
        <f>E41*Assumptions!$D$16</f>
        <v>70006.02953254462</v>
      </c>
      <c r="M41" s="1234"/>
      <c r="N41" s="44">
        <f t="shared" si="14"/>
        <v>0.32768066203961732</v>
      </c>
      <c r="O41" t="str">
        <f t="shared" si="15"/>
        <v>4L_W26</v>
      </c>
      <c r="P41" s="52">
        <f>J41*Assumptions!$G$7</f>
        <v>153712.62719999999</v>
      </c>
      <c r="Q41" s="52">
        <f>E41*Assumptions!$D$17</f>
        <v>147041.1741773434</v>
      </c>
      <c r="R41" s="52">
        <f t="shared" si="16"/>
        <v>6671.4530226565839</v>
      </c>
      <c r="S41" s="52">
        <f>I41*Assumptions!$G$7</f>
        <v>115775.30018691595</v>
      </c>
      <c r="T41" s="52">
        <f>D41*Assumptions!$D$17</f>
        <v>126820.09060605531</v>
      </c>
      <c r="U41" s="52">
        <f t="shared" si="17"/>
        <v>-11044.790419139361</v>
      </c>
      <c r="W41" s="1236" t="s">
        <v>129</v>
      </c>
      <c r="X41" s="551">
        <f t="shared" si="18"/>
        <v>1085</v>
      </c>
      <c r="Y41" s="551">
        <f t="shared" si="19"/>
        <v>1258</v>
      </c>
      <c r="Z41" s="1243">
        <v>1.6841121495327112</v>
      </c>
      <c r="AA41" s="545">
        <f t="shared" si="20"/>
        <v>1.9284737678855326</v>
      </c>
      <c r="AB41" s="545">
        <f t="shared" si="21"/>
        <v>1.6079902803738326</v>
      </c>
      <c r="AC41" s="545">
        <f>(Y41*AA41/1000)*Assumptions!$G$5</f>
        <v>2.1348976</v>
      </c>
      <c r="AD41" s="637">
        <f>'Monthly Stope Performance_HH'!H12</f>
        <v>75.35234027438598</v>
      </c>
      <c r="AE41" s="636">
        <f>'Monthly Stope Performance_HH'!N12</f>
        <v>109.29036502380077</v>
      </c>
    </row>
    <row r="42" spans="2:40" x14ac:dyDescent="0.25">
      <c r="B42" s="1224" t="str">
        <f>'STOPE SUMMARY PIVOT'!A1852</f>
        <v>5L_W7B_STOPE</v>
      </c>
      <c r="C42" s="1180">
        <f>'STOPE SUMMARY'!DQ46</f>
        <v>2170</v>
      </c>
      <c r="D42" s="635">
        <f>'March 25 D_R (Tramming)'!F53</f>
        <v>2170</v>
      </c>
      <c r="E42" s="1180">
        <f>'STOPE SUMMARY'!DQ47</f>
        <v>2587</v>
      </c>
      <c r="F42" s="1243">
        <f>'STOPE SUMMARY'!DR46</f>
        <v>1.6900000000000008</v>
      </c>
      <c r="G42" s="1243">
        <f>'STOPE SUMMARY'!DR47</f>
        <v>2.1497680711248552</v>
      </c>
      <c r="H42" s="1243">
        <f>(C42*F42/1000)*Assumptions!$G$5</f>
        <v>3.2272240000000014</v>
      </c>
      <c r="I42" s="545">
        <f t="shared" si="12"/>
        <v>3.2272240000000014</v>
      </c>
      <c r="J42" s="1243">
        <f>(E42*G42/1000)*Assumptions!$G$5</f>
        <v>4.894076000000001</v>
      </c>
      <c r="K42" s="551">
        <f t="shared" si="13"/>
        <v>29415.790597842039</v>
      </c>
      <c r="L42" s="551">
        <f>E42*Assumptions!$D$16</f>
        <v>143963.11478592441</v>
      </c>
      <c r="M42" s="1234"/>
      <c r="N42" s="44">
        <f t="shared" si="14"/>
        <v>0.51649715049218736</v>
      </c>
      <c r="O42" t="str">
        <f>LEFT(B42,5)</f>
        <v>5L_W7</v>
      </c>
      <c r="P42" s="52">
        <f>J42*Assumptions!$G$7</f>
        <v>352373.47200000007</v>
      </c>
      <c r="Q42" s="52">
        <f>E42*Assumptions!$D$17</f>
        <v>302381.17456024431</v>
      </c>
      <c r="R42" s="52">
        <f t="shared" si="16"/>
        <v>49992.297439755755</v>
      </c>
      <c r="S42" s="52">
        <f>I42*Assumptions!$G$7</f>
        <v>232360.12800000011</v>
      </c>
      <c r="T42" s="52">
        <f>D42*Assumptions!$D$17</f>
        <v>253640.18121211062</v>
      </c>
      <c r="U42" s="52">
        <f t="shared" si="17"/>
        <v>-21280.053212110506</v>
      </c>
      <c r="W42" s="1236" t="s">
        <v>138</v>
      </c>
      <c r="X42" s="551">
        <f t="shared" si="18"/>
        <v>2170</v>
      </c>
      <c r="Y42" s="551">
        <f t="shared" si="19"/>
        <v>2587</v>
      </c>
      <c r="Z42" s="1243">
        <v>1.6900000000000008</v>
      </c>
      <c r="AA42" s="545">
        <f t="shared" si="20"/>
        <v>2.1497680711248552</v>
      </c>
      <c r="AB42" s="545">
        <f t="shared" si="21"/>
        <v>3.2272240000000014</v>
      </c>
      <c r="AC42" s="545">
        <f>(Y42*AA42/1000)*Assumptions!$G$5</f>
        <v>4.894076000000001</v>
      </c>
      <c r="AD42" s="637">
        <f>'Monthly Stope Performance_HH'!H13</f>
        <v>151.6158710649776</v>
      </c>
      <c r="AE42" s="636">
        <f>'Monthly Stope Performance_HH'!N13</f>
        <v>265.57706295474986</v>
      </c>
    </row>
    <row r="43" spans="2:40" x14ac:dyDescent="0.25">
      <c r="B43" s="1224" t="str">
        <f>'STOPE SUMMARY PIVOT'!A1854</f>
        <v>5L_W8B_STOPE</v>
      </c>
      <c r="C43" s="1180">
        <f>'STOPE SUMMARY'!DS46</f>
        <v>1120</v>
      </c>
      <c r="D43" s="544">
        <f>'March 25 D_R (Tramming)'!F60</f>
        <v>1120</v>
      </c>
      <c r="E43" s="1180">
        <f>'STOPE SUMMARY'!DS47</f>
        <v>778</v>
      </c>
      <c r="F43" s="1243">
        <f>'STOPE SUMMARY'!DT46</f>
        <v>1.604672897196262</v>
      </c>
      <c r="G43" s="1243">
        <f>'STOPE SUMMARY'!DT47</f>
        <v>1.5569922879177376</v>
      </c>
      <c r="H43" s="1243">
        <f>(C43*F43/1000)*Assumptions!$G$5</f>
        <v>1.5815656074766358</v>
      </c>
      <c r="I43" s="545">
        <f t="shared" si="12"/>
        <v>1.5815656074766358</v>
      </c>
      <c r="J43" s="1243">
        <f>(E43*G43/1000)*Assumptions!$G$5</f>
        <v>1.0659791999999999</v>
      </c>
      <c r="K43" s="551">
        <f t="shared" si="13"/>
        <v>40614.926550924974</v>
      </c>
      <c r="L43" s="551">
        <f>E43*Assumptions!$D$16</f>
        <v>43294.666912813758</v>
      </c>
      <c r="M43" s="1234"/>
      <c r="N43" s="44">
        <f t="shared" si="14"/>
        <v>-0.3259974831516767</v>
      </c>
      <c r="O43" t="str">
        <f>LEFT(B43,5)</f>
        <v>5L_W8</v>
      </c>
      <c r="P43" s="52">
        <f>J43*Assumptions!$G$7</f>
        <v>76750.502399999998</v>
      </c>
      <c r="Q43" s="52">
        <f>E43*Assumptions!$D$17</f>
        <v>90936.433632729066</v>
      </c>
      <c r="R43" s="52">
        <f t="shared" si="16"/>
        <v>-14185.931232729068</v>
      </c>
      <c r="S43" s="52">
        <f>I43*Assumptions!$G$7</f>
        <v>113872.72373831777</v>
      </c>
      <c r="T43" s="52">
        <f>D43*Assumptions!$D$17</f>
        <v>130911.06127076678</v>
      </c>
      <c r="U43" s="52">
        <f>S43-T43</f>
        <v>-17038.337532449004</v>
      </c>
      <c r="W43" s="1246" t="s">
        <v>140</v>
      </c>
      <c r="X43" s="551">
        <f t="shared" si="18"/>
        <v>1120</v>
      </c>
      <c r="Y43" s="551">
        <f t="shared" si="19"/>
        <v>778</v>
      </c>
      <c r="Z43" s="1243">
        <v>1.604672897196262</v>
      </c>
      <c r="AA43" s="545">
        <f t="shared" si="20"/>
        <v>1.5569922879177376</v>
      </c>
      <c r="AB43" s="545">
        <f t="shared" si="21"/>
        <v>1.5815656074766358</v>
      </c>
      <c r="AC43" s="545">
        <f>(Y43*AA43/1000)*Assumptions!$G$5</f>
        <v>1.0659791999999999</v>
      </c>
      <c r="AD43" s="637">
        <f>'Monthly Stope Performance_HH'!H14</f>
        <v>71.437853032649969</v>
      </c>
      <c r="AE43" s="636">
        <f>'Monthly Stope Performance_HH'!N14</f>
        <v>46.978255884553739</v>
      </c>
    </row>
    <row r="44" spans="2:40" x14ac:dyDescent="0.25">
      <c r="B44" s="1224" t="str">
        <f>'STOPE SUMMARY PIVOT'!A1864</f>
        <v>6L_E1_STOPE</v>
      </c>
      <c r="C44" s="1180">
        <f>'STOPE SUMMARY'!EO46</f>
        <v>2170</v>
      </c>
      <c r="D44" s="635">
        <f>'March 25 D_R (Tramming)'!F67</f>
        <v>2170</v>
      </c>
      <c r="E44" s="1250">
        <f>'STOPE SUMMARY'!EO47</f>
        <v>2738.2</v>
      </c>
      <c r="F44" s="1243">
        <f>'STOPE SUMMARY'!EP46</f>
        <v>3.0901869158878492</v>
      </c>
      <c r="G44" s="1243">
        <f>'STOPE SUMMARY'!EP47</f>
        <v>3.2370144620553654</v>
      </c>
      <c r="H44" s="1243">
        <f>(C44*F44/1000)*Assumptions!$G$5</f>
        <v>5.9010209345794369</v>
      </c>
      <c r="I44" s="545">
        <f t="shared" si="12"/>
        <v>5.9010209345794369</v>
      </c>
      <c r="J44" s="1243">
        <f>(E44*G44/1000)*Assumptions!$G$5</f>
        <v>7.7999618400000017</v>
      </c>
      <c r="K44" s="551">
        <f t="shared" si="13"/>
        <v>19535.633268064757</v>
      </c>
      <c r="L44" s="551">
        <f>E44*Assumptions!$D$16</f>
        <v>152377.19401113963</v>
      </c>
      <c r="M44" s="1234"/>
      <c r="N44" s="44">
        <f t="shared" si="14"/>
        <v>0.32179870677850791</v>
      </c>
      <c r="O44" t="str">
        <f t="shared" ref="O44:O51" si="24">LEFT(B44,5)</f>
        <v>6L_E1</v>
      </c>
      <c r="P44" s="52">
        <f>J44*Assumptions!$G$7</f>
        <v>561597.25248000014</v>
      </c>
      <c r="Q44" s="52">
        <f>E44*Assumptions!$D$17</f>
        <v>320054.16783179785</v>
      </c>
      <c r="R44" s="52">
        <f t="shared" si="16"/>
        <v>241543.08464820229</v>
      </c>
      <c r="S44" s="52">
        <f>I44*Assumptions!$G$7</f>
        <v>424873.50728971948</v>
      </c>
      <c r="T44" s="52">
        <f>D44*Assumptions!$D$17</f>
        <v>253640.18121211062</v>
      </c>
      <c r="U44" s="52">
        <f t="shared" si="17"/>
        <v>171233.32607760886</v>
      </c>
      <c r="W44" s="1236" t="s">
        <v>150</v>
      </c>
      <c r="X44" s="551">
        <f t="shared" si="18"/>
        <v>2170</v>
      </c>
      <c r="Y44" s="551">
        <f t="shared" si="19"/>
        <v>2738.2</v>
      </c>
      <c r="Z44" s="1243">
        <v>3.0901869158878492</v>
      </c>
      <c r="AA44" s="545">
        <f t="shared" si="20"/>
        <v>3.2370144620553654</v>
      </c>
      <c r="AB44" s="545">
        <f t="shared" si="21"/>
        <v>5.9010209345794369</v>
      </c>
      <c r="AC44" s="545">
        <f>(Y44*AA44/1000)*Assumptions!$G$5</f>
        <v>7.7999618400000017</v>
      </c>
      <c r="AD44" s="637">
        <f>'Monthly Stope Performance_HH'!H15</f>
        <v>368.30565382359305</v>
      </c>
      <c r="AE44" s="636">
        <f>'Monthly Stope Performance_HH'!N15</f>
        <v>493.41651707577739</v>
      </c>
    </row>
    <row r="45" spans="2:40" x14ac:dyDescent="0.25">
      <c r="B45" s="1224" t="str">
        <f>'STOPE SUMMARY PIVOT'!A1866</f>
        <v>6L_W1_STOPE</v>
      </c>
      <c r="C45" s="1180">
        <f>'STOPE SUMMARY'!ES46</f>
        <v>3255</v>
      </c>
      <c r="D45" s="635">
        <f>'March 25 D_R (Tramming)'!F74</f>
        <v>3255</v>
      </c>
      <c r="E45" s="1250">
        <f>'STOPE SUMMARY'!ES47</f>
        <v>2814.1</v>
      </c>
      <c r="F45" s="1243">
        <f>'STOPE SUMMARY'!ET46</f>
        <v>3.0901869158878479</v>
      </c>
      <c r="G45" s="1243">
        <f>'STOPE SUMMARY'!ET47</f>
        <v>2.6445158309939236</v>
      </c>
      <c r="H45" s="1243">
        <f>(C45*F45/1000)*Assumptions!$G$5</f>
        <v>8.8515314018691509</v>
      </c>
      <c r="I45" s="545">
        <f t="shared" si="12"/>
        <v>8.8515314018691509</v>
      </c>
      <c r="J45" s="1243">
        <f>(E45*G45/1000)*Assumptions!$G$5</f>
        <v>6.5489001599999996</v>
      </c>
      <c r="K45" s="551">
        <f t="shared" si="13"/>
        <v>23912.553924991364</v>
      </c>
      <c r="L45" s="551">
        <f>E45*Assumptions!$D$16</f>
        <v>156600.92822538456</v>
      </c>
      <c r="M45" s="1234"/>
      <c r="N45" s="44">
        <f t="shared" si="14"/>
        <v>-0.26013930667216656</v>
      </c>
      <c r="O45" t="str">
        <f t="shared" si="24"/>
        <v>6L_W1</v>
      </c>
      <c r="P45" s="52">
        <f>J45*Assumptions!$G$7</f>
        <v>471520.81151999999</v>
      </c>
      <c r="Q45" s="52">
        <f>E45*Assumptions!$D$17</f>
        <v>328925.72993041499</v>
      </c>
      <c r="R45" s="52">
        <f t="shared" si="16"/>
        <v>142595.081589585</v>
      </c>
      <c r="S45" s="52">
        <f>I45*Assumptions!$G$7</f>
        <v>637310.26093457884</v>
      </c>
      <c r="T45" s="52">
        <f>D45*Assumptions!$D$17</f>
        <v>380460.27181816596</v>
      </c>
      <c r="U45" s="52">
        <f t="shared" si="17"/>
        <v>256849.98911641288</v>
      </c>
      <c r="W45" s="1246" t="s">
        <v>152</v>
      </c>
      <c r="X45" s="551">
        <f t="shared" si="18"/>
        <v>3255</v>
      </c>
      <c r="Y45" s="551">
        <f t="shared" si="19"/>
        <v>2814.1</v>
      </c>
      <c r="Z45" s="1243">
        <v>3.0901869158878479</v>
      </c>
      <c r="AA45" s="545">
        <f t="shared" si="20"/>
        <v>2.6445158309939236</v>
      </c>
      <c r="AB45" s="545">
        <f t="shared" si="21"/>
        <v>8.8515314018691509</v>
      </c>
      <c r="AC45" s="545">
        <f>(Y45*AA45/1000)*Assumptions!$G$5</f>
        <v>6.5489001599999996</v>
      </c>
      <c r="AD45" s="637">
        <f>'Monthly Stope Performance_HH'!H16</f>
        <v>552.45848073538923</v>
      </c>
      <c r="AE45" s="636">
        <f>'Monthly Stope Performance_HH'!N16</f>
        <v>388.18317556177379</v>
      </c>
    </row>
    <row r="46" spans="2:40" x14ac:dyDescent="0.25">
      <c r="B46" s="1224" t="str">
        <f>'STOPE SUMMARY PIVOT'!A1867</f>
        <v>6L_W2_STOPE</v>
      </c>
      <c r="C46" s="1180">
        <f>'STOPE SUMMARY'!EU46</f>
        <v>2170</v>
      </c>
      <c r="D46" s="635">
        <f>'March 25 D_R (Tramming)'!F81</f>
        <v>2170</v>
      </c>
      <c r="E46" s="1250">
        <f>'STOPE SUMMARY'!EU47</f>
        <v>2103.1</v>
      </c>
      <c r="F46" s="1243">
        <f>'STOPE SUMMARY'!EV46</f>
        <v>2.3116822429906541</v>
      </c>
      <c r="G46" s="1243">
        <f>'STOPE SUMMARY'!EV47</f>
        <v>2.5423327468974373</v>
      </c>
      <c r="H46" s="1243">
        <f>(C46*F46/1000)*Assumptions!$G$5</f>
        <v>4.4143884112149534</v>
      </c>
      <c r="I46" s="545">
        <f t="shared" si="12"/>
        <v>4.4143884112149534</v>
      </c>
      <c r="J46" s="1243">
        <f>(E46*G46/1000)*Assumptions!$G$5</f>
        <v>4.7051663999999995</v>
      </c>
      <c r="K46" s="551">
        <f t="shared" si="13"/>
        <v>24873.662777347949</v>
      </c>
      <c r="L46" s="551">
        <f>E46*Assumptions!$D$16</f>
        <v>117034.72234490824</v>
      </c>
      <c r="M46" s="1234"/>
      <c r="N46" s="44">
        <f t="shared" si="14"/>
        <v>6.5870503838382569E-2</v>
      </c>
      <c r="O46" t="str">
        <f t="shared" si="24"/>
        <v>6L_W2</v>
      </c>
      <c r="P46" s="52">
        <f>J46*Assumptions!$G$7</f>
        <v>338771.98079999996</v>
      </c>
      <c r="Q46" s="52">
        <f>E46*Assumptions!$D$17</f>
        <v>245820.58299870501</v>
      </c>
      <c r="R46" s="52">
        <f t="shared" si="16"/>
        <v>92951.397801294952</v>
      </c>
      <c r="S46" s="52">
        <f>I46*Assumptions!$G$7</f>
        <v>317835.96560747665</v>
      </c>
      <c r="T46" s="52">
        <f>D46*Assumptions!$D$17</f>
        <v>253640.18121211062</v>
      </c>
      <c r="U46" s="52">
        <f t="shared" si="17"/>
        <v>64195.784395366034</v>
      </c>
      <c r="W46" s="1236" t="s">
        <v>153</v>
      </c>
      <c r="X46" s="551">
        <f t="shared" si="18"/>
        <v>2170</v>
      </c>
      <c r="Y46" s="551">
        <f t="shared" si="19"/>
        <v>2103.1</v>
      </c>
      <c r="Z46" s="1243">
        <v>2.3116822429906541</v>
      </c>
      <c r="AA46" s="545">
        <f t="shared" si="20"/>
        <v>2.5423327468974373</v>
      </c>
      <c r="AB46" s="545">
        <f t="shared" si="21"/>
        <v>4.4143884112149534</v>
      </c>
      <c r="AC46" s="545">
        <f>(Y46*AA46/1000)*Assumptions!$G$5</f>
        <v>4.7051663999999995</v>
      </c>
      <c r="AD46" s="637">
        <f>'Monthly Stope Performance_HH'!H17</f>
        <v>247.82601890307066</v>
      </c>
      <c r="AE46" s="636">
        <f>'Monthly Stope Performance_HH'!N17</f>
        <v>274.78016505003262</v>
      </c>
      <c r="AH46" s="52">
        <f>SUM(X49,X38)</f>
        <v>2345</v>
      </c>
      <c r="AI46" s="49">
        <f>(X38*Z38+X49*Z49)/AH46</f>
        <v>2.4409192355977121</v>
      </c>
      <c r="AJ46" s="49"/>
      <c r="AK46" s="49"/>
    </row>
    <row r="47" spans="2:40" x14ac:dyDescent="0.25">
      <c r="B47" s="1224" t="str">
        <f>'STOPE SUMMARY PIVOT'!A1871</f>
        <v>6L_W8_STOPE</v>
      </c>
      <c r="C47" s="1180">
        <f>'STOPE SUMMARY'!FC46</f>
        <v>2170</v>
      </c>
      <c r="D47" s="635">
        <f>'March 25 D_R (Tramming)'!F88</f>
        <v>2170</v>
      </c>
      <c r="E47" s="1250">
        <f>'STOPE SUMMARY'!FC47</f>
        <v>530.79999999999995</v>
      </c>
      <c r="F47" s="1243">
        <f>'STOPE SUMMARY'!FD46</f>
        <v>2.2560747663551406</v>
      </c>
      <c r="G47" s="1243">
        <f>'STOPE SUMMARY'!FD47</f>
        <v>1.9271590052750567</v>
      </c>
      <c r="H47" s="1243">
        <f>(C47*F47/1000)*Assumptions!$G$5</f>
        <v>4.3082003738317765</v>
      </c>
      <c r="I47" s="545">
        <f t="shared" si="12"/>
        <v>4.3082003738317765</v>
      </c>
      <c r="J47" s="1243">
        <f>(E47*G47/1000)*Assumptions!$G$5</f>
        <v>0.90018368000000004</v>
      </c>
      <c r="K47" s="551" t="str">
        <f t="shared" si="13"/>
        <v/>
      </c>
      <c r="L47" s="551" t="s">
        <v>10</v>
      </c>
      <c r="M47" s="1234"/>
      <c r="N47" s="44">
        <f t="shared" si="14"/>
        <v>-0.7910534325497578</v>
      </c>
      <c r="O47" t="str">
        <f t="shared" si="24"/>
        <v>6L_W8</v>
      </c>
      <c r="P47" s="52">
        <f>J47*Assumptions!$G$7</f>
        <v>64813.22496</v>
      </c>
      <c r="Q47" s="52">
        <f>E47*Assumptions!$D$17</f>
        <v>62042.492252252676</v>
      </c>
      <c r="R47" s="52">
        <f t="shared" si="16"/>
        <v>2770.7327077473237</v>
      </c>
      <c r="S47" s="52">
        <f>I47*Assumptions!$G$7</f>
        <v>310190.42691588792</v>
      </c>
      <c r="T47" s="52">
        <f>D47*Assumptions!$D$17</f>
        <v>253640.18121211062</v>
      </c>
      <c r="U47" s="52">
        <f t="shared" si="17"/>
        <v>56550.245703777298</v>
      </c>
      <c r="W47" s="1251" t="s">
        <v>157</v>
      </c>
      <c r="X47" s="551">
        <f t="shared" si="18"/>
        <v>2170</v>
      </c>
      <c r="Y47" s="551">
        <f t="shared" si="19"/>
        <v>530.79999999999995</v>
      </c>
      <c r="Z47" s="1243">
        <v>2.2560747663551406</v>
      </c>
      <c r="AA47" s="545">
        <f t="shared" si="20"/>
        <v>1.9271590052750567</v>
      </c>
      <c r="AB47" s="545">
        <f t="shared" si="21"/>
        <v>4.3082003738317765</v>
      </c>
      <c r="AC47" s="545">
        <f>(Y47*AA47/1000)*Assumptions!$G$5</f>
        <v>0.90018368000000004</v>
      </c>
      <c r="AD47" s="637">
        <f>'Monthly Stope Performance_HH'!H18</f>
        <v>239.22033069446192</v>
      </c>
      <c r="AE47" s="636">
        <f>'Monthly Stope Performance_HH'!N18</f>
        <v>46.064161063865065</v>
      </c>
    </row>
    <row r="48" spans="2:40" x14ac:dyDescent="0.25">
      <c r="B48" s="1224" t="str">
        <f>'STOPE SUMMARY PIVOT'!A1872</f>
        <v>6L_W9_STOPE</v>
      </c>
      <c r="C48" s="1180">
        <f>'STOPE SUMMARY'!FE46</f>
        <v>4340</v>
      </c>
      <c r="D48" s="635">
        <f>'March 25 D_R (Tramming)'!F95</f>
        <v>4340</v>
      </c>
      <c r="E48" s="1250">
        <f>'STOPE SUMMARY'!FE47</f>
        <v>5164.5999999999995</v>
      </c>
      <c r="F48" s="1243">
        <f>'STOPE SUMMARY'!FF46</f>
        <v>2.0098130841121482</v>
      </c>
      <c r="G48" s="1243">
        <f>'STOPE SUMMARY'!FF47</f>
        <v>2.4794214459977546</v>
      </c>
      <c r="H48" s="1243">
        <f>(C48*F48/1000)*Assumptions!$G$5</f>
        <v>7.6758781308411157</v>
      </c>
      <c r="I48" s="545">
        <f t="shared" si="12"/>
        <v>7.6758781308411157</v>
      </c>
      <c r="J48" s="1243">
        <f>(E48*G48/1000)*Assumptions!$G$5</f>
        <v>11.268593600000003</v>
      </c>
      <c r="K48" s="551">
        <f t="shared" si="13"/>
        <v>25504.791658639551</v>
      </c>
      <c r="L48" s="551">
        <f>E48*Assumptions!$D$16</f>
        <v>287403.13205387909</v>
      </c>
      <c r="M48" s="1234"/>
      <c r="N48" s="44">
        <f t="shared" si="14"/>
        <v>0.46805269806507471</v>
      </c>
      <c r="O48" t="str">
        <f t="shared" si="24"/>
        <v>6L_W9</v>
      </c>
      <c r="P48" s="52">
        <f>J48*Assumptions!$G$7</f>
        <v>811338.73920000019</v>
      </c>
      <c r="Q48" s="52">
        <f>E48*Assumptions!$D$17</f>
        <v>603663.63128482329</v>
      </c>
      <c r="R48" s="52">
        <f t="shared" si="16"/>
        <v>207675.10791517689</v>
      </c>
      <c r="S48" s="52">
        <f>I48*Assumptions!$G$7</f>
        <v>552663.22542056034</v>
      </c>
      <c r="T48" s="52">
        <f>D48*Assumptions!$D$17</f>
        <v>507280.36242422124</v>
      </c>
      <c r="U48" s="52">
        <f t="shared" si="17"/>
        <v>45382.862996339099</v>
      </c>
      <c r="W48" s="1236" t="s">
        <v>158</v>
      </c>
      <c r="X48" s="551">
        <f t="shared" si="18"/>
        <v>4340</v>
      </c>
      <c r="Y48" s="551">
        <f t="shared" si="19"/>
        <v>5164.5999999999995</v>
      </c>
      <c r="Z48" s="1243">
        <v>2.0098130841121482</v>
      </c>
      <c r="AA48" s="545">
        <f t="shared" si="20"/>
        <v>2.4794214459977546</v>
      </c>
      <c r="AB48" s="545">
        <f t="shared" si="21"/>
        <v>7.6758781308411157</v>
      </c>
      <c r="AC48" s="545">
        <f>(Y48*AA48/1000)*Assumptions!$G$5</f>
        <v>11.268593600000003</v>
      </c>
      <c r="AD48" s="637">
        <f>'Monthly Stope Performance_HH'!H19</f>
        <v>402.21885154124567</v>
      </c>
      <c r="AE48" s="636">
        <f>'Monthly Stope Performance_HH'!N19</f>
        <v>651.60820783492454</v>
      </c>
    </row>
    <row r="49" spans="2:40" ht="15.75" thickBot="1" x14ac:dyDescent="0.3">
      <c r="B49" s="1252" t="str">
        <f>'STOPE SUMMARY PIVOT'!A1873</f>
        <v>6L_W10_STOPE</v>
      </c>
      <c r="C49" s="1253">
        <f>'STOPE SUMMARY'!FG46</f>
        <v>1085</v>
      </c>
      <c r="D49" s="544">
        <f>'March 25 D_R (Tramming)'!F102</f>
        <v>1085</v>
      </c>
      <c r="E49" s="1253">
        <f>'STOPE SUMMARY'!FG47</f>
        <v>54</v>
      </c>
      <c r="F49" s="1254">
        <f>'STOPE SUMMARY'!FH46</f>
        <v>1.7238317757009356</v>
      </c>
      <c r="G49" s="1254">
        <f>'STOPE SUMMARY'!FH47</f>
        <v>5.9900000000000011</v>
      </c>
      <c r="H49" s="1254">
        <f>(C49*F49/1000)*Assumptions!$G$5</f>
        <v>1.6459145794392533</v>
      </c>
      <c r="I49" s="545">
        <f t="shared" si="12"/>
        <v>1.6459145794392533</v>
      </c>
      <c r="J49" s="1254">
        <f>(E49*G49/1000)*Assumptions!$G$5</f>
        <v>0.28464480000000003</v>
      </c>
      <c r="K49" s="551">
        <f t="shared" si="13"/>
        <v>10557.11642973882</v>
      </c>
      <c r="L49" s="1230">
        <f>E49*Assumptions!$D$16</f>
        <v>3005.0282947197211</v>
      </c>
      <c r="M49" s="1255"/>
      <c r="N49" s="44">
        <f t="shared" si="14"/>
        <v>-0.82705979790459372</v>
      </c>
      <c r="O49" t="str">
        <f>LEFT(B49,6)</f>
        <v>6L_W10</v>
      </c>
      <c r="P49" s="52">
        <f>J49*Assumptions!$G$7</f>
        <v>20494.425600000002</v>
      </c>
      <c r="W49" s="1256" t="s">
        <v>159</v>
      </c>
      <c r="X49" s="551">
        <f t="shared" si="18"/>
        <v>1085</v>
      </c>
      <c r="Y49" s="551">
        <f t="shared" si="19"/>
        <v>54</v>
      </c>
      <c r="Z49" s="1254">
        <v>1.7238317757009356</v>
      </c>
      <c r="AA49" s="545">
        <f t="shared" si="20"/>
        <v>5.9900000000000011</v>
      </c>
      <c r="AB49" s="545">
        <f t="shared" si="21"/>
        <v>1.6459145794392533</v>
      </c>
      <c r="AC49" s="545">
        <f>(Y49*AA49/1000)*Assumptions!$G$5</f>
        <v>0.28464480000000003</v>
      </c>
      <c r="AD49" s="637">
        <f>'Monthly Stope Performance_HH'!H20</f>
        <v>78.425800348889098</v>
      </c>
      <c r="AE49" s="636">
        <f>'Monthly Stope Performance_HH'!N20</f>
        <v>20.332722394094045</v>
      </c>
    </row>
    <row r="50" spans="2:40" ht="15.75" thickBot="1" x14ac:dyDescent="0.3">
      <c r="B50" s="65" t="s">
        <v>232</v>
      </c>
      <c r="C50" s="70">
        <f>SUM(C37:C49)</f>
        <v>28910</v>
      </c>
      <c r="D50" s="70">
        <f>SUM(D37:D49)</f>
        <v>28910</v>
      </c>
      <c r="E50" s="70">
        <f>SUM(E37:E49)</f>
        <v>27002.799999999996</v>
      </c>
      <c r="F50" s="66">
        <f>SUMPRODUCT(C37:C49,F37:F49)/C50</f>
        <v>2.4611160643569954</v>
      </c>
      <c r="G50" s="66">
        <f>SUMPRODUCT(E37:E49,G37:G49)/E50</f>
        <v>2.5672741715673935</v>
      </c>
      <c r="H50" s="67">
        <f>SUM(H37:H49)</f>
        <v>62.61276157009344</v>
      </c>
      <c r="I50" s="67">
        <f>SUM(I37:I49)</f>
        <v>62.61276157009344</v>
      </c>
      <c r="J50" s="67">
        <f>SUM(J37:J49)</f>
        <v>61.004760080000004</v>
      </c>
      <c r="K50" s="70">
        <f>SUMPRODUCT(J37:J49,K37:K49)/J50</f>
        <v>22967.425245370003</v>
      </c>
      <c r="L50" s="70">
        <f>SUM(L37:L49)</f>
        <v>1401122.2667491322</v>
      </c>
      <c r="M50" s="550"/>
      <c r="O50" t="str">
        <f t="shared" si="24"/>
        <v>TOTAL</v>
      </c>
      <c r="W50" s="65" t="s">
        <v>232</v>
      </c>
      <c r="X50" s="70">
        <f>SUM(X37:X49)</f>
        <v>28910</v>
      </c>
      <c r="Y50" s="70">
        <f>SUM(Y37:Y49)</f>
        <v>27002.799999999996</v>
      </c>
      <c r="Z50" s="66">
        <f>SUMPRODUCT(X37:X49,Z37:Z49)/X50</f>
        <v>2.4611160643569954</v>
      </c>
      <c r="AA50" s="66">
        <f>SUMPRODUCT(Y37:Y49,AA37:AA49)/Y50</f>
        <v>2.5672741715673935</v>
      </c>
      <c r="AB50" s="667">
        <f>SUM(AB37:AB49)</f>
        <v>62.61276157009344</v>
      </c>
      <c r="AC50" s="667">
        <f>SUM(AC37:AC49)</f>
        <v>61.004760080000004</v>
      </c>
      <c r="AD50" s="70">
        <f>SUM(AD37:AD49)</f>
        <v>3609.7806905745492</v>
      </c>
      <c r="AE50" s="69">
        <f>SUM(AE37:AE49)</f>
        <v>3334.996114160766</v>
      </c>
    </row>
    <row r="51" spans="2:40" x14ac:dyDescent="0.25">
      <c r="J51" s="52">
        <f>J50*K50</f>
        <v>1401122.2667491322</v>
      </c>
      <c r="O51" t="str">
        <f t="shared" si="24"/>
        <v/>
      </c>
    </row>
    <row r="58" spans="2:40" ht="15.75" thickBot="1" x14ac:dyDescent="0.3"/>
    <row r="59" spans="2:40" ht="15.75" thickBot="1" x14ac:dyDescent="0.3">
      <c r="B59" s="1594" t="s">
        <v>266</v>
      </c>
      <c r="C59" s="1595"/>
      <c r="D59" s="1595"/>
      <c r="E59" s="1595"/>
      <c r="F59" s="1595"/>
      <c r="G59" s="1595"/>
      <c r="H59" s="1595"/>
      <c r="I59" s="1595"/>
      <c r="J59" s="1595"/>
      <c r="K59" s="1595"/>
      <c r="L59" s="1595"/>
      <c r="M59" s="1596"/>
      <c r="O59" s="1594" t="s">
        <v>267</v>
      </c>
      <c r="P59" s="1595"/>
      <c r="Q59" s="1595"/>
      <c r="R59" s="1595"/>
      <c r="S59" s="1595"/>
      <c r="T59" s="1595"/>
      <c r="U59" s="1595"/>
      <c r="V59" s="1595"/>
      <c r="W59" s="1596"/>
    </row>
    <row r="60" spans="2:40" ht="60.75" thickBot="1" x14ac:dyDescent="0.3">
      <c r="B60" s="547" t="s">
        <v>224</v>
      </c>
      <c r="C60" s="548" t="s">
        <v>246</v>
      </c>
      <c r="D60" s="548" t="s">
        <v>247</v>
      </c>
      <c r="E60" s="548" t="s">
        <v>248</v>
      </c>
      <c r="F60" s="548" t="s">
        <v>226</v>
      </c>
      <c r="G60" s="548" t="s">
        <v>249</v>
      </c>
      <c r="H60" s="548" t="s">
        <v>227</v>
      </c>
      <c r="I60" s="548" t="s">
        <v>250</v>
      </c>
      <c r="J60" s="548" t="s">
        <v>251</v>
      </c>
      <c r="K60" s="548" t="s">
        <v>268</v>
      </c>
      <c r="L60" s="548" t="s">
        <v>258</v>
      </c>
      <c r="M60" s="549" t="s">
        <v>259</v>
      </c>
      <c r="O60" s="547" t="s">
        <v>224</v>
      </c>
      <c r="P60" s="548" t="s">
        <v>225</v>
      </c>
      <c r="Q60" s="548" t="s">
        <v>255</v>
      </c>
      <c r="R60" s="548" t="s">
        <v>226</v>
      </c>
      <c r="S60" s="548" t="s">
        <v>65</v>
      </c>
      <c r="T60" s="548" t="s">
        <v>256</v>
      </c>
      <c r="U60" s="548" t="s">
        <v>257</v>
      </c>
      <c r="V60" s="548" t="s">
        <v>258</v>
      </c>
      <c r="W60" s="549" t="s">
        <v>259</v>
      </c>
      <c r="AH60" s="547" t="s">
        <v>260</v>
      </c>
      <c r="AI60" s="548" t="s">
        <v>261</v>
      </c>
      <c r="AJ60" s="548" t="s">
        <v>25</v>
      </c>
      <c r="AK60" s="548" t="s">
        <v>269</v>
      </c>
      <c r="AL60" s="549" t="s">
        <v>32</v>
      </c>
      <c r="AM60" s="770" t="s">
        <v>262</v>
      </c>
      <c r="AN60" s="549" t="s">
        <v>263</v>
      </c>
    </row>
    <row r="61" spans="2:40" x14ac:dyDescent="0.25">
      <c r="B61" s="543" t="s">
        <v>80</v>
      </c>
      <c r="C61" s="551">
        <f>'STOPE SUMMARY PIVOT'!G1922</f>
        <v>1890</v>
      </c>
      <c r="D61" s="544">
        <f>'April 25 D_R (Tramming)'!G18</f>
        <v>2030</v>
      </c>
      <c r="E61" s="544">
        <f>'April 25 D_R (Tramming)'!G19</f>
        <v>2125</v>
      </c>
      <c r="F61" s="545">
        <f>'STOPE SUMMARY PIVOT'!H1922</f>
        <v>1.83</v>
      </c>
      <c r="G61" s="545">
        <f>'April 25 D_R (Tramming)'!G22</f>
        <v>1.882352941176471</v>
      </c>
      <c r="H61" s="545">
        <f>(C61*F61/1000)*Assumptions!$G$5</f>
        <v>3.0436560000000004</v>
      </c>
      <c r="I61" s="545">
        <f>(D61*F61/1000)*Assumptions!$G$5</f>
        <v>3.2691120000000002</v>
      </c>
      <c r="J61" s="545">
        <f>(E61*G61/1000)*Assumptions!$G$5</f>
        <v>3.5200000000000009</v>
      </c>
      <c r="K61" s="551">
        <f>((H61*32.1507*'Monthly Stope Performance_HH'!$D$50)/1000)-(C61*'Monthly Stope Performance_HH'!$D$58)/1000</f>
        <v>150.38040891467907</v>
      </c>
      <c r="L61" s="551">
        <f>((I61*32.1507*'Monthly Stope Performance_HH'!$D$50)/1000)-(D61*'Monthly Stope Performance_HH'!$D$58)/1000</f>
        <v>161.51969846391458</v>
      </c>
      <c r="M61" s="636">
        <f>((J61*32.1507*'Monthly Stope Performance_HH'!$D$50)/1000)-(E61*'Monthly Stope Performance_HH'!$D$58)/1000</f>
        <v>176.99505897217693</v>
      </c>
      <c r="O61" s="783" t="str">
        <f>B61</f>
        <v>1L_W24_STOPE</v>
      </c>
      <c r="P61" s="551">
        <f>D61</f>
        <v>2030</v>
      </c>
      <c r="Q61" s="551">
        <f>E61</f>
        <v>2125</v>
      </c>
      <c r="R61" s="545">
        <f>F61</f>
        <v>1.83</v>
      </c>
      <c r="S61" s="545">
        <f>G61</f>
        <v>1.882352941176471</v>
      </c>
      <c r="T61" s="545">
        <f>I61</f>
        <v>3.2691120000000002</v>
      </c>
      <c r="U61" s="545">
        <f>(Q61*S61/1000)*Assumptions!$G$5</f>
        <v>3.5200000000000009</v>
      </c>
      <c r="V61" s="637">
        <f>L61</f>
        <v>161.51969846391458</v>
      </c>
      <c r="W61" s="636">
        <f>M61</f>
        <v>176.99505897217693</v>
      </c>
      <c r="AH61" s="668" t="s">
        <v>264</v>
      </c>
      <c r="AI61" s="637">
        <f>'Yearly Forecast'!F8</f>
        <v>23526</v>
      </c>
      <c r="AJ61" s="785">
        <f>'April 25 D_R (Tramming)'!B10</f>
        <v>26376.6</v>
      </c>
      <c r="AK61" s="785">
        <f>P73</f>
        <v>21665</v>
      </c>
      <c r="AL61" s="774">
        <f>E73</f>
        <v>21568</v>
      </c>
      <c r="AM61" s="771">
        <f>AL61-AI61</f>
        <v>-1958</v>
      </c>
      <c r="AN61" s="669">
        <f>(AL61-AI61)/AL61</f>
        <v>-9.0782640949554891E-2</v>
      </c>
    </row>
    <row r="62" spans="2:40" x14ac:dyDescent="0.25">
      <c r="B62" s="1224" t="s">
        <v>270</v>
      </c>
      <c r="C62" s="1257">
        <f>'STOPE SUMMARY PIVOT'!G1932</f>
        <v>2940</v>
      </c>
      <c r="D62" s="1180">
        <f>'April 25 D_R (Tramming)'!G25</f>
        <v>3045</v>
      </c>
      <c r="E62" s="1180">
        <f>'April 25 D_R (Tramming)'!G26</f>
        <v>2726</v>
      </c>
      <c r="F62" s="1243">
        <f>'STOPE SUMMARY PIVOT'!H1932</f>
        <v>3.06</v>
      </c>
      <c r="G62" s="1243">
        <f>'April 25 D_R (Tramming)'!G29</f>
        <v>2.0542920029347025</v>
      </c>
      <c r="H62" s="545">
        <f>(C62*F62/1000)*Assumptions!$G$5</f>
        <v>7.9168319999999994</v>
      </c>
      <c r="I62" s="545">
        <f>(D62*F62/1000)*Assumptions!$G$5</f>
        <v>8.1995760000000004</v>
      </c>
      <c r="J62" s="545">
        <f>(E62*G62/1000)*Assumptions!$G$5</f>
        <v>4.927999999999999</v>
      </c>
      <c r="K62" s="551">
        <f>((H62*32.1507*'Monthly Stope Performance_HH'!$D$50)/1000)-(C62*'Monthly Stope Performance_HH'!$D$58)/1000</f>
        <v>491.25409635045662</v>
      </c>
      <c r="L62" s="551">
        <f>((I62*32.1507*'Monthly Stope Performance_HH'!$D$50)/1000)-(D62*'Monthly Stope Performance_HH'!$D$58)/1000</f>
        <v>508.79888550583007</v>
      </c>
      <c r="M62" s="636">
        <f>((J62*32.1507*'Monthly Stope Performance_HH'!$D$50)/1000)-(E62*'Monthly Stope Performance_HH'!$D$58)/1000</f>
        <v>260.40656583685598</v>
      </c>
      <c r="O62" s="783" t="str">
        <f t="shared" ref="O62:O71" si="25">B62</f>
        <v>3L_W23A_STOPE</v>
      </c>
      <c r="P62" s="551">
        <f t="shared" ref="P62:P71" si="26">D62</f>
        <v>3045</v>
      </c>
      <c r="Q62" s="551">
        <f t="shared" ref="Q62:Q71" si="27">E62</f>
        <v>2726</v>
      </c>
      <c r="R62" s="545">
        <f t="shared" ref="R62:R71" si="28">F62</f>
        <v>3.06</v>
      </c>
      <c r="S62" s="545">
        <f t="shared" ref="S62:S71" si="29">G62</f>
        <v>2.0542920029347025</v>
      </c>
      <c r="T62" s="545">
        <f t="shared" ref="T62:T71" si="30">I62</f>
        <v>8.1995760000000004</v>
      </c>
      <c r="U62" s="545">
        <f>(Q62*S62/1000)*Assumptions!$G$5</f>
        <v>4.927999999999999</v>
      </c>
      <c r="V62" s="637">
        <f t="shared" ref="V62:V71" si="31">L62</f>
        <v>508.79888550583007</v>
      </c>
      <c r="W62" s="636">
        <f t="shared" ref="W62:W71" si="32">M62</f>
        <v>260.40656583685598</v>
      </c>
      <c r="AH62" s="668" t="s">
        <v>2</v>
      </c>
      <c r="AI62" s="1245">
        <f>'Yearly Forecast'!F9</f>
        <v>2.5499999999999998</v>
      </c>
      <c r="AJ62" s="1258">
        <f>'April 25 D_R (Tramming)'!B11</f>
        <v>2.3922719380056567</v>
      </c>
      <c r="AK62" s="1258">
        <f>R73</f>
        <v>2.5100807754442651</v>
      </c>
      <c r="AL62" s="1259">
        <f>G73</f>
        <v>2.2718842729970326</v>
      </c>
      <c r="AM62" s="772">
        <f t="shared" ref="AM62:AM64" si="33">AL62-AI62</f>
        <v>-0.27811572700296727</v>
      </c>
      <c r="AN62" s="669">
        <f t="shared" ref="AN62:AN63" si="34">(AL62-AI62)/AL62</f>
        <v>-0.12241632653061221</v>
      </c>
    </row>
    <row r="63" spans="2:40" x14ac:dyDescent="0.25">
      <c r="B63" s="1224" t="s">
        <v>91</v>
      </c>
      <c r="C63" s="1257">
        <f>'STOPE SUMMARY PIVOT'!G1968</f>
        <v>3920</v>
      </c>
      <c r="D63" s="1172">
        <f>'April 25 D_R (Tramming)'!G39</f>
        <v>4060</v>
      </c>
      <c r="E63" s="1180">
        <f>'April 25 D_R (Tramming)'!G40</f>
        <v>4161</v>
      </c>
      <c r="F63" s="1243">
        <f>'STOPE SUMMARY PIVOT'!H1968</f>
        <v>3.06</v>
      </c>
      <c r="G63" s="1243">
        <f>'April 25 D_R (Tramming)'!G43</f>
        <v>2.2590723383801965</v>
      </c>
      <c r="H63" s="545">
        <f>(C63*F63/1000)*Assumptions!$G$5</f>
        <v>10.555776</v>
      </c>
      <c r="I63" s="545">
        <f>(D63*F63/1000)*Assumptions!$G$5</f>
        <v>10.932768000000001</v>
      </c>
      <c r="J63" s="545">
        <f>(E63*G63/1000)*Assumptions!$G$5</f>
        <v>8.2719999999999985</v>
      </c>
      <c r="K63" s="551">
        <f>((H63*32.1507*'Monthly Stope Performance_HH'!$D$50)/1000)-(C63*'Monthly Stope Performance_HH'!$D$58)/1000</f>
        <v>655.00546180060894</v>
      </c>
      <c r="L63" s="551">
        <f>((I63*32.1507*'Monthly Stope Performance_HH'!$D$50)/1000)-(D63*'Monthly Stope Performance_HH'!$D$58)/1000</f>
        <v>678.39851400777343</v>
      </c>
      <c r="M63" s="636">
        <f>((J63*32.1507*'Monthly Stope Performance_HH'!$D$50)/1000)-(E63*'Monthly Stope Performance_HH'!$D$58)/1000</f>
        <v>458.12263837549688</v>
      </c>
      <c r="O63" s="783" t="str">
        <f t="shared" si="25"/>
        <v>3L_W24A_STOPE</v>
      </c>
      <c r="P63" s="551">
        <f t="shared" si="26"/>
        <v>4060</v>
      </c>
      <c r="Q63" s="551">
        <f t="shared" si="27"/>
        <v>4161</v>
      </c>
      <c r="R63" s="545">
        <f t="shared" si="28"/>
        <v>3.06</v>
      </c>
      <c r="S63" s="545">
        <f t="shared" si="29"/>
        <v>2.2590723383801965</v>
      </c>
      <c r="T63" s="545">
        <f t="shared" si="30"/>
        <v>10.932768000000001</v>
      </c>
      <c r="U63" s="545">
        <f>(Q63*S63/1000)*Assumptions!$G$5</f>
        <v>8.2719999999999985</v>
      </c>
      <c r="V63" s="637">
        <f t="shared" si="31"/>
        <v>678.39851400777343</v>
      </c>
      <c r="W63" s="636">
        <f t="shared" si="32"/>
        <v>458.12263837549688</v>
      </c>
      <c r="AH63" s="670" t="s">
        <v>3</v>
      </c>
      <c r="AI63" s="1260">
        <f>'Yearly Forecast'!F10</f>
        <v>53.327651118770291</v>
      </c>
      <c r="AJ63" s="1261">
        <f>'April 25 D_R (Tramming)'!B12</f>
        <v>63.099999999999987</v>
      </c>
      <c r="AK63" s="1261">
        <f>T73</f>
        <v>47.85519200000001</v>
      </c>
      <c r="AL63" s="1262">
        <f>J73</f>
        <v>43.120000000000005</v>
      </c>
      <c r="AM63" s="772">
        <f t="shared" si="33"/>
        <v>-10.207651118770286</v>
      </c>
      <c r="AN63" s="669">
        <f t="shared" si="34"/>
        <v>-0.23672660293994169</v>
      </c>
    </row>
    <row r="64" spans="2:40" ht="30.75" thickBot="1" x14ac:dyDescent="0.3">
      <c r="B64" s="1224" t="s">
        <v>126</v>
      </c>
      <c r="C64" s="1257">
        <f>'STOPE SUMMARY PIVOT'!G1971</f>
        <v>1960</v>
      </c>
      <c r="D64" s="1180">
        <f>'April 25 D_R (Tramming)'!G46</f>
        <v>2030</v>
      </c>
      <c r="E64" s="1180">
        <f>'April 25 D_R (Tramming)'!G47</f>
        <v>1695</v>
      </c>
      <c r="F64" s="1243">
        <f>'STOPE SUMMARY PIVOT'!H1971</f>
        <v>1.68</v>
      </c>
      <c r="G64" s="1243">
        <f>'April 25 D_R (Tramming)'!G50</f>
        <v>2.3598820058997054</v>
      </c>
      <c r="H64" s="545">
        <f>(C64*F64/1000)*Assumptions!$G$5</f>
        <v>2.8976639999999998</v>
      </c>
      <c r="I64" s="545">
        <f>(D64*F64/1000)*Assumptions!$G$5</f>
        <v>3.0011520000000003</v>
      </c>
      <c r="J64" s="545">
        <f>(E64*G64/1000)*Assumptions!$G$5</f>
        <v>3.5200000000000009</v>
      </c>
      <c r="K64" s="551">
        <f>((H64*32.1507*'Monthly Stope Performance_HH'!$D$50)/1000)-(C64*'Monthly Stope Performance_HH'!$D$58)/1000</f>
        <v>135.02899549283245</v>
      </c>
      <c r="L64" s="551">
        <f>((I64*32.1507*'Monthly Stope Performance_HH'!$D$50)/1000)-(D64*'Monthly Stope Performance_HH'!$D$58)/1000</f>
        <v>139.85145961757647</v>
      </c>
      <c r="M64" s="636">
        <f>((J64*32.1507*'Monthly Stope Performance_HH'!$D$50)/1000)-(E64*'Monthly Stope Performance_HH'!$D$58)/1000</f>
        <v>198.77737948863324</v>
      </c>
      <c r="O64" s="782" t="str">
        <f t="shared" si="25"/>
        <v>4L_W23B_STOPE</v>
      </c>
      <c r="P64" s="551">
        <f t="shared" si="26"/>
        <v>2030</v>
      </c>
      <c r="Q64" s="551">
        <f t="shared" si="27"/>
        <v>1695</v>
      </c>
      <c r="R64" s="545">
        <f t="shared" si="28"/>
        <v>1.68</v>
      </c>
      <c r="S64" s="545">
        <f t="shared" si="29"/>
        <v>2.3598820058997054</v>
      </c>
      <c r="T64" s="545">
        <f t="shared" si="30"/>
        <v>3.0011520000000003</v>
      </c>
      <c r="U64" s="545">
        <f>(Q64*S64/1000)*Assumptions!$G$5</f>
        <v>3.5200000000000009</v>
      </c>
      <c r="V64" s="637">
        <f t="shared" si="31"/>
        <v>139.85145961757647</v>
      </c>
      <c r="W64" s="636">
        <f t="shared" si="32"/>
        <v>198.77737948863324</v>
      </c>
      <c r="AH64" s="671" t="s">
        <v>265</v>
      </c>
      <c r="AI64" s="1249">
        <f>((AI63*32.1507*'Monthly Stope Performance_HH'!D50)/1000)-(AI61*'Monthly Stope Performance_HH'!D58/1000)</f>
        <v>3120.5253238235009</v>
      </c>
      <c r="AJ64" s="1249">
        <f>((AJ63*32.1507*'Monthly Stope Performance_HH'!D50)/1000)-(AJ61*'Monthly Stope Performance_HH'!D58/1000)</f>
        <v>3766.3520894327803</v>
      </c>
      <c r="AK64" s="1263">
        <f>V73</f>
        <v>2772.2738516686668</v>
      </c>
      <c r="AL64" s="1264">
        <f>M73</f>
        <v>2394.2823608860822</v>
      </c>
      <c r="AM64" s="773">
        <f t="shared" si="33"/>
        <v>-726.24296293741872</v>
      </c>
      <c r="AN64" s="672">
        <f>(AL64-AI64)/AL64</f>
        <v>-0.30332385803846829</v>
      </c>
    </row>
    <row r="65" spans="2:23" x14ac:dyDescent="0.25">
      <c r="B65" s="1224" t="s">
        <v>129</v>
      </c>
      <c r="C65" s="1257">
        <f>'STOPE SUMMARY PIVOT'!G1980</f>
        <v>1050</v>
      </c>
      <c r="D65" s="1172">
        <f>'April 25 D_R (Tramming)'!G53</f>
        <v>1050</v>
      </c>
      <c r="E65" s="1180">
        <f>'April 25 D_R (Tramming)'!G54</f>
        <v>1481</v>
      </c>
      <c r="F65" s="1243">
        <f>'STOPE SUMMARY PIVOT'!H1980</f>
        <v>1.68</v>
      </c>
      <c r="G65" s="1243">
        <f>'April 25 D_R (Tramming)'!G57</f>
        <v>2.160702228224173</v>
      </c>
      <c r="H65" s="545">
        <f>(C65*F65/1000)*Assumptions!$G$5</f>
        <v>1.5523199999999999</v>
      </c>
      <c r="I65" s="545">
        <f>(D65*F65/1000)*Assumptions!$G$5</f>
        <v>1.5523199999999999</v>
      </c>
      <c r="J65" s="545">
        <f>(E65*G65/1000)*Assumptions!$G$5</f>
        <v>2.8160000000000007</v>
      </c>
      <c r="K65" s="551">
        <f>((H65*32.1507*'Monthly Stope Performance_HH'!$D$50)/1000)-(C65*'Monthly Stope Performance_HH'!$D$58)/1000</f>
        <v>72.336961871160241</v>
      </c>
      <c r="L65" s="551">
        <f>((I65*32.1507*'Monthly Stope Performance_HH'!$D$50)/1000)-(D65*'Monthly Stope Performance_HH'!$D$58)/1000</f>
        <v>72.336961871160241</v>
      </c>
      <c r="M65" s="636">
        <f>((J65*32.1507*'Monthly Stope Performance_HH'!$D$50)/1000)-(E65*'Monthly Stope Performance_HH'!$D$58)/1000</f>
        <v>152.68983367333212</v>
      </c>
      <c r="O65" s="782" t="str">
        <f t="shared" si="25"/>
        <v>4L_W26_STOPE</v>
      </c>
      <c r="P65" s="551">
        <f t="shared" si="26"/>
        <v>1050</v>
      </c>
      <c r="Q65" s="551">
        <f t="shared" si="27"/>
        <v>1481</v>
      </c>
      <c r="R65" s="545">
        <f t="shared" si="28"/>
        <v>1.68</v>
      </c>
      <c r="S65" s="545">
        <f t="shared" si="29"/>
        <v>2.160702228224173</v>
      </c>
      <c r="T65" s="545">
        <f t="shared" si="30"/>
        <v>1.5523199999999999</v>
      </c>
      <c r="U65" s="545">
        <f>(Q65*S65/1000)*Assumptions!$G$5</f>
        <v>2.8160000000000007</v>
      </c>
      <c r="V65" s="637">
        <f t="shared" si="31"/>
        <v>72.336961871160241</v>
      </c>
      <c r="W65" s="636">
        <f t="shared" si="32"/>
        <v>152.68983367333212</v>
      </c>
    </row>
    <row r="66" spans="2:23" x14ac:dyDescent="0.25">
      <c r="B66" s="1224" t="s">
        <v>231</v>
      </c>
      <c r="C66" s="1257">
        <f>'STOPE SUMMARY PIVOT'!G1981</f>
        <v>1470</v>
      </c>
      <c r="D66" s="1180">
        <f>'April 25 D_R (Tramming)'!G60</f>
        <v>1540</v>
      </c>
      <c r="E66" s="1180">
        <f>'April 25 D_R (Tramming)'!G61</f>
        <v>1881</v>
      </c>
      <c r="F66" s="1243">
        <f>'STOPE SUMMARY PIVOT'!H1981</f>
        <v>1.6</v>
      </c>
      <c r="G66" s="1243">
        <f>'April 25 D_R (Tramming)'!G64</f>
        <v>3.0834662413609788</v>
      </c>
      <c r="H66" s="545">
        <f>(C66*F66/1000)*Assumptions!$G$5</f>
        <v>2.06976</v>
      </c>
      <c r="I66" s="545">
        <f>(D66*F66/1000)*Assumptions!$G$5</f>
        <v>2.16832</v>
      </c>
      <c r="J66" s="545">
        <f>(E66*G66/1000)*Assumptions!$G$5</f>
        <v>5.104000000000001</v>
      </c>
      <c r="K66" s="551">
        <f>((H66*32.1507*'Monthly Stope Performance_HH'!$D$50)/1000)-(C66*'Monthly Stope Performance_HH'!$D$58)/1000</f>
        <v>92.903323341038615</v>
      </c>
      <c r="L66" s="551">
        <f>((I66*32.1507*'Monthly Stope Performance_HH'!$D$50)/1000)-(D66*'Monthly Stope Performance_HH'!$D$58)/1000</f>
        <v>97.3272911191833</v>
      </c>
      <c r="M66" s="636">
        <f>((J66*32.1507*'Monthly Stope Performance_HH'!$D$50)/1000)-(E66*'Monthly Stope Performance_HH'!$D$58)/1000</f>
        <v>317.443370858207</v>
      </c>
      <c r="O66" s="782" t="str">
        <f t="shared" si="25"/>
        <v>5L_W8_STOPE</v>
      </c>
      <c r="P66" s="551">
        <f t="shared" si="26"/>
        <v>1540</v>
      </c>
      <c r="Q66" s="551">
        <f t="shared" si="27"/>
        <v>1881</v>
      </c>
      <c r="R66" s="545">
        <f t="shared" si="28"/>
        <v>1.6</v>
      </c>
      <c r="S66" s="545">
        <f t="shared" si="29"/>
        <v>3.0834662413609788</v>
      </c>
      <c r="T66" s="545">
        <f t="shared" si="30"/>
        <v>2.16832</v>
      </c>
      <c r="U66" s="545">
        <f>(Q66*S66/1000)*Assumptions!$G$5</f>
        <v>5.104000000000001</v>
      </c>
      <c r="V66" s="637">
        <f t="shared" si="31"/>
        <v>97.3272911191833</v>
      </c>
      <c r="W66" s="636">
        <f t="shared" si="32"/>
        <v>317.443370858207</v>
      </c>
    </row>
    <row r="67" spans="2:23" x14ac:dyDescent="0.25">
      <c r="B67" s="1224" t="s">
        <v>150</v>
      </c>
      <c r="C67" s="1257">
        <f>'STOPE SUMMARY PIVOT'!G1992</f>
        <v>1960</v>
      </c>
      <c r="D67" s="1172">
        <f>'April 25 D_R (Tramming)'!G67</f>
        <v>2030</v>
      </c>
      <c r="E67" s="1250">
        <f>'April 25 D_R (Tramming)'!G68</f>
        <v>1723</v>
      </c>
      <c r="F67" s="1243">
        <f>'STOPE SUMMARY PIVOT'!H1992</f>
        <v>3.09</v>
      </c>
      <c r="G67" s="1243">
        <f>'April 25 D_R (Tramming)'!G71</f>
        <v>3.1921067904817186</v>
      </c>
      <c r="H67" s="545">
        <f>(C67*F67/1000)*Assumptions!$G$5</f>
        <v>5.3296320000000001</v>
      </c>
      <c r="I67" s="545">
        <f>(D67*F67/1000)*Assumptions!$G$5</f>
        <v>5.5199759999999998</v>
      </c>
      <c r="J67" s="545">
        <f>(E67*G67/1000)*Assumptions!$G$5</f>
        <v>4.8400000000000007</v>
      </c>
      <c r="K67" s="551">
        <f>((H67*32.1507*'Monthly Stope Performance_HH'!$D$50)/1000)-(C67*'Monthly Stope Performance_HH'!$D$58)/1000</f>
        <v>331.68694253959728</v>
      </c>
      <c r="L67" s="551">
        <f>((I67*32.1507*'Monthly Stope Performance_HH'!$D$50)/1000)-(D67*'Monthly Stope Performance_HH'!$D$58)/1000</f>
        <v>343.53290477315431</v>
      </c>
      <c r="M67" s="636">
        <f>((J67*32.1507*'Monthly Stope Performance_HH'!$D$50)/1000)-(E67*'Monthly Stope Performance_HH'!$D$58)/1000</f>
        <v>304.09908866620037</v>
      </c>
      <c r="O67" s="783" t="str">
        <f t="shared" si="25"/>
        <v>6L_E1_STOPE</v>
      </c>
      <c r="P67" s="551">
        <f t="shared" si="26"/>
        <v>2030</v>
      </c>
      <c r="Q67" s="551">
        <f t="shared" si="27"/>
        <v>1723</v>
      </c>
      <c r="R67" s="545">
        <f t="shared" si="28"/>
        <v>3.09</v>
      </c>
      <c r="S67" s="545">
        <f t="shared" si="29"/>
        <v>3.1921067904817186</v>
      </c>
      <c r="T67" s="545">
        <f t="shared" si="30"/>
        <v>5.5199759999999998</v>
      </c>
      <c r="U67" s="545">
        <f>(Q67*S67/1000)*Assumptions!$G$5</f>
        <v>4.8400000000000007</v>
      </c>
      <c r="V67" s="637">
        <f t="shared" si="31"/>
        <v>343.53290477315431</v>
      </c>
      <c r="W67" s="636">
        <f t="shared" si="32"/>
        <v>304.09908866620037</v>
      </c>
    </row>
    <row r="68" spans="2:23" x14ac:dyDescent="0.25">
      <c r="B68" s="1224" t="s">
        <v>152</v>
      </c>
      <c r="C68" s="1257">
        <f>'STOPE SUMMARY PIVOT'!G1994</f>
        <v>1960</v>
      </c>
      <c r="D68" s="1172">
        <f>'April 25 D_R (Tramming)'!G74</f>
        <v>1960</v>
      </c>
      <c r="E68" s="1250">
        <f>'April 25 D_R (Tramming)'!G75</f>
        <v>2443</v>
      </c>
      <c r="F68" s="1243">
        <f>'STOPE SUMMARY PIVOT'!H1994</f>
        <v>3.09</v>
      </c>
      <c r="G68" s="1243">
        <f>'April 25 D_R (Tramming)'!G78</f>
        <v>1.7601309864920185</v>
      </c>
      <c r="H68" s="545">
        <f>(C68*F68/1000)*Assumptions!$G$5</f>
        <v>5.3296320000000001</v>
      </c>
      <c r="I68" s="545">
        <f>(D68*F68/1000)*Assumptions!$G$5</f>
        <v>5.3296320000000001</v>
      </c>
      <c r="J68" s="545">
        <f>(E68*G68/1000)*Assumptions!$G$5</f>
        <v>3.7840000000000007</v>
      </c>
      <c r="K68" s="551">
        <f>((H68*32.1507*'Monthly Stope Performance_HH'!$D$50)/1000)-(C68*'Monthly Stope Performance_HH'!$D$58)/1000</f>
        <v>331.68694253959728</v>
      </c>
      <c r="L68" s="551">
        <f>((I68*32.1507*'Monthly Stope Performance_HH'!$D$50)/1000)-(D68*'Monthly Stope Performance_HH'!$D$58)/1000</f>
        <v>331.68694253959728</v>
      </c>
      <c r="M68" s="636">
        <f>((J68*32.1507*'Monthly Stope Performance_HH'!$D$50)/1000)-(E68*'Monthly Stope Performance_HH'!$D$58)/1000</f>
        <v>182.23429166968822</v>
      </c>
      <c r="O68" s="783" t="str">
        <f t="shared" si="25"/>
        <v>6L_W1_STOPE</v>
      </c>
      <c r="P68" s="551">
        <f t="shared" si="26"/>
        <v>1960</v>
      </c>
      <c r="Q68" s="551">
        <f t="shared" si="27"/>
        <v>2443</v>
      </c>
      <c r="R68" s="545">
        <f t="shared" si="28"/>
        <v>3.09</v>
      </c>
      <c r="S68" s="545">
        <f t="shared" si="29"/>
        <v>1.7601309864920185</v>
      </c>
      <c r="T68" s="545">
        <f t="shared" si="30"/>
        <v>5.3296320000000001</v>
      </c>
      <c r="U68" s="545">
        <f>(Q68*S68/1000)*Assumptions!$G$5</f>
        <v>3.7840000000000007</v>
      </c>
      <c r="V68" s="637">
        <f t="shared" si="31"/>
        <v>331.68694253959728</v>
      </c>
      <c r="W68" s="636">
        <f t="shared" si="32"/>
        <v>182.23429166968822</v>
      </c>
    </row>
    <row r="69" spans="2:23" x14ac:dyDescent="0.25">
      <c r="B69" s="1224" t="s">
        <v>153</v>
      </c>
      <c r="C69" s="1257">
        <f>'STOPE SUMMARY PIVOT'!G1995</f>
        <v>1960</v>
      </c>
      <c r="D69" s="1172">
        <f>'April 25 D_R (Tramming)'!G81</f>
        <v>1960</v>
      </c>
      <c r="E69" s="1250">
        <f>'April 25 D_R (Tramming)'!G82</f>
        <v>2199</v>
      </c>
      <c r="F69" s="1243">
        <f>'STOPE SUMMARY PIVOT'!H1995</f>
        <v>2.31</v>
      </c>
      <c r="G69" s="1243">
        <f>'April 25 D_R (Tramming)'!G85</f>
        <v>2.4556616643929057</v>
      </c>
      <c r="H69" s="545">
        <f>(C69*F69/1000)*Assumptions!$G$5</f>
        <v>3.9842880000000003</v>
      </c>
      <c r="I69" s="545">
        <f>(D69*F69/1000)*Assumptions!$G$5</f>
        <v>3.9842880000000003</v>
      </c>
      <c r="J69" s="545">
        <f>(E69*G69/1000)*Assumptions!$G$5</f>
        <v>4.7520000000000007</v>
      </c>
      <c r="K69" s="551">
        <f>((H69*32.1507*'Monthly Stope Performance_HH'!$D$50)/1000)-(C69*'Monthly Stope Performance_HH'!$D$58)/1000</f>
        <v>222.89743991798275</v>
      </c>
      <c r="L69" s="551">
        <f>((I69*32.1507*'Monthly Stope Performance_HH'!$D$50)/1000)-(D69*'Monthly Stope Performance_HH'!$D$58)/1000</f>
        <v>222.89743991798275</v>
      </c>
      <c r="M69" s="636">
        <f>((J69*32.1507*'Monthly Stope Performance_HH'!$D$50)/1000)-(E69*'Monthly Stope Performance_HH'!$D$58)/1000</f>
        <v>272.87056023080305</v>
      </c>
      <c r="O69" s="782" t="str">
        <f t="shared" si="25"/>
        <v>6L_W2_STOPE</v>
      </c>
      <c r="P69" s="551">
        <f t="shared" si="26"/>
        <v>1960</v>
      </c>
      <c r="Q69" s="551">
        <f t="shared" si="27"/>
        <v>2199</v>
      </c>
      <c r="R69" s="545">
        <f t="shared" si="28"/>
        <v>2.31</v>
      </c>
      <c r="S69" s="545">
        <f t="shared" si="29"/>
        <v>2.4556616643929057</v>
      </c>
      <c r="T69" s="545">
        <f t="shared" si="30"/>
        <v>3.9842880000000003</v>
      </c>
      <c r="U69" s="545">
        <f>(Q69*S69/1000)*Assumptions!$G$5</f>
        <v>4.7520000000000007</v>
      </c>
      <c r="V69" s="637">
        <f t="shared" si="31"/>
        <v>222.89743991798275</v>
      </c>
      <c r="W69" s="636">
        <f t="shared" si="32"/>
        <v>272.87056023080305</v>
      </c>
    </row>
    <row r="70" spans="2:23" x14ac:dyDescent="0.25">
      <c r="B70" s="1224" t="s">
        <v>157</v>
      </c>
      <c r="C70" s="1257">
        <f>'STOPE SUMMARY PIVOT'!G1999</f>
        <v>1960</v>
      </c>
      <c r="D70" s="1172">
        <f>'April 25 D_R (Tramming)'!G88</f>
        <v>1960</v>
      </c>
      <c r="E70" s="1250">
        <f>'April 25 D_R (Tramming)'!G89</f>
        <v>1134</v>
      </c>
      <c r="F70" s="1243">
        <f>'STOPE SUMMARY PIVOT'!H1999</f>
        <v>2.2599999999999998</v>
      </c>
      <c r="G70" s="1243">
        <f>'April 25 D_R (Tramming)'!G92</f>
        <v>1.5873015873015877</v>
      </c>
      <c r="H70" s="545">
        <f>(C70*F70/1000)*Assumptions!$G$5</f>
        <v>3.8980479999999997</v>
      </c>
      <c r="I70" s="545">
        <f>(D70*F70/1000)*Assumptions!$G$5</f>
        <v>3.8980479999999997</v>
      </c>
      <c r="J70" s="545">
        <f>(E70*G70/1000)*Assumptions!$G$5</f>
        <v>1.5840000000000005</v>
      </c>
      <c r="K70" s="551">
        <f>((H70*32.1507*'Monthly Stope Performance_HH'!$D$50)/1000)-(C70*'Monthly Stope Performance_HH'!$D$58)/1000</f>
        <v>215.92375385249454</v>
      </c>
      <c r="L70" s="551">
        <f>((I70*32.1507*'Monthly Stope Performance_HH'!$D$50)/1000)-(D70*'Monthly Stope Performance_HH'!$D$58)/1000</f>
        <v>215.92375385249454</v>
      </c>
      <c r="M70" s="636">
        <f>((J70*32.1507*'Monthly Stope Performance_HH'!$D$50)/1000)-(E70*'Monthly Stope Performance_HH'!$D$58)/1000</f>
        <v>70.643573114688692</v>
      </c>
      <c r="O70" s="673" t="str">
        <f t="shared" si="25"/>
        <v>6L_W8_STOPE</v>
      </c>
      <c r="P70" s="551">
        <f t="shared" si="26"/>
        <v>1960</v>
      </c>
      <c r="Q70" s="551">
        <f t="shared" si="27"/>
        <v>1134</v>
      </c>
      <c r="R70" s="545">
        <f t="shared" si="28"/>
        <v>2.2599999999999998</v>
      </c>
      <c r="S70" s="545">
        <f t="shared" si="29"/>
        <v>1.5873015873015877</v>
      </c>
      <c r="T70" s="545">
        <f t="shared" si="30"/>
        <v>3.8980479999999997</v>
      </c>
      <c r="U70" s="545">
        <f>(Q70*S70/1000)*Assumptions!$G$5</f>
        <v>1.5840000000000005</v>
      </c>
      <c r="V70" s="637">
        <f t="shared" si="31"/>
        <v>215.92375385249454</v>
      </c>
      <c r="W70" s="636">
        <f t="shared" si="32"/>
        <v>70.643573114688692</v>
      </c>
    </row>
    <row r="71" spans="2:23" x14ac:dyDescent="0.25">
      <c r="B71" s="1224" t="s">
        <v>271</v>
      </c>
      <c r="C71" s="1257">
        <f>'STOPE SUMMARY PIVOT'!G2003</f>
        <v>980</v>
      </c>
      <c r="D71" s="1172" t="s">
        <v>10</v>
      </c>
      <c r="E71" s="1250" t="s">
        <v>10</v>
      </c>
      <c r="F71" s="1243">
        <f>'STOPE SUMMARY PIVOT'!H2003</f>
        <v>1.42</v>
      </c>
      <c r="G71" s="1243" t="s">
        <v>10</v>
      </c>
      <c r="H71" s="545">
        <f>(C71*F71/1000)*Assumptions!$G$5</f>
        <v>1.2246079999999999</v>
      </c>
      <c r="I71" s="545" t="s">
        <v>10</v>
      </c>
      <c r="J71" s="545" t="s">
        <v>10</v>
      </c>
      <c r="K71" s="551">
        <f>((H71*32.1507*'Monthly Stope Performance_HH'!$D$50)/1000)-(C71*'Monthly Stope Performance_HH'!$D$58)/1000</f>
        <v>49.382913976147115</v>
      </c>
      <c r="L71" s="551" t="s">
        <v>10</v>
      </c>
      <c r="M71" s="636" t="s">
        <v>10</v>
      </c>
      <c r="O71" s="784" t="str">
        <f t="shared" si="25"/>
        <v>6L_W14_STOPE</v>
      </c>
      <c r="P71" s="551" t="str">
        <f t="shared" si="26"/>
        <v>-</v>
      </c>
      <c r="Q71" s="551" t="str">
        <f t="shared" si="27"/>
        <v>-</v>
      </c>
      <c r="R71" s="545">
        <f t="shared" si="28"/>
        <v>1.42</v>
      </c>
      <c r="S71" s="545" t="str">
        <f t="shared" si="29"/>
        <v>-</v>
      </c>
      <c r="T71" s="545" t="str">
        <f t="shared" si="30"/>
        <v>-</v>
      </c>
      <c r="U71" s="793" t="s">
        <v>10</v>
      </c>
      <c r="V71" s="637" t="str">
        <f t="shared" si="31"/>
        <v>-</v>
      </c>
      <c r="W71" s="636" t="str">
        <f t="shared" si="32"/>
        <v>-</v>
      </c>
    </row>
    <row r="72" spans="2:23" ht="15.75" thickBot="1" x14ac:dyDescent="0.3">
      <c r="B72" s="1265" t="s">
        <v>162</v>
      </c>
      <c r="C72" s="1013"/>
      <c r="D72" s="1014"/>
      <c r="E72" s="1014"/>
      <c r="F72" s="1014"/>
      <c r="G72" s="1014"/>
      <c r="H72" s="731"/>
      <c r="I72" s="1005"/>
      <c r="J72" s="731"/>
      <c r="K72" s="1015"/>
      <c r="L72" s="1015"/>
      <c r="M72" s="1016"/>
      <c r="O72" s="1017"/>
      <c r="P72" s="1015"/>
      <c r="Q72" s="1015"/>
      <c r="R72" s="1005"/>
      <c r="S72" s="1005"/>
      <c r="T72" s="1005"/>
      <c r="U72" s="1018"/>
      <c r="V72" s="1019"/>
      <c r="W72" s="1016"/>
    </row>
    <row r="73" spans="2:23" ht="15.75" thickBot="1" x14ac:dyDescent="0.3">
      <c r="B73" s="65" t="s">
        <v>232</v>
      </c>
      <c r="C73" s="70">
        <f>SUM(C61:C71)</f>
        <v>22050</v>
      </c>
      <c r="D73" s="70">
        <f>SUM(D61:D71)</f>
        <v>21665</v>
      </c>
      <c r="E73" s="70">
        <f>SUM(E61:E71)</f>
        <v>21568</v>
      </c>
      <c r="F73" s="66">
        <f>SUMPRODUCT(C61:C71,F61:F71)/C73</f>
        <v>2.4635238095238092</v>
      </c>
      <c r="G73" s="66">
        <f>SUMPRODUCT(E61:E71,G61:G71)/E73</f>
        <v>2.2718842729970326</v>
      </c>
      <c r="H73" s="67">
        <f t="shared" ref="H73:M73" si="35">SUM(H61:H71)</f>
        <v>47.802216000000001</v>
      </c>
      <c r="I73" s="67">
        <f t="shared" si="35"/>
        <v>47.85519200000001</v>
      </c>
      <c r="J73" s="67">
        <f t="shared" si="35"/>
        <v>43.120000000000005</v>
      </c>
      <c r="K73" s="70">
        <f t="shared" si="35"/>
        <v>2748.4872405965948</v>
      </c>
      <c r="L73" s="70">
        <f t="shared" si="35"/>
        <v>2772.2738516686668</v>
      </c>
      <c r="M73" s="69">
        <f t="shared" si="35"/>
        <v>2394.2823608860822</v>
      </c>
      <c r="O73" s="65" t="s">
        <v>232</v>
      </c>
      <c r="P73" s="70">
        <f>SUM(P61:P71)</f>
        <v>21665</v>
      </c>
      <c r="Q73" s="70">
        <f>SUM(Q61:Q71)</f>
        <v>21568</v>
      </c>
      <c r="R73" s="66">
        <f>SUMPRODUCT(P61:P71,R61:R71)/P73</f>
        <v>2.5100807754442651</v>
      </c>
      <c r="S73" s="66">
        <f>SUMPRODUCT(Q61:Q71,S61:S71)/Q73</f>
        <v>2.2718842729970326</v>
      </c>
      <c r="T73" s="667">
        <f>SUM(T61:T71)</f>
        <v>47.85519200000001</v>
      </c>
      <c r="U73" s="667">
        <f>SUM(U61:U71)</f>
        <v>43.120000000000005</v>
      </c>
      <c r="V73" s="70">
        <f>SUM(V61:V71)</f>
        <v>2772.2738516686668</v>
      </c>
      <c r="W73" s="69">
        <f>SUM(W61:W71)</f>
        <v>2394.2823608860822</v>
      </c>
    </row>
    <row r="74" spans="2:23" ht="15.75" thickBot="1" x14ac:dyDescent="0.3"/>
    <row r="75" spans="2:23" ht="15.75" thickBot="1" x14ac:dyDescent="0.3">
      <c r="B75" s="1594" t="s">
        <v>272</v>
      </c>
      <c r="C75" s="1595"/>
      <c r="D75" s="1595"/>
      <c r="E75" s="1595"/>
      <c r="F75" s="1595"/>
      <c r="G75" s="1595"/>
      <c r="H75" s="1595"/>
      <c r="I75" s="1595"/>
      <c r="J75" s="1595"/>
      <c r="K75" s="1595"/>
      <c r="L75" s="1595"/>
      <c r="M75" s="1596"/>
      <c r="O75" s="1594" t="s">
        <v>272</v>
      </c>
      <c r="P75" s="1595"/>
      <c r="Q75" s="1595"/>
      <c r="R75" s="1595"/>
      <c r="S75" s="1595"/>
      <c r="T75" s="1595"/>
      <c r="U75" s="1595"/>
      <c r="V75" s="1595"/>
      <c r="W75" s="1596"/>
    </row>
    <row r="76" spans="2:23" ht="60.75" thickBot="1" x14ac:dyDescent="0.3">
      <c r="B76" s="547" t="s">
        <v>224</v>
      </c>
      <c r="C76" s="548" t="s">
        <v>246</v>
      </c>
      <c r="D76" s="548" t="s">
        <v>247</v>
      </c>
      <c r="E76" s="548" t="s">
        <v>248</v>
      </c>
      <c r="F76" s="548" t="s">
        <v>226</v>
      </c>
      <c r="G76" s="548" t="s">
        <v>249</v>
      </c>
      <c r="H76" s="548" t="s">
        <v>227</v>
      </c>
      <c r="I76" s="548" t="s">
        <v>250</v>
      </c>
      <c r="J76" s="548" t="s">
        <v>251</v>
      </c>
      <c r="K76" s="548" t="s">
        <v>268</v>
      </c>
      <c r="L76" s="548" t="s">
        <v>258</v>
      </c>
      <c r="M76" s="549" t="s">
        <v>259</v>
      </c>
      <c r="O76" s="547" t="s">
        <v>224</v>
      </c>
      <c r="P76" s="548" t="s">
        <v>225</v>
      </c>
      <c r="Q76" s="548" t="s">
        <v>255</v>
      </c>
      <c r="R76" s="548" t="s">
        <v>226</v>
      </c>
      <c r="S76" s="548" t="s">
        <v>65</v>
      </c>
      <c r="T76" s="548" t="s">
        <v>256</v>
      </c>
      <c r="U76" s="548" t="s">
        <v>257</v>
      </c>
      <c r="V76" s="548" t="s">
        <v>258</v>
      </c>
      <c r="W76" s="549" t="s">
        <v>259</v>
      </c>
    </row>
    <row r="77" spans="2:23" x14ac:dyDescent="0.25">
      <c r="B77" s="543" t="s">
        <v>80</v>
      </c>
      <c r="C77" s="551">
        <f>'STOPE SUMMARY PIVOT'!G2050</f>
        <v>2030</v>
      </c>
      <c r="D77" s="544">
        <f>'May 25 D_R (Tramming)'!F18</f>
        <v>1680</v>
      </c>
      <c r="E77" s="544">
        <f>'May 25 D_R (Tramming)'!F19</f>
        <v>2424</v>
      </c>
      <c r="F77" s="545">
        <f>'May 25 D_R (Tramming)'!F21</f>
        <v>2.3000000000000003</v>
      </c>
      <c r="G77" s="545">
        <f>'May 25 D_R (Tramming)'!F22</f>
        <v>0.90976072607260716</v>
      </c>
      <c r="H77" s="545">
        <f>(C77*F77/1000)*Assumptions!$G$5</f>
        <v>4.1087200000000008</v>
      </c>
      <c r="I77" s="545">
        <f>(D77*F77/1000)*Assumptions!$G$5</f>
        <v>3.4003200000000002</v>
      </c>
      <c r="J77" s="545">
        <f>(E77*G77/1000)*Assumptions!$G$5</f>
        <v>1.9406287999999996</v>
      </c>
      <c r="K77" s="551">
        <f>((H77*32.1507*'Monthly Stope Performance_HH'!$D$50)/1000)-(C77*'Monthly Stope Performance_HH'!$D$58)/1000</f>
        <v>229.41351351577387</v>
      </c>
      <c r="L77" s="551">
        <f>((I77*32.1507*'Monthly Stope Performance_HH'!$D$50)/1000)-(D77*'Monthly Stope Performance_HH'!$D$58)/1000</f>
        <v>189.85945946133006</v>
      </c>
      <c r="M77" s="636">
        <f>((J77*32.1507*'Monthly Stope Performance_HH'!$D$50)/1000)-(E77*'Monthly Stope Performance_HH'!$D$58)/1000</f>
        <v>34.134938247969856</v>
      </c>
      <c r="O77" s="673" t="str">
        <f>B77</f>
        <v>1L_W24_STOPE</v>
      </c>
      <c r="P77" s="551">
        <f>D77</f>
        <v>1680</v>
      </c>
      <c r="Q77" s="551">
        <f>E77</f>
        <v>2424</v>
      </c>
      <c r="R77" s="545">
        <f>F77</f>
        <v>2.3000000000000003</v>
      </c>
      <c r="S77" s="545">
        <f>G77</f>
        <v>0.90976072607260716</v>
      </c>
      <c r="T77" s="545">
        <f>I77</f>
        <v>3.4003200000000002</v>
      </c>
      <c r="U77" s="545">
        <f>(Q77*S77/1000)*Assumptions!$G$5</f>
        <v>1.9406287999999996</v>
      </c>
      <c r="V77" s="637">
        <f>L77</f>
        <v>189.85945946133006</v>
      </c>
      <c r="W77" s="636">
        <f>M77</f>
        <v>34.134938247969856</v>
      </c>
    </row>
    <row r="78" spans="2:23" x14ac:dyDescent="0.25">
      <c r="B78" s="1224" t="s">
        <v>270</v>
      </c>
      <c r="C78" s="1257">
        <f>'STOPE SUMMARY PIVOT'!G2060</f>
        <v>2030</v>
      </c>
      <c r="D78" s="1180">
        <f>'May 25 D_R (Tramming)'!F25</f>
        <v>1680</v>
      </c>
      <c r="E78" s="1180">
        <f>'May 25 D_R (Tramming)'!F26</f>
        <v>0</v>
      </c>
      <c r="F78" s="1243">
        <f>'May 25 D_R (Tramming)'!F28</f>
        <v>3.8499999999999988</v>
      </c>
      <c r="G78" s="1243">
        <f>'May 25 D_R (Tramming)'!F29</f>
        <v>0</v>
      </c>
      <c r="H78" s="545">
        <f>(C78*F78/1000)*Assumptions!$G$5</f>
        <v>6.8776399999999978</v>
      </c>
      <c r="I78" s="545">
        <f>(D78*F78/1000)*Assumptions!$G$5</f>
        <v>5.6918399999999982</v>
      </c>
      <c r="J78" s="545">
        <f>(E78*G78/1000)*Assumptions!$G$5</f>
        <v>0</v>
      </c>
      <c r="K78" s="551">
        <f>((H78*32.1507*'Monthly Stope Performance_HH'!$D$50)/1000)-(C78*'Monthly Stope Performance_HH'!$D$58)/1000</f>
        <v>453.31864826126719</v>
      </c>
      <c r="L78" s="551">
        <f>((I78*32.1507*'Monthly Stope Performance_HH'!$D$50)/1000)-(D78*'Monthly Stope Performance_HH'!$D$58)/1000</f>
        <v>375.16026063001414</v>
      </c>
      <c r="M78" s="636">
        <f>((J78*32.1507*'Monthly Stope Performance_HH'!$D$50)/1000)-(E78*'Monthly Stope Performance_HH'!$D$58)/1000</f>
        <v>0</v>
      </c>
      <c r="O78" s="1006" t="str">
        <f t="shared" ref="O78:O88" si="36">B78</f>
        <v>3L_W23A_STOPE</v>
      </c>
      <c r="P78" s="551">
        <f t="shared" ref="P78:P88" si="37">D78</f>
        <v>1680</v>
      </c>
      <c r="Q78" s="551">
        <f t="shared" ref="Q78:Q88" si="38">E78</f>
        <v>0</v>
      </c>
      <c r="R78" s="545">
        <f t="shared" ref="R78:R88" si="39">F78</f>
        <v>3.8499999999999988</v>
      </c>
      <c r="S78" s="545">
        <f t="shared" ref="S78:S88" si="40">G78</f>
        <v>0</v>
      </c>
      <c r="T78" s="545">
        <f t="shared" ref="T78:T88" si="41">I78</f>
        <v>5.6918399999999982</v>
      </c>
      <c r="U78" s="545">
        <f>(Q78*S78/1000)*Assumptions!$G$5</f>
        <v>0</v>
      </c>
      <c r="V78" s="637">
        <f t="shared" ref="V78:V88" si="42">L78</f>
        <v>375.16026063001414</v>
      </c>
      <c r="W78" s="636">
        <f t="shared" ref="W78:W88" si="43">M78</f>
        <v>0</v>
      </c>
    </row>
    <row r="79" spans="2:23" x14ac:dyDescent="0.25">
      <c r="B79" s="1224" t="s">
        <v>91</v>
      </c>
      <c r="C79" s="1257">
        <f>'STOPE SUMMARY PIVOT'!G2061</f>
        <v>1960</v>
      </c>
      <c r="D79" s="1172">
        <f>'May 25 D_R (Tramming)'!F32</f>
        <v>1680</v>
      </c>
      <c r="E79" s="1180">
        <f>'May 25 D_R (Tramming)'!F33</f>
        <v>2583</v>
      </c>
      <c r="F79" s="1243">
        <f>'May 25 D_R (Tramming)'!F35</f>
        <v>2.1562500000000009</v>
      </c>
      <c r="G79" s="1243">
        <f>'May 25 D_R (Tramming)'!F36</f>
        <v>2.7024932249322489</v>
      </c>
      <c r="H79" s="545">
        <f>(C79*F79/1000)*Assumptions!$G$5</f>
        <v>3.7191000000000018</v>
      </c>
      <c r="I79" s="545">
        <f>(D79*F79/1000)*Assumptions!$G$5</f>
        <v>3.1878000000000011</v>
      </c>
      <c r="J79" s="545">
        <f>(E79*G79/1000)*Assumptions!$G$5</f>
        <v>6.1428751999999989</v>
      </c>
      <c r="K79" s="551">
        <f>((H79*32.1507*'Monthly Stope Performance_HH'!$D$50)/1000)-(C79*'Monthly Stope Performance_HH'!$D$58)/1000</f>
        <v>201.45335526660682</v>
      </c>
      <c r="L79" s="551">
        <f>((I79*32.1507*'Monthly Stope Performance_HH'!$D$50)/1000)-(D79*'Monthly Stope Performance_HH'!$D$58)/1000</f>
        <v>172.67430451423439</v>
      </c>
      <c r="M79" s="636">
        <f>((J79*32.1507*'Monthly Stope Performance_HH'!$D$50)/1000)-(E79*'Monthly Stope Performance_HH'!$D$58)/1000</f>
        <v>365.88976566795884</v>
      </c>
      <c r="O79" s="782" t="str">
        <f t="shared" si="36"/>
        <v>3L_W24A_STOPE</v>
      </c>
      <c r="P79" s="551">
        <f t="shared" si="37"/>
        <v>1680</v>
      </c>
      <c r="Q79" s="551">
        <f t="shared" si="38"/>
        <v>2583</v>
      </c>
      <c r="R79" s="545">
        <f t="shared" si="39"/>
        <v>2.1562500000000009</v>
      </c>
      <c r="S79" s="545">
        <f t="shared" si="40"/>
        <v>2.7024932249322489</v>
      </c>
      <c r="T79" s="545">
        <f t="shared" si="41"/>
        <v>3.1878000000000011</v>
      </c>
      <c r="U79" s="545">
        <f>(Q79*S79/1000)*Assumptions!$G$5</f>
        <v>6.1428751999999989</v>
      </c>
      <c r="V79" s="637">
        <f t="shared" si="42"/>
        <v>172.67430451423439</v>
      </c>
      <c r="W79" s="636">
        <f t="shared" si="43"/>
        <v>365.88976566795884</v>
      </c>
    </row>
    <row r="80" spans="2:23" x14ac:dyDescent="0.25">
      <c r="B80" s="1224" t="s">
        <v>126</v>
      </c>
      <c r="C80" s="1257">
        <f>'STOPE SUMMARY PIVOT'!G2096</f>
        <v>4060</v>
      </c>
      <c r="D80" s="1180">
        <f>'May 25 D_R (Tramming)'!F39</f>
        <v>3360</v>
      </c>
      <c r="E80" s="1180">
        <f>'May 25 D_R (Tramming)'!F40</f>
        <v>1456</v>
      </c>
      <c r="F80" s="1243">
        <f>'May 25 D_R (Tramming)'!F42</f>
        <v>3.8499999999999988</v>
      </c>
      <c r="G80" s="1243">
        <f>'May 25 D_R (Tramming)'!F43</f>
        <v>3.1980631868131875</v>
      </c>
      <c r="H80" s="545">
        <f>(C80*F80/1000)*Assumptions!$G$5</f>
        <v>13.755279999999996</v>
      </c>
      <c r="I80" s="545">
        <f>(D80*F80/1000)*Assumptions!$G$5</f>
        <v>11.383679999999996</v>
      </c>
      <c r="J80" s="545">
        <f>(E80*G80/1000)*Assumptions!$G$5</f>
        <v>4.0976144000000012</v>
      </c>
      <c r="K80" s="551">
        <f>((H80*32.1507*'Monthly Stope Performance_HH'!$D$50)/1000)-(C80*'Monthly Stope Performance_HH'!$D$58)/1000</f>
        <v>906.63729652253437</v>
      </c>
      <c r="L80" s="551">
        <f>((I80*32.1507*'Monthly Stope Performance_HH'!$D$50)/1000)-(D80*'Monthly Stope Performance_HH'!$D$58)/1000</f>
        <v>750.32052126002827</v>
      </c>
      <c r="M80" s="636">
        <f>((J80*32.1507*'Monthly Stope Performance_HH'!$D$50)/1000)-(E80*'Monthly Stope Performance_HH'!$D$58)/1000</f>
        <v>257.59233859618973</v>
      </c>
      <c r="O80" s="673" t="str">
        <f t="shared" si="36"/>
        <v>4L_W23B_STOPE</v>
      </c>
      <c r="P80" s="551">
        <f t="shared" si="37"/>
        <v>3360</v>
      </c>
      <c r="Q80" s="551">
        <f t="shared" si="38"/>
        <v>1456</v>
      </c>
      <c r="R80" s="545">
        <f t="shared" si="39"/>
        <v>3.8499999999999988</v>
      </c>
      <c r="S80" s="545">
        <f t="shared" si="40"/>
        <v>3.1980631868131875</v>
      </c>
      <c r="T80" s="545">
        <f t="shared" si="41"/>
        <v>11.383679999999996</v>
      </c>
      <c r="U80" s="545">
        <f>(Q80*S80/1000)*Assumptions!$G$5</f>
        <v>4.0976144000000012</v>
      </c>
      <c r="V80" s="637">
        <f t="shared" si="42"/>
        <v>750.32052126002827</v>
      </c>
      <c r="W80" s="636">
        <f t="shared" si="43"/>
        <v>257.59233859618973</v>
      </c>
    </row>
    <row r="81" spans="2:23" x14ac:dyDescent="0.25">
      <c r="B81" s="1224" t="s">
        <v>129</v>
      </c>
      <c r="C81" s="1257">
        <f>'STOPE SUMMARY PIVOT'!G2099</f>
        <v>3045</v>
      </c>
      <c r="D81" s="1172">
        <f>'May 25 D_R (Tramming)'!F46</f>
        <v>2520</v>
      </c>
      <c r="E81" s="1180">
        <f>'May 25 D_R (Tramming)'!F47</f>
        <v>1685</v>
      </c>
      <c r="F81" s="1243">
        <f>'May 25 D_R (Tramming)'!F49</f>
        <v>2.1199999999999997</v>
      </c>
      <c r="G81" s="1243">
        <f>'May 25 D_R (Tramming)'!F50</f>
        <v>2.5354670623145403</v>
      </c>
      <c r="H81" s="545">
        <f>(C81*F81/1000)*Assumptions!$G$5</f>
        <v>5.6807519999999991</v>
      </c>
      <c r="I81" s="545">
        <f>(D81*F81/1000)*Assumptions!$G$5</f>
        <v>4.7013119999999988</v>
      </c>
      <c r="J81" s="545">
        <f>(E81*G81/1000)*Assumptions!$G$5</f>
        <v>3.7595905600000004</v>
      </c>
      <c r="K81" s="551">
        <f>((H81*32.1507*'Monthly Stope Performance_HH'!$D$50)/1000)-(C81*'Monthly Stope Performance_HH'!$D$58)/1000</f>
        <v>305.1174403502522</v>
      </c>
      <c r="L81" s="551">
        <f>((I81*32.1507*'Monthly Stope Performance_HH'!$D$50)/1000)-(D81*'Monthly Stope Performance_HH'!$D$58)/1000</f>
        <v>252.51098511745005</v>
      </c>
      <c r="M81" s="636">
        <f>((J81*32.1507*'Monthly Stope Performance_HH'!$D$50)/1000)-(E81*'Monthly Stope Performance_HH'!$D$58)/1000</f>
        <v>218.65812585307924</v>
      </c>
      <c r="O81" s="782" t="str">
        <f t="shared" si="36"/>
        <v>4L_W26_STOPE</v>
      </c>
      <c r="P81" s="551">
        <f t="shared" si="37"/>
        <v>2520</v>
      </c>
      <c r="Q81" s="551">
        <f t="shared" si="38"/>
        <v>1685</v>
      </c>
      <c r="R81" s="545">
        <f t="shared" si="39"/>
        <v>2.1199999999999997</v>
      </c>
      <c r="S81" s="545">
        <f t="shared" si="40"/>
        <v>2.5354670623145403</v>
      </c>
      <c r="T81" s="545">
        <f t="shared" si="41"/>
        <v>4.7013119999999988</v>
      </c>
      <c r="U81" s="545">
        <f>(Q81*S81/1000)*Assumptions!$G$5</f>
        <v>3.7595905600000004</v>
      </c>
      <c r="V81" s="637">
        <f t="shared" si="42"/>
        <v>252.51098511745005</v>
      </c>
      <c r="W81" s="636">
        <f t="shared" si="43"/>
        <v>218.65812585307924</v>
      </c>
    </row>
    <row r="82" spans="2:23" x14ac:dyDescent="0.25">
      <c r="B82" s="1224" t="s">
        <v>231</v>
      </c>
      <c r="C82" s="1257">
        <f>'STOPE SUMMARY PIVOT'!G2110</f>
        <v>1750</v>
      </c>
      <c r="D82" s="1180">
        <f>'May 25 D_R (Tramming)'!F60+'May 25 D_R (Tramming)'!F53</f>
        <v>1400</v>
      </c>
      <c r="E82" s="1180">
        <f>'May 25 D_R (Tramming)'!F61+'May 25 D_R (Tramming)'!F54</f>
        <v>3758</v>
      </c>
      <c r="F82" s="1243">
        <f>'May 25 D_R (Tramming)'!F63</f>
        <v>1.919</v>
      </c>
      <c r="G82" s="1243">
        <f>('May 25 D_R (Tramming)'!F64*'May 25 D_R (Tramming)'!F61+'May 25 D_R (Tramming)'!F54*'May 25 D_R (Tramming)'!F57)/'Monthly Stope Performance'!E82</f>
        <v>1.9278818520489627</v>
      </c>
      <c r="H82" s="545">
        <f>(C82*F82/1000)*Assumptions!$G$5</f>
        <v>2.95526</v>
      </c>
      <c r="I82" s="545">
        <f>(D82*F82/1000)*Assumptions!$G$5</f>
        <v>2.3642080000000001</v>
      </c>
      <c r="J82" s="545">
        <f>(E82*G82/1000)*Assumptions!$G$5</f>
        <v>6.3755824000000016</v>
      </c>
      <c r="K82" s="551">
        <f>((H82*32.1507*'Monthly Stope Performance_HH'!$D$50)/1000)-(C82*'Monthly Stope Performance_HH'!$D$58)/1000</f>
        <v>150.32429900523718</v>
      </c>
      <c r="L82" s="551">
        <f>((I82*32.1507*'Monthly Stope Performance_HH'!$D$50)/1000)-(D82*'Monthly Stope Performance_HH'!$D$58)/1000</f>
        <v>120.25943920418972</v>
      </c>
      <c r="M82" s="636">
        <f>((J82*32.1507*'Monthly Stope Performance_HH'!$D$50)/1000)-(E82*'Monthly Stope Performance_HH'!$D$58)/1000</f>
        <v>325.18587520967378</v>
      </c>
      <c r="O82" s="782" t="str">
        <f t="shared" si="36"/>
        <v>5L_W8_STOPE</v>
      </c>
      <c r="P82" s="551">
        <f t="shared" si="37"/>
        <v>1400</v>
      </c>
      <c r="Q82" s="551">
        <f t="shared" si="38"/>
        <v>3758</v>
      </c>
      <c r="R82" s="545">
        <f t="shared" si="39"/>
        <v>1.919</v>
      </c>
      <c r="S82" s="545">
        <f t="shared" si="40"/>
        <v>1.9278818520489627</v>
      </c>
      <c r="T82" s="545">
        <f t="shared" si="41"/>
        <v>2.3642080000000001</v>
      </c>
      <c r="U82" s="545">
        <f>(Q82*S82/1000)*Assumptions!$G$5</f>
        <v>6.3755824000000016</v>
      </c>
      <c r="V82" s="637">
        <f t="shared" si="42"/>
        <v>120.25943920418972</v>
      </c>
      <c r="W82" s="636">
        <f t="shared" si="43"/>
        <v>325.18587520967378</v>
      </c>
    </row>
    <row r="83" spans="2:23" x14ac:dyDescent="0.25">
      <c r="B83" s="1224" t="s">
        <v>150</v>
      </c>
      <c r="C83" s="1257">
        <f>'STOPE SUMMARY PIVOT'!G2120</f>
        <v>2030</v>
      </c>
      <c r="D83" s="1172">
        <f>'May 25 D_R (Tramming)'!F67</f>
        <v>1680</v>
      </c>
      <c r="E83" s="1250">
        <f>'May 25 D_R (Tramming)'!F68</f>
        <v>2838.4</v>
      </c>
      <c r="F83" s="1243">
        <f>'May 25 D_R (Tramming)'!F70</f>
        <v>3.8899999999999979</v>
      </c>
      <c r="G83" s="1243">
        <f>'May 25 D_R (Tramming)'!F71</f>
        <v>4.1938239853438555</v>
      </c>
      <c r="H83" s="545">
        <f>(C83*F83/1000)*Assumptions!$G$5</f>
        <v>6.9490959999999973</v>
      </c>
      <c r="I83" s="545">
        <f>(D83*F83/1000)*Assumptions!$G$5</f>
        <v>5.750975999999997</v>
      </c>
      <c r="J83" s="545">
        <f>(E83*G83/1000)*Assumptions!$G$5</f>
        <v>10.475300000000001</v>
      </c>
      <c r="K83" s="551">
        <f>((H83*32.1507*'Monthly Stope Performance_HH'!$D$50)/1000)-(C83*'Monthly Stope Performance_HH'!$D$58)/1000</f>
        <v>459.0968452869572</v>
      </c>
      <c r="L83" s="551">
        <f>((I83*32.1507*'Monthly Stope Performance_HH'!$D$50)/1000)-(D83*'Monthly Stope Performance_HH'!$D$58)/1000</f>
        <v>379.94221678920587</v>
      </c>
      <c r="M83" s="636">
        <f>((J83*32.1507*'Monthly Stope Performance_HH'!$D$50)/1000)-(E83*'Monthly Stope Performance_HH'!$D$58)/1000</f>
        <v>703.2880087233068</v>
      </c>
      <c r="O83" s="782" t="str">
        <f t="shared" si="36"/>
        <v>6L_E1_STOPE</v>
      </c>
      <c r="P83" s="551">
        <f t="shared" si="37"/>
        <v>1680</v>
      </c>
      <c r="Q83" s="551">
        <f t="shared" si="38"/>
        <v>2838.4</v>
      </c>
      <c r="R83" s="545">
        <f>F83</f>
        <v>3.8899999999999979</v>
      </c>
      <c r="S83" s="545">
        <f t="shared" si="40"/>
        <v>4.1938239853438555</v>
      </c>
      <c r="T83" s="545">
        <f t="shared" si="41"/>
        <v>5.750975999999997</v>
      </c>
      <c r="U83" s="545">
        <f>(Q83*S83/1000)*Assumptions!$G$5</f>
        <v>10.475300000000001</v>
      </c>
      <c r="V83" s="637">
        <f t="shared" si="42"/>
        <v>379.94221678920587</v>
      </c>
      <c r="W83" s="636">
        <f t="shared" si="43"/>
        <v>703.2880087233068</v>
      </c>
    </row>
    <row r="84" spans="2:23" x14ac:dyDescent="0.25">
      <c r="B84" s="1224" t="s">
        <v>152</v>
      </c>
      <c r="C84" s="1257">
        <f>'STOPE SUMMARY PIVOT'!G2122</f>
        <v>2030</v>
      </c>
      <c r="D84" s="1172">
        <f>'May 25 D_R (Tramming)'!F74</f>
        <v>1680</v>
      </c>
      <c r="E84" s="1250">
        <f>'May 25 D_R (Tramming)'!F75</f>
        <v>1545</v>
      </c>
      <c r="F84" s="1243">
        <f>'May 25 D_R (Tramming)'!F77</f>
        <v>3.8899999999999979</v>
      </c>
      <c r="G84" s="1243">
        <f>'May 25 D_R (Tramming)'!F78</f>
        <v>2.1568750809061483</v>
      </c>
      <c r="H84" s="545">
        <f>(C84*F84/1000)*Assumptions!$G$5</f>
        <v>6.9490959999999973</v>
      </c>
      <c r="I84" s="545">
        <f>(D84*F84/1000)*Assumptions!$G$5</f>
        <v>5.750975999999997</v>
      </c>
      <c r="J84" s="545">
        <f>(E84*G84/1000)*Assumptions!$G$5</f>
        <v>2.9324873599999992</v>
      </c>
      <c r="K84" s="551">
        <f>((H84*32.1507*'Monthly Stope Performance_HH'!$D$50)/1000)-(C84*'Monthly Stope Performance_HH'!$D$58)/1000</f>
        <v>459.0968452869572</v>
      </c>
      <c r="L84" s="551">
        <f>((I84*32.1507*'Monthly Stope Performance_HH'!$D$50)/1000)-(D84*'Monthly Stope Performance_HH'!$D$58)/1000</f>
        <v>379.94221678920587</v>
      </c>
      <c r="M84" s="636">
        <f>((J84*32.1507*'Monthly Stope Performance_HH'!$D$50)/1000)-(E84*'Monthly Stope Performance_HH'!$D$58)/1000</f>
        <v>158.86741358839907</v>
      </c>
      <c r="O84" s="673" t="str">
        <f t="shared" si="36"/>
        <v>6L_W1_STOPE</v>
      </c>
      <c r="P84" s="551">
        <f t="shared" si="37"/>
        <v>1680</v>
      </c>
      <c r="Q84" s="551">
        <f t="shared" si="38"/>
        <v>1545</v>
      </c>
      <c r="R84" s="545">
        <f t="shared" si="39"/>
        <v>3.8899999999999979</v>
      </c>
      <c r="S84" s="545">
        <f t="shared" si="40"/>
        <v>2.1568750809061483</v>
      </c>
      <c r="T84" s="545">
        <f t="shared" si="41"/>
        <v>5.750975999999997</v>
      </c>
      <c r="U84" s="545">
        <f>(Q84*S84/1000)*Assumptions!$G$5</f>
        <v>2.9324873599999992</v>
      </c>
      <c r="V84" s="637">
        <f t="shared" si="42"/>
        <v>379.94221678920587</v>
      </c>
      <c r="W84" s="636">
        <f t="shared" si="43"/>
        <v>158.86741358839907</v>
      </c>
    </row>
    <row r="85" spans="2:23" x14ac:dyDescent="0.25">
      <c r="B85" s="1224" t="s">
        <v>153</v>
      </c>
      <c r="C85" s="1257">
        <f>'STOPE SUMMARY PIVOT'!G2123</f>
        <v>2030</v>
      </c>
      <c r="D85" s="1172">
        <f>'May 25 D_R (Tramming)'!F81</f>
        <v>1680</v>
      </c>
      <c r="E85" s="1250">
        <f>'May 25 D_R (Tramming)'!F82</f>
        <v>1171.7</v>
      </c>
      <c r="F85" s="1243">
        <f>'May 25 D_R (Tramming)'!F84</f>
        <v>2.9100000000000019</v>
      </c>
      <c r="G85" s="1243">
        <f>'May 25 D_R (Tramming)'!F85</f>
        <v>1.9917265511649735</v>
      </c>
      <c r="H85" s="545">
        <f>(C85*F85/1000)*Assumptions!$G$5</f>
        <v>5.1984240000000037</v>
      </c>
      <c r="I85" s="545">
        <f>(D85*F85/1000)*Assumptions!$G$5</f>
        <v>4.302144000000002</v>
      </c>
      <c r="J85" s="545">
        <f>(E85*G85/1000)*Assumptions!$G$5</f>
        <v>2.05366128</v>
      </c>
      <c r="K85" s="551">
        <f>((H85*32.1507*'Monthly Stope Performance_HH'!$D$50)/1000)-(C85*'Monthly Stope Performance_HH'!$D$58)/1000</f>
        <v>317.53101815754894</v>
      </c>
      <c r="L85" s="551">
        <f>((I85*32.1507*'Monthly Stope Performance_HH'!$D$50)/1000)-(D85*'Monthly Stope Performance_HH'!$D$58)/1000</f>
        <v>262.78429088900594</v>
      </c>
      <c r="M85" s="636">
        <f>((J85*32.1507*'Monthly Stope Performance_HH'!$D$50)/1000)-(E85*'Monthly Stope Performance_HH'!$D$58)/1000</f>
        <v>106.71237282007269</v>
      </c>
      <c r="O85" s="673" t="str">
        <f t="shared" si="36"/>
        <v>6L_W2_STOPE</v>
      </c>
      <c r="P85" s="551">
        <f t="shared" si="37"/>
        <v>1680</v>
      </c>
      <c r="Q85" s="551">
        <f t="shared" si="38"/>
        <v>1171.7</v>
      </c>
      <c r="R85" s="545">
        <f t="shared" si="39"/>
        <v>2.9100000000000019</v>
      </c>
      <c r="S85" s="545">
        <f t="shared" si="40"/>
        <v>1.9917265511649735</v>
      </c>
      <c r="T85" s="545">
        <f t="shared" si="41"/>
        <v>4.302144000000002</v>
      </c>
      <c r="U85" s="545">
        <f>(Q85*S85/1000)*Assumptions!$G$5</f>
        <v>2.05366128</v>
      </c>
      <c r="V85" s="637">
        <f t="shared" si="42"/>
        <v>262.78429088900594</v>
      </c>
      <c r="W85" s="636">
        <f t="shared" si="43"/>
        <v>106.71237282007269</v>
      </c>
    </row>
    <row r="86" spans="2:23" x14ac:dyDescent="0.25">
      <c r="B86" s="1224" t="s">
        <v>157</v>
      </c>
      <c r="C86" s="1257">
        <f>'STOPE SUMMARY PIVOT'!G2127</f>
        <v>2030</v>
      </c>
      <c r="D86" s="1172">
        <f>'May 25 D_R (Tramming)'!F88</f>
        <v>1680</v>
      </c>
      <c r="E86" s="1250">
        <f>'May 25 D_R (Tramming)'!F89</f>
        <v>1683.4</v>
      </c>
      <c r="F86" s="1243">
        <f>'May 25 D_R (Tramming)'!F91</f>
        <v>2.9100000000000019</v>
      </c>
      <c r="G86" s="1243">
        <f>'May 25 D_R (Tramming)'!F92</f>
        <v>3.4265260781751214</v>
      </c>
      <c r="H86" s="545">
        <f>(C86*F86/1000)*Assumptions!$G$5</f>
        <v>5.1984240000000037</v>
      </c>
      <c r="I86" s="545">
        <f>(D86*F86/1000)*Assumptions!$G$5</f>
        <v>4.302144000000002</v>
      </c>
      <c r="J86" s="545">
        <f>(E86*G86/1000)*Assumptions!$G$5</f>
        <v>5.0760283199999998</v>
      </c>
      <c r="K86" s="551">
        <f>((H86*32.1507*'Monthly Stope Performance_HH'!$D$50)/1000)-(C86*'Monthly Stope Performance_HH'!$D$58)/1000</f>
        <v>317.53101815754894</v>
      </c>
      <c r="L86" s="551">
        <f>((I86*32.1507*'Monthly Stope Performance_HH'!$D$50)/1000)-(D86*'Monthly Stope Performance_HH'!$D$58)/1000</f>
        <v>262.78429088900594</v>
      </c>
      <c r="M86" s="636">
        <f>((J86*32.1507*'Monthly Stope Performance_HH'!$D$50)/1000)-(E86*'Monthly Stope Performance_HH'!$D$58)/1000</f>
        <v>325.19121325658614</v>
      </c>
      <c r="O86" s="782" t="str">
        <f t="shared" si="36"/>
        <v>6L_W8_STOPE</v>
      </c>
      <c r="P86" s="551">
        <f t="shared" si="37"/>
        <v>1680</v>
      </c>
      <c r="Q86" s="551">
        <f t="shared" si="38"/>
        <v>1683.4</v>
      </c>
      <c r="R86" s="545">
        <f t="shared" si="39"/>
        <v>2.9100000000000019</v>
      </c>
      <c r="S86" s="545">
        <f t="shared" si="40"/>
        <v>3.4265260781751214</v>
      </c>
      <c r="T86" s="545">
        <f t="shared" si="41"/>
        <v>4.302144000000002</v>
      </c>
      <c r="U86" s="545">
        <f>(Q86*S86/1000)*Assumptions!$G$5</f>
        <v>5.0760283199999998</v>
      </c>
      <c r="V86" s="637">
        <f t="shared" si="42"/>
        <v>262.78429088900594</v>
      </c>
      <c r="W86" s="636">
        <f t="shared" si="43"/>
        <v>325.19121325658614</v>
      </c>
    </row>
    <row r="87" spans="2:23" x14ac:dyDescent="0.25">
      <c r="B87" s="1224" t="s">
        <v>271</v>
      </c>
      <c r="C87" s="1257">
        <f>'STOPE SUMMARY PIVOT'!G2131</f>
        <v>2030</v>
      </c>
      <c r="D87" s="1172">
        <f>'May 25 D_R (Tramming)'!F95</f>
        <v>1680</v>
      </c>
      <c r="E87" s="1250">
        <f>'May 25 D_R (Tramming)'!F96</f>
        <v>1161.2</v>
      </c>
      <c r="F87" s="1243">
        <f>'May 25 D_R (Tramming)'!F98</f>
        <v>2.84</v>
      </c>
      <c r="G87" s="1243">
        <f>'May 25 D_R (Tramming)'!F99</f>
        <v>3.0046348604891486</v>
      </c>
      <c r="H87" s="545">
        <f>(C87*F87/1000)*Assumptions!$G$5</f>
        <v>5.0733760000000006</v>
      </c>
      <c r="I87" s="545">
        <f>(D87*F87/1000)*Assumptions!$G$5</f>
        <v>4.1986559999999997</v>
      </c>
      <c r="J87" s="545">
        <f>(E87*G87/1000)*Assumptions!$G$5</f>
        <v>3.0703041599999996</v>
      </c>
      <c r="K87" s="551">
        <f>((H87*32.1507*'Monthly Stope Performance_HH'!$D$50)/1000)-(C87*'Monthly Stope Performance_HH'!$D$58)/1000</f>
        <v>307.41917336259098</v>
      </c>
      <c r="L87" s="551">
        <f>((I87*32.1507*'Monthly Stope Performance_HH'!$D$50)/1000)-(D87*'Monthly Stope Performance_HH'!$D$58)/1000</f>
        <v>254.41586761042004</v>
      </c>
      <c r="M87" s="636">
        <f>((J87*32.1507*'Monthly Stope Performance_HH'!$D$50)/1000)-(E87*'Monthly Stope Performance_HH'!$D$58)/1000</f>
        <v>189.45377835634125</v>
      </c>
      <c r="O87" s="783" t="str">
        <f t="shared" si="36"/>
        <v>6L_W14_STOPE</v>
      </c>
      <c r="P87" s="551">
        <f t="shared" si="37"/>
        <v>1680</v>
      </c>
      <c r="Q87" s="551">
        <f t="shared" si="38"/>
        <v>1161.2</v>
      </c>
      <c r="R87" s="545">
        <f t="shared" si="39"/>
        <v>2.84</v>
      </c>
      <c r="S87" s="545">
        <f t="shared" si="40"/>
        <v>3.0046348604891486</v>
      </c>
      <c r="T87" s="545">
        <f t="shared" si="41"/>
        <v>4.1986559999999997</v>
      </c>
      <c r="U87" s="545">
        <f>(Q87*S87/1000)*Assumptions!$G$5</f>
        <v>3.0703041599999996</v>
      </c>
      <c r="V87" s="637">
        <f t="shared" si="42"/>
        <v>254.41586761042004</v>
      </c>
      <c r="W87" s="636">
        <f t="shared" si="43"/>
        <v>189.45377835634125</v>
      </c>
    </row>
    <row r="88" spans="2:23" ht="15.75" thickBot="1" x14ac:dyDescent="0.3">
      <c r="B88" s="1265" t="s">
        <v>162</v>
      </c>
      <c r="C88" s="1266">
        <f>'STOPE SUMMARY PIVOT'!G2132</f>
        <v>2030</v>
      </c>
      <c r="D88" s="1253">
        <f>'May 25 D_R (Tramming)'!F102</f>
        <v>1680</v>
      </c>
      <c r="E88" s="1253">
        <f>'May 25 D_R (Tramming)'!F103</f>
        <v>1939.9</v>
      </c>
      <c r="F88" s="1254">
        <f>'May 25 D_R (Tramming)'!F105</f>
        <v>2.1999999999999993</v>
      </c>
      <c r="G88" s="1254">
        <f>'May 25 D_R (Tramming)'!F106</f>
        <v>2.8229274704881688</v>
      </c>
      <c r="H88" s="1005">
        <f>(C88*F88/1000)*Assumptions!$G$5</f>
        <v>3.9300799999999985</v>
      </c>
      <c r="I88" s="545">
        <f>(D88*F88/1000)*Assumptions!$G$5</f>
        <v>3.2524799999999989</v>
      </c>
      <c r="J88" s="545">
        <f>(E88*G88/1000)*Assumptions!$G$5</f>
        <v>4.819053359999999</v>
      </c>
      <c r="K88" s="551">
        <f>((H88*32.1507*'Monthly Stope Performance_HH'!$D$50)/1000)-(C88*'Monthly Stope Performance_HH'!$D$58)/1000</f>
        <v>214.96802095154837</v>
      </c>
      <c r="L88" s="551">
        <f>((I88*32.1507*'Monthly Stope Performance_HH'!$D$50)/1000)-(D88*'Monthly Stope Performance_HH'!$D$58)/1000</f>
        <v>177.90456906335038</v>
      </c>
      <c r="M88" s="636">
        <f>((J88*32.1507*'Monthly Stope Performance_HH'!$D$50)/1000)-(E88*'Monthly Stope Performance_HH'!$D$58)/1000</f>
        <v>291.41785799199209</v>
      </c>
      <c r="O88" s="782" t="str">
        <f t="shared" si="36"/>
        <v>6L_W15_STOPE</v>
      </c>
      <c r="P88" s="551">
        <f t="shared" si="37"/>
        <v>1680</v>
      </c>
      <c r="Q88" s="551">
        <f t="shared" si="38"/>
        <v>1939.9</v>
      </c>
      <c r="R88" s="545">
        <f t="shared" si="39"/>
        <v>2.1999999999999993</v>
      </c>
      <c r="S88" s="545">
        <f t="shared" si="40"/>
        <v>2.8229274704881688</v>
      </c>
      <c r="T88" s="545">
        <f t="shared" si="41"/>
        <v>3.2524799999999989</v>
      </c>
      <c r="U88" s="545">
        <f>(Q88*S88/1000)*Assumptions!$G$5</f>
        <v>4.819053359999999</v>
      </c>
      <c r="V88" s="637">
        <f t="shared" si="42"/>
        <v>177.90456906335038</v>
      </c>
      <c r="W88" s="636">
        <f t="shared" si="43"/>
        <v>291.41785799199209</v>
      </c>
    </row>
    <row r="89" spans="2:23" ht="15.75" thickBot="1" x14ac:dyDescent="0.3">
      <c r="B89" s="65" t="s">
        <v>232</v>
      </c>
      <c r="C89" s="70">
        <f>SUM(C77:C88)</f>
        <v>27055</v>
      </c>
      <c r="D89" s="70">
        <f>SUM(D77:D88)</f>
        <v>22400</v>
      </c>
      <c r="E89" s="70">
        <f>SUM(E77:E88)</f>
        <v>22245.600000000002</v>
      </c>
      <c r="F89" s="66">
        <f>SUMPRODUCT(C77:C88,F77:F88)/C89</f>
        <v>2.9567399741267786</v>
      </c>
      <c r="G89" s="66">
        <f>SUMPRODUCT(E77:E88,G77:G88)/E89</f>
        <v>2.5920920541590244</v>
      </c>
      <c r="H89" s="67">
        <f>(C89*F89/1000)*Assumptions!$G$5</f>
        <v>70.395247999999995</v>
      </c>
      <c r="I89" s="67">
        <f>SUM(I76:I88)</f>
        <v>58.286535999999977</v>
      </c>
      <c r="J89" s="67">
        <f>SUM(J76:J88)</f>
        <v>50.74312583999999</v>
      </c>
      <c r="K89" s="70">
        <f t="shared" ref="K89:M89" si="44">SUM(K76:K88)</f>
        <v>4321.9074741248232</v>
      </c>
      <c r="L89" s="70">
        <f t="shared" si="44"/>
        <v>3578.5584222174402</v>
      </c>
      <c r="M89" s="69">
        <f t="shared" si="44"/>
        <v>2976.3916883115699</v>
      </c>
      <c r="O89" s="65" t="s">
        <v>232</v>
      </c>
      <c r="P89" s="70">
        <f>SUM(P77:P88)</f>
        <v>22400</v>
      </c>
      <c r="Q89" s="70">
        <f>SUM(Q77:Q88)</f>
        <v>22245.600000000002</v>
      </c>
      <c r="R89" s="66">
        <f>SUMPRODUCT(P77:P88,R77:R88)/P89</f>
        <v>2.9569062499999994</v>
      </c>
      <c r="S89" s="66">
        <f>SUMPRODUCT(Q77:Q88,S77:S88)/Q89</f>
        <v>2.5920920541590244</v>
      </c>
      <c r="T89" s="667">
        <f>SUM(T77:T88)</f>
        <v>58.286535999999977</v>
      </c>
      <c r="U89" s="667">
        <f>SUM(U77:U88)</f>
        <v>50.74312583999999</v>
      </c>
      <c r="V89" s="70">
        <f>SUM(V77:V88)</f>
        <v>3578.5584222174402</v>
      </c>
      <c r="W89" s="69">
        <f>SUM(W77:W88)</f>
        <v>2976.3916883115699</v>
      </c>
    </row>
    <row r="94" spans="2:23" x14ac:dyDescent="0.25">
      <c r="B94" s="1604" t="s">
        <v>273</v>
      </c>
      <c r="C94" s="1605"/>
      <c r="D94" s="1605"/>
      <c r="E94" s="1605"/>
      <c r="F94" s="1605"/>
      <c r="G94" s="1605"/>
      <c r="H94" s="1605"/>
      <c r="I94" s="1605"/>
      <c r="J94" s="1606"/>
    </row>
    <row r="95" spans="2:23" ht="45" x14ac:dyDescent="0.25">
      <c r="B95" s="1119" t="s">
        <v>224</v>
      </c>
      <c r="C95" s="1120" t="s">
        <v>225</v>
      </c>
      <c r="D95" s="1120" t="s">
        <v>64</v>
      </c>
      <c r="E95" s="1120" t="s">
        <v>226</v>
      </c>
      <c r="F95" s="1120" t="s">
        <v>65</v>
      </c>
      <c r="G95" s="1120" t="s">
        <v>227</v>
      </c>
      <c r="H95" s="1120" t="s">
        <v>66</v>
      </c>
      <c r="I95" s="1120" t="s">
        <v>228</v>
      </c>
      <c r="J95" s="1121" t="s">
        <v>229</v>
      </c>
    </row>
    <row r="96" spans="2:23" x14ac:dyDescent="0.25">
      <c r="B96" s="1122" t="s">
        <v>80</v>
      </c>
      <c r="C96" s="1127">
        <v>2100</v>
      </c>
      <c r="D96" s="1128">
        <v>2916</v>
      </c>
      <c r="E96" s="1136">
        <v>2.2999999999999998</v>
      </c>
      <c r="F96" s="1136">
        <v>1.31</v>
      </c>
      <c r="G96" s="1136">
        <v>4.83</v>
      </c>
      <c r="H96" s="1136">
        <v>3.8096999999999999</v>
      </c>
      <c r="I96" s="1129"/>
      <c r="J96" s="636"/>
    </row>
    <row r="97" spans="2:10" x14ac:dyDescent="0.25">
      <c r="B97" s="1267" t="s">
        <v>274</v>
      </c>
      <c r="C97" s="1130">
        <v>2100</v>
      </c>
      <c r="D97" s="1131"/>
      <c r="E97" s="1137">
        <v>2.25</v>
      </c>
      <c r="F97" s="1137"/>
      <c r="G97" s="1137">
        <v>4.7249999999999996</v>
      </c>
      <c r="H97" s="1137"/>
      <c r="I97" s="1132"/>
      <c r="J97" s="636"/>
    </row>
    <row r="98" spans="2:10" x14ac:dyDescent="0.25">
      <c r="B98" s="1267" t="s">
        <v>91</v>
      </c>
      <c r="C98" s="1130">
        <v>2100</v>
      </c>
      <c r="D98" s="1131"/>
      <c r="E98" s="1137">
        <v>2.52</v>
      </c>
      <c r="F98" s="1137"/>
      <c r="G98" s="1137">
        <v>5.2919999999999998</v>
      </c>
      <c r="H98" s="1137"/>
      <c r="I98" s="1132"/>
      <c r="J98" s="636"/>
    </row>
    <row r="99" spans="2:10" x14ac:dyDescent="0.25">
      <c r="B99" s="1122" t="s">
        <v>126</v>
      </c>
      <c r="C99" s="1130">
        <v>2100</v>
      </c>
      <c r="D99" s="1131">
        <v>6784</v>
      </c>
      <c r="E99" s="1137">
        <v>3.85</v>
      </c>
      <c r="F99" s="1137">
        <v>2.46</v>
      </c>
      <c r="G99" s="1137">
        <v>8.0850000000000009</v>
      </c>
      <c r="H99" s="1137">
        <v>16.686209999999999</v>
      </c>
      <c r="I99" s="1132"/>
      <c r="J99" s="636"/>
    </row>
    <row r="100" spans="2:10" x14ac:dyDescent="0.25">
      <c r="B100" s="1122" t="s">
        <v>129</v>
      </c>
      <c r="C100" s="1130">
        <v>2100</v>
      </c>
      <c r="D100" s="1131">
        <v>1612</v>
      </c>
      <c r="E100" s="1137">
        <v>2.12</v>
      </c>
      <c r="F100" s="1137">
        <v>2.37</v>
      </c>
      <c r="G100" s="1137">
        <v>2.37</v>
      </c>
      <c r="H100" s="1137">
        <v>3.8238500000000002</v>
      </c>
      <c r="I100" s="1132"/>
      <c r="J100" s="636"/>
    </row>
    <row r="101" spans="2:10" x14ac:dyDescent="0.25">
      <c r="B101" s="1122" t="s">
        <v>231</v>
      </c>
      <c r="C101" s="1130"/>
      <c r="D101" s="1131">
        <v>1801</v>
      </c>
      <c r="E101" s="1137"/>
      <c r="F101" s="1137">
        <v>2.2999999999999998</v>
      </c>
      <c r="G101" s="1137"/>
      <c r="H101" s="1137">
        <v>4.1438300000000003</v>
      </c>
      <c r="I101" s="1132"/>
      <c r="J101" s="636"/>
    </row>
    <row r="102" spans="2:10" x14ac:dyDescent="0.25">
      <c r="B102" s="1267" t="s">
        <v>275</v>
      </c>
      <c r="C102" s="1130">
        <v>1610</v>
      </c>
      <c r="D102" s="1131">
        <v>874</v>
      </c>
      <c r="E102" s="1137">
        <v>2.1800000000000002</v>
      </c>
      <c r="F102" s="1137">
        <v>1.42</v>
      </c>
      <c r="G102" s="1137">
        <v>3.5112000000000001</v>
      </c>
      <c r="H102" s="1137">
        <v>1.2383599999999999</v>
      </c>
      <c r="I102" s="1132"/>
      <c r="J102" s="636"/>
    </row>
    <row r="103" spans="2:10" x14ac:dyDescent="0.25">
      <c r="B103" s="1267" t="s">
        <v>150</v>
      </c>
      <c r="C103" s="1130">
        <v>1050</v>
      </c>
      <c r="D103" s="1131">
        <v>2181.6999999999998</v>
      </c>
      <c r="E103" s="1137">
        <v>3.89</v>
      </c>
      <c r="F103" s="1137">
        <v>3.71</v>
      </c>
      <c r="G103" s="1137">
        <v>4.0845000000000002</v>
      </c>
      <c r="H103" s="1137">
        <v>8.0947929999999992</v>
      </c>
      <c r="I103" s="1132"/>
      <c r="J103" s="636"/>
    </row>
    <row r="104" spans="2:10" x14ac:dyDescent="0.25">
      <c r="B104" s="1122" t="s">
        <v>152</v>
      </c>
      <c r="C104" s="1130">
        <v>4200</v>
      </c>
      <c r="D104" s="1131">
        <v>4389.3999999999996</v>
      </c>
      <c r="E104" s="1137">
        <v>3.89</v>
      </c>
      <c r="F104" s="1137">
        <v>3.35</v>
      </c>
      <c r="G104" s="1137">
        <v>16.338000000000001</v>
      </c>
      <c r="H104" s="1137">
        <v>14.69984</v>
      </c>
      <c r="I104" s="1132"/>
      <c r="J104" s="636"/>
    </row>
    <row r="105" spans="2:10" x14ac:dyDescent="0.25">
      <c r="B105" s="1122" t="s">
        <v>153</v>
      </c>
      <c r="C105" s="1130">
        <v>1260</v>
      </c>
      <c r="D105" s="1131">
        <v>734.2</v>
      </c>
      <c r="E105" s="1137">
        <v>2.91</v>
      </c>
      <c r="F105" s="1137">
        <v>1.52</v>
      </c>
      <c r="G105" s="1137">
        <v>3.6665999999999999</v>
      </c>
      <c r="H105" s="1137">
        <v>1.118136</v>
      </c>
      <c r="I105" s="1132"/>
      <c r="J105" s="636"/>
    </row>
    <row r="106" spans="2:10" x14ac:dyDescent="0.25">
      <c r="B106" s="1122" t="s">
        <v>154</v>
      </c>
      <c r="C106" s="1130">
        <v>2100</v>
      </c>
      <c r="D106" s="1131"/>
      <c r="E106" s="1137">
        <v>2.91</v>
      </c>
      <c r="F106" s="1137"/>
      <c r="G106" s="1137">
        <v>6.1109999999999998</v>
      </c>
      <c r="H106" s="1137"/>
      <c r="I106" s="1132"/>
      <c r="J106" s="636"/>
    </row>
    <row r="107" spans="2:10" x14ac:dyDescent="0.25">
      <c r="B107" s="1122" t="s">
        <v>155</v>
      </c>
      <c r="C107" s="1130">
        <v>2100</v>
      </c>
      <c r="D107" s="1131">
        <v>1322.5</v>
      </c>
      <c r="E107" s="1137">
        <v>2.35</v>
      </c>
      <c r="F107" s="1137">
        <v>1.67</v>
      </c>
      <c r="G107" s="1137">
        <v>4.9349999999999996</v>
      </c>
      <c r="H107" s="1137">
        <v>2.2043379999999999</v>
      </c>
      <c r="I107" s="1132"/>
      <c r="J107" s="636"/>
    </row>
    <row r="108" spans="2:10" x14ac:dyDescent="0.25">
      <c r="B108" s="1122" t="s">
        <v>157</v>
      </c>
      <c r="C108" s="1130">
        <v>1050</v>
      </c>
      <c r="D108" s="1131">
        <v>767.6</v>
      </c>
      <c r="E108" s="1137">
        <v>2.84</v>
      </c>
      <c r="F108" s="1137">
        <v>2.54</v>
      </c>
      <c r="G108" s="1137">
        <v>2.9820000000000002</v>
      </c>
      <c r="H108" s="1137">
        <v>1.950304</v>
      </c>
      <c r="I108" s="1132"/>
      <c r="J108" s="636"/>
    </row>
    <row r="109" spans="2:10" x14ac:dyDescent="0.25">
      <c r="B109" s="1122" t="s">
        <v>271</v>
      </c>
      <c r="C109" s="1130">
        <v>2100</v>
      </c>
      <c r="D109" s="1131">
        <v>1981</v>
      </c>
      <c r="E109" s="1137">
        <v>2.2000000000000002</v>
      </c>
      <c r="F109" s="1137">
        <v>1.49</v>
      </c>
      <c r="G109" s="1137">
        <v>4.62</v>
      </c>
      <c r="H109" s="1137">
        <v>2.95784</v>
      </c>
      <c r="I109" s="1132"/>
      <c r="J109" s="636"/>
    </row>
    <row r="110" spans="2:10" x14ac:dyDescent="0.25">
      <c r="B110" s="1123" t="s">
        <v>162</v>
      </c>
      <c r="C110" s="1133">
        <v>2100</v>
      </c>
      <c r="D110" s="1134">
        <v>3024.2</v>
      </c>
      <c r="E110" s="1138">
        <v>2.2000000000000002</v>
      </c>
      <c r="F110" s="1138">
        <v>2.36</v>
      </c>
      <c r="G110" s="1138">
        <v>4.62</v>
      </c>
      <c r="H110" s="1138">
        <v>7.1467159999999996</v>
      </c>
      <c r="I110" s="1135"/>
      <c r="J110" s="636"/>
    </row>
    <row r="111" spans="2:10" x14ac:dyDescent="0.25">
      <c r="B111" s="65" t="s">
        <v>232</v>
      </c>
      <c r="C111" s="70">
        <f>SUM(C96:C110)</f>
        <v>28070</v>
      </c>
      <c r="D111" s="70">
        <f>SUM(D96:D110)</f>
        <v>28387.599999999999</v>
      </c>
      <c r="E111" s="66">
        <f>SUMPRODUCT(C96:C110,E96:E110)/C111</f>
        <v>2.7877057356608477</v>
      </c>
      <c r="F111" s="66">
        <f>SUMPRODUCT(D96:D110,F96:F110)/D111</f>
        <v>2.390976412236328</v>
      </c>
      <c r="G111" s="667">
        <f>SUM(G96:G110)</f>
        <v>76.170300000000012</v>
      </c>
      <c r="H111" s="667">
        <f>SUM(H96:H110)</f>
        <v>67.873917000000006</v>
      </c>
      <c r="I111" s="70"/>
      <c r="J111" s="69"/>
    </row>
    <row r="112" spans="2:10" x14ac:dyDescent="0.25">
      <c r="B112" s="1126"/>
      <c r="C112" s="1124"/>
      <c r="D112" s="1124"/>
      <c r="E112" s="1125"/>
      <c r="F112" s="1125"/>
      <c r="G112" s="1124"/>
      <c r="H112" s="1124"/>
    </row>
    <row r="114" spans="2:10" x14ac:dyDescent="0.25">
      <c r="B114" s="1601" t="s">
        <v>276</v>
      </c>
      <c r="C114" s="1602"/>
      <c r="D114" s="1602"/>
      <c r="E114" s="1602"/>
      <c r="F114" s="1602"/>
      <c r="G114" s="1602"/>
      <c r="H114" s="1602"/>
      <c r="I114" s="1602"/>
      <c r="J114" s="1603"/>
    </row>
    <row r="115" spans="2:10" ht="45" x14ac:dyDescent="0.25">
      <c r="B115" s="1220" t="s">
        <v>224</v>
      </c>
      <c r="C115" s="1221" t="s">
        <v>225</v>
      </c>
      <c r="D115" s="1221" t="s">
        <v>64</v>
      </c>
      <c r="E115" s="1221" t="s">
        <v>226</v>
      </c>
      <c r="F115" s="1221" t="s">
        <v>65</v>
      </c>
      <c r="G115" s="1221" t="s">
        <v>227</v>
      </c>
      <c r="H115" s="1221" t="s">
        <v>66</v>
      </c>
      <c r="I115" s="1221" t="s">
        <v>228</v>
      </c>
      <c r="J115" s="1223" t="s">
        <v>229</v>
      </c>
    </row>
    <row r="116" spans="2:10" x14ac:dyDescent="0.25">
      <c r="B116" s="1122" t="s">
        <v>82</v>
      </c>
      <c r="C116" s="1127">
        <v>1610</v>
      </c>
      <c r="D116" s="1128">
        <f>'July 25 D_R (Tramming)'!F19</f>
        <v>533</v>
      </c>
      <c r="E116" s="1136">
        <v>1.35</v>
      </c>
      <c r="F116" s="1136">
        <f>'July 25 D_R (Tramming)'!F22</f>
        <v>0.45013133208255163</v>
      </c>
      <c r="G116" s="1136">
        <v>2.2000000000000002</v>
      </c>
      <c r="H116" s="1136">
        <f>'July 25 D_R (Tramming)'!F24</f>
        <v>0.23992000000000002</v>
      </c>
      <c r="I116" s="1129"/>
      <c r="J116" s="636"/>
    </row>
    <row r="117" spans="2:10" x14ac:dyDescent="0.25">
      <c r="B117" s="1122" t="s">
        <v>270</v>
      </c>
      <c r="C117" s="1127"/>
      <c r="D117" s="1128"/>
      <c r="E117" s="1136"/>
      <c r="F117" s="1136"/>
      <c r="G117" s="1136"/>
      <c r="H117" s="1136"/>
      <c r="I117" s="1129"/>
      <c r="J117" s="636"/>
    </row>
    <row r="118" spans="2:10" x14ac:dyDescent="0.25">
      <c r="B118" s="1267" t="s">
        <v>274</v>
      </c>
      <c r="C118" s="1130">
        <v>1610</v>
      </c>
      <c r="D118" s="1131"/>
      <c r="E118" s="1137">
        <f>'July 25 D_R (Tramming)'!F28</f>
        <v>1.9859813084112148</v>
      </c>
      <c r="F118" s="1137"/>
      <c r="G118" s="1137">
        <v>3.2</v>
      </c>
      <c r="H118" s="1137"/>
      <c r="I118" s="1132"/>
      <c r="J118" s="636"/>
    </row>
    <row r="119" spans="2:10" x14ac:dyDescent="0.25">
      <c r="B119" s="1267" t="s">
        <v>92</v>
      </c>
      <c r="C119" s="1130">
        <v>1610</v>
      </c>
      <c r="D119" s="1131">
        <v>4861</v>
      </c>
      <c r="E119" s="1137">
        <v>1.67</v>
      </c>
      <c r="F119" s="1137">
        <v>2.0099999999999998</v>
      </c>
      <c r="G119" s="1137">
        <v>2.7</v>
      </c>
      <c r="H119" s="1137">
        <v>9.8000000000000007</v>
      </c>
      <c r="I119" s="1132"/>
      <c r="J119" s="636"/>
    </row>
    <row r="120" spans="2:10" x14ac:dyDescent="0.25">
      <c r="B120" s="1122" t="s">
        <v>126</v>
      </c>
      <c r="C120" s="1130"/>
      <c r="D120" s="1131"/>
      <c r="E120" s="1137"/>
      <c r="F120" s="1137"/>
      <c r="G120" s="1137"/>
      <c r="H120" s="1137"/>
      <c r="I120" s="1132"/>
      <c r="J120" s="636"/>
    </row>
    <row r="121" spans="2:10" x14ac:dyDescent="0.25">
      <c r="B121" s="1122" t="s">
        <v>129</v>
      </c>
      <c r="C121" s="1130">
        <f>'July 25 D_R (Tramming)'!F39</f>
        <v>1120</v>
      </c>
      <c r="D121" s="1131">
        <v>257</v>
      </c>
      <c r="E121" s="1137">
        <f>'July 25 D_R (Tramming)'!F42</f>
        <v>1.9462616822429899</v>
      </c>
      <c r="F121" s="1137"/>
      <c r="G121" s="1137">
        <v>1.93</v>
      </c>
      <c r="H121" s="1137">
        <v>0.4</v>
      </c>
      <c r="I121" s="1132"/>
      <c r="J121" s="636"/>
    </row>
    <row r="122" spans="2:10" x14ac:dyDescent="0.25">
      <c r="B122" s="1122" t="s">
        <v>231</v>
      </c>
      <c r="C122" s="1130">
        <v>771</v>
      </c>
      <c r="D122" s="1131">
        <v>2764</v>
      </c>
      <c r="E122" s="1137">
        <v>1.67</v>
      </c>
      <c r="F122" s="1137">
        <v>2.57</v>
      </c>
      <c r="G122" s="1137">
        <v>1.3</v>
      </c>
      <c r="H122" s="1137">
        <v>7.1</v>
      </c>
      <c r="I122" s="1132"/>
      <c r="J122" s="636"/>
    </row>
    <row r="123" spans="2:10" x14ac:dyDescent="0.25">
      <c r="B123" s="1267" t="s">
        <v>277</v>
      </c>
      <c r="C123" s="1130">
        <v>1610</v>
      </c>
      <c r="D123" s="1131"/>
      <c r="E123" s="1137">
        <v>1.67</v>
      </c>
      <c r="F123" s="1137"/>
      <c r="G123" s="1137">
        <v>2.7</v>
      </c>
      <c r="H123" s="1137"/>
      <c r="I123" s="1132"/>
      <c r="J123" s="636"/>
    </row>
    <row r="124" spans="2:10" x14ac:dyDescent="0.25">
      <c r="B124" s="1267" t="s">
        <v>150</v>
      </c>
      <c r="C124" s="1130">
        <v>1610</v>
      </c>
      <c r="D124" s="1538">
        <v>1765</v>
      </c>
      <c r="E124" s="1137">
        <f>'July 25 D_R (Tramming)'!F70</f>
        <v>3.1378504672897192</v>
      </c>
      <c r="F124" s="1137">
        <v>3.64</v>
      </c>
      <c r="G124" s="1137">
        <v>5.0999999999999996</v>
      </c>
      <c r="H124" s="1137">
        <v>6.4</v>
      </c>
      <c r="I124" s="1132"/>
      <c r="J124" s="636"/>
    </row>
    <row r="125" spans="2:10" x14ac:dyDescent="0.25">
      <c r="B125" s="1122" t="s">
        <v>152</v>
      </c>
      <c r="C125" s="1130">
        <v>1610</v>
      </c>
      <c r="D125" s="1131">
        <v>2092</v>
      </c>
      <c r="E125" s="1137">
        <f>'July 25 D_R (Tramming)'!F77</f>
        <v>3.1378504672897192</v>
      </c>
      <c r="F125" s="1137">
        <v>2.25</v>
      </c>
      <c r="G125" s="1137">
        <v>5.0999999999999996</v>
      </c>
      <c r="H125" s="1137">
        <v>4.7</v>
      </c>
      <c r="I125" s="1132"/>
      <c r="J125" s="636"/>
    </row>
    <row r="126" spans="2:10" x14ac:dyDescent="0.25">
      <c r="B126" s="1122" t="s">
        <v>153</v>
      </c>
      <c r="C126" s="1130">
        <v>2415</v>
      </c>
      <c r="D126" s="1131">
        <v>2161</v>
      </c>
      <c r="E126" s="1137">
        <f>'July 25 D_R (Tramming)'!F84</f>
        <v>2.3037383177570092</v>
      </c>
      <c r="F126" s="1137">
        <v>1.67</v>
      </c>
      <c r="G126" s="1137">
        <v>5.6</v>
      </c>
      <c r="H126" s="1137">
        <v>3.6</v>
      </c>
      <c r="I126" s="1132"/>
      <c r="J126" s="636"/>
    </row>
    <row r="127" spans="2:10" x14ac:dyDescent="0.25">
      <c r="B127" s="1122" t="s">
        <v>154</v>
      </c>
      <c r="C127" s="1130">
        <f>'July 25 D_R (Tramming)'!F88</f>
        <v>1120</v>
      </c>
      <c r="D127" s="1131"/>
      <c r="E127" s="1137">
        <f>'July 25 D_R (Tramming)'!F91</f>
        <v>2.8999999999999995</v>
      </c>
      <c r="F127" s="1137"/>
      <c r="G127" s="1137">
        <f>'July 25 D_R (Tramming)'!F93</f>
        <v>3.2479999999999993</v>
      </c>
      <c r="H127" s="1137"/>
      <c r="I127" s="1132"/>
      <c r="J127" s="636"/>
    </row>
    <row r="128" spans="2:10" x14ac:dyDescent="0.25">
      <c r="B128" s="1122" t="s">
        <v>155</v>
      </c>
      <c r="C128" s="1130">
        <v>1610</v>
      </c>
      <c r="D128" s="1131">
        <v>2277</v>
      </c>
      <c r="E128" s="1137">
        <f>'July 25 D_R (Tramming)'!F98</f>
        <v>2.3831775700934577</v>
      </c>
      <c r="F128" s="1137">
        <v>2.04</v>
      </c>
      <c r="G128" s="1137">
        <v>3.8</v>
      </c>
      <c r="H128" s="1137">
        <v>4.5999999999999996</v>
      </c>
      <c r="I128" s="1132"/>
      <c r="J128" s="636"/>
    </row>
    <row r="129" spans="2:10" x14ac:dyDescent="0.25">
      <c r="B129" s="1122" t="s">
        <v>157</v>
      </c>
      <c r="C129" s="1130">
        <v>805</v>
      </c>
      <c r="D129" s="1131">
        <v>554</v>
      </c>
      <c r="E129" s="1137">
        <v>2.46</v>
      </c>
      <c r="F129" s="1137">
        <v>2.42</v>
      </c>
      <c r="G129" s="1137">
        <v>2</v>
      </c>
      <c r="H129" s="1137">
        <v>1.3</v>
      </c>
      <c r="I129" s="1132"/>
      <c r="J129" s="636"/>
    </row>
    <row r="130" spans="2:10" x14ac:dyDescent="0.25">
      <c r="B130" s="1122" t="s">
        <v>271</v>
      </c>
      <c r="C130" s="1130">
        <v>1610</v>
      </c>
      <c r="D130" s="1131">
        <v>223</v>
      </c>
      <c r="E130" s="1137">
        <v>1.75</v>
      </c>
      <c r="F130" s="1137">
        <f>'July 25 D_R (Tramming)'!F113</f>
        <v>1.1133483146067416</v>
      </c>
      <c r="G130" s="1137">
        <v>2.8</v>
      </c>
      <c r="H130" s="1137">
        <v>0.2</v>
      </c>
      <c r="I130" s="1132"/>
      <c r="J130" s="636"/>
    </row>
    <row r="131" spans="2:10" x14ac:dyDescent="0.25">
      <c r="B131" s="1123" t="s">
        <v>162</v>
      </c>
      <c r="C131" s="1133">
        <v>1610</v>
      </c>
      <c r="D131" s="1134">
        <v>1202</v>
      </c>
      <c r="E131" s="1138">
        <v>1.75</v>
      </c>
      <c r="F131" s="1138">
        <v>1.67</v>
      </c>
      <c r="G131" s="1138">
        <v>2.8</v>
      </c>
      <c r="H131" s="1138">
        <v>2</v>
      </c>
      <c r="I131" s="1135"/>
      <c r="J131" s="636"/>
    </row>
    <row r="132" spans="2:10" x14ac:dyDescent="0.25">
      <c r="B132" s="65" t="s">
        <v>232</v>
      </c>
      <c r="C132" s="70">
        <f>SUM(C116:C131)</f>
        <v>20721</v>
      </c>
      <c r="D132" s="70">
        <f>SUM(D116:D131)</f>
        <v>18689</v>
      </c>
      <c r="E132" s="66">
        <f>SUMPRODUCT(C116:C131,E116:E131)/C132</f>
        <v>2.1516015356672336</v>
      </c>
      <c r="F132" s="66">
        <f>SUMPRODUCT(D116:D131,F116:F131)/D132</f>
        <v>2.1454254734954947</v>
      </c>
      <c r="G132" s="667">
        <f>SUM(G116:G131)</f>
        <v>44.477999999999994</v>
      </c>
      <c r="H132" s="667">
        <f>SUM(H116:H131)</f>
        <v>40.339919999999999</v>
      </c>
      <c r="I132" s="70"/>
      <c r="J132" s="69"/>
    </row>
    <row r="134" spans="2:10" x14ac:dyDescent="0.25">
      <c r="B134" s="1601" t="s">
        <v>278</v>
      </c>
      <c r="C134" s="1602"/>
      <c r="D134" s="1602"/>
      <c r="E134" s="1602"/>
      <c r="F134" s="1602"/>
      <c r="G134" s="1602"/>
      <c r="H134" s="1602"/>
      <c r="I134" s="1602"/>
      <c r="J134" s="1603"/>
    </row>
    <row r="135" spans="2:10" ht="45" x14ac:dyDescent="0.25">
      <c r="B135" s="1220" t="s">
        <v>224</v>
      </c>
      <c r="C135" s="1221" t="s">
        <v>225</v>
      </c>
      <c r="D135" s="1221" t="s">
        <v>64</v>
      </c>
      <c r="E135" s="1221" t="s">
        <v>226</v>
      </c>
      <c r="F135" s="1221" t="s">
        <v>65</v>
      </c>
      <c r="G135" s="1221" t="s">
        <v>227</v>
      </c>
      <c r="H135" s="1221" t="s">
        <v>66</v>
      </c>
      <c r="I135" s="1221" t="s">
        <v>228</v>
      </c>
      <c r="J135" s="1223" t="s">
        <v>229</v>
      </c>
    </row>
    <row r="137" spans="2:10" ht="15.75" thickBot="1" x14ac:dyDescent="0.3"/>
    <row r="138" spans="2:10" x14ac:dyDescent="0.25">
      <c r="B138" s="1601" t="s">
        <v>279</v>
      </c>
      <c r="C138" s="1602"/>
      <c r="D138" s="1602"/>
      <c r="E138" s="1602"/>
      <c r="F138" s="1602"/>
      <c r="G138" s="1602"/>
      <c r="H138" s="1602"/>
      <c r="I138" s="1602"/>
      <c r="J138" s="1603"/>
    </row>
    <row r="139" spans="2:10" ht="45" x14ac:dyDescent="0.25">
      <c r="B139" s="1220" t="s">
        <v>224</v>
      </c>
      <c r="C139" s="1221" t="s">
        <v>225</v>
      </c>
      <c r="D139" s="1221" t="s">
        <v>64</v>
      </c>
      <c r="E139" s="1221" t="s">
        <v>226</v>
      </c>
      <c r="F139" s="1221" t="s">
        <v>65</v>
      </c>
      <c r="G139" s="1221" t="s">
        <v>227</v>
      </c>
      <c r="H139" s="1221" t="s">
        <v>66</v>
      </c>
      <c r="I139" s="1221" t="s">
        <v>228</v>
      </c>
      <c r="J139" s="1223" t="s">
        <v>229</v>
      </c>
    </row>
    <row r="141" spans="2:10" ht="15.75" thickBot="1" x14ac:dyDescent="0.3"/>
    <row r="142" spans="2:10" x14ac:dyDescent="0.25">
      <c r="B142" s="1601" t="s">
        <v>280</v>
      </c>
      <c r="C142" s="1602"/>
      <c r="D142" s="1602"/>
      <c r="E142" s="1602"/>
      <c r="F142" s="1602"/>
      <c r="G142" s="1602"/>
      <c r="H142" s="1602"/>
      <c r="I142" s="1602"/>
      <c r="J142" s="1603"/>
    </row>
    <row r="143" spans="2:10" ht="45" x14ac:dyDescent="0.25">
      <c r="B143" s="1220" t="s">
        <v>224</v>
      </c>
      <c r="C143" s="1221" t="s">
        <v>225</v>
      </c>
      <c r="D143" s="1221" t="s">
        <v>64</v>
      </c>
      <c r="E143" s="1221" t="s">
        <v>226</v>
      </c>
      <c r="F143" s="1221" t="s">
        <v>65</v>
      </c>
      <c r="G143" s="1221" t="s">
        <v>227</v>
      </c>
      <c r="H143" s="1221" t="s">
        <v>66</v>
      </c>
      <c r="I143" s="1221" t="s">
        <v>228</v>
      </c>
      <c r="J143" s="1223" t="s">
        <v>229</v>
      </c>
    </row>
    <row r="145" spans="2:10" ht="15.75" thickBot="1" x14ac:dyDescent="0.3"/>
    <row r="146" spans="2:10" x14ac:dyDescent="0.25">
      <c r="B146" s="1601" t="s">
        <v>281</v>
      </c>
      <c r="C146" s="1602"/>
      <c r="D146" s="1602"/>
      <c r="E146" s="1602"/>
      <c r="F146" s="1602"/>
      <c r="G146" s="1602"/>
      <c r="H146" s="1602"/>
      <c r="I146" s="1602"/>
      <c r="J146" s="1603"/>
    </row>
    <row r="147" spans="2:10" ht="45" x14ac:dyDescent="0.25">
      <c r="B147" s="1220" t="s">
        <v>224</v>
      </c>
      <c r="C147" s="1221" t="s">
        <v>225</v>
      </c>
      <c r="D147" s="1221" t="s">
        <v>64</v>
      </c>
      <c r="E147" s="1221" t="s">
        <v>226</v>
      </c>
      <c r="F147" s="1221" t="s">
        <v>65</v>
      </c>
      <c r="G147" s="1221" t="s">
        <v>227</v>
      </c>
      <c r="H147" s="1221" t="s">
        <v>66</v>
      </c>
      <c r="I147" s="1221" t="s">
        <v>228</v>
      </c>
      <c r="J147" s="1223" t="s">
        <v>229</v>
      </c>
    </row>
    <row r="149" spans="2:10" ht="15.75" thickBot="1" x14ac:dyDescent="0.3"/>
    <row r="150" spans="2:10" x14ac:dyDescent="0.25">
      <c r="B150" s="1601" t="s">
        <v>282</v>
      </c>
      <c r="C150" s="1602"/>
      <c r="D150" s="1602"/>
      <c r="E150" s="1602"/>
      <c r="F150" s="1602"/>
      <c r="G150" s="1602"/>
      <c r="H150" s="1602"/>
      <c r="I150" s="1602"/>
      <c r="J150" s="1603"/>
    </row>
    <row r="151" spans="2:10" ht="45" x14ac:dyDescent="0.25">
      <c r="B151" s="1220" t="s">
        <v>224</v>
      </c>
      <c r="C151" s="1221" t="s">
        <v>225</v>
      </c>
      <c r="D151" s="1221" t="s">
        <v>64</v>
      </c>
      <c r="E151" s="1221" t="s">
        <v>226</v>
      </c>
      <c r="F151" s="1221" t="s">
        <v>65</v>
      </c>
      <c r="G151" s="1221" t="s">
        <v>227</v>
      </c>
      <c r="H151" s="1221" t="s">
        <v>66</v>
      </c>
      <c r="I151" s="1221" t="s">
        <v>228</v>
      </c>
      <c r="J151" s="1223" t="s">
        <v>229</v>
      </c>
    </row>
  </sheetData>
  <mergeCells count="16">
    <mergeCell ref="B59:M59"/>
    <mergeCell ref="O59:W59"/>
    <mergeCell ref="B75:M75"/>
    <mergeCell ref="O75:W75"/>
    <mergeCell ref="B150:J150"/>
    <mergeCell ref="B94:J94"/>
    <mergeCell ref="B114:J114"/>
    <mergeCell ref="B134:J134"/>
    <mergeCell ref="B138:J138"/>
    <mergeCell ref="B142:J142"/>
    <mergeCell ref="B146:J146"/>
    <mergeCell ref="W35:AE35"/>
    <mergeCell ref="B4:J4"/>
    <mergeCell ref="B18:K18"/>
    <mergeCell ref="M18:V18"/>
    <mergeCell ref="B35:M35"/>
  </mergeCells>
  <conditionalFormatting sqref="B6:B15 B20:B32">
    <cfRule type="expression" dxfId="1730" priority="23">
      <formula>H6-G6&gt;0</formula>
    </cfRule>
    <cfRule type="expression" dxfId="1729" priority="24">
      <formula>H6-G6&lt;0</formula>
    </cfRule>
  </conditionalFormatting>
  <conditionalFormatting sqref="B20:B32">
    <cfRule type="expression" dxfId="1728" priority="28">
      <formula>AND(ISBLANK(C20), NOT(ISBLANK(D20)))+$C$20:$D$32</formula>
    </cfRule>
    <cfRule type="expression" dxfId="1727" priority="33">
      <formula>AND(ISBLANK(D20))+$C$20:$D$32</formula>
    </cfRule>
  </conditionalFormatting>
  <conditionalFormatting sqref="B37:B49">
    <cfRule type="expression" dxfId="1726" priority="7">
      <formula>$E$37:$E$49 = 0</formula>
    </cfRule>
    <cfRule type="expression" dxfId="1725" priority="8">
      <formula>J37-I37&gt;0</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BFE6D-BC37-40CC-8C89-6898399C849E}">
  <dimension ref="B2:U148"/>
  <sheetViews>
    <sheetView topLeftCell="D99" zoomScale="85" zoomScaleNormal="85" workbookViewId="0">
      <selection activeCell="R82" sqref="R82"/>
    </sheetView>
  </sheetViews>
  <sheetFormatPr defaultColWidth="8.85546875" defaultRowHeight="12.75" x14ac:dyDescent="0.2"/>
  <cols>
    <col min="1" max="1" width="8.85546875" style="638"/>
    <col min="2" max="2" width="14.7109375" style="638" bestFit="1" customWidth="1"/>
    <col min="3" max="10" width="11.85546875" style="638" customWidth="1"/>
    <col min="11" max="11" width="11.85546875" style="639" customWidth="1"/>
    <col min="12" max="15" width="11.85546875" style="638" customWidth="1"/>
    <col min="16" max="16" width="8.5703125" style="638" bestFit="1" customWidth="1"/>
    <col min="17" max="19" width="8.85546875" style="638"/>
    <col min="20" max="20" width="8.5703125" style="638" bestFit="1" customWidth="1"/>
    <col min="21" max="21" width="28" style="638" customWidth="1"/>
    <col min="22" max="16384" width="8.85546875" style="638"/>
  </cols>
  <sheetData>
    <row r="2" spans="2:15" x14ac:dyDescent="0.2">
      <c r="B2" s="71" t="s">
        <v>283</v>
      </c>
    </row>
    <row r="3" spans="2:15" x14ac:dyDescent="0.2">
      <c r="B3" s="640">
        <v>45717</v>
      </c>
    </row>
    <row r="5" spans="2:15" x14ac:dyDescent="0.2">
      <c r="B5" s="1268"/>
      <c r="C5" s="1269" t="s">
        <v>269</v>
      </c>
      <c r="D5" s="1269" t="s">
        <v>269</v>
      </c>
      <c r="E5" s="1269" t="s">
        <v>269</v>
      </c>
      <c r="F5" s="1269" t="s">
        <v>269</v>
      </c>
      <c r="G5" s="1269" t="s">
        <v>269</v>
      </c>
      <c r="H5" s="1269" t="s">
        <v>269</v>
      </c>
      <c r="I5" s="1269" t="s">
        <v>269</v>
      </c>
      <c r="J5" s="1269" t="s">
        <v>269</v>
      </c>
      <c r="K5" s="1269" t="s">
        <v>269</v>
      </c>
      <c r="L5" s="1269" t="s">
        <v>269</v>
      </c>
      <c r="M5" s="1269" t="s">
        <v>269</v>
      </c>
      <c r="N5" s="1269" t="s">
        <v>269</v>
      </c>
      <c r="O5" s="1269" t="s">
        <v>269</v>
      </c>
    </row>
    <row r="6" spans="2:15" s="642" customFormat="1" x14ac:dyDescent="0.25">
      <c r="B6" s="641"/>
      <c r="C6" s="641" t="s">
        <v>284</v>
      </c>
      <c r="D6" s="641" t="s">
        <v>284</v>
      </c>
      <c r="E6" s="641" t="s">
        <v>284</v>
      </c>
      <c r="F6" s="641" t="s">
        <v>284</v>
      </c>
      <c r="G6" s="641" t="s">
        <v>284</v>
      </c>
      <c r="H6" s="641" t="s">
        <v>284</v>
      </c>
      <c r="I6" s="641" t="s">
        <v>32</v>
      </c>
      <c r="J6" s="641" t="s">
        <v>32</v>
      </c>
      <c r="K6" s="641" t="s">
        <v>32</v>
      </c>
      <c r="L6" s="641" t="s">
        <v>32</v>
      </c>
      <c r="M6" s="641" t="s">
        <v>32</v>
      </c>
      <c r="N6" s="641" t="s">
        <v>32</v>
      </c>
      <c r="O6" s="641" t="s">
        <v>262</v>
      </c>
    </row>
    <row r="7" spans="2:15" s="642" customFormat="1" ht="25.5" x14ac:dyDescent="0.25">
      <c r="B7" s="643"/>
      <c r="C7" s="643" t="s">
        <v>285</v>
      </c>
      <c r="D7" s="643" t="s">
        <v>286</v>
      </c>
      <c r="E7" s="643" t="s">
        <v>287</v>
      </c>
      <c r="F7" s="643" t="s">
        <v>288</v>
      </c>
      <c r="G7" s="643" t="s">
        <v>289</v>
      </c>
      <c r="H7" s="643" t="s">
        <v>290</v>
      </c>
      <c r="I7" s="643" t="s">
        <v>285</v>
      </c>
      <c r="J7" s="643" t="s">
        <v>286</v>
      </c>
      <c r="K7" s="643" t="s">
        <v>287</v>
      </c>
      <c r="L7" s="643" t="s">
        <v>288</v>
      </c>
      <c r="M7" s="643" t="s">
        <v>289</v>
      </c>
      <c r="N7" s="643" t="s">
        <v>290</v>
      </c>
      <c r="O7" s="643" t="s">
        <v>290</v>
      </c>
    </row>
    <row r="8" spans="2:15" x14ac:dyDescent="0.2">
      <c r="B8" s="638" t="s">
        <v>80</v>
      </c>
      <c r="C8" s="644">
        <f>'Monthly Stope Performance'!D37</f>
        <v>1085</v>
      </c>
      <c r="D8" s="645">
        <f>'Monthly Stope Performance'!F37</f>
        <v>1.8271028037383188</v>
      </c>
      <c r="E8" s="639">
        <f t="shared" ref="E8:E20" si="0">(C8*D8*$D$47)/1000</f>
        <v>1.7483636257009356</v>
      </c>
      <c r="F8" s="639">
        <f t="shared" ref="F8:F20" si="1">(E8*32.1507*$D$50)/1000</f>
        <v>141.37916342714396</v>
      </c>
      <c r="G8" s="646">
        <f t="shared" ref="G8:G20" si="2">-(C8*$D$58)/1000</f>
        <v>-54.962366884546711</v>
      </c>
      <c r="H8" s="647">
        <f>F8+G8</f>
        <v>86.416796542597254</v>
      </c>
      <c r="I8" s="644">
        <f>'Monthly Stope Performance'!E37</f>
        <v>279</v>
      </c>
      <c r="J8" s="639">
        <f>'Monthly Stope Performance'!G37</f>
        <v>1.1235125448028676</v>
      </c>
      <c r="K8" s="639">
        <f>(I8*J8*$D$47)/1000</f>
        <v>0.27645291240000008</v>
      </c>
      <c r="L8" s="639">
        <f>(K8*32.1507*$D$50)/1000</f>
        <v>22.355007223648972</v>
      </c>
      <c r="M8" s="646">
        <f>-(I8*$D$58)/1000</f>
        <v>-14.133180056026296</v>
      </c>
      <c r="N8" s="647">
        <f>L8+M8</f>
        <v>8.221827167622676</v>
      </c>
      <c r="O8" s="648">
        <f>(N8-H8)/H8</f>
        <v>-0.90485845927452413</v>
      </c>
    </row>
    <row r="9" spans="2:15" x14ac:dyDescent="0.2">
      <c r="B9" s="638" t="s">
        <v>90</v>
      </c>
      <c r="C9" s="644">
        <f>'Monthly Stope Performance'!D38</f>
        <v>1260</v>
      </c>
      <c r="D9" s="645">
        <f>'Monthly Stope Performance'!F38</f>
        <v>3.0584112149532694</v>
      </c>
      <c r="E9" s="639">
        <f t="shared" si="0"/>
        <v>3.3986423355140172</v>
      </c>
      <c r="F9" s="639">
        <f t="shared" si="1"/>
        <v>274.82681698460215</v>
      </c>
      <c r="G9" s="646">
        <f t="shared" si="2"/>
        <v>-63.827264769151022</v>
      </c>
      <c r="H9" s="647">
        <f t="shared" ref="H9:H20" si="3">F9+G9</f>
        <v>210.99955221545113</v>
      </c>
      <c r="I9" s="644">
        <f>'Monthly Stope Performance'!E38</f>
        <v>1294</v>
      </c>
      <c r="J9" s="639">
        <f>'Monthly Stope Performance'!G38</f>
        <v>3.3226816074188563</v>
      </c>
      <c r="K9" s="639" t="s">
        <v>10</v>
      </c>
      <c r="L9" s="639" t="s">
        <v>10</v>
      </c>
      <c r="M9" s="646" t="s">
        <v>10</v>
      </c>
      <c r="N9" s="647" t="s">
        <v>10</v>
      </c>
      <c r="O9" s="648" t="s">
        <v>10</v>
      </c>
    </row>
    <row r="10" spans="2:15" x14ac:dyDescent="0.2">
      <c r="B10" s="638" t="s">
        <v>125</v>
      </c>
      <c r="C10" s="644">
        <f>'Monthly Stope Performance'!D39</f>
        <v>2660</v>
      </c>
      <c r="D10" s="645">
        <f>'Monthly Stope Performance'!F39</f>
        <v>2.8121495327102815</v>
      </c>
      <c r="E10" s="639">
        <f t="shared" si="0"/>
        <v>6.5971914426168254</v>
      </c>
      <c r="F10" s="639">
        <f t="shared" si="1"/>
        <v>533.47335383504628</v>
      </c>
      <c r="G10" s="646">
        <f t="shared" si="2"/>
        <v>-134.74644784598547</v>
      </c>
      <c r="H10" s="647">
        <f t="shared" si="3"/>
        <v>398.72690598906081</v>
      </c>
      <c r="I10" s="644">
        <f>'Monthly Stope Performance'!E39</f>
        <v>2821</v>
      </c>
      <c r="J10" s="639">
        <f>'Monthly Stope Performance'!G39</f>
        <v>2.590361573909961</v>
      </c>
      <c r="K10" s="639">
        <f t="shared" ref="K10:K20" si="4">(I10*J10*$D$47)/1000</f>
        <v>6.4446971754000009</v>
      </c>
      <c r="L10" s="639">
        <f t="shared" ref="L10:L20" si="5">(K10*32.1507*$D$50)/1000</f>
        <v>521.14210213795923</v>
      </c>
      <c r="M10" s="646">
        <f t="shared" ref="M10:M20" si="6">-(I10*$D$58)/1000</f>
        <v>-142.90215389982146</v>
      </c>
      <c r="N10" s="647">
        <f t="shared" ref="N10:N20" si="7">L10+M10</f>
        <v>378.2399482381378</v>
      </c>
      <c r="O10" s="648">
        <f t="shared" ref="O10:O21" si="8">(N10-H10)/H10</f>
        <v>-5.1380926251024243E-2</v>
      </c>
    </row>
    <row r="11" spans="2:15" x14ac:dyDescent="0.2">
      <c r="B11" s="638" t="s">
        <v>126</v>
      </c>
      <c r="C11" s="644">
        <f>'Monthly Stope Performance'!D40</f>
        <v>4340</v>
      </c>
      <c r="D11" s="645">
        <f>'Monthly Stope Performance'!F40</f>
        <v>3.0584112149532698</v>
      </c>
      <c r="E11" s="639">
        <f t="shared" si="0"/>
        <v>11.70643471121495</v>
      </c>
      <c r="F11" s="639">
        <f t="shared" si="1"/>
        <v>946.62570294696297</v>
      </c>
      <c r="G11" s="646">
        <f t="shared" si="2"/>
        <v>-219.84946753818684</v>
      </c>
      <c r="H11" s="647">
        <f t="shared" si="3"/>
        <v>726.77623540877607</v>
      </c>
      <c r="I11" s="644">
        <f>'Monthly Stope Performance'!E40</f>
        <v>4581</v>
      </c>
      <c r="J11" s="639">
        <f>'Monthly Stope Performance'!G40</f>
        <v>2.7069286182056325</v>
      </c>
      <c r="K11" s="639">
        <f t="shared" si="4"/>
        <v>10.936444053600002</v>
      </c>
      <c r="L11" s="639">
        <f t="shared" si="5"/>
        <v>884.36140425070403</v>
      </c>
      <c r="M11" s="646">
        <f t="shared" si="6"/>
        <v>-232.05769833927047</v>
      </c>
      <c r="N11" s="647">
        <f t="shared" si="7"/>
        <v>652.30370591143355</v>
      </c>
      <c r="O11" s="648">
        <f t="shared" si="8"/>
        <v>-0.10246968168332495</v>
      </c>
    </row>
    <row r="12" spans="2:15" x14ac:dyDescent="0.2">
      <c r="B12" s="638" t="s">
        <v>129</v>
      </c>
      <c r="C12" s="644">
        <f>'Monthly Stope Performance'!D41</f>
        <v>1085</v>
      </c>
      <c r="D12" s="645">
        <f>'Monthly Stope Performance'!F41</f>
        <v>1.6841121495327112</v>
      </c>
      <c r="E12" s="639">
        <f t="shared" si="0"/>
        <v>1.6115351680373842</v>
      </c>
      <c r="F12" s="639">
        <f t="shared" si="1"/>
        <v>130.31470715893269</v>
      </c>
      <c r="G12" s="646">
        <f t="shared" si="2"/>
        <v>-54.962366884546711</v>
      </c>
      <c r="H12" s="647">
        <f t="shared" si="3"/>
        <v>75.35234027438598</v>
      </c>
      <c r="I12" s="644">
        <f>'Monthly Stope Performance'!E41</f>
        <v>1258</v>
      </c>
      <c r="J12" s="639">
        <f>'Monthly Stope Performance'!G41</f>
        <v>1.9284737678855326</v>
      </c>
      <c r="K12" s="639">
        <f t="shared" si="4"/>
        <v>2.1396040788000001</v>
      </c>
      <c r="L12" s="639">
        <f t="shared" si="5"/>
        <v>173.0163166742706</v>
      </c>
      <c r="M12" s="646">
        <f t="shared" si="6"/>
        <v>-63.725951650469824</v>
      </c>
      <c r="N12" s="647">
        <f t="shared" si="7"/>
        <v>109.29036502380077</v>
      </c>
      <c r="O12" s="648">
        <f t="shared" si="8"/>
        <v>0.45039111759281508</v>
      </c>
    </row>
    <row r="13" spans="2:15" x14ac:dyDescent="0.2">
      <c r="B13" s="638" t="s">
        <v>138</v>
      </c>
      <c r="C13" s="644">
        <f>'Monthly Stope Performance'!D42</f>
        <v>2170</v>
      </c>
      <c r="D13" s="645">
        <f>'Monthly Stope Performance'!F42</f>
        <v>1.6900000000000008</v>
      </c>
      <c r="E13" s="639">
        <f t="shared" si="0"/>
        <v>3.2343385620000022</v>
      </c>
      <c r="F13" s="639">
        <f t="shared" si="1"/>
        <v>261.54060483407102</v>
      </c>
      <c r="G13" s="646">
        <f t="shared" si="2"/>
        <v>-109.92473376909342</v>
      </c>
      <c r="H13" s="647">
        <f t="shared" si="3"/>
        <v>151.6158710649776</v>
      </c>
      <c r="I13" s="644">
        <f>'Monthly Stope Performance'!E42</f>
        <v>2587</v>
      </c>
      <c r="J13" s="639">
        <f>'Monthly Stope Performance'!G42</f>
        <v>2.1497680711248552</v>
      </c>
      <c r="K13" s="639">
        <f t="shared" si="4"/>
        <v>4.9048652130000008</v>
      </c>
      <c r="L13" s="639">
        <f t="shared" si="5"/>
        <v>396.62558196887181</v>
      </c>
      <c r="M13" s="646">
        <f t="shared" si="6"/>
        <v>-131.04851901412198</v>
      </c>
      <c r="N13" s="647">
        <f t="shared" si="7"/>
        <v>265.57706295474986</v>
      </c>
      <c r="O13" s="648">
        <f t="shared" si="8"/>
        <v>0.75164421171271856</v>
      </c>
    </row>
    <row r="14" spans="2:15" x14ac:dyDescent="0.2">
      <c r="B14" s="638" t="s">
        <v>140</v>
      </c>
      <c r="C14" s="644">
        <f>'Monthly Stope Performance'!D43</f>
        <v>1120</v>
      </c>
      <c r="D14" s="645">
        <f>'Monthly Stope Performance'!F43</f>
        <v>1.604672897196262</v>
      </c>
      <c r="E14" s="639">
        <f t="shared" si="0"/>
        <v>1.5850522407476639</v>
      </c>
      <c r="F14" s="639">
        <f t="shared" si="1"/>
        <v>128.17319949411754</v>
      </c>
      <c r="G14" s="646">
        <f t="shared" si="2"/>
        <v>-56.735346461467579</v>
      </c>
      <c r="H14" s="647">
        <f t="shared" si="3"/>
        <v>71.437853032649969</v>
      </c>
      <c r="I14" s="644">
        <f>'Monthly Stope Performance'!E43</f>
        <v>778</v>
      </c>
      <c r="J14" s="639">
        <f>'Monthly Stope Performance'!G43</f>
        <v>1.5569922879177376</v>
      </c>
      <c r="K14" s="639">
        <f t="shared" si="4"/>
        <v>1.0683291995999999</v>
      </c>
      <c r="L14" s="639">
        <f t="shared" si="5"/>
        <v>86.389059051537458</v>
      </c>
      <c r="M14" s="646">
        <f t="shared" si="6"/>
        <v>-39.410803166983719</v>
      </c>
      <c r="N14" s="647">
        <f t="shared" si="7"/>
        <v>46.978255884553739</v>
      </c>
      <c r="O14" s="648">
        <f>(N14-H14)/H14</f>
        <v>-0.34238986909247132</v>
      </c>
    </row>
    <row r="15" spans="2:15" x14ac:dyDescent="0.2">
      <c r="B15" s="638" t="s">
        <v>150</v>
      </c>
      <c r="C15" s="644">
        <f>'Monthly Stope Performance'!D44</f>
        <v>2170</v>
      </c>
      <c r="D15" s="645">
        <f>'Monthly Stope Performance'!F44</f>
        <v>3.0901869158878492</v>
      </c>
      <c r="E15" s="639">
        <f t="shared" si="0"/>
        <v>5.9140300034579409</v>
      </c>
      <c r="F15" s="639">
        <f t="shared" si="1"/>
        <v>478.23038759268644</v>
      </c>
      <c r="G15" s="646">
        <f t="shared" si="2"/>
        <v>-109.92473376909342</v>
      </c>
      <c r="H15" s="647">
        <f t="shared" si="3"/>
        <v>368.30565382359305</v>
      </c>
      <c r="I15" s="644">
        <f>'Monthly Stope Performance'!E44</f>
        <v>2738.2</v>
      </c>
      <c r="J15" s="639">
        <f>'Monthly Stope Performance'!G44</f>
        <v>3.2370144620553654</v>
      </c>
      <c r="K15" s="639">
        <f t="shared" si="4"/>
        <v>7.8171572104200013</v>
      </c>
      <c r="L15" s="639">
        <f t="shared" si="5"/>
        <v>632.1243078621975</v>
      </c>
      <c r="M15" s="646">
        <f t="shared" si="6"/>
        <v>-138.70779078642008</v>
      </c>
      <c r="N15" s="647">
        <f t="shared" si="7"/>
        <v>493.41651707577739</v>
      </c>
      <c r="O15" s="648">
        <f t="shared" si="8"/>
        <v>0.33969302929058093</v>
      </c>
    </row>
    <row r="16" spans="2:15" x14ac:dyDescent="0.2">
      <c r="B16" s="638" t="s">
        <v>152</v>
      </c>
      <c r="C16" s="644">
        <f>'Monthly Stope Performance'!D45</f>
        <v>3255</v>
      </c>
      <c r="D16" s="645">
        <f>'Monthly Stope Performance'!F45</f>
        <v>3.0901869158878479</v>
      </c>
      <c r="E16" s="639">
        <f t="shared" si="0"/>
        <v>8.8710450051869092</v>
      </c>
      <c r="F16" s="639">
        <f t="shared" si="1"/>
        <v>717.34558138902935</v>
      </c>
      <c r="G16" s="646">
        <f t="shared" si="2"/>
        <v>-164.88710065364015</v>
      </c>
      <c r="H16" s="647">
        <f t="shared" si="3"/>
        <v>552.45848073538923</v>
      </c>
      <c r="I16" s="644">
        <f>'Monthly Stope Performance'!E45</f>
        <v>2814.1</v>
      </c>
      <c r="J16" s="639">
        <f>'Monthly Stope Performance'!G45</f>
        <v>2.6445158309939236</v>
      </c>
      <c r="K16" s="639">
        <f t="shared" si="4"/>
        <v>6.5633375080800009</v>
      </c>
      <c r="L16" s="639">
        <f t="shared" si="5"/>
        <v>530.73579920214513</v>
      </c>
      <c r="M16" s="646">
        <f t="shared" si="6"/>
        <v>-142.55262364037134</v>
      </c>
      <c r="N16" s="647">
        <f t="shared" si="7"/>
        <v>388.18317556177379</v>
      </c>
      <c r="O16" s="648">
        <f t="shared" si="8"/>
        <v>-0.29735321458898611</v>
      </c>
    </row>
    <row r="17" spans="2:15" x14ac:dyDescent="0.2">
      <c r="B17" s="638" t="s">
        <v>153</v>
      </c>
      <c r="C17" s="644">
        <f>'Monthly Stope Performance'!D46</f>
        <v>2170</v>
      </c>
      <c r="D17" s="645">
        <f>'Monthly Stope Performance'!F46</f>
        <v>2.3116822429906541</v>
      </c>
      <c r="E17" s="639">
        <f t="shared" si="0"/>
        <v>4.4241201311214953</v>
      </c>
      <c r="F17" s="639">
        <f t="shared" si="1"/>
        <v>357.75075267216408</v>
      </c>
      <c r="G17" s="646">
        <f t="shared" si="2"/>
        <v>-109.92473376909342</v>
      </c>
      <c r="H17" s="647">
        <f t="shared" si="3"/>
        <v>247.82601890307066</v>
      </c>
      <c r="I17" s="644">
        <f>'Monthly Stope Performance'!E46</f>
        <v>2103.1</v>
      </c>
      <c r="J17" s="639">
        <f>'Monthly Stope Performance'!G46</f>
        <v>2.5423327468974373</v>
      </c>
      <c r="K17" s="639">
        <f t="shared" si="4"/>
        <v>4.7155391531999999</v>
      </c>
      <c r="L17" s="639">
        <f t="shared" si="5"/>
        <v>381.31597499924015</v>
      </c>
      <c r="M17" s="646">
        <f t="shared" si="6"/>
        <v>-106.53580994920755</v>
      </c>
      <c r="N17" s="647">
        <f t="shared" si="7"/>
        <v>274.78016505003262</v>
      </c>
      <c r="O17" s="648">
        <f t="shared" si="8"/>
        <v>0.10876237396810311</v>
      </c>
    </row>
    <row r="18" spans="2:15" x14ac:dyDescent="0.2">
      <c r="B18" s="638" t="s">
        <v>157</v>
      </c>
      <c r="C18" s="644">
        <f>'Monthly Stope Performance'!D47</f>
        <v>2170</v>
      </c>
      <c r="D18" s="645">
        <f>'Monthly Stope Performance'!F47</f>
        <v>2.2560747663551406</v>
      </c>
      <c r="E18" s="639">
        <f t="shared" si="0"/>
        <v>4.3176979973831786</v>
      </c>
      <c r="F18" s="639">
        <f t="shared" si="1"/>
        <v>349.14506446355534</v>
      </c>
      <c r="G18" s="646">
        <f t="shared" si="2"/>
        <v>-109.92473376909342</v>
      </c>
      <c r="H18" s="647">
        <f t="shared" si="3"/>
        <v>239.22033069446192</v>
      </c>
      <c r="I18" s="644">
        <f>'Monthly Stope Performance'!E47</f>
        <v>530.79999999999995</v>
      </c>
      <c r="J18" s="639">
        <f>'Monthly Stope Performance'!G47</f>
        <v>1.9271590052750567</v>
      </c>
      <c r="K18" s="639">
        <f t="shared" si="4"/>
        <v>0.90216817584000009</v>
      </c>
      <c r="L18" s="639">
        <f t="shared" si="5"/>
        <v>72.952662761853446</v>
      </c>
      <c r="M18" s="646">
        <f t="shared" si="6"/>
        <v>-26.888501697988382</v>
      </c>
      <c r="N18" s="647">
        <f t="shared" si="7"/>
        <v>46.064161063865065</v>
      </c>
      <c r="O18" s="648">
        <f t="shared" si="8"/>
        <v>-0.80744044233138634</v>
      </c>
    </row>
    <row r="19" spans="2:15" x14ac:dyDescent="0.2">
      <c r="B19" s="638" t="s">
        <v>158</v>
      </c>
      <c r="C19" s="644">
        <f>'Monthly Stope Performance'!D48</f>
        <v>4340</v>
      </c>
      <c r="D19" s="645">
        <f>'Monthly Stope Performance'!F48</f>
        <v>2.0098130841121482</v>
      </c>
      <c r="E19" s="639">
        <f t="shared" si="0"/>
        <v>7.6927999530841067</v>
      </c>
      <c r="F19" s="639">
        <f t="shared" si="1"/>
        <v>622.06831907943251</v>
      </c>
      <c r="G19" s="646">
        <f t="shared" si="2"/>
        <v>-219.84946753818684</v>
      </c>
      <c r="H19" s="647">
        <f t="shared" si="3"/>
        <v>402.21885154124567</v>
      </c>
      <c r="I19" s="644">
        <f>'Monthly Stope Performance'!E48</f>
        <v>5164.5999999999995</v>
      </c>
      <c r="J19" s="639">
        <f>'Monthly Stope Performance'!G48</f>
        <v>2.4794214459977546</v>
      </c>
      <c r="K19" s="639">
        <f t="shared" si="4"/>
        <v>11.293435726800002</v>
      </c>
      <c r="L19" s="639">
        <f t="shared" si="5"/>
        <v>913.22907420536683</v>
      </c>
      <c r="M19" s="646">
        <f t="shared" si="6"/>
        <v>-261.62086637044234</v>
      </c>
      <c r="N19" s="647">
        <f t="shared" si="7"/>
        <v>651.60820783492454</v>
      </c>
      <c r="O19" s="648">
        <f t="shared" si="8"/>
        <v>0.62003398234084306</v>
      </c>
    </row>
    <row r="20" spans="2:15" x14ac:dyDescent="0.2">
      <c r="B20" s="638" t="s">
        <v>159</v>
      </c>
      <c r="C20" s="644">
        <f>'Monthly Stope Performance'!D49</f>
        <v>1085</v>
      </c>
      <c r="D20" s="645">
        <f>'Monthly Stope Performance'!F49</f>
        <v>1.7238317757009356</v>
      </c>
      <c r="E20" s="639">
        <f t="shared" si="0"/>
        <v>1.6495430729439262</v>
      </c>
      <c r="F20" s="639">
        <f t="shared" si="1"/>
        <v>133.38816723343581</v>
      </c>
      <c r="G20" s="646">
        <f t="shared" si="2"/>
        <v>-54.962366884546711</v>
      </c>
      <c r="H20" s="647">
        <f t="shared" si="3"/>
        <v>78.425800348889098</v>
      </c>
      <c r="I20" s="644">
        <f>'Monthly Stope Performance'!E49</f>
        <v>54</v>
      </c>
      <c r="J20" s="639">
        <f>'Monthly Stope Performance'!G49</f>
        <v>5.9900000000000011</v>
      </c>
      <c r="K20" s="639">
        <f t="shared" si="4"/>
        <v>0.28527231240000001</v>
      </c>
      <c r="L20" s="639">
        <f t="shared" si="5"/>
        <v>23.068176598486232</v>
      </c>
      <c r="M20" s="646">
        <f t="shared" si="6"/>
        <v>-2.7354542043921866</v>
      </c>
      <c r="N20" s="647">
        <f t="shared" si="7"/>
        <v>20.332722394094045</v>
      </c>
      <c r="O20" s="648">
        <f t="shared" si="8"/>
        <v>-0.74073937016082925</v>
      </c>
    </row>
    <row r="21" spans="2:15" ht="13.5" thickBot="1" x14ac:dyDescent="0.25">
      <c r="B21" s="1270" t="s">
        <v>291</v>
      </c>
      <c r="C21" s="1271">
        <f t="shared" ref="C21:E21" si="9">SUM(C8:C20)</f>
        <v>28910</v>
      </c>
      <c r="D21" s="1272">
        <f>SUMPRODUCT(D8:D20,C8:C20)/C21</f>
        <v>2.4611160643569954</v>
      </c>
      <c r="E21" s="1272">
        <f t="shared" si="9"/>
        <v>62.750794249009338</v>
      </c>
      <c r="F21" s="1272">
        <f>SUM(F8:F20)</f>
        <v>5074.2618211111803</v>
      </c>
      <c r="G21" s="1273">
        <f>SUM(G8:G20)</f>
        <v>-1464.4811305366318</v>
      </c>
      <c r="H21" s="1272">
        <f>SUM(H8:H20)</f>
        <v>3609.7806905745492</v>
      </c>
      <c r="I21" s="1274">
        <f>SUM(I8:I20)</f>
        <v>27002.799999999996</v>
      </c>
      <c r="J21" s="1272">
        <f>SUMPRODUCT(J8:J20,I8:I20)/I21</f>
        <v>2.5672741715673935</v>
      </c>
      <c r="K21" s="1275">
        <f t="shared" ref="K21" si="10">SUM(K8:K20)</f>
        <v>57.347302719540011</v>
      </c>
      <c r="L21" s="1272">
        <f>SUM(L8:L20)</f>
        <v>4637.3154669362812</v>
      </c>
      <c r="M21" s="1273">
        <f>SUM(M8:M20)</f>
        <v>-1302.3193527755157</v>
      </c>
      <c r="N21" s="1272">
        <f>SUM(N8:N20)</f>
        <v>3334.996114160766</v>
      </c>
      <c r="O21" s="1276">
        <f t="shared" si="8"/>
        <v>-7.6122235661371246E-2</v>
      </c>
    </row>
    <row r="22" spans="2:15" x14ac:dyDescent="0.2">
      <c r="B22" s="724"/>
      <c r="C22" s="725"/>
      <c r="D22" s="726"/>
      <c r="E22" s="726"/>
      <c r="F22" s="726"/>
      <c r="G22" s="727"/>
      <c r="H22" s="726"/>
      <c r="I22" s="728"/>
      <c r="J22" s="726"/>
      <c r="K22" s="729"/>
      <c r="L22" s="726"/>
      <c r="M22" s="727"/>
      <c r="N22" s="726"/>
      <c r="O22" s="730"/>
    </row>
    <row r="23" spans="2:15" x14ac:dyDescent="0.2">
      <c r="B23" s="640">
        <v>45748</v>
      </c>
      <c r="C23" s="725"/>
      <c r="D23" s="726"/>
      <c r="E23" s="726"/>
      <c r="F23" s="726"/>
      <c r="G23" s="727"/>
      <c r="H23" s="726"/>
      <c r="I23" s="728"/>
      <c r="J23" s="726"/>
      <c r="K23" s="729"/>
      <c r="L23" s="726"/>
      <c r="M23" s="727"/>
      <c r="N23" s="726"/>
      <c r="O23" s="730"/>
    </row>
    <row r="25" spans="2:15" x14ac:dyDescent="0.2">
      <c r="B25" s="1268"/>
      <c r="C25" s="1269" t="s">
        <v>269</v>
      </c>
      <c r="D25" s="1269" t="s">
        <v>269</v>
      </c>
      <c r="E25" s="1269" t="s">
        <v>269</v>
      </c>
      <c r="F25" s="1269" t="s">
        <v>269</v>
      </c>
      <c r="G25" s="1269" t="s">
        <v>269</v>
      </c>
      <c r="H25" s="1269" t="s">
        <v>269</v>
      </c>
      <c r="I25" s="1269" t="s">
        <v>269</v>
      </c>
      <c r="J25" s="1269" t="s">
        <v>269</v>
      </c>
      <c r="K25" s="1269" t="s">
        <v>269</v>
      </c>
      <c r="L25" s="1269" t="s">
        <v>269</v>
      </c>
      <c r="M25" s="1269" t="s">
        <v>269</v>
      </c>
      <c r="N25" s="1269" t="s">
        <v>269</v>
      </c>
      <c r="O25" s="1269" t="s">
        <v>269</v>
      </c>
    </row>
    <row r="26" spans="2:15" x14ac:dyDescent="0.2">
      <c r="B26" s="641"/>
      <c r="C26" s="641" t="s">
        <v>284</v>
      </c>
      <c r="D26" s="641" t="s">
        <v>284</v>
      </c>
      <c r="E26" s="641" t="s">
        <v>284</v>
      </c>
      <c r="F26" s="641" t="s">
        <v>284</v>
      </c>
      <c r="G26" s="641" t="s">
        <v>284</v>
      </c>
      <c r="H26" s="641" t="s">
        <v>284</v>
      </c>
      <c r="I26" s="641" t="s">
        <v>32</v>
      </c>
      <c r="J26" s="641" t="s">
        <v>32</v>
      </c>
      <c r="K26" s="641" t="s">
        <v>32</v>
      </c>
      <c r="L26" s="641" t="s">
        <v>32</v>
      </c>
      <c r="M26" s="641" t="s">
        <v>32</v>
      </c>
      <c r="N26" s="641" t="s">
        <v>32</v>
      </c>
      <c r="O26" s="641" t="s">
        <v>262</v>
      </c>
    </row>
    <row r="27" spans="2:15" ht="25.5" x14ac:dyDescent="0.2">
      <c r="B27" s="643"/>
      <c r="C27" s="643" t="s">
        <v>285</v>
      </c>
      <c r="D27" s="643" t="s">
        <v>286</v>
      </c>
      <c r="E27" s="643" t="s">
        <v>287</v>
      </c>
      <c r="F27" s="643" t="s">
        <v>288</v>
      </c>
      <c r="G27" s="643" t="s">
        <v>289</v>
      </c>
      <c r="H27" s="643" t="s">
        <v>290</v>
      </c>
      <c r="I27" s="643" t="s">
        <v>285</v>
      </c>
      <c r="J27" s="643" t="s">
        <v>286</v>
      </c>
      <c r="K27" s="643" t="s">
        <v>287</v>
      </c>
      <c r="L27" s="643" t="s">
        <v>288</v>
      </c>
      <c r="M27" s="643" t="s">
        <v>289</v>
      </c>
      <c r="N27" s="643" t="s">
        <v>290</v>
      </c>
      <c r="O27" s="643" t="s">
        <v>290</v>
      </c>
    </row>
    <row r="28" spans="2:15" x14ac:dyDescent="0.2">
      <c r="B28" s="638" t="s">
        <v>80</v>
      </c>
      <c r="C28" s="644">
        <f>'Monthly Stope Performance'!D61</f>
        <v>2030</v>
      </c>
      <c r="D28" s="645">
        <f>'Monthly Stope Performance'!F61</f>
        <v>1.83</v>
      </c>
      <c r="E28" s="639">
        <f t="shared" ref="E28:E39" si="11">(C28*D28*$D$47)/1000</f>
        <v>3.2763189060000006</v>
      </c>
      <c r="F28" s="639">
        <f t="shared" ref="F28:F39" si="12">(E28*32.1507*$D$50)/1000</f>
        <v>264.93529105829629</v>
      </c>
      <c r="G28" s="646">
        <f t="shared" ref="G28:G39" si="13">-(C28*$D$58)/1000</f>
        <v>-102.83281546140998</v>
      </c>
      <c r="H28" s="647">
        <f>F28+G28</f>
        <v>162.10247559688631</v>
      </c>
      <c r="I28" s="644">
        <f>'Monthly Stope Performance'!E61</f>
        <v>2125</v>
      </c>
      <c r="J28" s="639">
        <f>'Monthly Stope Performance'!G61</f>
        <v>1.882352941176471</v>
      </c>
      <c r="K28" s="639">
        <f>(I28*J28*$D$47)/1000</f>
        <v>3.5277600000000011</v>
      </c>
      <c r="L28" s="639">
        <f>(K28*32.1507*$D$50)/1000</f>
        <v>285.26774993490682</v>
      </c>
      <c r="M28" s="646">
        <f>-(I28*$D$58)/1000</f>
        <v>-107.64518859876661</v>
      </c>
      <c r="N28" s="647">
        <f>L28+M28</f>
        <v>177.62256133614022</v>
      </c>
      <c r="O28" s="648">
        <f>(N28-H28)/H28</f>
        <v>9.5742435037506776E-2</v>
      </c>
    </row>
    <row r="29" spans="2:15" x14ac:dyDescent="0.2">
      <c r="B29" s="638" t="s">
        <v>90</v>
      </c>
      <c r="C29" s="644">
        <f>'Monthly Stope Performance'!D62</f>
        <v>3045</v>
      </c>
      <c r="D29" s="645">
        <f>'Monthly Stope Performance'!F62</f>
        <v>3.06</v>
      </c>
      <c r="E29" s="639">
        <f t="shared" si="11"/>
        <v>8.2176523380000024</v>
      </c>
      <c r="F29" s="639">
        <f t="shared" si="12"/>
        <v>664.50982839212031</v>
      </c>
      <c r="G29" s="646">
        <f t="shared" si="13"/>
        <v>-154.24922319211495</v>
      </c>
      <c r="H29" s="647">
        <f t="shared" ref="H29:H39" si="14">F29+G29</f>
        <v>510.26060520000533</v>
      </c>
      <c r="I29" s="644">
        <f>'Monthly Stope Performance'!E62</f>
        <v>2726</v>
      </c>
      <c r="J29" s="639">
        <f>'Monthly Stope Performance'!G62</f>
        <v>2.0542920029347025</v>
      </c>
      <c r="K29" s="639">
        <f>'Monthly Stope Performance'!U62</f>
        <v>4.927999999999999</v>
      </c>
      <c r="L29" s="639">
        <f>(K29*32.1507*$D$50)/1000</f>
        <v>398.49634659932082</v>
      </c>
      <c r="M29" s="646">
        <f>-(I29*$D$58)/1000</f>
        <v>-138.08978076246484</v>
      </c>
      <c r="N29" s="647">
        <f>L29+M29</f>
        <v>260.40656583685598</v>
      </c>
      <c r="O29" s="648">
        <f>(N29-H29)/H29</f>
        <v>-0.48965966962159424</v>
      </c>
    </row>
    <row r="30" spans="2:15" x14ac:dyDescent="0.2">
      <c r="B30" s="638" t="s">
        <v>126</v>
      </c>
      <c r="C30" s="644">
        <f>'Monthly Stope Performance'!D63</f>
        <v>4060</v>
      </c>
      <c r="D30" s="645">
        <f>'Monthly Stope Performance'!F63</f>
        <v>3.06</v>
      </c>
      <c r="E30" s="639">
        <f t="shared" si="11"/>
        <v>10.956869784</v>
      </c>
      <c r="F30" s="639">
        <f t="shared" si="12"/>
        <v>886.01310452282689</v>
      </c>
      <c r="G30" s="646">
        <f t="shared" si="13"/>
        <v>-205.66563092281996</v>
      </c>
      <c r="H30" s="647">
        <f t="shared" si="14"/>
        <v>680.34747360000688</v>
      </c>
      <c r="I30" s="644">
        <f>'Monthly Stope Performance'!E63</f>
        <v>4161</v>
      </c>
      <c r="J30" s="639">
        <f>'Monthly Stope Performance'!G63</f>
        <v>2.2590723383801965</v>
      </c>
      <c r="K30" s="639">
        <f t="shared" ref="K30:K39" si="15">(I30*J30*$D$47)/1000</f>
        <v>8.2902359999999984</v>
      </c>
      <c r="L30" s="639">
        <f t="shared" ref="L30:L39" si="16">(K30*32.1507*$D$50)/1000</f>
        <v>670.3792123470306</v>
      </c>
      <c r="M30" s="646">
        <f t="shared" ref="M30:M39" si="17">-(I30*$D$58)/1000</f>
        <v>-210.78194341622017</v>
      </c>
      <c r="N30" s="647">
        <f t="shared" ref="N30:N39" si="18">L30+M30</f>
        <v>459.5972689308104</v>
      </c>
      <c r="O30" s="648">
        <f t="shared" ref="O30:O32" si="19">(N30-H30)/H30</f>
        <v>-0.32446685441648454</v>
      </c>
    </row>
    <row r="31" spans="2:15" x14ac:dyDescent="0.2">
      <c r="B31" s="638" t="s">
        <v>129</v>
      </c>
      <c r="C31" s="644">
        <f>'Monthly Stope Performance'!D64</f>
        <v>2030</v>
      </c>
      <c r="D31" s="645">
        <f>'Monthly Stope Performance'!F64</f>
        <v>1.68</v>
      </c>
      <c r="E31" s="639">
        <f t="shared" si="11"/>
        <v>3.0077681760000003</v>
      </c>
      <c r="F31" s="639">
        <f t="shared" si="12"/>
        <v>243.21928359450149</v>
      </c>
      <c r="G31" s="646">
        <f t="shared" si="13"/>
        <v>-102.83281546140998</v>
      </c>
      <c r="H31" s="647">
        <f t="shared" si="14"/>
        <v>140.38646813309151</v>
      </c>
      <c r="I31" s="644">
        <f>'Monthly Stope Performance'!E64</f>
        <v>1695</v>
      </c>
      <c r="J31" s="639">
        <f>'Monthly Stope Performance'!G64</f>
        <v>2.3598820058997054</v>
      </c>
      <c r="K31" s="639">
        <f t="shared" si="15"/>
        <v>3.5277600000000011</v>
      </c>
      <c r="L31" s="639">
        <f t="shared" si="16"/>
        <v>285.26774993490682</v>
      </c>
      <c r="M31" s="646">
        <f t="shared" si="17"/>
        <v>-85.8628680823103</v>
      </c>
      <c r="N31" s="647">
        <f t="shared" si="18"/>
        <v>199.40488185259653</v>
      </c>
      <c r="O31" s="648">
        <f t="shared" si="19"/>
        <v>0.42039959053285253</v>
      </c>
    </row>
    <row r="32" spans="2:15" x14ac:dyDescent="0.2">
      <c r="B32" s="638" t="s">
        <v>138</v>
      </c>
      <c r="C32" s="644">
        <f>'Monthly Stope Performance'!D65</f>
        <v>1050</v>
      </c>
      <c r="D32" s="645">
        <f>'Monthly Stope Performance'!F65</f>
        <v>1.68</v>
      </c>
      <c r="E32" s="639">
        <f t="shared" si="11"/>
        <v>1.5557421600000001</v>
      </c>
      <c r="F32" s="639">
        <f t="shared" si="12"/>
        <v>125.80307772129387</v>
      </c>
      <c r="G32" s="646">
        <f t="shared" si="13"/>
        <v>-53.189387307625843</v>
      </c>
      <c r="H32" s="647">
        <f t="shared" si="14"/>
        <v>72.613690413668024</v>
      </c>
      <c r="I32" s="644">
        <f>'Monthly Stope Performance'!E65</f>
        <v>1481</v>
      </c>
      <c r="J32" s="639">
        <f>'Monthly Stope Performance'!G65</f>
        <v>2.160702228224173</v>
      </c>
      <c r="K32" s="639">
        <f t="shared" si="15"/>
        <v>2.8222080000000007</v>
      </c>
      <c r="L32" s="639">
        <f t="shared" si="16"/>
        <v>228.21419994792544</v>
      </c>
      <c r="M32" s="646">
        <f t="shared" si="17"/>
        <v>-75.02236438342274</v>
      </c>
      <c r="N32" s="647">
        <f t="shared" si="18"/>
        <v>153.1918355645027</v>
      </c>
      <c r="O32" s="648">
        <f t="shared" si="19"/>
        <v>1.1096825501058338</v>
      </c>
    </row>
    <row r="33" spans="2:15" x14ac:dyDescent="0.2">
      <c r="B33" s="638" t="s">
        <v>140</v>
      </c>
      <c r="C33" s="644">
        <f>'Monthly Stope Performance'!D66</f>
        <v>1540</v>
      </c>
      <c r="D33" s="645">
        <f>'Monthly Stope Performance'!F66</f>
        <v>1.6</v>
      </c>
      <c r="E33" s="639">
        <f t="shared" si="11"/>
        <v>2.1731001600000002</v>
      </c>
      <c r="F33" s="639">
        <f t="shared" si="12"/>
        <v>175.72493395990256</v>
      </c>
      <c r="G33" s="646">
        <f t="shared" si="13"/>
        <v>-78.011101384517914</v>
      </c>
      <c r="H33" s="647">
        <f t="shared" si="14"/>
        <v>97.713832575384643</v>
      </c>
      <c r="I33" s="644">
        <f>'Monthly Stope Performance'!E66</f>
        <v>1881</v>
      </c>
      <c r="J33" s="639">
        <f>'Monthly Stope Performance'!G66</f>
        <v>3.0834662413609788</v>
      </c>
      <c r="K33" s="639">
        <f t="shared" si="15"/>
        <v>5.1152520000000017</v>
      </c>
      <c r="L33" s="639">
        <f t="shared" si="16"/>
        <v>413.63823740561492</v>
      </c>
      <c r="M33" s="646">
        <f t="shared" si="17"/>
        <v>-95.284988119661165</v>
      </c>
      <c r="N33" s="647">
        <f t="shared" si="18"/>
        <v>318.35324928595378</v>
      </c>
      <c r="O33" s="648">
        <f>(N33-H33)/H33</f>
        <v>2.2580161978637916</v>
      </c>
    </row>
    <row r="34" spans="2:15" x14ac:dyDescent="0.2">
      <c r="B34" s="638" t="s">
        <v>150</v>
      </c>
      <c r="C34" s="644">
        <f>'Monthly Stope Performance'!D67</f>
        <v>2030</v>
      </c>
      <c r="D34" s="645">
        <f>'Monthly Stope Performance'!F67</f>
        <v>3.09</v>
      </c>
      <c r="E34" s="639">
        <f t="shared" si="11"/>
        <v>5.5321450380000003</v>
      </c>
      <c r="F34" s="639">
        <f t="shared" si="12"/>
        <v>447.34975375417235</v>
      </c>
      <c r="G34" s="646">
        <f t="shared" si="13"/>
        <v>-102.83281546140998</v>
      </c>
      <c r="H34" s="647">
        <f t="shared" si="14"/>
        <v>344.51693829276235</v>
      </c>
      <c r="I34" s="644">
        <f>'Monthly Stope Performance'!E67</f>
        <v>1723</v>
      </c>
      <c r="J34" s="639">
        <f>'Monthly Stope Performance'!G67</f>
        <v>3.1921067904817186</v>
      </c>
      <c r="K34" s="639">
        <f t="shared" si="15"/>
        <v>4.8506700000000009</v>
      </c>
      <c r="L34" s="639">
        <f t="shared" si="16"/>
        <v>392.24315616049682</v>
      </c>
      <c r="M34" s="646">
        <f t="shared" si="17"/>
        <v>-87.281251743846994</v>
      </c>
      <c r="N34" s="647">
        <f t="shared" si="18"/>
        <v>304.96190441664982</v>
      </c>
      <c r="O34" s="648">
        <f t="shared" ref="O34:O41" si="20">(N34-H34)/H34</f>
        <v>-0.11481303088354861</v>
      </c>
    </row>
    <row r="35" spans="2:15" x14ac:dyDescent="0.2">
      <c r="B35" s="638" t="s">
        <v>152</v>
      </c>
      <c r="C35" s="644">
        <f>'Monthly Stope Performance'!D68</f>
        <v>1960</v>
      </c>
      <c r="D35" s="645">
        <f>'Monthly Stope Performance'!F68</f>
        <v>3.09</v>
      </c>
      <c r="E35" s="639">
        <f t="shared" si="11"/>
        <v>5.3413814159999999</v>
      </c>
      <c r="F35" s="639">
        <f t="shared" si="12"/>
        <v>431.92390017644226</v>
      </c>
      <c r="G35" s="646">
        <f t="shared" si="13"/>
        <v>-99.286856307568243</v>
      </c>
      <c r="H35" s="647">
        <f t="shared" si="14"/>
        <v>332.637043868874</v>
      </c>
      <c r="I35" s="644">
        <f>'Monthly Stope Performance'!E68</f>
        <v>2443</v>
      </c>
      <c r="J35" s="639">
        <f>'Monthly Stope Performance'!G68</f>
        <v>1.7601309864920185</v>
      </c>
      <c r="K35" s="639">
        <f t="shared" si="15"/>
        <v>3.792342000000001</v>
      </c>
      <c r="L35" s="639">
        <f t="shared" si="16"/>
        <v>306.6628311800248</v>
      </c>
      <c r="M35" s="646">
        <f t="shared" si="17"/>
        <v>-123.75397446907614</v>
      </c>
      <c r="N35" s="647">
        <f t="shared" si="18"/>
        <v>182.90885671094867</v>
      </c>
      <c r="O35" s="648">
        <f t="shared" si="20"/>
        <v>-0.45012481296866141</v>
      </c>
    </row>
    <row r="36" spans="2:15" x14ac:dyDescent="0.2">
      <c r="B36" s="638" t="s">
        <v>153</v>
      </c>
      <c r="C36" s="644">
        <f>'Monthly Stope Performance'!D69</f>
        <v>1960</v>
      </c>
      <c r="D36" s="645">
        <f>'Monthly Stope Performance'!F69</f>
        <v>2.31</v>
      </c>
      <c r="E36" s="639">
        <f t="shared" si="11"/>
        <v>3.9930715440000002</v>
      </c>
      <c r="F36" s="639">
        <f t="shared" si="12"/>
        <v>322.89456615132099</v>
      </c>
      <c r="G36" s="646">
        <f t="shared" si="13"/>
        <v>-99.286856307568243</v>
      </c>
      <c r="H36" s="647">
        <f t="shared" si="14"/>
        <v>223.60770984375273</v>
      </c>
      <c r="I36" s="644">
        <f>'Monthly Stope Performance'!E69</f>
        <v>2199</v>
      </c>
      <c r="J36" s="639">
        <f>'Monthly Stope Performance'!G69</f>
        <v>2.4556616643929057</v>
      </c>
      <c r="K36" s="639">
        <f t="shared" si="15"/>
        <v>4.7624760000000004</v>
      </c>
      <c r="L36" s="639">
        <f t="shared" si="16"/>
        <v>385.11146241212413</v>
      </c>
      <c r="M36" s="646">
        <f t="shared" si="17"/>
        <v>-111.39377398997071</v>
      </c>
      <c r="N36" s="647">
        <f t="shared" si="18"/>
        <v>273.7176884221534</v>
      </c>
      <c r="O36" s="648">
        <f t="shared" si="20"/>
        <v>0.22409772280846366</v>
      </c>
    </row>
    <row r="37" spans="2:15" x14ac:dyDescent="0.2">
      <c r="B37" s="638" t="s">
        <v>157</v>
      </c>
      <c r="C37" s="644">
        <f>'Monthly Stope Performance'!D70</f>
        <v>1960</v>
      </c>
      <c r="D37" s="645">
        <f>'Monthly Stope Performance'!F70</f>
        <v>2.2599999999999998</v>
      </c>
      <c r="E37" s="639">
        <f t="shared" si="11"/>
        <v>3.906641424</v>
      </c>
      <c r="F37" s="639">
        <f t="shared" si="12"/>
        <v>315.90550627791572</v>
      </c>
      <c r="G37" s="646">
        <f t="shared" si="13"/>
        <v>-99.286856307568243</v>
      </c>
      <c r="H37" s="647">
        <f t="shared" si="14"/>
        <v>216.61864997034746</v>
      </c>
      <c r="I37" s="644">
        <f>'Monthly Stope Performance'!E70</f>
        <v>1134</v>
      </c>
      <c r="J37" s="639">
        <f>'Monthly Stope Performance'!G70</f>
        <v>1.5873015873015877</v>
      </c>
      <c r="K37" s="639">
        <f t="shared" si="15"/>
        <v>1.5874920000000003</v>
      </c>
      <c r="L37" s="639">
        <f t="shared" si="16"/>
        <v>128.37048747070804</v>
      </c>
      <c r="M37" s="646">
        <f t="shared" si="17"/>
        <v>-57.444538292235919</v>
      </c>
      <c r="N37" s="647">
        <f t="shared" si="18"/>
        <v>70.925949178472123</v>
      </c>
      <c r="O37" s="648">
        <f t="shared" si="20"/>
        <v>-0.67257690328980879</v>
      </c>
    </row>
    <row r="38" spans="2:15" x14ac:dyDescent="0.2">
      <c r="B38" s="638" t="s">
        <v>158</v>
      </c>
      <c r="C38" s="644" t="e">
        <f>'Monthly Stope Performance'!#REF!</f>
        <v>#REF!</v>
      </c>
      <c r="D38" s="645" t="e">
        <f>'Monthly Stope Performance'!#REF!</f>
        <v>#REF!</v>
      </c>
      <c r="E38" s="639" t="e">
        <f t="shared" si="11"/>
        <v>#REF!</v>
      </c>
      <c r="F38" s="639" t="e">
        <f t="shared" si="12"/>
        <v>#REF!</v>
      </c>
      <c r="G38" s="646" t="e">
        <f t="shared" si="13"/>
        <v>#REF!</v>
      </c>
      <c r="H38" s="647" t="e">
        <f t="shared" si="14"/>
        <v>#REF!</v>
      </c>
      <c r="I38" s="644" t="e">
        <f>'Monthly Stope Performance'!#REF!</f>
        <v>#REF!</v>
      </c>
      <c r="J38" s="639" t="e">
        <f>'Monthly Stope Performance'!#REF!</f>
        <v>#REF!</v>
      </c>
      <c r="K38" s="639" t="e">
        <f t="shared" si="15"/>
        <v>#REF!</v>
      </c>
      <c r="L38" s="639" t="e">
        <f t="shared" si="16"/>
        <v>#REF!</v>
      </c>
      <c r="M38" s="646" t="e">
        <f t="shared" si="17"/>
        <v>#REF!</v>
      </c>
      <c r="N38" s="647" t="e">
        <f t="shared" si="18"/>
        <v>#REF!</v>
      </c>
      <c r="O38" s="648" t="e">
        <f t="shared" si="20"/>
        <v>#REF!</v>
      </c>
    </row>
    <row r="39" spans="2:15" x14ac:dyDescent="0.2">
      <c r="B39" s="638" t="s">
        <v>159</v>
      </c>
      <c r="C39" s="644" t="e">
        <f>'Monthly Stope Performance'!#REF!</f>
        <v>#REF!</v>
      </c>
      <c r="D39" s="645" t="e">
        <f>'Monthly Stope Performance'!#REF!</f>
        <v>#REF!</v>
      </c>
      <c r="E39" s="639" t="e">
        <f t="shared" si="11"/>
        <v>#REF!</v>
      </c>
      <c r="F39" s="639" t="e">
        <f t="shared" si="12"/>
        <v>#REF!</v>
      </c>
      <c r="G39" s="646" t="e">
        <f t="shared" si="13"/>
        <v>#REF!</v>
      </c>
      <c r="H39" s="647" t="e">
        <f t="shared" si="14"/>
        <v>#REF!</v>
      </c>
      <c r="I39" s="644" t="e">
        <f>'Monthly Stope Performance'!#REF!</f>
        <v>#REF!</v>
      </c>
      <c r="J39" s="639" t="e">
        <f>'Monthly Stope Performance'!#REF!</f>
        <v>#REF!</v>
      </c>
      <c r="K39" s="639" t="e">
        <f t="shared" si="15"/>
        <v>#REF!</v>
      </c>
      <c r="L39" s="639" t="e">
        <f t="shared" si="16"/>
        <v>#REF!</v>
      </c>
      <c r="M39" s="646" t="e">
        <f t="shared" si="17"/>
        <v>#REF!</v>
      </c>
      <c r="N39" s="647" t="e">
        <f t="shared" si="18"/>
        <v>#REF!</v>
      </c>
      <c r="O39" s="648" t="e">
        <f t="shared" si="20"/>
        <v>#REF!</v>
      </c>
    </row>
    <row r="40" spans="2:15" x14ac:dyDescent="0.2">
      <c r="B40" s="638" t="s">
        <v>271</v>
      </c>
      <c r="C40" s="791" t="s">
        <v>10</v>
      </c>
      <c r="D40" s="645">
        <f>'Monthly Stope Performance'!F71</f>
        <v>1.42</v>
      </c>
      <c r="E40" s="639"/>
      <c r="F40" s="639"/>
      <c r="G40" s="646"/>
      <c r="H40" s="647"/>
      <c r="I40" s="791" t="s">
        <v>10</v>
      </c>
      <c r="J40" s="792" t="s">
        <v>10</v>
      </c>
      <c r="L40" s="639"/>
      <c r="M40" s="646"/>
      <c r="N40" s="647"/>
      <c r="O40" s="648"/>
    </row>
    <row r="41" spans="2:15" ht="13.5" thickBot="1" x14ac:dyDescent="0.25">
      <c r="B41" s="1270" t="s">
        <v>291</v>
      </c>
      <c r="C41" s="1271" t="e">
        <f>SUM(C28:C39)</f>
        <v>#REF!</v>
      </c>
      <c r="D41" s="1272" t="e">
        <f>SUMPRODUCT(D28:D39,C28:C39)/C41</f>
        <v>#REF!</v>
      </c>
      <c r="E41" s="1272" t="e">
        <f>SUM(E28:E39)</f>
        <v>#REF!</v>
      </c>
      <c r="F41" s="1272" t="e">
        <f>SUM(F28:F39)</f>
        <v>#REF!</v>
      </c>
      <c r="G41" s="1273" t="e">
        <f>SUM(G28:G39)</f>
        <v>#REF!</v>
      </c>
      <c r="H41" s="1272" t="e">
        <f>SUM(H28:H39)</f>
        <v>#REF!</v>
      </c>
      <c r="I41" s="1274" t="e">
        <f>SUM(I28:I39)</f>
        <v>#REF!</v>
      </c>
      <c r="J41" s="1272" t="e">
        <f>SUMPRODUCT(J28:J39,I28:I39)/I41</f>
        <v>#REF!</v>
      </c>
      <c r="K41" s="1275" t="e">
        <f>SUM(K28:K39)</f>
        <v>#REF!</v>
      </c>
      <c r="L41" s="1272" t="e">
        <f>SUM(L28:L39)</f>
        <v>#REF!</v>
      </c>
      <c r="M41" s="1273" t="e">
        <f>SUM(M28:M39)</f>
        <v>#REF!</v>
      </c>
      <c r="N41" s="1272" t="e">
        <f>SUM(N28:N39)</f>
        <v>#REF!</v>
      </c>
      <c r="O41" s="1276" t="e">
        <f t="shared" si="20"/>
        <v>#REF!</v>
      </c>
    </row>
    <row r="44" spans="2:15" ht="13.5" thickBot="1" x14ac:dyDescent="0.25"/>
    <row r="45" spans="2:15" x14ac:dyDescent="0.2">
      <c r="B45" s="649" t="s">
        <v>292</v>
      </c>
      <c r="C45" s="650" t="s">
        <v>293</v>
      </c>
      <c r="D45" s="651"/>
    </row>
    <row r="46" spans="2:15" x14ac:dyDescent="0.2">
      <c r="B46" s="652"/>
      <c r="D46" s="653"/>
    </row>
    <row r="47" spans="2:15" x14ac:dyDescent="0.2">
      <c r="B47" s="652" t="s">
        <v>294</v>
      </c>
      <c r="D47" s="654">
        <v>0.88194000000000006</v>
      </c>
    </row>
    <row r="48" spans="2:15" x14ac:dyDescent="0.2">
      <c r="B48" s="652"/>
      <c r="D48" s="653"/>
    </row>
    <row r="49" spans="2:21" x14ac:dyDescent="0.2">
      <c r="B49" s="652" t="s">
        <v>295</v>
      </c>
      <c r="D49" s="655">
        <v>2800</v>
      </c>
    </row>
    <row r="50" spans="2:21" x14ac:dyDescent="0.2">
      <c r="B50" s="652" t="s">
        <v>296</v>
      </c>
      <c r="D50" s="655">
        <v>2515.1460682439501</v>
      </c>
    </row>
    <row r="51" spans="2:21" x14ac:dyDescent="0.2">
      <c r="B51" s="652"/>
      <c r="D51" s="653"/>
    </row>
    <row r="52" spans="2:21" x14ac:dyDescent="0.2">
      <c r="B52" s="652" t="s">
        <v>297</v>
      </c>
      <c r="D52" s="655">
        <v>30758.49</v>
      </c>
    </row>
    <row r="53" spans="2:21" x14ac:dyDescent="0.2">
      <c r="B53" s="652"/>
      <c r="D53" s="653"/>
    </row>
    <row r="54" spans="2:21" x14ac:dyDescent="0.2">
      <c r="B54" s="652" t="s">
        <v>298</v>
      </c>
      <c r="D54" s="655">
        <v>361633.92682297085</v>
      </c>
    </row>
    <row r="55" spans="2:21" x14ac:dyDescent="0.2">
      <c r="B55" s="652" t="s">
        <v>299</v>
      </c>
      <c r="D55" s="655">
        <v>423756.24489833327</v>
      </c>
    </row>
    <row r="56" spans="2:21" x14ac:dyDescent="0.2">
      <c r="B56" s="652" t="s">
        <v>300</v>
      </c>
      <c r="D56" s="655">
        <v>772729.10219082609</v>
      </c>
    </row>
    <row r="57" spans="2:21" x14ac:dyDescent="0.2">
      <c r="B57" s="652" t="s">
        <v>301</v>
      </c>
      <c r="D57" s="655">
        <f>SUM(D54:D56)</f>
        <v>1558119.2739121302</v>
      </c>
    </row>
    <row r="58" spans="2:21" ht="13.5" thickBot="1" x14ac:dyDescent="0.25">
      <c r="B58" s="656" t="s">
        <v>302</v>
      </c>
      <c r="C58" s="657"/>
      <c r="D58" s="658">
        <f>D57/D52</f>
        <v>50.656559340596047</v>
      </c>
    </row>
    <row r="59" spans="2:21" ht="15.75" thickBot="1" x14ac:dyDescent="0.3">
      <c r="D59" s="639"/>
      <c r="P59" s="1594" t="str">
        <f>B8</f>
        <v>1L_W24_STOPE</v>
      </c>
      <c r="Q59" s="1595"/>
      <c r="R59" s="1595"/>
      <c r="S59" s="1595"/>
      <c r="T59" s="1595"/>
      <c r="U59" s="1596"/>
    </row>
    <row r="60" spans="2:21" ht="30.75" thickBot="1" x14ac:dyDescent="0.25">
      <c r="P60" s="659" t="s">
        <v>260</v>
      </c>
      <c r="Q60" s="660" t="s">
        <v>303</v>
      </c>
      <c r="R60" s="660" t="s">
        <v>32</v>
      </c>
      <c r="S60" s="660" t="s">
        <v>262</v>
      </c>
      <c r="T60" s="660" t="s">
        <v>263</v>
      </c>
      <c r="U60" s="661" t="s">
        <v>304</v>
      </c>
    </row>
    <row r="61" spans="2:21" ht="45" x14ac:dyDescent="0.2">
      <c r="P61" s="662" t="s">
        <v>264</v>
      </c>
      <c r="Q61" s="663">
        <f>C8</f>
        <v>1085</v>
      </c>
      <c r="R61" s="663">
        <f>I8</f>
        <v>279</v>
      </c>
      <c r="S61" s="663">
        <f>R61-Q61</f>
        <v>-806</v>
      </c>
      <c r="T61" s="664">
        <f>(R61-Q61)/Q61</f>
        <v>-0.74285714285714288</v>
      </c>
      <c r="U61" s="665" t="s">
        <v>305</v>
      </c>
    </row>
    <row r="62" spans="2:21" ht="30" x14ac:dyDescent="0.2">
      <c r="P62" s="1277" t="s">
        <v>2</v>
      </c>
      <c r="Q62" s="1278">
        <f>D8</f>
        <v>1.8271028037383188</v>
      </c>
      <c r="R62" s="1278">
        <f>J8</f>
        <v>1.1235125448028676</v>
      </c>
      <c r="S62" s="1278">
        <f t="shared" ref="S62:S64" si="21">R62-Q62</f>
        <v>-0.70359025893545124</v>
      </c>
      <c r="T62" s="1279">
        <f t="shared" ref="T62:T64" si="22">(R62-Q62)/Q62</f>
        <v>-0.38508520565776594</v>
      </c>
      <c r="U62" s="1280" t="s">
        <v>306</v>
      </c>
    </row>
    <row r="63" spans="2:21" ht="30" x14ac:dyDescent="0.2">
      <c r="P63" s="1277" t="s">
        <v>3</v>
      </c>
      <c r="Q63" s="1278">
        <f>E8</f>
        <v>1.7483636257009356</v>
      </c>
      <c r="R63" s="1278">
        <f>K8</f>
        <v>0.27645291240000008</v>
      </c>
      <c r="S63" s="1278">
        <f t="shared" si="21"/>
        <v>-1.4719107133009355</v>
      </c>
      <c r="T63" s="1279">
        <f t="shared" si="22"/>
        <v>-0.84187905288342546</v>
      </c>
      <c r="U63" s="1280" t="s">
        <v>307</v>
      </c>
    </row>
    <row r="64" spans="2:21" ht="60.75" thickBot="1" x14ac:dyDescent="0.25">
      <c r="P64" s="1281" t="s">
        <v>308</v>
      </c>
      <c r="Q64" s="1282">
        <f>H8</f>
        <v>86.416796542597254</v>
      </c>
      <c r="R64" s="1283">
        <f>N8</f>
        <v>8.221827167622676</v>
      </c>
      <c r="S64" s="1284">
        <f t="shared" si="21"/>
        <v>-78.194969374974576</v>
      </c>
      <c r="T64" s="1285">
        <f t="shared" si="22"/>
        <v>-0.90485845927452413</v>
      </c>
      <c r="U64" s="1286" t="s">
        <v>309</v>
      </c>
    </row>
    <row r="65" spans="16:21" ht="13.5" thickBot="1" x14ac:dyDescent="0.25"/>
    <row r="66" spans="16:21" ht="15.75" thickBot="1" x14ac:dyDescent="0.3">
      <c r="P66" s="1594" t="str">
        <f>B9</f>
        <v>3L_W23_STOPE</v>
      </c>
      <c r="Q66" s="1595"/>
      <c r="R66" s="1595"/>
      <c r="S66" s="1595"/>
      <c r="T66" s="1595"/>
      <c r="U66" s="1596"/>
    </row>
    <row r="67" spans="16:21" ht="30.75" thickBot="1" x14ac:dyDescent="0.25">
      <c r="P67" s="659" t="s">
        <v>260</v>
      </c>
      <c r="Q67" s="660" t="s">
        <v>303</v>
      </c>
      <c r="R67" s="660" t="s">
        <v>32</v>
      </c>
      <c r="S67" s="660" t="s">
        <v>262</v>
      </c>
      <c r="T67" s="660" t="s">
        <v>263</v>
      </c>
      <c r="U67" s="661" t="s">
        <v>304</v>
      </c>
    </row>
    <row r="68" spans="16:21" ht="45" x14ac:dyDescent="0.2">
      <c r="P68" s="662" t="s">
        <v>264</v>
      </c>
      <c r="Q68" s="663">
        <f>C9</f>
        <v>1260</v>
      </c>
      <c r="R68" s="663">
        <f>I9</f>
        <v>1294</v>
      </c>
      <c r="S68" s="663">
        <f>R68-Q68</f>
        <v>34</v>
      </c>
      <c r="T68" s="664">
        <f>(R68-Q68)/Q68</f>
        <v>2.6984126984126985E-2</v>
      </c>
      <c r="U68" s="665" t="s">
        <v>305</v>
      </c>
    </row>
    <row r="69" spans="16:21" ht="30" x14ac:dyDescent="0.2">
      <c r="P69" s="1277" t="s">
        <v>2</v>
      </c>
      <c r="Q69" s="1278">
        <f>D9</f>
        <v>3.0584112149532694</v>
      </c>
      <c r="R69" s="1278">
        <f>J9</f>
        <v>3.3226816074188563</v>
      </c>
      <c r="S69" s="1278">
        <f t="shared" ref="S69:S71" si="23">R69-Q69</f>
        <v>0.26427039246558692</v>
      </c>
      <c r="T69" s="1279">
        <f t="shared" ref="T69:T71" si="24">(R69-Q69)/Q69</f>
        <v>8.6407737185081185E-2</v>
      </c>
      <c r="U69" s="1280" t="s">
        <v>306</v>
      </c>
    </row>
    <row r="70" spans="16:21" ht="30" x14ac:dyDescent="0.2">
      <c r="P70" s="1277" t="s">
        <v>3</v>
      </c>
      <c r="Q70" s="1278">
        <f>E9</f>
        <v>3.3986423355140172</v>
      </c>
      <c r="R70" s="1278" t="str">
        <f>K9</f>
        <v>-</v>
      </c>
      <c r="S70" s="1278" t="e">
        <f t="shared" si="23"/>
        <v>#VALUE!</v>
      </c>
      <c r="T70" s="1279" t="e">
        <f t="shared" si="24"/>
        <v>#VALUE!</v>
      </c>
      <c r="U70" s="1280" t="s">
        <v>307</v>
      </c>
    </row>
    <row r="71" spans="16:21" ht="60.75" thickBot="1" x14ac:dyDescent="0.25">
      <c r="P71" s="1281" t="s">
        <v>308</v>
      </c>
      <c r="Q71" s="1282">
        <f>H9</f>
        <v>210.99955221545113</v>
      </c>
      <c r="R71" s="1283" t="str">
        <f>N9</f>
        <v>-</v>
      </c>
      <c r="S71" s="1284" t="e">
        <f t="shared" si="23"/>
        <v>#VALUE!</v>
      </c>
      <c r="T71" s="1285" t="e">
        <f t="shared" si="24"/>
        <v>#VALUE!</v>
      </c>
      <c r="U71" s="1286" t="s">
        <v>309</v>
      </c>
    </row>
    <row r="72" spans="16:21" ht="13.5" thickBot="1" x14ac:dyDescent="0.25"/>
    <row r="73" spans="16:21" ht="15.75" thickBot="1" x14ac:dyDescent="0.3">
      <c r="P73" s="1594" t="str">
        <f>B10</f>
        <v>4L_W23A_STOPE</v>
      </c>
      <c r="Q73" s="1595"/>
      <c r="R73" s="1595"/>
      <c r="S73" s="1595"/>
      <c r="T73" s="1595"/>
      <c r="U73" s="1596"/>
    </row>
    <row r="74" spans="16:21" ht="30.75" thickBot="1" x14ac:dyDescent="0.25">
      <c r="P74" s="659" t="s">
        <v>260</v>
      </c>
      <c r="Q74" s="660" t="s">
        <v>303</v>
      </c>
      <c r="R74" s="660" t="s">
        <v>32</v>
      </c>
      <c r="S74" s="660" t="s">
        <v>262</v>
      </c>
      <c r="T74" s="660" t="s">
        <v>263</v>
      </c>
      <c r="U74" s="661" t="s">
        <v>304</v>
      </c>
    </row>
    <row r="75" spans="16:21" ht="45" x14ac:dyDescent="0.2">
      <c r="P75" s="662" t="s">
        <v>264</v>
      </c>
      <c r="Q75" s="663">
        <f>C10</f>
        <v>2660</v>
      </c>
      <c r="R75" s="663">
        <f>I10</f>
        <v>2821</v>
      </c>
      <c r="S75" s="663">
        <f>R75-Q75</f>
        <v>161</v>
      </c>
      <c r="T75" s="664">
        <f>(R75-Q75)/Q75</f>
        <v>6.0526315789473685E-2</v>
      </c>
      <c r="U75" s="665" t="s">
        <v>305</v>
      </c>
    </row>
    <row r="76" spans="16:21" ht="30" x14ac:dyDescent="0.2">
      <c r="P76" s="1277" t="s">
        <v>2</v>
      </c>
      <c r="Q76" s="1278">
        <f>D10</f>
        <v>2.8121495327102815</v>
      </c>
      <c r="R76" s="1278">
        <f>J10</f>
        <v>2.590361573909961</v>
      </c>
      <c r="S76" s="1278">
        <f t="shared" ref="S76:S78" si="25">R76-Q76</f>
        <v>-0.22178795880032043</v>
      </c>
      <c r="T76" s="1279">
        <f t="shared" ref="T76:T78" si="26">(R76-Q76)/Q76</f>
        <v>-7.8867768666115903E-2</v>
      </c>
      <c r="U76" s="1280" t="s">
        <v>306</v>
      </c>
    </row>
    <row r="77" spans="16:21" ht="30" x14ac:dyDescent="0.2">
      <c r="P77" s="1277" t="s">
        <v>3</v>
      </c>
      <c r="Q77" s="1278">
        <f>E10</f>
        <v>6.5971914426168254</v>
      </c>
      <c r="R77" s="1278">
        <f>K10</f>
        <v>6.4446971754000009</v>
      </c>
      <c r="S77" s="1278">
        <f t="shared" si="25"/>
        <v>-0.15249426721682457</v>
      </c>
      <c r="T77" s="1279">
        <f t="shared" si="26"/>
        <v>-2.3115028348538659E-2</v>
      </c>
      <c r="U77" s="1280" t="s">
        <v>307</v>
      </c>
    </row>
    <row r="78" spans="16:21" ht="60.75" thickBot="1" x14ac:dyDescent="0.25">
      <c r="P78" s="1281" t="s">
        <v>308</v>
      </c>
      <c r="Q78" s="1282">
        <f>H10</f>
        <v>398.72690598906081</v>
      </c>
      <c r="R78" s="1283">
        <f>N10</f>
        <v>378.2399482381378</v>
      </c>
      <c r="S78" s="1284">
        <f t="shared" si="25"/>
        <v>-20.486957750923011</v>
      </c>
      <c r="T78" s="1285">
        <f t="shared" si="26"/>
        <v>-5.1380926251024243E-2</v>
      </c>
      <c r="U78" s="1286" t="s">
        <v>309</v>
      </c>
    </row>
    <row r="79" spans="16:21" ht="13.5" thickBot="1" x14ac:dyDescent="0.25"/>
    <row r="80" spans="16:21" ht="15.75" thickBot="1" x14ac:dyDescent="0.3">
      <c r="P80" s="1594" t="str">
        <f>B11</f>
        <v>4L_W23B_STOPE</v>
      </c>
      <c r="Q80" s="1595"/>
      <c r="R80" s="1595"/>
      <c r="S80" s="1595"/>
      <c r="T80" s="1595"/>
      <c r="U80" s="1596"/>
    </row>
    <row r="81" spans="16:21" ht="30.75" thickBot="1" x14ac:dyDescent="0.25">
      <c r="P81" s="659" t="s">
        <v>260</v>
      </c>
      <c r="Q81" s="660" t="s">
        <v>303</v>
      </c>
      <c r="R81" s="660" t="s">
        <v>32</v>
      </c>
      <c r="S81" s="660" t="s">
        <v>262</v>
      </c>
      <c r="T81" s="660" t="s">
        <v>263</v>
      </c>
      <c r="U81" s="661" t="s">
        <v>304</v>
      </c>
    </row>
    <row r="82" spans="16:21" ht="45" x14ac:dyDescent="0.2">
      <c r="P82" s="662" t="s">
        <v>264</v>
      </c>
      <c r="Q82" s="663">
        <f>C11</f>
        <v>4340</v>
      </c>
      <c r="R82" s="663">
        <f>I11</f>
        <v>4581</v>
      </c>
      <c r="S82" s="663">
        <f>R82-Q82</f>
        <v>241</v>
      </c>
      <c r="T82" s="664">
        <f>(R82-Q82)/Q82</f>
        <v>5.5529953917050692E-2</v>
      </c>
      <c r="U82" s="665" t="s">
        <v>305</v>
      </c>
    </row>
    <row r="83" spans="16:21" ht="30" x14ac:dyDescent="0.2">
      <c r="P83" s="1277" t="s">
        <v>2</v>
      </c>
      <c r="Q83" s="1278">
        <f>D11</f>
        <v>3.0584112149532698</v>
      </c>
      <c r="R83" s="1278">
        <f>J11</f>
        <v>2.7069286182056325</v>
      </c>
      <c r="S83" s="1278">
        <f t="shared" ref="S83:S85" si="27">R83-Q83</f>
        <v>-0.35148259674763738</v>
      </c>
      <c r="T83" s="1279">
        <f t="shared" ref="T83:T85" si="28">(R83-Q83)/Q83</f>
        <v>-0.1149232631077073</v>
      </c>
      <c r="U83" s="1280" t="s">
        <v>306</v>
      </c>
    </row>
    <row r="84" spans="16:21" ht="30" x14ac:dyDescent="0.2">
      <c r="P84" s="1277" t="s">
        <v>3</v>
      </c>
      <c r="Q84" s="1278">
        <f>E11</f>
        <v>11.70643471121495</v>
      </c>
      <c r="R84" s="1278">
        <f>K11</f>
        <v>10.936444053600002</v>
      </c>
      <c r="S84" s="1278">
        <f t="shared" si="27"/>
        <v>-0.76999065761494734</v>
      </c>
      <c r="T84" s="1279">
        <f t="shared" si="28"/>
        <v>-6.5774992695024737E-2</v>
      </c>
      <c r="U84" s="1280" t="s">
        <v>307</v>
      </c>
    </row>
    <row r="85" spans="16:21" ht="60.75" thickBot="1" x14ac:dyDescent="0.25">
      <c r="P85" s="1281" t="s">
        <v>308</v>
      </c>
      <c r="Q85" s="1282">
        <f>H11</f>
        <v>726.77623540877607</v>
      </c>
      <c r="R85" s="1283">
        <f>N11</f>
        <v>652.30370591143355</v>
      </c>
      <c r="S85" s="1284">
        <f t="shared" si="27"/>
        <v>-74.472529497342521</v>
      </c>
      <c r="T85" s="1285">
        <f t="shared" si="28"/>
        <v>-0.10246968168332495</v>
      </c>
      <c r="U85" s="1286" t="s">
        <v>309</v>
      </c>
    </row>
    <row r="86" spans="16:21" ht="13.5" thickBot="1" x14ac:dyDescent="0.25"/>
    <row r="87" spans="16:21" ht="15.75" thickBot="1" x14ac:dyDescent="0.3">
      <c r="P87" s="1594" t="str">
        <f>B12</f>
        <v>4L_W26_STOPE</v>
      </c>
      <c r="Q87" s="1595"/>
      <c r="R87" s="1595"/>
      <c r="S87" s="1595"/>
      <c r="T87" s="1595"/>
      <c r="U87" s="1596"/>
    </row>
    <row r="88" spans="16:21" ht="30.75" thickBot="1" x14ac:dyDescent="0.25">
      <c r="P88" s="659" t="s">
        <v>260</v>
      </c>
      <c r="Q88" s="660" t="s">
        <v>303</v>
      </c>
      <c r="R88" s="660" t="s">
        <v>32</v>
      </c>
      <c r="S88" s="660" t="s">
        <v>262</v>
      </c>
      <c r="T88" s="660" t="s">
        <v>263</v>
      </c>
      <c r="U88" s="661" t="s">
        <v>304</v>
      </c>
    </row>
    <row r="89" spans="16:21" ht="45" x14ac:dyDescent="0.2">
      <c r="P89" s="662" t="s">
        <v>264</v>
      </c>
      <c r="Q89" s="663">
        <f>C12</f>
        <v>1085</v>
      </c>
      <c r="R89" s="663">
        <f>I12</f>
        <v>1258</v>
      </c>
      <c r="S89" s="663">
        <f>R89-Q89</f>
        <v>173</v>
      </c>
      <c r="T89" s="664">
        <f>(R89-Q89)/Q89</f>
        <v>0.15944700460829492</v>
      </c>
      <c r="U89" s="665" t="s">
        <v>305</v>
      </c>
    </row>
    <row r="90" spans="16:21" ht="30" x14ac:dyDescent="0.2">
      <c r="P90" s="1277" t="s">
        <v>2</v>
      </c>
      <c r="Q90" s="1278">
        <f>D12</f>
        <v>1.6841121495327112</v>
      </c>
      <c r="R90" s="1278">
        <f>J12</f>
        <v>1.9284737678855326</v>
      </c>
      <c r="S90" s="1278">
        <f t="shared" ref="S90:S92" si="29">R90-Q90</f>
        <v>0.24436161835282144</v>
      </c>
      <c r="T90" s="1279">
        <f t="shared" ref="T90:T92" si="30">(R90-Q90)/Q90</f>
        <v>0.14509818625833451</v>
      </c>
      <c r="U90" s="1280" t="s">
        <v>306</v>
      </c>
    </row>
    <row r="91" spans="16:21" ht="30" x14ac:dyDescent="0.2">
      <c r="P91" s="1277" t="s">
        <v>3</v>
      </c>
      <c r="Q91" s="1278">
        <f>E12</f>
        <v>1.6115351680373842</v>
      </c>
      <c r="R91" s="1278">
        <f>K12</f>
        <v>2.1396040788000001</v>
      </c>
      <c r="S91" s="1278">
        <f t="shared" si="29"/>
        <v>0.52806891076261597</v>
      </c>
      <c r="T91" s="1279">
        <f t="shared" si="30"/>
        <v>0.32768066203961732</v>
      </c>
      <c r="U91" s="1280" t="s">
        <v>307</v>
      </c>
    </row>
    <row r="92" spans="16:21" ht="60.75" thickBot="1" x14ac:dyDescent="0.25">
      <c r="P92" s="1281" t="s">
        <v>308</v>
      </c>
      <c r="Q92" s="1282">
        <f>H12</f>
        <v>75.35234027438598</v>
      </c>
      <c r="R92" s="1283">
        <f>N12</f>
        <v>109.29036502380077</v>
      </c>
      <c r="S92" s="1284">
        <f t="shared" si="29"/>
        <v>33.938024749414794</v>
      </c>
      <c r="T92" s="1285">
        <f t="shared" si="30"/>
        <v>0.45039111759281508</v>
      </c>
      <c r="U92" s="1286" t="s">
        <v>309</v>
      </c>
    </row>
    <row r="93" spans="16:21" ht="13.5" thickBot="1" x14ac:dyDescent="0.25"/>
    <row r="94" spans="16:21" ht="15.75" thickBot="1" x14ac:dyDescent="0.3">
      <c r="P94" s="1594" t="str">
        <f>B13</f>
        <v>5L_W7B_STOPE</v>
      </c>
      <c r="Q94" s="1595"/>
      <c r="R94" s="1595"/>
      <c r="S94" s="1595"/>
      <c r="T94" s="1595"/>
      <c r="U94" s="1596"/>
    </row>
    <row r="95" spans="16:21" ht="30.75" thickBot="1" x14ac:dyDescent="0.25">
      <c r="P95" s="659" t="s">
        <v>260</v>
      </c>
      <c r="Q95" s="660" t="s">
        <v>303</v>
      </c>
      <c r="R95" s="660" t="s">
        <v>32</v>
      </c>
      <c r="S95" s="660" t="s">
        <v>262</v>
      </c>
      <c r="T95" s="660" t="s">
        <v>263</v>
      </c>
      <c r="U95" s="661" t="s">
        <v>304</v>
      </c>
    </row>
    <row r="96" spans="16:21" ht="45" x14ac:dyDescent="0.2">
      <c r="P96" s="662" t="s">
        <v>264</v>
      </c>
      <c r="Q96" s="663">
        <f>C13</f>
        <v>2170</v>
      </c>
      <c r="R96" s="663">
        <f>I13</f>
        <v>2587</v>
      </c>
      <c r="S96" s="663">
        <f>R96-Q96</f>
        <v>417</v>
      </c>
      <c r="T96" s="664">
        <f>(R96-Q96)/Q96</f>
        <v>0.19216589861751152</v>
      </c>
      <c r="U96" s="665" t="s">
        <v>305</v>
      </c>
    </row>
    <row r="97" spans="16:21" ht="30" x14ac:dyDescent="0.2">
      <c r="P97" s="1277" t="s">
        <v>2</v>
      </c>
      <c r="Q97" s="1278">
        <f>D13</f>
        <v>1.6900000000000008</v>
      </c>
      <c r="R97" s="1278">
        <f>J13</f>
        <v>2.1497680711248552</v>
      </c>
      <c r="S97" s="1278">
        <f t="shared" ref="S97:S99" si="31">R97-Q97</f>
        <v>0.4597680711248544</v>
      </c>
      <c r="T97" s="1279">
        <f t="shared" ref="T97:T99" si="32">(R97-Q97)/Q97</f>
        <v>0.27205211309162969</v>
      </c>
      <c r="U97" s="1280" t="s">
        <v>306</v>
      </c>
    </row>
    <row r="98" spans="16:21" ht="30" x14ac:dyDescent="0.2">
      <c r="P98" s="1277" t="s">
        <v>3</v>
      </c>
      <c r="Q98" s="1278">
        <f>E13</f>
        <v>3.2343385620000022</v>
      </c>
      <c r="R98" s="1278">
        <f>K13</f>
        <v>4.9048652130000008</v>
      </c>
      <c r="S98" s="1278">
        <f t="shared" si="31"/>
        <v>1.6705266509999985</v>
      </c>
      <c r="T98" s="1279">
        <f t="shared" si="32"/>
        <v>0.51649715049218692</v>
      </c>
      <c r="U98" s="1280" t="s">
        <v>307</v>
      </c>
    </row>
    <row r="99" spans="16:21" ht="60.75" thickBot="1" x14ac:dyDescent="0.25">
      <c r="P99" s="1281" t="s">
        <v>308</v>
      </c>
      <c r="Q99" s="1282">
        <f>H13</f>
        <v>151.6158710649776</v>
      </c>
      <c r="R99" s="1283">
        <f>N13</f>
        <v>265.57706295474986</v>
      </c>
      <c r="S99" s="1284">
        <f t="shared" si="31"/>
        <v>113.96119188977227</v>
      </c>
      <c r="T99" s="1285">
        <f t="shared" si="32"/>
        <v>0.75164421171271856</v>
      </c>
      <c r="U99" s="1286" t="s">
        <v>309</v>
      </c>
    </row>
    <row r="100" spans="16:21" ht="13.5" thickBot="1" x14ac:dyDescent="0.25"/>
    <row r="101" spans="16:21" ht="15.75" thickBot="1" x14ac:dyDescent="0.3">
      <c r="P101" s="1594" t="str">
        <f>B14</f>
        <v>5L_W8B_STOPE</v>
      </c>
      <c r="Q101" s="1595"/>
      <c r="R101" s="1595"/>
      <c r="S101" s="1595"/>
      <c r="T101" s="1595"/>
      <c r="U101" s="1596"/>
    </row>
    <row r="102" spans="16:21" ht="30.75" thickBot="1" x14ac:dyDescent="0.25">
      <c r="P102" s="659" t="s">
        <v>260</v>
      </c>
      <c r="Q102" s="660" t="s">
        <v>303</v>
      </c>
      <c r="R102" s="660" t="s">
        <v>32</v>
      </c>
      <c r="S102" s="660" t="s">
        <v>262</v>
      </c>
      <c r="T102" s="660" t="s">
        <v>263</v>
      </c>
      <c r="U102" s="661" t="s">
        <v>304</v>
      </c>
    </row>
    <row r="103" spans="16:21" ht="45" x14ac:dyDescent="0.2">
      <c r="P103" s="662" t="s">
        <v>264</v>
      </c>
      <c r="Q103" s="663">
        <f>C14</f>
        <v>1120</v>
      </c>
      <c r="R103" s="663">
        <f>I14</f>
        <v>778</v>
      </c>
      <c r="S103" s="663">
        <f>R103-Q103</f>
        <v>-342</v>
      </c>
      <c r="T103" s="664">
        <f>(R103-Q103)/Q103</f>
        <v>-0.30535714285714288</v>
      </c>
      <c r="U103" s="665" t="s">
        <v>305</v>
      </c>
    </row>
    <row r="104" spans="16:21" ht="30" x14ac:dyDescent="0.2">
      <c r="P104" s="1277" t="s">
        <v>2</v>
      </c>
      <c r="Q104" s="1278">
        <f>D14</f>
        <v>1.604672897196262</v>
      </c>
      <c r="R104" s="1278">
        <f>J14</f>
        <v>1.5569922879177376</v>
      </c>
      <c r="S104" s="1278">
        <f t="shared" ref="S104:S106" si="33">R104-Q104</f>
        <v>-4.7680609278524466E-2</v>
      </c>
      <c r="T104" s="1279">
        <f t="shared" ref="T104:T106" si="34">(R104-Q104)/Q104</f>
        <v>-2.9713600424007669E-2</v>
      </c>
      <c r="U104" s="1280" t="s">
        <v>306</v>
      </c>
    </row>
    <row r="105" spans="16:21" ht="30" x14ac:dyDescent="0.2">
      <c r="P105" s="1277" t="s">
        <v>3</v>
      </c>
      <c r="Q105" s="1278">
        <f>E14</f>
        <v>1.5850522407476639</v>
      </c>
      <c r="R105" s="1278">
        <f>K14</f>
        <v>1.0683291995999999</v>
      </c>
      <c r="S105" s="1278">
        <f t="shared" si="33"/>
        <v>-0.51672304114766399</v>
      </c>
      <c r="T105" s="1279">
        <f t="shared" si="34"/>
        <v>-0.3259974831516767</v>
      </c>
      <c r="U105" s="1280" t="s">
        <v>307</v>
      </c>
    </row>
    <row r="106" spans="16:21" ht="60.75" thickBot="1" x14ac:dyDescent="0.25">
      <c r="P106" s="1281" t="s">
        <v>308</v>
      </c>
      <c r="Q106" s="1282">
        <f>H14</f>
        <v>71.437853032649969</v>
      </c>
      <c r="R106" s="1283">
        <f>N14</f>
        <v>46.978255884553739</v>
      </c>
      <c r="S106" s="1284">
        <f t="shared" si="33"/>
        <v>-24.459597148096229</v>
      </c>
      <c r="T106" s="1285">
        <f t="shared" si="34"/>
        <v>-0.34238986909247132</v>
      </c>
      <c r="U106" s="1286" t="s">
        <v>309</v>
      </c>
    </row>
    <row r="107" spans="16:21" ht="13.5" thickBot="1" x14ac:dyDescent="0.25"/>
    <row r="108" spans="16:21" ht="15.75" thickBot="1" x14ac:dyDescent="0.3">
      <c r="P108" s="1594" t="str">
        <f>B15</f>
        <v>6L_E1_STOPE</v>
      </c>
      <c r="Q108" s="1595"/>
      <c r="R108" s="1595"/>
      <c r="S108" s="1595"/>
      <c r="T108" s="1595"/>
      <c r="U108" s="1596"/>
    </row>
    <row r="109" spans="16:21" ht="30.75" thickBot="1" x14ac:dyDescent="0.25">
      <c r="P109" s="659" t="s">
        <v>260</v>
      </c>
      <c r="Q109" s="660" t="s">
        <v>303</v>
      </c>
      <c r="R109" s="660" t="s">
        <v>32</v>
      </c>
      <c r="S109" s="660" t="s">
        <v>262</v>
      </c>
      <c r="T109" s="660" t="s">
        <v>263</v>
      </c>
      <c r="U109" s="661" t="s">
        <v>304</v>
      </c>
    </row>
    <row r="110" spans="16:21" ht="45" x14ac:dyDescent="0.2">
      <c r="P110" s="662" t="s">
        <v>264</v>
      </c>
      <c r="Q110" s="663">
        <f>C15</f>
        <v>2170</v>
      </c>
      <c r="R110" s="663">
        <f>I15</f>
        <v>2738.2</v>
      </c>
      <c r="S110" s="663">
        <f>R110-Q110</f>
        <v>568.19999999999982</v>
      </c>
      <c r="T110" s="664">
        <f>(R110-Q110)/Q110</f>
        <v>0.26184331797235016</v>
      </c>
      <c r="U110" s="665" t="s">
        <v>305</v>
      </c>
    </row>
    <row r="111" spans="16:21" ht="30" x14ac:dyDescent="0.2">
      <c r="P111" s="1277" t="s">
        <v>2</v>
      </c>
      <c r="Q111" s="1278">
        <f>D15</f>
        <v>3.0901869158878492</v>
      </c>
      <c r="R111" s="1278">
        <f>J15</f>
        <v>3.2370144620553654</v>
      </c>
      <c r="S111" s="1278">
        <f t="shared" ref="S111:S113" si="35">R111-Q111</f>
        <v>0.14682754616751614</v>
      </c>
      <c r="T111" s="1279">
        <f t="shared" ref="T111:T113" si="36">(R111-Q111)/Q111</f>
        <v>4.7514131074925851E-2</v>
      </c>
      <c r="U111" s="1280" t="s">
        <v>306</v>
      </c>
    </row>
    <row r="112" spans="16:21" ht="30" x14ac:dyDescent="0.2">
      <c r="P112" s="1277" t="s">
        <v>3</v>
      </c>
      <c r="Q112" s="1278">
        <f>E15</f>
        <v>5.9140300034579409</v>
      </c>
      <c r="R112" s="1278">
        <f>K15</f>
        <v>7.8171572104200013</v>
      </c>
      <c r="S112" s="1278">
        <f t="shared" si="35"/>
        <v>1.9031272069620604</v>
      </c>
      <c r="T112" s="1279">
        <f t="shared" si="36"/>
        <v>0.32179870677850797</v>
      </c>
      <c r="U112" s="1280" t="s">
        <v>307</v>
      </c>
    </row>
    <row r="113" spans="16:21" ht="60.75" thickBot="1" x14ac:dyDescent="0.25">
      <c r="P113" s="1281" t="s">
        <v>308</v>
      </c>
      <c r="Q113" s="1282">
        <f>H15</f>
        <v>368.30565382359305</v>
      </c>
      <c r="R113" s="1283">
        <f>N15</f>
        <v>493.41651707577739</v>
      </c>
      <c r="S113" s="1284">
        <f t="shared" si="35"/>
        <v>125.11086325218434</v>
      </c>
      <c r="T113" s="1285">
        <f t="shared" si="36"/>
        <v>0.33969302929058093</v>
      </c>
      <c r="U113" s="1286" t="s">
        <v>309</v>
      </c>
    </row>
    <row r="114" spans="16:21" ht="13.5" thickBot="1" x14ac:dyDescent="0.25"/>
    <row r="115" spans="16:21" ht="15.75" thickBot="1" x14ac:dyDescent="0.3">
      <c r="P115" s="1594" t="str">
        <f>B16</f>
        <v>6L_W1_STOPE</v>
      </c>
      <c r="Q115" s="1595"/>
      <c r="R115" s="1595"/>
      <c r="S115" s="1595"/>
      <c r="T115" s="1595"/>
      <c r="U115" s="1596"/>
    </row>
    <row r="116" spans="16:21" ht="30.75" thickBot="1" x14ac:dyDescent="0.25">
      <c r="P116" s="659" t="s">
        <v>260</v>
      </c>
      <c r="Q116" s="660" t="s">
        <v>303</v>
      </c>
      <c r="R116" s="660" t="s">
        <v>32</v>
      </c>
      <c r="S116" s="660" t="s">
        <v>262</v>
      </c>
      <c r="T116" s="660" t="s">
        <v>263</v>
      </c>
      <c r="U116" s="661" t="s">
        <v>304</v>
      </c>
    </row>
    <row r="117" spans="16:21" ht="45" x14ac:dyDescent="0.2">
      <c r="P117" s="662" t="s">
        <v>264</v>
      </c>
      <c r="Q117" s="663">
        <f>C16</f>
        <v>3255</v>
      </c>
      <c r="R117" s="663">
        <f>I16</f>
        <v>2814.1</v>
      </c>
      <c r="S117" s="663">
        <f>R117-Q117</f>
        <v>-440.90000000000009</v>
      </c>
      <c r="T117" s="664">
        <f>(R117-Q117)/Q117</f>
        <v>-0.13545314900153613</v>
      </c>
      <c r="U117" s="665" t="s">
        <v>305</v>
      </c>
    </row>
    <row r="118" spans="16:21" ht="30" x14ac:dyDescent="0.2">
      <c r="P118" s="1277" t="s">
        <v>2</v>
      </c>
      <c r="Q118" s="1278">
        <f>D16</f>
        <v>3.0901869158878479</v>
      </c>
      <c r="R118" s="1278">
        <f>J16</f>
        <v>2.6445158309939236</v>
      </c>
      <c r="S118" s="1278">
        <f t="shared" ref="S118:S120" si="37">R118-Q118</f>
        <v>-0.44567108489392426</v>
      </c>
      <c r="T118" s="1279">
        <f t="shared" ref="T118:T120" si="38">(R118-Q118)/Q118</f>
        <v>-0.14422140052517748</v>
      </c>
      <c r="U118" s="1280" t="s">
        <v>306</v>
      </c>
    </row>
    <row r="119" spans="16:21" ht="30" x14ac:dyDescent="0.2">
      <c r="P119" s="1277" t="s">
        <v>3</v>
      </c>
      <c r="Q119" s="1278">
        <f>E16</f>
        <v>8.8710450051869092</v>
      </c>
      <c r="R119" s="1278">
        <f>K16</f>
        <v>6.5633375080800009</v>
      </c>
      <c r="S119" s="1278">
        <f t="shared" si="37"/>
        <v>-2.3077074971069083</v>
      </c>
      <c r="T119" s="1279">
        <f t="shared" si="38"/>
        <v>-0.2601393066721665</v>
      </c>
      <c r="U119" s="1280" t="s">
        <v>307</v>
      </c>
    </row>
    <row r="120" spans="16:21" ht="60.75" thickBot="1" x14ac:dyDescent="0.25">
      <c r="P120" s="1281" t="s">
        <v>308</v>
      </c>
      <c r="Q120" s="1282">
        <f>H16</f>
        <v>552.45848073538923</v>
      </c>
      <c r="R120" s="1283">
        <f>N16</f>
        <v>388.18317556177379</v>
      </c>
      <c r="S120" s="1284">
        <f t="shared" si="37"/>
        <v>-164.27530517361544</v>
      </c>
      <c r="T120" s="1285">
        <f t="shared" si="38"/>
        <v>-0.29735321458898611</v>
      </c>
      <c r="U120" s="1286" t="s">
        <v>309</v>
      </c>
    </row>
    <row r="121" spans="16:21" ht="13.5" thickBot="1" x14ac:dyDescent="0.25"/>
    <row r="122" spans="16:21" ht="15.75" thickBot="1" x14ac:dyDescent="0.3">
      <c r="P122" s="1594" t="str">
        <f>B17</f>
        <v>6L_W2_STOPE</v>
      </c>
      <c r="Q122" s="1595"/>
      <c r="R122" s="1595"/>
      <c r="S122" s="1595"/>
      <c r="T122" s="1595"/>
      <c r="U122" s="1596"/>
    </row>
    <row r="123" spans="16:21" ht="30.75" thickBot="1" x14ac:dyDescent="0.25">
      <c r="P123" s="659" t="s">
        <v>260</v>
      </c>
      <c r="Q123" s="660" t="s">
        <v>303</v>
      </c>
      <c r="R123" s="660" t="s">
        <v>32</v>
      </c>
      <c r="S123" s="660" t="s">
        <v>262</v>
      </c>
      <c r="T123" s="660" t="s">
        <v>263</v>
      </c>
      <c r="U123" s="661" t="s">
        <v>304</v>
      </c>
    </row>
    <row r="124" spans="16:21" ht="45" x14ac:dyDescent="0.2">
      <c r="P124" s="662" t="s">
        <v>264</v>
      </c>
      <c r="Q124" s="663">
        <f>C17</f>
        <v>2170</v>
      </c>
      <c r="R124" s="663">
        <f>I17</f>
        <v>2103.1</v>
      </c>
      <c r="S124" s="663">
        <f>R124-Q124</f>
        <v>-66.900000000000091</v>
      </c>
      <c r="T124" s="664">
        <f>(R124-Q124)/Q124</f>
        <v>-3.0829493087557645E-2</v>
      </c>
      <c r="U124" s="665" t="s">
        <v>305</v>
      </c>
    </row>
    <row r="125" spans="16:21" ht="30" x14ac:dyDescent="0.2">
      <c r="P125" s="1277" t="s">
        <v>2</v>
      </c>
      <c r="Q125" s="1278">
        <f>D17</f>
        <v>2.3116822429906541</v>
      </c>
      <c r="R125" s="1278">
        <f>J17</f>
        <v>2.5423327468974373</v>
      </c>
      <c r="S125" s="1278">
        <f t="shared" ref="S125:S127" si="39">R125-Q125</f>
        <v>0.23065050390678321</v>
      </c>
      <c r="T125" s="1279">
        <f t="shared" ref="T125:T127" si="40">(R125-Q125)/Q125</f>
        <v>9.9776041714274524E-2</v>
      </c>
      <c r="U125" s="1280" t="s">
        <v>306</v>
      </c>
    </row>
    <row r="126" spans="16:21" ht="30" x14ac:dyDescent="0.2">
      <c r="P126" s="1277" t="s">
        <v>3</v>
      </c>
      <c r="Q126" s="1278">
        <f>E17</f>
        <v>4.4241201311214953</v>
      </c>
      <c r="R126" s="1278">
        <f>K17</f>
        <v>4.7155391531999999</v>
      </c>
      <c r="S126" s="1278">
        <f t="shared" si="39"/>
        <v>0.29141902207850467</v>
      </c>
      <c r="T126" s="1279">
        <f t="shared" si="40"/>
        <v>6.5870503838382707E-2</v>
      </c>
      <c r="U126" s="1280" t="s">
        <v>307</v>
      </c>
    </row>
    <row r="127" spans="16:21" ht="60.75" thickBot="1" x14ac:dyDescent="0.25">
      <c r="P127" s="1281" t="s">
        <v>308</v>
      </c>
      <c r="Q127" s="1282">
        <f>H17</f>
        <v>247.82601890307066</v>
      </c>
      <c r="R127" s="1283">
        <f>N17</f>
        <v>274.78016505003262</v>
      </c>
      <c r="S127" s="1284">
        <f t="shared" si="39"/>
        <v>26.954146146961961</v>
      </c>
      <c r="T127" s="1285">
        <f t="shared" si="40"/>
        <v>0.10876237396810311</v>
      </c>
      <c r="U127" s="1286" t="s">
        <v>309</v>
      </c>
    </row>
    <row r="128" spans="16:21" ht="13.5" thickBot="1" x14ac:dyDescent="0.25"/>
    <row r="129" spans="16:21" ht="15.75" thickBot="1" x14ac:dyDescent="0.3">
      <c r="P129" s="1594" t="str">
        <f>B18</f>
        <v>6L_W8_STOPE</v>
      </c>
      <c r="Q129" s="1595"/>
      <c r="R129" s="1595"/>
      <c r="S129" s="1595"/>
      <c r="T129" s="1595"/>
      <c r="U129" s="1596"/>
    </row>
    <row r="130" spans="16:21" ht="30.75" thickBot="1" x14ac:dyDescent="0.25">
      <c r="P130" s="659" t="s">
        <v>260</v>
      </c>
      <c r="Q130" s="660" t="s">
        <v>303</v>
      </c>
      <c r="R130" s="660" t="s">
        <v>32</v>
      </c>
      <c r="S130" s="660" t="s">
        <v>262</v>
      </c>
      <c r="T130" s="660" t="s">
        <v>263</v>
      </c>
      <c r="U130" s="661" t="s">
        <v>304</v>
      </c>
    </row>
    <row r="131" spans="16:21" ht="45" x14ac:dyDescent="0.2">
      <c r="P131" s="662" t="s">
        <v>264</v>
      </c>
      <c r="Q131" s="663">
        <f>C18</f>
        <v>2170</v>
      </c>
      <c r="R131" s="663">
        <f>I18</f>
        <v>530.79999999999995</v>
      </c>
      <c r="S131" s="663">
        <f>R131-Q131</f>
        <v>-1639.2</v>
      </c>
      <c r="T131" s="664">
        <f>(R131-Q131)/Q131</f>
        <v>-0.75539170506912445</v>
      </c>
      <c r="U131" s="665" t="s">
        <v>305</v>
      </c>
    </row>
    <row r="132" spans="16:21" ht="30" x14ac:dyDescent="0.2">
      <c r="P132" s="1277" t="s">
        <v>2</v>
      </c>
      <c r="Q132" s="1278">
        <f>D18</f>
        <v>2.2560747663551406</v>
      </c>
      <c r="R132" s="1278">
        <f>J18</f>
        <v>1.9271590052750567</v>
      </c>
      <c r="S132" s="1278">
        <f t="shared" ref="S132:S134" si="41">R132-Q132</f>
        <v>-0.32891576108008391</v>
      </c>
      <c r="T132" s="1279">
        <f t="shared" ref="T132:T134" si="42">(R132-Q132)/Q132</f>
        <v>-0.14579116170492532</v>
      </c>
      <c r="U132" s="1280" t="s">
        <v>306</v>
      </c>
    </row>
    <row r="133" spans="16:21" ht="30" x14ac:dyDescent="0.2">
      <c r="P133" s="1277" t="s">
        <v>3</v>
      </c>
      <c r="Q133" s="1278">
        <f>E18</f>
        <v>4.3176979973831786</v>
      </c>
      <c r="R133" s="1278">
        <f>K18</f>
        <v>0.90216817584000009</v>
      </c>
      <c r="S133" s="1278">
        <f t="shared" si="41"/>
        <v>-3.4155298215431786</v>
      </c>
      <c r="T133" s="1279">
        <f t="shared" si="42"/>
        <v>-0.7910534325497578</v>
      </c>
      <c r="U133" s="1280" t="s">
        <v>307</v>
      </c>
    </row>
    <row r="134" spans="16:21" ht="60.75" thickBot="1" x14ac:dyDescent="0.25">
      <c r="P134" s="1281" t="s">
        <v>308</v>
      </c>
      <c r="Q134" s="1282">
        <f>H18</f>
        <v>239.22033069446192</v>
      </c>
      <c r="R134" s="1283">
        <f>N18</f>
        <v>46.064161063865065</v>
      </c>
      <c r="S134" s="1284">
        <f t="shared" si="41"/>
        <v>-193.15616963059685</v>
      </c>
      <c r="T134" s="1285">
        <f t="shared" si="42"/>
        <v>-0.80744044233138634</v>
      </c>
      <c r="U134" s="1286" t="s">
        <v>309</v>
      </c>
    </row>
    <row r="135" spans="16:21" ht="13.5" thickBot="1" x14ac:dyDescent="0.25"/>
    <row r="136" spans="16:21" ht="15.75" thickBot="1" x14ac:dyDescent="0.3">
      <c r="P136" s="1594" t="str">
        <f>B19</f>
        <v>6L_W9_STOPE</v>
      </c>
      <c r="Q136" s="1595"/>
      <c r="R136" s="1595"/>
      <c r="S136" s="1595"/>
      <c r="T136" s="1595"/>
      <c r="U136" s="1596"/>
    </row>
    <row r="137" spans="16:21" ht="30.75" thickBot="1" x14ac:dyDescent="0.25">
      <c r="P137" s="659" t="s">
        <v>260</v>
      </c>
      <c r="Q137" s="660" t="s">
        <v>303</v>
      </c>
      <c r="R137" s="660" t="s">
        <v>32</v>
      </c>
      <c r="S137" s="660" t="s">
        <v>262</v>
      </c>
      <c r="T137" s="660" t="s">
        <v>263</v>
      </c>
      <c r="U137" s="661" t="s">
        <v>304</v>
      </c>
    </row>
    <row r="138" spans="16:21" ht="45" x14ac:dyDescent="0.2">
      <c r="P138" s="662" t="s">
        <v>264</v>
      </c>
      <c r="Q138" s="663">
        <f>C19</f>
        <v>4340</v>
      </c>
      <c r="R138" s="663">
        <f>I19</f>
        <v>5164.5999999999995</v>
      </c>
      <c r="S138" s="663">
        <f>R138-Q138</f>
        <v>824.59999999999945</v>
      </c>
      <c r="T138" s="664">
        <f>(R138-Q138)/Q138</f>
        <v>0.18999999999999986</v>
      </c>
      <c r="U138" s="665" t="s">
        <v>305</v>
      </c>
    </row>
    <row r="139" spans="16:21" ht="30" x14ac:dyDescent="0.2">
      <c r="P139" s="1277" t="s">
        <v>2</v>
      </c>
      <c r="Q139" s="1278">
        <f>D19</f>
        <v>2.0098130841121482</v>
      </c>
      <c r="R139" s="1278">
        <f>J19</f>
        <v>2.4794214459977546</v>
      </c>
      <c r="S139" s="1278">
        <f t="shared" ref="S139:S141" si="43">R139-Q139</f>
        <v>0.4696083618856064</v>
      </c>
      <c r="T139" s="1279">
        <f t="shared" ref="T139:T141" si="44">(R139-Q139)/Q139</f>
        <v>0.23365772946644928</v>
      </c>
      <c r="U139" s="1280" t="s">
        <v>306</v>
      </c>
    </row>
    <row r="140" spans="16:21" ht="30" x14ac:dyDescent="0.2">
      <c r="P140" s="1277" t="s">
        <v>3</v>
      </c>
      <c r="Q140" s="1278">
        <f>E19</f>
        <v>7.6927999530841067</v>
      </c>
      <c r="R140" s="1278">
        <f>K19</f>
        <v>11.293435726800002</v>
      </c>
      <c r="S140" s="1278">
        <f t="shared" si="43"/>
        <v>3.6006357737158954</v>
      </c>
      <c r="T140" s="1279">
        <f t="shared" si="44"/>
        <v>0.4680526980650746</v>
      </c>
      <c r="U140" s="1280" t="s">
        <v>307</v>
      </c>
    </row>
    <row r="141" spans="16:21" ht="60.75" thickBot="1" x14ac:dyDescent="0.25">
      <c r="P141" s="1281" t="s">
        <v>308</v>
      </c>
      <c r="Q141" s="1282">
        <f>H19</f>
        <v>402.21885154124567</v>
      </c>
      <c r="R141" s="1283">
        <f>N19</f>
        <v>651.60820783492454</v>
      </c>
      <c r="S141" s="1284">
        <f t="shared" si="43"/>
        <v>249.38935629367887</v>
      </c>
      <c r="T141" s="1285">
        <f t="shared" si="44"/>
        <v>0.62003398234084306</v>
      </c>
      <c r="U141" s="1286" t="s">
        <v>309</v>
      </c>
    </row>
    <row r="142" spans="16:21" ht="13.5" thickBot="1" x14ac:dyDescent="0.25"/>
    <row r="143" spans="16:21" ht="15.75" thickBot="1" x14ac:dyDescent="0.3">
      <c r="P143" s="1594" t="str">
        <f>B20</f>
        <v>6L_W10_STOPE</v>
      </c>
      <c r="Q143" s="1595"/>
      <c r="R143" s="1595"/>
      <c r="S143" s="1595"/>
      <c r="T143" s="1595"/>
      <c r="U143" s="1596"/>
    </row>
    <row r="144" spans="16:21" ht="30.75" thickBot="1" x14ac:dyDescent="0.25">
      <c r="P144" s="659" t="s">
        <v>260</v>
      </c>
      <c r="Q144" s="660" t="s">
        <v>303</v>
      </c>
      <c r="R144" s="660" t="s">
        <v>32</v>
      </c>
      <c r="S144" s="660" t="s">
        <v>262</v>
      </c>
      <c r="T144" s="660" t="s">
        <v>263</v>
      </c>
      <c r="U144" s="661" t="s">
        <v>304</v>
      </c>
    </row>
    <row r="145" spans="16:21" ht="45" x14ac:dyDescent="0.2">
      <c r="P145" s="662" t="s">
        <v>264</v>
      </c>
      <c r="Q145" s="663">
        <f>C20</f>
        <v>1085</v>
      </c>
      <c r="R145" s="663">
        <f>I20</f>
        <v>54</v>
      </c>
      <c r="S145" s="663">
        <f>R145-Q145</f>
        <v>-1031</v>
      </c>
      <c r="T145" s="664">
        <f>(R145-Q145)/Q145</f>
        <v>-0.95023041474654379</v>
      </c>
      <c r="U145" s="665" t="s">
        <v>305</v>
      </c>
    </row>
    <row r="146" spans="16:21" ht="30" x14ac:dyDescent="0.2">
      <c r="P146" s="1277" t="s">
        <v>2</v>
      </c>
      <c r="Q146" s="1278">
        <f>D20</f>
        <v>1.7238317757009356</v>
      </c>
      <c r="R146" s="1278">
        <f>J20</f>
        <v>5.9900000000000011</v>
      </c>
      <c r="S146" s="1278">
        <f t="shared" ref="S146:S148" si="45">R146-Q146</f>
        <v>4.2661682242990651</v>
      </c>
      <c r="T146" s="1279">
        <f t="shared" ref="T146:T148" si="46">(R146-Q146)/Q146</f>
        <v>2.4748170235836255</v>
      </c>
      <c r="U146" s="1280" t="s">
        <v>306</v>
      </c>
    </row>
    <row r="147" spans="16:21" ht="30" x14ac:dyDescent="0.2">
      <c r="P147" s="1277" t="s">
        <v>3</v>
      </c>
      <c r="Q147" s="1278">
        <f>E20</f>
        <v>1.6495430729439262</v>
      </c>
      <c r="R147" s="1278">
        <f>K20</f>
        <v>0.28527231240000001</v>
      </c>
      <c r="S147" s="1278">
        <f t="shared" si="45"/>
        <v>-1.3642707605439262</v>
      </c>
      <c r="T147" s="1279">
        <f t="shared" si="46"/>
        <v>-0.82705979790459372</v>
      </c>
      <c r="U147" s="1280" t="s">
        <v>307</v>
      </c>
    </row>
    <row r="148" spans="16:21" ht="60.75" thickBot="1" x14ac:dyDescent="0.25">
      <c r="P148" s="1281" t="s">
        <v>308</v>
      </c>
      <c r="Q148" s="1282">
        <f>H20</f>
        <v>78.425800348889098</v>
      </c>
      <c r="R148" s="1283">
        <f>N20</f>
        <v>20.332722394094045</v>
      </c>
      <c r="S148" s="1284">
        <f t="shared" si="45"/>
        <v>-58.093077954795049</v>
      </c>
      <c r="T148" s="1285">
        <f t="shared" si="46"/>
        <v>-0.74073937016082925</v>
      </c>
      <c r="U148" s="1286" t="s">
        <v>309</v>
      </c>
    </row>
  </sheetData>
  <mergeCells count="13">
    <mergeCell ref="P129:U129"/>
    <mergeCell ref="P136:U136"/>
    <mergeCell ref="P143:U143"/>
    <mergeCell ref="P94:U94"/>
    <mergeCell ref="P101:U101"/>
    <mergeCell ref="P108:U108"/>
    <mergeCell ref="P115:U115"/>
    <mergeCell ref="P122:U122"/>
    <mergeCell ref="P59:U59"/>
    <mergeCell ref="P66:U66"/>
    <mergeCell ref="P73:U73"/>
    <mergeCell ref="P80:U80"/>
    <mergeCell ref="P87:U87"/>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5" id="{A33E9148-D2CB-496F-B568-529A4C6B8DBC}">
            <x14:iconSet iconSet="3Triangles">
              <x14:cfvo type="percent">
                <xm:f>0</xm:f>
              </x14:cfvo>
              <x14:cfvo type="num">
                <xm:f>-5.0000000000000001E-3</xm:f>
              </x14:cfvo>
              <x14:cfvo type="num">
                <xm:f>5.0000000000000001E-3</xm:f>
              </x14:cfvo>
            </x14:iconSet>
          </x14:cfRule>
          <xm:sqref>O8:O23</xm:sqref>
        </x14:conditionalFormatting>
        <x14:conditionalFormatting xmlns:xm="http://schemas.microsoft.com/office/excel/2006/main">
          <x14:cfRule type="iconSet" priority="909" id="{3895F4DA-EA3A-4470-BE58-8E5C5A73B3C9}">
            <x14:iconSet iconSet="3Triangles">
              <x14:cfvo type="percent">
                <xm:f>0</xm:f>
              </x14:cfvo>
              <x14:cfvo type="num">
                <xm:f>-5.0000000000000001E-3</xm:f>
              </x14:cfvo>
              <x14:cfvo type="num">
                <xm:f>5.0000000000000001E-3</xm:f>
              </x14:cfvo>
            </x14:iconSet>
          </x14:cfRule>
          <xm:sqref>O28:O41</xm:sqref>
        </x14:conditionalFormatting>
        <x14:conditionalFormatting xmlns:xm="http://schemas.microsoft.com/office/excel/2006/main">
          <x14:cfRule type="iconSet" priority="14" id="{7B2D4BB3-F9A5-4513-889A-1654F8E8F45F}">
            <x14:iconSet iconSet="3Triangles">
              <x14:cfvo type="percent">
                <xm:f>0</xm:f>
              </x14:cfvo>
              <x14:cfvo type="num">
                <xm:f>0</xm:f>
              </x14:cfvo>
              <x14:cfvo type="num">
                <xm:f>0</xm:f>
              </x14:cfvo>
            </x14:iconSet>
          </x14:cfRule>
          <xm:sqref>T61:T64</xm:sqref>
        </x14:conditionalFormatting>
        <x14:conditionalFormatting xmlns:xm="http://schemas.microsoft.com/office/excel/2006/main">
          <x14:cfRule type="iconSet" priority="13" id="{D2EFA468-4685-4AA8-A190-81A1888EA490}">
            <x14:iconSet iconSet="3Triangles">
              <x14:cfvo type="percent">
                <xm:f>0</xm:f>
              </x14:cfvo>
              <x14:cfvo type="num">
                <xm:f>0</xm:f>
              </x14:cfvo>
              <x14:cfvo type="num">
                <xm:f>0</xm:f>
              </x14:cfvo>
            </x14:iconSet>
          </x14:cfRule>
          <xm:sqref>T68:T71</xm:sqref>
        </x14:conditionalFormatting>
        <x14:conditionalFormatting xmlns:xm="http://schemas.microsoft.com/office/excel/2006/main">
          <x14:cfRule type="iconSet" priority="12" id="{71CFCCBA-7226-4A40-9A54-2A3E72E36CF9}">
            <x14:iconSet iconSet="3Triangles">
              <x14:cfvo type="percent">
                <xm:f>0</xm:f>
              </x14:cfvo>
              <x14:cfvo type="num">
                <xm:f>0</xm:f>
              </x14:cfvo>
              <x14:cfvo type="num">
                <xm:f>0</xm:f>
              </x14:cfvo>
            </x14:iconSet>
          </x14:cfRule>
          <xm:sqref>T75:T78</xm:sqref>
        </x14:conditionalFormatting>
        <x14:conditionalFormatting xmlns:xm="http://schemas.microsoft.com/office/excel/2006/main">
          <x14:cfRule type="iconSet" priority="11" id="{DB8F70E8-E56A-41BD-979A-609F0F83F3BE}">
            <x14:iconSet iconSet="3Triangles">
              <x14:cfvo type="percent">
                <xm:f>0</xm:f>
              </x14:cfvo>
              <x14:cfvo type="num">
                <xm:f>0</xm:f>
              </x14:cfvo>
              <x14:cfvo type="num">
                <xm:f>0</xm:f>
              </x14:cfvo>
            </x14:iconSet>
          </x14:cfRule>
          <xm:sqref>T82:T85</xm:sqref>
        </x14:conditionalFormatting>
        <x14:conditionalFormatting xmlns:xm="http://schemas.microsoft.com/office/excel/2006/main">
          <x14:cfRule type="iconSet" priority="10" id="{A9D3D08C-4293-4785-B711-E104AAA24EF0}">
            <x14:iconSet iconSet="3Triangles">
              <x14:cfvo type="percent">
                <xm:f>0</xm:f>
              </x14:cfvo>
              <x14:cfvo type="num">
                <xm:f>0</xm:f>
              </x14:cfvo>
              <x14:cfvo type="num">
                <xm:f>0</xm:f>
              </x14:cfvo>
            </x14:iconSet>
          </x14:cfRule>
          <xm:sqref>T89:T92</xm:sqref>
        </x14:conditionalFormatting>
        <x14:conditionalFormatting xmlns:xm="http://schemas.microsoft.com/office/excel/2006/main">
          <x14:cfRule type="iconSet" priority="9" id="{2B89CAFC-4E55-4861-B38B-5B8EFD98CD27}">
            <x14:iconSet iconSet="3Triangles">
              <x14:cfvo type="percent">
                <xm:f>0</xm:f>
              </x14:cfvo>
              <x14:cfvo type="num">
                <xm:f>0</xm:f>
              </x14:cfvo>
              <x14:cfvo type="num">
                <xm:f>0</xm:f>
              </x14:cfvo>
            </x14:iconSet>
          </x14:cfRule>
          <xm:sqref>T96:T99</xm:sqref>
        </x14:conditionalFormatting>
        <x14:conditionalFormatting xmlns:xm="http://schemas.microsoft.com/office/excel/2006/main">
          <x14:cfRule type="iconSet" priority="8" id="{BD322669-6DE5-4C10-8654-4647D2DFE2F0}">
            <x14:iconSet iconSet="3Triangles">
              <x14:cfvo type="percent">
                <xm:f>0</xm:f>
              </x14:cfvo>
              <x14:cfvo type="num">
                <xm:f>0</xm:f>
              </x14:cfvo>
              <x14:cfvo type="num">
                <xm:f>0</xm:f>
              </x14:cfvo>
            </x14:iconSet>
          </x14:cfRule>
          <xm:sqref>T103:T106</xm:sqref>
        </x14:conditionalFormatting>
        <x14:conditionalFormatting xmlns:xm="http://schemas.microsoft.com/office/excel/2006/main">
          <x14:cfRule type="iconSet" priority="7" id="{D3CF9792-2B7D-4CB0-A344-2A6D802F43CC}">
            <x14:iconSet iconSet="3Triangles">
              <x14:cfvo type="percent">
                <xm:f>0</xm:f>
              </x14:cfvo>
              <x14:cfvo type="num">
                <xm:f>0</xm:f>
              </x14:cfvo>
              <x14:cfvo type="num">
                <xm:f>0</xm:f>
              </x14:cfvo>
            </x14:iconSet>
          </x14:cfRule>
          <xm:sqref>T110:T113</xm:sqref>
        </x14:conditionalFormatting>
        <x14:conditionalFormatting xmlns:xm="http://schemas.microsoft.com/office/excel/2006/main">
          <x14:cfRule type="iconSet" priority="6" id="{4BCCB106-A653-4FDA-926E-7647E1B4AB2A}">
            <x14:iconSet iconSet="3Triangles">
              <x14:cfvo type="percent">
                <xm:f>0</xm:f>
              </x14:cfvo>
              <x14:cfvo type="num">
                <xm:f>0</xm:f>
              </x14:cfvo>
              <x14:cfvo type="num">
                <xm:f>0</xm:f>
              </x14:cfvo>
            </x14:iconSet>
          </x14:cfRule>
          <xm:sqref>T117:T120</xm:sqref>
        </x14:conditionalFormatting>
        <x14:conditionalFormatting xmlns:xm="http://schemas.microsoft.com/office/excel/2006/main">
          <x14:cfRule type="iconSet" priority="5" id="{6F41B981-9A21-476C-BE47-D391B20624A2}">
            <x14:iconSet iconSet="3Triangles">
              <x14:cfvo type="percent">
                <xm:f>0</xm:f>
              </x14:cfvo>
              <x14:cfvo type="num">
                <xm:f>0</xm:f>
              </x14:cfvo>
              <x14:cfvo type="num">
                <xm:f>0</xm:f>
              </x14:cfvo>
            </x14:iconSet>
          </x14:cfRule>
          <xm:sqref>T124:T127</xm:sqref>
        </x14:conditionalFormatting>
        <x14:conditionalFormatting xmlns:xm="http://schemas.microsoft.com/office/excel/2006/main">
          <x14:cfRule type="iconSet" priority="4" id="{52733AB9-45A2-4D64-9D50-3F4DC9D87F92}">
            <x14:iconSet iconSet="3Triangles">
              <x14:cfvo type="percent">
                <xm:f>0</xm:f>
              </x14:cfvo>
              <x14:cfvo type="num">
                <xm:f>0</xm:f>
              </x14:cfvo>
              <x14:cfvo type="num">
                <xm:f>0</xm:f>
              </x14:cfvo>
            </x14:iconSet>
          </x14:cfRule>
          <xm:sqref>T131:T134</xm:sqref>
        </x14:conditionalFormatting>
        <x14:conditionalFormatting xmlns:xm="http://schemas.microsoft.com/office/excel/2006/main">
          <x14:cfRule type="iconSet" priority="3" id="{CB3BEC7A-0960-4959-B6E6-AD4A5EB3C1E7}">
            <x14:iconSet iconSet="3Triangles">
              <x14:cfvo type="percent">
                <xm:f>0</xm:f>
              </x14:cfvo>
              <x14:cfvo type="num">
                <xm:f>0</xm:f>
              </x14:cfvo>
              <x14:cfvo type="num">
                <xm:f>0</xm:f>
              </x14:cfvo>
            </x14:iconSet>
          </x14:cfRule>
          <xm:sqref>T138:T141</xm:sqref>
        </x14:conditionalFormatting>
        <x14:conditionalFormatting xmlns:xm="http://schemas.microsoft.com/office/excel/2006/main">
          <x14:cfRule type="iconSet" priority="2" id="{6AA379AD-0151-4EE6-9CDE-AEAEDEBC5B3D}">
            <x14:iconSet iconSet="3Triangles">
              <x14:cfvo type="percent">
                <xm:f>0</xm:f>
              </x14:cfvo>
              <x14:cfvo type="num">
                <xm:f>0</xm:f>
              </x14:cfvo>
              <x14:cfvo type="num">
                <xm:f>0</xm:f>
              </x14:cfvo>
            </x14:iconSet>
          </x14:cfRule>
          <xm:sqref>T145:T148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56D48-C91F-4B28-B5C2-B34C461AC0B6}">
  <sheetPr>
    <pageSetUpPr fitToPage="1"/>
  </sheetPr>
  <dimension ref="A1:AM143"/>
  <sheetViews>
    <sheetView showGridLines="0" topLeftCell="A6" zoomScale="84" zoomScaleNormal="88" workbookViewId="0">
      <pane xSplit="7" ySplit="12" topLeftCell="K18" activePane="bottomRight" state="frozen"/>
      <selection pane="topRight" activeCell="H6" sqref="H6"/>
      <selection pane="bottomLeft" activeCell="A18" sqref="A18"/>
      <selection pane="bottomRight" activeCell="W27" sqref="W27"/>
    </sheetView>
  </sheetViews>
  <sheetFormatPr defaultColWidth="9" defaultRowHeight="13.5" x14ac:dyDescent="0.25"/>
  <cols>
    <col min="1" max="1" width="3.28515625" style="1073" bestFit="1" customWidth="1"/>
    <col min="2" max="2" width="24.42578125" style="1073" customWidth="1"/>
    <col min="3" max="3" width="15.28515625" style="1073" bestFit="1" customWidth="1"/>
    <col min="4" max="4" width="9.42578125" style="1117" customWidth="1"/>
    <col min="5" max="5" width="12.28515625" style="1118" customWidth="1"/>
    <col min="6" max="7" width="9.140625" style="1114" customWidth="1"/>
    <col min="8" max="10" width="7.42578125" style="1081" customWidth="1"/>
    <col min="11" max="38" width="7.42578125" style="1073" customWidth="1"/>
    <col min="39" max="39" width="33.42578125" style="1073" bestFit="1" customWidth="1"/>
    <col min="40" max="40" width="9" style="1073"/>
    <col min="41" max="41" width="4" style="1073" bestFit="1" customWidth="1"/>
    <col min="42" max="42" width="12" style="1073" bestFit="1" customWidth="1"/>
    <col min="43" max="16383" width="9" style="1073"/>
    <col min="16384" max="16384" width="9" style="1073" customWidth="1"/>
  </cols>
  <sheetData>
    <row r="1" spans="2:38" s="1022" customFormat="1" ht="14.25" thickBot="1" x14ac:dyDescent="0.3">
      <c r="D1" s="1038"/>
      <c r="E1" s="1033"/>
      <c r="F1" s="1027"/>
      <c r="G1" s="1027"/>
    </row>
    <row r="2" spans="2:38" s="1022" customFormat="1" ht="15.75" thickBot="1" x14ac:dyDescent="0.3">
      <c r="B2" s="1026" t="s">
        <v>221</v>
      </c>
      <c r="D2" s="1020"/>
      <c r="H2" s="1647" t="s">
        <v>310</v>
      </c>
      <c r="I2" s="1648"/>
      <c r="K2" s="1647" t="s">
        <v>311</v>
      </c>
      <c r="L2" s="1649"/>
      <c r="M2" s="1649"/>
      <c r="N2" s="1648"/>
      <c r="P2" s="1086" t="s">
        <v>312</v>
      </c>
      <c r="Q2" s="1087"/>
      <c r="R2" s="1088"/>
    </row>
    <row r="3" spans="2:38" s="1022" customFormat="1" ht="15" x14ac:dyDescent="0.25">
      <c r="B3" s="1031" t="s">
        <v>313</v>
      </c>
      <c r="D3" s="1038"/>
      <c r="H3" s="1650" t="s">
        <v>314</v>
      </c>
      <c r="I3" s="1651"/>
      <c r="K3" s="1652" t="s">
        <v>315</v>
      </c>
      <c r="L3" s="1653"/>
      <c r="M3" s="1653"/>
      <c r="N3" s="1654"/>
      <c r="P3" s="1034" t="s">
        <v>316</v>
      </c>
      <c r="Q3" s="1035"/>
      <c r="R3" s="1036"/>
    </row>
    <row r="4" spans="2:38" s="1022" customFormat="1" ht="14.85" customHeight="1" thickBot="1" x14ac:dyDescent="0.3">
      <c r="B4" s="1037" t="s">
        <v>317</v>
      </c>
      <c r="D4" s="1038"/>
      <c r="H4" s="1655" t="s">
        <v>318</v>
      </c>
      <c r="I4" s="1656"/>
      <c r="K4" s="1657" t="s">
        <v>319</v>
      </c>
      <c r="L4" s="1658"/>
      <c r="M4" s="1658"/>
      <c r="N4" s="1659"/>
      <c r="P4" s="249" t="s">
        <v>320</v>
      </c>
      <c r="Q4" s="250"/>
      <c r="R4" s="1039"/>
    </row>
    <row r="5" spans="2:38" s="1022" customFormat="1" ht="14.85" customHeight="1" x14ac:dyDescent="0.25">
      <c r="B5" s="1040"/>
      <c r="D5" s="1038"/>
      <c r="K5" s="1640" t="s">
        <v>321</v>
      </c>
      <c r="L5" s="1641"/>
      <c r="M5" s="1641"/>
      <c r="N5" s="1642"/>
      <c r="P5" s="249" t="s">
        <v>322</v>
      </c>
      <c r="Q5" s="250"/>
      <c r="R5" s="1039"/>
    </row>
    <row r="6" spans="2:38" s="1022" customFormat="1" ht="15" customHeight="1" thickBot="1" x14ac:dyDescent="0.3">
      <c r="B6" s="1042" t="s">
        <v>323</v>
      </c>
      <c r="C6" s="1043">
        <f>[1]SUMMARY!$C$6</f>
        <v>45839</v>
      </c>
      <c r="D6" s="1038"/>
      <c r="K6" s="1643" t="s">
        <v>324</v>
      </c>
      <c r="L6" s="1644"/>
      <c r="M6" s="1644"/>
      <c r="N6" s="1645"/>
      <c r="P6" s="249" t="s">
        <v>325</v>
      </c>
      <c r="Q6" s="250"/>
      <c r="R6" s="1039"/>
    </row>
    <row r="7" spans="2:38" s="1022" customFormat="1" ht="14.25" thickBot="1" x14ac:dyDescent="0.3">
      <c r="B7" s="1042" t="s">
        <v>326</v>
      </c>
      <c r="C7" s="1045">
        <f>[1]SUMMARY!C7</f>
        <v>16</v>
      </c>
      <c r="D7" s="1038"/>
      <c r="E7" s="1033"/>
      <c r="F7" s="1027"/>
      <c r="G7" s="1027"/>
      <c r="H7" s="1041"/>
      <c r="I7" s="1020"/>
      <c r="J7" s="1020"/>
      <c r="P7" s="256" t="s">
        <v>327</v>
      </c>
      <c r="Q7" s="257"/>
      <c r="R7" s="1047"/>
    </row>
    <row r="8" spans="2:38" s="1022" customFormat="1" ht="14.25" thickBot="1" x14ac:dyDescent="0.3">
      <c r="B8" s="1089"/>
      <c r="C8" s="1089"/>
      <c r="D8" s="1090"/>
      <c r="E8" s="1089"/>
      <c r="F8" s="1089"/>
      <c r="G8" s="1089"/>
      <c r="H8" s="1089"/>
      <c r="I8" s="1089"/>
      <c r="J8" s="1089"/>
      <c r="K8" s="1091"/>
    </row>
    <row r="9" spans="2:38" s="1020" customFormat="1" ht="14.25" thickBot="1" x14ac:dyDescent="0.3">
      <c r="B9" s="1048" t="s">
        <v>269</v>
      </c>
      <c r="C9" s="1049" t="s">
        <v>303</v>
      </c>
      <c r="D9" s="1050" t="s">
        <v>32</v>
      </c>
      <c r="E9" s="1051" t="s">
        <v>262</v>
      </c>
      <c r="G9" s="263" t="s">
        <v>328</v>
      </c>
      <c r="H9" s="1052">
        <v>1</v>
      </c>
      <c r="I9" s="1053">
        <v>2</v>
      </c>
      <c r="J9" s="1053">
        <v>3</v>
      </c>
      <c r="K9" s="1053">
        <v>4</v>
      </c>
      <c r="L9" s="1053">
        <v>5</v>
      </c>
      <c r="M9" s="1053">
        <v>6</v>
      </c>
      <c r="N9" s="1053">
        <v>7</v>
      </c>
      <c r="O9" s="1053">
        <v>8</v>
      </c>
      <c r="P9" s="1092">
        <v>9</v>
      </c>
      <c r="Q9" s="1053">
        <v>10</v>
      </c>
      <c r="R9" s="1053">
        <v>11</v>
      </c>
      <c r="S9" s="1092">
        <v>12</v>
      </c>
      <c r="T9" s="1092">
        <v>13</v>
      </c>
      <c r="U9" s="1053">
        <v>14</v>
      </c>
      <c r="V9" s="1053">
        <v>15</v>
      </c>
      <c r="W9" s="1053">
        <v>16</v>
      </c>
      <c r="X9" s="1053">
        <v>17</v>
      </c>
      <c r="Y9" s="1053">
        <v>18</v>
      </c>
      <c r="Z9" s="1053">
        <v>19</v>
      </c>
      <c r="AA9" s="1053">
        <v>20</v>
      </c>
      <c r="AB9" s="1053">
        <v>21</v>
      </c>
      <c r="AC9" s="1053">
        <v>22</v>
      </c>
      <c r="AD9" s="1053">
        <v>23</v>
      </c>
      <c r="AE9" s="1053">
        <v>24</v>
      </c>
      <c r="AF9" s="1053">
        <v>25</v>
      </c>
      <c r="AG9" s="1053">
        <v>26</v>
      </c>
      <c r="AH9" s="1053">
        <v>27</v>
      </c>
      <c r="AI9" s="1053">
        <v>28</v>
      </c>
      <c r="AJ9" s="1053">
        <v>29</v>
      </c>
      <c r="AK9" s="1053">
        <v>30</v>
      </c>
      <c r="AL9" s="1054">
        <v>31</v>
      </c>
    </row>
    <row r="10" spans="2:38" s="1022" customFormat="1" x14ac:dyDescent="0.25">
      <c r="B10" s="1055" t="s">
        <v>329</v>
      </c>
      <c r="C10" s="269">
        <f>SUM(H10:AL10)</f>
        <v>14840</v>
      </c>
      <c r="D10" s="270">
        <f>SUM(H11:AL11)</f>
        <v>14004</v>
      </c>
      <c r="E10" s="271">
        <f>IFERROR((D10-C10)/C10,0)</f>
        <v>-5.6334231805929919E-2</v>
      </c>
      <c r="F10" s="1027"/>
      <c r="G10" s="272" t="s">
        <v>330</v>
      </c>
      <c r="H10" s="273">
        <f>IF(H$9&gt;$C$7,"",SUMIF($E$18:$E307,"Budget (t)",H$18:H307))</f>
        <v>910</v>
      </c>
      <c r="I10" s="275">
        <f>IF(I$9&gt;$C$7,"",SUMIF($E$18:$E307,"Budget (t)",I$18:I307))</f>
        <v>910</v>
      </c>
      <c r="J10" s="687">
        <f>IF(J$9&gt;$C$7,"",SUMIF($E$18:$E307,"Budget (t)",J$18:J307))</f>
        <v>910</v>
      </c>
      <c r="K10" s="274">
        <f>IF(K$9&gt;$C$7,"",SUMIF($E$18:$E307,"Budget (t)",K$18:K307))</f>
        <v>910</v>
      </c>
      <c r="L10" s="274">
        <f>IF(L$9&gt;$C$7,"",SUMIF($E$18:$E307,"Budget (t)",L$18:L307))</f>
        <v>910</v>
      </c>
      <c r="M10" s="274">
        <f>IF(M$9&gt;$C$7,"",SUMIF($E$18:$E307,"Budget (t)",M$18:M307))</f>
        <v>910</v>
      </c>
      <c r="N10" s="274">
        <f>IF(N$9&gt;$C$7,"",SUMIF($E$18:$E307,"Budget (t)",N$18:N307))</f>
        <v>910</v>
      </c>
      <c r="O10" s="274">
        <f>IF(O$9&gt;$C$7,"",SUMIF($E$18:$E307,"Budget (t)",O$18:O307))</f>
        <v>910</v>
      </c>
      <c r="P10" s="274">
        <f>IF(P$9&gt;$C$7,"",SUMIF($E$18:$E307,"Budget (t)",P$18:P307))</f>
        <v>910</v>
      </c>
      <c r="Q10" s="275">
        <f>IF(Q$9&gt;$C$7,"",SUMIF($E$18:$E307,"Budget (t)",Q$18:Q307))</f>
        <v>910</v>
      </c>
      <c r="R10" s="275">
        <f>IF(R$9&gt;$C$7,"",SUMIF($E$18:$E307,"Budget (t)",R$18:R307))</f>
        <v>910</v>
      </c>
      <c r="S10" s="274">
        <f>IF(S$9&gt;$C$7,"",SUMIF($E$18:$E307,"Budget (t)",S$18:S307))</f>
        <v>910</v>
      </c>
      <c r="T10" s="274">
        <f>IF(T$9&gt;$C$7,"",SUMIF($E$18:$E307,"Budget (t)",T$18:T307))</f>
        <v>980</v>
      </c>
      <c r="U10" s="274">
        <f>IF(U$9&gt;$C$7,"",SUMIF($E$18:$E307,"Budget (t)",U$18:U307))</f>
        <v>980</v>
      </c>
      <c r="V10" s="274">
        <f>IF(V$9&gt;$C$7,"",SUMIF($E$18:$E307,"Budget (t)",V$18:V307))</f>
        <v>980</v>
      </c>
      <c r="W10" s="274">
        <f>IF(W$9&gt;$C$7,"",SUMIF($E$18:$E307,"Budget (t)",W$18:W307))</f>
        <v>980</v>
      </c>
      <c r="X10" s="274" t="str">
        <f>IF(X$9&gt;$C$7,"",SUMIF($E$18:$E307,"Budget (t)",X$18:X307))</f>
        <v/>
      </c>
      <c r="Y10" s="274" t="str">
        <f>IF(Y$9&gt;$C$7,"",SUMIF($E$18:$E307,"Budget (t)",Y$18:Y307))</f>
        <v/>
      </c>
      <c r="Z10" s="274" t="str">
        <f>IF(Z$9&gt;$C$7,"",SUMIF($E$18:$E307,"Budget (t)",Z$18:Z307))</f>
        <v/>
      </c>
      <c r="AA10" s="274" t="str">
        <f>IF(AA$9&gt;$C$7,"",SUMIF($E$18:$E307,"Budget (t)",AA$18:AA307))</f>
        <v/>
      </c>
      <c r="AB10" s="274" t="str">
        <f>IF(AB$9&gt;$C$7,"",SUMIF($E$18:$E307,"Budget (t)",AB$18:AB307))</f>
        <v/>
      </c>
      <c r="AC10" s="274" t="str">
        <f>IF(AC$9&gt;$C$7,"",SUMIF($E$18:$E307,"Budget (t)",AC$18:AC307))</f>
        <v/>
      </c>
      <c r="AD10" s="274" t="str">
        <f>IF(AD$9&gt;$C$7,"",SUMIF($E$18:$E307,"Budget (t)",AD$18:AD307))</f>
        <v/>
      </c>
      <c r="AE10" s="274" t="str">
        <f>IF(AE$9&gt;$C$7,"",SUMIF($E$18:$E307,"Budget (t)",AE$18:AE307))</f>
        <v/>
      </c>
      <c r="AF10" s="274" t="str">
        <f>IF(AF$9&gt;$C$7,"",SUMIF($E$18:$E307,"Budget (t)",AF$18:AF307))</f>
        <v/>
      </c>
      <c r="AG10" s="274" t="str">
        <f>IF(AG$9&gt;$C$7,"",SUMIF($E$18:$E307,"Budget (t)",AG$18:AG307))</f>
        <v/>
      </c>
      <c r="AH10" s="274" t="str">
        <f>IF(AH$9&gt;$C$7,"",SUMIF($E$18:$E307,"Budget (t)",AH$18:AH307))</f>
        <v/>
      </c>
      <c r="AI10" s="274" t="str">
        <f>IF(AI$9&gt;$C$7,"",SUMIF($E$18:$E307,"Budget (t)",AI$18:AI307))</f>
        <v/>
      </c>
      <c r="AJ10" s="274" t="str">
        <f>IF(AJ$9&gt;$C$7,"",SUMIF($E$18:$E307,"Budget (t)",AJ$18:AJ307))</f>
        <v/>
      </c>
      <c r="AK10" s="274" t="str">
        <f>IF(AK$9&gt;$C$7,"",SUMIF($E$18:$E307,"Budget (t)",AK$18:AK307))</f>
        <v/>
      </c>
      <c r="AL10" s="276" t="str">
        <f>IF(AL$9&gt;$C$7,"",SUMIF($E$18:$E307,"Budget (t)",AL$18:AL307))</f>
        <v/>
      </c>
    </row>
    <row r="11" spans="2:38" s="1057" customFormat="1" ht="14.25" thickBot="1" x14ac:dyDescent="0.3">
      <c r="B11" s="1287" t="s">
        <v>2</v>
      </c>
      <c r="C11" s="1288">
        <f>IFERROR(C12*1000/C10,0)</f>
        <v>2.2378240169282311</v>
      </c>
      <c r="D11" s="786">
        <f>IFERROR(D12*1000/D10,0)</f>
        <v>2.2306690945444156</v>
      </c>
      <c r="E11" s="1548">
        <f t="shared" ref="E11:E12" si="0">IFERROR((D11-C11)/C11,0)</f>
        <v>-3.197267671493087E-3</v>
      </c>
      <c r="G11" s="263" t="s">
        <v>331</v>
      </c>
      <c r="H11" s="1289">
        <f>IF(H$9&gt;$C$7,"",SUMIF($E$18:$E307,"Actual (t)",H$18:H307))</f>
        <v>795</v>
      </c>
      <c r="I11" s="1290">
        <f>IF(I$9&gt;$C$7,"",SUMIF($E$18:$E307,"Actual (t)",I$18:I307))</f>
        <v>834</v>
      </c>
      <c r="J11" s="1290">
        <f>IF(J$9&gt;$C$7,"",SUMIF($E$18:$E307,"Actual (t)",J$18:J307))</f>
        <v>883</v>
      </c>
      <c r="K11" s="1290">
        <f>IF(K$9&gt;$C$7,"",SUMIF($E$18:$E307,"Actual (t)",K$18:K307))</f>
        <v>869</v>
      </c>
      <c r="L11" s="1290">
        <f>IF(L$9&gt;$C$7,"",SUMIF($E$18:$E307,"Actual (t)",L$18:L307))</f>
        <v>870</v>
      </c>
      <c r="M11" s="1290">
        <f>IF(M$9&gt;$C$7,"",SUMIF($E$18:$E307,"Actual (t)",M$18:M307))</f>
        <v>827</v>
      </c>
      <c r="N11" s="1290">
        <f>IF(N$9&gt;$C$7,"",SUMIF($E$18:$E307,"Actual (t)",N$18:N307))</f>
        <v>900</v>
      </c>
      <c r="O11" s="1290">
        <f>IF(O$9&gt;$C$7,"",SUMIF($E$18:$E307,"Actual (t)",O$18:O307))</f>
        <v>967</v>
      </c>
      <c r="P11" s="1290">
        <f>IF(P$9&gt;$C$7,"",SUMIF($E$18:$E307,"Actual (t)",P$18:P307))</f>
        <v>752</v>
      </c>
      <c r="Q11" s="1290">
        <f>IF(Q$9&gt;$C$7,"",SUMIF($E$18:$E307,"Actual (t)",Q$18:Q307))</f>
        <v>892</v>
      </c>
      <c r="R11" s="1290">
        <f>IF(R$9&gt;$C$7,"",SUMIF($E$18:$E307,"Actual (t)",R$18:R307))</f>
        <v>937</v>
      </c>
      <c r="S11" s="1290">
        <f>IF(S$9&gt;$C$7,"",SUMIF($E$18:$E307,"Actual (t)",S$18:S307))</f>
        <v>661</v>
      </c>
      <c r="T11" s="1290">
        <f>IF(T$9&gt;$C$7,"",SUMIF($E$18:$E307,"Actual (t)",T$18:T307))</f>
        <v>933</v>
      </c>
      <c r="U11" s="1290">
        <f>IF(U$9&gt;$C$7,"",SUMIF($E$18:$E307,"Actual (t)",U$18:U307))</f>
        <v>1006</v>
      </c>
      <c r="V11" s="1290">
        <f>IF(V$9&gt;$C$7,"",SUMIF($E$18:$E307,"Actual (t)",V$18:V307))</f>
        <v>1001</v>
      </c>
      <c r="W11" s="1290">
        <f>IF(W$9&gt;$C$7,"",SUMIF($E$18:$E307,"Actual (t)",W$18:W307))</f>
        <v>877</v>
      </c>
      <c r="X11" s="1290" t="str">
        <f>IF(X$9&gt;$C$7,"",SUMIF($E$18:$E307,"Actual (t)",X$18:X307))</f>
        <v/>
      </c>
      <c r="Y11" s="1290" t="str">
        <f>IF(Y$9&gt;$C$7,"",SUMIF($E$18:$E307,"Actual (t)",Y$18:Y307))</f>
        <v/>
      </c>
      <c r="Z11" s="1290" t="str">
        <f>IF(Z$9&gt;$C$7,"",SUMIF($E$18:$E307,"Actual (t)",Z$18:Z307))</f>
        <v/>
      </c>
      <c r="AA11" s="1290" t="str">
        <f>IF(AA$9&gt;$C$7,"",SUMIF($E$18:$E307,"Actual (t)",AA$18:AA307))</f>
        <v/>
      </c>
      <c r="AB11" s="1290" t="str">
        <f>IF(AB$9&gt;$C$7,"",SUMIF($E$18:$E307,"Actual (t)",AB$18:AB307))</f>
        <v/>
      </c>
      <c r="AC11" s="1290" t="str">
        <f>IF(AC$9&gt;$C$7,"",SUMIF($E$18:$E307,"Actual (t)",AC$18:AC307))</f>
        <v/>
      </c>
      <c r="AD11" s="1290" t="str">
        <f>IF(AD$9&gt;$C$7,"",SUMIF($E$18:$E307,"Actual (t)",AD$18:AD307))</f>
        <v/>
      </c>
      <c r="AE11" s="1290" t="str">
        <f>IF(AE$9&gt;$C$7,"",SUMIF($E$18:$E307,"Actual (t)",AE$18:AE307))</f>
        <v/>
      </c>
      <c r="AF11" s="1290" t="str">
        <f>IF(AF$9&gt;$C$7,"",SUMIF($E$18:$E307,"Actual (t)",AF$18:AF307))</f>
        <v/>
      </c>
      <c r="AG11" s="1290" t="str">
        <f>IF(AG$9&gt;$C$7,"",SUMIF($E$18:$E307,"Actual (t)",AG$18:AG307))</f>
        <v/>
      </c>
      <c r="AH11" s="1290" t="str">
        <f>IF(AH$9&gt;$C$7,"",SUMIF($E$18:$E307,"Actual (t)",AH$18:AH307))</f>
        <v/>
      </c>
      <c r="AI11" s="1290" t="str">
        <f>IF(AI$9&gt;$C$7,"",SUMIF($E$18:$E307,"Actual (t)",AI$18:AI307))</f>
        <v/>
      </c>
      <c r="AJ11" s="1290" t="str">
        <f>IF(AJ$9&gt;$C$7,"",SUMIF($E$18:$E307,"Actual (t)",AJ$18:AJ307))</f>
        <v/>
      </c>
      <c r="AK11" s="1290" t="str">
        <f>IF(AK$9&gt;$C$7,"",SUMIF($E$18:$E307,"Actual (t)",AK$18:AK307))</f>
        <v/>
      </c>
      <c r="AL11" s="1291" t="str">
        <f>IF(AL$9&gt;$C$7,"",SUMIF($E$18:$E307,"Actual (t)",AL$18:AL307))</f>
        <v/>
      </c>
    </row>
    <row r="12" spans="2:38" s="190" customFormat="1" ht="14.25" thickBot="1" x14ac:dyDescent="0.3">
      <c r="B12" s="1292" t="s">
        <v>3</v>
      </c>
      <c r="C12" s="1293">
        <f>SUM(H14:AL14)</f>
        <v>33.209308411214948</v>
      </c>
      <c r="D12" s="1294">
        <f>SUM(H15:AL15)</f>
        <v>31.238289999999996</v>
      </c>
      <c r="E12" s="1295">
        <f t="shared" si="0"/>
        <v>-5.9351383859271516E-2</v>
      </c>
      <c r="G12" s="272" t="s">
        <v>332</v>
      </c>
      <c r="H12" s="277">
        <f t="shared" ref="H12:AL13" si="1">IFERROR(H14*1000/H10,"")</f>
        <v>2.2487778576563615</v>
      </c>
      <c r="I12" s="278">
        <f t="shared" si="1"/>
        <v>2.2487778576563615</v>
      </c>
      <c r="J12" s="278">
        <f t="shared" si="1"/>
        <v>2.2487778576563615</v>
      </c>
      <c r="K12" s="278">
        <f t="shared" si="1"/>
        <v>2.2487778576563615</v>
      </c>
      <c r="L12" s="278">
        <f t="shared" si="1"/>
        <v>2.2487778576563615</v>
      </c>
      <c r="M12" s="278">
        <f t="shared" si="1"/>
        <v>2.2487778576563615</v>
      </c>
      <c r="N12" s="278">
        <f t="shared" si="1"/>
        <v>2.2487778576563615</v>
      </c>
      <c r="O12" s="278">
        <f t="shared" si="1"/>
        <v>2.2487778576563615</v>
      </c>
      <c r="P12" s="278">
        <f t="shared" si="1"/>
        <v>2.2487778576563615</v>
      </c>
      <c r="Q12" s="279">
        <f t="shared" si="1"/>
        <v>2.2487778576563615</v>
      </c>
      <c r="R12" s="279">
        <f t="shared" si="1"/>
        <v>2.2487778576563615</v>
      </c>
      <c r="S12" s="278">
        <f t="shared" si="1"/>
        <v>2.2487778576563615</v>
      </c>
      <c r="T12" s="278">
        <f t="shared" si="1"/>
        <v>2.2073097463284377</v>
      </c>
      <c r="U12" s="278">
        <f t="shared" si="1"/>
        <v>2.2073097463284377</v>
      </c>
      <c r="V12" s="278">
        <f t="shared" si="1"/>
        <v>2.2073097463284377</v>
      </c>
      <c r="W12" s="278">
        <f t="shared" si="1"/>
        <v>2.2073097463284377</v>
      </c>
      <c r="X12" s="278" t="str">
        <f t="shared" si="1"/>
        <v/>
      </c>
      <c r="Y12" s="278" t="str">
        <f t="shared" si="1"/>
        <v/>
      </c>
      <c r="Z12" s="278" t="str">
        <f t="shared" si="1"/>
        <v/>
      </c>
      <c r="AA12" s="278" t="str">
        <f t="shared" si="1"/>
        <v/>
      </c>
      <c r="AB12" s="278" t="str">
        <f t="shared" si="1"/>
        <v/>
      </c>
      <c r="AC12" s="278" t="str">
        <f t="shared" si="1"/>
        <v/>
      </c>
      <c r="AD12" s="278" t="str">
        <f t="shared" si="1"/>
        <v/>
      </c>
      <c r="AE12" s="278" t="str">
        <f t="shared" si="1"/>
        <v/>
      </c>
      <c r="AF12" s="278" t="str">
        <f t="shared" si="1"/>
        <v/>
      </c>
      <c r="AG12" s="278" t="str">
        <f t="shared" si="1"/>
        <v/>
      </c>
      <c r="AH12" s="278" t="str">
        <f t="shared" si="1"/>
        <v/>
      </c>
      <c r="AI12" s="278" t="str">
        <f t="shared" si="1"/>
        <v/>
      </c>
      <c r="AJ12" s="278" t="str">
        <f t="shared" si="1"/>
        <v/>
      </c>
      <c r="AK12" s="278" t="str">
        <f t="shared" si="1"/>
        <v/>
      </c>
      <c r="AL12" s="280" t="str">
        <f t="shared" si="1"/>
        <v/>
      </c>
    </row>
    <row r="13" spans="2:38" s="191" customFormat="1" ht="14.25" thickBot="1" x14ac:dyDescent="0.3">
      <c r="E13" s="281"/>
      <c r="G13" s="282" t="s">
        <v>333</v>
      </c>
      <c r="H13" s="1296">
        <f>IFERROR(H15*1000/H11,"")</f>
        <v>2.2846163522012577</v>
      </c>
      <c r="I13" s="1297">
        <f t="shared" si="1"/>
        <v>2.2215707434052758</v>
      </c>
      <c r="J13" s="1297">
        <f>IFERROR(J15*1000/J11,"")</f>
        <v>2.1082106455266136</v>
      </c>
      <c r="K13" s="1297">
        <f t="shared" si="1"/>
        <v>1.6139815880322206</v>
      </c>
      <c r="L13" s="1297">
        <f t="shared" si="1"/>
        <v>2.2580114942528735</v>
      </c>
      <c r="M13" s="1297">
        <f t="shared" si="1"/>
        <v>2.4628295042321642</v>
      </c>
      <c r="N13" s="1297">
        <f t="shared" si="1"/>
        <v>2.5770111111111111</v>
      </c>
      <c r="O13" s="1297">
        <f t="shared" si="1"/>
        <v>2.7044881075491207</v>
      </c>
      <c r="P13" s="1297">
        <f t="shared" si="1"/>
        <v>1.9395079787234042</v>
      </c>
      <c r="Q13" s="1297">
        <f t="shared" si="1"/>
        <v>2.2704035874439459</v>
      </c>
      <c r="R13" s="1297">
        <f t="shared" si="1"/>
        <v>2.3683351120597647</v>
      </c>
      <c r="S13" s="1297">
        <f t="shared" si="1"/>
        <v>2.3516490166414519</v>
      </c>
      <c r="T13" s="1297">
        <f t="shared" si="1"/>
        <v>2.5637406216505898</v>
      </c>
      <c r="U13" s="1297">
        <f t="shared" si="1"/>
        <v>1.9829224652087474</v>
      </c>
      <c r="V13" s="1297">
        <f t="shared" si="1"/>
        <v>1.7814785214785211</v>
      </c>
      <c r="W13" s="1297">
        <f t="shared" si="1"/>
        <v>2.2143899657924742</v>
      </c>
      <c r="X13" s="1297" t="str">
        <f t="shared" si="1"/>
        <v/>
      </c>
      <c r="Y13" s="1297" t="str">
        <f t="shared" si="1"/>
        <v/>
      </c>
      <c r="Z13" s="1297" t="str">
        <f t="shared" si="1"/>
        <v/>
      </c>
      <c r="AA13" s="1297" t="str">
        <f t="shared" si="1"/>
        <v/>
      </c>
      <c r="AB13" s="1297" t="str">
        <f t="shared" si="1"/>
        <v/>
      </c>
      <c r="AC13" s="1297" t="str">
        <f t="shared" si="1"/>
        <v/>
      </c>
      <c r="AD13" s="1297" t="str">
        <f>IFERROR(AD15*1000/AD11,"")</f>
        <v/>
      </c>
      <c r="AE13" s="1297" t="str">
        <f t="shared" si="1"/>
        <v/>
      </c>
      <c r="AF13" s="1297" t="str">
        <f t="shared" si="1"/>
        <v/>
      </c>
      <c r="AG13" s="1297" t="str">
        <f t="shared" si="1"/>
        <v/>
      </c>
      <c r="AH13" s="1297" t="str">
        <f t="shared" si="1"/>
        <v/>
      </c>
      <c r="AI13" s="1297" t="str">
        <f t="shared" si="1"/>
        <v/>
      </c>
      <c r="AJ13" s="1297" t="str">
        <f t="shared" si="1"/>
        <v/>
      </c>
      <c r="AK13" s="1297" t="str">
        <f t="shared" si="1"/>
        <v/>
      </c>
      <c r="AL13" s="1298" t="str">
        <f t="shared" si="1"/>
        <v/>
      </c>
    </row>
    <row r="14" spans="2:38" s="192" customFormat="1" x14ac:dyDescent="0.25">
      <c r="G14" s="283" t="s">
        <v>334</v>
      </c>
      <c r="H14" s="284">
        <f>IF(H$9&gt;$C$7,"",SUMIF($E$18:$E307,"Budget (kg)",H$18:H307))</f>
        <v>2.0463878504672892</v>
      </c>
      <c r="I14" s="285">
        <f>IF(I$9&gt;$C$7,"",SUMIF($E$18:$E307,"Budget (kg)",I$18:I307))</f>
        <v>2.0463878504672892</v>
      </c>
      <c r="J14" s="285">
        <f>IF(J$9&gt;$C$7,"",SUMIF($E$18:$E307,"Budget (kg)",J$18:J307))</f>
        <v>2.0463878504672892</v>
      </c>
      <c r="K14" s="285">
        <f>IF(K$9&gt;$C$7,"",SUMIF($E$18:$E307,"Budget (kg)",K$18:K307))</f>
        <v>2.0463878504672892</v>
      </c>
      <c r="L14" s="285">
        <f>IF(L$9&gt;$C$7,"",SUMIF($E$18:$E307,"Budget (kg)",L$18:L307))</f>
        <v>2.0463878504672892</v>
      </c>
      <c r="M14" s="285">
        <f>IF(M$9&gt;$C$7,"",SUMIF($E$18:$E307,"Budget (kg)",M$18:M307))</f>
        <v>2.0463878504672892</v>
      </c>
      <c r="N14" s="285">
        <f>IF(N$9&gt;$C$7,"",SUMIF($E$18:$E307,"Budget (kg)",N$18:N307))</f>
        <v>2.0463878504672892</v>
      </c>
      <c r="O14" s="285">
        <f>IF(O$9&gt;$C$7,"",SUMIF($E$18:$E307,"Budget (kg)",O$18:O307))</f>
        <v>2.0463878504672892</v>
      </c>
      <c r="P14" s="285">
        <f>IF(P$9&gt;$C$7,"",SUMIF($E$18:$E307,"Budget (kg)",P$18:P307))</f>
        <v>2.0463878504672892</v>
      </c>
      <c r="Q14" s="286">
        <f>IF(Q$9&gt;$C$7,"",SUMIF($E$18:$E307,"Budget (kg)",Q$18:Q307))</f>
        <v>2.0463878504672892</v>
      </c>
      <c r="R14" s="286">
        <f>IF(R$9&gt;$C$7,"",SUMIF($E$18:$E307,"Budget (kg)",R$18:R307))</f>
        <v>2.0463878504672892</v>
      </c>
      <c r="S14" s="285">
        <f>IF(S$9&gt;$C$7,"",SUMIF($E$18:$E307,"Budget (kg)",S$18:S307))</f>
        <v>2.0463878504672892</v>
      </c>
      <c r="T14" s="285">
        <f>IF(T$9&gt;$C$7,"",SUMIF($E$18:$E307,"Budget (kg)",T$18:T307))</f>
        <v>2.163163551401869</v>
      </c>
      <c r="U14" s="285">
        <f>IF(U$9&gt;$C$7,"",SUMIF($E$18:$E307,"Budget (kg)",U$18:U307))</f>
        <v>2.163163551401869</v>
      </c>
      <c r="V14" s="285">
        <f>IF(V$9&gt;$C$7,"",SUMIF($E$18:$E307,"Budget (kg)",V$18:V307))</f>
        <v>2.163163551401869</v>
      </c>
      <c r="W14" s="285">
        <f>IF(W$9&gt;$C$7,"",SUMIF($E$18:$E307,"Budget (kg)",W$18:W307))</f>
        <v>2.163163551401869</v>
      </c>
      <c r="X14" s="285" t="str">
        <f>IF(X$9&gt;$C$7,"",SUMIF($E$18:$E307,"Budget (kg)",X$18:X307))</f>
        <v/>
      </c>
      <c r="Y14" s="285" t="str">
        <f>IF(Y$9&gt;$C$7,"",SUMIF($E$18:$E307,"Budget (kg)",Y$18:Y307))</f>
        <v/>
      </c>
      <c r="Z14" s="285" t="str">
        <f>IF(Z$9&gt;$C$7,"",SUMIF($E$18:$E307,"Budget (kg)",Z$18:Z307))</f>
        <v/>
      </c>
      <c r="AA14" s="285" t="str">
        <f>IF(AA$9&gt;$C$7,"",SUMIF($E$18:$E307,"Budget (kg)",AA$18:AA307))</f>
        <v/>
      </c>
      <c r="AB14" s="285" t="str">
        <f>IF(AB$9&gt;$C$7,"",SUMIF($E$18:$E307,"Budget (kg)",AB$18:AB307))</f>
        <v/>
      </c>
      <c r="AC14" s="285" t="str">
        <f>IF(AC$9&gt;$C$7,"",SUMIF($E$18:$E307,"Budget (kg)",AC$18:AC307))</f>
        <v/>
      </c>
      <c r="AD14" s="285" t="str">
        <f>IF(AD$9&gt;$C$7,"",SUMIF($E$18:$E307,"Budget (kg)",AD$18:AD307))</f>
        <v/>
      </c>
      <c r="AE14" s="285" t="str">
        <f>IF(AE$9&gt;$C$7,"",SUMIF($E$18:$E307,"Budget (kg)",AE$18:AE307))</f>
        <v/>
      </c>
      <c r="AF14" s="285" t="str">
        <f>IF(AF$9&gt;$C$7,"",SUMIF($E$18:$E307,"Budget (kg)",AF$18:AF307))</f>
        <v/>
      </c>
      <c r="AG14" s="285" t="str">
        <f>IF(AG$9&gt;$C$7,"",SUMIF($E$18:$E307,"Budget (kg)",AG$18:AG307))</f>
        <v/>
      </c>
      <c r="AH14" s="285" t="str">
        <f>IF(AH$9&gt;$C$7,"",SUMIF($E$18:$E307,"Budget (kg)",AH$18:AH307))</f>
        <v/>
      </c>
      <c r="AI14" s="285" t="str">
        <f>IF(AI$9&gt;$C$7,"",SUMIF($E$18:$E307,"Budget (kg)",AI$18:AI307))</f>
        <v/>
      </c>
      <c r="AJ14" s="285" t="str">
        <f>IF(AJ$9&gt;$C$7,"",SUMIF($E$18:$E307,"Budget (kg)",AJ$18:AJ307))</f>
        <v/>
      </c>
      <c r="AK14" s="285" t="str">
        <f>IF(AK$9&gt;$C$7,"",SUMIF($E$18:$E307,"Budget (kg)",AK$18:AK307))</f>
        <v/>
      </c>
      <c r="AL14" s="287" t="str">
        <f>IF(AL$9&gt;$C$7,"",SUMIF($E$18:$E307,"Budget (kg)",AL$18:AL307))</f>
        <v/>
      </c>
    </row>
    <row r="15" spans="2:38" s="191" customFormat="1" ht="14.25" thickBot="1" x14ac:dyDescent="0.3">
      <c r="G15" s="263" t="s">
        <v>335</v>
      </c>
      <c r="H15" s="1299">
        <f>IF(H$9&gt;$C$7,"",SUMIF($E$18:$E307,"Actual (kg)",H$18:H307))</f>
        <v>1.8162699999999998</v>
      </c>
      <c r="I15" s="1300">
        <f>IF(I$9&gt;$C$7,"",SUMIF($E$18:$E307,"Actual (kg)",I$18:I307))</f>
        <v>1.8527899999999999</v>
      </c>
      <c r="J15" s="1300">
        <f>IF(J$9&gt;$C$7,"",SUMIF($E$18:$E307,"Actual (kg)",J$18:J307))</f>
        <v>1.86155</v>
      </c>
      <c r="K15" s="1300">
        <f>IF(K$9&gt;$C$7,"",SUMIF($E$18:$E307,"Actual (kg)",K$18:K307))</f>
        <v>1.4025499999999997</v>
      </c>
      <c r="L15" s="1300">
        <f>IF(L$9&gt;$C$7,"",SUMIF($E$18:$E307,"Actual (kg)",L$18:L307))</f>
        <v>1.9644699999999999</v>
      </c>
      <c r="M15" s="1300">
        <f>IF(M$9&gt;$C$7,"",SUMIF($E$18:$E307,"Actual (kg)",M$18:M307))</f>
        <v>2.0367599999999997</v>
      </c>
      <c r="N15" s="1300">
        <f>IF(N$9&gt;$C$7,"",SUMIF($E$18:$E307,"Actual (kg)",N$18:N307))</f>
        <v>2.3193099999999998</v>
      </c>
      <c r="O15" s="1300">
        <f>IF(O$9&gt;$C$7,"",SUMIF($E$18:$E307,"Actual (kg)",O$18:O307))</f>
        <v>2.61524</v>
      </c>
      <c r="P15" s="1300">
        <f>IF(P$9&gt;$C$7,"",SUMIF($E$18:$E307,"Actual (kg)",P$18:P307))</f>
        <v>1.45851</v>
      </c>
      <c r="Q15" s="1300">
        <f>IF(Q$9&gt;$C$7,"",SUMIF($E$18:$E307,"Actual (kg)",Q$18:Q307))</f>
        <v>2.0251999999999999</v>
      </c>
      <c r="R15" s="1300">
        <f>IF(R$9&gt;$C$7,"",SUMIF($E$18:$E307,"Actual (kg)",R$18:R307))</f>
        <v>2.2191299999999998</v>
      </c>
      <c r="S15" s="1300">
        <f>IF(S$9&gt;$C$7,"",SUMIF($E$18:$E307,"Actual (kg)",S$18:S307))</f>
        <v>1.5544399999999998</v>
      </c>
      <c r="T15" s="1300">
        <f>IF(T$9&gt;$C$7,"",SUMIF($E$18:$E307,"Actual (kg)",T$18:T307))</f>
        <v>2.3919700000000002</v>
      </c>
      <c r="U15" s="1300">
        <f>IF(U$9&gt;$C$7,"",SUMIF($E$18:$E307,"Actual (kg)",U$18:U307))</f>
        <v>1.99482</v>
      </c>
      <c r="V15" s="1300">
        <f>IF(V$9&gt;$C$7,"",SUMIF($E$18:$E307,"Actual (kg)",V$18:V307))</f>
        <v>1.7832599999999998</v>
      </c>
      <c r="W15" s="1300">
        <f>IF(W$9&gt;$C$7,"",SUMIF($E$18:$E307,"Actual (kg)",W$18:W307))</f>
        <v>1.9420199999999999</v>
      </c>
      <c r="X15" s="1300" t="str">
        <f>IF(X$9&gt;$C$7,"",SUMIF($E$18:$E307,"Actual (kg)",X$18:X307))</f>
        <v/>
      </c>
      <c r="Y15" s="1300" t="str">
        <f>IF(Y$9&gt;$C$7,"",SUMIF($E$18:$E307,"Actual (kg)",Y$18:Y307))</f>
        <v/>
      </c>
      <c r="Z15" s="1300" t="str">
        <f>IF(Z$9&gt;$C$7,"",SUMIF($E$18:$E307,"Actual (kg)",Z$18:Z307))</f>
        <v/>
      </c>
      <c r="AA15" s="1300" t="str">
        <f>IF(AA$9&gt;$C$7,"",SUMIF($E$18:$E307,"Actual (kg)",AA$18:AA307))</f>
        <v/>
      </c>
      <c r="AB15" s="1300" t="str">
        <f>IF(AB$9&gt;$C$7,"",SUMIF($E$18:$E307,"Actual (kg)",AB$18:AB307))</f>
        <v/>
      </c>
      <c r="AC15" s="1300" t="str">
        <f>IF(AC$9&gt;$C$7,"",SUMIF($E$18:$E307,"Actual (kg)",AC$18:AC307))</f>
        <v/>
      </c>
      <c r="AD15" s="1300" t="str">
        <f>IF(AD$9&gt;$C$7,"",SUMIF($E$18:$E307,"Actual (kg)",AD$18:AD307))</f>
        <v/>
      </c>
      <c r="AE15" s="1300" t="str">
        <f>IF(AE$9&gt;$C$7,"",SUMIF($E$18:$E307,"Actual (kg)",AE$18:AE307))</f>
        <v/>
      </c>
      <c r="AF15" s="1300" t="str">
        <f>IF(AF$9&gt;$C$7,"",SUMIF($E$18:$E307,"Actual (kg)",AF$18:AF307))</f>
        <v/>
      </c>
      <c r="AG15" s="1300" t="str">
        <f>IF(AG$9&gt;$C$7,"",SUMIF($E$18:$E307,"Actual (kg)",AG$18:AG307))</f>
        <v/>
      </c>
      <c r="AH15" s="1300" t="str">
        <f>IF(AH$9&gt;$C$7,"",SUMIF($E$18:$E307,"Actual (kg)",AH$18:AH307))</f>
        <v/>
      </c>
      <c r="AI15" s="1300" t="str">
        <f>IF(AI$9&gt;$C$7,"",SUMIF($E$18:$E307,"Actual (kg)",AI$18:AI307))</f>
        <v/>
      </c>
      <c r="AJ15" s="1300" t="str">
        <f>IF(AJ$9&gt;$C$7,"",SUMIF($E$18:$E307,"Actual (kg)",AJ$18:AJ307))</f>
        <v/>
      </c>
      <c r="AK15" s="1300" t="str">
        <f>IF(AK$9&gt;$C$7,"",SUMIF($E$18:$E307,"Actual (kg)",AK$18:AK307))</f>
        <v/>
      </c>
      <c r="AL15" s="1301" t="str">
        <f>IF(AL$9&gt;$C$7,"",SUMIF($E$18:$E307,"Actual (kg)",AL$18:AL307))</f>
        <v/>
      </c>
    </row>
    <row r="16" spans="2:38" s="1022" customFormat="1" ht="14.25" thickBot="1" x14ac:dyDescent="0.3">
      <c r="D16" s="1038"/>
      <c r="E16" s="1033"/>
      <c r="F16" s="1027"/>
      <c r="G16" s="1027"/>
      <c r="H16" s="1020"/>
      <c r="I16" s="1020"/>
      <c r="J16" s="1020"/>
    </row>
    <row r="17" spans="1:39" s="1103" customFormat="1" ht="14.25" thickBot="1" x14ac:dyDescent="0.3">
      <c r="A17" s="1058">
        <f>COUNT(B18:B307)</f>
        <v>16</v>
      </c>
      <c r="B17" s="1093" t="s">
        <v>336</v>
      </c>
      <c r="C17" s="1094" t="s">
        <v>337</v>
      </c>
      <c r="D17" s="1646"/>
      <c r="E17" s="1646"/>
      <c r="F17" s="1095" t="s">
        <v>269</v>
      </c>
      <c r="G17" s="1096" t="s">
        <v>338</v>
      </c>
      <c r="H17" s="1097">
        <f>[1]SUMMARY!I16</f>
        <v>45839</v>
      </c>
      <c r="I17" s="1098">
        <f>[1]SUMMARY!J16</f>
        <v>45840</v>
      </c>
      <c r="J17" s="1098">
        <f>[1]SUMMARY!K16</f>
        <v>45841</v>
      </c>
      <c r="K17" s="1099">
        <f>[1]SUMMARY!L16</f>
        <v>45842</v>
      </c>
      <c r="L17" s="1099">
        <f>[1]SUMMARY!M16</f>
        <v>45843</v>
      </c>
      <c r="M17" s="1099">
        <f>[1]SUMMARY!N16</f>
        <v>45844</v>
      </c>
      <c r="N17" s="1099">
        <f>[1]SUMMARY!O16</f>
        <v>45845</v>
      </c>
      <c r="O17" s="1099">
        <f>[1]SUMMARY!P16</f>
        <v>45846</v>
      </c>
      <c r="P17" s="1099">
        <f>[1]SUMMARY!Q16</f>
        <v>45847</v>
      </c>
      <c r="Q17" s="1100">
        <f>[1]SUMMARY!R16</f>
        <v>45848</v>
      </c>
      <c r="R17" s="1100">
        <f>[1]SUMMARY!S16</f>
        <v>45849</v>
      </c>
      <c r="S17" s="1099">
        <f>[1]SUMMARY!T16</f>
        <v>45850</v>
      </c>
      <c r="T17" s="1099">
        <f>[1]SUMMARY!U16</f>
        <v>45851</v>
      </c>
      <c r="U17" s="1099">
        <f>[1]SUMMARY!V16</f>
        <v>45852</v>
      </c>
      <c r="V17" s="1099">
        <f>[1]SUMMARY!W16</f>
        <v>45853</v>
      </c>
      <c r="W17" s="1099">
        <f>[1]SUMMARY!X16</f>
        <v>45854</v>
      </c>
      <c r="X17" s="1099">
        <f>[1]SUMMARY!Y16</f>
        <v>45855</v>
      </c>
      <c r="Y17" s="1099">
        <f>[1]SUMMARY!Z16</f>
        <v>45856</v>
      </c>
      <c r="Z17" s="1099">
        <f>[1]SUMMARY!AA16</f>
        <v>45857</v>
      </c>
      <c r="AA17" s="1099">
        <f>[1]SUMMARY!AB16</f>
        <v>45858</v>
      </c>
      <c r="AB17" s="1099">
        <f>[1]SUMMARY!AC16</f>
        <v>45859</v>
      </c>
      <c r="AC17" s="1099">
        <f>[1]SUMMARY!AD16</f>
        <v>45860</v>
      </c>
      <c r="AD17" s="1099">
        <f>[1]SUMMARY!AE16</f>
        <v>45861</v>
      </c>
      <c r="AE17" s="1099">
        <f>[1]SUMMARY!AF16</f>
        <v>45862</v>
      </c>
      <c r="AF17" s="1099">
        <f>[1]SUMMARY!AG16</f>
        <v>45863</v>
      </c>
      <c r="AG17" s="1099">
        <f>[1]SUMMARY!AH16</f>
        <v>45864</v>
      </c>
      <c r="AH17" s="1099">
        <f>[1]SUMMARY!AI16</f>
        <v>45865</v>
      </c>
      <c r="AI17" s="1099">
        <f>[1]SUMMARY!AJ16</f>
        <v>45866</v>
      </c>
      <c r="AJ17" s="1099">
        <f>[1]SUMMARY!AK16</f>
        <v>45867</v>
      </c>
      <c r="AK17" s="1099">
        <f>[1]SUMMARY!AL16</f>
        <v>45868</v>
      </c>
      <c r="AL17" s="1101">
        <f>[1]SUMMARY!AM16</f>
        <v>45869</v>
      </c>
      <c r="AM17" s="1102" t="s">
        <v>339</v>
      </c>
    </row>
    <row r="18" spans="1:39" ht="15" customHeight="1" thickBot="1" x14ac:dyDescent="0.3">
      <c r="B18" s="1608">
        <v>1</v>
      </c>
      <c r="C18" s="1634" t="str">
        <f>[1]Breaking.!A9</f>
        <v>1L W28 STOPE</v>
      </c>
      <c r="D18" s="1628" t="s">
        <v>340</v>
      </c>
      <c r="E18" s="1104" t="s">
        <v>341</v>
      </c>
      <c r="F18" s="196">
        <f>SUMIF($H$9:$AL$9,"&lt;="&amp;$C$7,H18:AL18)</f>
        <v>0</v>
      </c>
      <c r="G18" s="1071"/>
      <c r="H18" s="945">
        <f>[1]Breaking.!D9</f>
        <v>0</v>
      </c>
      <c r="I18" s="945">
        <f>[1]Breaking.!E9</f>
        <v>0</v>
      </c>
      <c r="J18" s="945">
        <f>[1]Breaking.!F9</f>
        <v>0</v>
      </c>
      <c r="K18" s="945">
        <f>[1]Breaking.!G9</f>
        <v>0</v>
      </c>
      <c r="L18" s="945">
        <f>[1]Breaking.!H9</f>
        <v>0</v>
      </c>
      <c r="M18" s="945">
        <f>[1]Breaking.!I9</f>
        <v>0</v>
      </c>
      <c r="N18" s="945">
        <f>[1]Breaking.!J9</f>
        <v>0</v>
      </c>
      <c r="O18" s="945">
        <f>[1]Breaking.!K9</f>
        <v>0</v>
      </c>
      <c r="P18" s="945">
        <f>[1]Breaking.!L9</f>
        <v>0</v>
      </c>
      <c r="Q18" s="945">
        <f>[1]Breaking.!M9</f>
        <v>0</v>
      </c>
      <c r="R18" s="945">
        <f>[1]Breaking.!N9</f>
        <v>0</v>
      </c>
      <c r="S18" s="945">
        <f>[1]Breaking.!O9</f>
        <v>0</v>
      </c>
      <c r="T18" s="945">
        <f>[1]Breaking.!P9</f>
        <v>0</v>
      </c>
      <c r="U18" s="945">
        <f>[1]Breaking.!Q9</f>
        <v>0</v>
      </c>
      <c r="V18" s="945">
        <f>[1]Breaking.!R9</f>
        <v>0</v>
      </c>
      <c r="W18" s="945">
        <f>[1]Breaking.!S9</f>
        <v>0</v>
      </c>
      <c r="X18" s="945">
        <f>[1]Breaking.!T9</f>
        <v>0</v>
      </c>
      <c r="Y18" s="945">
        <f>[1]Breaking.!U9</f>
        <v>0</v>
      </c>
      <c r="Z18" s="945">
        <f>[1]Breaking.!V9</f>
        <v>0</v>
      </c>
      <c r="AA18" s="945">
        <f>[1]Breaking.!W9</f>
        <v>0</v>
      </c>
      <c r="AB18" s="945">
        <f>[1]Breaking.!X9</f>
        <v>0</v>
      </c>
      <c r="AC18" s="945">
        <f>[1]Breaking.!Y9</f>
        <v>0</v>
      </c>
      <c r="AD18" s="945">
        <f>[1]Breaking.!Z9</f>
        <v>0</v>
      </c>
      <c r="AE18" s="945">
        <f>[1]Breaking.!AA9</f>
        <v>0</v>
      </c>
      <c r="AF18" s="945">
        <f>[1]Breaking.!AB9</f>
        <v>0</v>
      </c>
      <c r="AG18" s="945">
        <f>[1]Breaking.!AC9</f>
        <v>0</v>
      </c>
      <c r="AH18" s="945">
        <f>[1]Breaking.!AD9</f>
        <v>0</v>
      </c>
      <c r="AI18" s="945">
        <f>[1]Breaking.!AE9</f>
        <v>0</v>
      </c>
      <c r="AJ18" s="945">
        <f>[1]Breaking.!AF9</f>
        <v>0</v>
      </c>
      <c r="AK18" s="945">
        <f>[1]Breaking.!AG9</f>
        <v>0</v>
      </c>
      <c r="AL18" s="945">
        <f>[1]Breaking.!AH9</f>
        <v>0</v>
      </c>
      <c r="AM18" s="1105"/>
    </row>
    <row r="19" spans="1:39" ht="14.85" customHeight="1" thickBot="1" x14ac:dyDescent="0.3">
      <c r="B19" s="1608"/>
      <c r="C19" s="1635"/>
      <c r="D19" s="1631"/>
      <c r="E19" s="1302" t="s">
        <v>342</v>
      </c>
      <c r="F19" s="1303">
        <f>SUMIF($H$9:$AL$9,"&lt;="&amp;$C$7,H19:AL19)</f>
        <v>410</v>
      </c>
      <c r="G19" s="1304">
        <f t="shared" ref="G19" si="2">IFERROR((F19-F18)/F18,0)</f>
        <v>0</v>
      </c>
      <c r="H19" s="1305">
        <v>0</v>
      </c>
      <c r="I19" s="1303">
        <v>79</v>
      </c>
      <c r="J19" s="1303">
        <v>78</v>
      </c>
      <c r="K19" s="1303">
        <v>42</v>
      </c>
      <c r="L19" s="1303">
        <v>60</v>
      </c>
      <c r="M19" s="1303">
        <f>67</f>
        <v>67</v>
      </c>
      <c r="N19" s="1303">
        <f>90-6</f>
        <v>84</v>
      </c>
      <c r="O19" s="1303">
        <v>0</v>
      </c>
      <c r="P19" s="1303">
        <v>0</v>
      </c>
      <c r="Q19" s="1303">
        <v>0</v>
      </c>
      <c r="R19" s="1303">
        <v>0</v>
      </c>
      <c r="S19" s="1303">
        <v>0</v>
      </c>
      <c r="T19" s="1303">
        <v>0</v>
      </c>
      <c r="U19" s="1303">
        <v>0</v>
      </c>
      <c r="V19" s="1303">
        <v>0</v>
      </c>
      <c r="W19" s="1303"/>
      <c r="X19" s="1303"/>
      <c r="Y19" s="1303"/>
      <c r="Z19" s="1303"/>
      <c r="AA19" s="1303"/>
      <c r="AB19" s="1303"/>
      <c r="AC19" s="1303"/>
      <c r="AD19" s="1303"/>
      <c r="AE19" s="1303"/>
      <c r="AF19" s="1303"/>
      <c r="AG19" s="1303"/>
      <c r="AH19" s="1303"/>
      <c r="AI19" s="1303"/>
      <c r="AJ19" s="1303"/>
      <c r="AK19" s="1303"/>
      <c r="AL19" s="1303"/>
      <c r="AM19" s="1074"/>
    </row>
    <row r="20" spans="1:39" s="1107" customFormat="1" ht="14.85" customHeight="1" thickBot="1" x14ac:dyDescent="0.3">
      <c r="B20" s="1608"/>
      <c r="C20" s="1635"/>
      <c r="D20" s="1631"/>
      <c r="E20" s="1306" t="s">
        <v>312</v>
      </c>
      <c r="F20" s="1307"/>
      <c r="G20" s="1308"/>
      <c r="H20" s="1075"/>
      <c r="I20" s="1075"/>
      <c r="J20" s="1075"/>
      <c r="K20" s="1075"/>
      <c r="L20" s="1075"/>
      <c r="M20" s="1075"/>
      <c r="N20" s="1075"/>
      <c r="O20" s="1075"/>
      <c r="P20" s="1076"/>
      <c r="Q20" s="1075"/>
      <c r="R20" s="1075"/>
      <c r="S20" s="1075"/>
      <c r="T20" s="1075"/>
      <c r="U20" s="1075"/>
      <c r="V20" s="1075"/>
      <c r="W20" s="1075"/>
      <c r="X20" s="1075"/>
      <c r="Y20" s="1075"/>
      <c r="Z20" s="1075"/>
      <c r="AA20" s="1075"/>
      <c r="AB20" s="1075"/>
      <c r="AC20" s="1075"/>
      <c r="AD20" s="1075"/>
      <c r="AE20" s="1075"/>
      <c r="AF20" s="1075"/>
      <c r="AG20" s="1075"/>
      <c r="AH20" s="1075"/>
      <c r="AI20" s="1075"/>
      <c r="AJ20" s="1075"/>
      <c r="AK20" s="1075"/>
      <c r="AL20" s="1077"/>
      <c r="AM20" s="1108"/>
    </row>
    <row r="21" spans="1:39" ht="14.85" customHeight="1" thickBot="1" x14ac:dyDescent="0.3">
      <c r="B21" s="1608"/>
      <c r="C21" s="1635"/>
      <c r="D21" s="1613" t="s">
        <v>343</v>
      </c>
      <c r="E21" s="1309" t="s">
        <v>344</v>
      </c>
      <c r="F21" s="1310">
        <f>IFERROR(F23*1000/F18,0)</f>
        <v>0</v>
      </c>
      <c r="G21" s="1311"/>
      <c r="H21" s="1312">
        <f>[1]Breaking.!D10</f>
        <v>0</v>
      </c>
      <c r="I21" s="1312">
        <f>[1]Breaking.!E10</f>
        <v>0</v>
      </c>
      <c r="J21" s="1312">
        <f>[1]Breaking.!F10</f>
        <v>0</v>
      </c>
      <c r="K21" s="1312">
        <f>[1]Breaking.!G10</f>
        <v>0</v>
      </c>
      <c r="L21" s="1312">
        <f>[1]Breaking.!H10</f>
        <v>0</v>
      </c>
      <c r="M21" s="1312">
        <f>[1]Breaking.!I10</f>
        <v>0</v>
      </c>
      <c r="N21" s="1312">
        <f>[1]Breaking.!J10</f>
        <v>0</v>
      </c>
      <c r="O21" s="1312">
        <f>[1]Breaking.!K10</f>
        <v>0</v>
      </c>
      <c r="P21" s="1312">
        <f>[1]Breaking.!L10</f>
        <v>0</v>
      </c>
      <c r="Q21" s="1312">
        <f>[1]Breaking.!M10</f>
        <v>0</v>
      </c>
      <c r="R21" s="1312">
        <f>[1]Breaking.!N10</f>
        <v>0</v>
      </c>
      <c r="S21" s="1312">
        <f>[1]Breaking.!O10</f>
        <v>0</v>
      </c>
      <c r="T21" s="1312">
        <f>[1]Breaking.!P10</f>
        <v>0</v>
      </c>
      <c r="U21" s="1312">
        <f>[1]Breaking.!Q10</f>
        <v>0</v>
      </c>
      <c r="V21" s="1312">
        <f>[1]Breaking.!R10</f>
        <v>0</v>
      </c>
      <c r="W21" s="1312">
        <f>[1]Breaking.!S10</f>
        <v>0</v>
      </c>
      <c r="X21" s="1312">
        <f>[1]Breaking.!T10</f>
        <v>0</v>
      </c>
      <c r="Y21" s="1312">
        <f>[1]Breaking.!U10</f>
        <v>0</v>
      </c>
      <c r="Z21" s="1312">
        <f>[1]Breaking.!V10</f>
        <v>0</v>
      </c>
      <c r="AA21" s="1312">
        <f>[1]Breaking.!W10</f>
        <v>0</v>
      </c>
      <c r="AB21" s="1312">
        <f>[1]Breaking.!X10</f>
        <v>0</v>
      </c>
      <c r="AC21" s="1312">
        <f>[1]Breaking.!Y10</f>
        <v>0</v>
      </c>
      <c r="AD21" s="1312">
        <f>[1]Breaking.!Z10</f>
        <v>0</v>
      </c>
      <c r="AE21" s="1312">
        <f>[1]Breaking.!AA10</f>
        <v>0</v>
      </c>
      <c r="AF21" s="1312">
        <f>[1]Breaking.!AB10</f>
        <v>0</v>
      </c>
      <c r="AG21" s="1312">
        <f>[1]Breaking.!AC10</f>
        <v>0</v>
      </c>
      <c r="AH21" s="1312">
        <f>[1]Breaking.!AD10</f>
        <v>0</v>
      </c>
      <c r="AI21" s="1312">
        <f>[1]Breaking.!AE10</f>
        <v>0</v>
      </c>
      <c r="AJ21" s="1312">
        <f>[1]Breaking.!AF10</f>
        <v>0</v>
      </c>
      <c r="AK21" s="1312">
        <f>[1]Breaking.!AG10</f>
        <v>0</v>
      </c>
      <c r="AL21" s="1312">
        <f>[1]Breaking.!AH10</f>
        <v>0</v>
      </c>
      <c r="AM21" s="1074"/>
    </row>
    <row r="22" spans="1:39" ht="14.85" customHeight="1" thickBot="1" x14ac:dyDescent="0.3">
      <c r="B22" s="1608"/>
      <c r="C22" s="1635"/>
      <c r="D22" s="1613"/>
      <c r="E22" s="1313" t="s">
        <v>345</v>
      </c>
      <c r="F22" s="1314">
        <f>IFERROR(F24*1000/F19,0)</f>
        <v>0.82973170731707302</v>
      </c>
      <c r="G22" s="1304">
        <f t="shared" ref="G22" si="3">IFERROR((F22-F21)/F21,0)</f>
        <v>0</v>
      </c>
      <c r="H22" s="1315"/>
      <c r="I22" s="1314">
        <v>1.1399999999999999</v>
      </c>
      <c r="J22" s="1314">
        <v>0.71</v>
      </c>
      <c r="K22" s="1314">
        <v>0.71</v>
      </c>
      <c r="L22" s="1314">
        <v>0.71</v>
      </c>
      <c r="M22" s="1314">
        <v>0.71</v>
      </c>
      <c r="N22" s="1314">
        <v>0.89</v>
      </c>
      <c r="O22" s="1314"/>
      <c r="P22" s="1314"/>
      <c r="Q22" s="1314"/>
      <c r="R22" s="1314"/>
      <c r="S22" s="1314"/>
      <c r="T22" s="1314"/>
      <c r="U22" s="1314"/>
      <c r="V22" s="1314"/>
      <c r="W22" s="1314"/>
      <c r="X22" s="1314"/>
      <c r="Y22" s="1314"/>
      <c r="Z22" s="1314"/>
      <c r="AA22" s="1314"/>
      <c r="AB22" s="1314"/>
      <c r="AC22" s="1314"/>
      <c r="AD22" s="1314"/>
      <c r="AE22" s="1314"/>
      <c r="AF22" s="1314"/>
      <c r="AG22" s="1314"/>
      <c r="AH22" s="1314"/>
      <c r="AI22" s="1314"/>
      <c r="AJ22" s="1314"/>
      <c r="AK22" s="1314"/>
      <c r="AL22" s="1314"/>
      <c r="AM22" s="1074"/>
    </row>
    <row r="23" spans="1:39" ht="14.85" customHeight="1" thickBot="1" x14ac:dyDescent="0.3">
      <c r="B23" s="1608"/>
      <c r="C23" s="1635"/>
      <c r="D23" s="1613" t="s">
        <v>47</v>
      </c>
      <c r="E23" s="1309" t="s">
        <v>346</v>
      </c>
      <c r="F23" s="206">
        <f>SUMIF($H$9:$AL$9,"&lt;="&amp;$C$7,H23:AL23)</f>
        <v>0</v>
      </c>
      <c r="G23" s="1311"/>
      <c r="H23" s="1316">
        <f t="shared" ref="H23:AL24" si="4">+H21*H18/1000</f>
        <v>0</v>
      </c>
      <c r="I23" s="1316">
        <f t="shared" si="4"/>
        <v>0</v>
      </c>
      <c r="J23" s="1316">
        <f t="shared" si="4"/>
        <v>0</v>
      </c>
      <c r="K23" s="1317">
        <f t="shared" si="4"/>
        <v>0</v>
      </c>
      <c r="L23" s="1317">
        <f t="shared" si="4"/>
        <v>0</v>
      </c>
      <c r="M23" s="1317">
        <f t="shared" si="4"/>
        <v>0</v>
      </c>
      <c r="N23" s="1317">
        <f>+N21*N18/1000</f>
        <v>0</v>
      </c>
      <c r="O23" s="1317">
        <f t="shared" si="4"/>
        <v>0</v>
      </c>
      <c r="P23" s="1318">
        <f t="shared" si="4"/>
        <v>0</v>
      </c>
      <c r="Q23" s="1317">
        <f t="shared" si="4"/>
        <v>0</v>
      </c>
      <c r="R23" s="1317">
        <f t="shared" si="4"/>
        <v>0</v>
      </c>
      <c r="S23" s="1317">
        <f t="shared" si="4"/>
        <v>0</v>
      </c>
      <c r="T23" s="1317">
        <f t="shared" si="4"/>
        <v>0</v>
      </c>
      <c r="U23" s="1317">
        <f t="shared" si="4"/>
        <v>0</v>
      </c>
      <c r="V23" s="1317">
        <f t="shared" si="4"/>
        <v>0</v>
      </c>
      <c r="W23" s="1317">
        <f>+W21*W18/1000</f>
        <v>0</v>
      </c>
      <c r="X23" s="1317">
        <f t="shared" si="4"/>
        <v>0</v>
      </c>
      <c r="Y23" s="1317">
        <f t="shared" si="4"/>
        <v>0</v>
      </c>
      <c r="Z23" s="1317">
        <f t="shared" si="4"/>
        <v>0</v>
      </c>
      <c r="AA23" s="1317">
        <f t="shared" si="4"/>
        <v>0</v>
      </c>
      <c r="AB23" s="1317">
        <f t="shared" si="4"/>
        <v>0</v>
      </c>
      <c r="AC23" s="1317">
        <f t="shared" si="4"/>
        <v>0</v>
      </c>
      <c r="AD23" s="1317">
        <f t="shared" si="4"/>
        <v>0</v>
      </c>
      <c r="AE23" s="1317">
        <f t="shared" si="4"/>
        <v>0</v>
      </c>
      <c r="AF23" s="1317">
        <f t="shared" si="4"/>
        <v>0</v>
      </c>
      <c r="AG23" s="1317">
        <f t="shared" si="4"/>
        <v>0</v>
      </c>
      <c r="AH23" s="1317">
        <f t="shared" si="4"/>
        <v>0</v>
      </c>
      <c r="AI23" s="1317">
        <f t="shared" si="4"/>
        <v>0</v>
      </c>
      <c r="AJ23" s="1317">
        <f t="shared" si="4"/>
        <v>0</v>
      </c>
      <c r="AK23" s="1317">
        <f t="shared" si="4"/>
        <v>0</v>
      </c>
      <c r="AL23" s="1319">
        <f t="shared" si="4"/>
        <v>0</v>
      </c>
      <c r="AM23" s="1078"/>
    </row>
    <row r="24" spans="1:39" ht="15" customHeight="1" thickBot="1" x14ac:dyDescent="0.3">
      <c r="B24" s="1609"/>
      <c r="C24" s="1636"/>
      <c r="D24" s="1614"/>
      <c r="E24" s="1320" t="s">
        <v>347</v>
      </c>
      <c r="F24" s="1321">
        <f>SUMIF($H$9:$AL$9,"&lt;="&amp;$C$7,H24:AL24)</f>
        <v>0.34018999999999994</v>
      </c>
      <c r="G24" s="1322">
        <f t="shared" ref="G24" si="5">IFERROR((F24-F23)/F23,0)</f>
        <v>0</v>
      </c>
      <c r="H24" s="1323">
        <f t="shared" si="4"/>
        <v>0</v>
      </c>
      <c r="I24" s="1321">
        <f t="shared" si="4"/>
        <v>9.0059999999999987E-2</v>
      </c>
      <c r="J24" s="1321">
        <f t="shared" si="4"/>
        <v>5.5379999999999999E-2</v>
      </c>
      <c r="K24" s="1321">
        <f t="shared" si="4"/>
        <v>2.9819999999999999E-2</v>
      </c>
      <c r="L24" s="1321">
        <f t="shared" si="4"/>
        <v>4.2599999999999992E-2</v>
      </c>
      <c r="M24" s="1321">
        <f t="shared" si="4"/>
        <v>4.7570000000000001E-2</v>
      </c>
      <c r="N24" s="1321">
        <f t="shared" si="4"/>
        <v>7.4760000000000007E-2</v>
      </c>
      <c r="O24" s="1321">
        <f t="shared" si="4"/>
        <v>0</v>
      </c>
      <c r="P24" s="1321">
        <f t="shared" si="4"/>
        <v>0</v>
      </c>
      <c r="Q24" s="1321">
        <f t="shared" si="4"/>
        <v>0</v>
      </c>
      <c r="R24" s="1321">
        <f t="shared" si="4"/>
        <v>0</v>
      </c>
      <c r="S24" s="1321">
        <f t="shared" si="4"/>
        <v>0</v>
      </c>
      <c r="T24" s="1321">
        <f t="shared" si="4"/>
        <v>0</v>
      </c>
      <c r="U24" s="1321">
        <f t="shared" si="4"/>
        <v>0</v>
      </c>
      <c r="V24" s="1321">
        <f>+V22*V19/1000</f>
        <v>0</v>
      </c>
      <c r="W24" s="1321">
        <f>+W22*W19/1000</f>
        <v>0</v>
      </c>
      <c r="X24" s="1321">
        <f>+X22*X19/1000</f>
        <v>0</v>
      </c>
      <c r="Y24" s="1321">
        <f t="shared" si="4"/>
        <v>0</v>
      </c>
      <c r="Z24" s="1321">
        <f t="shared" si="4"/>
        <v>0</v>
      </c>
      <c r="AA24" s="1321">
        <f>+AA22*AA19/1000</f>
        <v>0</v>
      </c>
      <c r="AB24" s="1321">
        <f>+AB22*AB19/1000</f>
        <v>0</v>
      </c>
      <c r="AC24" s="1321">
        <f>+AC22*AC19/1000</f>
        <v>0</v>
      </c>
      <c r="AD24" s="1321">
        <f t="shared" si="4"/>
        <v>0</v>
      </c>
      <c r="AE24" s="1321">
        <f t="shared" si="4"/>
        <v>0</v>
      </c>
      <c r="AF24" s="1321">
        <f t="shared" si="4"/>
        <v>0</v>
      </c>
      <c r="AG24" s="1321">
        <f t="shared" si="4"/>
        <v>0</v>
      </c>
      <c r="AH24" s="1321">
        <f t="shared" si="4"/>
        <v>0</v>
      </c>
      <c r="AI24" s="1321">
        <f t="shared" si="4"/>
        <v>0</v>
      </c>
      <c r="AJ24" s="1321">
        <f t="shared" si="4"/>
        <v>0</v>
      </c>
      <c r="AK24" s="1321">
        <f t="shared" si="4"/>
        <v>0</v>
      </c>
      <c r="AL24" s="1321">
        <f t="shared" si="4"/>
        <v>0</v>
      </c>
      <c r="AM24" s="1079"/>
    </row>
    <row r="25" spans="1:39" ht="14.25" thickBot="1" x14ac:dyDescent="0.3">
      <c r="B25" s="1608">
        <v>1</v>
      </c>
      <c r="C25" s="1634" t="str">
        <f>[1]Breaking.!A13</f>
        <v>3L_W23A STOPE</v>
      </c>
      <c r="D25" s="1628" t="s">
        <v>340</v>
      </c>
      <c r="E25" s="1104" t="s">
        <v>341</v>
      </c>
      <c r="F25" s="196">
        <f>SUMIF($H$9:$AL$9,"&lt;="&amp;$C$7,H25:AL25)</f>
        <v>1120</v>
      </c>
      <c r="G25" s="1071"/>
      <c r="H25" s="198">
        <f>[1]Breaking.!D13</f>
        <v>70</v>
      </c>
      <c r="I25" s="198">
        <f>[1]Breaking.!E13</f>
        <v>70</v>
      </c>
      <c r="J25" s="198">
        <f>[1]Breaking.!F13</f>
        <v>70</v>
      </c>
      <c r="K25" s="198">
        <f>[1]Breaking.!G13</f>
        <v>70</v>
      </c>
      <c r="L25" s="198">
        <f>[1]Breaking.!H13</f>
        <v>70</v>
      </c>
      <c r="M25" s="198">
        <f>[1]Breaking.!I13</f>
        <v>70</v>
      </c>
      <c r="N25" s="198">
        <f>[1]Breaking.!J13</f>
        <v>70</v>
      </c>
      <c r="O25" s="198">
        <f>[1]Breaking.!K13</f>
        <v>70</v>
      </c>
      <c r="P25" s="198">
        <f>[1]Breaking.!L13</f>
        <v>70</v>
      </c>
      <c r="Q25" s="198">
        <f>[1]Breaking.!M13</f>
        <v>70</v>
      </c>
      <c r="R25" s="198">
        <f>[1]Breaking.!N13</f>
        <v>70</v>
      </c>
      <c r="S25" s="198">
        <f>[1]Breaking.!O13</f>
        <v>70</v>
      </c>
      <c r="T25" s="198">
        <f>[1]Breaking.!P13</f>
        <v>70</v>
      </c>
      <c r="U25" s="198">
        <f>[1]Breaking.!Q13</f>
        <v>70</v>
      </c>
      <c r="V25" s="198">
        <f>[1]Breaking.!R13</f>
        <v>70</v>
      </c>
      <c r="W25" s="198">
        <f>[1]Breaking.!S13</f>
        <v>70</v>
      </c>
      <c r="X25" s="198">
        <f>[1]Breaking.!T13</f>
        <v>70</v>
      </c>
      <c r="Y25" s="198">
        <f>[1]Breaking.!U13</f>
        <v>70</v>
      </c>
      <c r="Z25" s="198">
        <f>[1]Breaking.!V13</f>
        <v>70</v>
      </c>
      <c r="AA25" s="198">
        <f>[1]Breaking.!W13</f>
        <v>70</v>
      </c>
      <c r="AB25" s="198">
        <f>[1]Breaking.!X13</f>
        <v>70</v>
      </c>
      <c r="AC25" s="198">
        <f>[1]Breaking.!Y13</f>
        <v>70</v>
      </c>
      <c r="AD25" s="198">
        <f>[1]Breaking.!Z13</f>
        <v>70</v>
      </c>
      <c r="AE25" s="198">
        <f>[1]Breaking.!AA13</f>
        <v>70</v>
      </c>
      <c r="AF25" s="198">
        <f>[1]Breaking.!AB13</f>
        <v>70</v>
      </c>
      <c r="AG25" s="198">
        <f>[1]Breaking.!AC13</f>
        <v>70</v>
      </c>
      <c r="AH25" s="198">
        <f>[1]Breaking.!AD13</f>
        <v>70</v>
      </c>
      <c r="AI25" s="198">
        <f>[1]Breaking.!AE13</f>
        <v>70</v>
      </c>
      <c r="AJ25" s="198">
        <f>[1]Breaking.!AF13</f>
        <v>70</v>
      </c>
      <c r="AK25" s="198">
        <f>[1]Breaking.!AG13</f>
        <v>70</v>
      </c>
      <c r="AL25" s="198">
        <f>[1]Breaking.!AH13</f>
        <v>70</v>
      </c>
      <c r="AM25" s="1105"/>
    </row>
    <row r="26" spans="1:39" ht="14.85" customHeight="1" thickBot="1" x14ac:dyDescent="0.3">
      <c r="B26" s="1608"/>
      <c r="C26" s="1635"/>
      <c r="D26" s="1631"/>
      <c r="E26" s="1302" t="s">
        <v>342</v>
      </c>
      <c r="F26" s="1303">
        <f>SUMIF($H$9:$AL$9,"&lt;="&amp;$C$7,H26:AL26)</f>
        <v>1128</v>
      </c>
      <c r="G26" s="1304">
        <f>IFERROR((F26-F25)/F25,0)</f>
        <v>7.1428571428571426E-3</v>
      </c>
      <c r="H26" s="1305">
        <v>77</v>
      </c>
      <c r="I26" s="1303">
        <v>79</v>
      </c>
      <c r="J26" s="1303">
        <v>82</v>
      </c>
      <c r="K26" s="1303">
        <v>40</v>
      </c>
      <c r="L26" s="1303">
        <v>40</v>
      </c>
      <c r="M26" s="1303">
        <v>70</v>
      </c>
      <c r="N26" s="1303">
        <v>41</v>
      </c>
      <c r="O26" s="1303">
        <v>48</v>
      </c>
      <c r="P26" s="1303">
        <v>45</v>
      </c>
      <c r="Q26" s="1303">
        <v>82</v>
      </c>
      <c r="R26" s="1303">
        <v>92</v>
      </c>
      <c r="S26" s="1303">
        <v>79</v>
      </c>
      <c r="T26" s="1303">
        <v>94</v>
      </c>
      <c r="U26" s="1303">
        <v>82</v>
      </c>
      <c r="V26" s="1303">
        <v>83</v>
      </c>
      <c r="W26" s="1303">
        <v>94</v>
      </c>
      <c r="X26" s="1303"/>
      <c r="Y26" s="1303"/>
      <c r="Z26" s="1303"/>
      <c r="AA26" s="1303"/>
      <c r="AB26" s="1303"/>
      <c r="AC26" s="1303"/>
      <c r="AD26" s="1303"/>
      <c r="AE26" s="1303"/>
      <c r="AF26" s="1303"/>
      <c r="AG26" s="1303"/>
      <c r="AH26" s="1303"/>
      <c r="AI26" s="1303"/>
      <c r="AJ26" s="1303"/>
      <c r="AK26" s="1303"/>
      <c r="AL26" s="1303"/>
      <c r="AM26" s="1074"/>
    </row>
    <row r="27" spans="1:39" s="1107" customFormat="1" ht="14.85" customHeight="1" thickBot="1" x14ac:dyDescent="0.3">
      <c r="B27" s="1608"/>
      <c r="C27" s="1635"/>
      <c r="D27" s="1631"/>
      <c r="E27" s="1306" t="s">
        <v>312</v>
      </c>
      <c r="F27" s="1307"/>
      <c r="G27" s="1308"/>
      <c r="H27" s="1075"/>
      <c r="I27" s="1075"/>
      <c r="J27" s="1075"/>
      <c r="K27" s="1075"/>
      <c r="L27" s="1075"/>
      <c r="M27" s="1075"/>
      <c r="N27" s="1075"/>
      <c r="O27" s="1075"/>
      <c r="P27" s="1076"/>
      <c r="Q27" s="1075"/>
      <c r="R27" s="1075"/>
      <c r="S27" s="1075"/>
      <c r="T27" s="1075"/>
      <c r="U27" s="1075"/>
      <c r="V27" s="1075"/>
      <c r="W27" s="1075"/>
      <c r="X27" s="1075"/>
      <c r="Y27" s="1075"/>
      <c r="Z27" s="1075"/>
      <c r="AA27" s="1075"/>
      <c r="AB27" s="1075"/>
      <c r="AC27" s="1075"/>
      <c r="AD27" s="1075"/>
      <c r="AE27" s="1075"/>
      <c r="AF27" s="1075"/>
      <c r="AG27" s="1075"/>
      <c r="AH27" s="1075"/>
      <c r="AI27" s="1075"/>
      <c r="AJ27" s="1075"/>
      <c r="AK27" s="1075"/>
      <c r="AL27" s="1077"/>
      <c r="AM27" s="1108"/>
    </row>
    <row r="28" spans="1:39" ht="14.85" customHeight="1" thickBot="1" x14ac:dyDescent="0.3">
      <c r="B28" s="1608"/>
      <c r="C28" s="1635"/>
      <c r="D28" s="1613" t="s">
        <v>343</v>
      </c>
      <c r="E28" s="1309" t="s">
        <v>344</v>
      </c>
      <c r="F28" s="1310">
        <f>IFERROR(F30*1000/F25,0)</f>
        <v>1.9859813084112148</v>
      </c>
      <c r="G28" s="1311"/>
      <c r="H28" s="1312">
        <f>[1]Breaking.!D14</f>
        <v>1.9859813084112148</v>
      </c>
      <c r="I28" s="1312">
        <f>[1]Breaking.!E14</f>
        <v>1.9859813084112148</v>
      </c>
      <c r="J28" s="1312">
        <f>[1]Breaking.!F14</f>
        <v>1.9859813084112148</v>
      </c>
      <c r="K28" s="1312">
        <f>[1]Breaking.!G14</f>
        <v>1.9859813084112148</v>
      </c>
      <c r="L28" s="1312">
        <f>[1]Breaking.!H14</f>
        <v>1.9859813084112148</v>
      </c>
      <c r="M28" s="1312">
        <f>[1]Breaking.!I14</f>
        <v>1.9859813084112148</v>
      </c>
      <c r="N28" s="1312">
        <f>[1]Breaking.!J14</f>
        <v>1.9859813084112148</v>
      </c>
      <c r="O28" s="1312">
        <f>[1]Breaking.!K14</f>
        <v>1.9859813084112148</v>
      </c>
      <c r="P28" s="1312">
        <f>[1]Breaking.!L14</f>
        <v>1.9859813084112148</v>
      </c>
      <c r="Q28" s="1312">
        <f>[1]Breaking.!M14</f>
        <v>1.9859813084112148</v>
      </c>
      <c r="R28" s="1312">
        <f>[1]Breaking.!N14</f>
        <v>1.9859813084112148</v>
      </c>
      <c r="S28" s="1312">
        <f>[1]Breaking.!O14</f>
        <v>1.9859813084112148</v>
      </c>
      <c r="T28" s="1312">
        <f>[1]Breaking.!P14</f>
        <v>1.9859813084112148</v>
      </c>
      <c r="U28" s="1312">
        <f>[1]Breaking.!Q14</f>
        <v>1.9859813084112148</v>
      </c>
      <c r="V28" s="1312">
        <f>[1]Breaking.!R14</f>
        <v>1.9859813084112148</v>
      </c>
      <c r="W28" s="1312">
        <f>[1]Breaking.!S14</f>
        <v>1.9859813084112148</v>
      </c>
      <c r="X28" s="1312">
        <f>[1]Breaking.!T14</f>
        <v>1.9859813084112148</v>
      </c>
      <c r="Y28" s="1312">
        <f>[1]Breaking.!U14</f>
        <v>1.9859813084112148</v>
      </c>
      <c r="Z28" s="1312">
        <f>[1]Breaking.!V14</f>
        <v>1.9859813084112148</v>
      </c>
      <c r="AA28" s="1312">
        <f>[1]Breaking.!W14</f>
        <v>1.9859813084112148</v>
      </c>
      <c r="AB28" s="1312">
        <f>[1]Breaking.!X14</f>
        <v>1.9859813084112148</v>
      </c>
      <c r="AC28" s="1312">
        <f>[1]Breaking.!Y14</f>
        <v>1.9859813084112148</v>
      </c>
      <c r="AD28" s="1312">
        <f>[1]Breaking.!Z14</f>
        <v>1.9859813084112148</v>
      </c>
      <c r="AE28" s="1312">
        <f>[1]Breaking.!AA14</f>
        <v>1.9859813084112148</v>
      </c>
      <c r="AF28" s="1312">
        <f>[1]Breaking.!AB14</f>
        <v>1.9859813084112148</v>
      </c>
      <c r="AG28" s="1312">
        <f>[1]Breaking.!AC14</f>
        <v>1.9859813084112148</v>
      </c>
      <c r="AH28" s="1312">
        <f>[1]Breaking.!AD14</f>
        <v>1.9859813084112148</v>
      </c>
      <c r="AI28" s="1312">
        <f>[1]Breaking.!AE14</f>
        <v>1.9859813084112148</v>
      </c>
      <c r="AJ28" s="1312">
        <f>[1]Breaking.!AF14</f>
        <v>1.9859813084112148</v>
      </c>
      <c r="AK28" s="1312">
        <f>[1]Breaking.!AG14</f>
        <v>1.9859813084112148</v>
      </c>
      <c r="AL28" s="1312">
        <f>[1]Breaking.!AH14</f>
        <v>1.9859813084112148</v>
      </c>
      <c r="AM28" s="1074"/>
    </row>
    <row r="29" spans="1:39" ht="14.85" customHeight="1" thickBot="1" x14ac:dyDescent="0.3">
      <c r="B29" s="1608"/>
      <c r="C29" s="1635"/>
      <c r="D29" s="1613"/>
      <c r="E29" s="1313" t="s">
        <v>345</v>
      </c>
      <c r="F29" s="1314">
        <f>IFERROR(F31*1000/F26,0)</f>
        <v>2.682145390070922</v>
      </c>
      <c r="G29" s="1304">
        <f>IFERROR((F29-F28)/F28,0)</f>
        <v>0.35053909052982907</v>
      </c>
      <c r="H29" s="1315">
        <v>0.56999999999999995</v>
      </c>
      <c r="I29" s="1314">
        <v>3.28</v>
      </c>
      <c r="J29" s="1314">
        <v>1.34</v>
      </c>
      <c r="K29" s="1314">
        <v>1.34</v>
      </c>
      <c r="L29" s="1314">
        <v>4.5199999999999996</v>
      </c>
      <c r="M29" s="1314">
        <v>4.5199999999999996</v>
      </c>
      <c r="N29" s="1314">
        <v>3.53</v>
      </c>
      <c r="O29" s="1314">
        <v>3.53</v>
      </c>
      <c r="P29" s="1314">
        <v>2.38</v>
      </c>
      <c r="Q29" s="1314">
        <v>3.79</v>
      </c>
      <c r="R29" s="1314">
        <v>3.18</v>
      </c>
      <c r="S29" s="1314">
        <v>4.01</v>
      </c>
      <c r="T29" s="1314">
        <v>4.01</v>
      </c>
      <c r="U29" s="1314">
        <v>1.6</v>
      </c>
      <c r="V29" s="1314">
        <v>1.1299999999999999</v>
      </c>
      <c r="W29" s="1314">
        <v>1.26</v>
      </c>
      <c r="X29" s="1314"/>
      <c r="Y29" s="1314"/>
      <c r="Z29" s="1314"/>
      <c r="AA29" s="1314"/>
      <c r="AB29" s="1314"/>
      <c r="AC29" s="1314"/>
      <c r="AD29" s="1314"/>
      <c r="AE29" s="1314"/>
      <c r="AF29" s="1314"/>
      <c r="AG29" s="1314"/>
      <c r="AH29" s="1314"/>
      <c r="AI29" s="1314"/>
      <c r="AJ29" s="1314"/>
      <c r="AK29" s="1314"/>
      <c r="AL29" s="1314"/>
      <c r="AM29" s="1074"/>
    </row>
    <row r="30" spans="1:39" ht="14.85" customHeight="1" thickBot="1" x14ac:dyDescent="0.3">
      <c r="B30" s="1608"/>
      <c r="C30" s="1635"/>
      <c r="D30" s="1613" t="s">
        <v>47</v>
      </c>
      <c r="E30" s="1309" t="s">
        <v>346</v>
      </c>
      <c r="F30" s="206">
        <f>SUMIF($H$9:$AL$9,"&lt;="&amp;$C$7,H30:AL30)</f>
        <v>2.2242990654205603</v>
      </c>
      <c r="G30" s="1311"/>
      <c r="H30" s="1316">
        <f t="shared" ref="H30:AL31" si="6">+H28*H25/1000</f>
        <v>0.13901869158878502</v>
      </c>
      <c r="I30" s="1316">
        <f t="shared" si="6"/>
        <v>0.13901869158878502</v>
      </c>
      <c r="J30" s="1316">
        <f t="shared" si="6"/>
        <v>0.13901869158878502</v>
      </c>
      <c r="K30" s="1317">
        <f t="shared" si="6"/>
        <v>0.13901869158878502</v>
      </c>
      <c r="L30" s="1317">
        <f t="shared" si="6"/>
        <v>0.13901869158878502</v>
      </c>
      <c r="M30" s="1317">
        <f t="shared" si="6"/>
        <v>0.13901869158878502</v>
      </c>
      <c r="N30" s="1317">
        <f t="shared" si="6"/>
        <v>0.13901869158878502</v>
      </c>
      <c r="O30" s="1317">
        <f t="shared" si="6"/>
        <v>0.13901869158878502</v>
      </c>
      <c r="P30" s="1318">
        <f t="shared" si="6"/>
        <v>0.13901869158878502</v>
      </c>
      <c r="Q30" s="1317">
        <f t="shared" si="6"/>
        <v>0.13901869158878502</v>
      </c>
      <c r="R30" s="1317">
        <f t="shared" si="6"/>
        <v>0.13901869158878502</v>
      </c>
      <c r="S30" s="1317">
        <f t="shared" si="6"/>
        <v>0.13901869158878502</v>
      </c>
      <c r="T30" s="1317">
        <f t="shared" si="6"/>
        <v>0.13901869158878502</v>
      </c>
      <c r="U30" s="1317">
        <f t="shared" si="6"/>
        <v>0.13901869158878502</v>
      </c>
      <c r="V30" s="1317">
        <f t="shared" si="6"/>
        <v>0.13901869158878502</v>
      </c>
      <c r="W30" s="1317">
        <f>+W28*W25/1000</f>
        <v>0.13901869158878502</v>
      </c>
      <c r="X30" s="1317">
        <f t="shared" si="6"/>
        <v>0.13901869158878502</v>
      </c>
      <c r="Y30" s="1317">
        <f t="shared" si="6"/>
        <v>0.13901869158878502</v>
      </c>
      <c r="Z30" s="1317">
        <f t="shared" si="6"/>
        <v>0.13901869158878502</v>
      </c>
      <c r="AA30" s="1317">
        <f t="shared" si="6"/>
        <v>0.13901869158878502</v>
      </c>
      <c r="AB30" s="1317">
        <f t="shared" si="6"/>
        <v>0.13901869158878502</v>
      </c>
      <c r="AC30" s="1317">
        <f t="shared" si="6"/>
        <v>0.13901869158878502</v>
      </c>
      <c r="AD30" s="1317">
        <f t="shared" si="6"/>
        <v>0.13901869158878502</v>
      </c>
      <c r="AE30" s="1317">
        <f t="shared" si="6"/>
        <v>0.13901869158878502</v>
      </c>
      <c r="AF30" s="1317">
        <f t="shared" si="6"/>
        <v>0.13901869158878502</v>
      </c>
      <c r="AG30" s="1317">
        <f t="shared" si="6"/>
        <v>0.13901869158878502</v>
      </c>
      <c r="AH30" s="1317">
        <f t="shared" si="6"/>
        <v>0.13901869158878502</v>
      </c>
      <c r="AI30" s="1317">
        <f t="shared" si="6"/>
        <v>0.13901869158878502</v>
      </c>
      <c r="AJ30" s="1317">
        <f t="shared" si="6"/>
        <v>0.13901869158878502</v>
      </c>
      <c r="AK30" s="1317">
        <f t="shared" si="6"/>
        <v>0.13901869158878502</v>
      </c>
      <c r="AL30" s="1319">
        <f t="shared" si="6"/>
        <v>0.13901869158878502</v>
      </c>
      <c r="AM30" s="1078"/>
    </row>
    <row r="31" spans="1:39" ht="14.25" thickBot="1" x14ac:dyDescent="0.3">
      <c r="B31" s="1609"/>
      <c r="C31" s="1636"/>
      <c r="D31" s="1614"/>
      <c r="E31" s="1320" t="s">
        <v>347</v>
      </c>
      <c r="F31" s="1321">
        <f>SUMIF($H$9:$AL$9,"&lt;="&amp;$C$7,H31:AL31)</f>
        <v>3.0254599999999998</v>
      </c>
      <c r="G31" s="1322">
        <f>IFERROR((F31-F30)/F30,0)</f>
        <v>0.3601857983193279</v>
      </c>
      <c r="H31" s="1323">
        <f t="shared" si="6"/>
        <v>4.3889999999999992E-2</v>
      </c>
      <c r="I31" s="1321">
        <f t="shared" si="6"/>
        <v>0.25912000000000002</v>
      </c>
      <c r="J31" s="1321">
        <f t="shared" si="6"/>
        <v>0.10988000000000001</v>
      </c>
      <c r="K31" s="1321">
        <f t="shared" si="6"/>
        <v>5.3600000000000002E-2</v>
      </c>
      <c r="L31" s="1321">
        <f t="shared" si="6"/>
        <v>0.18079999999999999</v>
      </c>
      <c r="M31" s="1321">
        <f t="shared" si="6"/>
        <v>0.31639999999999996</v>
      </c>
      <c r="N31" s="1321">
        <f t="shared" si="6"/>
        <v>0.14473</v>
      </c>
      <c r="O31" s="1321">
        <f t="shared" si="6"/>
        <v>0.16944000000000001</v>
      </c>
      <c r="P31" s="1321">
        <f t="shared" si="6"/>
        <v>0.1071</v>
      </c>
      <c r="Q31" s="1321">
        <f t="shared" si="6"/>
        <v>0.31078000000000006</v>
      </c>
      <c r="R31" s="1321">
        <f t="shared" si="6"/>
        <v>0.29255999999999999</v>
      </c>
      <c r="S31" s="1321">
        <f t="shared" si="6"/>
        <v>0.31678999999999996</v>
      </c>
      <c r="T31" s="1321">
        <f t="shared" si="6"/>
        <v>0.37694</v>
      </c>
      <c r="U31" s="1321">
        <f t="shared" si="6"/>
        <v>0.13120000000000001</v>
      </c>
      <c r="V31" s="1321">
        <f t="shared" si="6"/>
        <v>9.3789999999999998E-2</v>
      </c>
      <c r="W31" s="1321">
        <f>+W29*W26/1000</f>
        <v>0.11844</v>
      </c>
      <c r="X31" s="1321">
        <f t="shared" si="6"/>
        <v>0</v>
      </c>
      <c r="Y31" s="1321">
        <f t="shared" si="6"/>
        <v>0</v>
      </c>
      <c r="Z31" s="1321">
        <f t="shared" si="6"/>
        <v>0</v>
      </c>
      <c r="AA31" s="1321">
        <f t="shared" si="6"/>
        <v>0</v>
      </c>
      <c r="AB31" s="1321">
        <f t="shared" si="6"/>
        <v>0</v>
      </c>
      <c r="AC31" s="1321">
        <f t="shared" si="6"/>
        <v>0</v>
      </c>
      <c r="AD31" s="1321">
        <f t="shared" si="6"/>
        <v>0</v>
      </c>
      <c r="AE31" s="1321">
        <f t="shared" si="6"/>
        <v>0</v>
      </c>
      <c r="AF31" s="1321">
        <f t="shared" si="6"/>
        <v>0</v>
      </c>
      <c r="AG31" s="1321">
        <f t="shared" si="6"/>
        <v>0</v>
      </c>
      <c r="AH31" s="1321">
        <f t="shared" si="6"/>
        <v>0</v>
      </c>
      <c r="AI31" s="1321">
        <f t="shared" si="6"/>
        <v>0</v>
      </c>
      <c r="AJ31" s="1321">
        <f t="shared" si="6"/>
        <v>0</v>
      </c>
      <c r="AK31" s="1321">
        <f t="shared" si="6"/>
        <v>0</v>
      </c>
      <c r="AL31" s="1321">
        <f t="shared" si="6"/>
        <v>0</v>
      </c>
      <c r="AM31" s="1079"/>
    </row>
    <row r="32" spans="1:39" ht="14.25" thickBot="1" x14ac:dyDescent="0.3">
      <c r="B32" s="1608">
        <v>1</v>
      </c>
      <c r="C32" s="1634" t="str">
        <f>[1]Breaking.!A15</f>
        <v>3L_W23B STOPE</v>
      </c>
      <c r="D32" s="1628" t="s">
        <v>340</v>
      </c>
      <c r="E32" s="1104" t="s">
        <v>341</v>
      </c>
      <c r="F32" s="196">
        <f>SUMIF($H$9:$AL$9,"&lt;="&amp;$C$7,H32:AL32)</f>
        <v>1120</v>
      </c>
      <c r="G32" s="1071"/>
      <c r="H32" s="945">
        <f>[1]Breaking.!D17</f>
        <v>70</v>
      </c>
      <c r="I32" s="945">
        <f>[1]Breaking.!E17</f>
        <v>70</v>
      </c>
      <c r="J32" s="945">
        <f>[1]Breaking.!F17</f>
        <v>70</v>
      </c>
      <c r="K32" s="945">
        <f>[1]Breaking.!G17</f>
        <v>70</v>
      </c>
      <c r="L32" s="945">
        <f>[1]Breaking.!H17</f>
        <v>70</v>
      </c>
      <c r="M32" s="945">
        <f>[1]Breaking.!I17</f>
        <v>70</v>
      </c>
      <c r="N32" s="945">
        <f>[1]Breaking.!J17</f>
        <v>70</v>
      </c>
      <c r="O32" s="945">
        <f>[1]Breaking.!K17</f>
        <v>70</v>
      </c>
      <c r="P32" s="945">
        <f>[1]Breaking.!L17</f>
        <v>70</v>
      </c>
      <c r="Q32" s="945">
        <f>[1]Breaking.!M17</f>
        <v>70</v>
      </c>
      <c r="R32" s="945">
        <f>[1]Breaking.!N17</f>
        <v>70</v>
      </c>
      <c r="S32" s="945">
        <f>[1]Breaking.!O17</f>
        <v>70</v>
      </c>
      <c r="T32" s="945">
        <f>[1]Breaking.!P17</f>
        <v>70</v>
      </c>
      <c r="U32" s="945">
        <f>[1]Breaking.!Q17</f>
        <v>70</v>
      </c>
      <c r="V32" s="945">
        <f>[1]Breaking.!R17</f>
        <v>70</v>
      </c>
      <c r="W32" s="945">
        <f>[1]Breaking.!S17</f>
        <v>70</v>
      </c>
      <c r="X32" s="945">
        <f>[1]Breaking.!T17</f>
        <v>70</v>
      </c>
      <c r="Y32" s="945">
        <f>[1]Breaking.!U17</f>
        <v>70</v>
      </c>
      <c r="Z32" s="945">
        <f>[1]Breaking.!V17</f>
        <v>70</v>
      </c>
      <c r="AA32" s="945">
        <f>[1]Breaking.!W17</f>
        <v>70</v>
      </c>
      <c r="AB32" s="945">
        <f>[1]Breaking.!X17</f>
        <v>70</v>
      </c>
      <c r="AC32" s="945">
        <f>[1]Breaking.!Y17</f>
        <v>70</v>
      </c>
      <c r="AD32" s="945">
        <f>[1]Breaking.!Z17</f>
        <v>70</v>
      </c>
      <c r="AE32" s="945">
        <f>[1]Breaking.!AA17</f>
        <v>70</v>
      </c>
      <c r="AF32" s="945">
        <f>[1]Breaking.!AB17</f>
        <v>70</v>
      </c>
      <c r="AG32" s="945">
        <f>[1]Breaking.!AC17</f>
        <v>70</v>
      </c>
      <c r="AH32" s="945">
        <f>[1]Breaking.!AD17</f>
        <v>70</v>
      </c>
      <c r="AI32" s="945">
        <f>[1]Breaking.!AE17</f>
        <v>70</v>
      </c>
      <c r="AJ32" s="945">
        <f>[1]Breaking.!AF17</f>
        <v>70</v>
      </c>
      <c r="AK32" s="945">
        <f>[1]Breaking.!AG17</f>
        <v>70</v>
      </c>
      <c r="AL32" s="945">
        <f>[1]Breaking.!AH17</f>
        <v>70</v>
      </c>
      <c r="AM32" s="1105"/>
    </row>
    <row r="33" spans="2:39" ht="14.25" thickBot="1" x14ac:dyDescent="0.3">
      <c r="B33" s="1608"/>
      <c r="C33" s="1635"/>
      <c r="D33" s="1628"/>
      <c r="E33" s="1302" t="s">
        <v>342</v>
      </c>
      <c r="F33" s="1303">
        <f>SUMIF($H$9:$AL$9,"&lt;="&amp;$C$7,H33:AL33)</f>
        <v>1261</v>
      </c>
      <c r="G33" s="1304">
        <f t="shared" ref="G33" si="7">IFERROR((F33-F32)/F32,0)</f>
        <v>0.12589285714285714</v>
      </c>
      <c r="H33" s="1305">
        <v>78</v>
      </c>
      <c r="I33" s="1303">
        <v>36</v>
      </c>
      <c r="J33" s="1303">
        <v>39</v>
      </c>
      <c r="K33" s="1303">
        <v>84</v>
      </c>
      <c r="L33" s="1303">
        <v>82</v>
      </c>
      <c r="M33" s="1303">
        <v>72</v>
      </c>
      <c r="N33" s="1303">
        <v>100</v>
      </c>
      <c r="O33" s="1303">
        <v>80</v>
      </c>
      <c r="P33" s="1303">
        <v>89</v>
      </c>
      <c r="Q33" s="1303">
        <v>70</v>
      </c>
      <c r="R33" s="1303">
        <v>87</v>
      </c>
      <c r="S33" s="1303">
        <v>78</v>
      </c>
      <c r="T33" s="1303">
        <v>88</v>
      </c>
      <c r="U33" s="1303">
        <v>82</v>
      </c>
      <c r="V33" s="1303">
        <v>105</v>
      </c>
      <c r="W33" s="1303">
        <v>91</v>
      </c>
      <c r="X33" s="1303"/>
      <c r="Y33" s="1303"/>
      <c r="Z33" s="1303"/>
      <c r="AA33" s="1303"/>
      <c r="AB33" s="1303"/>
      <c r="AC33" s="1303"/>
      <c r="AD33" s="1303"/>
      <c r="AE33" s="1303"/>
      <c r="AF33" s="1303"/>
      <c r="AG33" s="1303"/>
      <c r="AH33" s="1303"/>
      <c r="AI33" s="1303"/>
      <c r="AJ33" s="1303"/>
      <c r="AK33" s="1303"/>
      <c r="AL33" s="1303"/>
      <c r="AM33" s="1074"/>
    </row>
    <row r="34" spans="2:39" ht="14.25" thickBot="1" x14ac:dyDescent="0.3">
      <c r="B34" s="1608"/>
      <c r="C34" s="1635"/>
      <c r="D34" s="1628"/>
      <c r="E34" s="1324" t="s">
        <v>312</v>
      </c>
      <c r="F34" s="1325"/>
      <c r="G34" s="1326"/>
      <c r="H34" s="1075"/>
      <c r="I34" s="1075"/>
      <c r="J34" s="1075"/>
      <c r="K34" s="1075"/>
      <c r="L34" s="1075"/>
      <c r="M34" s="1075"/>
      <c r="N34" s="1075"/>
      <c r="O34" s="1075"/>
      <c r="P34" s="1076"/>
      <c r="Q34" s="1075"/>
      <c r="R34" s="1075"/>
      <c r="S34" s="1075"/>
      <c r="T34" s="1075"/>
      <c r="U34" s="1075"/>
      <c r="V34" s="1075"/>
      <c r="W34" s="1075"/>
      <c r="X34" s="1075"/>
      <c r="Y34" s="1075"/>
      <c r="Z34" s="1075"/>
      <c r="AA34" s="1075"/>
      <c r="AB34" s="1075"/>
      <c r="AC34" s="1075"/>
      <c r="AD34" s="1075"/>
      <c r="AE34" s="1075"/>
      <c r="AF34" s="1075"/>
      <c r="AG34" s="1075"/>
      <c r="AH34" s="1075"/>
      <c r="AI34" s="1075"/>
      <c r="AJ34" s="1075"/>
      <c r="AK34" s="1075"/>
      <c r="AL34" s="1077"/>
      <c r="AM34" s="1108"/>
    </row>
    <row r="35" spans="2:39" ht="14.25" thickBot="1" x14ac:dyDescent="0.3">
      <c r="B35" s="1608"/>
      <c r="C35" s="1635"/>
      <c r="D35" s="1613" t="s">
        <v>343</v>
      </c>
      <c r="E35" s="1309" t="s">
        <v>344</v>
      </c>
      <c r="F35" s="1310">
        <f>IFERROR(F37*1000/F32,0)</f>
        <v>1.9859813084112148</v>
      </c>
      <c r="G35" s="1311"/>
      <c r="H35" s="1312">
        <f>[1]Breaking.!D16</f>
        <v>1.9859813084112148</v>
      </c>
      <c r="I35" s="1312">
        <f>[1]Breaking.!E16</f>
        <v>1.9859813084112148</v>
      </c>
      <c r="J35" s="1312">
        <f>[1]Breaking.!F16</f>
        <v>1.9859813084112148</v>
      </c>
      <c r="K35" s="1312">
        <f>[1]Breaking.!G16</f>
        <v>1.9859813084112148</v>
      </c>
      <c r="L35" s="1312">
        <f>[1]Breaking.!H16</f>
        <v>1.9859813084112148</v>
      </c>
      <c r="M35" s="1312">
        <f>[1]Breaking.!I16</f>
        <v>1.9859813084112148</v>
      </c>
      <c r="N35" s="1312">
        <f>[1]Breaking.!J16</f>
        <v>1.9859813084112148</v>
      </c>
      <c r="O35" s="1312">
        <f>[1]Breaking.!K16</f>
        <v>1.9859813084112148</v>
      </c>
      <c r="P35" s="1312">
        <f>[1]Breaking.!L16</f>
        <v>1.9859813084112148</v>
      </c>
      <c r="Q35" s="1312">
        <f>[1]Breaking.!M16</f>
        <v>1.9859813084112148</v>
      </c>
      <c r="R35" s="1312">
        <f>[1]Breaking.!N16</f>
        <v>1.9859813084112148</v>
      </c>
      <c r="S35" s="1312">
        <f>[1]Breaking.!O16</f>
        <v>1.9859813084112148</v>
      </c>
      <c r="T35" s="1312">
        <f>[1]Breaking.!P16</f>
        <v>1.9859813084112148</v>
      </c>
      <c r="U35" s="1312">
        <f>[1]Breaking.!Q16</f>
        <v>1.9859813084112148</v>
      </c>
      <c r="V35" s="1312">
        <f>[1]Breaking.!R16</f>
        <v>1.9859813084112148</v>
      </c>
      <c r="W35" s="1312">
        <f>[1]Breaking.!S16</f>
        <v>1.9859813084112148</v>
      </c>
      <c r="X35" s="1312">
        <f>[1]Breaking.!T16</f>
        <v>1.9859813084112148</v>
      </c>
      <c r="Y35" s="1312">
        <f>[1]Breaking.!U16</f>
        <v>1.9859813084112148</v>
      </c>
      <c r="Z35" s="1312">
        <f>[1]Breaking.!V16</f>
        <v>1.9859813084112148</v>
      </c>
      <c r="AA35" s="1312">
        <f>[1]Breaking.!W16</f>
        <v>1.9859813084112148</v>
      </c>
      <c r="AB35" s="1312">
        <f>[1]Breaking.!X16</f>
        <v>1.9859813084112148</v>
      </c>
      <c r="AC35" s="1312">
        <f>[1]Breaking.!Y16</f>
        <v>1.9859813084112148</v>
      </c>
      <c r="AD35" s="1312">
        <f>[1]Breaking.!Z16</f>
        <v>1.9859813084112148</v>
      </c>
      <c r="AE35" s="1312">
        <f>[1]Breaking.!AA16</f>
        <v>1.9859813084112148</v>
      </c>
      <c r="AF35" s="1312">
        <f>[1]Breaking.!AB16</f>
        <v>1.9859813084112148</v>
      </c>
      <c r="AG35" s="1312">
        <f>[1]Breaking.!AC16</f>
        <v>1.9859813084112148</v>
      </c>
      <c r="AH35" s="1312">
        <f>[1]Breaking.!AD16</f>
        <v>1.9859813084112148</v>
      </c>
      <c r="AI35" s="1312">
        <f>[1]Breaking.!AE16</f>
        <v>1.9859813084112148</v>
      </c>
      <c r="AJ35" s="1312">
        <f>[1]Breaking.!AF16</f>
        <v>1.9859813084112148</v>
      </c>
      <c r="AK35" s="1312">
        <f>[1]Breaking.!AG16</f>
        <v>1.9859813084112148</v>
      </c>
      <c r="AL35" s="1312">
        <f>[1]Breaking.!AH16</f>
        <v>1.9859813084112148</v>
      </c>
      <c r="AM35" s="1074"/>
    </row>
    <row r="36" spans="2:39" ht="14.25" thickBot="1" x14ac:dyDescent="0.3">
      <c r="B36" s="1608"/>
      <c r="C36" s="1635"/>
      <c r="D36" s="1613"/>
      <c r="E36" s="1313" t="s">
        <v>345</v>
      </c>
      <c r="F36" s="1314">
        <f>IFERROR(F38*1000/F33,0)</f>
        <v>1.955305313243457</v>
      </c>
      <c r="G36" s="1304">
        <f t="shared" ref="G36" si="8">IFERROR((F36-F35)/F35,0)</f>
        <v>-1.5446265802118029E-2</v>
      </c>
      <c r="H36" s="1315">
        <v>1.1000000000000001</v>
      </c>
      <c r="I36" s="1314">
        <v>1.1000000000000001</v>
      </c>
      <c r="J36" s="1314">
        <v>0.37</v>
      </c>
      <c r="K36" s="1314">
        <v>0.37</v>
      </c>
      <c r="L36" s="1314">
        <v>0.4</v>
      </c>
      <c r="M36" s="1314">
        <v>0.4</v>
      </c>
      <c r="N36" s="1314">
        <v>2.02</v>
      </c>
      <c r="O36" s="1314">
        <v>3.13</v>
      </c>
      <c r="P36" s="1314">
        <v>2.77</v>
      </c>
      <c r="Q36" s="1314">
        <v>2.41</v>
      </c>
      <c r="R36" s="1314">
        <v>1.63</v>
      </c>
      <c r="S36" s="1314">
        <v>2.27</v>
      </c>
      <c r="T36" s="1314">
        <v>2.27</v>
      </c>
      <c r="U36" s="1314">
        <v>2.48</v>
      </c>
      <c r="V36" s="1314">
        <v>2.48</v>
      </c>
      <c r="W36" s="1314">
        <v>4.21</v>
      </c>
      <c r="X36" s="1314"/>
      <c r="Y36" s="1314"/>
      <c r="Z36" s="1314"/>
      <c r="AA36" s="1314"/>
      <c r="AB36" s="1314"/>
      <c r="AC36" s="1314"/>
      <c r="AD36" s="1314"/>
      <c r="AE36" s="1314"/>
      <c r="AF36" s="1314"/>
      <c r="AG36" s="1314"/>
      <c r="AH36" s="1314"/>
      <c r="AI36" s="1314"/>
      <c r="AJ36" s="1314"/>
      <c r="AK36" s="1314"/>
      <c r="AL36" s="1314"/>
      <c r="AM36" s="1074"/>
    </row>
    <row r="37" spans="2:39" ht="14.25" thickBot="1" x14ac:dyDescent="0.3">
      <c r="B37" s="1608"/>
      <c r="C37" s="1635"/>
      <c r="D37" s="1613" t="s">
        <v>47</v>
      </c>
      <c r="E37" s="1309" t="s">
        <v>346</v>
      </c>
      <c r="F37" s="206">
        <f>SUMIF($H$9:$AL$9,"&lt;="&amp;$C$7,H37:AL37)</f>
        <v>2.2242990654205603</v>
      </c>
      <c r="G37" s="1311"/>
      <c r="H37" s="1316">
        <f t="shared" ref="H37:AL38" si="9">+H35*H32/1000</f>
        <v>0.13901869158878502</v>
      </c>
      <c r="I37" s="1316">
        <f t="shared" si="9"/>
        <v>0.13901869158878502</v>
      </c>
      <c r="J37" s="1316">
        <f t="shared" si="9"/>
        <v>0.13901869158878502</v>
      </c>
      <c r="K37" s="1317">
        <f t="shared" si="9"/>
        <v>0.13901869158878502</v>
      </c>
      <c r="L37" s="1317">
        <f t="shared" si="9"/>
        <v>0.13901869158878502</v>
      </c>
      <c r="M37" s="1317">
        <f t="shared" si="9"/>
        <v>0.13901869158878502</v>
      </c>
      <c r="N37" s="1317">
        <f t="shared" si="9"/>
        <v>0.13901869158878502</v>
      </c>
      <c r="O37" s="1317">
        <f t="shared" si="9"/>
        <v>0.13901869158878502</v>
      </c>
      <c r="P37" s="1318">
        <f t="shared" si="9"/>
        <v>0.13901869158878502</v>
      </c>
      <c r="Q37" s="1317">
        <f t="shared" si="9"/>
        <v>0.13901869158878502</v>
      </c>
      <c r="R37" s="1317">
        <f t="shared" si="9"/>
        <v>0.13901869158878502</v>
      </c>
      <c r="S37" s="1317">
        <f t="shared" si="9"/>
        <v>0.13901869158878502</v>
      </c>
      <c r="T37" s="1317">
        <f t="shared" si="9"/>
        <v>0.13901869158878502</v>
      </c>
      <c r="U37" s="1317">
        <f t="shared" si="9"/>
        <v>0.13901869158878502</v>
      </c>
      <c r="V37" s="1317">
        <f t="shared" si="9"/>
        <v>0.13901869158878502</v>
      </c>
      <c r="W37" s="1317">
        <f>+W35*W32/1000</f>
        <v>0.13901869158878502</v>
      </c>
      <c r="X37" s="1317">
        <f t="shared" si="9"/>
        <v>0.13901869158878502</v>
      </c>
      <c r="Y37" s="1317">
        <f t="shared" si="9"/>
        <v>0.13901869158878502</v>
      </c>
      <c r="Z37" s="1317">
        <f t="shared" si="9"/>
        <v>0.13901869158878502</v>
      </c>
      <c r="AA37" s="1317">
        <f t="shared" si="9"/>
        <v>0.13901869158878502</v>
      </c>
      <c r="AB37" s="1317">
        <f>+AB35*AB32/1000</f>
        <v>0.13901869158878502</v>
      </c>
      <c r="AC37" s="1317">
        <f t="shared" si="9"/>
        <v>0.13901869158878502</v>
      </c>
      <c r="AD37" s="1317">
        <f>+AD35*AD32/1000</f>
        <v>0.13901869158878502</v>
      </c>
      <c r="AE37" s="1317">
        <f t="shared" si="9"/>
        <v>0.13901869158878502</v>
      </c>
      <c r="AF37" s="1317">
        <f t="shared" si="9"/>
        <v>0.13901869158878502</v>
      </c>
      <c r="AG37" s="1317">
        <f t="shared" si="9"/>
        <v>0.13901869158878502</v>
      </c>
      <c r="AH37" s="1317">
        <f t="shared" si="9"/>
        <v>0.13901869158878502</v>
      </c>
      <c r="AI37" s="1317">
        <f t="shared" si="9"/>
        <v>0.13901869158878502</v>
      </c>
      <c r="AJ37" s="1317">
        <f t="shared" si="9"/>
        <v>0.13901869158878502</v>
      </c>
      <c r="AK37" s="1317">
        <f t="shared" si="9"/>
        <v>0.13901869158878502</v>
      </c>
      <c r="AL37" s="1319">
        <f t="shared" si="9"/>
        <v>0.13901869158878502</v>
      </c>
      <c r="AM37" s="1078"/>
    </row>
    <row r="38" spans="2:39" ht="14.25" thickBot="1" x14ac:dyDescent="0.3">
      <c r="B38" s="1609"/>
      <c r="C38" s="1636"/>
      <c r="D38" s="1614"/>
      <c r="E38" s="1320" t="s">
        <v>347</v>
      </c>
      <c r="F38" s="1321">
        <f>SUMIF($H$9:$AL$9,"&lt;="&amp;$C$7,H38:AL38)</f>
        <v>2.4656399999999996</v>
      </c>
      <c r="G38" s="1322">
        <f t="shared" ref="G38" si="10">IFERROR((F38-F37)/F37,0)</f>
        <v>0.10850201680672272</v>
      </c>
      <c r="H38" s="1323">
        <f t="shared" si="9"/>
        <v>8.5800000000000015E-2</v>
      </c>
      <c r="I38" s="1321">
        <f t="shared" si="9"/>
        <v>3.9600000000000003E-2</v>
      </c>
      <c r="J38" s="1321">
        <f t="shared" si="9"/>
        <v>1.443E-2</v>
      </c>
      <c r="K38" s="1321">
        <f t="shared" si="9"/>
        <v>3.108E-2</v>
      </c>
      <c r="L38" s="1321">
        <f t="shared" si="9"/>
        <v>3.2800000000000003E-2</v>
      </c>
      <c r="M38" s="1321">
        <f t="shared" si="9"/>
        <v>2.8799999999999999E-2</v>
      </c>
      <c r="N38" s="1321">
        <f t="shared" si="9"/>
        <v>0.20200000000000001</v>
      </c>
      <c r="O38" s="1321">
        <f t="shared" si="9"/>
        <v>0.25039999999999996</v>
      </c>
      <c r="P38" s="1321">
        <f t="shared" si="9"/>
        <v>0.24653</v>
      </c>
      <c r="Q38" s="1321">
        <f t="shared" si="9"/>
        <v>0.16870000000000002</v>
      </c>
      <c r="R38" s="1321">
        <f t="shared" si="9"/>
        <v>0.14180999999999999</v>
      </c>
      <c r="S38" s="1321">
        <f t="shared" si="9"/>
        <v>0.17706</v>
      </c>
      <c r="T38" s="1321">
        <f t="shared" si="9"/>
        <v>0.19975999999999999</v>
      </c>
      <c r="U38" s="1321">
        <f t="shared" si="9"/>
        <v>0.20335999999999999</v>
      </c>
      <c r="V38" s="1321">
        <f t="shared" si="9"/>
        <v>0.26039999999999996</v>
      </c>
      <c r="W38" s="1321">
        <f>+W36*W33/1000</f>
        <v>0.38311000000000001</v>
      </c>
      <c r="X38" s="1321">
        <f t="shared" si="9"/>
        <v>0</v>
      </c>
      <c r="Y38" s="1321">
        <f t="shared" si="9"/>
        <v>0</v>
      </c>
      <c r="Z38" s="1321">
        <f t="shared" si="9"/>
        <v>0</v>
      </c>
      <c r="AA38" s="1321">
        <f t="shared" si="9"/>
        <v>0</v>
      </c>
      <c r="AB38" s="1321">
        <f t="shared" si="9"/>
        <v>0</v>
      </c>
      <c r="AC38" s="1321">
        <f t="shared" si="9"/>
        <v>0</v>
      </c>
      <c r="AD38" s="1321">
        <f t="shared" si="9"/>
        <v>0</v>
      </c>
      <c r="AE38" s="1321">
        <f t="shared" si="9"/>
        <v>0</v>
      </c>
      <c r="AF38" s="1321">
        <f t="shared" si="9"/>
        <v>0</v>
      </c>
      <c r="AG38" s="1321">
        <f t="shared" si="9"/>
        <v>0</v>
      </c>
      <c r="AH38" s="1321">
        <f t="shared" si="9"/>
        <v>0</v>
      </c>
      <c r="AI38" s="1321">
        <f t="shared" si="9"/>
        <v>0</v>
      </c>
      <c r="AJ38" s="1321">
        <f t="shared" si="9"/>
        <v>0</v>
      </c>
      <c r="AK38" s="1321">
        <f t="shared" si="9"/>
        <v>0</v>
      </c>
      <c r="AL38" s="1321">
        <f t="shared" si="9"/>
        <v>0</v>
      </c>
      <c r="AM38" s="1079"/>
    </row>
    <row r="39" spans="2:39" ht="14.25" thickBot="1" x14ac:dyDescent="0.3">
      <c r="B39" s="1608">
        <v>1</v>
      </c>
      <c r="C39" s="1637" t="str">
        <f>[1]Breaking.!A17</f>
        <v>3L_W24B STOPE</v>
      </c>
      <c r="D39" s="1628" t="s">
        <v>340</v>
      </c>
      <c r="E39" s="1104" t="s">
        <v>341</v>
      </c>
      <c r="F39" s="196">
        <f>SUMIF($H$9:$AL$9,"&lt;="&amp;$C$7,H39:AL39)</f>
        <v>1120</v>
      </c>
      <c r="G39" s="1071"/>
      <c r="H39" s="945">
        <f>[1]Breaking.!D17</f>
        <v>70</v>
      </c>
      <c r="I39" s="945">
        <f>[1]Breaking.!E17</f>
        <v>70</v>
      </c>
      <c r="J39" s="945">
        <f>[1]Breaking.!F17</f>
        <v>70</v>
      </c>
      <c r="K39" s="945">
        <f>[1]Breaking.!G17</f>
        <v>70</v>
      </c>
      <c r="L39" s="945">
        <f>[1]Breaking.!H17</f>
        <v>70</v>
      </c>
      <c r="M39" s="945">
        <f>[1]Breaking.!I17</f>
        <v>70</v>
      </c>
      <c r="N39" s="945">
        <f>[1]Breaking.!J17</f>
        <v>70</v>
      </c>
      <c r="O39" s="945">
        <f>[1]Breaking.!K17</f>
        <v>70</v>
      </c>
      <c r="P39" s="945">
        <f>[1]Breaking.!L17</f>
        <v>70</v>
      </c>
      <c r="Q39" s="945">
        <f>[1]Breaking.!M17</f>
        <v>70</v>
      </c>
      <c r="R39" s="945">
        <f>[1]Breaking.!N17</f>
        <v>70</v>
      </c>
      <c r="S39" s="945">
        <f>[1]Breaking.!O17</f>
        <v>70</v>
      </c>
      <c r="T39" s="945">
        <f>[1]Breaking.!P17</f>
        <v>70</v>
      </c>
      <c r="U39" s="945">
        <f>[1]Breaking.!Q17</f>
        <v>70</v>
      </c>
      <c r="V39" s="945">
        <f>[1]Breaking.!R17</f>
        <v>70</v>
      </c>
      <c r="W39" s="945">
        <f>[1]Breaking.!S17</f>
        <v>70</v>
      </c>
      <c r="X39" s="945">
        <f>[1]Breaking.!T17</f>
        <v>70</v>
      </c>
      <c r="Y39" s="945">
        <f>[1]Breaking.!U17</f>
        <v>70</v>
      </c>
      <c r="Z39" s="945">
        <f>[1]Breaking.!V17</f>
        <v>70</v>
      </c>
      <c r="AA39" s="945">
        <f>[1]Breaking.!W17</f>
        <v>70</v>
      </c>
      <c r="AB39" s="945">
        <f>[1]Breaking.!X17</f>
        <v>70</v>
      </c>
      <c r="AC39" s="945">
        <f>[1]Breaking.!Y17</f>
        <v>70</v>
      </c>
      <c r="AD39" s="945">
        <f>[1]Breaking.!Z17</f>
        <v>70</v>
      </c>
      <c r="AE39" s="945">
        <f>[1]Breaking.!AA17</f>
        <v>70</v>
      </c>
      <c r="AF39" s="945">
        <f>[1]Breaking.!AB17</f>
        <v>70</v>
      </c>
      <c r="AG39" s="945">
        <f>[1]Breaking.!AC17</f>
        <v>70</v>
      </c>
      <c r="AH39" s="945">
        <f>[1]Breaking.!AD17</f>
        <v>70</v>
      </c>
      <c r="AI39" s="945">
        <f>[1]Breaking.!AE17</f>
        <v>70</v>
      </c>
      <c r="AJ39" s="945">
        <f>[1]Breaking.!AF17</f>
        <v>70</v>
      </c>
      <c r="AK39" s="945">
        <f>[1]Breaking.!AG17</f>
        <v>70</v>
      </c>
      <c r="AL39" s="945">
        <f>[1]Breaking.!AH17</f>
        <v>70</v>
      </c>
      <c r="AM39" s="1105"/>
    </row>
    <row r="40" spans="2:39" ht="15" customHeight="1" thickBot="1" x14ac:dyDescent="0.3">
      <c r="B40" s="1608"/>
      <c r="C40" s="1638"/>
      <c r="D40" s="1628"/>
      <c r="E40" s="1302" t="s">
        <v>342</v>
      </c>
      <c r="F40" s="1303">
        <f>SUMIF($H$9:$AL$9,"&lt;="&amp;$C$7,H40:AL40)</f>
        <v>903</v>
      </c>
      <c r="G40" s="1304">
        <f t="shared" ref="G40" si="11">IFERROR((F40-F39)/F39,0)</f>
        <v>-0.19375000000000001</v>
      </c>
      <c r="H40" s="1305">
        <v>40</v>
      </c>
      <c r="I40" s="1303">
        <v>79</v>
      </c>
      <c r="J40" s="1303">
        <f>78+44</f>
        <v>122</v>
      </c>
      <c r="K40" s="1303">
        <v>79</v>
      </c>
      <c r="L40" s="1303">
        <v>47</v>
      </c>
      <c r="M40" s="1303">
        <v>38</v>
      </c>
      <c r="N40" s="1303">
        <v>72</v>
      </c>
      <c r="O40" s="1303">
        <f>22+15</f>
        <v>37</v>
      </c>
      <c r="P40" s="1303">
        <v>70</v>
      </c>
      <c r="Q40" s="1303">
        <v>49</v>
      </c>
      <c r="R40" s="1303">
        <v>38</v>
      </c>
      <c r="S40" s="1303">
        <v>37</v>
      </c>
      <c r="T40" s="1303">
        <v>39</v>
      </c>
      <c r="U40" s="1303">
        <v>52</v>
      </c>
      <c r="V40" s="1303">
        <v>44</v>
      </c>
      <c r="W40" s="1303">
        <v>60</v>
      </c>
      <c r="X40" s="1303"/>
      <c r="Y40" s="1303"/>
      <c r="Z40" s="1303"/>
      <c r="AA40" s="1303"/>
      <c r="AB40" s="1303"/>
      <c r="AC40" s="1303"/>
      <c r="AD40" s="1303"/>
      <c r="AE40" s="1303"/>
      <c r="AF40" s="1303"/>
      <c r="AG40" s="1303"/>
      <c r="AH40" s="1303"/>
      <c r="AI40" s="1303"/>
      <c r="AJ40" s="1303"/>
      <c r="AK40" s="1303"/>
      <c r="AL40" s="1303"/>
      <c r="AM40" s="1074"/>
    </row>
    <row r="41" spans="2:39" ht="15" customHeight="1" thickBot="1" x14ac:dyDescent="0.3">
      <c r="B41" s="1608"/>
      <c r="C41" s="1638"/>
      <c r="D41" s="1628"/>
      <c r="E41" s="1324" t="s">
        <v>312</v>
      </c>
      <c r="F41" s="1325"/>
      <c r="G41" s="1326"/>
      <c r="H41" s="1075"/>
      <c r="I41" s="1075"/>
      <c r="J41" s="1075"/>
      <c r="K41" s="1075"/>
      <c r="L41" s="1075"/>
      <c r="M41" s="1075"/>
      <c r="N41" s="1075"/>
      <c r="O41" s="1075"/>
      <c r="P41" s="1076"/>
      <c r="Q41" s="1075"/>
      <c r="R41" s="1075"/>
      <c r="S41" s="1075"/>
      <c r="T41" s="1075"/>
      <c r="U41" s="1075"/>
      <c r="V41" s="1075"/>
      <c r="W41" s="1075"/>
      <c r="X41" s="1075"/>
      <c r="Y41" s="1075"/>
      <c r="Z41" s="1075"/>
      <c r="AA41" s="1075"/>
      <c r="AB41" s="1075"/>
      <c r="AC41" s="1075"/>
      <c r="AD41" s="1075"/>
      <c r="AE41" s="1075"/>
      <c r="AF41" s="1075"/>
      <c r="AG41" s="1075"/>
      <c r="AH41" s="1075"/>
      <c r="AI41" s="1075"/>
      <c r="AJ41" s="1075"/>
      <c r="AK41" s="1075"/>
      <c r="AL41" s="1077"/>
      <c r="AM41" s="1108"/>
    </row>
    <row r="42" spans="2:39" ht="15" customHeight="1" thickBot="1" x14ac:dyDescent="0.3">
      <c r="B42" s="1608"/>
      <c r="C42" s="1638"/>
      <c r="D42" s="1613" t="s">
        <v>343</v>
      </c>
      <c r="E42" s="1309" t="s">
        <v>344</v>
      </c>
      <c r="F42" s="1310">
        <f>IFERROR(F44*1000/F39,0)</f>
        <v>1.827102803738317</v>
      </c>
      <c r="G42" s="1311"/>
      <c r="H42" s="1312">
        <f>[1]Breaking.!D18</f>
        <v>1.8271028037383175</v>
      </c>
      <c r="I42" s="1312">
        <f>[1]Breaking.!E18</f>
        <v>1.8271028037383175</v>
      </c>
      <c r="J42" s="1312">
        <f>[1]Breaking.!F18</f>
        <v>1.8271028037383175</v>
      </c>
      <c r="K42" s="1312">
        <f>[1]Breaking.!G18</f>
        <v>1.8271028037383175</v>
      </c>
      <c r="L42" s="1312">
        <f>[1]Breaking.!H18</f>
        <v>1.8271028037383175</v>
      </c>
      <c r="M42" s="1312">
        <f>[1]Breaking.!I18</f>
        <v>1.8271028037383175</v>
      </c>
      <c r="N42" s="1312">
        <f>[1]Breaking.!J18</f>
        <v>1.8271028037383175</v>
      </c>
      <c r="O42" s="1312">
        <f>[1]Breaking.!K18</f>
        <v>1.8271028037383175</v>
      </c>
      <c r="P42" s="1312">
        <f>[1]Breaking.!L18</f>
        <v>1.8271028037383175</v>
      </c>
      <c r="Q42" s="1312">
        <f>[1]Breaking.!M18</f>
        <v>1.8271028037383175</v>
      </c>
      <c r="R42" s="1312">
        <f>[1]Breaking.!N18</f>
        <v>1.8271028037383175</v>
      </c>
      <c r="S42" s="1312">
        <f>[1]Breaking.!O18</f>
        <v>1.8271028037383175</v>
      </c>
      <c r="T42" s="1312">
        <f>[1]Breaking.!P18</f>
        <v>1.8271028037383175</v>
      </c>
      <c r="U42" s="1312">
        <f>[1]Breaking.!Q18</f>
        <v>1.8271028037383175</v>
      </c>
      <c r="V42" s="1312">
        <f>[1]Breaking.!R18</f>
        <v>1.8271028037383175</v>
      </c>
      <c r="W42" s="1312">
        <f>[1]Breaking.!S18</f>
        <v>1.8271028037383175</v>
      </c>
      <c r="X42" s="1312">
        <f>[1]Breaking.!T18</f>
        <v>1.8271028037383175</v>
      </c>
      <c r="Y42" s="1312">
        <f>[1]Breaking.!U18</f>
        <v>1.8271028037383175</v>
      </c>
      <c r="Z42" s="1312">
        <f>[1]Breaking.!V18</f>
        <v>1.8271028037383175</v>
      </c>
      <c r="AA42" s="1312">
        <f>[1]Breaking.!W18</f>
        <v>1.8271028037383175</v>
      </c>
      <c r="AB42" s="1312">
        <f>[1]Breaking.!X18</f>
        <v>1.8271028037383175</v>
      </c>
      <c r="AC42" s="1312">
        <f>[1]Breaking.!Y18</f>
        <v>1.8271028037383175</v>
      </c>
      <c r="AD42" s="1312">
        <f>[1]Breaking.!Z18</f>
        <v>1.8271028037383175</v>
      </c>
      <c r="AE42" s="1312">
        <f>[1]Breaking.!AA18</f>
        <v>1.8271028037383175</v>
      </c>
      <c r="AF42" s="1312">
        <f>[1]Breaking.!AB18</f>
        <v>1.8271028037383175</v>
      </c>
      <c r="AG42" s="1312">
        <f>[1]Breaking.!AC18</f>
        <v>1.8271028037383175</v>
      </c>
      <c r="AH42" s="1312">
        <f>[1]Breaking.!AD18</f>
        <v>1.8271028037383175</v>
      </c>
      <c r="AI42" s="1312">
        <f>[1]Breaking.!AE18</f>
        <v>1.8271028037383175</v>
      </c>
      <c r="AJ42" s="1312">
        <f>[1]Breaking.!AF18</f>
        <v>1.8271028037383175</v>
      </c>
      <c r="AK42" s="1312">
        <f>[1]Breaking.!AG18</f>
        <v>1.8271028037383175</v>
      </c>
      <c r="AL42" s="1312">
        <f>[1]Breaking.!AH18</f>
        <v>1.8271028037383175</v>
      </c>
      <c r="AM42" s="1074"/>
    </row>
    <row r="43" spans="2:39" ht="15" customHeight="1" thickBot="1" x14ac:dyDescent="0.3">
      <c r="B43" s="1608"/>
      <c r="C43" s="1638"/>
      <c r="D43" s="1613"/>
      <c r="E43" s="1313" t="s">
        <v>345</v>
      </c>
      <c r="F43" s="1314">
        <f>IFERROR(F45*1000/F40,0)</f>
        <v>2.2801771871539307</v>
      </c>
      <c r="G43" s="1304">
        <f t="shared" ref="G43" si="12">IFERROR((F43-F42)/F42,0)</f>
        <v>0.24797421496404443</v>
      </c>
      <c r="H43" s="1315">
        <v>0.19</v>
      </c>
      <c r="I43" s="1314">
        <v>2.16</v>
      </c>
      <c r="J43" s="1314">
        <v>3.11</v>
      </c>
      <c r="K43" s="1314">
        <v>3.11</v>
      </c>
      <c r="L43" s="1314">
        <v>3.56</v>
      </c>
      <c r="M43" s="1314">
        <v>3.56</v>
      </c>
      <c r="N43" s="1314">
        <v>3.16</v>
      </c>
      <c r="O43" s="1314">
        <v>1.91</v>
      </c>
      <c r="P43" s="1314">
        <v>0.28999999999999998</v>
      </c>
      <c r="Q43" s="1314">
        <v>4.4000000000000004</v>
      </c>
      <c r="R43" s="1314"/>
      <c r="S43" s="1314">
        <v>0.99</v>
      </c>
      <c r="T43" s="1314">
        <v>0.99</v>
      </c>
      <c r="U43" s="1314">
        <v>2.4700000000000002</v>
      </c>
      <c r="V43" s="1314">
        <v>2.0699999999999998</v>
      </c>
      <c r="W43" s="1314">
        <v>2.0699999999999998</v>
      </c>
      <c r="X43" s="1314"/>
      <c r="Y43" s="1314"/>
      <c r="Z43" s="1314"/>
      <c r="AA43" s="1314"/>
      <c r="AB43" s="1314"/>
      <c r="AC43" s="1314"/>
      <c r="AD43" s="1314"/>
      <c r="AE43" s="1314"/>
      <c r="AF43" s="1314"/>
      <c r="AG43" s="1314"/>
      <c r="AH43" s="1314"/>
      <c r="AI43" s="1314"/>
      <c r="AJ43" s="1314"/>
      <c r="AK43" s="1314"/>
      <c r="AL43" s="1314"/>
      <c r="AM43" s="1074"/>
    </row>
    <row r="44" spans="2:39" ht="15" customHeight="1" thickBot="1" x14ac:dyDescent="0.3">
      <c r="B44" s="1608"/>
      <c r="C44" s="1638"/>
      <c r="D44" s="1613" t="s">
        <v>47</v>
      </c>
      <c r="E44" s="1309" t="s">
        <v>346</v>
      </c>
      <c r="F44" s="206">
        <f>SUMIF($H$9:$AL$9,"&lt;="&amp;$C$7,H44:AL44)</f>
        <v>2.0463551401869151</v>
      </c>
      <c r="G44" s="1311"/>
      <c r="H44" s="1316">
        <f t="shared" ref="H44:AL45" si="13">+H42*H39/1000</f>
        <v>0.12789719626168222</v>
      </c>
      <c r="I44" s="1316">
        <f t="shared" si="13"/>
        <v>0.12789719626168222</v>
      </c>
      <c r="J44" s="1316">
        <f t="shared" si="13"/>
        <v>0.12789719626168222</v>
      </c>
      <c r="K44" s="1317">
        <f t="shared" si="13"/>
        <v>0.12789719626168222</v>
      </c>
      <c r="L44" s="1317">
        <f t="shared" si="13"/>
        <v>0.12789719626168222</v>
      </c>
      <c r="M44" s="1317">
        <f t="shared" si="13"/>
        <v>0.12789719626168222</v>
      </c>
      <c r="N44" s="1317">
        <f t="shared" si="13"/>
        <v>0.12789719626168222</v>
      </c>
      <c r="O44" s="1317">
        <f t="shared" si="13"/>
        <v>0.12789719626168222</v>
      </c>
      <c r="P44" s="1318">
        <f t="shared" si="13"/>
        <v>0.12789719626168222</v>
      </c>
      <c r="Q44" s="1317">
        <f t="shared" si="13"/>
        <v>0.12789719626168222</v>
      </c>
      <c r="R44" s="1317">
        <f t="shared" si="13"/>
        <v>0.12789719626168222</v>
      </c>
      <c r="S44" s="1317">
        <f t="shared" si="13"/>
        <v>0.12789719626168222</v>
      </c>
      <c r="T44" s="1317">
        <f t="shared" si="13"/>
        <v>0.12789719626168222</v>
      </c>
      <c r="U44" s="1317">
        <f t="shared" si="13"/>
        <v>0.12789719626168222</v>
      </c>
      <c r="V44" s="1317">
        <f t="shared" si="13"/>
        <v>0.12789719626168222</v>
      </c>
      <c r="W44" s="1317">
        <f t="shared" si="13"/>
        <v>0.12789719626168222</v>
      </c>
      <c r="X44" s="1317">
        <f t="shared" si="13"/>
        <v>0.12789719626168222</v>
      </c>
      <c r="Y44" s="1317">
        <f t="shared" si="13"/>
        <v>0.12789719626168222</v>
      </c>
      <c r="Z44" s="1317">
        <f t="shared" si="13"/>
        <v>0.12789719626168222</v>
      </c>
      <c r="AA44" s="1317">
        <v>0.2</v>
      </c>
      <c r="AB44" s="1317">
        <f t="shared" si="13"/>
        <v>0.12789719626168222</v>
      </c>
      <c r="AC44" s="1317">
        <f t="shared" si="13"/>
        <v>0.12789719626168222</v>
      </c>
      <c r="AD44" s="1317">
        <f t="shared" si="13"/>
        <v>0.12789719626168222</v>
      </c>
      <c r="AE44" s="1317">
        <f t="shared" si="13"/>
        <v>0.12789719626168222</v>
      </c>
      <c r="AF44" s="1317">
        <f t="shared" si="13"/>
        <v>0.12789719626168222</v>
      </c>
      <c r="AG44" s="1317">
        <f t="shared" si="13"/>
        <v>0.12789719626168222</v>
      </c>
      <c r="AH44" s="1317">
        <f t="shared" si="13"/>
        <v>0.12789719626168222</v>
      </c>
      <c r="AI44" s="1317">
        <f t="shared" si="13"/>
        <v>0.12789719626168222</v>
      </c>
      <c r="AJ44" s="1317">
        <f t="shared" si="13"/>
        <v>0.12789719626168222</v>
      </c>
      <c r="AK44" s="1317">
        <f t="shared" si="13"/>
        <v>0.12789719626168222</v>
      </c>
      <c r="AL44" s="1319">
        <f t="shared" si="13"/>
        <v>0.12789719626168222</v>
      </c>
      <c r="AM44" s="1078"/>
    </row>
    <row r="45" spans="2:39" ht="15" customHeight="1" thickBot="1" x14ac:dyDescent="0.3">
      <c r="B45" s="1609"/>
      <c r="C45" s="1639"/>
      <c r="D45" s="1614"/>
      <c r="E45" s="1320" t="s">
        <v>347</v>
      </c>
      <c r="F45" s="1321">
        <f>SUMIF($H$9:$AL$9,"&lt;="&amp;$C$7,H45:AL45)</f>
        <v>2.0589999999999997</v>
      </c>
      <c r="G45" s="1322">
        <f t="shared" ref="G45" si="14">IFERROR((F45-F44)/F44,0)</f>
        <v>6.1792108147609315E-3</v>
      </c>
      <c r="H45" s="1323">
        <f t="shared" si="13"/>
        <v>7.6E-3</v>
      </c>
      <c r="I45" s="1321">
        <f t="shared" si="13"/>
        <v>0.17064000000000001</v>
      </c>
      <c r="J45" s="1321">
        <f t="shared" si="13"/>
        <v>0.37941999999999998</v>
      </c>
      <c r="K45" s="1321">
        <f t="shared" si="13"/>
        <v>0.24568999999999999</v>
      </c>
      <c r="L45" s="1321">
        <f t="shared" si="13"/>
        <v>0.16732</v>
      </c>
      <c r="M45" s="1321">
        <f t="shared" si="13"/>
        <v>0.13528000000000001</v>
      </c>
      <c r="N45" s="1321">
        <f t="shared" si="13"/>
        <v>0.22752</v>
      </c>
      <c r="O45" s="1321">
        <f t="shared" si="13"/>
        <v>7.0669999999999997E-2</v>
      </c>
      <c r="P45" s="1321">
        <f t="shared" si="13"/>
        <v>2.0299999999999999E-2</v>
      </c>
      <c r="Q45" s="1321">
        <f t="shared" si="13"/>
        <v>0.21560000000000001</v>
      </c>
      <c r="R45" s="1321">
        <f t="shared" si="13"/>
        <v>0</v>
      </c>
      <c r="S45" s="1321">
        <f t="shared" si="13"/>
        <v>3.6630000000000003E-2</v>
      </c>
      <c r="T45" s="1321">
        <f t="shared" si="13"/>
        <v>3.8609999999999998E-2</v>
      </c>
      <c r="U45" s="1321">
        <f t="shared" si="13"/>
        <v>0.12844</v>
      </c>
      <c r="V45" s="1321">
        <f t="shared" si="13"/>
        <v>9.1079999999999994E-2</v>
      </c>
      <c r="W45" s="1321">
        <f>+W43*W40/1000</f>
        <v>0.12419999999999999</v>
      </c>
      <c r="X45" s="1321">
        <f t="shared" si="13"/>
        <v>0</v>
      </c>
      <c r="Y45" s="1321">
        <f t="shared" si="13"/>
        <v>0</v>
      </c>
      <c r="Z45" s="1321">
        <f t="shared" si="13"/>
        <v>0</v>
      </c>
      <c r="AA45" s="1321">
        <f t="shared" si="13"/>
        <v>0</v>
      </c>
      <c r="AB45" s="1321">
        <f t="shared" si="13"/>
        <v>0</v>
      </c>
      <c r="AC45" s="1321">
        <f t="shared" si="13"/>
        <v>0</v>
      </c>
      <c r="AD45" s="1321">
        <f t="shared" si="13"/>
        <v>0</v>
      </c>
      <c r="AE45" s="1321">
        <f t="shared" si="13"/>
        <v>0</v>
      </c>
      <c r="AF45" s="1321">
        <f t="shared" si="13"/>
        <v>0</v>
      </c>
      <c r="AG45" s="1321">
        <f t="shared" si="13"/>
        <v>0</v>
      </c>
      <c r="AH45" s="1321">
        <f t="shared" si="13"/>
        <v>0</v>
      </c>
      <c r="AI45" s="1321">
        <f t="shared" si="13"/>
        <v>0</v>
      </c>
      <c r="AJ45" s="1321">
        <f t="shared" si="13"/>
        <v>0</v>
      </c>
      <c r="AK45" s="1321">
        <f t="shared" si="13"/>
        <v>0</v>
      </c>
      <c r="AL45" s="1321">
        <f t="shared" si="13"/>
        <v>0</v>
      </c>
      <c r="AM45" s="1079"/>
    </row>
    <row r="46" spans="2:39" ht="14.25" thickBot="1" x14ac:dyDescent="0.3">
      <c r="B46" s="1608">
        <v>1</v>
      </c>
      <c r="C46" s="1634" t="str">
        <f>[1]Breaking.!A47</f>
        <v xml:space="preserve">4L_W26 STOPE </v>
      </c>
      <c r="D46" s="1628" t="s">
        <v>340</v>
      </c>
      <c r="E46" s="1104" t="s">
        <v>341</v>
      </c>
      <c r="F46" s="196">
        <f>SUMIF($H$9:$AL$9,"&lt;="&amp;$C$7,H46:AL46)</f>
        <v>1120</v>
      </c>
      <c r="G46" s="1071"/>
      <c r="H46" s="945">
        <f>[1]Breaking.!D47</f>
        <v>70</v>
      </c>
      <c r="I46" s="945">
        <f>[1]Breaking.!E47</f>
        <v>70</v>
      </c>
      <c r="J46" s="945">
        <f>[1]Breaking.!F47</f>
        <v>70</v>
      </c>
      <c r="K46" s="945">
        <f>[1]Breaking.!G47</f>
        <v>70</v>
      </c>
      <c r="L46" s="945">
        <f>[1]Breaking.!H47</f>
        <v>70</v>
      </c>
      <c r="M46" s="945">
        <f>[1]Breaking.!I47</f>
        <v>70</v>
      </c>
      <c r="N46" s="945">
        <f>[1]Breaking.!J47</f>
        <v>70</v>
      </c>
      <c r="O46" s="945">
        <f>[1]Breaking.!K47</f>
        <v>70</v>
      </c>
      <c r="P46" s="945">
        <f>[1]Breaking.!L47</f>
        <v>70</v>
      </c>
      <c r="Q46" s="945">
        <f>[1]Breaking.!M47</f>
        <v>70</v>
      </c>
      <c r="R46" s="945">
        <f>[1]Breaking.!N47</f>
        <v>70</v>
      </c>
      <c r="S46" s="945">
        <f>[1]Breaking.!O47</f>
        <v>70</v>
      </c>
      <c r="T46" s="945">
        <f>[1]Breaking.!P47</f>
        <v>70</v>
      </c>
      <c r="U46" s="945">
        <f>[1]Breaking.!Q47</f>
        <v>70</v>
      </c>
      <c r="V46" s="945">
        <f>[1]Breaking.!R47</f>
        <v>70</v>
      </c>
      <c r="W46" s="945">
        <f>[1]Breaking.!S47</f>
        <v>70</v>
      </c>
      <c r="X46" s="945">
        <f>[1]Breaking.!T47</f>
        <v>70</v>
      </c>
      <c r="Y46" s="945">
        <f>[1]Breaking.!U47</f>
        <v>70</v>
      </c>
      <c r="Z46" s="945">
        <f>[1]Breaking.!V47</f>
        <v>70</v>
      </c>
      <c r="AA46" s="945">
        <f>[1]Breaking.!W47</f>
        <v>70</v>
      </c>
      <c r="AB46" s="945">
        <f>[1]Breaking.!X47</f>
        <v>70</v>
      </c>
      <c r="AC46" s="945">
        <f>[1]Breaking.!Y47</f>
        <v>70</v>
      </c>
      <c r="AD46" s="945">
        <f>[1]Breaking.!Z47</f>
        <v>70</v>
      </c>
      <c r="AE46" s="945">
        <f>[1]Breaking.!AA47</f>
        <v>70</v>
      </c>
      <c r="AF46" s="945">
        <f>[1]Breaking.!AB47</f>
        <v>70</v>
      </c>
      <c r="AG46" s="945">
        <f>[1]Breaking.!AC47</f>
        <v>70</v>
      </c>
      <c r="AH46" s="945">
        <f>[1]Breaking.!AD47</f>
        <v>70</v>
      </c>
      <c r="AI46" s="945">
        <f>[1]Breaking.!AE47</f>
        <v>70</v>
      </c>
      <c r="AJ46" s="945">
        <f>[1]Breaking.!AF47</f>
        <v>70</v>
      </c>
      <c r="AK46" s="945">
        <f>[1]Breaking.!AG47</f>
        <v>70</v>
      </c>
      <c r="AL46" s="945">
        <f>[1]Breaking.!AH47</f>
        <v>70</v>
      </c>
      <c r="AM46" s="1105"/>
    </row>
    <row r="47" spans="2:39" ht="14.25" thickBot="1" x14ac:dyDescent="0.3">
      <c r="B47" s="1608"/>
      <c r="C47" s="1635"/>
      <c r="D47" s="1628"/>
      <c r="E47" s="1302" t="s">
        <v>342</v>
      </c>
      <c r="F47" s="1303">
        <f>SUMIF($H$9:$AL$9,"&lt;="&amp;$C$7,H47:AL47)</f>
        <v>887</v>
      </c>
      <c r="G47" s="1304">
        <f t="shared" ref="G47" si="15">IFERROR((F47-F46)/F46,0)</f>
        <v>-0.2080357142857143</v>
      </c>
      <c r="H47" s="1305">
        <v>70</v>
      </c>
      <c r="I47" s="1303">
        <v>85</v>
      </c>
      <c r="J47" s="1303">
        <v>39</v>
      </c>
      <c r="K47" s="1303">
        <v>77</v>
      </c>
      <c r="L47" s="1303">
        <v>70</v>
      </c>
      <c r="M47" s="1303"/>
      <c r="N47" s="1303">
        <v>44</v>
      </c>
      <c r="O47" s="1303">
        <v>76</v>
      </c>
      <c r="P47" s="1303">
        <v>52</v>
      </c>
      <c r="Q47" s="1327">
        <v>46</v>
      </c>
      <c r="R47" s="1303">
        <v>84</v>
      </c>
      <c r="S47" s="1303">
        <v>36</v>
      </c>
      <c r="T47" s="1303">
        <v>64</v>
      </c>
      <c r="U47" s="1303">
        <v>38</v>
      </c>
      <c r="V47" s="1303">
        <v>54</v>
      </c>
      <c r="W47" s="1303">
        <v>52</v>
      </c>
      <c r="X47" s="1303"/>
      <c r="Y47" s="1303"/>
      <c r="Z47" s="1303"/>
      <c r="AA47" s="1303"/>
      <c r="AB47" s="1303"/>
      <c r="AC47" s="1303"/>
      <c r="AD47" s="1303"/>
      <c r="AE47" s="1303"/>
      <c r="AF47" s="1303"/>
      <c r="AG47" s="1303"/>
      <c r="AH47" s="1303"/>
      <c r="AI47" s="1303"/>
      <c r="AJ47" s="1303"/>
      <c r="AK47" s="1303"/>
      <c r="AL47" s="1303"/>
      <c r="AM47" s="1074"/>
    </row>
    <row r="48" spans="2:39" ht="14.25" thickBot="1" x14ac:dyDescent="0.3">
      <c r="B48" s="1608"/>
      <c r="C48" s="1635"/>
      <c r="D48" s="1628"/>
      <c r="E48" s="1324" t="s">
        <v>312</v>
      </c>
      <c r="F48" s="1325"/>
      <c r="G48" s="1326"/>
      <c r="H48" s="1075"/>
      <c r="I48" s="1075"/>
      <c r="J48" s="1075"/>
      <c r="K48" s="1075"/>
      <c r="L48" s="1075"/>
      <c r="M48" s="1075"/>
      <c r="N48" s="1075"/>
      <c r="O48" s="1075"/>
      <c r="P48" s="1076"/>
      <c r="Q48" s="1075"/>
      <c r="R48" s="1075"/>
      <c r="S48" s="1075"/>
      <c r="T48" s="1075"/>
      <c r="U48" s="1075"/>
      <c r="V48" s="1075"/>
      <c r="W48" s="1075" t="s">
        <v>348</v>
      </c>
      <c r="X48" s="1075"/>
      <c r="Y48" s="1075"/>
      <c r="Z48" s="1075"/>
      <c r="AA48" s="1075"/>
      <c r="AB48" s="1075"/>
      <c r="AC48" s="1075"/>
      <c r="AD48" s="1075"/>
      <c r="AE48" s="1075"/>
      <c r="AF48" s="1075"/>
      <c r="AG48" s="1075"/>
      <c r="AH48" s="1075"/>
      <c r="AI48" s="1075"/>
      <c r="AJ48" s="1075"/>
      <c r="AK48" s="1075"/>
      <c r="AL48" s="1077"/>
      <c r="AM48" s="1108"/>
    </row>
    <row r="49" spans="2:39" ht="14.25" thickBot="1" x14ac:dyDescent="0.3">
      <c r="B49" s="1608"/>
      <c r="C49" s="1635"/>
      <c r="D49" s="1613" t="s">
        <v>343</v>
      </c>
      <c r="E49" s="1309" t="s">
        <v>344</v>
      </c>
      <c r="F49" s="1310">
        <f t="shared" ref="F49" si="16">IFERROR(F51*1000/F46,0)</f>
        <v>1.9462616822429899</v>
      </c>
      <c r="G49" s="1311"/>
      <c r="H49" s="1312">
        <f>[1]Breaking.!D48</f>
        <v>1.9462616822429906</v>
      </c>
      <c r="I49" s="1312">
        <f>[1]Breaking.!E48</f>
        <v>1.9462616822429906</v>
      </c>
      <c r="J49" s="1312">
        <f>[1]Breaking.!F48</f>
        <v>1.9462616822429906</v>
      </c>
      <c r="K49" s="1312">
        <f>[1]Breaking.!G48</f>
        <v>1.9462616822429906</v>
      </c>
      <c r="L49" s="1312">
        <f>[1]Breaking.!H48</f>
        <v>1.9462616822429906</v>
      </c>
      <c r="M49" s="1312">
        <f>[1]Breaking.!I48</f>
        <v>1.9462616822429906</v>
      </c>
      <c r="N49" s="1312">
        <f>[1]Breaking.!J48</f>
        <v>1.9462616822429906</v>
      </c>
      <c r="O49" s="1312">
        <f>[1]Breaking.!K48</f>
        <v>1.9462616822429906</v>
      </c>
      <c r="P49" s="1312">
        <f>[1]Breaking.!L48</f>
        <v>1.9462616822429906</v>
      </c>
      <c r="Q49" s="1312">
        <f>[1]Breaking.!M48</f>
        <v>1.9462616822429906</v>
      </c>
      <c r="R49" s="1312">
        <f>[1]Breaking.!N48</f>
        <v>1.9462616822429906</v>
      </c>
      <c r="S49" s="1312">
        <f>[1]Breaking.!O48</f>
        <v>1.9462616822429906</v>
      </c>
      <c r="T49" s="1312">
        <f>[1]Breaking.!P48</f>
        <v>1.9462616822429906</v>
      </c>
      <c r="U49" s="1312">
        <f>[1]Breaking.!Q48</f>
        <v>1.9462616822429906</v>
      </c>
      <c r="V49" s="1312">
        <f>[1]Breaking.!R48</f>
        <v>1.9462616822429906</v>
      </c>
      <c r="W49" s="1312">
        <f>[1]Breaking.!S48</f>
        <v>1.9462616822429906</v>
      </c>
      <c r="X49" s="1312">
        <f>[1]Breaking.!T48</f>
        <v>1.9462616822429906</v>
      </c>
      <c r="Y49" s="1312">
        <f>[1]Breaking.!U48</f>
        <v>1.9462616822429906</v>
      </c>
      <c r="Z49" s="1312">
        <f>[1]Breaking.!V48</f>
        <v>1.9462616822429906</v>
      </c>
      <c r="AA49" s="1312">
        <f>[1]Breaking.!W48</f>
        <v>1.9462616822429906</v>
      </c>
      <c r="AB49" s="1312">
        <f>[1]Breaking.!X48</f>
        <v>1.9462616822429906</v>
      </c>
      <c r="AC49" s="1312">
        <f>[1]Breaking.!Y48</f>
        <v>1.9462616822429906</v>
      </c>
      <c r="AD49" s="1312">
        <f>[1]Breaking.!Z48</f>
        <v>1.9462616822429906</v>
      </c>
      <c r="AE49" s="1312">
        <f>[1]Breaking.!AA48</f>
        <v>1.9462616822429906</v>
      </c>
      <c r="AF49" s="1312">
        <f>[1]Breaking.!AB48</f>
        <v>1.9462616822429906</v>
      </c>
      <c r="AG49" s="1312">
        <f>[1]Breaking.!AC48</f>
        <v>1.9462616822429906</v>
      </c>
      <c r="AH49" s="1312">
        <f>[1]Breaking.!AD48</f>
        <v>1.9462616822429906</v>
      </c>
      <c r="AI49" s="1312">
        <f>[1]Breaking.!AE48</f>
        <v>1.9462616822429906</v>
      </c>
      <c r="AJ49" s="1312">
        <f>[1]Breaking.!AF48</f>
        <v>1.9462616822429906</v>
      </c>
      <c r="AK49" s="1312">
        <f>[1]Breaking.!AG48</f>
        <v>1.9462616822429906</v>
      </c>
      <c r="AL49" s="1312">
        <f>[1]Breaking.!AH48</f>
        <v>1.9462616822429906</v>
      </c>
      <c r="AM49" s="1074"/>
    </row>
    <row r="50" spans="2:39" ht="14.25" thickBot="1" x14ac:dyDescent="0.3">
      <c r="B50" s="1608"/>
      <c r="C50" s="1635"/>
      <c r="D50" s="1613"/>
      <c r="E50" s="1313" t="s">
        <v>345</v>
      </c>
      <c r="F50" s="1314">
        <f>IFERROR(F52*1000/F47,0)</f>
        <v>0.88090191657271721</v>
      </c>
      <c r="G50" s="1304">
        <f t="shared" ref="G50" si="17">IFERROR((F50-F49)/F49,0)</f>
        <v>-0.54738773074054847</v>
      </c>
      <c r="H50" s="1328">
        <v>1.56</v>
      </c>
      <c r="I50" s="1314">
        <v>2.02</v>
      </c>
      <c r="J50" s="1314">
        <v>0.49</v>
      </c>
      <c r="K50" s="1314">
        <v>0.49</v>
      </c>
      <c r="L50" s="1314">
        <v>0.32</v>
      </c>
      <c r="M50" s="1314"/>
      <c r="N50" s="1314">
        <v>2.15</v>
      </c>
      <c r="O50" s="1314">
        <v>1.36</v>
      </c>
      <c r="P50" s="1314">
        <v>0.14000000000000001</v>
      </c>
      <c r="Q50" s="1314">
        <v>0.79</v>
      </c>
      <c r="R50" s="1314">
        <v>0.3</v>
      </c>
      <c r="S50" s="1314">
        <v>1.0900000000000001</v>
      </c>
      <c r="T50" s="1314">
        <v>1.0900000000000001</v>
      </c>
      <c r="U50" s="1314">
        <v>0.67</v>
      </c>
      <c r="V50" s="1314">
        <v>0.37</v>
      </c>
      <c r="W50" s="1314"/>
      <c r="X50" s="1314"/>
      <c r="Y50" s="1314"/>
      <c r="Z50" s="1314"/>
      <c r="AA50" s="1314"/>
      <c r="AB50" s="1314"/>
      <c r="AC50" s="1314"/>
      <c r="AD50" s="1314"/>
      <c r="AE50" s="1314"/>
      <c r="AF50" s="1314"/>
      <c r="AG50" s="1314"/>
      <c r="AH50" s="1314"/>
      <c r="AI50" s="1314"/>
      <c r="AJ50" s="1314"/>
      <c r="AK50" s="1314"/>
      <c r="AL50" s="1314"/>
      <c r="AM50" s="1074"/>
    </row>
    <row r="51" spans="2:39" ht="14.25" thickBot="1" x14ac:dyDescent="0.3">
      <c r="B51" s="1608"/>
      <c r="C51" s="1635"/>
      <c r="D51" s="1613" t="s">
        <v>47</v>
      </c>
      <c r="E51" s="1309" t="s">
        <v>346</v>
      </c>
      <c r="F51" s="206">
        <f>SUMIF($H$9:$AL$9,"&lt;="&amp;$C$7,H51:AL51)</f>
        <v>2.1798130841121486</v>
      </c>
      <c r="G51" s="1311"/>
      <c r="H51" s="1316">
        <f t="shared" ref="H51:AL52" si="18">+H49*H46/1000</f>
        <v>0.13623831775700931</v>
      </c>
      <c r="I51" s="1316">
        <f t="shared" si="18"/>
        <v>0.13623831775700931</v>
      </c>
      <c r="J51" s="1316">
        <f t="shared" si="18"/>
        <v>0.13623831775700931</v>
      </c>
      <c r="K51" s="1317">
        <f t="shared" si="18"/>
        <v>0.13623831775700931</v>
      </c>
      <c r="L51" s="1317">
        <f t="shared" si="18"/>
        <v>0.13623831775700931</v>
      </c>
      <c r="M51" s="1317">
        <f t="shared" si="18"/>
        <v>0.13623831775700931</v>
      </c>
      <c r="N51" s="1317">
        <f t="shared" si="18"/>
        <v>0.13623831775700931</v>
      </c>
      <c r="O51" s="1317">
        <f t="shared" si="18"/>
        <v>0.13623831775700931</v>
      </c>
      <c r="P51" s="1318">
        <f t="shared" si="18"/>
        <v>0.13623831775700931</v>
      </c>
      <c r="Q51" s="1317">
        <f t="shared" si="18"/>
        <v>0.13623831775700931</v>
      </c>
      <c r="R51" s="1317">
        <f t="shared" si="18"/>
        <v>0.13623831775700931</v>
      </c>
      <c r="S51" s="1317">
        <f t="shared" si="18"/>
        <v>0.13623831775700931</v>
      </c>
      <c r="T51" s="1317">
        <f t="shared" si="18"/>
        <v>0.13623831775700931</v>
      </c>
      <c r="U51" s="1317">
        <f t="shared" si="18"/>
        <v>0.13623831775700931</v>
      </c>
      <c r="V51" s="1317">
        <f>+V49*V46/1000</f>
        <v>0.13623831775700931</v>
      </c>
      <c r="W51" s="1317">
        <f>+W49*W46/1000</f>
        <v>0.13623831775700931</v>
      </c>
      <c r="X51" s="1317">
        <f t="shared" si="18"/>
        <v>0.13623831775700931</v>
      </c>
      <c r="Y51" s="1317">
        <f t="shared" si="18"/>
        <v>0.13623831775700931</v>
      </c>
      <c r="Z51" s="1317">
        <f t="shared" si="18"/>
        <v>0.13623831775700931</v>
      </c>
      <c r="AA51" s="1317">
        <f t="shared" si="18"/>
        <v>0.13623831775700931</v>
      </c>
      <c r="AB51" s="1317">
        <f t="shared" si="18"/>
        <v>0.13623831775700931</v>
      </c>
      <c r="AC51" s="1317">
        <f t="shared" si="18"/>
        <v>0.13623831775700931</v>
      </c>
      <c r="AD51" s="1317">
        <f t="shared" si="18"/>
        <v>0.13623831775700931</v>
      </c>
      <c r="AE51" s="1317">
        <f t="shared" si="18"/>
        <v>0.13623831775700931</v>
      </c>
      <c r="AF51" s="1317">
        <f t="shared" si="18"/>
        <v>0.13623831775700931</v>
      </c>
      <c r="AG51" s="1317">
        <f t="shared" si="18"/>
        <v>0.13623831775700931</v>
      </c>
      <c r="AH51" s="1317">
        <f t="shared" si="18"/>
        <v>0.13623831775700931</v>
      </c>
      <c r="AI51" s="1317">
        <f t="shared" si="18"/>
        <v>0.13623831775700931</v>
      </c>
      <c r="AJ51" s="1317">
        <f>+AJ49*AJ46/1000</f>
        <v>0.13623831775700931</v>
      </c>
      <c r="AK51" s="1317">
        <f t="shared" si="18"/>
        <v>0.13623831775700931</v>
      </c>
      <c r="AL51" s="1319">
        <f t="shared" si="18"/>
        <v>0.13623831775700931</v>
      </c>
      <c r="AM51" s="1078"/>
    </row>
    <row r="52" spans="2:39" ht="14.25" thickBot="1" x14ac:dyDescent="0.3">
      <c r="B52" s="1609"/>
      <c r="C52" s="1636"/>
      <c r="D52" s="1614"/>
      <c r="E52" s="1320" t="s">
        <v>347</v>
      </c>
      <c r="F52" s="1321">
        <f>SUMIF($H$9:$AL$9,"&lt;="&amp;$C$7,H52:AL52)</f>
        <v>0.78136000000000017</v>
      </c>
      <c r="G52" s="1322">
        <f t="shared" ref="G52" si="19">IFERROR((F52-F51)/F51,0)</f>
        <v>-0.64154724747041647</v>
      </c>
      <c r="H52" s="1323">
        <f t="shared" si="18"/>
        <v>0.10920000000000001</v>
      </c>
      <c r="I52" s="1321">
        <f t="shared" si="18"/>
        <v>0.17169999999999999</v>
      </c>
      <c r="J52" s="1321">
        <f t="shared" si="18"/>
        <v>1.9109999999999999E-2</v>
      </c>
      <c r="K52" s="1321">
        <f t="shared" si="18"/>
        <v>3.773E-2</v>
      </c>
      <c r="L52" s="1321">
        <f t="shared" si="18"/>
        <v>2.2400000000000003E-2</v>
      </c>
      <c r="M52" s="1321">
        <f t="shared" si="18"/>
        <v>0</v>
      </c>
      <c r="N52" s="1321">
        <f t="shared" si="18"/>
        <v>9.459999999999999E-2</v>
      </c>
      <c r="O52" s="1321">
        <f t="shared" si="18"/>
        <v>0.10336000000000001</v>
      </c>
      <c r="P52" s="1321">
        <f t="shared" si="18"/>
        <v>7.2800000000000009E-3</v>
      </c>
      <c r="Q52" s="1321">
        <f t="shared" si="18"/>
        <v>3.6340000000000004E-2</v>
      </c>
      <c r="R52" s="1321">
        <f t="shared" si="18"/>
        <v>2.52E-2</v>
      </c>
      <c r="S52" s="1321">
        <f t="shared" si="18"/>
        <v>3.9240000000000004E-2</v>
      </c>
      <c r="T52" s="1321">
        <f t="shared" si="18"/>
        <v>6.9760000000000003E-2</v>
      </c>
      <c r="U52" s="1321">
        <f t="shared" si="18"/>
        <v>2.546E-2</v>
      </c>
      <c r="V52" s="1321">
        <f t="shared" si="18"/>
        <v>1.9980000000000001E-2</v>
      </c>
      <c r="W52" s="1321">
        <f>+W50*W47/1000</f>
        <v>0</v>
      </c>
      <c r="X52" s="1321">
        <f t="shared" si="18"/>
        <v>0</v>
      </c>
      <c r="Y52" s="1321">
        <f t="shared" si="18"/>
        <v>0</v>
      </c>
      <c r="Z52" s="1321">
        <f t="shared" si="18"/>
        <v>0</v>
      </c>
      <c r="AA52" s="1321">
        <f t="shared" si="18"/>
        <v>0</v>
      </c>
      <c r="AB52" s="1321">
        <f t="shared" si="18"/>
        <v>0</v>
      </c>
      <c r="AC52" s="1321">
        <f t="shared" si="18"/>
        <v>0</v>
      </c>
      <c r="AD52" s="1321">
        <f t="shared" si="18"/>
        <v>0</v>
      </c>
      <c r="AE52" s="1321">
        <f t="shared" si="18"/>
        <v>0</v>
      </c>
      <c r="AF52" s="1321">
        <f t="shared" si="18"/>
        <v>0</v>
      </c>
      <c r="AG52" s="1321">
        <f t="shared" si="18"/>
        <v>0</v>
      </c>
      <c r="AH52" s="1321">
        <f t="shared" si="18"/>
        <v>0</v>
      </c>
      <c r="AI52" s="1321">
        <f t="shared" si="18"/>
        <v>0</v>
      </c>
      <c r="AJ52" s="1321">
        <f t="shared" si="18"/>
        <v>0</v>
      </c>
      <c r="AK52" s="1321">
        <f t="shared" si="18"/>
        <v>0</v>
      </c>
      <c r="AL52" s="1321">
        <f t="shared" si="18"/>
        <v>0</v>
      </c>
      <c r="AM52" s="1079"/>
    </row>
    <row r="53" spans="2:39" ht="14.25" hidden="1" thickBot="1" x14ac:dyDescent="0.3">
      <c r="B53" s="1608"/>
      <c r="C53" s="1634"/>
      <c r="D53" s="1628" t="s">
        <v>340</v>
      </c>
      <c r="E53" s="1104" t="s">
        <v>341</v>
      </c>
      <c r="F53" s="196">
        <f>SUMIF($H$9:$AL$9,"&lt;="&amp;$C$7,H53:AL53)</f>
        <v>0</v>
      </c>
      <c r="G53" s="1071"/>
      <c r="H53" s="945"/>
      <c r="I53" s="945"/>
      <c r="J53" s="945"/>
      <c r="K53" s="945"/>
      <c r="L53" s="945"/>
      <c r="M53" s="945"/>
      <c r="N53" s="945"/>
      <c r="O53" s="945"/>
      <c r="P53" s="945"/>
      <c r="Q53" s="945"/>
      <c r="R53" s="945"/>
      <c r="S53" s="945"/>
      <c r="T53" s="945"/>
      <c r="U53" s="945"/>
      <c r="V53" s="945"/>
      <c r="W53" s="945"/>
      <c r="X53" s="945"/>
      <c r="Y53" s="945"/>
      <c r="Z53" s="945"/>
      <c r="AA53" s="945"/>
      <c r="AB53" s="945"/>
      <c r="AC53" s="945"/>
      <c r="AD53" s="945"/>
      <c r="AE53" s="945"/>
      <c r="AF53" s="945"/>
      <c r="AG53" s="945"/>
      <c r="AH53" s="945"/>
      <c r="AI53" s="945"/>
      <c r="AJ53" s="945"/>
      <c r="AK53" s="945"/>
      <c r="AL53" s="945"/>
      <c r="AM53" s="1105"/>
    </row>
    <row r="54" spans="2:39" ht="14.25" hidden="1" thickBot="1" x14ac:dyDescent="0.3">
      <c r="B54" s="1608"/>
      <c r="C54" s="1635"/>
      <c r="D54" s="1628"/>
      <c r="E54" s="1302" t="s">
        <v>342</v>
      </c>
      <c r="F54" s="1303">
        <f>SUMIF($H$9:$AL$9,"&lt;="&amp;$C$7,H54:AL54)</f>
        <v>0</v>
      </c>
      <c r="G54" s="1304">
        <f t="shared" ref="G54" si="20">IFERROR((F54-F53)/F53,0)</f>
        <v>0</v>
      </c>
      <c r="H54" s="1305"/>
      <c r="I54" s="1303"/>
      <c r="J54" s="1303"/>
      <c r="K54" s="1303"/>
      <c r="L54" s="1303"/>
      <c r="M54" s="1303"/>
      <c r="N54" s="1303"/>
      <c r="O54" s="1303"/>
      <c r="P54" s="1303"/>
      <c r="Q54" s="1303"/>
      <c r="R54" s="1303"/>
      <c r="S54" s="1303"/>
      <c r="T54" s="1303"/>
      <c r="U54" s="1303"/>
      <c r="V54" s="1303"/>
      <c r="W54" s="1303"/>
      <c r="X54" s="1303"/>
      <c r="Y54" s="1303"/>
      <c r="Z54" s="1303"/>
      <c r="AA54" s="1303"/>
      <c r="AB54" s="1303"/>
      <c r="AC54" s="1303"/>
      <c r="AD54" s="1303"/>
      <c r="AE54" s="1303"/>
      <c r="AF54" s="1303"/>
      <c r="AG54" s="1303"/>
      <c r="AH54" s="1303"/>
      <c r="AI54" s="1303"/>
      <c r="AJ54" s="1303"/>
      <c r="AK54" s="1303"/>
      <c r="AL54" s="1303"/>
      <c r="AM54" s="1074"/>
    </row>
    <row r="55" spans="2:39" ht="14.25" hidden="1" thickBot="1" x14ac:dyDescent="0.3">
      <c r="B55" s="1608"/>
      <c r="C55" s="1635"/>
      <c r="D55" s="1628"/>
      <c r="E55" s="1324" t="s">
        <v>312</v>
      </c>
      <c r="F55" s="1325"/>
      <c r="G55" s="1326"/>
      <c r="H55" s="1075"/>
      <c r="I55" s="1075"/>
      <c r="J55" s="1075"/>
      <c r="K55" s="1075"/>
      <c r="L55" s="1075"/>
      <c r="M55" s="1075"/>
      <c r="N55" s="1075"/>
      <c r="O55" s="1075"/>
      <c r="P55" s="1076"/>
      <c r="Q55" s="1075"/>
      <c r="R55" s="1075"/>
      <c r="S55" s="1075"/>
      <c r="T55" s="1075"/>
      <c r="U55" s="1075"/>
      <c r="V55" s="1075"/>
      <c r="W55" s="1075"/>
      <c r="X55" s="1075"/>
      <c r="Y55" s="1075"/>
      <c r="Z55" s="1075"/>
      <c r="AA55" s="1075"/>
      <c r="AB55" s="1075"/>
      <c r="AC55" s="1075"/>
      <c r="AD55" s="1075"/>
      <c r="AE55" s="1075"/>
      <c r="AF55" s="1075"/>
      <c r="AG55" s="1075"/>
      <c r="AH55" s="1075"/>
      <c r="AI55" s="1075"/>
      <c r="AJ55" s="1075"/>
      <c r="AK55" s="1075"/>
      <c r="AL55" s="1077"/>
      <c r="AM55" s="1108"/>
    </row>
    <row r="56" spans="2:39" ht="14.25" hidden="1" thickBot="1" x14ac:dyDescent="0.3">
      <c r="B56" s="1608"/>
      <c r="C56" s="1635"/>
      <c r="D56" s="1613" t="s">
        <v>343</v>
      </c>
      <c r="E56" s="1309" t="s">
        <v>344</v>
      </c>
      <c r="F56" s="1310">
        <f t="shared" ref="F56:F57" si="21">IFERROR(F58*1000/F53,0)</f>
        <v>0</v>
      </c>
      <c r="G56" s="1311"/>
      <c r="H56" s="1312"/>
      <c r="I56" s="1312"/>
      <c r="J56" s="1312"/>
      <c r="K56" s="1312"/>
      <c r="L56" s="1312"/>
      <c r="M56" s="1312"/>
      <c r="N56" s="1312"/>
      <c r="O56" s="1312"/>
      <c r="P56" s="1312"/>
      <c r="Q56" s="1312"/>
      <c r="R56" s="1312"/>
      <c r="S56" s="1312"/>
      <c r="T56" s="1312"/>
      <c r="U56" s="1312"/>
      <c r="V56" s="1312"/>
      <c r="W56" s="1312"/>
      <c r="X56" s="1312"/>
      <c r="Y56" s="1312"/>
      <c r="Z56" s="1312"/>
      <c r="AA56" s="1312"/>
      <c r="AB56" s="1312"/>
      <c r="AC56" s="1312"/>
      <c r="AD56" s="1312"/>
      <c r="AE56" s="1312"/>
      <c r="AF56" s="1312"/>
      <c r="AG56" s="1312"/>
      <c r="AH56" s="1312"/>
      <c r="AI56" s="1312"/>
      <c r="AJ56" s="1312"/>
      <c r="AK56" s="1312"/>
      <c r="AL56" s="1312"/>
      <c r="AM56" s="1074"/>
    </row>
    <row r="57" spans="2:39" ht="14.25" hidden="1" thickBot="1" x14ac:dyDescent="0.3">
      <c r="B57" s="1608"/>
      <c r="C57" s="1635"/>
      <c r="D57" s="1613"/>
      <c r="E57" s="1313" t="s">
        <v>345</v>
      </c>
      <c r="F57" s="1314">
        <f t="shared" si="21"/>
        <v>0</v>
      </c>
      <c r="G57" s="1304">
        <f t="shared" ref="G57" si="22">IFERROR((F57-F56)/F56,0)</f>
        <v>0</v>
      </c>
      <c r="H57" s="1315"/>
      <c r="I57" s="1314"/>
      <c r="J57" s="1314"/>
      <c r="K57" s="1314"/>
      <c r="L57" s="1314"/>
      <c r="M57" s="1314"/>
      <c r="N57" s="1314"/>
      <c r="O57" s="1314"/>
      <c r="P57" s="1314"/>
      <c r="Q57" s="1314"/>
      <c r="R57" s="1314"/>
      <c r="S57" s="1314"/>
      <c r="T57" s="1314"/>
      <c r="U57" s="1314"/>
      <c r="V57" s="1314"/>
      <c r="W57" s="1314"/>
      <c r="X57" s="1314"/>
      <c r="Y57" s="1314"/>
      <c r="Z57" s="1314"/>
      <c r="AA57" s="1314"/>
      <c r="AB57" s="1314"/>
      <c r="AC57" s="1314"/>
      <c r="AD57" s="1314"/>
      <c r="AE57" s="1314"/>
      <c r="AF57" s="1314"/>
      <c r="AG57" s="1314"/>
      <c r="AH57" s="1314"/>
      <c r="AI57" s="1314"/>
      <c r="AJ57" s="1314"/>
      <c r="AK57" s="1314"/>
      <c r="AL57" s="1314"/>
      <c r="AM57" s="1074"/>
    </row>
    <row r="58" spans="2:39" ht="14.25" hidden="1" thickBot="1" x14ac:dyDescent="0.3">
      <c r="B58" s="1608"/>
      <c r="C58" s="1635"/>
      <c r="D58" s="1613" t="s">
        <v>47</v>
      </c>
      <c r="E58" s="1309" t="s">
        <v>346</v>
      </c>
      <c r="F58" s="206">
        <f>SUMIF($H$9:$AL$9,"&lt;="&amp;$C$7,H58:AL58)</f>
        <v>0</v>
      </c>
      <c r="G58" s="1311"/>
      <c r="H58" s="1316">
        <f t="shared" ref="H58:AL59" si="23">+H56*H53/1000</f>
        <v>0</v>
      </c>
      <c r="I58" s="1316">
        <f t="shared" si="23"/>
        <v>0</v>
      </c>
      <c r="J58" s="1316">
        <f t="shared" si="23"/>
        <v>0</v>
      </c>
      <c r="K58" s="1316">
        <f t="shared" si="23"/>
        <v>0</v>
      </c>
      <c r="L58" s="1316">
        <f t="shared" si="23"/>
        <v>0</v>
      </c>
      <c r="M58" s="1316">
        <f t="shared" si="23"/>
        <v>0</v>
      </c>
      <c r="N58" s="1316">
        <f t="shared" si="23"/>
        <v>0</v>
      </c>
      <c r="O58" s="1316">
        <f t="shared" si="23"/>
        <v>0</v>
      </c>
      <c r="P58" s="1316">
        <f t="shared" si="23"/>
        <v>0</v>
      </c>
      <c r="Q58" s="1316">
        <f t="shared" si="23"/>
        <v>0</v>
      </c>
      <c r="R58" s="1316">
        <f t="shared" si="23"/>
        <v>0</v>
      </c>
      <c r="S58" s="1316">
        <f t="shared" si="23"/>
        <v>0</v>
      </c>
      <c r="T58" s="1316">
        <f t="shared" si="23"/>
        <v>0</v>
      </c>
      <c r="U58" s="1316">
        <f t="shared" si="23"/>
        <v>0</v>
      </c>
      <c r="V58" s="1316">
        <f t="shared" si="23"/>
        <v>0</v>
      </c>
      <c r="W58" s="1316">
        <f t="shared" si="23"/>
        <v>0</v>
      </c>
      <c r="X58" s="1316">
        <f t="shared" si="23"/>
        <v>0</v>
      </c>
      <c r="Y58" s="1316">
        <f t="shared" si="23"/>
        <v>0</v>
      </c>
      <c r="Z58" s="1316">
        <f t="shared" si="23"/>
        <v>0</v>
      </c>
      <c r="AA58" s="1316">
        <f t="shared" si="23"/>
        <v>0</v>
      </c>
      <c r="AB58" s="1316">
        <f t="shared" si="23"/>
        <v>0</v>
      </c>
      <c r="AC58" s="1316">
        <f t="shared" si="23"/>
        <v>0</v>
      </c>
      <c r="AD58" s="1316">
        <f t="shared" si="23"/>
        <v>0</v>
      </c>
      <c r="AE58" s="1316">
        <f t="shared" si="23"/>
        <v>0</v>
      </c>
      <c r="AF58" s="1316">
        <f t="shared" si="23"/>
        <v>0</v>
      </c>
      <c r="AG58" s="1316">
        <f t="shared" si="23"/>
        <v>0</v>
      </c>
      <c r="AH58" s="1316">
        <f t="shared" si="23"/>
        <v>0</v>
      </c>
      <c r="AI58" s="1316">
        <f t="shared" si="23"/>
        <v>0</v>
      </c>
      <c r="AJ58" s="1316">
        <f t="shared" si="23"/>
        <v>0</v>
      </c>
      <c r="AK58" s="1316">
        <f t="shared" si="23"/>
        <v>0</v>
      </c>
      <c r="AL58" s="1319">
        <f t="shared" si="23"/>
        <v>0</v>
      </c>
      <c r="AM58" s="1078"/>
    </row>
    <row r="59" spans="2:39" ht="14.25" hidden="1" thickBot="1" x14ac:dyDescent="0.3">
      <c r="B59" s="1609"/>
      <c r="C59" s="1636"/>
      <c r="D59" s="1614"/>
      <c r="E59" s="1320" t="s">
        <v>347</v>
      </c>
      <c r="F59" s="1321">
        <f>SUMIF($H$9:$AL$9,"&lt;="&amp;$C$7,H59:AL59)</f>
        <v>0</v>
      </c>
      <c r="G59" s="1322">
        <f t="shared" ref="G59" si="24">IFERROR((F59-F58)/F58,0)</f>
        <v>0</v>
      </c>
      <c r="H59" s="1323">
        <f t="shared" si="23"/>
        <v>0</v>
      </c>
      <c r="I59" s="1321">
        <f t="shared" si="23"/>
        <v>0</v>
      </c>
      <c r="J59" s="1321">
        <f t="shared" si="23"/>
        <v>0</v>
      </c>
      <c r="K59" s="1321">
        <f t="shared" si="23"/>
        <v>0</v>
      </c>
      <c r="L59" s="1321">
        <f t="shared" si="23"/>
        <v>0</v>
      </c>
      <c r="M59" s="1321">
        <f t="shared" si="23"/>
        <v>0</v>
      </c>
      <c r="N59" s="1321">
        <f t="shared" si="23"/>
        <v>0</v>
      </c>
      <c r="O59" s="1321">
        <f t="shared" si="23"/>
        <v>0</v>
      </c>
      <c r="P59" s="1321">
        <f t="shared" si="23"/>
        <v>0</v>
      </c>
      <c r="Q59" s="1321">
        <f t="shared" si="23"/>
        <v>0</v>
      </c>
      <c r="R59" s="1321">
        <f t="shared" si="23"/>
        <v>0</v>
      </c>
      <c r="S59" s="1321">
        <f t="shared" si="23"/>
        <v>0</v>
      </c>
      <c r="T59" s="1321">
        <f t="shared" si="23"/>
        <v>0</v>
      </c>
      <c r="U59" s="1321">
        <f t="shared" si="23"/>
        <v>0</v>
      </c>
      <c r="V59" s="1321">
        <f t="shared" si="23"/>
        <v>0</v>
      </c>
      <c r="W59" s="1321">
        <f>+W57*W54/1000</f>
        <v>0</v>
      </c>
      <c r="X59" s="1321">
        <f t="shared" si="23"/>
        <v>0</v>
      </c>
      <c r="Y59" s="1321">
        <f t="shared" si="23"/>
        <v>0</v>
      </c>
      <c r="Z59" s="1321">
        <f t="shared" si="23"/>
        <v>0</v>
      </c>
      <c r="AA59" s="1321">
        <f t="shared" si="23"/>
        <v>0</v>
      </c>
      <c r="AB59" s="1321">
        <f t="shared" si="23"/>
        <v>0</v>
      </c>
      <c r="AC59" s="1321">
        <f t="shared" si="23"/>
        <v>0</v>
      </c>
      <c r="AD59" s="1321">
        <f t="shared" si="23"/>
        <v>0</v>
      </c>
      <c r="AE59" s="1321">
        <f t="shared" si="23"/>
        <v>0</v>
      </c>
      <c r="AF59" s="1321">
        <f t="shared" si="23"/>
        <v>0</v>
      </c>
      <c r="AG59" s="1321">
        <f t="shared" si="23"/>
        <v>0</v>
      </c>
      <c r="AH59" s="1321">
        <f t="shared" si="23"/>
        <v>0</v>
      </c>
      <c r="AI59" s="1321">
        <f t="shared" si="23"/>
        <v>0</v>
      </c>
      <c r="AJ59" s="1321">
        <f t="shared" si="23"/>
        <v>0</v>
      </c>
      <c r="AK59" s="1321">
        <f t="shared" si="23"/>
        <v>0</v>
      </c>
      <c r="AL59" s="1321">
        <f t="shared" si="23"/>
        <v>0</v>
      </c>
      <c r="AM59" s="1079"/>
    </row>
    <row r="60" spans="2:39" ht="14.25" hidden="1" thickBot="1" x14ac:dyDescent="0.3">
      <c r="B60" s="1608"/>
      <c r="C60" s="1634"/>
      <c r="D60" s="1628" t="s">
        <v>340</v>
      </c>
      <c r="E60" s="1104" t="s">
        <v>341</v>
      </c>
      <c r="F60" s="196">
        <f>SUMIF($H$9:$AL$9,"&lt;="&amp;$C$7,H60:AL60)</f>
        <v>0</v>
      </c>
      <c r="G60" s="1071"/>
      <c r="H60" s="198"/>
      <c r="I60" s="198"/>
      <c r="J60" s="198"/>
      <c r="K60" s="198"/>
      <c r="L60" s="198"/>
      <c r="M60" s="198"/>
      <c r="N60" s="198"/>
      <c r="O60" s="198"/>
      <c r="P60" s="198"/>
      <c r="Q60" s="198"/>
      <c r="R60" s="198"/>
      <c r="S60" s="198"/>
      <c r="T60" s="198"/>
      <c r="U60" s="198"/>
      <c r="V60" s="198"/>
      <c r="W60" s="198"/>
      <c r="X60" s="198"/>
      <c r="Y60" s="198"/>
      <c r="Z60" s="198"/>
      <c r="AA60" s="198"/>
      <c r="AB60" s="198"/>
      <c r="AC60" s="198"/>
      <c r="AD60" s="198"/>
      <c r="AE60" s="198"/>
      <c r="AF60" s="198"/>
      <c r="AG60" s="198"/>
      <c r="AH60" s="198"/>
      <c r="AI60" s="198"/>
      <c r="AJ60" s="198"/>
      <c r="AK60" s="198"/>
      <c r="AL60" s="198"/>
      <c r="AM60" s="1105"/>
    </row>
    <row r="61" spans="2:39" ht="14.25" hidden="1" thickBot="1" x14ac:dyDescent="0.3">
      <c r="B61" s="1608"/>
      <c r="C61" s="1635"/>
      <c r="D61" s="1628"/>
      <c r="E61" s="1302" t="s">
        <v>342</v>
      </c>
      <c r="F61" s="1303">
        <f>SUMIF($H$9:$AL$9,"&lt;="&amp;$C$7,H61:AL61)</f>
        <v>0</v>
      </c>
      <c r="G61" s="1304">
        <f t="shared" ref="G61" si="25">IFERROR((F61-F60)/F60,0)</f>
        <v>0</v>
      </c>
      <c r="H61" s="1305"/>
      <c r="I61" s="1303"/>
      <c r="J61" s="1303"/>
      <c r="K61" s="1303"/>
      <c r="L61" s="1303"/>
      <c r="M61" s="1303"/>
      <c r="N61" s="1303"/>
      <c r="O61" s="1303"/>
      <c r="P61" s="1303"/>
      <c r="Q61" s="1303"/>
      <c r="R61" s="1303"/>
      <c r="S61" s="1303"/>
      <c r="T61" s="1303"/>
      <c r="U61" s="1303"/>
      <c r="V61" s="1303"/>
      <c r="W61" s="1303"/>
      <c r="X61" s="1303"/>
      <c r="Y61" s="1303"/>
      <c r="Z61" s="1303"/>
      <c r="AA61" s="1303"/>
      <c r="AB61" s="1303"/>
      <c r="AC61" s="1303"/>
      <c r="AD61" s="1303"/>
      <c r="AE61" s="1303"/>
      <c r="AF61" s="1303"/>
      <c r="AG61" s="1303"/>
      <c r="AH61" s="1303"/>
      <c r="AI61" s="1303"/>
      <c r="AJ61" s="1303"/>
      <c r="AK61" s="1303"/>
      <c r="AL61" s="1303"/>
      <c r="AM61" s="1074"/>
    </row>
    <row r="62" spans="2:39" ht="14.25" hidden="1" thickBot="1" x14ac:dyDescent="0.3">
      <c r="B62" s="1608"/>
      <c r="C62" s="1635"/>
      <c r="D62" s="1628"/>
      <c r="E62" s="1324" t="s">
        <v>312</v>
      </c>
      <c r="F62" s="1325"/>
      <c r="G62" s="1326"/>
      <c r="H62" s="1075"/>
      <c r="I62" s="1075"/>
      <c r="J62" s="1075"/>
      <c r="K62" s="1075"/>
      <c r="L62" s="1075"/>
      <c r="M62" s="1075"/>
      <c r="N62" s="1075"/>
      <c r="O62" s="1075"/>
      <c r="P62" s="1076"/>
      <c r="Q62" s="1075"/>
      <c r="R62" s="1075"/>
      <c r="S62" s="1075"/>
      <c r="T62" s="1075"/>
      <c r="U62" s="1075"/>
      <c r="V62" s="1075"/>
      <c r="W62" s="1075"/>
      <c r="X62" s="1075"/>
      <c r="Y62" s="1075"/>
      <c r="Z62" s="1075"/>
      <c r="AA62" s="1075"/>
      <c r="AB62" s="1075"/>
      <c r="AC62" s="1075"/>
      <c r="AD62" s="1075"/>
      <c r="AE62" s="1075"/>
      <c r="AF62" s="1075"/>
      <c r="AG62" s="1075"/>
      <c r="AH62" s="1075"/>
      <c r="AI62" s="1075"/>
      <c r="AJ62" s="1075"/>
      <c r="AK62" s="1075"/>
      <c r="AL62" s="1077"/>
      <c r="AM62" s="1108"/>
    </row>
    <row r="63" spans="2:39" ht="14.25" hidden="1" thickBot="1" x14ac:dyDescent="0.3">
      <c r="B63" s="1608"/>
      <c r="C63" s="1635"/>
      <c r="D63" s="1613" t="s">
        <v>343</v>
      </c>
      <c r="E63" s="1309" t="s">
        <v>344</v>
      </c>
      <c r="F63" s="1310">
        <f t="shared" ref="F63:F64" si="26">IFERROR(F65*1000/F60,0)</f>
        <v>0</v>
      </c>
      <c r="G63" s="1311"/>
      <c r="H63" s="1312"/>
      <c r="I63" s="1312"/>
      <c r="J63" s="1312"/>
      <c r="K63" s="1312"/>
      <c r="L63" s="1312"/>
      <c r="M63" s="1312"/>
      <c r="N63" s="1312"/>
      <c r="O63" s="1312"/>
      <c r="P63" s="1312"/>
      <c r="Q63" s="1312"/>
      <c r="R63" s="1312"/>
      <c r="S63" s="1312"/>
      <c r="T63" s="1312"/>
      <c r="U63" s="1312"/>
      <c r="V63" s="1312"/>
      <c r="W63" s="1312"/>
      <c r="X63" s="1312"/>
      <c r="Y63" s="1312"/>
      <c r="Z63" s="1312"/>
      <c r="AA63" s="1312"/>
      <c r="AB63" s="1312"/>
      <c r="AC63" s="1312"/>
      <c r="AD63" s="1312"/>
      <c r="AE63" s="1312"/>
      <c r="AF63" s="1312"/>
      <c r="AG63" s="1312"/>
      <c r="AH63" s="1312"/>
      <c r="AI63" s="1312"/>
      <c r="AJ63" s="1312"/>
      <c r="AK63" s="1312"/>
      <c r="AL63" s="1312"/>
      <c r="AM63" s="1074"/>
    </row>
    <row r="64" spans="2:39" ht="14.25" hidden="1" thickBot="1" x14ac:dyDescent="0.3">
      <c r="B64" s="1608"/>
      <c r="C64" s="1635"/>
      <c r="D64" s="1613"/>
      <c r="E64" s="1313" t="s">
        <v>345</v>
      </c>
      <c r="F64" s="1314">
        <f t="shared" si="26"/>
        <v>0</v>
      </c>
      <c r="G64" s="1304">
        <f t="shared" ref="G64" si="27">IFERROR((F64-F63)/F63,0)</f>
        <v>0</v>
      </c>
      <c r="H64" s="1315"/>
      <c r="I64" s="1314"/>
      <c r="J64" s="1314"/>
      <c r="K64" s="1314"/>
      <c r="L64" s="1314"/>
      <c r="M64" s="1314"/>
      <c r="N64" s="1314"/>
      <c r="O64" s="1314"/>
      <c r="P64" s="1314"/>
      <c r="Q64" s="1314"/>
      <c r="R64" s="1314"/>
      <c r="S64" s="1314"/>
      <c r="T64" s="1314"/>
      <c r="U64" s="1314"/>
      <c r="V64" s="1314"/>
      <c r="W64" s="1314"/>
      <c r="X64" s="1314"/>
      <c r="Y64" s="1314"/>
      <c r="Z64" s="1314"/>
      <c r="AA64" s="1314"/>
      <c r="AB64" s="1314"/>
      <c r="AC64" s="1314"/>
      <c r="AD64" s="1314"/>
      <c r="AE64" s="1314"/>
      <c r="AF64" s="1314"/>
      <c r="AG64" s="1314"/>
      <c r="AH64" s="1314"/>
      <c r="AI64" s="1314"/>
      <c r="AJ64" s="1314"/>
      <c r="AK64" s="1314"/>
      <c r="AL64" s="1314"/>
      <c r="AM64" s="1074"/>
    </row>
    <row r="65" spans="2:39" ht="14.25" hidden="1" thickBot="1" x14ac:dyDescent="0.3">
      <c r="B65" s="1608"/>
      <c r="C65" s="1635"/>
      <c r="D65" s="1613" t="s">
        <v>47</v>
      </c>
      <c r="E65" s="1309" t="s">
        <v>346</v>
      </c>
      <c r="F65" s="206">
        <f>SUMIF($H$9:$AL$9,"&lt;="&amp;$C$7,H65:AL65)</f>
        <v>0</v>
      </c>
      <c r="G65" s="1311"/>
      <c r="H65" s="1316">
        <f t="shared" ref="H65:AL66" si="28">+H63*H60/1000</f>
        <v>0</v>
      </c>
      <c r="I65" s="1316">
        <f t="shared" si="28"/>
        <v>0</v>
      </c>
      <c r="J65" s="1316">
        <f t="shared" si="28"/>
        <v>0</v>
      </c>
      <c r="K65" s="1317">
        <f t="shared" si="28"/>
        <v>0</v>
      </c>
      <c r="L65" s="1317">
        <f t="shared" si="28"/>
        <v>0</v>
      </c>
      <c r="M65" s="1317">
        <f t="shared" si="28"/>
        <v>0</v>
      </c>
      <c r="N65" s="1317">
        <f t="shared" si="28"/>
        <v>0</v>
      </c>
      <c r="O65" s="1317">
        <f t="shared" si="28"/>
        <v>0</v>
      </c>
      <c r="P65" s="1318">
        <f t="shared" si="28"/>
        <v>0</v>
      </c>
      <c r="Q65" s="1317">
        <f t="shared" si="28"/>
        <v>0</v>
      </c>
      <c r="R65" s="1317">
        <f t="shared" si="28"/>
        <v>0</v>
      </c>
      <c r="S65" s="1317">
        <f t="shared" si="28"/>
        <v>0</v>
      </c>
      <c r="T65" s="1317">
        <f t="shared" si="28"/>
        <v>0</v>
      </c>
      <c r="U65" s="1317">
        <f t="shared" si="28"/>
        <v>0</v>
      </c>
      <c r="V65" s="1317">
        <f t="shared" si="28"/>
        <v>0</v>
      </c>
      <c r="W65" s="1317">
        <f>+W63*W60/1000</f>
        <v>0</v>
      </c>
      <c r="X65" s="1317">
        <f t="shared" si="28"/>
        <v>0</v>
      </c>
      <c r="Y65" s="1317">
        <f t="shared" si="28"/>
        <v>0</v>
      </c>
      <c r="Z65" s="1317">
        <f t="shared" si="28"/>
        <v>0</v>
      </c>
      <c r="AA65" s="1317">
        <f t="shared" si="28"/>
        <v>0</v>
      </c>
      <c r="AB65" s="1317">
        <f t="shared" si="28"/>
        <v>0</v>
      </c>
      <c r="AC65" s="1317">
        <f t="shared" si="28"/>
        <v>0</v>
      </c>
      <c r="AD65" s="1317">
        <f t="shared" si="28"/>
        <v>0</v>
      </c>
      <c r="AE65" s="1317">
        <f t="shared" si="28"/>
        <v>0</v>
      </c>
      <c r="AF65" s="1317">
        <f t="shared" si="28"/>
        <v>0</v>
      </c>
      <c r="AG65" s="1317">
        <f t="shared" si="28"/>
        <v>0</v>
      </c>
      <c r="AH65" s="1317">
        <f t="shared" si="28"/>
        <v>0</v>
      </c>
      <c r="AI65" s="1317">
        <f t="shared" si="28"/>
        <v>0</v>
      </c>
      <c r="AJ65" s="1317">
        <f t="shared" si="28"/>
        <v>0</v>
      </c>
      <c r="AK65" s="1317">
        <f t="shared" si="28"/>
        <v>0</v>
      </c>
      <c r="AL65" s="1319">
        <f t="shared" si="28"/>
        <v>0</v>
      </c>
      <c r="AM65" s="1078"/>
    </row>
    <row r="66" spans="2:39" ht="14.25" hidden="1" thickBot="1" x14ac:dyDescent="0.3">
      <c r="B66" s="1608"/>
      <c r="C66" s="1636"/>
      <c r="D66" s="1614"/>
      <c r="E66" s="1320" t="s">
        <v>347</v>
      </c>
      <c r="F66" s="1321">
        <f>SUMIF($H$9:$AL$9,"&lt;="&amp;$C$7,H66:AL66)</f>
        <v>0</v>
      </c>
      <c r="G66" s="1322">
        <f t="shared" ref="G66" si="29">IFERROR((F66-F65)/F65,0)</f>
        <v>0</v>
      </c>
      <c r="H66" s="1323">
        <f t="shared" si="28"/>
        <v>0</v>
      </c>
      <c r="I66" s="1321">
        <f t="shared" si="28"/>
        <v>0</v>
      </c>
      <c r="J66" s="1321">
        <f t="shared" si="28"/>
        <v>0</v>
      </c>
      <c r="K66" s="1321">
        <f t="shared" si="28"/>
        <v>0</v>
      </c>
      <c r="L66" s="1321">
        <f t="shared" si="28"/>
        <v>0</v>
      </c>
      <c r="M66" s="1321">
        <f t="shared" si="28"/>
        <v>0</v>
      </c>
      <c r="N66" s="1321">
        <f t="shared" si="28"/>
        <v>0</v>
      </c>
      <c r="O66" s="1321">
        <f t="shared" si="28"/>
        <v>0</v>
      </c>
      <c r="P66" s="1321">
        <f t="shared" si="28"/>
        <v>0</v>
      </c>
      <c r="Q66" s="1321">
        <f t="shared" si="28"/>
        <v>0</v>
      </c>
      <c r="R66" s="1321">
        <f t="shared" si="28"/>
        <v>0</v>
      </c>
      <c r="S66" s="1321">
        <f t="shared" si="28"/>
        <v>0</v>
      </c>
      <c r="T66" s="1321">
        <f t="shared" si="28"/>
        <v>0</v>
      </c>
      <c r="U66" s="1321">
        <f t="shared" si="28"/>
        <v>0</v>
      </c>
      <c r="V66" s="1321">
        <f t="shared" si="28"/>
        <v>0</v>
      </c>
      <c r="W66" s="1321">
        <f>+W64*W61/1000</f>
        <v>0</v>
      </c>
      <c r="X66" s="1321">
        <f t="shared" si="28"/>
        <v>0</v>
      </c>
      <c r="Y66" s="1321">
        <f t="shared" si="28"/>
        <v>0</v>
      </c>
      <c r="Z66" s="1321">
        <f t="shared" si="28"/>
        <v>0</v>
      </c>
      <c r="AA66" s="1321">
        <f t="shared" si="28"/>
        <v>0</v>
      </c>
      <c r="AB66" s="1321">
        <f t="shared" si="28"/>
        <v>0</v>
      </c>
      <c r="AC66" s="1321">
        <f t="shared" si="28"/>
        <v>0</v>
      </c>
      <c r="AD66" s="1321">
        <f t="shared" si="28"/>
        <v>0</v>
      </c>
      <c r="AE66" s="1321">
        <f t="shared" si="28"/>
        <v>0</v>
      </c>
      <c r="AF66" s="1321">
        <f t="shared" si="28"/>
        <v>0</v>
      </c>
      <c r="AG66" s="1321">
        <f t="shared" si="28"/>
        <v>0</v>
      </c>
      <c r="AH66" s="1321">
        <f t="shared" si="28"/>
        <v>0</v>
      </c>
      <c r="AI66" s="1321">
        <f t="shared" si="28"/>
        <v>0</v>
      </c>
      <c r="AJ66" s="1321">
        <f t="shared" si="28"/>
        <v>0</v>
      </c>
      <c r="AK66" s="1321">
        <f t="shared" si="28"/>
        <v>0</v>
      </c>
      <c r="AL66" s="1321">
        <f t="shared" si="28"/>
        <v>0</v>
      </c>
      <c r="AM66" s="1079"/>
    </row>
    <row r="67" spans="2:39" ht="14.25" thickBot="1" x14ac:dyDescent="0.3">
      <c r="B67" s="1630">
        <v>1</v>
      </c>
      <c r="C67" s="1625" t="str">
        <f>[1]Breaking.!A55</f>
        <v>5L_W11 STOPE</v>
      </c>
      <c r="D67" s="1628" t="s">
        <v>340</v>
      </c>
      <c r="E67" s="1104" t="s">
        <v>341</v>
      </c>
      <c r="F67" s="196">
        <f>SUMIF($H$9:$AL$9,"&lt;="&amp;$C$7,H67:AL67)</f>
        <v>1120</v>
      </c>
      <c r="G67" s="1071"/>
      <c r="H67" s="945">
        <f>[1]Breaking.!D55</f>
        <v>70</v>
      </c>
      <c r="I67" s="945">
        <f>[1]Breaking.!E55</f>
        <v>70</v>
      </c>
      <c r="J67" s="945">
        <f>[1]Breaking.!F55</f>
        <v>70</v>
      </c>
      <c r="K67" s="945">
        <f>[1]Breaking.!G55</f>
        <v>70</v>
      </c>
      <c r="L67" s="945">
        <f>[1]Breaking.!H55</f>
        <v>70</v>
      </c>
      <c r="M67" s="945">
        <f>[1]Breaking.!I55</f>
        <v>70</v>
      </c>
      <c r="N67" s="945">
        <f>[1]Breaking.!J55</f>
        <v>70</v>
      </c>
      <c r="O67" s="945">
        <f>[1]Breaking.!K55</f>
        <v>70</v>
      </c>
      <c r="P67" s="945">
        <f>[1]Breaking.!L55</f>
        <v>70</v>
      </c>
      <c r="Q67" s="945">
        <f>[1]Breaking.!M55</f>
        <v>70</v>
      </c>
      <c r="R67" s="945">
        <f>[1]Breaking.!N55</f>
        <v>70</v>
      </c>
      <c r="S67" s="945">
        <f>[1]Breaking.!O55</f>
        <v>70</v>
      </c>
      <c r="T67" s="945">
        <f>[1]Breaking.!P55</f>
        <v>70</v>
      </c>
      <c r="U67" s="945">
        <f>[1]Breaking.!Q55</f>
        <v>70</v>
      </c>
      <c r="V67" s="945">
        <f>[1]Breaking.!R55</f>
        <v>70</v>
      </c>
      <c r="W67" s="945">
        <f>[1]Breaking.!S55</f>
        <v>70</v>
      </c>
      <c r="X67" s="945">
        <f>[1]Breaking.!T55</f>
        <v>70</v>
      </c>
      <c r="Y67" s="945">
        <f>[1]Breaking.!U55</f>
        <v>70</v>
      </c>
      <c r="Z67" s="945">
        <f>[1]Breaking.!V55</f>
        <v>70</v>
      </c>
      <c r="AA67" s="945">
        <f>[1]Breaking.!W55</f>
        <v>70</v>
      </c>
      <c r="AB67" s="945">
        <f>[1]Breaking.!X55</f>
        <v>70</v>
      </c>
      <c r="AC67" s="945">
        <f>[1]Breaking.!Y55</f>
        <v>70</v>
      </c>
      <c r="AD67" s="945">
        <f>[1]Breaking.!Z55</f>
        <v>70</v>
      </c>
      <c r="AE67" s="945">
        <f>[1]Breaking.!AA55</f>
        <v>70</v>
      </c>
      <c r="AF67" s="945">
        <f>[1]Breaking.!AB55</f>
        <v>70</v>
      </c>
      <c r="AG67" s="945">
        <f>[1]Breaking.!AC55</f>
        <v>70</v>
      </c>
      <c r="AH67" s="945">
        <f>[1]Breaking.!AD55</f>
        <v>70</v>
      </c>
      <c r="AI67" s="945">
        <f>[1]Breaking.!AE55</f>
        <v>70</v>
      </c>
      <c r="AJ67" s="945">
        <f>[1]Breaking.!AF55</f>
        <v>70</v>
      </c>
      <c r="AK67" s="945">
        <f>[1]Breaking.!AG55</f>
        <v>70</v>
      </c>
      <c r="AL67" s="945">
        <f>[1]Breaking.!AH55</f>
        <v>70</v>
      </c>
      <c r="AM67" s="1105"/>
    </row>
    <row r="68" spans="2:39" ht="14.25" thickBot="1" x14ac:dyDescent="0.3">
      <c r="B68" s="1619"/>
      <c r="C68" s="1626"/>
      <c r="D68" s="1628"/>
      <c r="E68" s="1302" t="s">
        <v>342</v>
      </c>
      <c r="F68" s="1303">
        <f>SUMIF($H$9:$AL$9,"&lt;="&amp;$C$7,H68:AL68)</f>
        <v>412</v>
      </c>
      <c r="G68" s="1304">
        <f t="shared" ref="G68" si="30">IFERROR((F68-F67)/F67,0)</f>
        <v>-0.63214285714285712</v>
      </c>
      <c r="H68" s="1305"/>
      <c r="I68" s="1303"/>
      <c r="J68" s="1303"/>
      <c r="K68" s="1303">
        <v>0</v>
      </c>
      <c r="L68" s="1303">
        <v>38</v>
      </c>
      <c r="M68" s="1303">
        <v>44</v>
      </c>
      <c r="N68" s="1303">
        <v>52</v>
      </c>
      <c r="O68" s="1303">
        <v>0</v>
      </c>
      <c r="P68" s="1303">
        <v>0</v>
      </c>
      <c r="Q68" s="1303">
        <v>84</v>
      </c>
      <c r="R68" s="1303">
        <v>40</v>
      </c>
      <c r="S68" s="1303"/>
      <c r="T68" s="1303"/>
      <c r="U68" s="1303">
        <v>56</v>
      </c>
      <c r="V68" s="1303">
        <v>52</v>
      </c>
      <c r="W68" s="1303">
        <v>46</v>
      </c>
      <c r="X68" s="1303"/>
      <c r="Y68" s="1303"/>
      <c r="Z68" s="1303"/>
      <c r="AA68" s="1303"/>
      <c r="AB68" s="1303"/>
      <c r="AC68" s="1303"/>
      <c r="AD68" s="1303"/>
      <c r="AE68" s="1303"/>
      <c r="AF68" s="1303"/>
      <c r="AG68" s="1303"/>
      <c r="AH68" s="1303"/>
      <c r="AI68" s="1303"/>
      <c r="AJ68" s="1303"/>
      <c r="AK68" s="1303"/>
      <c r="AL68" s="1303"/>
      <c r="AM68" s="1074"/>
    </row>
    <row r="69" spans="2:39" ht="14.25" thickBot="1" x14ac:dyDescent="0.3">
      <c r="B69" s="1619"/>
      <c r="C69" s="1626"/>
      <c r="D69" s="1628"/>
      <c r="E69" s="1324" t="s">
        <v>312</v>
      </c>
      <c r="F69" s="1325"/>
      <c r="G69" s="1326"/>
      <c r="H69" s="1075"/>
      <c r="I69" s="1075"/>
      <c r="J69" s="1075"/>
      <c r="K69" s="1075"/>
      <c r="L69" s="1075"/>
      <c r="M69" s="1075"/>
      <c r="N69" s="1075"/>
      <c r="O69" s="1075"/>
      <c r="P69" s="1076"/>
      <c r="Q69" s="1075"/>
      <c r="R69" s="1075"/>
      <c r="S69" s="1075"/>
      <c r="T69" s="1075"/>
      <c r="U69" s="1075"/>
      <c r="V69" s="1075"/>
      <c r="W69" s="1075"/>
      <c r="X69" s="1075"/>
      <c r="Y69" s="1075"/>
      <c r="Z69" s="1075"/>
      <c r="AA69" s="1075"/>
      <c r="AB69" s="1075"/>
      <c r="AC69" s="1075"/>
      <c r="AD69" s="1075"/>
      <c r="AE69" s="1075"/>
      <c r="AF69" s="1075"/>
      <c r="AG69" s="1075"/>
      <c r="AH69" s="1075"/>
      <c r="AI69" s="1075"/>
      <c r="AJ69" s="1075"/>
      <c r="AK69" s="1075"/>
      <c r="AL69" s="1077"/>
      <c r="AM69" s="1108"/>
    </row>
    <row r="70" spans="2:39" ht="14.25" thickBot="1" x14ac:dyDescent="0.3">
      <c r="B70" s="1619"/>
      <c r="C70" s="1626"/>
      <c r="D70" s="1613" t="s">
        <v>343</v>
      </c>
      <c r="E70" s="1309" t="s">
        <v>344</v>
      </c>
      <c r="F70" s="1310">
        <f t="shared" ref="F70" si="31">IFERROR(F72*1000/F67,0)</f>
        <v>1.7476635514018695</v>
      </c>
      <c r="G70" s="1311"/>
      <c r="H70" s="1312">
        <f>[1]Breaking.!D56</f>
        <v>1.7476635514018692</v>
      </c>
      <c r="I70" s="1312">
        <f>[1]Breaking.!E56</f>
        <v>1.7476635514018692</v>
      </c>
      <c r="J70" s="1312">
        <f>[1]Breaking.!F56</f>
        <v>1.7476635514018692</v>
      </c>
      <c r="K70" s="1312">
        <f>[1]Breaking.!G56</f>
        <v>1.7476635514018692</v>
      </c>
      <c r="L70" s="1312">
        <f>[1]Breaking.!H56</f>
        <v>1.7476635514018692</v>
      </c>
      <c r="M70" s="1312">
        <f>[1]Breaking.!I56</f>
        <v>1.7476635514018692</v>
      </c>
      <c r="N70" s="1312">
        <f>[1]Breaking.!J56</f>
        <v>1.7476635514018692</v>
      </c>
      <c r="O70" s="1312">
        <f>[1]Breaking.!K56</f>
        <v>1.7476635514018692</v>
      </c>
      <c r="P70" s="1312">
        <f>[1]Breaking.!L56</f>
        <v>1.7476635514018692</v>
      </c>
      <c r="Q70" s="1312">
        <f>[1]Breaking.!M56</f>
        <v>1.7476635514018692</v>
      </c>
      <c r="R70" s="1312">
        <f>[1]Breaking.!N56</f>
        <v>1.7476635514018692</v>
      </c>
      <c r="S70" s="1312">
        <f>[1]Breaking.!O56</f>
        <v>1.7476635514018692</v>
      </c>
      <c r="T70" s="1312">
        <f>[1]Breaking.!P56</f>
        <v>1.7476635514018692</v>
      </c>
      <c r="U70" s="1312">
        <f>[1]Breaking.!Q56</f>
        <v>1.7476635514018692</v>
      </c>
      <c r="V70" s="1312">
        <f>[1]Breaking.!R56</f>
        <v>1.7476635514018692</v>
      </c>
      <c r="W70" s="1312">
        <f>[1]Breaking.!S56</f>
        <v>1.7476635514018692</v>
      </c>
      <c r="X70" s="1312">
        <f>[1]Breaking.!T56</f>
        <v>1.7476635514018692</v>
      </c>
      <c r="Y70" s="1312">
        <f>[1]Breaking.!U56</f>
        <v>1.7476635514018692</v>
      </c>
      <c r="Z70" s="1312">
        <f>[1]Breaking.!V56</f>
        <v>1.7476635514018692</v>
      </c>
      <c r="AA70" s="1312">
        <f>[1]Breaking.!W56</f>
        <v>1.7476635514018692</v>
      </c>
      <c r="AB70" s="1312">
        <f>[1]Breaking.!X56</f>
        <v>1.7476635514018692</v>
      </c>
      <c r="AC70" s="1312">
        <f>[1]Breaking.!Y56</f>
        <v>1.7476635514018692</v>
      </c>
      <c r="AD70" s="1312">
        <f>[1]Breaking.!Z56</f>
        <v>1.7476635514018692</v>
      </c>
      <c r="AE70" s="1312">
        <f>[1]Breaking.!AA56</f>
        <v>1.7476635514018692</v>
      </c>
      <c r="AF70" s="1312">
        <f>[1]Breaking.!AB56</f>
        <v>1.7476635514018692</v>
      </c>
      <c r="AG70" s="1312">
        <f>[1]Breaking.!AC56</f>
        <v>1.7476635514018692</v>
      </c>
      <c r="AH70" s="1312">
        <f>[1]Breaking.!AD56</f>
        <v>1.7476635514018692</v>
      </c>
      <c r="AI70" s="1312">
        <f>[1]Breaking.!AE56</f>
        <v>1.7476635514018692</v>
      </c>
      <c r="AJ70" s="1312">
        <f>[1]Breaking.!AF56</f>
        <v>1.7476635514018692</v>
      </c>
      <c r="AK70" s="1312">
        <f>[1]Breaking.!AG56</f>
        <v>1.7476635514018692</v>
      </c>
      <c r="AL70" s="1312">
        <f>[1]Breaking.!AH56</f>
        <v>1.7476635514018692</v>
      </c>
      <c r="AM70" s="1074"/>
    </row>
    <row r="71" spans="2:39" ht="14.25" thickBot="1" x14ac:dyDescent="0.3">
      <c r="B71" s="1619"/>
      <c r="C71" s="1626"/>
      <c r="D71" s="1613"/>
      <c r="E71" s="1313" t="s">
        <v>345</v>
      </c>
      <c r="F71" s="1314">
        <f>IFERROR(F73*1000/F68,0)</f>
        <v>0.41155339805825242</v>
      </c>
      <c r="G71" s="1304">
        <f t="shared" ref="G71" si="32">IFERROR((F71-F70)/F70,0)</f>
        <v>-0.7645122267795027</v>
      </c>
      <c r="H71" s="1315"/>
      <c r="I71" s="1314"/>
      <c r="J71" s="1314"/>
      <c r="K71" s="1314"/>
      <c r="L71" s="1314"/>
      <c r="M71" s="1314"/>
      <c r="N71" s="1314"/>
      <c r="O71" s="1314"/>
      <c r="P71" s="1314"/>
      <c r="Q71" s="1314"/>
      <c r="R71" s="1314"/>
      <c r="S71" s="1314"/>
      <c r="T71" s="1314"/>
      <c r="U71" s="1314">
        <v>1.57</v>
      </c>
      <c r="V71" s="1314">
        <v>1.57</v>
      </c>
      <c r="W71" s="1314"/>
      <c r="X71" s="1314"/>
      <c r="Y71" s="1314"/>
      <c r="Z71" s="1314"/>
      <c r="AA71" s="1314"/>
      <c r="AB71" s="1314"/>
      <c r="AC71" s="1314"/>
      <c r="AD71" s="1314"/>
      <c r="AE71" s="1314"/>
      <c r="AF71" s="1314"/>
      <c r="AG71" s="1314"/>
      <c r="AH71" s="1314"/>
      <c r="AI71" s="1314"/>
      <c r="AJ71" s="1314"/>
      <c r="AK71" s="1314"/>
      <c r="AL71" s="1314"/>
      <c r="AM71" s="1074"/>
    </row>
    <row r="72" spans="2:39" ht="14.25" thickBot="1" x14ac:dyDescent="0.3">
      <c r="B72" s="1619"/>
      <c r="C72" s="1626"/>
      <c r="D72" s="1613" t="s">
        <v>47</v>
      </c>
      <c r="E72" s="1309" t="s">
        <v>346</v>
      </c>
      <c r="F72" s="206">
        <f>SUMIF($H$9:$AL$9,"&lt;="&amp;$C$7,H72:AL72)</f>
        <v>1.9573831775700936</v>
      </c>
      <c r="G72" s="1311"/>
      <c r="H72" s="1316">
        <f t="shared" ref="H72:AL73" si="33">+H70*H67/1000</f>
        <v>0.12233644859813084</v>
      </c>
      <c r="I72" s="1316">
        <f t="shared" si="33"/>
        <v>0.12233644859813084</v>
      </c>
      <c r="J72" s="1316">
        <f t="shared" si="33"/>
        <v>0.12233644859813084</v>
      </c>
      <c r="K72" s="1317">
        <f t="shared" si="33"/>
        <v>0.12233644859813084</v>
      </c>
      <c r="L72" s="1317">
        <f t="shared" si="33"/>
        <v>0.12233644859813084</v>
      </c>
      <c r="M72" s="1317">
        <f t="shared" si="33"/>
        <v>0.12233644859813084</v>
      </c>
      <c r="N72" s="1317">
        <f t="shared" si="33"/>
        <v>0.12233644859813084</v>
      </c>
      <c r="O72" s="1317">
        <f t="shared" si="33"/>
        <v>0.12233644859813084</v>
      </c>
      <c r="P72" s="1318">
        <f t="shared" si="33"/>
        <v>0.12233644859813084</v>
      </c>
      <c r="Q72" s="1317">
        <f t="shared" si="33"/>
        <v>0.12233644859813084</v>
      </c>
      <c r="R72" s="1317">
        <f t="shared" si="33"/>
        <v>0.12233644859813084</v>
      </c>
      <c r="S72" s="1317">
        <f t="shared" si="33"/>
        <v>0.12233644859813084</v>
      </c>
      <c r="T72" s="1317">
        <f t="shared" si="33"/>
        <v>0.12233644859813084</v>
      </c>
      <c r="U72" s="1317">
        <f t="shared" si="33"/>
        <v>0.12233644859813084</v>
      </c>
      <c r="V72" s="1317">
        <f t="shared" si="33"/>
        <v>0.12233644859813084</v>
      </c>
      <c r="W72" s="1317">
        <f>+W70*W67/1000</f>
        <v>0.12233644859813084</v>
      </c>
      <c r="X72" s="1317">
        <f t="shared" si="33"/>
        <v>0.12233644859813084</v>
      </c>
      <c r="Y72" s="1317">
        <f t="shared" si="33"/>
        <v>0.12233644859813084</v>
      </c>
      <c r="Z72" s="1317">
        <f t="shared" si="33"/>
        <v>0.12233644859813084</v>
      </c>
      <c r="AA72" s="1317">
        <f t="shared" si="33"/>
        <v>0.12233644859813084</v>
      </c>
      <c r="AB72" s="1317">
        <f t="shared" si="33"/>
        <v>0.12233644859813084</v>
      </c>
      <c r="AC72" s="1317">
        <f t="shared" si="33"/>
        <v>0.12233644859813084</v>
      </c>
      <c r="AD72" s="1317">
        <f t="shared" si="33"/>
        <v>0.12233644859813084</v>
      </c>
      <c r="AE72" s="1317">
        <f t="shared" si="33"/>
        <v>0.12233644859813084</v>
      </c>
      <c r="AF72" s="1317">
        <f t="shared" si="33"/>
        <v>0.12233644859813084</v>
      </c>
      <c r="AG72" s="1317">
        <f t="shared" si="33"/>
        <v>0.12233644859813084</v>
      </c>
      <c r="AH72" s="1317">
        <f t="shared" si="33"/>
        <v>0.12233644859813084</v>
      </c>
      <c r="AI72" s="1317">
        <f t="shared" si="33"/>
        <v>0.12233644859813084</v>
      </c>
      <c r="AJ72" s="1317">
        <f t="shared" si="33"/>
        <v>0.12233644859813084</v>
      </c>
      <c r="AK72" s="1317">
        <f t="shared" si="33"/>
        <v>0.12233644859813084</v>
      </c>
      <c r="AL72" s="1319">
        <f t="shared" si="33"/>
        <v>0.12233644859813084</v>
      </c>
      <c r="AM72" s="1078"/>
    </row>
    <row r="73" spans="2:39" ht="14.25" thickBot="1" x14ac:dyDescent="0.3">
      <c r="B73" s="1619"/>
      <c r="C73" s="1627"/>
      <c r="D73" s="1614"/>
      <c r="E73" s="1320" t="s">
        <v>347</v>
      </c>
      <c r="F73" s="1321">
        <f>SUMIF($H$9:$AL$9,"&lt;="&amp;$C$7,H73:AL73)</f>
        <v>0.16955999999999999</v>
      </c>
      <c r="G73" s="1322">
        <f t="shared" ref="G73" si="34">IFERROR((F73-F72)/F72,0)</f>
        <v>-0.91337414056531707</v>
      </c>
      <c r="H73" s="1323">
        <f t="shared" si="33"/>
        <v>0</v>
      </c>
      <c r="I73" s="1321">
        <f t="shared" si="33"/>
        <v>0</v>
      </c>
      <c r="J73" s="1321">
        <f t="shared" si="33"/>
        <v>0</v>
      </c>
      <c r="K73" s="1321">
        <f t="shared" si="33"/>
        <v>0</v>
      </c>
      <c r="L73" s="1321">
        <f t="shared" si="33"/>
        <v>0</v>
      </c>
      <c r="M73" s="1321">
        <f t="shared" si="33"/>
        <v>0</v>
      </c>
      <c r="N73" s="1321">
        <f t="shared" si="33"/>
        <v>0</v>
      </c>
      <c r="O73" s="1321">
        <f t="shared" si="33"/>
        <v>0</v>
      </c>
      <c r="P73" s="1321">
        <f t="shared" si="33"/>
        <v>0</v>
      </c>
      <c r="Q73" s="1321">
        <f t="shared" si="33"/>
        <v>0</v>
      </c>
      <c r="R73" s="1321">
        <f>+R71*R68/1000</f>
        <v>0</v>
      </c>
      <c r="S73" s="1321">
        <f>+S71*S68/1000</f>
        <v>0</v>
      </c>
      <c r="T73" s="1321">
        <f>+T71*T68/1000</f>
        <v>0</v>
      </c>
      <c r="U73" s="1321">
        <f>+U71*U68/1000</f>
        <v>8.7919999999999998E-2</v>
      </c>
      <c r="V73" s="1321">
        <f t="shared" si="33"/>
        <v>8.1640000000000004E-2</v>
      </c>
      <c r="W73" s="1321">
        <f>+W71*W68/1000</f>
        <v>0</v>
      </c>
      <c r="X73" s="1321">
        <f t="shared" si="33"/>
        <v>0</v>
      </c>
      <c r="Y73" s="1321">
        <f t="shared" si="33"/>
        <v>0</v>
      </c>
      <c r="Z73" s="1321">
        <f t="shared" si="33"/>
        <v>0</v>
      </c>
      <c r="AA73" s="1321">
        <f t="shared" si="33"/>
        <v>0</v>
      </c>
      <c r="AB73" s="1321">
        <f t="shared" si="33"/>
        <v>0</v>
      </c>
      <c r="AC73" s="1321">
        <f t="shared" si="33"/>
        <v>0</v>
      </c>
      <c r="AD73" s="1321">
        <f t="shared" si="33"/>
        <v>0</v>
      </c>
      <c r="AE73" s="1321">
        <f t="shared" si="33"/>
        <v>0</v>
      </c>
      <c r="AF73" s="1321">
        <f t="shared" si="33"/>
        <v>0</v>
      </c>
      <c r="AG73" s="1321">
        <f t="shared" si="33"/>
        <v>0</v>
      </c>
      <c r="AH73" s="1321">
        <f t="shared" si="33"/>
        <v>0</v>
      </c>
      <c r="AI73" s="1321">
        <f t="shared" si="33"/>
        <v>0</v>
      </c>
      <c r="AJ73" s="1321">
        <f t="shared" si="33"/>
        <v>0</v>
      </c>
      <c r="AK73" s="1321">
        <f t="shared" si="33"/>
        <v>0</v>
      </c>
      <c r="AL73" s="1321">
        <f t="shared" si="33"/>
        <v>0</v>
      </c>
      <c r="AM73" s="1079"/>
    </row>
    <row r="74" spans="2:39" ht="14.25" thickBot="1" x14ac:dyDescent="0.3">
      <c r="B74" s="1632">
        <v>1</v>
      </c>
      <c r="C74" s="1625" t="str">
        <f>[1]Breaking.!A53</f>
        <v>5L_W8 STOPE</v>
      </c>
      <c r="D74" s="1628" t="s">
        <v>340</v>
      </c>
      <c r="E74" s="1104" t="s">
        <v>341</v>
      </c>
      <c r="F74" s="196">
        <f>SUMIF($H$9:$AL$9,"&lt;="&amp;$C$7,H74:AL74)</f>
        <v>280</v>
      </c>
      <c r="G74" s="1071"/>
      <c r="H74" s="1111">
        <f>[1]Breaking.!D53</f>
        <v>0</v>
      </c>
      <c r="I74" s="1111">
        <f>[1]Breaking.!E53</f>
        <v>0</v>
      </c>
      <c r="J74" s="1111">
        <f>[1]Breaking.!F53</f>
        <v>0</v>
      </c>
      <c r="K74" s="1111">
        <f>[1]Breaking.!G53</f>
        <v>0</v>
      </c>
      <c r="L74" s="1111">
        <f>[1]Breaking.!H53</f>
        <v>0</v>
      </c>
      <c r="M74" s="1111">
        <f>[1]Breaking.!I53</f>
        <v>0</v>
      </c>
      <c r="N74" s="1111">
        <f>[1]Breaking.!J53</f>
        <v>0</v>
      </c>
      <c r="O74" s="1111">
        <f>[1]Breaking.!K53</f>
        <v>0</v>
      </c>
      <c r="P74" s="1111">
        <f>[1]Breaking.!L53</f>
        <v>0</v>
      </c>
      <c r="Q74" s="1111">
        <f>[1]Breaking.!M53</f>
        <v>0</v>
      </c>
      <c r="R74" s="1111">
        <f>[1]Breaking.!N53</f>
        <v>0</v>
      </c>
      <c r="S74" s="1111">
        <f>[1]Breaking.!O53</f>
        <v>0</v>
      </c>
      <c r="T74" s="1111">
        <f>[1]Breaking.!P53</f>
        <v>70</v>
      </c>
      <c r="U74" s="1111">
        <f>[1]Breaking.!Q53</f>
        <v>70</v>
      </c>
      <c r="V74" s="1111">
        <f>[1]Breaking.!R53</f>
        <v>70</v>
      </c>
      <c r="W74" s="1111">
        <f>[1]Breaking.!S53</f>
        <v>70</v>
      </c>
      <c r="X74" s="1111">
        <f>[1]Breaking.!T53</f>
        <v>70</v>
      </c>
      <c r="Y74" s="1111">
        <f>[1]Breaking.!U53</f>
        <v>70</v>
      </c>
      <c r="Z74" s="1111">
        <f>[1]Breaking.!V53</f>
        <v>70</v>
      </c>
      <c r="AA74" s="1111">
        <f>[1]Breaking.!W53</f>
        <v>70</v>
      </c>
      <c r="AB74" s="1111">
        <f>[1]Breaking.!X53</f>
        <v>70</v>
      </c>
      <c r="AC74" s="1111">
        <f>[1]Breaking.!Y53</f>
        <v>70</v>
      </c>
      <c r="AD74" s="1111">
        <f>[1]Breaking.!Z53</f>
        <v>70</v>
      </c>
      <c r="AE74" s="1111">
        <f>[1]Breaking.!AA53</f>
        <v>70</v>
      </c>
      <c r="AF74" s="1111">
        <f>[1]Breaking.!AB53</f>
        <v>70</v>
      </c>
      <c r="AG74" s="1111">
        <f>[1]Breaking.!AC53</f>
        <v>70</v>
      </c>
      <c r="AH74" s="1111">
        <f>[1]Breaking.!AD53</f>
        <v>70</v>
      </c>
      <c r="AI74" s="1111">
        <f>[1]Breaking.!AE53</f>
        <v>70</v>
      </c>
      <c r="AJ74" s="1111">
        <f>[1]Breaking.!AF53</f>
        <v>70</v>
      </c>
      <c r="AK74" s="1111">
        <f>[1]Breaking.!AG53</f>
        <v>70</v>
      </c>
      <c r="AL74" s="1111">
        <f>[1]Breaking.!AH53</f>
        <v>70</v>
      </c>
      <c r="AM74" s="1105"/>
    </row>
    <row r="75" spans="2:39" ht="14.25" thickBot="1" x14ac:dyDescent="0.3">
      <c r="B75" s="1633"/>
      <c r="C75" s="1626"/>
      <c r="D75" s="1628"/>
      <c r="E75" s="1302" t="s">
        <v>342</v>
      </c>
      <c r="F75" s="1303">
        <f>SUMIF($H$9:$AL$9,"&lt;="&amp;$C$7,H75:AL75)</f>
        <v>1208</v>
      </c>
      <c r="G75" s="1304">
        <f>IFERROR((F75-F74)/F74,0)</f>
        <v>3.3142857142857145</v>
      </c>
      <c r="H75" s="1305">
        <v>38</v>
      </c>
      <c r="I75" s="1303">
        <v>44</v>
      </c>
      <c r="J75" s="1303">
        <v>47</v>
      </c>
      <c r="K75" s="1303">
        <v>38</v>
      </c>
      <c r="L75" s="1303">
        <v>38</v>
      </c>
      <c r="M75" s="1303">
        <f>79+18</f>
        <v>97</v>
      </c>
      <c r="N75" s="1303">
        <f>43+18</f>
        <v>61</v>
      </c>
      <c r="O75" s="1303">
        <f>111+67</f>
        <v>178</v>
      </c>
      <c r="P75" s="1303">
        <v>80</v>
      </c>
      <c r="Q75" s="1303">
        <v>42</v>
      </c>
      <c r="R75" s="1303">
        <v>60</v>
      </c>
      <c r="S75" s="1303">
        <v>68</v>
      </c>
      <c r="T75" s="1303">
        <f>46+54</f>
        <v>100</v>
      </c>
      <c r="U75" s="1303">
        <v>150</v>
      </c>
      <c r="V75" s="1303">
        <v>99</v>
      </c>
      <c r="W75" s="1303">
        <v>68</v>
      </c>
      <c r="X75" s="1303"/>
      <c r="Y75" s="1303"/>
      <c r="Z75" s="1303"/>
      <c r="AA75" s="1303"/>
      <c r="AB75" s="1303"/>
      <c r="AC75" s="1303"/>
      <c r="AD75" s="1303"/>
      <c r="AE75" s="1303"/>
      <c r="AF75" s="1303"/>
      <c r="AG75" s="1303"/>
      <c r="AH75" s="1303"/>
      <c r="AI75" s="1303"/>
      <c r="AJ75" s="1303"/>
      <c r="AK75" s="1303"/>
      <c r="AL75" s="1303"/>
      <c r="AM75" s="1074"/>
    </row>
    <row r="76" spans="2:39" ht="14.25" thickBot="1" x14ac:dyDescent="0.3">
      <c r="B76" s="1633"/>
      <c r="C76" s="1626"/>
      <c r="D76" s="1628"/>
      <c r="E76" s="1324" t="s">
        <v>312</v>
      </c>
      <c r="F76" s="1325"/>
      <c r="G76" s="1326"/>
      <c r="H76" s="1075"/>
      <c r="I76" s="1075"/>
      <c r="J76" s="1075"/>
      <c r="K76" s="1075"/>
      <c r="L76" s="1075"/>
      <c r="M76" s="1075"/>
      <c r="N76" s="1075"/>
      <c r="O76" s="1075"/>
      <c r="P76" s="1076"/>
      <c r="Q76" s="1075"/>
      <c r="R76" s="1075"/>
      <c r="S76" s="1075"/>
      <c r="T76" s="1075"/>
      <c r="U76" s="1075"/>
      <c r="V76" s="1075"/>
      <c r="W76" s="1075"/>
      <c r="X76" s="1075"/>
      <c r="Y76" s="1075"/>
      <c r="Z76" s="1075"/>
      <c r="AA76" s="1075"/>
      <c r="AB76" s="1075"/>
      <c r="AC76" s="1075"/>
      <c r="AD76" s="1075"/>
      <c r="AE76" s="1075"/>
      <c r="AF76" s="1075"/>
      <c r="AG76" s="1075"/>
      <c r="AH76" s="1075"/>
      <c r="AI76" s="1075"/>
      <c r="AJ76" s="1075"/>
      <c r="AK76" s="1075"/>
      <c r="AL76" s="1077"/>
      <c r="AM76" s="1108"/>
    </row>
    <row r="77" spans="2:39" ht="14.25" thickBot="1" x14ac:dyDescent="0.3">
      <c r="B77" s="1633"/>
      <c r="C77" s="1626"/>
      <c r="D77" s="1613" t="s">
        <v>343</v>
      </c>
      <c r="E77" s="1309" t="s">
        <v>344</v>
      </c>
      <c r="F77" s="1310">
        <f>IFERROR(F79*1000/F74,0)</f>
        <v>1.6682242990654204</v>
      </c>
      <c r="G77" s="1311"/>
      <c r="H77" s="1312">
        <f>[1]Breaking.!D54</f>
        <v>0</v>
      </c>
      <c r="I77" s="1312">
        <f>[1]Breaking.!E54</f>
        <v>0</v>
      </c>
      <c r="J77" s="1312">
        <f>[1]Breaking.!F54</f>
        <v>0</v>
      </c>
      <c r="K77" s="1312">
        <f>[1]Breaking.!G54</f>
        <v>0</v>
      </c>
      <c r="L77" s="1312">
        <f>[1]Breaking.!H54</f>
        <v>0</v>
      </c>
      <c r="M77" s="1312">
        <f>[1]Breaking.!I54</f>
        <v>0</v>
      </c>
      <c r="N77" s="1312">
        <f>[1]Breaking.!J54</f>
        <v>0</v>
      </c>
      <c r="O77" s="1312">
        <f>[1]Breaking.!K54</f>
        <v>0</v>
      </c>
      <c r="P77" s="1312">
        <f>[1]Breaking.!L54</f>
        <v>0</v>
      </c>
      <c r="Q77" s="1312">
        <f>[1]Breaking.!M54</f>
        <v>0</v>
      </c>
      <c r="R77" s="1312">
        <f>[1]Breaking.!N54</f>
        <v>0</v>
      </c>
      <c r="S77" s="1312">
        <f>[1]Breaking.!O54</f>
        <v>0</v>
      </c>
      <c r="T77" s="1312">
        <f>[1]Breaking.!P54</f>
        <v>1.6682242990654204</v>
      </c>
      <c r="U77" s="1312">
        <f>[1]Breaking.!Q54</f>
        <v>1.6682242990654204</v>
      </c>
      <c r="V77" s="1312">
        <f>[1]Breaking.!R54</f>
        <v>1.6682242990654204</v>
      </c>
      <c r="W77" s="1312">
        <f>[1]Breaking.!S54</f>
        <v>1.6682242990654204</v>
      </c>
      <c r="X77" s="1312">
        <f>[1]Breaking.!T54</f>
        <v>1.6682242990654204</v>
      </c>
      <c r="Y77" s="1312">
        <f>[1]Breaking.!U54</f>
        <v>1.6682242990654204</v>
      </c>
      <c r="Z77" s="1312">
        <f>[1]Breaking.!V54</f>
        <v>1.6682242990654204</v>
      </c>
      <c r="AA77" s="1312">
        <f>[1]Breaking.!W54</f>
        <v>1.6682242990654204</v>
      </c>
      <c r="AB77" s="1312">
        <f>[1]Breaking.!X54</f>
        <v>1.6682242990654204</v>
      </c>
      <c r="AC77" s="1312">
        <f>[1]Breaking.!Y54</f>
        <v>1.6682242990654204</v>
      </c>
      <c r="AD77" s="1312">
        <f>[1]Breaking.!Z54</f>
        <v>1.6682242990654204</v>
      </c>
      <c r="AE77" s="1312">
        <f>[1]Breaking.!AA54</f>
        <v>1.6682242990654204</v>
      </c>
      <c r="AF77" s="1312">
        <f>[1]Breaking.!AB54</f>
        <v>1.6682242990654204</v>
      </c>
      <c r="AG77" s="1312">
        <f>[1]Breaking.!AC54</f>
        <v>1.6682242990654204</v>
      </c>
      <c r="AH77" s="1312">
        <f>[1]Breaking.!AD54</f>
        <v>1.6682242990654204</v>
      </c>
      <c r="AI77" s="1312">
        <f>[1]Breaking.!AE54</f>
        <v>1.6682242990654204</v>
      </c>
      <c r="AJ77" s="1312">
        <f>[1]Breaking.!AF54</f>
        <v>1.6682242990654204</v>
      </c>
      <c r="AK77" s="1312">
        <f>[1]Breaking.!AG54</f>
        <v>1.6682242990654204</v>
      </c>
      <c r="AL77" s="1312">
        <f>[1]Breaking.!AH54</f>
        <v>1.6682242990654204</v>
      </c>
      <c r="AM77" s="1074"/>
    </row>
    <row r="78" spans="2:39" ht="14.25" thickBot="1" x14ac:dyDescent="0.3">
      <c r="B78" s="1633"/>
      <c r="C78" s="1626"/>
      <c r="D78" s="1613"/>
      <c r="E78" s="1313" t="s">
        <v>345</v>
      </c>
      <c r="F78" s="1314">
        <f>IFERROR(F80*1000/F75,0)</f>
        <v>2.0294701986754964</v>
      </c>
      <c r="G78" s="1304">
        <f>IFERROR((F78-F77)/F77,0)</f>
        <v>0.21654516111080191</v>
      </c>
      <c r="H78" s="1315"/>
      <c r="I78" s="1314"/>
      <c r="J78" s="1314">
        <v>2.33</v>
      </c>
      <c r="K78" s="1314">
        <v>2.33</v>
      </c>
      <c r="L78" s="1314">
        <v>1.58</v>
      </c>
      <c r="M78" s="1314">
        <v>1.58</v>
      </c>
      <c r="N78" s="1314">
        <v>2.3199999999999998</v>
      </c>
      <c r="O78" s="1314">
        <v>2.5299999999999998</v>
      </c>
      <c r="P78" s="1314">
        <v>1.24</v>
      </c>
      <c r="Q78" s="1314">
        <v>0.62</v>
      </c>
      <c r="R78" s="1314">
        <v>0.54</v>
      </c>
      <c r="S78" s="1314">
        <v>3.8</v>
      </c>
      <c r="T78" s="1314">
        <v>3.8</v>
      </c>
      <c r="U78" s="1314">
        <v>2.93</v>
      </c>
      <c r="V78" s="1314">
        <v>2.15</v>
      </c>
      <c r="W78" s="1314"/>
      <c r="X78" s="1314"/>
      <c r="Y78" s="1314"/>
      <c r="Z78" s="1314"/>
      <c r="AA78" s="1314"/>
      <c r="AB78" s="1314"/>
      <c r="AC78" s="1314"/>
      <c r="AD78" s="1314"/>
      <c r="AE78" s="1314"/>
      <c r="AF78" s="1314"/>
      <c r="AG78" s="1314"/>
      <c r="AH78" s="1314"/>
      <c r="AI78" s="1314"/>
      <c r="AJ78" s="1314"/>
      <c r="AK78" s="1314"/>
      <c r="AL78" s="1314"/>
      <c r="AM78" s="1074"/>
    </row>
    <row r="79" spans="2:39" ht="14.25" thickBot="1" x14ac:dyDescent="0.3">
      <c r="B79" s="1633"/>
      <c r="C79" s="1626"/>
      <c r="D79" s="1613" t="s">
        <v>47</v>
      </c>
      <c r="E79" s="1309" t="s">
        <v>346</v>
      </c>
      <c r="F79" s="206">
        <f>SUMIF($H$9:$AL$9,"&lt;="&amp;$C$7,H79:AL79)</f>
        <v>0.4671028037383177</v>
      </c>
      <c r="G79" s="1311"/>
      <c r="H79" s="1316">
        <f t="shared" ref="H79:AL80" si="35">+H77*H74/1000</f>
        <v>0</v>
      </c>
      <c r="I79" s="1316">
        <f t="shared" si="35"/>
        <v>0</v>
      </c>
      <c r="J79" s="1316">
        <f t="shared" si="35"/>
        <v>0</v>
      </c>
      <c r="K79" s="1317">
        <f t="shared" si="35"/>
        <v>0</v>
      </c>
      <c r="L79" s="1317">
        <f t="shared" si="35"/>
        <v>0</v>
      </c>
      <c r="M79" s="1317">
        <f t="shared" si="35"/>
        <v>0</v>
      </c>
      <c r="N79" s="1317">
        <f t="shared" si="35"/>
        <v>0</v>
      </c>
      <c r="O79" s="1317">
        <f t="shared" si="35"/>
        <v>0</v>
      </c>
      <c r="P79" s="1318">
        <f t="shared" si="35"/>
        <v>0</v>
      </c>
      <c r="Q79" s="1317">
        <f t="shared" si="35"/>
        <v>0</v>
      </c>
      <c r="R79" s="1317">
        <f t="shared" si="35"/>
        <v>0</v>
      </c>
      <c r="S79" s="1317">
        <f t="shared" si="35"/>
        <v>0</v>
      </c>
      <c r="T79" s="1317">
        <f t="shared" si="35"/>
        <v>0.11677570093457942</v>
      </c>
      <c r="U79" s="1317">
        <f t="shared" si="35"/>
        <v>0.11677570093457942</v>
      </c>
      <c r="V79" s="1317">
        <f t="shared" si="35"/>
        <v>0.11677570093457942</v>
      </c>
      <c r="W79" s="1317">
        <f t="shared" si="35"/>
        <v>0.11677570093457942</v>
      </c>
      <c r="X79" s="1317">
        <f t="shared" si="35"/>
        <v>0.11677570093457942</v>
      </c>
      <c r="Y79" s="1317">
        <f t="shared" si="35"/>
        <v>0.11677570093457942</v>
      </c>
      <c r="Z79" s="1317">
        <f t="shared" si="35"/>
        <v>0.11677570093457942</v>
      </c>
      <c r="AA79" s="1317">
        <f t="shared" si="35"/>
        <v>0.11677570093457942</v>
      </c>
      <c r="AB79" s="1317">
        <f t="shared" si="35"/>
        <v>0.11677570093457942</v>
      </c>
      <c r="AC79" s="1317">
        <f t="shared" si="35"/>
        <v>0.11677570093457942</v>
      </c>
      <c r="AD79" s="1317">
        <f t="shared" si="35"/>
        <v>0.11677570093457942</v>
      </c>
      <c r="AE79" s="1317">
        <f t="shared" si="35"/>
        <v>0.11677570093457942</v>
      </c>
      <c r="AF79" s="1317">
        <f t="shared" si="35"/>
        <v>0.11677570093457942</v>
      </c>
      <c r="AG79" s="1317">
        <f t="shared" si="35"/>
        <v>0.11677570093457942</v>
      </c>
      <c r="AH79" s="1317">
        <f t="shared" si="35"/>
        <v>0.11677570093457942</v>
      </c>
      <c r="AI79" s="1317">
        <f t="shared" si="35"/>
        <v>0.11677570093457942</v>
      </c>
      <c r="AJ79" s="1317">
        <f t="shared" si="35"/>
        <v>0.11677570093457942</v>
      </c>
      <c r="AK79" s="1317">
        <f t="shared" si="35"/>
        <v>0.11677570093457942</v>
      </c>
      <c r="AL79" s="1319">
        <f t="shared" si="35"/>
        <v>0.11677570093457942</v>
      </c>
      <c r="AM79" s="1078"/>
    </row>
    <row r="80" spans="2:39" ht="14.25" thickBot="1" x14ac:dyDescent="0.3">
      <c r="B80" s="1633"/>
      <c r="C80" s="1627"/>
      <c r="D80" s="1614"/>
      <c r="E80" s="1320" t="s">
        <v>347</v>
      </c>
      <c r="F80" s="1321">
        <f>SUMIF($H$9:$AL$9,"&lt;="&amp;$C$7,H80:AL80)</f>
        <v>2.4515999999999996</v>
      </c>
      <c r="G80" s="1322">
        <f>IFERROR((F80-F79)/F79,0)</f>
        <v>4.2485234093637452</v>
      </c>
      <c r="H80" s="1323">
        <f t="shared" si="35"/>
        <v>0</v>
      </c>
      <c r="I80" s="1321">
        <f t="shared" si="35"/>
        <v>0</v>
      </c>
      <c r="J80" s="1321">
        <f t="shared" si="35"/>
        <v>0.10951000000000001</v>
      </c>
      <c r="K80" s="1321">
        <f t="shared" si="35"/>
        <v>8.8540000000000008E-2</v>
      </c>
      <c r="L80" s="1321">
        <f t="shared" si="35"/>
        <v>6.0040000000000003E-2</v>
      </c>
      <c r="M80" s="1321">
        <f t="shared" si="35"/>
        <v>0.15326000000000001</v>
      </c>
      <c r="N80" s="1329">
        <f>+N78*N75/1000</f>
        <v>0.14151999999999998</v>
      </c>
      <c r="O80" s="1321">
        <f>+O78*O75/1000</f>
        <v>0.45033999999999996</v>
      </c>
      <c r="P80" s="1321">
        <f t="shared" si="35"/>
        <v>9.9199999999999997E-2</v>
      </c>
      <c r="Q80" s="1321">
        <f t="shared" si="35"/>
        <v>2.6040000000000001E-2</v>
      </c>
      <c r="R80" s="1321">
        <f t="shared" si="35"/>
        <v>3.2400000000000005E-2</v>
      </c>
      <c r="S80" s="1321">
        <f t="shared" si="35"/>
        <v>0.25839999999999996</v>
      </c>
      <c r="T80" s="1321">
        <f t="shared" si="35"/>
        <v>0.38</v>
      </c>
      <c r="U80" s="1321">
        <f t="shared" si="35"/>
        <v>0.4395</v>
      </c>
      <c r="V80" s="1321">
        <f t="shared" si="35"/>
        <v>0.21284999999999998</v>
      </c>
      <c r="W80" s="1321">
        <f t="shared" si="35"/>
        <v>0</v>
      </c>
      <c r="X80" s="1321">
        <f t="shared" si="35"/>
        <v>0</v>
      </c>
      <c r="Y80" s="1321">
        <f t="shared" si="35"/>
        <v>0</v>
      </c>
      <c r="Z80" s="1321">
        <f t="shared" si="35"/>
        <v>0</v>
      </c>
      <c r="AA80" s="1321">
        <f t="shared" si="35"/>
        <v>0</v>
      </c>
      <c r="AB80" s="1321">
        <f t="shared" si="35"/>
        <v>0</v>
      </c>
      <c r="AC80" s="1321">
        <f t="shared" si="35"/>
        <v>0</v>
      </c>
      <c r="AD80" s="1321">
        <f t="shared" si="35"/>
        <v>0</v>
      </c>
      <c r="AE80" s="1321">
        <f t="shared" si="35"/>
        <v>0</v>
      </c>
      <c r="AF80" s="1321">
        <f t="shared" si="35"/>
        <v>0</v>
      </c>
      <c r="AG80" s="1321">
        <f t="shared" si="35"/>
        <v>0</v>
      </c>
      <c r="AH80" s="1321">
        <f t="shared" si="35"/>
        <v>0</v>
      </c>
      <c r="AI80" s="1321">
        <f t="shared" si="35"/>
        <v>0</v>
      </c>
      <c r="AJ80" s="1321">
        <f t="shared" si="35"/>
        <v>0</v>
      </c>
      <c r="AK80" s="1321">
        <f t="shared" si="35"/>
        <v>0</v>
      </c>
      <c r="AL80" s="1321">
        <f t="shared" si="35"/>
        <v>0</v>
      </c>
      <c r="AM80" s="1079"/>
    </row>
    <row r="81" spans="2:39" ht="14.25" thickBot="1" x14ac:dyDescent="0.3">
      <c r="B81" s="1630">
        <v>1</v>
      </c>
      <c r="C81" s="1625" t="str">
        <f>[1]Breaking.!A63</f>
        <v>6L_E1 STOPE</v>
      </c>
      <c r="D81" s="1631" t="s">
        <v>340</v>
      </c>
      <c r="E81" s="1070" t="s">
        <v>341</v>
      </c>
      <c r="F81" s="295">
        <f>SUMIF($H$9:$AL$9,"&lt;="&amp;$C$7,H81:AL81)</f>
        <v>1120</v>
      </c>
      <c r="G81" s="1112"/>
      <c r="H81" s="945">
        <f>[1]Breaking.!D63</f>
        <v>70</v>
      </c>
      <c r="I81" s="945">
        <f>[1]Breaking.!E63</f>
        <v>70</v>
      </c>
      <c r="J81" s="945">
        <f>[1]Breaking.!F63</f>
        <v>70</v>
      </c>
      <c r="K81" s="945">
        <f>[1]Breaking.!G63</f>
        <v>70</v>
      </c>
      <c r="L81" s="945">
        <f>[1]Breaking.!H63</f>
        <v>70</v>
      </c>
      <c r="M81" s="945">
        <f>[1]Breaking.!I63</f>
        <v>70</v>
      </c>
      <c r="N81" s="945">
        <f>[1]Breaking.!J63</f>
        <v>70</v>
      </c>
      <c r="O81" s="945">
        <f>[1]Breaking.!K63</f>
        <v>70</v>
      </c>
      <c r="P81" s="945">
        <f>[1]Breaking.!L63</f>
        <v>70</v>
      </c>
      <c r="Q81" s="945">
        <f>[1]Breaking.!M63</f>
        <v>70</v>
      </c>
      <c r="R81" s="945">
        <f>[1]Breaking.!N63</f>
        <v>70</v>
      </c>
      <c r="S81" s="945">
        <f>[1]Breaking.!O63</f>
        <v>70</v>
      </c>
      <c r="T81" s="945">
        <f>[1]Breaking.!P63</f>
        <v>70</v>
      </c>
      <c r="U81" s="945">
        <f>[1]Breaking.!Q63</f>
        <v>70</v>
      </c>
      <c r="V81" s="945">
        <f>[1]Breaking.!R63</f>
        <v>70</v>
      </c>
      <c r="W81" s="945">
        <f>[1]Breaking.!S63</f>
        <v>70</v>
      </c>
      <c r="X81" s="945">
        <f>[1]Breaking.!T63</f>
        <v>70</v>
      </c>
      <c r="Y81" s="945">
        <f>[1]Breaking.!U63</f>
        <v>70</v>
      </c>
      <c r="Z81" s="945">
        <f>[1]Breaking.!V63</f>
        <v>70</v>
      </c>
      <c r="AA81" s="945">
        <f>[1]Breaking.!W63</f>
        <v>70</v>
      </c>
      <c r="AB81" s="945">
        <f>[1]Breaking.!X63</f>
        <v>70</v>
      </c>
      <c r="AC81" s="945">
        <f>[1]Breaking.!Y63</f>
        <v>70</v>
      </c>
      <c r="AD81" s="945">
        <f>[1]Breaking.!Z63</f>
        <v>70</v>
      </c>
      <c r="AE81" s="945">
        <f>[1]Breaking.!AA63</f>
        <v>70</v>
      </c>
      <c r="AF81" s="945">
        <f>[1]Breaking.!AB63</f>
        <v>70</v>
      </c>
      <c r="AG81" s="945">
        <f>[1]Breaking.!AC63</f>
        <v>70</v>
      </c>
      <c r="AH81" s="945">
        <f>[1]Breaking.!AD63</f>
        <v>70</v>
      </c>
      <c r="AI81" s="945">
        <f>[1]Breaking.!AE63</f>
        <v>70</v>
      </c>
      <c r="AJ81" s="945">
        <f>[1]Breaking.!AF63</f>
        <v>70</v>
      </c>
      <c r="AK81" s="945">
        <f>[1]Breaking.!AG63</f>
        <v>70</v>
      </c>
      <c r="AL81" s="945">
        <f>[1]Breaking.!AH63</f>
        <v>70</v>
      </c>
      <c r="AM81" s="1105"/>
    </row>
    <row r="82" spans="2:39" ht="14.25" thickBot="1" x14ac:dyDescent="0.3">
      <c r="B82" s="1619"/>
      <c r="C82" s="1626"/>
      <c r="D82" s="1628"/>
      <c r="E82" s="1302" t="s">
        <v>342</v>
      </c>
      <c r="F82" s="1303">
        <f>SUMIF($H$9:$AL$9,"&lt;="&amp;$C$7,H82:AL82)</f>
        <v>163</v>
      </c>
      <c r="G82" s="1304">
        <f t="shared" ref="G82" si="36">IFERROR((F82-F81)/F81,0)</f>
        <v>-0.85446428571428568</v>
      </c>
      <c r="H82" s="1305">
        <v>40</v>
      </c>
      <c r="I82" s="1303">
        <v>36</v>
      </c>
      <c r="J82" s="1303">
        <v>44</v>
      </c>
      <c r="K82" s="1303">
        <v>43</v>
      </c>
      <c r="L82" s="1303"/>
      <c r="M82" s="1303"/>
      <c r="N82" s="1303"/>
      <c r="O82" s="1303"/>
      <c r="P82" s="1303"/>
      <c r="Q82" s="1303"/>
      <c r="R82" s="1303"/>
      <c r="S82" s="1303"/>
      <c r="T82" s="1303"/>
      <c r="U82" s="1303"/>
      <c r="V82" s="1303"/>
      <c r="W82" s="1303"/>
      <c r="X82" s="1303"/>
      <c r="Y82" s="1303"/>
      <c r="Z82" s="1303"/>
      <c r="AA82" s="1303"/>
      <c r="AB82" s="1303"/>
      <c r="AC82" s="1303"/>
      <c r="AD82" s="1303"/>
      <c r="AE82" s="1303"/>
      <c r="AF82" s="1303"/>
      <c r="AG82" s="1303"/>
      <c r="AH82" s="1303"/>
      <c r="AI82" s="1303"/>
      <c r="AJ82" s="1303"/>
      <c r="AK82" s="1303"/>
      <c r="AL82" s="1303"/>
      <c r="AM82" s="1074"/>
    </row>
    <row r="83" spans="2:39" ht="14.25" thickBot="1" x14ac:dyDescent="0.3">
      <c r="B83" s="1619"/>
      <c r="C83" s="1626"/>
      <c r="D83" s="1628"/>
      <c r="E83" s="1324" t="s">
        <v>312</v>
      </c>
      <c r="F83" s="1325"/>
      <c r="G83" s="1326"/>
      <c r="H83" s="1075"/>
      <c r="I83" s="1075"/>
      <c r="J83" s="1075"/>
      <c r="K83" s="1075"/>
      <c r="L83" s="1075"/>
      <c r="M83" s="1075"/>
      <c r="N83" s="1075"/>
      <c r="O83" s="1075"/>
      <c r="P83" s="1076"/>
      <c r="Q83" s="1075"/>
      <c r="R83" s="1075"/>
      <c r="S83" s="1075"/>
      <c r="T83" s="1075"/>
      <c r="U83" s="1075"/>
      <c r="V83" s="1075"/>
      <c r="W83" s="1075"/>
      <c r="X83" s="1075"/>
      <c r="Y83" s="1075"/>
      <c r="Z83" s="1075"/>
      <c r="AA83" s="1075"/>
      <c r="AB83" s="1075"/>
      <c r="AC83" s="1075"/>
      <c r="AD83" s="1075"/>
      <c r="AE83" s="1075"/>
      <c r="AF83" s="1075"/>
      <c r="AG83" s="1075"/>
      <c r="AH83" s="1075"/>
      <c r="AI83" s="1075"/>
      <c r="AJ83" s="1075"/>
      <c r="AK83" s="1075"/>
      <c r="AL83" s="1077"/>
      <c r="AM83" s="1108"/>
    </row>
    <row r="84" spans="2:39" ht="14.25" thickBot="1" x14ac:dyDescent="0.3">
      <c r="B84" s="1619"/>
      <c r="C84" s="1626"/>
      <c r="D84" s="1613" t="s">
        <v>343</v>
      </c>
      <c r="E84" s="1309" t="s">
        <v>344</v>
      </c>
      <c r="F84" s="1310">
        <f t="shared" ref="F84:F85" si="37">IFERROR(F86*1000/F81,0)</f>
        <v>3.1378504672897192</v>
      </c>
      <c r="G84" s="1311"/>
      <c r="H84" s="1312">
        <f>[1]Breaking.!D64</f>
        <v>3.1378504672897192</v>
      </c>
      <c r="I84" s="1312">
        <f>[1]Breaking.!E64</f>
        <v>3.1378504672897192</v>
      </c>
      <c r="J84" s="1312">
        <f>[1]Breaking.!F64</f>
        <v>3.1378504672897192</v>
      </c>
      <c r="K84" s="1312">
        <f>[1]Breaking.!G64</f>
        <v>3.1378504672897192</v>
      </c>
      <c r="L84" s="1312">
        <f>[1]Breaking.!H64</f>
        <v>3.1378504672897192</v>
      </c>
      <c r="M84" s="1312">
        <f>[1]Breaking.!I64</f>
        <v>3.1378504672897192</v>
      </c>
      <c r="N84" s="1312">
        <f>[1]Breaking.!J64</f>
        <v>3.1378504672897192</v>
      </c>
      <c r="O84" s="1312">
        <f>[1]Breaking.!K64</f>
        <v>3.1378504672897192</v>
      </c>
      <c r="P84" s="1312">
        <f>[1]Breaking.!L64</f>
        <v>3.1378504672897192</v>
      </c>
      <c r="Q84" s="1312">
        <f>[1]Breaking.!M64</f>
        <v>3.1378504672897192</v>
      </c>
      <c r="R84" s="1312">
        <f>[1]Breaking.!N64</f>
        <v>3.1378504672897192</v>
      </c>
      <c r="S84" s="1312">
        <f>[1]Breaking.!O64</f>
        <v>3.1378504672897192</v>
      </c>
      <c r="T84" s="1312">
        <f>[1]Breaking.!P64</f>
        <v>3.1378504672897192</v>
      </c>
      <c r="U84" s="1312">
        <f>[1]Breaking.!Q64</f>
        <v>3.1378504672897192</v>
      </c>
      <c r="V84" s="1312">
        <f>[1]Breaking.!R64</f>
        <v>3.1378504672897192</v>
      </c>
      <c r="W84" s="1312">
        <f>[1]Breaking.!S64</f>
        <v>3.1378504672897192</v>
      </c>
      <c r="X84" s="1312">
        <f>[1]Breaking.!T64</f>
        <v>3.1378504672897192</v>
      </c>
      <c r="Y84" s="1312">
        <f>[1]Breaking.!U64</f>
        <v>3.1378504672897192</v>
      </c>
      <c r="Z84" s="1312">
        <f>[1]Breaking.!V64</f>
        <v>3.1378504672897192</v>
      </c>
      <c r="AA84" s="1312">
        <f>[1]Breaking.!W64</f>
        <v>3.1378504672897192</v>
      </c>
      <c r="AB84" s="1312">
        <f>[1]Breaking.!X64</f>
        <v>3.1378504672897192</v>
      </c>
      <c r="AC84" s="1312">
        <f>[1]Breaking.!Y64</f>
        <v>3.1378504672897192</v>
      </c>
      <c r="AD84" s="1312">
        <f>[1]Breaking.!Z64</f>
        <v>3.1378504672897192</v>
      </c>
      <c r="AE84" s="1312">
        <f>[1]Breaking.!AA64</f>
        <v>3.1378504672897192</v>
      </c>
      <c r="AF84" s="1312">
        <f>[1]Breaking.!AB64</f>
        <v>3.1378504672897192</v>
      </c>
      <c r="AG84" s="1312">
        <f>[1]Breaking.!AC64</f>
        <v>3.1378504672897192</v>
      </c>
      <c r="AH84" s="1312">
        <f>[1]Breaking.!AD64</f>
        <v>3.1378504672897192</v>
      </c>
      <c r="AI84" s="1312">
        <f>[1]Breaking.!AE64</f>
        <v>3.1378504672897192</v>
      </c>
      <c r="AJ84" s="1312">
        <f>[1]Breaking.!AF64</f>
        <v>3.1378504672897192</v>
      </c>
      <c r="AK84" s="1312">
        <f>[1]Breaking.!AG64</f>
        <v>3.1378504672897192</v>
      </c>
      <c r="AL84" s="1312">
        <f>[1]Breaking.!AH64</f>
        <v>3.1378504672897192</v>
      </c>
      <c r="AM84" s="1074"/>
    </row>
    <row r="85" spans="2:39" ht="14.25" thickBot="1" x14ac:dyDescent="0.3">
      <c r="B85" s="1619"/>
      <c r="C85" s="1626"/>
      <c r="D85" s="1613"/>
      <c r="E85" s="1313" t="s">
        <v>345</v>
      </c>
      <c r="F85" s="1314">
        <f t="shared" si="37"/>
        <v>1.4681595092024542</v>
      </c>
      <c r="G85" s="1304">
        <f t="shared" ref="G85" si="38">IFERROR((F85-F84)/F84,0)</f>
        <v>-0.53211297845223349</v>
      </c>
      <c r="H85" s="1315">
        <v>4.17</v>
      </c>
      <c r="I85" s="1314">
        <v>1.7</v>
      </c>
      <c r="J85" s="1314">
        <v>0.13</v>
      </c>
      <c r="K85" s="1314">
        <v>0.13</v>
      </c>
      <c r="L85" s="1314"/>
      <c r="M85" s="1314"/>
      <c r="N85" s="1314"/>
      <c r="O85" s="1314"/>
      <c r="P85" s="1314"/>
      <c r="Q85" s="1314"/>
      <c r="R85" s="1314"/>
      <c r="S85" s="1314"/>
      <c r="T85" s="1314"/>
      <c r="U85" s="1314"/>
      <c r="V85" s="1314"/>
      <c r="W85" s="1314"/>
      <c r="X85" s="1314"/>
      <c r="Y85" s="1314"/>
      <c r="Z85" s="1314"/>
      <c r="AA85" s="1314"/>
      <c r="AB85" s="1314"/>
      <c r="AC85" s="1314"/>
      <c r="AD85" s="1314"/>
      <c r="AE85" s="1314"/>
      <c r="AF85" s="1314"/>
      <c r="AG85" s="1314"/>
      <c r="AH85" s="1314"/>
      <c r="AI85" s="1314"/>
      <c r="AJ85" s="1314"/>
      <c r="AK85" s="1314"/>
      <c r="AL85" s="1314"/>
      <c r="AM85" s="1074"/>
    </row>
    <row r="86" spans="2:39" ht="14.25" thickBot="1" x14ac:dyDescent="0.3">
      <c r="B86" s="1619"/>
      <c r="C86" s="1626"/>
      <c r="D86" s="1613" t="s">
        <v>47</v>
      </c>
      <c r="E86" s="1309" t="s">
        <v>346</v>
      </c>
      <c r="F86" s="206">
        <f>SUMIF($H$9:$AL$9,"&lt;="&amp;$C$7,H86:AL86)</f>
        <v>3.5143925233644855</v>
      </c>
      <c r="G86" s="1311"/>
      <c r="H86" s="1316">
        <f t="shared" ref="H86:AL87" si="39">+H84*H81/1000</f>
        <v>0.21964953271028034</v>
      </c>
      <c r="I86" s="1316">
        <f t="shared" si="39"/>
        <v>0.21964953271028034</v>
      </c>
      <c r="J86" s="1316">
        <f t="shared" si="39"/>
        <v>0.21964953271028034</v>
      </c>
      <c r="K86" s="1317">
        <f t="shared" si="39"/>
        <v>0.21964953271028034</v>
      </c>
      <c r="L86" s="1317">
        <f t="shared" si="39"/>
        <v>0.21964953271028034</v>
      </c>
      <c r="M86" s="1317">
        <f t="shared" si="39"/>
        <v>0.21964953271028034</v>
      </c>
      <c r="N86" s="1317">
        <f t="shared" si="39"/>
        <v>0.21964953271028034</v>
      </c>
      <c r="O86" s="1317">
        <f t="shared" si="39"/>
        <v>0.21964953271028034</v>
      </c>
      <c r="P86" s="1318">
        <f t="shared" si="39"/>
        <v>0.21964953271028034</v>
      </c>
      <c r="Q86" s="1317">
        <f t="shared" si="39"/>
        <v>0.21964953271028034</v>
      </c>
      <c r="R86" s="1317">
        <f t="shared" si="39"/>
        <v>0.21964953271028034</v>
      </c>
      <c r="S86" s="1317">
        <f t="shared" si="39"/>
        <v>0.21964953271028034</v>
      </c>
      <c r="T86" s="1317">
        <f t="shared" si="39"/>
        <v>0.21964953271028034</v>
      </c>
      <c r="U86" s="1317">
        <f t="shared" si="39"/>
        <v>0.21964953271028034</v>
      </c>
      <c r="V86" s="1317">
        <f t="shared" si="39"/>
        <v>0.21964953271028034</v>
      </c>
      <c r="W86" s="1317">
        <f>+W84*W81/1000</f>
        <v>0.21964953271028034</v>
      </c>
      <c r="X86" s="1317">
        <f t="shared" si="39"/>
        <v>0.21964953271028034</v>
      </c>
      <c r="Y86" s="1317">
        <f t="shared" si="39"/>
        <v>0.21964953271028034</v>
      </c>
      <c r="Z86" s="1317">
        <f t="shared" si="39"/>
        <v>0.21964953271028034</v>
      </c>
      <c r="AA86" s="1317">
        <f t="shared" si="39"/>
        <v>0.21964953271028034</v>
      </c>
      <c r="AB86" s="1317">
        <f t="shared" si="39"/>
        <v>0.21964953271028034</v>
      </c>
      <c r="AC86" s="1317">
        <f t="shared" si="39"/>
        <v>0.21964953271028034</v>
      </c>
      <c r="AD86" s="1317">
        <f t="shared" si="39"/>
        <v>0.21964953271028034</v>
      </c>
      <c r="AE86" s="1317">
        <f t="shared" si="39"/>
        <v>0.21964953271028034</v>
      </c>
      <c r="AF86" s="1317">
        <f t="shared" si="39"/>
        <v>0.21964953271028034</v>
      </c>
      <c r="AG86" s="1317">
        <f t="shared" si="39"/>
        <v>0.21964953271028034</v>
      </c>
      <c r="AH86" s="1317">
        <f t="shared" si="39"/>
        <v>0.21964953271028034</v>
      </c>
      <c r="AI86" s="1317">
        <f t="shared" si="39"/>
        <v>0.21964953271028034</v>
      </c>
      <c r="AJ86" s="1317">
        <f t="shared" si="39"/>
        <v>0.21964953271028034</v>
      </c>
      <c r="AK86" s="1317">
        <f t="shared" si="39"/>
        <v>0.21964953271028034</v>
      </c>
      <c r="AL86" s="1319">
        <f t="shared" si="39"/>
        <v>0.21964953271028034</v>
      </c>
      <c r="AM86" s="1078"/>
    </row>
    <row r="87" spans="2:39" ht="14.25" thickBot="1" x14ac:dyDescent="0.3">
      <c r="B87" s="1620"/>
      <c r="C87" s="1627"/>
      <c r="D87" s="1613"/>
      <c r="E87" s="1330" t="s">
        <v>347</v>
      </c>
      <c r="F87" s="1331">
        <f>SUMIF($H$9:$AL$9,"&lt;="&amp;$C$7,H87:AL87)</f>
        <v>0.23931000000000002</v>
      </c>
      <c r="G87" s="1549">
        <f t="shared" ref="G87" si="40">IFERROR((F87-F86)/F86,0)</f>
        <v>-0.93190572811403039</v>
      </c>
      <c r="H87" s="1323">
        <f t="shared" si="39"/>
        <v>0.1668</v>
      </c>
      <c r="I87" s="1321">
        <f t="shared" si="39"/>
        <v>6.1199999999999997E-2</v>
      </c>
      <c r="J87" s="1321">
        <f t="shared" si="39"/>
        <v>5.7200000000000003E-3</v>
      </c>
      <c r="K87" s="1321">
        <f t="shared" si="39"/>
        <v>5.5899999999999995E-3</v>
      </c>
      <c r="L87" s="1321">
        <f t="shared" si="39"/>
        <v>0</v>
      </c>
      <c r="M87" s="1321">
        <f t="shared" si="39"/>
        <v>0</v>
      </c>
      <c r="N87" s="1321">
        <f t="shared" si="39"/>
        <v>0</v>
      </c>
      <c r="O87" s="1321">
        <f t="shared" si="39"/>
        <v>0</v>
      </c>
      <c r="P87" s="1321">
        <f t="shared" si="39"/>
        <v>0</v>
      </c>
      <c r="Q87" s="1321">
        <f t="shared" si="39"/>
        <v>0</v>
      </c>
      <c r="R87" s="1321">
        <f t="shared" si="39"/>
        <v>0</v>
      </c>
      <c r="S87" s="1321">
        <f t="shared" si="39"/>
        <v>0</v>
      </c>
      <c r="T87" s="1321">
        <f t="shared" si="39"/>
        <v>0</v>
      </c>
      <c r="U87" s="1321">
        <f t="shared" si="39"/>
        <v>0</v>
      </c>
      <c r="V87" s="1321">
        <f t="shared" si="39"/>
        <v>0</v>
      </c>
      <c r="W87" s="1321">
        <f>+W85*W82/1000</f>
        <v>0</v>
      </c>
      <c r="X87" s="1321">
        <f t="shared" si="39"/>
        <v>0</v>
      </c>
      <c r="Y87" s="1321">
        <f t="shared" si="39"/>
        <v>0</v>
      </c>
      <c r="Z87" s="1321">
        <f t="shared" si="39"/>
        <v>0</v>
      </c>
      <c r="AA87" s="1321">
        <f t="shared" si="39"/>
        <v>0</v>
      </c>
      <c r="AB87" s="1321">
        <f t="shared" si="39"/>
        <v>0</v>
      </c>
      <c r="AC87" s="1321">
        <f t="shared" si="39"/>
        <v>0</v>
      </c>
      <c r="AD87" s="1321">
        <f t="shared" si="39"/>
        <v>0</v>
      </c>
      <c r="AE87" s="1321">
        <f t="shared" si="39"/>
        <v>0</v>
      </c>
      <c r="AF87" s="1321">
        <f t="shared" si="39"/>
        <v>0</v>
      </c>
      <c r="AG87" s="1321">
        <f t="shared" si="39"/>
        <v>0</v>
      </c>
      <c r="AH87" s="1321">
        <f t="shared" si="39"/>
        <v>0</v>
      </c>
      <c r="AI87" s="1321">
        <f t="shared" si="39"/>
        <v>0</v>
      </c>
      <c r="AJ87" s="1321">
        <f t="shared" si="39"/>
        <v>0</v>
      </c>
      <c r="AK87" s="1321">
        <f t="shared" si="39"/>
        <v>0</v>
      </c>
      <c r="AL87" s="1321">
        <f t="shared" si="39"/>
        <v>0</v>
      </c>
      <c r="AM87" s="1079"/>
    </row>
    <row r="88" spans="2:39" ht="14.25" thickBot="1" x14ac:dyDescent="0.3">
      <c r="B88" s="1618">
        <v>1</v>
      </c>
      <c r="C88" s="1625" t="str">
        <f>[1]Breaking.!A65</f>
        <v xml:space="preserve">6L_W1 STOPE </v>
      </c>
      <c r="D88" s="1628" t="s">
        <v>340</v>
      </c>
      <c r="E88" s="1104" t="s">
        <v>341</v>
      </c>
      <c r="F88" s="196">
        <f>SUMIF($H$9:$AL$9,"&lt;="&amp;$C$7,H88:AL88)</f>
        <v>1120</v>
      </c>
      <c r="G88" s="1071"/>
      <c r="H88" s="945">
        <f>[1]Breaking.!D65</f>
        <v>70</v>
      </c>
      <c r="I88" s="945">
        <f>[1]Breaking.!E65</f>
        <v>70</v>
      </c>
      <c r="J88" s="945">
        <f>[1]Breaking.!F65</f>
        <v>70</v>
      </c>
      <c r="K88" s="945">
        <f>[1]Breaking.!G65</f>
        <v>70</v>
      </c>
      <c r="L88" s="945">
        <f>[1]Breaking.!H65</f>
        <v>70</v>
      </c>
      <c r="M88" s="945">
        <f>[1]Breaking.!I65</f>
        <v>70</v>
      </c>
      <c r="N88" s="945">
        <f>[1]Breaking.!J65</f>
        <v>70</v>
      </c>
      <c r="O88" s="945">
        <f>[1]Breaking.!K65</f>
        <v>70</v>
      </c>
      <c r="P88" s="945">
        <f>[1]Breaking.!L65</f>
        <v>70</v>
      </c>
      <c r="Q88" s="945">
        <f>[1]Breaking.!M65</f>
        <v>70</v>
      </c>
      <c r="R88" s="945">
        <f>[1]Breaking.!N65</f>
        <v>70</v>
      </c>
      <c r="S88" s="945">
        <f>[1]Breaking.!O65</f>
        <v>70</v>
      </c>
      <c r="T88" s="945">
        <f>[1]Breaking.!P65</f>
        <v>70</v>
      </c>
      <c r="U88" s="945">
        <f>[1]Breaking.!Q65</f>
        <v>70</v>
      </c>
      <c r="V88" s="945">
        <f>[1]Breaking.!R65</f>
        <v>70</v>
      </c>
      <c r="W88" s="945">
        <f>[1]Breaking.!S65</f>
        <v>70</v>
      </c>
      <c r="X88" s="945">
        <f>[1]Breaking.!T65</f>
        <v>70</v>
      </c>
      <c r="Y88" s="945">
        <f>[1]Breaking.!U65</f>
        <v>70</v>
      </c>
      <c r="Z88" s="945">
        <f>[1]Breaking.!V65</f>
        <v>70</v>
      </c>
      <c r="AA88" s="945">
        <f>[1]Breaking.!W65</f>
        <v>70</v>
      </c>
      <c r="AB88" s="945">
        <f>[1]Breaking.!X65</f>
        <v>70</v>
      </c>
      <c r="AC88" s="945">
        <f>[1]Breaking.!Y65</f>
        <v>70</v>
      </c>
      <c r="AD88" s="945">
        <f>[1]Breaking.!Z65</f>
        <v>70</v>
      </c>
      <c r="AE88" s="945">
        <f>[1]Breaking.!AA65</f>
        <v>70</v>
      </c>
      <c r="AF88" s="945">
        <f>[1]Breaking.!AB65</f>
        <v>70</v>
      </c>
      <c r="AG88" s="945">
        <f>[1]Breaking.!AC65</f>
        <v>70</v>
      </c>
      <c r="AH88" s="945">
        <f>[1]Breaking.!AD65</f>
        <v>70</v>
      </c>
      <c r="AI88" s="945">
        <f>[1]Breaking.!AE65</f>
        <v>70</v>
      </c>
      <c r="AJ88" s="945">
        <f>[1]Breaking.!AF65</f>
        <v>70</v>
      </c>
      <c r="AK88" s="945">
        <f>[1]Breaking.!AG65</f>
        <v>70</v>
      </c>
      <c r="AL88" s="945">
        <f>[1]Breaking.!AH65</f>
        <v>70</v>
      </c>
      <c r="AM88" s="1105"/>
    </row>
    <row r="89" spans="2:39" ht="14.25" thickBot="1" x14ac:dyDescent="0.3">
      <c r="B89" s="1619"/>
      <c r="C89" s="1626"/>
      <c r="D89" s="1628"/>
      <c r="E89" s="1302" t="s">
        <v>342</v>
      </c>
      <c r="F89" s="1303">
        <f>SUMIF($H$9:$AL$9,"&lt;="&amp;$C$7,H89:AL89)</f>
        <v>1128</v>
      </c>
      <c r="G89" s="1304">
        <f t="shared" ref="G89" si="41">IFERROR((F89-F88)/F88,0)</f>
        <v>7.1428571428571426E-3</v>
      </c>
      <c r="H89" s="1305">
        <v>80</v>
      </c>
      <c r="I89" s="1303">
        <v>38</v>
      </c>
      <c r="J89" s="1303">
        <v>52</v>
      </c>
      <c r="K89" s="1303">
        <v>123</v>
      </c>
      <c r="L89" s="1303">
        <v>124</v>
      </c>
      <c r="M89" s="1303">
        <v>111</v>
      </c>
      <c r="N89" s="1303">
        <v>120</v>
      </c>
      <c r="O89" s="1303">
        <v>144</v>
      </c>
      <c r="P89" s="1303">
        <v>144</v>
      </c>
      <c r="Q89" s="1303">
        <v>57</v>
      </c>
      <c r="R89" s="1303">
        <v>83</v>
      </c>
      <c r="S89" s="1303"/>
      <c r="T89" s="1303">
        <v>52</v>
      </c>
      <c r="U89" s="1303"/>
      <c r="V89" s="1303"/>
      <c r="W89" s="1303"/>
      <c r="X89" s="1303"/>
      <c r="Y89" s="1303"/>
      <c r="Z89" s="1303"/>
      <c r="AA89" s="1303"/>
      <c r="AB89" s="1303"/>
      <c r="AC89" s="1303"/>
      <c r="AD89" s="1303"/>
      <c r="AE89" s="1303"/>
      <c r="AF89" s="1303"/>
      <c r="AG89" s="1303"/>
      <c r="AH89" s="1303"/>
      <c r="AI89" s="1303"/>
      <c r="AJ89" s="1303"/>
      <c r="AK89" s="1303"/>
      <c r="AL89" s="1303"/>
      <c r="AM89" s="1074"/>
    </row>
    <row r="90" spans="2:39" ht="14.25" thickBot="1" x14ac:dyDescent="0.3">
      <c r="B90" s="1619"/>
      <c r="C90" s="1626"/>
      <c r="D90" s="1628"/>
      <c r="E90" s="1324" t="s">
        <v>312</v>
      </c>
      <c r="F90" s="1325"/>
      <c r="G90" s="1326"/>
      <c r="H90" s="1075"/>
      <c r="I90" s="1075"/>
      <c r="J90" s="1075"/>
      <c r="K90" s="1075"/>
      <c r="L90" s="1075"/>
      <c r="M90" s="1075"/>
      <c r="N90" s="1075"/>
      <c r="O90" s="1075"/>
      <c r="P90" s="1076"/>
      <c r="Q90" s="1075"/>
      <c r="R90" s="1075"/>
      <c r="S90" s="1075"/>
      <c r="T90" s="1075"/>
      <c r="U90" s="1075"/>
      <c r="V90" s="1075"/>
      <c r="W90" s="1075"/>
      <c r="X90" s="1075"/>
      <c r="Y90" s="1075"/>
      <c r="Z90" s="1075"/>
      <c r="AA90" s="1075"/>
      <c r="AB90" s="1075"/>
      <c r="AC90" s="1075"/>
      <c r="AD90" s="1075"/>
      <c r="AE90" s="1075"/>
      <c r="AF90" s="1075"/>
      <c r="AG90" s="1075"/>
      <c r="AH90" s="1075"/>
      <c r="AI90" s="1075"/>
      <c r="AJ90" s="1075"/>
      <c r="AK90" s="1075"/>
      <c r="AL90" s="1077"/>
      <c r="AM90" s="1108"/>
    </row>
    <row r="91" spans="2:39" ht="14.25" thickBot="1" x14ac:dyDescent="0.3">
      <c r="B91" s="1619"/>
      <c r="C91" s="1626"/>
      <c r="D91" s="1613" t="s">
        <v>343</v>
      </c>
      <c r="E91" s="1309" t="s">
        <v>344</v>
      </c>
      <c r="F91" s="1310">
        <f t="shared" ref="F91:F92" si="42">IFERROR(F93*1000/F88,0)</f>
        <v>3.1378504672897192</v>
      </c>
      <c r="G91" s="1311"/>
      <c r="H91" s="1312">
        <f>[1]Breaking.!D66</f>
        <v>3.1378504672897192</v>
      </c>
      <c r="I91" s="1312">
        <f>[1]Breaking.!E66</f>
        <v>3.1378504672897192</v>
      </c>
      <c r="J91" s="1312">
        <f>[1]Breaking.!F66</f>
        <v>3.1378504672897192</v>
      </c>
      <c r="K91" s="1312">
        <f>[1]Breaking.!G66</f>
        <v>3.1378504672897192</v>
      </c>
      <c r="L91" s="1312">
        <f>[1]Breaking.!H66</f>
        <v>3.1378504672897192</v>
      </c>
      <c r="M91" s="1312">
        <f>[1]Breaking.!I66</f>
        <v>3.1378504672897192</v>
      </c>
      <c r="N91" s="1312">
        <f>[1]Breaking.!J66</f>
        <v>3.1378504672897192</v>
      </c>
      <c r="O91" s="1312">
        <f>[1]Breaking.!K66</f>
        <v>3.1378504672897192</v>
      </c>
      <c r="P91" s="1312">
        <f>[1]Breaking.!L66</f>
        <v>3.1378504672897192</v>
      </c>
      <c r="Q91" s="1312">
        <f>[1]Breaking.!M66</f>
        <v>3.1378504672897192</v>
      </c>
      <c r="R91" s="1312">
        <f>[1]Breaking.!N66</f>
        <v>3.1378504672897192</v>
      </c>
      <c r="S91" s="1312">
        <f>[1]Breaking.!O66</f>
        <v>3.1378504672897192</v>
      </c>
      <c r="T91" s="1312">
        <f>[1]Breaking.!P66</f>
        <v>3.1378504672897192</v>
      </c>
      <c r="U91" s="1312">
        <f>[1]Breaking.!Q66</f>
        <v>3.1378504672897192</v>
      </c>
      <c r="V91" s="1312">
        <f>[1]Breaking.!R66</f>
        <v>3.1378504672897192</v>
      </c>
      <c r="W91" s="1312">
        <f>[1]Breaking.!S66</f>
        <v>3.1378504672897192</v>
      </c>
      <c r="X91" s="1312">
        <f>[1]Breaking.!T66</f>
        <v>3.1378504672897192</v>
      </c>
      <c r="Y91" s="1312">
        <f>[1]Breaking.!U66</f>
        <v>3.1378504672897192</v>
      </c>
      <c r="Z91" s="1312">
        <f>[1]Breaking.!V66</f>
        <v>3.1378504672897192</v>
      </c>
      <c r="AA91" s="1312">
        <f>[1]Breaking.!W66</f>
        <v>3.1378504672897192</v>
      </c>
      <c r="AB91" s="1312">
        <f>[1]Breaking.!X66</f>
        <v>3.1378504672897192</v>
      </c>
      <c r="AC91" s="1312">
        <f>[1]Breaking.!Y66</f>
        <v>3.1378504672897192</v>
      </c>
      <c r="AD91" s="1312">
        <f>[1]Breaking.!Z66</f>
        <v>3.1378504672897192</v>
      </c>
      <c r="AE91" s="1312">
        <f>[1]Breaking.!AA66</f>
        <v>3.1378504672897192</v>
      </c>
      <c r="AF91" s="1312">
        <f>[1]Breaking.!AB66</f>
        <v>3.1378504672897192</v>
      </c>
      <c r="AG91" s="1312">
        <f>[1]Breaking.!AC66</f>
        <v>3.1378504672897192</v>
      </c>
      <c r="AH91" s="1312">
        <f>[1]Breaking.!AD66</f>
        <v>3.1378504672897192</v>
      </c>
      <c r="AI91" s="1312">
        <f>[1]Breaking.!AE66</f>
        <v>3.1378504672897192</v>
      </c>
      <c r="AJ91" s="1312">
        <f>[1]Breaking.!AF66</f>
        <v>3.1378504672897192</v>
      </c>
      <c r="AK91" s="1312">
        <f>[1]Breaking.!AG66</f>
        <v>3.1378504672897192</v>
      </c>
      <c r="AL91" s="1312">
        <f>[1]Breaking.!AH66</f>
        <v>3.1378504672897192</v>
      </c>
      <c r="AM91" s="1074"/>
    </row>
    <row r="92" spans="2:39" ht="14.25" thickBot="1" x14ac:dyDescent="0.3">
      <c r="B92" s="1619"/>
      <c r="C92" s="1626"/>
      <c r="D92" s="1613"/>
      <c r="E92" s="1313" t="s">
        <v>345</v>
      </c>
      <c r="F92" s="1314">
        <f t="shared" si="42"/>
        <v>3.6890691489361704</v>
      </c>
      <c r="G92" s="1304">
        <f t="shared" ref="G92" si="43">IFERROR((F92-F91)/F91,0)</f>
        <v>0.17566760666022427</v>
      </c>
      <c r="H92" s="1315">
        <v>1.61</v>
      </c>
      <c r="I92" s="1314">
        <v>4.5</v>
      </c>
      <c r="J92" s="1314">
        <v>2.76</v>
      </c>
      <c r="K92" s="1314">
        <v>0.6</v>
      </c>
      <c r="L92" s="1314">
        <v>2.87</v>
      </c>
      <c r="M92" s="1314">
        <v>2.87</v>
      </c>
      <c r="N92" s="1314">
        <v>4.22</v>
      </c>
      <c r="O92" s="1314">
        <v>3.89</v>
      </c>
      <c r="P92" s="1314">
        <v>6.13</v>
      </c>
      <c r="Q92" s="1314">
        <v>3.81</v>
      </c>
      <c r="R92" s="1314">
        <v>5.95</v>
      </c>
      <c r="S92" s="1314"/>
      <c r="T92" s="1314">
        <v>5.95</v>
      </c>
      <c r="U92" s="1314"/>
      <c r="V92" s="1314"/>
      <c r="W92" s="1314"/>
      <c r="X92" s="1314"/>
      <c r="Y92" s="1314"/>
      <c r="Z92" s="1314"/>
      <c r="AA92" s="1314"/>
      <c r="AB92" s="1314"/>
      <c r="AC92" s="1314"/>
      <c r="AD92" s="1314"/>
      <c r="AE92" s="1314"/>
      <c r="AF92" s="1314"/>
      <c r="AG92" s="1314"/>
      <c r="AH92" s="1314"/>
      <c r="AI92" s="1314"/>
      <c r="AJ92" s="1314"/>
      <c r="AK92" s="1314"/>
      <c r="AL92" s="1314"/>
      <c r="AM92" s="1074"/>
    </row>
    <row r="93" spans="2:39" ht="14.25" thickBot="1" x14ac:dyDescent="0.3">
      <c r="B93" s="1619"/>
      <c r="C93" s="1626"/>
      <c r="D93" s="1613" t="s">
        <v>47</v>
      </c>
      <c r="E93" s="1309" t="s">
        <v>346</v>
      </c>
      <c r="F93" s="206">
        <f>SUMIF($H$9:$AL$9,"&lt;="&amp;$C$7,H93:AL93)</f>
        <v>3.5143925233644855</v>
      </c>
      <c r="G93" s="1311"/>
      <c r="H93" s="1316">
        <f t="shared" ref="H93:AL94" si="44">+H91*H88/1000</f>
        <v>0.21964953271028034</v>
      </c>
      <c r="I93" s="1316">
        <f t="shared" si="44"/>
        <v>0.21964953271028034</v>
      </c>
      <c r="J93" s="1316">
        <f t="shared" si="44"/>
        <v>0.21964953271028034</v>
      </c>
      <c r="K93" s="1317">
        <f t="shared" si="44"/>
        <v>0.21964953271028034</v>
      </c>
      <c r="L93" s="1317">
        <f t="shared" si="44"/>
        <v>0.21964953271028034</v>
      </c>
      <c r="M93" s="1317">
        <f t="shared" si="44"/>
        <v>0.21964953271028034</v>
      </c>
      <c r="N93" s="1317">
        <f t="shared" si="44"/>
        <v>0.21964953271028034</v>
      </c>
      <c r="O93" s="1317">
        <f t="shared" si="44"/>
        <v>0.21964953271028034</v>
      </c>
      <c r="P93" s="1318">
        <f t="shared" si="44"/>
        <v>0.21964953271028034</v>
      </c>
      <c r="Q93" s="1317">
        <f t="shared" si="44"/>
        <v>0.21964953271028034</v>
      </c>
      <c r="R93" s="1317">
        <f t="shared" si="44"/>
        <v>0.21964953271028034</v>
      </c>
      <c r="S93" s="1317">
        <f t="shared" si="44"/>
        <v>0.21964953271028034</v>
      </c>
      <c r="T93" s="1317">
        <f t="shared" si="44"/>
        <v>0.21964953271028034</v>
      </c>
      <c r="U93" s="1317">
        <f t="shared" si="44"/>
        <v>0.21964953271028034</v>
      </c>
      <c r="V93" s="1317">
        <f t="shared" si="44"/>
        <v>0.21964953271028034</v>
      </c>
      <c r="W93" s="1317">
        <f>+W91*W88/1000</f>
        <v>0.21964953271028034</v>
      </c>
      <c r="X93" s="1317">
        <f t="shared" si="44"/>
        <v>0.21964953271028034</v>
      </c>
      <c r="Y93" s="1317">
        <f>+Y91*Y88/1000</f>
        <v>0.21964953271028034</v>
      </c>
      <c r="Z93" s="1317">
        <f t="shared" si="44"/>
        <v>0.21964953271028034</v>
      </c>
      <c r="AA93" s="1317">
        <f t="shared" si="44"/>
        <v>0.21964953271028034</v>
      </c>
      <c r="AB93" s="1317">
        <f t="shared" si="44"/>
        <v>0.21964953271028034</v>
      </c>
      <c r="AC93" s="1317">
        <f t="shared" si="44"/>
        <v>0.21964953271028034</v>
      </c>
      <c r="AD93" s="1317">
        <f t="shared" si="44"/>
        <v>0.21964953271028034</v>
      </c>
      <c r="AE93" s="1317">
        <f t="shared" si="44"/>
        <v>0.21964953271028034</v>
      </c>
      <c r="AF93" s="1317">
        <f t="shared" si="44"/>
        <v>0.21964953271028034</v>
      </c>
      <c r="AG93" s="1317">
        <f t="shared" si="44"/>
        <v>0.21964953271028034</v>
      </c>
      <c r="AH93" s="1317">
        <f>+AH91*AH88/1000</f>
        <v>0.21964953271028034</v>
      </c>
      <c r="AI93" s="1317">
        <f t="shared" si="44"/>
        <v>0.21964953271028034</v>
      </c>
      <c r="AJ93" s="1317">
        <f t="shared" si="44"/>
        <v>0.21964953271028034</v>
      </c>
      <c r="AK93" s="1317">
        <f t="shared" si="44"/>
        <v>0.21964953271028034</v>
      </c>
      <c r="AL93" s="1319">
        <f t="shared" si="44"/>
        <v>0.21964953271028034</v>
      </c>
      <c r="AM93" s="1078"/>
    </row>
    <row r="94" spans="2:39" ht="14.25" thickBot="1" x14ac:dyDescent="0.3">
      <c r="B94" s="1620"/>
      <c r="C94" s="1627"/>
      <c r="D94" s="1614"/>
      <c r="E94" s="1320" t="s">
        <v>347</v>
      </c>
      <c r="F94" s="1321">
        <f>SUMIF($H$9:$AL$9,"&lt;="&amp;$C$7,H94:AL94)</f>
        <v>4.16127</v>
      </c>
      <c r="G94" s="1322">
        <f t="shared" ref="G94" si="45">IFERROR((F94-F93)/F93,0)</f>
        <v>0.18406523242208292</v>
      </c>
      <c r="H94" s="1323">
        <f t="shared" si="44"/>
        <v>0.1288</v>
      </c>
      <c r="I94" s="1321">
        <f t="shared" si="44"/>
        <v>0.17100000000000001</v>
      </c>
      <c r="J94" s="1321">
        <f t="shared" si="44"/>
        <v>0.14351999999999998</v>
      </c>
      <c r="K94" s="1321">
        <f t="shared" si="44"/>
        <v>7.3799999999999991E-2</v>
      </c>
      <c r="L94" s="1321">
        <f t="shared" si="44"/>
        <v>0.35587999999999997</v>
      </c>
      <c r="M94" s="1321">
        <f t="shared" si="44"/>
        <v>0.31857000000000002</v>
      </c>
      <c r="N94" s="1321">
        <f t="shared" si="44"/>
        <v>0.50639999999999996</v>
      </c>
      <c r="O94" s="1321">
        <f t="shared" si="44"/>
        <v>0.56015999999999999</v>
      </c>
      <c r="P94" s="1321">
        <f t="shared" si="44"/>
        <v>0.88272000000000006</v>
      </c>
      <c r="Q94" s="1321">
        <f t="shared" si="44"/>
        <v>0.21717000000000003</v>
      </c>
      <c r="R94" s="1321">
        <f t="shared" si="44"/>
        <v>0.49385000000000001</v>
      </c>
      <c r="S94" s="1321">
        <f t="shared" si="44"/>
        <v>0</v>
      </c>
      <c r="T94" s="1321">
        <f t="shared" si="44"/>
        <v>0.30940000000000001</v>
      </c>
      <c r="U94" s="1321">
        <f t="shared" si="44"/>
        <v>0</v>
      </c>
      <c r="V94" s="1321">
        <f t="shared" si="44"/>
        <v>0</v>
      </c>
      <c r="W94" s="1321">
        <f>+W92*W89/1000</f>
        <v>0</v>
      </c>
      <c r="X94" s="1321">
        <f t="shared" si="44"/>
        <v>0</v>
      </c>
      <c r="Y94" s="1321">
        <f t="shared" si="44"/>
        <v>0</v>
      </c>
      <c r="Z94" s="1321">
        <f t="shared" si="44"/>
        <v>0</v>
      </c>
      <c r="AA94" s="1321">
        <f t="shared" si="44"/>
        <v>0</v>
      </c>
      <c r="AB94" s="1321">
        <f t="shared" si="44"/>
        <v>0</v>
      </c>
      <c r="AC94" s="1321">
        <f t="shared" si="44"/>
        <v>0</v>
      </c>
      <c r="AD94" s="1321">
        <f t="shared" si="44"/>
        <v>0</v>
      </c>
      <c r="AE94" s="1321">
        <f>+AE92*AE89/1000</f>
        <v>0</v>
      </c>
      <c r="AF94" s="1321">
        <f t="shared" si="44"/>
        <v>0</v>
      </c>
      <c r="AG94" s="1321">
        <f t="shared" si="44"/>
        <v>0</v>
      </c>
      <c r="AH94" s="1321">
        <f t="shared" si="44"/>
        <v>0</v>
      </c>
      <c r="AI94" s="1321">
        <f t="shared" si="44"/>
        <v>0</v>
      </c>
      <c r="AJ94" s="1321">
        <f t="shared" si="44"/>
        <v>0</v>
      </c>
      <c r="AK94" s="1321">
        <f t="shared" si="44"/>
        <v>0</v>
      </c>
      <c r="AL94" s="1321">
        <f t="shared" si="44"/>
        <v>0</v>
      </c>
      <c r="AM94" s="1079"/>
    </row>
    <row r="95" spans="2:39" ht="14.25" thickBot="1" x14ac:dyDescent="0.3">
      <c r="B95" s="1618">
        <v>1</v>
      </c>
      <c r="C95" s="1625" t="str">
        <f>[1]Breaking.!A67</f>
        <v xml:space="preserve">6L_W2 STOPE </v>
      </c>
      <c r="D95" s="1628" t="s">
        <v>340</v>
      </c>
      <c r="E95" s="1104" t="s">
        <v>341</v>
      </c>
      <c r="F95" s="196">
        <f>SUMIF($H$9:$AL$9,"&lt;="&amp;$C$7,H95:AL95)</f>
        <v>1680</v>
      </c>
      <c r="G95" s="1071"/>
      <c r="H95" s="945">
        <f>[1]Breaking.!D67</f>
        <v>105</v>
      </c>
      <c r="I95" s="945">
        <f>[1]Breaking.!E67</f>
        <v>105</v>
      </c>
      <c r="J95" s="945">
        <f>[1]Breaking.!F67</f>
        <v>105</v>
      </c>
      <c r="K95" s="945">
        <f>[1]Breaking.!G67</f>
        <v>105</v>
      </c>
      <c r="L95" s="945">
        <f>[1]Breaking.!H67</f>
        <v>105</v>
      </c>
      <c r="M95" s="945">
        <f>[1]Breaking.!I67</f>
        <v>105</v>
      </c>
      <c r="N95" s="945">
        <f>[1]Breaking.!J67</f>
        <v>105</v>
      </c>
      <c r="O95" s="945">
        <f>[1]Breaking.!K67</f>
        <v>105</v>
      </c>
      <c r="P95" s="945">
        <f>[1]Breaking.!L67</f>
        <v>105</v>
      </c>
      <c r="Q95" s="945">
        <f>[1]Breaking.!M67</f>
        <v>105</v>
      </c>
      <c r="R95" s="945">
        <f>[1]Breaking.!N67</f>
        <v>105</v>
      </c>
      <c r="S95" s="945">
        <f>[1]Breaking.!O67</f>
        <v>105</v>
      </c>
      <c r="T95" s="945">
        <f>[1]Breaking.!P67</f>
        <v>105</v>
      </c>
      <c r="U95" s="945">
        <f>[1]Breaking.!Q67</f>
        <v>105</v>
      </c>
      <c r="V95" s="945">
        <f>[1]Breaking.!R67</f>
        <v>105</v>
      </c>
      <c r="W95" s="945">
        <f>[1]Breaking.!S67</f>
        <v>105</v>
      </c>
      <c r="X95" s="945">
        <f>[1]Breaking.!T67</f>
        <v>105</v>
      </c>
      <c r="Y95" s="945">
        <f>[1]Breaking.!U67</f>
        <v>105</v>
      </c>
      <c r="Z95" s="945">
        <f>[1]Breaking.!V67</f>
        <v>105</v>
      </c>
      <c r="AA95" s="945">
        <f>[1]Breaking.!W67</f>
        <v>105</v>
      </c>
      <c r="AB95" s="945">
        <f>[1]Breaking.!X67</f>
        <v>105</v>
      </c>
      <c r="AC95" s="945">
        <f>[1]Breaking.!Y67</f>
        <v>105</v>
      </c>
      <c r="AD95" s="945">
        <f>[1]Breaking.!Z67</f>
        <v>105</v>
      </c>
      <c r="AE95" s="945">
        <f>[1]Breaking.!AA67</f>
        <v>105</v>
      </c>
      <c r="AF95" s="945">
        <f>[1]Breaking.!AB67</f>
        <v>105</v>
      </c>
      <c r="AG95" s="945">
        <f>[1]Breaking.!AC67</f>
        <v>105</v>
      </c>
      <c r="AH95" s="945">
        <f>[1]Breaking.!AD67</f>
        <v>105</v>
      </c>
      <c r="AI95" s="945">
        <f>[1]Breaking.!AE67</f>
        <v>105</v>
      </c>
      <c r="AJ95" s="945">
        <f>[1]Breaking.!AF67</f>
        <v>105</v>
      </c>
      <c r="AK95" s="945">
        <f>[1]Breaking.!AG67</f>
        <v>105</v>
      </c>
      <c r="AL95" s="945">
        <f>[1]Breaking.!AH67</f>
        <v>105</v>
      </c>
      <c r="AM95" s="1105"/>
    </row>
    <row r="96" spans="2:39" ht="14.25" thickBot="1" x14ac:dyDescent="0.3">
      <c r="B96" s="1619"/>
      <c r="C96" s="1626"/>
      <c r="D96" s="1628"/>
      <c r="E96" s="1302" t="s">
        <v>342</v>
      </c>
      <c r="F96" s="1303">
        <f>SUMIF($H$9:$AL$9,"&lt;="&amp;$C$7,H96:AL96)</f>
        <v>2091</v>
      </c>
      <c r="G96" s="1304">
        <f t="shared" ref="G96" si="46">IFERROR((F96-F95)/F95,0)</f>
        <v>0.24464285714285713</v>
      </c>
      <c r="H96" s="1305">
        <v>166</v>
      </c>
      <c r="I96" s="1113">
        <v>107</v>
      </c>
      <c r="J96" s="1303"/>
      <c r="K96" s="1303">
        <v>144</v>
      </c>
      <c r="L96" s="1303">
        <f>48*3+33</f>
        <v>177</v>
      </c>
      <c r="M96" s="1303">
        <v>114</v>
      </c>
      <c r="N96" s="1303">
        <v>140</v>
      </c>
      <c r="O96" s="1303">
        <f>39+147</f>
        <v>186</v>
      </c>
      <c r="P96" s="1303"/>
      <c r="Q96" s="1303">
        <v>189</v>
      </c>
      <c r="R96" s="1303">
        <v>166</v>
      </c>
      <c r="S96" s="1303">
        <v>70</v>
      </c>
      <c r="T96" s="1303">
        <f>128+62</f>
        <v>190</v>
      </c>
      <c r="U96" s="1303">
        <v>186</v>
      </c>
      <c r="V96" s="1303">
        <v>184</v>
      </c>
      <c r="W96" s="1303">
        <v>72</v>
      </c>
      <c r="X96" s="1303"/>
      <c r="Y96" s="1303"/>
      <c r="Z96" s="1303"/>
      <c r="AA96" s="1303"/>
      <c r="AB96" s="1303"/>
      <c r="AC96" s="1303"/>
      <c r="AD96" s="1303"/>
      <c r="AE96" s="1303"/>
      <c r="AF96" s="1303"/>
      <c r="AG96" s="1303"/>
      <c r="AH96" s="1303"/>
      <c r="AI96" s="1303"/>
      <c r="AJ96" s="1303"/>
      <c r="AK96" s="1303"/>
      <c r="AL96" s="1303"/>
      <c r="AM96" s="1074"/>
    </row>
    <row r="97" spans="2:39" ht="14.25" thickBot="1" x14ac:dyDescent="0.3">
      <c r="B97" s="1619"/>
      <c r="C97" s="1626"/>
      <c r="D97" s="1628"/>
      <c r="E97" s="1324" t="s">
        <v>312</v>
      </c>
      <c r="F97" s="1325"/>
      <c r="G97" s="1326"/>
      <c r="H97" s="1075"/>
      <c r="I97" s="1332"/>
      <c r="J97" s="1075"/>
      <c r="K97" s="1075"/>
      <c r="L97" s="1075"/>
      <c r="M97" s="1075"/>
      <c r="N97" s="1075"/>
      <c r="O97" s="1075"/>
      <c r="P97" s="1076"/>
      <c r="Q97" s="1075"/>
      <c r="R97" s="1075"/>
      <c r="S97" s="1075"/>
      <c r="T97" s="1075"/>
      <c r="U97" s="1075"/>
      <c r="V97" s="1075"/>
      <c r="W97" s="1075"/>
      <c r="X97" s="1075"/>
      <c r="Y97" s="1075"/>
      <c r="Z97" s="1075"/>
      <c r="AA97" s="1075"/>
      <c r="AB97" s="1075"/>
      <c r="AC97" s="1075"/>
      <c r="AD97" s="1075"/>
      <c r="AE97" s="1075"/>
      <c r="AF97" s="1075"/>
      <c r="AG97" s="1075"/>
      <c r="AH97" s="1075"/>
      <c r="AI97" s="1075"/>
      <c r="AJ97" s="1075"/>
      <c r="AK97" s="1075"/>
      <c r="AL97" s="1077"/>
      <c r="AM97" s="1108"/>
    </row>
    <row r="98" spans="2:39" ht="14.25" thickBot="1" x14ac:dyDescent="0.3">
      <c r="B98" s="1619"/>
      <c r="C98" s="1626"/>
      <c r="D98" s="1613" t="s">
        <v>348</v>
      </c>
      <c r="E98" s="1309" t="s">
        <v>344</v>
      </c>
      <c r="F98" s="1310">
        <f>IFERROR(F100*1000/F95,0)</f>
        <v>2.3037383177570092</v>
      </c>
      <c r="G98" s="1311"/>
      <c r="H98" s="1312">
        <f>[1]Breaking.!D68</f>
        <v>2.3037383177570092</v>
      </c>
      <c r="I98" s="1312">
        <f>[1]Breaking.!E68</f>
        <v>2.3037383177570092</v>
      </c>
      <c r="J98" s="1312">
        <f>[1]Breaking.!F68</f>
        <v>2.3037383177570092</v>
      </c>
      <c r="K98" s="1312">
        <f>[1]Breaking.!G68</f>
        <v>2.3037383177570092</v>
      </c>
      <c r="L98" s="1312">
        <f>[1]Breaking.!H68</f>
        <v>2.3037383177570092</v>
      </c>
      <c r="M98" s="1312">
        <f>[1]Breaking.!I68</f>
        <v>2.3037383177570092</v>
      </c>
      <c r="N98" s="1312">
        <f>[1]Breaking.!J68</f>
        <v>2.3037383177570092</v>
      </c>
      <c r="O98" s="1312">
        <f>[1]Breaking.!K68</f>
        <v>2.3037383177570092</v>
      </c>
      <c r="P98" s="1312">
        <f>[1]Breaking.!L68</f>
        <v>2.3037383177570092</v>
      </c>
      <c r="Q98" s="1312">
        <f>[1]Breaking.!M68</f>
        <v>2.3037383177570092</v>
      </c>
      <c r="R98" s="1312">
        <f>[1]Breaking.!N68</f>
        <v>2.3037383177570092</v>
      </c>
      <c r="S98" s="1312">
        <f>[1]Breaking.!O68</f>
        <v>2.3037383177570092</v>
      </c>
      <c r="T98" s="1312">
        <f>[1]Breaking.!P68</f>
        <v>2.3037383177570092</v>
      </c>
      <c r="U98" s="1312">
        <f>[1]Breaking.!Q68</f>
        <v>2.3037383177570092</v>
      </c>
      <c r="V98" s="1312">
        <f>[1]Breaking.!R68</f>
        <v>2.3037383177570092</v>
      </c>
      <c r="W98" s="1312">
        <f>[1]Breaking.!S68</f>
        <v>2.3037383177570092</v>
      </c>
      <c r="X98" s="1312">
        <f>[1]Breaking.!T68</f>
        <v>2.3037383177570092</v>
      </c>
      <c r="Y98" s="1312">
        <f>[1]Breaking.!U68</f>
        <v>2.3037383177570092</v>
      </c>
      <c r="Z98" s="1312">
        <f>[1]Breaking.!V68</f>
        <v>2.3037383177570092</v>
      </c>
      <c r="AA98" s="1312">
        <f>[1]Breaking.!W68</f>
        <v>2.3037383177570092</v>
      </c>
      <c r="AB98" s="1312">
        <f>[1]Breaking.!X68</f>
        <v>2.3037383177570092</v>
      </c>
      <c r="AC98" s="1312">
        <f>[1]Breaking.!Y68</f>
        <v>2.3037383177570092</v>
      </c>
      <c r="AD98" s="1312">
        <f>[1]Breaking.!Z68</f>
        <v>2.3037383177570092</v>
      </c>
      <c r="AE98" s="1312">
        <f>[1]Breaking.!AA68</f>
        <v>2.3037383177570092</v>
      </c>
      <c r="AF98" s="1312">
        <f>[1]Breaking.!AB68</f>
        <v>2.3037383177570092</v>
      </c>
      <c r="AG98" s="1312">
        <f>[1]Breaking.!AC68</f>
        <v>2.3037383177570092</v>
      </c>
      <c r="AH98" s="1312">
        <f>[1]Breaking.!AD68</f>
        <v>2.3037383177570092</v>
      </c>
      <c r="AI98" s="1312">
        <f>[1]Breaking.!AE68</f>
        <v>2.3037383177570092</v>
      </c>
      <c r="AJ98" s="1312">
        <f>[1]Breaking.!AF68</f>
        <v>2.3037383177570092</v>
      </c>
      <c r="AK98" s="1312">
        <f>[1]Breaking.!AG68</f>
        <v>2.3037383177570092</v>
      </c>
      <c r="AL98" s="1312">
        <f>[1]Breaking.!AH68</f>
        <v>2.3037383177570092</v>
      </c>
      <c r="AM98" s="1074"/>
    </row>
    <row r="99" spans="2:39" ht="14.25" thickBot="1" x14ac:dyDescent="0.3">
      <c r="B99" s="1619"/>
      <c r="C99" s="1626"/>
      <c r="D99" s="1613"/>
      <c r="E99" s="1313" t="s">
        <v>345</v>
      </c>
      <c r="F99" s="1314">
        <f t="shared" ref="F99" si="47">IFERROR(F101*1000/F96,0)</f>
        <v>2.3724438067910092</v>
      </c>
      <c r="G99" s="1304">
        <f t="shared" ref="G99" si="48">IFERROR((F99-F98)/F98,0)</f>
        <v>2.9823477998531432E-2</v>
      </c>
      <c r="H99" s="1315">
        <v>3.18</v>
      </c>
      <c r="I99" s="1314">
        <v>1.89</v>
      </c>
      <c r="J99" s="1314"/>
      <c r="K99" s="1314">
        <v>1.73</v>
      </c>
      <c r="L99" s="1314">
        <v>2.6</v>
      </c>
      <c r="M99" s="1314">
        <v>2.6</v>
      </c>
      <c r="N99" s="1314">
        <v>2.67</v>
      </c>
      <c r="O99" s="1314">
        <v>3.63</v>
      </c>
      <c r="P99" s="1314"/>
      <c r="Q99" s="1314">
        <v>3.63</v>
      </c>
      <c r="R99" s="1314">
        <v>2.1800000000000002</v>
      </c>
      <c r="S99" s="1314">
        <v>2.1800000000000002</v>
      </c>
      <c r="T99" s="1314">
        <v>2.91</v>
      </c>
      <c r="U99" s="1314">
        <v>0.38</v>
      </c>
      <c r="V99" s="1314">
        <v>0.66</v>
      </c>
      <c r="W99" s="1314">
        <v>3.2</v>
      </c>
      <c r="X99" s="1314"/>
      <c r="Y99" s="1314"/>
      <c r="Z99" s="1314"/>
      <c r="AA99" s="1314"/>
      <c r="AB99" s="1314"/>
      <c r="AC99" s="1314"/>
      <c r="AD99" s="1314"/>
      <c r="AE99" s="1314"/>
      <c r="AF99" s="1314"/>
      <c r="AG99" s="1314"/>
      <c r="AH99" s="1314"/>
      <c r="AI99" s="1314"/>
      <c r="AJ99" s="1314"/>
      <c r="AK99" s="1314"/>
      <c r="AL99" s="1314"/>
      <c r="AM99" s="1074"/>
    </row>
    <row r="100" spans="2:39" ht="14.25" thickBot="1" x14ac:dyDescent="0.3">
      <c r="B100" s="1619"/>
      <c r="C100" s="1626"/>
      <c r="D100" s="1613" t="s">
        <v>47</v>
      </c>
      <c r="E100" s="1309" t="s">
        <v>346</v>
      </c>
      <c r="F100" s="206">
        <f>SUMIF($H$9:$AL$9,"&lt;="&amp;$C$7,H100:AL100)</f>
        <v>3.870280373831775</v>
      </c>
      <c r="G100" s="1311"/>
      <c r="H100" s="1316">
        <f>+H98*H95/1000</f>
        <v>0.24189252336448594</v>
      </c>
      <c r="I100" s="1316">
        <f t="shared" ref="I100:AL101" si="49">+I98*I95/1000</f>
        <v>0.24189252336448594</v>
      </c>
      <c r="J100" s="1316">
        <f t="shared" si="49"/>
        <v>0.24189252336448594</v>
      </c>
      <c r="K100" s="1316">
        <f t="shared" si="49"/>
        <v>0.24189252336448594</v>
      </c>
      <c r="L100" s="1316">
        <f t="shared" si="49"/>
        <v>0.24189252336448594</v>
      </c>
      <c r="M100" s="1316">
        <f t="shared" si="49"/>
        <v>0.24189252336448594</v>
      </c>
      <c r="N100" s="1316">
        <f t="shared" si="49"/>
        <v>0.24189252336448594</v>
      </c>
      <c r="O100" s="1316">
        <f t="shared" si="49"/>
        <v>0.24189252336448594</v>
      </c>
      <c r="P100" s="1316">
        <f t="shared" si="49"/>
        <v>0.24189252336448594</v>
      </c>
      <c r="Q100" s="1316">
        <f t="shared" si="49"/>
        <v>0.24189252336448594</v>
      </c>
      <c r="R100" s="1316">
        <f t="shared" si="49"/>
        <v>0.24189252336448594</v>
      </c>
      <c r="S100" s="1316">
        <f t="shared" si="49"/>
        <v>0.24189252336448594</v>
      </c>
      <c r="T100" s="1316">
        <f t="shared" si="49"/>
        <v>0.24189252336448594</v>
      </c>
      <c r="U100" s="1316">
        <f t="shared" si="49"/>
        <v>0.24189252336448594</v>
      </c>
      <c r="V100" s="1316">
        <f t="shared" si="49"/>
        <v>0.24189252336448594</v>
      </c>
      <c r="W100" s="1316">
        <f t="shared" si="49"/>
        <v>0.24189252336448594</v>
      </c>
      <c r="X100" s="1316">
        <f t="shared" si="49"/>
        <v>0.24189252336448594</v>
      </c>
      <c r="Y100" s="1316">
        <f t="shared" si="49"/>
        <v>0.24189252336448594</v>
      </c>
      <c r="Z100" s="1316">
        <f t="shared" si="49"/>
        <v>0.24189252336448594</v>
      </c>
      <c r="AA100" s="1316">
        <f t="shared" si="49"/>
        <v>0.24189252336448594</v>
      </c>
      <c r="AB100" s="1316">
        <f t="shared" si="49"/>
        <v>0.24189252336448594</v>
      </c>
      <c r="AC100" s="1316">
        <f t="shared" si="49"/>
        <v>0.24189252336448594</v>
      </c>
      <c r="AD100" s="1316">
        <f t="shared" si="49"/>
        <v>0.24189252336448594</v>
      </c>
      <c r="AE100" s="1316">
        <f t="shared" si="49"/>
        <v>0.24189252336448594</v>
      </c>
      <c r="AF100" s="1316">
        <f t="shared" si="49"/>
        <v>0.24189252336448594</v>
      </c>
      <c r="AG100" s="1316">
        <f t="shared" si="49"/>
        <v>0.24189252336448594</v>
      </c>
      <c r="AH100" s="1316">
        <f t="shared" si="49"/>
        <v>0.24189252336448594</v>
      </c>
      <c r="AI100" s="1316">
        <f t="shared" si="49"/>
        <v>0.24189252336448594</v>
      </c>
      <c r="AJ100" s="1316">
        <f t="shared" si="49"/>
        <v>0.24189252336448594</v>
      </c>
      <c r="AK100" s="1316">
        <f t="shared" si="49"/>
        <v>0.24189252336448594</v>
      </c>
      <c r="AL100" s="1319">
        <f t="shared" si="49"/>
        <v>0.24189252336448594</v>
      </c>
      <c r="AM100" s="1078"/>
    </row>
    <row r="101" spans="2:39" ht="14.25" thickBot="1" x14ac:dyDescent="0.3">
      <c r="B101" s="1624"/>
      <c r="C101" s="1627"/>
      <c r="D101" s="1614"/>
      <c r="E101" s="1320" t="s">
        <v>347</v>
      </c>
      <c r="F101" s="1321">
        <f>SUMIF($H$9:$AL$9,"&lt;="&amp;$C$7,H101:AL101)</f>
        <v>4.9607800000000006</v>
      </c>
      <c r="G101" s="1322">
        <f t="shared" ref="G101" si="50">IFERROR((F101-F100)/F100,0)</f>
        <v>0.28176243600888667</v>
      </c>
      <c r="H101" s="1323">
        <f t="shared" ref="H101" si="51">+H99*H96/1000</f>
        <v>0.52788000000000002</v>
      </c>
      <c r="I101" s="1323">
        <f>+I99*I96/1000</f>
        <v>0.20222999999999999</v>
      </c>
      <c r="J101" s="1321">
        <f t="shared" si="49"/>
        <v>0</v>
      </c>
      <c r="K101" s="1321">
        <f t="shared" si="49"/>
        <v>0.24912000000000001</v>
      </c>
      <c r="L101" s="1321">
        <f t="shared" si="49"/>
        <v>0.4602</v>
      </c>
      <c r="M101" s="1321">
        <f t="shared" si="49"/>
        <v>0.29640000000000005</v>
      </c>
      <c r="N101" s="1321">
        <f t="shared" si="49"/>
        <v>0.37380000000000002</v>
      </c>
      <c r="O101" s="1321">
        <f t="shared" si="49"/>
        <v>0.67518</v>
      </c>
      <c r="P101" s="1321">
        <f t="shared" si="49"/>
        <v>0</v>
      </c>
      <c r="Q101" s="1321">
        <f t="shared" si="49"/>
        <v>0.68606999999999996</v>
      </c>
      <c r="R101" s="1321">
        <f t="shared" si="49"/>
        <v>0.36188000000000003</v>
      </c>
      <c r="S101" s="1321">
        <f t="shared" si="49"/>
        <v>0.15260000000000001</v>
      </c>
      <c r="T101" s="1321">
        <f t="shared" si="49"/>
        <v>0.55289999999999995</v>
      </c>
      <c r="U101" s="1321">
        <f t="shared" si="49"/>
        <v>7.0680000000000007E-2</v>
      </c>
      <c r="V101" s="1321">
        <f t="shared" si="49"/>
        <v>0.12144000000000001</v>
      </c>
      <c r="W101" s="1321">
        <f>+W99*W96/1000</f>
        <v>0.23039999999999999</v>
      </c>
      <c r="X101" s="1321">
        <f t="shared" si="49"/>
        <v>0</v>
      </c>
      <c r="Y101" s="1321">
        <f t="shared" si="49"/>
        <v>0</v>
      </c>
      <c r="Z101" s="1321">
        <f t="shared" si="49"/>
        <v>0</v>
      </c>
      <c r="AA101" s="1321">
        <f t="shared" si="49"/>
        <v>0</v>
      </c>
      <c r="AB101" s="1321">
        <f t="shared" si="49"/>
        <v>0</v>
      </c>
      <c r="AC101" s="1321">
        <f t="shared" si="49"/>
        <v>0</v>
      </c>
      <c r="AD101" s="1321">
        <f t="shared" si="49"/>
        <v>0</v>
      </c>
      <c r="AE101" s="1321">
        <f t="shared" si="49"/>
        <v>0</v>
      </c>
      <c r="AF101" s="1321">
        <f t="shared" si="49"/>
        <v>0</v>
      </c>
      <c r="AG101" s="1321">
        <f t="shared" si="49"/>
        <v>0</v>
      </c>
      <c r="AH101" s="1321">
        <f t="shared" si="49"/>
        <v>0</v>
      </c>
      <c r="AI101" s="1321">
        <f t="shared" si="49"/>
        <v>0</v>
      </c>
      <c r="AJ101" s="1321">
        <f t="shared" si="49"/>
        <v>0</v>
      </c>
      <c r="AK101" s="1321">
        <f t="shared" si="49"/>
        <v>0</v>
      </c>
      <c r="AL101" s="1321">
        <f t="shared" si="49"/>
        <v>0</v>
      </c>
      <c r="AM101" s="1079"/>
    </row>
    <row r="102" spans="2:39" ht="13.5" customHeight="1" thickBot="1" x14ac:dyDescent="0.3">
      <c r="B102" s="1619">
        <v>1</v>
      </c>
      <c r="C102" s="1625" t="str">
        <f>[1]Breaking.!A69</f>
        <v>6L_W3 STOPE</v>
      </c>
      <c r="D102" s="1611" t="s">
        <v>340</v>
      </c>
      <c r="E102" s="1104" t="s">
        <v>341</v>
      </c>
      <c r="F102" s="196">
        <f>SUMIF($H$9:$AL$9,"&lt;="&amp;$C$7,H102:AL102)</f>
        <v>1120</v>
      </c>
      <c r="G102" s="1071"/>
      <c r="H102" s="945">
        <f>[1]Breaking.!D69</f>
        <v>70</v>
      </c>
      <c r="I102" s="945">
        <f>[1]Breaking.!E69</f>
        <v>70</v>
      </c>
      <c r="J102" s="945">
        <f>[1]Breaking.!F69</f>
        <v>70</v>
      </c>
      <c r="K102" s="945">
        <f>[1]Breaking.!G69</f>
        <v>70</v>
      </c>
      <c r="L102" s="945">
        <f>[1]Breaking.!H69</f>
        <v>70</v>
      </c>
      <c r="M102" s="945">
        <f>[1]Breaking.!I69</f>
        <v>70</v>
      </c>
      <c r="N102" s="945">
        <f>[1]Breaking.!J69</f>
        <v>70</v>
      </c>
      <c r="O102" s="945">
        <f>[1]Breaking.!K69</f>
        <v>70</v>
      </c>
      <c r="P102" s="945">
        <f>[1]Breaking.!L69</f>
        <v>70</v>
      </c>
      <c r="Q102" s="945">
        <f>[1]Breaking.!M69</f>
        <v>70</v>
      </c>
      <c r="R102" s="945">
        <f>[1]Breaking.!N69</f>
        <v>70</v>
      </c>
      <c r="S102" s="945">
        <f>[1]Breaking.!O69</f>
        <v>70</v>
      </c>
      <c r="T102" s="945">
        <f>[1]Breaking.!P69</f>
        <v>70</v>
      </c>
      <c r="U102" s="945">
        <f>[1]Breaking.!Q69</f>
        <v>70</v>
      </c>
      <c r="V102" s="945">
        <f>[1]Breaking.!R69</f>
        <v>70</v>
      </c>
      <c r="W102" s="945">
        <f>[1]Breaking.!S69</f>
        <v>70</v>
      </c>
      <c r="X102" s="945">
        <f>[1]Breaking.!T69</f>
        <v>70</v>
      </c>
      <c r="Y102" s="945">
        <f>[1]Breaking.!U69</f>
        <v>70</v>
      </c>
      <c r="Z102" s="945">
        <f>[1]Breaking.!V69</f>
        <v>70</v>
      </c>
      <c r="AA102" s="945">
        <f>[1]Breaking.!W69</f>
        <v>70</v>
      </c>
      <c r="AB102" s="945">
        <f>[1]Breaking.!X69</f>
        <v>70</v>
      </c>
      <c r="AC102" s="945">
        <f>[1]Breaking.!Y69</f>
        <v>70</v>
      </c>
      <c r="AD102" s="945">
        <f>[1]Breaking.!Z69</f>
        <v>70</v>
      </c>
      <c r="AE102" s="945">
        <f>[1]Breaking.!AA69</f>
        <v>70</v>
      </c>
      <c r="AF102" s="945">
        <f>[1]Breaking.!AB69</f>
        <v>70</v>
      </c>
      <c r="AG102" s="945">
        <f>[1]Breaking.!AC69</f>
        <v>70</v>
      </c>
      <c r="AH102" s="945">
        <f>[1]Breaking.!AD69</f>
        <v>70</v>
      </c>
      <c r="AI102" s="945">
        <f>[1]Breaking.!AE69</f>
        <v>70</v>
      </c>
      <c r="AJ102" s="945">
        <f>[1]Breaking.!AF69</f>
        <v>70</v>
      </c>
      <c r="AK102" s="945">
        <f>[1]Breaking.!AG69</f>
        <v>70</v>
      </c>
      <c r="AL102" s="945">
        <f>[1]Breaking.!AH69</f>
        <v>70</v>
      </c>
      <c r="AM102" s="1105"/>
    </row>
    <row r="103" spans="2:39" ht="13.5" customHeight="1" thickBot="1" x14ac:dyDescent="0.3">
      <c r="B103" s="1619"/>
      <c r="C103" s="1626"/>
      <c r="D103" s="1611"/>
      <c r="E103" s="1302" t="s">
        <v>342</v>
      </c>
      <c r="F103" s="1303">
        <f>SUMIF($H$9:$AL$9,"&lt;="&amp;$C$7,H103:AL103)</f>
        <v>434</v>
      </c>
      <c r="G103" s="1304">
        <f t="shared" ref="G103" si="52">IFERROR((F103-F102)/F102,0)</f>
        <v>-0.61250000000000004</v>
      </c>
      <c r="H103" s="1305">
        <v>56</v>
      </c>
      <c r="I103" s="1303">
        <v>56</v>
      </c>
      <c r="J103" s="1303">
        <v>74</v>
      </c>
      <c r="K103" s="1303"/>
      <c r="L103" s="1303"/>
      <c r="M103" s="1303">
        <v>31</v>
      </c>
      <c r="N103" s="1303">
        <v>70</v>
      </c>
      <c r="O103" s="1303">
        <v>75</v>
      </c>
      <c r="P103" s="1303">
        <v>72</v>
      </c>
      <c r="Q103" s="1303"/>
      <c r="R103" s="1303"/>
      <c r="S103" s="1303"/>
      <c r="T103" s="1303"/>
      <c r="U103" s="1303"/>
      <c r="V103" s="1303"/>
      <c r="W103" s="1303"/>
      <c r="X103" s="1303"/>
      <c r="Y103" s="1303"/>
      <c r="Z103" s="1303"/>
      <c r="AA103" s="1303"/>
      <c r="AB103" s="1303"/>
      <c r="AC103" s="1303"/>
      <c r="AD103" s="1303"/>
      <c r="AE103" s="1303"/>
      <c r="AF103" s="1303"/>
      <c r="AG103" s="1303"/>
      <c r="AH103" s="1303"/>
      <c r="AI103" s="1303"/>
      <c r="AJ103" s="1303"/>
      <c r="AK103" s="1303"/>
      <c r="AL103" s="1303"/>
      <c r="AM103" s="1074"/>
    </row>
    <row r="104" spans="2:39" ht="13.5" customHeight="1" thickBot="1" x14ac:dyDescent="0.3">
      <c r="B104" s="1619"/>
      <c r="C104" s="1626"/>
      <c r="D104" s="1611"/>
      <c r="E104" s="1324" t="s">
        <v>312</v>
      </c>
      <c r="F104" s="1325"/>
      <c r="G104" s="1326"/>
      <c r="H104" s="1075"/>
      <c r="I104" s="1075"/>
      <c r="J104" s="1075"/>
      <c r="K104" s="1075"/>
      <c r="L104" s="1075"/>
      <c r="M104" s="1075"/>
      <c r="N104" s="1075"/>
      <c r="O104" s="1075"/>
      <c r="P104" s="1076"/>
      <c r="Q104" s="1075"/>
      <c r="R104" s="1075"/>
      <c r="S104" s="1075"/>
      <c r="T104" s="1075"/>
      <c r="U104" s="1075"/>
      <c r="V104" s="1075"/>
      <c r="W104" s="1075"/>
      <c r="X104" s="1075"/>
      <c r="Y104" s="1075"/>
      <c r="Z104" s="1075"/>
      <c r="AA104" s="1075"/>
      <c r="AB104" s="1075"/>
      <c r="AC104" s="1075"/>
      <c r="AD104" s="1075"/>
      <c r="AE104" s="1075"/>
      <c r="AF104" s="1075"/>
      <c r="AG104" s="1075"/>
      <c r="AH104" s="1075"/>
      <c r="AI104" s="1075"/>
      <c r="AJ104" s="1075"/>
      <c r="AK104" s="1075"/>
      <c r="AL104" s="1077"/>
      <c r="AM104" s="1108"/>
    </row>
    <row r="105" spans="2:39" ht="13.5" customHeight="1" thickBot="1" x14ac:dyDescent="0.3">
      <c r="B105" s="1619"/>
      <c r="C105" s="1626"/>
      <c r="D105" s="1612" t="s">
        <v>343</v>
      </c>
      <c r="E105" s="1309" t="s">
        <v>344</v>
      </c>
      <c r="F105" s="1310">
        <f t="shared" ref="F105:F106" si="53">IFERROR(F107*1000/F102,0)</f>
        <v>2.8999999999999995</v>
      </c>
      <c r="G105" s="1311"/>
      <c r="H105" s="1312">
        <f>[1]Breaking.!D70</f>
        <v>2.9</v>
      </c>
      <c r="I105" s="1312">
        <f>[1]Breaking.!E70</f>
        <v>2.9</v>
      </c>
      <c r="J105" s="1312">
        <f>[1]Breaking.!F70</f>
        <v>2.9</v>
      </c>
      <c r="K105" s="1312">
        <f>[1]Breaking.!G70</f>
        <v>2.9</v>
      </c>
      <c r="L105" s="1312">
        <f>[1]Breaking.!H70</f>
        <v>2.9</v>
      </c>
      <c r="M105" s="1312">
        <f>[1]Breaking.!I70</f>
        <v>2.9</v>
      </c>
      <c r="N105" s="1312">
        <f>[1]Breaking.!J70</f>
        <v>2.9</v>
      </c>
      <c r="O105" s="1312">
        <f>[1]Breaking.!K70</f>
        <v>2.9</v>
      </c>
      <c r="P105" s="1312">
        <f>[1]Breaking.!L70</f>
        <v>2.9</v>
      </c>
      <c r="Q105" s="1312">
        <f>[1]Breaking.!M70</f>
        <v>2.9</v>
      </c>
      <c r="R105" s="1312">
        <f>[1]Breaking.!N70</f>
        <v>2.9</v>
      </c>
      <c r="S105" s="1312">
        <f>[1]Breaking.!O70</f>
        <v>2.9</v>
      </c>
      <c r="T105" s="1312">
        <f>[1]Breaking.!P70</f>
        <v>2.9</v>
      </c>
      <c r="U105" s="1312">
        <f>[1]Breaking.!Q70</f>
        <v>2.9</v>
      </c>
      <c r="V105" s="1312">
        <f>[1]Breaking.!R70</f>
        <v>2.9</v>
      </c>
      <c r="W105" s="1312">
        <f>[1]Breaking.!S70</f>
        <v>2.9</v>
      </c>
      <c r="X105" s="1312">
        <f>[1]Breaking.!T70</f>
        <v>2.9</v>
      </c>
      <c r="Y105" s="1312">
        <f>[1]Breaking.!U70</f>
        <v>2.9</v>
      </c>
      <c r="Z105" s="1312">
        <f>[1]Breaking.!V70</f>
        <v>2.9</v>
      </c>
      <c r="AA105" s="1312">
        <f>[1]Breaking.!W70</f>
        <v>2.9</v>
      </c>
      <c r="AB105" s="1312">
        <f>[1]Breaking.!X70</f>
        <v>2.9</v>
      </c>
      <c r="AC105" s="1312">
        <f>[1]Breaking.!Y70</f>
        <v>2.9</v>
      </c>
      <c r="AD105" s="1312">
        <f>[1]Breaking.!Z70</f>
        <v>2.9</v>
      </c>
      <c r="AE105" s="1312">
        <f>[1]Breaking.!AA70</f>
        <v>2.9</v>
      </c>
      <c r="AF105" s="1312">
        <f>[1]Breaking.!AB70</f>
        <v>2.9</v>
      </c>
      <c r="AG105" s="1312">
        <f>[1]Breaking.!AC70</f>
        <v>2.9</v>
      </c>
      <c r="AH105" s="1312">
        <f>[1]Breaking.!AD70</f>
        <v>2.9</v>
      </c>
      <c r="AI105" s="1312">
        <f>[1]Breaking.!AE70</f>
        <v>2.9</v>
      </c>
      <c r="AJ105" s="1312">
        <f>[1]Breaking.!AF70</f>
        <v>2.9</v>
      </c>
      <c r="AK105" s="1312">
        <f>[1]Breaking.!AG70</f>
        <v>2.9</v>
      </c>
      <c r="AL105" s="1312">
        <f>[1]Breaking.!AH70</f>
        <v>2.9</v>
      </c>
      <c r="AM105" s="1074"/>
    </row>
    <row r="106" spans="2:39" ht="13.5" customHeight="1" thickBot="1" x14ac:dyDescent="0.3">
      <c r="B106" s="1619"/>
      <c r="C106" s="1626"/>
      <c r="D106" s="1612"/>
      <c r="E106" s="1313" t="s">
        <v>345</v>
      </c>
      <c r="F106" s="1314">
        <f t="shared" si="53"/>
        <v>2.1909447004608293</v>
      </c>
      <c r="G106" s="1304">
        <f t="shared" ref="G106" si="54">IFERROR((F106-F105)/F105,0)</f>
        <v>-0.24450182742730009</v>
      </c>
      <c r="H106" s="1315">
        <v>1.85</v>
      </c>
      <c r="I106" s="1314">
        <v>2.62</v>
      </c>
      <c r="J106" s="1314">
        <v>4.57</v>
      </c>
      <c r="K106" s="1314"/>
      <c r="L106" s="1314"/>
      <c r="M106" s="1314">
        <v>4.57</v>
      </c>
      <c r="N106" s="1314">
        <v>2.33</v>
      </c>
      <c r="O106" s="1314"/>
      <c r="P106" s="1314">
        <v>0.8</v>
      </c>
      <c r="Q106" s="1314"/>
      <c r="R106" s="1314"/>
      <c r="S106" s="1314"/>
      <c r="T106" s="1314"/>
      <c r="U106" s="1314"/>
      <c r="V106" s="1314"/>
      <c r="W106" s="1314"/>
      <c r="X106" s="1314"/>
      <c r="Y106" s="1314"/>
      <c r="Z106" s="1314"/>
      <c r="AA106" s="1314"/>
      <c r="AB106" s="1314"/>
      <c r="AC106" s="1314"/>
      <c r="AD106" s="1314"/>
      <c r="AE106" s="1314"/>
      <c r="AF106" s="1314"/>
      <c r="AG106" s="1314"/>
      <c r="AH106" s="1314"/>
      <c r="AI106" s="1314"/>
      <c r="AJ106" s="1314"/>
      <c r="AK106" s="1314"/>
      <c r="AL106" s="1314"/>
      <c r="AM106" s="1074"/>
    </row>
    <row r="107" spans="2:39" ht="13.5" customHeight="1" thickBot="1" x14ac:dyDescent="0.3">
      <c r="B107" s="1619"/>
      <c r="C107" s="1626"/>
      <c r="D107" s="1612" t="s">
        <v>47</v>
      </c>
      <c r="E107" s="1309" t="s">
        <v>346</v>
      </c>
      <c r="F107" s="206">
        <f>SUMIF($H$9:$AL$9,"&lt;="&amp;$C$7,H107:AL107)</f>
        <v>3.2479999999999993</v>
      </c>
      <c r="G107" s="1311"/>
      <c r="H107" s="1316">
        <f t="shared" ref="H107:AL108" si="55">+H105*H102/1000</f>
        <v>0.20300000000000001</v>
      </c>
      <c r="I107" s="1316">
        <f t="shared" si="55"/>
        <v>0.20300000000000001</v>
      </c>
      <c r="J107" s="1316">
        <f t="shared" si="55"/>
        <v>0.20300000000000001</v>
      </c>
      <c r="K107" s="1316">
        <f t="shared" si="55"/>
        <v>0.20300000000000001</v>
      </c>
      <c r="L107" s="1316">
        <f t="shared" si="55"/>
        <v>0.20300000000000001</v>
      </c>
      <c r="M107" s="1316">
        <f t="shared" si="55"/>
        <v>0.20300000000000001</v>
      </c>
      <c r="N107" s="1316">
        <f t="shared" si="55"/>
        <v>0.20300000000000001</v>
      </c>
      <c r="O107" s="1316">
        <f t="shared" si="55"/>
        <v>0.20300000000000001</v>
      </c>
      <c r="P107" s="1316">
        <f t="shared" si="55"/>
        <v>0.20300000000000001</v>
      </c>
      <c r="Q107" s="1316">
        <f t="shared" si="55"/>
        <v>0.20300000000000001</v>
      </c>
      <c r="R107" s="1316">
        <f t="shared" si="55"/>
        <v>0.20300000000000001</v>
      </c>
      <c r="S107" s="1316">
        <f t="shared" si="55"/>
        <v>0.20300000000000001</v>
      </c>
      <c r="T107" s="1316">
        <f t="shared" si="55"/>
        <v>0.20300000000000001</v>
      </c>
      <c r="U107" s="1316">
        <f t="shared" si="55"/>
        <v>0.20300000000000001</v>
      </c>
      <c r="V107" s="1316">
        <f t="shared" si="55"/>
        <v>0.20300000000000001</v>
      </c>
      <c r="W107" s="1316">
        <f t="shared" si="55"/>
        <v>0.20300000000000001</v>
      </c>
      <c r="X107" s="1316">
        <f t="shared" si="55"/>
        <v>0.20300000000000001</v>
      </c>
      <c r="Y107" s="1316">
        <f t="shared" si="55"/>
        <v>0.20300000000000001</v>
      </c>
      <c r="Z107" s="1316">
        <f t="shared" si="55"/>
        <v>0.20300000000000001</v>
      </c>
      <c r="AA107" s="1316">
        <f t="shared" si="55"/>
        <v>0.20300000000000001</v>
      </c>
      <c r="AB107" s="1316">
        <f t="shared" si="55"/>
        <v>0.20300000000000001</v>
      </c>
      <c r="AC107" s="1316">
        <f t="shared" si="55"/>
        <v>0.20300000000000001</v>
      </c>
      <c r="AD107" s="1316">
        <f t="shared" si="55"/>
        <v>0.20300000000000001</v>
      </c>
      <c r="AE107" s="1316">
        <f t="shared" si="55"/>
        <v>0.20300000000000001</v>
      </c>
      <c r="AF107" s="1316">
        <f t="shared" si="55"/>
        <v>0.20300000000000001</v>
      </c>
      <c r="AG107" s="1316">
        <f t="shared" si="55"/>
        <v>0.20300000000000001</v>
      </c>
      <c r="AH107" s="1316">
        <f t="shared" si="55"/>
        <v>0.20300000000000001</v>
      </c>
      <c r="AI107" s="1316">
        <f t="shared" si="55"/>
        <v>0.20300000000000001</v>
      </c>
      <c r="AJ107" s="1316">
        <f t="shared" si="55"/>
        <v>0.20300000000000001</v>
      </c>
      <c r="AK107" s="1316">
        <f t="shared" si="55"/>
        <v>0.20300000000000001</v>
      </c>
      <c r="AL107" s="1319">
        <f t="shared" si="55"/>
        <v>0.20300000000000001</v>
      </c>
      <c r="AM107" s="1078"/>
    </row>
    <row r="108" spans="2:39" ht="13.5" customHeight="1" thickBot="1" x14ac:dyDescent="0.3">
      <c r="B108" s="1620"/>
      <c r="C108" s="1627"/>
      <c r="D108" s="1629"/>
      <c r="E108" s="1320" t="s">
        <v>347</v>
      </c>
      <c r="F108" s="1321">
        <f>SUMIF($H$9:$AL$9,"&lt;="&amp;$C$7,H108:AL108)</f>
        <v>0.95086999999999999</v>
      </c>
      <c r="G108" s="1322">
        <f t="shared" ref="G108" si="56">IFERROR((F108-F107)/F107,0)</f>
        <v>-0.70724445812807868</v>
      </c>
      <c r="H108" s="1323">
        <f t="shared" si="55"/>
        <v>0.10360000000000001</v>
      </c>
      <c r="I108" s="1321">
        <f t="shared" si="55"/>
        <v>0.14671999999999999</v>
      </c>
      <c r="J108" s="1321">
        <f t="shared" si="55"/>
        <v>0.33817999999999998</v>
      </c>
      <c r="K108" s="1321">
        <f t="shared" si="55"/>
        <v>0</v>
      </c>
      <c r="L108" s="1321">
        <f t="shared" si="55"/>
        <v>0</v>
      </c>
      <c r="M108" s="1321">
        <f t="shared" si="55"/>
        <v>0.14167000000000002</v>
      </c>
      <c r="N108" s="1321">
        <f t="shared" si="55"/>
        <v>0.16309999999999999</v>
      </c>
      <c r="O108" s="1321">
        <f t="shared" si="55"/>
        <v>0</v>
      </c>
      <c r="P108" s="1321">
        <f t="shared" si="55"/>
        <v>5.7599999999999998E-2</v>
      </c>
      <c r="Q108" s="1321">
        <f t="shared" si="55"/>
        <v>0</v>
      </c>
      <c r="R108" s="1321">
        <f t="shared" si="55"/>
        <v>0</v>
      </c>
      <c r="S108" s="1321">
        <f t="shared" si="55"/>
        <v>0</v>
      </c>
      <c r="T108" s="1321">
        <f t="shared" si="55"/>
        <v>0</v>
      </c>
      <c r="U108" s="1321">
        <f t="shared" si="55"/>
        <v>0</v>
      </c>
      <c r="V108" s="1321">
        <f t="shared" si="55"/>
        <v>0</v>
      </c>
      <c r="W108" s="1321">
        <f>+W106*W103/1000</f>
        <v>0</v>
      </c>
      <c r="X108" s="1321">
        <f t="shared" si="55"/>
        <v>0</v>
      </c>
      <c r="Y108" s="1321">
        <f t="shared" si="55"/>
        <v>0</v>
      </c>
      <c r="Z108" s="1321">
        <f t="shared" si="55"/>
        <v>0</v>
      </c>
      <c r="AA108" s="1321">
        <f t="shared" si="55"/>
        <v>0</v>
      </c>
      <c r="AB108" s="1321">
        <f t="shared" si="55"/>
        <v>0</v>
      </c>
      <c r="AC108" s="1321">
        <f t="shared" si="55"/>
        <v>0</v>
      </c>
      <c r="AD108" s="1321">
        <f>+AD106*AD103/1000</f>
        <v>0</v>
      </c>
      <c r="AE108" s="1321">
        <f t="shared" si="55"/>
        <v>0</v>
      </c>
      <c r="AF108" s="1321">
        <f t="shared" si="55"/>
        <v>0</v>
      </c>
      <c r="AG108" s="1321">
        <f t="shared" si="55"/>
        <v>0</v>
      </c>
      <c r="AH108" s="1321">
        <f t="shared" si="55"/>
        <v>0</v>
      </c>
      <c r="AI108" s="1321">
        <f t="shared" si="55"/>
        <v>0</v>
      </c>
      <c r="AJ108" s="1321">
        <f t="shared" si="55"/>
        <v>0</v>
      </c>
      <c r="AK108" s="1321">
        <f t="shared" si="55"/>
        <v>0</v>
      </c>
      <c r="AL108" s="1321">
        <f t="shared" si="55"/>
        <v>0</v>
      </c>
      <c r="AM108" s="1079"/>
    </row>
    <row r="109" spans="2:39" ht="13.5" customHeight="1" thickBot="1" x14ac:dyDescent="0.3">
      <c r="B109" s="1618">
        <v>1</v>
      </c>
      <c r="C109" s="1621" t="str">
        <f>[1]Breaking.!A71</f>
        <v>6L_W4 STOPE</v>
      </c>
      <c r="D109" s="1611" t="s">
        <v>340</v>
      </c>
      <c r="E109" s="1104" t="s">
        <v>341</v>
      </c>
      <c r="F109" s="196">
        <f>SUMIF($H$9:$AL$9,"&lt;="&amp;$C$7,H109:AL109)</f>
        <v>1120</v>
      </c>
      <c r="G109" s="1071"/>
      <c r="H109" s="945">
        <f>[1]Breaking.!D71</f>
        <v>70</v>
      </c>
      <c r="I109" s="945">
        <f>[1]Breaking.!E71</f>
        <v>70</v>
      </c>
      <c r="J109" s="945">
        <f>[1]Breaking.!F71</f>
        <v>70</v>
      </c>
      <c r="K109" s="945">
        <f>[1]Breaking.!G71</f>
        <v>70</v>
      </c>
      <c r="L109" s="945">
        <f>[1]Breaking.!H71</f>
        <v>70</v>
      </c>
      <c r="M109" s="945">
        <f>[1]Breaking.!I71</f>
        <v>70</v>
      </c>
      <c r="N109" s="945">
        <f>[1]Breaking.!J71</f>
        <v>70</v>
      </c>
      <c r="O109" s="945">
        <f>[1]Breaking.!K71</f>
        <v>70</v>
      </c>
      <c r="P109" s="945">
        <f>[1]Breaking.!L71</f>
        <v>70</v>
      </c>
      <c r="Q109" s="945">
        <f>[1]Breaking.!M71</f>
        <v>70</v>
      </c>
      <c r="R109" s="945">
        <f>[1]Breaking.!N71</f>
        <v>70</v>
      </c>
      <c r="S109" s="945">
        <f>[1]Breaking.!O71</f>
        <v>70</v>
      </c>
      <c r="T109" s="945">
        <f>[1]Breaking.!P71</f>
        <v>70</v>
      </c>
      <c r="U109" s="945">
        <f>[1]Breaking.!Q71</f>
        <v>70</v>
      </c>
      <c r="V109" s="945">
        <f>[1]Breaking.!R71</f>
        <v>70</v>
      </c>
      <c r="W109" s="945">
        <f>[1]Breaking.!S71</f>
        <v>70</v>
      </c>
      <c r="X109" s="945">
        <f>[1]Breaking.!T71</f>
        <v>70</v>
      </c>
      <c r="Y109" s="945">
        <f>[1]Breaking.!U71</f>
        <v>70</v>
      </c>
      <c r="Z109" s="945">
        <f>[1]Breaking.!V71</f>
        <v>70</v>
      </c>
      <c r="AA109" s="945">
        <f>[1]Breaking.!W71</f>
        <v>70</v>
      </c>
      <c r="AB109" s="945">
        <f>[1]Breaking.!X71</f>
        <v>70</v>
      </c>
      <c r="AC109" s="945">
        <f>[1]Breaking.!Y71</f>
        <v>70</v>
      </c>
      <c r="AD109" s="945">
        <f>[1]Breaking.!Z71</f>
        <v>70</v>
      </c>
      <c r="AE109" s="945">
        <f>[1]Breaking.!AA71</f>
        <v>70</v>
      </c>
      <c r="AF109" s="945">
        <f>[1]Breaking.!AB71</f>
        <v>70</v>
      </c>
      <c r="AG109" s="945">
        <f>[1]Breaking.!AC71</f>
        <v>70</v>
      </c>
      <c r="AH109" s="945">
        <f>[1]Breaking.!AD71</f>
        <v>70</v>
      </c>
      <c r="AI109" s="945">
        <f>[1]Breaking.!AE71</f>
        <v>70</v>
      </c>
      <c r="AJ109" s="945">
        <f>[1]Breaking.!AF71</f>
        <v>70</v>
      </c>
      <c r="AK109" s="945">
        <f>[1]Breaking.!AG71</f>
        <v>70</v>
      </c>
      <c r="AL109" s="945">
        <f>[1]Breaking.!AH71</f>
        <v>70</v>
      </c>
      <c r="AM109" s="1105"/>
    </row>
    <row r="110" spans="2:39" ht="13.5" customHeight="1" thickBot="1" x14ac:dyDescent="0.3">
      <c r="B110" s="1619"/>
      <c r="C110" s="1622"/>
      <c r="D110" s="1611"/>
      <c r="E110" s="1302" t="s">
        <v>342</v>
      </c>
      <c r="F110" s="1303">
        <f>SUMIF($H$9:$AL$9,"&lt;="&amp;$C$7,H110:AL110)</f>
        <v>1542</v>
      </c>
      <c r="G110" s="1304">
        <f t="shared" ref="G110" si="57">IFERROR((F110-F109)/F109,0)</f>
        <v>0.37678571428571428</v>
      </c>
      <c r="H110" s="1305">
        <v>70</v>
      </c>
      <c r="I110" s="1303">
        <v>64</v>
      </c>
      <c r="J110" s="1303">
        <v>100</v>
      </c>
      <c r="K110" s="1303">
        <v>67</v>
      </c>
      <c r="L110" s="1303">
        <f>29*3</f>
        <v>87</v>
      </c>
      <c r="M110" s="1303">
        <v>71</v>
      </c>
      <c r="N110" s="1303">
        <v>72</v>
      </c>
      <c r="O110" s="1303">
        <v>95</v>
      </c>
      <c r="P110" s="1303">
        <v>94</v>
      </c>
      <c r="Q110" s="1303">
        <v>150</v>
      </c>
      <c r="R110" s="1303">
        <v>129</v>
      </c>
      <c r="S110" s="1303">
        <v>151</v>
      </c>
      <c r="T110" s="1303">
        <v>95</v>
      </c>
      <c r="U110" s="1303">
        <v>108</v>
      </c>
      <c r="V110" s="1303">
        <v>68</v>
      </c>
      <c r="W110" s="1303">
        <v>121</v>
      </c>
      <c r="X110" s="1303"/>
      <c r="Y110" s="1303"/>
      <c r="Z110" s="1303"/>
      <c r="AA110" s="1303"/>
      <c r="AB110" s="1303"/>
      <c r="AC110" s="1303"/>
      <c r="AD110" s="1303"/>
      <c r="AE110" s="1303"/>
      <c r="AF110" s="1303"/>
      <c r="AG110" s="1303"/>
      <c r="AH110" s="1303"/>
      <c r="AI110" s="1303"/>
      <c r="AJ110" s="1303"/>
      <c r="AK110" s="1303"/>
      <c r="AL110" s="1303"/>
      <c r="AM110" s="1074"/>
    </row>
    <row r="111" spans="2:39" ht="13.5" customHeight="1" thickBot="1" x14ac:dyDescent="0.3">
      <c r="B111" s="1619"/>
      <c r="C111" s="1622"/>
      <c r="D111" s="1611"/>
      <c r="E111" s="1324" t="s">
        <v>312</v>
      </c>
      <c r="F111" s="1325"/>
      <c r="G111" s="1326"/>
      <c r="H111" s="1075"/>
      <c r="I111" s="1075"/>
      <c r="J111" s="1075"/>
      <c r="K111" s="1075"/>
      <c r="L111" s="1075"/>
      <c r="M111" s="1075"/>
      <c r="N111" s="1075"/>
      <c r="O111" s="1075"/>
      <c r="P111" s="1076"/>
      <c r="Q111" s="1075"/>
      <c r="R111" s="1075"/>
      <c r="S111" s="1075"/>
      <c r="T111" s="1075"/>
      <c r="U111" s="1075"/>
      <c r="V111" s="1075"/>
      <c r="W111" s="1075"/>
      <c r="X111" s="1075"/>
      <c r="Y111" s="1075"/>
      <c r="Z111" s="1075"/>
      <c r="AA111" s="1075"/>
      <c r="AB111" s="1075"/>
      <c r="AC111" s="1075"/>
      <c r="AD111" s="1075"/>
      <c r="AE111" s="1075"/>
      <c r="AF111" s="1075"/>
      <c r="AG111" s="1075"/>
      <c r="AH111" s="1075"/>
      <c r="AI111" s="1075"/>
      <c r="AJ111" s="1075"/>
      <c r="AK111" s="1075"/>
      <c r="AL111" s="1077"/>
      <c r="AM111" s="1108"/>
    </row>
    <row r="112" spans="2:39" ht="13.5" customHeight="1" thickBot="1" x14ac:dyDescent="0.3">
      <c r="B112" s="1619"/>
      <c r="C112" s="1622"/>
      <c r="D112" s="1612" t="s">
        <v>343</v>
      </c>
      <c r="E112" s="1309" t="s">
        <v>344</v>
      </c>
      <c r="F112" s="1310">
        <f t="shared" ref="F112" si="58">IFERROR(F114*1000/F109,0)</f>
        <v>2.3831775700934577</v>
      </c>
      <c r="G112" s="1311"/>
      <c r="H112" s="1312">
        <f>[1]Breaking.!D72</f>
        <v>2.3831775700934577</v>
      </c>
      <c r="I112" s="1312">
        <f>[1]Breaking.!E72</f>
        <v>2.3831775700934577</v>
      </c>
      <c r="J112" s="1312">
        <f>[1]Breaking.!F72</f>
        <v>2.3831775700934577</v>
      </c>
      <c r="K112" s="1312">
        <f>[1]Breaking.!G72</f>
        <v>2.3831775700934577</v>
      </c>
      <c r="L112" s="1312">
        <f>[1]Breaking.!H72</f>
        <v>2.3831775700934577</v>
      </c>
      <c r="M112" s="1312">
        <f>[1]Breaking.!I72</f>
        <v>2.3831775700934577</v>
      </c>
      <c r="N112" s="1312">
        <f>[1]Breaking.!J72</f>
        <v>2.3831775700934577</v>
      </c>
      <c r="O112" s="1312">
        <f>[1]Breaking.!K72</f>
        <v>2.3831775700934577</v>
      </c>
      <c r="P112" s="1312">
        <f>[1]Breaking.!L72</f>
        <v>2.3831775700934577</v>
      </c>
      <c r="Q112" s="1312">
        <f>[1]Breaking.!M72</f>
        <v>2.3831775700934577</v>
      </c>
      <c r="R112" s="1312">
        <f>[1]Breaking.!N72</f>
        <v>2.3831775700934577</v>
      </c>
      <c r="S112" s="1312">
        <f>[1]Breaking.!O72</f>
        <v>2.3831775700934577</v>
      </c>
      <c r="T112" s="1312">
        <f>[1]Breaking.!P72</f>
        <v>2.3831775700934577</v>
      </c>
      <c r="U112" s="1312">
        <f>[1]Breaking.!Q72</f>
        <v>2.3831775700934577</v>
      </c>
      <c r="V112" s="1312">
        <f>[1]Breaking.!R72</f>
        <v>2.3831775700934577</v>
      </c>
      <c r="W112" s="1312">
        <f>[1]Breaking.!S72</f>
        <v>2.3831775700934577</v>
      </c>
      <c r="X112" s="1312">
        <f>[1]Breaking.!T72</f>
        <v>2.3831775700934577</v>
      </c>
      <c r="Y112" s="1312">
        <f>[1]Breaking.!U72</f>
        <v>2.3831775700934577</v>
      </c>
      <c r="Z112" s="1312">
        <f>[1]Breaking.!V72</f>
        <v>2.3831775700934577</v>
      </c>
      <c r="AA112" s="1312">
        <f>[1]Breaking.!W72</f>
        <v>2.3831775700934577</v>
      </c>
      <c r="AB112" s="1312">
        <f>[1]Breaking.!X72</f>
        <v>2.3831775700934577</v>
      </c>
      <c r="AC112" s="1312">
        <f>[1]Breaking.!Y72</f>
        <v>2.3831775700934577</v>
      </c>
      <c r="AD112" s="1312">
        <f>[1]Breaking.!Z72</f>
        <v>2.3831775700934577</v>
      </c>
      <c r="AE112" s="1312">
        <f>[1]Breaking.!AA72</f>
        <v>2.3831775700934577</v>
      </c>
      <c r="AF112" s="1312">
        <f>[1]Breaking.!AB72</f>
        <v>2.3831775700934577</v>
      </c>
      <c r="AG112" s="1312">
        <f>[1]Breaking.!AC72</f>
        <v>2.3831775700934577</v>
      </c>
      <c r="AH112" s="1312">
        <f>[1]Breaking.!AD72</f>
        <v>2.3831775700934577</v>
      </c>
      <c r="AI112" s="1312">
        <f>[1]Breaking.!AE72</f>
        <v>2.3831775700934577</v>
      </c>
      <c r="AJ112" s="1312">
        <f>[1]Breaking.!AF72</f>
        <v>2.3831775700934577</v>
      </c>
      <c r="AK112" s="1312">
        <f>[1]Breaking.!AG72</f>
        <v>2.3831775700934577</v>
      </c>
      <c r="AL112" s="1312">
        <f>[1]Breaking.!AH72</f>
        <v>2.3831775700934577</v>
      </c>
      <c r="AM112" s="1074"/>
    </row>
    <row r="113" spans="2:39" ht="13.5" customHeight="1" thickBot="1" x14ac:dyDescent="0.3">
      <c r="B113" s="1619"/>
      <c r="C113" s="1622"/>
      <c r="D113" s="1612"/>
      <c r="E113" s="1313" t="s">
        <v>345</v>
      </c>
      <c r="F113" s="1314">
        <f>IFERROR(F115*1000/F110,0)</f>
        <v>2.6753372243839171</v>
      </c>
      <c r="G113" s="1304">
        <f t="shared" ref="G113" si="59">IFERROR((F113-F112)/F112,0)</f>
        <v>0.12259248238854574</v>
      </c>
      <c r="H113" s="1315">
        <v>4.13</v>
      </c>
      <c r="I113" s="1314">
        <v>2.58</v>
      </c>
      <c r="J113" s="1314">
        <v>2.82</v>
      </c>
      <c r="K113" s="1314">
        <v>2.82</v>
      </c>
      <c r="L113" s="1314">
        <v>3.67</v>
      </c>
      <c r="M113" s="1314">
        <v>3.67</v>
      </c>
      <c r="N113" s="1314">
        <v>3.84</v>
      </c>
      <c r="O113" s="1314">
        <v>2.71</v>
      </c>
      <c r="P113" s="1314">
        <v>0.31</v>
      </c>
      <c r="Q113" s="1314">
        <v>2.4300000000000002</v>
      </c>
      <c r="R113" s="1314">
        <v>3.49</v>
      </c>
      <c r="S113" s="1314">
        <v>2.44</v>
      </c>
      <c r="T113" s="1314">
        <v>2.44</v>
      </c>
      <c r="U113" s="1314">
        <v>1.45</v>
      </c>
      <c r="V113" s="1314">
        <v>2.57</v>
      </c>
      <c r="W113" s="1314">
        <v>2.57</v>
      </c>
      <c r="X113" s="1314"/>
      <c r="Y113" s="1314"/>
      <c r="Z113" s="1314"/>
      <c r="AA113" s="1314"/>
      <c r="AB113" s="1314"/>
      <c r="AC113" s="1314"/>
      <c r="AD113" s="1314"/>
      <c r="AE113" s="1314"/>
      <c r="AF113" s="1314"/>
      <c r="AG113" s="1314"/>
      <c r="AH113" s="1314"/>
      <c r="AI113" s="1314"/>
      <c r="AJ113" s="1314"/>
      <c r="AK113" s="1314"/>
      <c r="AL113" s="1314"/>
      <c r="AM113" s="1074"/>
    </row>
    <row r="114" spans="2:39" ht="13.5" customHeight="1" thickBot="1" x14ac:dyDescent="0.3">
      <c r="B114" s="1619"/>
      <c r="C114" s="1622"/>
      <c r="D114" s="1613" t="s">
        <v>47</v>
      </c>
      <c r="E114" s="1309" t="s">
        <v>346</v>
      </c>
      <c r="F114" s="206">
        <f>SUMIF($H$9:$AL$9,"&lt;="&amp;$C$7,H114:AL114)</f>
        <v>2.6691588785046725</v>
      </c>
      <c r="G114" s="1311"/>
      <c r="H114" s="1316">
        <f t="shared" ref="H114:AL115" si="60">+H112*H109/1000</f>
        <v>0.16682242990654203</v>
      </c>
      <c r="I114" s="1316">
        <f t="shared" si="60"/>
        <v>0.16682242990654203</v>
      </c>
      <c r="J114" s="1316">
        <f t="shared" si="60"/>
        <v>0.16682242990654203</v>
      </c>
      <c r="K114" s="1316">
        <f t="shared" si="60"/>
        <v>0.16682242990654203</v>
      </c>
      <c r="L114" s="1316">
        <f t="shared" si="60"/>
        <v>0.16682242990654203</v>
      </c>
      <c r="M114" s="1316">
        <f t="shared" si="60"/>
        <v>0.16682242990654203</v>
      </c>
      <c r="N114" s="1316">
        <f t="shared" si="60"/>
        <v>0.16682242990654203</v>
      </c>
      <c r="O114" s="1316">
        <f t="shared" si="60"/>
        <v>0.16682242990654203</v>
      </c>
      <c r="P114" s="1316">
        <f t="shared" si="60"/>
        <v>0.16682242990654203</v>
      </c>
      <c r="Q114" s="1316">
        <f t="shared" si="60"/>
        <v>0.16682242990654203</v>
      </c>
      <c r="R114" s="1316">
        <f t="shared" si="60"/>
        <v>0.16682242990654203</v>
      </c>
      <c r="S114" s="1316">
        <f t="shared" si="60"/>
        <v>0.16682242990654203</v>
      </c>
      <c r="T114" s="1316">
        <f t="shared" si="60"/>
        <v>0.16682242990654203</v>
      </c>
      <c r="U114" s="1316">
        <f t="shared" si="60"/>
        <v>0.16682242990654203</v>
      </c>
      <c r="V114" s="1316">
        <f t="shared" si="60"/>
        <v>0.16682242990654203</v>
      </c>
      <c r="W114" s="1316">
        <f t="shared" si="60"/>
        <v>0.16682242990654203</v>
      </c>
      <c r="X114" s="1316">
        <f t="shared" si="60"/>
        <v>0.16682242990654203</v>
      </c>
      <c r="Y114" s="1316">
        <f t="shared" si="60"/>
        <v>0.16682242990654203</v>
      </c>
      <c r="Z114" s="1316">
        <f t="shared" si="60"/>
        <v>0.16682242990654203</v>
      </c>
      <c r="AA114" s="1316">
        <f t="shared" si="60"/>
        <v>0.16682242990654203</v>
      </c>
      <c r="AB114" s="1316">
        <f t="shared" si="60"/>
        <v>0.16682242990654203</v>
      </c>
      <c r="AC114" s="1316">
        <f t="shared" si="60"/>
        <v>0.16682242990654203</v>
      </c>
      <c r="AD114" s="1316">
        <f t="shared" si="60"/>
        <v>0.16682242990654203</v>
      </c>
      <c r="AE114" s="1316">
        <f t="shared" si="60"/>
        <v>0.16682242990654203</v>
      </c>
      <c r="AF114" s="1316">
        <f t="shared" si="60"/>
        <v>0.16682242990654203</v>
      </c>
      <c r="AG114" s="1316">
        <f t="shared" si="60"/>
        <v>0.16682242990654203</v>
      </c>
      <c r="AH114" s="1316">
        <f t="shared" si="60"/>
        <v>0.16682242990654203</v>
      </c>
      <c r="AI114" s="1316">
        <f t="shared" si="60"/>
        <v>0.16682242990654203</v>
      </c>
      <c r="AJ114" s="1316">
        <f t="shared" si="60"/>
        <v>0.16682242990654203</v>
      </c>
      <c r="AK114" s="1316">
        <f t="shared" si="60"/>
        <v>0.16682242990654203</v>
      </c>
      <c r="AL114" s="1319">
        <f t="shared" si="60"/>
        <v>0.16682242990654203</v>
      </c>
      <c r="AM114" s="1078"/>
    </row>
    <row r="115" spans="2:39" ht="13.5" customHeight="1" thickBot="1" x14ac:dyDescent="0.3">
      <c r="B115" s="1620"/>
      <c r="C115" s="1623"/>
      <c r="D115" s="1614"/>
      <c r="E115" s="1320" t="s">
        <v>347</v>
      </c>
      <c r="F115" s="1321">
        <f>SUMIF($H$9:$AL$9,"&lt;="&amp;$C$7,H115:AL115)</f>
        <v>4.1253700000000002</v>
      </c>
      <c r="G115" s="1322">
        <f>IFERROR((F115-F114)/F114,0)</f>
        <v>0.5455692927170871</v>
      </c>
      <c r="H115" s="1323">
        <f t="shared" si="60"/>
        <v>0.28909999999999997</v>
      </c>
      <c r="I115" s="1321">
        <f t="shared" si="60"/>
        <v>0.16512000000000002</v>
      </c>
      <c r="J115" s="1321">
        <f t="shared" si="60"/>
        <v>0.28199999999999997</v>
      </c>
      <c r="K115" s="1321">
        <f t="shared" si="60"/>
        <v>0.18894</v>
      </c>
      <c r="L115" s="1321">
        <f t="shared" si="60"/>
        <v>0.31929000000000002</v>
      </c>
      <c r="M115" s="1321">
        <f t="shared" si="60"/>
        <v>0.26056999999999997</v>
      </c>
      <c r="N115" s="1321">
        <f t="shared" si="60"/>
        <v>0.27648</v>
      </c>
      <c r="O115" s="1321">
        <f t="shared" si="60"/>
        <v>0.25745000000000001</v>
      </c>
      <c r="P115" s="1321">
        <f t="shared" si="60"/>
        <v>2.9139999999999999E-2</v>
      </c>
      <c r="Q115" s="1321">
        <f t="shared" si="60"/>
        <v>0.36449999999999999</v>
      </c>
      <c r="R115" s="1321">
        <f t="shared" si="60"/>
        <v>0.45021000000000005</v>
      </c>
      <c r="S115" s="1321">
        <f t="shared" si="60"/>
        <v>0.36843999999999999</v>
      </c>
      <c r="T115" s="1321">
        <f t="shared" si="60"/>
        <v>0.23179999999999998</v>
      </c>
      <c r="U115" s="1321">
        <f t="shared" si="60"/>
        <v>0.15659999999999999</v>
      </c>
      <c r="V115" s="1321">
        <f t="shared" si="60"/>
        <v>0.17476</v>
      </c>
      <c r="W115" s="1321">
        <f t="shared" si="60"/>
        <v>0.31096999999999997</v>
      </c>
      <c r="X115" s="1321">
        <f>+X113*X110/1000</f>
        <v>0</v>
      </c>
      <c r="Y115" s="1321">
        <f t="shared" si="60"/>
        <v>0</v>
      </c>
      <c r="Z115" s="1321">
        <f t="shared" si="60"/>
        <v>0</v>
      </c>
      <c r="AA115" s="1321">
        <f t="shared" si="60"/>
        <v>0</v>
      </c>
      <c r="AB115" s="1321">
        <f t="shared" si="60"/>
        <v>0</v>
      </c>
      <c r="AC115" s="1321">
        <f t="shared" si="60"/>
        <v>0</v>
      </c>
      <c r="AD115" s="1321">
        <f t="shared" si="60"/>
        <v>0</v>
      </c>
      <c r="AE115" s="1321">
        <f t="shared" si="60"/>
        <v>0</v>
      </c>
      <c r="AF115" s="1321">
        <f t="shared" si="60"/>
        <v>0</v>
      </c>
      <c r="AG115" s="1321">
        <f t="shared" si="60"/>
        <v>0</v>
      </c>
      <c r="AH115" s="1321">
        <f t="shared" si="60"/>
        <v>0</v>
      </c>
      <c r="AI115" s="1321">
        <f t="shared" si="60"/>
        <v>0</v>
      </c>
      <c r="AJ115" s="1321">
        <f t="shared" si="60"/>
        <v>0</v>
      </c>
      <c r="AK115" s="1321">
        <f t="shared" si="60"/>
        <v>0</v>
      </c>
      <c r="AL115" s="1321">
        <f t="shared" si="60"/>
        <v>0</v>
      </c>
      <c r="AM115" s="1079"/>
    </row>
    <row r="116" spans="2:39" ht="13.5" customHeight="1" thickBot="1" x14ac:dyDescent="0.3">
      <c r="B116" s="1618">
        <v>1</v>
      </c>
      <c r="C116" s="1621" t="str">
        <f>[1]Breaking.!A73</f>
        <v>6L_W8 STOPE</v>
      </c>
      <c r="D116" s="1610" t="s">
        <v>340</v>
      </c>
      <c r="E116" s="1070" t="s">
        <v>341</v>
      </c>
      <c r="F116" s="196">
        <f>SUMIF($H$9:$AL$9,"&lt;="&amp;$C$7,H116:AL116)</f>
        <v>560</v>
      </c>
      <c r="G116" s="1071"/>
      <c r="H116" s="945">
        <f>[1]Breaking.!D73</f>
        <v>35</v>
      </c>
      <c r="I116" s="945">
        <f>[1]Breaking.!E73</f>
        <v>35</v>
      </c>
      <c r="J116" s="945">
        <f>[1]Breaking.!F73</f>
        <v>35</v>
      </c>
      <c r="K116" s="945">
        <f>[1]Breaking.!G73</f>
        <v>35</v>
      </c>
      <c r="L116" s="945">
        <f>[1]Breaking.!H73</f>
        <v>35</v>
      </c>
      <c r="M116" s="945">
        <f>[1]Breaking.!I73</f>
        <v>35</v>
      </c>
      <c r="N116" s="945">
        <f>[1]Breaking.!J73</f>
        <v>35</v>
      </c>
      <c r="O116" s="945">
        <f>[1]Breaking.!K73</f>
        <v>35</v>
      </c>
      <c r="P116" s="945">
        <f>[1]Breaking.!L73</f>
        <v>35</v>
      </c>
      <c r="Q116" s="945">
        <f>[1]Breaking.!M73</f>
        <v>35</v>
      </c>
      <c r="R116" s="945">
        <f>[1]Breaking.!N73</f>
        <v>35</v>
      </c>
      <c r="S116" s="945">
        <f>[1]Breaking.!O73</f>
        <v>35</v>
      </c>
      <c r="T116" s="945">
        <f>[1]Breaking.!P73</f>
        <v>35</v>
      </c>
      <c r="U116" s="945">
        <f>[1]Breaking.!Q73</f>
        <v>35</v>
      </c>
      <c r="V116" s="945">
        <f>[1]Breaking.!R73</f>
        <v>35</v>
      </c>
      <c r="W116" s="945">
        <f>[1]Breaking.!S73</f>
        <v>35</v>
      </c>
      <c r="X116" s="945">
        <f>[1]Breaking.!T73</f>
        <v>35</v>
      </c>
      <c r="Y116" s="945">
        <f>[1]Breaking.!U73</f>
        <v>35</v>
      </c>
      <c r="Z116" s="945">
        <f>[1]Breaking.!V73</f>
        <v>35</v>
      </c>
      <c r="AA116" s="945">
        <f>[1]Breaking.!W73</f>
        <v>35</v>
      </c>
      <c r="AB116" s="945">
        <f>[1]Breaking.!X73</f>
        <v>35</v>
      </c>
      <c r="AC116" s="945">
        <f>[1]Breaking.!Y73</f>
        <v>35</v>
      </c>
      <c r="AD116" s="945">
        <f>[1]Breaking.!Z73</f>
        <v>35</v>
      </c>
      <c r="AE116" s="945">
        <f>[1]Breaking.!AA73</f>
        <v>35</v>
      </c>
      <c r="AF116" s="945">
        <f>[1]Breaking.!AB73</f>
        <v>35</v>
      </c>
      <c r="AG116" s="945">
        <f>[1]Breaking.!AC73</f>
        <v>35</v>
      </c>
      <c r="AH116" s="945">
        <f>[1]Breaking.!AD73</f>
        <v>35</v>
      </c>
      <c r="AI116" s="945">
        <f>[1]Breaking.!AE73</f>
        <v>35</v>
      </c>
      <c r="AJ116" s="945">
        <f>[1]Breaking.!AF73</f>
        <v>35</v>
      </c>
      <c r="AK116" s="945">
        <f>[1]Breaking.!AG73</f>
        <v>35</v>
      </c>
      <c r="AL116" s="945">
        <f>[1]Breaking.!AH73</f>
        <v>35</v>
      </c>
      <c r="AM116" s="1105"/>
    </row>
    <row r="117" spans="2:39" ht="13.5" customHeight="1" thickBot="1" x14ac:dyDescent="0.3">
      <c r="B117" s="1619"/>
      <c r="C117" s="1622"/>
      <c r="D117" s="1611"/>
      <c r="E117" s="1302" t="s">
        <v>342</v>
      </c>
      <c r="F117" s="1303">
        <f>SUMIF($H$9:$AL$9,"&lt;="&amp;$C$7,H117:AL117)</f>
        <v>475</v>
      </c>
      <c r="G117" s="1304">
        <f t="shared" ref="G117" si="61">IFERROR((F117-F116)/F116,0)</f>
        <v>-0.15178571428571427</v>
      </c>
      <c r="H117" s="1305"/>
      <c r="I117" s="1303"/>
      <c r="J117" s="1303"/>
      <c r="K117" s="1303"/>
      <c r="L117" s="1303"/>
      <c r="M117" s="1303"/>
      <c r="N117" s="1303"/>
      <c r="O117" s="1303"/>
      <c r="P117" s="1303"/>
      <c r="Q117" s="1303"/>
      <c r="R117" s="1303"/>
      <c r="S117" s="1303">
        <v>60</v>
      </c>
      <c r="T117" s="1303">
        <v>100</v>
      </c>
      <c r="U117" s="1303">
        <v>98</v>
      </c>
      <c r="V117" s="1303">
        <v>106</v>
      </c>
      <c r="W117" s="1303">
        <v>111</v>
      </c>
      <c r="X117" s="1303"/>
      <c r="Y117" s="1303"/>
      <c r="Z117" s="1303"/>
      <c r="AA117" s="1303"/>
      <c r="AB117" s="1303"/>
      <c r="AC117" s="1303"/>
      <c r="AD117" s="1303"/>
      <c r="AE117" s="1303"/>
      <c r="AF117" s="1303"/>
      <c r="AG117" s="1303"/>
      <c r="AH117" s="1303"/>
      <c r="AI117" s="1303"/>
      <c r="AJ117" s="1303"/>
      <c r="AK117" s="1303"/>
      <c r="AL117" s="1303"/>
      <c r="AM117" s="1074"/>
    </row>
    <row r="118" spans="2:39" ht="13.5" customHeight="1" thickBot="1" x14ac:dyDescent="0.3">
      <c r="B118" s="1619"/>
      <c r="C118" s="1622"/>
      <c r="D118" s="1611"/>
      <c r="E118" s="1324" t="s">
        <v>312</v>
      </c>
      <c r="F118" s="1325"/>
      <c r="G118" s="1326"/>
      <c r="H118" s="1075"/>
      <c r="I118" s="1075"/>
      <c r="J118" s="1075"/>
      <c r="K118" s="1075"/>
      <c r="L118" s="1075"/>
      <c r="M118" s="1075"/>
      <c r="N118" s="1075"/>
      <c r="O118" s="1075"/>
      <c r="P118" s="1076"/>
      <c r="Q118" s="1075"/>
      <c r="R118" s="1075"/>
      <c r="S118" s="1075"/>
      <c r="T118" s="1075"/>
      <c r="U118" s="1075"/>
      <c r="V118" s="1075"/>
      <c r="W118" s="1075"/>
      <c r="X118" s="1075"/>
      <c r="Y118" s="1075"/>
      <c r="Z118" s="1075"/>
      <c r="AA118" s="1075"/>
      <c r="AB118" s="1075"/>
      <c r="AC118" s="1075"/>
      <c r="AD118" s="1075"/>
      <c r="AE118" s="1075"/>
      <c r="AF118" s="1075"/>
      <c r="AG118" s="1075"/>
      <c r="AH118" s="1075"/>
      <c r="AI118" s="1075"/>
      <c r="AJ118" s="1075"/>
      <c r="AK118" s="1075"/>
      <c r="AL118" s="1077"/>
      <c r="AM118" s="1108"/>
    </row>
    <row r="119" spans="2:39" ht="13.5" customHeight="1" thickBot="1" x14ac:dyDescent="0.3">
      <c r="B119" s="1619"/>
      <c r="C119" s="1622"/>
      <c r="D119" s="1612" t="s">
        <v>343</v>
      </c>
      <c r="E119" s="1309" t="s">
        <v>344</v>
      </c>
      <c r="F119" s="1310">
        <f>IFERROR(F121*1000/F116,0)</f>
        <v>2.4626168224299056</v>
      </c>
      <c r="G119" s="1311"/>
      <c r="H119" s="1312">
        <f>[1]Breaking.!D74</f>
        <v>2.4626168224299061</v>
      </c>
      <c r="I119" s="1312">
        <f>[1]Breaking.!E74</f>
        <v>2.4626168224299061</v>
      </c>
      <c r="J119" s="1312">
        <f>[1]Breaking.!F74</f>
        <v>2.4626168224299061</v>
      </c>
      <c r="K119" s="1312">
        <f>[1]Breaking.!G74</f>
        <v>2.4626168224299061</v>
      </c>
      <c r="L119" s="1312">
        <f>[1]Breaking.!H74</f>
        <v>2.4626168224299061</v>
      </c>
      <c r="M119" s="1312">
        <f>[1]Breaking.!I74</f>
        <v>2.4626168224299061</v>
      </c>
      <c r="N119" s="1312">
        <f>[1]Breaking.!J74</f>
        <v>2.4626168224299061</v>
      </c>
      <c r="O119" s="1312">
        <f>[1]Breaking.!K74</f>
        <v>2.4626168224299061</v>
      </c>
      <c r="P119" s="1312">
        <f>[1]Breaking.!L74</f>
        <v>2.4626168224299061</v>
      </c>
      <c r="Q119" s="1312">
        <f>[1]Breaking.!M74</f>
        <v>2.4626168224299061</v>
      </c>
      <c r="R119" s="1312">
        <f>[1]Breaking.!N74</f>
        <v>2.4626168224299061</v>
      </c>
      <c r="S119" s="1312">
        <f>[1]Breaking.!O74</f>
        <v>2.4626168224299061</v>
      </c>
      <c r="T119" s="1312">
        <f>[1]Breaking.!P74</f>
        <v>2.4626168224299061</v>
      </c>
      <c r="U119" s="1312">
        <f>[1]Breaking.!Q74</f>
        <v>2.4626168224299061</v>
      </c>
      <c r="V119" s="1312">
        <f>[1]Breaking.!R74</f>
        <v>2.4626168224299061</v>
      </c>
      <c r="W119" s="1312">
        <f>[1]Breaking.!S74</f>
        <v>2.4626168224299061</v>
      </c>
      <c r="X119" s="1312">
        <f>[1]Breaking.!T74</f>
        <v>2.4626168224299061</v>
      </c>
      <c r="Y119" s="1312">
        <f>[1]Breaking.!U74</f>
        <v>2.4626168224299061</v>
      </c>
      <c r="Z119" s="1312">
        <f>[1]Breaking.!V74</f>
        <v>2.4626168224299061</v>
      </c>
      <c r="AA119" s="1312">
        <f>[1]Breaking.!W74</f>
        <v>2.4626168224299061</v>
      </c>
      <c r="AB119" s="1312">
        <f>[1]Breaking.!X74</f>
        <v>2.4626168224299061</v>
      </c>
      <c r="AC119" s="1312">
        <f>[1]Breaking.!Y74</f>
        <v>2.4626168224299061</v>
      </c>
      <c r="AD119" s="1312">
        <f>[1]Breaking.!Z74</f>
        <v>2.4626168224299061</v>
      </c>
      <c r="AE119" s="1312">
        <f>[1]Breaking.!AA74</f>
        <v>2.4626168224299061</v>
      </c>
      <c r="AF119" s="1312">
        <f>[1]Breaking.!AB74</f>
        <v>2.4626168224299061</v>
      </c>
      <c r="AG119" s="1312">
        <f>[1]Breaking.!AC74</f>
        <v>2.4626168224299061</v>
      </c>
      <c r="AH119" s="1312">
        <f>[1]Breaking.!AD74</f>
        <v>2.4626168224299061</v>
      </c>
      <c r="AI119" s="1312">
        <f>[1]Breaking.!AE74</f>
        <v>2.4626168224299061</v>
      </c>
      <c r="AJ119" s="1312">
        <f>[1]Breaking.!AF74</f>
        <v>2.4626168224299061</v>
      </c>
      <c r="AK119" s="1312">
        <f>[1]Breaking.!AG74</f>
        <v>2.4626168224299061</v>
      </c>
      <c r="AL119" s="1312">
        <f>[1]Breaking.!AH74</f>
        <v>2.4626168224299061</v>
      </c>
      <c r="AM119" s="1074"/>
    </row>
    <row r="120" spans="2:39" ht="13.5" customHeight="1" thickBot="1" x14ac:dyDescent="0.3">
      <c r="B120" s="1619"/>
      <c r="C120" s="1622"/>
      <c r="D120" s="1612"/>
      <c r="E120" s="1313" t="s">
        <v>345</v>
      </c>
      <c r="F120" s="1314">
        <f t="shared" ref="F120" si="62">IFERROR(F122*1000/F117,0)</f>
        <v>2.6288000000000005</v>
      </c>
      <c r="G120" s="1304">
        <f t="shared" ref="G120" si="63">IFERROR((F120-F119)/F119,0)</f>
        <v>6.7482352941177048E-2</v>
      </c>
      <c r="H120" s="1315"/>
      <c r="I120" s="1314"/>
      <c r="J120" s="1314"/>
      <c r="K120" s="1314"/>
      <c r="L120" s="1314"/>
      <c r="M120" s="1314"/>
      <c r="N120" s="1314"/>
      <c r="O120" s="1314"/>
      <c r="P120" s="1314"/>
      <c r="Q120" s="1314"/>
      <c r="R120" s="1314"/>
      <c r="S120" s="1314">
        <v>1.44</v>
      </c>
      <c r="T120" s="1314">
        <v>1.44</v>
      </c>
      <c r="U120" s="1314">
        <v>1.4</v>
      </c>
      <c r="V120" s="1314">
        <v>3.16</v>
      </c>
      <c r="W120" s="1314">
        <v>4.92</v>
      </c>
      <c r="X120" s="1314"/>
      <c r="Y120" s="1314"/>
      <c r="Z120" s="1314"/>
      <c r="AA120" s="1314"/>
      <c r="AB120" s="1314"/>
      <c r="AC120" s="1314"/>
      <c r="AD120" s="1314"/>
      <c r="AE120" s="1314"/>
      <c r="AF120" s="1314"/>
      <c r="AG120" s="1314"/>
      <c r="AH120" s="1314"/>
      <c r="AI120" s="1314"/>
      <c r="AJ120" s="1314"/>
      <c r="AK120" s="1314"/>
      <c r="AL120" s="1314"/>
      <c r="AM120" s="1074"/>
    </row>
    <row r="121" spans="2:39" ht="13.5" customHeight="1" thickBot="1" x14ac:dyDescent="0.3">
      <c r="B121" s="1619"/>
      <c r="C121" s="1622"/>
      <c r="D121" s="1613" t="s">
        <v>47</v>
      </c>
      <c r="E121" s="1309" t="s">
        <v>346</v>
      </c>
      <c r="F121" s="206">
        <f>SUMIF($H$9:$AL$9,"&lt;="&amp;$C$7,H121:AL121)</f>
        <v>1.3790654205607471</v>
      </c>
      <c r="G121" s="1311"/>
      <c r="H121" s="1316">
        <f>+H119*H116/1000</f>
        <v>8.6191588785046722E-2</v>
      </c>
      <c r="I121" s="1316">
        <f t="shared" ref="I121:AL121" si="64">+I119*I116/1000</f>
        <v>8.6191588785046722E-2</v>
      </c>
      <c r="J121" s="1316">
        <f t="shared" si="64"/>
        <v>8.6191588785046722E-2</v>
      </c>
      <c r="K121" s="1316">
        <f t="shared" si="64"/>
        <v>8.6191588785046722E-2</v>
      </c>
      <c r="L121" s="1316">
        <f t="shared" si="64"/>
        <v>8.6191588785046722E-2</v>
      </c>
      <c r="M121" s="1316">
        <f t="shared" si="64"/>
        <v>8.6191588785046722E-2</v>
      </c>
      <c r="N121" s="1316">
        <f t="shared" si="64"/>
        <v>8.6191588785046722E-2</v>
      </c>
      <c r="O121" s="1316">
        <f t="shared" si="64"/>
        <v>8.6191588785046722E-2</v>
      </c>
      <c r="P121" s="1316">
        <f t="shared" si="64"/>
        <v>8.6191588785046722E-2</v>
      </c>
      <c r="Q121" s="1316">
        <f t="shared" si="64"/>
        <v>8.6191588785046722E-2</v>
      </c>
      <c r="R121" s="1316">
        <f t="shared" si="64"/>
        <v>8.6191588785046722E-2</v>
      </c>
      <c r="S121" s="1316">
        <f t="shared" si="64"/>
        <v>8.6191588785046722E-2</v>
      </c>
      <c r="T121" s="1316">
        <f t="shared" si="64"/>
        <v>8.6191588785046722E-2</v>
      </c>
      <c r="U121" s="1316">
        <f t="shared" si="64"/>
        <v>8.6191588785046722E-2</v>
      </c>
      <c r="V121" s="1316">
        <f t="shared" si="64"/>
        <v>8.6191588785046722E-2</v>
      </c>
      <c r="W121" s="1316">
        <f t="shared" si="64"/>
        <v>8.6191588785046722E-2</v>
      </c>
      <c r="X121" s="1316">
        <f t="shared" si="64"/>
        <v>8.6191588785046722E-2</v>
      </c>
      <c r="Y121" s="1316">
        <f t="shared" si="64"/>
        <v>8.6191588785046722E-2</v>
      </c>
      <c r="Z121" s="1316">
        <f t="shared" si="64"/>
        <v>8.6191588785046722E-2</v>
      </c>
      <c r="AA121" s="1316">
        <f t="shared" si="64"/>
        <v>8.6191588785046722E-2</v>
      </c>
      <c r="AB121" s="1316">
        <f t="shared" si="64"/>
        <v>8.6191588785046722E-2</v>
      </c>
      <c r="AC121" s="1316">
        <f t="shared" si="64"/>
        <v>8.6191588785046722E-2</v>
      </c>
      <c r="AD121" s="1316">
        <f t="shared" si="64"/>
        <v>8.6191588785046722E-2</v>
      </c>
      <c r="AE121" s="1316">
        <f t="shared" si="64"/>
        <v>8.6191588785046722E-2</v>
      </c>
      <c r="AF121" s="1316">
        <f t="shared" si="64"/>
        <v>8.6191588785046722E-2</v>
      </c>
      <c r="AG121" s="1316">
        <f t="shared" si="64"/>
        <v>8.6191588785046722E-2</v>
      </c>
      <c r="AH121" s="1316">
        <f t="shared" si="64"/>
        <v>8.6191588785046722E-2</v>
      </c>
      <c r="AI121" s="1316">
        <f t="shared" si="64"/>
        <v>8.6191588785046722E-2</v>
      </c>
      <c r="AJ121" s="1316">
        <f t="shared" si="64"/>
        <v>8.6191588785046722E-2</v>
      </c>
      <c r="AK121" s="1316">
        <f t="shared" si="64"/>
        <v>8.6191588785046722E-2</v>
      </c>
      <c r="AL121" s="1319">
        <f t="shared" si="64"/>
        <v>8.6191588785046722E-2</v>
      </c>
      <c r="AM121" s="1078"/>
    </row>
    <row r="122" spans="2:39" ht="13.5" customHeight="1" thickBot="1" x14ac:dyDescent="0.3">
      <c r="B122" s="1620"/>
      <c r="C122" s="1623"/>
      <c r="D122" s="1613"/>
      <c r="E122" s="1330" t="s">
        <v>347</v>
      </c>
      <c r="F122" s="1321">
        <f>SUMIF($H$9:$AL$9,"&lt;="&amp;$C$7,H122:AL122)</f>
        <v>1.2486800000000002</v>
      </c>
      <c r="G122" s="1322">
        <f t="shared" ref="G122" si="65">IFERROR((F122-F121)/F121,0)</f>
        <v>-9.4546218487394418E-2</v>
      </c>
      <c r="H122" s="1323">
        <f t="shared" ref="H122:AL122" si="66">+H120*H117/1000</f>
        <v>0</v>
      </c>
      <c r="I122" s="1321">
        <f t="shared" si="66"/>
        <v>0</v>
      </c>
      <c r="J122" s="1321">
        <f t="shared" si="66"/>
        <v>0</v>
      </c>
      <c r="K122" s="1321">
        <f t="shared" si="66"/>
        <v>0</v>
      </c>
      <c r="L122" s="1321">
        <f t="shared" si="66"/>
        <v>0</v>
      </c>
      <c r="M122" s="1321">
        <f>+M120*M117/1000</f>
        <v>0</v>
      </c>
      <c r="N122" s="1321">
        <f>+N120*N117/1000</f>
        <v>0</v>
      </c>
      <c r="O122" s="1321">
        <f>+O120*O117/1000</f>
        <v>0</v>
      </c>
      <c r="P122" s="1321">
        <f>+P120*P117/1000</f>
        <v>0</v>
      </c>
      <c r="Q122" s="1321">
        <f>+Q120*Q117/1000</f>
        <v>0</v>
      </c>
      <c r="R122" s="1321">
        <f t="shared" si="66"/>
        <v>0</v>
      </c>
      <c r="S122" s="1321">
        <f t="shared" si="66"/>
        <v>8.6399999999999991E-2</v>
      </c>
      <c r="T122" s="1321">
        <f t="shared" si="66"/>
        <v>0.14399999999999999</v>
      </c>
      <c r="U122" s="1321">
        <f t="shared" si="66"/>
        <v>0.13719999999999999</v>
      </c>
      <c r="V122" s="1321">
        <f t="shared" si="66"/>
        <v>0.33496000000000004</v>
      </c>
      <c r="W122" s="1321">
        <f t="shared" si="66"/>
        <v>0.54612000000000005</v>
      </c>
      <c r="X122" s="1321">
        <f t="shared" si="66"/>
        <v>0</v>
      </c>
      <c r="Y122" s="1321">
        <f t="shared" si="66"/>
        <v>0</v>
      </c>
      <c r="Z122" s="1321">
        <f t="shared" si="66"/>
        <v>0</v>
      </c>
      <c r="AA122" s="1321">
        <f t="shared" si="66"/>
        <v>0</v>
      </c>
      <c r="AB122" s="1321">
        <f t="shared" si="66"/>
        <v>0</v>
      </c>
      <c r="AC122" s="1321">
        <f t="shared" si="66"/>
        <v>0</v>
      </c>
      <c r="AD122" s="1321">
        <f t="shared" si="66"/>
        <v>0</v>
      </c>
      <c r="AE122" s="1321">
        <f t="shared" si="66"/>
        <v>0</v>
      </c>
      <c r="AF122" s="1321">
        <f t="shared" si="66"/>
        <v>0</v>
      </c>
      <c r="AG122" s="1321">
        <f t="shared" si="66"/>
        <v>0</v>
      </c>
      <c r="AH122" s="1321">
        <f t="shared" si="66"/>
        <v>0</v>
      </c>
      <c r="AI122" s="1321">
        <f t="shared" si="66"/>
        <v>0</v>
      </c>
      <c r="AJ122" s="1321">
        <f t="shared" si="66"/>
        <v>0</v>
      </c>
      <c r="AK122" s="1321">
        <f t="shared" si="66"/>
        <v>0</v>
      </c>
      <c r="AL122" s="1321">
        <f t="shared" si="66"/>
        <v>0</v>
      </c>
      <c r="AM122" s="1079"/>
    </row>
    <row r="123" spans="2:39" ht="13.5" customHeight="1" thickBot="1" x14ac:dyDescent="0.3">
      <c r="B123" s="1607">
        <v>1</v>
      </c>
      <c r="C123" s="1615" t="str">
        <f>[1]Breaking.!A75</f>
        <v>6L_W14 STOPE</v>
      </c>
      <c r="D123" s="1611" t="s">
        <v>340</v>
      </c>
      <c r="E123" s="1104" t="s">
        <v>341</v>
      </c>
      <c r="F123" s="196">
        <f>SUMIF($H$9:$AL$9,"&lt;="&amp;$C$7,H123:AL123)</f>
        <v>1120</v>
      </c>
      <c r="G123" s="1071"/>
      <c r="H123" s="945">
        <f>[1]Breaking.!D75</f>
        <v>70</v>
      </c>
      <c r="I123" s="945">
        <f>[1]Breaking.!E75</f>
        <v>70</v>
      </c>
      <c r="J123" s="945">
        <f>[1]Breaking.!F75</f>
        <v>70</v>
      </c>
      <c r="K123" s="945">
        <f>[1]Breaking.!G75</f>
        <v>70</v>
      </c>
      <c r="L123" s="945">
        <f>[1]Breaking.!H75</f>
        <v>70</v>
      </c>
      <c r="M123" s="945">
        <f>[1]Breaking.!I75</f>
        <v>70</v>
      </c>
      <c r="N123" s="945">
        <f>[1]Breaking.!J75</f>
        <v>70</v>
      </c>
      <c r="O123" s="945">
        <f>[1]Breaking.!K75</f>
        <v>70</v>
      </c>
      <c r="P123" s="945">
        <f>[1]Breaking.!L75</f>
        <v>70</v>
      </c>
      <c r="Q123" s="945">
        <f>[1]Breaking.!M75</f>
        <v>70</v>
      </c>
      <c r="R123" s="945">
        <f>[1]Breaking.!N75</f>
        <v>70</v>
      </c>
      <c r="S123" s="945">
        <f>[1]Breaking.!O75</f>
        <v>70</v>
      </c>
      <c r="T123" s="945">
        <f>[1]Breaking.!P75</f>
        <v>70</v>
      </c>
      <c r="U123" s="945">
        <f>[1]Breaking.!Q75</f>
        <v>70</v>
      </c>
      <c r="V123" s="945">
        <f>[1]Breaking.!R75</f>
        <v>70</v>
      </c>
      <c r="W123" s="945">
        <f>[1]Breaking.!S75</f>
        <v>70</v>
      </c>
      <c r="X123" s="945">
        <f>[1]Breaking.!T75</f>
        <v>70</v>
      </c>
      <c r="Y123" s="945">
        <f>[1]Breaking.!U75</f>
        <v>70</v>
      </c>
      <c r="Z123" s="945">
        <f>[1]Breaking.!V75</f>
        <v>70</v>
      </c>
      <c r="AA123" s="945">
        <f>[1]Breaking.!W75</f>
        <v>70</v>
      </c>
      <c r="AB123" s="945">
        <f>[1]Breaking.!X75</f>
        <v>70</v>
      </c>
      <c r="AC123" s="945">
        <f>[1]Breaking.!Y75</f>
        <v>70</v>
      </c>
      <c r="AD123" s="945">
        <f>[1]Breaking.!Z75</f>
        <v>70</v>
      </c>
      <c r="AE123" s="945">
        <f>[1]Breaking.!AA75</f>
        <v>70</v>
      </c>
      <c r="AF123" s="945">
        <f>[1]Breaking.!AB75</f>
        <v>70</v>
      </c>
      <c r="AG123" s="945">
        <f>[1]Breaking.!AC75</f>
        <v>70</v>
      </c>
      <c r="AH123" s="945">
        <f>[1]Breaking.!AD75</f>
        <v>70</v>
      </c>
      <c r="AI123" s="945">
        <f>[1]Breaking.!AE75</f>
        <v>70</v>
      </c>
      <c r="AJ123" s="945">
        <f>[1]Breaking.!AF75</f>
        <v>70</v>
      </c>
      <c r="AK123" s="945">
        <f>[1]Breaking.!AG75</f>
        <v>70</v>
      </c>
      <c r="AL123" s="945">
        <f>[1]Breaking.!AH75</f>
        <v>70</v>
      </c>
      <c r="AM123" s="1105"/>
    </row>
    <row r="124" spans="2:39" ht="13.5" customHeight="1" thickBot="1" x14ac:dyDescent="0.3">
      <c r="B124" s="1608"/>
      <c r="C124" s="1616"/>
      <c r="D124" s="1611"/>
      <c r="E124" s="1302" t="s">
        <v>342</v>
      </c>
      <c r="F124" s="1303">
        <f>SUMIF($H$9:$AL$9,"&lt;="&amp;$C$7,H124:AL124)</f>
        <v>284</v>
      </c>
      <c r="G124" s="1304">
        <f t="shared" ref="G124" si="67">IFERROR((F124-F123)/F123,0)</f>
        <v>-0.74642857142857144</v>
      </c>
      <c r="H124" s="1305"/>
      <c r="I124" s="1303">
        <v>51</v>
      </c>
      <c r="J124" s="1303">
        <f>34+59</f>
        <v>93</v>
      </c>
      <c r="K124" s="1303"/>
      <c r="L124" s="1303"/>
      <c r="M124" s="1303"/>
      <c r="N124" s="1303"/>
      <c r="O124" s="1303"/>
      <c r="P124" s="1303">
        <v>58</v>
      </c>
      <c r="Q124" s="1303"/>
      <c r="R124" s="1303">
        <v>46</v>
      </c>
      <c r="S124" s="1303">
        <v>36</v>
      </c>
      <c r="T124" s="1303"/>
      <c r="U124" s="1303"/>
      <c r="V124" s="1303"/>
      <c r="W124" s="1303"/>
      <c r="X124" s="1303"/>
      <c r="Y124" s="1303"/>
      <c r="Z124" s="1303"/>
      <c r="AA124" s="1303"/>
      <c r="AB124" s="1303"/>
      <c r="AC124" s="1303"/>
      <c r="AD124" s="1303"/>
      <c r="AE124" s="1303"/>
      <c r="AF124" s="1303"/>
      <c r="AG124" s="1303"/>
      <c r="AH124" s="1303"/>
      <c r="AI124" s="1303"/>
      <c r="AJ124" s="1303"/>
      <c r="AK124" s="1303"/>
      <c r="AL124" s="1303"/>
      <c r="AM124" s="1074"/>
    </row>
    <row r="125" spans="2:39" ht="13.5" customHeight="1" thickBot="1" x14ac:dyDescent="0.3">
      <c r="B125" s="1608"/>
      <c r="C125" s="1616"/>
      <c r="D125" s="1611"/>
      <c r="E125" s="1324" t="s">
        <v>312</v>
      </c>
      <c r="F125" s="1325"/>
      <c r="G125" s="1326"/>
      <c r="H125" s="1075"/>
      <c r="I125" s="1075"/>
      <c r="J125" s="1075"/>
      <c r="K125" s="1075"/>
      <c r="L125" s="1075"/>
      <c r="M125" s="1075"/>
      <c r="N125" s="1075"/>
      <c r="O125" s="1075"/>
      <c r="P125" s="1076"/>
      <c r="Q125" s="1075"/>
      <c r="R125" s="1075"/>
      <c r="S125" s="1075"/>
      <c r="T125" s="1075"/>
      <c r="U125" s="1075" t="s">
        <v>348</v>
      </c>
      <c r="V125" s="1075"/>
      <c r="W125" s="1075"/>
      <c r="X125" s="1075"/>
      <c r="Y125" s="1075"/>
      <c r="Z125" s="1075"/>
      <c r="AA125" s="1075"/>
      <c r="AB125" s="1075"/>
      <c r="AC125" s="1075"/>
      <c r="AD125" s="1075"/>
      <c r="AE125" s="1075"/>
      <c r="AF125" s="1075"/>
      <c r="AG125" s="1075"/>
      <c r="AH125" s="1075"/>
      <c r="AI125" s="1075"/>
      <c r="AJ125" s="1075"/>
      <c r="AK125" s="1075"/>
      <c r="AL125" s="1077"/>
      <c r="AM125" s="1108"/>
    </row>
    <row r="126" spans="2:39" ht="13.5" customHeight="1" thickBot="1" x14ac:dyDescent="0.3">
      <c r="B126" s="1608"/>
      <c r="C126" s="1616"/>
      <c r="D126" s="1612" t="s">
        <v>343</v>
      </c>
      <c r="E126" s="1309" t="s">
        <v>344</v>
      </c>
      <c r="F126" s="1310">
        <f>IFERROR(F128*1000/F123,0)</f>
        <v>1.7476635514018695</v>
      </c>
      <c r="G126" s="1311"/>
      <c r="H126" s="1312">
        <f>[1]Breaking.!D76</f>
        <v>1.7476635514018692</v>
      </c>
      <c r="I126" s="1312">
        <f>[1]Breaking.!E76</f>
        <v>1.7476635514018692</v>
      </c>
      <c r="J126" s="1312">
        <f>[1]Breaking.!F76</f>
        <v>1.7476635514018692</v>
      </c>
      <c r="K126" s="1312">
        <f>[1]Breaking.!G76</f>
        <v>1.7476635514018692</v>
      </c>
      <c r="L126" s="1312">
        <f>[1]Breaking.!H76</f>
        <v>1.7476635514018692</v>
      </c>
      <c r="M126" s="1312">
        <f>[1]Breaking.!I76</f>
        <v>1.7476635514018692</v>
      </c>
      <c r="N126" s="1312">
        <f>[1]Breaking.!J76</f>
        <v>1.7476635514018692</v>
      </c>
      <c r="O126" s="1312">
        <f>[1]Breaking.!K76</f>
        <v>1.7476635514018692</v>
      </c>
      <c r="P126" s="1312">
        <f>[1]Breaking.!L76</f>
        <v>1.7476635514018692</v>
      </c>
      <c r="Q126" s="1312">
        <f>[1]Breaking.!M76</f>
        <v>1.7476635514018692</v>
      </c>
      <c r="R126" s="1312">
        <f>[1]Breaking.!N76</f>
        <v>1.7476635514018692</v>
      </c>
      <c r="S126" s="1312">
        <f>[1]Breaking.!O76</f>
        <v>1.7476635514018692</v>
      </c>
      <c r="T126" s="1312">
        <f>[1]Breaking.!P76</f>
        <v>1.7476635514018692</v>
      </c>
      <c r="U126" s="1312">
        <f>[1]Breaking.!Q76</f>
        <v>1.7476635514018692</v>
      </c>
      <c r="V126" s="1312">
        <f>[1]Breaking.!R76</f>
        <v>1.7476635514018692</v>
      </c>
      <c r="W126" s="1312">
        <f>[1]Breaking.!S76</f>
        <v>1.7476635514018692</v>
      </c>
      <c r="X126" s="1312">
        <f>[1]Breaking.!T76</f>
        <v>1.7476635514018692</v>
      </c>
      <c r="Y126" s="1312">
        <f>[1]Breaking.!U76</f>
        <v>1.7476635514018692</v>
      </c>
      <c r="Z126" s="1312">
        <f>[1]Breaking.!V76</f>
        <v>1.7476635514018692</v>
      </c>
      <c r="AA126" s="1312">
        <f>[1]Breaking.!W76</f>
        <v>1.7476635514018692</v>
      </c>
      <c r="AB126" s="1312">
        <f>[1]Breaking.!X76</f>
        <v>1.7476635514018692</v>
      </c>
      <c r="AC126" s="1312">
        <f>[1]Breaking.!Y76</f>
        <v>1.7476635514018692</v>
      </c>
      <c r="AD126" s="1312">
        <f>[1]Breaking.!Z76</f>
        <v>1.7476635514018692</v>
      </c>
      <c r="AE126" s="1312">
        <f>[1]Breaking.!AA76</f>
        <v>1.7476635514018692</v>
      </c>
      <c r="AF126" s="1312">
        <f>[1]Breaking.!AB76</f>
        <v>1.7476635514018692</v>
      </c>
      <c r="AG126" s="1312">
        <f>[1]Breaking.!AC76</f>
        <v>1.7476635514018692</v>
      </c>
      <c r="AH126" s="1312">
        <f>[1]Breaking.!AD76</f>
        <v>1.7476635514018692</v>
      </c>
      <c r="AI126" s="1312">
        <f>[1]Breaking.!AE76</f>
        <v>1.7476635514018692</v>
      </c>
      <c r="AJ126" s="1312">
        <f>[1]Breaking.!AF76</f>
        <v>1.7476635514018692</v>
      </c>
      <c r="AK126" s="1312">
        <f>[1]Breaking.!AG76</f>
        <v>1.7476635514018692</v>
      </c>
      <c r="AL126" s="1312">
        <f>[1]Breaking.!AH76</f>
        <v>1.7476635514018692</v>
      </c>
      <c r="AM126" s="1074"/>
    </row>
    <row r="127" spans="2:39" ht="13.5" customHeight="1" thickBot="1" x14ac:dyDescent="0.3">
      <c r="B127" s="1608"/>
      <c r="C127" s="1616"/>
      <c r="D127" s="1612"/>
      <c r="E127" s="1313" t="s">
        <v>345</v>
      </c>
      <c r="F127" s="1314">
        <f t="shared" ref="F127" si="68">IFERROR(F129*1000/F124,0)</f>
        <v>1.7415492957746477</v>
      </c>
      <c r="G127" s="1304">
        <f t="shared" ref="G127" si="69">IFERROR((F127-F126)/F126,0)</f>
        <v>-3.4985312947204872E-3</v>
      </c>
      <c r="H127" s="1315"/>
      <c r="I127" s="1314">
        <v>3</v>
      </c>
      <c r="J127" s="1314">
        <v>2.38</v>
      </c>
      <c r="K127" s="1314"/>
      <c r="L127" s="1314"/>
      <c r="M127" s="1314"/>
      <c r="N127" s="1314"/>
      <c r="O127" s="1314"/>
      <c r="P127" s="1314"/>
      <c r="Q127" s="1314"/>
      <c r="R127" s="1314">
        <v>0.83</v>
      </c>
      <c r="S127" s="1314">
        <v>2.2799999999999998</v>
      </c>
      <c r="T127" s="1314"/>
      <c r="U127" s="1314"/>
      <c r="V127" s="1314"/>
      <c r="W127" s="1314"/>
      <c r="X127" s="1314"/>
      <c r="Y127" s="1314"/>
      <c r="Z127" s="1314"/>
      <c r="AA127" s="1314"/>
      <c r="AB127" s="1314"/>
      <c r="AC127" s="1314"/>
      <c r="AD127" s="1314"/>
      <c r="AE127" s="1314"/>
      <c r="AF127" s="1314"/>
      <c r="AG127" s="1314"/>
      <c r="AH127" s="1314"/>
      <c r="AI127" s="1314"/>
      <c r="AJ127" s="1314"/>
      <c r="AK127" s="1314"/>
      <c r="AL127" s="1314"/>
      <c r="AM127" s="1074"/>
    </row>
    <row r="128" spans="2:39" ht="13.5" customHeight="1" thickBot="1" x14ac:dyDescent="0.3">
      <c r="B128" s="1608"/>
      <c r="C128" s="1616"/>
      <c r="D128" s="1613" t="s">
        <v>47</v>
      </c>
      <c r="E128" s="1309" t="s">
        <v>346</v>
      </c>
      <c r="F128" s="206">
        <f>SUMIF($H$9:$AL$9,"&lt;="&amp;$C$7,H128:AL128)</f>
        <v>1.9573831775700936</v>
      </c>
      <c r="G128" s="1311"/>
      <c r="H128" s="1316">
        <f>+H126*H123/1000</f>
        <v>0.12233644859813084</v>
      </c>
      <c r="I128" s="1316">
        <f t="shared" ref="I128:AL128" si="70">+I126*I123/1000</f>
        <v>0.12233644859813084</v>
      </c>
      <c r="J128" s="1316">
        <f t="shared" si="70"/>
        <v>0.12233644859813084</v>
      </c>
      <c r="K128" s="1316">
        <f t="shared" si="70"/>
        <v>0.12233644859813084</v>
      </c>
      <c r="L128" s="1316">
        <f t="shared" si="70"/>
        <v>0.12233644859813084</v>
      </c>
      <c r="M128" s="1316">
        <f t="shared" si="70"/>
        <v>0.12233644859813084</v>
      </c>
      <c r="N128" s="1316">
        <f t="shared" si="70"/>
        <v>0.12233644859813084</v>
      </c>
      <c r="O128" s="1316">
        <f t="shared" si="70"/>
        <v>0.12233644859813084</v>
      </c>
      <c r="P128" s="1316">
        <f t="shared" si="70"/>
        <v>0.12233644859813084</v>
      </c>
      <c r="Q128" s="1316">
        <f t="shared" si="70"/>
        <v>0.12233644859813084</v>
      </c>
      <c r="R128" s="1316">
        <f t="shared" si="70"/>
        <v>0.12233644859813084</v>
      </c>
      <c r="S128" s="1316">
        <f t="shared" si="70"/>
        <v>0.12233644859813084</v>
      </c>
      <c r="T128" s="1316">
        <f t="shared" si="70"/>
        <v>0.12233644859813084</v>
      </c>
      <c r="U128" s="1316">
        <f t="shared" si="70"/>
        <v>0.12233644859813084</v>
      </c>
      <c r="V128" s="1316">
        <f t="shared" si="70"/>
        <v>0.12233644859813084</v>
      </c>
      <c r="W128" s="1316">
        <f t="shared" si="70"/>
        <v>0.12233644859813084</v>
      </c>
      <c r="X128" s="1316">
        <f t="shared" si="70"/>
        <v>0.12233644859813084</v>
      </c>
      <c r="Y128" s="1316">
        <f t="shared" si="70"/>
        <v>0.12233644859813084</v>
      </c>
      <c r="Z128" s="1316">
        <f t="shared" si="70"/>
        <v>0.12233644859813084</v>
      </c>
      <c r="AA128" s="1316">
        <f t="shared" si="70"/>
        <v>0.12233644859813084</v>
      </c>
      <c r="AB128" s="1316">
        <f t="shared" si="70"/>
        <v>0.12233644859813084</v>
      </c>
      <c r="AC128" s="1316">
        <f t="shared" si="70"/>
        <v>0.12233644859813084</v>
      </c>
      <c r="AD128" s="1316">
        <f t="shared" si="70"/>
        <v>0.12233644859813084</v>
      </c>
      <c r="AE128" s="1316">
        <f t="shared" si="70"/>
        <v>0.12233644859813084</v>
      </c>
      <c r="AF128" s="1316">
        <f t="shared" si="70"/>
        <v>0.12233644859813084</v>
      </c>
      <c r="AG128" s="1316">
        <f t="shared" si="70"/>
        <v>0.12233644859813084</v>
      </c>
      <c r="AH128" s="1316">
        <f t="shared" si="70"/>
        <v>0.12233644859813084</v>
      </c>
      <c r="AI128" s="1316">
        <f t="shared" si="70"/>
        <v>0.12233644859813084</v>
      </c>
      <c r="AJ128" s="1316">
        <f t="shared" si="70"/>
        <v>0.12233644859813084</v>
      </c>
      <c r="AK128" s="1316">
        <f t="shared" si="70"/>
        <v>0.12233644859813084</v>
      </c>
      <c r="AL128" s="1316">
        <f t="shared" si="70"/>
        <v>0.12233644859813084</v>
      </c>
      <c r="AM128" s="1078"/>
    </row>
    <row r="129" spans="2:39" ht="13.5" customHeight="1" thickBot="1" x14ac:dyDescent="0.3">
      <c r="B129" s="1609"/>
      <c r="C129" s="1617"/>
      <c r="D129" s="1614"/>
      <c r="E129" s="1320" t="s">
        <v>347</v>
      </c>
      <c r="F129" s="1321">
        <f>SUMIF($H$9:$AL$9,"&lt;="&amp;$C$7,H129:AL129)</f>
        <v>0.49459999999999998</v>
      </c>
      <c r="G129" s="1322">
        <f>IFERROR((F129-F128)/F128,0)</f>
        <v>-0.74731569900687556</v>
      </c>
      <c r="H129" s="1323">
        <f t="shared" ref="H129:AL129" si="71">+H127*H124/1000</f>
        <v>0</v>
      </c>
      <c r="I129" s="1321">
        <f t="shared" si="71"/>
        <v>0.153</v>
      </c>
      <c r="J129" s="1321">
        <f t="shared" si="71"/>
        <v>0.22134000000000001</v>
      </c>
      <c r="K129" s="1321">
        <f t="shared" si="71"/>
        <v>0</v>
      </c>
      <c r="L129" s="1321">
        <f t="shared" si="71"/>
        <v>0</v>
      </c>
      <c r="M129" s="1321">
        <f t="shared" si="71"/>
        <v>0</v>
      </c>
      <c r="N129" s="1321">
        <f t="shared" si="71"/>
        <v>0</v>
      </c>
      <c r="O129" s="1321">
        <f t="shared" si="71"/>
        <v>0</v>
      </c>
      <c r="P129" s="1321">
        <f t="shared" si="71"/>
        <v>0</v>
      </c>
      <c r="Q129" s="1321">
        <f t="shared" si="71"/>
        <v>0</v>
      </c>
      <c r="R129" s="1321">
        <f t="shared" si="71"/>
        <v>3.8179999999999999E-2</v>
      </c>
      <c r="S129" s="1321">
        <f t="shared" si="71"/>
        <v>8.208E-2</v>
      </c>
      <c r="T129" s="1321">
        <f t="shared" si="71"/>
        <v>0</v>
      </c>
      <c r="U129" s="1321">
        <f t="shared" si="71"/>
        <v>0</v>
      </c>
      <c r="V129" s="1321">
        <f t="shared" si="71"/>
        <v>0</v>
      </c>
      <c r="W129" s="1321">
        <f t="shared" si="71"/>
        <v>0</v>
      </c>
      <c r="X129" s="1321">
        <f t="shared" si="71"/>
        <v>0</v>
      </c>
      <c r="Y129" s="1321">
        <f t="shared" si="71"/>
        <v>0</v>
      </c>
      <c r="Z129" s="1321">
        <f t="shared" si="71"/>
        <v>0</v>
      </c>
      <c r="AA129" s="1321">
        <f t="shared" si="71"/>
        <v>0</v>
      </c>
      <c r="AB129" s="1321">
        <f t="shared" si="71"/>
        <v>0</v>
      </c>
      <c r="AC129" s="1321">
        <f t="shared" si="71"/>
        <v>0</v>
      </c>
      <c r="AD129" s="1321">
        <f>+AD127*AD124/1000</f>
        <v>0</v>
      </c>
      <c r="AE129" s="1321">
        <f t="shared" si="71"/>
        <v>0</v>
      </c>
      <c r="AF129" s="1321">
        <f t="shared" si="71"/>
        <v>0</v>
      </c>
      <c r="AG129" s="1321">
        <f t="shared" si="71"/>
        <v>0</v>
      </c>
      <c r="AH129" s="1321">
        <f t="shared" si="71"/>
        <v>0</v>
      </c>
      <c r="AI129" s="1321">
        <f t="shared" si="71"/>
        <v>0</v>
      </c>
      <c r="AJ129" s="1321">
        <f t="shared" si="71"/>
        <v>0</v>
      </c>
      <c r="AK129" s="1321">
        <f t="shared" si="71"/>
        <v>0</v>
      </c>
      <c r="AL129" s="1321">
        <f t="shared" si="71"/>
        <v>0</v>
      </c>
      <c r="AM129" s="1079"/>
    </row>
    <row r="130" spans="2:39" ht="13.5" customHeight="1" thickBot="1" x14ac:dyDescent="0.3">
      <c r="B130" s="1608">
        <v>1</v>
      </c>
      <c r="C130" s="1615" t="str">
        <f>[1]Breaking.!A77</f>
        <v>6L_W15_STOPE</v>
      </c>
      <c r="D130" s="1611" t="s">
        <v>340</v>
      </c>
      <c r="E130" s="1104" t="s">
        <v>341</v>
      </c>
      <c r="F130" s="196">
        <f>SUMIF($H$9:$AL$9,"&lt;="&amp;$C$7,H130:AL130)</f>
        <v>1120</v>
      </c>
      <c r="G130" s="1071"/>
      <c r="H130" s="198">
        <f>[1]Breaking.!D77</f>
        <v>70</v>
      </c>
      <c r="I130" s="198">
        <f>[1]Breaking.!E77</f>
        <v>70</v>
      </c>
      <c r="J130" s="198">
        <f>[1]Breaking.!F77</f>
        <v>70</v>
      </c>
      <c r="K130" s="198">
        <f>[1]Breaking.!G77</f>
        <v>70</v>
      </c>
      <c r="L130" s="198">
        <f>[1]Breaking.!H77</f>
        <v>70</v>
      </c>
      <c r="M130" s="198">
        <f>[1]Breaking.!I77</f>
        <v>70</v>
      </c>
      <c r="N130" s="198">
        <f>[1]Breaking.!J77</f>
        <v>70</v>
      </c>
      <c r="O130" s="198">
        <f>[1]Breaking.!K77</f>
        <v>70</v>
      </c>
      <c r="P130" s="198">
        <f>[1]Breaking.!L77</f>
        <v>70</v>
      </c>
      <c r="Q130" s="198">
        <f>[1]Breaking.!M77</f>
        <v>70</v>
      </c>
      <c r="R130" s="198">
        <f>[1]Breaking.!N77</f>
        <v>70</v>
      </c>
      <c r="S130" s="198">
        <f>[1]Breaking.!O77</f>
        <v>70</v>
      </c>
      <c r="T130" s="198">
        <f>[1]Breaking.!P77</f>
        <v>70</v>
      </c>
      <c r="U130" s="198">
        <f>[1]Breaking.!Q77</f>
        <v>70</v>
      </c>
      <c r="V130" s="198">
        <f>[1]Breaking.!R77</f>
        <v>70</v>
      </c>
      <c r="W130" s="198">
        <f>[1]Breaking.!S77</f>
        <v>70</v>
      </c>
      <c r="X130" s="198">
        <f>[1]Breaking.!T77</f>
        <v>70</v>
      </c>
      <c r="Y130" s="198">
        <f>[1]Breaking.!U77</f>
        <v>70</v>
      </c>
      <c r="Z130" s="198">
        <f>[1]Breaking.!V77</f>
        <v>70</v>
      </c>
      <c r="AA130" s="198">
        <f>[1]Breaking.!W77</f>
        <v>70</v>
      </c>
      <c r="AB130" s="198">
        <f>[1]Breaking.!X77</f>
        <v>70</v>
      </c>
      <c r="AC130" s="198">
        <f>[1]Breaking.!Y77</f>
        <v>70</v>
      </c>
      <c r="AD130" s="198">
        <f>[1]Breaking.!Z77</f>
        <v>70</v>
      </c>
      <c r="AE130" s="198">
        <f>[1]Breaking.!AA77</f>
        <v>70</v>
      </c>
      <c r="AF130" s="198">
        <f>[1]Breaking.!AB77</f>
        <v>70</v>
      </c>
      <c r="AG130" s="198">
        <f>[1]Breaking.!AC77</f>
        <v>70</v>
      </c>
      <c r="AH130" s="198">
        <f>[1]Breaking.!AD77</f>
        <v>70</v>
      </c>
      <c r="AI130" s="198">
        <f>[1]Breaking.!AE77</f>
        <v>70</v>
      </c>
      <c r="AJ130" s="198">
        <f>[1]Breaking.!AF77</f>
        <v>70</v>
      </c>
      <c r="AK130" s="198">
        <f>[1]Breaking.!AG77</f>
        <v>70</v>
      </c>
      <c r="AL130" s="198">
        <f>[1]Breaking.!AH77</f>
        <v>70</v>
      </c>
      <c r="AM130" s="1105"/>
    </row>
    <row r="131" spans="2:39" ht="13.5" customHeight="1" thickBot="1" x14ac:dyDescent="0.3">
      <c r="B131" s="1608"/>
      <c r="C131" s="1616"/>
      <c r="D131" s="1611"/>
      <c r="E131" s="1302" t="s">
        <v>342</v>
      </c>
      <c r="F131" s="1303">
        <f>SUMIF($H$9:$AL$9,"&lt;="&amp;$C$7,H131:AL131)</f>
        <v>1573</v>
      </c>
      <c r="G131" s="1304">
        <f t="shared" ref="G131" si="72">IFERROR((F131-F130)/F130,0)</f>
        <v>0.40446428571428572</v>
      </c>
      <c r="H131" s="1305">
        <v>80</v>
      </c>
      <c r="I131" s="1305">
        <f>52+28</f>
        <v>80</v>
      </c>
      <c r="J131" s="1303">
        <v>113</v>
      </c>
      <c r="K131" s="1303">
        <f>80+52</f>
        <v>132</v>
      </c>
      <c r="L131" s="1303">
        <f>60+47</f>
        <v>107</v>
      </c>
      <c r="M131" s="1303">
        <f>39+73</f>
        <v>112</v>
      </c>
      <c r="N131" s="1303">
        <v>44</v>
      </c>
      <c r="O131" s="1303">
        <v>48</v>
      </c>
      <c r="P131" s="1303">
        <v>48</v>
      </c>
      <c r="Q131" s="1303">
        <v>123</v>
      </c>
      <c r="R131" s="1303">
        <v>112</v>
      </c>
      <c r="S131" s="1303">
        <v>46</v>
      </c>
      <c r="T131" s="1303">
        <f>86+25</f>
        <v>111</v>
      </c>
      <c r="U131" s="1303">
        <f>115+39</f>
        <v>154</v>
      </c>
      <c r="V131" s="1303">
        <f>104+36</f>
        <v>140</v>
      </c>
      <c r="W131" s="1303">
        <f>86+37</f>
        <v>123</v>
      </c>
      <c r="X131" s="1303"/>
      <c r="Y131" s="1303"/>
      <c r="Z131" s="1303"/>
      <c r="AA131" s="1303"/>
      <c r="AB131" s="1303"/>
      <c r="AC131" s="1303"/>
      <c r="AD131" s="1303"/>
      <c r="AE131" s="1303"/>
      <c r="AF131" s="1303"/>
      <c r="AG131" s="1303"/>
      <c r="AH131" s="1303"/>
      <c r="AI131" s="1303"/>
      <c r="AJ131" s="1303"/>
      <c r="AK131" s="1303"/>
      <c r="AL131" s="1303"/>
      <c r="AM131" s="1074"/>
    </row>
    <row r="132" spans="2:39" ht="13.5" customHeight="1" thickBot="1" x14ac:dyDescent="0.3">
      <c r="B132" s="1608"/>
      <c r="C132" s="1616"/>
      <c r="D132" s="1611"/>
      <c r="E132" s="1324" t="s">
        <v>312</v>
      </c>
      <c r="F132" s="1325"/>
      <c r="G132" s="1326"/>
      <c r="H132" s="1075"/>
      <c r="I132" s="1075"/>
      <c r="J132" s="1075"/>
      <c r="K132" s="1075"/>
      <c r="L132" s="1075"/>
      <c r="M132" s="1075"/>
      <c r="N132" s="1075"/>
      <c r="O132" s="1075"/>
      <c r="P132" s="1076"/>
      <c r="Q132" s="1075"/>
      <c r="R132" s="1075"/>
      <c r="S132" s="1075"/>
      <c r="T132" s="1075"/>
      <c r="U132" s="1075"/>
      <c r="V132" s="1075"/>
      <c r="W132" s="1075"/>
      <c r="X132" s="1075"/>
      <c r="Y132" s="1075"/>
      <c r="Z132" s="1075"/>
      <c r="AA132" s="1075"/>
      <c r="AB132" s="1075"/>
      <c r="AC132" s="1075"/>
      <c r="AD132" s="1075"/>
      <c r="AE132" s="1075"/>
      <c r="AF132" s="1075"/>
      <c r="AG132" s="1075"/>
      <c r="AH132" s="1075"/>
      <c r="AI132" s="1075"/>
      <c r="AJ132" s="1075"/>
      <c r="AK132" s="1075"/>
      <c r="AL132" s="1077"/>
      <c r="AM132" s="1108"/>
    </row>
    <row r="133" spans="2:39" ht="13.5" customHeight="1" thickBot="1" x14ac:dyDescent="0.3">
      <c r="B133" s="1608"/>
      <c r="C133" s="1616"/>
      <c r="D133" s="1612" t="s">
        <v>343</v>
      </c>
      <c r="E133" s="1309" t="s">
        <v>344</v>
      </c>
      <c r="F133" s="1310">
        <f t="shared" ref="F133:F134" si="73">IFERROR(F135*1000/F130,0)</f>
        <v>1.7476635514018695</v>
      </c>
      <c r="G133" s="1311"/>
      <c r="H133" s="1312">
        <f>[1]Breaking.!D78</f>
        <v>1.7476635514018692</v>
      </c>
      <c r="I133" s="1312">
        <f>[1]Breaking.!E78</f>
        <v>1.7476635514018692</v>
      </c>
      <c r="J133" s="1312">
        <f>[1]Breaking.!F78</f>
        <v>1.7476635514018692</v>
      </c>
      <c r="K133" s="1312">
        <f>[1]Breaking.!G78</f>
        <v>1.7476635514018692</v>
      </c>
      <c r="L133" s="1312">
        <f>[1]Breaking.!H78</f>
        <v>1.7476635514018692</v>
      </c>
      <c r="M133" s="1312">
        <f>[1]Breaking.!I78</f>
        <v>1.7476635514018692</v>
      </c>
      <c r="N133" s="1312">
        <f>[1]Breaking.!J78</f>
        <v>1.7476635514018692</v>
      </c>
      <c r="O133" s="1312">
        <f>[1]Breaking.!K78</f>
        <v>1.7476635514018692</v>
      </c>
      <c r="P133" s="1312">
        <f>[1]Breaking.!L78</f>
        <v>1.7476635514018692</v>
      </c>
      <c r="Q133" s="1312">
        <f>[1]Breaking.!M78</f>
        <v>1.7476635514018692</v>
      </c>
      <c r="R133" s="1312">
        <f>[1]Breaking.!N78</f>
        <v>1.7476635514018692</v>
      </c>
      <c r="S133" s="1312">
        <f>[1]Breaking.!O78</f>
        <v>1.7476635514018692</v>
      </c>
      <c r="T133" s="1312">
        <f>[1]Breaking.!P78</f>
        <v>1.7476635514018692</v>
      </c>
      <c r="U133" s="1312">
        <f>[1]Breaking.!Q78</f>
        <v>1.7476635514018692</v>
      </c>
      <c r="V133" s="1312">
        <f>[1]Breaking.!R78</f>
        <v>1.7476635514018692</v>
      </c>
      <c r="W133" s="1312">
        <f>[1]Breaking.!S78</f>
        <v>1.7476635514018692</v>
      </c>
      <c r="X133" s="1312">
        <f>[1]Breaking.!T78</f>
        <v>1.7476635514018692</v>
      </c>
      <c r="Y133" s="1312">
        <f>[1]Breaking.!U78</f>
        <v>1.7476635514018692</v>
      </c>
      <c r="Z133" s="1312">
        <f>[1]Breaking.!V78</f>
        <v>1.7476635514018692</v>
      </c>
      <c r="AA133" s="1312">
        <f>[1]Breaking.!W78</f>
        <v>1.7476635514018692</v>
      </c>
      <c r="AB133" s="1312">
        <f>[1]Breaking.!X78</f>
        <v>1.7476635514018692</v>
      </c>
      <c r="AC133" s="1312">
        <f>[1]Breaking.!Y78</f>
        <v>1.7476635514018692</v>
      </c>
      <c r="AD133" s="1312">
        <f>[1]Breaking.!Z78</f>
        <v>1.7476635514018692</v>
      </c>
      <c r="AE133" s="1312">
        <f>[1]Breaking.!AA78</f>
        <v>1.7476635514018692</v>
      </c>
      <c r="AF133" s="1312">
        <f>[1]Breaking.!AB78</f>
        <v>1.7476635514018692</v>
      </c>
      <c r="AG133" s="1312">
        <f>[1]Breaking.!AC78</f>
        <v>1.7476635514018692</v>
      </c>
      <c r="AH133" s="1312">
        <f>[1]Breaking.!AD78</f>
        <v>1.7476635514018692</v>
      </c>
      <c r="AI133" s="1312">
        <f>[1]Breaking.!AE78</f>
        <v>1.7476635514018692</v>
      </c>
      <c r="AJ133" s="1312">
        <f>[1]Breaking.!AF78</f>
        <v>1.7476635514018692</v>
      </c>
      <c r="AK133" s="1312">
        <f>[1]Breaking.!AG78</f>
        <v>1.7476635514018692</v>
      </c>
      <c r="AL133" s="1312">
        <f>[1]Breaking.!AH78</f>
        <v>1.7476635514018692</v>
      </c>
      <c r="AM133" s="1074"/>
    </row>
    <row r="134" spans="2:39" ht="13.5" customHeight="1" thickBot="1" x14ac:dyDescent="0.3">
      <c r="B134" s="1608"/>
      <c r="C134" s="1616"/>
      <c r="D134" s="1612"/>
      <c r="E134" s="1313" t="s">
        <v>345</v>
      </c>
      <c r="F134" s="1314">
        <f t="shared" si="73"/>
        <v>2.3518563254926894</v>
      </c>
      <c r="G134" s="1304">
        <f t="shared" ref="G134" si="74">IFERROR((F134-F133)/F133,0)</f>
        <v>0.34571458196640492</v>
      </c>
      <c r="H134" s="1315">
        <v>4.42</v>
      </c>
      <c r="I134" s="1315">
        <v>2.78</v>
      </c>
      <c r="J134" s="1314">
        <v>1.62</v>
      </c>
      <c r="K134" s="1314">
        <v>3.02</v>
      </c>
      <c r="L134" s="1314">
        <v>3.02</v>
      </c>
      <c r="M134" s="1314">
        <v>3.02</v>
      </c>
      <c r="N134" s="1314">
        <v>2.6</v>
      </c>
      <c r="O134" s="1314">
        <v>1.63</v>
      </c>
      <c r="P134" s="1314">
        <v>0.18</v>
      </c>
      <c r="Q134" s="1314"/>
      <c r="R134" s="1314">
        <v>3.42</v>
      </c>
      <c r="S134" s="1314">
        <v>0.8</v>
      </c>
      <c r="T134" s="1314">
        <v>0.8</v>
      </c>
      <c r="U134" s="1314">
        <v>3.99</v>
      </c>
      <c r="V134" s="1314">
        <v>2.68</v>
      </c>
      <c r="W134" s="1314">
        <v>1.47</v>
      </c>
      <c r="X134" s="1314"/>
      <c r="Y134" s="1314"/>
      <c r="Z134" s="1314"/>
      <c r="AA134" s="1314"/>
      <c r="AB134" s="1314"/>
      <c r="AC134" s="1314"/>
      <c r="AD134" s="1314"/>
      <c r="AE134" s="1314"/>
      <c r="AF134" s="1314"/>
      <c r="AG134" s="1314"/>
      <c r="AH134" s="1314"/>
      <c r="AI134" s="1314"/>
      <c r="AJ134" s="1314"/>
      <c r="AK134" s="1314"/>
      <c r="AL134" s="1314"/>
      <c r="AM134" s="1074"/>
    </row>
    <row r="135" spans="2:39" ht="13.5" customHeight="1" thickBot="1" x14ac:dyDescent="0.3">
      <c r="B135" s="1608"/>
      <c r="C135" s="1616"/>
      <c r="D135" s="1613" t="s">
        <v>47</v>
      </c>
      <c r="E135" s="1309" t="s">
        <v>346</v>
      </c>
      <c r="F135" s="206">
        <f>SUMIF($H$9:$AL$9,"&lt;="&amp;$C$7,H135:AL135)</f>
        <v>1.9573831775700936</v>
      </c>
      <c r="G135" s="1311"/>
      <c r="H135" s="1316">
        <f>+H133*H130/1000</f>
        <v>0.12233644859813084</v>
      </c>
      <c r="I135" s="1316">
        <f t="shared" ref="I135:AL135" si="75">+I133*I130/1000</f>
        <v>0.12233644859813084</v>
      </c>
      <c r="J135" s="1316">
        <f t="shared" si="75"/>
        <v>0.12233644859813084</v>
      </c>
      <c r="K135" s="1316">
        <f t="shared" si="75"/>
        <v>0.12233644859813084</v>
      </c>
      <c r="L135" s="1316">
        <f t="shared" si="75"/>
        <v>0.12233644859813084</v>
      </c>
      <c r="M135" s="1316">
        <f t="shared" si="75"/>
        <v>0.12233644859813084</v>
      </c>
      <c r="N135" s="1316">
        <f t="shared" si="75"/>
        <v>0.12233644859813084</v>
      </c>
      <c r="O135" s="1316">
        <f t="shared" si="75"/>
        <v>0.12233644859813084</v>
      </c>
      <c r="P135" s="1316">
        <f t="shared" si="75"/>
        <v>0.12233644859813084</v>
      </c>
      <c r="Q135" s="1316">
        <f t="shared" si="75"/>
        <v>0.12233644859813084</v>
      </c>
      <c r="R135" s="1316">
        <f t="shared" si="75"/>
        <v>0.12233644859813084</v>
      </c>
      <c r="S135" s="1316">
        <f t="shared" si="75"/>
        <v>0.12233644859813084</v>
      </c>
      <c r="T135" s="1316">
        <f t="shared" si="75"/>
        <v>0.12233644859813084</v>
      </c>
      <c r="U135" s="1316">
        <f t="shared" si="75"/>
        <v>0.12233644859813084</v>
      </c>
      <c r="V135" s="1316">
        <f t="shared" si="75"/>
        <v>0.12233644859813084</v>
      </c>
      <c r="W135" s="1316">
        <f t="shared" si="75"/>
        <v>0.12233644859813084</v>
      </c>
      <c r="X135" s="1316">
        <f t="shared" si="75"/>
        <v>0.12233644859813084</v>
      </c>
      <c r="Y135" s="1316">
        <f t="shared" si="75"/>
        <v>0.12233644859813084</v>
      </c>
      <c r="Z135" s="1316">
        <f t="shared" si="75"/>
        <v>0.12233644859813084</v>
      </c>
      <c r="AA135" s="1316">
        <f t="shared" si="75"/>
        <v>0.12233644859813084</v>
      </c>
      <c r="AB135" s="1316">
        <f t="shared" si="75"/>
        <v>0.12233644859813084</v>
      </c>
      <c r="AC135" s="1316">
        <f t="shared" si="75"/>
        <v>0.12233644859813084</v>
      </c>
      <c r="AD135" s="1316">
        <f t="shared" si="75"/>
        <v>0.12233644859813084</v>
      </c>
      <c r="AE135" s="1316">
        <f t="shared" si="75"/>
        <v>0.12233644859813084</v>
      </c>
      <c r="AF135" s="1316">
        <f t="shared" si="75"/>
        <v>0.12233644859813084</v>
      </c>
      <c r="AG135" s="1316">
        <f t="shared" si="75"/>
        <v>0.12233644859813084</v>
      </c>
      <c r="AH135" s="1316">
        <f t="shared" si="75"/>
        <v>0.12233644859813084</v>
      </c>
      <c r="AI135" s="1316">
        <f t="shared" si="75"/>
        <v>0.12233644859813084</v>
      </c>
      <c r="AJ135" s="1316">
        <f t="shared" si="75"/>
        <v>0.12233644859813084</v>
      </c>
      <c r="AK135" s="1316">
        <f t="shared" si="75"/>
        <v>0.12233644859813084</v>
      </c>
      <c r="AL135" s="1319">
        <f t="shared" si="75"/>
        <v>0.12233644859813084</v>
      </c>
      <c r="AM135" s="1078"/>
    </row>
    <row r="136" spans="2:39" ht="13.5" customHeight="1" thickBot="1" x14ac:dyDescent="0.3">
      <c r="B136" s="1609"/>
      <c r="C136" s="1617"/>
      <c r="D136" s="1614"/>
      <c r="E136" s="1320" t="s">
        <v>347</v>
      </c>
      <c r="F136" s="1321">
        <f>SUMIF($H$9:$AL$9,"&lt;="&amp;$C$7,H136:AL136)</f>
        <v>3.6994700000000003</v>
      </c>
      <c r="G136" s="1322">
        <f t="shared" ref="G136" si="76">IFERROR((F136-F135)/F135,0)</f>
        <v>0.89000806913674557</v>
      </c>
      <c r="H136" s="1323">
        <f t="shared" ref="H136:AL136" si="77">+H134*H131/1000</f>
        <v>0.35360000000000003</v>
      </c>
      <c r="I136" s="1323">
        <f t="shared" si="77"/>
        <v>0.22239999999999999</v>
      </c>
      <c r="J136" s="1321">
        <f t="shared" si="77"/>
        <v>0.18306</v>
      </c>
      <c r="K136" s="1321">
        <f t="shared" si="77"/>
        <v>0.39863999999999999</v>
      </c>
      <c r="L136" s="1321">
        <f t="shared" si="77"/>
        <v>0.32313999999999998</v>
      </c>
      <c r="M136" s="1321">
        <f t="shared" si="77"/>
        <v>0.33823999999999999</v>
      </c>
      <c r="N136" s="1321">
        <f t="shared" si="77"/>
        <v>0.1144</v>
      </c>
      <c r="O136" s="1321">
        <f t="shared" si="77"/>
        <v>7.823999999999999E-2</v>
      </c>
      <c r="P136" s="1321">
        <f t="shared" si="77"/>
        <v>8.6400000000000001E-3</v>
      </c>
      <c r="Q136" s="1321">
        <f t="shared" si="77"/>
        <v>0</v>
      </c>
      <c r="R136" s="1321">
        <f t="shared" si="77"/>
        <v>0.38303999999999994</v>
      </c>
      <c r="S136" s="1321">
        <f t="shared" si="77"/>
        <v>3.6800000000000006E-2</v>
      </c>
      <c r="T136" s="1321">
        <f t="shared" si="77"/>
        <v>8.8800000000000018E-2</v>
      </c>
      <c r="U136" s="1321">
        <f t="shared" si="77"/>
        <v>0.61446000000000001</v>
      </c>
      <c r="V136" s="1321">
        <f t="shared" si="77"/>
        <v>0.37520000000000003</v>
      </c>
      <c r="W136" s="1321">
        <f t="shared" si="77"/>
        <v>0.18081</v>
      </c>
      <c r="X136" s="1321">
        <f t="shared" si="77"/>
        <v>0</v>
      </c>
      <c r="Y136" s="1321">
        <f t="shared" si="77"/>
        <v>0</v>
      </c>
      <c r="Z136" s="1321">
        <f t="shared" si="77"/>
        <v>0</v>
      </c>
      <c r="AA136" s="1321">
        <f t="shared" si="77"/>
        <v>0</v>
      </c>
      <c r="AB136" s="1321">
        <f t="shared" si="77"/>
        <v>0</v>
      </c>
      <c r="AC136" s="1321">
        <f t="shared" si="77"/>
        <v>0</v>
      </c>
      <c r="AD136" s="1321">
        <f t="shared" si="77"/>
        <v>0</v>
      </c>
      <c r="AE136" s="1321">
        <f t="shared" si="77"/>
        <v>0</v>
      </c>
      <c r="AF136" s="1321">
        <f t="shared" si="77"/>
        <v>0</v>
      </c>
      <c r="AG136" s="1321">
        <f t="shared" si="77"/>
        <v>0</v>
      </c>
      <c r="AH136" s="1321">
        <f t="shared" si="77"/>
        <v>0</v>
      </c>
      <c r="AI136" s="1321">
        <f t="shared" si="77"/>
        <v>0</v>
      </c>
      <c r="AJ136" s="1321">
        <f t="shared" si="77"/>
        <v>0</v>
      </c>
      <c r="AK136" s="1321">
        <f t="shared" si="77"/>
        <v>0</v>
      </c>
      <c r="AL136" s="1321">
        <f t="shared" si="77"/>
        <v>0</v>
      </c>
      <c r="AM136" s="1079"/>
    </row>
    <row r="137" spans="2:39" ht="13.5" customHeight="1" thickBot="1" x14ac:dyDescent="0.3">
      <c r="B137" s="1607">
        <v>1</v>
      </c>
      <c r="C137" s="1115"/>
      <c r="D137" s="1610" t="s">
        <v>340</v>
      </c>
      <c r="E137" s="1070" t="s">
        <v>341</v>
      </c>
      <c r="F137" s="295">
        <f>SUMIF($H$9:$AL$9,"&lt;="&amp;$C$7,H137:AL137)</f>
        <v>0</v>
      </c>
      <c r="G137" s="1112"/>
      <c r="H137" s="851"/>
      <c r="I137" s="198"/>
      <c r="J137" s="198"/>
      <c r="K137" s="199"/>
      <c r="L137" s="199"/>
      <c r="M137" s="199"/>
      <c r="N137" s="199"/>
      <c r="O137" s="199"/>
      <c r="P137" s="200"/>
      <c r="Q137" s="199"/>
      <c r="R137" s="199"/>
      <c r="S137" s="199"/>
      <c r="T137" s="199"/>
      <c r="U137" s="199"/>
      <c r="V137" s="199"/>
      <c r="W137" s="199"/>
      <c r="X137" s="199"/>
      <c r="Y137" s="199"/>
      <c r="Z137" s="199"/>
      <c r="AA137" s="199"/>
      <c r="AB137" s="199"/>
      <c r="AC137" s="199"/>
      <c r="AD137" s="199"/>
      <c r="AE137" s="199"/>
      <c r="AF137" s="199"/>
      <c r="AG137" s="199"/>
      <c r="AH137" s="199"/>
      <c r="AI137" s="199"/>
      <c r="AJ137" s="199"/>
      <c r="AK137" s="199"/>
      <c r="AL137" s="201"/>
      <c r="AM137" s="1105"/>
    </row>
    <row r="138" spans="2:39" ht="13.5" customHeight="1" thickBot="1" x14ac:dyDescent="0.3">
      <c r="B138" s="1608"/>
      <c r="C138" s="1115"/>
      <c r="D138" s="1611"/>
      <c r="E138" s="1302" t="s">
        <v>342</v>
      </c>
      <c r="F138" s="1303">
        <f>SUMIF($H$9:$AL$9,"&lt;="&amp;$C$7,H138:AL138)</f>
        <v>105</v>
      </c>
      <c r="G138" s="1304">
        <f t="shared" ref="G138" si="78">IFERROR((F138-F137)/F137,0)</f>
        <v>0</v>
      </c>
      <c r="H138" s="1305"/>
      <c r="I138" s="1303"/>
      <c r="J138" s="1303"/>
      <c r="K138" s="1303"/>
      <c r="L138" s="1303"/>
      <c r="M138" s="1303"/>
      <c r="N138" s="1303"/>
      <c r="O138" s="1303"/>
      <c r="P138" s="1303"/>
      <c r="Q138" s="1303"/>
      <c r="R138" s="1303"/>
      <c r="S138" s="1303"/>
      <c r="T138" s="1303"/>
      <c r="U138" s="1303"/>
      <c r="V138" s="1303">
        <v>66</v>
      </c>
      <c r="W138" s="1303">
        <v>39</v>
      </c>
      <c r="X138" s="1303"/>
      <c r="Y138" s="1303"/>
      <c r="Z138" s="1303"/>
      <c r="AA138" s="1303"/>
      <c r="AB138" s="1303"/>
      <c r="AC138" s="1303"/>
      <c r="AD138" s="1303"/>
      <c r="AE138" s="1303"/>
      <c r="AF138" s="1303"/>
      <c r="AG138" s="1303"/>
      <c r="AH138" s="1303"/>
      <c r="AI138" s="1303"/>
      <c r="AJ138" s="1303"/>
      <c r="AK138" s="1303"/>
      <c r="AL138" s="1303"/>
      <c r="AM138" s="1074"/>
    </row>
    <row r="139" spans="2:39" ht="13.5" customHeight="1" thickBot="1" x14ac:dyDescent="0.3">
      <c r="B139" s="1608"/>
      <c r="C139" s="1115"/>
      <c r="D139" s="1611"/>
      <c r="E139" s="1324" t="s">
        <v>312</v>
      </c>
      <c r="F139" s="1325"/>
      <c r="G139" s="1326"/>
      <c r="H139" s="1075"/>
      <c r="I139" s="1075"/>
      <c r="J139" s="1075"/>
      <c r="K139" s="1075"/>
      <c r="L139" s="1075"/>
      <c r="M139" s="1075"/>
      <c r="N139" s="1075"/>
      <c r="O139" s="1075"/>
      <c r="P139" s="1076"/>
      <c r="Q139" s="1075"/>
      <c r="R139" s="1075"/>
      <c r="S139" s="1075"/>
      <c r="T139" s="1075"/>
      <c r="U139" s="1075"/>
      <c r="V139" s="1075"/>
      <c r="W139" s="1075"/>
      <c r="X139" s="1075"/>
      <c r="Y139" s="1075"/>
      <c r="Z139" s="1075"/>
      <c r="AA139" s="1075"/>
      <c r="AB139" s="1075"/>
      <c r="AC139" s="1075"/>
      <c r="AD139" s="1075"/>
      <c r="AE139" s="1075"/>
      <c r="AF139" s="1075"/>
      <c r="AG139" s="1075"/>
      <c r="AH139" s="1075"/>
      <c r="AI139" s="1075"/>
      <c r="AJ139" s="1075"/>
      <c r="AK139" s="1075"/>
      <c r="AL139" s="1077"/>
      <c r="AM139" s="1108"/>
    </row>
    <row r="140" spans="2:39" ht="13.5" customHeight="1" thickBot="1" x14ac:dyDescent="0.3">
      <c r="B140" s="1608"/>
      <c r="C140" s="1115" t="s">
        <v>349</v>
      </c>
      <c r="D140" s="1612" t="s">
        <v>343</v>
      </c>
      <c r="E140" s="1309" t="s">
        <v>344</v>
      </c>
      <c r="F140" s="1310">
        <f t="shared" ref="F140:F141" si="79">IFERROR(F142*1000/F137,0)</f>
        <v>0</v>
      </c>
      <c r="G140" s="1311"/>
      <c r="H140" s="1312"/>
      <c r="I140" s="1312"/>
      <c r="J140" s="1312"/>
      <c r="K140" s="1333"/>
      <c r="L140" s="1333"/>
      <c r="M140" s="1333"/>
      <c r="N140" s="1333"/>
      <c r="O140" s="1333"/>
      <c r="P140" s="1334"/>
      <c r="Q140" s="1333"/>
      <c r="R140" s="1333"/>
      <c r="S140" s="1333"/>
      <c r="T140" s="1333"/>
      <c r="U140" s="1333"/>
      <c r="V140" s="1333"/>
      <c r="W140" s="1333"/>
      <c r="X140" s="1333"/>
      <c r="Y140" s="1333"/>
      <c r="Z140" s="1333"/>
      <c r="AA140" s="1333"/>
      <c r="AB140" s="1333"/>
      <c r="AC140" s="1333"/>
      <c r="AD140" s="1333"/>
      <c r="AE140" s="1333"/>
      <c r="AF140" s="1333"/>
      <c r="AG140" s="1333"/>
      <c r="AH140" s="1333"/>
      <c r="AI140" s="1333"/>
      <c r="AJ140" s="1333"/>
      <c r="AK140" s="1333"/>
      <c r="AL140" s="1335"/>
      <c r="AM140" s="1074"/>
    </row>
    <row r="141" spans="2:39" ht="13.5" customHeight="1" thickBot="1" x14ac:dyDescent="0.3">
      <c r="B141" s="1608"/>
      <c r="C141" s="1115"/>
      <c r="D141" s="1612"/>
      <c r="E141" s="1313" t="s">
        <v>345</v>
      </c>
      <c r="F141" s="1314">
        <f t="shared" si="79"/>
        <v>0.62028571428571422</v>
      </c>
      <c r="G141" s="1304">
        <f t="shared" ref="G141" si="80">IFERROR((F141-F140)/F140,0)</f>
        <v>0</v>
      </c>
      <c r="H141" s="1315"/>
      <c r="I141" s="1314"/>
      <c r="J141" s="1314"/>
      <c r="K141" s="1314"/>
      <c r="L141" s="1314"/>
      <c r="M141" s="1314"/>
      <c r="N141" s="1314"/>
      <c r="O141" s="1314"/>
      <c r="P141" s="1314"/>
      <c r="Q141" s="1314"/>
      <c r="R141" s="1314"/>
      <c r="S141" s="1314"/>
      <c r="T141" s="1314"/>
      <c r="U141" s="1314"/>
      <c r="V141" s="1314">
        <v>0.26</v>
      </c>
      <c r="W141" s="1314">
        <v>1.23</v>
      </c>
      <c r="X141" s="1314"/>
      <c r="Y141" s="1314"/>
      <c r="Z141" s="1314"/>
      <c r="AA141" s="1314"/>
      <c r="AB141" s="1314"/>
      <c r="AC141" s="1314"/>
      <c r="AD141" s="1314"/>
      <c r="AE141" s="1314"/>
      <c r="AF141" s="1314"/>
      <c r="AG141" s="1314"/>
      <c r="AH141" s="1314"/>
      <c r="AI141" s="1314"/>
      <c r="AJ141" s="1314"/>
      <c r="AK141" s="1314"/>
      <c r="AL141" s="1314"/>
      <c r="AM141" s="1074"/>
    </row>
    <row r="142" spans="2:39" ht="13.5" customHeight="1" thickBot="1" x14ac:dyDescent="0.3">
      <c r="B142" s="1608"/>
      <c r="C142" s="1115"/>
      <c r="D142" s="1613" t="s">
        <v>47</v>
      </c>
      <c r="E142" s="1309" t="s">
        <v>346</v>
      </c>
      <c r="F142" s="206">
        <f>SUMIF($H$9:$AL$9,"&lt;="&amp;$C$7,H142:AL142)</f>
        <v>0</v>
      </c>
      <c r="G142" s="1311"/>
      <c r="H142" s="1316">
        <f t="shared" ref="H142:AL143" si="81">+H140*H137/1000</f>
        <v>0</v>
      </c>
      <c r="I142" s="1316">
        <f t="shared" si="81"/>
        <v>0</v>
      </c>
      <c r="J142" s="1316">
        <f t="shared" si="81"/>
        <v>0</v>
      </c>
      <c r="K142" s="1317">
        <f t="shared" si="81"/>
        <v>0</v>
      </c>
      <c r="L142" s="1317">
        <f t="shared" si="81"/>
        <v>0</v>
      </c>
      <c r="M142" s="1317">
        <f t="shared" si="81"/>
        <v>0</v>
      </c>
      <c r="N142" s="1317">
        <f t="shared" si="81"/>
        <v>0</v>
      </c>
      <c r="O142" s="1317">
        <f t="shared" si="81"/>
        <v>0</v>
      </c>
      <c r="P142" s="1318">
        <f t="shared" si="81"/>
        <v>0</v>
      </c>
      <c r="Q142" s="1317">
        <f t="shared" si="81"/>
        <v>0</v>
      </c>
      <c r="R142" s="1317">
        <f t="shared" si="81"/>
        <v>0</v>
      </c>
      <c r="S142" s="1317">
        <f t="shared" si="81"/>
        <v>0</v>
      </c>
      <c r="T142" s="1317">
        <f t="shared" si="81"/>
        <v>0</v>
      </c>
      <c r="U142" s="1317">
        <f t="shared" si="81"/>
        <v>0</v>
      </c>
      <c r="V142" s="1317">
        <f t="shared" si="81"/>
        <v>0</v>
      </c>
      <c r="W142" s="1317">
        <f t="shared" si="81"/>
        <v>0</v>
      </c>
      <c r="X142" s="1317">
        <f t="shared" si="81"/>
        <v>0</v>
      </c>
      <c r="Y142" s="1317">
        <f t="shared" si="81"/>
        <v>0</v>
      </c>
      <c r="Z142" s="1317">
        <f t="shared" si="81"/>
        <v>0</v>
      </c>
      <c r="AA142" s="1317">
        <f t="shared" si="81"/>
        <v>0</v>
      </c>
      <c r="AB142" s="1317">
        <f t="shared" si="81"/>
        <v>0</v>
      </c>
      <c r="AC142" s="1317">
        <f t="shared" si="81"/>
        <v>0</v>
      </c>
      <c r="AD142" s="1317">
        <f t="shared" si="81"/>
        <v>0</v>
      </c>
      <c r="AE142" s="1317">
        <f t="shared" si="81"/>
        <v>0</v>
      </c>
      <c r="AF142" s="1317">
        <f t="shared" si="81"/>
        <v>0</v>
      </c>
      <c r="AG142" s="1317">
        <f t="shared" si="81"/>
        <v>0</v>
      </c>
      <c r="AH142" s="1317">
        <f t="shared" si="81"/>
        <v>0</v>
      </c>
      <c r="AI142" s="1317">
        <f t="shared" si="81"/>
        <v>0</v>
      </c>
      <c r="AJ142" s="1317">
        <f t="shared" si="81"/>
        <v>0</v>
      </c>
      <c r="AK142" s="1317">
        <f t="shared" si="81"/>
        <v>0</v>
      </c>
      <c r="AL142" s="1319">
        <f t="shared" si="81"/>
        <v>0</v>
      </c>
      <c r="AM142" s="1078"/>
    </row>
    <row r="143" spans="2:39" ht="13.5" customHeight="1" thickBot="1" x14ac:dyDescent="0.3">
      <c r="B143" s="1609"/>
      <c r="C143" s="1116"/>
      <c r="D143" s="1614"/>
      <c r="E143" s="1320" t="s">
        <v>347</v>
      </c>
      <c r="F143" s="1321">
        <f>SUMIF($H$9:$AL$9,"&lt;="&amp;$C$7,H143:AL143)</f>
        <v>6.5129999999999993E-2</v>
      </c>
      <c r="G143" s="1322">
        <f t="shared" ref="G143" si="82">IFERROR((F143-F142)/F142,0)</f>
        <v>0</v>
      </c>
      <c r="H143" s="1323">
        <f t="shared" si="81"/>
        <v>0</v>
      </c>
      <c r="I143" s="1321">
        <f t="shared" si="81"/>
        <v>0</v>
      </c>
      <c r="J143" s="1321">
        <f t="shared" si="81"/>
        <v>0</v>
      </c>
      <c r="K143" s="1321">
        <f t="shared" si="81"/>
        <v>0</v>
      </c>
      <c r="L143" s="1321">
        <f t="shared" si="81"/>
        <v>0</v>
      </c>
      <c r="M143" s="1321">
        <f t="shared" si="81"/>
        <v>0</v>
      </c>
      <c r="N143" s="1321">
        <f t="shared" si="81"/>
        <v>0</v>
      </c>
      <c r="O143" s="1321">
        <f t="shared" si="81"/>
        <v>0</v>
      </c>
      <c r="P143" s="1321">
        <f t="shared" si="81"/>
        <v>0</v>
      </c>
      <c r="Q143" s="1321">
        <f t="shared" si="81"/>
        <v>0</v>
      </c>
      <c r="R143" s="1321">
        <f t="shared" si="81"/>
        <v>0</v>
      </c>
      <c r="S143" s="1321">
        <f t="shared" si="81"/>
        <v>0</v>
      </c>
      <c r="T143" s="1321">
        <f t="shared" si="81"/>
        <v>0</v>
      </c>
      <c r="U143" s="1321">
        <f t="shared" si="81"/>
        <v>0</v>
      </c>
      <c r="V143" s="1321">
        <f t="shared" si="81"/>
        <v>1.7160000000000002E-2</v>
      </c>
      <c r="W143" s="1321">
        <f t="shared" si="81"/>
        <v>4.7969999999999999E-2</v>
      </c>
      <c r="X143" s="1321">
        <f t="shared" si="81"/>
        <v>0</v>
      </c>
      <c r="Y143" s="1321">
        <f t="shared" si="81"/>
        <v>0</v>
      </c>
      <c r="Z143" s="1321">
        <f t="shared" si="81"/>
        <v>0</v>
      </c>
      <c r="AA143" s="1321">
        <f t="shared" si="81"/>
        <v>0</v>
      </c>
      <c r="AB143" s="1321">
        <f t="shared" si="81"/>
        <v>0</v>
      </c>
      <c r="AC143" s="1321">
        <f t="shared" si="81"/>
        <v>0</v>
      </c>
      <c r="AD143" s="1321">
        <f t="shared" si="81"/>
        <v>0</v>
      </c>
      <c r="AE143" s="1321">
        <f t="shared" si="81"/>
        <v>0</v>
      </c>
      <c r="AF143" s="1321">
        <f t="shared" si="81"/>
        <v>0</v>
      </c>
      <c r="AG143" s="1321">
        <f t="shared" si="81"/>
        <v>0</v>
      </c>
      <c r="AH143" s="1321">
        <f t="shared" si="81"/>
        <v>0</v>
      </c>
      <c r="AI143" s="1321">
        <f t="shared" si="81"/>
        <v>0</v>
      </c>
      <c r="AJ143" s="1321">
        <f t="shared" si="81"/>
        <v>0</v>
      </c>
      <c r="AK143" s="1321">
        <f t="shared" si="81"/>
        <v>0</v>
      </c>
      <c r="AL143" s="1321">
        <f t="shared" si="81"/>
        <v>0</v>
      </c>
      <c r="AM143" s="1079"/>
    </row>
  </sheetData>
  <sheetProtection algorithmName="SHA-512" hashValue="RNIQmP4XflkSz0BXwGhNDZSD1DMSq9WrmDdbU9x7gqWer2G+gOw7UlNrdTC7fkP1cCdPX0cbP+Bs/6dEpjzyYA==" saltValue="MBu6xsiuETQfIssFQATnPA==" spinCount="100000" sheet="1" objects="1" scenarios="1"/>
  <mergeCells count="98">
    <mergeCell ref="H2:I2"/>
    <mergeCell ref="K2:N2"/>
    <mergeCell ref="H3:I3"/>
    <mergeCell ref="K3:N3"/>
    <mergeCell ref="H4:I4"/>
    <mergeCell ref="K4:N4"/>
    <mergeCell ref="K5:N5"/>
    <mergeCell ref="K6:N6"/>
    <mergeCell ref="D17:E17"/>
    <mergeCell ref="B18:B24"/>
    <mergeCell ref="C18:C24"/>
    <mergeCell ref="D18:D20"/>
    <mergeCell ref="D21:D22"/>
    <mergeCell ref="D23:D24"/>
    <mergeCell ref="B32:B38"/>
    <mergeCell ref="C32:C38"/>
    <mergeCell ref="D32:D34"/>
    <mergeCell ref="D35:D36"/>
    <mergeCell ref="D37:D38"/>
    <mergeCell ref="B25:B31"/>
    <mergeCell ref="C25:C31"/>
    <mergeCell ref="D25:D27"/>
    <mergeCell ref="D28:D29"/>
    <mergeCell ref="D30:D31"/>
    <mergeCell ref="B46:B52"/>
    <mergeCell ref="C46:C52"/>
    <mergeCell ref="D46:D48"/>
    <mergeCell ref="D49:D50"/>
    <mergeCell ref="D51:D52"/>
    <mergeCell ref="B39:B45"/>
    <mergeCell ref="C39:C45"/>
    <mergeCell ref="D39:D41"/>
    <mergeCell ref="D42:D43"/>
    <mergeCell ref="D44:D45"/>
    <mergeCell ref="B60:B66"/>
    <mergeCell ref="C60:C66"/>
    <mergeCell ref="D60:D62"/>
    <mergeCell ref="D63:D64"/>
    <mergeCell ref="D65:D66"/>
    <mergeCell ref="B53:B59"/>
    <mergeCell ref="C53:C59"/>
    <mergeCell ref="D53:D55"/>
    <mergeCell ref="D56:D57"/>
    <mergeCell ref="D58:D59"/>
    <mergeCell ref="B74:B80"/>
    <mergeCell ref="C74:C80"/>
    <mergeCell ref="D74:D76"/>
    <mergeCell ref="D77:D78"/>
    <mergeCell ref="D79:D80"/>
    <mergeCell ref="B67:B73"/>
    <mergeCell ref="C67:C73"/>
    <mergeCell ref="D67:D69"/>
    <mergeCell ref="D70:D71"/>
    <mergeCell ref="D72:D73"/>
    <mergeCell ref="B88:B94"/>
    <mergeCell ref="C88:C94"/>
    <mergeCell ref="D88:D90"/>
    <mergeCell ref="D91:D92"/>
    <mergeCell ref="D93:D94"/>
    <mergeCell ref="B81:B87"/>
    <mergeCell ref="C81:C87"/>
    <mergeCell ref="D81:D83"/>
    <mergeCell ref="D84:D85"/>
    <mergeCell ref="D86:D87"/>
    <mergeCell ref="B102:B108"/>
    <mergeCell ref="C102:C108"/>
    <mergeCell ref="D102:D104"/>
    <mergeCell ref="D105:D106"/>
    <mergeCell ref="D107:D108"/>
    <mergeCell ref="B95:B101"/>
    <mergeCell ref="C95:C101"/>
    <mergeCell ref="D95:D97"/>
    <mergeCell ref="D98:D99"/>
    <mergeCell ref="D100:D101"/>
    <mergeCell ref="B116:B122"/>
    <mergeCell ref="C116:C122"/>
    <mergeCell ref="D116:D118"/>
    <mergeCell ref="D119:D120"/>
    <mergeCell ref="D121:D122"/>
    <mergeCell ref="B109:B115"/>
    <mergeCell ref="C109:C115"/>
    <mergeCell ref="D109:D111"/>
    <mergeCell ref="D112:D113"/>
    <mergeCell ref="D114:D115"/>
    <mergeCell ref="B137:B143"/>
    <mergeCell ref="D137:D139"/>
    <mergeCell ref="D140:D141"/>
    <mergeCell ref="D142:D143"/>
    <mergeCell ref="B123:B129"/>
    <mergeCell ref="C123:C129"/>
    <mergeCell ref="D123:D125"/>
    <mergeCell ref="D126:D127"/>
    <mergeCell ref="D128:D129"/>
    <mergeCell ref="B130:B136"/>
    <mergeCell ref="C130:C136"/>
    <mergeCell ref="D130:D132"/>
    <mergeCell ref="D133:D134"/>
    <mergeCell ref="D135:D136"/>
  </mergeCells>
  <conditionalFormatting sqref="B18">
    <cfRule type="cellIs" dxfId="1724" priority="50" operator="equal">
      <formula>2</formula>
    </cfRule>
    <cfRule type="cellIs" dxfId="1723" priority="48" operator="equal">
      <formula>3</formula>
    </cfRule>
    <cfRule type="cellIs" dxfId="1722" priority="49" operator="equal">
      <formula>1</formula>
    </cfRule>
  </conditionalFormatting>
  <conditionalFormatting sqref="B25">
    <cfRule type="cellIs" dxfId="1721" priority="56" operator="equal">
      <formula>2</formula>
    </cfRule>
    <cfRule type="cellIs" dxfId="1720" priority="55" operator="equal">
      <formula>1</formula>
    </cfRule>
    <cfRule type="cellIs" dxfId="1719" priority="54" operator="equal">
      <formula>3</formula>
    </cfRule>
  </conditionalFormatting>
  <conditionalFormatting sqref="B32 B39 B46 B53 B60 B67 B81 B88 B95 B102 B109 B116 B123 B130 B137">
    <cfRule type="cellIs" dxfId="1718" priority="53" operator="equal">
      <formula>2</formula>
    </cfRule>
    <cfRule type="cellIs" dxfId="1717" priority="52" operator="equal">
      <formula>1</formula>
    </cfRule>
    <cfRule type="cellIs" dxfId="1716" priority="51" operator="equal">
      <formula>3</formula>
    </cfRule>
  </conditionalFormatting>
  <conditionalFormatting sqref="B74">
    <cfRule type="cellIs" dxfId="1715" priority="16" operator="equal">
      <formula>3</formula>
    </cfRule>
    <cfRule type="cellIs" dxfId="1714" priority="17" operator="equal">
      <formula>1</formula>
    </cfRule>
    <cfRule type="cellIs" dxfId="1713" priority="18" operator="equal">
      <formula>2</formula>
    </cfRule>
  </conditionalFormatting>
  <conditionalFormatting sqref="D10:D12">
    <cfRule type="cellIs" dxfId="1712" priority="60" stopIfTrue="1" operator="greaterThanOrEqual">
      <formula>C10</formula>
    </cfRule>
    <cfRule type="cellIs" dxfId="1711" priority="59" stopIfTrue="1" operator="lessThan">
      <formula>C10</formula>
    </cfRule>
  </conditionalFormatting>
  <conditionalFormatting sqref="E10:E12">
    <cfRule type="cellIs" dxfId="1710" priority="58" stopIfTrue="1" operator="greaterThanOrEqual">
      <formula>0</formula>
    </cfRule>
    <cfRule type="cellIs" dxfId="1709" priority="57" stopIfTrue="1" operator="lessThan">
      <formula>0</formula>
    </cfRule>
  </conditionalFormatting>
  <conditionalFormatting sqref="F19 F22 F24 F26 F29 F31 F33 F36 F38 F40 F43 F45 F47 F50 F52 F54 F57 F59 F61 F64 F66 F68 F71 F73 F75 F78 F80 F82 F85 F87 F89 F92 F94 F96 F99 F101 F103 F106 F108 F110 F113 F115 F117 F120 F122 F124 F127 F129 F131 F134 F136 F138 F141 F143">
    <cfRule type="cellIs" dxfId="1708" priority="68" stopIfTrue="1" operator="greaterThanOrEqual">
      <formula>F18</formula>
    </cfRule>
    <cfRule type="cellIs" dxfId="1707" priority="67" stopIfTrue="1" operator="lessThan">
      <formula>F18</formula>
    </cfRule>
  </conditionalFormatting>
  <conditionalFormatting sqref="G19 G40 G61 G66:G80 G82 G89 G94 G96 G103 G110 G115 G117 G124 G131 G138">
    <cfRule type="cellIs" dxfId="1706" priority="66" operator="lessThan">
      <formula>0</formula>
    </cfRule>
    <cfRule type="cellIs" dxfId="1705" priority="65" operator="greaterThan">
      <formula>0</formula>
    </cfRule>
  </conditionalFormatting>
  <conditionalFormatting sqref="G22 G43 G64 G85 G92 G99 G106 G113 G120 G127 G134 G141">
    <cfRule type="cellIs" dxfId="1704" priority="63" operator="greaterThan">
      <formula>0</formula>
    </cfRule>
    <cfRule type="cellIs" dxfId="1703" priority="64" operator="lessThan">
      <formula>0</formula>
    </cfRule>
  </conditionalFormatting>
  <conditionalFormatting sqref="G24:G38 G45:G59 G87 G101 G108 G122 G129 G136 G143">
    <cfRule type="cellIs" dxfId="1702" priority="61" operator="greaterThan">
      <formula>0</formula>
    </cfRule>
    <cfRule type="cellIs" dxfId="1701" priority="62" operator="lessThan">
      <formula>0</formula>
    </cfRule>
  </conditionalFormatting>
  <conditionalFormatting sqref="H78:O78">
    <cfRule type="cellIs" dxfId="1700" priority="2" operator="lessThan">
      <formula>H77</formula>
    </cfRule>
    <cfRule type="cellIs" dxfId="1699" priority="3" operator="greaterThanOrEqual">
      <formula>H77</formula>
    </cfRule>
    <cfRule type="cellIs" dxfId="1698" priority="4" operator="greaterThanOrEqual">
      <formula>2</formula>
    </cfRule>
    <cfRule type="cellIs" dxfId="1697" priority="5" operator="between">
      <formula>1.6</formula>
      <formula>2</formula>
    </cfRule>
    <cfRule type="cellIs" dxfId="1696" priority="6" operator="greaterThanOrEqual">
      <formula>0.6</formula>
    </cfRule>
    <cfRule type="expression" dxfId="1695" priority="1">
      <formula>H77=""</formula>
    </cfRule>
  </conditionalFormatting>
  <conditionalFormatting sqref="H78:R78 U78:AL78">
    <cfRule type="cellIs" dxfId="1694" priority="9" operator="greaterThanOrEqual">
      <formula>H77</formula>
    </cfRule>
    <cfRule type="cellIs" dxfId="1693" priority="8" operator="lessThan">
      <formula>H77</formula>
    </cfRule>
    <cfRule type="expression" dxfId="1692" priority="7">
      <formula>H77=""</formula>
    </cfRule>
  </conditionalFormatting>
  <conditionalFormatting sqref="H11:AL11 H24:AL24 H52:AL52 H66:AL66 H96 J96:AL96">
    <cfRule type="cellIs" dxfId="1691" priority="35" operator="greaterThanOrEqual">
      <formula>H10</formula>
    </cfRule>
    <cfRule type="expression" dxfId="1690" priority="27">
      <formula>H10=""</formula>
    </cfRule>
    <cfRule type="cellIs" dxfId="1689" priority="28" operator="lessThan">
      <formula>H10</formula>
    </cfRule>
  </conditionalFormatting>
  <conditionalFormatting sqref="H13:AL13 H71:R71 U71:AL71">
    <cfRule type="cellIs" dxfId="1688" priority="31" operator="greaterThanOrEqual">
      <formula>H12</formula>
    </cfRule>
    <cfRule type="expression" dxfId="1687" priority="29">
      <formula>H12=""</formula>
    </cfRule>
    <cfRule type="cellIs" dxfId="1686" priority="30" operator="lessThan">
      <formula>H12</formula>
    </cfRule>
  </conditionalFormatting>
  <conditionalFormatting sqref="H13:AL13 H71:AL71">
    <cfRule type="cellIs" dxfId="1685" priority="32" operator="greaterThanOrEqual">
      <formula>2</formula>
    </cfRule>
    <cfRule type="cellIs" dxfId="1684" priority="33" operator="between">
      <formula>1.6</formula>
      <formula>2</formula>
    </cfRule>
    <cfRule type="cellIs" dxfId="1683" priority="34" operator="greaterThanOrEqual">
      <formula>0.6</formula>
    </cfRule>
  </conditionalFormatting>
  <conditionalFormatting sqref="H15:AL15 H72:AL77 H78:R78 U78:AL78 H11:AL11 H13:AL13 H19:AL19 H22:AL22 H24:AL31 H33:AL33 H36:AL36 H38:AL38 H40:AL40 H43:AL43 H45:AL45 H47:AL47 H50:AL50 H52:AL59 H61:AL61 H64:AL64 H66:AL70 H71:R71 U71:AL71 H79:AL80 H82:AL82 H85:AL85 H87:AL87 H89:AL89 H92:AL92 H94:AL94 H96 J96:AL96 I97 H99:AL99 H101:AL101 H103:AL103 H106:AL106 H108:AL108 H110:AL110 H113:AL113 H115:AL115 H117:AL117 H120:AL120 H122:AL122 H124:AL124 H127:AL127 H129:AL129 H131:AL131 H134:AL134 H136:AL136 H138:AL138 H141:AL141 H143:AL143">
    <cfRule type="expression" dxfId="1682" priority="26">
      <formula>H$9&gt;$C$7</formula>
    </cfRule>
  </conditionalFormatting>
  <conditionalFormatting sqref="H15:AL15">
    <cfRule type="expression" dxfId="1681" priority="23">
      <formula>H14=""</formula>
    </cfRule>
    <cfRule type="cellIs" dxfId="1680" priority="25" operator="greaterThanOrEqual">
      <formula>H14</formula>
    </cfRule>
    <cfRule type="cellIs" dxfId="1679" priority="24" operator="lessThan">
      <formula>H14</formula>
    </cfRule>
  </conditionalFormatting>
  <conditionalFormatting sqref="H19:AL19 H26:AL26 H33:AL33 H40:AL40 H47:AL47 H54:AL54 H61:AL61 H68:AL68 H82:AL82 H89:AL89 H103:AL103 H110:AL110 H117:AL117 H124:AL124 H131:AL131 H138:AL138">
    <cfRule type="cellIs" dxfId="1678" priority="47" operator="greaterThanOrEqual">
      <formula>H18</formula>
    </cfRule>
    <cfRule type="expression" dxfId="1677" priority="45">
      <formula>H18=""</formula>
    </cfRule>
    <cfRule type="cellIs" dxfId="1676" priority="46" operator="lessThan">
      <formula>H18</formula>
    </cfRule>
  </conditionalFormatting>
  <conditionalFormatting sqref="H22:AL22 H29:AL29 H36:AL36 H43:AL43 H50:AL50 H57:AL57 H64:AL64 H85:AL85 H92:AL92 H99:AL99 H106:AL106 H113:AL113 H120:AL120 H127:AL127 H134:AL134 H141:AL141">
    <cfRule type="cellIs" dxfId="1675" priority="41" operator="greaterThanOrEqual">
      <formula>H21</formula>
    </cfRule>
    <cfRule type="cellIs" dxfId="1674" priority="42" operator="greaterThanOrEqual">
      <formula>2</formula>
    </cfRule>
    <cfRule type="cellIs" dxfId="1673" priority="43" operator="between">
      <formula>1.6</formula>
      <formula>2</formula>
    </cfRule>
    <cfRule type="cellIs" dxfId="1672" priority="44" operator="greaterThanOrEqual">
      <formula>0.6</formula>
    </cfRule>
    <cfRule type="cellIs" dxfId="1671" priority="37" operator="lessThan">
      <formula>H21</formula>
    </cfRule>
    <cfRule type="expression" dxfId="1670" priority="36">
      <formula>H21=""</formula>
    </cfRule>
  </conditionalFormatting>
  <conditionalFormatting sqref="H31:AL31 H38:AL38 H45:AL45 H59:AL59 H73:AL73 H80:AL80 H87:AL87 H94:AL94 H101:AL101 H108:AL108 H115:AL115 H122:AL122 H129:AL129 H136:AL136 H143:AL143">
    <cfRule type="cellIs" dxfId="1669" priority="39" operator="lessThan">
      <formula>H30</formula>
    </cfRule>
    <cfRule type="cellIs" dxfId="1668" priority="40" operator="greaterThanOrEqual">
      <formula>H30</formula>
    </cfRule>
    <cfRule type="expression" dxfId="1667" priority="38">
      <formula>H30=""</formula>
    </cfRule>
  </conditionalFormatting>
  <conditionalFormatting sqref="H75:AL75">
    <cfRule type="cellIs" dxfId="1666" priority="15" operator="greaterThanOrEqual">
      <formula>H74</formula>
    </cfRule>
    <cfRule type="cellIs" dxfId="1665" priority="14" operator="lessThan">
      <formula>H74</formula>
    </cfRule>
    <cfRule type="expression" dxfId="1664" priority="13">
      <formula>H74=""</formula>
    </cfRule>
  </conditionalFormatting>
  <conditionalFormatting sqref="H78:AL78">
    <cfRule type="cellIs" dxfId="1663" priority="12" operator="greaterThanOrEqual">
      <formula>0.6</formula>
    </cfRule>
    <cfRule type="cellIs" dxfId="1662" priority="11" operator="between">
      <formula>1.6</formula>
      <formula>2</formula>
    </cfRule>
    <cfRule type="cellIs" dxfId="1661" priority="10" operator="greaterThanOrEqual">
      <formula>2</formula>
    </cfRule>
  </conditionalFormatting>
  <conditionalFormatting sqref="I97">
    <cfRule type="expression" dxfId="1660" priority="69">
      <formula>I95=""</formula>
    </cfRule>
    <cfRule type="cellIs" dxfId="1659" priority="70" operator="lessThan">
      <formula>I95</formula>
    </cfRule>
    <cfRule type="cellIs" dxfId="1658" priority="71" operator="greaterThanOrEqual">
      <formula>I95</formula>
    </cfRule>
  </conditionalFormatting>
  <conditionalFormatting sqref="S71:T71">
    <cfRule type="expression" dxfId="1657" priority="72">
      <formula>T$9&gt;$C$7</formula>
    </cfRule>
    <cfRule type="expression" dxfId="1656" priority="73">
      <formula>T70=""</formula>
    </cfRule>
    <cfRule type="cellIs" dxfId="1655" priority="74" operator="lessThan">
      <formula>T70</formula>
    </cfRule>
    <cfRule type="cellIs" dxfId="1654" priority="75" operator="greaterThanOrEqual">
      <formula>T70</formula>
    </cfRule>
  </conditionalFormatting>
  <conditionalFormatting sqref="S78:T78">
    <cfRule type="cellIs" dxfId="1653" priority="22" operator="greaterThanOrEqual">
      <formula>T77</formula>
    </cfRule>
    <cfRule type="cellIs" dxfId="1652" priority="21" operator="lessThan">
      <formula>T77</formula>
    </cfRule>
    <cfRule type="expression" dxfId="1651" priority="20">
      <formula>T77=""</formula>
    </cfRule>
    <cfRule type="expression" dxfId="1650" priority="19">
      <formula>T$9&gt;$C$7</formula>
    </cfRule>
  </conditionalFormatting>
  <pageMargins left="0.7" right="0.7" top="0.75" bottom="0.75" header="0.3" footer="0.3"/>
  <pageSetup scale="35"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8231A-3A09-4989-A31E-55CB1C583A94}">
  <dimension ref="A1:AM122"/>
  <sheetViews>
    <sheetView showGridLines="0" zoomScale="87" zoomScaleNormal="100" workbookViewId="0">
      <pane xSplit="7" ySplit="17" topLeftCell="Q112" activePane="bottomRight" state="frozen"/>
      <selection pane="topRight" activeCell="H1" sqref="H1"/>
      <selection pane="bottomLeft" activeCell="A18" sqref="A18"/>
      <selection pane="bottomRight" activeCell="Q20" sqref="Q20"/>
    </sheetView>
  </sheetViews>
  <sheetFormatPr defaultColWidth="9.42578125" defaultRowHeight="13.5" x14ac:dyDescent="0.25"/>
  <cols>
    <col min="1" max="1" width="4" style="1073" customWidth="1"/>
    <col min="2" max="2" width="11" style="1081" customWidth="1"/>
    <col min="3" max="3" width="14.7109375" style="1082" customWidth="1"/>
    <col min="4" max="4" width="11.42578125" style="1082" customWidth="1"/>
    <col min="5" max="5" width="10.42578125" style="1073" customWidth="1"/>
    <col min="6" max="7" width="9.140625" style="1073" customWidth="1"/>
    <col min="8" max="8" width="7.42578125" style="1083" customWidth="1"/>
    <col min="9" max="9" width="7.42578125" style="1073" customWidth="1"/>
    <col min="10" max="12" width="7.42578125" style="1082" customWidth="1"/>
    <col min="13" max="13" width="7.42578125" style="1084" customWidth="1"/>
    <col min="14" max="15" width="7.42578125" style="1085" customWidth="1"/>
    <col min="16" max="38" width="7.42578125" style="1073" customWidth="1"/>
    <col min="39" max="39" width="30" style="1073" customWidth="1"/>
    <col min="40" max="16384" width="9.42578125" style="1073"/>
  </cols>
  <sheetData>
    <row r="1" spans="2:38" s="1022" customFormat="1" ht="14.25" thickBot="1" x14ac:dyDescent="0.3">
      <c r="B1" s="1020"/>
      <c r="C1" s="1021"/>
      <c r="D1" s="1021"/>
      <c r="H1" s="1023"/>
      <c r="J1" s="1021"/>
      <c r="K1" s="1021"/>
      <c r="L1" s="1021"/>
      <c r="M1" s="1024"/>
      <c r="N1" s="1025"/>
      <c r="O1" s="1025"/>
    </row>
    <row r="2" spans="2:38" s="1022" customFormat="1" ht="15.75" thickBot="1" x14ac:dyDescent="0.3">
      <c r="B2" s="1026" t="s">
        <v>221</v>
      </c>
      <c r="D2" s="1020"/>
      <c r="E2" s="1027"/>
      <c r="F2" s="1027"/>
      <c r="G2" s="1020"/>
      <c r="H2" s="1647" t="s">
        <v>310</v>
      </c>
      <c r="I2" s="1648"/>
      <c r="K2" s="1647" t="s">
        <v>311</v>
      </c>
      <c r="L2" s="1649"/>
      <c r="M2" s="1649"/>
      <c r="N2" s="1648"/>
      <c r="O2" s="1025"/>
      <c r="P2" s="1028" t="s">
        <v>312</v>
      </c>
      <c r="Q2" s="1029"/>
      <c r="R2" s="1029"/>
      <c r="S2" s="1029"/>
      <c r="T2" s="1030"/>
    </row>
    <row r="3" spans="2:38" s="1022" customFormat="1" ht="15" x14ac:dyDescent="0.25">
      <c r="B3" s="1031" t="s">
        <v>313</v>
      </c>
      <c r="D3" s="1032"/>
      <c r="E3" s="1033"/>
      <c r="F3" s="1027"/>
      <c r="G3" s="1020"/>
      <c r="H3" s="1650" t="s">
        <v>314</v>
      </c>
      <c r="I3" s="1651"/>
      <c r="K3" s="1673" t="s">
        <v>315</v>
      </c>
      <c r="L3" s="1674"/>
      <c r="M3" s="1674"/>
      <c r="N3" s="1675"/>
      <c r="O3" s="1025"/>
      <c r="P3" s="1034" t="s">
        <v>350</v>
      </c>
      <c r="Q3" s="1035"/>
      <c r="R3" s="1035"/>
      <c r="S3" s="1035"/>
      <c r="T3" s="1036"/>
    </row>
    <row r="4" spans="2:38" s="1022" customFormat="1" ht="14.25" thickBot="1" x14ac:dyDescent="0.3">
      <c r="B4" s="1037" t="s">
        <v>351</v>
      </c>
      <c r="D4" s="1038"/>
      <c r="E4" s="1033"/>
      <c r="F4" s="1027"/>
      <c r="G4" s="1020"/>
      <c r="H4" s="1655" t="s">
        <v>318</v>
      </c>
      <c r="I4" s="1656"/>
      <c r="K4" s="1657" t="s">
        <v>319</v>
      </c>
      <c r="L4" s="1658"/>
      <c r="M4" s="1658"/>
      <c r="N4" s="1659"/>
      <c r="O4" s="1025"/>
      <c r="P4" s="681" t="s">
        <v>352</v>
      </c>
      <c r="T4" s="1039"/>
    </row>
    <row r="5" spans="2:38" s="1022" customFormat="1" x14ac:dyDescent="0.25">
      <c r="B5" s="1040"/>
      <c r="D5" s="1038"/>
      <c r="E5" s="1033"/>
      <c r="F5" s="1027"/>
      <c r="G5" s="1041"/>
      <c r="K5" s="1640" t="s">
        <v>321</v>
      </c>
      <c r="L5" s="1641"/>
      <c r="M5" s="1641"/>
      <c r="N5" s="1642"/>
      <c r="O5" s="1025"/>
      <c r="P5" s="681" t="s">
        <v>353</v>
      </c>
      <c r="T5" s="1039"/>
    </row>
    <row r="6" spans="2:38" s="1022" customFormat="1" ht="14.25" thickBot="1" x14ac:dyDescent="0.3">
      <c r="B6" s="1042" t="s">
        <v>323</v>
      </c>
      <c r="C6" s="1043">
        <f>[1]SUMMARY!$C$6</f>
        <v>45839</v>
      </c>
      <c r="D6" s="1038"/>
      <c r="E6" s="1033"/>
      <c r="F6" s="1027"/>
      <c r="G6" s="1041"/>
      <c r="K6" s="1643" t="s">
        <v>324</v>
      </c>
      <c r="L6" s="1644"/>
      <c r="M6" s="1644"/>
      <c r="N6" s="1645"/>
      <c r="O6" s="1025"/>
      <c r="P6" s="1044" t="s">
        <v>354</v>
      </c>
      <c r="T6" s="1039"/>
    </row>
    <row r="7" spans="2:38" s="1022" customFormat="1" ht="14.25" thickBot="1" x14ac:dyDescent="0.3">
      <c r="B7" s="1042" t="s">
        <v>326</v>
      </c>
      <c r="C7" s="1045">
        <f>[1]SUMMARY!$C$7</f>
        <v>16</v>
      </c>
      <c r="D7" s="1038"/>
      <c r="E7" s="1033"/>
      <c r="F7" s="1027"/>
      <c r="G7" s="1041"/>
      <c r="H7" s="1020"/>
      <c r="I7" s="1020"/>
      <c r="P7" s="683" t="s">
        <v>355</v>
      </c>
      <c r="Q7" s="1046"/>
      <c r="R7" s="1046"/>
      <c r="S7" s="1046"/>
      <c r="T7" s="1047"/>
    </row>
    <row r="8" spans="2:38" s="1022" customFormat="1" ht="14.25" thickBot="1" x14ac:dyDescent="0.3">
      <c r="B8" s="1042"/>
      <c r="C8" s="1042"/>
      <c r="D8" s="1042"/>
      <c r="E8" s="1033"/>
      <c r="F8" s="1027"/>
      <c r="G8" s="1041"/>
      <c r="H8" s="1020"/>
      <c r="I8" s="1020"/>
    </row>
    <row r="9" spans="2:38" s="1020" customFormat="1" ht="14.25" thickBot="1" x14ac:dyDescent="0.3">
      <c r="B9" s="1048" t="s">
        <v>269</v>
      </c>
      <c r="C9" s="1049" t="s">
        <v>303</v>
      </c>
      <c r="D9" s="1050" t="s">
        <v>32</v>
      </c>
      <c r="E9" s="1051" t="s">
        <v>262</v>
      </c>
      <c r="G9" s="263" t="s">
        <v>328</v>
      </c>
      <c r="H9" s="1052">
        <v>1</v>
      </c>
      <c r="I9" s="1053">
        <v>2</v>
      </c>
      <c r="J9" s="1053">
        <v>3</v>
      </c>
      <c r="K9" s="1053">
        <v>4</v>
      </c>
      <c r="L9" s="1053">
        <v>5</v>
      </c>
      <c r="M9" s="1053">
        <v>6</v>
      </c>
      <c r="N9" s="1053">
        <v>7</v>
      </c>
      <c r="O9" s="1053">
        <v>8</v>
      </c>
      <c r="P9" s="1053">
        <v>9</v>
      </c>
      <c r="Q9" s="1053">
        <v>10</v>
      </c>
      <c r="R9" s="1053">
        <v>11</v>
      </c>
      <c r="S9" s="1053">
        <v>12</v>
      </c>
      <c r="T9" s="1053">
        <v>13</v>
      </c>
      <c r="U9" s="1053">
        <v>14</v>
      </c>
      <c r="V9" s="1053">
        <v>15</v>
      </c>
      <c r="W9" s="1053">
        <v>16</v>
      </c>
      <c r="X9" s="1053">
        <v>17</v>
      </c>
      <c r="Y9" s="1053">
        <v>18</v>
      </c>
      <c r="Z9" s="1053">
        <v>19</v>
      </c>
      <c r="AA9" s="1053">
        <v>20</v>
      </c>
      <c r="AB9" s="1053">
        <v>21</v>
      </c>
      <c r="AC9" s="1053">
        <v>22</v>
      </c>
      <c r="AD9" s="1053">
        <v>23</v>
      </c>
      <c r="AE9" s="1053">
        <v>24</v>
      </c>
      <c r="AF9" s="1053">
        <v>25</v>
      </c>
      <c r="AG9" s="1053">
        <v>26</v>
      </c>
      <c r="AH9" s="1053">
        <v>27</v>
      </c>
      <c r="AI9" s="1053">
        <v>28</v>
      </c>
      <c r="AJ9" s="1053">
        <v>29</v>
      </c>
      <c r="AK9" s="1053">
        <v>30</v>
      </c>
      <c r="AL9" s="1054">
        <v>31</v>
      </c>
    </row>
    <row r="10" spans="2:38" s="1022" customFormat="1" x14ac:dyDescent="0.25">
      <c r="B10" s="1055" t="s">
        <v>356</v>
      </c>
      <c r="C10" s="269">
        <f>SUM(H10:AL10)</f>
        <v>14841.48</v>
      </c>
      <c r="D10" s="270">
        <f>SUM(H11:AL11)</f>
        <v>13013.2</v>
      </c>
      <c r="E10" s="271">
        <f>IFERROR((D10-C10)/C10,0)</f>
        <v>-0.12318717540299208</v>
      </c>
      <c r="F10" s="1056"/>
      <c r="G10" s="272" t="s">
        <v>330</v>
      </c>
      <c r="H10" s="273">
        <f>IF(H$9&gt;$C$7,"",SUMIF($E$18:$E307,"Budget (t)",H$18:H307))</f>
        <v>910</v>
      </c>
      <c r="I10" s="686">
        <f>IF(I$9&gt;$C$7,"",SUMIF($E$18:$E307,"Budget (t)",I$18:I307))</f>
        <v>910</v>
      </c>
      <c r="J10" s="274">
        <f>IF(J$9&gt;$C$7,"",SUMIF($E$18:$E307,"Budget (t)",J$18:J307))</f>
        <v>910</v>
      </c>
      <c r="K10" s="274">
        <f>IF(K$9&gt;$C$7,"",SUMIF($E$18:$E307,"Budget (t)",K$18:K307))</f>
        <v>911.48</v>
      </c>
      <c r="L10" s="274">
        <f>IF(L$9&gt;$C$7,"",SUMIF($E$18:$E307,"Budget (t)",L$18:L307))</f>
        <v>910</v>
      </c>
      <c r="M10" s="274">
        <f>IF(M$9&gt;$C$7,"",SUMIF($E$18:$E307,"Budget (t)",M$18:M307))</f>
        <v>910</v>
      </c>
      <c r="N10" s="274">
        <f>IF(N$9&gt;$C$7,"",SUMIF($E$18:$E307,"Budget (t)",N$18:N307))</f>
        <v>910</v>
      </c>
      <c r="O10" s="274">
        <f>IF(O$9&gt;$C$7,"",SUMIF($E$18:$E307,"Budget (t)",O$18:O307))</f>
        <v>910</v>
      </c>
      <c r="P10" s="274">
        <f>IF(P$9&gt;$C$7,"",SUMIF($E$18:$E307,"Budget (t)",P$18:P307))</f>
        <v>910</v>
      </c>
      <c r="Q10" s="686">
        <f>IF(Q$9&gt;$C$7,"",SUMIF($E$18:$E307,"Budget (t)",Q$18:Q307))</f>
        <v>910</v>
      </c>
      <c r="R10" s="686">
        <f>IF(R$9&gt;$C$7,"",SUMIF($E$18:$E307,"Budget (t)",R$18:R307))</f>
        <v>910</v>
      </c>
      <c r="S10" s="686">
        <f>IF(S$9&gt;$C$7,"",SUMIF($E$18:$E307,"Budget (t)",S$18:S307))</f>
        <v>910</v>
      </c>
      <c r="T10" s="686">
        <f>IF(T$9&gt;$C$7,"",SUMIF($E$18:$E307,"Budget (t)",T$18:T307))</f>
        <v>980</v>
      </c>
      <c r="U10" s="686">
        <f>IF(U$9&gt;$C$7,"",SUMIF($E$18:$E307,"Budget (t)",U$18:U307))</f>
        <v>980</v>
      </c>
      <c r="V10" s="686">
        <f>IF(V$9&gt;$C$7,"",SUMIF($E$18:$E307,"Budget (t)",V$18:V307))</f>
        <v>980</v>
      </c>
      <c r="W10" s="686">
        <f>IF(W$9&gt;$C$7,"",SUMIF($E$18:$E307,"Budget (t)",W$18:W307))</f>
        <v>980</v>
      </c>
      <c r="X10" s="686" t="str">
        <f>IF(X$9&gt;$C$7,"",SUMIF($E$18:$E307,"Budget (t)",X$18:X307))</f>
        <v/>
      </c>
      <c r="Y10" s="686" t="str">
        <f>IF(Y$9&gt;$C$7,"",SUMIF($E$18:$E307,"Budget (t)",Y$18:Y307))</f>
        <v/>
      </c>
      <c r="Z10" s="686" t="str">
        <f>IF(Z$9&gt;$C$7,"",SUMIF($E$18:$E307,"Budget (t)",Z$18:Z307))</f>
        <v/>
      </c>
      <c r="AA10" s="686" t="str">
        <f>IF(AA$9&gt;$C$7,"",SUMIF($E$18:$E307,"Budget (t)",AA$18:AA307))</f>
        <v/>
      </c>
      <c r="AB10" s="686" t="str">
        <f>IF(AB$9&gt;$C$7,"",SUMIF($E$18:$E307,"Budget (t)",AB$18:AB307))</f>
        <v/>
      </c>
      <c r="AC10" s="686" t="str">
        <f>IF(AC$9&gt;$C$7,"",SUMIF($E$18:$E307,"Budget (t)",AC$18:AC307))</f>
        <v/>
      </c>
      <c r="AD10" s="687" t="str">
        <f>IF(AD$9&gt;$C$7,"",SUMIF($E$18:$E307,"Budget (t)",AD$18:AD307))</f>
        <v/>
      </c>
      <c r="AE10" s="687" t="str">
        <f>IF(AE$9&gt;$C$7,"",SUMIF($E$18:$E307,"Budget (t)",AE$18:AE307))</f>
        <v/>
      </c>
      <c r="AF10" s="687" t="str">
        <f>IF(AF$9&gt;$C$7,"",SUMIF($E$18:$E307,"Budget (t)",AF$18:AF307))</f>
        <v/>
      </c>
      <c r="AG10" s="687" t="str">
        <f>IF(AG$9&gt;$C$7,"",SUMIF($E$18:$E307,"Budget (t)",AG$18:AG307))</f>
        <v/>
      </c>
      <c r="AH10" s="687" t="str">
        <f>IF(AH$9&gt;$C$7,"",SUMIF($E$18:$E307,"Budget (t)",AH$18:AH307))</f>
        <v/>
      </c>
      <c r="AI10" s="687" t="str">
        <f>IF(AI$9&gt;$C$7,"",SUMIF($E$18:$E307,"Budget (t)",AI$18:AI307))</f>
        <v/>
      </c>
      <c r="AJ10" s="687" t="str">
        <f>IF(AJ$9&gt;$C$7,"",SUMIF($E$18:$E307,"Budget (t)",AJ$18:AJ307))</f>
        <v/>
      </c>
      <c r="AK10" s="687" t="str">
        <f>IF(AK$9&gt;$C$7,"",SUMIF($E$18:$E307,"Budget (t)",AK$18:AK307))</f>
        <v/>
      </c>
      <c r="AL10" s="688" t="str">
        <f>IF(AL$9&gt;$C$7,"",SUMIF($E$18:$E307,"Budget (t)",AL$18:AL307))</f>
        <v/>
      </c>
    </row>
    <row r="11" spans="2:38" s="1057" customFormat="1" ht="14.25" thickBot="1" x14ac:dyDescent="0.3">
      <c r="B11" s="1336" t="s">
        <v>2</v>
      </c>
      <c r="C11" s="1337">
        <f>IFERROR(C12*1000/C10,0)</f>
        <v>2.2121228859987987</v>
      </c>
      <c r="D11" s="786">
        <f>IFERROR(D12*1000/D10,0)</f>
        <v>2.27105792579842</v>
      </c>
      <c r="E11" s="1548">
        <f t="shared" ref="E11" si="0">IFERROR((D11-C11)/C11,0)</f>
        <v>2.6641847147208322E-2</v>
      </c>
      <c r="G11" s="263" t="s">
        <v>331</v>
      </c>
      <c r="H11" s="1289">
        <f>IF(H$9&gt;$C$7,"",SUMIF($E$18:$E307,"Actual (t)",H$18:H307))</f>
        <v>765</v>
      </c>
      <c r="I11" s="1338">
        <f>IF(I$9&gt;$C$7,"",SUMIF($E$18:$E307,"Actual (t)",I$18:I307))</f>
        <v>896</v>
      </c>
      <c r="J11" s="1339">
        <f>IF(J$9&gt;$C$7,"",SUMIF($E$18:$E307,"Actual (t)",J$18:J307))</f>
        <v>975.19999999999993</v>
      </c>
      <c r="K11" s="1339">
        <f>IF(K$9&gt;$C$7,"",SUMIF($E$18:$E307,"Actual (t)",K$18:K307))</f>
        <v>645</v>
      </c>
      <c r="L11" s="1339">
        <f>IF(L$9&gt;$C$7,"",SUMIF($E$18:$E307,"Actual (t)",L$18:L307))</f>
        <v>744.5</v>
      </c>
      <c r="M11" s="1339">
        <f>IF(M$9&gt;$C$7,"",SUMIF($E$18:$E307,"Actual (t)",M$18:M307))</f>
        <v>899</v>
      </c>
      <c r="N11" s="1339">
        <f>IF(N$9&gt;$C$7,"",SUMIF($E$18:$E307,"Actual (t)",N$18:N307))</f>
        <v>843</v>
      </c>
      <c r="O11" s="1339">
        <f>IF(O$9&gt;$C$7,"",SUMIF($E$18:$E307,"Actual (t)",O$18:O307))</f>
        <v>633</v>
      </c>
      <c r="P11" s="1339">
        <f>IF(P$9&gt;$C$7,"",SUMIF($E$18:$E307,"Actual (t)",P$18:P307))</f>
        <v>705</v>
      </c>
      <c r="Q11" s="1339">
        <f>IF(Q$9&gt;$C$7,"",SUMIF($E$18:$E307,"Actual (t)",Q$18:Q307))</f>
        <v>870</v>
      </c>
      <c r="R11" s="1339">
        <f>IF(R$9&gt;$C$7,"",SUMIF($E$18:$E307,"Actual (t)",R$18:R307))</f>
        <v>817</v>
      </c>
      <c r="S11" s="1339">
        <f>IF(S$9&gt;$C$7,"",SUMIF($E$18:$E307,"Actual (t)",S$18:S307))</f>
        <v>976</v>
      </c>
      <c r="T11" s="1339">
        <f>IF(T$9&gt;$C$7,"",SUMIF($E$18:$E307,"Actual (t)",T$18:T307))</f>
        <v>1005</v>
      </c>
      <c r="U11" s="1339">
        <f>IF(U$9&gt;$C$7,"",SUMIF($E$18:$E307,"Actual (t)",U$18:U307))</f>
        <v>887</v>
      </c>
      <c r="V11" s="1339">
        <f>IF(V$9&gt;$C$7,"",SUMIF($E$18:$E307,"Actual (t)",V$18:V307))</f>
        <v>808.5</v>
      </c>
      <c r="W11" s="1339">
        <f>IF(W$9&gt;$C$7,"",SUMIF($E$18:$E307,"Actual (t)",W$18:W307))</f>
        <v>544</v>
      </c>
      <c r="X11" s="1339" t="str">
        <f>IF(X$9&gt;$C$7,"",SUMIF($E$18:$E307,"Actual (t)",X$18:X307))</f>
        <v/>
      </c>
      <c r="Y11" s="1339" t="str">
        <f>IF(Y$9&gt;$C$7,"",SUMIF($E$18:$E307,"Actual (t)",Y$18:Y307))</f>
        <v/>
      </c>
      <c r="Z11" s="1339" t="str">
        <f>IF(Z$9&gt;$C$7,"",SUMIF($E$18:$E307,"Actual (t)",Z$18:Z307))</f>
        <v/>
      </c>
      <c r="AA11" s="1339" t="str">
        <f>IF(AA$9&gt;$C$7,"",SUMIF($E$18:$E307,"Actual (t)",AA$18:AA307))</f>
        <v/>
      </c>
      <c r="AB11" s="1339" t="str">
        <f>IF(AB$9&gt;$C$7,"",SUMIF($E$18:$E307,"Actual (t)",AB$18:AB307))</f>
        <v/>
      </c>
      <c r="AC11" s="1339" t="str">
        <f>IF(AC$9&gt;$C$7,"",SUMIF($E$18:$E307,"Actual (t)",AC$18:AC307))</f>
        <v/>
      </c>
      <c r="AD11" s="1339" t="str">
        <f>IF(AD$9&gt;$C$7,"",SUMIF($E$18:$E307,"Actual (t)",AD$18:AD307))</f>
        <v/>
      </c>
      <c r="AE11" s="1339" t="str">
        <f>IF(AE$9&gt;$C$7,"",SUMIF($E$18:$E307,"Actual (t)",AE$18:AE307))</f>
        <v/>
      </c>
      <c r="AF11" s="1339" t="str">
        <f>IF(AF$9&gt;$C$7,"",SUMIF($E$18:$E307,"Actual (t)",AF$18:AF307))</f>
        <v/>
      </c>
      <c r="AG11" s="1339" t="str">
        <f>IF(AG$9&gt;$C$7,"",SUMIF($E$18:$E307,"Actual (t)",AG$18:AG307))</f>
        <v/>
      </c>
      <c r="AH11" s="1339" t="str">
        <f>IF(AH$9&gt;$C$7,"",SUMIF($E$18:$E307,"Actual (t)",AH$18:AH307))</f>
        <v/>
      </c>
      <c r="AI11" s="1339" t="str">
        <f>IF(AI$9&gt;$C$7,"",SUMIF($E$18:$E307,"Actual (t)",AI$18:AI307))</f>
        <v/>
      </c>
      <c r="AJ11" s="1339" t="str">
        <f>IF(AJ$9&gt;$C$7,"",SUMIF($E$18:$E307,"Actual (t)",AJ$18:AJ307))</f>
        <v/>
      </c>
      <c r="AK11" s="1339" t="str">
        <f>IF(AK$9&gt;$C$7,"",SUMIF($E$18:$E307,"Actual (t)",AK$18:AK307))</f>
        <v/>
      </c>
      <c r="AL11" s="1340" t="str">
        <f>IF(AL$9&gt;$C$7,"",SUMIF($E$18:$E307,"Actual (t)",AL$18:AL307))</f>
        <v/>
      </c>
    </row>
    <row r="12" spans="2:38" s="190" customFormat="1" ht="15" customHeight="1" thickBot="1" x14ac:dyDescent="0.3">
      <c r="B12" s="1292" t="s">
        <v>3</v>
      </c>
      <c r="C12" s="1293">
        <f>SUM(H14:AL14)</f>
        <v>32.831177570093452</v>
      </c>
      <c r="D12" s="1294">
        <f>SUM(H15:AL15)</f>
        <v>29.553730999999999</v>
      </c>
      <c r="E12" s="1295">
        <f>IFERROR((D12-C12)/C12,0)</f>
        <v>-9.9827262153366736E-2</v>
      </c>
      <c r="G12" s="272" t="s">
        <v>332</v>
      </c>
      <c r="H12" s="689">
        <f t="shared" ref="H12:AL13" si="1">IFERROR(H14*1000/H10,"")</f>
        <v>2.1143421998562184</v>
      </c>
      <c r="I12" s="690">
        <f t="shared" si="1"/>
        <v>2.2487778576563615</v>
      </c>
      <c r="J12" s="690">
        <f t="shared" si="1"/>
        <v>2.2487778576563615</v>
      </c>
      <c r="K12" s="690">
        <f t="shared" si="1"/>
        <v>2.1048082834572424</v>
      </c>
      <c r="L12" s="690">
        <f t="shared" si="1"/>
        <v>2.2487778576563615</v>
      </c>
      <c r="M12" s="690">
        <f t="shared" si="1"/>
        <v>2.2487778576563615</v>
      </c>
      <c r="N12" s="691">
        <f t="shared" si="1"/>
        <v>2.2487778576563615</v>
      </c>
      <c r="O12" s="691">
        <f t="shared" si="1"/>
        <v>2.2487778576563615</v>
      </c>
      <c r="P12" s="691">
        <f t="shared" si="1"/>
        <v>2.10823148813803</v>
      </c>
      <c r="Q12" s="690">
        <f t="shared" si="1"/>
        <v>2.2487778576563615</v>
      </c>
      <c r="R12" s="690">
        <f t="shared" si="1"/>
        <v>2.2487778576563615</v>
      </c>
      <c r="S12" s="690">
        <f t="shared" si="1"/>
        <v>2.2487778576563615</v>
      </c>
      <c r="T12" s="690">
        <f t="shared" si="1"/>
        <v>2.2073097463284377</v>
      </c>
      <c r="U12" s="690">
        <f t="shared" si="1"/>
        <v>2.2073097463284377</v>
      </c>
      <c r="V12" s="690">
        <f t="shared" si="1"/>
        <v>2.2073097463284377</v>
      </c>
      <c r="W12" s="690">
        <f t="shared" si="1"/>
        <v>2.2073097463284377</v>
      </c>
      <c r="X12" s="690" t="str">
        <f>IFERROR(X14*1000/X10,"")</f>
        <v/>
      </c>
      <c r="Y12" s="690" t="str">
        <f t="shared" si="1"/>
        <v/>
      </c>
      <c r="Z12" s="690" t="str">
        <f t="shared" si="1"/>
        <v/>
      </c>
      <c r="AA12" s="690" t="str">
        <f t="shared" si="1"/>
        <v/>
      </c>
      <c r="AB12" s="690" t="str">
        <f t="shared" si="1"/>
        <v/>
      </c>
      <c r="AC12" s="690" t="str">
        <f t="shared" si="1"/>
        <v/>
      </c>
      <c r="AD12" s="692" t="str">
        <f t="shared" si="1"/>
        <v/>
      </c>
      <c r="AE12" s="692" t="str">
        <f t="shared" si="1"/>
        <v/>
      </c>
      <c r="AF12" s="692" t="str">
        <f t="shared" si="1"/>
        <v/>
      </c>
      <c r="AG12" s="692" t="str">
        <f t="shared" si="1"/>
        <v/>
      </c>
      <c r="AH12" s="692" t="str">
        <f t="shared" si="1"/>
        <v/>
      </c>
      <c r="AI12" s="692" t="str">
        <f t="shared" si="1"/>
        <v/>
      </c>
      <c r="AJ12" s="692" t="str">
        <f t="shared" si="1"/>
        <v/>
      </c>
      <c r="AK12" s="692" t="str">
        <f t="shared" si="1"/>
        <v/>
      </c>
      <c r="AL12" s="693" t="str">
        <f t="shared" si="1"/>
        <v/>
      </c>
    </row>
    <row r="13" spans="2:38" s="191" customFormat="1" ht="15" customHeight="1" thickBot="1" x14ac:dyDescent="0.3">
      <c r="G13" s="282" t="s">
        <v>333</v>
      </c>
      <c r="H13" s="1341">
        <f t="shared" si="1"/>
        <v>1.7488235294117647</v>
      </c>
      <c r="I13" s="1342">
        <f t="shared" si="1"/>
        <v>2.1487388392857141</v>
      </c>
      <c r="J13" s="1300">
        <f t="shared" si="1"/>
        <v>2.1187510254306812</v>
      </c>
      <c r="K13" s="1300">
        <f t="shared" si="1"/>
        <v>1.9683255813953491</v>
      </c>
      <c r="L13" s="1300">
        <f t="shared" si="1"/>
        <v>1.9166084620550707</v>
      </c>
      <c r="M13" s="1300">
        <f t="shared" si="1"/>
        <v>2.1875639599555061</v>
      </c>
      <c r="N13" s="1300">
        <f t="shared" si="1"/>
        <v>2.068932384341637</v>
      </c>
      <c r="O13" s="1300">
        <f t="shared" si="1"/>
        <v>2.9110900473933645</v>
      </c>
      <c r="P13" s="1300">
        <f t="shared" si="1"/>
        <v>2.885163120567376</v>
      </c>
      <c r="Q13" s="1300">
        <f t="shared" si="1"/>
        <v>2.8119885057471268</v>
      </c>
      <c r="R13" s="1300">
        <f t="shared" si="1"/>
        <v>3.2439657282741741</v>
      </c>
      <c r="S13" s="1300">
        <f t="shared" si="1"/>
        <v>2.7976434426229506</v>
      </c>
      <c r="T13" s="1300">
        <f t="shared" si="1"/>
        <v>2.336686567164179</v>
      </c>
      <c r="U13" s="1300">
        <f t="shared" si="1"/>
        <v>2.3077395715896283</v>
      </c>
      <c r="V13" s="1300">
        <f t="shared" si="1"/>
        <v>2.1247309833024115</v>
      </c>
      <c r="W13" s="1300">
        <f t="shared" si="1"/>
        <v>0</v>
      </c>
      <c r="X13" s="1300" t="str">
        <f>IFERROR(X15*1000/X11,"")</f>
        <v/>
      </c>
      <c r="Y13" s="1300" t="str">
        <f t="shared" si="1"/>
        <v/>
      </c>
      <c r="Z13" s="1300" t="str">
        <f t="shared" si="1"/>
        <v/>
      </c>
      <c r="AA13" s="1300" t="str">
        <f t="shared" si="1"/>
        <v/>
      </c>
      <c r="AB13" s="1300" t="str">
        <f t="shared" si="1"/>
        <v/>
      </c>
      <c r="AC13" s="1300" t="str">
        <f t="shared" si="1"/>
        <v/>
      </c>
      <c r="AD13" s="1300" t="str">
        <f t="shared" si="1"/>
        <v/>
      </c>
      <c r="AE13" s="1300" t="str">
        <f t="shared" si="1"/>
        <v/>
      </c>
      <c r="AF13" s="1300" t="str">
        <f t="shared" si="1"/>
        <v/>
      </c>
      <c r="AG13" s="1300" t="str">
        <f t="shared" si="1"/>
        <v/>
      </c>
      <c r="AH13" s="1300" t="str">
        <f t="shared" si="1"/>
        <v/>
      </c>
      <c r="AI13" s="1300" t="str">
        <f t="shared" si="1"/>
        <v/>
      </c>
      <c r="AJ13" s="1300" t="str">
        <f t="shared" si="1"/>
        <v/>
      </c>
      <c r="AK13" s="1300" t="str">
        <f t="shared" si="1"/>
        <v/>
      </c>
      <c r="AL13" s="1343" t="str">
        <f t="shared" si="1"/>
        <v/>
      </c>
    </row>
    <row r="14" spans="2:38" s="192" customFormat="1" x14ac:dyDescent="0.25">
      <c r="B14" s="694"/>
      <c r="G14" s="283" t="s">
        <v>334</v>
      </c>
      <c r="H14" s="284">
        <f>IF(H$9&gt;$C$7,"",SUMIF($E$18:$E307,"Budget (kg)",H$18:H307))</f>
        <v>1.9240514018691586</v>
      </c>
      <c r="I14" s="695">
        <f>IF(I$9&gt;$C$7,"",SUMIF($E$18:$E307,"Budget (kg)",I$18:I307))</f>
        <v>2.0463878504672892</v>
      </c>
      <c r="J14" s="285">
        <f>IF(J$9&gt;$C$7,"",SUMIF($E$18:$E307,"Budget (kg)",J$18:J307))</f>
        <v>2.0463878504672892</v>
      </c>
      <c r="K14" s="285">
        <f>IF(K$9&gt;$C$7,"",SUMIF($E$18:$E307,"Budget (kg)",K$18:K307))</f>
        <v>1.918490654205607</v>
      </c>
      <c r="L14" s="285">
        <f>IF(L$9&gt;$C$7,"",SUMIF($E$18:$E307,"Budget (kg)",L$18:L307))</f>
        <v>2.0463878504672892</v>
      </c>
      <c r="M14" s="285">
        <f>IF(M$9&gt;$C$7,"",SUMIF($E$18:$E307,"Budget (kg)",M$18:M307))</f>
        <v>2.0463878504672892</v>
      </c>
      <c r="N14" s="285">
        <f>IF(N$9&gt;$C$7,"",SUMIF($E$18:$E307,"Budget (kg)",N$18:N307))</f>
        <v>2.0463878504672892</v>
      </c>
      <c r="O14" s="285">
        <f>IF(O$9&gt;$C$7,"",SUMIF($E$18:$E307,"Budget (kg)",O$18:O307))</f>
        <v>2.0463878504672892</v>
      </c>
      <c r="P14" s="285">
        <f>IF(P$9&gt;$C$7,"",SUMIF($E$18:$E307,"Budget (kg)",P$18:P307))</f>
        <v>1.918490654205607</v>
      </c>
      <c r="Q14" s="695">
        <f>IF(Q$9&gt;$C$7,"",SUMIF($E$18:$E307,"Budget (kg)",Q$18:Q307))</f>
        <v>2.0463878504672892</v>
      </c>
      <c r="R14" s="695">
        <f>IF(R$9&gt;$C$7,"",SUMIF($E$18:$E307,"Budget (kg)",R$18:R307))</f>
        <v>2.0463878504672892</v>
      </c>
      <c r="S14" s="695">
        <f>IF(S$9&gt;$C$7,"",SUMIF($E$18:$E307,"Budget (kg)",S$18:S307))</f>
        <v>2.0463878504672892</v>
      </c>
      <c r="T14" s="695">
        <f>IF(T$9&gt;$C$7,"",SUMIF($E$18:$E307,"Budget (kg)",T$18:T307))</f>
        <v>2.163163551401869</v>
      </c>
      <c r="U14" s="695">
        <f>IF(U$9&gt;$C$7,"",SUMIF($E$18:$E307,"Budget (kg)",U$18:U307))</f>
        <v>2.163163551401869</v>
      </c>
      <c r="V14" s="695">
        <f>IF(V$9&gt;$C$7,"",SUMIF($E$18:$E307,"Budget (kg)",V$18:V307))</f>
        <v>2.163163551401869</v>
      </c>
      <c r="W14" s="695">
        <f>IF(W$9&gt;$C$7,"",SUMIF($E$18:$E307,"Budget (kg)",W$18:W307))</f>
        <v>2.163163551401869</v>
      </c>
      <c r="X14" s="695" t="str">
        <f>IF(X$9&gt;$C$7,"",SUMIF($E$18:$E307,"Budget (kg)",X$18:X307))</f>
        <v/>
      </c>
      <c r="Y14" s="695" t="str">
        <f>IF(Y$9&gt;$C$7,"",SUMIF($E$18:$E307,"Budget (kg)",Y$18:Y307))</f>
        <v/>
      </c>
      <c r="Z14" s="695" t="str">
        <f>IF(Z$9&gt;$C$7,"",SUMIF($E$18:$E307,"Budget (kg)",Z$18:Z307))</f>
        <v/>
      </c>
      <c r="AA14" s="695" t="str">
        <f>IF(AA$9&gt;$C$7,"",SUMIF($E$18:$E307,"Budget (kg)",AA$18:AA307))</f>
        <v/>
      </c>
      <c r="AB14" s="695" t="str">
        <f>IF(AB$9&gt;$C$7,"",SUMIF($E$18:$E307,"Budget (kg)",AB$18:AB307))</f>
        <v/>
      </c>
      <c r="AC14" s="695" t="str">
        <f>IF(AC$9&gt;$C$7,"",SUMIF($E$18:$E307,"Budget (kg)",AC$18:AC307))</f>
        <v/>
      </c>
      <c r="AD14" s="696" t="str">
        <f>IF(AD$9&gt;$C$7,"",SUMIF($E$18:$E307,"Budget (kg)",AD$18:AD307))</f>
        <v/>
      </c>
      <c r="AE14" s="696" t="str">
        <f>IF(AE$9&gt;$C$7,"",SUMIF($E$18:$E307,"Budget (kg)",AE$18:AE307))</f>
        <v/>
      </c>
      <c r="AF14" s="696" t="str">
        <f>IF(AF$9&gt;$C$7,"",SUMIF($E$18:$E307,"Budget (kg)",AF$18:AF307))</f>
        <v/>
      </c>
      <c r="AG14" s="696" t="str">
        <f>IF(AG$9&gt;$C$7,"",SUMIF($E$18:$E307,"Budget (kg)",AG$18:AG307))</f>
        <v/>
      </c>
      <c r="AH14" s="696" t="str">
        <f>IF(AH$9&gt;$C$7,"",SUMIF($E$18:$E307,"Budget (kg)",AH$18:AH307))</f>
        <v/>
      </c>
      <c r="AI14" s="696" t="str">
        <f>IF(AI$9&gt;$C$7,"",SUMIF($E$18:$E307,"Budget (kg)",AI$18:AI307))</f>
        <v/>
      </c>
      <c r="AJ14" s="696" t="str">
        <f>IF(AJ$9&gt;$C$7,"",SUMIF($E$18:$E307,"Budget (kg)",AJ$18:AJ307))</f>
        <v/>
      </c>
      <c r="AK14" s="696" t="str">
        <f>IF(AK$9&gt;$C$7,"",SUMIF($E$18:$E307,"Budget (kg)",AK$18:AK307))</f>
        <v/>
      </c>
      <c r="AL14" s="697" t="str">
        <f>IF(AL$9&gt;$C$7,"",SUMIF($E$18:$E307,"Budget (kg)",AL$18:AL307))</f>
        <v/>
      </c>
    </row>
    <row r="15" spans="2:38" s="193" customFormat="1" ht="15" customHeight="1" thickBot="1" x14ac:dyDescent="0.3">
      <c r="G15" s="288" t="s">
        <v>335</v>
      </c>
      <c r="H15" s="1344">
        <f>IF(H$9&gt;$C$7,"",SUMIF($E$18:$E307,"Actual (kg)",H$18:H307))</f>
        <v>1.33785</v>
      </c>
      <c r="I15" s="1345">
        <f>IF(I$9&gt;$C$7,"",SUMIF($E$18:$E307,"Actual (kg)",I$18:I307))</f>
        <v>1.92527</v>
      </c>
      <c r="J15" s="1346">
        <f>IF(J$9&gt;$C$7,"",SUMIF($E$18:$E307,"Actual (kg)",J$18:J307))</f>
        <v>2.0662060000000002</v>
      </c>
      <c r="K15" s="1346">
        <f>IF(K$9&gt;$C$7,"",SUMIF($E$18:$E307,"Actual (kg)",K$18:K307))</f>
        <v>1.2695700000000001</v>
      </c>
      <c r="L15" s="1346">
        <f>IF(L$9&gt;$C$7,"",SUMIF($E$18:$E307,"Actual (kg)",L$18:L307))</f>
        <v>1.4269150000000002</v>
      </c>
      <c r="M15" s="1346">
        <f>IF(M$9&gt;$C$7,"",SUMIF($E$18:$E307,"Actual (kg)",M$18:M307))</f>
        <v>1.9666199999999998</v>
      </c>
      <c r="N15" s="1346">
        <f>IF(N$9&gt;$C$7,"",SUMIF($E$18:$E307,"Actual (kg)",N$18:N307))</f>
        <v>1.74411</v>
      </c>
      <c r="O15" s="1346">
        <f>IF(O$9&gt;$C$7,"",SUMIF($E$18:$E307,"Actual (kg)",O$18:O307))</f>
        <v>1.8427199999999999</v>
      </c>
      <c r="P15" s="1346">
        <f>IF(P$9&gt;$C$7,"",SUMIF($E$18:$E307,"Actual (kg)",P$18:P307))</f>
        <v>2.0340400000000001</v>
      </c>
      <c r="Q15" s="1346">
        <f>IF(Q$9&gt;$C$7,"",SUMIF($E$18:$E307,"Actual (kg)",Q$18:Q307))</f>
        <v>2.4464300000000003</v>
      </c>
      <c r="R15" s="1346">
        <f>IF(R$9&gt;$C$7,"",SUMIF($E$18:$E307,"Actual (kg)",R$18:R307))</f>
        <v>2.6503200000000002</v>
      </c>
      <c r="S15" s="1346">
        <f>IF(S$9&gt;$C$7,"",SUMIF($E$18:$E307,"Actual (kg)",S$18:S307))</f>
        <v>2.7305000000000001</v>
      </c>
      <c r="T15" s="1346">
        <f>IF(T$9&gt;$C$7,"",SUMIF($E$18:$E307,"Actual (kg)",T$18:T307))</f>
        <v>2.3483700000000001</v>
      </c>
      <c r="U15" s="1346">
        <f>IF(U$9&gt;$C$7,"",SUMIF($E$18:$E307,"Actual (kg)",U$18:U307))</f>
        <v>2.0469650000000001</v>
      </c>
      <c r="V15" s="1346">
        <f>IF(V$9&gt;$C$7,"",SUMIF($E$18:$E307,"Actual (kg)",V$18:V307))</f>
        <v>1.7178449999999998</v>
      </c>
      <c r="W15" s="1346">
        <f>IF(W$9&gt;$C$7,"",SUMIF($E$18:$E307,"Actual (kg)",W$18:W307))</f>
        <v>0</v>
      </c>
      <c r="X15" s="1346" t="str">
        <f>IF(X$9&gt;$C$7,"",SUMIF($E$18:$E307,"Actual (kg)",X$18:X307))</f>
        <v/>
      </c>
      <c r="Y15" s="1346" t="str">
        <f>IF(Y$9&gt;$C$7,"",SUMIF($E$18:$E307,"Actual (kg)",Y$18:Y307))</f>
        <v/>
      </c>
      <c r="Z15" s="1346" t="str">
        <f>IF(Z$9&gt;$C$7,"",SUMIF($E$18:$E307,"Actual (kg)",Z$18:Z307))</f>
        <v/>
      </c>
      <c r="AA15" s="1346" t="str">
        <f>IF(AA$9&gt;$C$7,"",SUMIF($E$18:$E307,"Actual (kg)",AA$18:AA307))</f>
        <v/>
      </c>
      <c r="AB15" s="1346" t="str">
        <f>IF(AB$9&gt;$C$7,"",SUMIF($E$18:$E307,"Actual (kg)",AB$18:AB307))</f>
        <v/>
      </c>
      <c r="AC15" s="1346" t="str">
        <f>IF(AC$9&gt;$C$7,"",SUMIF($E$18:$E307,"Actual (kg)",AC$18:AC307))</f>
        <v/>
      </c>
      <c r="AD15" s="1346" t="str">
        <f>IF(AD$9&gt;$C$7,"",SUMIF($E$18:$E307,"Actual (kg)",AD$18:AD307))</f>
        <v/>
      </c>
      <c r="AE15" s="1346" t="str">
        <f>IF(AE$9&gt;$C$7,"",SUMIF($E$18:$E307,"Actual (kg)",AE$18:AE307))</f>
        <v/>
      </c>
      <c r="AF15" s="1346" t="str">
        <f>IF(AF$9&gt;$C$7,"",SUMIF($E$18:$E307,"Actual (kg)",AF$18:AF307))</f>
        <v/>
      </c>
      <c r="AG15" s="1346" t="str">
        <f>IF(AG$9&gt;$C$7,"",SUMIF($E$18:$E307,"Actual (kg)",AG$18:AG307))</f>
        <v/>
      </c>
      <c r="AH15" s="1346" t="str">
        <f>IF(AH$9&gt;$C$7,"",SUMIF($E$18:$E307,"Actual (kg)",AH$18:AH307))</f>
        <v/>
      </c>
      <c r="AI15" s="1346" t="str">
        <f>IF(AI$9&gt;$C$7,"",SUMIF($E$18:$E307,"Actual (kg)",AI$18:AI307))</f>
        <v/>
      </c>
      <c r="AJ15" s="1346" t="str">
        <f>IF(AJ$9&gt;$C$7,"",SUMIF($E$18:$E307,"Actual (kg)",AJ$18:AJ307))</f>
        <v/>
      </c>
      <c r="AK15" s="1346" t="str">
        <f>IF(AK$9&gt;$C$7,"",SUMIF($E$18:$E307,"Actual (kg)",AK$18:AK307))</f>
        <v/>
      </c>
      <c r="AL15" s="1347" t="str">
        <f>IF(AL$9&gt;$C$7,"",SUMIF($E$18:$E307,"Actual (kg)",AL$18:AL307))</f>
        <v/>
      </c>
    </row>
    <row r="16" spans="2:38" s="1022" customFormat="1" ht="14.25" thickBot="1" x14ac:dyDescent="0.3">
      <c r="H16" s="1023"/>
      <c r="J16" s="1021"/>
      <c r="K16" s="1021"/>
      <c r="L16" s="1021"/>
      <c r="M16" s="1024"/>
      <c r="N16" s="1025"/>
      <c r="O16" s="1025"/>
    </row>
    <row r="17" spans="1:39" s="1057" customFormat="1" ht="14.25" thickBot="1" x14ac:dyDescent="0.3">
      <c r="A17" s="1058">
        <f>COUNTA(C18:C307)</f>
        <v>15</v>
      </c>
      <c r="B17" s="1059" t="s">
        <v>357</v>
      </c>
      <c r="C17" s="1060" t="s">
        <v>358</v>
      </c>
      <c r="D17" s="1061"/>
      <c r="E17" s="1062"/>
      <c r="F17" s="1063" t="s">
        <v>269</v>
      </c>
      <c r="G17" s="1064" t="s">
        <v>338</v>
      </c>
      <c r="H17" s="1065">
        <f>[1]SUMMARY!I16</f>
        <v>45839</v>
      </c>
      <c r="I17" s="1066">
        <f>[1]SUMMARY!J16</f>
        <v>45840</v>
      </c>
      <c r="J17" s="1066">
        <f>[1]SUMMARY!K16</f>
        <v>45841</v>
      </c>
      <c r="K17" s="1066">
        <f>[1]SUMMARY!L16</f>
        <v>45842</v>
      </c>
      <c r="L17" s="1066">
        <f>[1]SUMMARY!M16</f>
        <v>45843</v>
      </c>
      <c r="M17" s="1066">
        <f>[1]SUMMARY!N16</f>
        <v>45844</v>
      </c>
      <c r="N17" s="1066">
        <f>[1]SUMMARY!O16</f>
        <v>45845</v>
      </c>
      <c r="O17" s="1066">
        <f>[1]SUMMARY!P16</f>
        <v>45846</v>
      </c>
      <c r="P17" s="1066">
        <f>[1]SUMMARY!Q16</f>
        <v>45847</v>
      </c>
      <c r="Q17" s="1066">
        <f>[1]SUMMARY!R16</f>
        <v>45848</v>
      </c>
      <c r="R17" s="1066">
        <f>[1]SUMMARY!S16</f>
        <v>45849</v>
      </c>
      <c r="S17" s="1066">
        <f>[1]SUMMARY!T16</f>
        <v>45850</v>
      </c>
      <c r="T17" s="1066">
        <f>[1]SUMMARY!U16</f>
        <v>45851</v>
      </c>
      <c r="U17" s="1066">
        <f>[1]SUMMARY!V16</f>
        <v>45852</v>
      </c>
      <c r="V17" s="1066">
        <f>[1]SUMMARY!W16</f>
        <v>45853</v>
      </c>
      <c r="W17" s="1066">
        <f>[1]SUMMARY!X16</f>
        <v>45854</v>
      </c>
      <c r="X17" s="1066">
        <f>[1]SUMMARY!Y16</f>
        <v>45855</v>
      </c>
      <c r="Y17" s="1066">
        <f>[1]SUMMARY!Z16</f>
        <v>45856</v>
      </c>
      <c r="Z17" s="1066">
        <f>[1]SUMMARY!AA16</f>
        <v>45857</v>
      </c>
      <c r="AA17" s="1066">
        <f>[1]SUMMARY!AB16</f>
        <v>45858</v>
      </c>
      <c r="AB17" s="1066">
        <f>[1]SUMMARY!AC16</f>
        <v>45859</v>
      </c>
      <c r="AC17" s="1066">
        <f>[1]SUMMARY!AD16</f>
        <v>45860</v>
      </c>
      <c r="AD17" s="1066">
        <f>[1]SUMMARY!AE16</f>
        <v>45861</v>
      </c>
      <c r="AE17" s="1066">
        <f>[1]SUMMARY!AF16</f>
        <v>45862</v>
      </c>
      <c r="AF17" s="1066">
        <f>[1]SUMMARY!AG16</f>
        <v>45863</v>
      </c>
      <c r="AG17" s="1066">
        <f>[1]SUMMARY!AH16</f>
        <v>45864</v>
      </c>
      <c r="AH17" s="1066">
        <f>[1]SUMMARY!AI16</f>
        <v>45865</v>
      </c>
      <c r="AI17" s="1066">
        <f>[1]SUMMARY!AJ16</f>
        <v>45866</v>
      </c>
      <c r="AJ17" s="1066">
        <f>[1]SUMMARY!AK16</f>
        <v>45867</v>
      </c>
      <c r="AK17" s="1066">
        <f>[1]SUMMARY!AL16</f>
        <v>45868</v>
      </c>
      <c r="AL17" s="1067">
        <f>[1]SUMMARY!AM16</f>
        <v>45869</v>
      </c>
      <c r="AM17" s="1068" t="s">
        <v>359</v>
      </c>
    </row>
    <row r="18" spans="1:39" s="1069" customFormat="1" ht="14.85" customHeight="1" x14ac:dyDescent="0.25">
      <c r="B18" s="1608">
        <v>1</v>
      </c>
      <c r="C18" s="1661" t="str">
        <f>[1]Stoping!C18</f>
        <v>1L W28 STOPE</v>
      </c>
      <c r="D18" s="1611" t="s">
        <v>340</v>
      </c>
      <c r="E18" s="1070" t="s">
        <v>341</v>
      </c>
      <c r="F18" s="196">
        <f>SUMIF($H$9:$AL$9,"&lt;="&amp;$C$7,H18:AL18)</f>
        <v>0</v>
      </c>
      <c r="G18" s="1071"/>
      <c r="H18" s="198">
        <f>[1]Stoping!H18</f>
        <v>0</v>
      </c>
      <c r="I18" s="198">
        <f>[1]Stoping!I18</f>
        <v>0</v>
      </c>
      <c r="J18" s="198">
        <f>[1]Stoping!J18</f>
        <v>0</v>
      </c>
      <c r="K18" s="199">
        <f>[1]Stoping!K18</f>
        <v>0</v>
      </c>
      <c r="L18" s="199">
        <f>[1]Stoping!L18</f>
        <v>0</v>
      </c>
      <c r="M18" s="199">
        <f>[1]Stoping!M18</f>
        <v>0</v>
      </c>
      <c r="N18" s="199">
        <f>[1]Stoping!N18</f>
        <v>0</v>
      </c>
      <c r="O18" s="199">
        <f>[1]Stoping!O18</f>
        <v>0</v>
      </c>
      <c r="P18" s="200">
        <f>[1]Stoping!P18</f>
        <v>0</v>
      </c>
      <c r="Q18" s="199">
        <f>[1]Stoping!Q18</f>
        <v>0</v>
      </c>
      <c r="R18" s="199">
        <f>[1]Stoping!R18</f>
        <v>0</v>
      </c>
      <c r="S18" s="199">
        <f>[1]Stoping!S18</f>
        <v>0</v>
      </c>
      <c r="T18" s="199">
        <f>[1]Stoping!T18</f>
        <v>0</v>
      </c>
      <c r="U18" s="199">
        <f>[1]Stoping!U18</f>
        <v>0</v>
      </c>
      <c r="V18" s="199">
        <f>[1]Stoping!V18</f>
        <v>0</v>
      </c>
      <c r="W18" s="199">
        <f>[1]Stoping!W18</f>
        <v>0</v>
      </c>
      <c r="X18" s="199">
        <f>[1]Stoping!X18</f>
        <v>0</v>
      </c>
      <c r="Y18" s="199">
        <f>[1]Stoping!Y18</f>
        <v>0</v>
      </c>
      <c r="Z18" s="199">
        <f>[1]Stoping!Z18</f>
        <v>0</v>
      </c>
      <c r="AA18" s="199">
        <f>[1]Stoping!AA18</f>
        <v>0</v>
      </c>
      <c r="AB18" s="199">
        <f>[1]Stoping!AB18</f>
        <v>0</v>
      </c>
      <c r="AC18" s="199">
        <f>[1]Stoping!AC18</f>
        <v>0</v>
      </c>
      <c r="AD18" s="199">
        <f>[1]Stoping!AD18</f>
        <v>0</v>
      </c>
      <c r="AE18" s="199">
        <f>[1]Stoping!AE18</f>
        <v>0</v>
      </c>
      <c r="AF18" s="199">
        <f>[1]Stoping!AF18</f>
        <v>0</v>
      </c>
      <c r="AG18" s="199">
        <f>[1]Stoping!AG18</f>
        <v>0</v>
      </c>
      <c r="AH18" s="199">
        <f>[1]Stoping!AH18</f>
        <v>0</v>
      </c>
      <c r="AI18" s="199">
        <f>[1]Stoping!AI18</f>
        <v>0</v>
      </c>
      <c r="AJ18" s="199">
        <f>[1]Stoping!AJ18</f>
        <v>0</v>
      </c>
      <c r="AK18" s="199">
        <f>[1]Stoping!AK18</f>
        <v>0</v>
      </c>
      <c r="AL18" s="201">
        <f>[1]Stoping!AL18</f>
        <v>0</v>
      </c>
      <c r="AM18" s="1072"/>
    </row>
    <row r="19" spans="1:39" x14ac:dyDescent="0.25">
      <c r="B19" s="1607"/>
      <c r="C19" s="1662"/>
      <c r="D19" s="1610"/>
      <c r="E19" s="1302" t="s">
        <v>342</v>
      </c>
      <c r="F19" s="1303">
        <f>SUMIF($H$9:$AL$9,"&lt;="&amp;$C$7,H19:AL19)</f>
        <v>533</v>
      </c>
      <c r="G19" s="1304">
        <f>IFERROR((F19-F18)/F18,0)</f>
        <v>0</v>
      </c>
      <c r="H19" s="1305">
        <v>66</v>
      </c>
      <c r="I19" s="1303">
        <v>65</v>
      </c>
      <c r="J19" s="1303">
        <v>72</v>
      </c>
      <c r="K19" s="1303">
        <v>48</v>
      </c>
      <c r="L19" s="1303">
        <v>60</v>
      </c>
      <c r="M19" s="1303">
        <v>72</v>
      </c>
      <c r="N19" s="1303">
        <v>96</v>
      </c>
      <c r="O19" s="1303">
        <v>54</v>
      </c>
      <c r="P19" s="1303">
        <v>0</v>
      </c>
      <c r="Q19" s="1303">
        <v>0</v>
      </c>
      <c r="R19" s="1303"/>
      <c r="S19" s="1303"/>
      <c r="T19" s="1303"/>
      <c r="U19" s="1303">
        <v>0</v>
      </c>
      <c r="V19" s="1303">
        <v>0</v>
      </c>
      <c r="W19" s="1303"/>
      <c r="X19" s="1303"/>
      <c r="Y19" s="1303"/>
      <c r="Z19" s="1303"/>
      <c r="AA19" s="1303"/>
      <c r="AB19" s="1303"/>
      <c r="AC19" s="1303"/>
      <c r="AD19" s="1303"/>
      <c r="AE19" s="1303"/>
      <c r="AF19" s="1303"/>
      <c r="AG19" s="1303"/>
      <c r="AH19" s="1303"/>
      <c r="AI19" s="1303"/>
      <c r="AJ19" s="1303"/>
      <c r="AK19" s="1303"/>
      <c r="AL19" s="1303"/>
      <c r="AM19" s="1074"/>
    </row>
    <row r="20" spans="1:39" x14ac:dyDescent="0.25">
      <c r="B20" s="1607"/>
      <c r="C20" s="1662"/>
      <c r="D20" s="1610"/>
      <c r="E20" s="1324" t="s">
        <v>312</v>
      </c>
      <c r="F20" s="1307"/>
      <c r="G20" s="1308"/>
      <c r="H20" s="1075"/>
      <c r="I20" s="1075"/>
      <c r="J20" s="1075"/>
      <c r="K20" s="1075"/>
      <c r="L20" s="1075"/>
      <c r="M20" s="1075"/>
      <c r="N20" s="1075"/>
      <c r="O20" s="1075"/>
      <c r="P20" s="1076"/>
      <c r="Q20" s="1075"/>
      <c r="R20" s="1075"/>
      <c r="S20" s="1075"/>
      <c r="T20" s="1075"/>
      <c r="U20" s="1075"/>
      <c r="V20" s="1075"/>
      <c r="W20" s="1075"/>
      <c r="X20" s="1075"/>
      <c r="Y20" s="1075"/>
      <c r="Z20" s="1075"/>
      <c r="AA20" s="1075"/>
      <c r="AB20" s="1075"/>
      <c r="AC20" s="1075"/>
      <c r="AD20" s="1075"/>
      <c r="AE20" s="1075"/>
      <c r="AF20" s="1075"/>
      <c r="AG20" s="1075"/>
      <c r="AH20" s="1075"/>
      <c r="AI20" s="1075"/>
      <c r="AJ20" s="1075"/>
      <c r="AK20" s="1075"/>
      <c r="AL20" s="1077"/>
      <c r="AM20" s="1074"/>
    </row>
    <row r="21" spans="1:39" x14ac:dyDescent="0.25">
      <c r="B21" s="1607"/>
      <c r="C21" s="1662"/>
      <c r="D21" s="1612" t="s">
        <v>343</v>
      </c>
      <c r="E21" s="1309" t="s">
        <v>344</v>
      </c>
      <c r="F21" s="1310">
        <f>IFERROR(F23*1000/F18,0)</f>
        <v>0</v>
      </c>
      <c r="G21" s="1311"/>
      <c r="H21" s="1333">
        <f>[1]Breaking.!D10</f>
        <v>0</v>
      </c>
      <c r="I21" s="1333">
        <f>[1]Breaking.!E10</f>
        <v>0</v>
      </c>
      <c r="J21" s="1333">
        <f>[1]Breaking.!F10</f>
        <v>0</v>
      </c>
      <c r="K21" s="1333">
        <f>[1]Breaking.!G10</f>
        <v>0</v>
      </c>
      <c r="L21" s="1333">
        <f>[1]Breaking.!H10</f>
        <v>0</v>
      </c>
      <c r="M21" s="1333">
        <f>[1]Breaking.!I10</f>
        <v>0</v>
      </c>
      <c r="N21" s="1333">
        <f>[1]Breaking.!J10</f>
        <v>0</v>
      </c>
      <c r="O21" s="1333">
        <f>[1]Breaking.!K10</f>
        <v>0</v>
      </c>
      <c r="P21" s="1333">
        <f>[1]Breaking.!L10</f>
        <v>0</v>
      </c>
      <c r="Q21" s="1333">
        <f>[1]Breaking.!M10</f>
        <v>0</v>
      </c>
      <c r="R21" s="1333">
        <f>[1]Breaking.!N10</f>
        <v>0</v>
      </c>
      <c r="S21" s="1333">
        <f>[1]Breaking.!O10</f>
        <v>0</v>
      </c>
      <c r="T21" s="1333">
        <f>[1]Breaking.!P10</f>
        <v>0</v>
      </c>
      <c r="U21" s="1333">
        <f>[1]Breaking.!Q10</f>
        <v>0</v>
      </c>
      <c r="V21" s="1333">
        <f>[1]Breaking.!R10</f>
        <v>0</v>
      </c>
      <c r="W21" s="1333">
        <f>[1]Breaking.!S10</f>
        <v>0</v>
      </c>
      <c r="X21" s="1333">
        <f>[1]Breaking.!T10</f>
        <v>0</v>
      </c>
      <c r="Y21" s="1333">
        <f>[1]Breaking.!U10</f>
        <v>0</v>
      </c>
      <c r="Z21" s="1333">
        <f>[1]Breaking.!V10</f>
        <v>0</v>
      </c>
      <c r="AA21" s="1333">
        <f>[1]Breaking.!W10</f>
        <v>0</v>
      </c>
      <c r="AB21" s="1333">
        <f>[1]Breaking.!X10</f>
        <v>0</v>
      </c>
      <c r="AC21" s="1333">
        <f>[1]Breaking.!Y10</f>
        <v>0</v>
      </c>
      <c r="AD21" s="1333">
        <f>[1]Breaking.!Z10</f>
        <v>0</v>
      </c>
      <c r="AE21" s="1333">
        <f>[1]Breaking.!AA10</f>
        <v>0</v>
      </c>
      <c r="AF21" s="1333">
        <f>[1]Breaking.!AB10</f>
        <v>0</v>
      </c>
      <c r="AG21" s="1333">
        <f>[1]Breaking.!AC10</f>
        <v>0</v>
      </c>
      <c r="AH21" s="1333">
        <f>[1]Breaking.!AD10</f>
        <v>0</v>
      </c>
      <c r="AI21" s="1333">
        <f>[1]Breaking.!AE10</f>
        <v>0</v>
      </c>
      <c r="AJ21" s="1333">
        <f>[1]Breaking.!AF10</f>
        <v>0</v>
      </c>
      <c r="AK21" s="1333">
        <f>[1]Breaking.!AG10</f>
        <v>0</v>
      </c>
      <c r="AL21" s="1333">
        <f>[1]Breaking.!AH10</f>
        <v>0</v>
      </c>
      <c r="AM21" s="1074"/>
    </row>
    <row r="22" spans="1:39" x14ac:dyDescent="0.25">
      <c r="B22" s="1607"/>
      <c r="C22" s="1662"/>
      <c r="D22" s="1664"/>
      <c r="E22" s="1313" t="s">
        <v>345</v>
      </c>
      <c r="F22" s="1314">
        <f>IFERROR(F24*1000/F19,0)</f>
        <v>0.45013133208255163</v>
      </c>
      <c r="G22" s="1304">
        <f>IFERROR((F22-F21)/F21,0)</f>
        <v>0</v>
      </c>
      <c r="H22" s="1315"/>
      <c r="I22" s="1314">
        <v>0.74</v>
      </c>
      <c r="J22" s="1314">
        <v>0.71</v>
      </c>
      <c r="K22" s="1314">
        <v>1.27</v>
      </c>
      <c r="L22" s="1314">
        <v>0.12</v>
      </c>
      <c r="M22" s="1314">
        <v>0.21</v>
      </c>
      <c r="N22" s="1314">
        <v>0.21</v>
      </c>
      <c r="O22" s="1314">
        <v>0.69</v>
      </c>
      <c r="P22" s="1314"/>
      <c r="Q22" s="1314"/>
      <c r="R22" s="1314"/>
      <c r="S22" s="1314"/>
      <c r="T22" s="1314"/>
      <c r="U22" s="1314"/>
      <c r="V22" s="1314"/>
      <c r="W22" s="1314"/>
      <c r="X22" s="1314"/>
      <c r="Y22" s="1314"/>
      <c r="Z22" s="1314"/>
      <c r="AA22" s="1314"/>
      <c r="AB22" s="1314"/>
      <c r="AC22" s="1314"/>
      <c r="AD22" s="1314"/>
      <c r="AE22" s="1314"/>
      <c r="AF22" s="1314"/>
      <c r="AG22" s="1314"/>
      <c r="AH22" s="1314"/>
      <c r="AI22" s="1314"/>
      <c r="AJ22" s="1314"/>
      <c r="AK22" s="1314"/>
      <c r="AL22" s="1314"/>
      <c r="AM22" s="1074"/>
    </row>
    <row r="23" spans="1:39" x14ac:dyDescent="0.25">
      <c r="B23" s="1607"/>
      <c r="C23" s="1662"/>
      <c r="D23" s="1612" t="s">
        <v>47</v>
      </c>
      <c r="E23" s="1309" t="s">
        <v>346</v>
      </c>
      <c r="F23" s="206">
        <f>SUMIF($H$9:$AL$9,"&lt;="&amp;$C$7,H23:AL23)</f>
        <v>0</v>
      </c>
      <c r="G23" s="1311"/>
      <c r="H23" s="1316">
        <f t="shared" ref="H23:AL24" si="2">+H21*H18/1000</f>
        <v>0</v>
      </c>
      <c r="I23" s="1316">
        <f t="shared" si="2"/>
        <v>0</v>
      </c>
      <c r="J23" s="1316">
        <f t="shared" si="2"/>
        <v>0</v>
      </c>
      <c r="K23" s="1316">
        <f t="shared" si="2"/>
        <v>0</v>
      </c>
      <c r="L23" s="1316">
        <f t="shared" si="2"/>
        <v>0</v>
      </c>
      <c r="M23" s="1316">
        <f t="shared" si="2"/>
        <v>0</v>
      </c>
      <c r="N23" s="1316">
        <f t="shared" si="2"/>
        <v>0</v>
      </c>
      <c r="O23" s="1316">
        <f t="shared" si="2"/>
        <v>0</v>
      </c>
      <c r="P23" s="1316">
        <f t="shared" si="2"/>
        <v>0</v>
      </c>
      <c r="Q23" s="1316">
        <f t="shared" si="2"/>
        <v>0</v>
      </c>
      <c r="R23" s="1316">
        <f t="shared" si="2"/>
        <v>0</v>
      </c>
      <c r="S23" s="1316">
        <f t="shared" si="2"/>
        <v>0</v>
      </c>
      <c r="T23" s="1316">
        <f t="shared" si="2"/>
        <v>0</v>
      </c>
      <c r="U23" s="1316">
        <f t="shared" si="2"/>
        <v>0</v>
      </c>
      <c r="V23" s="1316">
        <f t="shared" si="2"/>
        <v>0</v>
      </c>
      <c r="W23" s="1316">
        <f t="shared" si="2"/>
        <v>0</v>
      </c>
      <c r="X23" s="1316">
        <f t="shared" si="2"/>
        <v>0</v>
      </c>
      <c r="Y23" s="1316">
        <f t="shared" si="2"/>
        <v>0</v>
      </c>
      <c r="Z23" s="1316">
        <f t="shared" si="2"/>
        <v>0</v>
      </c>
      <c r="AA23" s="1316">
        <f t="shared" si="2"/>
        <v>0</v>
      </c>
      <c r="AB23" s="1316">
        <f t="shared" si="2"/>
        <v>0</v>
      </c>
      <c r="AC23" s="1316">
        <f t="shared" si="2"/>
        <v>0</v>
      </c>
      <c r="AD23" s="1316">
        <f t="shared" si="2"/>
        <v>0</v>
      </c>
      <c r="AE23" s="1316">
        <f t="shared" si="2"/>
        <v>0</v>
      </c>
      <c r="AF23" s="1316">
        <f t="shared" si="2"/>
        <v>0</v>
      </c>
      <c r="AG23" s="1316">
        <f t="shared" si="2"/>
        <v>0</v>
      </c>
      <c r="AH23" s="1316">
        <f t="shared" si="2"/>
        <v>0</v>
      </c>
      <c r="AI23" s="1316">
        <f t="shared" si="2"/>
        <v>0</v>
      </c>
      <c r="AJ23" s="1316">
        <f t="shared" si="2"/>
        <v>0</v>
      </c>
      <c r="AK23" s="1316">
        <f t="shared" si="2"/>
        <v>0</v>
      </c>
      <c r="AL23" s="1316">
        <f t="shared" si="2"/>
        <v>0</v>
      </c>
      <c r="AM23" s="1078"/>
    </row>
    <row r="24" spans="1:39" ht="14.25" thickBot="1" x14ac:dyDescent="0.3">
      <c r="B24" s="1660"/>
      <c r="C24" s="1663"/>
      <c r="D24" s="1665"/>
      <c r="E24" s="1320" t="s">
        <v>347</v>
      </c>
      <c r="F24" s="1321">
        <f>SUMIF($H$9:$AL$9,"&lt;="&amp;$C$7,H24:AL24)</f>
        <v>0.23992000000000002</v>
      </c>
      <c r="G24" s="1322">
        <f>IFERROR((F24-F23)/F23,0)</f>
        <v>0</v>
      </c>
      <c r="H24" s="1323">
        <f>+H22*H19/1000</f>
        <v>0</v>
      </c>
      <c r="I24" s="1323">
        <f t="shared" si="2"/>
        <v>4.8100000000000004E-2</v>
      </c>
      <c r="J24" s="1323">
        <f t="shared" si="2"/>
        <v>5.1119999999999999E-2</v>
      </c>
      <c r="K24" s="1323">
        <f t="shared" si="2"/>
        <v>6.096E-2</v>
      </c>
      <c r="L24" s="1323">
        <f t="shared" si="2"/>
        <v>7.1999999999999989E-3</v>
      </c>
      <c r="M24" s="1323">
        <f t="shared" si="2"/>
        <v>1.512E-2</v>
      </c>
      <c r="N24" s="1323">
        <f t="shared" si="2"/>
        <v>2.0160000000000001E-2</v>
      </c>
      <c r="O24" s="1323">
        <f t="shared" si="2"/>
        <v>3.7260000000000001E-2</v>
      </c>
      <c r="P24" s="1323">
        <f t="shared" si="2"/>
        <v>0</v>
      </c>
      <c r="Q24" s="1323">
        <f t="shared" si="2"/>
        <v>0</v>
      </c>
      <c r="R24" s="1323">
        <f t="shared" si="2"/>
        <v>0</v>
      </c>
      <c r="S24" s="1323">
        <f t="shared" si="2"/>
        <v>0</v>
      </c>
      <c r="T24" s="1323">
        <f t="shared" si="2"/>
        <v>0</v>
      </c>
      <c r="U24" s="1323">
        <f t="shared" si="2"/>
        <v>0</v>
      </c>
      <c r="V24" s="1323">
        <f t="shared" si="2"/>
        <v>0</v>
      </c>
      <c r="W24" s="1323">
        <f t="shared" si="2"/>
        <v>0</v>
      </c>
      <c r="X24" s="1323">
        <f t="shared" si="2"/>
        <v>0</v>
      </c>
      <c r="Y24" s="1323">
        <f t="shared" si="2"/>
        <v>0</v>
      </c>
      <c r="Z24" s="1323">
        <f t="shared" si="2"/>
        <v>0</v>
      </c>
      <c r="AA24" s="1323">
        <f t="shared" si="2"/>
        <v>0</v>
      </c>
      <c r="AB24" s="1323">
        <f t="shared" si="2"/>
        <v>0</v>
      </c>
      <c r="AC24" s="1323">
        <f t="shared" si="2"/>
        <v>0</v>
      </c>
      <c r="AD24" s="1323">
        <f t="shared" si="2"/>
        <v>0</v>
      </c>
      <c r="AE24" s="1323">
        <f t="shared" si="2"/>
        <v>0</v>
      </c>
      <c r="AF24" s="1323">
        <f t="shared" si="2"/>
        <v>0</v>
      </c>
      <c r="AG24" s="1323">
        <f t="shared" si="2"/>
        <v>0</v>
      </c>
      <c r="AH24" s="1323">
        <f t="shared" si="2"/>
        <v>0</v>
      </c>
      <c r="AI24" s="1323">
        <f t="shared" si="2"/>
        <v>0</v>
      </c>
      <c r="AJ24" s="1323">
        <f t="shared" si="2"/>
        <v>0</v>
      </c>
      <c r="AK24" s="1323">
        <f t="shared" si="2"/>
        <v>0</v>
      </c>
      <c r="AL24" s="1323">
        <f t="shared" si="2"/>
        <v>0</v>
      </c>
      <c r="AM24" s="1079"/>
    </row>
    <row r="25" spans="1:39" s="1069" customFormat="1" ht="14.85" customHeight="1" x14ac:dyDescent="0.25">
      <c r="B25" s="1608">
        <v>1</v>
      </c>
      <c r="C25" s="1661" t="str">
        <f>[1]Stoping!C32</f>
        <v>3L_W23B STOPE</v>
      </c>
      <c r="D25" s="1611" t="s">
        <v>340</v>
      </c>
      <c r="E25" s="1070" t="s">
        <v>341</v>
      </c>
      <c r="F25" s="196">
        <f t="shared" ref="F25:F26" si="3">SUMIF($H$9:$AL$9,"&lt;="&amp;$C$7,H25:AL25)</f>
        <v>1120</v>
      </c>
      <c r="G25" s="1071"/>
      <c r="H25" s="198">
        <f>[1]Stoping!H32</f>
        <v>70</v>
      </c>
      <c r="I25" s="198">
        <f>[1]Stoping!I32</f>
        <v>70</v>
      </c>
      <c r="J25" s="198">
        <f>[1]Stoping!J32</f>
        <v>70</v>
      </c>
      <c r="K25" s="199">
        <f>[1]Stoping!K32</f>
        <v>70</v>
      </c>
      <c r="L25" s="199">
        <f>[1]Stoping!L32</f>
        <v>70</v>
      </c>
      <c r="M25" s="199">
        <f>[1]Stoping!M32</f>
        <v>70</v>
      </c>
      <c r="N25" s="199">
        <f>[1]Stoping!N32</f>
        <v>70</v>
      </c>
      <c r="O25" s="199">
        <f>[1]Stoping!O32</f>
        <v>70</v>
      </c>
      <c r="P25" s="200">
        <f>[1]Stoping!P32</f>
        <v>70</v>
      </c>
      <c r="Q25" s="199">
        <f>[1]Stoping!Q32</f>
        <v>70</v>
      </c>
      <c r="R25" s="199">
        <f>[1]Stoping!R32</f>
        <v>70</v>
      </c>
      <c r="S25" s="199">
        <f>[1]Stoping!S32</f>
        <v>70</v>
      </c>
      <c r="T25" s="199">
        <f>[1]Stoping!T32</f>
        <v>70</v>
      </c>
      <c r="U25" s="199">
        <f>[1]Stoping!U32</f>
        <v>70</v>
      </c>
      <c r="V25" s="199">
        <f>[1]Stoping!V32</f>
        <v>70</v>
      </c>
      <c r="W25" s="199">
        <f>[1]Stoping!W32</f>
        <v>70</v>
      </c>
      <c r="X25" s="199">
        <f>[1]Stoping!X32</f>
        <v>70</v>
      </c>
      <c r="Y25" s="199">
        <f>[1]Stoping!Y32</f>
        <v>70</v>
      </c>
      <c r="Z25" s="199">
        <f>[1]Stoping!Z32</f>
        <v>70</v>
      </c>
      <c r="AA25" s="199">
        <f>[1]Stoping!AA32</f>
        <v>70</v>
      </c>
      <c r="AB25" s="199">
        <f>[1]Stoping!AB32</f>
        <v>70</v>
      </c>
      <c r="AC25" s="199">
        <f>[1]Stoping!AC32</f>
        <v>70</v>
      </c>
      <c r="AD25" s="199">
        <f>[1]Stoping!AD32</f>
        <v>70</v>
      </c>
      <c r="AE25" s="199">
        <f>[1]Stoping!AE32</f>
        <v>70</v>
      </c>
      <c r="AF25" s="199">
        <f>[1]Stoping!AF32</f>
        <v>70</v>
      </c>
      <c r="AG25" s="199">
        <f>[1]Stoping!AG32</f>
        <v>70</v>
      </c>
      <c r="AH25" s="199">
        <f>[1]Stoping!AH32</f>
        <v>70</v>
      </c>
      <c r="AI25" s="199">
        <f>[1]Stoping!AI32</f>
        <v>70</v>
      </c>
      <c r="AJ25" s="199">
        <f>[1]Stoping!AJ32</f>
        <v>70</v>
      </c>
      <c r="AK25" s="199">
        <f>[1]Stoping!AK32</f>
        <v>70</v>
      </c>
      <c r="AL25" s="201">
        <f>[1]Stoping!AL32</f>
        <v>70</v>
      </c>
      <c r="AM25" s="1072"/>
    </row>
    <row r="26" spans="1:39" x14ac:dyDescent="0.25">
      <c r="B26" s="1607"/>
      <c r="C26" s="1662"/>
      <c r="D26" s="1610"/>
      <c r="E26" s="1302" t="s">
        <v>342</v>
      </c>
      <c r="F26" s="1303">
        <f t="shared" si="3"/>
        <v>0</v>
      </c>
      <c r="G26" s="1304">
        <f t="shared" ref="G26" si="4">IFERROR((F26-F25)/F25,0)</f>
        <v>-1</v>
      </c>
      <c r="H26" s="1305"/>
      <c r="I26" s="1303"/>
      <c r="J26" s="1303"/>
      <c r="K26" s="1303"/>
      <c r="L26" s="1303"/>
      <c r="M26" s="1303"/>
      <c r="N26" s="1303"/>
      <c r="O26" s="1303"/>
      <c r="P26" s="1303"/>
      <c r="Q26" s="1303"/>
      <c r="R26" s="1303"/>
      <c r="S26" s="1303"/>
      <c r="T26" s="1303"/>
      <c r="U26" s="1303"/>
      <c r="V26" s="1303"/>
      <c r="W26" s="1303"/>
      <c r="X26" s="1303"/>
      <c r="Y26" s="1303"/>
      <c r="Z26" s="1303"/>
      <c r="AA26" s="1303"/>
      <c r="AB26" s="1303"/>
      <c r="AC26" s="1303"/>
      <c r="AD26" s="1303"/>
      <c r="AE26" s="1303"/>
      <c r="AF26" s="1303"/>
      <c r="AG26" s="1303"/>
      <c r="AH26" s="1303"/>
      <c r="AI26" s="1303"/>
      <c r="AJ26" s="1303"/>
      <c r="AK26" s="1303"/>
      <c r="AL26" s="1303"/>
      <c r="AM26" s="1074"/>
    </row>
    <row r="27" spans="1:39" x14ac:dyDescent="0.25">
      <c r="B27" s="1607"/>
      <c r="C27" s="1662"/>
      <c r="D27" s="1610"/>
      <c r="E27" s="1324" t="s">
        <v>312</v>
      </c>
      <c r="F27" s="1307"/>
      <c r="G27" s="1308"/>
      <c r="H27" s="1075"/>
      <c r="I27" s="1075"/>
      <c r="J27" s="1075"/>
      <c r="K27" s="1075"/>
      <c r="L27" s="1075"/>
      <c r="M27" s="1075"/>
      <c r="N27" s="1075"/>
      <c r="O27" s="1075"/>
      <c r="P27" s="1076"/>
      <c r="Q27" s="1075"/>
      <c r="R27" s="1075"/>
      <c r="S27" s="1075"/>
      <c r="T27" s="1075"/>
      <c r="U27" s="1075"/>
      <c r="V27" s="1075"/>
      <c r="W27" s="1075"/>
      <c r="X27" s="1075"/>
      <c r="Y27" s="1075"/>
      <c r="Z27" s="1075"/>
      <c r="AA27" s="1075"/>
      <c r="AB27" s="1075"/>
      <c r="AC27" s="1075"/>
      <c r="AD27" s="1075"/>
      <c r="AE27" s="1075"/>
      <c r="AF27" s="1075"/>
      <c r="AG27" s="1075"/>
      <c r="AH27" s="1075"/>
      <c r="AI27" s="1075"/>
      <c r="AJ27" s="1075"/>
      <c r="AK27" s="1075"/>
      <c r="AL27" s="1077"/>
      <c r="AM27" s="1074"/>
    </row>
    <row r="28" spans="1:39" x14ac:dyDescent="0.25">
      <c r="B28" s="1607"/>
      <c r="C28" s="1662"/>
      <c r="D28" s="1612" t="s">
        <v>343</v>
      </c>
      <c r="E28" s="1309" t="s">
        <v>344</v>
      </c>
      <c r="F28" s="1310">
        <f t="shared" ref="F28:F29" si="5">IFERROR(F30*1000/F25,0)</f>
        <v>1.9859813084112148</v>
      </c>
      <c r="G28" s="1311"/>
      <c r="H28" s="1312">
        <f>[1]Breaking.!D16</f>
        <v>1.9859813084112148</v>
      </c>
      <c r="I28" s="1312">
        <f>[1]Breaking.!E16</f>
        <v>1.9859813084112148</v>
      </c>
      <c r="J28" s="1312">
        <f>[1]Breaking.!F16</f>
        <v>1.9859813084112148</v>
      </c>
      <c r="K28" s="1312">
        <f>[1]Breaking.!G16</f>
        <v>1.9859813084112148</v>
      </c>
      <c r="L28" s="1312">
        <f>[1]Breaking.!H16</f>
        <v>1.9859813084112148</v>
      </c>
      <c r="M28" s="1312">
        <f>[1]Breaking.!I16</f>
        <v>1.9859813084112148</v>
      </c>
      <c r="N28" s="1312">
        <f>[1]Breaking.!J16</f>
        <v>1.9859813084112148</v>
      </c>
      <c r="O28" s="1312">
        <f>[1]Breaking.!K16</f>
        <v>1.9859813084112148</v>
      </c>
      <c r="P28" s="1312">
        <f>[1]Breaking.!L16</f>
        <v>1.9859813084112148</v>
      </c>
      <c r="Q28" s="1312">
        <f>[1]Breaking.!M16</f>
        <v>1.9859813084112148</v>
      </c>
      <c r="R28" s="1312">
        <f>[1]Breaking.!N16</f>
        <v>1.9859813084112148</v>
      </c>
      <c r="S28" s="1312">
        <f>[1]Breaking.!O16</f>
        <v>1.9859813084112148</v>
      </c>
      <c r="T28" s="1312">
        <f>[1]Breaking.!P16</f>
        <v>1.9859813084112148</v>
      </c>
      <c r="U28" s="1312">
        <f>[1]Breaking.!Q16</f>
        <v>1.9859813084112148</v>
      </c>
      <c r="V28" s="1312">
        <f>[1]Breaking.!R16</f>
        <v>1.9859813084112148</v>
      </c>
      <c r="W28" s="1312">
        <f>[1]Breaking.!S16</f>
        <v>1.9859813084112148</v>
      </c>
      <c r="X28" s="1312">
        <f>[1]Breaking.!T16</f>
        <v>1.9859813084112148</v>
      </c>
      <c r="Y28" s="1312">
        <f>[1]Breaking.!U16</f>
        <v>1.9859813084112148</v>
      </c>
      <c r="Z28" s="1312">
        <f>[1]Breaking.!V16</f>
        <v>1.9859813084112148</v>
      </c>
      <c r="AA28" s="1312">
        <f>[1]Breaking.!W16</f>
        <v>1.9859813084112148</v>
      </c>
      <c r="AB28" s="1312">
        <f>[1]Breaking.!X16</f>
        <v>1.9859813084112148</v>
      </c>
      <c r="AC28" s="1312">
        <f>[1]Breaking.!Y16</f>
        <v>1.9859813084112148</v>
      </c>
      <c r="AD28" s="1312">
        <f>[1]Breaking.!Z16</f>
        <v>1.9859813084112148</v>
      </c>
      <c r="AE28" s="1312">
        <f>[1]Breaking.!AA16</f>
        <v>1.9859813084112148</v>
      </c>
      <c r="AF28" s="1312">
        <f>[1]Breaking.!AB16</f>
        <v>1.9859813084112148</v>
      </c>
      <c r="AG28" s="1312">
        <f>[1]Breaking.!AC16</f>
        <v>1.9859813084112148</v>
      </c>
      <c r="AH28" s="1312">
        <f>[1]Breaking.!AD16</f>
        <v>1.9859813084112148</v>
      </c>
      <c r="AI28" s="1312">
        <f>[1]Breaking.!AE16</f>
        <v>1.9859813084112148</v>
      </c>
      <c r="AJ28" s="1312">
        <f>[1]Breaking.!AF16</f>
        <v>1.9859813084112148</v>
      </c>
      <c r="AK28" s="1312">
        <f>[1]Breaking.!AG16</f>
        <v>1.9859813084112148</v>
      </c>
      <c r="AL28" s="1312">
        <f>[1]Breaking.!AH16</f>
        <v>1.9859813084112148</v>
      </c>
      <c r="AM28" s="1074"/>
    </row>
    <row r="29" spans="1:39" x14ac:dyDescent="0.25">
      <c r="B29" s="1607"/>
      <c r="C29" s="1662"/>
      <c r="D29" s="1664"/>
      <c r="E29" s="1313" t="s">
        <v>345</v>
      </c>
      <c r="F29" s="1314">
        <f t="shared" si="5"/>
        <v>0</v>
      </c>
      <c r="G29" s="1304">
        <f t="shared" ref="G29" si="6">IFERROR((F29-F28)/F28,0)</f>
        <v>-1</v>
      </c>
      <c r="H29" s="1315"/>
      <c r="I29" s="1314"/>
      <c r="J29" s="1314"/>
      <c r="K29" s="1314"/>
      <c r="L29" s="1314"/>
      <c r="M29" s="1314"/>
      <c r="N29" s="1314"/>
      <c r="O29" s="1314"/>
      <c r="P29" s="1314"/>
      <c r="Q29" s="1314"/>
      <c r="R29" s="1314"/>
      <c r="S29" s="1314"/>
      <c r="T29" s="1314"/>
      <c r="U29" s="1314"/>
      <c r="V29" s="1314"/>
      <c r="W29" s="1314"/>
      <c r="X29" s="1314"/>
      <c r="Y29" s="1314"/>
      <c r="Z29" s="1314"/>
      <c r="AA29" s="1314"/>
      <c r="AB29" s="1314"/>
      <c r="AC29" s="1314"/>
      <c r="AD29" s="1314"/>
      <c r="AE29" s="1314"/>
      <c r="AF29" s="1314"/>
      <c r="AG29" s="1314"/>
      <c r="AH29" s="1314"/>
      <c r="AI29" s="1314"/>
      <c r="AJ29" s="1314"/>
      <c r="AK29" s="1314"/>
      <c r="AL29" s="1314"/>
      <c r="AM29" s="1074"/>
    </row>
    <row r="30" spans="1:39" x14ac:dyDescent="0.25">
      <c r="B30" s="1607"/>
      <c r="C30" s="1662"/>
      <c r="D30" s="1612" t="s">
        <v>47</v>
      </c>
      <c r="E30" s="1309" t="s">
        <v>346</v>
      </c>
      <c r="F30" s="206">
        <f t="shared" ref="F30:F33" si="7">SUMIF($H$9:$AL$9,"&lt;="&amp;$C$7,H30:AL30)</f>
        <v>2.2242990654205603</v>
      </c>
      <c r="G30" s="1311"/>
      <c r="H30" s="1316">
        <f t="shared" ref="H30:AL31" si="8">+H28*H25/1000</f>
        <v>0.13901869158878502</v>
      </c>
      <c r="I30" s="1316">
        <f t="shared" si="8"/>
        <v>0.13901869158878502</v>
      </c>
      <c r="J30" s="1316">
        <f t="shared" si="8"/>
        <v>0.13901869158878502</v>
      </c>
      <c r="K30" s="1316">
        <f t="shared" si="8"/>
        <v>0.13901869158878502</v>
      </c>
      <c r="L30" s="1316">
        <f t="shared" si="8"/>
        <v>0.13901869158878502</v>
      </c>
      <c r="M30" s="1316">
        <f t="shared" si="8"/>
        <v>0.13901869158878502</v>
      </c>
      <c r="N30" s="1316">
        <f t="shared" si="8"/>
        <v>0.13901869158878502</v>
      </c>
      <c r="O30" s="1316">
        <f t="shared" si="8"/>
        <v>0.13901869158878502</v>
      </c>
      <c r="P30" s="1316">
        <f t="shared" si="8"/>
        <v>0.13901869158878502</v>
      </c>
      <c r="Q30" s="1316">
        <f t="shared" si="8"/>
        <v>0.13901869158878502</v>
      </c>
      <c r="R30" s="1316">
        <f t="shared" si="8"/>
        <v>0.13901869158878502</v>
      </c>
      <c r="S30" s="1316">
        <f t="shared" si="8"/>
        <v>0.13901869158878502</v>
      </c>
      <c r="T30" s="1316">
        <f t="shared" si="8"/>
        <v>0.13901869158878502</v>
      </c>
      <c r="U30" s="1316">
        <f t="shared" si="8"/>
        <v>0.13901869158878502</v>
      </c>
      <c r="V30" s="1316">
        <f t="shared" si="8"/>
        <v>0.13901869158878502</v>
      </c>
      <c r="W30" s="1316">
        <f t="shared" si="8"/>
        <v>0.13901869158878502</v>
      </c>
      <c r="X30" s="1316">
        <f t="shared" si="8"/>
        <v>0.13901869158878502</v>
      </c>
      <c r="Y30" s="1316">
        <f t="shared" si="8"/>
        <v>0.13901869158878502</v>
      </c>
      <c r="Z30" s="1316">
        <f t="shared" si="8"/>
        <v>0.13901869158878502</v>
      </c>
      <c r="AA30" s="1316">
        <f t="shared" si="8"/>
        <v>0.13901869158878502</v>
      </c>
      <c r="AB30" s="1316">
        <f t="shared" si="8"/>
        <v>0.13901869158878502</v>
      </c>
      <c r="AC30" s="1316">
        <f t="shared" si="8"/>
        <v>0.13901869158878502</v>
      </c>
      <c r="AD30" s="1316">
        <f t="shared" si="8"/>
        <v>0.13901869158878502</v>
      </c>
      <c r="AE30" s="1316">
        <f t="shared" si="8"/>
        <v>0.13901869158878502</v>
      </c>
      <c r="AF30" s="1316">
        <f t="shared" si="8"/>
        <v>0.13901869158878502</v>
      </c>
      <c r="AG30" s="1316">
        <f t="shared" si="8"/>
        <v>0.13901869158878502</v>
      </c>
      <c r="AH30" s="1316">
        <f t="shared" si="8"/>
        <v>0.13901869158878502</v>
      </c>
      <c r="AI30" s="1316">
        <f t="shared" si="8"/>
        <v>0.13901869158878502</v>
      </c>
      <c r="AJ30" s="1316">
        <f t="shared" si="8"/>
        <v>0.13901869158878502</v>
      </c>
      <c r="AK30" s="1316">
        <f t="shared" si="8"/>
        <v>0.13901869158878502</v>
      </c>
      <c r="AL30" s="1316">
        <f t="shared" si="8"/>
        <v>0.13901869158878502</v>
      </c>
      <c r="AM30" s="1078"/>
    </row>
    <row r="31" spans="1:39" ht="14.25" thickBot="1" x14ac:dyDescent="0.3">
      <c r="B31" s="1660"/>
      <c r="C31" s="1663"/>
      <c r="D31" s="1665"/>
      <c r="E31" s="1320" t="s">
        <v>347</v>
      </c>
      <c r="F31" s="1321">
        <f t="shared" si="7"/>
        <v>0</v>
      </c>
      <c r="G31" s="1322">
        <f t="shared" ref="G31" si="9">IFERROR((F31-F30)/F30,0)</f>
        <v>-1</v>
      </c>
      <c r="H31" s="1323">
        <v>0</v>
      </c>
      <c r="I31" s="1323">
        <f t="shared" si="8"/>
        <v>0</v>
      </c>
      <c r="J31" s="1323">
        <f t="shared" si="8"/>
        <v>0</v>
      </c>
      <c r="K31" s="1323">
        <f t="shared" si="8"/>
        <v>0</v>
      </c>
      <c r="L31" s="1323">
        <f t="shared" si="8"/>
        <v>0</v>
      </c>
      <c r="M31" s="1323">
        <f t="shared" si="8"/>
        <v>0</v>
      </c>
      <c r="N31" s="1323">
        <f t="shared" si="8"/>
        <v>0</v>
      </c>
      <c r="O31" s="1323">
        <f t="shared" si="8"/>
        <v>0</v>
      </c>
      <c r="P31" s="1323">
        <f t="shared" si="8"/>
        <v>0</v>
      </c>
      <c r="Q31" s="1323">
        <f t="shared" si="8"/>
        <v>0</v>
      </c>
      <c r="R31" s="1323">
        <f t="shared" si="8"/>
        <v>0</v>
      </c>
      <c r="S31" s="1323">
        <f t="shared" si="8"/>
        <v>0</v>
      </c>
      <c r="T31" s="1323">
        <f t="shared" si="8"/>
        <v>0</v>
      </c>
      <c r="U31" s="1323">
        <f t="shared" si="8"/>
        <v>0</v>
      </c>
      <c r="V31" s="1323">
        <f t="shared" si="8"/>
        <v>0</v>
      </c>
      <c r="W31" s="1323">
        <f t="shared" si="8"/>
        <v>0</v>
      </c>
      <c r="X31" s="1323">
        <f t="shared" si="8"/>
        <v>0</v>
      </c>
      <c r="Y31" s="1323">
        <f t="shared" si="8"/>
        <v>0</v>
      </c>
      <c r="Z31" s="1323">
        <f t="shared" si="8"/>
        <v>0</v>
      </c>
      <c r="AA31" s="1323">
        <f t="shared" si="8"/>
        <v>0</v>
      </c>
      <c r="AB31" s="1323">
        <f t="shared" si="8"/>
        <v>0</v>
      </c>
      <c r="AC31" s="1323">
        <f t="shared" si="8"/>
        <v>0</v>
      </c>
      <c r="AD31" s="1323">
        <f t="shared" si="8"/>
        <v>0</v>
      </c>
      <c r="AE31" s="1323">
        <f t="shared" si="8"/>
        <v>0</v>
      </c>
      <c r="AF31" s="1323">
        <f t="shared" si="8"/>
        <v>0</v>
      </c>
      <c r="AG31" s="1323">
        <f t="shared" si="8"/>
        <v>0</v>
      </c>
      <c r="AH31" s="1323">
        <f t="shared" si="8"/>
        <v>0</v>
      </c>
      <c r="AI31" s="1323">
        <f t="shared" si="8"/>
        <v>0</v>
      </c>
      <c r="AJ31" s="1323">
        <f t="shared" si="8"/>
        <v>0</v>
      </c>
      <c r="AK31" s="1323">
        <f t="shared" si="8"/>
        <v>0</v>
      </c>
      <c r="AL31" s="1323">
        <f t="shared" si="8"/>
        <v>0</v>
      </c>
      <c r="AM31" s="1079"/>
    </row>
    <row r="32" spans="1:39" s="1069" customFormat="1" ht="14.85" customHeight="1" x14ac:dyDescent="0.25">
      <c r="B32" s="1608">
        <v>1</v>
      </c>
      <c r="C32" s="1672" t="str">
        <f>[1]Stoping!C39</f>
        <v>3L_W24B STOPE</v>
      </c>
      <c r="D32" s="1611" t="s">
        <v>340</v>
      </c>
      <c r="E32" s="1070" t="s">
        <v>341</v>
      </c>
      <c r="F32" s="196">
        <f t="shared" si="7"/>
        <v>1120</v>
      </c>
      <c r="G32" s="1071"/>
      <c r="H32" s="198">
        <f>[1]Stoping!H39</f>
        <v>70</v>
      </c>
      <c r="I32" s="198">
        <f>[1]Stoping!I39</f>
        <v>70</v>
      </c>
      <c r="J32" s="198">
        <f>[1]Stoping!J39</f>
        <v>70</v>
      </c>
      <c r="K32" s="199">
        <f>[1]Stoping!K39</f>
        <v>70</v>
      </c>
      <c r="L32" s="199">
        <f>[1]Stoping!L39</f>
        <v>70</v>
      </c>
      <c r="M32" s="199">
        <f>[1]Stoping!M39</f>
        <v>70</v>
      </c>
      <c r="N32" s="199">
        <f>[1]Stoping!N39</f>
        <v>70</v>
      </c>
      <c r="O32" s="199">
        <f>[1]Stoping!O39</f>
        <v>70</v>
      </c>
      <c r="P32" s="200">
        <f>[1]Stoping!P39</f>
        <v>70</v>
      </c>
      <c r="Q32" s="199">
        <f>[1]Stoping!Q39</f>
        <v>70</v>
      </c>
      <c r="R32" s="199">
        <f>[1]Stoping!R39</f>
        <v>70</v>
      </c>
      <c r="S32" s="199">
        <f>[1]Stoping!S39</f>
        <v>70</v>
      </c>
      <c r="T32" s="199">
        <f>[1]Stoping!T39</f>
        <v>70</v>
      </c>
      <c r="U32" s="199">
        <f>[1]Stoping!U39</f>
        <v>70</v>
      </c>
      <c r="V32" s="199">
        <f>[1]Stoping!V39</f>
        <v>70</v>
      </c>
      <c r="W32" s="199">
        <f>[1]Stoping!W39</f>
        <v>70</v>
      </c>
      <c r="X32" s="199">
        <f>[1]Stoping!X39</f>
        <v>70</v>
      </c>
      <c r="Y32" s="199">
        <f>[1]Stoping!Y39</f>
        <v>70</v>
      </c>
      <c r="Z32" s="199">
        <f>[1]Stoping!Z39</f>
        <v>70</v>
      </c>
      <c r="AA32" s="199">
        <f>[1]Stoping!AA39</f>
        <v>70</v>
      </c>
      <c r="AB32" s="199">
        <f>[1]Stoping!AB39</f>
        <v>70</v>
      </c>
      <c r="AC32" s="199">
        <f>[1]Stoping!AC39</f>
        <v>70</v>
      </c>
      <c r="AD32" s="199">
        <f>[1]Stoping!AD39</f>
        <v>70</v>
      </c>
      <c r="AE32" s="199">
        <f>[1]Stoping!AE39</f>
        <v>70</v>
      </c>
      <c r="AF32" s="199">
        <f>[1]Stoping!AF39</f>
        <v>70</v>
      </c>
      <c r="AG32" s="199">
        <f>[1]Stoping!AG39</f>
        <v>70</v>
      </c>
      <c r="AH32" s="199">
        <f>[1]Stoping!AH39</f>
        <v>70</v>
      </c>
      <c r="AI32" s="199">
        <f>[1]Stoping!AI39</f>
        <v>70</v>
      </c>
      <c r="AJ32" s="199">
        <f>[1]Stoping!AJ39</f>
        <v>70</v>
      </c>
      <c r="AK32" s="199">
        <f>[1]Stoping!AK39</f>
        <v>70</v>
      </c>
      <c r="AL32" s="201">
        <f>[1]Stoping!AL39</f>
        <v>70</v>
      </c>
      <c r="AM32" s="1072"/>
    </row>
    <row r="33" spans="2:39" x14ac:dyDescent="0.25">
      <c r="B33" s="1607"/>
      <c r="C33" s="1662"/>
      <c r="D33" s="1610"/>
      <c r="E33" s="1302" t="s">
        <v>342</v>
      </c>
      <c r="F33" s="1303">
        <f t="shared" si="7"/>
        <v>3202</v>
      </c>
      <c r="G33" s="1304">
        <f t="shared" ref="G33" si="10">IFERROR((F33-F32)/F32,0)</f>
        <v>1.8589285714285715</v>
      </c>
      <c r="H33" s="1305">
        <v>194</v>
      </c>
      <c r="I33" s="1303">
        <v>212</v>
      </c>
      <c r="J33" s="1303">
        <v>210</v>
      </c>
      <c r="K33" s="1303">
        <v>206</v>
      </c>
      <c r="L33" s="1303">
        <v>180</v>
      </c>
      <c r="M33" s="1303">
        <v>140</v>
      </c>
      <c r="N33" s="1303">
        <v>116</v>
      </c>
      <c r="O33" s="1303">
        <v>170</v>
      </c>
      <c r="P33" s="1303">
        <v>256</v>
      </c>
      <c r="Q33" s="1303">
        <v>276</v>
      </c>
      <c r="R33" s="1303">
        <v>204</v>
      </c>
      <c r="S33" s="1303">
        <v>264</v>
      </c>
      <c r="T33" s="1303">
        <v>288</v>
      </c>
      <c r="U33" s="1303">
        <v>228</v>
      </c>
      <c r="V33" s="1303">
        <v>258</v>
      </c>
      <c r="W33" s="1303"/>
      <c r="X33" s="1303"/>
      <c r="Y33" s="1303"/>
      <c r="Z33" s="1303"/>
      <c r="AA33" s="1303"/>
      <c r="AB33" s="1303"/>
      <c r="AC33" s="1303"/>
      <c r="AD33" s="1303"/>
      <c r="AE33" s="1303"/>
      <c r="AF33" s="1303"/>
      <c r="AG33" s="1303"/>
      <c r="AH33" s="1303"/>
      <c r="AI33" s="1303"/>
      <c r="AJ33" s="1303"/>
      <c r="AK33" s="1303"/>
      <c r="AL33" s="1303"/>
      <c r="AM33" s="1074"/>
    </row>
    <row r="34" spans="2:39" x14ac:dyDescent="0.25">
      <c r="B34" s="1607"/>
      <c r="C34" s="1662"/>
      <c r="D34" s="1610"/>
      <c r="E34" s="1324" t="s">
        <v>312</v>
      </c>
      <c r="F34" s="1307"/>
      <c r="G34" s="1308"/>
      <c r="H34" s="1075"/>
      <c r="I34" s="1075"/>
      <c r="J34" s="1075"/>
      <c r="K34" s="1075"/>
      <c r="L34" s="1075"/>
      <c r="M34" s="1075"/>
      <c r="N34" s="1075"/>
      <c r="O34" s="1075"/>
      <c r="P34" s="1076"/>
      <c r="Q34" s="1075"/>
      <c r="R34" s="1075"/>
      <c r="S34" s="1075"/>
      <c r="T34" s="1075"/>
      <c r="U34" s="1075"/>
      <c r="V34" s="1075"/>
      <c r="W34" s="1075"/>
      <c r="X34" s="1075"/>
      <c r="Y34" s="1075"/>
      <c r="Z34" s="1075"/>
      <c r="AA34" s="1075"/>
      <c r="AB34" s="1075"/>
      <c r="AC34" s="1075"/>
      <c r="AD34" s="1075"/>
      <c r="AE34" s="1075"/>
      <c r="AF34" s="1075"/>
      <c r="AG34" s="1075"/>
      <c r="AH34" s="1075"/>
      <c r="AI34" s="1075"/>
      <c r="AJ34" s="1075"/>
      <c r="AK34" s="1075"/>
      <c r="AL34" s="1077"/>
      <c r="AM34" s="1074"/>
    </row>
    <row r="35" spans="2:39" x14ac:dyDescent="0.25">
      <c r="B35" s="1607"/>
      <c r="C35" s="1662"/>
      <c r="D35" s="1612" t="s">
        <v>343</v>
      </c>
      <c r="E35" s="1309" t="s">
        <v>344</v>
      </c>
      <c r="F35" s="1310">
        <f t="shared" ref="F35:F36" si="11">IFERROR(F37*1000/F32,0)</f>
        <v>1.5987149532710272</v>
      </c>
      <c r="G35" s="1311"/>
      <c r="H35" s="1312">
        <f>[1]Breaking.!D18</f>
        <v>1.8271028037383175</v>
      </c>
      <c r="I35" s="1312">
        <f>[1]Breaking.!E18</f>
        <v>1.8271028037383175</v>
      </c>
      <c r="J35" s="1312">
        <f>[1]Breaking.!F18</f>
        <v>1.8271028037383175</v>
      </c>
      <c r="K35" s="1312">
        <f>[1]Breaking.!G18</f>
        <v>1.8271028037383175</v>
      </c>
      <c r="L35" s="1312">
        <f>[1]Breaking.!H18</f>
        <v>1.8271028037383175</v>
      </c>
      <c r="M35" s="1312">
        <f>[1]Breaking.!I18</f>
        <v>1.8271028037383175</v>
      </c>
      <c r="N35" s="1312">
        <f>[1]Breaking.!J18</f>
        <v>1.8271028037383175</v>
      </c>
      <c r="O35" s="1312">
        <f>[1]Breaking.!K18</f>
        <v>1.8271028037383175</v>
      </c>
      <c r="P35" s="1312">
        <f>[1]Breaking.!L18</f>
        <v>1.8271028037383175</v>
      </c>
      <c r="Q35" s="1312">
        <f>[1]Breaking.!M18</f>
        <v>1.8271028037383175</v>
      </c>
      <c r="R35" s="1312">
        <f>[1]Breaking.!N18</f>
        <v>1.8271028037383175</v>
      </c>
      <c r="S35" s="1312">
        <f>[1]Breaking.!O18</f>
        <v>1.8271028037383175</v>
      </c>
      <c r="T35" s="1312">
        <f>[1]Breaking.!P18</f>
        <v>1.8271028037383175</v>
      </c>
      <c r="U35" s="1312">
        <f>[1]Breaking.!Q18</f>
        <v>1.8271028037383175</v>
      </c>
      <c r="V35" s="1312">
        <f>[1]Breaking.!R18</f>
        <v>1.8271028037383175</v>
      </c>
      <c r="W35" s="1312">
        <f>[1]Breaking.!S18</f>
        <v>1.8271028037383175</v>
      </c>
      <c r="X35" s="1312">
        <f>[1]Breaking.!T18</f>
        <v>1.8271028037383175</v>
      </c>
      <c r="Y35" s="1312">
        <f>[1]Breaking.!U18</f>
        <v>1.8271028037383175</v>
      </c>
      <c r="Z35" s="1312">
        <f>[1]Breaking.!V18</f>
        <v>1.8271028037383175</v>
      </c>
      <c r="AA35" s="1312">
        <f>[1]Breaking.!W18</f>
        <v>1.8271028037383175</v>
      </c>
      <c r="AB35" s="1312">
        <f>[1]Breaking.!X18</f>
        <v>1.8271028037383175</v>
      </c>
      <c r="AC35" s="1312">
        <f>[1]Breaking.!Y18</f>
        <v>1.8271028037383175</v>
      </c>
      <c r="AD35" s="1312">
        <f>[1]Breaking.!Z18</f>
        <v>1.8271028037383175</v>
      </c>
      <c r="AE35" s="1312">
        <f>[1]Breaking.!AA18</f>
        <v>1.8271028037383175</v>
      </c>
      <c r="AF35" s="1312">
        <f>[1]Breaking.!AB18</f>
        <v>1.8271028037383175</v>
      </c>
      <c r="AG35" s="1312">
        <f>[1]Breaking.!AC18</f>
        <v>1.8271028037383175</v>
      </c>
      <c r="AH35" s="1312">
        <f>[1]Breaking.!AD18</f>
        <v>1.8271028037383175</v>
      </c>
      <c r="AI35" s="1312">
        <f>[1]Breaking.!AE18</f>
        <v>1.8271028037383175</v>
      </c>
      <c r="AJ35" s="1312">
        <f>[1]Breaking.!AF18</f>
        <v>1.8271028037383175</v>
      </c>
      <c r="AK35" s="1312">
        <f>[1]Breaking.!AG18</f>
        <v>1.8271028037383175</v>
      </c>
      <c r="AL35" s="1312">
        <f>[1]Breaking.!AH18</f>
        <v>1.8271028037383175</v>
      </c>
      <c r="AM35" s="1074"/>
    </row>
    <row r="36" spans="2:39" x14ac:dyDescent="0.25">
      <c r="B36" s="1607"/>
      <c r="C36" s="1662"/>
      <c r="D36" s="1664"/>
      <c r="E36" s="1313" t="s">
        <v>345</v>
      </c>
      <c r="F36" s="1314">
        <f t="shared" si="11"/>
        <v>2.0562398500936916</v>
      </c>
      <c r="G36" s="1304">
        <f t="shared" ref="G36" si="12">IFERROR((F36-F35)/F35,0)</f>
        <v>0.28618290952152059</v>
      </c>
      <c r="H36" s="1315">
        <v>1.1000000000000001</v>
      </c>
      <c r="I36" s="1314">
        <v>1.7</v>
      </c>
      <c r="J36" s="1314">
        <v>1.9</v>
      </c>
      <c r="K36" s="1314">
        <v>2.2000000000000002</v>
      </c>
      <c r="L36" s="1314">
        <v>2.25</v>
      </c>
      <c r="M36" s="1314">
        <v>3.19</v>
      </c>
      <c r="N36" s="1314">
        <v>2.68</v>
      </c>
      <c r="O36" s="1314">
        <v>2.5299999999999998</v>
      </c>
      <c r="P36" s="1314">
        <v>2.89</v>
      </c>
      <c r="Q36" s="1314">
        <v>2.1</v>
      </c>
      <c r="R36" s="1314">
        <v>2.35</v>
      </c>
      <c r="S36" s="1314">
        <v>3</v>
      </c>
      <c r="T36" s="1314">
        <v>1.49</v>
      </c>
      <c r="U36" s="1314">
        <v>1.62</v>
      </c>
      <c r="V36" s="1314">
        <v>1.51</v>
      </c>
      <c r="W36" s="1314"/>
      <c r="X36" s="1314"/>
      <c r="Y36" s="1314"/>
      <c r="Z36" s="1314"/>
      <c r="AA36" s="1314"/>
      <c r="AB36" s="1314"/>
      <c r="AC36" s="1314"/>
      <c r="AD36" s="1314"/>
      <c r="AE36" s="1314"/>
      <c r="AF36" s="1314"/>
      <c r="AG36" s="1314"/>
      <c r="AH36" s="1314"/>
      <c r="AI36" s="1314"/>
      <c r="AJ36" s="1314"/>
      <c r="AK36" s="1314"/>
      <c r="AL36" s="1314"/>
      <c r="AM36" s="1074"/>
    </row>
    <row r="37" spans="2:39" x14ac:dyDescent="0.25">
      <c r="B37" s="1607"/>
      <c r="C37" s="1662"/>
      <c r="D37" s="1612" t="s">
        <v>47</v>
      </c>
      <c r="E37" s="1309" t="s">
        <v>346</v>
      </c>
      <c r="F37" s="206">
        <f t="shared" ref="F37:F39" si="13">SUMIF($H$9:$AL$9,"&lt;="&amp;$C$7,H37:AL37)</f>
        <v>1.7905607476635506</v>
      </c>
      <c r="G37" s="1311"/>
      <c r="H37" s="1316">
        <f t="shared" ref="H37:AL38" si="14">+H35*H32/1000</f>
        <v>0.12789719626168222</v>
      </c>
      <c r="I37" s="1316">
        <f t="shared" si="14"/>
        <v>0.12789719626168222</v>
      </c>
      <c r="J37" s="1316">
        <f t="shared" si="14"/>
        <v>0.12789719626168222</v>
      </c>
      <c r="K37" s="1316"/>
      <c r="L37" s="1316">
        <f t="shared" si="14"/>
        <v>0.12789719626168222</v>
      </c>
      <c r="M37" s="1316">
        <f t="shared" si="14"/>
        <v>0.12789719626168222</v>
      </c>
      <c r="N37" s="1316">
        <f t="shared" si="14"/>
        <v>0.12789719626168222</v>
      </c>
      <c r="O37" s="1316">
        <f t="shared" si="14"/>
        <v>0.12789719626168222</v>
      </c>
      <c r="P37" s="1316" t="s">
        <v>360</v>
      </c>
      <c r="Q37" s="1316">
        <f t="shared" si="14"/>
        <v>0.12789719626168222</v>
      </c>
      <c r="R37" s="1316">
        <f t="shared" si="14"/>
        <v>0.12789719626168222</v>
      </c>
      <c r="S37" s="1316">
        <f t="shared" si="14"/>
        <v>0.12789719626168222</v>
      </c>
      <c r="T37" s="1316">
        <f t="shared" si="14"/>
        <v>0.12789719626168222</v>
      </c>
      <c r="U37" s="1316">
        <f t="shared" si="14"/>
        <v>0.12789719626168222</v>
      </c>
      <c r="V37" s="1316">
        <f t="shared" si="14"/>
        <v>0.12789719626168222</v>
      </c>
      <c r="W37" s="1316">
        <f t="shared" si="14"/>
        <v>0.12789719626168222</v>
      </c>
      <c r="X37" s="1316">
        <f t="shared" si="14"/>
        <v>0.12789719626168222</v>
      </c>
      <c r="Y37" s="1316">
        <f t="shared" si="14"/>
        <v>0.12789719626168222</v>
      </c>
      <c r="Z37" s="1316">
        <f t="shared" si="14"/>
        <v>0.12789719626168222</v>
      </c>
      <c r="AA37" s="1316">
        <f t="shared" si="14"/>
        <v>0.12789719626168222</v>
      </c>
      <c r="AB37" s="1316">
        <f t="shared" si="14"/>
        <v>0.12789719626168222</v>
      </c>
      <c r="AC37" s="1316">
        <f t="shared" si="14"/>
        <v>0.12789719626168222</v>
      </c>
      <c r="AD37" s="1316">
        <f t="shared" si="14"/>
        <v>0.12789719626168222</v>
      </c>
      <c r="AE37" s="1316">
        <f t="shared" si="14"/>
        <v>0.12789719626168222</v>
      </c>
      <c r="AF37" s="1316">
        <f t="shared" si="14"/>
        <v>0.12789719626168222</v>
      </c>
      <c r="AG37" s="1316">
        <f t="shared" si="14"/>
        <v>0.12789719626168222</v>
      </c>
      <c r="AH37" s="1316">
        <f t="shared" si="14"/>
        <v>0.12789719626168222</v>
      </c>
      <c r="AI37" s="1316">
        <f t="shared" si="14"/>
        <v>0.12789719626168222</v>
      </c>
      <c r="AJ37" s="1316">
        <f t="shared" si="14"/>
        <v>0.12789719626168222</v>
      </c>
      <c r="AK37" s="1316">
        <f t="shared" si="14"/>
        <v>0.12789719626168222</v>
      </c>
      <c r="AL37" s="1316">
        <f t="shared" si="14"/>
        <v>0.12789719626168222</v>
      </c>
      <c r="AM37" s="1078"/>
    </row>
    <row r="38" spans="2:39" ht="14.25" thickBot="1" x14ac:dyDescent="0.3">
      <c r="B38" s="1660"/>
      <c r="C38" s="1663"/>
      <c r="D38" s="1665"/>
      <c r="E38" s="1320" t="s">
        <v>347</v>
      </c>
      <c r="F38" s="1321">
        <f t="shared" si="13"/>
        <v>6.5840800000000002</v>
      </c>
      <c r="G38" s="1322">
        <f t="shared" ref="G38" si="15">IFERROR((F38-F37)/F37,0)</f>
        <v>2.6771050681142041</v>
      </c>
      <c r="H38" s="1323">
        <v>0</v>
      </c>
      <c r="I38" s="1323">
        <f t="shared" si="14"/>
        <v>0.3604</v>
      </c>
      <c r="J38" s="1323">
        <f t="shared" si="14"/>
        <v>0.39900000000000002</v>
      </c>
      <c r="K38" s="1323">
        <f t="shared" si="14"/>
        <v>0.45320000000000005</v>
      </c>
      <c r="L38" s="1323">
        <f t="shared" si="14"/>
        <v>0.40500000000000003</v>
      </c>
      <c r="M38" s="1323">
        <f t="shared" si="14"/>
        <v>0.44659999999999994</v>
      </c>
      <c r="N38" s="1323">
        <f t="shared" si="14"/>
        <v>0.31087999999999999</v>
      </c>
      <c r="O38" s="1323">
        <f t="shared" si="14"/>
        <v>0.43009999999999998</v>
      </c>
      <c r="P38" s="1323">
        <f t="shared" si="14"/>
        <v>0.73984000000000005</v>
      </c>
      <c r="Q38" s="1323">
        <f t="shared" si="14"/>
        <v>0.5796</v>
      </c>
      <c r="R38" s="1323">
        <f t="shared" si="14"/>
        <v>0.47940000000000005</v>
      </c>
      <c r="S38" s="1323">
        <f t="shared" si="14"/>
        <v>0.79200000000000004</v>
      </c>
      <c r="T38" s="1323">
        <f t="shared" si="14"/>
        <v>0.42912</v>
      </c>
      <c r="U38" s="1323">
        <f t="shared" si="14"/>
        <v>0.36936000000000002</v>
      </c>
      <c r="V38" s="1323">
        <f t="shared" si="14"/>
        <v>0.38957999999999998</v>
      </c>
      <c r="W38" s="1323">
        <f t="shared" si="14"/>
        <v>0</v>
      </c>
      <c r="X38" s="1323">
        <f t="shared" si="14"/>
        <v>0</v>
      </c>
      <c r="Y38" s="1323">
        <f t="shared" si="14"/>
        <v>0</v>
      </c>
      <c r="Z38" s="1323">
        <f t="shared" si="14"/>
        <v>0</v>
      </c>
      <c r="AA38" s="1323">
        <f t="shared" si="14"/>
        <v>0</v>
      </c>
      <c r="AB38" s="1323">
        <f t="shared" si="14"/>
        <v>0</v>
      </c>
      <c r="AC38" s="1323">
        <f t="shared" si="14"/>
        <v>0</v>
      </c>
      <c r="AD38" s="1323">
        <f t="shared" si="14"/>
        <v>0</v>
      </c>
      <c r="AE38" s="1323">
        <f t="shared" si="14"/>
        <v>0</v>
      </c>
      <c r="AF38" s="1323">
        <f t="shared" si="14"/>
        <v>0</v>
      </c>
      <c r="AG38" s="1323">
        <f t="shared" si="14"/>
        <v>0</v>
      </c>
      <c r="AH38" s="1323">
        <f t="shared" si="14"/>
        <v>0</v>
      </c>
      <c r="AI38" s="1323">
        <f t="shared" si="14"/>
        <v>0</v>
      </c>
      <c r="AJ38" s="1323">
        <f t="shared" si="14"/>
        <v>0</v>
      </c>
      <c r="AK38" s="1323">
        <f t="shared" si="14"/>
        <v>0</v>
      </c>
      <c r="AL38" s="1323">
        <f t="shared" si="14"/>
        <v>0</v>
      </c>
      <c r="AM38" s="1079"/>
    </row>
    <row r="39" spans="2:39" s="1069" customFormat="1" ht="14.85" customHeight="1" x14ac:dyDescent="0.25">
      <c r="B39" s="1608">
        <v>1</v>
      </c>
      <c r="C39" s="1661" t="str">
        <f>[1]Stoping!C46</f>
        <v xml:space="preserve">4L_W26 STOPE </v>
      </c>
      <c r="D39" s="1611" t="s">
        <v>340</v>
      </c>
      <c r="E39" s="1070" t="s">
        <v>341</v>
      </c>
      <c r="F39" s="196">
        <f t="shared" si="13"/>
        <v>1120</v>
      </c>
      <c r="G39" s="1071"/>
      <c r="H39" s="198">
        <f>[1]Stoping!H46</f>
        <v>70</v>
      </c>
      <c r="I39" s="198">
        <f>[1]Stoping!I46</f>
        <v>70</v>
      </c>
      <c r="J39" s="198">
        <f>[1]Stoping!J46</f>
        <v>70</v>
      </c>
      <c r="K39" s="199">
        <f>[1]Stoping!K46</f>
        <v>70</v>
      </c>
      <c r="L39" s="199">
        <f>[1]Stoping!L46</f>
        <v>70</v>
      </c>
      <c r="M39" s="199">
        <f>[1]Stoping!M46</f>
        <v>70</v>
      </c>
      <c r="N39" s="199">
        <f>[1]Stoping!N46</f>
        <v>70</v>
      </c>
      <c r="O39" s="199">
        <f>[1]Stoping!O46</f>
        <v>70</v>
      </c>
      <c r="P39" s="200">
        <f>[1]Stoping!P46</f>
        <v>70</v>
      </c>
      <c r="Q39" s="199">
        <f>[1]Stoping!Q46</f>
        <v>70</v>
      </c>
      <c r="R39" s="199">
        <f>[1]Stoping!R46</f>
        <v>70</v>
      </c>
      <c r="S39" s="199">
        <f>[1]Stoping!S46</f>
        <v>70</v>
      </c>
      <c r="T39" s="199">
        <f>[1]Stoping!T46</f>
        <v>70</v>
      </c>
      <c r="U39" s="199">
        <f>[1]Stoping!U46</f>
        <v>70</v>
      </c>
      <c r="V39" s="199">
        <f>[1]Stoping!V46</f>
        <v>70</v>
      </c>
      <c r="W39" s="199">
        <f>[1]Stoping!W46</f>
        <v>70</v>
      </c>
      <c r="X39" s="199">
        <f>[1]Stoping!X46</f>
        <v>70</v>
      </c>
      <c r="Y39" s="199">
        <f>[1]Stoping!Y46</f>
        <v>70</v>
      </c>
      <c r="Z39" s="199">
        <f>[1]Stoping!Z46</f>
        <v>70</v>
      </c>
      <c r="AA39" s="199">
        <f>[1]Stoping!AA46</f>
        <v>70</v>
      </c>
      <c r="AB39" s="199">
        <f>[1]Stoping!AB46</f>
        <v>70</v>
      </c>
      <c r="AC39" s="199">
        <f>[1]Stoping!AC46</f>
        <v>70</v>
      </c>
      <c r="AD39" s="199">
        <f>[1]Stoping!AD46</f>
        <v>70</v>
      </c>
      <c r="AE39" s="199">
        <f>[1]Stoping!AE46</f>
        <v>70</v>
      </c>
      <c r="AF39" s="199">
        <f>[1]Stoping!AF46</f>
        <v>70</v>
      </c>
      <c r="AG39" s="199">
        <f>[1]Stoping!AG46</f>
        <v>70</v>
      </c>
      <c r="AH39" s="199">
        <f>[1]Stoping!AH46</f>
        <v>70</v>
      </c>
      <c r="AI39" s="199">
        <f>[1]Stoping!AI46</f>
        <v>70</v>
      </c>
      <c r="AJ39" s="199">
        <f>[1]Stoping!AJ46</f>
        <v>70</v>
      </c>
      <c r="AK39" s="199">
        <f>[1]Stoping!AK46</f>
        <v>70</v>
      </c>
      <c r="AL39" s="201">
        <f>[1]Stoping!AL46</f>
        <v>70</v>
      </c>
      <c r="AM39" s="1072"/>
    </row>
    <row r="40" spans="2:39" x14ac:dyDescent="0.25">
      <c r="B40" s="1607"/>
      <c r="C40" s="1662"/>
      <c r="D40" s="1610"/>
      <c r="E40" s="1302" t="s">
        <v>342</v>
      </c>
      <c r="F40" s="1303"/>
      <c r="G40" s="1304">
        <f t="shared" ref="G40" si="16">IFERROR((F40-F39)/F39,0)</f>
        <v>-1</v>
      </c>
      <c r="H40" s="1305">
        <v>0</v>
      </c>
      <c r="I40" s="1303">
        <v>85</v>
      </c>
      <c r="J40" s="1303">
        <f>36+54</f>
        <v>90</v>
      </c>
      <c r="K40" s="1303">
        <v>70</v>
      </c>
      <c r="L40" s="1303">
        <v>12</v>
      </c>
      <c r="M40" s="1303">
        <v>0</v>
      </c>
      <c r="N40" s="1303">
        <v>0</v>
      </c>
      <c r="O40" s="1303">
        <v>0</v>
      </c>
      <c r="P40" s="1303">
        <v>0</v>
      </c>
      <c r="Q40" s="1303"/>
      <c r="R40" s="1303"/>
      <c r="S40" s="1303"/>
      <c r="T40" s="1303"/>
      <c r="U40" s="1303"/>
      <c r="V40" s="1303"/>
      <c r="W40" s="1303"/>
      <c r="X40" s="1303"/>
      <c r="Y40" s="1303"/>
      <c r="Z40" s="1303"/>
      <c r="AA40" s="1303"/>
      <c r="AB40" s="1303"/>
      <c r="AC40" s="1303"/>
      <c r="AD40" s="1303"/>
      <c r="AE40" s="1303"/>
      <c r="AF40" s="1303"/>
      <c r="AG40" s="1303"/>
      <c r="AH40" s="1303"/>
      <c r="AI40" s="1303"/>
      <c r="AJ40" s="1303"/>
      <c r="AK40" s="1303"/>
      <c r="AL40" s="1303"/>
      <c r="AM40" s="1074"/>
    </row>
    <row r="41" spans="2:39" x14ac:dyDescent="0.25">
      <c r="B41" s="1607"/>
      <c r="C41" s="1662"/>
      <c r="D41" s="1610"/>
      <c r="E41" s="1324" t="s">
        <v>312</v>
      </c>
      <c r="F41" s="1307"/>
      <c r="G41" s="1308"/>
      <c r="H41" s="1075"/>
      <c r="I41" s="1075"/>
      <c r="J41" s="1075"/>
      <c r="K41" s="1075"/>
      <c r="L41" s="1075"/>
      <c r="M41" s="1075"/>
      <c r="N41" s="1075"/>
      <c r="O41" s="1075"/>
      <c r="P41" s="1076"/>
      <c r="Q41" s="1075"/>
      <c r="R41" s="1075"/>
      <c r="S41" s="1075"/>
      <c r="T41" s="1075"/>
      <c r="U41" s="1075"/>
      <c r="V41" s="1075"/>
      <c r="W41" s="1075"/>
      <c r="X41" s="1075"/>
      <c r="Y41" s="1075"/>
      <c r="Z41" s="1075"/>
      <c r="AA41" s="1075"/>
      <c r="AB41" s="1075"/>
      <c r="AC41" s="1075"/>
      <c r="AD41" s="1075"/>
      <c r="AE41" s="1075"/>
      <c r="AF41" s="1075"/>
      <c r="AG41" s="1075"/>
      <c r="AH41" s="1075"/>
      <c r="AI41" s="1075"/>
      <c r="AJ41" s="1075"/>
      <c r="AK41" s="1075"/>
      <c r="AL41" s="1077"/>
      <c r="AM41" s="1074"/>
    </row>
    <row r="42" spans="2:39" x14ac:dyDescent="0.25">
      <c r="B42" s="1607"/>
      <c r="C42" s="1662"/>
      <c r="D42" s="1612" t="s">
        <v>343</v>
      </c>
      <c r="E42" s="1309" t="s">
        <v>344</v>
      </c>
      <c r="F42" s="1310">
        <f t="shared" ref="F42:F43" si="17">IFERROR(F44*1000/F39,0)</f>
        <v>1.9462616822429899</v>
      </c>
      <c r="G42" s="1311"/>
      <c r="H42" s="1312">
        <f>[1]Breaking.!D48</f>
        <v>1.9462616822429906</v>
      </c>
      <c r="I42" s="1312">
        <f>[1]Breaking.!E48</f>
        <v>1.9462616822429906</v>
      </c>
      <c r="J42" s="1312">
        <f>[1]Breaking.!F48</f>
        <v>1.9462616822429906</v>
      </c>
      <c r="K42" s="1312">
        <f>[1]Breaking.!G48</f>
        <v>1.9462616822429906</v>
      </c>
      <c r="L42" s="1312">
        <f>[1]Breaking.!H48</f>
        <v>1.9462616822429906</v>
      </c>
      <c r="M42" s="1312">
        <f>[1]Breaking.!I48</f>
        <v>1.9462616822429906</v>
      </c>
      <c r="N42" s="1312">
        <f>[1]Breaking.!J48</f>
        <v>1.9462616822429906</v>
      </c>
      <c r="O42" s="1312">
        <f>[1]Breaking.!K48</f>
        <v>1.9462616822429906</v>
      </c>
      <c r="P42" s="1312">
        <f>[1]Breaking.!L48</f>
        <v>1.9462616822429906</v>
      </c>
      <c r="Q42" s="1312">
        <f>[1]Breaking.!M48</f>
        <v>1.9462616822429906</v>
      </c>
      <c r="R42" s="1312">
        <f>[1]Breaking.!N48</f>
        <v>1.9462616822429906</v>
      </c>
      <c r="S42" s="1312">
        <f>[1]Breaking.!O48</f>
        <v>1.9462616822429906</v>
      </c>
      <c r="T42" s="1312">
        <f>[1]Breaking.!P48</f>
        <v>1.9462616822429906</v>
      </c>
      <c r="U42" s="1312">
        <f>[1]Breaking.!Q48</f>
        <v>1.9462616822429906</v>
      </c>
      <c r="V42" s="1312">
        <f>[1]Breaking.!R48</f>
        <v>1.9462616822429906</v>
      </c>
      <c r="W42" s="1312">
        <f>[1]Breaking.!S48</f>
        <v>1.9462616822429906</v>
      </c>
      <c r="X42" s="1312">
        <f>[1]Breaking.!T48</f>
        <v>1.9462616822429906</v>
      </c>
      <c r="Y42" s="1312">
        <f>[1]Breaking.!U48</f>
        <v>1.9462616822429906</v>
      </c>
      <c r="Z42" s="1312">
        <f>[1]Breaking.!V48</f>
        <v>1.9462616822429906</v>
      </c>
      <c r="AA42" s="1312">
        <f>[1]Breaking.!W48</f>
        <v>1.9462616822429906</v>
      </c>
      <c r="AB42" s="1312">
        <f>[1]Breaking.!X48</f>
        <v>1.9462616822429906</v>
      </c>
      <c r="AC42" s="1312">
        <f>[1]Breaking.!Y48</f>
        <v>1.9462616822429906</v>
      </c>
      <c r="AD42" s="1312">
        <f>[1]Breaking.!Z48</f>
        <v>1.9462616822429906</v>
      </c>
      <c r="AE42" s="1312">
        <f>[1]Breaking.!AA48</f>
        <v>1.9462616822429906</v>
      </c>
      <c r="AF42" s="1312">
        <f>[1]Breaking.!AB48</f>
        <v>1.9462616822429906</v>
      </c>
      <c r="AG42" s="1312">
        <f>[1]Breaking.!AC48</f>
        <v>1.9462616822429906</v>
      </c>
      <c r="AH42" s="1312">
        <f>[1]Breaking.!AD48</f>
        <v>1.9462616822429906</v>
      </c>
      <c r="AI42" s="1312">
        <f>[1]Breaking.!AE48</f>
        <v>1.9462616822429906</v>
      </c>
      <c r="AJ42" s="1312">
        <f>[1]Breaking.!AF48</f>
        <v>1.9462616822429906</v>
      </c>
      <c r="AK42" s="1312">
        <f>[1]Breaking.!AG48</f>
        <v>1.9462616822429906</v>
      </c>
      <c r="AL42" s="1312">
        <f>[1]Breaking.!AH48</f>
        <v>1.9462616822429906</v>
      </c>
      <c r="AM42" s="1074"/>
    </row>
    <row r="43" spans="2:39" x14ac:dyDescent="0.25">
      <c r="B43" s="1607"/>
      <c r="C43" s="1662"/>
      <c r="D43" s="1664"/>
      <c r="E43" s="1313" t="s">
        <v>345</v>
      </c>
      <c r="F43" s="1314">
        <f t="shared" si="17"/>
        <v>0</v>
      </c>
      <c r="G43" s="1304">
        <f t="shared" ref="G43" si="18">IFERROR((F43-F42)/F42,0)</f>
        <v>-1</v>
      </c>
      <c r="H43" s="1315"/>
      <c r="I43" s="1314">
        <v>2.02</v>
      </c>
      <c r="J43" s="1314">
        <v>0.8</v>
      </c>
      <c r="K43" s="1314">
        <v>2.38</v>
      </c>
      <c r="L43" s="1314">
        <v>2.5099999999999998</v>
      </c>
      <c r="M43" s="1314"/>
      <c r="N43" s="1314"/>
      <c r="O43" s="1314"/>
      <c r="P43" s="1314"/>
      <c r="Q43" s="1314"/>
      <c r="R43" s="1314"/>
      <c r="S43" s="1314"/>
      <c r="T43" s="1314"/>
      <c r="U43" s="1314"/>
      <c r="V43" s="1314"/>
      <c r="W43" s="1314"/>
      <c r="X43" s="1314"/>
      <c r="Y43" s="1314"/>
      <c r="Z43" s="1314"/>
      <c r="AA43" s="1314"/>
      <c r="AB43" s="1314"/>
      <c r="AC43" s="1314"/>
      <c r="AD43" s="1314"/>
      <c r="AE43" s="1314"/>
      <c r="AF43" s="1314"/>
      <c r="AG43" s="1314"/>
      <c r="AH43" s="1314"/>
      <c r="AI43" s="1314"/>
      <c r="AJ43" s="1314"/>
      <c r="AK43" s="1314"/>
      <c r="AL43" s="1314"/>
      <c r="AM43" s="1074"/>
    </row>
    <row r="44" spans="2:39" x14ac:dyDescent="0.25">
      <c r="B44" s="1607"/>
      <c r="C44" s="1662"/>
      <c r="D44" s="1612" t="s">
        <v>47</v>
      </c>
      <c r="E44" s="1309" t="s">
        <v>346</v>
      </c>
      <c r="F44" s="206">
        <f t="shared" ref="F44:F46" si="19">SUMIF($H$9:$AL$9,"&lt;="&amp;$C$7,H44:AL44)</f>
        <v>2.1798130841121486</v>
      </c>
      <c r="G44" s="1311"/>
      <c r="H44" s="1316">
        <f t="shared" ref="H44:AL45" si="20">+H42*H39/1000</f>
        <v>0.13623831775700931</v>
      </c>
      <c r="I44" s="1316">
        <f t="shared" si="20"/>
        <v>0.13623831775700931</v>
      </c>
      <c r="J44" s="1316">
        <f t="shared" si="20"/>
        <v>0.13623831775700931</v>
      </c>
      <c r="K44" s="1316">
        <f t="shared" si="20"/>
        <v>0.13623831775700931</v>
      </c>
      <c r="L44" s="1316">
        <f t="shared" si="20"/>
        <v>0.13623831775700931</v>
      </c>
      <c r="M44" s="1316">
        <f t="shared" si="20"/>
        <v>0.13623831775700931</v>
      </c>
      <c r="N44" s="1316">
        <f t="shared" si="20"/>
        <v>0.13623831775700931</v>
      </c>
      <c r="O44" s="1316">
        <f t="shared" si="20"/>
        <v>0.13623831775700931</v>
      </c>
      <c r="P44" s="1316">
        <f t="shared" si="20"/>
        <v>0.13623831775700931</v>
      </c>
      <c r="Q44" s="1316">
        <f t="shared" si="20"/>
        <v>0.13623831775700931</v>
      </c>
      <c r="R44" s="1316">
        <f t="shared" si="20"/>
        <v>0.13623831775700931</v>
      </c>
      <c r="S44" s="1316">
        <f t="shared" si="20"/>
        <v>0.13623831775700931</v>
      </c>
      <c r="T44" s="1316">
        <f t="shared" si="20"/>
        <v>0.13623831775700931</v>
      </c>
      <c r="U44" s="1316">
        <f t="shared" si="20"/>
        <v>0.13623831775700931</v>
      </c>
      <c r="V44" s="1316">
        <f t="shared" si="20"/>
        <v>0.13623831775700931</v>
      </c>
      <c r="W44" s="1316">
        <f t="shared" si="20"/>
        <v>0.13623831775700931</v>
      </c>
      <c r="X44" s="1316">
        <f t="shared" si="20"/>
        <v>0.13623831775700931</v>
      </c>
      <c r="Y44" s="1316">
        <f t="shared" si="20"/>
        <v>0.13623831775700931</v>
      </c>
      <c r="Z44" s="1316">
        <f t="shared" si="20"/>
        <v>0.13623831775700931</v>
      </c>
      <c r="AA44" s="1316">
        <f t="shared" si="20"/>
        <v>0.13623831775700931</v>
      </c>
      <c r="AB44" s="1316">
        <f t="shared" si="20"/>
        <v>0.13623831775700931</v>
      </c>
      <c r="AC44" s="1316">
        <f t="shared" si="20"/>
        <v>0.13623831775700931</v>
      </c>
      <c r="AD44" s="1316">
        <f t="shared" si="20"/>
        <v>0.13623831775700931</v>
      </c>
      <c r="AE44" s="1316">
        <f t="shared" si="20"/>
        <v>0.13623831775700931</v>
      </c>
      <c r="AF44" s="1316">
        <f t="shared" si="20"/>
        <v>0.13623831775700931</v>
      </c>
      <c r="AG44" s="1316">
        <f t="shared" si="20"/>
        <v>0.13623831775700931</v>
      </c>
      <c r="AH44" s="1316">
        <f t="shared" si="20"/>
        <v>0.13623831775700931</v>
      </c>
      <c r="AI44" s="1316">
        <f t="shared" si="20"/>
        <v>0.13623831775700931</v>
      </c>
      <c r="AJ44" s="1316">
        <f t="shared" si="20"/>
        <v>0.13623831775700931</v>
      </c>
      <c r="AK44" s="1316">
        <f t="shared" si="20"/>
        <v>0.13623831775700931</v>
      </c>
      <c r="AL44" s="1316">
        <f t="shared" si="20"/>
        <v>0.13623831775700931</v>
      </c>
      <c r="AM44" s="1078"/>
    </row>
    <row r="45" spans="2:39" ht="14.25" thickBot="1" x14ac:dyDescent="0.3">
      <c r="B45" s="1660"/>
      <c r="C45" s="1663"/>
      <c r="D45" s="1665"/>
      <c r="E45" s="1320" t="s">
        <v>347</v>
      </c>
      <c r="F45" s="1321">
        <f t="shared" si="19"/>
        <v>0.44041999999999998</v>
      </c>
      <c r="G45" s="1322">
        <f t="shared" ref="G45" si="21">IFERROR((F45-F44)/F44,0)</f>
        <v>-0.79795515348996726</v>
      </c>
      <c r="H45" s="1323">
        <f t="shared" si="20"/>
        <v>0</v>
      </c>
      <c r="I45" s="1323">
        <f t="shared" si="20"/>
        <v>0.17169999999999999</v>
      </c>
      <c r="J45" s="1323">
        <f t="shared" si="20"/>
        <v>7.1999999999999995E-2</v>
      </c>
      <c r="K45" s="1323">
        <f t="shared" si="20"/>
        <v>0.1666</v>
      </c>
      <c r="L45" s="1323">
        <f t="shared" si="20"/>
        <v>3.0119999999999997E-2</v>
      </c>
      <c r="M45" s="1323">
        <f t="shared" si="20"/>
        <v>0</v>
      </c>
      <c r="N45" s="1323">
        <f t="shared" si="20"/>
        <v>0</v>
      </c>
      <c r="O45" s="1323">
        <f t="shared" si="20"/>
        <v>0</v>
      </c>
      <c r="P45" s="1323">
        <f t="shared" si="20"/>
        <v>0</v>
      </c>
      <c r="Q45" s="1323">
        <f t="shared" si="20"/>
        <v>0</v>
      </c>
      <c r="R45" s="1323">
        <f t="shared" si="20"/>
        <v>0</v>
      </c>
      <c r="S45" s="1323">
        <f t="shared" si="20"/>
        <v>0</v>
      </c>
      <c r="T45" s="1323">
        <f t="shared" si="20"/>
        <v>0</v>
      </c>
      <c r="U45" s="1323">
        <f t="shared" si="20"/>
        <v>0</v>
      </c>
      <c r="V45" s="1323">
        <f t="shared" si="20"/>
        <v>0</v>
      </c>
      <c r="W45" s="1323">
        <f t="shared" si="20"/>
        <v>0</v>
      </c>
      <c r="X45" s="1323">
        <f t="shared" si="20"/>
        <v>0</v>
      </c>
      <c r="Y45" s="1323">
        <f t="shared" si="20"/>
        <v>0</v>
      </c>
      <c r="Z45" s="1323">
        <f t="shared" si="20"/>
        <v>0</v>
      </c>
      <c r="AA45" s="1323">
        <f t="shared" si="20"/>
        <v>0</v>
      </c>
      <c r="AB45" s="1323">
        <f t="shared" si="20"/>
        <v>0</v>
      </c>
      <c r="AC45" s="1323">
        <f t="shared" si="20"/>
        <v>0</v>
      </c>
      <c r="AD45" s="1323">
        <f t="shared" si="20"/>
        <v>0</v>
      </c>
      <c r="AE45" s="1323">
        <f t="shared" si="20"/>
        <v>0</v>
      </c>
      <c r="AF45" s="1323">
        <f t="shared" si="20"/>
        <v>0</v>
      </c>
      <c r="AG45" s="1323">
        <f t="shared" si="20"/>
        <v>0</v>
      </c>
      <c r="AH45" s="1323">
        <f t="shared" si="20"/>
        <v>0</v>
      </c>
      <c r="AI45" s="1323">
        <f t="shared" si="20"/>
        <v>0</v>
      </c>
      <c r="AJ45" s="1323">
        <f t="shared" si="20"/>
        <v>0</v>
      </c>
      <c r="AK45" s="1323">
        <f t="shared" si="20"/>
        <v>0</v>
      </c>
      <c r="AL45" s="1323">
        <f t="shared" si="20"/>
        <v>0</v>
      </c>
      <c r="AM45" s="1079"/>
    </row>
    <row r="46" spans="2:39" s="1069" customFormat="1" ht="14.85" customHeight="1" x14ac:dyDescent="0.25">
      <c r="B46" s="1608">
        <v>1</v>
      </c>
      <c r="C46" s="1661" t="str">
        <f>[1]Stoping!C25</f>
        <v>3L_W23A STOPE</v>
      </c>
      <c r="D46" s="1611" t="s">
        <v>340</v>
      </c>
      <c r="E46" s="1070" t="s">
        <v>341</v>
      </c>
      <c r="F46" s="196">
        <f t="shared" si="19"/>
        <v>1120</v>
      </c>
      <c r="G46" s="1071"/>
      <c r="H46" s="198">
        <f>[1]Stoping!H25</f>
        <v>70</v>
      </c>
      <c r="I46" s="198">
        <f>[1]Stoping!I25</f>
        <v>70</v>
      </c>
      <c r="J46" s="198">
        <f>[1]Stoping!J25</f>
        <v>70</v>
      </c>
      <c r="K46" s="198">
        <f>[1]Stoping!K25</f>
        <v>70</v>
      </c>
      <c r="L46" s="198">
        <f>[1]Stoping!L25</f>
        <v>70</v>
      </c>
      <c r="M46" s="198">
        <f>[1]Stoping!M25</f>
        <v>70</v>
      </c>
      <c r="N46" s="198">
        <f>[1]Stoping!N25</f>
        <v>70</v>
      </c>
      <c r="O46" s="198">
        <f>[1]Stoping!O25</f>
        <v>70</v>
      </c>
      <c r="P46" s="198">
        <f>[1]Stoping!P25</f>
        <v>70</v>
      </c>
      <c r="Q46" s="198">
        <f>[1]Stoping!Q25</f>
        <v>70</v>
      </c>
      <c r="R46" s="198">
        <f>[1]Stoping!R25</f>
        <v>70</v>
      </c>
      <c r="S46" s="198">
        <f>[1]Stoping!S25</f>
        <v>70</v>
      </c>
      <c r="T46" s="198">
        <f>[1]Stoping!T25</f>
        <v>70</v>
      </c>
      <c r="U46" s="198">
        <f>[1]Stoping!U25</f>
        <v>70</v>
      </c>
      <c r="V46" s="198">
        <f>[1]Stoping!V25</f>
        <v>70</v>
      </c>
      <c r="W46" s="198">
        <f>[1]Stoping!W25</f>
        <v>70</v>
      </c>
      <c r="X46" s="198">
        <f>[1]Stoping!X25</f>
        <v>70</v>
      </c>
      <c r="Y46" s="198">
        <f>[1]Stoping!Y25</f>
        <v>70</v>
      </c>
      <c r="Z46" s="198">
        <f>[1]Stoping!Z25</f>
        <v>70</v>
      </c>
      <c r="AA46" s="198">
        <f>[1]Stoping!AA25</f>
        <v>70</v>
      </c>
      <c r="AB46" s="198">
        <f>[1]Stoping!AB25</f>
        <v>70</v>
      </c>
      <c r="AC46" s="198">
        <f>[1]Stoping!AC25</f>
        <v>70</v>
      </c>
      <c r="AD46" s="198">
        <f>[1]Stoping!AD25</f>
        <v>70</v>
      </c>
      <c r="AE46" s="198">
        <f>[1]Stoping!AE25</f>
        <v>70</v>
      </c>
      <c r="AF46" s="198">
        <f>[1]Stoping!AF25</f>
        <v>70</v>
      </c>
      <c r="AG46" s="198">
        <f>[1]Stoping!AG25</f>
        <v>70</v>
      </c>
      <c r="AH46" s="198">
        <f>[1]Stoping!AH25</f>
        <v>70</v>
      </c>
      <c r="AI46" s="198">
        <f>[1]Stoping!AI25</f>
        <v>70</v>
      </c>
      <c r="AJ46" s="198">
        <f>[1]Stoping!AJ25</f>
        <v>70</v>
      </c>
      <c r="AK46" s="198">
        <f>[1]Stoping!AK25</f>
        <v>70</v>
      </c>
      <c r="AL46" s="198">
        <f>[1]Stoping!AL25</f>
        <v>70</v>
      </c>
      <c r="AM46" s="1072"/>
    </row>
    <row r="47" spans="2:39" x14ac:dyDescent="0.25">
      <c r="B47" s="1607"/>
      <c r="C47" s="1662"/>
      <c r="D47" s="1610"/>
      <c r="E47" s="1302" t="s">
        <v>342</v>
      </c>
      <c r="F47" s="1303"/>
      <c r="G47" s="1304">
        <f t="shared" ref="G47" si="22">IFERROR((F47-F46)/F46,0)</f>
        <v>-1</v>
      </c>
      <c r="H47" s="1305"/>
      <c r="I47" s="1303"/>
      <c r="J47" s="1303"/>
      <c r="K47" s="1303"/>
      <c r="L47" s="1303"/>
      <c r="M47" s="1303"/>
      <c r="N47" s="1303"/>
      <c r="O47" s="1303"/>
      <c r="P47" s="1303"/>
      <c r="Q47" s="1303"/>
      <c r="R47" s="1303"/>
      <c r="S47" s="1303"/>
      <c r="T47" s="1303"/>
      <c r="U47" s="1303"/>
      <c r="V47" s="1303"/>
      <c r="W47" s="1303"/>
      <c r="X47" s="1303"/>
      <c r="Y47" s="1303"/>
      <c r="Z47" s="1303"/>
      <c r="AA47" s="1303"/>
      <c r="AB47" s="1303"/>
      <c r="AC47" s="1303"/>
      <c r="AD47" s="1303"/>
      <c r="AE47" s="1303"/>
      <c r="AF47" s="1303"/>
      <c r="AG47" s="1303"/>
      <c r="AH47" s="1303"/>
      <c r="AI47" s="1303"/>
      <c r="AJ47" s="1303"/>
      <c r="AK47" s="1303"/>
      <c r="AL47" s="1303"/>
      <c r="AM47" s="1074"/>
    </row>
    <row r="48" spans="2:39" x14ac:dyDescent="0.25">
      <c r="B48" s="1607"/>
      <c r="C48" s="1662"/>
      <c r="D48" s="1610"/>
      <c r="E48" s="1324" t="s">
        <v>312</v>
      </c>
      <c r="F48" s="1307"/>
      <c r="G48" s="1308"/>
      <c r="H48" s="1075"/>
      <c r="I48" s="1075"/>
      <c r="J48" s="1075"/>
      <c r="K48" s="1075"/>
      <c r="L48" s="1075"/>
      <c r="M48" s="1075"/>
      <c r="N48" s="1075"/>
      <c r="O48" s="1075"/>
      <c r="P48" s="1076"/>
      <c r="Q48" s="1075"/>
      <c r="R48" s="1075"/>
      <c r="S48" s="1075"/>
      <c r="T48" s="1075"/>
      <c r="U48" s="1075"/>
      <c r="V48" s="1075"/>
      <c r="W48" s="1075"/>
      <c r="X48" s="1075"/>
      <c r="Y48" s="1075" t="s">
        <v>361</v>
      </c>
      <c r="Z48" s="1075"/>
      <c r="AA48" s="1075"/>
      <c r="AB48" s="1075"/>
      <c r="AC48" s="1075"/>
      <c r="AD48" s="1075"/>
      <c r="AE48" s="1075"/>
      <c r="AF48" s="1075"/>
      <c r="AG48" s="1075"/>
      <c r="AH48" s="1075"/>
      <c r="AI48" s="1075"/>
      <c r="AJ48" s="1075"/>
      <c r="AK48" s="1075"/>
      <c r="AL48" s="1077"/>
      <c r="AM48" s="1074"/>
    </row>
    <row r="49" spans="2:39" x14ac:dyDescent="0.25">
      <c r="B49" s="1607"/>
      <c r="C49" s="1662"/>
      <c r="D49" s="1612" t="s">
        <v>343</v>
      </c>
      <c r="E49" s="1309" t="s">
        <v>344</v>
      </c>
      <c r="F49" s="1310">
        <f t="shared" ref="F49" si="23">IFERROR(F51*1000/F46,0)</f>
        <v>1.9859813084112148</v>
      </c>
      <c r="G49" s="1311"/>
      <c r="H49" s="1312">
        <f>[1]Breaking.!D14</f>
        <v>1.9859813084112148</v>
      </c>
      <c r="I49" s="1312">
        <f>[1]Breaking.!E14</f>
        <v>1.9859813084112148</v>
      </c>
      <c r="J49" s="1312">
        <f>[1]Breaking.!F14</f>
        <v>1.9859813084112148</v>
      </c>
      <c r="K49" s="1312">
        <f>[1]Breaking.!G14</f>
        <v>1.9859813084112148</v>
      </c>
      <c r="L49" s="1312">
        <f>[1]Breaking.!H14</f>
        <v>1.9859813084112148</v>
      </c>
      <c r="M49" s="1312">
        <f>[1]Breaking.!I14</f>
        <v>1.9859813084112148</v>
      </c>
      <c r="N49" s="1312">
        <f>[1]Breaking.!J14</f>
        <v>1.9859813084112148</v>
      </c>
      <c r="O49" s="1312">
        <f>[1]Breaking.!K14</f>
        <v>1.9859813084112148</v>
      </c>
      <c r="P49" s="1312">
        <f>[1]Breaking.!L14</f>
        <v>1.9859813084112148</v>
      </c>
      <c r="Q49" s="1312">
        <f>[1]Breaking.!M14</f>
        <v>1.9859813084112148</v>
      </c>
      <c r="R49" s="1312">
        <f>[1]Breaking.!N14</f>
        <v>1.9859813084112148</v>
      </c>
      <c r="S49" s="1312">
        <f>[1]Breaking.!O14</f>
        <v>1.9859813084112148</v>
      </c>
      <c r="T49" s="1312">
        <f>[1]Breaking.!P14</f>
        <v>1.9859813084112148</v>
      </c>
      <c r="U49" s="1312">
        <f>[1]Breaking.!Q14</f>
        <v>1.9859813084112148</v>
      </c>
      <c r="V49" s="1312">
        <f>[1]Breaking.!R14</f>
        <v>1.9859813084112148</v>
      </c>
      <c r="W49" s="1312">
        <f>[1]Breaking.!S14</f>
        <v>1.9859813084112148</v>
      </c>
      <c r="X49" s="1312">
        <f>[1]Breaking.!T14</f>
        <v>1.9859813084112148</v>
      </c>
      <c r="Y49" s="1312">
        <f>[1]Breaking.!U14</f>
        <v>1.9859813084112148</v>
      </c>
      <c r="Z49" s="1312">
        <f>[1]Breaking.!V14</f>
        <v>1.9859813084112148</v>
      </c>
      <c r="AA49" s="1312">
        <f>[1]Breaking.!W14</f>
        <v>1.9859813084112148</v>
      </c>
      <c r="AB49" s="1312">
        <f>[1]Breaking.!X14</f>
        <v>1.9859813084112148</v>
      </c>
      <c r="AC49" s="1312">
        <f>[1]Breaking.!Y14</f>
        <v>1.9859813084112148</v>
      </c>
      <c r="AD49" s="1312">
        <f>[1]Breaking.!Z14</f>
        <v>1.9859813084112148</v>
      </c>
      <c r="AE49" s="1312">
        <f>[1]Breaking.!AA14</f>
        <v>1.9859813084112148</v>
      </c>
      <c r="AF49" s="1312">
        <f>[1]Breaking.!AB14</f>
        <v>1.9859813084112148</v>
      </c>
      <c r="AG49" s="1312">
        <f>[1]Breaking.!AC14</f>
        <v>1.9859813084112148</v>
      </c>
      <c r="AH49" s="1312">
        <f>[1]Breaking.!AD14</f>
        <v>1.9859813084112148</v>
      </c>
      <c r="AI49" s="1312">
        <f>[1]Breaking.!AE14</f>
        <v>1.9859813084112148</v>
      </c>
      <c r="AJ49" s="1312">
        <f>[1]Breaking.!AF14</f>
        <v>1.9859813084112148</v>
      </c>
      <c r="AK49" s="1312">
        <f>[1]Breaking.!AG14</f>
        <v>1.9859813084112148</v>
      </c>
      <c r="AL49" s="1312">
        <f>[1]Breaking.!AH14</f>
        <v>1.9859813084112148</v>
      </c>
      <c r="AM49" s="1074"/>
    </row>
    <row r="50" spans="2:39" x14ac:dyDescent="0.25">
      <c r="B50" s="1607"/>
      <c r="C50" s="1662"/>
      <c r="D50" s="1664"/>
      <c r="E50" s="1313" t="s">
        <v>345</v>
      </c>
      <c r="F50" s="1314">
        <f>IFERROR(F52*1000/F47,0)</f>
        <v>0</v>
      </c>
      <c r="G50" s="1304">
        <f t="shared" ref="G50" si="24">IFERROR((F50-F49)/F49,0)</f>
        <v>-1</v>
      </c>
      <c r="H50" s="1315"/>
      <c r="I50" s="1314"/>
      <c r="J50" s="1314"/>
      <c r="K50" s="1314"/>
      <c r="L50" s="1314"/>
      <c r="M50" s="1314"/>
      <c r="N50" s="1314"/>
      <c r="O50" s="1314"/>
      <c r="P50" s="1314"/>
      <c r="Q50" s="1314"/>
      <c r="R50" s="1314"/>
      <c r="S50" s="1314"/>
      <c r="T50" s="1314"/>
      <c r="U50" s="1314"/>
      <c r="V50" s="1314"/>
      <c r="W50" s="1314"/>
      <c r="X50" s="1314"/>
      <c r="Y50" s="1314"/>
      <c r="Z50" s="1314"/>
      <c r="AA50" s="1314"/>
      <c r="AB50" s="1314"/>
      <c r="AC50" s="1314"/>
      <c r="AD50" s="1314"/>
      <c r="AE50" s="1314"/>
      <c r="AF50" s="1314"/>
      <c r="AG50" s="1314"/>
      <c r="AH50" s="1314"/>
      <c r="AI50" s="1314"/>
      <c r="AJ50" s="1314"/>
      <c r="AK50" s="1314"/>
      <c r="AL50" s="1314"/>
      <c r="AM50" s="1074"/>
    </row>
    <row r="51" spans="2:39" x14ac:dyDescent="0.25">
      <c r="B51" s="1607"/>
      <c r="C51" s="1662"/>
      <c r="D51" s="1612" t="s">
        <v>47</v>
      </c>
      <c r="E51" s="1309" t="s">
        <v>346</v>
      </c>
      <c r="F51" s="206">
        <f t="shared" ref="F51:F54" si="25">SUMIF($H$9:$AL$9,"&lt;="&amp;$C$7,H51:AL51)</f>
        <v>2.2242990654205603</v>
      </c>
      <c r="G51" s="1311"/>
      <c r="H51" s="1316">
        <f t="shared" ref="H51:AL52" si="26">+H49*H46/1000</f>
        <v>0.13901869158878502</v>
      </c>
      <c r="I51" s="1316">
        <f t="shared" si="26"/>
        <v>0.13901869158878502</v>
      </c>
      <c r="J51" s="1316">
        <f t="shared" si="26"/>
        <v>0.13901869158878502</v>
      </c>
      <c r="K51" s="1316">
        <f t="shared" si="26"/>
        <v>0.13901869158878502</v>
      </c>
      <c r="L51" s="1316">
        <f t="shared" si="26"/>
        <v>0.13901869158878502</v>
      </c>
      <c r="M51" s="1316">
        <f t="shared" si="26"/>
        <v>0.13901869158878502</v>
      </c>
      <c r="N51" s="1316">
        <f t="shared" si="26"/>
        <v>0.13901869158878502</v>
      </c>
      <c r="O51" s="1316">
        <f t="shared" si="26"/>
        <v>0.13901869158878502</v>
      </c>
      <c r="P51" s="1316">
        <f t="shared" si="26"/>
        <v>0.13901869158878502</v>
      </c>
      <c r="Q51" s="1316">
        <f t="shared" si="26"/>
        <v>0.13901869158878502</v>
      </c>
      <c r="R51" s="1316">
        <f t="shared" si="26"/>
        <v>0.13901869158878502</v>
      </c>
      <c r="S51" s="1316">
        <f t="shared" si="26"/>
        <v>0.13901869158878502</v>
      </c>
      <c r="T51" s="1316">
        <f t="shared" si="26"/>
        <v>0.13901869158878502</v>
      </c>
      <c r="U51" s="1316">
        <f t="shared" si="26"/>
        <v>0.13901869158878502</v>
      </c>
      <c r="V51" s="1316">
        <f t="shared" si="26"/>
        <v>0.13901869158878502</v>
      </c>
      <c r="W51" s="1316">
        <f t="shared" si="26"/>
        <v>0.13901869158878502</v>
      </c>
      <c r="X51" s="1316">
        <f t="shared" si="26"/>
        <v>0.13901869158878502</v>
      </c>
      <c r="Y51" s="1316">
        <f t="shared" si="26"/>
        <v>0.13901869158878502</v>
      </c>
      <c r="Z51" s="1316">
        <f t="shared" si="26"/>
        <v>0.13901869158878502</v>
      </c>
      <c r="AA51" s="1316">
        <f t="shared" si="26"/>
        <v>0.13901869158878502</v>
      </c>
      <c r="AB51" s="1316">
        <f t="shared" si="26"/>
        <v>0.13901869158878502</v>
      </c>
      <c r="AC51" s="1316">
        <f t="shared" si="26"/>
        <v>0.13901869158878502</v>
      </c>
      <c r="AD51" s="1316">
        <f t="shared" si="26"/>
        <v>0.13901869158878502</v>
      </c>
      <c r="AE51" s="1316">
        <f t="shared" si="26"/>
        <v>0.13901869158878502</v>
      </c>
      <c r="AF51" s="1316">
        <f>+AF49*AF46/1000</f>
        <v>0.13901869158878502</v>
      </c>
      <c r="AG51" s="1316">
        <f t="shared" si="26"/>
        <v>0.13901869158878502</v>
      </c>
      <c r="AH51" s="1316">
        <f t="shared" si="26"/>
        <v>0.13901869158878502</v>
      </c>
      <c r="AI51" s="1316">
        <f t="shared" si="26"/>
        <v>0.13901869158878502</v>
      </c>
      <c r="AJ51" s="1316">
        <f t="shared" si="26"/>
        <v>0.13901869158878502</v>
      </c>
      <c r="AK51" s="1316">
        <f t="shared" si="26"/>
        <v>0.13901869158878502</v>
      </c>
      <c r="AL51" s="1316">
        <f t="shared" si="26"/>
        <v>0.13901869158878502</v>
      </c>
      <c r="AM51" s="1078"/>
    </row>
    <row r="52" spans="2:39" ht="14.25" thickBot="1" x14ac:dyDescent="0.3">
      <c r="B52" s="1660"/>
      <c r="C52" s="1663"/>
      <c r="D52" s="1665"/>
      <c r="E52" s="1320" t="s">
        <v>347</v>
      </c>
      <c r="F52" s="1321">
        <f t="shared" si="25"/>
        <v>0</v>
      </c>
      <c r="G52" s="1322">
        <f t="shared" ref="G52" si="27">IFERROR((F52-F51)/F51,0)</f>
        <v>-1</v>
      </c>
      <c r="H52" s="1323">
        <f t="shared" si="26"/>
        <v>0</v>
      </c>
      <c r="I52" s="1323">
        <f t="shared" si="26"/>
        <v>0</v>
      </c>
      <c r="J52" s="1323">
        <f t="shared" si="26"/>
        <v>0</v>
      </c>
      <c r="K52" s="1323">
        <f t="shared" si="26"/>
        <v>0</v>
      </c>
      <c r="L52" s="1323">
        <f t="shared" si="26"/>
        <v>0</v>
      </c>
      <c r="M52" s="1323">
        <f t="shared" si="26"/>
        <v>0</v>
      </c>
      <c r="N52" s="1323">
        <f t="shared" si="26"/>
        <v>0</v>
      </c>
      <c r="O52" s="1323">
        <f t="shared" si="26"/>
        <v>0</v>
      </c>
      <c r="P52" s="1323">
        <f t="shared" si="26"/>
        <v>0</v>
      </c>
      <c r="Q52" s="1323">
        <f t="shared" si="26"/>
        <v>0</v>
      </c>
      <c r="R52" s="1323">
        <f t="shared" si="26"/>
        <v>0</v>
      </c>
      <c r="S52" s="1323">
        <f t="shared" si="26"/>
        <v>0</v>
      </c>
      <c r="T52" s="1323">
        <f t="shared" si="26"/>
        <v>0</v>
      </c>
      <c r="U52" s="1323">
        <f t="shared" si="26"/>
        <v>0</v>
      </c>
      <c r="V52" s="1323">
        <f t="shared" si="26"/>
        <v>0</v>
      </c>
      <c r="W52" s="1323">
        <f t="shared" si="26"/>
        <v>0</v>
      </c>
      <c r="X52" s="1323">
        <f t="shared" si="26"/>
        <v>0</v>
      </c>
      <c r="Y52" s="1323">
        <f t="shared" si="26"/>
        <v>0</v>
      </c>
      <c r="Z52" s="1323">
        <f t="shared" si="26"/>
        <v>0</v>
      </c>
      <c r="AA52" s="1323">
        <f t="shared" si="26"/>
        <v>0</v>
      </c>
      <c r="AB52" s="1323">
        <f t="shared" si="26"/>
        <v>0</v>
      </c>
      <c r="AC52" s="1323">
        <f t="shared" si="26"/>
        <v>0</v>
      </c>
      <c r="AD52" s="1323">
        <f t="shared" si="26"/>
        <v>0</v>
      </c>
      <c r="AE52" s="1323">
        <f t="shared" si="26"/>
        <v>0</v>
      </c>
      <c r="AF52" s="1323">
        <f t="shared" si="26"/>
        <v>0</v>
      </c>
      <c r="AG52" s="1323">
        <f t="shared" si="26"/>
        <v>0</v>
      </c>
      <c r="AH52" s="1323">
        <f t="shared" si="26"/>
        <v>0</v>
      </c>
      <c r="AI52" s="1323">
        <f t="shared" si="26"/>
        <v>0</v>
      </c>
      <c r="AJ52" s="1323">
        <f t="shared" si="26"/>
        <v>0</v>
      </c>
      <c r="AK52" s="1323">
        <f t="shared" si="26"/>
        <v>0</v>
      </c>
      <c r="AL52" s="1323">
        <f t="shared" si="26"/>
        <v>0</v>
      </c>
      <c r="AM52" s="1079"/>
    </row>
    <row r="53" spans="2:39" s="1069" customFormat="1" ht="14.85" customHeight="1" x14ac:dyDescent="0.25">
      <c r="B53" s="1608">
        <v>1</v>
      </c>
      <c r="C53" s="1661" t="str">
        <f>[1]Stoping!C67</f>
        <v>5L_W11 STOPE</v>
      </c>
      <c r="D53" s="1611" t="s">
        <v>340</v>
      </c>
      <c r="E53" s="1070" t="s">
        <v>341</v>
      </c>
      <c r="F53" s="196">
        <f t="shared" si="25"/>
        <v>1120</v>
      </c>
      <c r="G53" s="1071"/>
      <c r="H53" s="198">
        <f>[1]Stoping!H67</f>
        <v>70</v>
      </c>
      <c r="I53" s="198">
        <f>[1]Stoping!I67</f>
        <v>70</v>
      </c>
      <c r="J53" s="198">
        <f>[1]Stoping!J67</f>
        <v>70</v>
      </c>
      <c r="K53" s="199">
        <f>[1]Stoping!K67</f>
        <v>70</v>
      </c>
      <c r="L53" s="199">
        <f>[1]Stoping!L67</f>
        <v>70</v>
      </c>
      <c r="M53" s="199">
        <f>[1]Stoping!M67</f>
        <v>70</v>
      </c>
      <c r="N53" s="199">
        <f>[1]Stoping!N67</f>
        <v>70</v>
      </c>
      <c r="O53" s="199">
        <f>[1]Stoping!O67</f>
        <v>70</v>
      </c>
      <c r="P53" s="200">
        <f>[1]Stoping!P67</f>
        <v>70</v>
      </c>
      <c r="Q53" s="199">
        <f>[1]Stoping!Q67</f>
        <v>70</v>
      </c>
      <c r="R53" s="199">
        <f>[1]Stoping!R67</f>
        <v>70</v>
      </c>
      <c r="S53" s="199">
        <f>[1]Stoping!S67</f>
        <v>70</v>
      </c>
      <c r="T53" s="199">
        <f>[1]Stoping!T67</f>
        <v>70</v>
      </c>
      <c r="U53" s="199">
        <f>[1]Stoping!U67</f>
        <v>70</v>
      </c>
      <c r="V53" s="199">
        <f>[1]Stoping!V67</f>
        <v>70</v>
      </c>
      <c r="W53" s="199">
        <f>[1]Stoping!W67</f>
        <v>70</v>
      </c>
      <c r="X53" s="199">
        <f>[1]Stoping!X67</f>
        <v>70</v>
      </c>
      <c r="Y53" s="199">
        <f>[1]Stoping!Y67</f>
        <v>70</v>
      </c>
      <c r="Z53" s="199">
        <f>[1]Stoping!Z67</f>
        <v>70</v>
      </c>
      <c r="AA53" s="199">
        <f>[1]Stoping!AA67</f>
        <v>70</v>
      </c>
      <c r="AB53" s="199">
        <f>[1]Stoping!AB67</f>
        <v>70</v>
      </c>
      <c r="AC53" s="199">
        <f>[1]Stoping!AC67</f>
        <v>70</v>
      </c>
      <c r="AD53" s="199">
        <f>[1]Stoping!AD67</f>
        <v>70</v>
      </c>
      <c r="AE53" s="199">
        <f>[1]Stoping!AE67</f>
        <v>70</v>
      </c>
      <c r="AF53" s="199">
        <f>[1]Stoping!AF67</f>
        <v>70</v>
      </c>
      <c r="AG53" s="199">
        <f>[1]Stoping!AG67</f>
        <v>70</v>
      </c>
      <c r="AH53" s="199">
        <f>[1]Stoping!AH67</f>
        <v>70</v>
      </c>
      <c r="AI53" s="199">
        <f>[1]Stoping!AI67</f>
        <v>70</v>
      </c>
      <c r="AJ53" s="199">
        <f>[1]Stoping!AJ67</f>
        <v>70</v>
      </c>
      <c r="AK53" s="199">
        <f>[1]Stoping!AK67</f>
        <v>70</v>
      </c>
      <c r="AL53" s="199">
        <f>[1]Stoping!AL67</f>
        <v>70</v>
      </c>
      <c r="AM53" s="1072"/>
    </row>
    <row r="54" spans="2:39" x14ac:dyDescent="0.25">
      <c r="B54" s="1607"/>
      <c r="C54" s="1662"/>
      <c r="D54" s="1610"/>
      <c r="E54" s="1302" t="s">
        <v>342</v>
      </c>
      <c r="F54" s="1303">
        <f t="shared" si="25"/>
        <v>0</v>
      </c>
      <c r="G54" s="1304">
        <f t="shared" ref="G54" si="28">IFERROR((F54-F53)/F53,0)</f>
        <v>-1</v>
      </c>
      <c r="H54" s="1305"/>
      <c r="I54" s="1303"/>
      <c r="J54" s="1303"/>
      <c r="K54" s="1303"/>
      <c r="L54" s="1303"/>
      <c r="M54" s="1303"/>
      <c r="N54" s="1303"/>
      <c r="O54" s="1303"/>
      <c r="P54" s="1303"/>
      <c r="Q54" s="1303"/>
      <c r="R54" s="1303"/>
      <c r="S54" s="1303"/>
      <c r="T54" s="1303"/>
      <c r="U54" s="1303"/>
      <c r="V54" s="1303"/>
      <c r="W54" s="1303"/>
      <c r="X54" s="1303"/>
      <c r="Y54" s="1303"/>
      <c r="Z54" s="1303"/>
      <c r="AA54" s="1303"/>
      <c r="AB54" s="1303"/>
      <c r="AC54" s="1303"/>
      <c r="AD54" s="1303"/>
      <c r="AE54" s="1303"/>
      <c r="AF54" s="1303"/>
      <c r="AG54" s="1303"/>
      <c r="AH54" s="1303"/>
      <c r="AI54" s="1303"/>
      <c r="AJ54" s="1303"/>
      <c r="AK54" s="1303"/>
      <c r="AL54" s="1303"/>
      <c r="AM54" s="1074"/>
    </row>
    <row r="55" spans="2:39" x14ac:dyDescent="0.25">
      <c r="B55" s="1607"/>
      <c r="C55" s="1662"/>
      <c r="D55" s="1610"/>
      <c r="E55" s="1324" t="s">
        <v>312</v>
      </c>
      <c r="F55" s="1307"/>
      <c r="G55" s="1308"/>
      <c r="H55" s="1075"/>
      <c r="I55" s="1075"/>
      <c r="J55" s="1075"/>
      <c r="K55" s="1075"/>
      <c r="L55" s="1075"/>
      <c r="M55" s="1075"/>
      <c r="N55" s="1075"/>
      <c r="O55" s="1075"/>
      <c r="P55" s="1076"/>
      <c r="Q55" s="1075"/>
      <c r="R55" s="1075"/>
      <c r="S55" s="1075"/>
      <c r="T55" s="1075"/>
      <c r="U55" s="1075"/>
      <c r="V55" s="1075"/>
      <c r="W55" s="1075"/>
      <c r="X55" s="1075"/>
      <c r="Y55" s="1075"/>
      <c r="Z55" s="1075"/>
      <c r="AA55" s="1075"/>
      <c r="AB55" s="1075"/>
      <c r="AC55" s="1075"/>
      <c r="AD55" s="1075"/>
      <c r="AE55" s="1075"/>
      <c r="AF55" s="1075"/>
      <c r="AG55" s="1075"/>
      <c r="AH55" s="1075"/>
      <c r="AI55" s="1075"/>
      <c r="AJ55" s="1075"/>
      <c r="AK55" s="1075"/>
      <c r="AL55" s="1077"/>
      <c r="AM55" s="1074"/>
    </row>
    <row r="56" spans="2:39" x14ac:dyDescent="0.25">
      <c r="B56" s="1607"/>
      <c r="C56" s="1662"/>
      <c r="D56" s="1612" t="s">
        <v>343</v>
      </c>
      <c r="E56" s="1309" t="s">
        <v>344</v>
      </c>
      <c r="F56" s="1310">
        <f t="shared" ref="F56" si="29">IFERROR(F58*1000/F53,0)</f>
        <v>1.6384345794392523</v>
      </c>
      <c r="G56" s="1311"/>
      <c r="H56" s="1312">
        <f>[1]Breaking.!D56</f>
        <v>1.7476635514018692</v>
      </c>
      <c r="I56" s="1312">
        <f>[1]Breaking.!E56</f>
        <v>1.7476635514018692</v>
      </c>
      <c r="J56" s="1312">
        <f>[1]Breaking.!F56</f>
        <v>1.7476635514018692</v>
      </c>
      <c r="K56" s="1312">
        <f>[1]Breaking.!G56</f>
        <v>1.7476635514018692</v>
      </c>
      <c r="L56" s="1312">
        <f>[1]Breaking.!H56</f>
        <v>1.7476635514018692</v>
      </c>
      <c r="M56" s="1312">
        <f>[1]Breaking.!I56</f>
        <v>1.7476635514018692</v>
      </c>
      <c r="N56" s="1312">
        <f>[1]Breaking.!J56</f>
        <v>1.7476635514018692</v>
      </c>
      <c r="O56" s="1312">
        <f>[1]Breaking.!K56</f>
        <v>1.7476635514018692</v>
      </c>
      <c r="P56" s="1312">
        <f>[1]Breaking.!L56</f>
        <v>1.7476635514018692</v>
      </c>
      <c r="Q56" s="1312">
        <f>[1]Breaking.!M56</f>
        <v>1.7476635514018692</v>
      </c>
      <c r="R56" s="1312">
        <f>[1]Breaking.!N56</f>
        <v>1.7476635514018692</v>
      </c>
      <c r="S56" s="1312">
        <f>[1]Breaking.!O56</f>
        <v>1.7476635514018692</v>
      </c>
      <c r="T56" s="1312">
        <f>[1]Breaking.!P56</f>
        <v>1.7476635514018692</v>
      </c>
      <c r="U56" s="1312">
        <f>[1]Breaking.!Q56</f>
        <v>1.7476635514018692</v>
      </c>
      <c r="V56" s="1312">
        <f>[1]Breaking.!R56</f>
        <v>1.7476635514018692</v>
      </c>
      <c r="W56" s="1312">
        <f>[1]Breaking.!S56</f>
        <v>1.7476635514018692</v>
      </c>
      <c r="X56" s="1312">
        <f>[1]Breaking.!T56</f>
        <v>1.7476635514018692</v>
      </c>
      <c r="Y56" s="1312">
        <f>[1]Breaking.!U56</f>
        <v>1.7476635514018692</v>
      </c>
      <c r="Z56" s="1312">
        <f>[1]Breaking.!V56</f>
        <v>1.7476635514018692</v>
      </c>
      <c r="AA56" s="1312">
        <f>[1]Breaking.!W56</f>
        <v>1.7476635514018692</v>
      </c>
      <c r="AB56" s="1312">
        <f>[1]Breaking.!X56</f>
        <v>1.7476635514018692</v>
      </c>
      <c r="AC56" s="1312">
        <f>[1]Breaking.!Y56</f>
        <v>1.7476635514018692</v>
      </c>
      <c r="AD56" s="1312">
        <f>[1]Breaking.!Z56</f>
        <v>1.7476635514018692</v>
      </c>
      <c r="AE56" s="1312">
        <f>[1]Breaking.!AA56</f>
        <v>1.7476635514018692</v>
      </c>
      <c r="AF56" s="1312">
        <f>[1]Breaking.!AB56</f>
        <v>1.7476635514018692</v>
      </c>
      <c r="AG56" s="1312">
        <f>[1]Breaking.!AC56</f>
        <v>1.7476635514018692</v>
      </c>
      <c r="AH56" s="1312">
        <f>[1]Breaking.!AD56</f>
        <v>1.7476635514018692</v>
      </c>
      <c r="AI56" s="1312">
        <f>[1]Breaking.!AE56</f>
        <v>1.7476635514018692</v>
      </c>
      <c r="AJ56" s="1312">
        <f>[1]Breaking.!AF56</f>
        <v>1.7476635514018692</v>
      </c>
      <c r="AK56" s="1312">
        <f>[1]Breaking.!AG56</f>
        <v>1.7476635514018692</v>
      </c>
      <c r="AL56" s="1312">
        <f>[1]Breaking.!AH56</f>
        <v>1.7476635514018692</v>
      </c>
      <c r="AM56" s="1074"/>
    </row>
    <row r="57" spans="2:39" x14ac:dyDescent="0.25">
      <c r="B57" s="1607"/>
      <c r="C57" s="1662"/>
      <c r="D57" s="1664"/>
      <c r="E57" s="1313" t="s">
        <v>345</v>
      </c>
      <c r="F57" s="1314">
        <f>IFERROR(F59*1000/F54,0)</f>
        <v>0</v>
      </c>
      <c r="G57" s="1304">
        <f t="shared" ref="G57" si="30">IFERROR((F57-F56)/F56,0)</f>
        <v>-1</v>
      </c>
      <c r="H57" s="1315"/>
      <c r="I57" s="1314"/>
      <c r="J57" s="1314"/>
      <c r="K57" s="1314"/>
      <c r="L57" s="1314"/>
      <c r="M57" s="1314"/>
      <c r="N57" s="1314"/>
      <c r="O57" s="1314"/>
      <c r="P57" s="1314"/>
      <c r="Q57" s="1314"/>
      <c r="R57" s="1314"/>
      <c r="S57" s="1314"/>
      <c r="T57" s="1314"/>
      <c r="U57" s="1314"/>
      <c r="V57" s="1314"/>
      <c r="W57" s="1314"/>
      <c r="X57" s="1314"/>
      <c r="Y57" s="1314"/>
      <c r="Z57" s="1314"/>
      <c r="AA57" s="1314"/>
      <c r="AB57" s="1314"/>
      <c r="AC57" s="1314"/>
      <c r="AD57" s="1314"/>
      <c r="AE57" s="1314"/>
      <c r="AF57" s="1314"/>
      <c r="AG57" s="1314"/>
      <c r="AH57" s="1314"/>
      <c r="AI57" s="1314"/>
      <c r="AJ57" s="1314"/>
      <c r="AK57" s="1314"/>
      <c r="AL57" s="1314"/>
      <c r="AM57" s="1074"/>
    </row>
    <row r="58" spans="2:39" x14ac:dyDescent="0.25">
      <c r="B58" s="1607"/>
      <c r="C58" s="1662"/>
      <c r="D58" s="1612" t="s">
        <v>47</v>
      </c>
      <c r="E58" s="1309" t="s">
        <v>346</v>
      </c>
      <c r="F58" s="206">
        <f t="shared" ref="F58:F68" si="31">SUMIF($H$9:$AL$9,"&lt;="&amp;$C$7,H58:AL58)</f>
        <v>1.8350467289719627</v>
      </c>
      <c r="G58" s="1311"/>
      <c r="H58" s="1316">
        <v>0</v>
      </c>
      <c r="I58" s="1316">
        <f t="shared" ref="I58:AL59" si="32">+I56*I53/1000</f>
        <v>0.12233644859813084</v>
      </c>
      <c r="J58" s="1316">
        <f t="shared" si="32"/>
        <v>0.12233644859813084</v>
      </c>
      <c r="K58" s="1316">
        <f t="shared" si="32"/>
        <v>0.12233644859813084</v>
      </c>
      <c r="L58" s="1316">
        <f t="shared" si="32"/>
        <v>0.12233644859813084</v>
      </c>
      <c r="M58" s="1316">
        <f t="shared" si="32"/>
        <v>0.12233644859813084</v>
      </c>
      <c r="N58" s="1316">
        <f t="shared" si="32"/>
        <v>0.12233644859813084</v>
      </c>
      <c r="O58" s="1316">
        <f t="shared" si="32"/>
        <v>0.12233644859813084</v>
      </c>
      <c r="P58" s="1316">
        <f t="shared" si="32"/>
        <v>0.12233644859813084</v>
      </c>
      <c r="Q58" s="1316">
        <f t="shared" si="32"/>
        <v>0.12233644859813084</v>
      </c>
      <c r="R58" s="1316">
        <f t="shared" si="32"/>
        <v>0.12233644859813084</v>
      </c>
      <c r="S58" s="1316">
        <f t="shared" si="32"/>
        <v>0.12233644859813084</v>
      </c>
      <c r="T58" s="1316">
        <f t="shared" si="32"/>
        <v>0.12233644859813084</v>
      </c>
      <c r="U58" s="1316">
        <f t="shared" si="32"/>
        <v>0.12233644859813084</v>
      </c>
      <c r="V58" s="1316">
        <f t="shared" si="32"/>
        <v>0.12233644859813084</v>
      </c>
      <c r="W58" s="1316">
        <f t="shared" si="32"/>
        <v>0.12233644859813084</v>
      </c>
      <c r="X58" s="1316">
        <f t="shared" si="32"/>
        <v>0.12233644859813084</v>
      </c>
      <c r="Y58" s="1316">
        <f t="shared" si="32"/>
        <v>0.12233644859813084</v>
      </c>
      <c r="Z58" s="1316">
        <f t="shared" si="32"/>
        <v>0.12233644859813084</v>
      </c>
      <c r="AA58" s="1316">
        <f t="shared" si="32"/>
        <v>0.12233644859813084</v>
      </c>
      <c r="AB58" s="1316">
        <f t="shared" si="32"/>
        <v>0.12233644859813084</v>
      </c>
      <c r="AC58" s="1316">
        <f t="shared" si="32"/>
        <v>0.12233644859813084</v>
      </c>
      <c r="AD58" s="1316">
        <f t="shared" si="32"/>
        <v>0.12233644859813084</v>
      </c>
      <c r="AE58" s="1316">
        <f t="shared" si="32"/>
        <v>0.12233644859813084</v>
      </c>
      <c r="AF58" s="1316">
        <f t="shared" si="32"/>
        <v>0.12233644859813084</v>
      </c>
      <c r="AG58" s="1316" t="s">
        <v>362</v>
      </c>
      <c r="AH58" s="1316">
        <f t="shared" si="32"/>
        <v>0.12233644859813084</v>
      </c>
      <c r="AI58" s="1316">
        <f t="shared" si="32"/>
        <v>0.12233644859813084</v>
      </c>
      <c r="AJ58" s="1316">
        <f t="shared" si="32"/>
        <v>0.12233644859813084</v>
      </c>
      <c r="AK58" s="1316">
        <f t="shared" si="32"/>
        <v>0.12233644859813084</v>
      </c>
      <c r="AL58" s="1316">
        <f t="shared" si="32"/>
        <v>0.12233644859813084</v>
      </c>
      <c r="AM58" s="1078"/>
    </row>
    <row r="59" spans="2:39" ht="14.25" thickBot="1" x14ac:dyDescent="0.3">
      <c r="B59" s="1660"/>
      <c r="C59" s="1663"/>
      <c r="D59" s="1665"/>
      <c r="E59" s="1320" t="s">
        <v>347</v>
      </c>
      <c r="F59" s="1321">
        <f t="shared" si="31"/>
        <v>0</v>
      </c>
      <c r="G59" s="1322">
        <f t="shared" ref="G59" si="33">IFERROR((F59-F58)/F58,0)</f>
        <v>-1</v>
      </c>
      <c r="H59" s="1323">
        <f t="shared" ref="H59" si="34">+H57*H54/1000</f>
        <v>0</v>
      </c>
      <c r="I59" s="1323">
        <f t="shared" si="32"/>
        <v>0</v>
      </c>
      <c r="J59" s="1323">
        <f t="shared" si="32"/>
        <v>0</v>
      </c>
      <c r="K59" s="1323">
        <f t="shared" si="32"/>
        <v>0</v>
      </c>
      <c r="L59" s="1323">
        <f t="shared" si="32"/>
        <v>0</v>
      </c>
      <c r="M59" s="1323">
        <f t="shared" si="32"/>
        <v>0</v>
      </c>
      <c r="N59" s="1323">
        <f t="shared" si="32"/>
        <v>0</v>
      </c>
      <c r="O59" s="1323">
        <f t="shared" si="32"/>
        <v>0</v>
      </c>
      <c r="P59" s="1323">
        <f t="shared" si="32"/>
        <v>0</v>
      </c>
      <c r="Q59" s="1323">
        <f t="shared" si="32"/>
        <v>0</v>
      </c>
      <c r="R59" s="1323">
        <f t="shared" si="32"/>
        <v>0</v>
      </c>
      <c r="S59" s="1323">
        <f t="shared" si="32"/>
        <v>0</v>
      </c>
      <c r="T59" s="1323">
        <f t="shared" si="32"/>
        <v>0</v>
      </c>
      <c r="U59" s="1323">
        <f t="shared" si="32"/>
        <v>0</v>
      </c>
      <c r="V59" s="1323">
        <f t="shared" si="32"/>
        <v>0</v>
      </c>
      <c r="W59" s="1323">
        <f t="shared" si="32"/>
        <v>0</v>
      </c>
      <c r="X59" s="1323">
        <f t="shared" si="32"/>
        <v>0</v>
      </c>
      <c r="Y59" s="1323">
        <f t="shared" si="32"/>
        <v>0</v>
      </c>
      <c r="Z59" s="1323">
        <f t="shared" si="32"/>
        <v>0</v>
      </c>
      <c r="AA59" s="1323">
        <f t="shared" si="32"/>
        <v>0</v>
      </c>
      <c r="AB59" s="1323">
        <f t="shared" si="32"/>
        <v>0</v>
      </c>
      <c r="AC59" s="1323">
        <f t="shared" si="32"/>
        <v>0</v>
      </c>
      <c r="AD59" s="1323">
        <f t="shared" si="32"/>
        <v>0</v>
      </c>
      <c r="AE59" s="1323">
        <f t="shared" si="32"/>
        <v>0</v>
      </c>
      <c r="AF59" s="1323">
        <f t="shared" si="32"/>
        <v>0</v>
      </c>
      <c r="AG59" s="1323">
        <f t="shared" si="32"/>
        <v>0</v>
      </c>
      <c r="AH59" s="1323">
        <f t="shared" si="32"/>
        <v>0</v>
      </c>
      <c r="AI59" s="1323">
        <f t="shared" si="32"/>
        <v>0</v>
      </c>
      <c r="AJ59" s="1323">
        <f t="shared" si="32"/>
        <v>0</v>
      </c>
      <c r="AK59" s="1323">
        <f t="shared" si="32"/>
        <v>0</v>
      </c>
      <c r="AL59" s="1323">
        <f t="shared" si="32"/>
        <v>0</v>
      </c>
      <c r="AM59" s="1079"/>
    </row>
    <row r="60" spans="2:39" s="1069" customFormat="1" x14ac:dyDescent="0.25">
      <c r="B60" s="1666">
        <v>1</v>
      </c>
      <c r="C60" s="1669" t="str">
        <f>[1]Stoping!C74</f>
        <v>5L_W8 STOPE</v>
      </c>
      <c r="D60" s="1611" t="s">
        <v>340</v>
      </c>
      <c r="E60" s="1070" t="s">
        <v>341</v>
      </c>
      <c r="F60" s="196">
        <f>SUMIF($H$9:$AL$9,"&lt;="&amp;$C$7,H60:AL60)</f>
        <v>281.48</v>
      </c>
      <c r="G60" s="1071"/>
      <c r="H60" s="198">
        <f>[1]Stoping!H74</f>
        <v>0</v>
      </c>
      <c r="I60" s="198">
        <f>[1]Stoping!I74</f>
        <v>0</v>
      </c>
      <c r="J60" s="198">
        <f>[1]Stoping!J74</f>
        <v>0</v>
      </c>
      <c r="K60" s="199">
        <v>1.48</v>
      </c>
      <c r="L60" s="199">
        <f>[1]Stoping!L74</f>
        <v>0</v>
      </c>
      <c r="M60" s="199">
        <f>[1]Stoping!M74</f>
        <v>0</v>
      </c>
      <c r="N60" s="199">
        <f>[1]Stoping!N74</f>
        <v>0</v>
      </c>
      <c r="O60" s="199">
        <f>[1]Stoping!O74</f>
        <v>0</v>
      </c>
      <c r="P60" s="200">
        <f>[1]Stoping!P74</f>
        <v>0</v>
      </c>
      <c r="Q60" s="199">
        <f>[1]Stoping!Q74</f>
        <v>0</v>
      </c>
      <c r="R60" s="199">
        <f>[1]Stoping!R74</f>
        <v>0</v>
      </c>
      <c r="S60" s="199">
        <f>[1]Stoping!S74</f>
        <v>0</v>
      </c>
      <c r="T60" s="199">
        <f>[1]Stoping!T74</f>
        <v>70</v>
      </c>
      <c r="U60" s="199">
        <f>[1]Stoping!U74</f>
        <v>70</v>
      </c>
      <c r="V60" s="199">
        <f>[1]Stoping!V74</f>
        <v>70</v>
      </c>
      <c r="W60" s="199">
        <f>[1]Stoping!W74</f>
        <v>70</v>
      </c>
      <c r="X60" s="199">
        <f>[1]Stoping!X74</f>
        <v>70</v>
      </c>
      <c r="Y60" s="199">
        <f>[1]Stoping!Y74</f>
        <v>70</v>
      </c>
      <c r="Z60" s="199">
        <f>[1]Stoping!Z74</f>
        <v>70</v>
      </c>
      <c r="AA60" s="199">
        <f>[1]Stoping!AA74</f>
        <v>70</v>
      </c>
      <c r="AB60" s="199">
        <f>[1]Stoping!AB74</f>
        <v>70</v>
      </c>
      <c r="AC60" s="199">
        <f>[1]Stoping!AC74</f>
        <v>70</v>
      </c>
      <c r="AD60" s="199">
        <f>[1]Stoping!AD74</f>
        <v>70</v>
      </c>
      <c r="AE60" s="199">
        <f>[1]Stoping!AE74</f>
        <v>70</v>
      </c>
      <c r="AF60" s="199">
        <f>[1]Stoping!AF74</f>
        <v>70</v>
      </c>
      <c r="AG60" s="199">
        <f>[1]Stoping!AG74</f>
        <v>70</v>
      </c>
      <c r="AH60" s="199">
        <f>[1]Stoping!AH74</f>
        <v>70</v>
      </c>
      <c r="AI60" s="199">
        <f>[1]Stoping!AI74</f>
        <v>70</v>
      </c>
      <c r="AJ60" s="199">
        <f>[1]Stoping!AJ74</f>
        <v>70</v>
      </c>
      <c r="AK60" s="199">
        <f>[1]Stoping!AK74</f>
        <v>70</v>
      </c>
      <c r="AL60" s="201">
        <f>[1]Stoping!AL67</f>
        <v>70</v>
      </c>
      <c r="AM60" s="1072"/>
    </row>
    <row r="61" spans="2:39" x14ac:dyDescent="0.25">
      <c r="B61" s="1667"/>
      <c r="C61" s="1670"/>
      <c r="D61" s="1610"/>
      <c r="E61" s="1302" t="s">
        <v>342</v>
      </c>
      <c r="F61" s="1303">
        <f>SUMIF($H$9:$AL$9,"&lt;="&amp;$C$7,H61:AL61)</f>
        <v>1727</v>
      </c>
      <c r="G61" s="1304">
        <f>IFERROR((F61-F60)/F60,0)</f>
        <v>5.1354270285633081</v>
      </c>
      <c r="H61" s="1305">
        <f>66+24</f>
        <v>90</v>
      </c>
      <c r="I61" s="1303">
        <v>95</v>
      </c>
      <c r="J61" s="1303">
        <f>45+48</f>
        <v>93</v>
      </c>
      <c r="K61" s="1303">
        <v>93</v>
      </c>
      <c r="L61" s="1303">
        <v>59</v>
      </c>
      <c r="M61" s="1303">
        <v>104</v>
      </c>
      <c r="N61" s="1303">
        <v>50</v>
      </c>
      <c r="O61" s="1303">
        <v>98</v>
      </c>
      <c r="P61" s="1303">
        <v>68</v>
      </c>
      <c r="Q61" s="1303">
        <v>112</v>
      </c>
      <c r="R61" s="1303">
        <v>153</v>
      </c>
      <c r="S61" s="1303">
        <f>43+123</f>
        <v>166</v>
      </c>
      <c r="T61" s="1303">
        <f>122+43</f>
        <v>165</v>
      </c>
      <c r="U61" s="1303">
        <v>198</v>
      </c>
      <c r="V61" s="1303">
        <v>183</v>
      </c>
      <c r="W61" s="1303"/>
      <c r="X61" s="1303"/>
      <c r="Y61" s="1303"/>
      <c r="Z61" s="1303"/>
      <c r="AA61" s="1303"/>
      <c r="AB61" s="1303"/>
      <c r="AC61" s="1303"/>
      <c r="AD61" s="1303"/>
      <c r="AE61" s="1303"/>
      <c r="AF61" s="1303"/>
      <c r="AG61" s="1303"/>
      <c r="AH61" s="1303"/>
      <c r="AI61" s="1303"/>
      <c r="AJ61" s="1303"/>
      <c r="AK61" s="1303"/>
      <c r="AL61" s="1303"/>
      <c r="AM61" s="1074"/>
    </row>
    <row r="62" spans="2:39" x14ac:dyDescent="0.25">
      <c r="B62" s="1667"/>
      <c r="C62" s="1670"/>
      <c r="D62" s="1610"/>
      <c r="E62" s="1324" t="s">
        <v>312</v>
      </c>
      <c r="F62" s="1307"/>
      <c r="G62" s="1308"/>
      <c r="H62" s="1075"/>
      <c r="I62" s="1075"/>
      <c r="J62" s="1075"/>
      <c r="K62" s="1075"/>
      <c r="L62" s="1075"/>
      <c r="M62" s="1075"/>
      <c r="N62" s="1075"/>
      <c r="O62" s="1075"/>
      <c r="P62" s="1076"/>
      <c r="Q62" s="1075"/>
      <c r="R62" s="1075"/>
      <c r="S62" s="1075"/>
      <c r="T62" s="1075"/>
      <c r="U62" s="1075"/>
      <c r="V62" s="1075"/>
      <c r="W62" s="1075"/>
      <c r="X62" s="1075"/>
      <c r="Y62" s="1075"/>
      <c r="Z62" s="1075"/>
      <c r="AA62" s="1075"/>
      <c r="AB62" s="1075"/>
      <c r="AC62" s="1075"/>
      <c r="AD62" s="1075"/>
      <c r="AE62" s="1075"/>
      <c r="AF62" s="1075"/>
      <c r="AG62" s="1075"/>
      <c r="AH62" s="1075"/>
      <c r="AI62" s="1075"/>
      <c r="AJ62" s="1075"/>
      <c r="AK62" s="1075"/>
      <c r="AL62" s="1077"/>
      <c r="AM62" s="1074"/>
    </row>
    <row r="63" spans="2:39" x14ac:dyDescent="0.25">
      <c r="B63" s="1667"/>
      <c r="C63" s="1670"/>
      <c r="D63" s="1612" t="s">
        <v>343</v>
      </c>
      <c r="E63" s="1309" t="s">
        <v>344</v>
      </c>
      <c r="F63" s="1310">
        <f>IFERROR(F65*1000/F60,0)</f>
        <v>1.6594529051382607</v>
      </c>
      <c r="G63" s="1311"/>
      <c r="H63" s="1312">
        <f>[1]Breaking.!D54</f>
        <v>0</v>
      </c>
      <c r="I63" s="1312">
        <f>[1]Breaking.!E54</f>
        <v>0</v>
      </c>
      <c r="J63" s="1312">
        <f>[1]Breaking.!F54</f>
        <v>0</v>
      </c>
      <c r="K63" s="1312">
        <f>[1]Breaking.!G54</f>
        <v>0</v>
      </c>
      <c r="L63" s="1312">
        <f>[1]Breaking.!H54</f>
        <v>0</v>
      </c>
      <c r="M63" s="1312">
        <f>[1]Breaking.!I54</f>
        <v>0</v>
      </c>
      <c r="N63" s="1312">
        <f>[1]Breaking.!J54</f>
        <v>0</v>
      </c>
      <c r="O63" s="1312">
        <f>[1]Breaking.!K54</f>
        <v>0</v>
      </c>
      <c r="P63" s="1312">
        <f>[1]Breaking.!L54</f>
        <v>0</v>
      </c>
      <c r="Q63" s="1312">
        <f>[1]Breaking.!M54</f>
        <v>0</v>
      </c>
      <c r="R63" s="1312">
        <f>[1]Breaking.!N54</f>
        <v>0</v>
      </c>
      <c r="S63" s="1312">
        <f>[1]Breaking.!O54</f>
        <v>0</v>
      </c>
      <c r="T63" s="1312">
        <f>[1]Breaking.!P54</f>
        <v>1.6682242990654204</v>
      </c>
      <c r="U63" s="1312">
        <f>[1]Breaking.!Q54</f>
        <v>1.6682242990654204</v>
      </c>
      <c r="V63" s="1312">
        <f>[1]Breaking.!R54</f>
        <v>1.6682242990654204</v>
      </c>
      <c r="W63" s="1312">
        <f>[1]Breaking.!S54</f>
        <v>1.6682242990654204</v>
      </c>
      <c r="X63" s="1312">
        <f>[1]Breaking.!T54</f>
        <v>1.6682242990654204</v>
      </c>
      <c r="Y63" s="1312">
        <f>[1]Breaking.!U54</f>
        <v>1.6682242990654204</v>
      </c>
      <c r="Z63" s="1312">
        <f>[1]Breaking.!V54</f>
        <v>1.6682242990654204</v>
      </c>
      <c r="AA63" s="1312">
        <f>[1]Breaking.!W54</f>
        <v>1.6682242990654204</v>
      </c>
      <c r="AB63" s="1312">
        <f>[1]Breaking.!X54</f>
        <v>1.6682242990654204</v>
      </c>
      <c r="AC63" s="1312">
        <f>[1]Breaking.!Y54</f>
        <v>1.6682242990654204</v>
      </c>
      <c r="AD63" s="1312">
        <f>[1]Breaking.!Z54</f>
        <v>1.6682242990654204</v>
      </c>
      <c r="AE63" s="1312">
        <f>[1]Breaking.!AA54</f>
        <v>1.6682242990654204</v>
      </c>
      <c r="AF63" s="1312">
        <f>[1]Breaking.!AB54</f>
        <v>1.6682242990654204</v>
      </c>
      <c r="AG63" s="1312">
        <f>[1]Breaking.!AC54</f>
        <v>1.6682242990654204</v>
      </c>
      <c r="AH63" s="1312">
        <f>[1]Breaking.!AD54</f>
        <v>1.6682242990654204</v>
      </c>
      <c r="AI63" s="1312">
        <f>[1]Breaking.!AE54</f>
        <v>1.6682242990654204</v>
      </c>
      <c r="AJ63" s="1312">
        <f>[1]Breaking.!AF54</f>
        <v>1.6682242990654204</v>
      </c>
      <c r="AK63" s="1312">
        <f>[1]Breaking.!AG54</f>
        <v>1.6682242990654204</v>
      </c>
      <c r="AL63" s="1312">
        <f>[1]Breaking.!AH54</f>
        <v>1.6682242990654204</v>
      </c>
      <c r="AM63" s="1074"/>
    </row>
    <row r="64" spans="2:39" x14ac:dyDescent="0.25">
      <c r="B64" s="1667"/>
      <c r="C64" s="1670"/>
      <c r="D64" s="1664"/>
      <c r="E64" s="1313" t="s">
        <v>345</v>
      </c>
      <c r="F64" s="1314">
        <f>IFERROR(F66*1000/F61,0)</f>
        <v>2.9860509554140133</v>
      </c>
      <c r="G64" s="1304">
        <f>IFERROR((F64-F63)/F63,0)</f>
        <v>0.79941892063831987</v>
      </c>
      <c r="H64" s="1315">
        <v>3.1</v>
      </c>
      <c r="I64" s="1314">
        <v>1.05</v>
      </c>
      <c r="J64" s="1314">
        <v>4.58</v>
      </c>
      <c r="K64" s="1314">
        <v>1.48</v>
      </c>
      <c r="L64" s="1314">
        <v>1.58</v>
      </c>
      <c r="M64" s="1314">
        <v>2.69</v>
      </c>
      <c r="N64" s="1314">
        <v>2.68</v>
      </c>
      <c r="O64" s="1314">
        <v>4.82</v>
      </c>
      <c r="P64" s="1314">
        <v>1.76</v>
      </c>
      <c r="Q64" s="1314">
        <v>5.54</v>
      </c>
      <c r="R64" s="1314">
        <v>3</v>
      </c>
      <c r="S64" s="1314">
        <v>2.3199999999999998</v>
      </c>
      <c r="T64" s="1314">
        <v>2.93</v>
      </c>
      <c r="U64" s="1314">
        <v>3.17</v>
      </c>
      <c r="V64" s="1314">
        <v>2.95</v>
      </c>
      <c r="W64" s="1314"/>
      <c r="X64" s="1314"/>
      <c r="Y64" s="1314"/>
      <c r="Z64" s="1314"/>
      <c r="AA64" s="1314"/>
      <c r="AB64" s="1314"/>
      <c r="AC64" s="1314"/>
      <c r="AD64" s="1314"/>
      <c r="AE64" s="1314"/>
      <c r="AF64" s="1314"/>
      <c r="AG64" s="1314"/>
      <c r="AH64" s="1314"/>
      <c r="AI64" s="1314"/>
      <c r="AJ64" s="1314"/>
      <c r="AK64" s="1314"/>
      <c r="AL64" s="1314"/>
      <c r="AM64" s="1074"/>
    </row>
    <row r="65" spans="2:39" x14ac:dyDescent="0.25">
      <c r="B65" s="1667"/>
      <c r="C65" s="1670"/>
      <c r="D65" s="1612" t="s">
        <v>47</v>
      </c>
      <c r="E65" s="1309" t="s">
        <v>346</v>
      </c>
      <c r="F65" s="206">
        <f>SUMIF($H$9:$AL$9,"&lt;="&amp;$C$7,H65:AL65)</f>
        <v>0.4671028037383177</v>
      </c>
      <c r="G65" s="1311"/>
      <c r="H65" s="1316">
        <v>0</v>
      </c>
      <c r="I65" s="1316">
        <f t="shared" ref="I65:AF66" si="35">+I63*I60/1000</f>
        <v>0</v>
      </c>
      <c r="J65" s="1316">
        <f t="shared" si="35"/>
        <v>0</v>
      </c>
      <c r="K65" s="1316">
        <f t="shared" si="35"/>
        <v>0</v>
      </c>
      <c r="L65" s="1316">
        <f t="shared" si="35"/>
        <v>0</v>
      </c>
      <c r="M65" s="1316">
        <f t="shared" si="35"/>
        <v>0</v>
      </c>
      <c r="N65" s="1316">
        <f t="shared" si="35"/>
        <v>0</v>
      </c>
      <c r="O65" s="1316">
        <f t="shared" si="35"/>
        <v>0</v>
      </c>
      <c r="P65" s="1316">
        <f t="shared" si="35"/>
        <v>0</v>
      </c>
      <c r="Q65" s="1316">
        <f t="shared" si="35"/>
        <v>0</v>
      </c>
      <c r="R65" s="1316">
        <f t="shared" si="35"/>
        <v>0</v>
      </c>
      <c r="S65" s="1316">
        <f t="shared" si="35"/>
        <v>0</v>
      </c>
      <c r="T65" s="1316">
        <f t="shared" si="35"/>
        <v>0.11677570093457942</v>
      </c>
      <c r="U65" s="1316">
        <f t="shared" si="35"/>
        <v>0.11677570093457942</v>
      </c>
      <c r="V65" s="1316">
        <f t="shared" si="35"/>
        <v>0.11677570093457942</v>
      </c>
      <c r="W65" s="1316">
        <f t="shared" si="35"/>
        <v>0.11677570093457942</v>
      </c>
      <c r="X65" s="1316">
        <f t="shared" si="35"/>
        <v>0.11677570093457942</v>
      </c>
      <c r="Y65" s="1316">
        <f t="shared" si="35"/>
        <v>0.11677570093457942</v>
      </c>
      <c r="Z65" s="1316">
        <f t="shared" si="35"/>
        <v>0.11677570093457942</v>
      </c>
      <c r="AA65" s="1316">
        <f t="shared" si="35"/>
        <v>0.11677570093457942</v>
      </c>
      <c r="AB65" s="1316">
        <f t="shared" si="35"/>
        <v>0.11677570093457942</v>
      </c>
      <c r="AC65" s="1316">
        <f t="shared" si="35"/>
        <v>0.11677570093457942</v>
      </c>
      <c r="AD65" s="1316">
        <f t="shared" si="35"/>
        <v>0.11677570093457942</v>
      </c>
      <c r="AE65" s="1316">
        <f t="shared" si="35"/>
        <v>0.11677570093457942</v>
      </c>
      <c r="AF65" s="1316">
        <f t="shared" si="35"/>
        <v>0.11677570093457942</v>
      </c>
      <c r="AG65" s="1316" t="s">
        <v>362</v>
      </c>
      <c r="AH65" s="1316">
        <f t="shared" ref="AH65:AL66" si="36">+AH63*AH60/1000</f>
        <v>0.11677570093457942</v>
      </c>
      <c r="AI65" s="1316">
        <f t="shared" si="36"/>
        <v>0.11677570093457942</v>
      </c>
      <c r="AJ65" s="1316">
        <f t="shared" si="36"/>
        <v>0.11677570093457942</v>
      </c>
      <c r="AK65" s="1316">
        <f t="shared" si="36"/>
        <v>0.11677570093457942</v>
      </c>
      <c r="AL65" s="1316">
        <f t="shared" si="36"/>
        <v>0.11677570093457942</v>
      </c>
      <c r="AM65" s="1078"/>
    </row>
    <row r="66" spans="2:39" ht="14.25" thickBot="1" x14ac:dyDescent="0.3">
      <c r="B66" s="1668"/>
      <c r="C66" s="1671"/>
      <c r="D66" s="1665"/>
      <c r="E66" s="1320" t="s">
        <v>347</v>
      </c>
      <c r="F66" s="1321">
        <f>SUMIF($H$9:$AL$9,"&lt;="&amp;$C$7,H66:AL66)</f>
        <v>5.1569100000000008</v>
      </c>
      <c r="G66" s="1322">
        <f>IFERROR((F66-F65)/F65,0)</f>
        <v>10.040203481392561</v>
      </c>
      <c r="H66" s="1323">
        <f>+H64*H61/1000</f>
        <v>0.27900000000000003</v>
      </c>
      <c r="I66" s="1323">
        <f t="shared" si="35"/>
        <v>9.9750000000000005E-2</v>
      </c>
      <c r="J66" s="1323">
        <f t="shared" si="35"/>
        <v>0.42593999999999999</v>
      </c>
      <c r="K66" s="1323">
        <f t="shared" si="35"/>
        <v>0.13763999999999998</v>
      </c>
      <c r="L66" s="1323">
        <f t="shared" si="35"/>
        <v>9.3219999999999997E-2</v>
      </c>
      <c r="M66" s="1323">
        <f t="shared" si="35"/>
        <v>0.27976000000000001</v>
      </c>
      <c r="N66" s="1323">
        <f t="shared" si="35"/>
        <v>0.13400000000000001</v>
      </c>
      <c r="O66" s="1323">
        <f t="shared" si="35"/>
        <v>0.47236</v>
      </c>
      <c r="P66" s="1323">
        <f t="shared" si="35"/>
        <v>0.11968000000000001</v>
      </c>
      <c r="Q66" s="1323">
        <f t="shared" si="35"/>
        <v>0.62048000000000003</v>
      </c>
      <c r="R66" s="1323">
        <f t="shared" si="35"/>
        <v>0.45900000000000002</v>
      </c>
      <c r="S66" s="1323">
        <f t="shared" si="35"/>
        <v>0.38511999999999996</v>
      </c>
      <c r="T66" s="1323">
        <f t="shared" si="35"/>
        <v>0.48345000000000005</v>
      </c>
      <c r="U66" s="1323">
        <f t="shared" si="35"/>
        <v>0.62766</v>
      </c>
      <c r="V66" s="1323">
        <f t="shared" si="35"/>
        <v>0.53985000000000005</v>
      </c>
      <c r="W66" s="1323">
        <f t="shared" si="35"/>
        <v>0</v>
      </c>
      <c r="X66" s="1323">
        <f t="shared" si="35"/>
        <v>0</v>
      </c>
      <c r="Y66" s="1323">
        <f t="shared" si="35"/>
        <v>0</v>
      </c>
      <c r="Z66" s="1323">
        <f t="shared" si="35"/>
        <v>0</v>
      </c>
      <c r="AA66" s="1323">
        <f t="shared" si="35"/>
        <v>0</v>
      </c>
      <c r="AB66" s="1323">
        <f t="shared" si="35"/>
        <v>0</v>
      </c>
      <c r="AC66" s="1323">
        <f t="shared" si="35"/>
        <v>0</v>
      </c>
      <c r="AD66" s="1323">
        <f t="shared" si="35"/>
        <v>0</v>
      </c>
      <c r="AE66" s="1323">
        <f t="shared" si="35"/>
        <v>0</v>
      </c>
      <c r="AF66" s="1323">
        <f t="shared" si="35"/>
        <v>0</v>
      </c>
      <c r="AG66" s="1323">
        <f>+AG64*AG61/1000</f>
        <v>0</v>
      </c>
      <c r="AH66" s="1323">
        <f t="shared" si="36"/>
        <v>0</v>
      </c>
      <c r="AI66" s="1323">
        <f t="shared" si="36"/>
        <v>0</v>
      </c>
      <c r="AJ66" s="1323">
        <f t="shared" si="36"/>
        <v>0</v>
      </c>
      <c r="AK66" s="1323">
        <f t="shared" si="36"/>
        <v>0</v>
      </c>
      <c r="AL66" s="1323">
        <f t="shared" si="36"/>
        <v>0</v>
      </c>
      <c r="AM66" s="1079"/>
    </row>
    <row r="67" spans="2:39" s="1069" customFormat="1" ht="14.85" customHeight="1" x14ac:dyDescent="0.25">
      <c r="B67" s="1608">
        <v>1</v>
      </c>
      <c r="C67" s="1661" t="str">
        <f>[1]Stoping!C81</f>
        <v>6L_E1 STOPE</v>
      </c>
      <c r="D67" s="1611" t="s">
        <v>340</v>
      </c>
      <c r="E67" s="1070" t="s">
        <v>341</v>
      </c>
      <c r="F67" s="196">
        <f t="shared" si="31"/>
        <v>1120</v>
      </c>
      <c r="G67" s="1071"/>
      <c r="H67" s="198">
        <f>[1]Stoping!H81</f>
        <v>70</v>
      </c>
      <c r="I67" s="198">
        <f>[1]Stoping!I81</f>
        <v>70</v>
      </c>
      <c r="J67" s="198">
        <f>[1]Stoping!J81</f>
        <v>70</v>
      </c>
      <c r="K67" s="199">
        <f>[1]Stoping!K81</f>
        <v>70</v>
      </c>
      <c r="L67" s="199">
        <f>[1]Stoping!L81</f>
        <v>70</v>
      </c>
      <c r="M67" s="199">
        <f>[1]Stoping!M81</f>
        <v>70</v>
      </c>
      <c r="N67" s="199">
        <f>[1]Stoping!N81</f>
        <v>70</v>
      </c>
      <c r="O67" s="199">
        <f>[1]Stoping!O81</f>
        <v>70</v>
      </c>
      <c r="P67" s="200">
        <f>[1]Stoping!P81</f>
        <v>70</v>
      </c>
      <c r="Q67" s="199">
        <f>[1]Stoping!Q81</f>
        <v>70</v>
      </c>
      <c r="R67" s="199">
        <f>[1]Stoping!R81</f>
        <v>70</v>
      </c>
      <c r="S67" s="199">
        <f>[1]Stoping!S81</f>
        <v>70</v>
      </c>
      <c r="T67" s="199">
        <f>[1]Stoping!T81</f>
        <v>70</v>
      </c>
      <c r="U67" s="199">
        <f>[1]Stoping!U81</f>
        <v>70</v>
      </c>
      <c r="V67" s="199">
        <f>[1]Stoping!V81</f>
        <v>70</v>
      </c>
      <c r="W67" s="199">
        <f>[1]Stoping!W81</f>
        <v>70</v>
      </c>
      <c r="X67" s="199">
        <f>[1]Stoping!X81</f>
        <v>70</v>
      </c>
      <c r="Y67" s="199">
        <f>[1]Stoping!Y81</f>
        <v>70</v>
      </c>
      <c r="Z67" s="199">
        <f>[1]Stoping!Z81</f>
        <v>70</v>
      </c>
      <c r="AA67" s="199">
        <f>[1]Stoping!AA81</f>
        <v>70</v>
      </c>
      <c r="AB67" s="199">
        <f>[1]Stoping!AB81</f>
        <v>70</v>
      </c>
      <c r="AC67" s="199">
        <f>[1]Stoping!AC81</f>
        <v>70</v>
      </c>
      <c r="AD67" s="199">
        <f>[1]Stoping!AD81</f>
        <v>70</v>
      </c>
      <c r="AE67" s="199">
        <f>[1]Stoping!AE81</f>
        <v>70</v>
      </c>
      <c r="AF67" s="199">
        <f>[1]Stoping!AF81</f>
        <v>70</v>
      </c>
      <c r="AG67" s="199">
        <f>[1]Stoping!AG81</f>
        <v>70</v>
      </c>
      <c r="AH67" s="199">
        <f>[1]Stoping!AH81</f>
        <v>70</v>
      </c>
      <c r="AI67" s="199">
        <f>[1]Stoping!AI81</f>
        <v>70</v>
      </c>
      <c r="AJ67" s="199">
        <f>[1]Stoping!AJ81</f>
        <v>70</v>
      </c>
      <c r="AK67" s="199">
        <f>[1]Stoping!AK81</f>
        <v>70</v>
      </c>
      <c r="AL67" s="201">
        <f>[1]Stoping!AL67</f>
        <v>70</v>
      </c>
      <c r="AM67" s="1072"/>
    </row>
    <row r="68" spans="2:39" x14ac:dyDescent="0.25">
      <c r="B68" s="1607"/>
      <c r="C68" s="1662"/>
      <c r="D68" s="1610"/>
      <c r="E68" s="1302" t="s">
        <v>342</v>
      </c>
      <c r="F68" s="1303">
        <f t="shared" si="31"/>
        <v>1510.5</v>
      </c>
      <c r="G68" s="1304"/>
      <c r="H68" s="1305">
        <v>70</v>
      </c>
      <c r="I68" s="1303">
        <v>174</v>
      </c>
      <c r="J68" s="1303">
        <v>71.5</v>
      </c>
      <c r="K68" s="1303">
        <v>57</v>
      </c>
      <c r="L68" s="1303">
        <v>90</v>
      </c>
      <c r="M68" s="1303">
        <v>192</v>
      </c>
      <c r="N68" s="1303">
        <v>185</v>
      </c>
      <c r="O68" s="1303">
        <f>96</f>
        <v>96</v>
      </c>
      <c r="P68" s="1303">
        <v>93</v>
      </c>
      <c r="Q68" s="1303">
        <v>96</v>
      </c>
      <c r="R68" s="1303">
        <v>75</v>
      </c>
      <c r="S68" s="1303">
        <v>100</v>
      </c>
      <c r="T68" s="1303">
        <v>85</v>
      </c>
      <c r="U68" s="1303">
        <v>66</v>
      </c>
      <c r="V68" s="1303">
        <v>42</v>
      </c>
      <c r="W68" s="1303">
        <v>18</v>
      </c>
      <c r="X68" s="1303"/>
      <c r="Y68" s="1303"/>
      <c r="Z68" s="1303"/>
      <c r="AA68" s="1303"/>
      <c r="AB68" s="1303"/>
      <c r="AC68" s="1303"/>
      <c r="AD68" s="1303"/>
      <c r="AE68" s="1303"/>
      <c r="AF68" s="1303"/>
      <c r="AG68" s="1303"/>
      <c r="AH68" s="1303"/>
      <c r="AI68" s="1303"/>
      <c r="AJ68" s="1303"/>
      <c r="AK68" s="1303"/>
      <c r="AL68" s="1303"/>
      <c r="AM68" s="1074"/>
    </row>
    <row r="69" spans="2:39" x14ac:dyDescent="0.25">
      <c r="B69" s="1607"/>
      <c r="C69" s="1662"/>
      <c r="D69" s="1610"/>
      <c r="E69" s="1324" t="s">
        <v>312</v>
      </c>
      <c r="F69" s="1307"/>
      <c r="G69" s="1308"/>
      <c r="H69" s="1075"/>
      <c r="I69" s="1075"/>
      <c r="J69" s="1075"/>
      <c r="K69" s="1075"/>
      <c r="L69" s="1075"/>
      <c r="M69" s="1075"/>
      <c r="N69" s="1075"/>
      <c r="O69" s="1075"/>
      <c r="P69" s="1076"/>
      <c r="Q69" s="1075"/>
      <c r="R69" s="1075"/>
      <c r="S69" s="1075"/>
      <c r="T69" s="1075"/>
      <c r="U69" s="1075"/>
      <c r="V69" s="1075"/>
      <c r="W69" s="1075"/>
      <c r="X69" s="1075"/>
      <c r="Y69" s="1075"/>
      <c r="Z69" s="1075"/>
      <c r="AA69" s="1075"/>
      <c r="AB69" s="1075"/>
      <c r="AC69" s="1075"/>
      <c r="AD69" s="1075"/>
      <c r="AE69" s="1075"/>
      <c r="AF69" s="1075"/>
      <c r="AG69" s="1075"/>
      <c r="AH69" s="1075"/>
      <c r="AI69" s="1075"/>
      <c r="AJ69" s="1075"/>
      <c r="AK69" s="1075"/>
      <c r="AL69" s="1077"/>
      <c r="AM69" s="1074"/>
    </row>
    <row r="70" spans="2:39" x14ac:dyDescent="0.25">
      <c r="B70" s="1607"/>
      <c r="C70" s="1662"/>
      <c r="D70" s="1612" t="s">
        <v>343</v>
      </c>
      <c r="E70" s="1309" t="s">
        <v>344</v>
      </c>
      <c r="F70" s="1310">
        <f t="shared" ref="F70:F71" si="37">IFERROR(F72*1000/F67,0)</f>
        <v>3.1378504672897192</v>
      </c>
      <c r="G70" s="1311"/>
      <c r="H70" s="1312">
        <f>[1]Breaking.!D64</f>
        <v>3.1378504672897192</v>
      </c>
      <c r="I70" s="1312">
        <f>[1]Breaking.!E64</f>
        <v>3.1378504672897192</v>
      </c>
      <c r="J70" s="1312">
        <f>[1]Breaking.!F64</f>
        <v>3.1378504672897192</v>
      </c>
      <c r="K70" s="1312">
        <f>[1]Breaking.!G64</f>
        <v>3.1378504672897192</v>
      </c>
      <c r="L70" s="1312">
        <f>[1]Breaking.!H64</f>
        <v>3.1378504672897192</v>
      </c>
      <c r="M70" s="1312">
        <f>[1]Breaking.!I64</f>
        <v>3.1378504672897192</v>
      </c>
      <c r="N70" s="1312">
        <f>[1]Breaking.!J64</f>
        <v>3.1378504672897192</v>
      </c>
      <c r="O70" s="1312">
        <f>[1]Breaking.!K64</f>
        <v>3.1378504672897192</v>
      </c>
      <c r="P70" s="1312">
        <f>[1]Breaking.!L64</f>
        <v>3.1378504672897192</v>
      </c>
      <c r="Q70" s="1312">
        <f>[1]Breaking.!M64</f>
        <v>3.1378504672897192</v>
      </c>
      <c r="R70" s="1312">
        <f>[1]Breaking.!N64</f>
        <v>3.1378504672897192</v>
      </c>
      <c r="S70" s="1312">
        <f>[1]Breaking.!O64</f>
        <v>3.1378504672897192</v>
      </c>
      <c r="T70" s="1312">
        <f>[1]Breaking.!P64</f>
        <v>3.1378504672897192</v>
      </c>
      <c r="U70" s="1312">
        <f>[1]Breaking.!Q64</f>
        <v>3.1378504672897192</v>
      </c>
      <c r="V70" s="1312">
        <f>[1]Breaking.!R64</f>
        <v>3.1378504672897192</v>
      </c>
      <c r="W70" s="1312">
        <f>[1]Breaking.!S64</f>
        <v>3.1378504672897192</v>
      </c>
      <c r="X70" s="1312">
        <f>[1]Breaking.!T64</f>
        <v>3.1378504672897192</v>
      </c>
      <c r="Y70" s="1312">
        <f>[1]Breaking.!U64</f>
        <v>3.1378504672897192</v>
      </c>
      <c r="Z70" s="1312">
        <f>[1]Breaking.!V64</f>
        <v>3.1378504672897192</v>
      </c>
      <c r="AA70" s="1312">
        <f>[1]Breaking.!W64</f>
        <v>3.1378504672897192</v>
      </c>
      <c r="AB70" s="1312">
        <f>[1]Breaking.!X64</f>
        <v>3.1378504672897192</v>
      </c>
      <c r="AC70" s="1312">
        <f>[1]Breaking.!Y64</f>
        <v>3.1378504672897192</v>
      </c>
      <c r="AD70" s="1312">
        <f>[1]Breaking.!Z64</f>
        <v>3.1378504672897192</v>
      </c>
      <c r="AE70" s="1312">
        <f>[1]Breaking.!AA64</f>
        <v>3.1378504672897192</v>
      </c>
      <c r="AF70" s="1312">
        <f>[1]Breaking.!AB64</f>
        <v>3.1378504672897192</v>
      </c>
      <c r="AG70" s="1312">
        <f>[1]Breaking.!AC64</f>
        <v>3.1378504672897192</v>
      </c>
      <c r="AH70" s="1312">
        <f>[1]Breaking.!AD64</f>
        <v>3.1378504672897192</v>
      </c>
      <c r="AI70" s="1312">
        <f>[1]Breaking.!AE64</f>
        <v>3.1378504672897192</v>
      </c>
      <c r="AJ70" s="1312">
        <f>[1]Breaking.!AF64</f>
        <v>3.1378504672897192</v>
      </c>
      <c r="AK70" s="1312">
        <f>[1]Breaking.!AG64</f>
        <v>3.1378504672897192</v>
      </c>
      <c r="AL70" s="1312">
        <f>[1]Breaking.!AH64</f>
        <v>3.1378504672897192</v>
      </c>
      <c r="AM70" s="1074"/>
    </row>
    <row r="71" spans="2:39" x14ac:dyDescent="0.25">
      <c r="B71" s="1607"/>
      <c r="C71" s="1662"/>
      <c r="D71" s="1664"/>
      <c r="E71" s="1313" t="s">
        <v>345</v>
      </c>
      <c r="F71" s="1314">
        <f t="shared" si="37"/>
        <v>3.806832174776563</v>
      </c>
      <c r="G71" s="1304">
        <f t="shared" ref="G71" si="38">IFERROR((F71-F70)/F70,0)</f>
        <v>0.21319744661531587</v>
      </c>
      <c r="H71" s="1315">
        <v>4.17</v>
      </c>
      <c r="I71" s="1314">
        <v>4.84</v>
      </c>
      <c r="J71" s="1314">
        <v>3.82</v>
      </c>
      <c r="K71" s="1314">
        <v>1.44</v>
      </c>
      <c r="L71" s="1314">
        <v>2.94</v>
      </c>
      <c r="M71" s="1314">
        <v>4</v>
      </c>
      <c r="N71" s="1314">
        <v>3.25</v>
      </c>
      <c r="O71" s="1314">
        <v>3.09</v>
      </c>
      <c r="P71" s="1314">
        <v>3.56</v>
      </c>
      <c r="Q71" s="1314">
        <v>4</v>
      </c>
      <c r="R71" s="1314">
        <v>4.5199999999999996</v>
      </c>
      <c r="S71" s="1314">
        <v>3.95</v>
      </c>
      <c r="T71" s="1314">
        <v>4.96</v>
      </c>
      <c r="U71" s="1314">
        <v>5</v>
      </c>
      <c r="V71" s="1314">
        <v>3.09</v>
      </c>
      <c r="W71" s="1314"/>
      <c r="X71" s="1314"/>
      <c r="Y71" s="1314"/>
      <c r="Z71" s="1314"/>
      <c r="AA71" s="1314"/>
      <c r="AB71" s="1314"/>
      <c r="AC71" s="1314"/>
      <c r="AD71" s="1314"/>
      <c r="AE71" s="1314"/>
      <c r="AF71" s="1314"/>
      <c r="AG71" s="1314"/>
      <c r="AH71" s="1314"/>
      <c r="AI71" s="1314"/>
      <c r="AJ71" s="1314"/>
      <c r="AK71" s="1314"/>
      <c r="AL71" s="1314"/>
      <c r="AM71" s="1074"/>
    </row>
    <row r="72" spans="2:39" x14ac:dyDescent="0.25">
      <c r="B72" s="1607"/>
      <c r="C72" s="1662"/>
      <c r="D72" s="1612" t="s">
        <v>47</v>
      </c>
      <c r="E72" s="1309" t="s">
        <v>346</v>
      </c>
      <c r="F72" s="206">
        <f t="shared" ref="F72:F75" si="39">SUMIF($H$9:$AL$9,"&lt;="&amp;$C$7,H72:AL72)</f>
        <v>3.5143925233644855</v>
      </c>
      <c r="G72" s="1311"/>
      <c r="H72" s="1316">
        <f>+H70*H67/1000</f>
        <v>0.21964953271028034</v>
      </c>
      <c r="I72" s="1316">
        <f t="shared" ref="I72:AL73" si="40">+I70*I67/1000</f>
        <v>0.21964953271028034</v>
      </c>
      <c r="J72" s="1316">
        <f t="shared" si="40"/>
        <v>0.21964953271028034</v>
      </c>
      <c r="K72" s="1316">
        <f t="shared" si="40"/>
        <v>0.21964953271028034</v>
      </c>
      <c r="L72" s="1316">
        <f t="shared" si="40"/>
        <v>0.21964953271028034</v>
      </c>
      <c r="M72" s="1316">
        <f t="shared" si="40"/>
        <v>0.21964953271028034</v>
      </c>
      <c r="N72" s="1316">
        <f t="shared" si="40"/>
        <v>0.21964953271028034</v>
      </c>
      <c r="O72" s="1316">
        <f t="shared" si="40"/>
        <v>0.21964953271028034</v>
      </c>
      <c r="P72" s="1316">
        <f t="shared" si="40"/>
        <v>0.21964953271028034</v>
      </c>
      <c r="Q72" s="1316">
        <f t="shared" si="40"/>
        <v>0.21964953271028034</v>
      </c>
      <c r="R72" s="1316">
        <f t="shared" si="40"/>
        <v>0.21964953271028034</v>
      </c>
      <c r="S72" s="1316">
        <f t="shared" si="40"/>
        <v>0.21964953271028034</v>
      </c>
      <c r="T72" s="1316">
        <f t="shared" si="40"/>
        <v>0.21964953271028034</v>
      </c>
      <c r="U72" s="1316">
        <f t="shared" si="40"/>
        <v>0.21964953271028034</v>
      </c>
      <c r="V72" s="1316">
        <f t="shared" si="40"/>
        <v>0.21964953271028034</v>
      </c>
      <c r="W72" s="1316">
        <f t="shared" si="40"/>
        <v>0.21964953271028034</v>
      </c>
      <c r="X72" s="1316">
        <f t="shared" si="40"/>
        <v>0.21964953271028034</v>
      </c>
      <c r="Y72" s="1316">
        <f t="shared" si="40"/>
        <v>0.21964953271028034</v>
      </c>
      <c r="Z72" s="1316">
        <f t="shared" si="40"/>
        <v>0.21964953271028034</v>
      </c>
      <c r="AA72" s="1316">
        <f t="shared" si="40"/>
        <v>0.21964953271028034</v>
      </c>
      <c r="AB72" s="1316">
        <f t="shared" si="40"/>
        <v>0.21964953271028034</v>
      </c>
      <c r="AC72" s="1316">
        <f t="shared" si="40"/>
        <v>0.21964953271028034</v>
      </c>
      <c r="AD72" s="1316">
        <f t="shared" si="40"/>
        <v>0.21964953271028034</v>
      </c>
      <c r="AE72" s="1316">
        <f t="shared" si="40"/>
        <v>0.21964953271028034</v>
      </c>
      <c r="AF72" s="1316">
        <f t="shared" si="40"/>
        <v>0.21964953271028034</v>
      </c>
      <c r="AG72" s="1316">
        <f t="shared" si="40"/>
        <v>0.21964953271028034</v>
      </c>
      <c r="AH72" s="1316">
        <f t="shared" si="40"/>
        <v>0.21964953271028034</v>
      </c>
      <c r="AI72" s="1316">
        <f t="shared" si="40"/>
        <v>0.21964953271028034</v>
      </c>
      <c r="AJ72" s="1316">
        <f t="shared" si="40"/>
        <v>0.21964953271028034</v>
      </c>
      <c r="AK72" s="1316">
        <f t="shared" si="40"/>
        <v>0.21964953271028034</v>
      </c>
      <c r="AL72" s="1316">
        <f t="shared" si="40"/>
        <v>0.21964953271028034</v>
      </c>
      <c r="AM72" s="1078"/>
    </row>
    <row r="73" spans="2:39" ht="14.25" thickBot="1" x14ac:dyDescent="0.3">
      <c r="B73" s="1660"/>
      <c r="C73" s="1663"/>
      <c r="D73" s="1665"/>
      <c r="E73" s="1320" t="s">
        <v>347</v>
      </c>
      <c r="F73" s="1321">
        <f t="shared" si="39"/>
        <v>5.7502199999999988</v>
      </c>
      <c r="G73" s="1322">
        <f t="shared" ref="G73" si="41">IFERROR((F73-F72)/F72,0)</f>
        <v>0.63619173492181669</v>
      </c>
      <c r="H73" s="1323">
        <f>+H71*H68/1000</f>
        <v>0.29189999999999999</v>
      </c>
      <c r="I73" s="1323">
        <f t="shared" si="40"/>
        <v>0.84216000000000002</v>
      </c>
      <c r="J73" s="1323">
        <f t="shared" si="40"/>
        <v>0.27312999999999998</v>
      </c>
      <c r="K73" s="1323">
        <f t="shared" si="40"/>
        <v>8.208E-2</v>
      </c>
      <c r="L73" s="1323">
        <f t="shared" si="40"/>
        <v>0.2646</v>
      </c>
      <c r="M73" s="1323">
        <f t="shared" si="40"/>
        <v>0.76800000000000002</v>
      </c>
      <c r="N73" s="1323">
        <f t="shared" si="40"/>
        <v>0.60124999999999995</v>
      </c>
      <c r="O73" s="1323">
        <f t="shared" si="40"/>
        <v>0.29663999999999996</v>
      </c>
      <c r="P73" s="1323">
        <f t="shared" si="40"/>
        <v>0.33107999999999999</v>
      </c>
      <c r="Q73" s="1323">
        <f t="shared" si="40"/>
        <v>0.38400000000000001</v>
      </c>
      <c r="R73" s="1323">
        <f t="shared" si="40"/>
        <v>0.33899999999999997</v>
      </c>
      <c r="S73" s="1323">
        <f t="shared" si="40"/>
        <v>0.39500000000000002</v>
      </c>
      <c r="T73" s="1323">
        <f t="shared" si="40"/>
        <v>0.42160000000000003</v>
      </c>
      <c r="U73" s="1323">
        <f t="shared" si="40"/>
        <v>0.33</v>
      </c>
      <c r="V73" s="1323">
        <f t="shared" si="40"/>
        <v>0.12978000000000001</v>
      </c>
      <c r="W73" s="1323">
        <f t="shared" si="40"/>
        <v>0</v>
      </c>
      <c r="X73" s="1323">
        <f t="shared" si="40"/>
        <v>0</v>
      </c>
      <c r="Y73" s="1323">
        <f t="shared" si="40"/>
        <v>0</v>
      </c>
      <c r="Z73" s="1323">
        <f t="shared" si="40"/>
        <v>0</v>
      </c>
      <c r="AA73" s="1323">
        <f t="shared" si="40"/>
        <v>0</v>
      </c>
      <c r="AB73" s="1323">
        <f t="shared" si="40"/>
        <v>0</v>
      </c>
      <c r="AC73" s="1323">
        <f t="shared" si="40"/>
        <v>0</v>
      </c>
      <c r="AD73" s="1323">
        <f t="shared" si="40"/>
        <v>0</v>
      </c>
      <c r="AE73" s="1323">
        <f t="shared" si="40"/>
        <v>0</v>
      </c>
      <c r="AF73" s="1323">
        <f t="shared" si="40"/>
        <v>0</v>
      </c>
      <c r="AG73" s="1323">
        <f t="shared" si="40"/>
        <v>0</v>
      </c>
      <c r="AH73" s="1323">
        <f t="shared" si="40"/>
        <v>0</v>
      </c>
      <c r="AI73" s="1323">
        <f t="shared" si="40"/>
        <v>0</v>
      </c>
      <c r="AJ73" s="1323">
        <f t="shared" si="40"/>
        <v>0</v>
      </c>
      <c r="AK73" s="1323">
        <f t="shared" si="40"/>
        <v>0</v>
      </c>
      <c r="AL73" s="1323">
        <f t="shared" si="40"/>
        <v>0</v>
      </c>
      <c r="AM73" s="1079"/>
    </row>
    <row r="74" spans="2:39" s="1069" customFormat="1" ht="14.85" customHeight="1" x14ac:dyDescent="0.25">
      <c r="B74" s="1608">
        <v>1</v>
      </c>
      <c r="C74" s="1661" t="str">
        <f>[1]Stoping!C88</f>
        <v xml:space="preserve">6L_W1 STOPE </v>
      </c>
      <c r="D74" s="1611" t="s">
        <v>340</v>
      </c>
      <c r="E74" s="1070" t="s">
        <v>341</v>
      </c>
      <c r="F74" s="196">
        <f t="shared" si="39"/>
        <v>1120</v>
      </c>
      <c r="G74" s="1071"/>
      <c r="H74" s="198">
        <f>[1]Stoping!H88</f>
        <v>70</v>
      </c>
      <c r="I74" s="198">
        <f>[1]Stoping!I88</f>
        <v>70</v>
      </c>
      <c r="J74" s="198">
        <f>[1]Stoping!J88</f>
        <v>70</v>
      </c>
      <c r="K74" s="199">
        <f>[1]Stoping!K88</f>
        <v>70</v>
      </c>
      <c r="L74" s="199">
        <f>[1]Stoping!L88</f>
        <v>70</v>
      </c>
      <c r="M74" s="199">
        <f>[1]Stoping!M88</f>
        <v>70</v>
      </c>
      <c r="N74" s="199">
        <f>[1]Stoping!N88</f>
        <v>70</v>
      </c>
      <c r="O74" s="199">
        <f>[1]Stoping!O88</f>
        <v>70</v>
      </c>
      <c r="P74" s="200">
        <f>[1]Stoping!P88</f>
        <v>70</v>
      </c>
      <c r="Q74" s="199">
        <f>[1]Stoping!Q88</f>
        <v>70</v>
      </c>
      <c r="R74" s="199">
        <f>[1]Stoping!R88</f>
        <v>70</v>
      </c>
      <c r="S74" s="199">
        <f>[1]Stoping!S88</f>
        <v>70</v>
      </c>
      <c r="T74" s="199">
        <f>[1]Stoping!T88</f>
        <v>70</v>
      </c>
      <c r="U74" s="199">
        <f>[1]Stoping!U88</f>
        <v>70</v>
      </c>
      <c r="V74" s="199">
        <f>[1]Stoping!V88</f>
        <v>70</v>
      </c>
      <c r="W74" s="199">
        <f>[1]Stoping!W88</f>
        <v>70</v>
      </c>
      <c r="X74" s="199">
        <f>[1]Stoping!X88</f>
        <v>70</v>
      </c>
      <c r="Y74" s="199">
        <f>[1]Stoping!Y88</f>
        <v>70</v>
      </c>
      <c r="Z74" s="199">
        <f>[1]Stoping!Z88</f>
        <v>70</v>
      </c>
      <c r="AA74" s="199">
        <f>[1]Stoping!AA88</f>
        <v>70</v>
      </c>
      <c r="AB74" s="199">
        <f>[1]Stoping!AB88</f>
        <v>70</v>
      </c>
      <c r="AC74" s="199">
        <f>[1]Stoping!AC88</f>
        <v>70</v>
      </c>
      <c r="AD74" s="199">
        <f>[1]Stoping!AD88</f>
        <v>70</v>
      </c>
      <c r="AE74" s="199">
        <f>[1]Stoping!AE88</f>
        <v>70</v>
      </c>
      <c r="AF74" s="199">
        <f>[1]Stoping!AF88</f>
        <v>70</v>
      </c>
      <c r="AG74" s="199">
        <f>[1]Stoping!AG88</f>
        <v>70</v>
      </c>
      <c r="AH74" s="199">
        <f>[1]Stoping!AH88</f>
        <v>70</v>
      </c>
      <c r="AI74" s="199">
        <f>[1]Stoping!AI88</f>
        <v>70</v>
      </c>
      <c r="AJ74" s="199">
        <f>[1]Stoping!AJ88</f>
        <v>70</v>
      </c>
      <c r="AK74" s="199">
        <f>[1]Stoping!AK88</f>
        <v>70</v>
      </c>
      <c r="AL74" s="201">
        <f>[1]Stoping!AL81</f>
        <v>70</v>
      </c>
      <c r="AM74" s="1072"/>
    </row>
    <row r="75" spans="2:39" x14ac:dyDescent="0.25">
      <c r="B75" s="1607"/>
      <c r="C75" s="1662"/>
      <c r="D75" s="1610"/>
      <c r="E75" s="1302" t="s">
        <v>342</v>
      </c>
      <c r="F75" s="1303">
        <f t="shared" si="39"/>
        <v>1297</v>
      </c>
      <c r="G75" s="1304">
        <f t="shared" ref="G75" si="42">IFERROR((F75-F74)/F74,0)</f>
        <v>0.15803571428571428</v>
      </c>
      <c r="H75" s="1305"/>
      <c r="I75" s="1303"/>
      <c r="J75" s="1303">
        <v>100</v>
      </c>
      <c r="K75" s="1303">
        <v>42</v>
      </c>
      <c r="L75" s="1303">
        <f>78+93</f>
        <v>171</v>
      </c>
      <c r="M75" s="1303">
        <v>76.5</v>
      </c>
      <c r="N75" s="1303">
        <v>54</v>
      </c>
      <c r="O75" s="1303">
        <f>48</f>
        <v>48</v>
      </c>
      <c r="P75" s="1303">
        <v>72</v>
      </c>
      <c r="Q75" s="1303">
        <v>77</v>
      </c>
      <c r="R75" s="1303">
        <v>80</v>
      </c>
      <c r="S75" s="1303">
        <v>122</v>
      </c>
      <c r="T75" s="1303">
        <v>90</v>
      </c>
      <c r="U75" s="1303">
        <v>101</v>
      </c>
      <c r="V75" s="1303">
        <v>82.5</v>
      </c>
      <c r="W75" s="1303">
        <v>181</v>
      </c>
      <c r="X75" s="1303"/>
      <c r="Y75" s="1303"/>
      <c r="Z75" s="1303"/>
      <c r="AA75" s="1303"/>
      <c r="AB75" s="1303"/>
      <c r="AC75" s="1303"/>
      <c r="AD75" s="1303"/>
      <c r="AE75" s="1303"/>
      <c r="AF75" s="1303"/>
      <c r="AG75" s="1303"/>
      <c r="AH75" s="1303"/>
      <c r="AI75" s="1303"/>
      <c r="AJ75" s="1303"/>
      <c r="AK75" s="1303"/>
      <c r="AL75" s="1303"/>
      <c r="AM75" s="1074"/>
    </row>
    <row r="76" spans="2:39" x14ac:dyDescent="0.25">
      <c r="B76" s="1607"/>
      <c r="C76" s="1662"/>
      <c r="D76" s="1610"/>
      <c r="E76" s="1324" t="s">
        <v>312</v>
      </c>
      <c r="F76" s="1307"/>
      <c r="G76" s="1308"/>
      <c r="H76" s="1075"/>
      <c r="I76" s="1075"/>
      <c r="J76" s="1075"/>
      <c r="K76" s="1075"/>
      <c r="L76" s="1075"/>
      <c r="M76" s="1075"/>
      <c r="N76" s="1075"/>
      <c r="O76" s="1075"/>
      <c r="P76" s="1076"/>
      <c r="Q76" s="1075"/>
      <c r="R76" s="1075"/>
      <c r="S76" s="1075"/>
      <c r="T76" s="1075"/>
      <c r="U76" s="1075"/>
      <c r="V76" s="1075"/>
      <c r="W76" s="1075"/>
      <c r="X76" s="1075"/>
      <c r="Y76" s="1075"/>
      <c r="Z76" s="1075"/>
      <c r="AA76" s="1075"/>
      <c r="AB76" s="1075"/>
      <c r="AC76" s="1075"/>
      <c r="AD76" s="1075"/>
      <c r="AE76" s="1075"/>
      <c r="AF76" s="1075"/>
      <c r="AG76" s="1075"/>
      <c r="AH76" s="1075"/>
      <c r="AI76" s="1075"/>
      <c r="AJ76" s="1075"/>
      <c r="AK76" s="1075"/>
      <c r="AL76" s="1077"/>
      <c r="AM76" s="1074"/>
    </row>
    <row r="77" spans="2:39" x14ac:dyDescent="0.25">
      <c r="B77" s="1607"/>
      <c r="C77" s="1662"/>
      <c r="D77" s="1612" t="s">
        <v>343</v>
      </c>
      <c r="E77" s="1309" t="s">
        <v>344</v>
      </c>
      <c r="F77" s="1310">
        <f t="shared" ref="F77:F78" si="43">IFERROR(F79*1000/F74,0)</f>
        <v>3.1378504672897192</v>
      </c>
      <c r="G77" s="1311"/>
      <c r="H77" s="1312">
        <f>[1]Breaking.!D66</f>
        <v>3.1378504672897192</v>
      </c>
      <c r="I77" s="1312">
        <f>[1]Breaking.!E66</f>
        <v>3.1378504672897192</v>
      </c>
      <c r="J77" s="1312">
        <f>[1]Breaking.!F66</f>
        <v>3.1378504672897192</v>
      </c>
      <c r="K77" s="1312">
        <f>[1]Breaking.!G66</f>
        <v>3.1378504672897192</v>
      </c>
      <c r="L77" s="1312">
        <f>[1]Breaking.!H66</f>
        <v>3.1378504672897192</v>
      </c>
      <c r="M77" s="1312">
        <f>[1]Breaking.!I66</f>
        <v>3.1378504672897192</v>
      </c>
      <c r="N77" s="1312">
        <f>[1]Breaking.!J66</f>
        <v>3.1378504672897192</v>
      </c>
      <c r="O77" s="1312">
        <f>[1]Breaking.!K66</f>
        <v>3.1378504672897192</v>
      </c>
      <c r="P77" s="1312">
        <f>[1]Breaking.!L66</f>
        <v>3.1378504672897192</v>
      </c>
      <c r="Q77" s="1312">
        <f>[1]Breaking.!M66</f>
        <v>3.1378504672897192</v>
      </c>
      <c r="R77" s="1312">
        <f>[1]Breaking.!N66</f>
        <v>3.1378504672897192</v>
      </c>
      <c r="S77" s="1312">
        <f>[1]Breaking.!O66</f>
        <v>3.1378504672897192</v>
      </c>
      <c r="T77" s="1312">
        <f>[1]Breaking.!P66</f>
        <v>3.1378504672897192</v>
      </c>
      <c r="U77" s="1312">
        <f>[1]Breaking.!Q66</f>
        <v>3.1378504672897192</v>
      </c>
      <c r="V77" s="1312">
        <f>[1]Breaking.!R66</f>
        <v>3.1378504672897192</v>
      </c>
      <c r="W77" s="1312">
        <f>[1]Breaking.!S66</f>
        <v>3.1378504672897192</v>
      </c>
      <c r="X77" s="1312">
        <f>[1]Breaking.!T66</f>
        <v>3.1378504672897192</v>
      </c>
      <c r="Y77" s="1312">
        <f>[1]Breaking.!U66</f>
        <v>3.1378504672897192</v>
      </c>
      <c r="Z77" s="1312">
        <f>[1]Breaking.!V66</f>
        <v>3.1378504672897192</v>
      </c>
      <c r="AA77" s="1312">
        <f>[1]Breaking.!W66</f>
        <v>3.1378504672897192</v>
      </c>
      <c r="AB77" s="1312">
        <f>[1]Breaking.!X66</f>
        <v>3.1378504672897192</v>
      </c>
      <c r="AC77" s="1312">
        <f>[1]Breaking.!Y66</f>
        <v>3.1378504672897192</v>
      </c>
      <c r="AD77" s="1312">
        <f>[1]Breaking.!Z66</f>
        <v>3.1378504672897192</v>
      </c>
      <c r="AE77" s="1312">
        <f>[1]Breaking.!AA66</f>
        <v>3.1378504672897192</v>
      </c>
      <c r="AF77" s="1312">
        <f>[1]Breaking.!AB66</f>
        <v>3.1378504672897192</v>
      </c>
      <c r="AG77" s="1312">
        <f>[1]Breaking.!AC66</f>
        <v>3.1378504672897192</v>
      </c>
      <c r="AH77" s="1312">
        <f>[1]Breaking.!AD66</f>
        <v>3.1378504672897192</v>
      </c>
      <c r="AI77" s="1312">
        <f>[1]Breaking.!AE66</f>
        <v>3.1378504672897192</v>
      </c>
      <c r="AJ77" s="1312">
        <f>[1]Breaking.!AF66</f>
        <v>3.1378504672897192</v>
      </c>
      <c r="AK77" s="1312">
        <f>[1]Breaking.!AG66</f>
        <v>3.1378504672897192</v>
      </c>
      <c r="AL77" s="1312">
        <f>[1]Breaking.!AH66</f>
        <v>3.1378504672897192</v>
      </c>
      <c r="AM77" s="1074"/>
    </row>
    <row r="78" spans="2:39" x14ac:dyDescent="0.25">
      <c r="B78" s="1607"/>
      <c r="C78" s="1662"/>
      <c r="D78" s="1664"/>
      <c r="E78" s="1313" t="s">
        <v>345</v>
      </c>
      <c r="F78" s="1314">
        <f t="shared" si="43"/>
        <v>2.1192713955281417</v>
      </c>
      <c r="G78" s="1304">
        <f t="shared" ref="G78" si="44">IFERROR((F78-F77)/F77,0)</f>
        <v>-0.32461045622781476</v>
      </c>
      <c r="H78" s="1315"/>
      <c r="I78" s="1314"/>
      <c r="J78" s="1314">
        <v>2.76</v>
      </c>
      <c r="K78" s="1314">
        <v>2.5499999999999998</v>
      </c>
      <c r="L78" s="1314">
        <v>1.7</v>
      </c>
      <c r="M78" s="1314">
        <v>1.52</v>
      </c>
      <c r="N78" s="1314">
        <v>3.22</v>
      </c>
      <c r="O78" s="1314">
        <v>3.91</v>
      </c>
      <c r="P78" s="1314">
        <v>1.76</v>
      </c>
      <c r="Q78" s="1314">
        <v>3</v>
      </c>
      <c r="R78" s="1314">
        <v>3</v>
      </c>
      <c r="S78" s="1314">
        <v>3.08</v>
      </c>
      <c r="T78" s="1314">
        <v>2.2000000000000002</v>
      </c>
      <c r="U78" s="1314">
        <v>2</v>
      </c>
      <c r="V78" s="1314">
        <v>2.71</v>
      </c>
      <c r="W78" s="1314"/>
      <c r="X78" s="1314"/>
      <c r="Y78" s="1314"/>
      <c r="Z78" s="1314"/>
      <c r="AA78" s="1314"/>
      <c r="AB78" s="1314"/>
      <c r="AC78" s="1314"/>
      <c r="AD78" s="1314"/>
      <c r="AE78" s="1314"/>
      <c r="AF78" s="1314"/>
      <c r="AG78" s="1314"/>
      <c r="AH78" s="1314"/>
      <c r="AI78" s="1314"/>
      <c r="AJ78" s="1314"/>
      <c r="AK78" s="1314"/>
      <c r="AL78" s="1314"/>
      <c r="AM78" s="1074"/>
    </row>
    <row r="79" spans="2:39" x14ac:dyDescent="0.25">
      <c r="B79" s="1607"/>
      <c r="C79" s="1662"/>
      <c r="D79" s="1612" t="s">
        <v>47</v>
      </c>
      <c r="E79" s="1309" t="s">
        <v>346</v>
      </c>
      <c r="F79" s="206">
        <f t="shared" ref="F79:F82" si="45">SUMIF($H$9:$AL$9,"&lt;="&amp;$C$7,H79:AL79)</f>
        <v>3.5143925233644855</v>
      </c>
      <c r="G79" s="1311"/>
      <c r="H79" s="1316">
        <f>+H77*H74/1000</f>
        <v>0.21964953271028034</v>
      </c>
      <c r="I79" s="1316">
        <f t="shared" ref="I79:AL80" si="46">+I77*I74/1000</f>
        <v>0.21964953271028034</v>
      </c>
      <c r="J79" s="1316">
        <f t="shared" si="46"/>
        <v>0.21964953271028034</v>
      </c>
      <c r="K79" s="1316">
        <f t="shared" si="46"/>
        <v>0.21964953271028034</v>
      </c>
      <c r="L79" s="1316">
        <f t="shared" si="46"/>
        <v>0.21964953271028034</v>
      </c>
      <c r="M79" s="1316">
        <f t="shared" si="46"/>
        <v>0.21964953271028034</v>
      </c>
      <c r="N79" s="1316">
        <f t="shared" si="46"/>
        <v>0.21964953271028034</v>
      </c>
      <c r="O79" s="1316">
        <f t="shared" si="46"/>
        <v>0.21964953271028034</v>
      </c>
      <c r="P79" s="1316">
        <f t="shared" si="46"/>
        <v>0.21964953271028034</v>
      </c>
      <c r="Q79" s="1316">
        <f t="shared" si="46"/>
        <v>0.21964953271028034</v>
      </c>
      <c r="R79" s="1316">
        <f t="shared" si="46"/>
        <v>0.21964953271028034</v>
      </c>
      <c r="S79" s="1316">
        <f t="shared" si="46"/>
        <v>0.21964953271028034</v>
      </c>
      <c r="T79" s="1316">
        <f t="shared" si="46"/>
        <v>0.21964953271028034</v>
      </c>
      <c r="U79" s="1316">
        <f t="shared" si="46"/>
        <v>0.21964953271028034</v>
      </c>
      <c r="V79" s="1316">
        <f t="shared" si="46"/>
        <v>0.21964953271028034</v>
      </c>
      <c r="W79" s="1316">
        <f t="shared" si="46"/>
        <v>0.21964953271028034</v>
      </c>
      <c r="X79" s="1316">
        <f t="shared" si="46"/>
        <v>0.21964953271028034</v>
      </c>
      <c r="Y79" s="1316">
        <f t="shared" si="46"/>
        <v>0.21964953271028034</v>
      </c>
      <c r="Z79" s="1316">
        <f t="shared" si="46"/>
        <v>0.21964953271028034</v>
      </c>
      <c r="AA79" s="1316">
        <f t="shared" si="46"/>
        <v>0.21964953271028034</v>
      </c>
      <c r="AB79" s="1316">
        <f t="shared" si="46"/>
        <v>0.21964953271028034</v>
      </c>
      <c r="AC79" s="1316">
        <f t="shared" si="46"/>
        <v>0.21964953271028034</v>
      </c>
      <c r="AD79" s="1316">
        <f t="shared" si="46"/>
        <v>0.21964953271028034</v>
      </c>
      <c r="AE79" s="1316">
        <f t="shared" si="46"/>
        <v>0.21964953271028034</v>
      </c>
      <c r="AF79" s="1316">
        <f t="shared" si="46"/>
        <v>0.21964953271028034</v>
      </c>
      <c r="AG79" s="1316">
        <f t="shared" si="46"/>
        <v>0.21964953271028034</v>
      </c>
      <c r="AH79" s="1316">
        <f t="shared" si="46"/>
        <v>0.21964953271028034</v>
      </c>
      <c r="AI79" s="1316">
        <f t="shared" si="46"/>
        <v>0.21964953271028034</v>
      </c>
      <c r="AJ79" s="1316">
        <f t="shared" si="46"/>
        <v>0.21964953271028034</v>
      </c>
      <c r="AK79" s="1316">
        <f t="shared" si="46"/>
        <v>0.21964953271028034</v>
      </c>
      <c r="AL79" s="1316">
        <f t="shared" si="46"/>
        <v>0.21964953271028034</v>
      </c>
      <c r="AM79" s="1078"/>
    </row>
    <row r="80" spans="2:39" ht="14.25" thickBot="1" x14ac:dyDescent="0.3">
      <c r="B80" s="1660"/>
      <c r="C80" s="1663"/>
      <c r="D80" s="1665"/>
      <c r="E80" s="1320" t="s">
        <v>347</v>
      </c>
      <c r="F80" s="1321">
        <f t="shared" si="45"/>
        <v>2.7486949999999997</v>
      </c>
      <c r="G80" s="1322">
        <f t="shared" ref="G80" si="47">IFERROR((F80-F79)/F79,0)</f>
        <v>-0.21787478725667481</v>
      </c>
      <c r="H80" s="1323">
        <f>+H78*H75/1000</f>
        <v>0</v>
      </c>
      <c r="I80" s="1323">
        <f t="shared" si="46"/>
        <v>0</v>
      </c>
      <c r="J80" s="1323">
        <f t="shared" si="46"/>
        <v>0.27600000000000002</v>
      </c>
      <c r="K80" s="1323">
        <f t="shared" si="46"/>
        <v>0.1071</v>
      </c>
      <c r="L80" s="1323">
        <f t="shared" si="46"/>
        <v>0.29070000000000001</v>
      </c>
      <c r="M80" s="1323">
        <f t="shared" si="46"/>
        <v>0.11627999999999999</v>
      </c>
      <c r="N80" s="1323">
        <f t="shared" si="46"/>
        <v>0.17388000000000003</v>
      </c>
      <c r="O80" s="1323">
        <f t="shared" si="46"/>
        <v>0.18768000000000001</v>
      </c>
      <c r="P80" s="1323">
        <f t="shared" si="46"/>
        <v>0.12672</v>
      </c>
      <c r="Q80" s="1323">
        <f t="shared" si="46"/>
        <v>0.23100000000000001</v>
      </c>
      <c r="R80" s="1323">
        <f t="shared" si="46"/>
        <v>0.24</v>
      </c>
      <c r="S80" s="1323">
        <f t="shared" si="46"/>
        <v>0.37575999999999998</v>
      </c>
      <c r="T80" s="1323">
        <f t="shared" si="46"/>
        <v>0.19800000000000004</v>
      </c>
      <c r="U80" s="1323">
        <f t="shared" si="46"/>
        <v>0.20200000000000001</v>
      </c>
      <c r="V80" s="1323">
        <f t="shared" si="46"/>
        <v>0.223575</v>
      </c>
      <c r="W80" s="1323">
        <f t="shared" si="46"/>
        <v>0</v>
      </c>
      <c r="X80" s="1323">
        <f t="shared" si="46"/>
        <v>0</v>
      </c>
      <c r="Y80" s="1323">
        <f t="shared" si="46"/>
        <v>0</v>
      </c>
      <c r="Z80" s="1323">
        <f t="shared" si="46"/>
        <v>0</v>
      </c>
      <c r="AA80" s="1323">
        <f t="shared" si="46"/>
        <v>0</v>
      </c>
      <c r="AB80" s="1323">
        <f t="shared" si="46"/>
        <v>0</v>
      </c>
      <c r="AC80" s="1323">
        <f t="shared" si="46"/>
        <v>0</v>
      </c>
      <c r="AD80" s="1323">
        <f t="shared" si="46"/>
        <v>0</v>
      </c>
      <c r="AE80" s="1323">
        <f t="shared" si="46"/>
        <v>0</v>
      </c>
      <c r="AF80" s="1323">
        <f t="shared" si="46"/>
        <v>0</v>
      </c>
      <c r="AG80" s="1323">
        <f t="shared" si="46"/>
        <v>0</v>
      </c>
      <c r="AH80" s="1323">
        <f t="shared" si="46"/>
        <v>0</v>
      </c>
      <c r="AI80" s="1323">
        <f t="shared" si="46"/>
        <v>0</v>
      </c>
      <c r="AJ80" s="1323">
        <f t="shared" si="46"/>
        <v>0</v>
      </c>
      <c r="AK80" s="1323">
        <f t="shared" si="46"/>
        <v>0</v>
      </c>
      <c r="AL80" s="1323">
        <f t="shared" si="46"/>
        <v>0</v>
      </c>
      <c r="AM80" s="1079"/>
    </row>
    <row r="81" spans="2:39" s="1069" customFormat="1" ht="14.85" customHeight="1" x14ac:dyDescent="0.25">
      <c r="B81" s="1608">
        <v>1</v>
      </c>
      <c r="C81" s="1661" t="str">
        <f>[1]Stoping!C95</f>
        <v xml:space="preserve">6L_W2 STOPE </v>
      </c>
      <c r="D81" s="1611" t="s">
        <v>340</v>
      </c>
      <c r="E81" s="1070" t="s">
        <v>341</v>
      </c>
      <c r="F81" s="196">
        <f t="shared" si="45"/>
        <v>1680</v>
      </c>
      <c r="G81" s="1071"/>
      <c r="H81" s="198">
        <f>[1]Stoping!H95</f>
        <v>105</v>
      </c>
      <c r="I81" s="198">
        <f>[1]Stoping!I95</f>
        <v>105</v>
      </c>
      <c r="J81" s="198">
        <f>[1]Stoping!J95</f>
        <v>105</v>
      </c>
      <c r="K81" s="199">
        <f>[1]Stoping!K95</f>
        <v>105</v>
      </c>
      <c r="L81" s="199">
        <f>[1]Stoping!L95</f>
        <v>105</v>
      </c>
      <c r="M81" s="199">
        <f>[1]Stoping!M95</f>
        <v>105</v>
      </c>
      <c r="N81" s="199">
        <f>[1]Stoping!N95</f>
        <v>105</v>
      </c>
      <c r="O81" s="199">
        <f>[1]Stoping!O95</f>
        <v>105</v>
      </c>
      <c r="P81" s="200">
        <f>[1]Stoping!P95</f>
        <v>105</v>
      </c>
      <c r="Q81" s="199">
        <f>[1]Stoping!Q95</f>
        <v>105</v>
      </c>
      <c r="R81" s="199">
        <f>[1]Stoping!R95</f>
        <v>105</v>
      </c>
      <c r="S81" s="199">
        <f>[1]Stoping!S95</f>
        <v>105</v>
      </c>
      <c r="T81" s="199">
        <f>[1]Stoping!T95</f>
        <v>105</v>
      </c>
      <c r="U81" s="199">
        <f>[1]Stoping!U95</f>
        <v>105</v>
      </c>
      <c r="V81" s="199">
        <f>[1]Stoping!V95</f>
        <v>105</v>
      </c>
      <c r="W81" s="199">
        <f>[1]Stoping!W95</f>
        <v>105</v>
      </c>
      <c r="X81" s="199">
        <f>[1]Stoping!X95</f>
        <v>105</v>
      </c>
      <c r="Y81" s="199">
        <f>[1]Stoping!Y95</f>
        <v>105</v>
      </c>
      <c r="Z81" s="199">
        <f>[1]Stoping!Z95</f>
        <v>105</v>
      </c>
      <c r="AA81" s="199">
        <f>[1]Stoping!AA95</f>
        <v>105</v>
      </c>
      <c r="AB81" s="199">
        <f>[1]Stoping!AB95</f>
        <v>105</v>
      </c>
      <c r="AC81" s="199">
        <f>[1]Stoping!AC95</f>
        <v>105</v>
      </c>
      <c r="AD81" s="199">
        <f>[1]Stoping!AD95</f>
        <v>105</v>
      </c>
      <c r="AE81" s="199">
        <f>[1]Stoping!AE95</f>
        <v>105</v>
      </c>
      <c r="AF81" s="199">
        <f>[1]Stoping!AF95</f>
        <v>105</v>
      </c>
      <c r="AG81" s="199">
        <f>[1]Stoping!AG95</f>
        <v>105</v>
      </c>
      <c r="AH81" s="199">
        <f>[1]Stoping!AH95</f>
        <v>105</v>
      </c>
      <c r="AI81" s="199">
        <f>[1]Stoping!AI95</f>
        <v>105</v>
      </c>
      <c r="AJ81" s="199">
        <f>[1]Stoping!AJ95</f>
        <v>105</v>
      </c>
      <c r="AK81" s="199">
        <f>[1]Stoping!AK95</f>
        <v>105</v>
      </c>
      <c r="AL81" s="201">
        <f>[1]Stoping!AL95</f>
        <v>105</v>
      </c>
      <c r="AM81" s="1072"/>
    </row>
    <row r="82" spans="2:39" x14ac:dyDescent="0.25">
      <c r="B82" s="1607"/>
      <c r="C82" s="1662"/>
      <c r="D82" s="1610"/>
      <c r="E82" s="1302" t="s">
        <v>342</v>
      </c>
      <c r="F82" s="1303">
        <f t="shared" si="45"/>
        <v>1711.4</v>
      </c>
      <c r="G82" s="1304">
        <f t="shared" ref="G82" si="48">IFERROR((F82-F81)/F81,0)</f>
        <v>1.8690476190476243E-2</v>
      </c>
      <c r="H82" s="1305">
        <v>110</v>
      </c>
      <c r="I82" s="1303">
        <v>55.5</v>
      </c>
      <c r="J82" s="1303">
        <v>125.4</v>
      </c>
      <c r="K82" s="1303"/>
      <c r="L82" s="1303"/>
      <c r="M82" s="1303">
        <v>124</v>
      </c>
      <c r="N82" s="1303">
        <f>69+117</f>
        <v>186</v>
      </c>
      <c r="O82" s="1303">
        <f>44+24</f>
        <v>68</v>
      </c>
      <c r="P82" s="1303">
        <v>112</v>
      </c>
      <c r="Q82" s="1303">
        <v>147</v>
      </c>
      <c r="R82" s="1303">
        <v>68</v>
      </c>
      <c r="S82" s="1303">
        <v>156</v>
      </c>
      <c r="T82" s="1303">
        <v>196</v>
      </c>
      <c r="U82" s="1303">
        <v>120.5</v>
      </c>
      <c r="V82" s="1303">
        <v>93</v>
      </c>
      <c r="W82" s="1303">
        <v>150</v>
      </c>
      <c r="X82" s="1303"/>
      <c r="Y82" s="1303"/>
      <c r="Z82" s="1303"/>
      <c r="AA82" s="1303"/>
      <c r="AB82" s="1303"/>
      <c r="AC82" s="1303"/>
      <c r="AD82" s="1303"/>
      <c r="AE82" s="1303"/>
      <c r="AF82" s="1303"/>
      <c r="AG82" s="1303"/>
      <c r="AH82" s="1303"/>
      <c r="AI82" s="1303"/>
      <c r="AJ82" s="1303"/>
      <c r="AK82" s="1303"/>
      <c r="AL82" s="1303"/>
      <c r="AM82" s="1074"/>
    </row>
    <row r="83" spans="2:39" x14ac:dyDescent="0.25">
      <c r="B83" s="1607"/>
      <c r="C83" s="1662"/>
      <c r="D83" s="1610"/>
      <c r="E83" s="1324" t="s">
        <v>312</v>
      </c>
      <c r="F83" s="1307"/>
      <c r="G83" s="1308"/>
      <c r="H83" s="1075"/>
      <c r="I83" s="1075"/>
      <c r="J83" s="1075"/>
      <c r="K83" s="1075"/>
      <c r="L83" s="1075"/>
      <c r="M83" s="1075"/>
      <c r="N83" s="1075"/>
      <c r="O83" s="1075"/>
      <c r="P83" s="1076"/>
      <c r="Q83" s="1075"/>
      <c r="R83" s="1075"/>
      <c r="S83" s="1075"/>
      <c r="T83" s="1075"/>
      <c r="U83" s="1075"/>
      <c r="V83" s="1075"/>
      <c r="W83" s="1075"/>
      <c r="X83" s="1075"/>
      <c r="Y83" s="1075"/>
      <c r="Z83" s="1075"/>
      <c r="AA83" s="1075"/>
      <c r="AB83" s="1075"/>
      <c r="AC83" s="1075"/>
      <c r="AD83" s="1075"/>
      <c r="AE83" s="1075"/>
      <c r="AF83" s="1075"/>
      <c r="AG83" s="1075"/>
      <c r="AH83" s="1075"/>
      <c r="AI83" s="1075"/>
      <c r="AJ83" s="1075"/>
      <c r="AK83" s="1075"/>
      <c r="AL83" s="1077"/>
      <c r="AM83" s="1074"/>
    </row>
    <row r="84" spans="2:39" x14ac:dyDescent="0.25">
      <c r="B84" s="1607"/>
      <c r="C84" s="1662"/>
      <c r="D84" s="1612" t="s">
        <v>343</v>
      </c>
      <c r="E84" s="1309" t="s">
        <v>344</v>
      </c>
      <c r="F84" s="1310">
        <f t="shared" ref="F84:F85" si="49">IFERROR(F86*1000/F81,0)</f>
        <v>2.3037383177570092</v>
      </c>
      <c r="G84" s="1311"/>
      <c r="H84" s="1312">
        <f>[1]Breaking.!D68</f>
        <v>2.3037383177570092</v>
      </c>
      <c r="I84" s="1312">
        <f>[1]Breaking.!E68</f>
        <v>2.3037383177570092</v>
      </c>
      <c r="J84" s="1312">
        <f>[1]Breaking.!F68</f>
        <v>2.3037383177570092</v>
      </c>
      <c r="K84" s="1312">
        <f>[1]Breaking.!G68</f>
        <v>2.3037383177570092</v>
      </c>
      <c r="L84" s="1312">
        <f>[1]Breaking.!H68</f>
        <v>2.3037383177570092</v>
      </c>
      <c r="M84" s="1312">
        <f>[1]Breaking.!I68</f>
        <v>2.3037383177570092</v>
      </c>
      <c r="N84" s="1312">
        <f>[1]Breaking.!J68</f>
        <v>2.3037383177570092</v>
      </c>
      <c r="O84" s="1312">
        <f>[1]Breaking.!K68</f>
        <v>2.3037383177570092</v>
      </c>
      <c r="P84" s="1312">
        <f>[1]Breaking.!L68</f>
        <v>2.3037383177570092</v>
      </c>
      <c r="Q84" s="1312">
        <f>[1]Breaking.!M68</f>
        <v>2.3037383177570092</v>
      </c>
      <c r="R84" s="1312">
        <f>[1]Breaking.!N68</f>
        <v>2.3037383177570092</v>
      </c>
      <c r="S84" s="1312">
        <f>[1]Breaking.!O68</f>
        <v>2.3037383177570092</v>
      </c>
      <c r="T84" s="1312">
        <f>[1]Breaking.!P68</f>
        <v>2.3037383177570092</v>
      </c>
      <c r="U84" s="1312">
        <f>[1]Breaking.!Q68</f>
        <v>2.3037383177570092</v>
      </c>
      <c r="V84" s="1312">
        <f>[1]Breaking.!R68</f>
        <v>2.3037383177570092</v>
      </c>
      <c r="W84" s="1312">
        <f>[1]Breaking.!S68</f>
        <v>2.3037383177570092</v>
      </c>
      <c r="X84" s="1312">
        <f>[1]Breaking.!T68</f>
        <v>2.3037383177570092</v>
      </c>
      <c r="Y84" s="1312">
        <f>[1]Breaking.!U68</f>
        <v>2.3037383177570092</v>
      </c>
      <c r="Z84" s="1312">
        <f>[1]Breaking.!V68</f>
        <v>2.3037383177570092</v>
      </c>
      <c r="AA84" s="1312">
        <f>[1]Breaking.!W68</f>
        <v>2.3037383177570092</v>
      </c>
      <c r="AB84" s="1312">
        <f>[1]Breaking.!X68</f>
        <v>2.3037383177570092</v>
      </c>
      <c r="AC84" s="1312">
        <f>[1]Breaking.!Y68</f>
        <v>2.3037383177570092</v>
      </c>
      <c r="AD84" s="1312">
        <f>[1]Breaking.!Z68</f>
        <v>2.3037383177570092</v>
      </c>
      <c r="AE84" s="1312">
        <f>[1]Breaking.!AA68</f>
        <v>2.3037383177570092</v>
      </c>
      <c r="AF84" s="1312">
        <f>[1]Breaking.!AB68</f>
        <v>2.3037383177570092</v>
      </c>
      <c r="AG84" s="1312">
        <f>[1]Breaking.!AC68</f>
        <v>2.3037383177570092</v>
      </c>
      <c r="AH84" s="1312">
        <f>[1]Breaking.!AD68</f>
        <v>2.3037383177570092</v>
      </c>
      <c r="AI84" s="1312">
        <f>[1]Breaking.!AE68</f>
        <v>2.3037383177570092</v>
      </c>
      <c r="AJ84" s="1312">
        <f>[1]Breaking.!AF68</f>
        <v>2.3037383177570092</v>
      </c>
      <c r="AK84" s="1312">
        <f>[1]Breaking.!AG68</f>
        <v>2.3037383177570092</v>
      </c>
      <c r="AL84" s="1312">
        <f>[1]Breaking.!AH68</f>
        <v>2.3037383177570092</v>
      </c>
      <c r="AM84" s="1074"/>
    </row>
    <row r="85" spans="2:39" x14ac:dyDescent="0.25">
      <c r="B85" s="1607"/>
      <c r="C85" s="1662"/>
      <c r="D85" s="1664"/>
      <c r="E85" s="1313" t="s">
        <v>345</v>
      </c>
      <c r="F85" s="1314">
        <f t="shared" si="49"/>
        <v>1.5995167698959916</v>
      </c>
      <c r="G85" s="1304">
        <f t="shared" ref="G85" si="50">IFERROR((F85-F84)/F84,0)</f>
        <v>-0.30568643254007666</v>
      </c>
      <c r="H85" s="1315">
        <v>3.18</v>
      </c>
      <c r="I85" s="1314">
        <v>1.7</v>
      </c>
      <c r="J85" s="1314">
        <v>1.47</v>
      </c>
      <c r="K85" s="1314"/>
      <c r="L85" s="1314"/>
      <c r="M85" s="1314">
        <v>1.7</v>
      </c>
      <c r="N85" s="1314">
        <v>1.44</v>
      </c>
      <c r="O85" s="1314">
        <v>1.59</v>
      </c>
      <c r="P85" s="1314">
        <v>4.5599999999999996</v>
      </c>
      <c r="Q85" s="1314">
        <v>1.67</v>
      </c>
      <c r="R85" s="1314">
        <v>0.94</v>
      </c>
      <c r="S85" s="1314">
        <v>1.87</v>
      </c>
      <c r="T85" s="1314">
        <v>1.58</v>
      </c>
      <c r="U85" s="1314">
        <v>1.45</v>
      </c>
      <c r="V85" s="1314">
        <v>1.47</v>
      </c>
      <c r="W85" s="1314"/>
      <c r="X85" s="1314"/>
      <c r="Y85" s="1314"/>
      <c r="Z85" s="1314"/>
      <c r="AA85" s="1314"/>
      <c r="AB85" s="1314"/>
      <c r="AC85" s="1314"/>
      <c r="AD85" s="1314"/>
      <c r="AE85" s="1314"/>
      <c r="AF85" s="1314"/>
      <c r="AG85" s="1314"/>
      <c r="AH85" s="1314"/>
      <c r="AI85" s="1314"/>
      <c r="AJ85" s="1314"/>
      <c r="AK85" s="1314"/>
      <c r="AL85" s="1314"/>
      <c r="AM85" s="1074"/>
    </row>
    <row r="86" spans="2:39" x14ac:dyDescent="0.25">
      <c r="B86" s="1607"/>
      <c r="C86" s="1662"/>
      <c r="D86" s="1612" t="s">
        <v>47</v>
      </c>
      <c r="E86" s="1309" t="s">
        <v>346</v>
      </c>
      <c r="F86" s="206">
        <f t="shared" ref="F86:F89" si="51">SUMIF($H$9:$AL$9,"&lt;="&amp;$C$7,H86:AL86)</f>
        <v>3.870280373831775</v>
      </c>
      <c r="G86" s="1311"/>
      <c r="H86" s="1316">
        <f>+H84*H81/1000</f>
        <v>0.24189252336448594</v>
      </c>
      <c r="I86" s="1316">
        <f t="shared" ref="I86:AL87" si="52">+I84*I81/1000</f>
        <v>0.24189252336448594</v>
      </c>
      <c r="J86" s="1316">
        <f t="shared" si="52"/>
        <v>0.24189252336448594</v>
      </c>
      <c r="K86" s="1316">
        <f t="shared" si="52"/>
        <v>0.24189252336448594</v>
      </c>
      <c r="L86" s="1316">
        <f t="shared" si="52"/>
        <v>0.24189252336448594</v>
      </c>
      <c r="M86" s="1316">
        <f t="shared" si="52"/>
        <v>0.24189252336448594</v>
      </c>
      <c r="N86" s="1316">
        <f t="shared" si="52"/>
        <v>0.24189252336448594</v>
      </c>
      <c r="O86" s="1316">
        <f t="shared" si="52"/>
        <v>0.24189252336448594</v>
      </c>
      <c r="P86" s="1316">
        <f t="shared" si="52"/>
        <v>0.24189252336448594</v>
      </c>
      <c r="Q86" s="1316">
        <f t="shared" si="52"/>
        <v>0.24189252336448594</v>
      </c>
      <c r="R86" s="1316">
        <f t="shared" si="52"/>
        <v>0.24189252336448594</v>
      </c>
      <c r="S86" s="1316">
        <f t="shared" si="52"/>
        <v>0.24189252336448594</v>
      </c>
      <c r="T86" s="1316">
        <f t="shared" si="52"/>
        <v>0.24189252336448594</v>
      </c>
      <c r="U86" s="1316">
        <f t="shared" si="52"/>
        <v>0.24189252336448594</v>
      </c>
      <c r="V86" s="1316">
        <f t="shared" si="52"/>
        <v>0.24189252336448594</v>
      </c>
      <c r="W86" s="1316">
        <f t="shared" si="52"/>
        <v>0.24189252336448594</v>
      </c>
      <c r="X86" s="1316">
        <f t="shared" si="52"/>
        <v>0.24189252336448594</v>
      </c>
      <c r="Y86" s="1316">
        <f t="shared" si="52"/>
        <v>0.24189252336448594</v>
      </c>
      <c r="Z86" s="1316">
        <f t="shared" si="52"/>
        <v>0.24189252336448594</v>
      </c>
      <c r="AA86" s="1316">
        <f t="shared" si="52"/>
        <v>0.24189252336448594</v>
      </c>
      <c r="AB86" s="1316">
        <f t="shared" si="52"/>
        <v>0.24189252336448594</v>
      </c>
      <c r="AC86" s="1316">
        <f t="shared" si="52"/>
        <v>0.24189252336448594</v>
      </c>
      <c r="AD86" s="1316">
        <f t="shared" si="52"/>
        <v>0.24189252336448594</v>
      </c>
      <c r="AE86" s="1316">
        <f t="shared" si="52"/>
        <v>0.24189252336448594</v>
      </c>
      <c r="AF86" s="1316">
        <f t="shared" si="52"/>
        <v>0.24189252336448594</v>
      </c>
      <c r="AG86" s="1316">
        <f t="shared" si="52"/>
        <v>0.24189252336448594</v>
      </c>
      <c r="AH86" s="1316">
        <f t="shared" si="52"/>
        <v>0.24189252336448594</v>
      </c>
      <c r="AI86" s="1316">
        <f t="shared" si="52"/>
        <v>0.24189252336448594</v>
      </c>
      <c r="AJ86" s="1316">
        <f t="shared" si="52"/>
        <v>0.24189252336448594</v>
      </c>
      <c r="AK86" s="1316">
        <f t="shared" si="52"/>
        <v>0.24189252336448594</v>
      </c>
      <c r="AL86" s="1316">
        <f t="shared" si="52"/>
        <v>0.24189252336448594</v>
      </c>
      <c r="AM86" s="1078"/>
    </row>
    <row r="87" spans="2:39" ht="14.25" thickBot="1" x14ac:dyDescent="0.3">
      <c r="B87" s="1660"/>
      <c r="C87" s="1663"/>
      <c r="D87" s="1665"/>
      <c r="E87" s="1320" t="s">
        <v>347</v>
      </c>
      <c r="F87" s="1321">
        <f t="shared" si="51"/>
        <v>2.7374130000000001</v>
      </c>
      <c r="G87" s="1322">
        <f t="shared" ref="G87" si="53">IFERROR((F87-F86)/F86,0)</f>
        <v>-0.29270938133874225</v>
      </c>
      <c r="H87" s="1323">
        <f>+H85*H82/1000</f>
        <v>0.3498</v>
      </c>
      <c r="I87" s="1323">
        <f t="shared" si="52"/>
        <v>9.4349999999999989E-2</v>
      </c>
      <c r="J87" s="1323">
        <f t="shared" si="52"/>
        <v>0.184338</v>
      </c>
      <c r="K87" s="1323">
        <f t="shared" si="52"/>
        <v>0</v>
      </c>
      <c r="L87" s="1323">
        <f t="shared" si="52"/>
        <v>0</v>
      </c>
      <c r="M87" s="1323"/>
      <c r="N87" s="1323">
        <f t="shared" si="52"/>
        <v>0.26783999999999997</v>
      </c>
      <c r="O87" s="1323">
        <f t="shared" si="52"/>
        <v>0.10812000000000001</v>
      </c>
      <c r="P87" s="1323">
        <f t="shared" si="52"/>
        <v>0.51071999999999995</v>
      </c>
      <c r="Q87" s="1323">
        <f t="shared" si="52"/>
        <v>0.24548999999999999</v>
      </c>
      <c r="R87" s="1323">
        <f t="shared" si="52"/>
        <v>6.3919999999999991E-2</v>
      </c>
      <c r="S87" s="1323">
        <f t="shared" si="52"/>
        <v>0.29172000000000003</v>
      </c>
      <c r="T87" s="1323">
        <f t="shared" si="52"/>
        <v>0.30968000000000001</v>
      </c>
      <c r="U87" s="1323">
        <f t="shared" si="52"/>
        <v>0.17472499999999999</v>
      </c>
      <c r="V87" s="1323">
        <f t="shared" si="52"/>
        <v>0.13671</v>
      </c>
      <c r="W87" s="1323">
        <f t="shared" si="52"/>
        <v>0</v>
      </c>
      <c r="X87" s="1323">
        <f t="shared" si="52"/>
        <v>0</v>
      </c>
      <c r="Y87" s="1323">
        <f t="shared" si="52"/>
        <v>0</v>
      </c>
      <c r="Z87" s="1323">
        <f t="shared" si="52"/>
        <v>0</v>
      </c>
      <c r="AA87" s="1323">
        <f t="shared" si="52"/>
        <v>0</v>
      </c>
      <c r="AB87" s="1323">
        <f t="shared" si="52"/>
        <v>0</v>
      </c>
      <c r="AC87" s="1323">
        <f t="shared" si="52"/>
        <v>0</v>
      </c>
      <c r="AD87" s="1323">
        <f t="shared" si="52"/>
        <v>0</v>
      </c>
      <c r="AE87" s="1323">
        <f t="shared" si="52"/>
        <v>0</v>
      </c>
      <c r="AF87" s="1323">
        <f t="shared" si="52"/>
        <v>0</v>
      </c>
      <c r="AG87" s="1323">
        <f t="shared" si="52"/>
        <v>0</v>
      </c>
      <c r="AH87" s="1323">
        <f t="shared" si="52"/>
        <v>0</v>
      </c>
      <c r="AI87" s="1323">
        <f t="shared" si="52"/>
        <v>0</v>
      </c>
      <c r="AJ87" s="1323">
        <f t="shared" si="52"/>
        <v>0</v>
      </c>
      <c r="AK87" s="1323">
        <f t="shared" si="52"/>
        <v>0</v>
      </c>
      <c r="AL87" s="1323">
        <f t="shared" si="52"/>
        <v>0</v>
      </c>
      <c r="AM87" s="1079"/>
    </row>
    <row r="88" spans="2:39" s="1069" customFormat="1" ht="14.85" customHeight="1" x14ac:dyDescent="0.25">
      <c r="B88" s="1608">
        <v>1</v>
      </c>
      <c r="C88" s="1661" t="str">
        <f>[1]Stoping!C102</f>
        <v>6L_W3 STOPE</v>
      </c>
      <c r="D88" s="1611" t="s">
        <v>340</v>
      </c>
      <c r="E88" s="1070" t="s">
        <v>341</v>
      </c>
      <c r="F88" s="196">
        <f t="shared" si="51"/>
        <v>1120</v>
      </c>
      <c r="G88" s="1071"/>
      <c r="H88" s="198">
        <f>[1]Stoping!H102</f>
        <v>70</v>
      </c>
      <c r="I88" s="198">
        <f>[1]Stoping!I102</f>
        <v>70</v>
      </c>
      <c r="J88" s="198">
        <f>[1]Stoping!J102</f>
        <v>70</v>
      </c>
      <c r="K88" s="198">
        <f>[1]Stoping!K102</f>
        <v>70</v>
      </c>
      <c r="L88" s="198">
        <f>[1]Stoping!L102</f>
        <v>70</v>
      </c>
      <c r="M88" s="198">
        <f>[1]Stoping!M102</f>
        <v>70</v>
      </c>
      <c r="N88" s="198">
        <f>[1]Stoping!N102</f>
        <v>70</v>
      </c>
      <c r="O88" s="198">
        <f>[1]Stoping!O102</f>
        <v>70</v>
      </c>
      <c r="P88" s="198">
        <f>[1]Stoping!P102</f>
        <v>70</v>
      </c>
      <c r="Q88" s="198">
        <f>[1]Stoping!Q102</f>
        <v>70</v>
      </c>
      <c r="R88" s="198">
        <f>[1]Stoping!R102</f>
        <v>70</v>
      </c>
      <c r="S88" s="198">
        <f>[1]Stoping!S102</f>
        <v>70</v>
      </c>
      <c r="T88" s="198">
        <f>[1]Stoping!T102</f>
        <v>70</v>
      </c>
      <c r="U88" s="198">
        <f>[1]Stoping!U102</f>
        <v>70</v>
      </c>
      <c r="V88" s="198">
        <f>[1]Stoping!V102</f>
        <v>70</v>
      </c>
      <c r="W88" s="198">
        <f>[1]Stoping!W102</f>
        <v>70</v>
      </c>
      <c r="X88" s="198">
        <f>[1]Stoping!X102</f>
        <v>70</v>
      </c>
      <c r="Y88" s="198">
        <f>[1]Stoping!Y102</f>
        <v>70</v>
      </c>
      <c r="Z88" s="198">
        <f>[1]Stoping!Z102</f>
        <v>70</v>
      </c>
      <c r="AA88" s="198">
        <f>[1]Stoping!AA102</f>
        <v>70</v>
      </c>
      <c r="AB88" s="198">
        <f>[1]Stoping!AB102</f>
        <v>70</v>
      </c>
      <c r="AC88" s="198">
        <f>[1]Stoping!AC102</f>
        <v>70</v>
      </c>
      <c r="AD88" s="198">
        <f>[1]Stoping!AD102</f>
        <v>70</v>
      </c>
      <c r="AE88" s="198">
        <f>[1]Stoping!AE102</f>
        <v>70</v>
      </c>
      <c r="AF88" s="198">
        <f>[1]Stoping!AF102</f>
        <v>70</v>
      </c>
      <c r="AG88" s="198">
        <f>[1]Stoping!AG102</f>
        <v>70</v>
      </c>
      <c r="AH88" s="198">
        <f>[1]Stoping!AH102</f>
        <v>70</v>
      </c>
      <c r="AI88" s="198">
        <f>[1]Stoping!AI102</f>
        <v>70</v>
      </c>
      <c r="AJ88" s="198">
        <f>[1]Stoping!AJ102</f>
        <v>70</v>
      </c>
      <c r="AK88" s="198">
        <f>[1]Stoping!AK102</f>
        <v>70</v>
      </c>
      <c r="AL88" s="198">
        <f>[1]Stoping!AL102</f>
        <v>70</v>
      </c>
      <c r="AM88" s="1072"/>
    </row>
    <row r="89" spans="2:39" x14ac:dyDescent="0.25">
      <c r="B89" s="1607"/>
      <c r="C89" s="1662"/>
      <c r="D89" s="1610"/>
      <c r="E89" s="1302" t="s">
        <v>342</v>
      </c>
      <c r="F89" s="1303">
        <f t="shared" si="51"/>
        <v>0</v>
      </c>
      <c r="G89" s="1304">
        <f t="shared" ref="G89" si="54">IFERROR((F89-F88)/F88,0)</f>
        <v>-1</v>
      </c>
      <c r="H89" s="1305"/>
      <c r="I89" s="1303"/>
      <c r="J89" s="1303"/>
      <c r="K89" s="1303"/>
      <c r="L89" s="1303"/>
      <c r="M89" s="1303"/>
      <c r="N89" s="1303"/>
      <c r="O89" s="1303"/>
      <c r="P89" s="1303"/>
      <c r="Q89" s="1303"/>
      <c r="R89" s="1303"/>
      <c r="S89" s="1303"/>
      <c r="T89" s="1303"/>
      <c r="U89" s="1303"/>
      <c r="V89" s="1303"/>
      <c r="W89" s="1303"/>
      <c r="X89" s="1303"/>
      <c r="Y89" s="1303"/>
      <c r="Z89" s="1303"/>
      <c r="AA89" s="1303"/>
      <c r="AB89" s="1303"/>
      <c r="AC89" s="1303"/>
      <c r="AD89" s="1303"/>
      <c r="AE89" s="1303"/>
      <c r="AF89" s="1303"/>
      <c r="AG89" s="1303"/>
      <c r="AH89" s="1303"/>
      <c r="AI89" s="1303"/>
      <c r="AJ89" s="1303"/>
      <c r="AK89" s="1303"/>
      <c r="AL89" s="1303"/>
      <c r="AM89" s="1074"/>
    </row>
    <row r="90" spans="2:39" x14ac:dyDescent="0.25">
      <c r="B90" s="1607"/>
      <c r="C90" s="1662"/>
      <c r="D90" s="1610"/>
      <c r="E90" s="1324" t="s">
        <v>312</v>
      </c>
      <c r="F90" s="1307"/>
      <c r="G90" s="1308"/>
      <c r="H90" s="1075"/>
      <c r="I90" s="1075"/>
      <c r="J90" s="1075"/>
      <c r="K90" s="1075"/>
      <c r="L90" s="1075"/>
      <c r="M90" s="1075"/>
      <c r="N90" s="1075"/>
      <c r="O90" s="1075"/>
      <c r="P90" s="1076"/>
      <c r="Q90" s="1075"/>
      <c r="R90" s="1075"/>
      <c r="S90" s="1075"/>
      <c r="T90" s="1075"/>
      <c r="U90" s="1075"/>
      <c r="V90" s="1075"/>
      <c r="W90" s="1075"/>
      <c r="X90" s="1075"/>
      <c r="Y90" s="1075"/>
      <c r="Z90" s="1075"/>
      <c r="AA90" s="1075"/>
      <c r="AB90" s="1075"/>
      <c r="AC90" s="1075"/>
      <c r="AD90" s="1075"/>
      <c r="AE90" s="1075"/>
      <c r="AF90" s="1075"/>
      <c r="AG90" s="1075"/>
      <c r="AH90" s="1075"/>
      <c r="AI90" s="1075"/>
      <c r="AJ90" s="1075"/>
      <c r="AK90" s="1075"/>
      <c r="AL90" s="1077"/>
      <c r="AM90" s="1074"/>
    </row>
    <row r="91" spans="2:39" x14ac:dyDescent="0.25">
      <c r="B91" s="1607"/>
      <c r="C91" s="1662"/>
      <c r="D91" s="1612" t="s">
        <v>343</v>
      </c>
      <c r="E91" s="1309" t="s">
        <v>344</v>
      </c>
      <c r="F91" s="1310">
        <f t="shared" ref="F91:F92" si="55">IFERROR(F93*1000/F88,0)</f>
        <v>2.8999999999999995</v>
      </c>
      <c r="G91" s="1311"/>
      <c r="H91" s="1312">
        <f>[1]Breaking.!D70</f>
        <v>2.9</v>
      </c>
      <c r="I91" s="1312">
        <f>[1]Breaking.!E70</f>
        <v>2.9</v>
      </c>
      <c r="J91" s="1312">
        <f>[1]Breaking.!F70</f>
        <v>2.9</v>
      </c>
      <c r="K91" s="1312">
        <f>[1]Breaking.!G70</f>
        <v>2.9</v>
      </c>
      <c r="L91" s="1312">
        <f>[1]Breaking.!H70</f>
        <v>2.9</v>
      </c>
      <c r="M91" s="1312">
        <f>[1]Breaking.!I70</f>
        <v>2.9</v>
      </c>
      <c r="N91" s="1312">
        <f>[1]Breaking.!J70</f>
        <v>2.9</v>
      </c>
      <c r="O91" s="1312">
        <f>[1]Breaking.!K70</f>
        <v>2.9</v>
      </c>
      <c r="P91" s="1312">
        <f>[1]Breaking.!L70</f>
        <v>2.9</v>
      </c>
      <c r="Q91" s="1312">
        <f>[1]Breaking.!M70</f>
        <v>2.9</v>
      </c>
      <c r="R91" s="1312">
        <f>[1]Breaking.!N70</f>
        <v>2.9</v>
      </c>
      <c r="S91" s="1312">
        <f>[1]Breaking.!O70</f>
        <v>2.9</v>
      </c>
      <c r="T91" s="1312">
        <f>[1]Breaking.!P70</f>
        <v>2.9</v>
      </c>
      <c r="U91" s="1312">
        <f>[1]Breaking.!Q70</f>
        <v>2.9</v>
      </c>
      <c r="V91" s="1312">
        <f>[1]Breaking.!R70</f>
        <v>2.9</v>
      </c>
      <c r="W91" s="1312">
        <f>[1]Breaking.!S70</f>
        <v>2.9</v>
      </c>
      <c r="X91" s="1312">
        <f>[1]Breaking.!T70</f>
        <v>2.9</v>
      </c>
      <c r="Y91" s="1312">
        <f>[1]Breaking.!U70</f>
        <v>2.9</v>
      </c>
      <c r="Z91" s="1312">
        <f>[1]Breaking.!V70</f>
        <v>2.9</v>
      </c>
      <c r="AA91" s="1312">
        <f>[1]Breaking.!W70</f>
        <v>2.9</v>
      </c>
      <c r="AB91" s="1312">
        <f>[1]Breaking.!X70</f>
        <v>2.9</v>
      </c>
      <c r="AC91" s="1312">
        <f>[1]Breaking.!Y70</f>
        <v>2.9</v>
      </c>
      <c r="AD91" s="1312">
        <f>[1]Breaking.!Z70</f>
        <v>2.9</v>
      </c>
      <c r="AE91" s="1312">
        <f>[1]Breaking.!AA70</f>
        <v>2.9</v>
      </c>
      <c r="AF91" s="1312">
        <f>[1]Breaking.!AB70</f>
        <v>2.9</v>
      </c>
      <c r="AG91" s="1312">
        <f>[1]Breaking.!AC70</f>
        <v>2.9</v>
      </c>
      <c r="AH91" s="1312">
        <f>[1]Breaking.!AD70</f>
        <v>2.9</v>
      </c>
      <c r="AI91" s="1312">
        <f>[1]Breaking.!AE70</f>
        <v>2.9</v>
      </c>
      <c r="AJ91" s="1312">
        <f>[1]Breaking.!AF70</f>
        <v>2.9</v>
      </c>
      <c r="AK91" s="1312">
        <f>[1]Breaking.!AG70</f>
        <v>2.9</v>
      </c>
      <c r="AL91" s="1312">
        <f>[1]Breaking.!AH70</f>
        <v>2.9</v>
      </c>
      <c r="AM91" s="1074"/>
    </row>
    <row r="92" spans="2:39" x14ac:dyDescent="0.25">
      <c r="B92" s="1607"/>
      <c r="C92" s="1662"/>
      <c r="D92" s="1664"/>
      <c r="E92" s="1313" t="s">
        <v>345</v>
      </c>
      <c r="F92" s="1314">
        <f t="shared" si="55"/>
        <v>0</v>
      </c>
      <c r="G92" s="1304">
        <f t="shared" ref="G92" si="56">IFERROR((F92-F91)/F91,0)</f>
        <v>-1</v>
      </c>
      <c r="H92" s="1315"/>
      <c r="I92" s="1314"/>
      <c r="J92" s="1314"/>
      <c r="K92" s="1314"/>
      <c r="L92" s="1314"/>
      <c r="M92" s="1314"/>
      <c r="N92" s="1314"/>
      <c r="O92" s="1314"/>
      <c r="P92" s="1314"/>
      <c r="Q92" s="1314"/>
      <c r="R92" s="1314"/>
      <c r="S92" s="1314"/>
      <c r="T92" s="1314"/>
      <c r="U92" s="1314"/>
      <c r="V92" s="1314"/>
      <c r="W92" s="1314"/>
      <c r="X92" s="1314"/>
      <c r="Y92" s="1314"/>
      <c r="Z92" s="1314"/>
      <c r="AA92" s="1314"/>
      <c r="AB92" s="1314"/>
      <c r="AC92" s="1314"/>
      <c r="AD92" s="1314"/>
      <c r="AE92" s="1314"/>
      <c r="AF92" s="1314"/>
      <c r="AG92" s="1314"/>
      <c r="AH92" s="1314"/>
      <c r="AI92" s="1314"/>
      <c r="AJ92" s="1314"/>
      <c r="AK92" s="1314"/>
      <c r="AL92" s="1314"/>
      <c r="AM92" s="1074"/>
    </row>
    <row r="93" spans="2:39" x14ac:dyDescent="0.25">
      <c r="B93" s="1607"/>
      <c r="C93" s="1662"/>
      <c r="D93" s="1612" t="s">
        <v>47</v>
      </c>
      <c r="E93" s="1309" t="s">
        <v>346</v>
      </c>
      <c r="F93" s="206">
        <f t="shared" ref="F93:F96" si="57">SUMIF($H$9:$AL$9,"&lt;="&amp;$C$7,H93:AL93)</f>
        <v>3.2479999999999993</v>
      </c>
      <c r="G93" s="1311"/>
      <c r="H93" s="1316">
        <f>+H91*H88/1000</f>
        <v>0.20300000000000001</v>
      </c>
      <c r="I93" s="1316">
        <f t="shared" ref="I93:AL94" si="58">+I91*I88/1000</f>
        <v>0.20300000000000001</v>
      </c>
      <c r="J93" s="1316">
        <f t="shared" si="58"/>
        <v>0.20300000000000001</v>
      </c>
      <c r="K93" s="1316">
        <f t="shared" si="58"/>
        <v>0.20300000000000001</v>
      </c>
      <c r="L93" s="1316">
        <f t="shared" si="58"/>
        <v>0.20300000000000001</v>
      </c>
      <c r="M93" s="1316">
        <f t="shared" si="58"/>
        <v>0.20300000000000001</v>
      </c>
      <c r="N93" s="1316">
        <f t="shared" si="58"/>
        <v>0.20300000000000001</v>
      </c>
      <c r="O93" s="1316">
        <f t="shared" si="58"/>
        <v>0.20300000000000001</v>
      </c>
      <c r="P93" s="1316">
        <f t="shared" si="58"/>
        <v>0.20300000000000001</v>
      </c>
      <c r="Q93" s="1316">
        <f t="shared" si="58"/>
        <v>0.20300000000000001</v>
      </c>
      <c r="R93" s="1316">
        <f t="shared" si="58"/>
        <v>0.20300000000000001</v>
      </c>
      <c r="S93" s="1316">
        <f t="shared" si="58"/>
        <v>0.20300000000000001</v>
      </c>
      <c r="T93" s="1316">
        <f t="shared" si="58"/>
        <v>0.20300000000000001</v>
      </c>
      <c r="U93" s="1316">
        <f t="shared" si="58"/>
        <v>0.20300000000000001</v>
      </c>
      <c r="V93" s="1316">
        <f t="shared" si="58"/>
        <v>0.20300000000000001</v>
      </c>
      <c r="W93" s="1316">
        <f t="shared" si="58"/>
        <v>0.20300000000000001</v>
      </c>
      <c r="X93" s="1316">
        <f t="shared" si="58"/>
        <v>0.20300000000000001</v>
      </c>
      <c r="Y93" s="1316">
        <f t="shared" si="58"/>
        <v>0.20300000000000001</v>
      </c>
      <c r="Z93" s="1316">
        <f t="shared" si="58"/>
        <v>0.20300000000000001</v>
      </c>
      <c r="AA93" s="1316">
        <f t="shared" si="58"/>
        <v>0.20300000000000001</v>
      </c>
      <c r="AB93" s="1316">
        <f t="shared" si="58"/>
        <v>0.20300000000000001</v>
      </c>
      <c r="AC93" s="1316">
        <f t="shared" si="58"/>
        <v>0.20300000000000001</v>
      </c>
      <c r="AD93" s="1316">
        <f t="shared" si="58"/>
        <v>0.20300000000000001</v>
      </c>
      <c r="AE93" s="1316">
        <f t="shared" si="58"/>
        <v>0.20300000000000001</v>
      </c>
      <c r="AF93" s="1316">
        <f t="shared" si="58"/>
        <v>0.20300000000000001</v>
      </c>
      <c r="AG93" s="1316">
        <f t="shared" si="58"/>
        <v>0.20300000000000001</v>
      </c>
      <c r="AH93" s="1316">
        <f t="shared" si="58"/>
        <v>0.20300000000000001</v>
      </c>
      <c r="AI93" s="1316">
        <f t="shared" si="58"/>
        <v>0.20300000000000001</v>
      </c>
      <c r="AJ93" s="1316">
        <f t="shared" si="58"/>
        <v>0.20300000000000001</v>
      </c>
      <c r="AK93" s="1316">
        <f t="shared" si="58"/>
        <v>0.20300000000000001</v>
      </c>
      <c r="AL93" s="1316">
        <f t="shared" si="58"/>
        <v>0.20300000000000001</v>
      </c>
      <c r="AM93" s="1078"/>
    </row>
    <row r="94" spans="2:39" ht="14.25" thickBot="1" x14ac:dyDescent="0.3">
      <c r="B94" s="1660"/>
      <c r="C94" s="1663"/>
      <c r="D94" s="1665"/>
      <c r="E94" s="1320" t="s">
        <v>347</v>
      </c>
      <c r="F94" s="1321">
        <f t="shared" si="57"/>
        <v>0</v>
      </c>
      <c r="G94" s="1322">
        <f t="shared" ref="G94" si="59">IFERROR((F94-F93)/F93,0)</f>
        <v>-1</v>
      </c>
      <c r="H94" s="1323">
        <f>+H92*H89/1000</f>
        <v>0</v>
      </c>
      <c r="I94" s="1323">
        <f t="shared" si="58"/>
        <v>0</v>
      </c>
      <c r="J94" s="1323">
        <f t="shared" si="58"/>
        <v>0</v>
      </c>
      <c r="K94" s="1323">
        <f t="shared" si="58"/>
        <v>0</v>
      </c>
      <c r="L94" s="1323">
        <f>+L92*L89/1000</f>
        <v>0</v>
      </c>
      <c r="M94" s="1323">
        <f t="shared" si="58"/>
        <v>0</v>
      </c>
      <c r="N94" s="1323">
        <f t="shared" si="58"/>
        <v>0</v>
      </c>
      <c r="O94" s="1323">
        <f t="shared" si="58"/>
        <v>0</v>
      </c>
      <c r="P94" s="1323">
        <f t="shared" si="58"/>
        <v>0</v>
      </c>
      <c r="Q94" s="1323">
        <f t="shared" si="58"/>
        <v>0</v>
      </c>
      <c r="R94" s="1323">
        <f t="shared" si="58"/>
        <v>0</v>
      </c>
      <c r="S94" s="1323">
        <f t="shared" si="58"/>
        <v>0</v>
      </c>
      <c r="T94" s="1323">
        <f t="shared" si="58"/>
        <v>0</v>
      </c>
      <c r="U94" s="1323">
        <f t="shared" si="58"/>
        <v>0</v>
      </c>
      <c r="V94" s="1323">
        <f t="shared" si="58"/>
        <v>0</v>
      </c>
      <c r="W94" s="1323">
        <f t="shared" si="58"/>
        <v>0</v>
      </c>
      <c r="X94" s="1323">
        <f t="shared" si="58"/>
        <v>0</v>
      </c>
      <c r="Y94" s="1323">
        <f t="shared" si="58"/>
        <v>0</v>
      </c>
      <c r="Z94" s="1323">
        <f t="shared" si="58"/>
        <v>0</v>
      </c>
      <c r="AA94" s="1323">
        <f t="shared" si="58"/>
        <v>0</v>
      </c>
      <c r="AB94" s="1323">
        <f t="shared" si="58"/>
        <v>0</v>
      </c>
      <c r="AC94" s="1323">
        <f t="shared" si="58"/>
        <v>0</v>
      </c>
      <c r="AD94" s="1323">
        <f t="shared" si="58"/>
        <v>0</v>
      </c>
      <c r="AE94" s="1323">
        <f t="shared" si="58"/>
        <v>0</v>
      </c>
      <c r="AF94" s="1323">
        <f t="shared" si="58"/>
        <v>0</v>
      </c>
      <c r="AG94" s="1323">
        <f t="shared" si="58"/>
        <v>0</v>
      </c>
      <c r="AH94" s="1323">
        <f t="shared" si="58"/>
        <v>0</v>
      </c>
      <c r="AI94" s="1323">
        <f t="shared" si="58"/>
        <v>0</v>
      </c>
      <c r="AJ94" s="1323">
        <f t="shared" si="58"/>
        <v>0</v>
      </c>
      <c r="AK94" s="1323">
        <f t="shared" si="58"/>
        <v>0</v>
      </c>
      <c r="AL94" s="1323">
        <f t="shared" si="58"/>
        <v>0</v>
      </c>
      <c r="AM94" s="1079"/>
    </row>
    <row r="95" spans="2:39" s="1069" customFormat="1" ht="14.85" customHeight="1" x14ac:dyDescent="0.25">
      <c r="B95" s="1608">
        <v>1</v>
      </c>
      <c r="C95" s="1661" t="str">
        <f>[1]Stoping!C109</f>
        <v>6L_W4 STOPE</v>
      </c>
      <c r="D95" s="1611" t="s">
        <v>340</v>
      </c>
      <c r="E95" s="1070" t="s">
        <v>341</v>
      </c>
      <c r="F95" s="196">
        <f t="shared" si="57"/>
        <v>1120</v>
      </c>
      <c r="G95" s="1071"/>
      <c r="H95" s="198">
        <f>[1]Stoping!H109</f>
        <v>70</v>
      </c>
      <c r="I95" s="198">
        <f>[1]Stoping!I109</f>
        <v>70</v>
      </c>
      <c r="J95" s="198">
        <f>[1]Stoping!J109</f>
        <v>70</v>
      </c>
      <c r="K95" s="198">
        <f>[1]Stoping!K109</f>
        <v>70</v>
      </c>
      <c r="L95" s="198">
        <f>[1]Stoping!L109</f>
        <v>70</v>
      </c>
      <c r="M95" s="198">
        <f>[1]Stoping!M109</f>
        <v>70</v>
      </c>
      <c r="N95" s="198">
        <f>[1]Stoping!N109</f>
        <v>70</v>
      </c>
      <c r="O95" s="198">
        <f>[1]Stoping!O109</f>
        <v>70</v>
      </c>
      <c r="P95" s="198">
        <f>[1]Stoping!P109</f>
        <v>70</v>
      </c>
      <c r="Q95" s="198">
        <f>[1]Stoping!Q109</f>
        <v>70</v>
      </c>
      <c r="R95" s="198">
        <f>[1]Stoping!R109</f>
        <v>70</v>
      </c>
      <c r="S95" s="198">
        <f>[1]Stoping!S109</f>
        <v>70</v>
      </c>
      <c r="T95" s="198">
        <f>[1]Stoping!T109</f>
        <v>70</v>
      </c>
      <c r="U95" s="198">
        <f>[1]Stoping!U109</f>
        <v>70</v>
      </c>
      <c r="V95" s="198">
        <f>[1]Stoping!V109</f>
        <v>70</v>
      </c>
      <c r="W95" s="198">
        <f>[1]Stoping!W109</f>
        <v>70</v>
      </c>
      <c r="X95" s="198">
        <f>[1]Stoping!X109</f>
        <v>70</v>
      </c>
      <c r="Y95" s="198">
        <f>[1]Stoping!Y109</f>
        <v>70</v>
      </c>
      <c r="Z95" s="198">
        <f>[1]Stoping!Z109</f>
        <v>70</v>
      </c>
      <c r="AA95" s="198">
        <f>[1]Stoping!AA109</f>
        <v>70</v>
      </c>
      <c r="AB95" s="198">
        <f>[1]Stoping!AB109</f>
        <v>70</v>
      </c>
      <c r="AC95" s="198">
        <f>[1]Stoping!AC109</f>
        <v>70</v>
      </c>
      <c r="AD95" s="198">
        <f>[1]Stoping!AD109</f>
        <v>70</v>
      </c>
      <c r="AE95" s="198">
        <f>[1]Stoping!AE109</f>
        <v>70</v>
      </c>
      <c r="AF95" s="198">
        <f>[1]Stoping!AF109</f>
        <v>70</v>
      </c>
      <c r="AG95" s="198">
        <f>[1]Stoping!AG109</f>
        <v>70</v>
      </c>
      <c r="AH95" s="198">
        <f>[1]Stoping!AH109</f>
        <v>70</v>
      </c>
      <c r="AI95" s="198">
        <f>[1]Stoping!AI109</f>
        <v>70</v>
      </c>
      <c r="AJ95" s="198">
        <f>[1]Stoping!AJ109</f>
        <v>70</v>
      </c>
      <c r="AK95" s="198">
        <f>[1]Stoping!AK109</f>
        <v>70</v>
      </c>
      <c r="AL95" s="198">
        <f>[1]Stoping!AL102</f>
        <v>70</v>
      </c>
      <c r="AM95" s="1072"/>
    </row>
    <row r="96" spans="2:39" x14ac:dyDescent="0.25">
      <c r="B96" s="1607"/>
      <c r="C96" s="1662"/>
      <c r="D96" s="1610"/>
      <c r="E96" s="1302" t="s">
        <v>342</v>
      </c>
      <c r="F96" s="1303">
        <f t="shared" si="57"/>
        <v>1422</v>
      </c>
      <c r="G96" s="1304">
        <f t="shared" ref="G96" si="60">IFERROR((F96-F95)/F95,0)</f>
        <v>0.26964285714285713</v>
      </c>
      <c r="H96" s="1305">
        <v>84</v>
      </c>
      <c r="I96" s="1303">
        <v>55</v>
      </c>
      <c r="J96" s="1303">
        <f>26.4+102.6</f>
        <v>129</v>
      </c>
      <c r="K96" s="1303">
        <v>69</v>
      </c>
      <c r="L96" s="1303">
        <f>16.5+96</f>
        <v>112.5</v>
      </c>
      <c r="M96" s="1303">
        <v>156</v>
      </c>
      <c r="N96" s="1303">
        <v>141</v>
      </c>
      <c r="O96" s="1303">
        <v>30</v>
      </c>
      <c r="P96" s="1303">
        <v>63</v>
      </c>
      <c r="Q96" s="1303">
        <v>78</v>
      </c>
      <c r="R96" s="1303">
        <v>197</v>
      </c>
      <c r="S96" s="1303">
        <v>57</v>
      </c>
      <c r="T96" s="1303">
        <v>56</v>
      </c>
      <c r="U96" s="1303">
        <v>49</v>
      </c>
      <c r="V96" s="1303">
        <v>45</v>
      </c>
      <c r="W96" s="1303">
        <v>100.5</v>
      </c>
      <c r="X96" s="1303"/>
      <c r="Y96" s="1303"/>
      <c r="Z96" s="1303"/>
      <c r="AA96" s="1303"/>
      <c r="AB96" s="1303"/>
      <c r="AC96" s="1303"/>
      <c r="AD96" s="1303"/>
      <c r="AE96" s="1303"/>
      <c r="AF96" s="1303"/>
      <c r="AG96" s="1303"/>
      <c r="AH96" s="1303"/>
      <c r="AI96" s="1303"/>
      <c r="AJ96" s="1303"/>
      <c r="AK96" s="1303"/>
      <c r="AL96" s="1303"/>
      <c r="AM96" s="1074"/>
    </row>
    <row r="97" spans="2:39" x14ac:dyDescent="0.25">
      <c r="B97" s="1607"/>
      <c r="C97" s="1662"/>
      <c r="D97" s="1610"/>
      <c r="E97" s="1324" t="s">
        <v>312</v>
      </c>
      <c r="F97" s="1307"/>
      <c r="G97" s="1308"/>
      <c r="H97" s="1075"/>
      <c r="I97" s="1075"/>
      <c r="J97" s="1075"/>
      <c r="K97" s="1075"/>
      <c r="L97" s="1075"/>
      <c r="M97" s="1075"/>
      <c r="N97" s="1075"/>
      <c r="O97" s="1075"/>
      <c r="P97" s="1076"/>
      <c r="Q97" s="1075"/>
      <c r="R97" s="1075"/>
      <c r="S97" s="1075"/>
      <c r="T97" s="1075"/>
      <c r="U97" s="1075"/>
      <c r="V97" s="1075"/>
      <c r="W97" s="1075"/>
      <c r="X97" s="1075"/>
      <c r="Y97" s="1075"/>
      <c r="Z97" s="1075"/>
      <c r="AA97" s="1075"/>
      <c r="AB97" s="1075"/>
      <c r="AC97" s="1075"/>
      <c r="AD97" s="1075"/>
      <c r="AE97" s="1075"/>
      <c r="AF97" s="1075"/>
      <c r="AG97" s="1075"/>
      <c r="AH97" s="1075"/>
      <c r="AI97" s="1075"/>
      <c r="AJ97" s="1075"/>
      <c r="AK97" s="1075"/>
      <c r="AL97" s="1077"/>
      <c r="AM97" s="1074"/>
    </row>
    <row r="98" spans="2:39" x14ac:dyDescent="0.25">
      <c r="B98" s="1607"/>
      <c r="C98" s="1662"/>
      <c r="D98" s="1612" t="s">
        <v>343</v>
      </c>
      <c r="E98" s="1309" t="s">
        <v>344</v>
      </c>
      <c r="F98" s="1310">
        <f t="shared" ref="F98:F99" si="61">IFERROR(F100*1000/F95,0)</f>
        <v>2.3831775700934577</v>
      </c>
      <c r="G98" s="1311"/>
      <c r="H98" s="1312">
        <f>[1]Breaking.!D72</f>
        <v>2.3831775700934577</v>
      </c>
      <c r="I98" s="1312">
        <f>[1]Breaking.!E72</f>
        <v>2.3831775700934577</v>
      </c>
      <c r="J98" s="1312">
        <f>[1]Breaking.!F72</f>
        <v>2.3831775700934577</v>
      </c>
      <c r="K98" s="1312">
        <f>[1]Breaking.!G72</f>
        <v>2.3831775700934577</v>
      </c>
      <c r="L98" s="1312">
        <f>[1]Breaking.!H72</f>
        <v>2.3831775700934577</v>
      </c>
      <c r="M98" s="1312">
        <f>[1]Breaking.!I72</f>
        <v>2.3831775700934577</v>
      </c>
      <c r="N98" s="1312">
        <f>[1]Breaking.!J72</f>
        <v>2.3831775700934577</v>
      </c>
      <c r="O98" s="1312">
        <f>[1]Breaking.!K72</f>
        <v>2.3831775700934577</v>
      </c>
      <c r="P98" s="1312">
        <f>[1]Breaking.!L72</f>
        <v>2.3831775700934577</v>
      </c>
      <c r="Q98" s="1312">
        <f>[1]Breaking.!M72</f>
        <v>2.3831775700934577</v>
      </c>
      <c r="R98" s="1312">
        <f>[1]Breaking.!N72</f>
        <v>2.3831775700934577</v>
      </c>
      <c r="S98" s="1312">
        <f>[1]Breaking.!O72</f>
        <v>2.3831775700934577</v>
      </c>
      <c r="T98" s="1312">
        <f>[1]Breaking.!P72</f>
        <v>2.3831775700934577</v>
      </c>
      <c r="U98" s="1312">
        <f>[1]Breaking.!Q72</f>
        <v>2.3831775700934577</v>
      </c>
      <c r="V98" s="1312">
        <f>[1]Breaking.!R72</f>
        <v>2.3831775700934577</v>
      </c>
      <c r="W98" s="1312">
        <f>[1]Breaking.!S72</f>
        <v>2.3831775700934577</v>
      </c>
      <c r="X98" s="1312">
        <f>[1]Breaking.!T72</f>
        <v>2.3831775700934577</v>
      </c>
      <c r="Y98" s="1312">
        <f>[1]Breaking.!U72</f>
        <v>2.3831775700934577</v>
      </c>
      <c r="Z98" s="1312">
        <f>[1]Breaking.!V72</f>
        <v>2.3831775700934577</v>
      </c>
      <c r="AA98" s="1312">
        <f>[1]Breaking.!W72</f>
        <v>2.3831775700934577</v>
      </c>
      <c r="AB98" s="1312">
        <f>[1]Breaking.!X72</f>
        <v>2.3831775700934577</v>
      </c>
      <c r="AC98" s="1312">
        <f>[1]Breaking.!Y72</f>
        <v>2.3831775700934577</v>
      </c>
      <c r="AD98" s="1312">
        <f>[1]Breaking.!Z72</f>
        <v>2.3831775700934577</v>
      </c>
      <c r="AE98" s="1312">
        <f>[1]Breaking.!AA72</f>
        <v>2.3831775700934577</v>
      </c>
      <c r="AF98" s="1312">
        <f>[1]Breaking.!AB72</f>
        <v>2.3831775700934577</v>
      </c>
      <c r="AG98" s="1312">
        <f>[1]Breaking.!AC72</f>
        <v>2.3831775700934577</v>
      </c>
      <c r="AH98" s="1312">
        <f>[1]Breaking.!AD72</f>
        <v>2.3831775700934577</v>
      </c>
      <c r="AI98" s="1312">
        <f>[1]Breaking.!AE72</f>
        <v>2.3831775700934577</v>
      </c>
      <c r="AJ98" s="1312">
        <f>[1]Breaking.!AF72</f>
        <v>2.3831775700934577</v>
      </c>
      <c r="AK98" s="1312">
        <f>[1]Breaking.!AG72</f>
        <v>2.3831775700934577</v>
      </c>
      <c r="AL98" s="1312">
        <f>[1]Breaking.!AH72</f>
        <v>2.3831775700934577</v>
      </c>
      <c r="AM98" s="1074"/>
    </row>
    <row r="99" spans="2:39" x14ac:dyDescent="0.25">
      <c r="B99" s="1607"/>
      <c r="C99" s="1662"/>
      <c r="D99" s="1664"/>
      <c r="E99" s="1313" t="s">
        <v>345</v>
      </c>
      <c r="F99" s="1314">
        <f t="shared" si="61"/>
        <v>2.4966772151898735</v>
      </c>
      <c r="G99" s="1304">
        <f t="shared" ref="G99" si="62">IFERROR((F99-F98)/F98,0)</f>
        <v>4.7625341275750972E-2</v>
      </c>
      <c r="H99" s="1315">
        <v>4.13</v>
      </c>
      <c r="I99" s="1314">
        <v>1.82</v>
      </c>
      <c r="J99" s="1314">
        <v>2.42</v>
      </c>
      <c r="K99" s="1314">
        <v>2.5099999999999998</v>
      </c>
      <c r="L99" s="1314">
        <v>1.67</v>
      </c>
      <c r="M99" s="1314">
        <v>1.61</v>
      </c>
      <c r="N99" s="1314">
        <v>1.5</v>
      </c>
      <c r="O99" s="1314">
        <v>1.98</v>
      </c>
      <c r="P99" s="1314">
        <v>1.76</v>
      </c>
      <c r="Q99" s="1314">
        <v>2.73</v>
      </c>
      <c r="R99" s="1314">
        <v>5</v>
      </c>
      <c r="S99" s="1314">
        <v>3.08</v>
      </c>
      <c r="T99" s="1314">
        <v>2.54</v>
      </c>
      <c r="U99" s="1314">
        <v>3.17</v>
      </c>
      <c r="V99" s="1314">
        <v>2.8</v>
      </c>
      <c r="W99" s="1314"/>
      <c r="X99" s="1314"/>
      <c r="Y99" s="1314"/>
      <c r="Z99" s="1314"/>
      <c r="AA99" s="1314"/>
      <c r="AB99" s="1314"/>
      <c r="AC99" s="1314"/>
      <c r="AD99" s="1314"/>
      <c r="AE99" s="1314"/>
      <c r="AF99" s="1314"/>
      <c r="AG99" s="1314"/>
      <c r="AH99" s="1314"/>
      <c r="AI99" s="1314"/>
      <c r="AJ99" s="1314"/>
      <c r="AK99" s="1314"/>
      <c r="AL99" s="1314"/>
      <c r="AM99" s="1074"/>
    </row>
    <row r="100" spans="2:39" x14ac:dyDescent="0.25">
      <c r="B100" s="1607"/>
      <c r="C100" s="1662"/>
      <c r="D100" s="1612" t="s">
        <v>47</v>
      </c>
      <c r="E100" s="1309" t="s">
        <v>346</v>
      </c>
      <c r="F100" s="206">
        <f t="shared" ref="F100:F103" si="63">SUMIF($H$9:$AL$9,"&lt;="&amp;$C$7,H100:AL100)</f>
        <v>2.6691588785046725</v>
      </c>
      <c r="G100" s="1311"/>
      <c r="H100" s="1316">
        <f>+H98*H95/1000</f>
        <v>0.16682242990654203</v>
      </c>
      <c r="I100" s="1316">
        <f t="shared" ref="I100:AL101" si="64">+I98*I95/1000</f>
        <v>0.16682242990654203</v>
      </c>
      <c r="J100" s="1316">
        <f t="shared" si="64"/>
        <v>0.16682242990654203</v>
      </c>
      <c r="K100" s="1316">
        <f t="shared" si="64"/>
        <v>0.16682242990654203</v>
      </c>
      <c r="L100" s="1316">
        <f t="shared" si="64"/>
        <v>0.16682242990654203</v>
      </c>
      <c r="M100" s="1316">
        <f t="shared" si="64"/>
        <v>0.16682242990654203</v>
      </c>
      <c r="N100" s="1316">
        <f t="shared" si="64"/>
        <v>0.16682242990654203</v>
      </c>
      <c r="O100" s="1316">
        <f t="shared" si="64"/>
        <v>0.16682242990654203</v>
      </c>
      <c r="P100" s="1316">
        <f t="shared" si="64"/>
        <v>0.16682242990654203</v>
      </c>
      <c r="Q100" s="1316">
        <f t="shared" si="64"/>
        <v>0.16682242990654203</v>
      </c>
      <c r="R100" s="1316">
        <f t="shared" si="64"/>
        <v>0.16682242990654203</v>
      </c>
      <c r="S100" s="1316">
        <f t="shared" si="64"/>
        <v>0.16682242990654203</v>
      </c>
      <c r="T100" s="1316">
        <f t="shared" si="64"/>
        <v>0.16682242990654203</v>
      </c>
      <c r="U100" s="1316">
        <f t="shared" si="64"/>
        <v>0.16682242990654203</v>
      </c>
      <c r="V100" s="1316">
        <f t="shared" si="64"/>
        <v>0.16682242990654203</v>
      </c>
      <c r="W100" s="1316">
        <f t="shared" si="64"/>
        <v>0.16682242990654203</v>
      </c>
      <c r="X100" s="1316">
        <f t="shared" si="64"/>
        <v>0.16682242990654203</v>
      </c>
      <c r="Y100" s="1316">
        <f t="shared" si="64"/>
        <v>0.16682242990654203</v>
      </c>
      <c r="Z100" s="1316">
        <f t="shared" si="64"/>
        <v>0.16682242990654203</v>
      </c>
      <c r="AA100" s="1316">
        <f t="shared" si="64"/>
        <v>0.16682242990654203</v>
      </c>
      <c r="AB100" s="1316">
        <f t="shared" si="64"/>
        <v>0.16682242990654203</v>
      </c>
      <c r="AC100" s="1316">
        <f t="shared" si="64"/>
        <v>0.16682242990654203</v>
      </c>
      <c r="AD100" s="1316">
        <f t="shared" si="64"/>
        <v>0.16682242990654203</v>
      </c>
      <c r="AE100" s="1316">
        <f t="shared" si="64"/>
        <v>0.16682242990654203</v>
      </c>
      <c r="AF100" s="1316">
        <f t="shared" si="64"/>
        <v>0.16682242990654203</v>
      </c>
      <c r="AG100" s="1316">
        <f t="shared" si="64"/>
        <v>0.16682242990654203</v>
      </c>
      <c r="AH100" s="1316">
        <f t="shared" si="64"/>
        <v>0.16682242990654203</v>
      </c>
      <c r="AI100" s="1316">
        <f t="shared" si="64"/>
        <v>0.16682242990654203</v>
      </c>
      <c r="AJ100" s="1316">
        <f t="shared" si="64"/>
        <v>0.16682242990654203</v>
      </c>
      <c r="AK100" s="1316">
        <f t="shared" si="64"/>
        <v>0.16682242990654203</v>
      </c>
      <c r="AL100" s="1316">
        <f t="shared" si="64"/>
        <v>0.16682242990654203</v>
      </c>
      <c r="AM100" s="1078"/>
    </row>
    <row r="101" spans="2:39" ht="14.25" thickBot="1" x14ac:dyDescent="0.3">
      <c r="B101" s="1660"/>
      <c r="C101" s="1663"/>
      <c r="D101" s="1665"/>
      <c r="E101" s="1320" t="s">
        <v>347</v>
      </c>
      <c r="F101" s="1321">
        <f t="shared" si="63"/>
        <v>3.5502750000000001</v>
      </c>
      <c r="G101" s="1322">
        <f t="shared" ref="G101" si="65">IFERROR((F101-F100)/F100,0)</f>
        <v>0.33011003151260526</v>
      </c>
      <c r="H101" s="1323">
        <f>+H99*H96/1000</f>
        <v>0.34692000000000001</v>
      </c>
      <c r="I101" s="1323">
        <f t="shared" si="64"/>
        <v>0.10010000000000001</v>
      </c>
      <c r="J101" s="1323">
        <f t="shared" si="64"/>
        <v>0.31218000000000001</v>
      </c>
      <c r="K101" s="1323">
        <f t="shared" si="64"/>
        <v>0.17319000000000001</v>
      </c>
      <c r="L101" s="1323">
        <f t="shared" si="64"/>
        <v>0.18787499999999999</v>
      </c>
      <c r="M101" s="1323">
        <f t="shared" si="64"/>
        <v>0.25116000000000005</v>
      </c>
      <c r="N101" s="1323">
        <f t="shared" si="64"/>
        <v>0.21149999999999999</v>
      </c>
      <c r="O101" s="1323">
        <f t="shared" si="64"/>
        <v>5.9400000000000001E-2</v>
      </c>
      <c r="P101" s="1323">
        <f t="shared" si="64"/>
        <v>0.11087999999999999</v>
      </c>
      <c r="Q101" s="1323">
        <f t="shared" si="64"/>
        <v>0.21293999999999999</v>
      </c>
      <c r="R101" s="1323">
        <f t="shared" si="64"/>
        <v>0.98499999999999999</v>
      </c>
      <c r="S101" s="1323">
        <f t="shared" si="64"/>
        <v>0.17555999999999999</v>
      </c>
      <c r="T101" s="1323">
        <f t="shared" si="64"/>
        <v>0.14224000000000001</v>
      </c>
      <c r="U101" s="1323">
        <f t="shared" si="64"/>
        <v>0.15533</v>
      </c>
      <c r="V101" s="1323">
        <f t="shared" si="64"/>
        <v>0.12599999999999997</v>
      </c>
      <c r="W101" s="1323">
        <f t="shared" si="64"/>
        <v>0</v>
      </c>
      <c r="X101" s="1323">
        <f t="shared" si="64"/>
        <v>0</v>
      </c>
      <c r="Y101" s="1323">
        <f t="shared" si="64"/>
        <v>0</v>
      </c>
      <c r="Z101" s="1323">
        <f t="shared" si="64"/>
        <v>0</v>
      </c>
      <c r="AA101" s="1323">
        <f t="shared" si="64"/>
        <v>0</v>
      </c>
      <c r="AB101" s="1323">
        <f t="shared" si="64"/>
        <v>0</v>
      </c>
      <c r="AC101" s="1323">
        <f t="shared" si="64"/>
        <v>0</v>
      </c>
      <c r="AD101" s="1323">
        <f t="shared" si="64"/>
        <v>0</v>
      </c>
      <c r="AE101" s="1323">
        <f t="shared" si="64"/>
        <v>0</v>
      </c>
      <c r="AF101" s="1323">
        <f t="shared" si="64"/>
        <v>0</v>
      </c>
      <c r="AG101" s="1323">
        <f t="shared" si="64"/>
        <v>0</v>
      </c>
      <c r="AH101" s="1323">
        <f t="shared" si="64"/>
        <v>0</v>
      </c>
      <c r="AI101" s="1323">
        <f t="shared" si="64"/>
        <v>0</v>
      </c>
      <c r="AJ101" s="1323">
        <f t="shared" si="64"/>
        <v>0</v>
      </c>
      <c r="AK101" s="1323">
        <f t="shared" si="64"/>
        <v>0</v>
      </c>
      <c r="AL101" s="1323">
        <f t="shared" si="64"/>
        <v>0</v>
      </c>
      <c r="AM101" s="1079"/>
    </row>
    <row r="102" spans="2:39" s="1069" customFormat="1" ht="14.85" customHeight="1" x14ac:dyDescent="0.25">
      <c r="B102" s="1608">
        <v>1</v>
      </c>
      <c r="C102" s="1661" t="str">
        <f>[1]Stoping!C116</f>
        <v>6L_W8 STOPE</v>
      </c>
      <c r="D102" s="1611" t="s">
        <v>340</v>
      </c>
      <c r="E102" s="1070" t="s">
        <v>341</v>
      </c>
      <c r="F102" s="196">
        <f t="shared" si="63"/>
        <v>560</v>
      </c>
      <c r="G102" s="1071"/>
      <c r="H102" s="198">
        <f>[1]Stoping!H116</f>
        <v>35</v>
      </c>
      <c r="I102" s="198">
        <f>[1]Stoping!I116</f>
        <v>35</v>
      </c>
      <c r="J102" s="198">
        <f>[1]Stoping!J116</f>
        <v>35</v>
      </c>
      <c r="K102" s="199">
        <f>[1]Stoping!K116</f>
        <v>35</v>
      </c>
      <c r="L102" s="199">
        <f>[1]Stoping!L116</f>
        <v>35</v>
      </c>
      <c r="M102" s="199">
        <f>[1]Stoping!M116</f>
        <v>35</v>
      </c>
      <c r="N102" s="199">
        <f>[1]Stoping!N116</f>
        <v>35</v>
      </c>
      <c r="O102" s="199">
        <f>[1]Stoping!O116</f>
        <v>35</v>
      </c>
      <c r="P102" s="200">
        <f>[1]Stoping!P116</f>
        <v>35</v>
      </c>
      <c r="Q102" s="199">
        <f>[1]Stoping!Q116</f>
        <v>35</v>
      </c>
      <c r="R102" s="199">
        <f>[1]Stoping!R116</f>
        <v>35</v>
      </c>
      <c r="S102" s="199">
        <f>[1]Stoping!S116</f>
        <v>35</v>
      </c>
      <c r="T102" s="199">
        <f>[1]Stoping!T116</f>
        <v>35</v>
      </c>
      <c r="U102" s="199">
        <f>[1]Stoping!U116</f>
        <v>35</v>
      </c>
      <c r="V102" s="199">
        <f>[1]Stoping!V116</f>
        <v>35</v>
      </c>
      <c r="W102" s="199">
        <f>[1]Stoping!W116</f>
        <v>35</v>
      </c>
      <c r="X102" s="199">
        <f>[1]Stoping!X116</f>
        <v>35</v>
      </c>
      <c r="Y102" s="199">
        <f>[1]Stoping!Y116</f>
        <v>35</v>
      </c>
      <c r="Z102" s="199">
        <f>[1]Stoping!Z116</f>
        <v>35</v>
      </c>
      <c r="AA102" s="199">
        <f>[1]Stoping!AA116</f>
        <v>35</v>
      </c>
      <c r="AB102" s="199">
        <f>[1]Stoping!AB116</f>
        <v>35</v>
      </c>
      <c r="AC102" s="199">
        <f>[1]Stoping!AC116</f>
        <v>35</v>
      </c>
      <c r="AD102" s="199">
        <f>[1]Stoping!AD116</f>
        <v>35</v>
      </c>
      <c r="AE102" s="199">
        <f>[1]Stoping!AE116</f>
        <v>35</v>
      </c>
      <c r="AF102" s="199">
        <f>[1]Stoping!AF116</f>
        <v>35</v>
      </c>
      <c r="AG102" s="199">
        <f>[1]Stoping!AG116</f>
        <v>35</v>
      </c>
      <c r="AH102" s="199">
        <f>[1]Stoping!AH116</f>
        <v>35</v>
      </c>
      <c r="AI102" s="199">
        <f>[1]Stoping!AI116</f>
        <v>35</v>
      </c>
      <c r="AJ102" s="199">
        <f>[1]Stoping!AJ116</f>
        <v>35</v>
      </c>
      <c r="AK102" s="199">
        <f>[1]Stoping!AK116</f>
        <v>35</v>
      </c>
      <c r="AL102" s="201">
        <f>[1]Stoping!AL109</f>
        <v>70</v>
      </c>
      <c r="AM102" s="1072"/>
    </row>
    <row r="103" spans="2:39" x14ac:dyDescent="0.25">
      <c r="B103" s="1607"/>
      <c r="C103" s="1662"/>
      <c r="D103" s="1610"/>
      <c r="E103" s="1302" t="s">
        <v>342</v>
      </c>
      <c r="F103" s="1303">
        <f t="shared" si="63"/>
        <v>232.5</v>
      </c>
      <c r="G103" s="1304">
        <f t="shared" ref="G103" si="66">IFERROR((F103-F102)/F102,0)</f>
        <v>-0.5848214285714286</v>
      </c>
      <c r="H103" s="1305"/>
      <c r="I103" s="1303"/>
      <c r="J103" s="1303"/>
      <c r="K103" s="1303"/>
      <c r="L103" s="1303"/>
      <c r="M103" s="1303"/>
      <c r="N103" s="1303"/>
      <c r="O103" s="1303"/>
      <c r="P103" s="1303"/>
      <c r="Q103" s="1303">
        <v>24</v>
      </c>
      <c r="R103" s="1303"/>
      <c r="S103" s="1303">
        <v>53</v>
      </c>
      <c r="T103" s="1303">
        <f>21+25</f>
        <v>46</v>
      </c>
      <c r="U103" s="1080">
        <f>(22.5+9)</f>
        <v>31.5</v>
      </c>
      <c r="V103" s="1303">
        <v>30</v>
      </c>
      <c r="W103" s="1303">
        <f>40.5+7.5</f>
        <v>48</v>
      </c>
      <c r="X103" s="1303"/>
      <c r="Y103" s="1303"/>
      <c r="Z103" s="1303"/>
      <c r="AA103" s="1303"/>
      <c r="AB103" s="1303"/>
      <c r="AC103" s="1303"/>
      <c r="AD103" s="1303"/>
      <c r="AE103" s="1303"/>
      <c r="AF103" s="1303"/>
      <c r="AG103" s="1303"/>
      <c r="AH103" s="1303"/>
      <c r="AI103" s="1303"/>
      <c r="AJ103" s="1303"/>
      <c r="AK103" s="1303"/>
      <c r="AL103" s="1303"/>
      <c r="AM103" s="1074"/>
    </row>
    <row r="104" spans="2:39" x14ac:dyDescent="0.25">
      <c r="B104" s="1607"/>
      <c r="C104" s="1662"/>
      <c r="D104" s="1610"/>
      <c r="E104" s="1324" t="s">
        <v>312</v>
      </c>
      <c r="F104" s="1307"/>
      <c r="G104" s="1308"/>
      <c r="H104" s="1075"/>
      <c r="I104" s="1075"/>
      <c r="J104" s="1075"/>
      <c r="K104" s="1075"/>
      <c r="L104" s="1075"/>
      <c r="M104" s="1075"/>
      <c r="N104" s="1075"/>
      <c r="O104" s="1075"/>
      <c r="P104" s="1076"/>
      <c r="Q104" s="1075"/>
      <c r="R104" s="1075"/>
      <c r="S104" s="1075"/>
      <c r="T104" s="1075"/>
      <c r="U104" s="1075"/>
      <c r="V104" s="1075"/>
      <c r="W104" s="1075"/>
      <c r="X104" s="1075"/>
      <c r="Y104" s="1075"/>
      <c r="Z104" s="1075"/>
      <c r="AA104" s="1075"/>
      <c r="AB104" s="1075"/>
      <c r="AC104" s="1075"/>
      <c r="AD104" s="1075"/>
      <c r="AE104" s="1075"/>
      <c r="AF104" s="1075"/>
      <c r="AG104" s="1075"/>
      <c r="AH104" s="1075"/>
      <c r="AI104" s="1075"/>
      <c r="AJ104" s="1075"/>
      <c r="AK104" s="1075"/>
      <c r="AL104" s="1077"/>
      <c r="AM104" s="1074"/>
    </row>
    <row r="105" spans="2:39" x14ac:dyDescent="0.25">
      <c r="B105" s="1607"/>
      <c r="C105" s="1662"/>
      <c r="D105" s="1612" t="s">
        <v>343</v>
      </c>
      <c r="E105" s="1309" t="s">
        <v>344</v>
      </c>
      <c r="F105" s="1310">
        <f t="shared" ref="F105:F106" si="67">IFERROR(F107*1000/F102,0)</f>
        <v>2.4626168224299056</v>
      </c>
      <c r="G105" s="1311"/>
      <c r="H105" s="1312">
        <f>[1]Breaking.!D74</f>
        <v>2.4626168224299061</v>
      </c>
      <c r="I105" s="1312">
        <f>[1]Breaking.!E74</f>
        <v>2.4626168224299061</v>
      </c>
      <c r="J105" s="1312">
        <f>[1]Breaking.!F74</f>
        <v>2.4626168224299061</v>
      </c>
      <c r="K105" s="1312">
        <f>[1]Breaking.!G74</f>
        <v>2.4626168224299061</v>
      </c>
      <c r="L105" s="1312">
        <f>[1]Breaking.!H74</f>
        <v>2.4626168224299061</v>
      </c>
      <c r="M105" s="1312">
        <f>[1]Breaking.!I74</f>
        <v>2.4626168224299061</v>
      </c>
      <c r="N105" s="1312">
        <f>[1]Breaking.!J74</f>
        <v>2.4626168224299061</v>
      </c>
      <c r="O105" s="1312">
        <f>[1]Breaking.!K74</f>
        <v>2.4626168224299061</v>
      </c>
      <c r="P105" s="1312">
        <f>[1]Breaking.!L74</f>
        <v>2.4626168224299061</v>
      </c>
      <c r="Q105" s="1312">
        <f>[1]Breaking.!M74</f>
        <v>2.4626168224299061</v>
      </c>
      <c r="R105" s="1312">
        <f>[1]Breaking.!N74</f>
        <v>2.4626168224299061</v>
      </c>
      <c r="S105" s="1312">
        <f>[1]Breaking.!O74</f>
        <v>2.4626168224299061</v>
      </c>
      <c r="T105" s="1312">
        <f>[1]Breaking.!P74</f>
        <v>2.4626168224299061</v>
      </c>
      <c r="U105" s="1312">
        <f>[1]Breaking.!Q74</f>
        <v>2.4626168224299061</v>
      </c>
      <c r="V105" s="1312">
        <f>[1]Breaking.!R74</f>
        <v>2.4626168224299061</v>
      </c>
      <c r="W105" s="1312">
        <f>[1]Breaking.!S74</f>
        <v>2.4626168224299061</v>
      </c>
      <c r="X105" s="1312">
        <f>[1]Breaking.!T74</f>
        <v>2.4626168224299061</v>
      </c>
      <c r="Y105" s="1312">
        <f>[1]Breaking.!U74</f>
        <v>2.4626168224299061</v>
      </c>
      <c r="Z105" s="1312">
        <f>[1]Breaking.!V74</f>
        <v>2.4626168224299061</v>
      </c>
      <c r="AA105" s="1312">
        <f>[1]Breaking.!W74</f>
        <v>2.4626168224299061</v>
      </c>
      <c r="AB105" s="1312">
        <f>[1]Breaking.!X74</f>
        <v>2.4626168224299061</v>
      </c>
      <c r="AC105" s="1312">
        <f>[1]Breaking.!Y74</f>
        <v>2.4626168224299061</v>
      </c>
      <c r="AD105" s="1312">
        <f>[1]Breaking.!Z74</f>
        <v>2.4626168224299061</v>
      </c>
      <c r="AE105" s="1312">
        <f>[1]Breaking.!AA74</f>
        <v>2.4626168224299061</v>
      </c>
      <c r="AF105" s="1312">
        <f>[1]Breaking.!AB74</f>
        <v>2.4626168224299061</v>
      </c>
      <c r="AG105" s="1312">
        <f>[1]Breaking.!AC74</f>
        <v>2.4626168224299061</v>
      </c>
      <c r="AH105" s="1312">
        <f>[1]Breaking.!AD74</f>
        <v>2.4626168224299061</v>
      </c>
      <c r="AI105" s="1312">
        <f>[1]Breaking.!AE74</f>
        <v>2.4626168224299061</v>
      </c>
      <c r="AJ105" s="1312">
        <f>[1]Breaking.!AF74</f>
        <v>2.4626168224299061</v>
      </c>
      <c r="AK105" s="1312">
        <f>[1]Breaking.!AG74</f>
        <v>2.4626168224299061</v>
      </c>
      <c r="AL105" s="1312">
        <f>[1]Breaking.!AH74</f>
        <v>2.4626168224299061</v>
      </c>
      <c r="AM105" s="1074"/>
    </row>
    <row r="106" spans="2:39" x14ac:dyDescent="0.25">
      <c r="B106" s="1607"/>
      <c r="C106" s="1662"/>
      <c r="D106" s="1664"/>
      <c r="E106" s="1313" t="s">
        <v>345</v>
      </c>
      <c r="F106" s="1314">
        <f t="shared" si="67"/>
        <v>2.42847311827957</v>
      </c>
      <c r="G106" s="1304">
        <f t="shared" ref="G106" si="68">IFERROR((F106-F105)/F105,0)</f>
        <v>-1.3864805859908591E-2</v>
      </c>
      <c r="H106" s="1315"/>
      <c r="I106" s="1314"/>
      <c r="J106" s="1314"/>
      <c r="K106" s="1314"/>
      <c r="L106" s="1314"/>
      <c r="M106" s="1314"/>
      <c r="N106" s="1314"/>
      <c r="O106" s="1314"/>
      <c r="P106" s="1314"/>
      <c r="Q106" s="1314">
        <v>4.33</v>
      </c>
      <c r="R106" s="1314"/>
      <c r="S106" s="1314">
        <v>3.18</v>
      </c>
      <c r="T106" s="1314">
        <v>3.62</v>
      </c>
      <c r="U106" s="1314">
        <v>3.16</v>
      </c>
      <c r="V106" s="1314">
        <v>0.87</v>
      </c>
      <c r="W106" s="1314"/>
      <c r="X106" s="1314"/>
      <c r="Y106" s="1314"/>
      <c r="Z106" s="1314"/>
      <c r="AA106" s="1314"/>
      <c r="AB106" s="1314"/>
      <c r="AC106" s="1314"/>
      <c r="AD106" s="1314"/>
      <c r="AE106" s="1314"/>
      <c r="AF106" s="1314"/>
      <c r="AG106" s="1314"/>
      <c r="AH106" s="1314"/>
      <c r="AI106" s="1314"/>
      <c r="AJ106" s="1314"/>
      <c r="AK106" s="1314"/>
      <c r="AL106" s="1314"/>
      <c r="AM106" s="1074"/>
    </row>
    <row r="107" spans="2:39" x14ac:dyDescent="0.25">
      <c r="B107" s="1607"/>
      <c r="C107" s="1662"/>
      <c r="D107" s="1612" t="s">
        <v>47</v>
      </c>
      <c r="E107" s="1309" t="s">
        <v>346</v>
      </c>
      <c r="F107" s="206">
        <f t="shared" ref="F107:F110" si="69">SUMIF($H$9:$AL$9,"&lt;="&amp;$C$7,H107:AL107)</f>
        <v>1.3790654205607471</v>
      </c>
      <c r="G107" s="1311"/>
      <c r="H107" s="1316">
        <f>+H105*H102/1000</f>
        <v>8.6191588785046722E-2</v>
      </c>
      <c r="I107" s="1316">
        <f t="shared" ref="I107:AL108" si="70">+I105*I102/1000</f>
        <v>8.6191588785046722E-2</v>
      </c>
      <c r="J107" s="1316">
        <f t="shared" si="70"/>
        <v>8.6191588785046722E-2</v>
      </c>
      <c r="K107" s="1316">
        <f t="shared" si="70"/>
        <v>8.6191588785046722E-2</v>
      </c>
      <c r="L107" s="1316">
        <f t="shared" si="70"/>
        <v>8.6191588785046722E-2</v>
      </c>
      <c r="M107" s="1316">
        <f t="shared" si="70"/>
        <v>8.6191588785046722E-2</v>
      </c>
      <c r="N107" s="1316">
        <f t="shared" si="70"/>
        <v>8.6191588785046722E-2</v>
      </c>
      <c r="O107" s="1316">
        <f t="shared" si="70"/>
        <v>8.6191588785046722E-2</v>
      </c>
      <c r="P107" s="1316">
        <f t="shared" si="70"/>
        <v>8.6191588785046722E-2</v>
      </c>
      <c r="Q107" s="1316">
        <f t="shared" si="70"/>
        <v>8.6191588785046722E-2</v>
      </c>
      <c r="R107" s="1316">
        <f t="shared" si="70"/>
        <v>8.6191588785046722E-2</v>
      </c>
      <c r="S107" s="1316">
        <f t="shared" si="70"/>
        <v>8.6191588785046722E-2</v>
      </c>
      <c r="T107" s="1316">
        <f t="shared" si="70"/>
        <v>8.6191588785046722E-2</v>
      </c>
      <c r="U107" s="1316">
        <f t="shared" si="70"/>
        <v>8.6191588785046722E-2</v>
      </c>
      <c r="V107" s="1316">
        <f t="shared" si="70"/>
        <v>8.6191588785046722E-2</v>
      </c>
      <c r="W107" s="1316">
        <f t="shared" si="70"/>
        <v>8.6191588785046722E-2</v>
      </c>
      <c r="X107" s="1316">
        <f t="shared" si="70"/>
        <v>8.6191588785046722E-2</v>
      </c>
      <c r="Y107" s="1316">
        <f t="shared" si="70"/>
        <v>8.6191588785046722E-2</v>
      </c>
      <c r="Z107" s="1316">
        <f t="shared" si="70"/>
        <v>8.6191588785046722E-2</v>
      </c>
      <c r="AA107" s="1316">
        <f t="shared" si="70"/>
        <v>8.6191588785046722E-2</v>
      </c>
      <c r="AB107" s="1316">
        <f t="shared" si="70"/>
        <v>8.6191588785046722E-2</v>
      </c>
      <c r="AC107" s="1316">
        <f t="shared" si="70"/>
        <v>8.6191588785046722E-2</v>
      </c>
      <c r="AD107" s="1316">
        <f t="shared" si="70"/>
        <v>8.6191588785046722E-2</v>
      </c>
      <c r="AE107" s="1316">
        <f t="shared" si="70"/>
        <v>8.6191588785046722E-2</v>
      </c>
      <c r="AF107" s="1316">
        <f t="shared" si="70"/>
        <v>8.6191588785046722E-2</v>
      </c>
      <c r="AG107" s="1316">
        <f t="shared" si="70"/>
        <v>8.6191588785046722E-2</v>
      </c>
      <c r="AH107" s="1316">
        <f>+AH105*AH102/1000</f>
        <v>8.6191588785046722E-2</v>
      </c>
      <c r="AI107" s="1316">
        <f t="shared" si="70"/>
        <v>8.6191588785046722E-2</v>
      </c>
      <c r="AJ107" s="1316">
        <f t="shared" si="70"/>
        <v>8.6191588785046722E-2</v>
      </c>
      <c r="AK107" s="1316">
        <f t="shared" si="70"/>
        <v>8.6191588785046722E-2</v>
      </c>
      <c r="AL107" s="1316">
        <f t="shared" si="70"/>
        <v>0.17238317757009344</v>
      </c>
      <c r="AM107" s="1078"/>
    </row>
    <row r="108" spans="2:39" ht="14.25" thickBot="1" x14ac:dyDescent="0.3">
      <c r="B108" s="1660"/>
      <c r="C108" s="1663"/>
      <c r="D108" s="1665"/>
      <c r="E108" s="1320" t="s">
        <v>347</v>
      </c>
      <c r="F108" s="1321">
        <f t="shared" si="69"/>
        <v>0.56462000000000001</v>
      </c>
      <c r="G108" s="1322">
        <f t="shared" ref="G108" si="71">IFERROR((F108-F107)/F107,0)</f>
        <v>-0.59057779886147987</v>
      </c>
      <c r="H108" s="1323">
        <f>+H106*H103/1000</f>
        <v>0</v>
      </c>
      <c r="I108" s="1323">
        <f t="shared" si="70"/>
        <v>0</v>
      </c>
      <c r="J108" s="1323">
        <f t="shared" si="70"/>
        <v>0</v>
      </c>
      <c r="K108" s="1323">
        <f t="shared" si="70"/>
        <v>0</v>
      </c>
      <c r="L108" s="1323">
        <f t="shared" si="70"/>
        <v>0</v>
      </c>
      <c r="M108" s="1323">
        <f t="shared" si="70"/>
        <v>0</v>
      </c>
      <c r="N108" s="1323">
        <f t="shared" si="70"/>
        <v>0</v>
      </c>
      <c r="O108" s="1323">
        <f t="shared" si="70"/>
        <v>0</v>
      </c>
      <c r="P108" s="1323">
        <f t="shared" si="70"/>
        <v>0</v>
      </c>
      <c r="Q108" s="1323">
        <f t="shared" si="70"/>
        <v>0.10392</v>
      </c>
      <c r="R108" s="1323">
        <f t="shared" si="70"/>
        <v>0</v>
      </c>
      <c r="S108" s="1323">
        <f t="shared" si="70"/>
        <v>0.16854000000000002</v>
      </c>
      <c r="T108" s="1323">
        <f t="shared" si="70"/>
        <v>0.16652</v>
      </c>
      <c r="U108" s="1323">
        <f t="shared" si="70"/>
        <v>9.9540000000000003E-2</v>
      </c>
      <c r="V108" s="1323">
        <f t="shared" si="70"/>
        <v>2.6100000000000002E-2</v>
      </c>
      <c r="W108" s="1323">
        <f t="shared" si="70"/>
        <v>0</v>
      </c>
      <c r="X108" s="1323">
        <f t="shared" si="70"/>
        <v>0</v>
      </c>
      <c r="Y108" s="1323">
        <f t="shared" si="70"/>
        <v>0</v>
      </c>
      <c r="Z108" s="1323">
        <f t="shared" si="70"/>
        <v>0</v>
      </c>
      <c r="AA108" s="1323">
        <f t="shared" si="70"/>
        <v>0</v>
      </c>
      <c r="AB108" s="1323">
        <f t="shared" si="70"/>
        <v>0</v>
      </c>
      <c r="AC108" s="1323">
        <f t="shared" si="70"/>
        <v>0</v>
      </c>
      <c r="AD108" s="1323">
        <f t="shared" si="70"/>
        <v>0</v>
      </c>
      <c r="AE108" s="1323">
        <f t="shared" si="70"/>
        <v>0</v>
      </c>
      <c r="AF108" s="1323">
        <f t="shared" si="70"/>
        <v>0</v>
      </c>
      <c r="AG108" s="1323">
        <f t="shared" si="70"/>
        <v>0</v>
      </c>
      <c r="AH108" s="1323">
        <f t="shared" si="70"/>
        <v>0</v>
      </c>
      <c r="AI108" s="1323">
        <f t="shared" si="70"/>
        <v>0</v>
      </c>
      <c r="AJ108" s="1323">
        <f t="shared" si="70"/>
        <v>0</v>
      </c>
      <c r="AK108" s="1323">
        <f t="shared" si="70"/>
        <v>0</v>
      </c>
      <c r="AL108" s="1323">
        <f t="shared" si="70"/>
        <v>0</v>
      </c>
      <c r="AM108" s="1079"/>
    </row>
    <row r="109" spans="2:39" s="1069" customFormat="1" ht="14.85" customHeight="1" x14ac:dyDescent="0.25">
      <c r="B109" s="1608">
        <v>1</v>
      </c>
      <c r="C109" s="1661" t="str">
        <f>[1]Stoping!C123</f>
        <v>6L_W14 STOPE</v>
      </c>
      <c r="D109" s="1611" t="s">
        <v>340</v>
      </c>
      <c r="E109" s="1070" t="s">
        <v>341</v>
      </c>
      <c r="F109" s="196">
        <f t="shared" si="69"/>
        <v>1120</v>
      </c>
      <c r="G109" s="1071"/>
      <c r="H109" s="198">
        <f>[1]Stoping!H123</f>
        <v>70</v>
      </c>
      <c r="I109" s="198">
        <f>[1]Stoping!I123</f>
        <v>70</v>
      </c>
      <c r="J109" s="198">
        <f>[1]Stoping!J123</f>
        <v>70</v>
      </c>
      <c r="K109" s="199">
        <f>[1]Stoping!K123</f>
        <v>70</v>
      </c>
      <c r="L109" s="199">
        <f>[1]Stoping!L123</f>
        <v>70</v>
      </c>
      <c r="M109" s="199">
        <f>[1]Stoping!M123</f>
        <v>70</v>
      </c>
      <c r="N109" s="199">
        <f>[1]Stoping!N123</f>
        <v>70</v>
      </c>
      <c r="O109" s="199">
        <f>[1]Stoping!O123</f>
        <v>70</v>
      </c>
      <c r="P109" s="200">
        <f>[1]Stoping!P123</f>
        <v>70</v>
      </c>
      <c r="Q109" s="199">
        <f>[1]Stoping!Q123</f>
        <v>70</v>
      </c>
      <c r="R109" s="199">
        <f>[1]Stoping!R123</f>
        <v>70</v>
      </c>
      <c r="S109" s="199">
        <f>[1]Stoping!S123</f>
        <v>70</v>
      </c>
      <c r="T109" s="199">
        <f>[1]Stoping!T123</f>
        <v>70</v>
      </c>
      <c r="U109" s="199">
        <f>[1]Stoping!U123</f>
        <v>70</v>
      </c>
      <c r="V109" s="199">
        <f>[1]Stoping!V123</f>
        <v>70</v>
      </c>
      <c r="W109" s="199">
        <f>[1]Stoping!W123</f>
        <v>70</v>
      </c>
      <c r="X109" s="199">
        <f>[1]Stoping!X123</f>
        <v>70</v>
      </c>
      <c r="Y109" s="199">
        <f>[1]Stoping!Y123</f>
        <v>70</v>
      </c>
      <c r="Z109" s="199">
        <f>[1]Stoping!Z123</f>
        <v>70</v>
      </c>
      <c r="AA109" s="199">
        <f>[1]Stoping!AA123</f>
        <v>70</v>
      </c>
      <c r="AB109" s="199">
        <f>[1]Stoping!AB123</f>
        <v>70</v>
      </c>
      <c r="AC109" s="199">
        <f>[1]Stoping!AC123</f>
        <v>70</v>
      </c>
      <c r="AD109" s="199">
        <f>[1]Stoping!AD123</f>
        <v>70</v>
      </c>
      <c r="AE109" s="199">
        <f>[1]Stoping!AE123</f>
        <v>70</v>
      </c>
      <c r="AF109" s="199">
        <f>[1]Stoping!AF123</f>
        <v>70</v>
      </c>
      <c r="AG109" s="199">
        <f>[1]Stoping!AG123</f>
        <v>70</v>
      </c>
      <c r="AH109" s="199">
        <f>[1]Stoping!AH123</f>
        <v>70</v>
      </c>
      <c r="AI109" s="199">
        <f>[1]Stoping!AI123</f>
        <v>70</v>
      </c>
      <c r="AJ109" s="199">
        <f>[1]Stoping!AJ123</f>
        <v>70</v>
      </c>
      <c r="AK109" s="199">
        <f>[1]Stoping!AK123</f>
        <v>70</v>
      </c>
      <c r="AL109" s="199">
        <f>[1]Stoping!AL123</f>
        <v>70</v>
      </c>
      <c r="AM109" s="1072"/>
    </row>
    <row r="110" spans="2:39" x14ac:dyDescent="0.25">
      <c r="B110" s="1607"/>
      <c r="C110" s="1662"/>
      <c r="D110" s="1610"/>
      <c r="E110" s="1302" t="s">
        <v>342</v>
      </c>
      <c r="F110" s="1303">
        <f t="shared" si="69"/>
        <v>222.5</v>
      </c>
      <c r="G110" s="1304">
        <f t="shared" ref="G110" si="72">IFERROR((F110-F109)/F109,0)</f>
        <v>-0.8013392857142857</v>
      </c>
      <c r="H110" s="1305">
        <v>81</v>
      </c>
      <c r="I110" s="1303">
        <f>60+16.5</f>
        <v>76.5</v>
      </c>
      <c r="J110" s="1303"/>
      <c r="K110" s="1303"/>
      <c r="L110" s="1303"/>
      <c r="M110" s="1303"/>
      <c r="N110" s="1303"/>
      <c r="O110" s="1303"/>
      <c r="P110" s="1303"/>
      <c r="Q110" s="1303"/>
      <c r="R110" s="1303"/>
      <c r="S110" s="1303">
        <v>22</v>
      </c>
      <c r="T110" s="1303">
        <v>43</v>
      </c>
      <c r="U110" s="1303"/>
      <c r="V110" s="1303"/>
      <c r="W110" s="1303"/>
      <c r="X110" s="1303"/>
      <c r="Y110" s="1303"/>
      <c r="Z110" s="1303"/>
      <c r="AA110" s="1303"/>
      <c r="AB110" s="1303"/>
      <c r="AC110" s="1303"/>
      <c r="AD110" s="1303"/>
      <c r="AE110" s="1303"/>
      <c r="AF110" s="1303"/>
      <c r="AG110" s="1303"/>
      <c r="AH110" s="1303"/>
      <c r="AI110" s="1303"/>
      <c r="AJ110" s="1303"/>
      <c r="AK110" s="1303"/>
      <c r="AL110" s="1303"/>
      <c r="AM110" s="1074"/>
    </row>
    <row r="111" spans="2:39" x14ac:dyDescent="0.25">
      <c r="B111" s="1607"/>
      <c r="C111" s="1662"/>
      <c r="D111" s="1610"/>
      <c r="E111" s="1324" t="s">
        <v>312</v>
      </c>
      <c r="F111" s="1307"/>
      <c r="G111" s="1308"/>
      <c r="H111" s="1075"/>
      <c r="I111" s="1075"/>
      <c r="J111" s="1075"/>
      <c r="K111" s="1075"/>
      <c r="L111" s="1075"/>
      <c r="M111" s="1075"/>
      <c r="N111" s="1075"/>
      <c r="O111" s="1075"/>
      <c r="P111" s="1076"/>
      <c r="Q111" s="1075"/>
      <c r="R111" s="1075"/>
      <c r="S111" s="1075"/>
      <c r="T111" s="1075"/>
      <c r="U111" s="1075"/>
      <c r="V111" s="1075"/>
      <c r="W111" s="1075"/>
      <c r="X111" s="1075"/>
      <c r="Y111" s="1075"/>
      <c r="Z111" s="1075"/>
      <c r="AA111" s="1075"/>
      <c r="AB111" s="1075"/>
      <c r="AC111" s="1075"/>
      <c r="AD111" s="1075"/>
      <c r="AE111" s="1075"/>
      <c r="AF111" s="1075"/>
      <c r="AG111" s="1075"/>
      <c r="AH111" s="1075"/>
      <c r="AI111" s="1075"/>
      <c r="AJ111" s="1075"/>
      <c r="AK111" s="1075"/>
      <c r="AL111" s="1077"/>
      <c r="AM111" s="1074"/>
    </row>
    <row r="112" spans="2:39" x14ac:dyDescent="0.25">
      <c r="B112" s="1607"/>
      <c r="C112" s="1662"/>
      <c r="D112" s="1612" t="s">
        <v>343</v>
      </c>
      <c r="E112" s="1309" t="s">
        <v>344</v>
      </c>
      <c r="F112" s="1310">
        <f t="shared" ref="F112:F113" si="73">IFERROR(F114*1000/F109,0)</f>
        <v>1.7476635514018695</v>
      </c>
      <c r="G112" s="1311"/>
      <c r="H112" s="1312">
        <f>[1]Breaking.!D76</f>
        <v>1.7476635514018692</v>
      </c>
      <c r="I112" s="1312">
        <f>[1]Breaking.!E76</f>
        <v>1.7476635514018692</v>
      </c>
      <c r="J112" s="1312">
        <f>[1]Breaking.!F76</f>
        <v>1.7476635514018692</v>
      </c>
      <c r="K112" s="1312">
        <f>[1]Breaking.!G76</f>
        <v>1.7476635514018692</v>
      </c>
      <c r="L112" s="1312">
        <f>[1]Breaking.!H76</f>
        <v>1.7476635514018692</v>
      </c>
      <c r="M112" s="1312">
        <f>[1]Breaking.!I76</f>
        <v>1.7476635514018692</v>
      </c>
      <c r="N112" s="1312">
        <f>[1]Breaking.!J76</f>
        <v>1.7476635514018692</v>
      </c>
      <c r="O112" s="1312">
        <f>[1]Breaking.!K76</f>
        <v>1.7476635514018692</v>
      </c>
      <c r="P112" s="1312">
        <f>[1]Breaking.!L76</f>
        <v>1.7476635514018692</v>
      </c>
      <c r="Q112" s="1312">
        <f>[1]Breaking.!M76</f>
        <v>1.7476635514018692</v>
      </c>
      <c r="R112" s="1312">
        <f>[1]Breaking.!N76</f>
        <v>1.7476635514018692</v>
      </c>
      <c r="S112" s="1312">
        <f>[1]Breaking.!O76</f>
        <v>1.7476635514018692</v>
      </c>
      <c r="T112" s="1312">
        <f>[1]Breaking.!P76</f>
        <v>1.7476635514018692</v>
      </c>
      <c r="U112" s="1312">
        <f>[1]Breaking.!Q76</f>
        <v>1.7476635514018692</v>
      </c>
      <c r="V112" s="1312">
        <f>[1]Breaking.!R76</f>
        <v>1.7476635514018692</v>
      </c>
      <c r="W112" s="1312">
        <f>[1]Breaking.!S76</f>
        <v>1.7476635514018692</v>
      </c>
      <c r="X112" s="1312">
        <f>[1]Breaking.!T76</f>
        <v>1.7476635514018692</v>
      </c>
      <c r="Y112" s="1312">
        <f>[1]Breaking.!U76</f>
        <v>1.7476635514018692</v>
      </c>
      <c r="Z112" s="1312">
        <f>[1]Breaking.!V76</f>
        <v>1.7476635514018692</v>
      </c>
      <c r="AA112" s="1312">
        <f>[1]Breaking.!W76</f>
        <v>1.7476635514018692</v>
      </c>
      <c r="AB112" s="1312">
        <f>[1]Breaking.!X76</f>
        <v>1.7476635514018692</v>
      </c>
      <c r="AC112" s="1312">
        <f>[1]Breaking.!Y76</f>
        <v>1.7476635514018692</v>
      </c>
      <c r="AD112" s="1312">
        <f>[1]Breaking.!Z76</f>
        <v>1.7476635514018692</v>
      </c>
      <c r="AE112" s="1312">
        <f>[1]Breaking.!AA76</f>
        <v>1.7476635514018692</v>
      </c>
      <c r="AF112" s="1312">
        <f>[1]Breaking.!AB76</f>
        <v>1.7476635514018692</v>
      </c>
      <c r="AG112" s="1312">
        <f>[1]Breaking.!AC76</f>
        <v>1.7476635514018692</v>
      </c>
      <c r="AH112" s="1312">
        <f>[1]Breaking.!AD76</f>
        <v>1.7476635514018692</v>
      </c>
      <c r="AI112" s="1312">
        <f>[1]Breaking.!AE76</f>
        <v>1.7476635514018692</v>
      </c>
      <c r="AJ112" s="1312">
        <f>[1]Breaking.!AF76</f>
        <v>1.7476635514018692</v>
      </c>
      <c r="AK112" s="1312">
        <f>[1]Breaking.!AG76</f>
        <v>1.7476635514018692</v>
      </c>
      <c r="AL112" s="1312">
        <f>[1]Breaking.!AH76</f>
        <v>1.7476635514018692</v>
      </c>
      <c r="AM112" s="1074"/>
    </row>
    <row r="113" spans="2:39" x14ac:dyDescent="0.25">
      <c r="B113" s="1607"/>
      <c r="C113" s="1662"/>
      <c r="D113" s="1664"/>
      <c r="E113" s="1313" t="s">
        <v>345</v>
      </c>
      <c r="F113" s="1314">
        <f t="shared" si="73"/>
        <v>1.1133483146067416</v>
      </c>
      <c r="G113" s="1304">
        <f t="shared" ref="G113" si="74">IFERROR((F113-F112)/F112,0)</f>
        <v>-0.36295042961004637</v>
      </c>
      <c r="H113" s="1315">
        <v>0.53</v>
      </c>
      <c r="I113" s="1314">
        <v>0.22</v>
      </c>
      <c r="J113" s="1314"/>
      <c r="K113" s="1314"/>
      <c r="L113" s="1314"/>
      <c r="M113" s="1314"/>
      <c r="N113" s="1314"/>
      <c r="O113" s="1314"/>
      <c r="P113" s="1314"/>
      <c r="Q113" s="1314"/>
      <c r="R113" s="1314"/>
      <c r="S113" s="1314">
        <v>2.68</v>
      </c>
      <c r="T113" s="1314">
        <v>3</v>
      </c>
      <c r="U113" s="1314"/>
      <c r="V113" s="1314"/>
      <c r="W113" s="1314"/>
      <c r="X113" s="1314"/>
      <c r="Y113" s="1314"/>
      <c r="Z113" s="1314"/>
      <c r="AA113" s="1314"/>
      <c r="AB113" s="1314"/>
      <c r="AC113" s="1314"/>
      <c r="AD113" s="1314"/>
      <c r="AE113" s="1314"/>
      <c r="AF113" s="1314"/>
      <c r="AG113" s="1314"/>
      <c r="AH113" s="1314"/>
      <c r="AI113" s="1314"/>
      <c r="AJ113" s="1314"/>
      <c r="AK113" s="1314"/>
      <c r="AL113" s="1314"/>
      <c r="AM113" s="1074"/>
    </row>
    <row r="114" spans="2:39" x14ac:dyDescent="0.25">
      <c r="B114" s="1607"/>
      <c r="C114" s="1662"/>
      <c r="D114" s="1612" t="s">
        <v>47</v>
      </c>
      <c r="E114" s="1309" t="s">
        <v>346</v>
      </c>
      <c r="F114" s="206">
        <f t="shared" ref="F114:F117" si="75">SUMIF($H$9:$AL$9,"&lt;="&amp;$C$7,H114:AL114)</f>
        <v>1.9573831775700936</v>
      </c>
      <c r="G114" s="1311"/>
      <c r="H114" s="1316">
        <f>+H112*H109/1000</f>
        <v>0.12233644859813084</v>
      </c>
      <c r="I114" s="1316">
        <f t="shared" ref="I114:AG115" si="76">+I112*I109/1000</f>
        <v>0.12233644859813084</v>
      </c>
      <c r="J114" s="1316">
        <f t="shared" si="76"/>
        <v>0.12233644859813084</v>
      </c>
      <c r="K114" s="1316">
        <f t="shared" si="76"/>
        <v>0.12233644859813084</v>
      </c>
      <c r="L114" s="1316">
        <f t="shared" si="76"/>
        <v>0.12233644859813084</v>
      </c>
      <c r="M114" s="1316">
        <f t="shared" si="76"/>
        <v>0.12233644859813084</v>
      </c>
      <c r="N114" s="1316">
        <f t="shared" si="76"/>
        <v>0.12233644859813084</v>
      </c>
      <c r="O114" s="1316">
        <f t="shared" si="76"/>
        <v>0.12233644859813084</v>
      </c>
      <c r="P114" s="1316">
        <f t="shared" si="76"/>
        <v>0.12233644859813084</v>
      </c>
      <c r="Q114" s="1316">
        <f t="shared" si="76"/>
        <v>0.12233644859813084</v>
      </c>
      <c r="R114" s="1316">
        <f t="shared" si="76"/>
        <v>0.12233644859813084</v>
      </c>
      <c r="S114" s="1316">
        <f t="shared" si="76"/>
        <v>0.12233644859813084</v>
      </c>
      <c r="T114" s="1316">
        <f t="shared" si="76"/>
        <v>0.12233644859813084</v>
      </c>
      <c r="U114" s="1316">
        <f t="shared" si="76"/>
        <v>0.12233644859813084</v>
      </c>
      <c r="V114" s="1316">
        <f t="shared" si="76"/>
        <v>0.12233644859813084</v>
      </c>
      <c r="W114" s="1316">
        <f t="shared" si="76"/>
        <v>0.12233644859813084</v>
      </c>
      <c r="X114" s="1316">
        <f t="shared" si="76"/>
        <v>0.12233644859813084</v>
      </c>
      <c r="Y114" s="1316">
        <f t="shared" si="76"/>
        <v>0.12233644859813084</v>
      </c>
      <c r="Z114" s="1316">
        <f t="shared" si="76"/>
        <v>0.12233644859813084</v>
      </c>
      <c r="AA114" s="1316">
        <f t="shared" si="76"/>
        <v>0.12233644859813084</v>
      </c>
      <c r="AB114" s="1316">
        <f t="shared" si="76"/>
        <v>0.12233644859813084</v>
      </c>
      <c r="AC114" s="1316">
        <f t="shared" si="76"/>
        <v>0.12233644859813084</v>
      </c>
      <c r="AD114" s="1316">
        <f t="shared" si="76"/>
        <v>0.12233644859813084</v>
      </c>
      <c r="AE114" s="1316">
        <f t="shared" si="76"/>
        <v>0.12233644859813084</v>
      </c>
      <c r="AF114" s="1316">
        <f t="shared" si="76"/>
        <v>0.12233644859813084</v>
      </c>
      <c r="AG114" s="1316">
        <f t="shared" si="76"/>
        <v>0.12233644859813084</v>
      </c>
      <c r="AH114" s="1316">
        <f>+AH112*AH109/1000</f>
        <v>0.12233644859813084</v>
      </c>
      <c r="AI114" s="1316">
        <f t="shared" ref="AI114:AJ114" si="77">+AI112*AI109/1000</f>
        <v>0.12233644859813084</v>
      </c>
      <c r="AJ114" s="1316">
        <f t="shared" si="77"/>
        <v>0.12233644859813084</v>
      </c>
      <c r="AK114" s="1316">
        <f>+AK112*AK109/1000</f>
        <v>0.12233644859813084</v>
      </c>
      <c r="AL114" s="1316">
        <f>+AL112*AL109/1000</f>
        <v>0.12233644859813084</v>
      </c>
      <c r="AM114" s="1078"/>
    </row>
    <row r="115" spans="2:39" ht="14.25" thickBot="1" x14ac:dyDescent="0.3">
      <c r="B115" s="1660"/>
      <c r="C115" s="1663"/>
      <c r="D115" s="1665"/>
      <c r="E115" s="1320" t="s">
        <v>347</v>
      </c>
      <c r="F115" s="1321">
        <f t="shared" si="75"/>
        <v>0.24772</v>
      </c>
      <c r="G115" s="1322">
        <f t="shared" ref="G115" si="78">IFERROR((F115-F114)/F114,0)</f>
        <v>-0.87344327731092442</v>
      </c>
      <c r="H115" s="1323">
        <f>+H113*H110/1000</f>
        <v>4.2930000000000003E-2</v>
      </c>
      <c r="I115" s="1323">
        <f t="shared" si="76"/>
        <v>1.6830000000000001E-2</v>
      </c>
      <c r="J115" s="1323">
        <f t="shared" si="76"/>
        <v>0</v>
      </c>
      <c r="K115" s="1323">
        <f t="shared" si="76"/>
        <v>0</v>
      </c>
      <c r="L115" s="1323">
        <f t="shared" si="76"/>
        <v>0</v>
      </c>
      <c r="M115" s="1323">
        <f t="shared" si="76"/>
        <v>0</v>
      </c>
      <c r="N115" s="1323">
        <f t="shared" si="76"/>
        <v>0</v>
      </c>
      <c r="O115" s="1323">
        <f t="shared" si="76"/>
        <v>0</v>
      </c>
      <c r="P115" s="1323">
        <f t="shared" si="76"/>
        <v>0</v>
      </c>
      <c r="Q115" s="1323">
        <f t="shared" si="76"/>
        <v>0</v>
      </c>
      <c r="R115" s="1323">
        <f t="shared" si="76"/>
        <v>0</v>
      </c>
      <c r="S115" s="1323">
        <f t="shared" si="76"/>
        <v>5.8959999999999999E-2</v>
      </c>
      <c r="T115" s="1323">
        <f t="shared" si="76"/>
        <v>0.129</v>
      </c>
      <c r="U115" s="1323">
        <f t="shared" si="76"/>
        <v>0</v>
      </c>
      <c r="V115" s="1323">
        <f t="shared" si="76"/>
        <v>0</v>
      </c>
      <c r="W115" s="1323">
        <f t="shared" si="76"/>
        <v>0</v>
      </c>
      <c r="X115" s="1323">
        <f t="shared" si="76"/>
        <v>0</v>
      </c>
      <c r="Y115" s="1323">
        <f t="shared" si="76"/>
        <v>0</v>
      </c>
      <c r="Z115" s="1323">
        <f t="shared" si="76"/>
        <v>0</v>
      </c>
      <c r="AA115" s="1323">
        <f t="shared" si="76"/>
        <v>0</v>
      </c>
      <c r="AB115" s="1323">
        <f t="shared" si="76"/>
        <v>0</v>
      </c>
      <c r="AC115" s="1323">
        <f t="shared" si="76"/>
        <v>0</v>
      </c>
      <c r="AD115" s="1323">
        <f t="shared" si="76"/>
        <v>0</v>
      </c>
      <c r="AE115" s="1323">
        <f t="shared" si="76"/>
        <v>0</v>
      </c>
      <c r="AF115" s="1323">
        <f t="shared" si="76"/>
        <v>0</v>
      </c>
      <c r="AG115" s="1323">
        <f t="shared" si="76"/>
        <v>0</v>
      </c>
      <c r="AH115" s="1323">
        <f t="shared" ref="AH115:AL115" si="79">+AH113*AH110/1000</f>
        <v>0</v>
      </c>
      <c r="AI115" s="1323">
        <f t="shared" si="79"/>
        <v>0</v>
      </c>
      <c r="AJ115" s="1323">
        <f t="shared" si="79"/>
        <v>0</v>
      </c>
      <c r="AK115" s="1323">
        <f t="shared" si="79"/>
        <v>0</v>
      </c>
      <c r="AL115" s="1323">
        <f t="shared" si="79"/>
        <v>0</v>
      </c>
      <c r="AM115" s="1079"/>
    </row>
    <row r="116" spans="2:39" s="1069" customFormat="1" ht="14.85" customHeight="1" x14ac:dyDescent="0.25">
      <c r="B116" s="1608">
        <v>1</v>
      </c>
      <c r="C116" s="1661" t="str">
        <f>[1]Stoping!C130</f>
        <v>6L_W15_STOPE</v>
      </c>
      <c r="D116" s="1611" t="s">
        <v>340</v>
      </c>
      <c r="E116" s="1070" t="s">
        <v>341</v>
      </c>
      <c r="F116" s="196">
        <f t="shared" si="75"/>
        <v>1120</v>
      </c>
      <c r="G116" s="1071"/>
      <c r="H116" s="198">
        <f>[1]Stoping!H130</f>
        <v>70</v>
      </c>
      <c r="I116" s="198">
        <f>[1]Stoping!I130</f>
        <v>70</v>
      </c>
      <c r="J116" s="198">
        <f>[1]Stoping!J130</f>
        <v>70</v>
      </c>
      <c r="K116" s="199">
        <f>[1]Stoping!K130</f>
        <v>70</v>
      </c>
      <c r="L116" s="199">
        <f>[1]Stoping!L130</f>
        <v>70</v>
      </c>
      <c r="M116" s="199">
        <f>[1]Stoping!M130</f>
        <v>70</v>
      </c>
      <c r="N116" s="199">
        <f>[1]Stoping!N130</f>
        <v>70</v>
      </c>
      <c r="O116" s="199">
        <f>[1]Stoping!O130</f>
        <v>70</v>
      </c>
      <c r="P116" s="200">
        <f>[1]Stoping!P130</f>
        <v>70</v>
      </c>
      <c r="Q116" s="199">
        <f>[1]Stoping!Q130</f>
        <v>70</v>
      </c>
      <c r="R116" s="199">
        <f>[1]Stoping!R130</f>
        <v>70</v>
      </c>
      <c r="S116" s="199">
        <f>[1]Stoping!S130</f>
        <v>70</v>
      </c>
      <c r="T116" s="199">
        <f>[1]Stoping!T130</f>
        <v>70</v>
      </c>
      <c r="U116" s="199">
        <f>[1]Stoping!U130</f>
        <v>70</v>
      </c>
      <c r="V116" s="199">
        <f>[1]Stoping!V130</f>
        <v>70</v>
      </c>
      <c r="W116" s="199">
        <f>[1]Stoping!W130</f>
        <v>70</v>
      </c>
      <c r="X116" s="199">
        <f>[1]Stoping!X130</f>
        <v>70</v>
      </c>
      <c r="Y116" s="199">
        <f>[1]Stoping!Y130</f>
        <v>70</v>
      </c>
      <c r="Z116" s="199">
        <f>[1]Stoping!Z130</f>
        <v>70</v>
      </c>
      <c r="AA116" s="199">
        <f>[1]Stoping!AA130</f>
        <v>70</v>
      </c>
      <c r="AB116" s="199">
        <f>[1]Stoping!AB130</f>
        <v>70</v>
      </c>
      <c r="AC116" s="199">
        <f>[1]Stoping!AC130</f>
        <v>70</v>
      </c>
      <c r="AD116" s="199">
        <f>[1]Stoping!AD130</f>
        <v>70</v>
      </c>
      <c r="AE116" s="199">
        <f>[1]Stoping!AE130</f>
        <v>70</v>
      </c>
      <c r="AF116" s="199">
        <f>[1]Stoping!AF130</f>
        <v>70</v>
      </c>
      <c r="AG116" s="199">
        <f>[1]Stoping!AG130</f>
        <v>70</v>
      </c>
      <c r="AH116" s="199">
        <f>[1]Stoping!AH130</f>
        <v>70</v>
      </c>
      <c r="AI116" s="199">
        <f>[1]Stoping!AI130</f>
        <v>70</v>
      </c>
      <c r="AJ116" s="199">
        <f>[1]Stoping!AJ130</f>
        <v>70</v>
      </c>
      <c r="AK116" s="199">
        <f>[1]Stoping!AK130</f>
        <v>70</v>
      </c>
      <c r="AL116" s="201">
        <f>[1]Stoping!AL123</f>
        <v>70</v>
      </c>
      <c r="AM116" s="1072"/>
    </row>
    <row r="117" spans="2:39" x14ac:dyDescent="0.25">
      <c r="B117" s="1607"/>
      <c r="C117" s="1662"/>
      <c r="D117" s="1610"/>
      <c r="E117" s="1302" t="s">
        <v>342</v>
      </c>
      <c r="F117" s="1303">
        <f t="shared" si="75"/>
        <v>898.3</v>
      </c>
      <c r="G117" s="1304">
        <f t="shared" ref="G117" si="80">IFERROR((F117-F116)/F116,0)</f>
        <v>-0.19794642857142861</v>
      </c>
      <c r="H117" s="1305">
        <v>70</v>
      </c>
      <c r="I117" s="1303">
        <v>78</v>
      </c>
      <c r="J117" s="1303">
        <f>54.6+29.7</f>
        <v>84.3</v>
      </c>
      <c r="K117" s="1303">
        <f>45+15</f>
        <v>60</v>
      </c>
      <c r="L117" s="1303">
        <v>60</v>
      </c>
      <c r="M117" s="1303">
        <f>4.5+7.5+6+16.5</f>
        <v>34.5</v>
      </c>
      <c r="N117" s="1303">
        <v>15</v>
      </c>
      <c r="O117" s="1303">
        <f>45+24</f>
        <v>69</v>
      </c>
      <c r="P117" s="1303">
        <v>41</v>
      </c>
      <c r="Q117" s="1303">
        <v>60</v>
      </c>
      <c r="R117" s="1303">
        <v>40</v>
      </c>
      <c r="S117" s="1303">
        <v>36</v>
      </c>
      <c r="T117" s="1303">
        <f>26+10</f>
        <v>36</v>
      </c>
      <c r="U117" s="1303">
        <f>59.5+33.5</f>
        <v>93</v>
      </c>
      <c r="V117" s="1303">
        <f>30+45</f>
        <v>75</v>
      </c>
      <c r="W117" s="1303">
        <v>46.5</v>
      </c>
      <c r="X117" s="1303"/>
      <c r="Y117" s="1303"/>
      <c r="Z117" s="1303"/>
      <c r="AA117" s="1303"/>
      <c r="AB117" s="1303"/>
      <c r="AC117" s="1303"/>
      <c r="AD117" s="1303"/>
      <c r="AE117" s="1303"/>
      <c r="AF117" s="1303"/>
      <c r="AG117" s="1303"/>
      <c r="AH117" s="1303"/>
      <c r="AI117" s="1303"/>
      <c r="AJ117" s="1303"/>
      <c r="AK117" s="1303"/>
      <c r="AL117" s="1303"/>
      <c r="AM117" s="1074"/>
    </row>
    <row r="118" spans="2:39" x14ac:dyDescent="0.25">
      <c r="B118" s="1607"/>
      <c r="C118" s="1662"/>
      <c r="D118" s="1610"/>
      <c r="E118" s="1324" t="s">
        <v>312</v>
      </c>
      <c r="F118" s="1307"/>
      <c r="G118" s="1308"/>
      <c r="H118" s="1075"/>
      <c r="I118" s="1075"/>
      <c r="J118" s="1075"/>
      <c r="K118" s="1075"/>
      <c r="L118" s="1075"/>
      <c r="M118" s="1075"/>
      <c r="N118" s="1075"/>
      <c r="O118" s="1075"/>
      <c r="P118" s="1076"/>
      <c r="Q118" s="1075"/>
      <c r="R118" s="1075"/>
      <c r="S118" s="1075"/>
      <c r="T118" s="1075"/>
      <c r="U118" s="1075"/>
      <c r="V118" s="1075"/>
      <c r="W118" s="1075"/>
      <c r="X118" s="1075"/>
      <c r="Y118" s="1075"/>
      <c r="Z118" s="1075"/>
      <c r="AA118" s="1075"/>
      <c r="AB118" s="1075"/>
      <c r="AC118" s="1075"/>
      <c r="AD118" s="1075"/>
      <c r="AE118" s="1075"/>
      <c r="AF118" s="1075"/>
      <c r="AG118" s="1075"/>
      <c r="AH118" s="1075"/>
      <c r="AI118" s="1075"/>
      <c r="AJ118" s="1075"/>
      <c r="AK118" s="1075"/>
      <c r="AL118" s="1077"/>
      <c r="AM118" s="1074"/>
    </row>
    <row r="119" spans="2:39" x14ac:dyDescent="0.25">
      <c r="B119" s="1607"/>
      <c r="C119" s="1662"/>
      <c r="D119" s="1612" t="s">
        <v>343</v>
      </c>
      <c r="E119" s="1309" t="s">
        <v>344</v>
      </c>
      <c r="F119" s="1310">
        <f t="shared" ref="F119:F120" si="81">IFERROR(F121*1000/F116,0)</f>
        <v>1.7476635514018695</v>
      </c>
      <c r="G119" s="1311"/>
      <c r="H119" s="1312">
        <f>[1]Breaking.!D78</f>
        <v>1.7476635514018692</v>
      </c>
      <c r="I119" s="1312">
        <f>[1]Breaking.!E78</f>
        <v>1.7476635514018692</v>
      </c>
      <c r="J119" s="1312">
        <f>[1]Breaking.!F78</f>
        <v>1.7476635514018692</v>
      </c>
      <c r="K119" s="1312">
        <f>[1]Breaking.!G78</f>
        <v>1.7476635514018692</v>
      </c>
      <c r="L119" s="1312">
        <f>[1]Breaking.!H78</f>
        <v>1.7476635514018692</v>
      </c>
      <c r="M119" s="1312">
        <f>[1]Breaking.!I78</f>
        <v>1.7476635514018692</v>
      </c>
      <c r="N119" s="1312">
        <f>[1]Breaking.!J78</f>
        <v>1.7476635514018692</v>
      </c>
      <c r="O119" s="1312">
        <f>[1]Breaking.!K78</f>
        <v>1.7476635514018692</v>
      </c>
      <c r="P119" s="1312">
        <f>[1]Breaking.!L78</f>
        <v>1.7476635514018692</v>
      </c>
      <c r="Q119" s="1312">
        <f>[1]Breaking.!M78</f>
        <v>1.7476635514018692</v>
      </c>
      <c r="R119" s="1312">
        <f>[1]Breaking.!N78</f>
        <v>1.7476635514018692</v>
      </c>
      <c r="S119" s="1312">
        <f>[1]Breaking.!O78</f>
        <v>1.7476635514018692</v>
      </c>
      <c r="T119" s="1312">
        <f>[1]Breaking.!P78</f>
        <v>1.7476635514018692</v>
      </c>
      <c r="U119" s="1312">
        <f>[1]Breaking.!Q78</f>
        <v>1.7476635514018692</v>
      </c>
      <c r="V119" s="1312">
        <f>[1]Breaking.!R78</f>
        <v>1.7476635514018692</v>
      </c>
      <c r="W119" s="1312">
        <f>[1]Breaking.!S78</f>
        <v>1.7476635514018692</v>
      </c>
      <c r="X119" s="1312">
        <f>[1]Breaking.!T78</f>
        <v>1.7476635514018692</v>
      </c>
      <c r="Y119" s="1312">
        <f>[1]Breaking.!U78</f>
        <v>1.7476635514018692</v>
      </c>
      <c r="Z119" s="1312">
        <f>[1]Breaking.!V78</f>
        <v>1.7476635514018692</v>
      </c>
      <c r="AA119" s="1312">
        <f>[1]Breaking.!W78</f>
        <v>1.7476635514018692</v>
      </c>
      <c r="AB119" s="1312">
        <f>[1]Breaking.!X78</f>
        <v>1.7476635514018692</v>
      </c>
      <c r="AC119" s="1312">
        <f>[1]Breaking.!Y78</f>
        <v>1.7476635514018692</v>
      </c>
      <c r="AD119" s="1312">
        <f>[1]Breaking.!Z78</f>
        <v>1.7476635514018692</v>
      </c>
      <c r="AE119" s="1312">
        <f>[1]Breaking.!AA78</f>
        <v>1.7476635514018692</v>
      </c>
      <c r="AF119" s="1312">
        <f>[1]Breaking.!AB78</f>
        <v>1.7476635514018692</v>
      </c>
      <c r="AG119" s="1312">
        <f>[1]Breaking.!AC78</f>
        <v>1.7476635514018692</v>
      </c>
      <c r="AH119" s="1312">
        <f>[1]Breaking.!AD78</f>
        <v>1.7476635514018692</v>
      </c>
      <c r="AI119" s="1312">
        <f>[1]Breaking.!AE78</f>
        <v>1.7476635514018692</v>
      </c>
      <c r="AJ119" s="1312">
        <f>[1]Breaking.!AF78</f>
        <v>1.7476635514018692</v>
      </c>
      <c r="AK119" s="1312">
        <f>[1]Breaking.!AG78</f>
        <v>1.7476635514018692</v>
      </c>
      <c r="AL119" s="1312">
        <f>[1]Breaking.!AH78</f>
        <v>1.7476635514018692</v>
      </c>
      <c r="AM119" s="1074"/>
    </row>
    <row r="120" spans="2:39" x14ac:dyDescent="0.25">
      <c r="B120" s="1607"/>
      <c r="C120" s="1662"/>
      <c r="D120" s="1664"/>
      <c r="E120" s="1313" t="s">
        <v>345</v>
      </c>
      <c r="F120" s="1314">
        <f t="shared" si="81"/>
        <v>1.7070666815095179</v>
      </c>
      <c r="G120" s="1304">
        <f t="shared" ref="G120" si="82">IFERROR((F120-F119)/F119,0)</f>
        <v>-2.3229225018618269E-2</v>
      </c>
      <c r="H120" s="1315">
        <v>0.39</v>
      </c>
      <c r="I120" s="1314">
        <v>2.46</v>
      </c>
      <c r="J120" s="1314">
        <v>0.86</v>
      </c>
      <c r="K120" s="1314">
        <v>1.48</v>
      </c>
      <c r="L120" s="1314">
        <v>2.4700000000000002</v>
      </c>
      <c r="M120" s="1314">
        <v>2.6</v>
      </c>
      <c r="N120" s="1314">
        <v>1.64</v>
      </c>
      <c r="O120" s="1314">
        <v>3.64</v>
      </c>
      <c r="P120" s="1314">
        <v>2.3199999999999998</v>
      </c>
      <c r="Q120" s="1314">
        <v>1.1499999999999999</v>
      </c>
      <c r="R120" s="1314">
        <v>2.1</v>
      </c>
      <c r="S120" s="1314">
        <v>2.44</v>
      </c>
      <c r="T120" s="1314">
        <v>1.91</v>
      </c>
      <c r="U120" s="1314">
        <v>0.95</v>
      </c>
      <c r="V120" s="1314">
        <v>1.95</v>
      </c>
      <c r="W120" s="1314"/>
      <c r="X120" s="1314"/>
      <c r="Y120" s="1314"/>
      <c r="Z120" s="1314"/>
      <c r="AA120" s="1314"/>
      <c r="AB120" s="1314"/>
      <c r="AC120" s="1314"/>
      <c r="AD120" s="1314"/>
      <c r="AE120" s="1314"/>
      <c r="AF120" s="1314"/>
      <c r="AG120" s="1314"/>
      <c r="AH120" s="1314"/>
      <c r="AI120" s="1314"/>
      <c r="AJ120" s="1314"/>
      <c r="AK120" s="1314"/>
      <c r="AL120" s="1314"/>
      <c r="AM120" s="1074"/>
    </row>
    <row r="121" spans="2:39" x14ac:dyDescent="0.25">
      <c r="B121" s="1607"/>
      <c r="C121" s="1662"/>
      <c r="D121" s="1612" t="s">
        <v>47</v>
      </c>
      <c r="E121" s="1309" t="s">
        <v>346</v>
      </c>
      <c r="F121" s="206">
        <f t="shared" ref="F121:F122" si="83">SUMIF($H$9:$AL$9,"&lt;="&amp;$C$7,H121:AL121)</f>
        <v>1.9573831775700936</v>
      </c>
      <c r="G121" s="1311"/>
      <c r="H121" s="1316">
        <f>+H119*H116/1000</f>
        <v>0.12233644859813084</v>
      </c>
      <c r="I121" s="1316">
        <f t="shared" ref="I121:AG122" si="84">+I119*I116/1000</f>
        <v>0.12233644859813084</v>
      </c>
      <c r="J121" s="1316">
        <f t="shared" si="84"/>
        <v>0.12233644859813084</v>
      </c>
      <c r="K121" s="1316">
        <f t="shared" si="84"/>
        <v>0.12233644859813084</v>
      </c>
      <c r="L121" s="1316">
        <f t="shared" si="84"/>
        <v>0.12233644859813084</v>
      </c>
      <c r="M121" s="1316">
        <f t="shared" si="84"/>
        <v>0.12233644859813084</v>
      </c>
      <c r="N121" s="1316">
        <f t="shared" si="84"/>
        <v>0.12233644859813084</v>
      </c>
      <c r="O121" s="1316">
        <f t="shared" si="84"/>
        <v>0.12233644859813084</v>
      </c>
      <c r="P121" s="1316">
        <f t="shared" si="84"/>
        <v>0.12233644859813084</v>
      </c>
      <c r="Q121" s="1316">
        <f t="shared" si="84"/>
        <v>0.12233644859813084</v>
      </c>
      <c r="R121" s="1316">
        <f t="shared" si="84"/>
        <v>0.12233644859813084</v>
      </c>
      <c r="S121" s="1316">
        <f t="shared" si="84"/>
        <v>0.12233644859813084</v>
      </c>
      <c r="T121" s="1316">
        <f t="shared" si="84"/>
        <v>0.12233644859813084</v>
      </c>
      <c r="U121" s="1316">
        <f t="shared" si="84"/>
        <v>0.12233644859813084</v>
      </c>
      <c r="V121" s="1316">
        <f t="shared" si="84"/>
        <v>0.12233644859813084</v>
      </c>
      <c r="W121" s="1316">
        <f t="shared" si="84"/>
        <v>0.12233644859813084</v>
      </c>
      <c r="X121" s="1316">
        <f t="shared" si="84"/>
        <v>0.12233644859813084</v>
      </c>
      <c r="Y121" s="1316">
        <f t="shared" si="84"/>
        <v>0.12233644859813084</v>
      </c>
      <c r="Z121" s="1316">
        <f t="shared" si="84"/>
        <v>0.12233644859813084</v>
      </c>
      <c r="AA121" s="1316">
        <f t="shared" si="84"/>
        <v>0.12233644859813084</v>
      </c>
      <c r="AB121" s="1316">
        <f t="shared" si="84"/>
        <v>0.12233644859813084</v>
      </c>
      <c r="AC121" s="1316">
        <f t="shared" si="84"/>
        <v>0.12233644859813084</v>
      </c>
      <c r="AD121" s="1316">
        <f t="shared" si="84"/>
        <v>0.12233644859813084</v>
      </c>
      <c r="AE121" s="1316">
        <f t="shared" si="84"/>
        <v>0.12233644859813084</v>
      </c>
      <c r="AF121" s="1316">
        <f t="shared" si="84"/>
        <v>0.12233644859813084</v>
      </c>
      <c r="AG121" s="1316">
        <f t="shared" si="84"/>
        <v>0.12233644859813084</v>
      </c>
      <c r="AH121" s="1316">
        <f>+AH119*AH116/1000</f>
        <v>0.12233644859813084</v>
      </c>
      <c r="AI121" s="1316">
        <f t="shared" ref="AI121:AL121" si="85">+AI119*AI116/1000</f>
        <v>0.12233644859813084</v>
      </c>
      <c r="AJ121" s="1316">
        <f t="shared" si="85"/>
        <v>0.12233644859813084</v>
      </c>
      <c r="AK121" s="1316">
        <f t="shared" si="85"/>
        <v>0.12233644859813084</v>
      </c>
      <c r="AL121" s="1316">
        <f t="shared" si="85"/>
        <v>0.12233644859813084</v>
      </c>
      <c r="AM121" s="1078"/>
    </row>
    <row r="122" spans="2:39" ht="14.25" thickBot="1" x14ac:dyDescent="0.3">
      <c r="B122" s="1660"/>
      <c r="C122" s="1663"/>
      <c r="D122" s="1665"/>
      <c r="E122" s="1320" t="s">
        <v>347</v>
      </c>
      <c r="F122" s="1321">
        <f t="shared" si="83"/>
        <v>1.5334579999999998</v>
      </c>
      <c r="G122" s="1322">
        <f t="shared" ref="G122" si="86">IFERROR((F122-F121)/F121,0)</f>
        <v>-0.21657751145912929</v>
      </c>
      <c r="H122" s="1323">
        <f>+H120*H117/1000</f>
        <v>2.7300000000000001E-2</v>
      </c>
      <c r="I122" s="1323">
        <f t="shared" si="84"/>
        <v>0.19188</v>
      </c>
      <c r="J122" s="1323">
        <f t="shared" si="84"/>
        <v>7.2497999999999993E-2</v>
      </c>
      <c r="K122" s="1323">
        <f t="shared" si="84"/>
        <v>8.8800000000000004E-2</v>
      </c>
      <c r="L122" s="1323">
        <f t="shared" si="84"/>
        <v>0.14820000000000003</v>
      </c>
      <c r="M122" s="1323">
        <f t="shared" si="84"/>
        <v>8.9700000000000002E-2</v>
      </c>
      <c r="N122" s="1323">
        <f t="shared" si="84"/>
        <v>2.4599999999999997E-2</v>
      </c>
      <c r="O122" s="1323">
        <f t="shared" si="84"/>
        <v>0.25115999999999999</v>
      </c>
      <c r="P122" s="1323">
        <f t="shared" si="84"/>
        <v>9.5119999999999996E-2</v>
      </c>
      <c r="Q122" s="1323">
        <f t="shared" si="84"/>
        <v>6.9000000000000006E-2</v>
      </c>
      <c r="R122" s="1323">
        <f t="shared" si="84"/>
        <v>8.4000000000000005E-2</v>
      </c>
      <c r="S122" s="1323">
        <f t="shared" si="84"/>
        <v>8.7840000000000001E-2</v>
      </c>
      <c r="T122" s="1323">
        <f t="shared" si="84"/>
        <v>6.8759999999999988E-2</v>
      </c>
      <c r="U122" s="1323">
        <f t="shared" si="84"/>
        <v>8.8349999999999998E-2</v>
      </c>
      <c r="V122" s="1323">
        <f t="shared" si="84"/>
        <v>0.14624999999999999</v>
      </c>
      <c r="W122" s="1323">
        <f t="shared" si="84"/>
        <v>0</v>
      </c>
      <c r="X122" s="1323">
        <f t="shared" si="84"/>
        <v>0</v>
      </c>
      <c r="Y122" s="1323">
        <f t="shared" si="84"/>
        <v>0</v>
      </c>
      <c r="Z122" s="1323">
        <f t="shared" si="84"/>
        <v>0</v>
      </c>
      <c r="AA122" s="1323">
        <f t="shared" si="84"/>
        <v>0</v>
      </c>
      <c r="AB122" s="1323">
        <f t="shared" si="84"/>
        <v>0</v>
      </c>
      <c r="AC122" s="1323">
        <f t="shared" si="84"/>
        <v>0</v>
      </c>
      <c r="AD122" s="1323">
        <f t="shared" si="84"/>
        <v>0</v>
      </c>
      <c r="AE122" s="1323">
        <f t="shared" si="84"/>
        <v>0</v>
      </c>
      <c r="AF122" s="1323">
        <f t="shared" si="84"/>
        <v>0</v>
      </c>
      <c r="AG122" s="1323">
        <f t="shared" si="84"/>
        <v>0</v>
      </c>
      <c r="AH122" s="1323">
        <f t="shared" ref="AH122:AL122" si="87">+AH120*AH117/1000</f>
        <v>0</v>
      </c>
      <c r="AI122" s="1323">
        <f t="shared" si="87"/>
        <v>0</v>
      </c>
      <c r="AJ122" s="1323">
        <f t="shared" si="87"/>
        <v>0</v>
      </c>
      <c r="AK122" s="1323">
        <f t="shared" si="87"/>
        <v>0</v>
      </c>
      <c r="AL122" s="1323">
        <f t="shared" si="87"/>
        <v>0</v>
      </c>
      <c r="AM122" s="1079"/>
    </row>
  </sheetData>
  <sheetProtection algorithmName="SHA-512" hashValue="eSQBRjOtmayxGmZR6A00F2MSL+ptuK+/DxQqy+athC0s5dIzMGgYryPWUY1wrNKb5mjXq0EcUhTCMd/RXqlvqQ==" saltValue="HH9dFy4OCmIgUKRWRosW4A==" spinCount="100000" sheet="1" objects="1" scenarios="1"/>
  <mergeCells count="83">
    <mergeCell ref="H2:I2"/>
    <mergeCell ref="K2:N2"/>
    <mergeCell ref="H3:I3"/>
    <mergeCell ref="K3:N3"/>
    <mergeCell ref="H4:I4"/>
    <mergeCell ref="K4:N4"/>
    <mergeCell ref="K5:N5"/>
    <mergeCell ref="K6:N6"/>
    <mergeCell ref="B18:B24"/>
    <mergeCell ref="C18:C24"/>
    <mergeCell ref="D18:D20"/>
    <mergeCell ref="D21:D22"/>
    <mergeCell ref="D23:D24"/>
    <mergeCell ref="B32:B38"/>
    <mergeCell ref="C32:C38"/>
    <mergeCell ref="D32:D34"/>
    <mergeCell ref="D35:D36"/>
    <mergeCell ref="D37:D38"/>
    <mergeCell ref="B25:B31"/>
    <mergeCell ref="C25:C31"/>
    <mergeCell ref="D25:D27"/>
    <mergeCell ref="D28:D29"/>
    <mergeCell ref="D30:D31"/>
    <mergeCell ref="B46:B52"/>
    <mergeCell ref="C46:C52"/>
    <mergeCell ref="D46:D48"/>
    <mergeCell ref="D49:D50"/>
    <mergeCell ref="D51:D52"/>
    <mergeCell ref="B39:B45"/>
    <mergeCell ref="C39:C45"/>
    <mergeCell ref="D39:D41"/>
    <mergeCell ref="D42:D43"/>
    <mergeCell ref="D44:D45"/>
    <mergeCell ref="B60:B66"/>
    <mergeCell ref="C60:C66"/>
    <mergeCell ref="D60:D62"/>
    <mergeCell ref="D63:D64"/>
    <mergeCell ref="D65:D66"/>
    <mergeCell ref="B53:B59"/>
    <mergeCell ref="C53:C59"/>
    <mergeCell ref="D53:D55"/>
    <mergeCell ref="D56:D57"/>
    <mergeCell ref="D58:D59"/>
    <mergeCell ref="B74:B80"/>
    <mergeCell ref="C74:C80"/>
    <mergeCell ref="D74:D76"/>
    <mergeCell ref="D77:D78"/>
    <mergeCell ref="D79:D80"/>
    <mergeCell ref="B67:B73"/>
    <mergeCell ref="C67:C73"/>
    <mergeCell ref="D67:D69"/>
    <mergeCell ref="D70:D71"/>
    <mergeCell ref="D72:D73"/>
    <mergeCell ref="B88:B94"/>
    <mergeCell ref="C88:C94"/>
    <mergeCell ref="D88:D90"/>
    <mergeCell ref="D91:D92"/>
    <mergeCell ref="D93:D94"/>
    <mergeCell ref="B81:B87"/>
    <mergeCell ref="C81:C87"/>
    <mergeCell ref="D81:D83"/>
    <mergeCell ref="D84:D85"/>
    <mergeCell ref="D86:D87"/>
    <mergeCell ref="B102:B108"/>
    <mergeCell ref="C102:C108"/>
    <mergeCell ref="D102:D104"/>
    <mergeCell ref="D105:D106"/>
    <mergeCell ref="D107:D108"/>
    <mergeCell ref="B95:B101"/>
    <mergeCell ref="C95:C101"/>
    <mergeCell ref="D95:D97"/>
    <mergeCell ref="D98:D99"/>
    <mergeCell ref="D100:D101"/>
    <mergeCell ref="B116:B122"/>
    <mergeCell ref="C116:C122"/>
    <mergeCell ref="D116:D118"/>
    <mergeCell ref="D119:D120"/>
    <mergeCell ref="D121:D122"/>
    <mergeCell ref="B109:B115"/>
    <mergeCell ref="C109:C115"/>
    <mergeCell ref="D109:D111"/>
    <mergeCell ref="D112:D113"/>
    <mergeCell ref="D114:D115"/>
  </mergeCells>
  <conditionalFormatting sqref="B18 B25 B32 B39 B46 B53 B67">
    <cfRule type="cellIs" dxfId="1649" priority="248" operator="equal">
      <formula>2</formula>
    </cfRule>
    <cfRule type="cellIs" dxfId="1648" priority="247" operator="equal">
      <formula>1</formula>
    </cfRule>
    <cfRule type="cellIs" dxfId="1647" priority="246" operator="equal">
      <formula>3</formula>
    </cfRule>
  </conditionalFormatting>
  <conditionalFormatting sqref="B60">
    <cfRule type="cellIs" dxfId="1646" priority="17" operator="equal">
      <formula>1</formula>
    </cfRule>
    <cfRule type="cellIs" dxfId="1645" priority="18" operator="equal">
      <formula>2</formula>
    </cfRule>
    <cfRule type="cellIs" dxfId="1644" priority="16" operator="equal">
      <formula>3</formula>
    </cfRule>
  </conditionalFormatting>
  <conditionalFormatting sqref="B74">
    <cfRule type="cellIs" dxfId="1643" priority="202" operator="equal">
      <formula>3</formula>
    </cfRule>
    <cfRule type="cellIs" dxfId="1642" priority="203" operator="equal">
      <formula>1</formula>
    </cfRule>
    <cfRule type="cellIs" dxfId="1641" priority="204" operator="equal">
      <formula>2</formula>
    </cfRule>
  </conditionalFormatting>
  <conditionalFormatting sqref="B81">
    <cfRule type="cellIs" dxfId="1640" priority="176" operator="equal">
      <formula>3</formula>
    </cfRule>
    <cfRule type="cellIs" dxfId="1639" priority="178" operator="equal">
      <formula>2</formula>
    </cfRule>
    <cfRule type="cellIs" dxfId="1638" priority="177" operator="equal">
      <formula>1</formula>
    </cfRule>
  </conditionalFormatting>
  <conditionalFormatting sqref="B88">
    <cfRule type="cellIs" dxfId="1637" priority="151" operator="equal">
      <formula>1</formula>
    </cfRule>
    <cfRule type="cellIs" dxfId="1636" priority="150" operator="equal">
      <formula>3</formula>
    </cfRule>
    <cfRule type="cellIs" dxfId="1635" priority="152" operator="equal">
      <formula>2</formula>
    </cfRule>
  </conditionalFormatting>
  <conditionalFormatting sqref="B95">
    <cfRule type="cellIs" dxfId="1634" priority="125" operator="equal">
      <formula>1</formula>
    </cfRule>
    <cfRule type="cellIs" dxfId="1633" priority="126" operator="equal">
      <formula>2</formula>
    </cfRule>
    <cfRule type="cellIs" dxfId="1632" priority="124" operator="equal">
      <formula>3</formula>
    </cfRule>
  </conditionalFormatting>
  <conditionalFormatting sqref="B102">
    <cfRule type="cellIs" dxfId="1631" priority="104" operator="equal">
      <formula>3</formula>
    </cfRule>
    <cfRule type="cellIs" dxfId="1630" priority="105" operator="equal">
      <formula>1</formula>
    </cfRule>
    <cfRule type="cellIs" dxfId="1629" priority="106" operator="equal">
      <formula>2</formula>
    </cfRule>
  </conditionalFormatting>
  <conditionalFormatting sqref="B109">
    <cfRule type="cellIs" dxfId="1628" priority="78" operator="equal">
      <formula>3</formula>
    </cfRule>
    <cfRule type="cellIs" dxfId="1627" priority="79" operator="equal">
      <formula>1</formula>
    </cfRule>
    <cfRule type="cellIs" dxfId="1626" priority="80" operator="equal">
      <formula>2</formula>
    </cfRule>
  </conditionalFormatting>
  <conditionalFormatting sqref="B116">
    <cfRule type="cellIs" dxfId="1625" priority="34" operator="equal">
      <formula>3</formula>
    </cfRule>
    <cfRule type="cellIs" dxfId="1624" priority="35" operator="equal">
      <formula>1</formula>
    </cfRule>
    <cfRule type="cellIs" dxfId="1623" priority="36" operator="equal">
      <formula>2</formula>
    </cfRule>
  </conditionalFormatting>
  <conditionalFormatting sqref="D10:D12">
    <cfRule type="cellIs" dxfId="1622" priority="208" stopIfTrue="1" operator="greaterThanOrEqual">
      <formula>C10</formula>
    </cfRule>
    <cfRule type="cellIs" dxfId="1621" priority="207" stopIfTrue="1" operator="lessThan">
      <formula>C10</formula>
    </cfRule>
  </conditionalFormatting>
  <conditionalFormatting sqref="E10:E12">
    <cfRule type="cellIs" dxfId="1620" priority="205" stopIfTrue="1" operator="lessThan">
      <formula>0</formula>
    </cfRule>
    <cfRule type="cellIs" dxfId="1619" priority="206" stopIfTrue="1" operator="greaterThanOrEqual">
      <formula>0</formula>
    </cfRule>
  </conditionalFormatting>
  <conditionalFormatting sqref="F19">
    <cfRule type="cellIs" dxfId="1618" priority="228" stopIfTrue="1" operator="greaterThanOrEqual">
      <formula>F18</formula>
    </cfRule>
    <cfRule type="cellIs" dxfId="1617" priority="227" stopIfTrue="1" operator="lessThan">
      <formula>F18</formula>
    </cfRule>
  </conditionalFormatting>
  <conditionalFormatting sqref="F22 F24">
    <cfRule type="cellIs" dxfId="1616" priority="224" stopIfTrue="1" operator="greaterThanOrEqual">
      <formula>F21</formula>
    </cfRule>
    <cfRule type="cellIs" dxfId="1615" priority="223" stopIfTrue="1" operator="lessThan">
      <formula>F21</formula>
    </cfRule>
  </conditionalFormatting>
  <conditionalFormatting sqref="F26 F33 F40 F47 F54 F68">
    <cfRule type="cellIs" dxfId="1614" priority="217" stopIfTrue="1" operator="lessThan">
      <formula>F25</formula>
    </cfRule>
    <cfRule type="cellIs" dxfId="1613" priority="218" stopIfTrue="1" operator="greaterThanOrEqual">
      <formula>F25</formula>
    </cfRule>
  </conditionalFormatting>
  <conditionalFormatting sqref="F29 F31 F36 F38 F43 F45 F50 F52 F57 F59 F64 F66 F71 F73">
    <cfRule type="cellIs" dxfId="1612" priority="214" stopIfTrue="1" operator="greaterThanOrEqual">
      <formula>F28</formula>
    </cfRule>
    <cfRule type="cellIs" dxfId="1611" priority="213" stopIfTrue="1" operator="lessThan">
      <formula>F28</formula>
    </cfRule>
  </conditionalFormatting>
  <conditionalFormatting sqref="F61">
    <cfRule type="cellIs" dxfId="1610" priority="6" stopIfTrue="1" operator="greaterThanOrEqual">
      <formula>F60</formula>
    </cfRule>
    <cfRule type="cellIs" dxfId="1609" priority="5" stopIfTrue="1" operator="lessThan">
      <formula>F60</formula>
    </cfRule>
  </conditionalFormatting>
  <conditionalFormatting sqref="F75">
    <cfRule type="cellIs" dxfId="1608" priority="187" stopIfTrue="1" operator="lessThan">
      <formula>F74</formula>
    </cfRule>
    <cfRule type="cellIs" dxfId="1607" priority="188" stopIfTrue="1" operator="greaterThanOrEqual">
      <formula>F74</formula>
    </cfRule>
  </conditionalFormatting>
  <conditionalFormatting sqref="F78 F80">
    <cfRule type="cellIs" dxfId="1606" priority="183" stopIfTrue="1" operator="lessThan">
      <formula>F77</formula>
    </cfRule>
    <cfRule type="cellIs" dxfId="1605" priority="184" stopIfTrue="1" operator="greaterThanOrEqual">
      <formula>F77</formula>
    </cfRule>
  </conditionalFormatting>
  <conditionalFormatting sqref="F82">
    <cfRule type="cellIs" dxfId="1604" priority="162" stopIfTrue="1" operator="greaterThanOrEqual">
      <formula>F81</formula>
    </cfRule>
    <cfRule type="cellIs" dxfId="1603" priority="161" stopIfTrue="1" operator="lessThan">
      <formula>F81</formula>
    </cfRule>
  </conditionalFormatting>
  <conditionalFormatting sqref="F85 F87">
    <cfRule type="cellIs" dxfId="1602" priority="158" stopIfTrue="1" operator="greaterThanOrEqual">
      <formula>F84</formula>
    </cfRule>
    <cfRule type="cellIs" dxfId="1601" priority="157" stopIfTrue="1" operator="lessThan">
      <formula>F84</formula>
    </cfRule>
  </conditionalFormatting>
  <conditionalFormatting sqref="F89">
    <cfRule type="cellIs" dxfId="1600" priority="136" stopIfTrue="1" operator="greaterThanOrEqual">
      <formula>F88</formula>
    </cfRule>
    <cfRule type="cellIs" dxfId="1599" priority="135" stopIfTrue="1" operator="lessThan">
      <formula>F88</formula>
    </cfRule>
  </conditionalFormatting>
  <conditionalFormatting sqref="F92 F94">
    <cfRule type="cellIs" dxfId="1598" priority="132" stopIfTrue="1" operator="greaterThanOrEqual">
      <formula>F91</formula>
    </cfRule>
    <cfRule type="cellIs" dxfId="1597" priority="131" stopIfTrue="1" operator="lessThan">
      <formula>F91</formula>
    </cfRule>
  </conditionalFormatting>
  <conditionalFormatting sqref="F96">
    <cfRule type="cellIs" dxfId="1596" priority="115" stopIfTrue="1" operator="lessThan">
      <formula>F95</formula>
    </cfRule>
    <cfRule type="cellIs" dxfId="1595" priority="116" stopIfTrue="1" operator="greaterThanOrEqual">
      <formula>F95</formula>
    </cfRule>
  </conditionalFormatting>
  <conditionalFormatting sqref="F99 F101">
    <cfRule type="cellIs" dxfId="1594" priority="111" stopIfTrue="1" operator="lessThan">
      <formula>F98</formula>
    </cfRule>
    <cfRule type="cellIs" dxfId="1593" priority="112" stopIfTrue="1" operator="greaterThanOrEqual">
      <formula>F98</formula>
    </cfRule>
  </conditionalFormatting>
  <conditionalFormatting sqref="F103">
    <cfRule type="cellIs" dxfId="1592" priority="89" stopIfTrue="1" operator="lessThan">
      <formula>F102</formula>
    </cfRule>
    <cfRule type="cellIs" dxfId="1591" priority="90" stopIfTrue="1" operator="greaterThanOrEqual">
      <formula>F102</formula>
    </cfRule>
  </conditionalFormatting>
  <conditionalFormatting sqref="F106 F108">
    <cfRule type="cellIs" dxfId="1590" priority="86" stopIfTrue="1" operator="greaterThanOrEqual">
      <formula>F105</formula>
    </cfRule>
    <cfRule type="cellIs" dxfId="1589" priority="85" stopIfTrue="1" operator="lessThan">
      <formula>F105</formula>
    </cfRule>
  </conditionalFormatting>
  <conditionalFormatting sqref="F110">
    <cfRule type="cellIs" dxfId="1588" priority="64" stopIfTrue="1" operator="greaterThanOrEqual">
      <formula>F109</formula>
    </cfRule>
    <cfRule type="cellIs" dxfId="1587" priority="63" stopIfTrue="1" operator="lessThan">
      <formula>F109</formula>
    </cfRule>
  </conditionalFormatting>
  <conditionalFormatting sqref="F113 F115 F120 F122">
    <cfRule type="cellIs" dxfId="1586" priority="60" stopIfTrue="1" operator="greaterThanOrEqual">
      <formula>F112</formula>
    </cfRule>
    <cfRule type="cellIs" dxfId="1585" priority="59" stopIfTrue="1" operator="lessThan">
      <formula>F112</formula>
    </cfRule>
  </conditionalFormatting>
  <conditionalFormatting sqref="F117">
    <cfRule type="cellIs" dxfId="1584" priority="24" stopIfTrue="1" operator="greaterThanOrEqual">
      <formula>F116</formula>
    </cfRule>
    <cfRule type="cellIs" dxfId="1583" priority="23" stopIfTrue="1" operator="lessThan">
      <formula>F116</formula>
    </cfRule>
  </conditionalFormatting>
  <conditionalFormatting sqref="G19">
    <cfRule type="cellIs" dxfId="1582" priority="226" operator="lessThan">
      <formula>0</formula>
    </cfRule>
    <cfRule type="cellIs" dxfId="1581" priority="225" operator="greaterThan">
      <formula>0</formula>
    </cfRule>
  </conditionalFormatting>
  <conditionalFormatting sqref="G22">
    <cfRule type="cellIs" dxfId="1580" priority="222" operator="lessThan">
      <formula>0</formula>
    </cfRule>
    <cfRule type="cellIs" dxfId="1579" priority="221" operator="greaterThan">
      <formula>0</formula>
    </cfRule>
  </conditionalFormatting>
  <conditionalFormatting sqref="G24">
    <cfRule type="cellIs" dxfId="1578" priority="220" operator="lessThan">
      <formula>0</formula>
    </cfRule>
    <cfRule type="cellIs" dxfId="1577" priority="219" operator="greaterThan">
      <formula>0</formula>
    </cfRule>
  </conditionalFormatting>
  <conditionalFormatting sqref="G26 G33 G40 G47 G54 G68">
    <cfRule type="cellIs" dxfId="1576" priority="216" operator="lessThan">
      <formula>0</formula>
    </cfRule>
    <cfRule type="cellIs" dxfId="1575" priority="215" operator="greaterThan">
      <formula>0</formula>
    </cfRule>
  </conditionalFormatting>
  <conditionalFormatting sqref="G29 G36 G43 G50 G57 G71">
    <cfRule type="cellIs" dxfId="1574" priority="212" operator="lessThan">
      <formula>0</formula>
    </cfRule>
    <cfRule type="cellIs" dxfId="1573" priority="211" operator="greaterThan">
      <formula>0</formula>
    </cfRule>
  </conditionalFormatting>
  <conditionalFormatting sqref="G31 G38 G45 G52 G59 G66 G73">
    <cfRule type="cellIs" dxfId="1572" priority="209" operator="greaterThan">
      <formula>0</formula>
    </cfRule>
    <cfRule type="cellIs" dxfId="1571" priority="210" operator="lessThan">
      <formula>0</formula>
    </cfRule>
  </conditionalFormatting>
  <conditionalFormatting sqref="G61">
    <cfRule type="cellIs" dxfId="1570" priority="4" operator="lessThan">
      <formula>0</formula>
    </cfRule>
    <cfRule type="cellIs" dxfId="1569" priority="3" operator="greaterThan">
      <formula>0</formula>
    </cfRule>
  </conditionalFormatting>
  <conditionalFormatting sqref="G64">
    <cfRule type="cellIs" dxfId="1568" priority="2" operator="lessThan">
      <formula>0</formula>
    </cfRule>
    <cfRule type="cellIs" dxfId="1567" priority="1" operator="greaterThan">
      <formula>0</formula>
    </cfRule>
  </conditionalFormatting>
  <conditionalFormatting sqref="G75">
    <cfRule type="cellIs" dxfId="1566" priority="185" operator="greaterThan">
      <formula>0</formula>
    </cfRule>
    <cfRule type="cellIs" dxfId="1565" priority="186" operator="lessThan">
      <formula>0</formula>
    </cfRule>
  </conditionalFormatting>
  <conditionalFormatting sqref="G78">
    <cfRule type="cellIs" dxfId="1564" priority="181" operator="greaterThan">
      <formula>0</formula>
    </cfRule>
    <cfRule type="cellIs" dxfId="1563" priority="182" operator="lessThan">
      <formula>0</formula>
    </cfRule>
  </conditionalFormatting>
  <conditionalFormatting sqref="G80">
    <cfRule type="cellIs" dxfId="1562" priority="180" operator="lessThan">
      <formula>0</formula>
    </cfRule>
    <cfRule type="cellIs" dxfId="1561" priority="179" operator="greaterThan">
      <formula>0</formula>
    </cfRule>
  </conditionalFormatting>
  <conditionalFormatting sqref="G82">
    <cfRule type="cellIs" dxfId="1560" priority="159" operator="greaterThan">
      <formula>0</formula>
    </cfRule>
    <cfRule type="cellIs" dxfId="1559" priority="160" operator="lessThan">
      <formula>0</formula>
    </cfRule>
  </conditionalFormatting>
  <conditionalFormatting sqref="G85">
    <cfRule type="cellIs" dxfId="1558" priority="155" operator="greaterThan">
      <formula>0</formula>
    </cfRule>
    <cfRule type="cellIs" dxfId="1557" priority="156" operator="lessThan">
      <formula>0</formula>
    </cfRule>
  </conditionalFormatting>
  <conditionalFormatting sqref="G87">
    <cfRule type="cellIs" dxfId="1556" priority="153" operator="greaterThan">
      <formula>0</formula>
    </cfRule>
    <cfRule type="cellIs" dxfId="1555" priority="154" operator="lessThan">
      <formula>0</formula>
    </cfRule>
  </conditionalFormatting>
  <conditionalFormatting sqref="G89">
    <cfRule type="cellIs" dxfId="1554" priority="134" operator="lessThan">
      <formula>0</formula>
    </cfRule>
    <cfRule type="cellIs" dxfId="1553" priority="133" operator="greaterThan">
      <formula>0</formula>
    </cfRule>
  </conditionalFormatting>
  <conditionalFormatting sqref="G92">
    <cfRule type="cellIs" dxfId="1552" priority="129" operator="greaterThan">
      <formula>0</formula>
    </cfRule>
    <cfRule type="cellIs" dxfId="1551" priority="130" operator="lessThan">
      <formula>0</formula>
    </cfRule>
  </conditionalFormatting>
  <conditionalFormatting sqref="G94">
    <cfRule type="cellIs" dxfId="1550" priority="128" operator="lessThan">
      <formula>0</formula>
    </cfRule>
    <cfRule type="cellIs" dxfId="1549" priority="127" operator="greaterThan">
      <formula>0</formula>
    </cfRule>
  </conditionalFormatting>
  <conditionalFormatting sqref="G96">
    <cfRule type="cellIs" dxfId="1548" priority="113" operator="greaterThan">
      <formula>0</formula>
    </cfRule>
    <cfRule type="cellIs" dxfId="1547" priority="114" operator="lessThan">
      <formula>0</formula>
    </cfRule>
  </conditionalFormatting>
  <conditionalFormatting sqref="G99">
    <cfRule type="cellIs" dxfId="1546" priority="110" operator="lessThan">
      <formula>0</formula>
    </cfRule>
    <cfRule type="cellIs" dxfId="1545" priority="109" operator="greaterThan">
      <formula>0</formula>
    </cfRule>
  </conditionalFormatting>
  <conditionalFormatting sqref="G101">
    <cfRule type="cellIs" dxfId="1544" priority="108" operator="lessThan">
      <formula>0</formula>
    </cfRule>
    <cfRule type="cellIs" dxfId="1543" priority="107" operator="greaterThan">
      <formula>0</formula>
    </cfRule>
  </conditionalFormatting>
  <conditionalFormatting sqref="G103">
    <cfRule type="cellIs" dxfId="1542" priority="88" operator="lessThan">
      <formula>0</formula>
    </cfRule>
    <cfRule type="cellIs" dxfId="1541" priority="87" operator="greaterThan">
      <formula>0</formula>
    </cfRule>
  </conditionalFormatting>
  <conditionalFormatting sqref="G106">
    <cfRule type="cellIs" dxfId="1540" priority="83" operator="greaterThan">
      <formula>0</formula>
    </cfRule>
    <cfRule type="cellIs" dxfId="1539" priority="84" operator="lessThan">
      <formula>0</formula>
    </cfRule>
  </conditionalFormatting>
  <conditionalFormatting sqref="G108">
    <cfRule type="cellIs" dxfId="1538" priority="82" operator="lessThan">
      <formula>0</formula>
    </cfRule>
    <cfRule type="cellIs" dxfId="1537" priority="81" operator="greaterThan">
      <formula>0</formula>
    </cfRule>
  </conditionalFormatting>
  <conditionalFormatting sqref="G110">
    <cfRule type="cellIs" dxfId="1536" priority="61" operator="greaterThan">
      <formula>0</formula>
    </cfRule>
    <cfRule type="cellIs" dxfId="1535" priority="62" operator="lessThan">
      <formula>0</formula>
    </cfRule>
  </conditionalFormatting>
  <conditionalFormatting sqref="G113">
    <cfRule type="cellIs" dxfId="1534" priority="58" operator="lessThan">
      <formula>0</formula>
    </cfRule>
    <cfRule type="cellIs" dxfId="1533" priority="57" operator="greaterThan">
      <formula>0</formula>
    </cfRule>
  </conditionalFormatting>
  <conditionalFormatting sqref="G115 G122">
    <cfRule type="cellIs" dxfId="1532" priority="55" operator="greaterThan">
      <formula>0</formula>
    </cfRule>
    <cfRule type="cellIs" dxfId="1531" priority="56" operator="lessThan">
      <formula>0</formula>
    </cfRule>
  </conditionalFormatting>
  <conditionalFormatting sqref="G117">
    <cfRule type="cellIs" dxfId="1530" priority="22" operator="lessThan">
      <formula>0</formula>
    </cfRule>
    <cfRule type="cellIs" dxfId="1529" priority="21" operator="greaterThan">
      <formula>0</formula>
    </cfRule>
  </conditionalFormatting>
  <conditionalFormatting sqref="G120">
    <cfRule type="cellIs" dxfId="1528" priority="19" operator="greaterThan">
      <formula>0</formula>
    </cfRule>
    <cfRule type="cellIs" dxfId="1527" priority="20" operator="lessThan">
      <formula>0</formula>
    </cfRule>
  </conditionalFormatting>
  <conditionalFormatting sqref="H13">
    <cfRule type="cellIs" dxfId="1526" priority="46" operator="greaterThanOrEqual">
      <formula>0.6</formula>
    </cfRule>
  </conditionalFormatting>
  <conditionalFormatting sqref="H15">
    <cfRule type="cellIs" dxfId="1525" priority="39" operator="greaterThanOrEqual">
      <formula>H14</formula>
    </cfRule>
    <cfRule type="cellIs" dxfId="1524" priority="38" operator="lessThan">
      <formula>H14</formula>
    </cfRule>
  </conditionalFormatting>
  <conditionalFormatting sqref="H103:T103 V103:AL103 H106:AL106 H108:AL108">
    <cfRule type="expression" dxfId="1523" priority="91">
      <formula>H$9&gt;$C$7</formula>
    </cfRule>
  </conditionalFormatting>
  <conditionalFormatting sqref="H103:T103 V103:AL103">
    <cfRule type="cellIs" dxfId="1522" priority="103" operator="greaterThanOrEqual">
      <formula>H102</formula>
    </cfRule>
    <cfRule type="cellIs" dxfId="1521" priority="102" operator="lessThan">
      <formula>H102</formula>
    </cfRule>
    <cfRule type="expression" dxfId="1520" priority="101">
      <formula>H102=""</formula>
    </cfRule>
  </conditionalFormatting>
  <conditionalFormatting sqref="H11:AL11">
    <cfRule type="cellIs" dxfId="1519" priority="47" operator="greaterThanOrEqual">
      <formula>H10</formula>
    </cfRule>
    <cfRule type="cellIs" dxfId="1518" priority="45" operator="lessThan">
      <formula>H10</formula>
    </cfRule>
    <cfRule type="expression" dxfId="1517" priority="249">
      <formula>H10=""</formula>
    </cfRule>
  </conditionalFormatting>
  <conditionalFormatting sqref="H13:AL13">
    <cfRule type="cellIs" dxfId="1516" priority="244" operator="between">
      <formula>1.6</formula>
      <formula>2</formula>
    </cfRule>
    <cfRule type="expression" dxfId="1515" priority="41">
      <formula>H12=""</formula>
    </cfRule>
    <cfRule type="cellIs" dxfId="1514" priority="44" operator="greaterThanOrEqual">
      <formula>2</formula>
    </cfRule>
    <cfRule type="cellIs" dxfId="1513" priority="42" operator="lessThan">
      <formula>H12</formula>
    </cfRule>
    <cfRule type="cellIs" dxfId="1512" priority="43" operator="greaterThanOrEqual">
      <formula>H12</formula>
    </cfRule>
  </conditionalFormatting>
  <conditionalFormatting sqref="H15:AL15 H11:AL11 H13:AL13">
    <cfRule type="expression" dxfId="1511" priority="40">
      <formula>H$9&gt;$C$7</formula>
    </cfRule>
  </conditionalFormatting>
  <conditionalFormatting sqref="H15:AL15">
    <cfRule type="expression" dxfId="1510" priority="37">
      <formula>H14=""</formula>
    </cfRule>
  </conditionalFormatting>
  <conditionalFormatting sqref="H19:AL19 H26:AL26 H33:AL33 H40:AL40 H47:AL47 H54:AL54 H68:AL68">
    <cfRule type="cellIs" dxfId="1509" priority="240" operator="lessThan">
      <formula>H18</formula>
    </cfRule>
    <cfRule type="expression" dxfId="1508" priority="239">
      <formula>H18=""</formula>
    </cfRule>
    <cfRule type="cellIs" dxfId="1507" priority="241" operator="greaterThanOrEqual">
      <formula>H18</formula>
    </cfRule>
  </conditionalFormatting>
  <conditionalFormatting sqref="H22:AL22 H29:AL29 H36:AL36 H43:AL43 H50:AL50 H57:AL57 H71:AL71">
    <cfRule type="cellIs" dxfId="1506" priority="237" operator="between">
      <formula>1.6</formula>
      <formula>2</formula>
    </cfRule>
    <cfRule type="cellIs" dxfId="1505" priority="236" operator="greaterThanOrEqual">
      <formula>2</formula>
    </cfRule>
    <cfRule type="cellIs" dxfId="1504" priority="235" operator="greaterThanOrEqual">
      <formula>H21</formula>
    </cfRule>
    <cfRule type="cellIs" dxfId="1503" priority="238" operator="greaterThanOrEqual">
      <formula>0.6</formula>
    </cfRule>
    <cfRule type="cellIs" dxfId="1502" priority="234" operator="lessThan">
      <formula>H21</formula>
    </cfRule>
    <cfRule type="expression" dxfId="1501" priority="230">
      <formula>H21=""</formula>
    </cfRule>
  </conditionalFormatting>
  <conditionalFormatting sqref="H24:AL24 H31:AL31 H38:AL38 H45:AL45 H52:AL52 H59:AL59 H66:AL66 H73:AL73">
    <cfRule type="cellIs" dxfId="1500" priority="232" operator="lessThan">
      <formula>H23</formula>
    </cfRule>
    <cfRule type="cellIs" dxfId="1499" priority="233" operator="greaterThanOrEqual">
      <formula>H23</formula>
    </cfRule>
    <cfRule type="expression" dxfId="1498" priority="231">
      <formula>H23=""</formula>
    </cfRule>
  </conditionalFormatting>
  <conditionalFormatting sqref="H61:AL61 H64:AL64 H19:AL19 H22:AL22 H24:AL24 H26:AL26 H29:AL29 H31:AL31 H33:AL33 H36:AL36 H38:AL38 H40:AL40 H43:AL43 H45:AL45 H47:AL47 H50:AL50 H52:AL52 H54:AL54 H57:AL57 H59:AL59 H66:AL66 H68:AL68 H71:AL71 H73:AL73">
    <cfRule type="expression" dxfId="1497" priority="229">
      <formula>H$9&gt;$C$7</formula>
    </cfRule>
  </conditionalFormatting>
  <conditionalFormatting sqref="H61:AL61">
    <cfRule type="cellIs" dxfId="1496" priority="15" operator="greaterThanOrEqual">
      <formula>H60</formula>
    </cfRule>
    <cfRule type="cellIs" dxfId="1495" priority="14" operator="lessThan">
      <formula>H60</formula>
    </cfRule>
    <cfRule type="expression" dxfId="1494" priority="13">
      <formula>H60=""</formula>
    </cfRule>
  </conditionalFormatting>
  <conditionalFormatting sqref="H64:AL64">
    <cfRule type="cellIs" dxfId="1493" priority="8" operator="lessThan">
      <formula>H63</formula>
    </cfRule>
    <cfRule type="cellIs" dxfId="1492" priority="9" operator="greaterThanOrEqual">
      <formula>H63</formula>
    </cfRule>
    <cfRule type="cellIs" dxfId="1491" priority="10" operator="greaterThanOrEqual">
      <formula>2</formula>
    </cfRule>
    <cfRule type="cellIs" dxfId="1490" priority="11" operator="between">
      <formula>1.6</formula>
      <formula>2</formula>
    </cfRule>
    <cfRule type="cellIs" dxfId="1489" priority="12" operator="greaterThanOrEqual">
      <formula>0.6</formula>
    </cfRule>
    <cfRule type="expression" dxfId="1488" priority="7">
      <formula>H63=""</formula>
    </cfRule>
  </conditionalFormatting>
  <conditionalFormatting sqref="H75:AL75 H78:AL78 H80:AL80">
    <cfRule type="expression" dxfId="1487" priority="189">
      <formula>H$9&gt;$C$7</formula>
    </cfRule>
  </conditionalFormatting>
  <conditionalFormatting sqref="H75:AL75">
    <cfRule type="cellIs" dxfId="1486" priority="200" operator="lessThan">
      <formula>H74</formula>
    </cfRule>
    <cfRule type="cellIs" dxfId="1485" priority="201" operator="greaterThanOrEqual">
      <formula>H74</formula>
    </cfRule>
    <cfRule type="expression" dxfId="1484" priority="199">
      <formula>H74=""</formula>
    </cfRule>
  </conditionalFormatting>
  <conditionalFormatting sqref="H78:AL78">
    <cfRule type="cellIs" dxfId="1483" priority="196" operator="greaterThanOrEqual">
      <formula>2</formula>
    </cfRule>
    <cfRule type="cellIs" dxfId="1482" priority="194" operator="lessThan">
      <formula>H77</formula>
    </cfRule>
    <cfRule type="cellIs" dxfId="1481" priority="195" operator="greaterThanOrEqual">
      <formula>H77</formula>
    </cfRule>
    <cfRule type="expression" dxfId="1480" priority="190">
      <formula>H77=""</formula>
    </cfRule>
    <cfRule type="cellIs" dxfId="1479" priority="198" operator="greaterThanOrEqual">
      <formula>0.6</formula>
    </cfRule>
    <cfRule type="cellIs" dxfId="1478" priority="197" operator="between">
      <formula>1.6</formula>
      <formula>2</formula>
    </cfRule>
  </conditionalFormatting>
  <conditionalFormatting sqref="H80:AL80">
    <cfRule type="cellIs" dxfId="1477" priority="193" operator="greaterThanOrEqual">
      <formula>H79</formula>
    </cfRule>
    <cfRule type="cellIs" dxfId="1476" priority="192" operator="lessThan">
      <formula>H79</formula>
    </cfRule>
    <cfRule type="expression" dxfId="1475" priority="191">
      <formula>H79=""</formula>
    </cfRule>
  </conditionalFormatting>
  <conditionalFormatting sqref="H82:AL82 H85:AL85 H87:AL87">
    <cfRule type="expression" dxfId="1474" priority="163">
      <formula>H$9&gt;$C$7</formula>
    </cfRule>
  </conditionalFormatting>
  <conditionalFormatting sqref="H82:AL82">
    <cfRule type="expression" dxfId="1473" priority="173">
      <formula>H81=""</formula>
    </cfRule>
    <cfRule type="cellIs" dxfId="1472" priority="175" operator="greaterThanOrEqual">
      <formula>H81</formula>
    </cfRule>
    <cfRule type="cellIs" dxfId="1471" priority="174" operator="lessThan">
      <formula>H81</formula>
    </cfRule>
  </conditionalFormatting>
  <conditionalFormatting sqref="H85:AL85">
    <cfRule type="cellIs" dxfId="1470" priority="169" operator="greaterThanOrEqual">
      <formula>H84</formula>
    </cfRule>
    <cfRule type="cellIs" dxfId="1469" priority="170" operator="greaterThanOrEqual">
      <formula>2</formula>
    </cfRule>
    <cfRule type="cellIs" dxfId="1468" priority="171" operator="between">
      <formula>1.6</formula>
      <formula>2</formula>
    </cfRule>
    <cfRule type="expression" dxfId="1467" priority="164">
      <formula>H84=""</formula>
    </cfRule>
    <cfRule type="cellIs" dxfId="1466" priority="168" operator="lessThan">
      <formula>H84</formula>
    </cfRule>
    <cfRule type="cellIs" dxfId="1465" priority="172" operator="greaterThanOrEqual">
      <formula>0.6</formula>
    </cfRule>
  </conditionalFormatting>
  <conditionalFormatting sqref="H87:AL87">
    <cfRule type="cellIs" dxfId="1464" priority="167" operator="greaterThanOrEqual">
      <formula>H86</formula>
    </cfRule>
    <cfRule type="expression" dxfId="1463" priority="165">
      <formula>H86=""</formula>
    </cfRule>
    <cfRule type="cellIs" dxfId="1462" priority="166" operator="lessThan">
      <formula>H86</formula>
    </cfRule>
  </conditionalFormatting>
  <conditionalFormatting sqref="H89:AL89 H92:AL92 H94:AL94">
    <cfRule type="expression" dxfId="1461" priority="137">
      <formula>H$9&gt;$C$7</formula>
    </cfRule>
  </conditionalFormatting>
  <conditionalFormatting sqref="H89:AL89">
    <cfRule type="cellIs" dxfId="1460" priority="148" operator="lessThan">
      <formula>H88</formula>
    </cfRule>
    <cfRule type="expression" dxfId="1459" priority="147">
      <formula>H88=""</formula>
    </cfRule>
    <cfRule type="cellIs" dxfId="1458" priority="149" operator="greaterThanOrEqual">
      <formula>H88</formula>
    </cfRule>
  </conditionalFormatting>
  <conditionalFormatting sqref="H92:AL92">
    <cfRule type="cellIs" dxfId="1457" priority="142" operator="lessThan">
      <formula>H91</formula>
    </cfRule>
    <cfRule type="expression" dxfId="1456" priority="138">
      <formula>H91=""</formula>
    </cfRule>
    <cfRule type="cellIs" dxfId="1455" priority="143" operator="greaterThanOrEqual">
      <formula>H91</formula>
    </cfRule>
    <cfRule type="cellIs" dxfId="1454" priority="144" operator="greaterThanOrEqual">
      <formula>2</formula>
    </cfRule>
    <cfRule type="cellIs" dxfId="1453" priority="145" operator="between">
      <formula>1.6</formula>
      <formula>2</formula>
    </cfRule>
    <cfRule type="cellIs" dxfId="1452" priority="146" operator="greaterThanOrEqual">
      <formula>0.6</formula>
    </cfRule>
  </conditionalFormatting>
  <conditionalFormatting sqref="H94:AL94">
    <cfRule type="cellIs" dxfId="1451" priority="141" operator="greaterThanOrEqual">
      <formula>H93</formula>
    </cfRule>
    <cfRule type="cellIs" dxfId="1450" priority="140" operator="lessThan">
      <formula>H93</formula>
    </cfRule>
    <cfRule type="expression" dxfId="1449" priority="139">
      <formula>H93=""</formula>
    </cfRule>
  </conditionalFormatting>
  <conditionalFormatting sqref="H96:AL96 H101:AL101">
    <cfRule type="expression" dxfId="1448" priority="117">
      <formula>H$9&gt;$C$7</formula>
    </cfRule>
  </conditionalFormatting>
  <conditionalFormatting sqref="H96:AL96">
    <cfRule type="cellIs" dxfId="1447" priority="123" operator="greaterThanOrEqual">
      <formula>H95</formula>
    </cfRule>
    <cfRule type="cellIs" dxfId="1446" priority="122" operator="lessThan">
      <formula>H95</formula>
    </cfRule>
    <cfRule type="expression" dxfId="1445" priority="121">
      <formula>H95=""</formula>
    </cfRule>
  </conditionalFormatting>
  <conditionalFormatting sqref="H99:AL99">
    <cfRule type="cellIs" dxfId="1444" priority="53" operator="between">
      <formula>1.6</formula>
      <formula>2</formula>
    </cfRule>
    <cfRule type="cellIs" dxfId="1443" priority="54" operator="greaterThanOrEqual">
      <formula>0.6</formula>
    </cfRule>
    <cfRule type="cellIs" dxfId="1442" priority="52" operator="greaterThanOrEqual">
      <formula>2</formula>
    </cfRule>
    <cfRule type="cellIs" dxfId="1441" priority="51" operator="greaterThanOrEqual">
      <formula>H98</formula>
    </cfRule>
    <cfRule type="cellIs" dxfId="1440" priority="50" operator="lessThan">
      <formula>H98</formula>
    </cfRule>
    <cfRule type="expression" dxfId="1439" priority="49">
      <formula>H98=""</formula>
    </cfRule>
    <cfRule type="expression" dxfId="1438" priority="48">
      <formula>H$9&gt;$C$7</formula>
    </cfRule>
  </conditionalFormatting>
  <conditionalFormatting sqref="H101:AL101">
    <cfRule type="expression" dxfId="1437" priority="118">
      <formula>H100=""</formula>
    </cfRule>
    <cfRule type="cellIs" dxfId="1436" priority="119" operator="lessThan">
      <formula>H100</formula>
    </cfRule>
    <cfRule type="cellIs" dxfId="1435" priority="120" operator="greaterThanOrEqual">
      <formula>H100</formula>
    </cfRule>
  </conditionalFormatting>
  <conditionalFormatting sqref="H106:AL106">
    <cfRule type="cellIs" dxfId="1434" priority="100" operator="greaterThanOrEqual">
      <formula>0.6</formula>
    </cfRule>
    <cfRule type="expression" dxfId="1433" priority="92">
      <formula>H105=""</formula>
    </cfRule>
    <cfRule type="cellIs" dxfId="1432" priority="96" operator="lessThan">
      <formula>H105</formula>
    </cfRule>
    <cfRule type="cellIs" dxfId="1431" priority="97" operator="greaterThanOrEqual">
      <formula>H105</formula>
    </cfRule>
    <cfRule type="cellIs" dxfId="1430" priority="98" operator="greaterThanOrEqual">
      <formula>2</formula>
    </cfRule>
    <cfRule type="cellIs" dxfId="1429" priority="99" operator="between">
      <formula>1.6</formula>
      <formula>2</formula>
    </cfRule>
  </conditionalFormatting>
  <conditionalFormatting sqref="H108:AL108">
    <cfRule type="cellIs" dxfId="1428" priority="94" operator="lessThan">
      <formula>H107</formula>
    </cfRule>
    <cfRule type="expression" dxfId="1427" priority="93">
      <formula>H107=""</formula>
    </cfRule>
    <cfRule type="cellIs" dxfId="1426" priority="95" operator="greaterThanOrEqual">
      <formula>H107</formula>
    </cfRule>
  </conditionalFormatting>
  <conditionalFormatting sqref="H110:AL110">
    <cfRule type="cellIs" dxfId="1425" priority="77" operator="greaterThanOrEqual">
      <formula>H109</formula>
    </cfRule>
    <cfRule type="cellIs" dxfId="1424" priority="76" operator="lessThan">
      <formula>H109</formula>
    </cfRule>
    <cfRule type="expression" dxfId="1423" priority="75">
      <formula>H109=""</formula>
    </cfRule>
  </conditionalFormatting>
  <conditionalFormatting sqref="H113:AL113">
    <cfRule type="cellIs" dxfId="1422" priority="74" operator="greaterThanOrEqual">
      <formula>0.6</formula>
    </cfRule>
    <cfRule type="cellIs" dxfId="1421" priority="73" operator="between">
      <formula>1.6</formula>
      <formula>2</formula>
    </cfRule>
    <cfRule type="cellIs" dxfId="1420" priority="72" operator="greaterThanOrEqual">
      <formula>2</formula>
    </cfRule>
    <cfRule type="cellIs" dxfId="1419" priority="71" operator="greaterThanOrEqual">
      <formula>H112</formula>
    </cfRule>
    <cfRule type="cellIs" dxfId="1418" priority="70" operator="lessThan">
      <formula>H112</formula>
    </cfRule>
    <cfRule type="expression" dxfId="1417" priority="66">
      <formula>H112=""</formula>
    </cfRule>
  </conditionalFormatting>
  <conditionalFormatting sqref="H115:AL115 H122:AL122">
    <cfRule type="cellIs" dxfId="1416" priority="69" operator="greaterThanOrEqual">
      <formula>H114</formula>
    </cfRule>
    <cfRule type="cellIs" dxfId="1415" priority="68" operator="lessThan">
      <formula>H114</formula>
    </cfRule>
    <cfRule type="expression" dxfId="1414" priority="67">
      <formula>H114=""</formula>
    </cfRule>
  </conditionalFormatting>
  <conditionalFormatting sqref="H117:AL117 H120:AL120 H110:AL110 H113:AL113 H115:AL115 H122:AL122">
    <cfRule type="expression" dxfId="1413" priority="65">
      <formula>H$9&gt;$C$7</formula>
    </cfRule>
  </conditionalFormatting>
  <conditionalFormatting sqref="H117:AL117">
    <cfRule type="cellIs" dxfId="1412" priority="32" operator="lessThan">
      <formula>H116</formula>
    </cfRule>
    <cfRule type="cellIs" dxfId="1411" priority="33" operator="greaterThanOrEqual">
      <formula>H116</formula>
    </cfRule>
    <cfRule type="expression" dxfId="1410" priority="31">
      <formula>H116=""</formula>
    </cfRule>
  </conditionalFormatting>
  <conditionalFormatting sqref="H120:AL120">
    <cfRule type="cellIs" dxfId="1409" priority="26" operator="lessThan">
      <formula>H119</formula>
    </cfRule>
    <cfRule type="expression" dxfId="1408" priority="25">
      <formula>H119=""</formula>
    </cfRule>
    <cfRule type="cellIs" dxfId="1407" priority="29" operator="between">
      <formula>1.6</formula>
      <formula>2</formula>
    </cfRule>
    <cfRule type="cellIs" dxfId="1406" priority="28" operator="greaterThanOrEqual">
      <formula>2</formula>
    </cfRule>
    <cfRule type="cellIs" dxfId="1405" priority="27" operator="greaterThanOrEqual">
      <formula>H119</formula>
    </cfRule>
    <cfRule type="cellIs" dxfId="1404" priority="30" operator="greaterThanOrEqual">
      <formula>0.6</formula>
    </cfRule>
  </conditionalFormatting>
  <conditionalFormatting sqref="I13:AL13">
    <cfRule type="cellIs" dxfId="1403" priority="245" operator="greaterThanOrEqual">
      <formula>0.6</formula>
    </cfRule>
  </conditionalFormatting>
  <conditionalFormatting sqref="I15:AL15">
    <cfRule type="cellIs" dxfId="1402" priority="242" operator="lessThan">
      <formula>I14</formula>
    </cfRule>
    <cfRule type="cellIs" dxfId="1401" priority="243" operator="greaterThanOrEqual">
      <formula>I14</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C1CA0-63DE-46B7-B31E-5729DFF8F7D2}">
  <sheetPr>
    <pageSetUpPr fitToPage="1"/>
  </sheetPr>
  <dimension ref="A1:AM143"/>
  <sheetViews>
    <sheetView showGridLines="0" topLeftCell="A6" zoomScale="84" zoomScaleNormal="88" workbookViewId="0">
      <pane xSplit="8" ySplit="12" topLeftCell="I18" activePane="bottomRight" state="frozen"/>
      <selection pane="topRight" activeCell="I6" sqref="I6"/>
      <selection pane="bottomLeft" activeCell="A18" sqref="A18"/>
      <selection pane="bottomRight" activeCell="C7" sqref="C7"/>
    </sheetView>
  </sheetViews>
  <sheetFormatPr defaultColWidth="9" defaultRowHeight="13.5" x14ac:dyDescent="0.25"/>
  <cols>
    <col min="1" max="1" width="3.140625" style="1073" bestFit="1" customWidth="1"/>
    <col min="2" max="2" width="24.28515625" style="1073" customWidth="1"/>
    <col min="3" max="3" width="15.140625" style="1073" bestFit="1" customWidth="1"/>
    <col min="4" max="4" width="9.28515625" style="1117" customWidth="1"/>
    <col min="5" max="5" width="12.140625" style="1118" customWidth="1"/>
    <col min="6" max="7" width="9.140625" style="1114" customWidth="1"/>
    <col min="8" max="10" width="7.28515625" style="1081" customWidth="1"/>
    <col min="11" max="38" width="7.28515625" style="1073" customWidth="1"/>
    <col min="39" max="39" width="33.28515625" style="1073" bestFit="1" customWidth="1"/>
    <col min="40" max="40" width="9" style="1073"/>
    <col min="41" max="41" width="4" style="1073" bestFit="1" customWidth="1"/>
    <col min="42" max="42" width="12" style="1073" bestFit="1" customWidth="1"/>
    <col min="43" max="16383" width="9" style="1073"/>
    <col min="16384" max="16384" width="9" style="1073" customWidth="1"/>
  </cols>
  <sheetData>
    <row r="1" spans="2:38" s="1022" customFormat="1" ht="14.25" thickBot="1" x14ac:dyDescent="0.3">
      <c r="D1" s="1038"/>
      <c r="E1" s="1033"/>
      <c r="F1" s="1027"/>
      <c r="G1" s="1027"/>
    </row>
    <row r="2" spans="2:38" s="1022" customFormat="1" ht="15.75" thickBot="1" x14ac:dyDescent="0.3">
      <c r="B2" s="1026" t="s">
        <v>221</v>
      </c>
      <c r="D2" s="1020"/>
      <c r="H2" s="1647" t="s">
        <v>310</v>
      </c>
      <c r="I2" s="1648"/>
      <c r="K2" s="1647" t="s">
        <v>311</v>
      </c>
      <c r="L2" s="1649"/>
      <c r="M2" s="1649"/>
      <c r="N2" s="1648"/>
      <c r="P2" s="1086" t="s">
        <v>312</v>
      </c>
      <c r="Q2" s="1087"/>
      <c r="R2" s="1088"/>
    </row>
    <row r="3" spans="2:38" s="1022" customFormat="1" ht="15" x14ac:dyDescent="0.25">
      <c r="B3" s="1031" t="s">
        <v>313</v>
      </c>
      <c r="D3" s="1038"/>
      <c r="H3" s="1650" t="s">
        <v>314</v>
      </c>
      <c r="I3" s="1651"/>
      <c r="K3" s="1652" t="s">
        <v>315</v>
      </c>
      <c r="L3" s="1653"/>
      <c r="M3" s="1653"/>
      <c r="N3" s="1654"/>
      <c r="P3" s="1034" t="s">
        <v>316</v>
      </c>
      <c r="Q3" s="1035"/>
      <c r="R3" s="1036"/>
    </row>
    <row r="4" spans="2:38" s="1022" customFormat="1" ht="14.85" customHeight="1" thickBot="1" x14ac:dyDescent="0.3">
      <c r="B4" s="1037" t="s">
        <v>317</v>
      </c>
      <c r="D4" s="1038"/>
      <c r="H4" s="1655" t="s">
        <v>318</v>
      </c>
      <c r="I4" s="1656"/>
      <c r="K4" s="1657" t="s">
        <v>319</v>
      </c>
      <c r="L4" s="1658"/>
      <c r="M4" s="1658"/>
      <c r="N4" s="1659"/>
      <c r="P4" s="249" t="s">
        <v>320</v>
      </c>
      <c r="Q4" s="250"/>
      <c r="R4" s="1039"/>
    </row>
    <row r="5" spans="2:38" s="1022" customFormat="1" ht="14.85" customHeight="1" x14ac:dyDescent="0.25">
      <c r="B5" s="1040"/>
      <c r="D5" s="1038"/>
      <c r="K5" s="1640" t="s">
        <v>321</v>
      </c>
      <c r="L5" s="1641"/>
      <c r="M5" s="1641"/>
      <c r="N5" s="1642"/>
      <c r="P5" s="249" t="s">
        <v>322</v>
      </c>
      <c r="Q5" s="250"/>
      <c r="R5" s="1039"/>
    </row>
    <row r="6" spans="2:38" s="1022" customFormat="1" ht="15" customHeight="1" thickBot="1" x14ac:dyDescent="0.3">
      <c r="B6" s="1042" t="s">
        <v>323</v>
      </c>
      <c r="C6" s="1043">
        <f>[2]SUMMARY!$C$6</f>
        <v>45809</v>
      </c>
      <c r="D6" s="1038"/>
      <c r="K6" s="1643" t="s">
        <v>324</v>
      </c>
      <c r="L6" s="1644"/>
      <c r="M6" s="1644"/>
      <c r="N6" s="1645"/>
      <c r="P6" s="249" t="s">
        <v>325</v>
      </c>
      <c r="Q6" s="250"/>
      <c r="R6" s="1039"/>
    </row>
    <row r="7" spans="2:38" s="1022" customFormat="1" ht="14.25" thickBot="1" x14ac:dyDescent="0.3">
      <c r="B7" s="1042" t="s">
        <v>326</v>
      </c>
      <c r="C7" s="1045">
        <f>[2]SUMMARY!C7</f>
        <v>30</v>
      </c>
      <c r="D7" s="1038"/>
      <c r="E7" s="1033"/>
      <c r="F7" s="1027"/>
      <c r="G7" s="1027"/>
      <c r="H7" s="1041"/>
      <c r="I7" s="1020"/>
      <c r="J7" s="1020"/>
      <c r="P7" s="256" t="s">
        <v>327</v>
      </c>
      <c r="Q7" s="257"/>
      <c r="R7" s="1047"/>
    </row>
    <row r="8" spans="2:38" s="1022" customFormat="1" ht="14.25" thickBot="1" x14ac:dyDescent="0.3">
      <c r="B8" s="1089"/>
      <c r="C8" s="1089"/>
      <c r="D8" s="1090"/>
      <c r="E8" s="1089"/>
      <c r="F8" s="1089"/>
      <c r="G8" s="1089"/>
      <c r="H8" s="1089"/>
      <c r="I8" s="1089"/>
      <c r="J8" s="1089"/>
      <c r="K8" s="1091"/>
    </row>
    <row r="9" spans="2:38" s="1020" customFormat="1" ht="14.25" thickBot="1" x14ac:dyDescent="0.3">
      <c r="B9" s="1048" t="s">
        <v>269</v>
      </c>
      <c r="C9" s="1049" t="s">
        <v>303</v>
      </c>
      <c r="D9" s="1050" t="s">
        <v>32</v>
      </c>
      <c r="E9" s="1051" t="s">
        <v>262</v>
      </c>
      <c r="G9" s="263" t="s">
        <v>328</v>
      </c>
      <c r="H9" s="1052">
        <v>1</v>
      </c>
      <c r="I9" s="1053">
        <v>2</v>
      </c>
      <c r="J9" s="1053">
        <v>3</v>
      </c>
      <c r="K9" s="1053">
        <v>4</v>
      </c>
      <c r="L9" s="1053">
        <v>5</v>
      </c>
      <c r="M9" s="1053">
        <v>6</v>
      </c>
      <c r="N9" s="1053">
        <v>7</v>
      </c>
      <c r="O9" s="1053">
        <v>8</v>
      </c>
      <c r="P9" s="1092">
        <v>9</v>
      </c>
      <c r="Q9" s="1053">
        <v>10</v>
      </c>
      <c r="R9" s="1053">
        <v>11</v>
      </c>
      <c r="S9" s="1092">
        <v>12</v>
      </c>
      <c r="T9" s="1092">
        <v>13</v>
      </c>
      <c r="U9" s="1053">
        <v>14</v>
      </c>
      <c r="V9" s="1053">
        <v>15</v>
      </c>
      <c r="W9" s="1053">
        <v>16</v>
      </c>
      <c r="X9" s="1053">
        <v>17</v>
      </c>
      <c r="Y9" s="1053">
        <v>18</v>
      </c>
      <c r="Z9" s="1053">
        <v>19</v>
      </c>
      <c r="AA9" s="1053">
        <v>20</v>
      </c>
      <c r="AB9" s="1053">
        <v>21</v>
      </c>
      <c r="AC9" s="1053">
        <v>22</v>
      </c>
      <c r="AD9" s="1053">
        <v>23</v>
      </c>
      <c r="AE9" s="1053">
        <v>24</v>
      </c>
      <c r="AF9" s="1053">
        <v>25</v>
      </c>
      <c r="AG9" s="1053">
        <v>26</v>
      </c>
      <c r="AH9" s="1053">
        <v>27</v>
      </c>
      <c r="AI9" s="1053">
        <v>28</v>
      </c>
      <c r="AJ9" s="1053">
        <v>29</v>
      </c>
      <c r="AK9" s="1053">
        <v>30</v>
      </c>
      <c r="AL9" s="1054">
        <v>31</v>
      </c>
    </row>
    <row r="10" spans="2:38" s="1022" customFormat="1" x14ac:dyDescent="0.25">
      <c r="B10" s="1055" t="s">
        <v>329</v>
      </c>
      <c r="C10" s="269">
        <f>SUM(H10:AL10)</f>
        <v>28070</v>
      </c>
      <c r="D10" s="270">
        <f>SUM(H11:AL11)</f>
        <v>27231</v>
      </c>
      <c r="E10" s="271">
        <f>IFERROR((D10-C10)/C10,0)</f>
        <v>-2.9889561809761312E-2</v>
      </c>
      <c r="F10" s="1027"/>
      <c r="G10" s="272" t="s">
        <v>330</v>
      </c>
      <c r="H10" s="273">
        <f>IF(H$9&gt;$C$7,"",SUMIF($E$18:$E307,"Budget (t)",H$18:H307))</f>
        <v>882</v>
      </c>
      <c r="I10" s="275">
        <f>IF(I$9&gt;$C$7,"",SUMIF($E$18:$E307,"Budget (t)",I$18:I307))</f>
        <v>882</v>
      </c>
      <c r="J10" s="687">
        <f>IF(J$9&gt;$C$7,"",SUMIF($E$18:$E307,"Budget (t)",J$18:J307))</f>
        <v>882</v>
      </c>
      <c r="K10" s="274">
        <f>IF(K$9&gt;$C$7,"",SUMIF($E$18:$E307,"Budget (t)",K$18:K307))</f>
        <v>882</v>
      </c>
      <c r="L10" s="274">
        <f>IF(L$9&gt;$C$7,"",SUMIF($E$18:$E307,"Budget (t)",L$18:L307))</f>
        <v>882</v>
      </c>
      <c r="M10" s="274">
        <f>IF(M$9&gt;$C$7,"",SUMIF($E$18:$E307,"Budget (t)",M$18:M307))</f>
        <v>882</v>
      </c>
      <c r="N10" s="274">
        <f>IF(N$9&gt;$C$7,"",SUMIF($E$18:$E307,"Budget (t)",N$18:N307))</f>
        <v>882</v>
      </c>
      <c r="O10" s="274">
        <f>IF(O$9&gt;$C$7,"",SUMIF($E$18:$E307,"Budget (t)",O$18:O307))</f>
        <v>952</v>
      </c>
      <c r="P10" s="274">
        <f>IF(P$9&gt;$C$7,"",SUMIF($E$18:$E307,"Budget (t)",P$18:P307))</f>
        <v>952</v>
      </c>
      <c r="Q10" s="275">
        <f>IF(Q$9&gt;$C$7,"",SUMIF($E$18:$E307,"Budget (t)",Q$18:Q307))</f>
        <v>952</v>
      </c>
      <c r="R10" s="275">
        <f>IF(R$9&gt;$C$7,"",SUMIF($E$18:$E307,"Budget (t)",R$18:R307))</f>
        <v>952</v>
      </c>
      <c r="S10" s="274">
        <f>IF(S$9&gt;$C$7,"",SUMIF($E$18:$E307,"Budget (t)",S$18:S307))</f>
        <v>952</v>
      </c>
      <c r="T10" s="274">
        <f>IF(T$9&gt;$C$7,"",SUMIF($E$18:$E307,"Budget (t)",T$18:T307))</f>
        <v>952</v>
      </c>
      <c r="U10" s="274">
        <f>IF(U$9&gt;$C$7,"",SUMIF($E$18:$E307,"Budget (t)",U$18:U307))</f>
        <v>952</v>
      </c>
      <c r="V10" s="274">
        <f>IF(V$9&gt;$C$7,"",SUMIF($E$18:$E307,"Budget (t)",V$18:V307))</f>
        <v>952</v>
      </c>
      <c r="W10" s="274">
        <f>IF(W$9&gt;$C$7,"",SUMIF($E$18:$E307,"Budget (t)",W$18:W307))</f>
        <v>952</v>
      </c>
      <c r="X10" s="274">
        <f>IF(X$9&gt;$C$7,"",SUMIF($E$18:$E307,"Budget (t)",X$18:X307))</f>
        <v>952</v>
      </c>
      <c r="Y10" s="274">
        <f>IF(Y$9&gt;$C$7,"",SUMIF($E$18:$E307,"Budget (t)",Y$18:Y307))</f>
        <v>952</v>
      </c>
      <c r="Z10" s="274">
        <f>IF(Z$9&gt;$C$7,"",SUMIF($E$18:$E307,"Budget (t)",Z$18:Z307))</f>
        <v>952</v>
      </c>
      <c r="AA10" s="274">
        <f>IF(AA$9&gt;$C$7,"",SUMIF($E$18:$E307,"Budget (t)",AA$18:AA307))</f>
        <v>952</v>
      </c>
      <c r="AB10" s="274">
        <f>IF(AB$9&gt;$C$7,"",SUMIF($E$18:$E307,"Budget (t)",AB$18:AB307))</f>
        <v>952</v>
      </c>
      <c r="AC10" s="274">
        <f>IF(AC$9&gt;$C$7,"",SUMIF($E$18:$E307,"Budget (t)",AC$18:AC307))</f>
        <v>952</v>
      </c>
      <c r="AD10" s="274">
        <f>IF(AD$9&gt;$C$7,"",SUMIF($E$18:$E307,"Budget (t)",AD$18:AD307))</f>
        <v>952</v>
      </c>
      <c r="AE10" s="274">
        <f>IF(AE$9&gt;$C$7,"",SUMIF($E$18:$E307,"Budget (t)",AE$18:AE307))</f>
        <v>952</v>
      </c>
      <c r="AF10" s="274">
        <f>IF(AF$9&gt;$C$7,"",SUMIF($E$18:$E307,"Budget (t)",AF$18:AF307))</f>
        <v>952</v>
      </c>
      <c r="AG10" s="274">
        <f>IF(AG$9&gt;$C$7,"",SUMIF($E$18:$E307,"Budget (t)",AG$18:AG307))</f>
        <v>952</v>
      </c>
      <c r="AH10" s="274">
        <f>IF(AH$9&gt;$C$7,"",SUMIF($E$18:$E307,"Budget (t)",AH$18:AH307))</f>
        <v>952</v>
      </c>
      <c r="AI10" s="274">
        <f>IF(AI$9&gt;$C$7,"",SUMIF($E$18:$E307,"Budget (t)",AI$18:AI307))</f>
        <v>952</v>
      </c>
      <c r="AJ10" s="274">
        <f>IF(AJ$9&gt;$C$7,"",SUMIF($E$18:$E307,"Budget (t)",AJ$18:AJ307))</f>
        <v>952</v>
      </c>
      <c r="AK10" s="274">
        <f>IF(AK$9&gt;$C$7,"",SUMIF($E$18:$E307,"Budget (t)",AK$18:AK307))</f>
        <v>952</v>
      </c>
      <c r="AL10" s="276" t="str">
        <f>IF(AL$9&gt;$C$7,"",SUMIF($E$18:$E307,"Budget (t)",AL$18:AL307))</f>
        <v/>
      </c>
    </row>
    <row r="11" spans="2:38" s="1057" customFormat="1" ht="14.25" thickBot="1" x14ac:dyDescent="0.3">
      <c r="B11" s="1287" t="s">
        <v>2</v>
      </c>
      <c r="C11" s="1288">
        <f>IFERROR(C12*1000/C10,0)</f>
        <v>2.7942821517634489</v>
      </c>
      <c r="D11" s="786">
        <f>IFERROR(D12*1000/D10,0)</f>
        <v>3.098462414160331</v>
      </c>
      <c r="E11" s="1548">
        <f t="shared" ref="E11:E12" si="0">IFERROR((D11-C11)/C11,0)</f>
        <v>0.10885810590205303</v>
      </c>
      <c r="G11" s="263" t="s">
        <v>331</v>
      </c>
      <c r="H11" s="1289">
        <f>IF(H$9&gt;$C$7,"",SUMIF($E$18:$E307,"Actual (t)",H$18:H307))</f>
        <v>862</v>
      </c>
      <c r="I11" s="1290">
        <f>IF(I$9&gt;$C$7,"",SUMIF($E$18:$E307,"Actual (t)",I$18:I307))</f>
        <v>883</v>
      </c>
      <c r="J11" s="1290">
        <f>IF(J$9&gt;$C$7,"",SUMIF($E$18:$E307,"Actual (t)",J$18:J307))</f>
        <v>895</v>
      </c>
      <c r="K11" s="1290">
        <f>IF(K$9&gt;$C$7,"",SUMIF($E$18:$E307,"Actual (t)",K$18:K307))</f>
        <v>925</v>
      </c>
      <c r="L11" s="1290">
        <f>IF(L$9&gt;$C$7,"",SUMIF($E$18:$E307,"Actual (t)",L$18:L307))</f>
        <v>969</v>
      </c>
      <c r="M11" s="1290">
        <f>IF(M$9&gt;$C$7,"",SUMIF($E$18:$E307,"Actual (t)",M$18:M307))</f>
        <v>964</v>
      </c>
      <c r="N11" s="1290">
        <f>IF(N$9&gt;$C$7,"",SUMIF($E$18:$E307,"Actual (t)",N$18:N307))</f>
        <v>923</v>
      </c>
      <c r="O11" s="1290">
        <f>IF(O$9&gt;$C$7,"",SUMIF($E$18:$E307,"Actual (t)",O$18:O307))</f>
        <v>953</v>
      </c>
      <c r="P11" s="1290">
        <f>IF(P$9&gt;$C$7,"",SUMIF($E$18:$E307,"Actual (t)",P$18:P307))</f>
        <v>957</v>
      </c>
      <c r="Q11" s="1290">
        <f>IF(Q$9&gt;$C$7,"",SUMIF($E$18:$E307,"Actual (t)",Q$18:Q307))</f>
        <v>898</v>
      </c>
      <c r="R11" s="1290">
        <f>IF(R$9&gt;$C$7,"",SUMIF($E$18:$E307,"Actual (t)",R$18:R307))</f>
        <v>886</v>
      </c>
      <c r="S11" s="1290">
        <f>IF(S$9&gt;$C$7,"",SUMIF($E$18:$E307,"Actual (t)",S$18:S307))</f>
        <v>886</v>
      </c>
      <c r="T11" s="1290">
        <f>IF(T$9&gt;$C$7,"",SUMIF($E$18:$E307,"Actual (t)",T$18:T307))</f>
        <v>916</v>
      </c>
      <c r="U11" s="1290">
        <f>IF(U$9&gt;$C$7,"",SUMIF($E$18:$E307,"Actual (t)",U$18:U307))</f>
        <v>964</v>
      </c>
      <c r="V11" s="1290">
        <f>IF(V$9&gt;$C$7,"",SUMIF($E$18:$E307,"Actual (t)",V$18:V307))</f>
        <v>974</v>
      </c>
      <c r="W11" s="1290">
        <f>IF(W$9&gt;$C$7,"",SUMIF($E$18:$E307,"Actual (t)",W$18:W307))</f>
        <v>842</v>
      </c>
      <c r="X11" s="1290">
        <f>IF(X$9&gt;$C$7,"",SUMIF($E$18:$E307,"Actual (t)",X$18:X307))</f>
        <v>899</v>
      </c>
      <c r="Y11" s="1290">
        <f>IF(Y$9&gt;$C$7,"",SUMIF($E$18:$E307,"Actual (t)",Y$18:Y307))</f>
        <v>906</v>
      </c>
      <c r="Z11" s="1290">
        <f>IF(Z$9&gt;$C$7,"",SUMIF($E$18:$E307,"Actual (t)",Z$18:Z307))</f>
        <v>967</v>
      </c>
      <c r="AA11" s="1290">
        <f>IF(AA$9&gt;$C$7,"",SUMIF($E$18:$E307,"Actual (t)",AA$18:AA307))</f>
        <v>953</v>
      </c>
      <c r="AB11" s="1290">
        <f>IF(AB$9&gt;$C$7,"",SUMIF($E$18:$E307,"Actual (t)",AB$18:AB307))</f>
        <v>871</v>
      </c>
      <c r="AC11" s="1290">
        <f>IF(AC$9&gt;$C$7,"",SUMIF($E$18:$E307,"Actual (t)",AC$18:AC307))</f>
        <v>898</v>
      </c>
      <c r="AD11" s="1290">
        <f>IF(AD$9&gt;$C$7,"",SUMIF($E$18:$E307,"Actual (t)",AD$18:AD307))</f>
        <v>907</v>
      </c>
      <c r="AE11" s="1290">
        <f>IF(AE$9&gt;$C$7,"",SUMIF($E$18:$E307,"Actual (t)",AE$18:AE307))</f>
        <v>876</v>
      </c>
      <c r="AF11" s="1290">
        <f>IF(AF$9&gt;$C$7,"",SUMIF($E$18:$E307,"Actual (t)",AF$18:AF307))</f>
        <v>910</v>
      </c>
      <c r="AG11" s="1290">
        <f>IF(AG$9&gt;$C$7,"",SUMIF($E$18:$E307,"Actual (t)",AG$18:AG307))</f>
        <v>887</v>
      </c>
      <c r="AH11" s="1290">
        <f>IF(AH$9&gt;$C$7,"",SUMIF($E$18:$E307,"Actual (t)",AH$18:AH307))</f>
        <v>904</v>
      </c>
      <c r="AI11" s="1290">
        <f>IF(AI$9&gt;$C$7,"",SUMIF($E$18:$E307,"Actual (t)",AI$18:AI307))</f>
        <v>859</v>
      </c>
      <c r="AJ11" s="1290">
        <f>IF(AJ$9&gt;$C$7,"",SUMIF($E$18:$E307,"Actual (t)",AJ$18:AJ307))</f>
        <v>838</v>
      </c>
      <c r="AK11" s="1290">
        <f>IF(AK$9&gt;$C$7,"",SUMIF($E$18:$E307,"Actual (t)",AK$18:AK307))</f>
        <v>859</v>
      </c>
      <c r="AL11" s="1291" t="str">
        <f>IF(AL$9&gt;$C$7,"",SUMIF($E$18:$E307,"Actual (t)",AL$18:AL307))</f>
        <v/>
      </c>
    </row>
    <row r="12" spans="2:38" s="190" customFormat="1" ht="14.25" thickBot="1" x14ac:dyDescent="0.3">
      <c r="B12" s="1292" t="s">
        <v>3</v>
      </c>
      <c r="C12" s="1293">
        <f>SUM(H14:AL14)</f>
        <v>78.435500000000019</v>
      </c>
      <c r="D12" s="1294">
        <f>SUM(H15:AL15)</f>
        <v>84.374229999999969</v>
      </c>
      <c r="E12" s="1295">
        <f t="shared" si="0"/>
        <v>7.5714823007438578E-2</v>
      </c>
      <c r="G12" s="272" t="s">
        <v>332</v>
      </c>
      <c r="H12" s="277">
        <f t="shared" ref="H12:AL13" si="1">IFERROR(H14*1000/H10,"")</f>
        <v>2.8246825396825397</v>
      </c>
      <c r="I12" s="278">
        <f t="shared" si="1"/>
        <v>2.8246825396825397</v>
      </c>
      <c r="J12" s="278">
        <f t="shared" si="1"/>
        <v>2.8246825396825397</v>
      </c>
      <c r="K12" s="278">
        <f t="shared" si="1"/>
        <v>2.8246825396825397</v>
      </c>
      <c r="L12" s="278">
        <f t="shared" si="1"/>
        <v>2.8246825396825397</v>
      </c>
      <c r="M12" s="278">
        <f t="shared" si="1"/>
        <v>2.8246825396825397</v>
      </c>
      <c r="N12" s="278">
        <f t="shared" si="1"/>
        <v>2.8246825396825397</v>
      </c>
      <c r="O12" s="278">
        <f t="shared" si="1"/>
        <v>2.7846323529411769</v>
      </c>
      <c r="P12" s="278">
        <f t="shared" si="1"/>
        <v>2.7846323529411769</v>
      </c>
      <c r="Q12" s="279">
        <f t="shared" si="1"/>
        <v>2.7846323529411769</v>
      </c>
      <c r="R12" s="279">
        <f t="shared" si="1"/>
        <v>2.7846323529411769</v>
      </c>
      <c r="S12" s="278">
        <f t="shared" si="1"/>
        <v>2.7846323529411769</v>
      </c>
      <c r="T12" s="278">
        <f t="shared" si="1"/>
        <v>2.7846323529411769</v>
      </c>
      <c r="U12" s="278">
        <f t="shared" si="1"/>
        <v>2.7846323529411769</v>
      </c>
      <c r="V12" s="278">
        <f t="shared" si="1"/>
        <v>2.7846323529411769</v>
      </c>
      <c r="W12" s="278">
        <f t="shared" si="1"/>
        <v>2.7846323529411769</v>
      </c>
      <c r="X12" s="278">
        <f t="shared" si="1"/>
        <v>2.7846323529411769</v>
      </c>
      <c r="Y12" s="278">
        <f t="shared" si="1"/>
        <v>2.7846323529411769</v>
      </c>
      <c r="Z12" s="278">
        <f t="shared" si="1"/>
        <v>2.7846323529411769</v>
      </c>
      <c r="AA12" s="278">
        <f t="shared" si="1"/>
        <v>2.8094222689075634</v>
      </c>
      <c r="AB12" s="278">
        <f t="shared" si="1"/>
        <v>2.7846323529411769</v>
      </c>
      <c r="AC12" s="278">
        <f t="shared" si="1"/>
        <v>2.7846323529411769</v>
      </c>
      <c r="AD12" s="278">
        <f t="shared" si="1"/>
        <v>2.7846323529411769</v>
      </c>
      <c r="AE12" s="278">
        <f t="shared" si="1"/>
        <v>2.7846323529411769</v>
      </c>
      <c r="AF12" s="278">
        <f t="shared" si="1"/>
        <v>2.7846323529411769</v>
      </c>
      <c r="AG12" s="278">
        <f t="shared" si="1"/>
        <v>2.7846323529411769</v>
      </c>
      <c r="AH12" s="278">
        <f t="shared" si="1"/>
        <v>2.7846323529411769</v>
      </c>
      <c r="AI12" s="278">
        <f t="shared" si="1"/>
        <v>2.7846323529411769</v>
      </c>
      <c r="AJ12" s="278">
        <f t="shared" si="1"/>
        <v>2.7846323529411769</v>
      </c>
      <c r="AK12" s="278">
        <f t="shared" si="1"/>
        <v>2.7846323529411769</v>
      </c>
      <c r="AL12" s="280" t="str">
        <f t="shared" si="1"/>
        <v/>
      </c>
    </row>
    <row r="13" spans="2:38" s="191" customFormat="1" ht="14.25" thickBot="1" x14ac:dyDescent="0.3">
      <c r="E13" s="281"/>
      <c r="G13" s="282" t="s">
        <v>333</v>
      </c>
      <c r="H13" s="1296">
        <f>IFERROR(H15*1000/H11,"")</f>
        <v>3.6683410672853829</v>
      </c>
      <c r="I13" s="1297">
        <f t="shared" si="1"/>
        <v>4.5693544733861842</v>
      </c>
      <c r="J13" s="1297">
        <f>IFERROR(J15*1000/J11,"")</f>
        <v>2.9833966480446925</v>
      </c>
      <c r="K13" s="1297">
        <f t="shared" si="1"/>
        <v>3.2892216216216212</v>
      </c>
      <c r="L13" s="1297">
        <f t="shared" si="1"/>
        <v>2.6118163054695556</v>
      </c>
      <c r="M13" s="1297">
        <f t="shared" si="1"/>
        <v>2.7890871369294605</v>
      </c>
      <c r="N13" s="1297">
        <f t="shared" si="1"/>
        <v>2.7052329360780063</v>
      </c>
      <c r="O13" s="1297">
        <f t="shared" si="1"/>
        <v>2.7808814270724036</v>
      </c>
      <c r="P13" s="1297">
        <f t="shared" si="1"/>
        <v>3.3109717868338557</v>
      </c>
      <c r="Q13" s="1297">
        <f t="shared" si="1"/>
        <v>2.9481737193763924</v>
      </c>
      <c r="R13" s="1297">
        <f t="shared" si="1"/>
        <v>2.3623363431151239</v>
      </c>
      <c r="S13" s="1297">
        <f t="shared" si="1"/>
        <v>2.2293453724604966</v>
      </c>
      <c r="T13" s="1297">
        <f t="shared" si="1"/>
        <v>2.9228493449781654</v>
      </c>
      <c r="U13" s="1297">
        <f t="shared" si="1"/>
        <v>3.341711618257261</v>
      </c>
      <c r="V13" s="1297">
        <f t="shared" si="1"/>
        <v>3.0432956878850104</v>
      </c>
      <c r="W13" s="1297">
        <f t="shared" si="1"/>
        <v>1.9488242280285037</v>
      </c>
      <c r="X13" s="1297">
        <f t="shared" si="1"/>
        <v>3.5625583982202449</v>
      </c>
      <c r="Y13" s="1297">
        <f t="shared" si="1"/>
        <v>2.8763686534216335</v>
      </c>
      <c r="Z13" s="1297">
        <f t="shared" si="1"/>
        <v>3.5714994829369182</v>
      </c>
      <c r="AA13" s="1297">
        <f t="shared" si="1"/>
        <v>2.5715949632738719</v>
      </c>
      <c r="AB13" s="1297">
        <f t="shared" si="1"/>
        <v>3.5092766934557984</v>
      </c>
      <c r="AC13" s="1297">
        <f t="shared" si="1"/>
        <v>3.2095545657015583</v>
      </c>
      <c r="AD13" s="1297">
        <f>IFERROR(AD15*1000/AD11,"")</f>
        <v>3.7323153252480701</v>
      </c>
      <c r="AE13" s="1297">
        <f t="shared" si="1"/>
        <v>3.6876369863013698</v>
      </c>
      <c r="AF13" s="1297">
        <f t="shared" si="1"/>
        <v>3.9121538461538461</v>
      </c>
      <c r="AG13" s="1297">
        <f t="shared" si="1"/>
        <v>2.527204058624577</v>
      </c>
      <c r="AH13" s="1297">
        <f t="shared" si="1"/>
        <v>3.562389380530973</v>
      </c>
      <c r="AI13" s="1297">
        <f t="shared" si="1"/>
        <v>3.0351105937136209</v>
      </c>
      <c r="AJ13" s="1297">
        <f t="shared" si="1"/>
        <v>3.0428520286396181</v>
      </c>
      <c r="AK13" s="1297">
        <f t="shared" si="1"/>
        <v>2.6348777648428405</v>
      </c>
      <c r="AL13" s="1298" t="str">
        <f t="shared" si="1"/>
        <v/>
      </c>
    </row>
    <row r="14" spans="2:38" s="192" customFormat="1" x14ac:dyDescent="0.25">
      <c r="G14" s="283" t="s">
        <v>334</v>
      </c>
      <c r="H14" s="284">
        <f>IF(H$9&gt;$C$7,"",SUMIF($E$18:$E307,"Budget (kg)",H$18:H307))</f>
        <v>2.4913699999999999</v>
      </c>
      <c r="I14" s="285">
        <f>IF(I$9&gt;$C$7,"",SUMIF($E$18:$E307,"Budget (kg)",I$18:I307))</f>
        <v>2.4913699999999999</v>
      </c>
      <c r="J14" s="285">
        <f>IF(J$9&gt;$C$7,"",SUMIF($E$18:$E307,"Budget (kg)",J$18:J307))</f>
        <v>2.4913699999999999</v>
      </c>
      <c r="K14" s="285">
        <f>IF(K$9&gt;$C$7,"",SUMIF($E$18:$E307,"Budget (kg)",K$18:K307))</f>
        <v>2.4913699999999999</v>
      </c>
      <c r="L14" s="285">
        <f>IF(L$9&gt;$C$7,"",SUMIF($E$18:$E307,"Budget (kg)",L$18:L307))</f>
        <v>2.4913699999999999</v>
      </c>
      <c r="M14" s="285">
        <f>IF(M$9&gt;$C$7,"",SUMIF($E$18:$E307,"Budget (kg)",M$18:M307))</f>
        <v>2.4913699999999999</v>
      </c>
      <c r="N14" s="285">
        <f>IF(N$9&gt;$C$7,"",SUMIF($E$18:$E307,"Budget (kg)",N$18:N307))</f>
        <v>2.4913699999999999</v>
      </c>
      <c r="O14" s="285">
        <f>IF(O$9&gt;$C$7,"",SUMIF($E$18:$E307,"Budget (kg)",O$18:O307))</f>
        <v>2.65097</v>
      </c>
      <c r="P14" s="285">
        <f>IF(P$9&gt;$C$7,"",SUMIF($E$18:$E307,"Budget (kg)",P$18:P307))</f>
        <v>2.65097</v>
      </c>
      <c r="Q14" s="286">
        <f>IF(Q$9&gt;$C$7,"",SUMIF($E$18:$E307,"Budget (kg)",Q$18:Q307))</f>
        <v>2.65097</v>
      </c>
      <c r="R14" s="286">
        <f>IF(R$9&gt;$C$7,"",SUMIF($E$18:$E307,"Budget (kg)",R$18:R307))</f>
        <v>2.65097</v>
      </c>
      <c r="S14" s="285">
        <f>IF(S$9&gt;$C$7,"",SUMIF($E$18:$E307,"Budget (kg)",S$18:S307))</f>
        <v>2.65097</v>
      </c>
      <c r="T14" s="285">
        <f>IF(T$9&gt;$C$7,"",SUMIF($E$18:$E307,"Budget (kg)",T$18:T307))</f>
        <v>2.65097</v>
      </c>
      <c r="U14" s="285">
        <f>IF(U$9&gt;$C$7,"",SUMIF($E$18:$E307,"Budget (kg)",U$18:U307))</f>
        <v>2.65097</v>
      </c>
      <c r="V14" s="285">
        <f>IF(V$9&gt;$C$7,"",SUMIF($E$18:$E307,"Budget (kg)",V$18:V307))</f>
        <v>2.65097</v>
      </c>
      <c r="W14" s="285">
        <f>IF(W$9&gt;$C$7,"",SUMIF($E$18:$E307,"Budget (kg)",W$18:W307))</f>
        <v>2.65097</v>
      </c>
      <c r="X14" s="285">
        <f>IF(X$9&gt;$C$7,"",SUMIF($E$18:$E307,"Budget (kg)",X$18:X307))</f>
        <v>2.65097</v>
      </c>
      <c r="Y14" s="285">
        <f>IF(Y$9&gt;$C$7,"",SUMIF($E$18:$E307,"Budget (kg)",Y$18:Y307))</f>
        <v>2.65097</v>
      </c>
      <c r="Z14" s="285">
        <f>IF(Z$9&gt;$C$7,"",SUMIF($E$18:$E307,"Budget (kg)",Z$18:Z307))</f>
        <v>2.65097</v>
      </c>
      <c r="AA14" s="285">
        <f>IF(AA$9&gt;$C$7,"",SUMIF($E$18:$E307,"Budget (kg)",AA$18:AA307))</f>
        <v>2.6745700000000001</v>
      </c>
      <c r="AB14" s="285">
        <f>IF(AB$9&gt;$C$7,"",SUMIF($E$18:$E307,"Budget (kg)",AB$18:AB307))</f>
        <v>2.65097</v>
      </c>
      <c r="AC14" s="285">
        <f>IF(AC$9&gt;$C$7,"",SUMIF($E$18:$E307,"Budget (kg)",AC$18:AC307))</f>
        <v>2.65097</v>
      </c>
      <c r="AD14" s="285">
        <f>IF(AD$9&gt;$C$7,"",SUMIF($E$18:$E307,"Budget (kg)",AD$18:AD307))</f>
        <v>2.65097</v>
      </c>
      <c r="AE14" s="285">
        <f>IF(AE$9&gt;$C$7,"",SUMIF($E$18:$E307,"Budget (kg)",AE$18:AE307))</f>
        <v>2.65097</v>
      </c>
      <c r="AF14" s="285">
        <f>IF(AF$9&gt;$C$7,"",SUMIF($E$18:$E307,"Budget (kg)",AF$18:AF307))</f>
        <v>2.65097</v>
      </c>
      <c r="AG14" s="285">
        <f>IF(AG$9&gt;$C$7,"",SUMIF($E$18:$E307,"Budget (kg)",AG$18:AG307))</f>
        <v>2.65097</v>
      </c>
      <c r="AH14" s="285">
        <f>IF(AH$9&gt;$C$7,"",SUMIF($E$18:$E307,"Budget (kg)",AH$18:AH307))</f>
        <v>2.65097</v>
      </c>
      <c r="AI14" s="285">
        <f>IF(AI$9&gt;$C$7,"",SUMIF($E$18:$E307,"Budget (kg)",AI$18:AI307))</f>
        <v>2.65097</v>
      </c>
      <c r="AJ14" s="285">
        <f>IF(AJ$9&gt;$C$7,"",SUMIF($E$18:$E307,"Budget (kg)",AJ$18:AJ307))</f>
        <v>2.65097</v>
      </c>
      <c r="AK14" s="285">
        <f>IF(AK$9&gt;$C$7,"",SUMIF($E$18:$E307,"Budget (kg)",AK$18:AK307))</f>
        <v>2.65097</v>
      </c>
      <c r="AL14" s="287" t="str">
        <f>IF(AL$9&gt;$C$7,"",SUMIF($E$18:$E307,"Budget (kg)",AL$18:AL307))</f>
        <v/>
      </c>
    </row>
    <row r="15" spans="2:38" s="191" customFormat="1" ht="14.25" thickBot="1" x14ac:dyDescent="0.3">
      <c r="G15" s="263" t="s">
        <v>335</v>
      </c>
      <c r="H15" s="1299">
        <f>IF(H$9&gt;$C$7,"",SUMIF($E$18:$E307,"Actual (kg)",H$18:H307))</f>
        <v>3.1621100000000002</v>
      </c>
      <c r="I15" s="1300">
        <f>IF(I$9&gt;$C$7,"",SUMIF($E$18:$E307,"Actual (kg)",I$18:I307))</f>
        <v>4.0347400000000002</v>
      </c>
      <c r="J15" s="1300">
        <f>IF(J$9&gt;$C$7,"",SUMIF($E$18:$E307,"Actual (kg)",J$18:J307))</f>
        <v>2.67014</v>
      </c>
      <c r="K15" s="1300">
        <f>IF(K$9&gt;$C$7,"",SUMIF($E$18:$E307,"Actual (kg)",K$18:K307))</f>
        <v>3.0425299999999997</v>
      </c>
      <c r="L15" s="1300">
        <f>IF(L$9&gt;$C$7,"",SUMIF($E$18:$E307,"Actual (kg)",L$18:L307))</f>
        <v>2.5308499999999996</v>
      </c>
      <c r="M15" s="1300">
        <f>IF(M$9&gt;$C$7,"",SUMIF($E$18:$E307,"Actual (kg)",M$18:M307))</f>
        <v>2.6886799999999997</v>
      </c>
      <c r="N15" s="1300">
        <f>IF(N$9&gt;$C$7,"",SUMIF($E$18:$E307,"Actual (kg)",N$18:N307))</f>
        <v>2.4969299999999999</v>
      </c>
      <c r="O15" s="1300">
        <f>IF(O$9&gt;$C$7,"",SUMIF($E$18:$E307,"Actual (kg)",O$18:O307))</f>
        <v>2.6501800000000006</v>
      </c>
      <c r="P15" s="1300">
        <f>IF(P$9&gt;$C$7,"",SUMIF($E$18:$E307,"Actual (kg)",P$18:P307))</f>
        <v>3.1686000000000001</v>
      </c>
      <c r="Q15" s="1300">
        <f>IF(Q$9&gt;$C$7,"",SUMIF($E$18:$E307,"Actual (kg)",Q$18:Q307))</f>
        <v>2.6474600000000006</v>
      </c>
      <c r="R15" s="1300">
        <f>IF(R$9&gt;$C$7,"",SUMIF($E$18:$E307,"Actual (kg)",R$18:R307))</f>
        <v>2.0930299999999997</v>
      </c>
      <c r="S15" s="1300">
        <f>IF(S$9&gt;$C$7,"",SUMIF($E$18:$E307,"Actual (kg)",S$18:S307))</f>
        <v>1.9752000000000001</v>
      </c>
      <c r="T15" s="1300">
        <f>IF(T$9&gt;$C$7,"",SUMIF($E$18:$E307,"Actual (kg)",T$18:T307))</f>
        <v>2.6773299999999995</v>
      </c>
      <c r="U15" s="1300">
        <f>IF(U$9&gt;$C$7,"",SUMIF($E$18:$E307,"Actual (kg)",U$18:U307))</f>
        <v>3.2214099999999997</v>
      </c>
      <c r="V15" s="1300">
        <f>IF(V$9&gt;$C$7,"",SUMIF($E$18:$E307,"Actual (kg)",V$18:V307))</f>
        <v>2.9641700000000002</v>
      </c>
      <c r="W15" s="1300">
        <f>IF(W$9&gt;$C$7,"",SUMIF($E$18:$E307,"Actual (kg)",W$18:W307))</f>
        <v>1.6409100000000001</v>
      </c>
      <c r="X15" s="1300">
        <f>IF(X$9&gt;$C$7,"",SUMIF($E$18:$E307,"Actual (kg)",X$18:X307))</f>
        <v>3.2027400000000004</v>
      </c>
      <c r="Y15" s="1300">
        <f>IF(Y$9&gt;$C$7,"",SUMIF($E$18:$E307,"Actual (kg)",Y$18:Y307))</f>
        <v>2.6059899999999998</v>
      </c>
      <c r="Z15" s="1300">
        <f>IF(Z$9&gt;$C$7,"",SUMIF($E$18:$E307,"Actual (kg)",Z$18:Z307))</f>
        <v>3.45364</v>
      </c>
      <c r="AA15" s="1300">
        <f>IF(AA$9&gt;$C$7,"",SUMIF($E$18:$E307,"Actual (kg)",AA$18:AA307))</f>
        <v>2.4507300000000001</v>
      </c>
      <c r="AB15" s="1300">
        <f>IF(AB$9&gt;$C$7,"",SUMIF($E$18:$E307,"Actual (kg)",AB$18:AB307))</f>
        <v>3.0565800000000003</v>
      </c>
      <c r="AC15" s="1300">
        <f>IF(AC$9&gt;$C$7,"",SUMIF($E$18:$E307,"Actual (kg)",AC$18:AC307))</f>
        <v>2.8821799999999995</v>
      </c>
      <c r="AD15" s="1300">
        <f>IF(AD$9&gt;$C$7,"",SUMIF($E$18:$E307,"Actual (kg)",AD$18:AD307))</f>
        <v>3.3852099999999994</v>
      </c>
      <c r="AE15" s="1300">
        <f>IF(AE$9&gt;$C$7,"",SUMIF($E$18:$E307,"Actual (kg)",AE$18:AE307))</f>
        <v>3.2303699999999997</v>
      </c>
      <c r="AF15" s="1300">
        <f>IF(AF$9&gt;$C$7,"",SUMIF($E$18:$E307,"Actual (kg)",AF$18:AF307))</f>
        <v>3.56006</v>
      </c>
      <c r="AG15" s="1300">
        <f>IF(AG$9&gt;$C$7,"",SUMIF($E$18:$E307,"Actual (kg)",AG$18:AG307))</f>
        <v>2.2416299999999998</v>
      </c>
      <c r="AH15" s="1300">
        <f>IF(AH$9&gt;$C$7,"",SUMIF($E$18:$E307,"Actual (kg)",AH$18:AH307))</f>
        <v>3.2203999999999997</v>
      </c>
      <c r="AI15" s="1300">
        <f>IF(AI$9&gt;$C$7,"",SUMIF($E$18:$E307,"Actual (kg)",AI$18:AI307))</f>
        <v>2.6071600000000004</v>
      </c>
      <c r="AJ15" s="1300">
        <f>IF(AJ$9&gt;$C$7,"",SUMIF($E$18:$E307,"Actual (kg)",AJ$18:AJ307))</f>
        <v>2.5499099999999997</v>
      </c>
      <c r="AK15" s="1300">
        <f>IF(AK$9&gt;$C$7,"",SUMIF($E$18:$E307,"Actual (kg)",AK$18:AK307))</f>
        <v>2.26336</v>
      </c>
      <c r="AL15" s="1301" t="str">
        <f>IF(AL$9&gt;$C$7,"",SUMIF($E$18:$E307,"Actual (kg)",AL$18:AL307))</f>
        <v/>
      </c>
    </row>
    <row r="16" spans="2:38" s="1022" customFormat="1" ht="14.25" thickBot="1" x14ac:dyDescent="0.3">
      <c r="D16" s="1038"/>
      <c r="E16" s="1033"/>
      <c r="F16" s="1027"/>
      <c r="G16" s="1027"/>
      <c r="H16" s="1020"/>
      <c r="I16" s="1020"/>
      <c r="J16" s="1020"/>
    </row>
    <row r="17" spans="1:39" s="1103" customFormat="1" ht="14.25" thickBot="1" x14ac:dyDescent="0.3">
      <c r="A17" s="1058">
        <f>COUNT(B18:B307)</f>
        <v>15</v>
      </c>
      <c r="B17" s="1093" t="s">
        <v>336</v>
      </c>
      <c r="C17" s="1094" t="s">
        <v>337</v>
      </c>
      <c r="D17" s="1646"/>
      <c r="E17" s="1646"/>
      <c r="F17" s="1095" t="s">
        <v>269</v>
      </c>
      <c r="G17" s="1096" t="s">
        <v>338</v>
      </c>
      <c r="H17" s="1097">
        <f>[2]SUMMARY!I16</f>
        <v>45809</v>
      </c>
      <c r="I17" s="1098">
        <f>[2]SUMMARY!J16</f>
        <v>45810</v>
      </c>
      <c r="J17" s="1098">
        <f>[2]SUMMARY!K16</f>
        <v>45811</v>
      </c>
      <c r="K17" s="1099">
        <f>[2]SUMMARY!L16</f>
        <v>45812</v>
      </c>
      <c r="L17" s="1099">
        <f>[2]SUMMARY!M16</f>
        <v>45813</v>
      </c>
      <c r="M17" s="1099">
        <f>[2]SUMMARY!N16</f>
        <v>45814</v>
      </c>
      <c r="N17" s="1099">
        <f>[2]SUMMARY!O16</f>
        <v>45815</v>
      </c>
      <c r="O17" s="1099">
        <f>[2]SUMMARY!P16</f>
        <v>45816</v>
      </c>
      <c r="P17" s="1099">
        <f>[2]SUMMARY!Q16</f>
        <v>45817</v>
      </c>
      <c r="Q17" s="1100">
        <f>[2]SUMMARY!R16</f>
        <v>45818</v>
      </c>
      <c r="R17" s="1100">
        <f>[2]SUMMARY!S16</f>
        <v>45819</v>
      </c>
      <c r="S17" s="1099">
        <f>[2]SUMMARY!T16</f>
        <v>45820</v>
      </c>
      <c r="T17" s="1099">
        <f>[2]SUMMARY!U16</f>
        <v>45821</v>
      </c>
      <c r="U17" s="1099">
        <f>[2]SUMMARY!V16</f>
        <v>45822</v>
      </c>
      <c r="V17" s="1099">
        <f>[2]SUMMARY!W16</f>
        <v>45823</v>
      </c>
      <c r="W17" s="1099">
        <f>[2]SUMMARY!X16</f>
        <v>45824</v>
      </c>
      <c r="X17" s="1099">
        <f>[2]SUMMARY!Y16</f>
        <v>45825</v>
      </c>
      <c r="Y17" s="1099">
        <f>[2]SUMMARY!Z16</f>
        <v>45826</v>
      </c>
      <c r="Z17" s="1099">
        <f>[2]SUMMARY!AA16</f>
        <v>45827</v>
      </c>
      <c r="AA17" s="1099">
        <f>[2]SUMMARY!AB16</f>
        <v>45828</v>
      </c>
      <c r="AB17" s="1099">
        <f>[2]SUMMARY!AC16</f>
        <v>45829</v>
      </c>
      <c r="AC17" s="1099">
        <f>[2]SUMMARY!AD16</f>
        <v>45830</v>
      </c>
      <c r="AD17" s="1099">
        <f>[2]SUMMARY!AE16</f>
        <v>45831</v>
      </c>
      <c r="AE17" s="1099">
        <f>[2]SUMMARY!AF16</f>
        <v>45832</v>
      </c>
      <c r="AF17" s="1099">
        <f>[2]SUMMARY!AG16</f>
        <v>45833</v>
      </c>
      <c r="AG17" s="1099">
        <f>[2]SUMMARY!AH16</f>
        <v>45834</v>
      </c>
      <c r="AH17" s="1099">
        <f>[2]SUMMARY!AI16</f>
        <v>45835</v>
      </c>
      <c r="AI17" s="1099">
        <f>[2]SUMMARY!AJ16</f>
        <v>45836</v>
      </c>
      <c r="AJ17" s="1099">
        <f>[2]SUMMARY!AK16</f>
        <v>45837</v>
      </c>
      <c r="AK17" s="1099">
        <f>[2]SUMMARY!AL16</f>
        <v>45838</v>
      </c>
      <c r="AL17" s="1101">
        <f>[2]SUMMARY!AM16</f>
        <v>45839</v>
      </c>
      <c r="AM17" s="1102" t="s">
        <v>339</v>
      </c>
    </row>
    <row r="18" spans="1:39" ht="15" customHeight="1" thickBot="1" x14ac:dyDescent="0.3">
      <c r="B18" s="1608">
        <v>1</v>
      </c>
      <c r="C18" s="1634" t="str">
        <f>[2]Breaking.!A9</f>
        <v>1L W24 STOPE</v>
      </c>
      <c r="D18" s="1628" t="s">
        <v>340</v>
      </c>
      <c r="E18" s="1104" t="s">
        <v>341</v>
      </c>
      <c r="F18" s="196">
        <f>SUMIF($H$9:$AL$9,"&lt;="&amp;$C$7,H18:AL18)</f>
        <v>2100</v>
      </c>
      <c r="G18" s="1071"/>
      <c r="H18" s="945">
        <f>[2]Breaking.!D9</f>
        <v>70</v>
      </c>
      <c r="I18" s="945">
        <f>[2]Breaking.!E9</f>
        <v>70</v>
      </c>
      <c r="J18" s="945">
        <f>[2]Breaking.!F9</f>
        <v>70</v>
      </c>
      <c r="K18" s="945">
        <f>[2]Breaking.!G9</f>
        <v>70</v>
      </c>
      <c r="L18" s="945">
        <f>[2]Breaking.!H9</f>
        <v>70</v>
      </c>
      <c r="M18" s="945">
        <f>[2]Breaking.!I9</f>
        <v>70</v>
      </c>
      <c r="N18" s="945">
        <f>[2]Breaking.!J9</f>
        <v>70</v>
      </c>
      <c r="O18" s="945">
        <f>[2]Breaking.!K9</f>
        <v>70</v>
      </c>
      <c r="P18" s="945">
        <f>[2]Breaking.!L9</f>
        <v>70</v>
      </c>
      <c r="Q18" s="945">
        <f>[2]Breaking.!M9</f>
        <v>70</v>
      </c>
      <c r="R18" s="945">
        <f>[2]Breaking.!N9</f>
        <v>70</v>
      </c>
      <c r="S18" s="945">
        <f>[2]Breaking.!O9</f>
        <v>70</v>
      </c>
      <c r="T18" s="945">
        <f>[2]Breaking.!P9</f>
        <v>70</v>
      </c>
      <c r="U18" s="945">
        <f>[2]Breaking.!Q9</f>
        <v>70</v>
      </c>
      <c r="V18" s="945">
        <f>[2]Breaking.!R9</f>
        <v>70</v>
      </c>
      <c r="W18" s="945">
        <f>[2]Breaking.!S9</f>
        <v>70</v>
      </c>
      <c r="X18" s="945">
        <f>[2]Breaking.!T9</f>
        <v>70</v>
      </c>
      <c r="Y18" s="945">
        <f>[2]Breaking.!U9</f>
        <v>70</v>
      </c>
      <c r="Z18" s="945">
        <f>[2]Breaking.!V9</f>
        <v>70</v>
      </c>
      <c r="AA18" s="945">
        <f>[2]Breaking.!W9</f>
        <v>70</v>
      </c>
      <c r="AB18" s="945">
        <f>[2]Breaking.!X9</f>
        <v>70</v>
      </c>
      <c r="AC18" s="945">
        <f>[2]Breaking.!Y9</f>
        <v>70</v>
      </c>
      <c r="AD18" s="945">
        <f>[2]Breaking.!Z9</f>
        <v>70</v>
      </c>
      <c r="AE18" s="945">
        <f>[2]Breaking.!AA9</f>
        <v>70</v>
      </c>
      <c r="AF18" s="945">
        <f>[2]Breaking.!AB9</f>
        <v>70</v>
      </c>
      <c r="AG18" s="945">
        <f>[2]Breaking.!AC9</f>
        <v>70</v>
      </c>
      <c r="AH18" s="945">
        <f>[2]Breaking.!AD9</f>
        <v>70</v>
      </c>
      <c r="AI18" s="945">
        <f>[2]Breaking.!AE9</f>
        <v>70</v>
      </c>
      <c r="AJ18" s="945">
        <f>[2]Breaking.!AF9</f>
        <v>70</v>
      </c>
      <c r="AK18" s="945">
        <f>[2]Breaking.!AG9</f>
        <v>70</v>
      </c>
      <c r="AL18" s="945">
        <f>[2]Breaking.!AH9</f>
        <v>0</v>
      </c>
      <c r="AM18" s="1105"/>
    </row>
    <row r="19" spans="1:39" ht="14.85" customHeight="1" thickBot="1" x14ac:dyDescent="0.3">
      <c r="B19" s="1608"/>
      <c r="C19" s="1635"/>
      <c r="D19" s="1631"/>
      <c r="E19" s="1302" t="s">
        <v>342</v>
      </c>
      <c r="F19" s="1303">
        <f>SUMIF($H$9:$AL$9,"&lt;="&amp;$C$7,H19:AL19)</f>
        <v>2324</v>
      </c>
      <c r="G19" s="1304">
        <f t="shared" ref="G19" si="2">IFERROR((F19-F18)/F18,0)</f>
        <v>0.10666666666666667</v>
      </c>
      <c r="H19" s="1305">
        <v>78</v>
      </c>
      <c r="I19" s="1303">
        <f>35+40</f>
        <v>75</v>
      </c>
      <c r="J19" s="1303">
        <f>67</f>
        <v>67</v>
      </c>
      <c r="K19" s="1303">
        <v>67</v>
      </c>
      <c r="L19" s="1303">
        <f>75</f>
        <v>75</v>
      </c>
      <c r="M19" s="1303">
        <f>38+36</f>
        <v>74</v>
      </c>
      <c r="N19" s="1303">
        <f>83</f>
        <v>83</v>
      </c>
      <c r="O19" s="1303">
        <f>38+37</f>
        <v>75</v>
      </c>
      <c r="P19" s="1303">
        <f>40+38</f>
        <v>78</v>
      </c>
      <c r="Q19" s="1303">
        <v>71</v>
      </c>
      <c r="R19" s="1303">
        <v>85</v>
      </c>
      <c r="S19" s="1303">
        <v>78</v>
      </c>
      <c r="T19" s="1303">
        <v>82</v>
      </c>
      <c r="U19" s="1303">
        <v>82</v>
      </c>
      <c r="V19" s="1303">
        <f>38+38</f>
        <v>76</v>
      </c>
      <c r="W19" s="1303">
        <v>73</v>
      </c>
      <c r="X19" s="1303">
        <v>78</v>
      </c>
      <c r="Y19" s="1303">
        <v>76</v>
      </c>
      <c r="Z19" s="1303">
        <v>78</v>
      </c>
      <c r="AA19" s="1303">
        <v>76</v>
      </c>
      <c r="AB19" s="1303">
        <v>74</v>
      </c>
      <c r="AC19" s="1303">
        <v>78</v>
      </c>
      <c r="AD19" s="1303">
        <v>77</v>
      </c>
      <c r="AE19" s="1303">
        <v>79</v>
      </c>
      <c r="AF19" s="1303">
        <v>76</v>
      </c>
      <c r="AG19" s="1303">
        <v>77</v>
      </c>
      <c r="AH19" s="1303">
        <v>85</v>
      </c>
      <c r="AI19" s="1303">
        <v>85</v>
      </c>
      <c r="AJ19" s="1303">
        <v>85</v>
      </c>
      <c r="AK19" s="1303">
        <v>81</v>
      </c>
      <c r="AL19" s="1303"/>
      <c r="AM19" s="1074"/>
    </row>
    <row r="20" spans="1:39" s="1107" customFormat="1" ht="14.85" customHeight="1" thickBot="1" x14ac:dyDescent="0.3">
      <c r="B20" s="1608"/>
      <c r="C20" s="1635"/>
      <c r="D20" s="1631"/>
      <c r="E20" s="1306" t="s">
        <v>312</v>
      </c>
      <c r="F20" s="1307"/>
      <c r="G20" s="1308"/>
      <c r="H20" s="1075"/>
      <c r="I20" s="1075"/>
      <c r="J20" s="1075"/>
      <c r="K20" s="1075"/>
      <c r="L20" s="1075"/>
      <c r="M20" s="1075"/>
      <c r="N20" s="1075"/>
      <c r="O20" s="1075"/>
      <c r="P20" s="1076"/>
      <c r="Q20" s="1075"/>
      <c r="R20" s="1075"/>
      <c r="S20" s="1075"/>
      <c r="T20" s="1075"/>
      <c r="U20" s="1075"/>
      <c r="V20" s="1075"/>
      <c r="W20" s="1075"/>
      <c r="X20" s="1075"/>
      <c r="Y20" s="1075"/>
      <c r="Z20" s="1075"/>
      <c r="AA20" s="1075"/>
      <c r="AB20" s="1075"/>
      <c r="AC20" s="1075"/>
      <c r="AD20" s="1075"/>
      <c r="AE20" s="1075"/>
      <c r="AF20" s="1075"/>
      <c r="AG20" s="1075"/>
      <c r="AH20" s="1075"/>
      <c r="AI20" s="1075"/>
      <c r="AJ20" s="1075"/>
      <c r="AK20" s="1075"/>
      <c r="AL20" s="1077"/>
      <c r="AM20" s="1108"/>
    </row>
    <row r="21" spans="1:39" ht="14.85" customHeight="1" thickBot="1" x14ac:dyDescent="0.3">
      <c r="B21" s="1608"/>
      <c r="C21" s="1635"/>
      <c r="D21" s="1613" t="s">
        <v>343</v>
      </c>
      <c r="E21" s="1309" t="s">
        <v>344</v>
      </c>
      <c r="F21" s="1310">
        <f>IFERROR(F23*1000/F18,0)</f>
        <v>2.2999999999999989</v>
      </c>
      <c r="G21" s="1311"/>
      <c r="H21" s="1312">
        <v>2.2999999999999998</v>
      </c>
      <c r="I21" s="1312">
        <v>2.2999999999999998</v>
      </c>
      <c r="J21" s="1312">
        <v>2.2999999999999998</v>
      </c>
      <c r="K21" s="1312">
        <v>2.2999999999999998</v>
      </c>
      <c r="L21" s="1312">
        <v>2.2999999999999998</v>
      </c>
      <c r="M21" s="1312">
        <v>2.2999999999999998</v>
      </c>
      <c r="N21" s="1312">
        <v>2.2999999999999998</v>
      </c>
      <c r="O21" s="1312">
        <v>2.2999999999999998</v>
      </c>
      <c r="P21" s="1312">
        <v>2.2999999999999998</v>
      </c>
      <c r="Q21" s="1312">
        <v>2.2999999999999998</v>
      </c>
      <c r="R21" s="1312">
        <v>2.2999999999999998</v>
      </c>
      <c r="S21" s="1312">
        <v>2.2999999999999998</v>
      </c>
      <c r="T21" s="1312">
        <v>2.2999999999999998</v>
      </c>
      <c r="U21" s="1312">
        <v>2.2999999999999998</v>
      </c>
      <c r="V21" s="1312">
        <v>2.2999999999999998</v>
      </c>
      <c r="W21" s="1312">
        <v>2.2999999999999998</v>
      </c>
      <c r="X21" s="1312">
        <v>2.2999999999999998</v>
      </c>
      <c r="Y21" s="1312">
        <v>2.2999999999999998</v>
      </c>
      <c r="Z21" s="1312">
        <v>2.2999999999999998</v>
      </c>
      <c r="AA21" s="1312">
        <v>2.2999999999999998</v>
      </c>
      <c r="AB21" s="1312">
        <v>2.2999999999999998</v>
      </c>
      <c r="AC21" s="1312">
        <v>2.2999999999999998</v>
      </c>
      <c r="AD21" s="1312">
        <v>2.2999999999999998</v>
      </c>
      <c r="AE21" s="1312">
        <v>2.2999999999999998</v>
      </c>
      <c r="AF21" s="1312">
        <v>2.2999999999999998</v>
      </c>
      <c r="AG21" s="1312">
        <v>2.2999999999999998</v>
      </c>
      <c r="AH21" s="1312">
        <v>2.2999999999999998</v>
      </c>
      <c r="AI21" s="1312">
        <v>2.2999999999999998</v>
      </c>
      <c r="AJ21" s="1312">
        <v>2.2999999999999998</v>
      </c>
      <c r="AK21" s="1312">
        <v>2.2999999999999998</v>
      </c>
      <c r="AL21" s="1312"/>
      <c r="AM21" s="1074"/>
    </row>
    <row r="22" spans="1:39" ht="14.85" customHeight="1" thickBot="1" x14ac:dyDescent="0.3">
      <c r="B22" s="1608"/>
      <c r="C22" s="1635"/>
      <c r="D22" s="1613"/>
      <c r="E22" s="1313" t="s">
        <v>345</v>
      </c>
      <c r="F22" s="1314">
        <f>IFERROR(F24*1000/F19,0)</f>
        <v>1.4965103270223756</v>
      </c>
      <c r="G22" s="1304">
        <f t="shared" ref="G22" si="3">IFERROR((F22-F21)/F21,0)</f>
        <v>-0.34934333607722767</v>
      </c>
      <c r="H22" s="1315">
        <v>1.63</v>
      </c>
      <c r="I22" s="1314">
        <v>2.29</v>
      </c>
      <c r="J22" s="1314">
        <v>1.5</v>
      </c>
      <c r="K22" s="1314">
        <v>3.3</v>
      </c>
      <c r="L22" s="1314">
        <v>3.3</v>
      </c>
      <c r="M22" s="1314">
        <v>2.09</v>
      </c>
      <c r="N22" s="1314">
        <v>1.6</v>
      </c>
      <c r="O22" s="1314">
        <v>1.6</v>
      </c>
      <c r="P22" s="1314">
        <v>1.8</v>
      </c>
      <c r="Q22" s="1314">
        <v>1.62</v>
      </c>
      <c r="R22" s="1314">
        <v>1.62</v>
      </c>
      <c r="S22" s="1314">
        <v>1.25</v>
      </c>
      <c r="T22" s="1314">
        <v>1.31</v>
      </c>
      <c r="U22" s="1314">
        <v>1.19</v>
      </c>
      <c r="V22" s="1314">
        <v>1.19</v>
      </c>
      <c r="W22" s="1314">
        <v>1.25</v>
      </c>
      <c r="X22" s="1314">
        <v>1.25</v>
      </c>
      <c r="Y22" s="1314">
        <v>2.2799999999999998</v>
      </c>
      <c r="Z22" s="1314">
        <v>1.1200000000000001</v>
      </c>
      <c r="AA22" s="1314">
        <v>1.1200000000000001</v>
      </c>
      <c r="AB22" s="1314">
        <v>1.54</v>
      </c>
      <c r="AC22" s="1314">
        <v>1.54</v>
      </c>
      <c r="AD22" s="1314">
        <v>1.54</v>
      </c>
      <c r="AE22" s="1314">
        <v>1.54</v>
      </c>
      <c r="AF22" s="1314">
        <v>0.34</v>
      </c>
      <c r="AG22" s="1314">
        <v>0.93</v>
      </c>
      <c r="AH22" s="1314">
        <v>0.76</v>
      </c>
      <c r="AI22" s="1314">
        <v>0.76</v>
      </c>
      <c r="AJ22" s="1314">
        <v>1.08</v>
      </c>
      <c r="AK22" s="1314">
        <v>1.1000000000000001</v>
      </c>
      <c r="AL22" s="1314"/>
      <c r="AM22" s="1074"/>
    </row>
    <row r="23" spans="1:39" ht="14.85" customHeight="1" thickBot="1" x14ac:dyDescent="0.3">
      <c r="B23" s="1608"/>
      <c r="C23" s="1635"/>
      <c r="D23" s="1613" t="s">
        <v>47</v>
      </c>
      <c r="E23" s="1309" t="s">
        <v>346</v>
      </c>
      <c r="F23" s="206">
        <f>SUMIF($H$9:$AL$9,"&lt;="&amp;$C$7,H23:AL23)</f>
        <v>4.8299999999999983</v>
      </c>
      <c r="G23" s="1311"/>
      <c r="H23" s="1316">
        <f t="shared" ref="H23:AL24" si="4">+H21*H18/1000</f>
        <v>0.161</v>
      </c>
      <c r="I23" s="1316">
        <f t="shared" si="4"/>
        <v>0.161</v>
      </c>
      <c r="J23" s="1316">
        <f t="shared" si="4"/>
        <v>0.161</v>
      </c>
      <c r="K23" s="1317">
        <f t="shared" si="4"/>
        <v>0.161</v>
      </c>
      <c r="L23" s="1317">
        <f t="shared" si="4"/>
        <v>0.161</v>
      </c>
      <c r="M23" s="1317">
        <f t="shared" si="4"/>
        <v>0.161</v>
      </c>
      <c r="N23" s="1317">
        <f>+N21*N18/1000</f>
        <v>0.161</v>
      </c>
      <c r="O23" s="1317">
        <f t="shared" si="4"/>
        <v>0.161</v>
      </c>
      <c r="P23" s="1318">
        <f t="shared" si="4"/>
        <v>0.161</v>
      </c>
      <c r="Q23" s="1317">
        <f t="shared" si="4"/>
        <v>0.161</v>
      </c>
      <c r="R23" s="1317">
        <f t="shared" si="4"/>
        <v>0.161</v>
      </c>
      <c r="S23" s="1317">
        <f t="shared" si="4"/>
        <v>0.161</v>
      </c>
      <c r="T23" s="1317">
        <f t="shared" si="4"/>
        <v>0.161</v>
      </c>
      <c r="U23" s="1317">
        <f t="shared" si="4"/>
        <v>0.161</v>
      </c>
      <c r="V23" s="1317">
        <f t="shared" si="4"/>
        <v>0.161</v>
      </c>
      <c r="W23" s="1317">
        <f>+W21*W18/1000</f>
        <v>0.161</v>
      </c>
      <c r="X23" s="1317">
        <f t="shared" si="4"/>
        <v>0.161</v>
      </c>
      <c r="Y23" s="1317">
        <f t="shared" si="4"/>
        <v>0.161</v>
      </c>
      <c r="Z23" s="1317">
        <f t="shared" si="4"/>
        <v>0.161</v>
      </c>
      <c r="AA23" s="1317">
        <f t="shared" si="4"/>
        <v>0.161</v>
      </c>
      <c r="AB23" s="1317">
        <f t="shared" si="4"/>
        <v>0.161</v>
      </c>
      <c r="AC23" s="1317">
        <f t="shared" si="4"/>
        <v>0.161</v>
      </c>
      <c r="AD23" s="1317">
        <f t="shared" si="4"/>
        <v>0.161</v>
      </c>
      <c r="AE23" s="1317">
        <f t="shared" si="4"/>
        <v>0.161</v>
      </c>
      <c r="AF23" s="1317">
        <f t="shared" si="4"/>
        <v>0.161</v>
      </c>
      <c r="AG23" s="1317">
        <f t="shared" si="4"/>
        <v>0.161</v>
      </c>
      <c r="AH23" s="1317">
        <f t="shared" si="4"/>
        <v>0.161</v>
      </c>
      <c r="AI23" s="1317">
        <f t="shared" si="4"/>
        <v>0.161</v>
      </c>
      <c r="AJ23" s="1317">
        <f t="shared" si="4"/>
        <v>0.161</v>
      </c>
      <c r="AK23" s="1317">
        <f t="shared" si="4"/>
        <v>0.161</v>
      </c>
      <c r="AL23" s="1319">
        <f t="shared" si="4"/>
        <v>0</v>
      </c>
      <c r="AM23" s="1078"/>
    </row>
    <row r="24" spans="1:39" ht="15" customHeight="1" thickBot="1" x14ac:dyDescent="0.3">
      <c r="B24" s="1609"/>
      <c r="C24" s="1636"/>
      <c r="D24" s="1614"/>
      <c r="E24" s="1320" t="s">
        <v>347</v>
      </c>
      <c r="F24" s="1321">
        <f>SUMIF($H$9:$AL$9,"&lt;="&amp;$C$7,H24:AL24)</f>
        <v>3.4778900000000008</v>
      </c>
      <c r="G24" s="1322">
        <f t="shared" ref="G24" si="5">IFERROR((F24-F23)/F23,0)</f>
        <v>-0.27993995859213211</v>
      </c>
      <c r="H24" s="1323">
        <f t="shared" si="4"/>
        <v>0.12713999999999998</v>
      </c>
      <c r="I24" s="1321">
        <f t="shared" si="4"/>
        <v>0.17175000000000001</v>
      </c>
      <c r="J24" s="1321">
        <f t="shared" si="4"/>
        <v>0.10050000000000001</v>
      </c>
      <c r="K24" s="1321">
        <f t="shared" si="4"/>
        <v>0.22109999999999999</v>
      </c>
      <c r="L24" s="1321">
        <f t="shared" si="4"/>
        <v>0.2475</v>
      </c>
      <c r="M24" s="1321">
        <f t="shared" si="4"/>
        <v>0.15465999999999999</v>
      </c>
      <c r="N24" s="1321">
        <f t="shared" si="4"/>
        <v>0.1328</v>
      </c>
      <c r="O24" s="1321">
        <f t="shared" si="4"/>
        <v>0.12</v>
      </c>
      <c r="P24" s="1321">
        <f t="shared" si="4"/>
        <v>0.1404</v>
      </c>
      <c r="Q24" s="1321">
        <f t="shared" si="4"/>
        <v>0.11502000000000001</v>
      </c>
      <c r="R24" s="1321">
        <f t="shared" si="4"/>
        <v>0.13770000000000002</v>
      </c>
      <c r="S24" s="1321">
        <f t="shared" si="4"/>
        <v>9.7500000000000003E-2</v>
      </c>
      <c r="T24" s="1321">
        <f t="shared" si="4"/>
        <v>0.10742</v>
      </c>
      <c r="U24" s="1321">
        <f t="shared" si="4"/>
        <v>9.758E-2</v>
      </c>
      <c r="V24" s="1321">
        <f>+V22*V19/1000</f>
        <v>9.0439999999999993E-2</v>
      </c>
      <c r="W24" s="1321">
        <f>+W22*W19/1000</f>
        <v>9.1249999999999998E-2</v>
      </c>
      <c r="X24" s="1321">
        <f>+X22*X19/1000</f>
        <v>9.7500000000000003E-2</v>
      </c>
      <c r="Y24" s="1321">
        <f t="shared" si="4"/>
        <v>0.17327999999999996</v>
      </c>
      <c r="Z24" s="1321">
        <f t="shared" si="4"/>
        <v>8.7360000000000007E-2</v>
      </c>
      <c r="AA24" s="1321">
        <f>+AA22*AA19/1000</f>
        <v>8.5120000000000001E-2</v>
      </c>
      <c r="AB24" s="1321">
        <f>+AB22*AB19/1000</f>
        <v>0.11396000000000001</v>
      </c>
      <c r="AC24" s="1321">
        <f>+AC22*AC19/1000</f>
        <v>0.12012</v>
      </c>
      <c r="AD24" s="1321">
        <f t="shared" si="4"/>
        <v>0.11858</v>
      </c>
      <c r="AE24" s="1321">
        <f t="shared" si="4"/>
        <v>0.12165999999999999</v>
      </c>
      <c r="AF24" s="1321">
        <f t="shared" si="4"/>
        <v>2.5840000000000002E-2</v>
      </c>
      <c r="AG24" s="1321">
        <f t="shared" si="4"/>
        <v>7.1609999999999993E-2</v>
      </c>
      <c r="AH24" s="1321">
        <f t="shared" si="4"/>
        <v>6.4599999999999991E-2</v>
      </c>
      <c r="AI24" s="1321">
        <f t="shared" si="4"/>
        <v>6.4599999999999991E-2</v>
      </c>
      <c r="AJ24" s="1321">
        <f t="shared" si="4"/>
        <v>9.1800000000000007E-2</v>
      </c>
      <c r="AK24" s="1321">
        <f t="shared" si="4"/>
        <v>8.9100000000000013E-2</v>
      </c>
      <c r="AL24" s="1321">
        <f t="shared" si="4"/>
        <v>0</v>
      </c>
      <c r="AM24" s="1079"/>
    </row>
    <row r="25" spans="1:39" ht="14.25" hidden="1" thickBot="1" x14ac:dyDescent="0.3">
      <c r="B25" s="1608"/>
      <c r="C25" s="1634"/>
      <c r="D25" s="1628" t="s">
        <v>340</v>
      </c>
      <c r="E25" s="1104" t="s">
        <v>341</v>
      </c>
      <c r="F25" s="196">
        <f>SUMIF($H$9:$AL$9,"&lt;="&amp;$C$7,H25:AL25)</f>
        <v>0</v>
      </c>
      <c r="G25" s="1071"/>
      <c r="H25" s="198"/>
      <c r="I25" s="198"/>
      <c r="J25" s="198"/>
      <c r="K25" s="198"/>
      <c r="L25" s="198"/>
      <c r="M25" s="198"/>
      <c r="N25" s="198"/>
      <c r="O25" s="198"/>
      <c r="P25" s="198"/>
      <c r="Q25" s="198"/>
      <c r="R25" s="198"/>
      <c r="S25" s="198"/>
      <c r="T25" s="198"/>
      <c r="U25" s="198"/>
      <c r="V25" s="198"/>
      <c r="W25" s="198"/>
      <c r="X25" s="198"/>
      <c r="Y25" s="198"/>
      <c r="Z25" s="198"/>
      <c r="AA25" s="198"/>
      <c r="AB25" s="198"/>
      <c r="AC25" s="198"/>
      <c r="AD25" s="198"/>
      <c r="AE25" s="198"/>
      <c r="AF25" s="198"/>
      <c r="AG25" s="198"/>
      <c r="AH25" s="198"/>
      <c r="AI25" s="198"/>
      <c r="AJ25" s="198"/>
      <c r="AK25" s="198"/>
      <c r="AL25" s="198"/>
      <c r="AM25" s="1105"/>
    </row>
    <row r="26" spans="1:39" ht="14.85" hidden="1" customHeight="1" thickBot="1" x14ac:dyDescent="0.3">
      <c r="B26" s="1608"/>
      <c r="C26" s="1635"/>
      <c r="D26" s="1631"/>
      <c r="E26" s="1302" t="s">
        <v>342</v>
      </c>
      <c r="F26" s="1303">
        <f>SUMIF($H$9:$AL$9,"&lt;="&amp;$C$7,H26:AL26)</f>
        <v>0</v>
      </c>
      <c r="G26" s="1304">
        <f>IFERROR((F26-F25)/F25,0)</f>
        <v>0</v>
      </c>
      <c r="H26" s="1305"/>
      <c r="I26" s="1303"/>
      <c r="J26" s="1303"/>
      <c r="K26" s="1303"/>
      <c r="L26" s="1303"/>
      <c r="M26" s="1303"/>
      <c r="N26" s="1303"/>
      <c r="O26" s="1303"/>
      <c r="P26" s="1303"/>
      <c r="Q26" s="1303"/>
      <c r="R26" s="1303"/>
      <c r="S26" s="1303"/>
      <c r="T26" s="1303"/>
      <c r="U26" s="1303"/>
      <c r="V26" s="1303"/>
      <c r="W26" s="1303"/>
      <c r="X26" s="1303"/>
      <c r="Y26" s="1303"/>
      <c r="Z26" s="1303"/>
      <c r="AA26" s="1303"/>
      <c r="AB26" s="1303"/>
      <c r="AC26" s="1303"/>
      <c r="AD26" s="1303"/>
      <c r="AE26" s="1303"/>
      <c r="AF26" s="1303"/>
      <c r="AG26" s="1303"/>
      <c r="AH26" s="1303"/>
      <c r="AI26" s="1303"/>
      <c r="AJ26" s="1303"/>
      <c r="AK26" s="1303"/>
      <c r="AL26" s="1303"/>
      <c r="AM26" s="1074"/>
    </row>
    <row r="27" spans="1:39" s="1107" customFormat="1" ht="14.85" hidden="1" customHeight="1" thickBot="1" x14ac:dyDescent="0.3">
      <c r="B27" s="1608"/>
      <c r="C27" s="1635"/>
      <c r="D27" s="1631"/>
      <c r="E27" s="1306" t="s">
        <v>312</v>
      </c>
      <c r="F27" s="1307"/>
      <c r="G27" s="1308"/>
      <c r="H27" s="1075"/>
      <c r="I27" s="1075"/>
      <c r="J27" s="1075"/>
      <c r="K27" s="1075"/>
      <c r="L27" s="1075"/>
      <c r="M27" s="1075"/>
      <c r="N27" s="1075"/>
      <c r="O27" s="1075"/>
      <c r="P27" s="1076"/>
      <c r="Q27" s="1075"/>
      <c r="R27" s="1075"/>
      <c r="S27" s="1075"/>
      <c r="T27" s="1075"/>
      <c r="U27" s="1075"/>
      <c r="V27" s="1075"/>
      <c r="W27" s="1075"/>
      <c r="X27" s="1075"/>
      <c r="Y27" s="1075"/>
      <c r="Z27" s="1075"/>
      <c r="AA27" s="1075"/>
      <c r="AB27" s="1075"/>
      <c r="AC27" s="1075"/>
      <c r="AD27" s="1075"/>
      <c r="AE27" s="1075"/>
      <c r="AF27" s="1075"/>
      <c r="AG27" s="1075"/>
      <c r="AH27" s="1075"/>
      <c r="AI27" s="1075"/>
      <c r="AJ27" s="1075"/>
      <c r="AK27" s="1075"/>
      <c r="AL27" s="1077"/>
      <c r="AM27" s="1108"/>
    </row>
    <row r="28" spans="1:39" ht="14.85" hidden="1" customHeight="1" thickBot="1" x14ac:dyDescent="0.3">
      <c r="B28" s="1608"/>
      <c r="C28" s="1635"/>
      <c r="D28" s="1613" t="s">
        <v>343</v>
      </c>
      <c r="E28" s="1309" t="s">
        <v>344</v>
      </c>
      <c r="F28" s="1310">
        <f>IFERROR(F30*1000/F25,0)</f>
        <v>0</v>
      </c>
      <c r="G28" s="1311"/>
      <c r="H28" s="1312"/>
      <c r="I28" s="1312"/>
      <c r="J28" s="1312"/>
      <c r="K28" s="1312"/>
      <c r="L28" s="1312"/>
      <c r="M28" s="1312"/>
      <c r="N28" s="1312"/>
      <c r="O28" s="1312"/>
      <c r="P28" s="1312"/>
      <c r="Q28" s="1312"/>
      <c r="R28" s="1312"/>
      <c r="S28" s="1312"/>
      <c r="T28" s="1312"/>
      <c r="U28" s="1312"/>
      <c r="V28" s="1312"/>
      <c r="W28" s="1312"/>
      <c r="X28" s="1312"/>
      <c r="Y28" s="1312"/>
      <c r="Z28" s="1312"/>
      <c r="AA28" s="1312"/>
      <c r="AB28" s="1312"/>
      <c r="AC28" s="1312"/>
      <c r="AD28" s="1312"/>
      <c r="AE28" s="1312"/>
      <c r="AF28" s="1312"/>
      <c r="AG28" s="1312"/>
      <c r="AH28" s="1312"/>
      <c r="AI28" s="1312"/>
      <c r="AJ28" s="1312"/>
      <c r="AK28" s="1312"/>
      <c r="AL28" s="1312"/>
      <c r="AM28" s="1074"/>
    </row>
    <row r="29" spans="1:39" ht="14.85" hidden="1" customHeight="1" thickBot="1" x14ac:dyDescent="0.3">
      <c r="B29" s="1608"/>
      <c r="C29" s="1635"/>
      <c r="D29" s="1613"/>
      <c r="E29" s="1313" t="s">
        <v>345</v>
      </c>
      <c r="F29" s="1314">
        <f>IFERROR(F31*1000/F26,0)</f>
        <v>0</v>
      </c>
      <c r="G29" s="1304">
        <f>IFERROR((F29-F28)/F28,0)</f>
        <v>0</v>
      </c>
      <c r="H29" s="1315"/>
      <c r="I29" s="1314"/>
      <c r="J29" s="1314"/>
      <c r="K29" s="1314"/>
      <c r="L29" s="1314"/>
      <c r="M29" s="1314"/>
      <c r="N29" s="1314"/>
      <c r="O29" s="1314"/>
      <c r="P29" s="1314"/>
      <c r="Q29" s="1314"/>
      <c r="R29" s="1314"/>
      <c r="S29" s="1314"/>
      <c r="T29" s="1314"/>
      <c r="U29" s="1314"/>
      <c r="V29" s="1314"/>
      <c r="W29" s="1314"/>
      <c r="X29" s="1314"/>
      <c r="Y29" s="1314"/>
      <c r="Z29" s="1314"/>
      <c r="AA29" s="1314"/>
      <c r="AB29" s="1314"/>
      <c r="AC29" s="1314"/>
      <c r="AD29" s="1314"/>
      <c r="AE29" s="1314"/>
      <c r="AF29" s="1314"/>
      <c r="AG29" s="1314"/>
      <c r="AH29" s="1314"/>
      <c r="AI29" s="1314"/>
      <c r="AJ29" s="1314"/>
      <c r="AK29" s="1314"/>
      <c r="AL29" s="1314"/>
      <c r="AM29" s="1074"/>
    </row>
    <row r="30" spans="1:39" ht="14.85" hidden="1" customHeight="1" thickBot="1" x14ac:dyDescent="0.3">
      <c r="B30" s="1608"/>
      <c r="C30" s="1635"/>
      <c r="D30" s="1613" t="s">
        <v>47</v>
      </c>
      <c r="E30" s="1309" t="s">
        <v>346</v>
      </c>
      <c r="F30" s="206">
        <f>SUMIF($H$9:$AL$9,"&lt;="&amp;$C$7,H30:AL30)</f>
        <v>0</v>
      </c>
      <c r="G30" s="1311"/>
      <c r="H30" s="1316">
        <f t="shared" ref="H30:AL31" si="6">+H28*H25/1000</f>
        <v>0</v>
      </c>
      <c r="I30" s="1316">
        <f t="shared" si="6"/>
        <v>0</v>
      </c>
      <c r="J30" s="1316">
        <f t="shared" si="6"/>
        <v>0</v>
      </c>
      <c r="K30" s="1317">
        <f t="shared" si="6"/>
        <v>0</v>
      </c>
      <c r="L30" s="1317">
        <f t="shared" si="6"/>
        <v>0</v>
      </c>
      <c r="M30" s="1317">
        <f t="shared" si="6"/>
        <v>0</v>
      </c>
      <c r="N30" s="1317">
        <f t="shared" si="6"/>
        <v>0</v>
      </c>
      <c r="O30" s="1317">
        <f t="shared" si="6"/>
        <v>0</v>
      </c>
      <c r="P30" s="1318">
        <f t="shared" si="6"/>
        <v>0</v>
      </c>
      <c r="Q30" s="1317">
        <f t="shared" si="6"/>
        <v>0</v>
      </c>
      <c r="R30" s="1317">
        <f t="shared" si="6"/>
        <v>0</v>
      </c>
      <c r="S30" s="1317">
        <f t="shared" si="6"/>
        <v>0</v>
      </c>
      <c r="T30" s="1317">
        <f t="shared" si="6"/>
        <v>0</v>
      </c>
      <c r="U30" s="1317">
        <f t="shared" si="6"/>
        <v>0</v>
      </c>
      <c r="V30" s="1317">
        <f t="shared" si="6"/>
        <v>0</v>
      </c>
      <c r="W30" s="1317">
        <f>+W28*W25/1000</f>
        <v>0</v>
      </c>
      <c r="X30" s="1317">
        <f t="shared" si="6"/>
        <v>0</v>
      </c>
      <c r="Y30" s="1317">
        <f t="shared" si="6"/>
        <v>0</v>
      </c>
      <c r="Z30" s="1317">
        <f t="shared" si="6"/>
        <v>0</v>
      </c>
      <c r="AA30" s="1317">
        <f t="shared" si="6"/>
        <v>0</v>
      </c>
      <c r="AB30" s="1317">
        <f t="shared" si="6"/>
        <v>0</v>
      </c>
      <c r="AC30" s="1317">
        <f t="shared" si="6"/>
        <v>0</v>
      </c>
      <c r="AD30" s="1317">
        <f t="shared" si="6"/>
        <v>0</v>
      </c>
      <c r="AE30" s="1317">
        <f t="shared" si="6"/>
        <v>0</v>
      </c>
      <c r="AF30" s="1317">
        <f t="shared" si="6"/>
        <v>0</v>
      </c>
      <c r="AG30" s="1317">
        <f t="shared" si="6"/>
        <v>0</v>
      </c>
      <c r="AH30" s="1317">
        <f t="shared" si="6"/>
        <v>0</v>
      </c>
      <c r="AI30" s="1317">
        <f t="shared" si="6"/>
        <v>0</v>
      </c>
      <c r="AJ30" s="1317">
        <f t="shared" si="6"/>
        <v>0</v>
      </c>
      <c r="AK30" s="1317">
        <f t="shared" si="6"/>
        <v>0</v>
      </c>
      <c r="AL30" s="1319">
        <f t="shared" si="6"/>
        <v>0</v>
      </c>
      <c r="AM30" s="1078"/>
    </row>
    <row r="31" spans="1:39" ht="14.25" hidden="1" thickBot="1" x14ac:dyDescent="0.3">
      <c r="B31" s="1609"/>
      <c r="C31" s="1636"/>
      <c r="D31" s="1614"/>
      <c r="E31" s="1320" t="s">
        <v>347</v>
      </c>
      <c r="F31" s="1321">
        <f>SUMIF($H$9:$AL$9,"&lt;="&amp;$C$7,H31:AL31)</f>
        <v>0</v>
      </c>
      <c r="G31" s="1322">
        <f>IFERROR((F31-F30)/F30,0)</f>
        <v>0</v>
      </c>
      <c r="H31" s="1323">
        <f t="shared" si="6"/>
        <v>0</v>
      </c>
      <c r="I31" s="1321">
        <f t="shared" si="6"/>
        <v>0</v>
      </c>
      <c r="J31" s="1321">
        <f t="shared" si="6"/>
        <v>0</v>
      </c>
      <c r="K31" s="1321">
        <f t="shared" si="6"/>
        <v>0</v>
      </c>
      <c r="L31" s="1321">
        <f t="shared" si="6"/>
        <v>0</v>
      </c>
      <c r="M31" s="1321">
        <f t="shared" si="6"/>
        <v>0</v>
      </c>
      <c r="N31" s="1321">
        <f t="shared" si="6"/>
        <v>0</v>
      </c>
      <c r="O31" s="1321">
        <f t="shared" si="6"/>
        <v>0</v>
      </c>
      <c r="P31" s="1321">
        <f t="shared" si="6"/>
        <v>0</v>
      </c>
      <c r="Q31" s="1321">
        <f t="shared" si="6"/>
        <v>0</v>
      </c>
      <c r="R31" s="1321">
        <f t="shared" si="6"/>
        <v>0</v>
      </c>
      <c r="S31" s="1321">
        <f t="shared" si="6"/>
        <v>0</v>
      </c>
      <c r="T31" s="1321">
        <f t="shared" si="6"/>
        <v>0</v>
      </c>
      <c r="U31" s="1321">
        <f t="shared" si="6"/>
        <v>0</v>
      </c>
      <c r="V31" s="1321">
        <f t="shared" si="6"/>
        <v>0</v>
      </c>
      <c r="W31" s="1321">
        <f>+W29*W26/1000</f>
        <v>0</v>
      </c>
      <c r="X31" s="1321">
        <f t="shared" si="6"/>
        <v>0</v>
      </c>
      <c r="Y31" s="1321">
        <f t="shared" si="6"/>
        <v>0</v>
      </c>
      <c r="Z31" s="1321">
        <f t="shared" si="6"/>
        <v>0</v>
      </c>
      <c r="AA31" s="1321">
        <f t="shared" si="6"/>
        <v>0</v>
      </c>
      <c r="AB31" s="1321">
        <f t="shared" si="6"/>
        <v>0</v>
      </c>
      <c r="AC31" s="1321">
        <f t="shared" si="6"/>
        <v>0</v>
      </c>
      <c r="AD31" s="1321">
        <f t="shared" si="6"/>
        <v>0</v>
      </c>
      <c r="AE31" s="1321">
        <f t="shared" si="6"/>
        <v>0</v>
      </c>
      <c r="AF31" s="1321">
        <f t="shared" si="6"/>
        <v>0</v>
      </c>
      <c r="AG31" s="1321">
        <f t="shared" si="6"/>
        <v>0</v>
      </c>
      <c r="AH31" s="1321">
        <f t="shared" si="6"/>
        <v>0</v>
      </c>
      <c r="AI31" s="1321">
        <f t="shared" si="6"/>
        <v>0</v>
      </c>
      <c r="AJ31" s="1321">
        <f t="shared" si="6"/>
        <v>0</v>
      </c>
      <c r="AK31" s="1321">
        <f t="shared" si="6"/>
        <v>0</v>
      </c>
      <c r="AL31" s="1321">
        <f t="shared" si="6"/>
        <v>0</v>
      </c>
      <c r="AM31" s="1079"/>
    </row>
    <row r="32" spans="1:39" ht="14.25" thickBot="1" x14ac:dyDescent="0.3">
      <c r="B32" s="1608">
        <v>1</v>
      </c>
      <c r="C32" s="1634" t="s">
        <v>363</v>
      </c>
      <c r="D32" s="1628" t="s">
        <v>340</v>
      </c>
      <c r="E32" s="1104" t="s">
        <v>341</v>
      </c>
      <c r="F32" s="196">
        <f>SUMIF($H$9:$AL$9,"&lt;="&amp;$C$7,H32:AL32)</f>
        <v>2100</v>
      </c>
      <c r="G32" s="1071"/>
      <c r="H32" s="945">
        <f>[2]Breaking.!D17</f>
        <v>70</v>
      </c>
      <c r="I32" s="945">
        <f>[2]Breaking.!E17</f>
        <v>70</v>
      </c>
      <c r="J32" s="945">
        <f>[2]Breaking.!F17</f>
        <v>70</v>
      </c>
      <c r="K32" s="945">
        <f>[2]Breaking.!G17</f>
        <v>70</v>
      </c>
      <c r="L32" s="945">
        <f>[2]Breaking.!H17</f>
        <v>70</v>
      </c>
      <c r="M32" s="945">
        <f>[2]Breaking.!I17</f>
        <v>70</v>
      </c>
      <c r="N32" s="945">
        <f>[2]Breaking.!J17</f>
        <v>70</v>
      </c>
      <c r="O32" s="945">
        <f>[2]Breaking.!K17</f>
        <v>70</v>
      </c>
      <c r="P32" s="945">
        <f>[2]Breaking.!L17</f>
        <v>70</v>
      </c>
      <c r="Q32" s="945">
        <f>[2]Breaking.!M17</f>
        <v>70</v>
      </c>
      <c r="R32" s="945">
        <f>[2]Breaking.!N17</f>
        <v>70</v>
      </c>
      <c r="S32" s="945">
        <f>[2]Breaking.!O17</f>
        <v>70</v>
      </c>
      <c r="T32" s="945">
        <f>[2]Breaking.!P17</f>
        <v>70</v>
      </c>
      <c r="U32" s="945">
        <f>[2]Breaking.!Q17</f>
        <v>70</v>
      </c>
      <c r="V32" s="945">
        <f>[2]Breaking.!R17</f>
        <v>70</v>
      </c>
      <c r="W32" s="945">
        <f>[2]Breaking.!S17</f>
        <v>70</v>
      </c>
      <c r="X32" s="945">
        <f>[2]Breaking.!T17</f>
        <v>70</v>
      </c>
      <c r="Y32" s="945">
        <f>[2]Breaking.!U17</f>
        <v>70</v>
      </c>
      <c r="Z32" s="945">
        <f>[2]Breaking.!V17</f>
        <v>70</v>
      </c>
      <c r="AA32" s="945">
        <f>[2]Breaking.!W17</f>
        <v>70</v>
      </c>
      <c r="AB32" s="945">
        <f>[2]Breaking.!X17</f>
        <v>70</v>
      </c>
      <c r="AC32" s="945">
        <f>[2]Breaking.!Y17</f>
        <v>70</v>
      </c>
      <c r="AD32" s="945">
        <f>[2]Breaking.!Z17</f>
        <v>70</v>
      </c>
      <c r="AE32" s="945">
        <f>[2]Breaking.!AA17</f>
        <v>70</v>
      </c>
      <c r="AF32" s="945">
        <f>[2]Breaking.!AB17</f>
        <v>70</v>
      </c>
      <c r="AG32" s="945">
        <f>[2]Breaking.!AC17</f>
        <v>70</v>
      </c>
      <c r="AH32" s="945">
        <f>[2]Breaking.!AD17</f>
        <v>70</v>
      </c>
      <c r="AI32" s="945">
        <f>[2]Breaking.!AE17</f>
        <v>70</v>
      </c>
      <c r="AJ32" s="945">
        <f>[2]Breaking.!AF17</f>
        <v>70</v>
      </c>
      <c r="AK32" s="945">
        <f>[2]Breaking.!AG17</f>
        <v>70</v>
      </c>
      <c r="AL32" s="945">
        <f>[2]Breaking.!AH17</f>
        <v>0</v>
      </c>
      <c r="AM32" s="1105"/>
    </row>
    <row r="33" spans="2:39" ht="14.25" thickBot="1" x14ac:dyDescent="0.3">
      <c r="B33" s="1608"/>
      <c r="C33" s="1635"/>
      <c r="D33" s="1628"/>
      <c r="E33" s="1302" t="s">
        <v>342</v>
      </c>
      <c r="F33" s="1303">
        <f>SUMIF($H$9:$AL$9,"&lt;="&amp;$C$7,H33:AL33)</f>
        <v>2362</v>
      </c>
      <c r="G33" s="1304">
        <f t="shared" ref="G33" si="7">IFERROR((F33-F32)/F32,0)</f>
        <v>0.12476190476190477</v>
      </c>
      <c r="H33" s="1305">
        <v>69</v>
      </c>
      <c r="I33" s="1303">
        <f>36+34</f>
        <v>70</v>
      </c>
      <c r="J33" s="1303">
        <f>36+34</f>
        <v>70</v>
      </c>
      <c r="K33" s="1303">
        <v>72</v>
      </c>
      <c r="L33" s="1303">
        <v>88</v>
      </c>
      <c r="M33" s="1303">
        <f>40+38</f>
        <v>78</v>
      </c>
      <c r="N33" s="1303">
        <f>39+38</f>
        <v>77</v>
      </c>
      <c r="O33" s="1303">
        <f>40+36</f>
        <v>76</v>
      </c>
      <c r="P33" s="1303">
        <f>43+40</f>
        <v>83</v>
      </c>
      <c r="Q33" s="1303">
        <v>38</v>
      </c>
      <c r="R33" s="1303">
        <v>72</v>
      </c>
      <c r="S33" s="1303">
        <v>70</v>
      </c>
      <c r="T33" s="1303">
        <v>74</v>
      </c>
      <c r="U33" s="1303">
        <v>70</v>
      </c>
      <c r="V33" s="1303">
        <f>40+38</f>
        <v>78</v>
      </c>
      <c r="W33" s="1303">
        <v>72</v>
      </c>
      <c r="X33" s="1303">
        <v>87</v>
      </c>
      <c r="Y33" s="1303">
        <v>82</v>
      </c>
      <c r="Z33" s="1303">
        <v>75</v>
      </c>
      <c r="AA33" s="1303">
        <v>74</v>
      </c>
      <c r="AB33" s="1303">
        <v>80</v>
      </c>
      <c r="AC33" s="1303">
        <v>75</v>
      </c>
      <c r="AD33" s="1303">
        <v>83</v>
      </c>
      <c r="AE33" s="1303">
        <v>83</v>
      </c>
      <c r="AF33" s="1303">
        <v>74</v>
      </c>
      <c r="AG33" s="1303">
        <v>84</v>
      </c>
      <c r="AH33" s="1303">
        <v>84</v>
      </c>
      <c r="AI33" s="1303">
        <v>82</v>
      </c>
      <c r="AJ33" s="1303">
        <v>163</v>
      </c>
      <c r="AK33" s="1303">
        <v>79</v>
      </c>
      <c r="AL33" s="1303"/>
      <c r="AM33" s="1074"/>
    </row>
    <row r="34" spans="2:39" ht="14.25" thickBot="1" x14ac:dyDescent="0.3">
      <c r="B34" s="1608"/>
      <c r="C34" s="1635"/>
      <c r="D34" s="1628"/>
      <c r="E34" s="1324" t="s">
        <v>312</v>
      </c>
      <c r="F34" s="1325"/>
      <c r="G34" s="1326"/>
      <c r="H34" s="1075"/>
      <c r="I34" s="1075"/>
      <c r="J34" s="1075"/>
      <c r="K34" s="1075"/>
      <c r="L34" s="1075"/>
      <c r="M34" s="1075"/>
      <c r="N34" s="1075"/>
      <c r="O34" s="1075"/>
      <c r="P34" s="1076"/>
      <c r="Q34" s="1075"/>
      <c r="R34" s="1075"/>
      <c r="S34" s="1075"/>
      <c r="T34" s="1075"/>
      <c r="U34" s="1075"/>
      <c r="V34" s="1075"/>
      <c r="W34" s="1075"/>
      <c r="X34" s="1075"/>
      <c r="Y34" s="1075"/>
      <c r="Z34" s="1075"/>
      <c r="AA34" s="1075"/>
      <c r="AB34" s="1075"/>
      <c r="AC34" s="1075"/>
      <c r="AD34" s="1075"/>
      <c r="AE34" s="1075"/>
      <c r="AF34" s="1075"/>
      <c r="AG34" s="1075"/>
      <c r="AH34" s="1075"/>
      <c r="AI34" s="1075"/>
      <c r="AJ34" s="1075"/>
      <c r="AK34" s="1075"/>
      <c r="AL34" s="1077"/>
      <c r="AM34" s="1108"/>
    </row>
    <row r="35" spans="2:39" ht="14.25" thickBot="1" x14ac:dyDescent="0.3">
      <c r="B35" s="1608"/>
      <c r="C35" s="1635"/>
      <c r="D35" s="1613" t="s">
        <v>343</v>
      </c>
      <c r="E35" s="1309" t="s">
        <v>344</v>
      </c>
      <c r="F35" s="1310">
        <f>IFERROR(F37*1000/F32,0)</f>
        <v>2.2500000000000009</v>
      </c>
      <c r="G35" s="1311"/>
      <c r="H35" s="1312">
        <v>2.25</v>
      </c>
      <c r="I35" s="1312">
        <v>2.25</v>
      </c>
      <c r="J35" s="1312">
        <v>2.25</v>
      </c>
      <c r="K35" s="1312">
        <v>2.25</v>
      </c>
      <c r="L35" s="1312">
        <v>2.25</v>
      </c>
      <c r="M35" s="1312">
        <v>2.25</v>
      </c>
      <c r="N35" s="1312">
        <v>2.25</v>
      </c>
      <c r="O35" s="1312">
        <v>2.25</v>
      </c>
      <c r="P35" s="1312">
        <v>2.25</v>
      </c>
      <c r="Q35" s="1312">
        <v>2.25</v>
      </c>
      <c r="R35" s="1312">
        <v>2.25</v>
      </c>
      <c r="S35" s="1312">
        <v>2.25</v>
      </c>
      <c r="T35" s="1312">
        <v>2.25</v>
      </c>
      <c r="U35" s="1312">
        <v>2.25</v>
      </c>
      <c r="V35" s="1312">
        <v>2.25</v>
      </c>
      <c r="W35" s="1312">
        <v>2.25</v>
      </c>
      <c r="X35" s="1312">
        <v>2.25</v>
      </c>
      <c r="Y35" s="1312">
        <v>2.25</v>
      </c>
      <c r="Z35" s="1312">
        <v>2.25</v>
      </c>
      <c r="AA35" s="1312">
        <v>2.25</v>
      </c>
      <c r="AB35" s="1312">
        <v>2.25</v>
      </c>
      <c r="AC35" s="1312">
        <v>2.25</v>
      </c>
      <c r="AD35" s="1312">
        <v>2.25</v>
      </c>
      <c r="AE35" s="1312">
        <v>2.25</v>
      </c>
      <c r="AF35" s="1312">
        <v>2.25</v>
      </c>
      <c r="AG35" s="1312">
        <v>2.25</v>
      </c>
      <c r="AH35" s="1312">
        <v>2.25</v>
      </c>
      <c r="AI35" s="1312">
        <v>2.25</v>
      </c>
      <c r="AJ35" s="1312">
        <v>2.25</v>
      </c>
      <c r="AK35" s="1312">
        <v>2.25</v>
      </c>
      <c r="AL35" s="1312"/>
      <c r="AM35" s="1074"/>
    </row>
    <row r="36" spans="2:39" ht="14.25" thickBot="1" x14ac:dyDescent="0.3">
      <c r="B36" s="1608"/>
      <c r="C36" s="1635"/>
      <c r="D36" s="1613"/>
      <c r="E36" s="1313" t="s">
        <v>345</v>
      </c>
      <c r="F36" s="1314">
        <f>IFERROR(F38*1000/F33,0)</f>
        <v>2.9854022015241317</v>
      </c>
      <c r="G36" s="1304">
        <f t="shared" ref="G36" si="8">IFERROR((F36-F35)/F35,0)</f>
        <v>0.32684542289961355</v>
      </c>
      <c r="H36" s="1315">
        <v>2.1</v>
      </c>
      <c r="I36" s="1314">
        <v>4.83</v>
      </c>
      <c r="J36" s="1314">
        <v>1.81</v>
      </c>
      <c r="K36" s="1314">
        <v>2.58</v>
      </c>
      <c r="L36" s="1314">
        <v>2.02</v>
      </c>
      <c r="M36" s="1314">
        <v>1.67</v>
      </c>
      <c r="N36" s="1314">
        <v>2.2599999999999998</v>
      </c>
      <c r="O36" s="1314">
        <v>2.2599999999999998</v>
      </c>
      <c r="P36" s="1314">
        <v>2.09</v>
      </c>
      <c r="Q36" s="1314">
        <v>2.1800000000000002</v>
      </c>
      <c r="R36" s="1314">
        <v>2.97</v>
      </c>
      <c r="S36" s="1314">
        <v>0.87</v>
      </c>
      <c r="T36" s="1314">
        <v>4.74</v>
      </c>
      <c r="U36" s="1314">
        <v>3.78</v>
      </c>
      <c r="V36" s="1314">
        <v>3.78</v>
      </c>
      <c r="W36" s="1314">
        <v>1.33</v>
      </c>
      <c r="X36" s="1314">
        <v>1.52</v>
      </c>
      <c r="Y36" s="1314">
        <v>1.91</v>
      </c>
      <c r="Z36" s="1314">
        <v>2.35</v>
      </c>
      <c r="AA36" s="1314">
        <v>2.35</v>
      </c>
      <c r="AB36" s="1314">
        <v>3.86</v>
      </c>
      <c r="AC36" s="1314">
        <v>3.86</v>
      </c>
      <c r="AD36" s="1314">
        <v>7</v>
      </c>
      <c r="AE36" s="1314">
        <v>7</v>
      </c>
      <c r="AF36" s="1314">
        <v>3.3</v>
      </c>
      <c r="AG36" s="1314">
        <v>1.1499999999999999</v>
      </c>
      <c r="AH36" s="1314">
        <v>4.22</v>
      </c>
      <c r="AI36" s="1314">
        <v>3.03</v>
      </c>
      <c r="AJ36" s="1314">
        <v>3.03</v>
      </c>
      <c r="AK36" s="1314">
        <v>2.89</v>
      </c>
      <c r="AL36" s="1314"/>
      <c r="AM36" s="1074"/>
    </row>
    <row r="37" spans="2:39" ht="14.25" thickBot="1" x14ac:dyDescent="0.3">
      <c r="B37" s="1608"/>
      <c r="C37" s="1635"/>
      <c r="D37" s="1613" t="s">
        <v>47</v>
      </c>
      <c r="E37" s="1309" t="s">
        <v>346</v>
      </c>
      <c r="F37" s="206">
        <f>SUMIF($H$9:$AL$9,"&lt;="&amp;$C$7,H37:AL37)</f>
        <v>4.7250000000000014</v>
      </c>
      <c r="G37" s="1311"/>
      <c r="H37" s="1316">
        <f t="shared" ref="H37:AL38" si="9">+H35*H32/1000</f>
        <v>0.1575</v>
      </c>
      <c r="I37" s="1316">
        <f t="shared" si="9"/>
        <v>0.1575</v>
      </c>
      <c r="J37" s="1316">
        <f t="shared" si="9"/>
        <v>0.1575</v>
      </c>
      <c r="K37" s="1317">
        <f t="shared" si="9"/>
        <v>0.1575</v>
      </c>
      <c r="L37" s="1317">
        <f t="shared" si="9"/>
        <v>0.1575</v>
      </c>
      <c r="M37" s="1317">
        <f t="shared" si="9"/>
        <v>0.1575</v>
      </c>
      <c r="N37" s="1317">
        <f t="shared" si="9"/>
        <v>0.1575</v>
      </c>
      <c r="O37" s="1317">
        <f t="shared" si="9"/>
        <v>0.1575</v>
      </c>
      <c r="P37" s="1318">
        <f t="shared" si="9"/>
        <v>0.1575</v>
      </c>
      <c r="Q37" s="1317">
        <f t="shared" si="9"/>
        <v>0.1575</v>
      </c>
      <c r="R37" s="1317">
        <f t="shared" si="9"/>
        <v>0.1575</v>
      </c>
      <c r="S37" s="1317">
        <f t="shared" si="9"/>
        <v>0.1575</v>
      </c>
      <c r="T37" s="1317">
        <f t="shared" si="9"/>
        <v>0.1575</v>
      </c>
      <c r="U37" s="1317">
        <f t="shared" si="9"/>
        <v>0.1575</v>
      </c>
      <c r="V37" s="1317">
        <f t="shared" si="9"/>
        <v>0.1575</v>
      </c>
      <c r="W37" s="1317">
        <f>+W35*W32/1000</f>
        <v>0.1575</v>
      </c>
      <c r="X37" s="1317">
        <f t="shared" si="9"/>
        <v>0.1575</v>
      </c>
      <c r="Y37" s="1317">
        <f t="shared" si="9"/>
        <v>0.1575</v>
      </c>
      <c r="Z37" s="1317">
        <f t="shared" si="9"/>
        <v>0.1575</v>
      </c>
      <c r="AA37" s="1317">
        <f t="shared" si="9"/>
        <v>0.1575</v>
      </c>
      <c r="AB37" s="1317">
        <f>+AB35*AB32/1000</f>
        <v>0.1575</v>
      </c>
      <c r="AC37" s="1317">
        <f t="shared" si="9"/>
        <v>0.1575</v>
      </c>
      <c r="AD37" s="1317">
        <f>+AD35*AD32/1000</f>
        <v>0.1575</v>
      </c>
      <c r="AE37" s="1317">
        <f t="shared" si="9"/>
        <v>0.1575</v>
      </c>
      <c r="AF37" s="1317">
        <f t="shared" si="9"/>
        <v>0.1575</v>
      </c>
      <c r="AG37" s="1317">
        <f t="shared" si="9"/>
        <v>0.1575</v>
      </c>
      <c r="AH37" s="1317">
        <f t="shared" si="9"/>
        <v>0.1575</v>
      </c>
      <c r="AI37" s="1317">
        <f t="shared" si="9"/>
        <v>0.1575</v>
      </c>
      <c r="AJ37" s="1317">
        <f t="shared" si="9"/>
        <v>0.1575</v>
      </c>
      <c r="AK37" s="1317">
        <f t="shared" si="9"/>
        <v>0.1575</v>
      </c>
      <c r="AL37" s="1319">
        <f t="shared" si="9"/>
        <v>0</v>
      </c>
      <c r="AM37" s="1078"/>
    </row>
    <row r="38" spans="2:39" ht="14.25" thickBot="1" x14ac:dyDescent="0.3">
      <c r="B38" s="1609"/>
      <c r="C38" s="1636"/>
      <c r="D38" s="1614"/>
      <c r="E38" s="1320" t="s">
        <v>347</v>
      </c>
      <c r="F38" s="1321">
        <f>SUMIF($H$9:$AL$9,"&lt;="&amp;$C$7,H38:AL38)</f>
        <v>7.0515199999999982</v>
      </c>
      <c r="G38" s="1322">
        <f t="shared" ref="G38" si="10">IFERROR((F38-F37)/F37,0)</f>
        <v>0.49238518518518437</v>
      </c>
      <c r="H38" s="1323">
        <f t="shared" si="9"/>
        <v>0.1449</v>
      </c>
      <c r="I38" s="1321">
        <f t="shared" si="9"/>
        <v>0.33810000000000001</v>
      </c>
      <c r="J38" s="1321">
        <f t="shared" si="9"/>
        <v>0.12670000000000001</v>
      </c>
      <c r="K38" s="1321">
        <f t="shared" si="9"/>
        <v>0.18575999999999998</v>
      </c>
      <c r="L38" s="1321">
        <f t="shared" si="9"/>
        <v>0.17776</v>
      </c>
      <c r="M38" s="1321">
        <f t="shared" si="9"/>
        <v>0.13025999999999999</v>
      </c>
      <c r="N38" s="1321">
        <f t="shared" si="9"/>
        <v>0.17401999999999998</v>
      </c>
      <c r="O38" s="1321">
        <f t="shared" si="9"/>
        <v>0.17176</v>
      </c>
      <c r="P38" s="1321">
        <f t="shared" si="9"/>
        <v>0.17346999999999999</v>
      </c>
      <c r="Q38" s="1321">
        <f t="shared" si="9"/>
        <v>8.2839999999999997E-2</v>
      </c>
      <c r="R38" s="1321">
        <f t="shared" si="9"/>
        <v>0.21384</v>
      </c>
      <c r="S38" s="1321">
        <f t="shared" si="9"/>
        <v>6.0899999999999996E-2</v>
      </c>
      <c r="T38" s="1321">
        <f t="shared" si="9"/>
        <v>0.35076000000000002</v>
      </c>
      <c r="U38" s="1321">
        <f t="shared" si="9"/>
        <v>0.26459999999999995</v>
      </c>
      <c r="V38" s="1321">
        <f t="shared" si="9"/>
        <v>0.29483999999999999</v>
      </c>
      <c r="W38" s="1321">
        <f>+W36*W33/1000</f>
        <v>9.5760000000000012E-2</v>
      </c>
      <c r="X38" s="1321">
        <f t="shared" si="9"/>
        <v>0.13224</v>
      </c>
      <c r="Y38" s="1321">
        <f t="shared" si="9"/>
        <v>0.15662000000000001</v>
      </c>
      <c r="Z38" s="1321">
        <f t="shared" si="9"/>
        <v>0.17624999999999999</v>
      </c>
      <c r="AA38" s="1321">
        <f t="shared" si="9"/>
        <v>0.1739</v>
      </c>
      <c r="AB38" s="1321">
        <f t="shared" si="9"/>
        <v>0.30880000000000002</v>
      </c>
      <c r="AC38" s="1321">
        <f t="shared" si="9"/>
        <v>0.28949999999999998</v>
      </c>
      <c r="AD38" s="1321">
        <f t="shared" si="9"/>
        <v>0.58099999999999996</v>
      </c>
      <c r="AE38" s="1321">
        <f t="shared" si="9"/>
        <v>0.58099999999999996</v>
      </c>
      <c r="AF38" s="1321">
        <f t="shared" si="9"/>
        <v>0.2442</v>
      </c>
      <c r="AG38" s="1321">
        <f t="shared" si="9"/>
        <v>9.6599999999999991E-2</v>
      </c>
      <c r="AH38" s="1321">
        <f t="shared" si="9"/>
        <v>0.35447999999999996</v>
      </c>
      <c r="AI38" s="1321">
        <f t="shared" si="9"/>
        <v>0.24845999999999999</v>
      </c>
      <c r="AJ38" s="1321">
        <f t="shared" si="9"/>
        <v>0.49389</v>
      </c>
      <c r="AK38" s="1321">
        <f t="shared" si="9"/>
        <v>0.22831000000000001</v>
      </c>
      <c r="AL38" s="1321">
        <f t="shared" si="9"/>
        <v>0</v>
      </c>
      <c r="AM38" s="1079"/>
    </row>
    <row r="39" spans="2:39" ht="14.25" thickBot="1" x14ac:dyDescent="0.3">
      <c r="B39" s="1608">
        <v>1</v>
      </c>
      <c r="C39" s="1110" t="s">
        <v>364</v>
      </c>
      <c r="D39" s="1628" t="s">
        <v>340</v>
      </c>
      <c r="E39" s="1104" t="s">
        <v>341</v>
      </c>
      <c r="F39" s="196">
        <f>SUMIF($H$9:$AL$9,"&lt;="&amp;$C$7,H39:AL39)</f>
        <v>2100</v>
      </c>
      <c r="G39" s="1071"/>
      <c r="H39" s="945">
        <f>[2]Breaking.!D15</f>
        <v>70</v>
      </c>
      <c r="I39" s="945">
        <f>[2]Breaking.!E15</f>
        <v>70</v>
      </c>
      <c r="J39" s="945">
        <f>[2]Breaking.!F15</f>
        <v>70</v>
      </c>
      <c r="K39" s="945">
        <f>[2]Breaking.!G15</f>
        <v>70</v>
      </c>
      <c r="L39" s="945">
        <f>[2]Breaking.!H15</f>
        <v>70</v>
      </c>
      <c r="M39" s="945">
        <f>[2]Breaking.!I15</f>
        <v>70</v>
      </c>
      <c r="N39" s="945">
        <f>[2]Breaking.!J15</f>
        <v>70</v>
      </c>
      <c r="O39" s="945">
        <f>[2]Breaking.!K15</f>
        <v>70</v>
      </c>
      <c r="P39" s="945">
        <f>[2]Breaking.!L15</f>
        <v>70</v>
      </c>
      <c r="Q39" s="945">
        <f>[2]Breaking.!M15</f>
        <v>70</v>
      </c>
      <c r="R39" s="945">
        <f>[2]Breaking.!N15</f>
        <v>70</v>
      </c>
      <c r="S39" s="945">
        <f>[2]Breaking.!O15</f>
        <v>70</v>
      </c>
      <c r="T39" s="945">
        <f>[2]Breaking.!P15</f>
        <v>70</v>
      </c>
      <c r="U39" s="945">
        <f>[2]Breaking.!Q15</f>
        <v>70</v>
      </c>
      <c r="V39" s="945">
        <f>[2]Breaking.!R15</f>
        <v>70</v>
      </c>
      <c r="W39" s="945">
        <f>[2]Breaking.!S15</f>
        <v>70</v>
      </c>
      <c r="X39" s="945">
        <f>[2]Breaking.!T15</f>
        <v>70</v>
      </c>
      <c r="Y39" s="945">
        <f>[2]Breaking.!U15</f>
        <v>70</v>
      </c>
      <c r="Z39" s="945">
        <f>[2]Breaking.!V15</f>
        <v>70</v>
      </c>
      <c r="AA39" s="945">
        <f>[2]Breaking.!W15</f>
        <v>70</v>
      </c>
      <c r="AB39" s="945">
        <f>[2]Breaking.!X15</f>
        <v>70</v>
      </c>
      <c r="AC39" s="945">
        <f>[2]Breaking.!Y15</f>
        <v>70</v>
      </c>
      <c r="AD39" s="945">
        <f>[2]Breaking.!Z15</f>
        <v>70</v>
      </c>
      <c r="AE39" s="945">
        <f>[2]Breaking.!AA15</f>
        <v>70</v>
      </c>
      <c r="AF39" s="945">
        <f>[2]Breaking.!AB15</f>
        <v>70</v>
      </c>
      <c r="AG39" s="945">
        <f>[2]Breaking.!AC15</f>
        <v>70</v>
      </c>
      <c r="AH39" s="945">
        <f>[2]Breaking.!AD15</f>
        <v>70</v>
      </c>
      <c r="AI39" s="945">
        <f>[2]Breaking.!AE15</f>
        <v>70</v>
      </c>
      <c r="AJ39" s="945">
        <f>[2]Breaking.!AF15</f>
        <v>70</v>
      </c>
      <c r="AK39" s="945">
        <f>[2]Breaking.!AG15</f>
        <v>70</v>
      </c>
      <c r="AL39" s="945">
        <f>[2]Breaking.!AH19</f>
        <v>0</v>
      </c>
      <c r="AM39" s="1105"/>
    </row>
    <row r="40" spans="2:39" ht="14.25" thickBot="1" x14ac:dyDescent="0.3">
      <c r="B40" s="1608"/>
      <c r="C40" s="1106"/>
      <c r="D40" s="1628"/>
      <c r="E40" s="1302" t="s">
        <v>342</v>
      </c>
      <c r="F40" s="1303">
        <f>SUMIF($H$9:$AL$9,"&lt;="&amp;$C$7,H40:AL40)</f>
        <v>2395</v>
      </c>
      <c r="G40" s="1304">
        <f t="shared" ref="G40" si="11">IFERROR((F40-F39)/F39,0)</f>
        <v>0.14047619047619048</v>
      </c>
      <c r="H40" s="1305">
        <v>68</v>
      </c>
      <c r="I40" s="1303">
        <f>34+37</f>
        <v>71</v>
      </c>
      <c r="J40" s="1303">
        <f>37+34</f>
        <v>71</v>
      </c>
      <c r="K40" s="1303">
        <v>70</v>
      </c>
      <c r="L40" s="1303">
        <v>72</v>
      </c>
      <c r="M40" s="1303">
        <f>40+37</f>
        <v>77</v>
      </c>
      <c r="N40" s="1303">
        <f>40+44</f>
        <v>84</v>
      </c>
      <c r="O40" s="1303">
        <f>46+38</f>
        <v>84</v>
      </c>
      <c r="P40" s="1303">
        <f>40+39</f>
        <v>79</v>
      </c>
      <c r="Q40" s="1303">
        <f>34+37</f>
        <v>71</v>
      </c>
      <c r="R40" s="1303">
        <v>70</v>
      </c>
      <c r="S40" s="1303">
        <v>100</v>
      </c>
      <c r="T40" s="1303">
        <v>72</v>
      </c>
      <c r="U40" s="1303">
        <v>70</v>
      </c>
      <c r="V40" s="1303">
        <f>39+38</f>
        <v>77</v>
      </c>
      <c r="W40" s="1303">
        <v>74</v>
      </c>
      <c r="X40" s="1303">
        <v>70</v>
      </c>
      <c r="Y40" s="1303">
        <v>74</v>
      </c>
      <c r="Z40" s="1303">
        <v>72</v>
      </c>
      <c r="AA40" s="1303">
        <v>71</v>
      </c>
      <c r="AB40" s="1303">
        <v>72</v>
      </c>
      <c r="AC40" s="1303">
        <v>72</v>
      </c>
      <c r="AD40" s="1303">
        <v>77</v>
      </c>
      <c r="AE40" s="1303">
        <v>74</v>
      </c>
      <c r="AF40" s="1303">
        <v>117</v>
      </c>
      <c r="AG40" s="1303">
        <f>78+38</f>
        <v>116</v>
      </c>
      <c r="AH40" s="1303">
        <v>77</v>
      </c>
      <c r="AI40" s="1303">
        <v>85</v>
      </c>
      <c r="AJ40" s="1303">
        <v>81</v>
      </c>
      <c r="AK40" s="1303">
        <f>81+46</f>
        <v>127</v>
      </c>
      <c r="AL40" s="1303"/>
      <c r="AM40" s="1074"/>
    </row>
    <row r="41" spans="2:39" ht="14.25" thickBot="1" x14ac:dyDescent="0.3">
      <c r="B41" s="1608"/>
      <c r="C41" s="1106"/>
      <c r="D41" s="1628"/>
      <c r="E41" s="1324" t="s">
        <v>312</v>
      </c>
      <c r="F41" s="1325"/>
      <c r="G41" s="1326"/>
      <c r="H41" s="1075"/>
      <c r="I41" s="1075"/>
      <c r="J41" s="1075"/>
      <c r="K41" s="1075"/>
      <c r="L41" s="1075"/>
      <c r="M41" s="1075"/>
      <c r="N41" s="1075"/>
      <c r="O41" s="1075"/>
      <c r="P41" s="1076"/>
      <c r="Q41" s="1075"/>
      <c r="R41" s="1075"/>
      <c r="S41" s="1075"/>
      <c r="T41" s="1075"/>
      <c r="U41" s="1075"/>
      <c r="V41" s="1075"/>
      <c r="W41" s="1075"/>
      <c r="X41" s="1075"/>
      <c r="Y41" s="1075"/>
      <c r="Z41" s="1075"/>
      <c r="AA41" s="1075"/>
      <c r="AB41" s="1075"/>
      <c r="AC41" s="1075"/>
      <c r="AD41" s="1075"/>
      <c r="AE41" s="1075"/>
      <c r="AF41" s="1075"/>
      <c r="AG41" s="1075"/>
      <c r="AH41" s="1075"/>
      <c r="AI41" s="1075"/>
      <c r="AJ41" s="1075"/>
      <c r="AK41" s="1075"/>
      <c r="AL41" s="1077"/>
      <c r="AM41" s="1108"/>
    </row>
    <row r="42" spans="2:39" ht="14.25" thickBot="1" x14ac:dyDescent="0.3">
      <c r="B42" s="1608"/>
      <c r="C42" s="1106"/>
      <c r="D42" s="1613" t="s">
        <v>343</v>
      </c>
      <c r="E42" s="1309" t="s">
        <v>344</v>
      </c>
      <c r="F42" s="1310">
        <f>IFERROR(F44*1000/F39,0)</f>
        <v>2.5312380952380962</v>
      </c>
      <c r="G42" s="1311"/>
      <c r="H42" s="1312">
        <v>2.52</v>
      </c>
      <c r="I42" s="1312">
        <v>2.52</v>
      </c>
      <c r="J42" s="1312">
        <v>2.52</v>
      </c>
      <c r="K42" s="1312">
        <v>2.52</v>
      </c>
      <c r="L42" s="1312">
        <v>2.52</v>
      </c>
      <c r="M42" s="1312">
        <v>2.52</v>
      </c>
      <c r="N42" s="1312">
        <v>2.52</v>
      </c>
      <c r="O42" s="1312">
        <v>2.52</v>
      </c>
      <c r="P42" s="1312">
        <v>2.52</v>
      </c>
      <c r="Q42" s="1312">
        <v>2.52</v>
      </c>
      <c r="R42" s="1312">
        <v>2.52</v>
      </c>
      <c r="S42" s="1312">
        <v>2.52</v>
      </c>
      <c r="T42" s="1312">
        <v>2.52</v>
      </c>
      <c r="U42" s="1312">
        <v>2.52</v>
      </c>
      <c r="V42" s="1312">
        <v>2.52</v>
      </c>
      <c r="W42" s="1312">
        <v>2.52</v>
      </c>
      <c r="X42" s="1312">
        <v>2.52</v>
      </c>
      <c r="Y42" s="1312">
        <v>2.52</v>
      </c>
      <c r="Z42" s="1312">
        <v>2.52</v>
      </c>
      <c r="AA42" s="1312">
        <v>2.52</v>
      </c>
      <c r="AB42" s="1312">
        <v>2.52</v>
      </c>
      <c r="AC42" s="1312">
        <v>2.52</v>
      </c>
      <c r="AD42" s="1312">
        <v>2.52</v>
      </c>
      <c r="AE42" s="1312">
        <v>2.52</v>
      </c>
      <c r="AF42" s="1312">
        <v>2.52</v>
      </c>
      <c r="AG42" s="1312">
        <v>2.52</v>
      </c>
      <c r="AH42" s="1312">
        <v>2.52</v>
      </c>
      <c r="AI42" s="1312">
        <v>2.52</v>
      </c>
      <c r="AJ42" s="1312">
        <v>2.52</v>
      </c>
      <c r="AK42" s="1312">
        <v>2.52</v>
      </c>
      <c r="AL42" s="1312"/>
      <c r="AM42" s="1074"/>
    </row>
    <row r="43" spans="2:39" ht="14.25" thickBot="1" x14ac:dyDescent="0.3">
      <c r="B43" s="1608"/>
      <c r="C43" s="1106"/>
      <c r="D43" s="1613"/>
      <c r="E43" s="1313" t="s">
        <v>345</v>
      </c>
      <c r="F43" s="1314">
        <f>IFERROR(F45*1000/F40,0)</f>
        <v>1.9726555323590811</v>
      </c>
      <c r="G43" s="1304">
        <f t="shared" ref="G43" si="12">IFERROR((F43-F42)/F42,0)</f>
        <v>-0.22067563060537498</v>
      </c>
      <c r="H43" s="1315">
        <v>1.67</v>
      </c>
      <c r="I43" s="1314">
        <v>2.2799999999999998</v>
      </c>
      <c r="J43" s="1314">
        <v>4.79</v>
      </c>
      <c r="K43" s="1314">
        <v>3.24</v>
      </c>
      <c r="L43" s="1314">
        <v>2.02</v>
      </c>
      <c r="M43" s="1314">
        <v>1.36</v>
      </c>
      <c r="N43" s="1314">
        <v>2.1</v>
      </c>
      <c r="O43" s="1314">
        <v>2.1</v>
      </c>
      <c r="P43" s="1314">
        <v>1.98</v>
      </c>
      <c r="Q43" s="1314">
        <v>1.95</v>
      </c>
      <c r="R43" s="1314">
        <v>1.47</v>
      </c>
      <c r="S43" s="1314">
        <v>1.47</v>
      </c>
      <c r="T43" s="1314">
        <v>2.06</v>
      </c>
      <c r="U43" s="1314">
        <v>2.35</v>
      </c>
      <c r="V43" s="1314">
        <v>2.35</v>
      </c>
      <c r="W43" s="1314">
        <v>2.21</v>
      </c>
      <c r="X43" s="1314">
        <v>1.32</v>
      </c>
      <c r="Y43" s="1314">
        <v>2.72</v>
      </c>
      <c r="Z43" s="1314">
        <v>1.69</v>
      </c>
      <c r="AA43" s="1314">
        <v>2.5</v>
      </c>
      <c r="AB43" s="1314">
        <v>2.08</v>
      </c>
      <c r="AC43" s="1314">
        <v>2.08</v>
      </c>
      <c r="AD43" s="1314">
        <v>1.45</v>
      </c>
      <c r="AE43" s="1314">
        <v>1.97</v>
      </c>
      <c r="AF43" s="1314">
        <v>1.97</v>
      </c>
      <c r="AG43" s="1314">
        <v>1.19</v>
      </c>
      <c r="AH43" s="1314">
        <v>1.6</v>
      </c>
      <c r="AI43" s="1314">
        <v>1.4</v>
      </c>
      <c r="AJ43" s="1314">
        <v>1.4</v>
      </c>
      <c r="AK43" s="1314">
        <v>1.6</v>
      </c>
      <c r="AL43" s="1314"/>
      <c r="AM43" s="1074"/>
    </row>
    <row r="44" spans="2:39" ht="14.25" thickBot="1" x14ac:dyDescent="0.3">
      <c r="B44" s="1608"/>
      <c r="C44" s="1106"/>
      <c r="D44" s="1613" t="s">
        <v>47</v>
      </c>
      <c r="E44" s="1309" t="s">
        <v>346</v>
      </c>
      <c r="F44" s="206">
        <f>SUMIF($H$9:$AL$9,"&lt;="&amp;$C$7,H44:AL44)</f>
        <v>5.3156000000000025</v>
      </c>
      <c r="G44" s="1311"/>
      <c r="H44" s="1316">
        <f t="shared" ref="H44:AL45" si="13">+H42*H39/1000</f>
        <v>0.1764</v>
      </c>
      <c r="I44" s="1316">
        <f t="shared" si="13"/>
        <v>0.1764</v>
      </c>
      <c r="J44" s="1316">
        <f t="shared" si="13"/>
        <v>0.1764</v>
      </c>
      <c r="K44" s="1317">
        <f t="shared" si="13"/>
        <v>0.1764</v>
      </c>
      <c r="L44" s="1317">
        <f t="shared" si="13"/>
        <v>0.1764</v>
      </c>
      <c r="M44" s="1317">
        <f t="shared" si="13"/>
        <v>0.1764</v>
      </c>
      <c r="N44" s="1317">
        <f t="shared" si="13"/>
        <v>0.1764</v>
      </c>
      <c r="O44" s="1317">
        <f t="shared" si="13"/>
        <v>0.1764</v>
      </c>
      <c r="P44" s="1318">
        <f t="shared" si="13"/>
        <v>0.1764</v>
      </c>
      <c r="Q44" s="1317">
        <f t="shared" si="13"/>
        <v>0.1764</v>
      </c>
      <c r="R44" s="1317">
        <f t="shared" si="13"/>
        <v>0.1764</v>
      </c>
      <c r="S44" s="1317">
        <f t="shared" si="13"/>
        <v>0.1764</v>
      </c>
      <c r="T44" s="1317">
        <f t="shared" si="13"/>
        <v>0.1764</v>
      </c>
      <c r="U44" s="1317">
        <f t="shared" si="13"/>
        <v>0.1764</v>
      </c>
      <c r="V44" s="1317">
        <f t="shared" si="13"/>
        <v>0.1764</v>
      </c>
      <c r="W44" s="1317">
        <f t="shared" si="13"/>
        <v>0.1764</v>
      </c>
      <c r="X44" s="1317">
        <f t="shared" si="13"/>
        <v>0.1764</v>
      </c>
      <c r="Y44" s="1317">
        <f t="shared" si="13"/>
        <v>0.1764</v>
      </c>
      <c r="Z44" s="1317">
        <f t="shared" si="13"/>
        <v>0.1764</v>
      </c>
      <c r="AA44" s="1317">
        <v>0.2</v>
      </c>
      <c r="AB44" s="1317">
        <f t="shared" si="13"/>
        <v>0.1764</v>
      </c>
      <c r="AC44" s="1317">
        <f t="shared" si="13"/>
        <v>0.1764</v>
      </c>
      <c r="AD44" s="1317">
        <f t="shared" si="13"/>
        <v>0.1764</v>
      </c>
      <c r="AE44" s="1317">
        <f t="shared" si="13"/>
        <v>0.1764</v>
      </c>
      <c r="AF44" s="1317">
        <f t="shared" si="13"/>
        <v>0.1764</v>
      </c>
      <c r="AG44" s="1317">
        <f t="shared" si="13"/>
        <v>0.1764</v>
      </c>
      <c r="AH44" s="1317">
        <f t="shared" si="13"/>
        <v>0.1764</v>
      </c>
      <c r="AI44" s="1317">
        <f t="shared" si="13"/>
        <v>0.1764</v>
      </c>
      <c r="AJ44" s="1317">
        <f t="shared" si="13"/>
        <v>0.1764</v>
      </c>
      <c r="AK44" s="1317">
        <f t="shared" si="13"/>
        <v>0.1764</v>
      </c>
      <c r="AL44" s="1319">
        <f t="shared" si="13"/>
        <v>0</v>
      </c>
      <c r="AM44" s="1078"/>
    </row>
    <row r="45" spans="2:39" ht="14.25" thickBot="1" x14ac:dyDescent="0.3">
      <c r="B45" s="1609"/>
      <c r="C45" s="1109"/>
      <c r="D45" s="1614"/>
      <c r="E45" s="1320" t="s">
        <v>347</v>
      </c>
      <c r="F45" s="1321">
        <f>SUMIF($H$9:$AL$9,"&lt;="&amp;$C$7,H45:AL45)</f>
        <v>4.7245099999999995</v>
      </c>
      <c r="G45" s="1322">
        <f t="shared" ref="G45" si="14">IFERROR((F45-F44)/F44,0)</f>
        <v>-0.11119911204755864</v>
      </c>
      <c r="H45" s="1323">
        <f t="shared" si="13"/>
        <v>0.11356000000000001</v>
      </c>
      <c r="I45" s="1321">
        <f t="shared" si="13"/>
        <v>0.16188</v>
      </c>
      <c r="J45" s="1321">
        <f t="shared" si="13"/>
        <v>0.34008999999999995</v>
      </c>
      <c r="K45" s="1321">
        <f t="shared" si="13"/>
        <v>0.2268</v>
      </c>
      <c r="L45" s="1321">
        <f t="shared" si="13"/>
        <v>0.14543999999999999</v>
      </c>
      <c r="M45" s="1321">
        <f t="shared" si="13"/>
        <v>0.10472000000000001</v>
      </c>
      <c r="N45" s="1321">
        <f t="shared" si="13"/>
        <v>0.1764</v>
      </c>
      <c r="O45" s="1321">
        <f t="shared" si="13"/>
        <v>0.1764</v>
      </c>
      <c r="P45" s="1321">
        <f t="shared" si="13"/>
        <v>0.15641999999999998</v>
      </c>
      <c r="Q45" s="1321">
        <f t="shared" si="13"/>
        <v>0.13844999999999999</v>
      </c>
      <c r="R45" s="1321">
        <f t="shared" si="13"/>
        <v>0.10289999999999999</v>
      </c>
      <c r="S45" s="1321">
        <f t="shared" si="13"/>
        <v>0.14699999999999999</v>
      </c>
      <c r="T45" s="1321">
        <f t="shared" si="13"/>
        <v>0.14831999999999998</v>
      </c>
      <c r="U45" s="1321">
        <f t="shared" si="13"/>
        <v>0.16450000000000001</v>
      </c>
      <c r="V45" s="1321">
        <f t="shared" si="13"/>
        <v>0.18095000000000003</v>
      </c>
      <c r="W45" s="1321">
        <f>+W43*W40/1000</f>
        <v>0.16353999999999999</v>
      </c>
      <c r="X45" s="1321">
        <f t="shared" si="13"/>
        <v>9.240000000000001E-2</v>
      </c>
      <c r="Y45" s="1321">
        <f t="shared" si="13"/>
        <v>0.20128000000000001</v>
      </c>
      <c r="Z45" s="1321">
        <f t="shared" si="13"/>
        <v>0.12168</v>
      </c>
      <c r="AA45" s="1321">
        <f t="shared" si="13"/>
        <v>0.17749999999999999</v>
      </c>
      <c r="AB45" s="1321">
        <f t="shared" si="13"/>
        <v>0.14976</v>
      </c>
      <c r="AC45" s="1321">
        <f t="shared" si="13"/>
        <v>0.14976</v>
      </c>
      <c r="AD45" s="1321">
        <f t="shared" si="13"/>
        <v>0.11164999999999999</v>
      </c>
      <c r="AE45" s="1321">
        <f t="shared" si="13"/>
        <v>0.14577999999999999</v>
      </c>
      <c r="AF45" s="1321">
        <f t="shared" si="13"/>
        <v>0.23049</v>
      </c>
      <c r="AG45" s="1321">
        <f t="shared" si="13"/>
        <v>0.13804</v>
      </c>
      <c r="AH45" s="1321">
        <f t="shared" si="13"/>
        <v>0.1232</v>
      </c>
      <c r="AI45" s="1321">
        <f t="shared" si="13"/>
        <v>0.11899999999999998</v>
      </c>
      <c r="AJ45" s="1321">
        <f t="shared" si="13"/>
        <v>0.11339999999999999</v>
      </c>
      <c r="AK45" s="1321">
        <f t="shared" si="13"/>
        <v>0.20320000000000002</v>
      </c>
      <c r="AL45" s="1321">
        <f t="shared" si="13"/>
        <v>0</v>
      </c>
      <c r="AM45" s="1079"/>
    </row>
    <row r="46" spans="2:39" ht="14.25" thickBot="1" x14ac:dyDescent="0.3">
      <c r="B46" s="1608">
        <v>1</v>
      </c>
      <c r="C46" s="1634" t="s">
        <v>365</v>
      </c>
      <c r="D46" s="1628" t="s">
        <v>340</v>
      </c>
      <c r="E46" s="1104" t="s">
        <v>341</v>
      </c>
      <c r="F46" s="196">
        <f>SUMIF($H$9:$AL$9,"&lt;="&amp;$C$7,H46:AL46)</f>
        <v>2100</v>
      </c>
      <c r="G46" s="1071"/>
      <c r="H46" s="945">
        <f>[2]Breaking.!D45</f>
        <v>70</v>
      </c>
      <c r="I46" s="945">
        <f>[2]Breaking.!E45</f>
        <v>70</v>
      </c>
      <c r="J46" s="945">
        <f>[2]Breaking.!F45</f>
        <v>70</v>
      </c>
      <c r="K46" s="945">
        <f>[2]Breaking.!G45</f>
        <v>70</v>
      </c>
      <c r="L46" s="945">
        <f>[2]Breaking.!H45</f>
        <v>70</v>
      </c>
      <c r="M46" s="945">
        <f>[2]Breaking.!I45</f>
        <v>70</v>
      </c>
      <c r="N46" s="945">
        <f>[2]Breaking.!J45</f>
        <v>70</v>
      </c>
      <c r="O46" s="945">
        <f>[2]Breaking.!K45</f>
        <v>70</v>
      </c>
      <c r="P46" s="945">
        <f>[2]Breaking.!L45</f>
        <v>70</v>
      </c>
      <c r="Q46" s="945">
        <f>[2]Breaking.!M45</f>
        <v>70</v>
      </c>
      <c r="R46" s="945">
        <f>[2]Breaking.!N45</f>
        <v>70</v>
      </c>
      <c r="S46" s="945">
        <f>[2]Breaking.!O45</f>
        <v>70</v>
      </c>
      <c r="T46" s="945">
        <f>[2]Breaking.!P45</f>
        <v>70</v>
      </c>
      <c r="U46" s="945">
        <f>[2]Breaking.!Q45</f>
        <v>70</v>
      </c>
      <c r="V46" s="945">
        <f>[2]Breaking.!R45</f>
        <v>70</v>
      </c>
      <c r="W46" s="945">
        <f>[2]Breaking.!S45</f>
        <v>70</v>
      </c>
      <c r="X46" s="945">
        <f>[2]Breaking.!T45</f>
        <v>70</v>
      </c>
      <c r="Y46" s="945">
        <f>[2]Breaking.!U45</f>
        <v>70</v>
      </c>
      <c r="Z46" s="945">
        <f>[2]Breaking.!V45</f>
        <v>70</v>
      </c>
      <c r="AA46" s="945">
        <f>[2]Breaking.!W45</f>
        <v>70</v>
      </c>
      <c r="AB46" s="945">
        <f>[2]Breaking.!X45</f>
        <v>70</v>
      </c>
      <c r="AC46" s="945">
        <f>[2]Breaking.!Y45</f>
        <v>70</v>
      </c>
      <c r="AD46" s="945">
        <f>[2]Breaking.!Z45</f>
        <v>70</v>
      </c>
      <c r="AE46" s="945">
        <f>[2]Breaking.!AA45</f>
        <v>70</v>
      </c>
      <c r="AF46" s="945">
        <f>[2]Breaking.!AB45</f>
        <v>70</v>
      </c>
      <c r="AG46" s="945">
        <f>[2]Breaking.!AC45</f>
        <v>70</v>
      </c>
      <c r="AH46" s="945">
        <f>[2]Breaking.!AD45</f>
        <v>70</v>
      </c>
      <c r="AI46" s="945">
        <f>[2]Breaking.!AE45</f>
        <v>70</v>
      </c>
      <c r="AJ46" s="945">
        <f>[2]Breaking.!AF45</f>
        <v>70</v>
      </c>
      <c r="AK46" s="945">
        <f>[2]Breaking.!AG45</f>
        <v>70</v>
      </c>
      <c r="AL46" s="945">
        <f>[2]Breaking.!AH45</f>
        <v>0</v>
      </c>
      <c r="AM46" s="1105"/>
    </row>
    <row r="47" spans="2:39" ht="14.25" thickBot="1" x14ac:dyDescent="0.3">
      <c r="B47" s="1608"/>
      <c r="C47" s="1635"/>
      <c r="D47" s="1628"/>
      <c r="E47" s="1302" t="s">
        <v>342</v>
      </c>
      <c r="F47" s="1303">
        <f>SUMIF($H$9:$AL$9,"&lt;="&amp;$C$7,H47:AL47)</f>
        <v>2335</v>
      </c>
      <c r="G47" s="1304">
        <f t="shared" ref="G47" si="15">IFERROR((F47-F46)/F46,0)</f>
        <v>0.11190476190476191</v>
      </c>
      <c r="H47" s="1305">
        <v>68</v>
      </c>
      <c r="I47" s="1303">
        <f>35+33+32</f>
        <v>100</v>
      </c>
      <c r="J47" s="1303">
        <f>32+35+34</f>
        <v>101</v>
      </c>
      <c r="K47" s="1303">
        <v>72</v>
      </c>
      <c r="L47" s="1303">
        <v>70</v>
      </c>
      <c r="M47" s="1303">
        <f>44+35</f>
        <v>79</v>
      </c>
      <c r="N47" s="1303">
        <f>43+44</f>
        <v>87</v>
      </c>
      <c r="O47" s="1303">
        <f>43+39</f>
        <v>82</v>
      </c>
      <c r="P47" s="1303">
        <f>44+43</f>
        <v>87</v>
      </c>
      <c r="Q47" s="1303">
        <v>77</v>
      </c>
      <c r="R47" s="1303">
        <v>92</v>
      </c>
      <c r="S47" s="1303">
        <f>131-70</f>
        <v>61</v>
      </c>
      <c r="T47" s="1303">
        <f>229-146</f>
        <v>83</v>
      </c>
      <c r="U47" s="1303">
        <f>230-140</f>
        <v>90</v>
      </c>
      <c r="V47" s="1303">
        <f>37+37</f>
        <v>74</v>
      </c>
      <c r="W47" s="1303">
        <v>77</v>
      </c>
      <c r="X47" s="1303">
        <v>75</v>
      </c>
      <c r="Y47" s="1303">
        <v>74</v>
      </c>
      <c r="Z47" s="1303">
        <v>77</v>
      </c>
      <c r="AA47" s="1303">
        <v>74</v>
      </c>
      <c r="AB47" s="1303">
        <v>68</v>
      </c>
      <c r="AC47" s="1303">
        <v>77</v>
      </c>
      <c r="AD47" s="1303">
        <v>73</v>
      </c>
      <c r="AE47" s="1303">
        <v>74</v>
      </c>
      <c r="AF47" s="1303">
        <v>80</v>
      </c>
      <c r="AG47" s="1303">
        <v>75</v>
      </c>
      <c r="AH47" s="1303">
        <v>82</v>
      </c>
      <c r="AI47" s="1303">
        <v>84</v>
      </c>
      <c r="AJ47" s="1303">
        <v>40</v>
      </c>
      <c r="AK47" s="1303">
        <v>82</v>
      </c>
      <c r="AL47" s="1303"/>
      <c r="AM47" s="1074"/>
    </row>
    <row r="48" spans="2:39" ht="14.25" thickBot="1" x14ac:dyDescent="0.3">
      <c r="B48" s="1608"/>
      <c r="C48" s="1635"/>
      <c r="D48" s="1628"/>
      <c r="E48" s="1324" t="s">
        <v>312</v>
      </c>
      <c r="F48" s="1325"/>
      <c r="G48" s="1326"/>
      <c r="H48" s="1075"/>
      <c r="I48" s="1075"/>
      <c r="J48" s="1075"/>
      <c r="K48" s="1075"/>
      <c r="L48" s="1075"/>
      <c r="M48" s="1075"/>
      <c r="N48" s="1075"/>
      <c r="O48" s="1075"/>
      <c r="P48" s="1076"/>
      <c r="Q48" s="1075"/>
      <c r="R48" s="1075"/>
      <c r="S48" s="1075"/>
      <c r="T48" s="1075"/>
      <c r="U48" s="1075"/>
      <c r="V48" s="1075"/>
      <c r="W48" s="1075" t="s">
        <v>348</v>
      </c>
      <c r="X48" s="1075"/>
      <c r="Y48" s="1075"/>
      <c r="Z48" s="1075"/>
      <c r="AA48" s="1075"/>
      <c r="AB48" s="1075"/>
      <c r="AC48" s="1075"/>
      <c r="AD48" s="1075"/>
      <c r="AE48" s="1075"/>
      <c r="AF48" s="1075"/>
      <c r="AG48" s="1075"/>
      <c r="AH48" s="1075"/>
      <c r="AI48" s="1075"/>
      <c r="AJ48" s="1075"/>
      <c r="AK48" s="1075"/>
      <c r="AL48" s="1077"/>
      <c r="AM48" s="1108"/>
    </row>
    <row r="49" spans="2:39" ht="14.25" thickBot="1" x14ac:dyDescent="0.3">
      <c r="B49" s="1608"/>
      <c r="C49" s="1635"/>
      <c r="D49" s="1613" t="s">
        <v>343</v>
      </c>
      <c r="E49" s="1309" t="s">
        <v>344</v>
      </c>
      <c r="F49" s="1310">
        <f t="shared" ref="F49" si="16">IFERROR(F51*1000/F46,0)</f>
        <v>3.8499999999999988</v>
      </c>
      <c r="G49" s="1311"/>
      <c r="H49" s="1312">
        <v>3.85</v>
      </c>
      <c r="I49" s="1312">
        <v>3.85</v>
      </c>
      <c r="J49" s="1312">
        <v>3.85</v>
      </c>
      <c r="K49" s="1312">
        <v>3.85</v>
      </c>
      <c r="L49" s="1312">
        <v>3.85</v>
      </c>
      <c r="M49" s="1312">
        <v>3.85</v>
      </c>
      <c r="N49" s="1312">
        <v>3.85</v>
      </c>
      <c r="O49" s="1312">
        <v>3.85</v>
      </c>
      <c r="P49" s="1312">
        <v>3.85</v>
      </c>
      <c r="Q49" s="1312">
        <v>3.85</v>
      </c>
      <c r="R49" s="1312">
        <v>3.85</v>
      </c>
      <c r="S49" s="1312">
        <v>3.85</v>
      </c>
      <c r="T49" s="1312">
        <v>3.85</v>
      </c>
      <c r="U49" s="1312">
        <v>3.85</v>
      </c>
      <c r="V49" s="1312">
        <v>3.85</v>
      </c>
      <c r="W49" s="1312">
        <v>3.85</v>
      </c>
      <c r="X49" s="1312">
        <v>3.85</v>
      </c>
      <c r="Y49" s="1312">
        <v>3.85</v>
      </c>
      <c r="Z49" s="1312">
        <v>3.85</v>
      </c>
      <c r="AA49" s="1312">
        <v>3.85</v>
      </c>
      <c r="AB49" s="1312">
        <v>3.85</v>
      </c>
      <c r="AC49" s="1312">
        <v>3.85</v>
      </c>
      <c r="AD49" s="1312">
        <v>3.85</v>
      </c>
      <c r="AE49" s="1312">
        <v>3.85</v>
      </c>
      <c r="AF49" s="1312">
        <v>3.85</v>
      </c>
      <c r="AG49" s="1312">
        <v>3.85</v>
      </c>
      <c r="AH49" s="1312">
        <v>3.85</v>
      </c>
      <c r="AI49" s="1312">
        <v>3.85</v>
      </c>
      <c r="AJ49" s="1312">
        <v>3.85</v>
      </c>
      <c r="AK49" s="1312">
        <v>3.85</v>
      </c>
      <c r="AL49" s="1312"/>
      <c r="AM49" s="1074"/>
    </row>
    <row r="50" spans="2:39" ht="14.25" thickBot="1" x14ac:dyDescent="0.3">
      <c r="B50" s="1608"/>
      <c r="C50" s="1635"/>
      <c r="D50" s="1613"/>
      <c r="E50" s="1313" t="s">
        <v>345</v>
      </c>
      <c r="F50" s="1314">
        <f>IFERROR(F52*1000/F47,0)</f>
        <v>2.6652334047109214</v>
      </c>
      <c r="G50" s="1304">
        <f t="shared" ref="G50" si="17">IFERROR((F50-F49)/F49,0)</f>
        <v>-0.30773158319196825</v>
      </c>
      <c r="H50" s="1328">
        <v>5</v>
      </c>
      <c r="I50" s="1314">
        <v>2.6</v>
      </c>
      <c r="J50" s="1314">
        <v>1.73</v>
      </c>
      <c r="K50" s="1314">
        <v>2.17</v>
      </c>
      <c r="L50" s="1314">
        <v>2.88</v>
      </c>
      <c r="M50" s="1314">
        <v>2.7</v>
      </c>
      <c r="N50" s="1314">
        <v>1.82</v>
      </c>
      <c r="O50" s="1314">
        <v>1.82</v>
      </c>
      <c r="P50" s="1314">
        <v>1.81</v>
      </c>
      <c r="Q50" s="1314">
        <v>1.91</v>
      </c>
      <c r="R50" s="1314">
        <v>2.16</v>
      </c>
      <c r="S50" s="1314">
        <v>1.86</v>
      </c>
      <c r="T50" s="1314">
        <v>1.81</v>
      </c>
      <c r="U50" s="1314">
        <v>3.91</v>
      </c>
      <c r="V50" s="1314">
        <v>3.91</v>
      </c>
      <c r="W50" s="1314">
        <v>2.5</v>
      </c>
      <c r="X50" s="1314">
        <v>4.29</v>
      </c>
      <c r="Y50" s="1314">
        <v>3.53</v>
      </c>
      <c r="Z50" s="1314">
        <v>5.03</v>
      </c>
      <c r="AA50" s="1314">
        <v>0.89</v>
      </c>
      <c r="AB50" s="1314">
        <v>0.89</v>
      </c>
      <c r="AC50" s="1314">
        <v>2.5</v>
      </c>
      <c r="AD50" s="1314">
        <v>2.5</v>
      </c>
      <c r="AE50" s="1314">
        <v>2.66</v>
      </c>
      <c r="AF50" s="1314">
        <v>3.74</v>
      </c>
      <c r="AG50" s="1314">
        <v>1.3</v>
      </c>
      <c r="AH50" s="1314">
        <v>4.22</v>
      </c>
      <c r="AI50" s="1314">
        <v>2.8</v>
      </c>
      <c r="AJ50" s="1314">
        <v>2.8</v>
      </c>
      <c r="AK50" s="1314">
        <v>2.57</v>
      </c>
      <c r="AL50" s="1314"/>
      <c r="AM50" s="1074"/>
    </row>
    <row r="51" spans="2:39" ht="14.25" thickBot="1" x14ac:dyDescent="0.3">
      <c r="B51" s="1608"/>
      <c r="C51" s="1635"/>
      <c r="D51" s="1613" t="s">
        <v>47</v>
      </c>
      <c r="E51" s="1309" t="s">
        <v>346</v>
      </c>
      <c r="F51" s="206">
        <f>SUMIF($H$9:$AL$9,"&lt;="&amp;$C$7,H51:AL51)</f>
        <v>8.0849999999999973</v>
      </c>
      <c r="G51" s="1311"/>
      <c r="H51" s="1316">
        <f t="shared" ref="H51:AL52" si="18">+H49*H46/1000</f>
        <v>0.26950000000000002</v>
      </c>
      <c r="I51" s="1316">
        <f t="shared" si="18"/>
        <v>0.26950000000000002</v>
      </c>
      <c r="J51" s="1316">
        <f t="shared" si="18"/>
        <v>0.26950000000000002</v>
      </c>
      <c r="K51" s="1317">
        <f t="shared" si="18"/>
        <v>0.26950000000000002</v>
      </c>
      <c r="L51" s="1317">
        <f t="shared" si="18"/>
        <v>0.26950000000000002</v>
      </c>
      <c r="M51" s="1317">
        <f t="shared" si="18"/>
        <v>0.26950000000000002</v>
      </c>
      <c r="N51" s="1317">
        <f t="shared" si="18"/>
        <v>0.26950000000000002</v>
      </c>
      <c r="O51" s="1317">
        <f t="shared" si="18"/>
        <v>0.26950000000000002</v>
      </c>
      <c r="P51" s="1318">
        <f t="shared" si="18"/>
        <v>0.26950000000000002</v>
      </c>
      <c r="Q51" s="1317">
        <f t="shared" si="18"/>
        <v>0.26950000000000002</v>
      </c>
      <c r="R51" s="1317">
        <f t="shared" si="18"/>
        <v>0.26950000000000002</v>
      </c>
      <c r="S51" s="1317">
        <f t="shared" si="18"/>
        <v>0.26950000000000002</v>
      </c>
      <c r="T51" s="1317">
        <f t="shared" si="18"/>
        <v>0.26950000000000002</v>
      </c>
      <c r="U51" s="1317">
        <f t="shared" si="18"/>
        <v>0.26950000000000002</v>
      </c>
      <c r="V51" s="1317">
        <f>+V49*V46/1000</f>
        <v>0.26950000000000002</v>
      </c>
      <c r="W51" s="1317">
        <f>+W49*W46/1000</f>
        <v>0.26950000000000002</v>
      </c>
      <c r="X51" s="1317">
        <f t="shared" si="18"/>
        <v>0.26950000000000002</v>
      </c>
      <c r="Y51" s="1317">
        <f t="shared" si="18"/>
        <v>0.26950000000000002</v>
      </c>
      <c r="Z51" s="1317">
        <f t="shared" si="18"/>
        <v>0.26950000000000002</v>
      </c>
      <c r="AA51" s="1317">
        <f t="shared" si="18"/>
        <v>0.26950000000000002</v>
      </c>
      <c r="AB51" s="1317">
        <f t="shared" si="18"/>
        <v>0.26950000000000002</v>
      </c>
      <c r="AC51" s="1317">
        <f t="shared" si="18"/>
        <v>0.26950000000000002</v>
      </c>
      <c r="AD51" s="1317">
        <f t="shared" si="18"/>
        <v>0.26950000000000002</v>
      </c>
      <c r="AE51" s="1317">
        <f t="shared" si="18"/>
        <v>0.26950000000000002</v>
      </c>
      <c r="AF51" s="1317">
        <f t="shared" si="18"/>
        <v>0.26950000000000002</v>
      </c>
      <c r="AG51" s="1317">
        <f t="shared" si="18"/>
        <v>0.26950000000000002</v>
      </c>
      <c r="AH51" s="1317">
        <f t="shared" si="18"/>
        <v>0.26950000000000002</v>
      </c>
      <c r="AI51" s="1317">
        <f t="shared" si="18"/>
        <v>0.26950000000000002</v>
      </c>
      <c r="AJ51" s="1317">
        <f>+AJ49*AJ46/1000</f>
        <v>0.26950000000000002</v>
      </c>
      <c r="AK51" s="1317">
        <f t="shared" si="18"/>
        <v>0.26950000000000002</v>
      </c>
      <c r="AL51" s="1319">
        <f t="shared" si="18"/>
        <v>0</v>
      </c>
      <c r="AM51" s="1078"/>
    </row>
    <row r="52" spans="2:39" ht="14.25" thickBot="1" x14ac:dyDescent="0.3">
      <c r="B52" s="1609"/>
      <c r="C52" s="1636"/>
      <c r="D52" s="1614"/>
      <c r="E52" s="1320" t="s">
        <v>347</v>
      </c>
      <c r="F52" s="1321">
        <f>SUMIF($H$9:$AL$9,"&lt;="&amp;$C$7,H52:AL52)</f>
        <v>6.2233200000000011</v>
      </c>
      <c r="G52" s="1322">
        <f t="shared" ref="G52" si="19">IFERROR((F52-F51)/F51,0)</f>
        <v>-0.23026345083487901</v>
      </c>
      <c r="H52" s="1323">
        <f t="shared" si="18"/>
        <v>0.34</v>
      </c>
      <c r="I52" s="1321">
        <f t="shared" si="18"/>
        <v>0.26</v>
      </c>
      <c r="J52" s="1321">
        <f t="shared" si="18"/>
        <v>0.17473</v>
      </c>
      <c r="K52" s="1321">
        <f t="shared" si="18"/>
        <v>0.15624000000000002</v>
      </c>
      <c r="L52" s="1321">
        <f t="shared" si="18"/>
        <v>0.2016</v>
      </c>
      <c r="M52" s="1321">
        <f t="shared" si="18"/>
        <v>0.21330000000000002</v>
      </c>
      <c r="N52" s="1321">
        <f t="shared" si="18"/>
        <v>0.15834000000000001</v>
      </c>
      <c r="O52" s="1321">
        <f t="shared" si="18"/>
        <v>0.14924000000000001</v>
      </c>
      <c r="P52" s="1321">
        <f t="shared" si="18"/>
        <v>0.15747</v>
      </c>
      <c r="Q52" s="1321">
        <f t="shared" si="18"/>
        <v>0.14707000000000001</v>
      </c>
      <c r="R52" s="1321">
        <f t="shared" si="18"/>
        <v>0.19872000000000004</v>
      </c>
      <c r="S52" s="1321">
        <f t="shared" si="18"/>
        <v>0.11346000000000001</v>
      </c>
      <c r="T52" s="1321">
        <f t="shared" si="18"/>
        <v>0.15023000000000003</v>
      </c>
      <c r="U52" s="1321">
        <f t="shared" si="18"/>
        <v>0.35190000000000005</v>
      </c>
      <c r="V52" s="1321">
        <f t="shared" si="18"/>
        <v>0.28934000000000004</v>
      </c>
      <c r="W52" s="1321">
        <f>+W50*W47/1000</f>
        <v>0.1925</v>
      </c>
      <c r="X52" s="1321">
        <f t="shared" si="18"/>
        <v>0.32174999999999998</v>
      </c>
      <c r="Y52" s="1321">
        <f t="shared" si="18"/>
        <v>0.26121999999999995</v>
      </c>
      <c r="Z52" s="1321">
        <f t="shared" si="18"/>
        <v>0.38730999999999999</v>
      </c>
      <c r="AA52" s="1321">
        <f t="shared" si="18"/>
        <v>6.5860000000000002E-2</v>
      </c>
      <c r="AB52" s="1321">
        <f t="shared" si="18"/>
        <v>6.0520000000000004E-2</v>
      </c>
      <c r="AC52" s="1321">
        <f t="shared" si="18"/>
        <v>0.1925</v>
      </c>
      <c r="AD52" s="1321">
        <f t="shared" si="18"/>
        <v>0.1825</v>
      </c>
      <c r="AE52" s="1321">
        <f t="shared" si="18"/>
        <v>0.19684000000000001</v>
      </c>
      <c r="AF52" s="1321">
        <f t="shared" si="18"/>
        <v>0.29920000000000002</v>
      </c>
      <c r="AG52" s="1321">
        <f t="shared" si="18"/>
        <v>9.7500000000000003E-2</v>
      </c>
      <c r="AH52" s="1321">
        <f t="shared" si="18"/>
        <v>0.34603999999999996</v>
      </c>
      <c r="AI52" s="1321">
        <f t="shared" si="18"/>
        <v>0.23519999999999999</v>
      </c>
      <c r="AJ52" s="1321">
        <f t="shared" si="18"/>
        <v>0.112</v>
      </c>
      <c r="AK52" s="1321">
        <f t="shared" si="18"/>
        <v>0.21073999999999998</v>
      </c>
      <c r="AL52" s="1321">
        <f t="shared" si="18"/>
        <v>0</v>
      </c>
      <c r="AM52" s="1079"/>
    </row>
    <row r="53" spans="2:39" ht="14.25" thickBot="1" x14ac:dyDescent="0.3">
      <c r="B53" s="1608">
        <v>1</v>
      </c>
      <c r="C53" s="1634" t="str">
        <f>[2]Breaking.!A47</f>
        <v xml:space="preserve">4L_W26 STOPE </v>
      </c>
      <c r="D53" s="1628" t="s">
        <v>340</v>
      </c>
      <c r="E53" s="1104" t="s">
        <v>341</v>
      </c>
      <c r="F53" s="196">
        <f>SUMIF($H$9:$AL$9,"&lt;="&amp;$C$7,H53:AL53)</f>
        <v>2100</v>
      </c>
      <c r="G53" s="1071"/>
      <c r="H53" s="945">
        <f>[2]Breaking.!D47</f>
        <v>70</v>
      </c>
      <c r="I53" s="945">
        <f>[2]Breaking.!E47</f>
        <v>70</v>
      </c>
      <c r="J53" s="945">
        <f>[2]Breaking.!F47</f>
        <v>70</v>
      </c>
      <c r="K53" s="945">
        <f>[2]Breaking.!G47</f>
        <v>70</v>
      </c>
      <c r="L53" s="945">
        <f>[2]Breaking.!H47</f>
        <v>70</v>
      </c>
      <c r="M53" s="945">
        <f>[2]Breaking.!I47</f>
        <v>70</v>
      </c>
      <c r="N53" s="945">
        <f>[2]Breaking.!J47</f>
        <v>70</v>
      </c>
      <c r="O53" s="945">
        <f>[2]Breaking.!K47</f>
        <v>70</v>
      </c>
      <c r="P53" s="945">
        <f>[2]Breaking.!L47</f>
        <v>70</v>
      </c>
      <c r="Q53" s="945">
        <f>[2]Breaking.!M47</f>
        <v>70</v>
      </c>
      <c r="R53" s="945">
        <f>[2]Breaking.!N47</f>
        <v>70</v>
      </c>
      <c r="S53" s="945">
        <f>[2]Breaking.!O47</f>
        <v>70</v>
      </c>
      <c r="T53" s="945">
        <f>[2]Breaking.!P47</f>
        <v>70</v>
      </c>
      <c r="U53" s="945">
        <f>[2]Breaking.!Q47</f>
        <v>70</v>
      </c>
      <c r="V53" s="945">
        <f>[2]Breaking.!R47</f>
        <v>70</v>
      </c>
      <c r="W53" s="945">
        <f>[2]Breaking.!S47</f>
        <v>70</v>
      </c>
      <c r="X53" s="945">
        <f>[2]Breaking.!T47</f>
        <v>70</v>
      </c>
      <c r="Y53" s="945">
        <f>[2]Breaking.!U47</f>
        <v>70</v>
      </c>
      <c r="Z53" s="945">
        <f>[2]Breaking.!V47</f>
        <v>70</v>
      </c>
      <c r="AA53" s="945">
        <f>[2]Breaking.!W47</f>
        <v>70</v>
      </c>
      <c r="AB53" s="945">
        <f>[2]Breaking.!X47</f>
        <v>70</v>
      </c>
      <c r="AC53" s="945">
        <f>[2]Breaking.!Y47</f>
        <v>70</v>
      </c>
      <c r="AD53" s="945">
        <f>[2]Breaking.!Z47</f>
        <v>70</v>
      </c>
      <c r="AE53" s="945">
        <f>[2]Breaking.!AA47</f>
        <v>70</v>
      </c>
      <c r="AF53" s="945">
        <f>[2]Breaking.!AB47</f>
        <v>70</v>
      </c>
      <c r="AG53" s="945">
        <f>[2]Breaking.!AC47</f>
        <v>70</v>
      </c>
      <c r="AH53" s="945">
        <f>[2]Breaking.!AD47</f>
        <v>70</v>
      </c>
      <c r="AI53" s="945">
        <f>[2]Breaking.!AE47</f>
        <v>70</v>
      </c>
      <c r="AJ53" s="945">
        <f>[2]Breaking.!AF47</f>
        <v>70</v>
      </c>
      <c r="AK53" s="945">
        <f>[2]Breaking.!AG47</f>
        <v>70</v>
      </c>
      <c r="AL53" s="945">
        <f>[2]Breaking.!AH47</f>
        <v>0</v>
      </c>
      <c r="AM53" s="1105"/>
    </row>
    <row r="54" spans="2:39" ht="14.25" thickBot="1" x14ac:dyDescent="0.3">
      <c r="B54" s="1608"/>
      <c r="C54" s="1635"/>
      <c r="D54" s="1628"/>
      <c r="E54" s="1302" t="s">
        <v>342</v>
      </c>
      <c r="F54" s="1303">
        <f>SUMIF($H$9:$AL$9,"&lt;="&amp;$C$7,H54:AL54)</f>
        <v>2256</v>
      </c>
      <c r="G54" s="1304">
        <f t="shared" ref="G54" si="20">IFERROR((F54-F53)/F53,0)</f>
        <v>7.4285714285714288E-2</v>
      </c>
      <c r="H54" s="1305">
        <v>72</v>
      </c>
      <c r="I54" s="1303">
        <f>36+30</f>
        <v>66</v>
      </c>
      <c r="J54" s="1303">
        <v>74</v>
      </c>
      <c r="K54" s="1303">
        <v>71</v>
      </c>
      <c r="L54" s="1303">
        <v>72</v>
      </c>
      <c r="M54" s="1303">
        <f>34+39</f>
        <v>73</v>
      </c>
      <c r="N54" s="1303">
        <v>24</v>
      </c>
      <c r="O54" s="1303">
        <f>39+4</f>
        <v>43</v>
      </c>
      <c r="P54" s="1303">
        <f>39+36</f>
        <v>75</v>
      </c>
      <c r="Q54" s="1303">
        <f>40+35</f>
        <v>75</v>
      </c>
      <c r="R54" s="1303">
        <v>75</v>
      </c>
      <c r="S54" s="1303">
        <v>62</v>
      </c>
      <c r="T54" s="1303">
        <v>69</v>
      </c>
      <c r="U54" s="1303">
        <v>72</v>
      </c>
      <c r="V54" s="1303">
        <f>40+39</f>
        <v>79</v>
      </c>
      <c r="W54" s="1303">
        <v>74</v>
      </c>
      <c r="X54" s="1303">
        <v>75</v>
      </c>
      <c r="Y54" s="1303">
        <v>72</v>
      </c>
      <c r="Z54" s="1303">
        <v>80</v>
      </c>
      <c r="AA54" s="1303">
        <v>74</v>
      </c>
      <c r="AB54" s="1303">
        <v>80</v>
      </c>
      <c r="AC54" s="1303">
        <v>78</v>
      </c>
      <c r="AD54" s="1303">
        <v>77</v>
      </c>
      <c r="AE54" s="1303">
        <v>74</v>
      </c>
      <c r="AF54" s="1303">
        <v>79</v>
      </c>
      <c r="AG54" s="1303">
        <v>76</v>
      </c>
      <c r="AH54" s="1303">
        <v>127</v>
      </c>
      <c r="AI54" s="1303">
        <v>120</v>
      </c>
      <c r="AJ54" s="1303">
        <v>86</v>
      </c>
      <c r="AK54" s="1303">
        <v>82</v>
      </c>
      <c r="AL54" s="1303"/>
      <c r="AM54" s="1074"/>
    </row>
    <row r="55" spans="2:39" ht="14.25" thickBot="1" x14ac:dyDescent="0.3">
      <c r="B55" s="1608"/>
      <c r="C55" s="1635"/>
      <c r="D55" s="1628"/>
      <c r="E55" s="1324" t="s">
        <v>312</v>
      </c>
      <c r="F55" s="1325"/>
      <c r="G55" s="1326"/>
      <c r="H55" s="1075"/>
      <c r="I55" s="1075"/>
      <c r="J55" s="1075"/>
      <c r="K55" s="1075"/>
      <c r="L55" s="1075"/>
      <c r="M55" s="1075"/>
      <c r="N55" s="1075"/>
      <c r="O55" s="1075"/>
      <c r="P55" s="1076"/>
      <c r="Q55" s="1075"/>
      <c r="R55" s="1075"/>
      <c r="S55" s="1075"/>
      <c r="T55" s="1075"/>
      <c r="U55" s="1075"/>
      <c r="V55" s="1075"/>
      <c r="W55" s="1075"/>
      <c r="X55" s="1075"/>
      <c r="Y55" s="1075"/>
      <c r="Z55" s="1075"/>
      <c r="AA55" s="1075"/>
      <c r="AB55" s="1075"/>
      <c r="AC55" s="1075"/>
      <c r="AD55" s="1075"/>
      <c r="AE55" s="1075"/>
      <c r="AF55" s="1075"/>
      <c r="AG55" s="1075"/>
      <c r="AH55" s="1075"/>
      <c r="AI55" s="1075"/>
      <c r="AJ55" s="1075"/>
      <c r="AK55" s="1075"/>
      <c r="AL55" s="1077"/>
      <c r="AM55" s="1108"/>
    </row>
    <row r="56" spans="2:39" ht="14.25" thickBot="1" x14ac:dyDescent="0.3">
      <c r="B56" s="1608"/>
      <c r="C56" s="1635"/>
      <c r="D56" s="1613" t="s">
        <v>343</v>
      </c>
      <c r="E56" s="1309" t="s">
        <v>344</v>
      </c>
      <c r="F56" s="1310">
        <f t="shared" ref="F56:F57" si="21">IFERROR(F58*1000/F53,0)</f>
        <v>2.12</v>
      </c>
      <c r="G56" s="1311"/>
      <c r="H56" s="1312">
        <v>2.12</v>
      </c>
      <c r="I56" s="1312">
        <v>2.12</v>
      </c>
      <c r="J56" s="1312">
        <v>2.12</v>
      </c>
      <c r="K56" s="1312">
        <v>2.12</v>
      </c>
      <c r="L56" s="1312">
        <v>2.12</v>
      </c>
      <c r="M56" s="1312">
        <v>2.12</v>
      </c>
      <c r="N56" s="1312">
        <v>2.12</v>
      </c>
      <c r="O56" s="1312">
        <v>2.12</v>
      </c>
      <c r="P56" s="1312">
        <v>2.12</v>
      </c>
      <c r="Q56" s="1312">
        <v>2.12</v>
      </c>
      <c r="R56" s="1312">
        <v>2.12</v>
      </c>
      <c r="S56" s="1312">
        <v>2.12</v>
      </c>
      <c r="T56" s="1312">
        <v>2.12</v>
      </c>
      <c r="U56" s="1312">
        <v>2.12</v>
      </c>
      <c r="V56" s="1312">
        <v>2.12</v>
      </c>
      <c r="W56" s="1312">
        <v>2.12</v>
      </c>
      <c r="X56" s="1312">
        <v>2.12</v>
      </c>
      <c r="Y56" s="1312">
        <v>2.12</v>
      </c>
      <c r="Z56" s="1312">
        <v>2.12</v>
      </c>
      <c r="AA56" s="1312">
        <v>2.12</v>
      </c>
      <c r="AB56" s="1312">
        <v>2.12</v>
      </c>
      <c r="AC56" s="1312">
        <v>2.12</v>
      </c>
      <c r="AD56" s="1312">
        <v>2.12</v>
      </c>
      <c r="AE56" s="1312">
        <v>2.12</v>
      </c>
      <c r="AF56" s="1312">
        <v>2.12</v>
      </c>
      <c r="AG56" s="1312">
        <v>2.12</v>
      </c>
      <c r="AH56" s="1312">
        <v>2.12</v>
      </c>
      <c r="AI56" s="1312">
        <v>2.12</v>
      </c>
      <c r="AJ56" s="1312">
        <v>2.12</v>
      </c>
      <c r="AK56" s="1312">
        <v>2.12</v>
      </c>
      <c r="AL56" s="1312"/>
      <c r="AM56" s="1074"/>
    </row>
    <row r="57" spans="2:39" ht="14.25" thickBot="1" x14ac:dyDescent="0.3">
      <c r="B57" s="1608"/>
      <c r="C57" s="1635"/>
      <c r="D57" s="1613"/>
      <c r="E57" s="1313" t="s">
        <v>345</v>
      </c>
      <c r="F57" s="1314">
        <f t="shared" si="21"/>
        <v>3.0977127659574468</v>
      </c>
      <c r="G57" s="1304">
        <f t="shared" ref="G57" si="22">IFERROR((F57-F56)/F56,0)</f>
        <v>0.46118526696105977</v>
      </c>
      <c r="H57" s="1315">
        <v>2.11</v>
      </c>
      <c r="I57" s="1314">
        <v>1.98</v>
      </c>
      <c r="J57" s="1314">
        <v>1.42</v>
      </c>
      <c r="K57" s="1314">
        <v>2.93</v>
      </c>
      <c r="L57" s="1314">
        <v>1.72</v>
      </c>
      <c r="M57" s="1314">
        <v>1.55</v>
      </c>
      <c r="N57" s="1314">
        <v>1.64</v>
      </c>
      <c r="O57" s="1314">
        <v>1.64</v>
      </c>
      <c r="P57" s="1314">
        <v>5.09</v>
      </c>
      <c r="Q57" s="1314">
        <v>3.09</v>
      </c>
      <c r="R57" s="1314">
        <v>2.0099999999999998</v>
      </c>
      <c r="S57" s="1314">
        <v>4.92</v>
      </c>
      <c r="T57" s="1314">
        <v>2.09</v>
      </c>
      <c r="U57" s="1314">
        <v>4.76</v>
      </c>
      <c r="V57" s="1314">
        <v>4.76</v>
      </c>
      <c r="W57" s="1314">
        <v>2.92</v>
      </c>
      <c r="X57" s="1314">
        <v>4.84</v>
      </c>
      <c r="Y57" s="1314">
        <v>3.05</v>
      </c>
      <c r="Z57" s="1314">
        <v>3.53</v>
      </c>
      <c r="AA57" s="1314">
        <v>1.78</v>
      </c>
      <c r="AB57" s="1314">
        <v>2.34</v>
      </c>
      <c r="AC57" s="1314">
        <v>2.34</v>
      </c>
      <c r="AD57" s="1314">
        <v>7</v>
      </c>
      <c r="AE57" s="1314">
        <v>2.12</v>
      </c>
      <c r="AF57" s="1314">
        <v>3.29</v>
      </c>
      <c r="AG57" s="1314">
        <v>1.89</v>
      </c>
      <c r="AH57" s="1314">
        <v>3.59</v>
      </c>
      <c r="AI57" s="1314">
        <v>3.61</v>
      </c>
      <c r="AJ57" s="1314">
        <v>3.61</v>
      </c>
      <c r="AK57" s="1314">
        <v>2.83</v>
      </c>
      <c r="AL57" s="1314"/>
      <c r="AM57" s="1074"/>
    </row>
    <row r="58" spans="2:39" ht="14.25" thickBot="1" x14ac:dyDescent="0.3">
      <c r="B58" s="1608"/>
      <c r="C58" s="1635"/>
      <c r="D58" s="1613" t="s">
        <v>47</v>
      </c>
      <c r="E58" s="1309" t="s">
        <v>346</v>
      </c>
      <c r="F58" s="206">
        <f>SUMIF($H$9:$AL$9,"&lt;="&amp;$C$7,H58:AL58)</f>
        <v>4.452</v>
      </c>
      <c r="G58" s="1311"/>
      <c r="H58" s="1316">
        <f t="shared" ref="H58:AL59" si="23">+H56*H53/1000</f>
        <v>0.1484</v>
      </c>
      <c r="I58" s="1316">
        <f t="shared" si="23"/>
        <v>0.1484</v>
      </c>
      <c r="J58" s="1316">
        <f t="shared" si="23"/>
        <v>0.1484</v>
      </c>
      <c r="K58" s="1316">
        <f t="shared" si="23"/>
        <v>0.1484</v>
      </c>
      <c r="L58" s="1316">
        <f t="shared" si="23"/>
        <v>0.1484</v>
      </c>
      <c r="M58" s="1316">
        <f t="shared" si="23"/>
        <v>0.1484</v>
      </c>
      <c r="N58" s="1316">
        <f t="shared" si="23"/>
        <v>0.1484</v>
      </c>
      <c r="O58" s="1316">
        <f t="shared" si="23"/>
        <v>0.1484</v>
      </c>
      <c r="P58" s="1316">
        <f t="shared" si="23"/>
        <v>0.1484</v>
      </c>
      <c r="Q58" s="1316">
        <f t="shared" si="23"/>
        <v>0.1484</v>
      </c>
      <c r="R58" s="1316">
        <f t="shared" si="23"/>
        <v>0.1484</v>
      </c>
      <c r="S58" s="1316">
        <f t="shared" si="23"/>
        <v>0.1484</v>
      </c>
      <c r="T58" s="1316">
        <f t="shared" si="23"/>
        <v>0.1484</v>
      </c>
      <c r="U58" s="1316">
        <f t="shared" si="23"/>
        <v>0.1484</v>
      </c>
      <c r="V58" s="1316">
        <f t="shared" si="23"/>
        <v>0.1484</v>
      </c>
      <c r="W58" s="1316">
        <f t="shared" si="23"/>
        <v>0.1484</v>
      </c>
      <c r="X58" s="1316">
        <f t="shared" si="23"/>
        <v>0.1484</v>
      </c>
      <c r="Y58" s="1316">
        <f t="shared" si="23"/>
        <v>0.1484</v>
      </c>
      <c r="Z58" s="1316">
        <f t="shared" si="23"/>
        <v>0.1484</v>
      </c>
      <c r="AA58" s="1316">
        <f t="shared" si="23"/>
        <v>0.1484</v>
      </c>
      <c r="AB58" s="1316">
        <f t="shared" si="23"/>
        <v>0.1484</v>
      </c>
      <c r="AC58" s="1316">
        <f t="shared" si="23"/>
        <v>0.1484</v>
      </c>
      <c r="AD58" s="1316">
        <f t="shared" si="23"/>
        <v>0.1484</v>
      </c>
      <c r="AE58" s="1316">
        <f t="shared" si="23"/>
        <v>0.1484</v>
      </c>
      <c r="AF58" s="1316">
        <f t="shared" si="23"/>
        <v>0.1484</v>
      </c>
      <c r="AG58" s="1316">
        <f t="shared" si="23"/>
        <v>0.1484</v>
      </c>
      <c r="AH58" s="1316">
        <f t="shared" si="23"/>
        <v>0.1484</v>
      </c>
      <c r="AI58" s="1316">
        <f t="shared" si="23"/>
        <v>0.1484</v>
      </c>
      <c r="AJ58" s="1316">
        <f t="shared" si="23"/>
        <v>0.1484</v>
      </c>
      <c r="AK58" s="1316">
        <f t="shared" si="23"/>
        <v>0.1484</v>
      </c>
      <c r="AL58" s="1319">
        <f t="shared" si="23"/>
        <v>0</v>
      </c>
      <c r="AM58" s="1078"/>
    </row>
    <row r="59" spans="2:39" ht="14.25" thickBot="1" x14ac:dyDescent="0.3">
      <c r="B59" s="1609"/>
      <c r="C59" s="1636"/>
      <c r="D59" s="1614"/>
      <c r="E59" s="1320" t="s">
        <v>347</v>
      </c>
      <c r="F59" s="1321">
        <f>SUMIF($H$9:$AL$9,"&lt;="&amp;$C$7,H59:AL59)</f>
        <v>6.9884399999999998</v>
      </c>
      <c r="G59" s="1322">
        <f t="shared" ref="G59" si="24">IFERROR((F59-F58)/F58,0)</f>
        <v>0.56973045822102419</v>
      </c>
      <c r="H59" s="1323">
        <f t="shared" si="23"/>
        <v>0.15192</v>
      </c>
      <c r="I59" s="1321">
        <f t="shared" si="23"/>
        <v>0.13068000000000002</v>
      </c>
      <c r="J59" s="1321">
        <f t="shared" si="23"/>
        <v>0.10507999999999999</v>
      </c>
      <c r="K59" s="1321">
        <f t="shared" si="23"/>
        <v>0.20802999999999999</v>
      </c>
      <c r="L59" s="1321">
        <f t="shared" si="23"/>
        <v>0.12384000000000001</v>
      </c>
      <c r="M59" s="1321">
        <f t="shared" si="23"/>
        <v>0.11315</v>
      </c>
      <c r="N59" s="1321">
        <f t="shared" si="23"/>
        <v>3.9359999999999999E-2</v>
      </c>
      <c r="O59" s="1321">
        <f t="shared" si="23"/>
        <v>7.0519999999999999E-2</v>
      </c>
      <c r="P59" s="1321">
        <f t="shared" si="23"/>
        <v>0.38174999999999998</v>
      </c>
      <c r="Q59" s="1321">
        <f t="shared" si="23"/>
        <v>0.23175000000000001</v>
      </c>
      <c r="R59" s="1321">
        <f t="shared" si="23"/>
        <v>0.15074999999999997</v>
      </c>
      <c r="S59" s="1321">
        <f t="shared" si="23"/>
        <v>0.30504000000000003</v>
      </c>
      <c r="T59" s="1321">
        <f t="shared" si="23"/>
        <v>0.14420999999999998</v>
      </c>
      <c r="U59" s="1321">
        <f t="shared" si="23"/>
        <v>0.34271999999999997</v>
      </c>
      <c r="V59" s="1321">
        <f t="shared" si="23"/>
        <v>0.37603999999999999</v>
      </c>
      <c r="W59" s="1321">
        <f>+W57*W54/1000</f>
        <v>0.21607999999999999</v>
      </c>
      <c r="X59" s="1321">
        <f t="shared" si="23"/>
        <v>0.36299999999999999</v>
      </c>
      <c r="Y59" s="1321">
        <f t="shared" si="23"/>
        <v>0.21959999999999999</v>
      </c>
      <c r="Z59" s="1321">
        <f t="shared" si="23"/>
        <v>0.28239999999999998</v>
      </c>
      <c r="AA59" s="1321">
        <f t="shared" si="23"/>
        <v>0.13172</v>
      </c>
      <c r="AB59" s="1321">
        <f t="shared" si="23"/>
        <v>0.18719999999999998</v>
      </c>
      <c r="AC59" s="1321">
        <f t="shared" si="23"/>
        <v>0.18251999999999999</v>
      </c>
      <c r="AD59" s="1321">
        <f t="shared" si="23"/>
        <v>0.53900000000000003</v>
      </c>
      <c r="AE59" s="1321">
        <f t="shared" si="23"/>
        <v>0.15687999999999999</v>
      </c>
      <c r="AF59" s="1321">
        <f t="shared" si="23"/>
        <v>0.25991000000000003</v>
      </c>
      <c r="AG59" s="1321">
        <f t="shared" si="23"/>
        <v>0.14363999999999999</v>
      </c>
      <c r="AH59" s="1321">
        <f t="shared" si="23"/>
        <v>0.45593</v>
      </c>
      <c r="AI59" s="1321">
        <f t="shared" si="23"/>
        <v>0.43319999999999997</v>
      </c>
      <c r="AJ59" s="1321">
        <f t="shared" si="23"/>
        <v>0.31045999999999996</v>
      </c>
      <c r="AK59" s="1321">
        <f t="shared" si="23"/>
        <v>0.23205999999999999</v>
      </c>
      <c r="AL59" s="1321">
        <f t="shared" si="23"/>
        <v>0</v>
      </c>
      <c r="AM59" s="1079"/>
    </row>
    <row r="60" spans="2:39" ht="14.25" hidden="1" thickBot="1" x14ac:dyDescent="0.3">
      <c r="B60" s="1608"/>
      <c r="C60" s="1634"/>
      <c r="D60" s="1628" t="s">
        <v>340</v>
      </c>
      <c r="E60" s="1104" t="s">
        <v>341</v>
      </c>
      <c r="F60" s="196">
        <f>SUMIF($H$9:$AL$9,"&lt;="&amp;$C$7,H60:AL60)</f>
        <v>0</v>
      </c>
      <c r="G60" s="1071"/>
      <c r="H60" s="198">
        <f>[2]Breaking.!D53</f>
        <v>0</v>
      </c>
      <c r="I60" s="198">
        <f>[2]Breaking.!E53</f>
        <v>0</v>
      </c>
      <c r="J60" s="198">
        <f>[2]Breaking.!F53</f>
        <v>0</v>
      </c>
      <c r="K60" s="198">
        <f>[2]Breaking.!G53</f>
        <v>0</v>
      </c>
      <c r="L60" s="198">
        <f>[2]Breaking.!H53</f>
        <v>0</v>
      </c>
      <c r="M60" s="198">
        <f>[2]Breaking.!I53</f>
        <v>0</v>
      </c>
      <c r="N60" s="198">
        <f>[2]Breaking.!J53</f>
        <v>0</v>
      </c>
      <c r="O60" s="198">
        <f>[2]Breaking.!K53</f>
        <v>0</v>
      </c>
      <c r="P60" s="198">
        <f>[2]Breaking.!L53</f>
        <v>0</v>
      </c>
      <c r="Q60" s="198">
        <f>[2]Breaking.!M53</f>
        <v>0</v>
      </c>
      <c r="R60" s="198">
        <f>[2]Breaking.!N53</f>
        <v>0</v>
      </c>
      <c r="S60" s="198">
        <f>[2]Breaking.!O53</f>
        <v>0</v>
      </c>
      <c r="T60" s="198">
        <f>[2]Breaking.!P53</f>
        <v>0</v>
      </c>
      <c r="U60" s="198">
        <f>[2]Breaking.!Q53</f>
        <v>0</v>
      </c>
      <c r="V60" s="198">
        <f>[2]Breaking.!R53</f>
        <v>0</v>
      </c>
      <c r="W60" s="198"/>
      <c r="X60" s="198"/>
      <c r="Y60" s="198"/>
      <c r="Z60" s="198"/>
      <c r="AA60" s="198"/>
      <c r="AB60" s="198">
        <f>[2]Breaking.!X53</f>
        <v>0</v>
      </c>
      <c r="AC60" s="198">
        <f>[2]Breaking.!Y53</f>
        <v>0</v>
      </c>
      <c r="AD60" s="198">
        <f>[2]Breaking.!Z53</f>
        <v>0</v>
      </c>
      <c r="AE60" s="198">
        <f>[2]Breaking.!AA53</f>
        <v>0</v>
      </c>
      <c r="AF60" s="198">
        <f>[2]Breaking.!AB53</f>
        <v>0</v>
      </c>
      <c r="AG60" s="198">
        <f>[2]Breaking.!AC53</f>
        <v>0</v>
      </c>
      <c r="AH60" s="198">
        <f>[2]Breaking.!AD53</f>
        <v>0</v>
      </c>
      <c r="AI60" s="198">
        <f>[2]Breaking.!AE53</f>
        <v>0</v>
      </c>
      <c r="AJ60" s="198">
        <f>[2]Breaking.!AF53</f>
        <v>0</v>
      </c>
      <c r="AK60" s="198">
        <f>[2]Breaking.!AG53</f>
        <v>0</v>
      </c>
      <c r="AL60" s="198">
        <f>[2]Breaking.!AH53</f>
        <v>0</v>
      </c>
      <c r="AM60" s="1105"/>
    </row>
    <row r="61" spans="2:39" ht="14.25" hidden="1" thickBot="1" x14ac:dyDescent="0.3">
      <c r="B61" s="1608"/>
      <c r="C61" s="1635"/>
      <c r="D61" s="1628"/>
      <c r="E61" s="1302" t="s">
        <v>342</v>
      </c>
      <c r="F61" s="1303">
        <f>SUMIF($H$9:$AL$9,"&lt;="&amp;$C$7,H61:AL61)</f>
        <v>0</v>
      </c>
      <c r="G61" s="1304">
        <f t="shared" ref="G61" si="25">IFERROR((F61-F60)/F60,0)</f>
        <v>0</v>
      </c>
      <c r="H61" s="1305"/>
      <c r="I61" s="1303"/>
      <c r="J61" s="1303"/>
      <c r="K61" s="1303"/>
      <c r="L61" s="1303"/>
      <c r="M61" s="1303"/>
      <c r="N61" s="1303"/>
      <c r="O61" s="1303"/>
      <c r="P61" s="1303"/>
      <c r="Q61" s="1303"/>
      <c r="R61" s="1303"/>
      <c r="S61" s="1303"/>
      <c r="T61" s="1303"/>
      <c r="U61" s="1303"/>
      <c r="V61" s="1303"/>
      <c r="W61" s="1303"/>
      <c r="X61" s="1303"/>
      <c r="Y61" s="1303"/>
      <c r="Z61" s="1303"/>
      <c r="AA61" s="1303"/>
      <c r="AB61" s="1303"/>
      <c r="AC61" s="1303"/>
      <c r="AD61" s="1303"/>
      <c r="AE61" s="1303"/>
      <c r="AF61" s="1303"/>
      <c r="AG61" s="1303"/>
      <c r="AH61" s="1303"/>
      <c r="AI61" s="1303"/>
      <c r="AJ61" s="1303"/>
      <c r="AK61" s="1303"/>
      <c r="AL61" s="1303"/>
      <c r="AM61" s="1074"/>
    </row>
    <row r="62" spans="2:39" ht="14.25" hidden="1" thickBot="1" x14ac:dyDescent="0.3">
      <c r="B62" s="1608"/>
      <c r="C62" s="1635"/>
      <c r="D62" s="1628"/>
      <c r="E62" s="1324" t="s">
        <v>312</v>
      </c>
      <c r="F62" s="1325"/>
      <c r="G62" s="1326"/>
      <c r="H62" s="1075"/>
      <c r="I62" s="1075"/>
      <c r="J62" s="1075"/>
      <c r="K62" s="1075"/>
      <c r="L62" s="1075"/>
      <c r="M62" s="1075"/>
      <c r="N62" s="1075"/>
      <c r="O62" s="1075"/>
      <c r="P62" s="1076"/>
      <c r="Q62" s="1075"/>
      <c r="R62" s="1075"/>
      <c r="S62" s="1075"/>
      <c r="T62" s="1075"/>
      <c r="U62" s="1075"/>
      <c r="V62" s="1075"/>
      <c r="W62" s="1075"/>
      <c r="X62" s="1075"/>
      <c r="Y62" s="1075"/>
      <c r="Z62" s="1075"/>
      <c r="AA62" s="1075"/>
      <c r="AB62" s="1075"/>
      <c r="AC62" s="1075"/>
      <c r="AD62" s="1075"/>
      <c r="AE62" s="1075"/>
      <c r="AF62" s="1075"/>
      <c r="AG62" s="1075"/>
      <c r="AH62" s="1075"/>
      <c r="AI62" s="1075"/>
      <c r="AJ62" s="1075"/>
      <c r="AK62" s="1075"/>
      <c r="AL62" s="1077"/>
      <c r="AM62" s="1108"/>
    </row>
    <row r="63" spans="2:39" ht="14.25" hidden="1" thickBot="1" x14ac:dyDescent="0.3">
      <c r="B63" s="1608"/>
      <c r="C63" s="1635"/>
      <c r="D63" s="1613" t="s">
        <v>343</v>
      </c>
      <c r="E63" s="1309" t="s">
        <v>344</v>
      </c>
      <c r="F63" s="1310">
        <f t="shared" ref="F63:F64" si="26">IFERROR(F65*1000/F60,0)</f>
        <v>0</v>
      </c>
      <c r="G63" s="1311"/>
      <c r="H63" s="1312"/>
      <c r="I63" s="1312"/>
      <c r="J63" s="1312"/>
      <c r="K63" s="1312"/>
      <c r="L63" s="1312"/>
      <c r="M63" s="1312"/>
      <c r="N63" s="1312"/>
      <c r="O63" s="1312"/>
      <c r="P63" s="1312"/>
      <c r="Q63" s="1312"/>
      <c r="R63" s="1312"/>
      <c r="S63" s="1312"/>
      <c r="T63" s="1312"/>
      <c r="U63" s="1312"/>
      <c r="V63" s="1312"/>
      <c r="W63" s="1312"/>
      <c r="X63" s="1312"/>
      <c r="Y63" s="1312"/>
      <c r="Z63" s="1312"/>
      <c r="AA63" s="1312"/>
      <c r="AB63" s="1312"/>
      <c r="AC63" s="1312"/>
      <c r="AD63" s="1312"/>
      <c r="AE63" s="1312"/>
      <c r="AF63" s="1312"/>
      <c r="AG63" s="1312"/>
      <c r="AH63" s="1312"/>
      <c r="AI63" s="1312"/>
      <c r="AJ63" s="1312"/>
      <c r="AK63" s="1312"/>
      <c r="AL63" s="1312"/>
      <c r="AM63" s="1074"/>
    </row>
    <row r="64" spans="2:39" ht="14.25" hidden="1" thickBot="1" x14ac:dyDescent="0.3">
      <c r="B64" s="1608"/>
      <c r="C64" s="1635"/>
      <c r="D64" s="1613"/>
      <c r="E64" s="1313" t="s">
        <v>345</v>
      </c>
      <c r="F64" s="1314">
        <f t="shared" si="26"/>
        <v>0</v>
      </c>
      <c r="G64" s="1304">
        <f t="shared" ref="G64" si="27">IFERROR((F64-F63)/F63,0)</f>
        <v>0</v>
      </c>
      <c r="H64" s="1315"/>
      <c r="I64" s="1314"/>
      <c r="J64" s="1314"/>
      <c r="K64" s="1314"/>
      <c r="L64" s="1314"/>
      <c r="M64" s="1314"/>
      <c r="N64" s="1314"/>
      <c r="O64" s="1314"/>
      <c r="P64" s="1314"/>
      <c r="Q64" s="1314"/>
      <c r="R64" s="1314"/>
      <c r="S64" s="1314"/>
      <c r="T64" s="1314"/>
      <c r="U64" s="1314"/>
      <c r="V64" s="1314"/>
      <c r="W64" s="1314"/>
      <c r="X64" s="1314"/>
      <c r="Y64" s="1314"/>
      <c r="Z64" s="1314"/>
      <c r="AA64" s="1314"/>
      <c r="AB64" s="1314"/>
      <c r="AC64" s="1314"/>
      <c r="AD64" s="1314"/>
      <c r="AE64" s="1314"/>
      <c r="AF64" s="1314"/>
      <c r="AG64" s="1314"/>
      <c r="AH64" s="1314"/>
      <c r="AI64" s="1314"/>
      <c r="AJ64" s="1314"/>
      <c r="AK64" s="1314"/>
      <c r="AL64" s="1314"/>
      <c r="AM64" s="1074"/>
    </row>
    <row r="65" spans="2:39" ht="14.25" hidden="1" thickBot="1" x14ac:dyDescent="0.3">
      <c r="B65" s="1608"/>
      <c r="C65" s="1635"/>
      <c r="D65" s="1613" t="s">
        <v>47</v>
      </c>
      <c r="E65" s="1309" t="s">
        <v>346</v>
      </c>
      <c r="F65" s="206">
        <f>SUMIF($H$9:$AL$9,"&lt;="&amp;$C$7,H65:AL65)</f>
        <v>0</v>
      </c>
      <c r="G65" s="1311"/>
      <c r="H65" s="1316">
        <f t="shared" ref="H65:AL66" si="28">+H63*H60/1000</f>
        <v>0</v>
      </c>
      <c r="I65" s="1316">
        <f t="shared" si="28"/>
        <v>0</v>
      </c>
      <c r="J65" s="1316">
        <f t="shared" si="28"/>
        <v>0</v>
      </c>
      <c r="K65" s="1317">
        <f t="shared" si="28"/>
        <v>0</v>
      </c>
      <c r="L65" s="1317">
        <f t="shared" si="28"/>
        <v>0</v>
      </c>
      <c r="M65" s="1317">
        <f t="shared" si="28"/>
        <v>0</v>
      </c>
      <c r="N65" s="1317">
        <f t="shared" si="28"/>
        <v>0</v>
      </c>
      <c r="O65" s="1317">
        <f t="shared" si="28"/>
        <v>0</v>
      </c>
      <c r="P65" s="1318">
        <f t="shared" si="28"/>
        <v>0</v>
      </c>
      <c r="Q65" s="1317">
        <f t="shared" si="28"/>
        <v>0</v>
      </c>
      <c r="R65" s="1317">
        <f t="shared" si="28"/>
        <v>0</v>
      </c>
      <c r="S65" s="1317">
        <f t="shared" si="28"/>
        <v>0</v>
      </c>
      <c r="T65" s="1317">
        <f t="shared" si="28"/>
        <v>0</v>
      </c>
      <c r="U65" s="1317">
        <f t="shared" si="28"/>
        <v>0</v>
      </c>
      <c r="V65" s="1317">
        <f t="shared" si="28"/>
        <v>0</v>
      </c>
      <c r="W65" s="1317">
        <f>+W63*W60/1000</f>
        <v>0</v>
      </c>
      <c r="X65" s="1317">
        <f t="shared" si="28"/>
        <v>0</v>
      </c>
      <c r="Y65" s="1317">
        <f t="shared" si="28"/>
        <v>0</v>
      </c>
      <c r="Z65" s="1317">
        <f t="shared" si="28"/>
        <v>0</v>
      </c>
      <c r="AA65" s="1317">
        <f t="shared" si="28"/>
        <v>0</v>
      </c>
      <c r="AB65" s="1317">
        <f t="shared" si="28"/>
        <v>0</v>
      </c>
      <c r="AC65" s="1317">
        <f t="shared" si="28"/>
        <v>0</v>
      </c>
      <c r="AD65" s="1317">
        <f t="shared" si="28"/>
        <v>0</v>
      </c>
      <c r="AE65" s="1317">
        <f t="shared" si="28"/>
        <v>0</v>
      </c>
      <c r="AF65" s="1317">
        <f t="shared" si="28"/>
        <v>0</v>
      </c>
      <c r="AG65" s="1317">
        <f t="shared" si="28"/>
        <v>0</v>
      </c>
      <c r="AH65" s="1317">
        <f t="shared" si="28"/>
        <v>0</v>
      </c>
      <c r="AI65" s="1317">
        <f t="shared" si="28"/>
        <v>0</v>
      </c>
      <c r="AJ65" s="1317">
        <f t="shared" si="28"/>
        <v>0</v>
      </c>
      <c r="AK65" s="1317">
        <f t="shared" si="28"/>
        <v>0</v>
      </c>
      <c r="AL65" s="1319">
        <f t="shared" si="28"/>
        <v>0</v>
      </c>
      <c r="AM65" s="1078"/>
    </row>
    <row r="66" spans="2:39" ht="14.25" hidden="1" thickBot="1" x14ac:dyDescent="0.3">
      <c r="B66" s="1608"/>
      <c r="C66" s="1636"/>
      <c r="D66" s="1614"/>
      <c r="E66" s="1320" t="s">
        <v>347</v>
      </c>
      <c r="F66" s="1321">
        <f>SUMIF($H$9:$AL$9,"&lt;="&amp;$C$7,H66:AL66)</f>
        <v>0</v>
      </c>
      <c r="G66" s="1322">
        <f t="shared" ref="G66" si="29">IFERROR((F66-F65)/F65,0)</f>
        <v>0</v>
      </c>
      <c r="H66" s="1323">
        <f t="shared" si="28"/>
        <v>0</v>
      </c>
      <c r="I66" s="1321">
        <f t="shared" si="28"/>
        <v>0</v>
      </c>
      <c r="J66" s="1321">
        <f t="shared" si="28"/>
        <v>0</v>
      </c>
      <c r="K66" s="1321">
        <f t="shared" si="28"/>
        <v>0</v>
      </c>
      <c r="L66" s="1321">
        <f t="shared" si="28"/>
        <v>0</v>
      </c>
      <c r="M66" s="1321">
        <f t="shared" si="28"/>
        <v>0</v>
      </c>
      <c r="N66" s="1321">
        <f t="shared" si="28"/>
        <v>0</v>
      </c>
      <c r="O66" s="1321">
        <f t="shared" si="28"/>
        <v>0</v>
      </c>
      <c r="P66" s="1321">
        <f t="shared" si="28"/>
        <v>0</v>
      </c>
      <c r="Q66" s="1321">
        <f t="shared" si="28"/>
        <v>0</v>
      </c>
      <c r="R66" s="1321">
        <f t="shared" si="28"/>
        <v>0</v>
      </c>
      <c r="S66" s="1321">
        <f t="shared" si="28"/>
        <v>0</v>
      </c>
      <c r="T66" s="1321">
        <f t="shared" si="28"/>
        <v>0</v>
      </c>
      <c r="U66" s="1321">
        <f t="shared" si="28"/>
        <v>0</v>
      </c>
      <c r="V66" s="1321">
        <f t="shared" si="28"/>
        <v>0</v>
      </c>
      <c r="W66" s="1321">
        <f>+W64*W61/1000</f>
        <v>0</v>
      </c>
      <c r="X66" s="1321">
        <f t="shared" si="28"/>
        <v>0</v>
      </c>
      <c r="Y66" s="1321">
        <f t="shared" si="28"/>
        <v>0</v>
      </c>
      <c r="Z66" s="1321">
        <f t="shared" si="28"/>
        <v>0</v>
      </c>
      <c r="AA66" s="1321">
        <f t="shared" si="28"/>
        <v>0</v>
      </c>
      <c r="AB66" s="1321">
        <f t="shared" si="28"/>
        <v>0</v>
      </c>
      <c r="AC66" s="1321">
        <f t="shared" si="28"/>
        <v>0</v>
      </c>
      <c r="AD66" s="1321">
        <f t="shared" si="28"/>
        <v>0</v>
      </c>
      <c r="AE66" s="1321">
        <f t="shared" si="28"/>
        <v>0</v>
      </c>
      <c r="AF66" s="1321">
        <f t="shared" si="28"/>
        <v>0</v>
      </c>
      <c r="AG66" s="1321">
        <f t="shared" si="28"/>
        <v>0</v>
      </c>
      <c r="AH66" s="1321">
        <f t="shared" si="28"/>
        <v>0</v>
      </c>
      <c r="AI66" s="1321">
        <f t="shared" si="28"/>
        <v>0</v>
      </c>
      <c r="AJ66" s="1321">
        <f t="shared" si="28"/>
        <v>0</v>
      </c>
      <c r="AK66" s="1321">
        <f t="shared" si="28"/>
        <v>0</v>
      </c>
      <c r="AL66" s="1321">
        <f t="shared" si="28"/>
        <v>0</v>
      </c>
      <c r="AM66" s="1079"/>
    </row>
    <row r="67" spans="2:39" ht="14.25" thickBot="1" x14ac:dyDescent="0.3">
      <c r="B67" s="1630">
        <v>1</v>
      </c>
      <c r="C67" s="1625" t="str">
        <f>[2]Breaking.!A55</f>
        <v>5L_W12 STOPE</v>
      </c>
      <c r="D67" s="1628" t="s">
        <v>340</v>
      </c>
      <c r="E67" s="1104" t="s">
        <v>341</v>
      </c>
      <c r="F67" s="196">
        <f>SUMIF($H$9:$AL$9,"&lt;="&amp;$C$7,H67:AL67)</f>
        <v>1610</v>
      </c>
      <c r="G67" s="1071"/>
      <c r="H67" s="945">
        <f>[2]Breaking.!D55</f>
        <v>0</v>
      </c>
      <c r="I67" s="945">
        <f>[2]Breaking.!E55</f>
        <v>0</v>
      </c>
      <c r="J67" s="945">
        <f>[2]Breaking.!F55</f>
        <v>0</v>
      </c>
      <c r="K67" s="945">
        <f>[2]Breaking.!G55</f>
        <v>0</v>
      </c>
      <c r="L67" s="945">
        <f>[2]Breaking.!H55</f>
        <v>0</v>
      </c>
      <c r="M67" s="945">
        <f>[2]Breaking.!I55</f>
        <v>0</v>
      </c>
      <c r="N67" s="945">
        <f>[2]Breaking.!J55</f>
        <v>0</v>
      </c>
      <c r="O67" s="945">
        <f>[2]Breaking.!K55</f>
        <v>70</v>
      </c>
      <c r="P67" s="945">
        <f>[2]Breaking.!L55</f>
        <v>70</v>
      </c>
      <c r="Q67" s="945">
        <f>[2]Breaking.!M55</f>
        <v>70</v>
      </c>
      <c r="R67" s="945">
        <f>[2]Breaking.!N55</f>
        <v>70</v>
      </c>
      <c r="S67" s="945">
        <f>[2]Breaking.!O55</f>
        <v>70</v>
      </c>
      <c r="T67" s="945">
        <f>[2]Breaking.!P55</f>
        <v>70</v>
      </c>
      <c r="U67" s="945">
        <f>[2]Breaking.!Q55</f>
        <v>70</v>
      </c>
      <c r="V67" s="945">
        <f>[2]Breaking.!R55</f>
        <v>70</v>
      </c>
      <c r="W67" s="945">
        <f>[2]Breaking.!S55</f>
        <v>70</v>
      </c>
      <c r="X67" s="945">
        <f>[2]Breaking.!T55</f>
        <v>70</v>
      </c>
      <c r="Y67" s="945">
        <f>[2]Breaking.!U55</f>
        <v>70</v>
      </c>
      <c r="Z67" s="945">
        <f>[2]Breaking.!V55</f>
        <v>70</v>
      </c>
      <c r="AA67" s="945">
        <f>[2]Breaking.!W55</f>
        <v>70</v>
      </c>
      <c r="AB67" s="945">
        <f>[2]Breaking.!X55</f>
        <v>70</v>
      </c>
      <c r="AC67" s="945">
        <f>[2]Breaking.!Y55</f>
        <v>70</v>
      </c>
      <c r="AD67" s="945">
        <f>[2]Breaking.!Z55</f>
        <v>70</v>
      </c>
      <c r="AE67" s="945">
        <f>[2]Breaking.!AA55</f>
        <v>70</v>
      </c>
      <c r="AF67" s="945">
        <f>[2]Breaking.!AB55</f>
        <v>70</v>
      </c>
      <c r="AG67" s="945">
        <f>[2]Breaking.!AC55</f>
        <v>70</v>
      </c>
      <c r="AH67" s="945">
        <f>[2]Breaking.!AD55</f>
        <v>70</v>
      </c>
      <c r="AI67" s="945">
        <f>[2]Breaking.!AE55</f>
        <v>70</v>
      </c>
      <c r="AJ67" s="945">
        <f>[2]Breaking.!AF55</f>
        <v>70</v>
      </c>
      <c r="AK67" s="945">
        <f>[2]Breaking.!AG55</f>
        <v>70</v>
      </c>
      <c r="AL67" s="945">
        <f>[2]Breaking.!AH55</f>
        <v>0</v>
      </c>
      <c r="AM67" s="1105"/>
    </row>
    <row r="68" spans="2:39" ht="14.25" thickBot="1" x14ac:dyDescent="0.3">
      <c r="B68" s="1619"/>
      <c r="C68" s="1626"/>
      <c r="D68" s="1628"/>
      <c r="E68" s="1302" t="s">
        <v>342</v>
      </c>
      <c r="F68" s="1303">
        <f>SUMIF($H$9:$AL$9,"&lt;="&amp;$C$7,H68:AL68)</f>
        <v>797</v>
      </c>
      <c r="G68" s="1304">
        <f t="shared" ref="G68" si="30">IFERROR((F68-F67)/F67,0)</f>
        <v>-0.50496894409937887</v>
      </c>
      <c r="H68" s="1305"/>
      <c r="I68" s="1303"/>
      <c r="J68" s="1303"/>
      <c r="K68" s="1303"/>
      <c r="L68" s="1303"/>
      <c r="M68" s="1303"/>
      <c r="N68" s="1303"/>
      <c r="O68" s="1303">
        <v>0</v>
      </c>
      <c r="P68" s="1303">
        <v>0</v>
      </c>
      <c r="Q68" s="1303"/>
      <c r="R68" s="1303">
        <v>0</v>
      </c>
      <c r="S68" s="1303">
        <v>30</v>
      </c>
      <c r="T68" s="1303">
        <v>78</v>
      </c>
      <c r="U68" s="1303">
        <v>72</v>
      </c>
      <c r="V68" s="1303">
        <f>38+40</f>
        <v>78</v>
      </c>
      <c r="W68" s="1303">
        <v>78</v>
      </c>
      <c r="X68" s="1303">
        <v>0</v>
      </c>
      <c r="Y68" s="1303">
        <v>0</v>
      </c>
      <c r="Z68" s="1303">
        <v>78</v>
      </c>
      <c r="AA68" s="1303">
        <v>76</v>
      </c>
      <c r="AB68" s="1303">
        <v>0</v>
      </c>
      <c r="AC68" s="1303">
        <v>83</v>
      </c>
      <c r="AD68" s="1303">
        <v>73</v>
      </c>
      <c r="AE68" s="1303">
        <v>77</v>
      </c>
      <c r="AF68" s="1303">
        <v>37</v>
      </c>
      <c r="AG68" s="1303">
        <v>37</v>
      </c>
      <c r="AH68" s="1303"/>
      <c r="AI68" s="1303">
        <v>0</v>
      </c>
      <c r="AJ68" s="1303">
        <v>0</v>
      </c>
      <c r="AK68" s="1303">
        <v>0</v>
      </c>
      <c r="AL68" s="1303"/>
      <c r="AM68" s="1074"/>
    </row>
    <row r="69" spans="2:39" ht="14.25" thickBot="1" x14ac:dyDescent="0.3">
      <c r="B69" s="1619"/>
      <c r="C69" s="1626"/>
      <c r="D69" s="1628"/>
      <c r="E69" s="1324" t="s">
        <v>312</v>
      </c>
      <c r="F69" s="1325"/>
      <c r="G69" s="1326"/>
      <c r="H69" s="1075"/>
      <c r="I69" s="1075"/>
      <c r="J69" s="1075"/>
      <c r="K69" s="1075"/>
      <c r="L69" s="1075"/>
      <c r="M69" s="1075"/>
      <c r="N69" s="1075"/>
      <c r="O69" s="1075"/>
      <c r="P69" s="1076"/>
      <c r="Q69" s="1075"/>
      <c r="R69" s="1075"/>
      <c r="S69" s="1075"/>
      <c r="T69" s="1075"/>
      <c r="U69" s="1075"/>
      <c r="V69" s="1075"/>
      <c r="W69" s="1075"/>
      <c r="X69" s="1075"/>
      <c r="Y69" s="1075"/>
      <c r="Z69" s="1075"/>
      <c r="AA69" s="1075"/>
      <c r="AB69" s="1075"/>
      <c r="AC69" s="1075"/>
      <c r="AD69" s="1075"/>
      <c r="AE69" s="1075"/>
      <c r="AF69" s="1075"/>
      <c r="AG69" s="1075"/>
      <c r="AH69" s="1075"/>
      <c r="AI69" s="1075"/>
      <c r="AJ69" s="1075"/>
      <c r="AK69" s="1075"/>
      <c r="AL69" s="1077"/>
      <c r="AM69" s="1108"/>
    </row>
    <row r="70" spans="2:39" ht="14.25" thickBot="1" x14ac:dyDescent="0.3">
      <c r="B70" s="1619"/>
      <c r="C70" s="1626"/>
      <c r="D70" s="1613" t="s">
        <v>343</v>
      </c>
      <c r="E70" s="1309" t="s">
        <v>344</v>
      </c>
      <c r="F70" s="1310">
        <f t="shared" ref="F70" si="31">IFERROR(F72*1000/F67,0)</f>
        <v>2.2800000000000011</v>
      </c>
      <c r="G70" s="1311"/>
      <c r="H70" s="1312"/>
      <c r="I70" s="1312"/>
      <c r="J70" s="1312"/>
      <c r="K70" s="1312"/>
      <c r="L70" s="1312"/>
      <c r="M70" s="1312"/>
      <c r="N70" s="1312"/>
      <c r="O70" s="1312">
        <v>2.2799999999999998</v>
      </c>
      <c r="P70" s="1312">
        <v>2.2799999999999998</v>
      </c>
      <c r="Q70" s="1312">
        <v>2.2799999999999998</v>
      </c>
      <c r="R70" s="1312">
        <v>2.2799999999999998</v>
      </c>
      <c r="S70" s="1312">
        <v>2.2799999999999998</v>
      </c>
      <c r="T70" s="1312">
        <v>2.2799999999999998</v>
      </c>
      <c r="U70" s="1312">
        <v>2.2799999999999998</v>
      </c>
      <c r="V70" s="1312">
        <v>2.2799999999999998</v>
      </c>
      <c r="W70" s="1312">
        <v>2.2799999999999998</v>
      </c>
      <c r="X70" s="1312">
        <v>2.2799999999999998</v>
      </c>
      <c r="Y70" s="1312">
        <v>2.2799999999999998</v>
      </c>
      <c r="Z70" s="1312">
        <v>2.2799999999999998</v>
      </c>
      <c r="AA70" s="1312">
        <v>2.2799999999999998</v>
      </c>
      <c r="AB70" s="1312">
        <v>2.2799999999999998</v>
      </c>
      <c r="AC70" s="1312">
        <v>2.2799999999999998</v>
      </c>
      <c r="AD70" s="1312">
        <v>2.2799999999999998</v>
      </c>
      <c r="AE70" s="1312">
        <v>2.2799999999999998</v>
      </c>
      <c r="AF70" s="1312">
        <v>2.2799999999999998</v>
      </c>
      <c r="AG70" s="1312">
        <v>2.2799999999999998</v>
      </c>
      <c r="AH70" s="1312">
        <v>2.2799999999999998</v>
      </c>
      <c r="AI70" s="1312">
        <v>2.2799999999999998</v>
      </c>
      <c r="AJ70" s="1312">
        <v>2.2799999999999998</v>
      </c>
      <c r="AK70" s="1312">
        <v>2.2799999999999998</v>
      </c>
      <c r="AL70" s="1312"/>
      <c r="AM70" s="1074"/>
    </row>
    <row r="71" spans="2:39" ht="14.25" thickBot="1" x14ac:dyDescent="0.3">
      <c r="B71" s="1619"/>
      <c r="C71" s="1626"/>
      <c r="D71" s="1613"/>
      <c r="E71" s="1313" t="s">
        <v>345</v>
      </c>
      <c r="F71" s="1314">
        <f>IFERROR(F73*1000/F68,0)</f>
        <v>0.93698870765370101</v>
      </c>
      <c r="G71" s="1304">
        <f t="shared" ref="G71" si="32">IFERROR((F71-F70)/F70,0)</f>
        <v>-0.58904004050276293</v>
      </c>
      <c r="H71" s="1315"/>
      <c r="I71" s="1314"/>
      <c r="J71" s="1314"/>
      <c r="K71" s="1314"/>
      <c r="L71" s="1314"/>
      <c r="M71" s="1314"/>
      <c r="N71" s="1314"/>
      <c r="O71" s="1314"/>
      <c r="P71" s="1314"/>
      <c r="Q71" s="1314"/>
      <c r="R71" s="1314"/>
      <c r="S71" s="1314">
        <v>2.59</v>
      </c>
      <c r="T71" s="1314">
        <v>2.15</v>
      </c>
      <c r="U71" s="1314">
        <v>2.0499999999999998</v>
      </c>
      <c r="V71" s="1314">
        <v>0.12</v>
      </c>
      <c r="W71" s="1314">
        <v>0.12</v>
      </c>
      <c r="X71" s="1314"/>
      <c r="Y71" s="1314"/>
      <c r="Z71" s="1314">
        <v>1.21</v>
      </c>
      <c r="AA71" s="1314">
        <v>1.19</v>
      </c>
      <c r="AB71" s="1314"/>
      <c r="AC71" s="1314">
        <v>0.1</v>
      </c>
      <c r="AD71" s="1314">
        <v>0.1</v>
      </c>
      <c r="AE71" s="1314">
        <v>0.85</v>
      </c>
      <c r="AF71" s="1314">
        <v>0.97</v>
      </c>
      <c r="AG71" s="1314">
        <v>0.9</v>
      </c>
      <c r="AH71" s="1314"/>
      <c r="AI71" s="1314"/>
      <c r="AJ71" s="1314"/>
      <c r="AK71" s="1314"/>
      <c r="AL71" s="1314"/>
      <c r="AM71" s="1074"/>
    </row>
    <row r="72" spans="2:39" ht="14.25" thickBot="1" x14ac:dyDescent="0.3">
      <c r="B72" s="1619"/>
      <c r="C72" s="1626"/>
      <c r="D72" s="1613" t="s">
        <v>47</v>
      </c>
      <c r="E72" s="1309" t="s">
        <v>346</v>
      </c>
      <c r="F72" s="206">
        <f>SUMIF($H$9:$AL$9,"&lt;="&amp;$C$7,H72:AL72)</f>
        <v>3.6708000000000016</v>
      </c>
      <c r="G72" s="1311"/>
      <c r="H72" s="1316">
        <f t="shared" ref="H72:AL73" si="33">+H70*H67/1000</f>
        <v>0</v>
      </c>
      <c r="I72" s="1316">
        <f t="shared" si="33"/>
        <v>0</v>
      </c>
      <c r="J72" s="1316">
        <f t="shared" si="33"/>
        <v>0</v>
      </c>
      <c r="K72" s="1317">
        <f t="shared" si="33"/>
        <v>0</v>
      </c>
      <c r="L72" s="1317">
        <f t="shared" si="33"/>
        <v>0</v>
      </c>
      <c r="M72" s="1317">
        <f t="shared" si="33"/>
        <v>0</v>
      </c>
      <c r="N72" s="1317">
        <f t="shared" si="33"/>
        <v>0</v>
      </c>
      <c r="O72" s="1317">
        <f t="shared" si="33"/>
        <v>0.15959999999999999</v>
      </c>
      <c r="P72" s="1318">
        <f t="shared" si="33"/>
        <v>0.15959999999999999</v>
      </c>
      <c r="Q72" s="1317">
        <f t="shared" si="33"/>
        <v>0.15959999999999999</v>
      </c>
      <c r="R72" s="1317">
        <f t="shared" si="33"/>
        <v>0.15959999999999999</v>
      </c>
      <c r="S72" s="1317">
        <f t="shared" si="33"/>
        <v>0.15959999999999999</v>
      </c>
      <c r="T72" s="1317">
        <f t="shared" si="33"/>
        <v>0.15959999999999999</v>
      </c>
      <c r="U72" s="1317">
        <f t="shared" si="33"/>
        <v>0.15959999999999999</v>
      </c>
      <c r="V72" s="1317">
        <f t="shared" si="33"/>
        <v>0.15959999999999999</v>
      </c>
      <c r="W72" s="1317">
        <f>+W70*W67/1000</f>
        <v>0.15959999999999999</v>
      </c>
      <c r="X72" s="1317">
        <f t="shared" si="33"/>
        <v>0.15959999999999999</v>
      </c>
      <c r="Y72" s="1317">
        <f t="shared" si="33"/>
        <v>0.15959999999999999</v>
      </c>
      <c r="Z72" s="1317">
        <f t="shared" si="33"/>
        <v>0.15959999999999999</v>
      </c>
      <c r="AA72" s="1317">
        <f t="shared" si="33"/>
        <v>0.15959999999999999</v>
      </c>
      <c r="AB72" s="1317">
        <f t="shared" si="33"/>
        <v>0.15959999999999999</v>
      </c>
      <c r="AC72" s="1317">
        <f t="shared" si="33"/>
        <v>0.15959999999999999</v>
      </c>
      <c r="AD72" s="1317">
        <f t="shared" si="33"/>
        <v>0.15959999999999999</v>
      </c>
      <c r="AE72" s="1317">
        <f t="shared" si="33"/>
        <v>0.15959999999999999</v>
      </c>
      <c r="AF72" s="1317">
        <f t="shared" si="33"/>
        <v>0.15959999999999999</v>
      </c>
      <c r="AG72" s="1317">
        <f t="shared" si="33"/>
        <v>0.15959999999999999</v>
      </c>
      <c r="AH72" s="1317">
        <f t="shared" si="33"/>
        <v>0.15959999999999999</v>
      </c>
      <c r="AI72" s="1317">
        <f t="shared" si="33"/>
        <v>0.15959999999999999</v>
      </c>
      <c r="AJ72" s="1317">
        <f t="shared" si="33"/>
        <v>0.15959999999999999</v>
      </c>
      <c r="AK72" s="1317">
        <f t="shared" si="33"/>
        <v>0.15959999999999999</v>
      </c>
      <c r="AL72" s="1319">
        <f t="shared" si="33"/>
        <v>0</v>
      </c>
      <c r="AM72" s="1078"/>
    </row>
    <row r="73" spans="2:39" ht="14.25" thickBot="1" x14ac:dyDescent="0.3">
      <c r="B73" s="1619"/>
      <c r="C73" s="1627"/>
      <c r="D73" s="1614"/>
      <c r="E73" s="1320" t="s">
        <v>347</v>
      </c>
      <c r="F73" s="1321">
        <f>SUMIF($H$9:$AL$9,"&lt;="&amp;$C$7,H73:AL73)</f>
        <v>0.74677999999999978</v>
      </c>
      <c r="G73" s="1322">
        <f t="shared" ref="G73" si="34">IFERROR((F73-F72)/F72,0)</f>
        <v>-0.7965620573172062</v>
      </c>
      <c r="H73" s="1323">
        <f t="shared" si="33"/>
        <v>0</v>
      </c>
      <c r="I73" s="1321">
        <f t="shared" si="33"/>
        <v>0</v>
      </c>
      <c r="J73" s="1321">
        <f t="shared" si="33"/>
        <v>0</v>
      </c>
      <c r="K73" s="1321">
        <f t="shared" si="33"/>
        <v>0</v>
      </c>
      <c r="L73" s="1321">
        <f t="shared" si="33"/>
        <v>0</v>
      </c>
      <c r="M73" s="1321">
        <f t="shared" si="33"/>
        <v>0</v>
      </c>
      <c r="N73" s="1321">
        <f t="shared" si="33"/>
        <v>0</v>
      </c>
      <c r="O73" s="1321">
        <f t="shared" si="33"/>
        <v>0</v>
      </c>
      <c r="P73" s="1321">
        <f t="shared" si="33"/>
        <v>0</v>
      </c>
      <c r="Q73" s="1321">
        <f t="shared" si="33"/>
        <v>0</v>
      </c>
      <c r="R73" s="1321">
        <f>+R71*R68/1000</f>
        <v>0</v>
      </c>
      <c r="S73" s="1321">
        <f>+S71*S68/1000</f>
        <v>7.7699999999999991E-2</v>
      </c>
      <c r="T73" s="1321">
        <f>+T71*T68/1000</f>
        <v>0.16769999999999999</v>
      </c>
      <c r="U73" s="1321">
        <f>+U71*U68/1000</f>
        <v>0.14759999999999998</v>
      </c>
      <c r="V73" s="1321">
        <f t="shared" si="33"/>
        <v>9.3600000000000003E-3</v>
      </c>
      <c r="W73" s="1321">
        <f>+W71*W68/1000</f>
        <v>9.3600000000000003E-3</v>
      </c>
      <c r="X73" s="1321">
        <f t="shared" si="33"/>
        <v>0</v>
      </c>
      <c r="Y73" s="1321">
        <f t="shared" si="33"/>
        <v>0</v>
      </c>
      <c r="Z73" s="1321">
        <f t="shared" si="33"/>
        <v>9.4379999999999992E-2</v>
      </c>
      <c r="AA73" s="1321">
        <f t="shared" si="33"/>
        <v>9.0439999999999993E-2</v>
      </c>
      <c r="AB73" s="1321">
        <f t="shared" si="33"/>
        <v>0</v>
      </c>
      <c r="AC73" s="1321">
        <f t="shared" si="33"/>
        <v>8.3000000000000001E-3</v>
      </c>
      <c r="AD73" s="1321">
        <f t="shared" si="33"/>
        <v>7.3000000000000009E-3</v>
      </c>
      <c r="AE73" s="1321">
        <f t="shared" si="33"/>
        <v>6.5450000000000008E-2</v>
      </c>
      <c r="AF73" s="1321">
        <f t="shared" si="33"/>
        <v>3.5889999999999998E-2</v>
      </c>
      <c r="AG73" s="1321">
        <f t="shared" si="33"/>
        <v>3.3300000000000003E-2</v>
      </c>
      <c r="AH73" s="1321">
        <f t="shared" si="33"/>
        <v>0</v>
      </c>
      <c r="AI73" s="1321">
        <f t="shared" si="33"/>
        <v>0</v>
      </c>
      <c r="AJ73" s="1321">
        <f t="shared" si="33"/>
        <v>0</v>
      </c>
      <c r="AK73" s="1321">
        <f t="shared" si="33"/>
        <v>0</v>
      </c>
      <c r="AL73" s="1321">
        <f t="shared" si="33"/>
        <v>0</v>
      </c>
      <c r="AM73" s="1079"/>
    </row>
    <row r="74" spans="2:39" ht="14.25" thickBot="1" x14ac:dyDescent="0.3">
      <c r="B74" s="1632">
        <v>2</v>
      </c>
      <c r="C74" s="1625" t="s">
        <v>366</v>
      </c>
      <c r="D74" s="1628" t="s">
        <v>340</v>
      </c>
      <c r="E74" s="1104" t="s">
        <v>341</v>
      </c>
      <c r="F74" s="196">
        <f>SUMIF($H$9:$AL$9,"&lt;="&amp;$C$7,H74:AL74)</f>
        <v>0</v>
      </c>
      <c r="G74" s="1071"/>
      <c r="H74" s="1111">
        <f>[2]Breaking.!D62</f>
        <v>0</v>
      </c>
      <c r="I74" s="1111">
        <f>[2]Breaking.!E62</f>
        <v>0</v>
      </c>
      <c r="J74" s="1111">
        <f>[2]Breaking.!F62</f>
        <v>0</v>
      </c>
      <c r="K74" s="1111">
        <f>[2]Breaking.!G62</f>
        <v>0</v>
      </c>
      <c r="L74" s="1111">
        <f>[2]Breaking.!H62</f>
        <v>0</v>
      </c>
      <c r="M74" s="1111">
        <f>[2]Breaking.!I62</f>
        <v>0</v>
      </c>
      <c r="N74" s="1111">
        <f>[2]Breaking.!J62</f>
        <v>0</v>
      </c>
      <c r="O74" s="1111">
        <f>[2]Breaking.!K62</f>
        <v>0</v>
      </c>
      <c r="P74" s="1111">
        <f>[2]Breaking.!L62</f>
        <v>0</v>
      </c>
      <c r="Q74" s="1111">
        <f>[2]Breaking.!M62</f>
        <v>0</v>
      </c>
      <c r="R74" s="1111">
        <f>[2]Breaking.!N62</f>
        <v>0</v>
      </c>
      <c r="S74" s="1111">
        <f>[2]Breaking.!O62</f>
        <v>0</v>
      </c>
      <c r="T74" s="1111">
        <f>[2]Breaking.!P62</f>
        <v>0</v>
      </c>
      <c r="U74" s="1111">
        <f>[2]Breaking.!Q62</f>
        <v>0</v>
      </c>
      <c r="V74" s="1111">
        <f>[2]Breaking.!R62</f>
        <v>0</v>
      </c>
      <c r="W74" s="1111">
        <f>[2]Breaking.!S62</f>
        <v>0</v>
      </c>
      <c r="X74" s="1111">
        <f>[2]Breaking.!T62</f>
        <v>0</v>
      </c>
      <c r="Y74" s="1111">
        <f>[2]Breaking.!U62</f>
        <v>0</v>
      </c>
      <c r="Z74" s="1111">
        <f>[2]Breaking.!V62</f>
        <v>0</v>
      </c>
      <c r="AA74" s="1111">
        <f>[2]Breaking.!W62</f>
        <v>0</v>
      </c>
      <c r="AB74" s="1111">
        <f>[2]Breaking.!X62</f>
        <v>0</v>
      </c>
      <c r="AC74" s="1111">
        <f>[2]Breaking.!Y62</f>
        <v>0</v>
      </c>
      <c r="AD74" s="1111">
        <f>[2]Breaking.!Z62</f>
        <v>0</v>
      </c>
      <c r="AE74" s="1111">
        <f>[2]Breaking.!AA62</f>
        <v>0</v>
      </c>
      <c r="AF74" s="1111">
        <f>[2]Breaking.!AB62</f>
        <v>0</v>
      </c>
      <c r="AG74" s="1111">
        <f>[2]Breaking.!AC62</f>
        <v>0</v>
      </c>
      <c r="AH74" s="1111">
        <f>[2]Breaking.!AD62</f>
        <v>0</v>
      </c>
      <c r="AI74" s="1111">
        <f>[2]Breaking.!AE62</f>
        <v>0</v>
      </c>
      <c r="AJ74" s="1111">
        <f>[2]Breaking.!AF62</f>
        <v>0</v>
      </c>
      <c r="AK74" s="1111">
        <f>[2]Breaking.!AG62</f>
        <v>0</v>
      </c>
      <c r="AL74" s="1111">
        <f>[2]Breaking.!AH62</f>
        <v>0</v>
      </c>
      <c r="AM74" s="1105"/>
    </row>
    <row r="75" spans="2:39" ht="14.25" thickBot="1" x14ac:dyDescent="0.3">
      <c r="B75" s="1633"/>
      <c r="C75" s="1626"/>
      <c r="D75" s="1628"/>
      <c r="E75" s="1302" t="s">
        <v>342</v>
      </c>
      <c r="F75" s="1303">
        <f>SUMIF($H$9:$AL$9,"&lt;="&amp;$C$7,H75:AL75)</f>
        <v>623</v>
      </c>
      <c r="G75" s="1304">
        <f>IFERROR((F75-F74)/F74,0)</f>
        <v>0</v>
      </c>
      <c r="H75" s="1305"/>
      <c r="I75" s="1303"/>
      <c r="J75" s="1303"/>
      <c r="K75" s="1303">
        <v>70</v>
      </c>
      <c r="L75" s="1303">
        <v>82</v>
      </c>
      <c r="M75" s="1303">
        <v>80</v>
      </c>
      <c r="N75" s="1303">
        <v>72</v>
      </c>
      <c r="O75" s="1303">
        <v>83</v>
      </c>
      <c r="P75" s="1303">
        <f>39+46</f>
        <v>85</v>
      </c>
      <c r="Q75" s="1303">
        <f>39+37</f>
        <v>76</v>
      </c>
      <c r="R75" s="1303"/>
      <c r="S75" s="1303">
        <v>75</v>
      </c>
      <c r="T75" s="1303"/>
      <c r="U75" s="1303"/>
      <c r="V75" s="1303"/>
      <c r="W75" s="1303"/>
      <c r="X75" s="1303"/>
      <c r="Y75" s="1303"/>
      <c r="Z75" s="1303"/>
      <c r="AA75" s="1303"/>
      <c r="AB75" s="1303"/>
      <c r="AC75" s="1303"/>
      <c r="AD75" s="1303"/>
      <c r="AE75" s="1303"/>
      <c r="AF75" s="1303"/>
      <c r="AG75" s="1303"/>
      <c r="AH75" s="1303"/>
      <c r="AI75" s="1303"/>
      <c r="AJ75" s="1303"/>
      <c r="AK75" s="1303"/>
      <c r="AL75" s="1303"/>
      <c r="AM75" s="1074"/>
    </row>
    <row r="76" spans="2:39" ht="14.25" thickBot="1" x14ac:dyDescent="0.3">
      <c r="B76" s="1633"/>
      <c r="C76" s="1626"/>
      <c r="D76" s="1628"/>
      <c r="E76" s="1324" t="s">
        <v>312</v>
      </c>
      <c r="F76" s="1325"/>
      <c r="G76" s="1326"/>
      <c r="H76" s="1075"/>
      <c r="I76" s="1075"/>
      <c r="J76" s="1075"/>
      <c r="K76" s="1075"/>
      <c r="L76" s="1075"/>
      <c r="M76" s="1075"/>
      <c r="N76" s="1075"/>
      <c r="O76" s="1075"/>
      <c r="P76" s="1076"/>
      <c r="Q76" s="1075"/>
      <c r="R76" s="1075"/>
      <c r="S76" s="1075"/>
      <c r="T76" s="1075"/>
      <c r="U76" s="1075"/>
      <c r="V76" s="1075"/>
      <c r="W76" s="1075"/>
      <c r="X76" s="1075"/>
      <c r="Y76" s="1075"/>
      <c r="Z76" s="1075"/>
      <c r="AA76" s="1075"/>
      <c r="AB76" s="1075"/>
      <c r="AC76" s="1075"/>
      <c r="AD76" s="1075"/>
      <c r="AE76" s="1075"/>
      <c r="AF76" s="1075"/>
      <c r="AG76" s="1075"/>
      <c r="AH76" s="1075"/>
      <c r="AI76" s="1075"/>
      <c r="AJ76" s="1075"/>
      <c r="AK76" s="1075"/>
      <c r="AL76" s="1077"/>
      <c r="AM76" s="1108"/>
    </row>
    <row r="77" spans="2:39" ht="14.25" thickBot="1" x14ac:dyDescent="0.3">
      <c r="B77" s="1633"/>
      <c r="C77" s="1626"/>
      <c r="D77" s="1613" t="s">
        <v>343</v>
      </c>
      <c r="E77" s="1309" t="s">
        <v>344</v>
      </c>
      <c r="F77" s="1310">
        <f>IFERROR(F79*1000/F74,0)</f>
        <v>0</v>
      </c>
      <c r="G77" s="1311"/>
      <c r="H77" s="1312"/>
      <c r="I77" s="1312"/>
      <c r="J77" s="1312"/>
      <c r="K77" s="1312"/>
      <c r="L77" s="1312"/>
      <c r="M77" s="1312"/>
      <c r="N77" s="1312"/>
      <c r="O77" s="1312"/>
      <c r="P77" s="1312"/>
      <c r="Q77" s="1312"/>
      <c r="R77" s="1312"/>
      <c r="S77" s="1312"/>
      <c r="T77" s="1312"/>
      <c r="U77" s="1312"/>
      <c r="V77" s="1312"/>
      <c r="W77" s="1312"/>
      <c r="X77" s="1312"/>
      <c r="Y77" s="1312"/>
      <c r="Z77" s="1312"/>
      <c r="AA77" s="1312"/>
      <c r="AB77" s="1312"/>
      <c r="AC77" s="1312"/>
      <c r="AD77" s="1312"/>
      <c r="AE77" s="1312"/>
      <c r="AF77" s="1312"/>
      <c r="AG77" s="1312"/>
      <c r="AH77" s="1312"/>
      <c r="AI77" s="1312"/>
      <c r="AJ77" s="1312"/>
      <c r="AK77" s="1312"/>
      <c r="AL77" s="1312"/>
      <c r="AM77" s="1074"/>
    </row>
    <row r="78" spans="2:39" ht="14.25" thickBot="1" x14ac:dyDescent="0.3">
      <c r="B78" s="1633"/>
      <c r="C78" s="1626"/>
      <c r="D78" s="1613"/>
      <c r="E78" s="1313" t="s">
        <v>345</v>
      </c>
      <c r="F78" s="1314">
        <f>IFERROR(F80*1000/F75,0)</f>
        <v>1.7942536115569823</v>
      </c>
      <c r="G78" s="1304">
        <f>IFERROR((F78-F77)/F77,0)</f>
        <v>0</v>
      </c>
      <c r="H78" s="1315">
        <v>3.32</v>
      </c>
      <c r="I78" s="1314"/>
      <c r="J78" s="1314"/>
      <c r="K78" s="1314">
        <v>1.92</v>
      </c>
      <c r="L78" s="1314">
        <v>1.27</v>
      </c>
      <c r="M78" s="1314">
        <v>2.2999999999999998</v>
      </c>
      <c r="N78" s="1314">
        <v>1.66</v>
      </c>
      <c r="O78" s="1314">
        <v>1.66</v>
      </c>
      <c r="P78" s="1314">
        <v>2.79</v>
      </c>
      <c r="Q78" s="1314">
        <v>1.33</v>
      </c>
      <c r="R78" s="1314"/>
      <c r="S78" s="1314">
        <v>1.33</v>
      </c>
      <c r="T78" s="1314"/>
      <c r="U78" s="1314"/>
      <c r="V78" s="1314"/>
      <c r="W78" s="1314"/>
      <c r="X78" s="1314"/>
      <c r="Y78" s="1314"/>
      <c r="Z78" s="1314"/>
      <c r="AA78" s="1314"/>
      <c r="AB78" s="1314"/>
      <c r="AC78" s="1314"/>
      <c r="AD78" s="1314"/>
      <c r="AE78" s="1314"/>
      <c r="AF78" s="1314"/>
      <c r="AG78" s="1314"/>
      <c r="AH78" s="1314"/>
      <c r="AI78" s="1314"/>
      <c r="AJ78" s="1314"/>
      <c r="AK78" s="1314"/>
      <c r="AL78" s="1314"/>
      <c r="AM78" s="1074"/>
    </row>
    <row r="79" spans="2:39" ht="14.25" thickBot="1" x14ac:dyDescent="0.3">
      <c r="B79" s="1633"/>
      <c r="C79" s="1626"/>
      <c r="D79" s="1613" t="s">
        <v>47</v>
      </c>
      <c r="E79" s="1309" t="s">
        <v>346</v>
      </c>
      <c r="F79" s="206">
        <f>SUMIF($H$9:$AL$9,"&lt;="&amp;$C$7,H79:AL79)</f>
        <v>0</v>
      </c>
      <c r="G79" s="1311"/>
      <c r="H79" s="1316">
        <f t="shared" ref="H79:AL80" si="35">+H77*H74/1000</f>
        <v>0</v>
      </c>
      <c r="I79" s="1316">
        <f t="shared" si="35"/>
        <v>0</v>
      </c>
      <c r="J79" s="1316">
        <f t="shared" si="35"/>
        <v>0</v>
      </c>
      <c r="K79" s="1317">
        <f t="shared" si="35"/>
        <v>0</v>
      </c>
      <c r="L79" s="1317">
        <f t="shared" si="35"/>
        <v>0</v>
      </c>
      <c r="M79" s="1317">
        <f t="shared" si="35"/>
        <v>0</v>
      </c>
      <c r="N79" s="1317">
        <f t="shared" si="35"/>
        <v>0</v>
      </c>
      <c r="O79" s="1317">
        <f t="shared" si="35"/>
        <v>0</v>
      </c>
      <c r="P79" s="1318">
        <f t="shared" si="35"/>
        <v>0</v>
      </c>
      <c r="Q79" s="1317">
        <f t="shared" si="35"/>
        <v>0</v>
      </c>
      <c r="R79" s="1317">
        <f t="shared" si="35"/>
        <v>0</v>
      </c>
      <c r="S79" s="1317">
        <f t="shared" si="35"/>
        <v>0</v>
      </c>
      <c r="T79" s="1317">
        <f t="shared" si="35"/>
        <v>0</v>
      </c>
      <c r="U79" s="1317">
        <f t="shared" si="35"/>
        <v>0</v>
      </c>
      <c r="V79" s="1317">
        <f t="shared" si="35"/>
        <v>0</v>
      </c>
      <c r="W79" s="1317">
        <f t="shared" si="35"/>
        <v>0</v>
      </c>
      <c r="X79" s="1317">
        <f t="shared" si="35"/>
        <v>0</v>
      </c>
      <c r="Y79" s="1317">
        <f t="shared" si="35"/>
        <v>0</v>
      </c>
      <c r="Z79" s="1317">
        <f t="shared" si="35"/>
        <v>0</v>
      </c>
      <c r="AA79" s="1317">
        <f t="shared" si="35"/>
        <v>0</v>
      </c>
      <c r="AB79" s="1317">
        <f t="shared" si="35"/>
        <v>0</v>
      </c>
      <c r="AC79" s="1317">
        <f t="shared" si="35"/>
        <v>0</v>
      </c>
      <c r="AD79" s="1317">
        <f t="shared" si="35"/>
        <v>0</v>
      </c>
      <c r="AE79" s="1317">
        <f t="shared" si="35"/>
        <v>0</v>
      </c>
      <c r="AF79" s="1317">
        <f t="shared" si="35"/>
        <v>0</v>
      </c>
      <c r="AG79" s="1317">
        <f t="shared" si="35"/>
        <v>0</v>
      </c>
      <c r="AH79" s="1317">
        <f t="shared" si="35"/>
        <v>0</v>
      </c>
      <c r="AI79" s="1317">
        <f t="shared" si="35"/>
        <v>0</v>
      </c>
      <c r="AJ79" s="1317">
        <f t="shared" si="35"/>
        <v>0</v>
      </c>
      <c r="AK79" s="1317">
        <f t="shared" si="35"/>
        <v>0</v>
      </c>
      <c r="AL79" s="1319">
        <f t="shared" si="35"/>
        <v>0</v>
      </c>
      <c r="AM79" s="1078"/>
    </row>
    <row r="80" spans="2:39" ht="14.25" thickBot="1" x14ac:dyDescent="0.3">
      <c r="B80" s="1633"/>
      <c r="C80" s="1627"/>
      <c r="D80" s="1614"/>
      <c r="E80" s="1320" t="s">
        <v>347</v>
      </c>
      <c r="F80" s="1321">
        <f>SUMIF($H$9:$AL$9,"&lt;="&amp;$C$7,H80:AL80)</f>
        <v>1.11782</v>
      </c>
      <c r="G80" s="1322">
        <f>IFERROR((F80-F79)/F79,0)</f>
        <v>0</v>
      </c>
      <c r="H80" s="1323">
        <f t="shared" si="35"/>
        <v>0</v>
      </c>
      <c r="I80" s="1321">
        <f t="shared" si="35"/>
        <v>0</v>
      </c>
      <c r="J80" s="1321">
        <f t="shared" si="35"/>
        <v>0</v>
      </c>
      <c r="K80" s="1321">
        <f t="shared" si="35"/>
        <v>0.13440000000000002</v>
      </c>
      <c r="L80" s="1321">
        <f t="shared" si="35"/>
        <v>0.10414</v>
      </c>
      <c r="M80" s="1321">
        <f t="shared" si="35"/>
        <v>0.184</v>
      </c>
      <c r="N80" s="1321">
        <f t="shared" si="35"/>
        <v>0.11952</v>
      </c>
      <c r="O80" s="1321">
        <f t="shared" si="35"/>
        <v>0.13778000000000001</v>
      </c>
      <c r="P80" s="1321">
        <f t="shared" si="35"/>
        <v>0.23715</v>
      </c>
      <c r="Q80" s="1321">
        <f t="shared" si="35"/>
        <v>0.10108000000000002</v>
      </c>
      <c r="R80" s="1321">
        <f t="shared" si="35"/>
        <v>0</v>
      </c>
      <c r="S80" s="1321">
        <f t="shared" si="35"/>
        <v>9.9750000000000005E-2</v>
      </c>
      <c r="T80" s="1321">
        <f t="shared" si="35"/>
        <v>0</v>
      </c>
      <c r="U80" s="1321">
        <f t="shared" si="35"/>
        <v>0</v>
      </c>
      <c r="V80" s="1321">
        <f t="shared" si="35"/>
        <v>0</v>
      </c>
      <c r="W80" s="1321">
        <f t="shared" si="35"/>
        <v>0</v>
      </c>
      <c r="X80" s="1321">
        <f t="shared" si="35"/>
        <v>0</v>
      </c>
      <c r="Y80" s="1321">
        <f t="shared" si="35"/>
        <v>0</v>
      </c>
      <c r="Z80" s="1321">
        <f t="shared" si="35"/>
        <v>0</v>
      </c>
      <c r="AA80" s="1321">
        <f t="shared" si="35"/>
        <v>0</v>
      </c>
      <c r="AB80" s="1321">
        <f t="shared" si="35"/>
        <v>0</v>
      </c>
      <c r="AC80" s="1321">
        <f t="shared" si="35"/>
        <v>0</v>
      </c>
      <c r="AD80" s="1321">
        <f t="shared" si="35"/>
        <v>0</v>
      </c>
      <c r="AE80" s="1321">
        <f t="shared" si="35"/>
        <v>0</v>
      </c>
      <c r="AF80" s="1321">
        <f t="shared" si="35"/>
        <v>0</v>
      </c>
      <c r="AG80" s="1321">
        <f t="shared" si="35"/>
        <v>0</v>
      </c>
      <c r="AH80" s="1321">
        <f t="shared" si="35"/>
        <v>0</v>
      </c>
      <c r="AI80" s="1321">
        <f t="shared" si="35"/>
        <v>0</v>
      </c>
      <c r="AJ80" s="1321">
        <f t="shared" si="35"/>
        <v>0</v>
      </c>
      <c r="AK80" s="1321">
        <f t="shared" si="35"/>
        <v>0</v>
      </c>
      <c r="AL80" s="1321">
        <f t="shared" si="35"/>
        <v>0</v>
      </c>
      <c r="AM80" s="1079"/>
    </row>
    <row r="81" spans="2:39" ht="14.25" thickBot="1" x14ac:dyDescent="0.3">
      <c r="B81" s="1630">
        <v>1</v>
      </c>
      <c r="C81" s="1625" t="str">
        <f>[2]Breaking.!A63</f>
        <v>6L_E1 STOPE</v>
      </c>
      <c r="D81" s="1631" t="s">
        <v>340</v>
      </c>
      <c r="E81" s="1070" t="s">
        <v>341</v>
      </c>
      <c r="F81" s="295">
        <f>SUMIF($H$9:$AL$9,"&lt;="&amp;$C$7,H81:AL81)</f>
        <v>1050</v>
      </c>
      <c r="G81" s="1112"/>
      <c r="H81" s="945">
        <f>[2]Breaking.!D63</f>
        <v>35</v>
      </c>
      <c r="I81" s="945">
        <f>[2]Breaking.!E63</f>
        <v>35</v>
      </c>
      <c r="J81" s="945">
        <f>[2]Breaking.!F63</f>
        <v>35</v>
      </c>
      <c r="K81" s="945">
        <f>[2]Breaking.!G63</f>
        <v>35</v>
      </c>
      <c r="L81" s="945">
        <f>[2]Breaking.!H63</f>
        <v>35</v>
      </c>
      <c r="M81" s="945">
        <f>[2]Breaking.!I63</f>
        <v>35</v>
      </c>
      <c r="N81" s="945">
        <f>[2]Breaking.!J63</f>
        <v>35</v>
      </c>
      <c r="O81" s="945">
        <f>[2]Breaking.!K63</f>
        <v>35</v>
      </c>
      <c r="P81" s="945">
        <f>[2]Breaking.!L63</f>
        <v>35</v>
      </c>
      <c r="Q81" s="945">
        <f>[2]Breaking.!M63</f>
        <v>35</v>
      </c>
      <c r="R81" s="945">
        <f>[2]Breaking.!N63</f>
        <v>35</v>
      </c>
      <c r="S81" s="945">
        <f>[2]Breaking.!O63</f>
        <v>35</v>
      </c>
      <c r="T81" s="945">
        <f>[2]Breaking.!P63</f>
        <v>35</v>
      </c>
      <c r="U81" s="945">
        <f>[2]Breaking.!Q63</f>
        <v>35</v>
      </c>
      <c r="V81" s="945">
        <f>[2]Breaking.!R63</f>
        <v>35</v>
      </c>
      <c r="W81" s="945">
        <f>[2]Breaking.!S63</f>
        <v>35</v>
      </c>
      <c r="X81" s="945">
        <f>[2]Breaking.!T63</f>
        <v>35</v>
      </c>
      <c r="Y81" s="945">
        <f>[2]Breaking.!U63</f>
        <v>35</v>
      </c>
      <c r="Z81" s="945">
        <f>[2]Breaking.!V63</f>
        <v>35</v>
      </c>
      <c r="AA81" s="945">
        <f>[2]Breaking.!W63</f>
        <v>35</v>
      </c>
      <c r="AB81" s="945">
        <f>[2]Breaking.!X63</f>
        <v>35</v>
      </c>
      <c r="AC81" s="945">
        <f>[2]Breaking.!Y63</f>
        <v>35</v>
      </c>
      <c r="AD81" s="945">
        <f>[2]Breaking.!Z63</f>
        <v>35</v>
      </c>
      <c r="AE81" s="945">
        <f>[2]Breaking.!AA63</f>
        <v>35</v>
      </c>
      <c r="AF81" s="945">
        <f>[2]Breaking.!AB63</f>
        <v>35</v>
      </c>
      <c r="AG81" s="945">
        <f>[2]Breaking.!AC63</f>
        <v>35</v>
      </c>
      <c r="AH81" s="945">
        <f>[2]Breaking.!AD63</f>
        <v>35</v>
      </c>
      <c r="AI81" s="945">
        <f>[2]Breaking.!AE63</f>
        <v>35</v>
      </c>
      <c r="AJ81" s="945">
        <f>[2]Breaking.!AF63</f>
        <v>35</v>
      </c>
      <c r="AK81" s="945">
        <f>[2]Breaking.!AG63</f>
        <v>35</v>
      </c>
      <c r="AL81" s="945">
        <f>[2]Breaking.!AH63</f>
        <v>0</v>
      </c>
      <c r="AM81" s="1105"/>
    </row>
    <row r="82" spans="2:39" ht="14.25" thickBot="1" x14ac:dyDescent="0.3">
      <c r="B82" s="1619"/>
      <c r="C82" s="1626"/>
      <c r="D82" s="1628"/>
      <c r="E82" s="1302" t="s">
        <v>342</v>
      </c>
      <c r="F82" s="1303">
        <f>SUMIF($H$9:$AL$9,"&lt;="&amp;$C$7,H82:AL82)</f>
        <v>1184</v>
      </c>
      <c r="G82" s="1304">
        <f t="shared" ref="G82" si="36">IFERROR((F82-F81)/F81,0)</f>
        <v>0.12761904761904763</v>
      </c>
      <c r="H82" s="1305">
        <v>39</v>
      </c>
      <c r="I82" s="1303">
        <v>38</v>
      </c>
      <c r="J82" s="1303">
        <v>35</v>
      </c>
      <c r="K82" s="1303">
        <v>39</v>
      </c>
      <c r="L82" s="1303">
        <v>40</v>
      </c>
      <c r="M82" s="1303">
        <v>43</v>
      </c>
      <c r="N82" s="1303">
        <v>40</v>
      </c>
      <c r="O82" s="1303">
        <v>36</v>
      </c>
      <c r="P82" s="1303">
        <v>36</v>
      </c>
      <c r="Q82" s="1303">
        <v>40</v>
      </c>
      <c r="R82" s="1303">
        <v>40</v>
      </c>
      <c r="S82" s="1303">
        <v>36</v>
      </c>
      <c r="T82" s="1303">
        <v>35</v>
      </c>
      <c r="U82" s="1303">
        <v>40</v>
      </c>
      <c r="V82" s="1303">
        <v>40</v>
      </c>
      <c r="W82" s="1303">
        <v>36</v>
      </c>
      <c r="X82" s="1303">
        <v>41</v>
      </c>
      <c r="Y82" s="1303">
        <v>41</v>
      </c>
      <c r="Z82" s="1303">
        <v>39</v>
      </c>
      <c r="AA82" s="1303">
        <v>38</v>
      </c>
      <c r="AB82" s="1303">
        <v>40</v>
      </c>
      <c r="AC82" s="1303">
        <v>39</v>
      </c>
      <c r="AD82" s="1303">
        <v>40</v>
      </c>
      <c r="AE82" s="1303">
        <v>42</v>
      </c>
      <c r="AF82" s="1303">
        <v>38</v>
      </c>
      <c r="AG82" s="1303">
        <v>42</v>
      </c>
      <c r="AH82" s="1303">
        <v>45</v>
      </c>
      <c r="AI82" s="1303">
        <v>43</v>
      </c>
      <c r="AJ82" s="1303">
        <v>42</v>
      </c>
      <c r="AK82" s="1303">
        <v>41</v>
      </c>
      <c r="AL82" s="1303"/>
      <c r="AM82" s="1074"/>
    </row>
    <row r="83" spans="2:39" ht="14.25" thickBot="1" x14ac:dyDescent="0.3">
      <c r="B83" s="1619"/>
      <c r="C83" s="1626"/>
      <c r="D83" s="1628"/>
      <c r="E83" s="1324" t="s">
        <v>312</v>
      </c>
      <c r="F83" s="1325"/>
      <c r="G83" s="1326"/>
      <c r="H83" s="1075"/>
      <c r="I83" s="1075"/>
      <c r="J83" s="1075"/>
      <c r="K83" s="1075"/>
      <c r="L83" s="1075"/>
      <c r="M83" s="1075"/>
      <c r="N83" s="1075"/>
      <c r="O83" s="1075"/>
      <c r="P83" s="1076"/>
      <c r="Q83" s="1075"/>
      <c r="R83" s="1075"/>
      <c r="S83" s="1075"/>
      <c r="T83" s="1075"/>
      <c r="U83" s="1075"/>
      <c r="V83" s="1075"/>
      <c r="W83" s="1075"/>
      <c r="X83" s="1075"/>
      <c r="Y83" s="1075"/>
      <c r="Z83" s="1075"/>
      <c r="AA83" s="1075"/>
      <c r="AB83" s="1075"/>
      <c r="AC83" s="1075"/>
      <c r="AD83" s="1075"/>
      <c r="AE83" s="1075"/>
      <c r="AF83" s="1075"/>
      <c r="AG83" s="1075"/>
      <c r="AH83" s="1075"/>
      <c r="AI83" s="1075"/>
      <c r="AJ83" s="1075"/>
      <c r="AK83" s="1075"/>
      <c r="AL83" s="1077"/>
      <c r="AM83" s="1108"/>
    </row>
    <row r="84" spans="2:39" ht="14.25" thickBot="1" x14ac:dyDescent="0.3">
      <c r="B84" s="1619"/>
      <c r="C84" s="1626"/>
      <c r="D84" s="1613" t="s">
        <v>343</v>
      </c>
      <c r="E84" s="1309" t="s">
        <v>344</v>
      </c>
      <c r="F84" s="1310">
        <f t="shared" ref="F84:F85" si="37">IFERROR(F86*1000/F81,0)</f>
        <v>3.889999999999997</v>
      </c>
      <c r="G84" s="1311"/>
      <c r="H84" s="1312">
        <v>3.89</v>
      </c>
      <c r="I84" s="1312">
        <v>3.89</v>
      </c>
      <c r="J84" s="1312">
        <v>3.89</v>
      </c>
      <c r="K84" s="1312">
        <v>3.89</v>
      </c>
      <c r="L84" s="1312">
        <v>3.89</v>
      </c>
      <c r="M84" s="1312">
        <v>3.89</v>
      </c>
      <c r="N84" s="1312">
        <v>3.89</v>
      </c>
      <c r="O84" s="1312">
        <v>3.89</v>
      </c>
      <c r="P84" s="1312">
        <v>3.89</v>
      </c>
      <c r="Q84" s="1312">
        <v>3.89</v>
      </c>
      <c r="R84" s="1312">
        <v>3.89</v>
      </c>
      <c r="S84" s="1312">
        <v>3.89</v>
      </c>
      <c r="T84" s="1312">
        <v>3.89</v>
      </c>
      <c r="U84" s="1312">
        <v>3.89</v>
      </c>
      <c r="V84" s="1312">
        <v>3.89</v>
      </c>
      <c r="W84" s="1312">
        <v>3.89</v>
      </c>
      <c r="X84" s="1312">
        <v>3.89</v>
      </c>
      <c r="Y84" s="1312">
        <v>3.89</v>
      </c>
      <c r="Z84" s="1312">
        <v>3.89</v>
      </c>
      <c r="AA84" s="1312">
        <v>3.89</v>
      </c>
      <c r="AB84" s="1312">
        <v>3.89</v>
      </c>
      <c r="AC84" s="1312">
        <v>3.89</v>
      </c>
      <c r="AD84" s="1312">
        <v>3.89</v>
      </c>
      <c r="AE84" s="1312">
        <v>3.89</v>
      </c>
      <c r="AF84" s="1312">
        <v>3.89</v>
      </c>
      <c r="AG84" s="1312">
        <v>3.89</v>
      </c>
      <c r="AH84" s="1312">
        <v>3.89</v>
      </c>
      <c r="AI84" s="1312">
        <v>3.89</v>
      </c>
      <c r="AJ84" s="1312">
        <v>3.89</v>
      </c>
      <c r="AK84" s="1312">
        <v>3.89</v>
      </c>
      <c r="AL84" s="1312"/>
      <c r="AM84" s="1074"/>
    </row>
    <row r="85" spans="2:39" ht="14.25" thickBot="1" x14ac:dyDescent="0.3">
      <c r="B85" s="1619"/>
      <c r="C85" s="1626"/>
      <c r="D85" s="1613"/>
      <c r="E85" s="1313" t="s">
        <v>345</v>
      </c>
      <c r="F85" s="1314">
        <f t="shared" si="37"/>
        <v>4.9330320945945942</v>
      </c>
      <c r="G85" s="1304">
        <f t="shared" ref="G85" si="38">IFERROR((F85-F84)/F84,0)</f>
        <v>0.26813164385465243</v>
      </c>
      <c r="H85" s="1315">
        <v>7</v>
      </c>
      <c r="I85" s="1314">
        <v>7</v>
      </c>
      <c r="J85" s="1314">
        <v>2.84</v>
      </c>
      <c r="K85" s="1314">
        <v>6.83</v>
      </c>
      <c r="L85" s="1314">
        <v>6.83</v>
      </c>
      <c r="M85" s="1314">
        <v>4.45</v>
      </c>
      <c r="N85" s="1314">
        <v>4.72</v>
      </c>
      <c r="O85" s="1314">
        <v>4.72</v>
      </c>
      <c r="P85" s="1314">
        <v>4.99</v>
      </c>
      <c r="Q85" s="1314">
        <v>3.99</v>
      </c>
      <c r="R85" s="1314">
        <v>1.29</v>
      </c>
      <c r="S85" s="1314">
        <v>2.04</v>
      </c>
      <c r="T85" s="1314">
        <v>4.9800000000000004</v>
      </c>
      <c r="U85" s="1314">
        <v>4.7</v>
      </c>
      <c r="V85" s="1314">
        <v>4.7</v>
      </c>
      <c r="W85" s="1314">
        <v>3.29</v>
      </c>
      <c r="X85" s="1314">
        <v>5.48</v>
      </c>
      <c r="Y85" s="1314">
        <v>3.68</v>
      </c>
      <c r="Z85" s="1314">
        <v>7</v>
      </c>
      <c r="AA85" s="1314">
        <v>3.09</v>
      </c>
      <c r="AB85" s="1314">
        <v>7</v>
      </c>
      <c r="AC85" s="1314">
        <v>7</v>
      </c>
      <c r="AD85" s="1314">
        <v>5.51</v>
      </c>
      <c r="AE85" s="1314">
        <v>7</v>
      </c>
      <c r="AF85" s="1314">
        <v>7</v>
      </c>
      <c r="AG85" s="1314">
        <v>4.42</v>
      </c>
      <c r="AH85" s="1314">
        <v>4.42</v>
      </c>
      <c r="AI85" s="1314">
        <v>3.84</v>
      </c>
      <c r="AJ85" s="1314">
        <v>3.84</v>
      </c>
      <c r="AK85" s="1314">
        <v>4.13</v>
      </c>
      <c r="AL85" s="1314"/>
      <c r="AM85" s="1074"/>
    </row>
    <row r="86" spans="2:39" ht="14.25" thickBot="1" x14ac:dyDescent="0.3">
      <c r="B86" s="1619"/>
      <c r="C86" s="1626"/>
      <c r="D86" s="1613" t="s">
        <v>47</v>
      </c>
      <c r="E86" s="1309" t="s">
        <v>346</v>
      </c>
      <c r="F86" s="206">
        <f>SUMIF($H$9:$AL$9,"&lt;="&amp;$C$7,H86:AL86)</f>
        <v>4.0844999999999967</v>
      </c>
      <c r="G86" s="1311"/>
      <c r="H86" s="1316">
        <f t="shared" ref="H86:AL87" si="39">+H84*H81/1000</f>
        <v>0.13614999999999999</v>
      </c>
      <c r="I86" s="1316">
        <f t="shared" si="39"/>
        <v>0.13614999999999999</v>
      </c>
      <c r="J86" s="1316">
        <f t="shared" si="39"/>
        <v>0.13614999999999999</v>
      </c>
      <c r="K86" s="1317">
        <f t="shared" si="39"/>
        <v>0.13614999999999999</v>
      </c>
      <c r="L86" s="1317">
        <f t="shared" si="39"/>
        <v>0.13614999999999999</v>
      </c>
      <c r="M86" s="1317">
        <f t="shared" si="39"/>
        <v>0.13614999999999999</v>
      </c>
      <c r="N86" s="1317">
        <f t="shared" si="39"/>
        <v>0.13614999999999999</v>
      </c>
      <c r="O86" s="1317">
        <f t="shared" si="39"/>
        <v>0.13614999999999999</v>
      </c>
      <c r="P86" s="1318">
        <f t="shared" si="39"/>
        <v>0.13614999999999999</v>
      </c>
      <c r="Q86" s="1317">
        <f t="shared" si="39"/>
        <v>0.13614999999999999</v>
      </c>
      <c r="R86" s="1317">
        <f t="shared" si="39"/>
        <v>0.13614999999999999</v>
      </c>
      <c r="S86" s="1317">
        <f t="shared" si="39"/>
        <v>0.13614999999999999</v>
      </c>
      <c r="T86" s="1317">
        <f t="shared" si="39"/>
        <v>0.13614999999999999</v>
      </c>
      <c r="U86" s="1317">
        <f t="shared" si="39"/>
        <v>0.13614999999999999</v>
      </c>
      <c r="V86" s="1317">
        <f t="shared" si="39"/>
        <v>0.13614999999999999</v>
      </c>
      <c r="W86" s="1317">
        <f>+W84*W81/1000</f>
        <v>0.13614999999999999</v>
      </c>
      <c r="X86" s="1317">
        <f t="shared" si="39"/>
        <v>0.13614999999999999</v>
      </c>
      <c r="Y86" s="1317">
        <f t="shared" si="39"/>
        <v>0.13614999999999999</v>
      </c>
      <c r="Z86" s="1317">
        <f t="shared" si="39"/>
        <v>0.13614999999999999</v>
      </c>
      <c r="AA86" s="1317">
        <f t="shared" si="39"/>
        <v>0.13614999999999999</v>
      </c>
      <c r="AB86" s="1317">
        <f t="shared" si="39"/>
        <v>0.13614999999999999</v>
      </c>
      <c r="AC86" s="1317">
        <f t="shared" si="39"/>
        <v>0.13614999999999999</v>
      </c>
      <c r="AD86" s="1317">
        <f t="shared" si="39"/>
        <v>0.13614999999999999</v>
      </c>
      <c r="AE86" s="1317">
        <f t="shared" si="39"/>
        <v>0.13614999999999999</v>
      </c>
      <c r="AF86" s="1317">
        <f t="shared" si="39"/>
        <v>0.13614999999999999</v>
      </c>
      <c r="AG86" s="1317">
        <f t="shared" si="39"/>
        <v>0.13614999999999999</v>
      </c>
      <c r="AH86" s="1317">
        <f t="shared" si="39"/>
        <v>0.13614999999999999</v>
      </c>
      <c r="AI86" s="1317">
        <f t="shared" si="39"/>
        <v>0.13614999999999999</v>
      </c>
      <c r="AJ86" s="1317">
        <f t="shared" si="39"/>
        <v>0.13614999999999999</v>
      </c>
      <c r="AK86" s="1317">
        <f t="shared" si="39"/>
        <v>0.13614999999999999</v>
      </c>
      <c r="AL86" s="1319">
        <f t="shared" si="39"/>
        <v>0</v>
      </c>
      <c r="AM86" s="1078"/>
    </row>
    <row r="87" spans="2:39" ht="14.25" thickBot="1" x14ac:dyDescent="0.3">
      <c r="B87" s="1620"/>
      <c r="C87" s="1627"/>
      <c r="D87" s="1613"/>
      <c r="E87" s="1330" t="s">
        <v>347</v>
      </c>
      <c r="F87" s="1331">
        <f>SUMIF($H$9:$AL$9,"&lt;="&amp;$C$7,H87:AL87)</f>
        <v>5.8407099999999996</v>
      </c>
      <c r="G87" s="1549">
        <f t="shared" ref="G87" si="40">IFERROR((F87-F86)/F86,0)</f>
        <v>0.42996939649896054</v>
      </c>
      <c r="H87" s="1323">
        <f t="shared" si="39"/>
        <v>0.27300000000000002</v>
      </c>
      <c r="I87" s="1321">
        <f t="shared" si="39"/>
        <v>0.26600000000000001</v>
      </c>
      <c r="J87" s="1321">
        <f t="shared" si="39"/>
        <v>9.9399999999999988E-2</v>
      </c>
      <c r="K87" s="1321">
        <f t="shared" si="39"/>
        <v>0.26637</v>
      </c>
      <c r="L87" s="1321">
        <f t="shared" si="39"/>
        <v>0.2732</v>
      </c>
      <c r="M87" s="1321">
        <f t="shared" si="39"/>
        <v>0.19134999999999999</v>
      </c>
      <c r="N87" s="1321">
        <f t="shared" si="39"/>
        <v>0.1888</v>
      </c>
      <c r="O87" s="1321">
        <f t="shared" si="39"/>
        <v>0.16991999999999999</v>
      </c>
      <c r="P87" s="1321">
        <f t="shared" si="39"/>
        <v>0.17964000000000002</v>
      </c>
      <c r="Q87" s="1321">
        <f t="shared" si="39"/>
        <v>0.15960000000000002</v>
      </c>
      <c r="R87" s="1321">
        <f t="shared" si="39"/>
        <v>5.16E-2</v>
      </c>
      <c r="S87" s="1321">
        <f t="shared" si="39"/>
        <v>7.3439999999999991E-2</v>
      </c>
      <c r="T87" s="1321">
        <f t="shared" si="39"/>
        <v>0.17430000000000001</v>
      </c>
      <c r="U87" s="1321">
        <f t="shared" si="39"/>
        <v>0.188</v>
      </c>
      <c r="V87" s="1321">
        <f t="shared" si="39"/>
        <v>0.188</v>
      </c>
      <c r="W87" s="1321">
        <f>+W85*W82/1000</f>
        <v>0.11844</v>
      </c>
      <c r="X87" s="1321">
        <f t="shared" si="39"/>
        <v>0.22468000000000002</v>
      </c>
      <c r="Y87" s="1321">
        <f t="shared" si="39"/>
        <v>0.15087999999999999</v>
      </c>
      <c r="Z87" s="1321">
        <f t="shared" si="39"/>
        <v>0.27300000000000002</v>
      </c>
      <c r="AA87" s="1321">
        <f t="shared" si="39"/>
        <v>0.11741999999999998</v>
      </c>
      <c r="AB87" s="1321">
        <f t="shared" si="39"/>
        <v>0.28000000000000003</v>
      </c>
      <c r="AC87" s="1321">
        <f t="shared" si="39"/>
        <v>0.27300000000000002</v>
      </c>
      <c r="AD87" s="1321">
        <f t="shared" si="39"/>
        <v>0.22039999999999998</v>
      </c>
      <c r="AE87" s="1321">
        <f t="shared" si="39"/>
        <v>0.29399999999999998</v>
      </c>
      <c r="AF87" s="1321">
        <f t="shared" si="39"/>
        <v>0.26600000000000001</v>
      </c>
      <c r="AG87" s="1321">
        <f t="shared" si="39"/>
        <v>0.18564</v>
      </c>
      <c r="AH87" s="1321">
        <f t="shared" si="39"/>
        <v>0.19889999999999999</v>
      </c>
      <c r="AI87" s="1321">
        <f t="shared" si="39"/>
        <v>0.16512000000000002</v>
      </c>
      <c r="AJ87" s="1321">
        <f t="shared" si="39"/>
        <v>0.16128000000000001</v>
      </c>
      <c r="AK87" s="1321">
        <f t="shared" si="39"/>
        <v>0.16932999999999998</v>
      </c>
      <c r="AL87" s="1321">
        <f t="shared" si="39"/>
        <v>0</v>
      </c>
      <c r="AM87" s="1079"/>
    </row>
    <row r="88" spans="2:39" ht="14.25" thickBot="1" x14ac:dyDescent="0.3">
      <c r="B88" s="1618">
        <v>1</v>
      </c>
      <c r="C88" s="1625" t="str">
        <f>[2]Breaking.!A65</f>
        <v xml:space="preserve">6L_W1 STOPE </v>
      </c>
      <c r="D88" s="1628" t="s">
        <v>340</v>
      </c>
      <c r="E88" s="1104" t="s">
        <v>341</v>
      </c>
      <c r="F88" s="196">
        <f>SUMIF($H$9:$AL$9,"&lt;="&amp;$C$7,H88:AL88)</f>
        <v>4200</v>
      </c>
      <c r="G88" s="1071"/>
      <c r="H88" s="945">
        <f>[2]Breaking.!D65</f>
        <v>140</v>
      </c>
      <c r="I88" s="945">
        <f>[2]Breaking.!E65</f>
        <v>140</v>
      </c>
      <c r="J88" s="945">
        <f>[2]Breaking.!F65</f>
        <v>140</v>
      </c>
      <c r="K88" s="945">
        <f>[2]Breaking.!G65</f>
        <v>140</v>
      </c>
      <c r="L88" s="945">
        <f>[2]Breaking.!H65</f>
        <v>140</v>
      </c>
      <c r="M88" s="945">
        <f>[2]Breaking.!I65</f>
        <v>140</v>
      </c>
      <c r="N88" s="945">
        <f>[2]Breaking.!J65</f>
        <v>140</v>
      </c>
      <c r="O88" s="945">
        <f>[2]Breaking.!K65</f>
        <v>140</v>
      </c>
      <c r="P88" s="945">
        <f>[2]Breaking.!L65</f>
        <v>140</v>
      </c>
      <c r="Q88" s="945">
        <f>[2]Breaking.!M65</f>
        <v>140</v>
      </c>
      <c r="R88" s="945">
        <f>[2]Breaking.!N65</f>
        <v>140</v>
      </c>
      <c r="S88" s="945">
        <f>[2]Breaking.!O65</f>
        <v>140</v>
      </c>
      <c r="T88" s="945">
        <f>[2]Breaking.!P65</f>
        <v>140</v>
      </c>
      <c r="U88" s="945">
        <f>[2]Breaking.!Q65</f>
        <v>140</v>
      </c>
      <c r="V88" s="945">
        <f>[2]Breaking.!R65</f>
        <v>140</v>
      </c>
      <c r="W88" s="945">
        <f>[2]Breaking.!S65</f>
        <v>140</v>
      </c>
      <c r="X88" s="945">
        <f>[2]Breaking.!T65</f>
        <v>140</v>
      </c>
      <c r="Y88" s="945">
        <f>[2]Breaking.!U65</f>
        <v>140</v>
      </c>
      <c r="Z88" s="945">
        <f>[2]Breaking.!V65</f>
        <v>140</v>
      </c>
      <c r="AA88" s="945">
        <f>[2]Breaking.!W65</f>
        <v>140</v>
      </c>
      <c r="AB88" s="945">
        <f>[2]Breaking.!X65</f>
        <v>140</v>
      </c>
      <c r="AC88" s="945">
        <f>[2]Breaking.!Y65</f>
        <v>140</v>
      </c>
      <c r="AD88" s="945">
        <f>[2]Breaking.!Z65</f>
        <v>140</v>
      </c>
      <c r="AE88" s="945">
        <f>[2]Breaking.!AA65</f>
        <v>140</v>
      </c>
      <c r="AF88" s="945">
        <f>[2]Breaking.!AB65</f>
        <v>140</v>
      </c>
      <c r="AG88" s="945">
        <f>[2]Breaking.!AC65</f>
        <v>140</v>
      </c>
      <c r="AH88" s="945">
        <f>[2]Breaking.!AD65</f>
        <v>140</v>
      </c>
      <c r="AI88" s="945">
        <f>[2]Breaking.!AE65</f>
        <v>140</v>
      </c>
      <c r="AJ88" s="945">
        <f>[2]Breaking.!AF65</f>
        <v>140</v>
      </c>
      <c r="AK88" s="945">
        <f>[2]Breaking.!AG65</f>
        <v>140</v>
      </c>
      <c r="AL88" s="945">
        <f>[2]Breaking.!AH65</f>
        <v>0</v>
      </c>
      <c r="AM88" s="1105"/>
    </row>
    <row r="89" spans="2:39" ht="14.25" thickBot="1" x14ac:dyDescent="0.3">
      <c r="B89" s="1619"/>
      <c r="C89" s="1626"/>
      <c r="D89" s="1628"/>
      <c r="E89" s="1302" t="s">
        <v>342</v>
      </c>
      <c r="F89" s="1303">
        <f>SUMIF($H$9:$AL$9,"&lt;="&amp;$C$7,H89:AL89)</f>
        <v>3705</v>
      </c>
      <c r="G89" s="1304">
        <f t="shared" ref="G89" si="41">IFERROR((F89-F88)/F88,0)</f>
        <v>-0.11785714285714285</v>
      </c>
      <c r="H89" s="1305">
        <v>196</v>
      </c>
      <c r="I89" s="1303">
        <v>193</v>
      </c>
      <c r="J89" s="1303">
        <v>194</v>
      </c>
      <c r="K89" s="1303">
        <v>207</v>
      </c>
      <c r="L89" s="1303">
        <v>161</v>
      </c>
      <c r="M89" s="1303">
        <v>156</v>
      </c>
      <c r="N89" s="1303">
        <v>151</v>
      </c>
      <c r="O89" s="1303">
        <v>142</v>
      </c>
      <c r="P89" s="1303">
        <v>144</v>
      </c>
      <c r="Q89" s="1303">
        <v>152</v>
      </c>
      <c r="R89" s="1303">
        <v>148</v>
      </c>
      <c r="S89" s="1303">
        <v>143</v>
      </c>
      <c r="T89" s="1303">
        <v>134</v>
      </c>
      <c r="U89" s="1303">
        <v>152</v>
      </c>
      <c r="V89" s="1303">
        <v>150</v>
      </c>
      <c r="W89" s="1303">
        <v>112</v>
      </c>
      <c r="X89" s="1303">
        <v>78</v>
      </c>
      <c r="Y89" s="1303">
        <v>82</v>
      </c>
      <c r="Z89" s="1303">
        <v>78</v>
      </c>
      <c r="AA89" s="1303">
        <v>79</v>
      </c>
      <c r="AB89" s="1303">
        <v>76</v>
      </c>
      <c r="AC89" s="1303">
        <v>79</v>
      </c>
      <c r="AD89" s="1303">
        <v>84</v>
      </c>
      <c r="AE89" s="1303">
        <v>87</v>
      </c>
      <c r="AF89" s="1303">
        <v>83</v>
      </c>
      <c r="AG89" s="1303">
        <v>78</v>
      </c>
      <c r="AH89" s="1303">
        <v>84</v>
      </c>
      <c r="AI89" s="1303">
        <v>77</v>
      </c>
      <c r="AJ89" s="1303">
        <v>84</v>
      </c>
      <c r="AK89" s="1303">
        <v>121</v>
      </c>
      <c r="AL89" s="1303"/>
      <c r="AM89" s="1074"/>
    </row>
    <row r="90" spans="2:39" ht="14.25" thickBot="1" x14ac:dyDescent="0.3">
      <c r="B90" s="1619"/>
      <c r="C90" s="1626"/>
      <c r="D90" s="1628"/>
      <c r="E90" s="1324" t="s">
        <v>312</v>
      </c>
      <c r="F90" s="1325"/>
      <c r="G90" s="1326"/>
      <c r="H90" s="1075"/>
      <c r="I90" s="1075"/>
      <c r="J90" s="1075"/>
      <c r="K90" s="1075"/>
      <c r="L90" s="1075"/>
      <c r="M90" s="1075"/>
      <c r="N90" s="1075"/>
      <c r="O90" s="1075"/>
      <c r="P90" s="1076"/>
      <c r="Q90" s="1075"/>
      <c r="R90" s="1075"/>
      <c r="S90" s="1075"/>
      <c r="T90" s="1075"/>
      <c r="U90" s="1075"/>
      <c r="V90" s="1075"/>
      <c r="W90" s="1075"/>
      <c r="X90" s="1075"/>
      <c r="Y90" s="1075"/>
      <c r="Z90" s="1075"/>
      <c r="AA90" s="1075"/>
      <c r="AB90" s="1075"/>
      <c r="AC90" s="1075"/>
      <c r="AD90" s="1075"/>
      <c r="AE90" s="1075"/>
      <c r="AF90" s="1075"/>
      <c r="AG90" s="1075"/>
      <c r="AH90" s="1075"/>
      <c r="AI90" s="1075"/>
      <c r="AJ90" s="1075"/>
      <c r="AK90" s="1075"/>
      <c r="AL90" s="1077"/>
      <c r="AM90" s="1108"/>
    </row>
    <row r="91" spans="2:39" ht="14.25" thickBot="1" x14ac:dyDescent="0.3">
      <c r="B91" s="1619"/>
      <c r="C91" s="1626"/>
      <c r="D91" s="1613" t="s">
        <v>343</v>
      </c>
      <c r="E91" s="1309" t="s">
        <v>344</v>
      </c>
      <c r="F91" s="1310">
        <f t="shared" ref="F91:F92" si="42">IFERROR(F93*1000/F88,0)</f>
        <v>3.889999999999997</v>
      </c>
      <c r="G91" s="1311"/>
      <c r="H91" s="1312">
        <v>3.89</v>
      </c>
      <c r="I91" s="1312">
        <v>3.89</v>
      </c>
      <c r="J91" s="1312">
        <v>3.89</v>
      </c>
      <c r="K91" s="1312">
        <v>3.89</v>
      </c>
      <c r="L91" s="1312">
        <v>3.89</v>
      </c>
      <c r="M91" s="1312">
        <v>3.89</v>
      </c>
      <c r="N91" s="1312">
        <v>3.89</v>
      </c>
      <c r="O91" s="1312">
        <v>3.89</v>
      </c>
      <c r="P91" s="1312">
        <v>3.89</v>
      </c>
      <c r="Q91" s="1312">
        <v>3.89</v>
      </c>
      <c r="R91" s="1312">
        <v>3.89</v>
      </c>
      <c r="S91" s="1312">
        <v>3.89</v>
      </c>
      <c r="T91" s="1312">
        <v>3.89</v>
      </c>
      <c r="U91" s="1312">
        <v>3.89</v>
      </c>
      <c r="V91" s="1312">
        <v>3.89</v>
      </c>
      <c r="W91" s="1312">
        <v>3.89</v>
      </c>
      <c r="X91" s="1312">
        <v>3.89</v>
      </c>
      <c r="Y91" s="1312">
        <v>3.89</v>
      </c>
      <c r="Z91" s="1312">
        <v>3.89</v>
      </c>
      <c r="AA91" s="1312">
        <v>3.89</v>
      </c>
      <c r="AB91" s="1312">
        <v>3.89</v>
      </c>
      <c r="AC91" s="1312">
        <v>3.89</v>
      </c>
      <c r="AD91" s="1312">
        <v>3.89</v>
      </c>
      <c r="AE91" s="1312">
        <v>3.89</v>
      </c>
      <c r="AF91" s="1312">
        <v>3.89</v>
      </c>
      <c r="AG91" s="1312">
        <v>3.89</v>
      </c>
      <c r="AH91" s="1312">
        <v>3.89</v>
      </c>
      <c r="AI91" s="1312">
        <v>3.89</v>
      </c>
      <c r="AJ91" s="1312">
        <v>3.89</v>
      </c>
      <c r="AK91" s="1312">
        <v>3.89</v>
      </c>
      <c r="AL91" s="1312"/>
      <c r="AM91" s="1074"/>
    </row>
    <row r="92" spans="2:39" ht="14.25" thickBot="1" x14ac:dyDescent="0.3">
      <c r="B92" s="1619"/>
      <c r="C92" s="1626"/>
      <c r="D92" s="1613"/>
      <c r="E92" s="1313" t="s">
        <v>345</v>
      </c>
      <c r="F92" s="1314">
        <f t="shared" si="42"/>
        <v>4.7300485829959511</v>
      </c>
      <c r="G92" s="1304">
        <f t="shared" ref="G92" si="43">IFERROR((F92-F91)/F91,0)</f>
        <v>0.21595079254394722</v>
      </c>
      <c r="H92" s="1315">
        <v>6.27</v>
      </c>
      <c r="I92" s="1314">
        <v>6.93</v>
      </c>
      <c r="J92" s="1314">
        <v>3.41</v>
      </c>
      <c r="K92" s="1314">
        <v>5.88</v>
      </c>
      <c r="L92" s="1314">
        <v>4.22</v>
      </c>
      <c r="M92" s="1314">
        <v>6.12</v>
      </c>
      <c r="N92" s="1314">
        <v>5.14</v>
      </c>
      <c r="O92" s="1314">
        <v>5.14</v>
      </c>
      <c r="P92" s="1314">
        <v>6.8</v>
      </c>
      <c r="Q92" s="1314">
        <v>4.41</v>
      </c>
      <c r="R92" s="1314">
        <v>2.2200000000000002</v>
      </c>
      <c r="S92" s="1314">
        <v>2.4500000000000002</v>
      </c>
      <c r="T92" s="1314">
        <v>2.42</v>
      </c>
      <c r="U92" s="1314">
        <v>2.87</v>
      </c>
      <c r="V92" s="1314">
        <v>2.87</v>
      </c>
      <c r="W92" s="1314">
        <v>4.0599999999999996</v>
      </c>
      <c r="X92" s="1314">
        <v>1.65</v>
      </c>
      <c r="Y92" s="1314">
        <v>5.21</v>
      </c>
      <c r="Z92" s="1314">
        <v>5.2</v>
      </c>
      <c r="AA92" s="1314">
        <v>3.09</v>
      </c>
      <c r="AB92" s="1314">
        <v>7</v>
      </c>
      <c r="AC92" s="1314">
        <v>7</v>
      </c>
      <c r="AD92" s="1314">
        <v>4.7699999999999996</v>
      </c>
      <c r="AE92" s="1314">
        <v>7</v>
      </c>
      <c r="AF92" s="1314">
        <v>7</v>
      </c>
      <c r="AG92" s="1314">
        <v>3.62</v>
      </c>
      <c r="AH92" s="1314">
        <v>3.62</v>
      </c>
      <c r="AI92" s="1314">
        <v>5.86</v>
      </c>
      <c r="AJ92" s="1314">
        <v>5.86</v>
      </c>
      <c r="AK92" s="1314">
        <v>4.58</v>
      </c>
      <c r="AL92" s="1314"/>
      <c r="AM92" s="1074"/>
    </row>
    <row r="93" spans="2:39" ht="14.25" thickBot="1" x14ac:dyDescent="0.3">
      <c r="B93" s="1619"/>
      <c r="C93" s="1626"/>
      <c r="D93" s="1613" t="s">
        <v>47</v>
      </c>
      <c r="E93" s="1309" t="s">
        <v>346</v>
      </c>
      <c r="F93" s="206">
        <f>SUMIF($H$9:$AL$9,"&lt;="&amp;$C$7,H93:AL93)</f>
        <v>16.337999999999987</v>
      </c>
      <c r="G93" s="1311"/>
      <c r="H93" s="1316">
        <f t="shared" ref="H93:AL94" si="44">+H91*H88/1000</f>
        <v>0.54459999999999997</v>
      </c>
      <c r="I93" s="1316">
        <f t="shared" si="44"/>
        <v>0.54459999999999997</v>
      </c>
      <c r="J93" s="1316">
        <f t="shared" si="44"/>
        <v>0.54459999999999997</v>
      </c>
      <c r="K93" s="1317">
        <f t="shared" si="44"/>
        <v>0.54459999999999997</v>
      </c>
      <c r="L93" s="1317">
        <f t="shared" si="44"/>
        <v>0.54459999999999997</v>
      </c>
      <c r="M93" s="1317">
        <f t="shared" si="44"/>
        <v>0.54459999999999997</v>
      </c>
      <c r="N93" s="1317">
        <f t="shared" si="44"/>
        <v>0.54459999999999997</v>
      </c>
      <c r="O93" s="1317">
        <f t="shared" si="44"/>
        <v>0.54459999999999997</v>
      </c>
      <c r="P93" s="1318">
        <f t="shared" si="44"/>
        <v>0.54459999999999997</v>
      </c>
      <c r="Q93" s="1317">
        <f t="shared" si="44"/>
        <v>0.54459999999999997</v>
      </c>
      <c r="R93" s="1317">
        <f t="shared" si="44"/>
        <v>0.54459999999999997</v>
      </c>
      <c r="S93" s="1317">
        <f t="shared" si="44"/>
        <v>0.54459999999999997</v>
      </c>
      <c r="T93" s="1317">
        <f t="shared" si="44"/>
        <v>0.54459999999999997</v>
      </c>
      <c r="U93" s="1317">
        <f t="shared" si="44"/>
        <v>0.54459999999999997</v>
      </c>
      <c r="V93" s="1317">
        <f t="shared" si="44"/>
        <v>0.54459999999999997</v>
      </c>
      <c r="W93" s="1317">
        <f>+W91*W88/1000</f>
        <v>0.54459999999999997</v>
      </c>
      <c r="X93" s="1317">
        <f t="shared" si="44"/>
        <v>0.54459999999999997</v>
      </c>
      <c r="Y93" s="1317">
        <f>+Y91*Y88/1000</f>
        <v>0.54459999999999997</v>
      </c>
      <c r="Z93" s="1317">
        <f t="shared" si="44"/>
        <v>0.54459999999999997</v>
      </c>
      <c r="AA93" s="1317">
        <f t="shared" si="44"/>
        <v>0.54459999999999997</v>
      </c>
      <c r="AB93" s="1317">
        <f t="shared" si="44"/>
        <v>0.54459999999999997</v>
      </c>
      <c r="AC93" s="1317">
        <f t="shared" si="44"/>
        <v>0.54459999999999997</v>
      </c>
      <c r="AD93" s="1317">
        <f t="shared" si="44"/>
        <v>0.54459999999999997</v>
      </c>
      <c r="AE93" s="1317">
        <f t="shared" si="44"/>
        <v>0.54459999999999997</v>
      </c>
      <c r="AF93" s="1317">
        <f t="shared" si="44"/>
        <v>0.54459999999999997</v>
      </c>
      <c r="AG93" s="1317">
        <f t="shared" si="44"/>
        <v>0.54459999999999997</v>
      </c>
      <c r="AH93" s="1317">
        <f>+AH91*AH88/1000</f>
        <v>0.54459999999999997</v>
      </c>
      <c r="AI93" s="1317">
        <f t="shared" si="44"/>
        <v>0.54459999999999997</v>
      </c>
      <c r="AJ93" s="1317">
        <f t="shared" si="44"/>
        <v>0.54459999999999997</v>
      </c>
      <c r="AK93" s="1317">
        <f t="shared" si="44"/>
        <v>0.54459999999999997</v>
      </c>
      <c r="AL93" s="1319">
        <f t="shared" si="44"/>
        <v>0</v>
      </c>
      <c r="AM93" s="1078"/>
    </row>
    <row r="94" spans="2:39" ht="14.25" thickBot="1" x14ac:dyDescent="0.3">
      <c r="B94" s="1620"/>
      <c r="C94" s="1627"/>
      <c r="D94" s="1614"/>
      <c r="E94" s="1320" t="s">
        <v>347</v>
      </c>
      <c r="F94" s="1321">
        <f>SUMIF($H$9:$AL$9,"&lt;="&amp;$C$7,H94:AL94)</f>
        <v>17.524829999999998</v>
      </c>
      <c r="G94" s="1322">
        <f t="shared" ref="G94" si="45">IFERROR((F94-F93)/F93,0)</f>
        <v>7.2642306279839156E-2</v>
      </c>
      <c r="H94" s="1323">
        <f t="shared" si="44"/>
        <v>1.2289199999999998</v>
      </c>
      <c r="I94" s="1321">
        <f t="shared" si="44"/>
        <v>1.3374900000000001</v>
      </c>
      <c r="J94" s="1321">
        <f t="shared" si="44"/>
        <v>0.66154000000000013</v>
      </c>
      <c r="K94" s="1321">
        <f t="shared" si="44"/>
        <v>1.21716</v>
      </c>
      <c r="L94" s="1321">
        <f t="shared" si="44"/>
        <v>0.67941999999999991</v>
      </c>
      <c r="M94" s="1321">
        <f t="shared" si="44"/>
        <v>0.95472000000000001</v>
      </c>
      <c r="N94" s="1321">
        <f t="shared" si="44"/>
        <v>0.77613999999999994</v>
      </c>
      <c r="O94" s="1321">
        <f t="shared" si="44"/>
        <v>0.72987999999999997</v>
      </c>
      <c r="P94" s="1321">
        <f t="shared" si="44"/>
        <v>0.97919999999999996</v>
      </c>
      <c r="Q94" s="1321">
        <f t="shared" si="44"/>
        <v>0.67032000000000003</v>
      </c>
      <c r="R94" s="1321">
        <f t="shared" si="44"/>
        <v>0.32856000000000002</v>
      </c>
      <c r="S94" s="1321">
        <f t="shared" si="44"/>
        <v>0.35035000000000005</v>
      </c>
      <c r="T94" s="1321">
        <f t="shared" si="44"/>
        <v>0.32427999999999996</v>
      </c>
      <c r="U94" s="1321">
        <f t="shared" si="44"/>
        <v>0.43624000000000002</v>
      </c>
      <c r="V94" s="1321">
        <f t="shared" si="44"/>
        <v>0.43049999999999999</v>
      </c>
      <c r="W94" s="1321">
        <f>+W92*W89/1000</f>
        <v>0.45471999999999996</v>
      </c>
      <c r="X94" s="1321">
        <f t="shared" si="44"/>
        <v>0.12869999999999998</v>
      </c>
      <c r="Y94" s="1321">
        <f t="shared" si="44"/>
        <v>0.42721999999999999</v>
      </c>
      <c r="Z94" s="1321">
        <f t="shared" si="44"/>
        <v>0.40560000000000002</v>
      </c>
      <c r="AA94" s="1321">
        <f t="shared" si="44"/>
        <v>0.24410999999999999</v>
      </c>
      <c r="AB94" s="1321">
        <f t="shared" si="44"/>
        <v>0.53200000000000003</v>
      </c>
      <c r="AC94" s="1321">
        <f t="shared" si="44"/>
        <v>0.55300000000000005</v>
      </c>
      <c r="AD94" s="1321">
        <f t="shared" si="44"/>
        <v>0.40067999999999993</v>
      </c>
      <c r="AE94" s="1321">
        <f>+AE92*AE89/1000</f>
        <v>0.60899999999999999</v>
      </c>
      <c r="AF94" s="1321">
        <f t="shared" si="44"/>
        <v>0.58099999999999996</v>
      </c>
      <c r="AG94" s="1321">
        <f t="shared" si="44"/>
        <v>0.28236</v>
      </c>
      <c r="AH94" s="1321">
        <f t="shared" si="44"/>
        <v>0.30407999999999996</v>
      </c>
      <c r="AI94" s="1321">
        <f t="shared" si="44"/>
        <v>0.45122000000000001</v>
      </c>
      <c r="AJ94" s="1321">
        <f t="shared" si="44"/>
        <v>0.49224000000000001</v>
      </c>
      <c r="AK94" s="1321">
        <f t="shared" si="44"/>
        <v>0.55418000000000012</v>
      </c>
      <c r="AL94" s="1321">
        <f t="shared" si="44"/>
        <v>0</v>
      </c>
      <c r="AM94" s="1079"/>
    </row>
    <row r="95" spans="2:39" ht="14.25" thickBot="1" x14ac:dyDescent="0.3">
      <c r="B95" s="1618">
        <v>1</v>
      </c>
      <c r="C95" s="1625" t="str">
        <f>[2]Breaking.!A67</f>
        <v xml:space="preserve">6L_W2 STOPE </v>
      </c>
      <c r="D95" s="1628" t="s">
        <v>340</v>
      </c>
      <c r="E95" s="1104" t="s">
        <v>341</v>
      </c>
      <c r="F95" s="196">
        <f>SUMIF($H$9:$AL$9,"&lt;="&amp;$C$7,H95:AL95)</f>
        <v>1260</v>
      </c>
      <c r="G95" s="1071"/>
      <c r="H95" s="945">
        <f>[2]Breaking.!D67</f>
        <v>42</v>
      </c>
      <c r="I95" s="945">
        <f>[2]Breaking.!E67</f>
        <v>42</v>
      </c>
      <c r="J95" s="945">
        <f>[2]Breaking.!F67</f>
        <v>42</v>
      </c>
      <c r="K95" s="945">
        <f>[2]Breaking.!G67</f>
        <v>42</v>
      </c>
      <c r="L95" s="945">
        <f>[2]Breaking.!H67</f>
        <v>42</v>
      </c>
      <c r="M95" s="945">
        <f>[2]Breaking.!I67</f>
        <v>42</v>
      </c>
      <c r="N95" s="945">
        <f>[2]Breaking.!J67</f>
        <v>42</v>
      </c>
      <c r="O95" s="945">
        <f>[2]Breaking.!K67</f>
        <v>42</v>
      </c>
      <c r="P95" s="945">
        <f>[2]Breaking.!L67</f>
        <v>42</v>
      </c>
      <c r="Q95" s="945">
        <f>[2]Breaking.!M67</f>
        <v>42</v>
      </c>
      <c r="R95" s="945">
        <f>[2]Breaking.!N67</f>
        <v>42</v>
      </c>
      <c r="S95" s="945">
        <f>[2]Breaking.!O67</f>
        <v>42</v>
      </c>
      <c r="T95" s="945">
        <f>[2]Breaking.!P67</f>
        <v>42</v>
      </c>
      <c r="U95" s="945">
        <f>[2]Breaking.!Q67</f>
        <v>42</v>
      </c>
      <c r="V95" s="945">
        <f>[2]Breaking.!R67</f>
        <v>42</v>
      </c>
      <c r="W95" s="945">
        <f>[2]Breaking.!S67</f>
        <v>42</v>
      </c>
      <c r="X95" s="945">
        <f>[2]Breaking.!T67</f>
        <v>42</v>
      </c>
      <c r="Y95" s="945">
        <f>[2]Breaking.!U67</f>
        <v>42</v>
      </c>
      <c r="Z95" s="945">
        <f>[2]Breaking.!V67</f>
        <v>42</v>
      </c>
      <c r="AA95" s="945">
        <f>[2]Breaking.!W67</f>
        <v>42</v>
      </c>
      <c r="AB95" s="945">
        <f>[2]Breaking.!X67</f>
        <v>42</v>
      </c>
      <c r="AC95" s="945">
        <f>[2]Breaking.!Y67</f>
        <v>42</v>
      </c>
      <c r="AD95" s="945">
        <f>[2]Breaking.!Z67</f>
        <v>42</v>
      </c>
      <c r="AE95" s="945">
        <f>[2]Breaking.!AA67</f>
        <v>42</v>
      </c>
      <c r="AF95" s="945">
        <f>[2]Breaking.!AB67</f>
        <v>42</v>
      </c>
      <c r="AG95" s="945">
        <f>[2]Breaking.!AC67</f>
        <v>42</v>
      </c>
      <c r="AH95" s="945">
        <f>[2]Breaking.!AD67</f>
        <v>42</v>
      </c>
      <c r="AI95" s="945">
        <f>[2]Breaking.!AE67</f>
        <v>42</v>
      </c>
      <c r="AJ95" s="945">
        <f>[2]Breaking.!AF67</f>
        <v>42</v>
      </c>
      <c r="AK95" s="945">
        <f>[2]Breaking.!AG67</f>
        <v>42</v>
      </c>
      <c r="AL95" s="945">
        <f>[2]Breaking.!AH67</f>
        <v>0</v>
      </c>
      <c r="AM95" s="1105"/>
    </row>
    <row r="96" spans="2:39" ht="14.25" thickBot="1" x14ac:dyDescent="0.3">
      <c r="B96" s="1619"/>
      <c r="C96" s="1626"/>
      <c r="D96" s="1628"/>
      <c r="E96" s="1302" t="s">
        <v>342</v>
      </c>
      <c r="F96" s="1303">
        <f>SUMIF($H$9:$AL$9,"&lt;="&amp;$C$7,H96:AL96)</f>
        <v>2085</v>
      </c>
      <c r="G96" s="1304">
        <f t="shared" ref="G96" si="46">IFERROR((F96-F95)/F95,0)</f>
        <v>0.65476190476190477</v>
      </c>
      <c r="H96" s="1305">
        <v>77</v>
      </c>
      <c r="I96" s="1113">
        <v>78</v>
      </c>
      <c r="J96" s="1303">
        <v>77</v>
      </c>
      <c r="K96" s="1303">
        <v>67</v>
      </c>
      <c r="L96" s="1303">
        <v>73</v>
      </c>
      <c r="M96" s="1303">
        <v>79</v>
      </c>
      <c r="N96" s="1303">
        <v>44</v>
      </c>
      <c r="O96" s="1303">
        <f>38+66</f>
        <v>104</v>
      </c>
      <c r="P96" s="1303">
        <v>72</v>
      </c>
      <c r="Q96" s="1303">
        <v>73</v>
      </c>
      <c r="R96" s="1303">
        <v>42</v>
      </c>
      <c r="S96" s="1303">
        <v>72</v>
      </c>
      <c r="T96" s="1303">
        <v>71</v>
      </c>
      <c r="U96" s="1303"/>
      <c r="V96" s="1303">
        <v>76</v>
      </c>
      <c r="W96" s="1303"/>
      <c r="X96" s="1303">
        <v>70</v>
      </c>
      <c r="Y96" s="1303">
        <v>83</v>
      </c>
      <c r="Z96" s="1303">
        <v>117</v>
      </c>
      <c r="AA96" s="1303">
        <v>79</v>
      </c>
      <c r="AB96" s="1303"/>
      <c r="AC96" s="1303">
        <v>72</v>
      </c>
      <c r="AD96" s="1303">
        <v>84</v>
      </c>
      <c r="AE96" s="1303">
        <v>44</v>
      </c>
      <c r="AF96" s="1303">
        <v>117</v>
      </c>
      <c r="AG96" s="1303">
        <v>90</v>
      </c>
      <c r="AH96" s="1303">
        <v>115</v>
      </c>
      <c r="AI96" s="1303">
        <v>78</v>
      </c>
      <c r="AJ96" s="1303">
        <v>86</v>
      </c>
      <c r="AK96" s="1303">
        <v>45</v>
      </c>
      <c r="AL96" s="1303"/>
      <c r="AM96" s="1074"/>
    </row>
    <row r="97" spans="2:39" ht="14.25" thickBot="1" x14ac:dyDescent="0.3">
      <c r="B97" s="1619"/>
      <c r="C97" s="1626"/>
      <c r="D97" s="1628"/>
      <c r="E97" s="1324" t="s">
        <v>312</v>
      </c>
      <c r="F97" s="1325"/>
      <c r="G97" s="1326"/>
      <c r="H97" s="1075"/>
      <c r="I97" s="1332"/>
      <c r="J97" s="1075"/>
      <c r="K97" s="1075"/>
      <c r="L97" s="1075"/>
      <c r="M97" s="1075"/>
      <c r="N97" s="1075"/>
      <c r="O97" s="1075"/>
      <c r="P97" s="1076"/>
      <c r="Q97" s="1075"/>
      <c r="R97" s="1075"/>
      <c r="S97" s="1075"/>
      <c r="T97" s="1075"/>
      <c r="U97" s="1075"/>
      <c r="V97" s="1075"/>
      <c r="W97" s="1075"/>
      <c r="X97" s="1075"/>
      <c r="Y97" s="1075"/>
      <c r="Z97" s="1075"/>
      <c r="AA97" s="1075"/>
      <c r="AB97" s="1075"/>
      <c r="AC97" s="1075"/>
      <c r="AD97" s="1075"/>
      <c r="AE97" s="1075"/>
      <c r="AF97" s="1075"/>
      <c r="AG97" s="1075"/>
      <c r="AH97" s="1075"/>
      <c r="AI97" s="1075"/>
      <c r="AJ97" s="1075"/>
      <c r="AK97" s="1075"/>
      <c r="AL97" s="1077"/>
      <c r="AM97" s="1108"/>
    </row>
    <row r="98" spans="2:39" ht="14.25" thickBot="1" x14ac:dyDescent="0.3">
      <c r="B98" s="1619"/>
      <c r="C98" s="1626"/>
      <c r="D98" s="1613" t="s">
        <v>348</v>
      </c>
      <c r="E98" s="1309" t="s">
        <v>344</v>
      </c>
      <c r="F98" s="1310">
        <f>IFERROR(F100*1000/F95,0)</f>
        <v>2.91</v>
      </c>
      <c r="G98" s="1311"/>
      <c r="H98" s="1312">
        <v>2.91</v>
      </c>
      <c r="I98" s="1312">
        <v>2.91</v>
      </c>
      <c r="J98" s="1312">
        <v>2.91</v>
      </c>
      <c r="K98" s="1312">
        <v>2.91</v>
      </c>
      <c r="L98" s="1312">
        <v>2.91</v>
      </c>
      <c r="M98" s="1312">
        <v>2.91</v>
      </c>
      <c r="N98" s="1312">
        <v>2.91</v>
      </c>
      <c r="O98" s="1312">
        <v>2.91</v>
      </c>
      <c r="P98" s="1312">
        <v>2.91</v>
      </c>
      <c r="Q98" s="1312">
        <v>2.91</v>
      </c>
      <c r="R98" s="1312">
        <v>2.91</v>
      </c>
      <c r="S98" s="1312">
        <v>2.91</v>
      </c>
      <c r="T98" s="1312">
        <v>2.91</v>
      </c>
      <c r="U98" s="1312">
        <v>2.91</v>
      </c>
      <c r="V98" s="1312">
        <v>2.91</v>
      </c>
      <c r="W98" s="1312">
        <v>2.91</v>
      </c>
      <c r="X98" s="1312">
        <v>2.91</v>
      </c>
      <c r="Y98" s="1312">
        <v>2.91</v>
      </c>
      <c r="Z98" s="1312">
        <v>2.91</v>
      </c>
      <c r="AA98" s="1312">
        <v>2.91</v>
      </c>
      <c r="AB98" s="1312">
        <v>2.91</v>
      </c>
      <c r="AC98" s="1312">
        <v>2.91</v>
      </c>
      <c r="AD98" s="1312">
        <v>2.91</v>
      </c>
      <c r="AE98" s="1312">
        <v>2.91</v>
      </c>
      <c r="AF98" s="1312">
        <v>2.91</v>
      </c>
      <c r="AG98" s="1312">
        <v>2.91</v>
      </c>
      <c r="AH98" s="1312">
        <v>2.91</v>
      </c>
      <c r="AI98" s="1312">
        <v>2.91</v>
      </c>
      <c r="AJ98" s="1312">
        <v>2.91</v>
      </c>
      <c r="AK98" s="1312">
        <v>2.91</v>
      </c>
      <c r="AL98" s="1312"/>
      <c r="AM98" s="1074"/>
    </row>
    <row r="99" spans="2:39" ht="14.25" thickBot="1" x14ac:dyDescent="0.3">
      <c r="B99" s="1619"/>
      <c r="C99" s="1626"/>
      <c r="D99" s="1613"/>
      <c r="E99" s="1313" t="s">
        <v>345</v>
      </c>
      <c r="F99" s="1314">
        <f t="shared" ref="F99" si="47">IFERROR(F101*1000/F96,0)</f>
        <v>3.8166762589928056</v>
      </c>
      <c r="G99" s="1304">
        <f t="shared" ref="G99" si="48">IFERROR((F99-F98)/F98,0)</f>
        <v>0.31157259759202938</v>
      </c>
      <c r="H99" s="1315">
        <v>2.74</v>
      </c>
      <c r="I99" s="1314">
        <v>7</v>
      </c>
      <c r="J99" s="1314">
        <v>3.59</v>
      </c>
      <c r="K99" s="1314"/>
      <c r="L99" s="1314">
        <v>2.94</v>
      </c>
      <c r="M99" s="1314">
        <v>2.94</v>
      </c>
      <c r="N99" s="1314">
        <v>4.38</v>
      </c>
      <c r="O99" s="1314">
        <v>4.38</v>
      </c>
      <c r="P99" s="1314">
        <v>4.04</v>
      </c>
      <c r="Q99" s="1314">
        <v>3.04</v>
      </c>
      <c r="R99" s="1314">
        <v>2</v>
      </c>
      <c r="S99" s="1314">
        <v>2</v>
      </c>
      <c r="T99" s="1314">
        <v>2.5</v>
      </c>
      <c r="U99" s="1314"/>
      <c r="V99" s="1314">
        <v>2.5</v>
      </c>
      <c r="W99" s="1314"/>
      <c r="X99" s="1314">
        <v>5</v>
      </c>
      <c r="Y99" s="1314">
        <v>3.68</v>
      </c>
      <c r="Z99" s="1314">
        <v>4.34</v>
      </c>
      <c r="AA99" s="1314">
        <v>2.83</v>
      </c>
      <c r="AB99" s="1314"/>
      <c r="AC99" s="1314">
        <v>2.83</v>
      </c>
      <c r="AD99" s="1314">
        <v>3.67</v>
      </c>
      <c r="AE99" s="1314">
        <v>5.25</v>
      </c>
      <c r="AF99" s="1314">
        <v>7</v>
      </c>
      <c r="AG99" s="1314">
        <v>5.93</v>
      </c>
      <c r="AH99" s="1314">
        <v>5.93</v>
      </c>
      <c r="AI99" s="1314">
        <v>2.74</v>
      </c>
      <c r="AJ99" s="1314">
        <v>2.74</v>
      </c>
      <c r="AK99" s="1314">
        <v>2.38</v>
      </c>
      <c r="AL99" s="1314"/>
      <c r="AM99" s="1074"/>
    </row>
    <row r="100" spans="2:39" ht="14.25" thickBot="1" x14ac:dyDescent="0.3">
      <c r="B100" s="1619"/>
      <c r="C100" s="1626"/>
      <c r="D100" s="1613" t="s">
        <v>47</v>
      </c>
      <c r="E100" s="1309" t="s">
        <v>346</v>
      </c>
      <c r="F100" s="206">
        <f>SUMIF($H$9:$AL$9,"&lt;="&amp;$C$7,H100:AL100)</f>
        <v>3.6665999999999999</v>
      </c>
      <c r="G100" s="1311"/>
      <c r="H100" s="1316">
        <f>+H98*H95/1000</f>
        <v>0.12222</v>
      </c>
      <c r="I100" s="1316">
        <f t="shared" ref="I100:AL101" si="49">+I98*I95/1000</f>
        <v>0.12222</v>
      </c>
      <c r="J100" s="1316">
        <f t="shared" si="49"/>
        <v>0.12222</v>
      </c>
      <c r="K100" s="1316">
        <f t="shared" si="49"/>
        <v>0.12222</v>
      </c>
      <c r="L100" s="1316">
        <f t="shared" si="49"/>
        <v>0.12222</v>
      </c>
      <c r="M100" s="1316">
        <f t="shared" si="49"/>
        <v>0.12222</v>
      </c>
      <c r="N100" s="1316">
        <f t="shared" si="49"/>
        <v>0.12222</v>
      </c>
      <c r="O100" s="1316">
        <f t="shared" si="49"/>
        <v>0.12222</v>
      </c>
      <c r="P100" s="1316">
        <f t="shared" si="49"/>
        <v>0.12222</v>
      </c>
      <c r="Q100" s="1316">
        <f t="shared" si="49"/>
        <v>0.12222</v>
      </c>
      <c r="R100" s="1316">
        <f t="shared" si="49"/>
        <v>0.12222</v>
      </c>
      <c r="S100" s="1316">
        <f t="shared" si="49"/>
        <v>0.12222</v>
      </c>
      <c r="T100" s="1316">
        <f t="shared" si="49"/>
        <v>0.12222</v>
      </c>
      <c r="U100" s="1316">
        <f t="shared" si="49"/>
        <v>0.12222</v>
      </c>
      <c r="V100" s="1316">
        <f t="shared" si="49"/>
        <v>0.12222</v>
      </c>
      <c r="W100" s="1316">
        <f t="shared" si="49"/>
        <v>0.12222</v>
      </c>
      <c r="X100" s="1316">
        <f t="shared" si="49"/>
        <v>0.12222</v>
      </c>
      <c r="Y100" s="1316">
        <f t="shared" si="49"/>
        <v>0.12222</v>
      </c>
      <c r="Z100" s="1316">
        <f t="shared" si="49"/>
        <v>0.12222</v>
      </c>
      <c r="AA100" s="1316">
        <f t="shared" si="49"/>
        <v>0.12222</v>
      </c>
      <c r="AB100" s="1316">
        <f t="shared" si="49"/>
        <v>0.12222</v>
      </c>
      <c r="AC100" s="1316">
        <f t="shared" si="49"/>
        <v>0.12222</v>
      </c>
      <c r="AD100" s="1316">
        <f t="shared" si="49"/>
        <v>0.12222</v>
      </c>
      <c r="AE100" s="1316">
        <f t="shared" si="49"/>
        <v>0.12222</v>
      </c>
      <c r="AF100" s="1316">
        <f t="shared" si="49"/>
        <v>0.12222</v>
      </c>
      <c r="AG100" s="1316">
        <f t="shared" si="49"/>
        <v>0.12222</v>
      </c>
      <c r="AH100" s="1316">
        <f t="shared" si="49"/>
        <v>0.12222</v>
      </c>
      <c r="AI100" s="1316">
        <f t="shared" si="49"/>
        <v>0.12222</v>
      </c>
      <c r="AJ100" s="1316">
        <f t="shared" si="49"/>
        <v>0.12222</v>
      </c>
      <c r="AK100" s="1316">
        <f t="shared" si="49"/>
        <v>0.12222</v>
      </c>
      <c r="AL100" s="1319">
        <f t="shared" si="49"/>
        <v>0</v>
      </c>
      <c r="AM100" s="1078"/>
    </row>
    <row r="101" spans="2:39" ht="14.25" thickBot="1" x14ac:dyDescent="0.3">
      <c r="B101" s="1624"/>
      <c r="C101" s="1627"/>
      <c r="D101" s="1614"/>
      <c r="E101" s="1320" t="s">
        <v>347</v>
      </c>
      <c r="F101" s="1321">
        <f>SUMIF($H$9:$AL$9,"&lt;="&amp;$C$7,H101:AL101)</f>
        <v>7.9577699999999991</v>
      </c>
      <c r="G101" s="1322">
        <f t="shared" ref="G101" si="50">IFERROR((F101-F100)/F100,0)</f>
        <v>1.1703403698249057</v>
      </c>
      <c r="H101" s="1323">
        <f t="shared" ref="H101" si="51">+H99*H96/1000</f>
        <v>0.21098000000000003</v>
      </c>
      <c r="I101" s="1323">
        <f>+I99*I96/1000</f>
        <v>0.54600000000000004</v>
      </c>
      <c r="J101" s="1321">
        <f t="shared" si="49"/>
        <v>0.27643000000000001</v>
      </c>
      <c r="K101" s="1321">
        <f t="shared" si="49"/>
        <v>0</v>
      </c>
      <c r="L101" s="1321">
        <f t="shared" si="49"/>
        <v>0.21462000000000001</v>
      </c>
      <c r="M101" s="1321">
        <f t="shared" si="49"/>
        <v>0.23225999999999999</v>
      </c>
      <c r="N101" s="1321">
        <f t="shared" si="49"/>
        <v>0.19272</v>
      </c>
      <c r="O101" s="1321">
        <f t="shared" si="49"/>
        <v>0.45551999999999998</v>
      </c>
      <c r="P101" s="1321">
        <f t="shared" si="49"/>
        <v>0.29087999999999997</v>
      </c>
      <c r="Q101" s="1321">
        <f t="shared" si="49"/>
        <v>0.22192000000000001</v>
      </c>
      <c r="R101" s="1321">
        <f t="shared" si="49"/>
        <v>8.4000000000000005E-2</v>
      </c>
      <c r="S101" s="1321">
        <f t="shared" si="49"/>
        <v>0.14399999999999999</v>
      </c>
      <c r="T101" s="1321">
        <f t="shared" si="49"/>
        <v>0.17749999999999999</v>
      </c>
      <c r="U101" s="1321">
        <f t="shared" si="49"/>
        <v>0</v>
      </c>
      <c r="V101" s="1321">
        <f t="shared" si="49"/>
        <v>0.19</v>
      </c>
      <c r="W101" s="1321">
        <f>+W99*W96/1000</f>
        <v>0</v>
      </c>
      <c r="X101" s="1321">
        <f t="shared" si="49"/>
        <v>0.35</v>
      </c>
      <c r="Y101" s="1321">
        <f t="shared" si="49"/>
        <v>0.30543999999999999</v>
      </c>
      <c r="Z101" s="1321">
        <f t="shared" si="49"/>
        <v>0.50778000000000001</v>
      </c>
      <c r="AA101" s="1321">
        <f t="shared" si="49"/>
        <v>0.22356999999999999</v>
      </c>
      <c r="AB101" s="1321">
        <f t="shared" si="49"/>
        <v>0</v>
      </c>
      <c r="AC101" s="1321">
        <f t="shared" si="49"/>
        <v>0.20376</v>
      </c>
      <c r="AD101" s="1321">
        <f t="shared" si="49"/>
        <v>0.30828</v>
      </c>
      <c r="AE101" s="1321">
        <f t="shared" si="49"/>
        <v>0.23100000000000001</v>
      </c>
      <c r="AF101" s="1321">
        <f t="shared" si="49"/>
        <v>0.81899999999999995</v>
      </c>
      <c r="AG101" s="1321">
        <f t="shared" si="49"/>
        <v>0.53369999999999995</v>
      </c>
      <c r="AH101" s="1321">
        <f t="shared" si="49"/>
        <v>0.68194999999999995</v>
      </c>
      <c r="AI101" s="1321">
        <f t="shared" si="49"/>
        <v>0.21372000000000002</v>
      </c>
      <c r="AJ101" s="1321">
        <f t="shared" si="49"/>
        <v>0.23564000000000002</v>
      </c>
      <c r="AK101" s="1321">
        <f t="shared" si="49"/>
        <v>0.1071</v>
      </c>
      <c r="AL101" s="1321">
        <f t="shared" si="49"/>
        <v>0</v>
      </c>
      <c r="AM101" s="1079"/>
    </row>
    <row r="102" spans="2:39" ht="13.5" customHeight="1" thickBot="1" x14ac:dyDescent="0.3">
      <c r="B102" s="1619">
        <v>1</v>
      </c>
      <c r="C102" s="1625" t="str">
        <f>[2]Breaking.!A69</f>
        <v>6L_W3 STOPE</v>
      </c>
      <c r="D102" s="1611" t="s">
        <v>340</v>
      </c>
      <c r="E102" s="1104" t="s">
        <v>341</v>
      </c>
      <c r="F102" s="196">
        <f>SUMIF($H$9:$AL$9,"&lt;="&amp;$C$7,H102:AL102)</f>
        <v>2100</v>
      </c>
      <c r="G102" s="1071"/>
      <c r="H102" s="945">
        <f>[2]Breaking.!D69</f>
        <v>70</v>
      </c>
      <c r="I102" s="945">
        <f>[2]Breaking.!E69</f>
        <v>70</v>
      </c>
      <c r="J102" s="945">
        <f>[2]Breaking.!F69</f>
        <v>70</v>
      </c>
      <c r="K102" s="945">
        <f>[2]Breaking.!G69</f>
        <v>70</v>
      </c>
      <c r="L102" s="945">
        <f>[2]Breaking.!H69</f>
        <v>70</v>
      </c>
      <c r="M102" s="945">
        <f>[2]Breaking.!I69</f>
        <v>70</v>
      </c>
      <c r="N102" s="945">
        <f>[2]Breaking.!J69</f>
        <v>70</v>
      </c>
      <c r="O102" s="945">
        <f>[2]Breaking.!K69</f>
        <v>70</v>
      </c>
      <c r="P102" s="945">
        <f>[2]Breaking.!L69</f>
        <v>70</v>
      </c>
      <c r="Q102" s="945">
        <f>[2]Breaking.!M69</f>
        <v>70</v>
      </c>
      <c r="R102" s="945">
        <f>[2]Breaking.!N69</f>
        <v>70</v>
      </c>
      <c r="S102" s="945">
        <f>[2]Breaking.!O69</f>
        <v>70</v>
      </c>
      <c r="T102" s="945">
        <f>[2]Breaking.!P69</f>
        <v>70</v>
      </c>
      <c r="U102" s="945">
        <f>[2]Breaking.!Q69</f>
        <v>70</v>
      </c>
      <c r="V102" s="945">
        <f>[2]Breaking.!R69</f>
        <v>70</v>
      </c>
      <c r="W102" s="945">
        <f>[2]Breaking.!S69</f>
        <v>70</v>
      </c>
      <c r="X102" s="945">
        <f>[2]Breaking.!T69</f>
        <v>70</v>
      </c>
      <c r="Y102" s="945">
        <f>[2]Breaking.!U69</f>
        <v>70</v>
      </c>
      <c r="Z102" s="945">
        <f>[2]Breaking.!V69</f>
        <v>70</v>
      </c>
      <c r="AA102" s="945">
        <f>[2]Breaking.!W69</f>
        <v>70</v>
      </c>
      <c r="AB102" s="945">
        <f>[2]Breaking.!X69</f>
        <v>70</v>
      </c>
      <c r="AC102" s="945">
        <f>[2]Breaking.!Y69</f>
        <v>70</v>
      </c>
      <c r="AD102" s="945">
        <f>[2]Breaking.!Z69</f>
        <v>70</v>
      </c>
      <c r="AE102" s="945">
        <f>[2]Breaking.!AA69</f>
        <v>70</v>
      </c>
      <c r="AF102" s="945">
        <f>[2]Breaking.!AB69</f>
        <v>70</v>
      </c>
      <c r="AG102" s="945">
        <f>[2]Breaking.!AC69</f>
        <v>70</v>
      </c>
      <c r="AH102" s="945">
        <f>[2]Breaking.!AD69</f>
        <v>70</v>
      </c>
      <c r="AI102" s="945">
        <f>[2]Breaking.!AE69</f>
        <v>70</v>
      </c>
      <c r="AJ102" s="945">
        <f>[2]Breaking.!AF69</f>
        <v>70</v>
      </c>
      <c r="AK102" s="945">
        <f>[2]Breaking.!AG69</f>
        <v>70</v>
      </c>
      <c r="AL102" s="945">
        <f>[2]Breaking.!AH69</f>
        <v>0</v>
      </c>
      <c r="AM102" s="1105"/>
    </row>
    <row r="103" spans="2:39" ht="13.5" customHeight="1" thickBot="1" x14ac:dyDescent="0.3">
      <c r="B103" s="1619"/>
      <c r="C103" s="1626"/>
      <c r="D103" s="1611"/>
      <c r="E103" s="1302" t="s">
        <v>342</v>
      </c>
      <c r="F103" s="1303">
        <f>SUMIF($H$9:$AL$9,"&lt;="&amp;$C$7,H103:AL103)</f>
        <v>479</v>
      </c>
      <c r="G103" s="1304">
        <f t="shared" ref="G103" si="52">IFERROR((F103-F102)/F102,0)</f>
        <v>-0.77190476190476187</v>
      </c>
      <c r="H103" s="1305"/>
      <c r="I103" s="1303"/>
      <c r="J103" s="1303"/>
      <c r="K103" s="1303"/>
      <c r="L103" s="1303"/>
      <c r="M103" s="1303"/>
      <c r="N103" s="1303"/>
      <c r="O103" s="1303"/>
      <c r="P103" s="1303"/>
      <c r="Q103" s="1303"/>
      <c r="R103" s="1303"/>
      <c r="S103" s="1303"/>
      <c r="T103" s="1303"/>
      <c r="U103" s="1303"/>
      <c r="V103" s="1303"/>
      <c r="W103" s="1303"/>
      <c r="X103" s="1303"/>
      <c r="Y103" s="1303"/>
      <c r="Z103" s="1303"/>
      <c r="AA103" s="1303">
        <v>37</v>
      </c>
      <c r="AB103" s="1303">
        <v>72</v>
      </c>
      <c r="AC103" s="1303">
        <v>56</v>
      </c>
      <c r="AD103" s="1303"/>
      <c r="AE103" s="1303">
        <v>70</v>
      </c>
      <c r="AF103" s="1303"/>
      <c r="AG103" s="1303">
        <v>40</v>
      </c>
      <c r="AH103" s="1303">
        <v>40</v>
      </c>
      <c r="AI103" s="1303">
        <v>38</v>
      </c>
      <c r="AJ103" s="1303">
        <v>56</v>
      </c>
      <c r="AK103" s="1303">
        <v>70</v>
      </c>
      <c r="AL103" s="1303"/>
      <c r="AM103" s="1074"/>
    </row>
    <row r="104" spans="2:39" ht="13.5" customHeight="1" thickBot="1" x14ac:dyDescent="0.3">
      <c r="B104" s="1619"/>
      <c r="C104" s="1626"/>
      <c r="D104" s="1611"/>
      <c r="E104" s="1324" t="s">
        <v>312</v>
      </c>
      <c r="F104" s="1325"/>
      <c r="G104" s="1326"/>
      <c r="H104" s="1075"/>
      <c r="I104" s="1075"/>
      <c r="J104" s="1075"/>
      <c r="K104" s="1075"/>
      <c r="L104" s="1075"/>
      <c r="M104" s="1075"/>
      <c r="N104" s="1075"/>
      <c r="O104" s="1075"/>
      <c r="P104" s="1076"/>
      <c r="Q104" s="1075"/>
      <c r="R104" s="1075"/>
      <c r="S104" s="1075"/>
      <c r="T104" s="1075"/>
      <c r="U104" s="1075"/>
      <c r="V104" s="1075"/>
      <c r="W104" s="1075"/>
      <c r="X104" s="1075"/>
      <c r="Y104" s="1075"/>
      <c r="Z104" s="1075"/>
      <c r="AA104" s="1075"/>
      <c r="AB104" s="1075"/>
      <c r="AC104" s="1075"/>
      <c r="AD104" s="1075"/>
      <c r="AE104" s="1075"/>
      <c r="AF104" s="1075"/>
      <c r="AG104" s="1075"/>
      <c r="AH104" s="1075"/>
      <c r="AI104" s="1075"/>
      <c r="AJ104" s="1075"/>
      <c r="AK104" s="1075"/>
      <c r="AL104" s="1077"/>
      <c r="AM104" s="1108"/>
    </row>
    <row r="105" spans="2:39" ht="13.5" customHeight="1" thickBot="1" x14ac:dyDescent="0.3">
      <c r="B105" s="1619"/>
      <c r="C105" s="1626"/>
      <c r="D105" s="1612" t="s">
        <v>343</v>
      </c>
      <c r="E105" s="1309" t="s">
        <v>344</v>
      </c>
      <c r="F105" s="1310">
        <f t="shared" ref="F105:F106" si="53">IFERROR(F107*1000/F102,0)</f>
        <v>2.9100000000000028</v>
      </c>
      <c r="G105" s="1311"/>
      <c r="H105" s="1312">
        <v>2.91</v>
      </c>
      <c r="I105" s="1312">
        <v>2.91</v>
      </c>
      <c r="J105" s="1312">
        <v>2.91</v>
      </c>
      <c r="K105" s="1312">
        <v>2.91</v>
      </c>
      <c r="L105" s="1312">
        <v>2.91</v>
      </c>
      <c r="M105" s="1312">
        <v>2.91</v>
      </c>
      <c r="N105" s="1312">
        <v>2.91</v>
      </c>
      <c r="O105" s="1312">
        <v>2.91</v>
      </c>
      <c r="P105" s="1312">
        <v>2.91</v>
      </c>
      <c r="Q105" s="1312">
        <v>2.91</v>
      </c>
      <c r="R105" s="1312">
        <v>2.91</v>
      </c>
      <c r="S105" s="1312">
        <v>2.91</v>
      </c>
      <c r="T105" s="1312">
        <v>2.91</v>
      </c>
      <c r="U105" s="1312">
        <v>2.91</v>
      </c>
      <c r="V105" s="1312">
        <v>2.91</v>
      </c>
      <c r="W105" s="1312">
        <v>2.91</v>
      </c>
      <c r="X105" s="1312">
        <v>2.91</v>
      </c>
      <c r="Y105" s="1312">
        <v>2.91</v>
      </c>
      <c r="Z105" s="1312">
        <v>2.91</v>
      </c>
      <c r="AA105" s="1312">
        <v>2.91</v>
      </c>
      <c r="AB105" s="1312">
        <v>2.91</v>
      </c>
      <c r="AC105" s="1312">
        <v>2.91</v>
      </c>
      <c r="AD105" s="1312">
        <v>2.91</v>
      </c>
      <c r="AE105" s="1312">
        <v>2.91</v>
      </c>
      <c r="AF105" s="1312">
        <v>2.91</v>
      </c>
      <c r="AG105" s="1312">
        <v>2.91</v>
      </c>
      <c r="AH105" s="1312">
        <v>2.91</v>
      </c>
      <c r="AI105" s="1312">
        <v>2.91</v>
      </c>
      <c r="AJ105" s="1312">
        <v>2.91</v>
      </c>
      <c r="AK105" s="1312">
        <v>2.91</v>
      </c>
      <c r="AL105" s="1312"/>
      <c r="AM105" s="1074"/>
    </row>
    <row r="106" spans="2:39" ht="13.5" customHeight="1" thickBot="1" x14ac:dyDescent="0.3">
      <c r="B106" s="1619"/>
      <c r="C106" s="1626"/>
      <c r="D106" s="1612"/>
      <c r="E106" s="1313" t="s">
        <v>345</v>
      </c>
      <c r="F106" s="1314">
        <f t="shared" si="53"/>
        <v>3.8622129436325681</v>
      </c>
      <c r="G106" s="1304">
        <f t="shared" ref="G106" si="54">IFERROR((F106-F105)/F105,0)</f>
        <v>0.32722094282905989</v>
      </c>
      <c r="H106" s="1315"/>
      <c r="I106" s="1314"/>
      <c r="J106" s="1314"/>
      <c r="K106" s="1314"/>
      <c r="L106" s="1314"/>
      <c r="M106" s="1314"/>
      <c r="N106" s="1314"/>
      <c r="O106" s="1314"/>
      <c r="P106" s="1314"/>
      <c r="Q106" s="1314"/>
      <c r="R106" s="1314"/>
      <c r="S106" s="1314"/>
      <c r="T106" s="1314"/>
      <c r="U106" s="1314"/>
      <c r="V106" s="1314"/>
      <c r="W106" s="1314"/>
      <c r="X106" s="1314"/>
      <c r="Y106" s="1314"/>
      <c r="Z106" s="1314"/>
      <c r="AA106" s="1314">
        <v>2.62</v>
      </c>
      <c r="AB106" s="1314">
        <v>4.32</v>
      </c>
      <c r="AC106" s="1314">
        <v>4.32</v>
      </c>
      <c r="AD106" s="1314"/>
      <c r="AE106" s="1314">
        <v>4.32</v>
      </c>
      <c r="AF106" s="1314"/>
      <c r="AG106" s="1314">
        <v>6.52</v>
      </c>
      <c r="AH106" s="1314">
        <v>6.52</v>
      </c>
      <c r="AI106" s="1314">
        <v>2.0499999999999998</v>
      </c>
      <c r="AJ106" s="1314">
        <v>2.0499999999999998</v>
      </c>
      <c r="AK106" s="1314">
        <v>2.62</v>
      </c>
      <c r="AL106" s="1314"/>
      <c r="AM106" s="1074"/>
    </row>
    <row r="107" spans="2:39" ht="13.5" customHeight="1" thickBot="1" x14ac:dyDescent="0.3">
      <c r="B107" s="1619"/>
      <c r="C107" s="1626"/>
      <c r="D107" s="1612" t="s">
        <v>47</v>
      </c>
      <c r="E107" s="1309" t="s">
        <v>346</v>
      </c>
      <c r="F107" s="206">
        <f>SUMIF($H$9:$AL$9,"&lt;="&amp;$C$7,H107:AL107)</f>
        <v>6.1110000000000051</v>
      </c>
      <c r="G107" s="1311"/>
      <c r="H107" s="1316">
        <f t="shared" ref="H107:AL108" si="55">+H105*H102/1000</f>
        <v>0.20370000000000002</v>
      </c>
      <c r="I107" s="1316">
        <f t="shared" si="55"/>
        <v>0.20370000000000002</v>
      </c>
      <c r="J107" s="1316">
        <f t="shared" si="55"/>
        <v>0.20370000000000002</v>
      </c>
      <c r="K107" s="1316">
        <f t="shared" si="55"/>
        <v>0.20370000000000002</v>
      </c>
      <c r="L107" s="1316">
        <f t="shared" si="55"/>
        <v>0.20370000000000002</v>
      </c>
      <c r="M107" s="1316">
        <f t="shared" si="55"/>
        <v>0.20370000000000002</v>
      </c>
      <c r="N107" s="1316">
        <f t="shared" si="55"/>
        <v>0.20370000000000002</v>
      </c>
      <c r="O107" s="1316">
        <f t="shared" si="55"/>
        <v>0.20370000000000002</v>
      </c>
      <c r="P107" s="1316">
        <f t="shared" si="55"/>
        <v>0.20370000000000002</v>
      </c>
      <c r="Q107" s="1316">
        <f t="shared" si="55"/>
        <v>0.20370000000000002</v>
      </c>
      <c r="R107" s="1316">
        <f t="shared" si="55"/>
        <v>0.20370000000000002</v>
      </c>
      <c r="S107" s="1316">
        <f t="shared" si="55"/>
        <v>0.20370000000000002</v>
      </c>
      <c r="T107" s="1316">
        <f t="shared" si="55"/>
        <v>0.20370000000000002</v>
      </c>
      <c r="U107" s="1316">
        <f t="shared" si="55"/>
        <v>0.20370000000000002</v>
      </c>
      <c r="V107" s="1316">
        <f t="shared" si="55"/>
        <v>0.20370000000000002</v>
      </c>
      <c r="W107" s="1316">
        <f t="shared" si="55"/>
        <v>0.20370000000000002</v>
      </c>
      <c r="X107" s="1316">
        <f t="shared" si="55"/>
        <v>0.20370000000000002</v>
      </c>
      <c r="Y107" s="1316">
        <f t="shared" si="55"/>
        <v>0.20370000000000002</v>
      </c>
      <c r="Z107" s="1316">
        <f t="shared" si="55"/>
        <v>0.20370000000000002</v>
      </c>
      <c r="AA107" s="1316">
        <f t="shared" si="55"/>
        <v>0.20370000000000002</v>
      </c>
      <c r="AB107" s="1316">
        <f t="shared" si="55"/>
        <v>0.20370000000000002</v>
      </c>
      <c r="AC107" s="1316">
        <f t="shared" si="55"/>
        <v>0.20370000000000002</v>
      </c>
      <c r="AD107" s="1316">
        <f t="shared" si="55"/>
        <v>0.20370000000000002</v>
      </c>
      <c r="AE107" s="1316">
        <f t="shared" si="55"/>
        <v>0.20370000000000002</v>
      </c>
      <c r="AF107" s="1316">
        <f t="shared" si="55"/>
        <v>0.20370000000000002</v>
      </c>
      <c r="AG107" s="1316">
        <f t="shared" si="55"/>
        <v>0.20370000000000002</v>
      </c>
      <c r="AH107" s="1316">
        <f t="shared" si="55"/>
        <v>0.20370000000000002</v>
      </c>
      <c r="AI107" s="1316">
        <f t="shared" si="55"/>
        <v>0.20370000000000002</v>
      </c>
      <c r="AJ107" s="1316">
        <f t="shared" si="55"/>
        <v>0.20370000000000002</v>
      </c>
      <c r="AK107" s="1316">
        <f t="shared" si="55"/>
        <v>0.20370000000000002</v>
      </c>
      <c r="AL107" s="1319">
        <f t="shared" si="55"/>
        <v>0</v>
      </c>
      <c r="AM107" s="1078"/>
    </row>
    <row r="108" spans="2:39" ht="13.5" customHeight="1" thickBot="1" x14ac:dyDescent="0.3">
      <c r="B108" s="1620"/>
      <c r="C108" s="1627"/>
      <c r="D108" s="1629"/>
      <c r="E108" s="1320" t="s">
        <v>347</v>
      </c>
      <c r="F108" s="1321">
        <f>SUMIF($H$9:$AL$9,"&lt;="&amp;$C$7,H108:AL108)</f>
        <v>1.85</v>
      </c>
      <c r="G108" s="1322">
        <f t="shared" ref="G108" si="56">IFERROR((F108-F107)/F107,0)</f>
        <v>-0.6972672230404191</v>
      </c>
      <c r="H108" s="1323">
        <f t="shared" si="55"/>
        <v>0</v>
      </c>
      <c r="I108" s="1321">
        <f t="shared" si="55"/>
        <v>0</v>
      </c>
      <c r="J108" s="1321">
        <f t="shared" si="55"/>
        <v>0</v>
      </c>
      <c r="K108" s="1321">
        <f t="shared" si="55"/>
        <v>0</v>
      </c>
      <c r="L108" s="1321">
        <f t="shared" si="55"/>
        <v>0</v>
      </c>
      <c r="M108" s="1321">
        <f t="shared" si="55"/>
        <v>0</v>
      </c>
      <c r="N108" s="1321">
        <f t="shared" si="55"/>
        <v>0</v>
      </c>
      <c r="O108" s="1321">
        <f t="shared" si="55"/>
        <v>0</v>
      </c>
      <c r="P108" s="1321">
        <f t="shared" si="55"/>
        <v>0</v>
      </c>
      <c r="Q108" s="1321">
        <f t="shared" si="55"/>
        <v>0</v>
      </c>
      <c r="R108" s="1321">
        <f t="shared" si="55"/>
        <v>0</v>
      </c>
      <c r="S108" s="1321">
        <f t="shared" si="55"/>
        <v>0</v>
      </c>
      <c r="T108" s="1321">
        <f t="shared" si="55"/>
        <v>0</v>
      </c>
      <c r="U108" s="1321">
        <f t="shared" si="55"/>
        <v>0</v>
      </c>
      <c r="V108" s="1321">
        <f t="shared" si="55"/>
        <v>0</v>
      </c>
      <c r="W108" s="1321">
        <f>+W106*W103/1000</f>
        <v>0</v>
      </c>
      <c r="X108" s="1321">
        <f t="shared" si="55"/>
        <v>0</v>
      </c>
      <c r="Y108" s="1321">
        <f t="shared" si="55"/>
        <v>0</v>
      </c>
      <c r="Z108" s="1321">
        <f t="shared" si="55"/>
        <v>0</v>
      </c>
      <c r="AA108" s="1321">
        <f t="shared" si="55"/>
        <v>9.6939999999999998E-2</v>
      </c>
      <c r="AB108" s="1321">
        <f t="shared" si="55"/>
        <v>0.31104000000000004</v>
      </c>
      <c r="AC108" s="1321">
        <f t="shared" si="55"/>
        <v>0.24192000000000002</v>
      </c>
      <c r="AD108" s="1321">
        <f>+AD106*AD103/1000</f>
        <v>0</v>
      </c>
      <c r="AE108" s="1321">
        <f t="shared" si="55"/>
        <v>0.30240000000000006</v>
      </c>
      <c r="AF108" s="1321">
        <f t="shared" si="55"/>
        <v>0</v>
      </c>
      <c r="AG108" s="1321">
        <f t="shared" si="55"/>
        <v>0.26079999999999998</v>
      </c>
      <c r="AH108" s="1321">
        <f t="shared" si="55"/>
        <v>0.26079999999999998</v>
      </c>
      <c r="AI108" s="1321">
        <f t="shared" si="55"/>
        <v>7.7899999999999997E-2</v>
      </c>
      <c r="AJ108" s="1321">
        <f t="shared" si="55"/>
        <v>0.11479999999999999</v>
      </c>
      <c r="AK108" s="1321">
        <f t="shared" si="55"/>
        <v>0.18340000000000001</v>
      </c>
      <c r="AL108" s="1321">
        <f t="shared" si="55"/>
        <v>0</v>
      </c>
      <c r="AM108" s="1079"/>
    </row>
    <row r="109" spans="2:39" ht="13.5" customHeight="1" thickBot="1" x14ac:dyDescent="0.3">
      <c r="B109" s="1618">
        <v>1</v>
      </c>
      <c r="C109" s="1621" t="str">
        <f>[2]Breaking.!A71</f>
        <v>6L_W4 STOPE</v>
      </c>
      <c r="D109" s="1611" t="s">
        <v>340</v>
      </c>
      <c r="E109" s="1104" t="s">
        <v>341</v>
      </c>
      <c r="F109" s="196">
        <f>SUMIF($H$9:$AL$9,"&lt;="&amp;$C$7,H109:AL109)</f>
        <v>2100</v>
      </c>
      <c r="G109" s="1071"/>
      <c r="H109" s="945">
        <f>[2]Breaking.!D71</f>
        <v>70</v>
      </c>
      <c r="I109" s="945">
        <f>[2]Breaking.!E71</f>
        <v>70</v>
      </c>
      <c r="J109" s="945">
        <f>[2]Breaking.!F71</f>
        <v>70</v>
      </c>
      <c r="K109" s="945">
        <f>[2]Breaking.!G71</f>
        <v>70</v>
      </c>
      <c r="L109" s="945">
        <f>[2]Breaking.!H71</f>
        <v>70</v>
      </c>
      <c r="M109" s="945">
        <f>[2]Breaking.!I71</f>
        <v>70</v>
      </c>
      <c r="N109" s="945">
        <f>[2]Breaking.!J71</f>
        <v>70</v>
      </c>
      <c r="O109" s="945">
        <f>[2]Breaking.!K71</f>
        <v>70</v>
      </c>
      <c r="P109" s="945">
        <f>[2]Breaking.!L71</f>
        <v>70</v>
      </c>
      <c r="Q109" s="945">
        <f>[2]Breaking.!M71</f>
        <v>70</v>
      </c>
      <c r="R109" s="945">
        <f>[2]Breaking.!N71</f>
        <v>70</v>
      </c>
      <c r="S109" s="945">
        <f>[2]Breaking.!O71</f>
        <v>70</v>
      </c>
      <c r="T109" s="945">
        <f>[2]Breaking.!P71</f>
        <v>70</v>
      </c>
      <c r="U109" s="945">
        <f>[2]Breaking.!Q71</f>
        <v>70</v>
      </c>
      <c r="V109" s="945">
        <f>[2]Breaking.!R71</f>
        <v>70</v>
      </c>
      <c r="W109" s="945">
        <f>[2]Breaking.!S71</f>
        <v>70</v>
      </c>
      <c r="X109" s="945">
        <f>[2]Breaking.!T71</f>
        <v>70</v>
      </c>
      <c r="Y109" s="945">
        <f>[2]Breaking.!U71</f>
        <v>70</v>
      </c>
      <c r="Z109" s="945">
        <f>[2]Breaking.!V71</f>
        <v>70</v>
      </c>
      <c r="AA109" s="945">
        <f>[2]Breaking.!W71</f>
        <v>70</v>
      </c>
      <c r="AB109" s="945">
        <f>[2]Breaking.!X71</f>
        <v>70</v>
      </c>
      <c r="AC109" s="945">
        <f>[2]Breaking.!Y71</f>
        <v>70</v>
      </c>
      <c r="AD109" s="945">
        <f>[2]Breaking.!Z71</f>
        <v>70</v>
      </c>
      <c r="AE109" s="945">
        <f>[2]Breaking.!AA71</f>
        <v>70</v>
      </c>
      <c r="AF109" s="945">
        <f>[2]Breaking.!AB71</f>
        <v>70</v>
      </c>
      <c r="AG109" s="945">
        <f>[2]Breaking.!AC71</f>
        <v>70</v>
      </c>
      <c r="AH109" s="945">
        <f>[2]Breaking.!AD71</f>
        <v>70</v>
      </c>
      <c r="AI109" s="945">
        <f>[2]Breaking.!AE71</f>
        <v>70</v>
      </c>
      <c r="AJ109" s="945">
        <f>[2]Breaking.!AF71</f>
        <v>70</v>
      </c>
      <c r="AK109" s="945">
        <f>[2]Breaking.!AG71</f>
        <v>70</v>
      </c>
      <c r="AL109" s="945">
        <f>[2]Breaking.!AH71</f>
        <v>0</v>
      </c>
      <c r="AM109" s="1105"/>
    </row>
    <row r="110" spans="2:39" ht="13.5" customHeight="1" thickBot="1" x14ac:dyDescent="0.3">
      <c r="B110" s="1619"/>
      <c r="C110" s="1622"/>
      <c r="D110" s="1611"/>
      <c r="E110" s="1302" t="s">
        <v>342</v>
      </c>
      <c r="F110" s="1303">
        <f>SUMIF($H$9:$AL$9,"&lt;="&amp;$C$7,H110:AL110)</f>
        <v>1299</v>
      </c>
      <c r="G110" s="1304">
        <f t="shared" ref="G110" si="57">IFERROR((F110-F109)/F109,0)</f>
        <v>-0.38142857142857145</v>
      </c>
      <c r="H110" s="1305"/>
      <c r="I110" s="1303"/>
      <c r="J110" s="1303"/>
      <c r="K110" s="1303"/>
      <c r="L110" s="1303"/>
      <c r="M110" s="1303"/>
      <c r="N110" s="1303">
        <v>36</v>
      </c>
      <c r="O110" s="1303">
        <v>38</v>
      </c>
      <c r="P110" s="1303">
        <v>38</v>
      </c>
      <c r="Q110" s="1303">
        <v>40</v>
      </c>
      <c r="R110" s="1303">
        <v>75</v>
      </c>
      <c r="S110" s="1303"/>
      <c r="T110" s="1303">
        <v>38</v>
      </c>
      <c r="U110" s="1303">
        <v>79</v>
      </c>
      <c r="V110" s="1303">
        <v>38</v>
      </c>
      <c r="W110" s="1303"/>
      <c r="X110" s="1303">
        <v>79</v>
      </c>
      <c r="Y110" s="1303">
        <v>80</v>
      </c>
      <c r="Z110" s="1303">
        <v>77</v>
      </c>
      <c r="AA110" s="1303">
        <v>38</v>
      </c>
      <c r="AB110" s="1303">
        <v>78</v>
      </c>
      <c r="AC110" s="1303">
        <v>70</v>
      </c>
      <c r="AD110" s="1303">
        <v>82</v>
      </c>
      <c r="AE110" s="1303">
        <v>45</v>
      </c>
      <c r="AF110" s="1303">
        <v>83</v>
      </c>
      <c r="AG110" s="1303">
        <v>44</v>
      </c>
      <c r="AH110" s="1303">
        <v>38</v>
      </c>
      <c r="AI110" s="1303">
        <v>82</v>
      </c>
      <c r="AJ110" s="1303">
        <v>70</v>
      </c>
      <c r="AK110" s="1303">
        <f>121-70</f>
        <v>51</v>
      </c>
      <c r="AL110" s="1303"/>
      <c r="AM110" s="1074"/>
    </row>
    <row r="111" spans="2:39" ht="13.5" customHeight="1" thickBot="1" x14ac:dyDescent="0.3">
      <c r="B111" s="1619"/>
      <c r="C111" s="1622"/>
      <c r="D111" s="1611"/>
      <c r="E111" s="1324" t="s">
        <v>312</v>
      </c>
      <c r="F111" s="1325"/>
      <c r="G111" s="1326"/>
      <c r="H111" s="1075"/>
      <c r="I111" s="1075"/>
      <c r="J111" s="1075"/>
      <c r="K111" s="1075"/>
      <c r="L111" s="1075"/>
      <c r="M111" s="1075"/>
      <c r="N111" s="1075"/>
      <c r="O111" s="1075"/>
      <c r="P111" s="1076"/>
      <c r="Q111" s="1075"/>
      <c r="R111" s="1075"/>
      <c r="S111" s="1075"/>
      <c r="T111" s="1075"/>
      <c r="U111" s="1075"/>
      <c r="V111" s="1075"/>
      <c r="W111" s="1075"/>
      <c r="X111" s="1075"/>
      <c r="Y111" s="1075"/>
      <c r="Z111" s="1075"/>
      <c r="AA111" s="1075"/>
      <c r="AB111" s="1075"/>
      <c r="AC111" s="1075"/>
      <c r="AD111" s="1075"/>
      <c r="AE111" s="1075"/>
      <c r="AF111" s="1075"/>
      <c r="AG111" s="1075"/>
      <c r="AH111" s="1075"/>
      <c r="AI111" s="1075"/>
      <c r="AJ111" s="1075"/>
      <c r="AK111" s="1075"/>
      <c r="AL111" s="1077"/>
      <c r="AM111" s="1108"/>
    </row>
    <row r="112" spans="2:39" ht="13.5" customHeight="1" thickBot="1" x14ac:dyDescent="0.3">
      <c r="B112" s="1619"/>
      <c r="C112" s="1622"/>
      <c r="D112" s="1612" t="s">
        <v>343</v>
      </c>
      <c r="E112" s="1309" t="s">
        <v>344</v>
      </c>
      <c r="F112" s="1310">
        <f t="shared" ref="F112" si="58">IFERROR(F114*1000/F109,0)</f>
        <v>2.3500000000000005</v>
      </c>
      <c r="G112" s="1311"/>
      <c r="H112" s="1312">
        <v>2.35</v>
      </c>
      <c r="I112" s="1312">
        <v>2.35</v>
      </c>
      <c r="J112" s="1312">
        <v>2.35</v>
      </c>
      <c r="K112" s="1312">
        <v>2.35</v>
      </c>
      <c r="L112" s="1312">
        <v>2.35</v>
      </c>
      <c r="M112" s="1312">
        <v>2.35</v>
      </c>
      <c r="N112" s="1312">
        <v>2.35</v>
      </c>
      <c r="O112" s="1312">
        <v>2.35</v>
      </c>
      <c r="P112" s="1312">
        <v>2.35</v>
      </c>
      <c r="Q112" s="1312">
        <v>2.35</v>
      </c>
      <c r="R112" s="1312">
        <v>2.35</v>
      </c>
      <c r="S112" s="1312">
        <v>2.35</v>
      </c>
      <c r="T112" s="1312">
        <v>2.35</v>
      </c>
      <c r="U112" s="1312">
        <v>2.35</v>
      </c>
      <c r="V112" s="1312">
        <v>2.35</v>
      </c>
      <c r="W112" s="1312">
        <v>2.35</v>
      </c>
      <c r="X112" s="1312">
        <v>2.35</v>
      </c>
      <c r="Y112" s="1312">
        <v>2.35</v>
      </c>
      <c r="Z112" s="1312">
        <v>2.35</v>
      </c>
      <c r="AA112" s="1312">
        <v>2.35</v>
      </c>
      <c r="AB112" s="1312">
        <v>2.35</v>
      </c>
      <c r="AC112" s="1312">
        <v>2.35</v>
      </c>
      <c r="AD112" s="1312">
        <v>2.35</v>
      </c>
      <c r="AE112" s="1312">
        <v>2.35</v>
      </c>
      <c r="AF112" s="1312">
        <v>2.35</v>
      </c>
      <c r="AG112" s="1312">
        <v>2.35</v>
      </c>
      <c r="AH112" s="1312">
        <v>2.35</v>
      </c>
      <c r="AI112" s="1312">
        <v>2.35</v>
      </c>
      <c r="AJ112" s="1312">
        <v>2.35</v>
      </c>
      <c r="AK112" s="1312">
        <v>2.35</v>
      </c>
      <c r="AL112" s="1312"/>
      <c r="AM112" s="1074"/>
    </row>
    <row r="113" spans="2:39" ht="13.5" customHeight="1" thickBot="1" x14ac:dyDescent="0.3">
      <c r="B113" s="1619"/>
      <c r="C113" s="1622"/>
      <c r="D113" s="1612"/>
      <c r="E113" s="1313" t="s">
        <v>345</v>
      </c>
      <c r="F113" s="1314">
        <f>IFERROR(F115*1000/F110,0)</f>
        <v>4.5384603541185529</v>
      </c>
      <c r="G113" s="1304">
        <f t="shared" ref="G113" si="59">IFERROR((F113-F112)/F112,0)</f>
        <v>0.93125972515683053</v>
      </c>
      <c r="H113" s="1315"/>
      <c r="I113" s="1314"/>
      <c r="J113" s="1314"/>
      <c r="K113" s="1314"/>
      <c r="L113" s="1314"/>
      <c r="M113" s="1314"/>
      <c r="N113" s="1314">
        <v>2.86</v>
      </c>
      <c r="O113" s="1314">
        <v>2.86</v>
      </c>
      <c r="P113" s="1314">
        <v>1.85</v>
      </c>
      <c r="Q113" s="1314">
        <v>3.5</v>
      </c>
      <c r="R113" s="1314">
        <v>2.0699999999999998</v>
      </c>
      <c r="S113" s="1314"/>
      <c r="T113" s="1314">
        <v>5.67</v>
      </c>
      <c r="U113" s="1314">
        <v>6.11</v>
      </c>
      <c r="V113" s="1314">
        <v>6.11</v>
      </c>
      <c r="W113" s="1314"/>
      <c r="X113" s="1314">
        <v>5.5</v>
      </c>
      <c r="Y113" s="1314">
        <v>2.2599999999999998</v>
      </c>
      <c r="Z113" s="1314">
        <v>7</v>
      </c>
      <c r="AA113" s="1314">
        <v>6.41</v>
      </c>
      <c r="AB113" s="1314">
        <v>6.07</v>
      </c>
      <c r="AC113" s="1314">
        <v>6.07</v>
      </c>
      <c r="AD113" s="1314">
        <v>6.3</v>
      </c>
      <c r="AE113" s="1314">
        <v>3.1</v>
      </c>
      <c r="AF113" s="1314">
        <v>7</v>
      </c>
      <c r="AG113" s="1314">
        <v>2.0499999999999998</v>
      </c>
      <c r="AH113" s="1314">
        <v>2.0499999999999998</v>
      </c>
      <c r="AI113" s="1314">
        <v>3.53</v>
      </c>
      <c r="AJ113" s="1314">
        <v>3.53</v>
      </c>
      <c r="AK113" s="1314">
        <v>2.94</v>
      </c>
      <c r="AL113" s="1314"/>
      <c r="AM113" s="1074"/>
    </row>
    <row r="114" spans="2:39" ht="13.5" customHeight="1" thickBot="1" x14ac:dyDescent="0.3">
      <c r="B114" s="1619"/>
      <c r="C114" s="1622"/>
      <c r="D114" s="1613" t="s">
        <v>47</v>
      </c>
      <c r="E114" s="1309" t="s">
        <v>346</v>
      </c>
      <c r="F114" s="206">
        <f>SUMIF($H$9:$AL$9,"&lt;="&amp;$C$7,H114:AL114)</f>
        <v>4.9350000000000005</v>
      </c>
      <c r="G114" s="1311"/>
      <c r="H114" s="1316">
        <f t="shared" ref="H114:AL115" si="60">+H112*H109/1000</f>
        <v>0.16450000000000001</v>
      </c>
      <c r="I114" s="1316">
        <f t="shared" si="60"/>
        <v>0.16450000000000001</v>
      </c>
      <c r="J114" s="1316">
        <f t="shared" si="60"/>
        <v>0.16450000000000001</v>
      </c>
      <c r="K114" s="1316">
        <f t="shared" si="60"/>
        <v>0.16450000000000001</v>
      </c>
      <c r="L114" s="1316">
        <f t="shared" si="60"/>
        <v>0.16450000000000001</v>
      </c>
      <c r="M114" s="1316">
        <f t="shared" si="60"/>
        <v>0.16450000000000001</v>
      </c>
      <c r="N114" s="1316">
        <f t="shared" si="60"/>
        <v>0.16450000000000001</v>
      </c>
      <c r="O114" s="1316">
        <f t="shared" si="60"/>
        <v>0.16450000000000001</v>
      </c>
      <c r="P114" s="1316">
        <f t="shared" si="60"/>
        <v>0.16450000000000001</v>
      </c>
      <c r="Q114" s="1316">
        <f t="shared" si="60"/>
        <v>0.16450000000000001</v>
      </c>
      <c r="R114" s="1316">
        <f t="shared" si="60"/>
        <v>0.16450000000000001</v>
      </c>
      <c r="S114" s="1316">
        <f t="shared" si="60"/>
        <v>0.16450000000000001</v>
      </c>
      <c r="T114" s="1316">
        <f t="shared" si="60"/>
        <v>0.16450000000000001</v>
      </c>
      <c r="U114" s="1316">
        <f t="shared" si="60"/>
        <v>0.16450000000000001</v>
      </c>
      <c r="V114" s="1316">
        <f t="shared" si="60"/>
        <v>0.16450000000000001</v>
      </c>
      <c r="W114" s="1316">
        <f t="shared" si="60"/>
        <v>0.16450000000000001</v>
      </c>
      <c r="X114" s="1316">
        <f t="shared" si="60"/>
        <v>0.16450000000000001</v>
      </c>
      <c r="Y114" s="1316">
        <f t="shared" si="60"/>
        <v>0.16450000000000001</v>
      </c>
      <c r="Z114" s="1316">
        <f t="shared" si="60"/>
        <v>0.16450000000000001</v>
      </c>
      <c r="AA114" s="1316">
        <f t="shared" si="60"/>
        <v>0.16450000000000001</v>
      </c>
      <c r="AB114" s="1316">
        <f t="shared" si="60"/>
        <v>0.16450000000000001</v>
      </c>
      <c r="AC114" s="1316">
        <f t="shared" si="60"/>
        <v>0.16450000000000001</v>
      </c>
      <c r="AD114" s="1316">
        <f t="shared" si="60"/>
        <v>0.16450000000000001</v>
      </c>
      <c r="AE114" s="1316">
        <f t="shared" si="60"/>
        <v>0.16450000000000001</v>
      </c>
      <c r="AF114" s="1316">
        <f t="shared" si="60"/>
        <v>0.16450000000000001</v>
      </c>
      <c r="AG114" s="1316">
        <f t="shared" si="60"/>
        <v>0.16450000000000001</v>
      </c>
      <c r="AH114" s="1316">
        <f t="shared" si="60"/>
        <v>0.16450000000000001</v>
      </c>
      <c r="AI114" s="1316">
        <f t="shared" si="60"/>
        <v>0.16450000000000001</v>
      </c>
      <c r="AJ114" s="1316">
        <f t="shared" si="60"/>
        <v>0.16450000000000001</v>
      </c>
      <c r="AK114" s="1316">
        <f t="shared" si="60"/>
        <v>0.16450000000000001</v>
      </c>
      <c r="AL114" s="1319">
        <f t="shared" si="60"/>
        <v>0</v>
      </c>
      <c r="AM114" s="1078"/>
    </row>
    <row r="115" spans="2:39" ht="13.5" customHeight="1" thickBot="1" x14ac:dyDescent="0.3">
      <c r="B115" s="1620"/>
      <c r="C115" s="1623"/>
      <c r="D115" s="1614"/>
      <c r="E115" s="1320" t="s">
        <v>347</v>
      </c>
      <c r="F115" s="1321">
        <f>SUMIF($H$9:$AL$9,"&lt;="&amp;$C$7,H115:AL115)</f>
        <v>5.8954599999999999</v>
      </c>
      <c r="H115" s="1323">
        <f t="shared" si="60"/>
        <v>0</v>
      </c>
      <c r="I115" s="1321">
        <f t="shared" si="60"/>
        <v>0</v>
      </c>
      <c r="J115" s="1321">
        <f t="shared" si="60"/>
        <v>0</v>
      </c>
      <c r="K115" s="1321">
        <f t="shared" si="60"/>
        <v>0</v>
      </c>
      <c r="L115" s="1321">
        <f t="shared" si="60"/>
        <v>0</v>
      </c>
      <c r="M115" s="1321">
        <f t="shared" si="60"/>
        <v>0</v>
      </c>
      <c r="N115" s="1321">
        <f t="shared" si="60"/>
        <v>0.10296</v>
      </c>
      <c r="O115" s="1321">
        <f t="shared" si="60"/>
        <v>0.10868</v>
      </c>
      <c r="P115" s="1321">
        <f t="shared" si="60"/>
        <v>7.0300000000000001E-2</v>
      </c>
      <c r="Q115" s="1321">
        <f t="shared" si="60"/>
        <v>0.14000000000000001</v>
      </c>
      <c r="R115" s="1321">
        <f t="shared" si="60"/>
        <v>0.15525</v>
      </c>
      <c r="S115" s="1321">
        <f t="shared" si="60"/>
        <v>0</v>
      </c>
      <c r="T115" s="1321">
        <f t="shared" si="60"/>
        <v>0.21546000000000001</v>
      </c>
      <c r="U115" s="1321">
        <f t="shared" si="60"/>
        <v>0.48269000000000001</v>
      </c>
      <c r="V115" s="1321">
        <f t="shared" si="60"/>
        <v>0.23218</v>
      </c>
      <c r="W115" s="1321">
        <f t="shared" si="60"/>
        <v>0</v>
      </c>
      <c r="X115" s="1321">
        <f>+X113*X110/1000</f>
        <v>0.4345</v>
      </c>
      <c r="Y115" s="1321">
        <f t="shared" si="60"/>
        <v>0.18079999999999999</v>
      </c>
      <c r="Z115" s="1321">
        <f t="shared" si="60"/>
        <v>0.53900000000000003</v>
      </c>
      <c r="AA115" s="1321">
        <f t="shared" si="60"/>
        <v>0.24358000000000002</v>
      </c>
      <c r="AB115" s="1321">
        <f t="shared" si="60"/>
        <v>0.47346000000000005</v>
      </c>
      <c r="AC115" s="1321">
        <f t="shared" si="60"/>
        <v>0.42490000000000006</v>
      </c>
      <c r="AD115" s="1321">
        <f t="shared" si="60"/>
        <v>0.51660000000000006</v>
      </c>
      <c r="AE115" s="1321">
        <f t="shared" si="60"/>
        <v>0.13950000000000001</v>
      </c>
      <c r="AF115" s="1321">
        <f t="shared" si="60"/>
        <v>0.58099999999999996</v>
      </c>
      <c r="AG115" s="1321">
        <f t="shared" si="60"/>
        <v>9.0199999999999989E-2</v>
      </c>
      <c r="AH115" s="1321">
        <f t="shared" si="60"/>
        <v>7.7899999999999997E-2</v>
      </c>
      <c r="AI115" s="1321">
        <f t="shared" si="60"/>
        <v>0.28946</v>
      </c>
      <c r="AJ115" s="1321">
        <f t="shared" si="60"/>
        <v>0.24709999999999999</v>
      </c>
      <c r="AK115" s="1321">
        <f t="shared" si="60"/>
        <v>0.14993999999999999</v>
      </c>
      <c r="AL115" s="1321">
        <f t="shared" si="60"/>
        <v>0</v>
      </c>
      <c r="AM115" s="1079"/>
    </row>
    <row r="116" spans="2:39" ht="13.5" customHeight="1" thickBot="1" x14ac:dyDescent="0.3">
      <c r="B116" s="1618">
        <v>1</v>
      </c>
      <c r="C116" s="1621" t="str">
        <f>[2]Breaking.!A73</f>
        <v>6L_W8 STOPE</v>
      </c>
      <c r="D116" s="1610" t="s">
        <v>340</v>
      </c>
      <c r="E116" s="1070" t="s">
        <v>341</v>
      </c>
      <c r="F116" s="295">
        <f>SUMIF($H$9:$AL$9,"&lt;="&amp;$C$7,H116:AL116)</f>
        <v>1050</v>
      </c>
      <c r="G116" s="1322">
        <f>IFERROR((F115-F114)/F114,0)</f>
        <v>0.1946220871327253</v>
      </c>
      <c r="H116" s="945">
        <f>[2]Breaking.!D73</f>
        <v>35</v>
      </c>
      <c r="I116" s="945">
        <f>[2]Breaking.!E73</f>
        <v>35</v>
      </c>
      <c r="J116" s="945">
        <f>[2]Breaking.!F73</f>
        <v>35</v>
      </c>
      <c r="K116" s="945">
        <f>[2]Breaking.!G73</f>
        <v>35</v>
      </c>
      <c r="L116" s="945">
        <f>[2]Breaking.!H73</f>
        <v>35</v>
      </c>
      <c r="M116" s="945">
        <f>[2]Breaking.!I73</f>
        <v>35</v>
      </c>
      <c r="N116" s="945">
        <f>[2]Breaking.!J73</f>
        <v>35</v>
      </c>
      <c r="O116" s="945">
        <f>[2]Breaking.!K73</f>
        <v>35</v>
      </c>
      <c r="P116" s="945">
        <f>[2]Breaking.!L73</f>
        <v>35</v>
      </c>
      <c r="Q116" s="945">
        <f>[2]Breaking.!M73</f>
        <v>35</v>
      </c>
      <c r="R116" s="945">
        <f>[2]Breaking.!N73</f>
        <v>35</v>
      </c>
      <c r="S116" s="945">
        <f>[2]Breaking.!O73</f>
        <v>35</v>
      </c>
      <c r="T116" s="945">
        <f>[2]Breaking.!P73</f>
        <v>35</v>
      </c>
      <c r="U116" s="945">
        <f>[2]Breaking.!Q73</f>
        <v>35</v>
      </c>
      <c r="V116" s="945">
        <f>[2]Breaking.!R73</f>
        <v>35</v>
      </c>
      <c r="W116" s="945">
        <f>[2]Breaking.!S73</f>
        <v>35</v>
      </c>
      <c r="X116" s="945">
        <f>[2]Breaking.!T73</f>
        <v>35</v>
      </c>
      <c r="Y116" s="945">
        <f>[2]Breaking.!U73</f>
        <v>35</v>
      </c>
      <c r="Z116" s="945">
        <f>[2]Breaking.!V73</f>
        <v>35</v>
      </c>
      <c r="AA116" s="945">
        <f>[2]Breaking.!W73</f>
        <v>35</v>
      </c>
      <c r="AB116" s="945">
        <f>[2]Breaking.!X73</f>
        <v>35</v>
      </c>
      <c r="AC116" s="945">
        <f>[2]Breaking.!Y73</f>
        <v>35</v>
      </c>
      <c r="AD116" s="945">
        <f>[2]Breaking.!Z73</f>
        <v>35</v>
      </c>
      <c r="AE116" s="945">
        <f>[2]Breaking.!AA73</f>
        <v>35</v>
      </c>
      <c r="AF116" s="945">
        <f>[2]Breaking.!AB73</f>
        <v>35</v>
      </c>
      <c r="AG116" s="945">
        <f>[2]Breaking.!AC73</f>
        <v>35</v>
      </c>
      <c r="AH116" s="945">
        <f>[2]Breaking.!AD73</f>
        <v>35</v>
      </c>
      <c r="AI116" s="945">
        <f>[2]Breaking.!AE73</f>
        <v>35</v>
      </c>
      <c r="AJ116" s="945">
        <f>[2]Breaking.!AF73</f>
        <v>35</v>
      </c>
      <c r="AK116" s="945">
        <f>[2]Breaking.!AG73</f>
        <v>35</v>
      </c>
      <c r="AL116" s="945">
        <f>[2]Breaking.!AH73</f>
        <v>0</v>
      </c>
      <c r="AM116" s="1105"/>
    </row>
    <row r="117" spans="2:39" ht="13.5" customHeight="1" thickBot="1" x14ac:dyDescent="0.3">
      <c r="B117" s="1619"/>
      <c r="C117" s="1622"/>
      <c r="D117" s="1611"/>
      <c r="E117" s="1302" t="s">
        <v>342</v>
      </c>
      <c r="F117" s="1303">
        <f>SUMIF($H$9:$AL$9,"&lt;="&amp;$C$7,H117:AL117)</f>
        <v>483</v>
      </c>
      <c r="G117" s="1304">
        <f t="shared" ref="G117" si="61">IFERROR((F117-F116)/F116,0)</f>
        <v>-0.54</v>
      </c>
      <c r="H117" s="1305">
        <v>40</v>
      </c>
      <c r="I117" s="1303">
        <v>38</v>
      </c>
      <c r="J117" s="1303">
        <v>38</v>
      </c>
      <c r="K117" s="1303">
        <v>44</v>
      </c>
      <c r="L117" s="1303">
        <v>36</v>
      </c>
      <c r="M117" s="1303">
        <v>40</v>
      </c>
      <c r="N117" s="1303">
        <v>40</v>
      </c>
      <c r="O117" s="1303">
        <v>36</v>
      </c>
      <c r="P117" s="1303">
        <v>35</v>
      </c>
      <c r="Q117" s="1303">
        <v>36</v>
      </c>
      <c r="R117" s="1303">
        <v>40</v>
      </c>
      <c r="S117" s="1303"/>
      <c r="T117" s="1303"/>
      <c r="U117" s="1303">
        <v>20</v>
      </c>
      <c r="V117" s="1303">
        <v>40</v>
      </c>
      <c r="W117" s="1303"/>
      <c r="X117" s="1303"/>
      <c r="Y117" s="1303"/>
      <c r="Z117" s="1303"/>
      <c r="AA117" s="1303"/>
      <c r="AB117" s="1303"/>
      <c r="AC117" s="1303"/>
      <c r="AD117" s="1303"/>
      <c r="AE117" s="1303"/>
      <c r="AF117" s="1303"/>
      <c r="AG117" s="1303"/>
      <c r="AH117" s="1303"/>
      <c r="AI117" s="1303"/>
      <c r="AJ117" s="1303"/>
      <c r="AK117" s="1303"/>
      <c r="AL117" s="1303"/>
      <c r="AM117" s="1074"/>
    </row>
    <row r="118" spans="2:39" ht="13.5" customHeight="1" thickBot="1" x14ac:dyDescent="0.3">
      <c r="B118" s="1619"/>
      <c r="C118" s="1622"/>
      <c r="D118" s="1611"/>
      <c r="E118" s="1324" t="s">
        <v>312</v>
      </c>
      <c r="F118" s="1325"/>
      <c r="G118" s="1326"/>
      <c r="H118" s="1075"/>
      <c r="I118" s="1075"/>
      <c r="J118" s="1075"/>
      <c r="K118" s="1075"/>
      <c r="L118" s="1075"/>
      <c r="M118" s="1075"/>
      <c r="N118" s="1075"/>
      <c r="O118" s="1075"/>
      <c r="P118" s="1076"/>
      <c r="Q118" s="1075"/>
      <c r="R118" s="1075"/>
      <c r="S118" s="1075"/>
      <c r="T118" s="1075"/>
      <c r="U118" s="1075"/>
      <c r="V118" s="1075"/>
      <c r="W118" s="1075"/>
      <c r="X118" s="1075"/>
      <c r="Y118" s="1075"/>
      <c r="Z118" s="1075"/>
      <c r="AA118" s="1075"/>
      <c r="AB118" s="1075"/>
      <c r="AC118" s="1075"/>
      <c r="AD118" s="1075"/>
      <c r="AE118" s="1075"/>
      <c r="AF118" s="1075"/>
      <c r="AG118" s="1075"/>
      <c r="AH118" s="1075"/>
      <c r="AI118" s="1075"/>
      <c r="AJ118" s="1075"/>
      <c r="AK118" s="1075"/>
      <c r="AL118" s="1077"/>
      <c r="AM118" s="1108"/>
    </row>
    <row r="119" spans="2:39" ht="13.5" customHeight="1" thickBot="1" x14ac:dyDescent="0.3">
      <c r="B119" s="1619"/>
      <c r="C119" s="1622"/>
      <c r="D119" s="1612" t="s">
        <v>343</v>
      </c>
      <c r="E119" s="1309" t="s">
        <v>344</v>
      </c>
      <c r="F119" s="1310">
        <f>IFERROR(F121*1000/F116,0)</f>
        <v>2.8400000000000003</v>
      </c>
      <c r="G119" s="1311"/>
      <c r="H119" s="1312">
        <v>2.84</v>
      </c>
      <c r="I119" s="1312">
        <v>2.84</v>
      </c>
      <c r="J119" s="1312">
        <v>2.84</v>
      </c>
      <c r="K119" s="1312">
        <v>2.84</v>
      </c>
      <c r="L119" s="1312">
        <v>2.84</v>
      </c>
      <c r="M119" s="1312">
        <v>2.84</v>
      </c>
      <c r="N119" s="1312">
        <v>2.84</v>
      </c>
      <c r="O119" s="1312">
        <v>2.84</v>
      </c>
      <c r="P119" s="1312">
        <v>2.84</v>
      </c>
      <c r="Q119" s="1312">
        <v>2.84</v>
      </c>
      <c r="R119" s="1312">
        <v>2.84</v>
      </c>
      <c r="S119" s="1312">
        <v>2.84</v>
      </c>
      <c r="T119" s="1312">
        <v>2.84</v>
      </c>
      <c r="U119" s="1312">
        <v>2.84</v>
      </c>
      <c r="V119" s="1312">
        <v>2.84</v>
      </c>
      <c r="W119" s="1312">
        <v>2.84</v>
      </c>
      <c r="X119" s="1312">
        <v>2.84</v>
      </c>
      <c r="Y119" s="1312">
        <v>2.84</v>
      </c>
      <c r="Z119" s="1312">
        <v>2.84</v>
      </c>
      <c r="AA119" s="1312">
        <v>2.84</v>
      </c>
      <c r="AB119" s="1312">
        <v>2.84</v>
      </c>
      <c r="AC119" s="1312">
        <v>2.84</v>
      </c>
      <c r="AD119" s="1312">
        <v>2.84</v>
      </c>
      <c r="AE119" s="1312">
        <v>2.84</v>
      </c>
      <c r="AF119" s="1312">
        <v>2.84</v>
      </c>
      <c r="AG119" s="1312">
        <v>2.84</v>
      </c>
      <c r="AH119" s="1312">
        <v>2.84</v>
      </c>
      <c r="AI119" s="1312">
        <v>2.84</v>
      </c>
      <c r="AJ119" s="1312">
        <v>2.84</v>
      </c>
      <c r="AK119" s="1312">
        <v>2.84</v>
      </c>
      <c r="AL119" s="1312"/>
      <c r="AM119" s="1074"/>
    </row>
    <row r="120" spans="2:39" ht="13.5" customHeight="1" thickBot="1" x14ac:dyDescent="0.3">
      <c r="B120" s="1619"/>
      <c r="C120" s="1622"/>
      <c r="D120" s="1612"/>
      <c r="E120" s="1313" t="s">
        <v>345</v>
      </c>
      <c r="F120" s="1314">
        <f t="shared" ref="F120" si="62">IFERROR(F122*1000/F117,0)</f>
        <v>3.6786749482401659</v>
      </c>
      <c r="G120" s="1304">
        <f t="shared" ref="G120" si="63">IFERROR((F120-F119)/F119,0)</f>
        <v>0.2953080803662555</v>
      </c>
      <c r="H120" s="1315">
        <v>3.3</v>
      </c>
      <c r="I120" s="1314">
        <v>5.68</v>
      </c>
      <c r="J120" s="1314">
        <v>2.17</v>
      </c>
      <c r="K120" s="1314">
        <v>2.48</v>
      </c>
      <c r="L120" s="1314">
        <v>2.48</v>
      </c>
      <c r="M120" s="1314">
        <v>5.28</v>
      </c>
      <c r="N120" s="1314">
        <v>3.13</v>
      </c>
      <c r="O120" s="1314">
        <v>3.13</v>
      </c>
      <c r="P120" s="1314">
        <v>3.5</v>
      </c>
      <c r="Q120" s="1314">
        <v>4.42</v>
      </c>
      <c r="R120" s="1314">
        <v>4.42</v>
      </c>
      <c r="S120" s="1314">
        <v>4.01</v>
      </c>
      <c r="T120" s="1314"/>
      <c r="U120" s="1314">
        <v>4.01</v>
      </c>
      <c r="V120" s="1314">
        <v>4.01</v>
      </c>
      <c r="W120" s="1314"/>
      <c r="X120" s="1314"/>
      <c r="Y120" s="1314"/>
      <c r="Z120" s="1314"/>
      <c r="AA120" s="1314"/>
      <c r="AB120" s="1314"/>
      <c r="AC120" s="1314"/>
      <c r="AD120" s="1314"/>
      <c r="AE120" s="1314"/>
      <c r="AF120" s="1314"/>
      <c r="AG120" s="1314"/>
      <c r="AH120" s="1314"/>
      <c r="AI120" s="1314"/>
      <c r="AJ120" s="1314"/>
      <c r="AK120" s="1314"/>
      <c r="AL120" s="1314"/>
      <c r="AM120" s="1074"/>
    </row>
    <row r="121" spans="2:39" ht="13.5" customHeight="1" thickBot="1" x14ac:dyDescent="0.3">
      <c r="B121" s="1619"/>
      <c r="C121" s="1622"/>
      <c r="D121" s="1613" t="s">
        <v>47</v>
      </c>
      <c r="E121" s="1309" t="s">
        <v>346</v>
      </c>
      <c r="F121" s="206">
        <f>SUMIF($H$9:$AL$9,"&lt;="&amp;$C$7,H121:AL121)</f>
        <v>2.9820000000000007</v>
      </c>
      <c r="G121" s="1311"/>
      <c r="H121" s="1316">
        <f>+H119*H116/1000</f>
        <v>9.9399999999999988E-2</v>
      </c>
      <c r="I121" s="1316">
        <f t="shared" ref="I121:AL121" si="64">+I119*I116/1000</f>
        <v>9.9399999999999988E-2</v>
      </c>
      <c r="J121" s="1316">
        <f t="shared" si="64"/>
        <v>9.9399999999999988E-2</v>
      </c>
      <c r="K121" s="1316">
        <f t="shared" si="64"/>
        <v>9.9399999999999988E-2</v>
      </c>
      <c r="L121" s="1316">
        <f t="shared" si="64"/>
        <v>9.9399999999999988E-2</v>
      </c>
      <c r="M121" s="1316">
        <f t="shared" si="64"/>
        <v>9.9399999999999988E-2</v>
      </c>
      <c r="N121" s="1316">
        <f t="shared" si="64"/>
        <v>9.9399999999999988E-2</v>
      </c>
      <c r="O121" s="1316">
        <f t="shared" si="64"/>
        <v>9.9399999999999988E-2</v>
      </c>
      <c r="P121" s="1316">
        <f t="shared" si="64"/>
        <v>9.9399999999999988E-2</v>
      </c>
      <c r="Q121" s="1316">
        <f t="shared" si="64"/>
        <v>9.9399999999999988E-2</v>
      </c>
      <c r="R121" s="1316">
        <f t="shared" si="64"/>
        <v>9.9399999999999988E-2</v>
      </c>
      <c r="S121" s="1316">
        <f t="shared" si="64"/>
        <v>9.9399999999999988E-2</v>
      </c>
      <c r="T121" s="1316">
        <f t="shared" si="64"/>
        <v>9.9399999999999988E-2</v>
      </c>
      <c r="U121" s="1316">
        <f t="shared" si="64"/>
        <v>9.9399999999999988E-2</v>
      </c>
      <c r="V121" s="1316">
        <f t="shared" si="64"/>
        <v>9.9399999999999988E-2</v>
      </c>
      <c r="W121" s="1316">
        <f t="shared" si="64"/>
        <v>9.9399999999999988E-2</v>
      </c>
      <c r="X121" s="1316">
        <f t="shared" si="64"/>
        <v>9.9399999999999988E-2</v>
      </c>
      <c r="Y121" s="1316">
        <f t="shared" si="64"/>
        <v>9.9399999999999988E-2</v>
      </c>
      <c r="Z121" s="1316">
        <f t="shared" si="64"/>
        <v>9.9399999999999988E-2</v>
      </c>
      <c r="AA121" s="1316">
        <f t="shared" si="64"/>
        <v>9.9399999999999988E-2</v>
      </c>
      <c r="AB121" s="1316">
        <f t="shared" si="64"/>
        <v>9.9399999999999988E-2</v>
      </c>
      <c r="AC121" s="1316">
        <f t="shared" si="64"/>
        <v>9.9399999999999988E-2</v>
      </c>
      <c r="AD121" s="1316">
        <f t="shared" si="64"/>
        <v>9.9399999999999988E-2</v>
      </c>
      <c r="AE121" s="1316">
        <f t="shared" si="64"/>
        <v>9.9399999999999988E-2</v>
      </c>
      <c r="AF121" s="1316">
        <f t="shared" si="64"/>
        <v>9.9399999999999988E-2</v>
      </c>
      <c r="AG121" s="1316">
        <f t="shared" si="64"/>
        <v>9.9399999999999988E-2</v>
      </c>
      <c r="AH121" s="1316">
        <f t="shared" si="64"/>
        <v>9.9399999999999988E-2</v>
      </c>
      <c r="AI121" s="1316">
        <f t="shared" si="64"/>
        <v>9.9399999999999988E-2</v>
      </c>
      <c r="AJ121" s="1316">
        <f t="shared" si="64"/>
        <v>9.9399999999999988E-2</v>
      </c>
      <c r="AK121" s="1316">
        <f t="shared" si="64"/>
        <v>9.9399999999999988E-2</v>
      </c>
      <c r="AL121" s="1319">
        <f t="shared" si="64"/>
        <v>0</v>
      </c>
      <c r="AM121" s="1078"/>
    </row>
    <row r="122" spans="2:39" ht="13.5" customHeight="1" thickBot="1" x14ac:dyDescent="0.3">
      <c r="B122" s="1620"/>
      <c r="C122" s="1623"/>
      <c r="D122" s="1613"/>
      <c r="E122" s="1330" t="s">
        <v>347</v>
      </c>
      <c r="F122" s="1331">
        <f>SUMIF($H$9:$AL$9,"&lt;="&amp;$C$7,H122:AL122)</f>
        <v>1.7768000000000002</v>
      </c>
      <c r="G122" s="1549">
        <f t="shared" ref="G122" si="65">IFERROR((F122-F121)/F121,0)</f>
        <v>-0.40415828303152257</v>
      </c>
      <c r="H122" s="1323">
        <f t="shared" ref="H122:AL122" si="66">+H120*H117/1000</f>
        <v>0.13200000000000001</v>
      </c>
      <c r="I122" s="1321">
        <f t="shared" si="66"/>
        <v>0.21583999999999998</v>
      </c>
      <c r="J122" s="1321">
        <f t="shared" si="66"/>
        <v>8.2459999999999992E-2</v>
      </c>
      <c r="K122" s="1321">
        <f t="shared" si="66"/>
        <v>0.10912000000000001</v>
      </c>
      <c r="L122" s="1321">
        <f t="shared" si="66"/>
        <v>8.9279999999999998E-2</v>
      </c>
      <c r="M122" s="1321">
        <f>+M120*M117/1000</f>
        <v>0.21120000000000003</v>
      </c>
      <c r="N122" s="1321">
        <f>+N120*N117/1000</f>
        <v>0.12519999999999998</v>
      </c>
      <c r="O122" s="1321">
        <f>+O120*O117/1000</f>
        <v>0.11267999999999999</v>
      </c>
      <c r="P122" s="1321">
        <f>+P120*P117/1000</f>
        <v>0.1225</v>
      </c>
      <c r="Q122" s="1321">
        <f>+Q120*Q117/1000</f>
        <v>0.15912000000000001</v>
      </c>
      <c r="R122" s="1321">
        <f t="shared" si="66"/>
        <v>0.17680000000000001</v>
      </c>
      <c r="S122" s="1321">
        <f t="shared" si="66"/>
        <v>0</v>
      </c>
      <c r="T122" s="1321">
        <f t="shared" si="66"/>
        <v>0</v>
      </c>
      <c r="U122" s="1321">
        <f t="shared" si="66"/>
        <v>8.0199999999999994E-2</v>
      </c>
      <c r="V122" s="1321">
        <f t="shared" si="66"/>
        <v>0.16039999999999999</v>
      </c>
      <c r="W122" s="1321">
        <f t="shared" si="66"/>
        <v>0</v>
      </c>
      <c r="X122" s="1321">
        <f t="shared" si="66"/>
        <v>0</v>
      </c>
      <c r="Y122" s="1321">
        <f t="shared" si="66"/>
        <v>0</v>
      </c>
      <c r="Z122" s="1321">
        <f t="shared" si="66"/>
        <v>0</v>
      </c>
      <c r="AA122" s="1321">
        <f t="shared" si="66"/>
        <v>0</v>
      </c>
      <c r="AB122" s="1321">
        <f t="shared" si="66"/>
        <v>0</v>
      </c>
      <c r="AC122" s="1321">
        <f t="shared" si="66"/>
        <v>0</v>
      </c>
      <c r="AD122" s="1321">
        <f t="shared" si="66"/>
        <v>0</v>
      </c>
      <c r="AE122" s="1321">
        <f t="shared" si="66"/>
        <v>0</v>
      </c>
      <c r="AF122" s="1321">
        <f t="shared" si="66"/>
        <v>0</v>
      </c>
      <c r="AG122" s="1321">
        <f t="shared" si="66"/>
        <v>0</v>
      </c>
      <c r="AH122" s="1321">
        <f t="shared" si="66"/>
        <v>0</v>
      </c>
      <c r="AI122" s="1321">
        <f t="shared" si="66"/>
        <v>0</v>
      </c>
      <c r="AJ122" s="1321">
        <f t="shared" si="66"/>
        <v>0</v>
      </c>
      <c r="AK122" s="1321">
        <f t="shared" si="66"/>
        <v>0</v>
      </c>
      <c r="AL122" s="1321">
        <f t="shared" si="66"/>
        <v>0</v>
      </c>
      <c r="AM122" s="1079"/>
    </row>
    <row r="123" spans="2:39" ht="13.5" customHeight="1" thickBot="1" x14ac:dyDescent="0.3">
      <c r="B123" s="1607">
        <v>1</v>
      </c>
      <c r="C123" s="1615" t="str">
        <f>[2]Breaking.!A75</f>
        <v>6L_W14 STOPE</v>
      </c>
      <c r="D123" s="1611" t="s">
        <v>340</v>
      </c>
      <c r="E123" s="1104" t="s">
        <v>341</v>
      </c>
      <c r="F123" s="196">
        <f>SUMIF($H$9:$AL$9,"&lt;="&amp;$C$7,H123:AL123)</f>
        <v>2100</v>
      </c>
      <c r="G123" s="1071"/>
      <c r="H123" s="945">
        <f>[2]Breaking.!D75</f>
        <v>70</v>
      </c>
      <c r="I123" s="945">
        <f>[2]Breaking.!E75</f>
        <v>70</v>
      </c>
      <c r="J123" s="945">
        <f>[2]Breaking.!F75</f>
        <v>70</v>
      </c>
      <c r="K123" s="945">
        <f>[2]Breaking.!G75</f>
        <v>70</v>
      </c>
      <c r="L123" s="945">
        <f>[2]Breaking.!H75</f>
        <v>70</v>
      </c>
      <c r="M123" s="945">
        <f>[2]Breaking.!I75</f>
        <v>70</v>
      </c>
      <c r="N123" s="945">
        <f>[2]Breaking.!J75</f>
        <v>70</v>
      </c>
      <c r="O123" s="945">
        <f>[2]Breaking.!K75</f>
        <v>70</v>
      </c>
      <c r="P123" s="945">
        <f>[2]Breaking.!L75</f>
        <v>70</v>
      </c>
      <c r="Q123" s="945">
        <f>[2]Breaking.!M75</f>
        <v>70</v>
      </c>
      <c r="R123" s="945">
        <f>[2]Breaking.!N75</f>
        <v>70</v>
      </c>
      <c r="S123" s="945">
        <f>[2]Breaking.!O75</f>
        <v>70</v>
      </c>
      <c r="T123" s="945">
        <f>[2]Breaking.!P75</f>
        <v>70</v>
      </c>
      <c r="U123" s="945">
        <f>[2]Breaking.!Q75</f>
        <v>70</v>
      </c>
      <c r="V123" s="945">
        <f>[2]Breaking.!R75</f>
        <v>70</v>
      </c>
      <c r="W123" s="945">
        <f>[2]Breaking.!S75</f>
        <v>70</v>
      </c>
      <c r="X123" s="945">
        <f>[2]Breaking.!T75</f>
        <v>70</v>
      </c>
      <c r="Y123" s="945">
        <f>[2]Breaking.!U75</f>
        <v>70</v>
      </c>
      <c r="Z123" s="945">
        <f>[2]Breaking.!V75</f>
        <v>70</v>
      </c>
      <c r="AA123" s="945">
        <f>[2]Breaking.!W75</f>
        <v>70</v>
      </c>
      <c r="AB123" s="945">
        <f>[2]Breaking.!X75</f>
        <v>70</v>
      </c>
      <c r="AC123" s="945">
        <f>[2]Breaking.!Y75</f>
        <v>70</v>
      </c>
      <c r="AD123" s="945">
        <f>[2]Breaking.!Z75</f>
        <v>70</v>
      </c>
      <c r="AE123" s="945">
        <f>[2]Breaking.!AA75</f>
        <v>70</v>
      </c>
      <c r="AF123" s="945">
        <f>[2]Breaking.!AB75</f>
        <v>70</v>
      </c>
      <c r="AG123" s="945">
        <f>[2]Breaking.!AC75</f>
        <v>70</v>
      </c>
      <c r="AH123" s="945">
        <f>[2]Breaking.!AD75</f>
        <v>70</v>
      </c>
      <c r="AI123" s="945">
        <f>[2]Breaking.!AE75</f>
        <v>70</v>
      </c>
      <c r="AJ123" s="945">
        <f>[2]Breaking.!AF75</f>
        <v>70</v>
      </c>
      <c r="AK123" s="945">
        <f>[2]Breaking.!AG75</f>
        <v>70</v>
      </c>
      <c r="AL123" s="945">
        <f>[2]Breaking.!AH75</f>
        <v>0</v>
      </c>
      <c r="AM123" s="1105"/>
    </row>
    <row r="124" spans="2:39" ht="13.5" customHeight="1" thickBot="1" x14ac:dyDescent="0.3">
      <c r="B124" s="1608"/>
      <c r="C124" s="1616"/>
      <c r="D124" s="1611"/>
      <c r="E124" s="1302" t="s">
        <v>342</v>
      </c>
      <c r="F124" s="1303">
        <f>SUMIF($H$9:$AL$9,"&lt;="&amp;$C$7,H124:AL124)</f>
        <v>1876</v>
      </c>
      <c r="G124" s="1304">
        <f t="shared" ref="G124" si="67">IFERROR((F124-F123)/F123,0)</f>
        <v>-0.10666666666666667</v>
      </c>
      <c r="H124" s="1305">
        <v>78</v>
      </c>
      <c r="I124" s="1303">
        <v>76</v>
      </c>
      <c r="J124" s="1303">
        <v>85</v>
      </c>
      <c r="K124" s="1303">
        <v>73</v>
      </c>
      <c r="L124" s="1303">
        <v>77</v>
      </c>
      <c r="M124" s="1303">
        <v>74</v>
      </c>
      <c r="N124" s="1303">
        <v>113</v>
      </c>
      <c r="O124" s="1303">
        <v>72</v>
      </c>
      <c r="P124" s="1303">
        <v>73</v>
      </c>
      <c r="Q124" s="1303">
        <f>42+37</f>
        <v>79</v>
      </c>
      <c r="R124" s="1303">
        <f>35+38</f>
        <v>73</v>
      </c>
      <c r="S124" s="1303">
        <v>38</v>
      </c>
      <c r="T124" s="1303">
        <v>35</v>
      </c>
      <c r="U124" s="1303">
        <v>38</v>
      </c>
      <c r="V124" s="1303">
        <v>76</v>
      </c>
      <c r="W124" s="1303">
        <v>86</v>
      </c>
      <c r="X124" s="1303">
        <v>79</v>
      </c>
      <c r="Y124" s="1303">
        <v>79</v>
      </c>
      <c r="Z124" s="1303">
        <v>78</v>
      </c>
      <c r="AA124" s="1303">
        <v>77</v>
      </c>
      <c r="AB124" s="1303">
        <v>79</v>
      </c>
      <c r="AC124" s="1303">
        <v>49</v>
      </c>
      <c r="AD124" s="1303">
        <v>80</v>
      </c>
      <c r="AE124" s="1303">
        <v>40</v>
      </c>
      <c r="AF124" s="1303">
        <v>45</v>
      </c>
      <c r="AG124" s="1303">
        <v>42</v>
      </c>
      <c r="AH124" s="1303">
        <v>40</v>
      </c>
      <c r="AI124" s="1303">
        <v>42</v>
      </c>
      <c r="AJ124" s="1303"/>
      <c r="AK124" s="1303"/>
      <c r="AL124" s="1303"/>
      <c r="AM124" s="1074"/>
    </row>
    <row r="125" spans="2:39" ht="13.5" customHeight="1" thickBot="1" x14ac:dyDescent="0.3">
      <c r="B125" s="1608"/>
      <c r="C125" s="1616"/>
      <c r="D125" s="1611"/>
      <c r="E125" s="1324" t="s">
        <v>312</v>
      </c>
      <c r="F125" s="1325"/>
      <c r="G125" s="1326"/>
      <c r="H125" s="1075"/>
      <c r="I125" s="1075"/>
      <c r="J125" s="1075"/>
      <c r="K125" s="1075"/>
      <c r="L125" s="1075"/>
      <c r="M125" s="1075"/>
      <c r="N125" s="1075"/>
      <c r="O125" s="1075"/>
      <c r="P125" s="1076"/>
      <c r="Q125" s="1075"/>
      <c r="R125" s="1075"/>
      <c r="S125" s="1075"/>
      <c r="T125" s="1075"/>
      <c r="U125" s="1075"/>
      <c r="V125" s="1075"/>
      <c r="W125" s="1075"/>
      <c r="X125" s="1075"/>
      <c r="Y125" s="1075"/>
      <c r="Z125" s="1075"/>
      <c r="AA125" s="1075"/>
      <c r="AB125" s="1075"/>
      <c r="AC125" s="1075"/>
      <c r="AD125" s="1075"/>
      <c r="AE125" s="1075"/>
      <c r="AF125" s="1075"/>
      <c r="AG125" s="1075"/>
      <c r="AH125" s="1075"/>
      <c r="AI125" s="1075"/>
      <c r="AJ125" s="1075"/>
      <c r="AK125" s="1075"/>
      <c r="AL125" s="1077"/>
      <c r="AM125" s="1108"/>
    </row>
    <row r="126" spans="2:39" ht="13.5" customHeight="1" thickBot="1" x14ac:dyDescent="0.3">
      <c r="B126" s="1608"/>
      <c r="C126" s="1616"/>
      <c r="D126" s="1612" t="s">
        <v>343</v>
      </c>
      <c r="E126" s="1309" t="s">
        <v>344</v>
      </c>
      <c r="F126" s="1310">
        <f>IFERROR(F128*1000/F123,0)</f>
        <v>2.1999999999999993</v>
      </c>
      <c r="G126" s="1311"/>
      <c r="H126" s="1312">
        <v>2.2000000000000002</v>
      </c>
      <c r="I126" s="1312">
        <v>2.2000000000000002</v>
      </c>
      <c r="J126" s="1312">
        <v>2.2000000000000002</v>
      </c>
      <c r="K126" s="1312">
        <v>2.2000000000000002</v>
      </c>
      <c r="L126" s="1312">
        <v>2.2000000000000002</v>
      </c>
      <c r="M126" s="1312">
        <v>2.2000000000000002</v>
      </c>
      <c r="N126" s="1312">
        <v>2.2000000000000002</v>
      </c>
      <c r="O126" s="1312">
        <v>2.2000000000000002</v>
      </c>
      <c r="P126" s="1312">
        <v>2.2000000000000002</v>
      </c>
      <c r="Q126" s="1312">
        <v>2.2000000000000002</v>
      </c>
      <c r="R126" s="1312">
        <v>2.2000000000000002</v>
      </c>
      <c r="S126" s="1312">
        <v>2.2000000000000002</v>
      </c>
      <c r="T126" s="1312">
        <v>2.2000000000000002</v>
      </c>
      <c r="U126" s="1312">
        <v>2.2000000000000002</v>
      </c>
      <c r="V126" s="1312">
        <v>2.2000000000000002</v>
      </c>
      <c r="W126" s="1312">
        <v>2.2000000000000002</v>
      </c>
      <c r="X126" s="1312">
        <v>2.2000000000000002</v>
      </c>
      <c r="Y126" s="1312">
        <v>2.2000000000000002</v>
      </c>
      <c r="Z126" s="1312">
        <v>2.2000000000000002</v>
      </c>
      <c r="AA126" s="1312">
        <v>2.2000000000000002</v>
      </c>
      <c r="AB126" s="1312">
        <v>2.2000000000000002</v>
      </c>
      <c r="AC126" s="1312">
        <v>2.2000000000000002</v>
      </c>
      <c r="AD126" s="1312">
        <v>2.2000000000000002</v>
      </c>
      <c r="AE126" s="1312">
        <v>2.2000000000000002</v>
      </c>
      <c r="AF126" s="1312">
        <v>2.2000000000000002</v>
      </c>
      <c r="AG126" s="1312">
        <v>2.2000000000000002</v>
      </c>
      <c r="AH126" s="1312">
        <v>2.2000000000000002</v>
      </c>
      <c r="AI126" s="1312">
        <v>2.2000000000000002</v>
      </c>
      <c r="AJ126" s="1312">
        <v>2.2000000000000002</v>
      </c>
      <c r="AK126" s="1312">
        <v>2.2000000000000002</v>
      </c>
      <c r="AL126" s="1312"/>
      <c r="AM126" s="1074"/>
    </row>
    <row r="127" spans="2:39" ht="13.5" customHeight="1" thickBot="1" x14ac:dyDescent="0.3">
      <c r="B127" s="1608"/>
      <c r="C127" s="1616"/>
      <c r="D127" s="1612"/>
      <c r="E127" s="1313" t="s">
        <v>345</v>
      </c>
      <c r="F127" s="1314">
        <f t="shared" ref="F127" si="68">IFERROR(F129*1000/F124,0)</f>
        <v>2.6041257995735614</v>
      </c>
      <c r="G127" s="1304">
        <f t="shared" ref="G127" si="69">IFERROR((F127-F126)/F126,0)</f>
        <v>0.18369354526071011</v>
      </c>
      <c r="H127" s="1315">
        <v>3.1</v>
      </c>
      <c r="I127" s="1314">
        <v>6.55</v>
      </c>
      <c r="J127" s="1314">
        <v>4.25</v>
      </c>
      <c r="K127" s="1314">
        <v>1.43</v>
      </c>
      <c r="L127" s="1314">
        <v>1.77</v>
      </c>
      <c r="M127" s="1314">
        <v>1.1000000000000001</v>
      </c>
      <c r="N127" s="1314">
        <v>1.87</v>
      </c>
      <c r="O127" s="1314">
        <v>1.87</v>
      </c>
      <c r="P127" s="1314">
        <v>1.5</v>
      </c>
      <c r="Q127" s="1314">
        <v>1.41</v>
      </c>
      <c r="R127" s="1314">
        <v>1.41</v>
      </c>
      <c r="S127" s="1314">
        <v>5.93</v>
      </c>
      <c r="T127" s="1314">
        <v>3.67</v>
      </c>
      <c r="U127" s="1314">
        <v>3.19</v>
      </c>
      <c r="V127" s="1314">
        <v>3.19</v>
      </c>
      <c r="W127" s="1314">
        <v>1.21</v>
      </c>
      <c r="X127" s="1314">
        <v>5.19</v>
      </c>
      <c r="Y127" s="1314">
        <v>1.67</v>
      </c>
      <c r="Z127" s="1314">
        <v>2.52</v>
      </c>
      <c r="AA127" s="1314">
        <v>3.81</v>
      </c>
      <c r="AB127" s="1314">
        <v>2</v>
      </c>
      <c r="AC127" s="1314">
        <v>2</v>
      </c>
      <c r="AD127" s="1314">
        <v>3.2</v>
      </c>
      <c r="AE127" s="1314">
        <v>3.19</v>
      </c>
      <c r="AF127" s="1314">
        <v>1.36</v>
      </c>
      <c r="AG127" s="1314">
        <v>0.5</v>
      </c>
      <c r="AH127" s="1314">
        <v>1.94</v>
      </c>
      <c r="AI127" s="1314">
        <v>3.33</v>
      </c>
      <c r="AJ127" s="1314"/>
      <c r="AK127" s="1314"/>
      <c r="AL127" s="1314"/>
      <c r="AM127" s="1074"/>
    </row>
    <row r="128" spans="2:39" ht="13.5" customHeight="1" thickBot="1" x14ac:dyDescent="0.3">
      <c r="B128" s="1608"/>
      <c r="C128" s="1616"/>
      <c r="D128" s="1613" t="s">
        <v>47</v>
      </c>
      <c r="E128" s="1309" t="s">
        <v>346</v>
      </c>
      <c r="F128" s="206">
        <f>SUMIF($H$9:$AL$9,"&lt;="&amp;$C$7,H128:AL128)</f>
        <v>4.6199999999999983</v>
      </c>
      <c r="G128" s="1311"/>
      <c r="H128" s="1316">
        <f>+H126*H123/1000</f>
        <v>0.154</v>
      </c>
      <c r="I128" s="1316">
        <f t="shared" ref="I128:AL128" si="70">+I126*I123/1000</f>
        <v>0.154</v>
      </c>
      <c r="J128" s="1316">
        <f t="shared" si="70"/>
        <v>0.154</v>
      </c>
      <c r="K128" s="1316">
        <f t="shared" si="70"/>
        <v>0.154</v>
      </c>
      <c r="L128" s="1316">
        <f t="shared" si="70"/>
        <v>0.154</v>
      </c>
      <c r="M128" s="1316">
        <f t="shared" si="70"/>
        <v>0.154</v>
      </c>
      <c r="N128" s="1316">
        <f t="shared" si="70"/>
        <v>0.154</v>
      </c>
      <c r="O128" s="1316">
        <f t="shared" si="70"/>
        <v>0.154</v>
      </c>
      <c r="P128" s="1316">
        <f t="shared" si="70"/>
        <v>0.154</v>
      </c>
      <c r="Q128" s="1316">
        <f t="shared" si="70"/>
        <v>0.154</v>
      </c>
      <c r="R128" s="1316">
        <f t="shared" si="70"/>
        <v>0.154</v>
      </c>
      <c r="S128" s="1316">
        <f t="shared" si="70"/>
        <v>0.154</v>
      </c>
      <c r="T128" s="1316">
        <f t="shared" si="70"/>
        <v>0.154</v>
      </c>
      <c r="U128" s="1316">
        <f t="shared" si="70"/>
        <v>0.154</v>
      </c>
      <c r="V128" s="1316">
        <f t="shared" si="70"/>
        <v>0.154</v>
      </c>
      <c r="W128" s="1316">
        <f t="shared" si="70"/>
        <v>0.154</v>
      </c>
      <c r="X128" s="1316">
        <f t="shared" si="70"/>
        <v>0.154</v>
      </c>
      <c r="Y128" s="1316">
        <f t="shared" si="70"/>
        <v>0.154</v>
      </c>
      <c r="Z128" s="1316">
        <f t="shared" si="70"/>
        <v>0.154</v>
      </c>
      <c r="AA128" s="1316">
        <f t="shared" si="70"/>
        <v>0.154</v>
      </c>
      <c r="AB128" s="1316">
        <f t="shared" si="70"/>
        <v>0.154</v>
      </c>
      <c r="AC128" s="1316">
        <f t="shared" si="70"/>
        <v>0.154</v>
      </c>
      <c r="AD128" s="1316">
        <f t="shared" si="70"/>
        <v>0.154</v>
      </c>
      <c r="AE128" s="1316">
        <f t="shared" si="70"/>
        <v>0.154</v>
      </c>
      <c r="AF128" s="1316">
        <f t="shared" si="70"/>
        <v>0.154</v>
      </c>
      <c r="AG128" s="1316">
        <f t="shared" si="70"/>
        <v>0.154</v>
      </c>
      <c r="AH128" s="1316">
        <f t="shared" si="70"/>
        <v>0.154</v>
      </c>
      <c r="AI128" s="1316">
        <f t="shared" si="70"/>
        <v>0.154</v>
      </c>
      <c r="AJ128" s="1316">
        <f t="shared" si="70"/>
        <v>0.154</v>
      </c>
      <c r="AK128" s="1316">
        <f t="shared" si="70"/>
        <v>0.154</v>
      </c>
      <c r="AL128" s="1316">
        <f t="shared" si="70"/>
        <v>0</v>
      </c>
      <c r="AM128" s="1078"/>
    </row>
    <row r="129" spans="2:39" ht="13.5" customHeight="1" thickBot="1" x14ac:dyDescent="0.3">
      <c r="B129" s="1609"/>
      <c r="C129" s="1617"/>
      <c r="D129" s="1614"/>
      <c r="E129" s="1320" t="s">
        <v>347</v>
      </c>
      <c r="F129" s="1321">
        <f>SUMIF($H$9:$AL$9,"&lt;="&amp;$C$7,H129:AL129)</f>
        <v>4.8853400000000011</v>
      </c>
      <c r="G129" s="1322">
        <f>IFERROR((F129-F128)/F128,0)</f>
        <v>5.7432900432901057E-2</v>
      </c>
      <c r="H129" s="1323">
        <f t="shared" ref="H129:AL129" si="71">+H127*H124/1000</f>
        <v>0.24180000000000001</v>
      </c>
      <c r="I129" s="1321">
        <f t="shared" si="71"/>
        <v>0.49780000000000002</v>
      </c>
      <c r="J129" s="1321">
        <f t="shared" si="71"/>
        <v>0.36125000000000002</v>
      </c>
      <c r="K129" s="1321">
        <f t="shared" si="71"/>
        <v>0.10439</v>
      </c>
      <c r="L129" s="1321">
        <f t="shared" si="71"/>
        <v>0.13628999999999999</v>
      </c>
      <c r="M129" s="1321">
        <f t="shared" si="71"/>
        <v>8.14E-2</v>
      </c>
      <c r="N129" s="1321">
        <f t="shared" si="71"/>
        <v>0.21131</v>
      </c>
      <c r="O129" s="1321">
        <f t="shared" si="71"/>
        <v>0.13464000000000001</v>
      </c>
      <c r="P129" s="1321">
        <f t="shared" si="71"/>
        <v>0.1095</v>
      </c>
      <c r="Q129" s="1321">
        <f t="shared" si="71"/>
        <v>0.11139</v>
      </c>
      <c r="R129" s="1321">
        <f t="shared" si="71"/>
        <v>0.10292999999999999</v>
      </c>
      <c r="S129" s="1321">
        <f t="shared" si="71"/>
        <v>0.22533999999999998</v>
      </c>
      <c r="T129" s="1321">
        <f t="shared" si="71"/>
        <v>0.12844999999999998</v>
      </c>
      <c r="U129" s="1321">
        <f t="shared" si="71"/>
        <v>0.12121999999999999</v>
      </c>
      <c r="V129" s="1321">
        <f t="shared" si="71"/>
        <v>0.24243999999999999</v>
      </c>
      <c r="W129" s="1321">
        <f t="shared" si="71"/>
        <v>0.10406</v>
      </c>
      <c r="X129" s="1321">
        <f t="shared" si="71"/>
        <v>0.41001000000000004</v>
      </c>
      <c r="Y129" s="1321">
        <f t="shared" si="71"/>
        <v>0.13193000000000002</v>
      </c>
      <c r="Z129" s="1321">
        <f t="shared" si="71"/>
        <v>0.19656000000000001</v>
      </c>
      <c r="AA129" s="1321">
        <f t="shared" si="71"/>
        <v>0.29337000000000002</v>
      </c>
      <c r="AB129" s="1321">
        <f t="shared" si="71"/>
        <v>0.158</v>
      </c>
      <c r="AC129" s="1321">
        <f t="shared" si="71"/>
        <v>9.8000000000000004E-2</v>
      </c>
      <c r="AD129" s="1321">
        <f>+AD127*AD124/1000</f>
        <v>0.25600000000000001</v>
      </c>
      <c r="AE129" s="1321">
        <f t="shared" si="71"/>
        <v>0.12759999999999999</v>
      </c>
      <c r="AF129" s="1321">
        <f t="shared" si="71"/>
        <v>6.1200000000000004E-2</v>
      </c>
      <c r="AG129" s="1321">
        <f t="shared" si="71"/>
        <v>2.1000000000000001E-2</v>
      </c>
      <c r="AH129" s="1321">
        <f t="shared" si="71"/>
        <v>7.7599999999999988E-2</v>
      </c>
      <c r="AI129" s="1321">
        <f t="shared" si="71"/>
        <v>0.13986000000000001</v>
      </c>
      <c r="AJ129" s="1321">
        <f t="shared" si="71"/>
        <v>0</v>
      </c>
      <c r="AK129" s="1321">
        <f t="shared" si="71"/>
        <v>0</v>
      </c>
      <c r="AL129" s="1321">
        <f t="shared" si="71"/>
        <v>0</v>
      </c>
      <c r="AM129" s="1079"/>
    </row>
    <row r="130" spans="2:39" ht="13.5" customHeight="1" thickBot="1" x14ac:dyDescent="0.3">
      <c r="B130" s="1608">
        <v>1</v>
      </c>
      <c r="C130" s="1615" t="str">
        <f>[2]Breaking.!A77</f>
        <v>6L_W15_STOPE</v>
      </c>
      <c r="D130" s="1611" t="s">
        <v>340</v>
      </c>
      <c r="E130" s="1104" t="s">
        <v>341</v>
      </c>
      <c r="F130" s="196">
        <f>SUMIF($H$9:$AL$9,"&lt;="&amp;$C$7,H130:AL130)</f>
        <v>2100</v>
      </c>
      <c r="G130" s="1071"/>
      <c r="H130" s="198">
        <f>[2]Breaking.!D77</f>
        <v>70</v>
      </c>
      <c r="I130" s="198">
        <f>[2]Breaking.!E77</f>
        <v>70</v>
      </c>
      <c r="J130" s="198">
        <f>[2]Breaking.!F77</f>
        <v>70</v>
      </c>
      <c r="K130" s="198">
        <f>[2]Breaking.!G77</f>
        <v>70</v>
      </c>
      <c r="L130" s="198">
        <f>[2]Breaking.!H77</f>
        <v>70</v>
      </c>
      <c r="M130" s="198">
        <f>[2]Breaking.!I77</f>
        <v>70</v>
      </c>
      <c r="N130" s="198">
        <f>[2]Breaking.!J77</f>
        <v>70</v>
      </c>
      <c r="O130" s="198">
        <f>[2]Breaking.!K77</f>
        <v>70</v>
      </c>
      <c r="P130" s="198">
        <f>[2]Breaking.!L77</f>
        <v>70</v>
      </c>
      <c r="Q130" s="198">
        <f>[2]Breaking.!M77</f>
        <v>70</v>
      </c>
      <c r="R130" s="198">
        <f>[2]Breaking.!N77</f>
        <v>70</v>
      </c>
      <c r="S130" s="198">
        <f>[2]Breaking.!O77</f>
        <v>70</v>
      </c>
      <c r="T130" s="198">
        <f>[2]Breaking.!P77</f>
        <v>70</v>
      </c>
      <c r="U130" s="198">
        <f>[2]Breaking.!Q77</f>
        <v>70</v>
      </c>
      <c r="V130" s="198">
        <f>[2]Breaking.!R77</f>
        <v>70</v>
      </c>
      <c r="W130" s="198">
        <f>[2]Breaking.!S77</f>
        <v>70</v>
      </c>
      <c r="X130" s="198">
        <f>[2]Breaking.!T77</f>
        <v>70</v>
      </c>
      <c r="Y130" s="198">
        <f>[2]Breaking.!U77</f>
        <v>70</v>
      </c>
      <c r="Z130" s="198">
        <f>[2]Breaking.!V77</f>
        <v>70</v>
      </c>
      <c r="AA130" s="198">
        <f>[2]Breaking.!W77</f>
        <v>70</v>
      </c>
      <c r="AB130" s="198">
        <f>[2]Breaking.!X77</f>
        <v>70</v>
      </c>
      <c r="AC130" s="198">
        <f>[2]Breaking.!Y77</f>
        <v>70</v>
      </c>
      <c r="AD130" s="198">
        <f>[2]Breaking.!Z77</f>
        <v>70</v>
      </c>
      <c r="AE130" s="198">
        <f>[2]Breaking.!AA77</f>
        <v>70</v>
      </c>
      <c r="AF130" s="198">
        <f>[2]Breaking.!AB77</f>
        <v>70</v>
      </c>
      <c r="AG130" s="198">
        <f>[2]Breaking.!AC77</f>
        <v>70</v>
      </c>
      <c r="AH130" s="198">
        <f>[2]Breaking.!AD77</f>
        <v>70</v>
      </c>
      <c r="AI130" s="198">
        <f>[2]Breaking.!AE77</f>
        <v>70</v>
      </c>
      <c r="AJ130" s="198">
        <f>[2]Breaking.!AF77</f>
        <v>70</v>
      </c>
      <c r="AK130" s="198">
        <f>[2]Breaking.!AG77</f>
        <v>70</v>
      </c>
      <c r="AL130" s="201"/>
      <c r="AM130" s="1105"/>
    </row>
    <row r="131" spans="2:39" ht="13.5" customHeight="1" thickBot="1" x14ac:dyDescent="0.3">
      <c r="B131" s="1608"/>
      <c r="C131" s="1616"/>
      <c r="D131" s="1611"/>
      <c r="E131" s="1302" t="s">
        <v>342</v>
      </c>
      <c r="F131" s="1303">
        <f>SUMIF($H$9:$AL$9,"&lt;="&amp;$C$7,H131:AL131)</f>
        <v>3028</v>
      </c>
      <c r="G131" s="1304">
        <f t="shared" ref="G131" si="72">IFERROR((F131-F130)/F130,0)</f>
        <v>0.44190476190476191</v>
      </c>
      <c r="H131" s="1305">
        <v>77</v>
      </c>
      <c r="I131" s="1305">
        <v>78</v>
      </c>
      <c r="J131" s="1303">
        <v>83</v>
      </c>
      <c r="K131" s="1303">
        <v>73</v>
      </c>
      <c r="L131" s="1303">
        <f>88+35</f>
        <v>123</v>
      </c>
      <c r="M131" s="1303">
        <v>111</v>
      </c>
      <c r="N131" s="1303">
        <f>34+38</f>
        <v>72</v>
      </c>
      <c r="O131" s="1303">
        <v>82</v>
      </c>
      <c r="P131" s="1303">
        <v>72</v>
      </c>
      <c r="Q131" s="1303">
        <v>70</v>
      </c>
      <c r="R131" s="1303">
        <v>74</v>
      </c>
      <c r="S131" s="1303">
        <v>121</v>
      </c>
      <c r="T131" s="1303">
        <v>145</v>
      </c>
      <c r="U131" s="1303">
        <v>179</v>
      </c>
      <c r="V131" s="1303">
        <v>92</v>
      </c>
      <c r="W131" s="1303">
        <f>84+76</f>
        <v>160</v>
      </c>
      <c r="X131" s="1303">
        <v>167</v>
      </c>
      <c r="Y131" s="1303">
        <f>84+79</f>
        <v>163</v>
      </c>
      <c r="Z131" s="1303">
        <f>79+39</f>
        <v>118</v>
      </c>
      <c r="AA131" s="1303">
        <f>83+77</f>
        <v>160</v>
      </c>
      <c r="AB131" s="1303">
        <f>77+75</f>
        <v>152</v>
      </c>
      <c r="AC131" s="1303">
        <v>70</v>
      </c>
      <c r="AD131" s="1303">
        <v>77</v>
      </c>
      <c r="AE131" s="1303">
        <v>87</v>
      </c>
      <c r="AF131" s="1303">
        <f>43+38</f>
        <v>81</v>
      </c>
      <c r="AG131" s="1303">
        <v>86</v>
      </c>
      <c r="AH131" s="1303">
        <v>87</v>
      </c>
      <c r="AI131" s="1303">
        <v>43</v>
      </c>
      <c r="AJ131" s="1303">
        <v>45</v>
      </c>
      <c r="AK131" s="1303">
        <v>80</v>
      </c>
      <c r="AL131" s="1303"/>
      <c r="AM131" s="1074"/>
    </row>
    <row r="132" spans="2:39" ht="13.5" customHeight="1" thickBot="1" x14ac:dyDescent="0.3">
      <c r="B132" s="1608"/>
      <c r="C132" s="1616"/>
      <c r="D132" s="1611"/>
      <c r="E132" s="1324" t="s">
        <v>312</v>
      </c>
      <c r="F132" s="1325"/>
      <c r="G132" s="1326"/>
      <c r="H132" s="1075"/>
      <c r="I132" s="1075"/>
      <c r="J132" s="1075"/>
      <c r="K132" s="1075"/>
      <c r="L132" s="1075"/>
      <c r="M132" s="1075"/>
      <c r="N132" s="1075"/>
      <c r="O132" s="1075"/>
      <c r="P132" s="1076"/>
      <c r="Q132" s="1075"/>
      <c r="R132" s="1075"/>
      <c r="S132" s="1075"/>
      <c r="T132" s="1075"/>
      <c r="U132" s="1075"/>
      <c r="V132" s="1075"/>
      <c r="W132" s="1075"/>
      <c r="X132" s="1075"/>
      <c r="Y132" s="1075"/>
      <c r="Z132" s="1075"/>
      <c r="AA132" s="1075"/>
      <c r="AB132" s="1075"/>
      <c r="AC132" s="1075"/>
      <c r="AD132" s="1075"/>
      <c r="AE132" s="1075"/>
      <c r="AF132" s="1075"/>
      <c r="AG132" s="1075"/>
      <c r="AH132" s="1075"/>
      <c r="AI132" s="1075"/>
      <c r="AJ132" s="1075"/>
      <c r="AK132" s="1075"/>
      <c r="AL132" s="1077"/>
      <c r="AM132" s="1108"/>
    </row>
    <row r="133" spans="2:39" ht="13.5" customHeight="1" thickBot="1" x14ac:dyDescent="0.3">
      <c r="B133" s="1608"/>
      <c r="C133" s="1616"/>
      <c r="D133" s="1612" t="s">
        <v>343</v>
      </c>
      <c r="E133" s="1309" t="s">
        <v>344</v>
      </c>
      <c r="F133" s="1310">
        <f t="shared" ref="F133:F134" si="73">IFERROR(F135*1000/F130,0)</f>
        <v>2.1999999999999993</v>
      </c>
      <c r="G133" s="1311"/>
      <c r="H133" s="1312">
        <v>2.2000000000000002</v>
      </c>
      <c r="I133" s="1312">
        <v>2.2000000000000002</v>
      </c>
      <c r="J133" s="1312">
        <v>2.2000000000000002</v>
      </c>
      <c r="K133" s="1312">
        <v>2.2000000000000002</v>
      </c>
      <c r="L133" s="1312">
        <v>2.2000000000000002</v>
      </c>
      <c r="M133" s="1312">
        <v>2.2000000000000002</v>
      </c>
      <c r="N133" s="1312">
        <v>2.2000000000000002</v>
      </c>
      <c r="O133" s="1312">
        <v>2.2000000000000002</v>
      </c>
      <c r="P133" s="1312">
        <v>2.2000000000000002</v>
      </c>
      <c r="Q133" s="1312">
        <v>2.2000000000000002</v>
      </c>
      <c r="R133" s="1312">
        <v>2.2000000000000002</v>
      </c>
      <c r="S133" s="1312">
        <v>2.2000000000000002</v>
      </c>
      <c r="T133" s="1312">
        <v>2.2000000000000002</v>
      </c>
      <c r="U133" s="1312">
        <v>2.2000000000000002</v>
      </c>
      <c r="V133" s="1312">
        <v>2.2000000000000002</v>
      </c>
      <c r="W133" s="1312">
        <v>2.2000000000000002</v>
      </c>
      <c r="X133" s="1312">
        <v>2.2000000000000002</v>
      </c>
      <c r="Y133" s="1312">
        <v>2.2000000000000002</v>
      </c>
      <c r="Z133" s="1312">
        <v>2.2000000000000002</v>
      </c>
      <c r="AA133" s="1312">
        <v>2.2000000000000002</v>
      </c>
      <c r="AB133" s="1312">
        <v>2.2000000000000002</v>
      </c>
      <c r="AC133" s="1312">
        <v>2.2000000000000002</v>
      </c>
      <c r="AD133" s="1312">
        <v>2.2000000000000002</v>
      </c>
      <c r="AE133" s="1312">
        <v>2.2000000000000002</v>
      </c>
      <c r="AF133" s="1312">
        <v>2.2000000000000002</v>
      </c>
      <c r="AG133" s="1312">
        <v>2.2000000000000002</v>
      </c>
      <c r="AH133" s="1312">
        <v>2.2000000000000002</v>
      </c>
      <c r="AI133" s="1312">
        <v>2.2000000000000002</v>
      </c>
      <c r="AJ133" s="1312">
        <v>2.2000000000000002</v>
      </c>
      <c r="AK133" s="1312">
        <v>2.2000000000000002</v>
      </c>
      <c r="AL133" s="1335"/>
      <c r="AM133" s="1074"/>
    </row>
    <row r="134" spans="2:39" ht="13.5" customHeight="1" thickBot="1" x14ac:dyDescent="0.3">
      <c r="B134" s="1608"/>
      <c r="C134" s="1616"/>
      <c r="D134" s="1612"/>
      <c r="E134" s="1313" t="s">
        <v>345</v>
      </c>
      <c r="F134" s="1314">
        <f t="shared" si="73"/>
        <v>2.745389696169088</v>
      </c>
      <c r="G134" s="1304">
        <f t="shared" ref="G134" si="74">IFERROR((F134-F133)/F133,0)</f>
        <v>0.24790440734958585</v>
      </c>
      <c r="H134" s="1315">
        <v>2.57</v>
      </c>
      <c r="I134" s="1315">
        <v>1.4</v>
      </c>
      <c r="J134" s="1314">
        <v>4.12</v>
      </c>
      <c r="K134" s="1314">
        <v>2.92</v>
      </c>
      <c r="L134" s="1314">
        <v>1.1200000000000001</v>
      </c>
      <c r="M134" s="1314">
        <v>1.06</v>
      </c>
      <c r="N134" s="1314">
        <v>1.38</v>
      </c>
      <c r="O134" s="1314">
        <v>1.38</v>
      </c>
      <c r="P134" s="1314">
        <v>2.36</v>
      </c>
      <c r="Q134" s="1314">
        <v>5.27</v>
      </c>
      <c r="R134" s="1314">
        <v>5.27</v>
      </c>
      <c r="S134" s="1314">
        <v>2.3199999999999998</v>
      </c>
      <c r="T134" s="1314">
        <v>4.0599999999999996</v>
      </c>
      <c r="U134" s="1314">
        <v>3.04</v>
      </c>
      <c r="V134" s="1314">
        <v>3.04</v>
      </c>
      <c r="W134" s="1314">
        <v>1.22</v>
      </c>
      <c r="X134" s="1314">
        <v>3.88</v>
      </c>
      <c r="Y134" s="1314">
        <v>2.44</v>
      </c>
      <c r="Z134" s="1314">
        <v>3.24</v>
      </c>
      <c r="AA134" s="1314">
        <v>3.17</v>
      </c>
      <c r="AB134" s="1314">
        <v>3.17</v>
      </c>
      <c r="AC134" s="1314">
        <v>2.0699999999999998</v>
      </c>
      <c r="AD134" s="1314">
        <v>1.86</v>
      </c>
      <c r="AE134" s="1314">
        <v>2.98</v>
      </c>
      <c r="AF134" s="1314">
        <v>1.93</v>
      </c>
      <c r="AG134" s="1314">
        <v>3.34</v>
      </c>
      <c r="AH134" s="1314">
        <v>3.16</v>
      </c>
      <c r="AI134" s="1314">
        <v>3.94</v>
      </c>
      <c r="AJ134" s="1314">
        <v>3.94</v>
      </c>
      <c r="AK134" s="1314">
        <v>1.7</v>
      </c>
      <c r="AL134" s="1314"/>
      <c r="AM134" s="1074"/>
    </row>
    <row r="135" spans="2:39" ht="13.5" customHeight="1" thickBot="1" x14ac:dyDescent="0.3">
      <c r="B135" s="1608"/>
      <c r="C135" s="1616"/>
      <c r="D135" s="1613" t="s">
        <v>47</v>
      </c>
      <c r="E135" s="1309" t="s">
        <v>346</v>
      </c>
      <c r="F135" s="206">
        <f>SUMIF($H$9:$AL$9,"&lt;="&amp;$C$7,H135:AL135)</f>
        <v>4.6199999999999983</v>
      </c>
      <c r="G135" s="1311"/>
      <c r="H135" s="1316">
        <f>+H133*H130/1000</f>
        <v>0.154</v>
      </c>
      <c r="I135" s="1316">
        <f t="shared" ref="I135:AL135" si="75">+I133*I130/1000</f>
        <v>0.154</v>
      </c>
      <c r="J135" s="1316">
        <f t="shared" si="75"/>
        <v>0.154</v>
      </c>
      <c r="K135" s="1316">
        <f t="shared" si="75"/>
        <v>0.154</v>
      </c>
      <c r="L135" s="1316">
        <f t="shared" si="75"/>
        <v>0.154</v>
      </c>
      <c r="M135" s="1316">
        <f t="shared" si="75"/>
        <v>0.154</v>
      </c>
      <c r="N135" s="1316">
        <f t="shared" si="75"/>
        <v>0.154</v>
      </c>
      <c r="O135" s="1316">
        <f t="shared" si="75"/>
        <v>0.154</v>
      </c>
      <c r="P135" s="1316">
        <f t="shared" si="75"/>
        <v>0.154</v>
      </c>
      <c r="Q135" s="1316">
        <f t="shared" si="75"/>
        <v>0.154</v>
      </c>
      <c r="R135" s="1316">
        <f t="shared" si="75"/>
        <v>0.154</v>
      </c>
      <c r="S135" s="1316">
        <f t="shared" si="75"/>
        <v>0.154</v>
      </c>
      <c r="T135" s="1316">
        <f t="shared" si="75"/>
        <v>0.154</v>
      </c>
      <c r="U135" s="1316">
        <f t="shared" si="75"/>
        <v>0.154</v>
      </c>
      <c r="V135" s="1316">
        <f t="shared" si="75"/>
        <v>0.154</v>
      </c>
      <c r="W135" s="1316">
        <f t="shared" si="75"/>
        <v>0.154</v>
      </c>
      <c r="X135" s="1316">
        <f t="shared" si="75"/>
        <v>0.154</v>
      </c>
      <c r="Y135" s="1316">
        <f t="shared" si="75"/>
        <v>0.154</v>
      </c>
      <c r="Z135" s="1316">
        <f t="shared" si="75"/>
        <v>0.154</v>
      </c>
      <c r="AA135" s="1316">
        <f t="shared" si="75"/>
        <v>0.154</v>
      </c>
      <c r="AB135" s="1316">
        <f t="shared" si="75"/>
        <v>0.154</v>
      </c>
      <c r="AC135" s="1316">
        <f t="shared" si="75"/>
        <v>0.154</v>
      </c>
      <c r="AD135" s="1316">
        <f t="shared" si="75"/>
        <v>0.154</v>
      </c>
      <c r="AE135" s="1316">
        <f t="shared" si="75"/>
        <v>0.154</v>
      </c>
      <c r="AF135" s="1316">
        <f t="shared" si="75"/>
        <v>0.154</v>
      </c>
      <c r="AG135" s="1316">
        <f t="shared" si="75"/>
        <v>0.154</v>
      </c>
      <c r="AH135" s="1316">
        <f t="shared" si="75"/>
        <v>0.154</v>
      </c>
      <c r="AI135" s="1316">
        <f t="shared" si="75"/>
        <v>0.154</v>
      </c>
      <c r="AJ135" s="1316">
        <f t="shared" si="75"/>
        <v>0.154</v>
      </c>
      <c r="AK135" s="1316">
        <f t="shared" si="75"/>
        <v>0.154</v>
      </c>
      <c r="AL135" s="1319">
        <f t="shared" si="75"/>
        <v>0</v>
      </c>
      <c r="AM135" s="1078"/>
    </row>
    <row r="136" spans="2:39" ht="13.5" customHeight="1" thickBot="1" x14ac:dyDescent="0.3">
      <c r="B136" s="1609"/>
      <c r="C136" s="1617"/>
      <c r="D136" s="1614"/>
      <c r="E136" s="1320" t="s">
        <v>347</v>
      </c>
      <c r="F136" s="1321">
        <f>SUMIF($H$9:$AL$9,"&lt;="&amp;$C$7,H136:AL136)</f>
        <v>8.3130399999999991</v>
      </c>
      <c r="G136" s="1322">
        <f t="shared" ref="G136" si="76">IFERROR((F136-F135)/F135,0)</f>
        <v>0.79935930735930782</v>
      </c>
      <c r="H136" s="1323">
        <f t="shared" ref="H136:AL136" si="77">+H134*H131/1000</f>
        <v>0.19788999999999998</v>
      </c>
      <c r="I136" s="1323">
        <f t="shared" si="77"/>
        <v>0.10919999999999999</v>
      </c>
      <c r="J136" s="1321">
        <f t="shared" si="77"/>
        <v>0.34196000000000004</v>
      </c>
      <c r="K136" s="1321">
        <f t="shared" si="77"/>
        <v>0.21315999999999999</v>
      </c>
      <c r="L136" s="1321">
        <f t="shared" si="77"/>
        <v>0.13776000000000002</v>
      </c>
      <c r="M136" s="1321">
        <f t="shared" si="77"/>
        <v>0.11766000000000001</v>
      </c>
      <c r="N136" s="1321">
        <f t="shared" si="77"/>
        <v>9.935999999999999E-2</v>
      </c>
      <c r="O136" s="1321">
        <f t="shared" si="77"/>
        <v>0.11316</v>
      </c>
      <c r="P136" s="1321">
        <f t="shared" si="77"/>
        <v>0.16991999999999999</v>
      </c>
      <c r="Q136" s="1321">
        <f t="shared" si="77"/>
        <v>0.36889999999999995</v>
      </c>
      <c r="R136" s="1321">
        <f t="shared" si="77"/>
        <v>0.38997999999999994</v>
      </c>
      <c r="S136" s="1321">
        <f t="shared" si="77"/>
        <v>0.28071999999999997</v>
      </c>
      <c r="T136" s="1321">
        <f t="shared" si="77"/>
        <v>0.58869999999999989</v>
      </c>
      <c r="U136" s="1321">
        <f t="shared" si="77"/>
        <v>0.54415999999999998</v>
      </c>
      <c r="V136" s="1321">
        <f t="shared" si="77"/>
        <v>0.27967999999999998</v>
      </c>
      <c r="W136" s="1321">
        <f t="shared" si="77"/>
        <v>0.19519999999999998</v>
      </c>
      <c r="X136" s="1321">
        <f t="shared" si="77"/>
        <v>0.64796000000000009</v>
      </c>
      <c r="Y136" s="1321">
        <f t="shared" si="77"/>
        <v>0.39771999999999996</v>
      </c>
      <c r="Z136" s="1321">
        <f t="shared" si="77"/>
        <v>0.38232000000000005</v>
      </c>
      <c r="AA136" s="1321">
        <f t="shared" si="77"/>
        <v>0.50719999999999998</v>
      </c>
      <c r="AB136" s="1321">
        <f t="shared" si="77"/>
        <v>0.48183999999999999</v>
      </c>
      <c r="AC136" s="1321">
        <f t="shared" si="77"/>
        <v>0.14489999999999997</v>
      </c>
      <c r="AD136" s="1321">
        <f t="shared" si="77"/>
        <v>0.14321999999999999</v>
      </c>
      <c r="AE136" s="1321">
        <f t="shared" si="77"/>
        <v>0.25925999999999999</v>
      </c>
      <c r="AF136" s="1321">
        <f t="shared" si="77"/>
        <v>0.15633</v>
      </c>
      <c r="AG136" s="1321">
        <f t="shared" si="77"/>
        <v>0.28724</v>
      </c>
      <c r="AH136" s="1321">
        <f t="shared" si="77"/>
        <v>0.27492</v>
      </c>
      <c r="AI136" s="1321">
        <f t="shared" si="77"/>
        <v>0.16941999999999999</v>
      </c>
      <c r="AJ136" s="1321">
        <f t="shared" si="77"/>
        <v>0.17730000000000001</v>
      </c>
      <c r="AK136" s="1321">
        <f t="shared" si="77"/>
        <v>0.13600000000000001</v>
      </c>
      <c r="AL136" s="1321">
        <f t="shared" si="77"/>
        <v>0</v>
      </c>
      <c r="AM136" s="1079"/>
    </row>
    <row r="137" spans="2:39" ht="13.5" customHeight="1" thickBot="1" x14ac:dyDescent="0.3">
      <c r="B137" s="1607"/>
      <c r="C137" s="1115"/>
      <c r="D137" s="1610" t="s">
        <v>340</v>
      </c>
      <c r="E137" s="1070" t="s">
        <v>341</v>
      </c>
      <c r="F137" s="295">
        <f>SUMIF($H$9:$AL$9,"&lt;="&amp;$C$7,H137:AL137)</f>
        <v>0</v>
      </c>
      <c r="G137" s="1112"/>
      <c r="H137" s="851"/>
      <c r="I137" s="198"/>
      <c r="J137" s="198"/>
      <c r="K137" s="199"/>
      <c r="L137" s="199"/>
      <c r="M137" s="199"/>
      <c r="N137" s="199"/>
      <c r="O137" s="199"/>
      <c r="P137" s="200"/>
      <c r="Q137" s="199"/>
      <c r="R137" s="199"/>
      <c r="S137" s="199"/>
      <c r="T137" s="199"/>
      <c r="U137" s="199"/>
      <c r="V137" s="199"/>
      <c r="W137" s="199"/>
      <c r="X137" s="199"/>
      <c r="Y137" s="199"/>
      <c r="Z137" s="199"/>
      <c r="AA137" s="199"/>
      <c r="AB137" s="199"/>
      <c r="AC137" s="199"/>
      <c r="AD137" s="199"/>
      <c r="AE137" s="199"/>
      <c r="AF137" s="199"/>
      <c r="AG137" s="199"/>
      <c r="AH137" s="199"/>
      <c r="AI137" s="199"/>
      <c r="AJ137" s="199"/>
      <c r="AK137" s="199"/>
      <c r="AL137" s="201"/>
      <c r="AM137" s="1105"/>
    </row>
    <row r="138" spans="2:39" ht="13.5" customHeight="1" thickBot="1" x14ac:dyDescent="0.3">
      <c r="B138" s="1608"/>
      <c r="C138" s="1115"/>
      <c r="D138" s="1611"/>
      <c r="E138" s="1302" t="s">
        <v>342</v>
      </c>
      <c r="F138" s="1303">
        <f>SUMIF($H$9:$AL$9,"&lt;="&amp;$C$7,H138:AL138)</f>
        <v>0</v>
      </c>
      <c r="G138" s="1304">
        <f t="shared" ref="G138" si="78">IFERROR((F138-F137)/F137,0)</f>
        <v>0</v>
      </c>
      <c r="H138" s="1305"/>
      <c r="I138" s="1303"/>
      <c r="J138" s="1303"/>
      <c r="K138" s="1303"/>
      <c r="L138" s="1303"/>
      <c r="M138" s="1303"/>
      <c r="N138" s="1303"/>
      <c r="O138" s="1303"/>
      <c r="P138" s="1303"/>
      <c r="Q138" s="1303"/>
      <c r="R138" s="1303"/>
      <c r="S138" s="1303"/>
      <c r="T138" s="1303"/>
      <c r="U138" s="1303"/>
      <c r="V138" s="1303"/>
      <c r="W138" s="1303"/>
      <c r="X138" s="1303"/>
      <c r="Y138" s="1303"/>
      <c r="Z138" s="1303"/>
      <c r="AA138" s="1303"/>
      <c r="AB138" s="1303"/>
      <c r="AC138" s="1303"/>
      <c r="AD138" s="1303"/>
      <c r="AE138" s="1303"/>
      <c r="AF138" s="1303"/>
      <c r="AG138" s="1303"/>
      <c r="AH138" s="1303"/>
      <c r="AI138" s="1303"/>
      <c r="AJ138" s="1303"/>
      <c r="AK138" s="1303"/>
      <c r="AL138" s="1303"/>
      <c r="AM138" s="1074"/>
    </row>
    <row r="139" spans="2:39" ht="13.5" customHeight="1" thickBot="1" x14ac:dyDescent="0.3">
      <c r="B139" s="1608"/>
      <c r="C139" s="1115"/>
      <c r="D139" s="1611"/>
      <c r="E139" s="1324" t="s">
        <v>312</v>
      </c>
      <c r="F139" s="1325"/>
      <c r="G139" s="1326"/>
      <c r="H139" s="1075"/>
      <c r="I139" s="1075"/>
      <c r="J139" s="1075"/>
      <c r="K139" s="1075"/>
      <c r="L139" s="1075"/>
      <c r="M139" s="1075"/>
      <c r="N139" s="1075"/>
      <c r="O139" s="1075"/>
      <c r="P139" s="1076"/>
      <c r="Q139" s="1075"/>
      <c r="R139" s="1075"/>
      <c r="S139" s="1075"/>
      <c r="T139" s="1075"/>
      <c r="U139" s="1075"/>
      <c r="V139" s="1075"/>
      <c r="W139" s="1075"/>
      <c r="X139" s="1075"/>
      <c r="Y139" s="1075"/>
      <c r="Z139" s="1075"/>
      <c r="AA139" s="1075"/>
      <c r="AB139" s="1075"/>
      <c r="AC139" s="1075"/>
      <c r="AD139" s="1075"/>
      <c r="AE139" s="1075"/>
      <c r="AF139" s="1075"/>
      <c r="AG139" s="1075"/>
      <c r="AH139" s="1075"/>
      <c r="AI139" s="1075"/>
      <c r="AJ139" s="1075"/>
      <c r="AK139" s="1075"/>
      <c r="AL139" s="1077"/>
      <c r="AM139" s="1108"/>
    </row>
    <row r="140" spans="2:39" ht="13.5" customHeight="1" thickBot="1" x14ac:dyDescent="0.3">
      <c r="B140" s="1608"/>
      <c r="C140" s="1115"/>
      <c r="D140" s="1612" t="s">
        <v>343</v>
      </c>
      <c r="E140" s="1309" t="s">
        <v>344</v>
      </c>
      <c r="F140" s="1310">
        <f t="shared" ref="F140:F141" si="79">IFERROR(F142*1000/F137,0)</f>
        <v>0</v>
      </c>
      <c r="G140" s="1311"/>
      <c r="H140" s="1312"/>
      <c r="I140" s="1312"/>
      <c r="J140" s="1312"/>
      <c r="K140" s="1333"/>
      <c r="L140" s="1333"/>
      <c r="M140" s="1333"/>
      <c r="N140" s="1333"/>
      <c r="O140" s="1333"/>
      <c r="P140" s="1334"/>
      <c r="Q140" s="1333"/>
      <c r="R140" s="1333"/>
      <c r="S140" s="1333"/>
      <c r="T140" s="1333"/>
      <c r="U140" s="1333"/>
      <c r="V140" s="1333"/>
      <c r="W140" s="1333"/>
      <c r="X140" s="1333"/>
      <c r="Y140" s="1333"/>
      <c r="Z140" s="1333"/>
      <c r="AA140" s="1333"/>
      <c r="AB140" s="1333"/>
      <c r="AC140" s="1333"/>
      <c r="AD140" s="1333"/>
      <c r="AE140" s="1333"/>
      <c r="AF140" s="1333"/>
      <c r="AG140" s="1333"/>
      <c r="AH140" s="1333"/>
      <c r="AI140" s="1333"/>
      <c r="AJ140" s="1333"/>
      <c r="AK140" s="1333"/>
      <c r="AL140" s="1335"/>
      <c r="AM140" s="1074"/>
    </row>
    <row r="141" spans="2:39" ht="13.5" customHeight="1" thickBot="1" x14ac:dyDescent="0.3">
      <c r="B141" s="1608"/>
      <c r="C141" s="1115"/>
      <c r="D141" s="1612"/>
      <c r="E141" s="1313" t="s">
        <v>345</v>
      </c>
      <c r="F141" s="1314">
        <f t="shared" si="79"/>
        <v>0</v>
      </c>
      <c r="G141" s="1304">
        <f t="shared" ref="G141" si="80">IFERROR((F141-F140)/F140,0)</f>
        <v>0</v>
      </c>
      <c r="H141" s="1315"/>
      <c r="I141" s="1314"/>
      <c r="J141" s="1314"/>
      <c r="K141" s="1314"/>
      <c r="L141" s="1314"/>
      <c r="M141" s="1314"/>
      <c r="N141" s="1314"/>
      <c r="O141" s="1314"/>
      <c r="P141" s="1314"/>
      <c r="Q141" s="1314"/>
      <c r="R141" s="1314"/>
      <c r="S141" s="1314"/>
      <c r="T141" s="1314"/>
      <c r="U141" s="1314"/>
      <c r="V141" s="1314"/>
      <c r="W141" s="1314"/>
      <c r="X141" s="1314"/>
      <c r="Y141" s="1314"/>
      <c r="Z141" s="1314"/>
      <c r="AA141" s="1314"/>
      <c r="AB141" s="1314"/>
      <c r="AC141" s="1314"/>
      <c r="AD141" s="1314"/>
      <c r="AE141" s="1314"/>
      <c r="AF141" s="1314"/>
      <c r="AG141" s="1314"/>
      <c r="AH141" s="1314"/>
      <c r="AI141" s="1314"/>
      <c r="AJ141" s="1314"/>
      <c r="AK141" s="1314"/>
      <c r="AL141" s="1314"/>
      <c r="AM141" s="1074"/>
    </row>
    <row r="142" spans="2:39" ht="13.5" customHeight="1" thickBot="1" x14ac:dyDescent="0.3">
      <c r="B142" s="1608"/>
      <c r="C142" s="1115"/>
      <c r="D142" s="1613" t="s">
        <v>47</v>
      </c>
      <c r="E142" s="1309" t="s">
        <v>346</v>
      </c>
      <c r="F142" s="206">
        <f>SUMIF($H$9:$AL$9,"&lt;="&amp;$C$7,H142:AL142)</f>
        <v>0</v>
      </c>
      <c r="G142" s="1311"/>
      <c r="H142" s="1316">
        <f t="shared" ref="H142:AL143" si="81">+H140*H137/1000</f>
        <v>0</v>
      </c>
      <c r="I142" s="1316">
        <f t="shared" si="81"/>
        <v>0</v>
      </c>
      <c r="J142" s="1316">
        <f t="shared" si="81"/>
        <v>0</v>
      </c>
      <c r="K142" s="1317">
        <f t="shared" si="81"/>
        <v>0</v>
      </c>
      <c r="L142" s="1317">
        <f t="shared" si="81"/>
        <v>0</v>
      </c>
      <c r="M142" s="1317">
        <f t="shared" si="81"/>
        <v>0</v>
      </c>
      <c r="N142" s="1317">
        <f t="shared" si="81"/>
        <v>0</v>
      </c>
      <c r="O142" s="1317">
        <f t="shared" si="81"/>
        <v>0</v>
      </c>
      <c r="P142" s="1318">
        <f t="shared" si="81"/>
        <v>0</v>
      </c>
      <c r="Q142" s="1317">
        <f t="shared" si="81"/>
        <v>0</v>
      </c>
      <c r="R142" s="1317">
        <f t="shared" si="81"/>
        <v>0</v>
      </c>
      <c r="S142" s="1317">
        <f t="shared" si="81"/>
        <v>0</v>
      </c>
      <c r="T142" s="1317">
        <f t="shared" si="81"/>
        <v>0</v>
      </c>
      <c r="U142" s="1317">
        <f t="shared" si="81"/>
        <v>0</v>
      </c>
      <c r="V142" s="1317">
        <f t="shared" si="81"/>
        <v>0</v>
      </c>
      <c r="W142" s="1317">
        <f t="shared" si="81"/>
        <v>0</v>
      </c>
      <c r="X142" s="1317">
        <f t="shared" si="81"/>
        <v>0</v>
      </c>
      <c r="Y142" s="1317">
        <f t="shared" si="81"/>
        <v>0</v>
      </c>
      <c r="Z142" s="1317">
        <f t="shared" si="81"/>
        <v>0</v>
      </c>
      <c r="AA142" s="1317">
        <f t="shared" si="81"/>
        <v>0</v>
      </c>
      <c r="AB142" s="1317">
        <f t="shared" si="81"/>
        <v>0</v>
      </c>
      <c r="AC142" s="1317">
        <f t="shared" si="81"/>
        <v>0</v>
      </c>
      <c r="AD142" s="1317">
        <f t="shared" si="81"/>
        <v>0</v>
      </c>
      <c r="AE142" s="1317">
        <f t="shared" si="81"/>
        <v>0</v>
      </c>
      <c r="AF142" s="1317">
        <f t="shared" si="81"/>
        <v>0</v>
      </c>
      <c r="AG142" s="1317">
        <f t="shared" si="81"/>
        <v>0</v>
      </c>
      <c r="AH142" s="1317">
        <f t="shared" si="81"/>
        <v>0</v>
      </c>
      <c r="AI142" s="1317">
        <f t="shared" si="81"/>
        <v>0</v>
      </c>
      <c r="AJ142" s="1317">
        <f t="shared" si="81"/>
        <v>0</v>
      </c>
      <c r="AK142" s="1317">
        <f t="shared" si="81"/>
        <v>0</v>
      </c>
      <c r="AL142" s="1319">
        <f t="shared" si="81"/>
        <v>0</v>
      </c>
      <c r="AM142" s="1078"/>
    </row>
    <row r="143" spans="2:39" ht="13.5" customHeight="1" thickBot="1" x14ac:dyDescent="0.3">
      <c r="B143" s="1609"/>
      <c r="C143" s="1116"/>
      <c r="D143" s="1614"/>
      <c r="E143" s="1320" t="s">
        <v>347</v>
      </c>
      <c r="F143" s="1321">
        <f>SUMIF($H$9:$AL$9,"&lt;="&amp;$C$7,H143:AL143)</f>
        <v>0</v>
      </c>
      <c r="G143" s="1322">
        <f t="shared" ref="G143" si="82">IFERROR((F143-F142)/F142,0)</f>
        <v>0</v>
      </c>
      <c r="H143" s="1323">
        <f t="shared" si="81"/>
        <v>0</v>
      </c>
      <c r="I143" s="1321">
        <f t="shared" si="81"/>
        <v>0</v>
      </c>
      <c r="J143" s="1321">
        <f t="shared" si="81"/>
        <v>0</v>
      </c>
      <c r="K143" s="1321">
        <f t="shared" si="81"/>
        <v>0</v>
      </c>
      <c r="L143" s="1321">
        <f t="shared" si="81"/>
        <v>0</v>
      </c>
      <c r="M143" s="1321">
        <f t="shared" si="81"/>
        <v>0</v>
      </c>
      <c r="N143" s="1321">
        <f t="shared" si="81"/>
        <v>0</v>
      </c>
      <c r="O143" s="1321">
        <f t="shared" si="81"/>
        <v>0</v>
      </c>
      <c r="P143" s="1321">
        <f t="shared" si="81"/>
        <v>0</v>
      </c>
      <c r="Q143" s="1321">
        <f t="shared" si="81"/>
        <v>0</v>
      </c>
      <c r="R143" s="1321">
        <f t="shared" si="81"/>
        <v>0</v>
      </c>
      <c r="S143" s="1321">
        <f t="shared" si="81"/>
        <v>0</v>
      </c>
      <c r="T143" s="1321">
        <f t="shared" si="81"/>
        <v>0</v>
      </c>
      <c r="U143" s="1321">
        <f t="shared" si="81"/>
        <v>0</v>
      </c>
      <c r="V143" s="1321">
        <f t="shared" si="81"/>
        <v>0</v>
      </c>
      <c r="W143" s="1321">
        <f t="shared" si="81"/>
        <v>0</v>
      </c>
      <c r="X143" s="1321">
        <f t="shared" si="81"/>
        <v>0</v>
      </c>
      <c r="Y143" s="1321">
        <f t="shared" si="81"/>
        <v>0</v>
      </c>
      <c r="Z143" s="1321">
        <f t="shared" si="81"/>
        <v>0</v>
      </c>
      <c r="AA143" s="1321">
        <f t="shared" si="81"/>
        <v>0</v>
      </c>
      <c r="AB143" s="1321">
        <f t="shared" si="81"/>
        <v>0</v>
      </c>
      <c r="AC143" s="1321">
        <f t="shared" si="81"/>
        <v>0</v>
      </c>
      <c r="AD143" s="1321">
        <f t="shared" si="81"/>
        <v>0</v>
      </c>
      <c r="AE143" s="1321">
        <f t="shared" si="81"/>
        <v>0</v>
      </c>
      <c r="AF143" s="1321">
        <f t="shared" si="81"/>
        <v>0</v>
      </c>
      <c r="AG143" s="1321">
        <f t="shared" si="81"/>
        <v>0</v>
      </c>
      <c r="AH143" s="1321">
        <f t="shared" si="81"/>
        <v>0</v>
      </c>
      <c r="AI143" s="1321">
        <f t="shared" si="81"/>
        <v>0</v>
      </c>
      <c r="AJ143" s="1321">
        <f t="shared" si="81"/>
        <v>0</v>
      </c>
      <c r="AK143" s="1321">
        <f t="shared" si="81"/>
        <v>0</v>
      </c>
      <c r="AL143" s="1321">
        <f t="shared" si="81"/>
        <v>0</v>
      </c>
      <c r="AM143" s="1079"/>
    </row>
  </sheetData>
  <sheetProtection algorithmName="SHA-512" hashValue="X/JSSxe4NUJYVrWKoQGPiUpVT/gVcJ9vbaJusuReh5oyDC3MjsBiVN/aALUIf7/Pk4mzjES7rDWFT7ijgJsvDA==" saltValue="Q9vbmWJTNTnDTjMVTzox7Q==" spinCount="100000" sheet="1" objects="1" scenarios="1"/>
  <mergeCells count="97">
    <mergeCell ref="H2:I2"/>
    <mergeCell ref="K2:N2"/>
    <mergeCell ref="H3:I3"/>
    <mergeCell ref="K3:N3"/>
    <mergeCell ref="H4:I4"/>
    <mergeCell ref="K4:N4"/>
    <mergeCell ref="K5:N5"/>
    <mergeCell ref="K6:N6"/>
    <mergeCell ref="D17:E17"/>
    <mergeCell ref="B18:B24"/>
    <mergeCell ref="C18:C24"/>
    <mergeCell ref="D18:D20"/>
    <mergeCell ref="D21:D22"/>
    <mergeCell ref="D23:D24"/>
    <mergeCell ref="B32:B38"/>
    <mergeCell ref="C32:C38"/>
    <mergeCell ref="D32:D34"/>
    <mergeCell ref="D35:D36"/>
    <mergeCell ref="D37:D38"/>
    <mergeCell ref="B25:B31"/>
    <mergeCell ref="C25:C31"/>
    <mergeCell ref="D25:D27"/>
    <mergeCell ref="D28:D29"/>
    <mergeCell ref="D30:D31"/>
    <mergeCell ref="B39:B45"/>
    <mergeCell ref="D39:D41"/>
    <mergeCell ref="D42:D43"/>
    <mergeCell ref="D44:D45"/>
    <mergeCell ref="B46:B52"/>
    <mergeCell ref="C46:C52"/>
    <mergeCell ref="D46:D48"/>
    <mergeCell ref="D49:D50"/>
    <mergeCell ref="D51:D52"/>
    <mergeCell ref="B60:B66"/>
    <mergeCell ref="C60:C66"/>
    <mergeCell ref="D60:D62"/>
    <mergeCell ref="D63:D64"/>
    <mergeCell ref="D65:D66"/>
    <mergeCell ref="B53:B59"/>
    <mergeCell ref="C53:C59"/>
    <mergeCell ref="D53:D55"/>
    <mergeCell ref="D56:D57"/>
    <mergeCell ref="D58:D59"/>
    <mergeCell ref="B74:B80"/>
    <mergeCell ref="C74:C80"/>
    <mergeCell ref="D74:D76"/>
    <mergeCell ref="D77:D78"/>
    <mergeCell ref="D79:D80"/>
    <mergeCell ref="B67:B73"/>
    <mergeCell ref="C67:C73"/>
    <mergeCell ref="D67:D69"/>
    <mergeCell ref="D70:D71"/>
    <mergeCell ref="D72:D73"/>
    <mergeCell ref="B88:B94"/>
    <mergeCell ref="C88:C94"/>
    <mergeCell ref="D88:D90"/>
    <mergeCell ref="D91:D92"/>
    <mergeCell ref="D93:D94"/>
    <mergeCell ref="B81:B87"/>
    <mergeCell ref="C81:C87"/>
    <mergeCell ref="D81:D83"/>
    <mergeCell ref="D84:D85"/>
    <mergeCell ref="D86:D87"/>
    <mergeCell ref="B102:B108"/>
    <mergeCell ref="C102:C108"/>
    <mergeCell ref="D102:D104"/>
    <mergeCell ref="D105:D106"/>
    <mergeCell ref="D107:D108"/>
    <mergeCell ref="B95:B101"/>
    <mergeCell ref="C95:C101"/>
    <mergeCell ref="D95:D97"/>
    <mergeCell ref="D98:D99"/>
    <mergeCell ref="D100:D101"/>
    <mergeCell ref="B116:B122"/>
    <mergeCell ref="C116:C122"/>
    <mergeCell ref="D116:D118"/>
    <mergeCell ref="D119:D120"/>
    <mergeCell ref="D121:D122"/>
    <mergeCell ref="B109:B115"/>
    <mergeCell ref="C109:C115"/>
    <mergeCell ref="D109:D111"/>
    <mergeCell ref="D112:D113"/>
    <mergeCell ref="D114:D115"/>
    <mergeCell ref="B137:B143"/>
    <mergeCell ref="D137:D139"/>
    <mergeCell ref="D140:D141"/>
    <mergeCell ref="D142:D143"/>
    <mergeCell ref="B123:B129"/>
    <mergeCell ref="C123:C129"/>
    <mergeCell ref="D123:D125"/>
    <mergeCell ref="D126:D127"/>
    <mergeCell ref="D128:D129"/>
    <mergeCell ref="B130:B136"/>
    <mergeCell ref="C130:C136"/>
    <mergeCell ref="D130:D132"/>
    <mergeCell ref="D133:D134"/>
    <mergeCell ref="D135:D136"/>
  </mergeCells>
  <conditionalFormatting sqref="B18">
    <cfRule type="cellIs" dxfId="1400" priority="50" operator="equal">
      <formula>2</formula>
    </cfRule>
    <cfRule type="cellIs" dxfId="1399" priority="48" operator="equal">
      <formula>3</formula>
    </cfRule>
    <cfRule type="cellIs" dxfId="1398" priority="49" operator="equal">
      <formula>1</formula>
    </cfRule>
  </conditionalFormatting>
  <conditionalFormatting sqref="B25">
    <cfRule type="cellIs" dxfId="1397" priority="56" operator="equal">
      <formula>2</formula>
    </cfRule>
    <cfRule type="cellIs" dxfId="1396" priority="55" operator="equal">
      <formula>1</formula>
    </cfRule>
    <cfRule type="cellIs" dxfId="1395" priority="54" operator="equal">
      <formula>3</formula>
    </cfRule>
  </conditionalFormatting>
  <conditionalFormatting sqref="B32 B39 B46 B53 B60 B67 B81 B88 B95 B102 B109 B116 B123 B130 B137">
    <cfRule type="cellIs" dxfId="1394" priority="53" operator="equal">
      <formula>2</formula>
    </cfRule>
    <cfRule type="cellIs" dxfId="1393" priority="52" operator="equal">
      <formula>1</formula>
    </cfRule>
    <cfRule type="cellIs" dxfId="1392" priority="51" operator="equal">
      <formula>3</formula>
    </cfRule>
  </conditionalFormatting>
  <conditionalFormatting sqref="B74">
    <cfRule type="cellIs" dxfId="1391" priority="16" operator="equal">
      <formula>3</formula>
    </cfRule>
    <cfRule type="cellIs" dxfId="1390" priority="17" operator="equal">
      <formula>1</formula>
    </cfRule>
    <cfRule type="cellIs" dxfId="1389" priority="18" operator="equal">
      <formula>2</formula>
    </cfRule>
  </conditionalFormatting>
  <conditionalFormatting sqref="D10:D12">
    <cfRule type="cellIs" dxfId="1388" priority="60" stopIfTrue="1" operator="greaterThanOrEqual">
      <formula>C10</formula>
    </cfRule>
    <cfRule type="cellIs" dxfId="1387" priority="59" stopIfTrue="1" operator="lessThan">
      <formula>C10</formula>
    </cfRule>
  </conditionalFormatting>
  <conditionalFormatting sqref="E10:E12">
    <cfRule type="cellIs" dxfId="1386" priority="58" stopIfTrue="1" operator="greaterThanOrEqual">
      <formula>0</formula>
    </cfRule>
    <cfRule type="cellIs" dxfId="1385" priority="57" stopIfTrue="1" operator="lessThan">
      <formula>0</formula>
    </cfRule>
  </conditionalFormatting>
  <conditionalFormatting sqref="F19 F22 F24 F26 F29 F31 F33 F36 F38 F40 F43 F45 F47 F50 F52 F54 F57 F59 F61 F64 F66 F68 F71 F73 F75 F78 F80 F82 F85 F87 F89 F92 F94 F96 F99 F101 F103 F106 F108 F110 F113 F115 F117 F120 F122 F124 F127 F129 F131 F134 F136 F138 F141 F143">
    <cfRule type="cellIs" dxfId="1384" priority="68" stopIfTrue="1" operator="greaterThanOrEqual">
      <formula>F18</formula>
    </cfRule>
    <cfRule type="cellIs" dxfId="1383" priority="67" stopIfTrue="1" operator="lessThan">
      <formula>F18</formula>
    </cfRule>
  </conditionalFormatting>
  <conditionalFormatting sqref="G19 G40 G61 G66:G80 G82 G89 G94 G96 G103 G110 G124 G131 G138">
    <cfRule type="cellIs" dxfId="1382" priority="66" operator="lessThan">
      <formula>0</formula>
    </cfRule>
    <cfRule type="cellIs" dxfId="1381" priority="65" operator="greaterThan">
      <formula>0</formula>
    </cfRule>
  </conditionalFormatting>
  <conditionalFormatting sqref="G22 G43 G64 G85 G92 G99 G106 G113 G120 G127 G134 G141">
    <cfRule type="cellIs" dxfId="1380" priority="63" operator="greaterThan">
      <formula>0</formula>
    </cfRule>
    <cfRule type="cellIs" dxfId="1379" priority="64" operator="lessThan">
      <formula>0</formula>
    </cfRule>
  </conditionalFormatting>
  <conditionalFormatting sqref="G24:G38 G45:G59 G87 G101 G108 G116:G117 G122 G129 G136 G143">
    <cfRule type="cellIs" dxfId="1378" priority="61" operator="greaterThan">
      <formula>0</formula>
    </cfRule>
    <cfRule type="cellIs" dxfId="1377" priority="62" operator="lessThan">
      <formula>0</formula>
    </cfRule>
  </conditionalFormatting>
  <conditionalFormatting sqref="H78:O78">
    <cfRule type="cellIs" dxfId="1376" priority="2" operator="lessThan">
      <formula>H77</formula>
    </cfRule>
    <cfRule type="cellIs" dxfId="1375" priority="3" operator="greaterThanOrEqual">
      <formula>H77</formula>
    </cfRule>
    <cfRule type="cellIs" dxfId="1374" priority="4" operator="greaterThanOrEqual">
      <formula>2</formula>
    </cfRule>
    <cfRule type="cellIs" dxfId="1373" priority="5" operator="between">
      <formula>1.6</formula>
      <formula>2</formula>
    </cfRule>
    <cfRule type="cellIs" dxfId="1372" priority="6" operator="greaterThanOrEqual">
      <formula>0.6</formula>
    </cfRule>
    <cfRule type="expression" dxfId="1371" priority="1">
      <formula>H77=""</formula>
    </cfRule>
  </conditionalFormatting>
  <conditionalFormatting sqref="H78:R78 U78:AL78">
    <cfRule type="cellIs" dxfId="1370" priority="9" operator="greaterThanOrEqual">
      <formula>H77</formula>
    </cfRule>
    <cfRule type="cellIs" dxfId="1369" priority="8" operator="lessThan">
      <formula>H77</formula>
    </cfRule>
    <cfRule type="expression" dxfId="1368" priority="7">
      <formula>H77=""</formula>
    </cfRule>
  </conditionalFormatting>
  <conditionalFormatting sqref="H11:AL11 H24:AL24 H52:AL52 H66:AL66 H96 J96:AL96">
    <cfRule type="cellIs" dxfId="1367" priority="35" operator="greaterThanOrEqual">
      <formula>H10</formula>
    </cfRule>
    <cfRule type="expression" dxfId="1366" priority="27">
      <formula>H10=""</formula>
    </cfRule>
    <cfRule type="cellIs" dxfId="1365" priority="28" operator="lessThan">
      <formula>H10</formula>
    </cfRule>
  </conditionalFormatting>
  <conditionalFormatting sqref="H13:AL13 H71:R71 U71:AL71">
    <cfRule type="cellIs" dxfId="1364" priority="31" operator="greaterThanOrEqual">
      <formula>H12</formula>
    </cfRule>
    <cfRule type="expression" dxfId="1363" priority="29">
      <formula>H12=""</formula>
    </cfRule>
    <cfRule type="cellIs" dxfId="1362" priority="30" operator="lessThan">
      <formula>H12</formula>
    </cfRule>
  </conditionalFormatting>
  <conditionalFormatting sqref="H13:AL13 H71:AL71">
    <cfRule type="cellIs" dxfId="1361" priority="32" operator="greaterThanOrEqual">
      <formula>2</formula>
    </cfRule>
    <cfRule type="cellIs" dxfId="1360" priority="33" operator="between">
      <formula>1.6</formula>
      <formula>2</formula>
    </cfRule>
    <cfRule type="cellIs" dxfId="1359" priority="34" operator="greaterThanOrEqual">
      <formula>0.6</formula>
    </cfRule>
  </conditionalFormatting>
  <conditionalFormatting sqref="H15:AL15 H72:AL77 H78:R78 U78:AL78 H11:AL11 H13:AL13 H19:AL19 H22:AL22 H24:AL31 H33:AL33 H36:AL36 H38:AL38 H40:AL40 H43:AL43 H45:AL45 H47:AL47 H50:AL50 H52:AL59 H61:AL61 H64:AL64 H66:AL70 H71:R71 U71:AL71 H79:AL80 H82:AL82 H85:AL85 H87:AL87 H89:AL89 H92:AL92 H94:AL94 H96 J96:AL96 I97 H99:AL99 H101:AL101 H103:AL103 H106:AL106 H108:AL108 H110:AL110 H113:AL113 H115:AL115 H117:AL117 H120:AL120 H122:AL122 H124:AL124 H127:AL127 H129:AL129 H131:AL131 H134:AL134 H136:AL136 H138:AL138 H141:AL141 H143:AL143">
    <cfRule type="expression" dxfId="1358" priority="26">
      <formula>H$9&gt;$C$7</formula>
    </cfRule>
  </conditionalFormatting>
  <conditionalFormatting sqref="H15:AL15">
    <cfRule type="expression" dxfId="1357" priority="23">
      <formula>H14=""</formula>
    </cfRule>
    <cfRule type="cellIs" dxfId="1356" priority="25" operator="greaterThanOrEqual">
      <formula>H14</formula>
    </cfRule>
    <cfRule type="cellIs" dxfId="1355" priority="24" operator="lessThan">
      <formula>H14</formula>
    </cfRule>
  </conditionalFormatting>
  <conditionalFormatting sqref="H19:AL19 H26:AL26 H33:AL33 H40:AL40 H47:AL47 H54:AL54 H61:AL61 H68:AL68 H82:AL82 H89:AL89 H103:AL103 H110:AL110 H117:AL117 H124:AL124 H131:AL131 H138:AL138">
    <cfRule type="cellIs" dxfId="1354" priority="47" operator="greaterThanOrEqual">
      <formula>H18</formula>
    </cfRule>
    <cfRule type="expression" dxfId="1353" priority="45">
      <formula>H18=""</formula>
    </cfRule>
    <cfRule type="cellIs" dxfId="1352" priority="46" operator="lessThan">
      <formula>H18</formula>
    </cfRule>
  </conditionalFormatting>
  <conditionalFormatting sqref="H22:AL22 H29:AL29 H36:AL36 H43:AL43 H50:AL50 H57:AL57 H64:AL64 H85:AL85 H92:AL92 H99:AL99 H106:AL106 H113:AL113 H120:AL120 H127:AL127 H134:AL134 H141:AL141">
    <cfRule type="cellIs" dxfId="1351" priority="41" operator="greaterThanOrEqual">
      <formula>H21</formula>
    </cfRule>
    <cfRule type="cellIs" dxfId="1350" priority="42" operator="greaterThanOrEqual">
      <formula>2</formula>
    </cfRule>
    <cfRule type="cellIs" dxfId="1349" priority="43" operator="between">
      <formula>1.6</formula>
      <formula>2</formula>
    </cfRule>
    <cfRule type="cellIs" dxfId="1348" priority="44" operator="greaterThanOrEqual">
      <formula>0.6</formula>
    </cfRule>
    <cfRule type="cellIs" dxfId="1347" priority="37" operator="lessThan">
      <formula>H21</formula>
    </cfRule>
    <cfRule type="expression" dxfId="1346" priority="36">
      <formula>H21=""</formula>
    </cfRule>
  </conditionalFormatting>
  <conditionalFormatting sqref="H31:AL31 H38:AL38 H45:AL45 H59:AL59 H73:AL73 H80:AL80 H87:AL87 H94:AL94 H101:AL101 H108:AL108 H115:AL115 H122:AL122 H129:AL129 H136:AL136 H143:AL143">
    <cfRule type="cellIs" dxfId="1345" priority="39" operator="lessThan">
      <formula>H30</formula>
    </cfRule>
    <cfRule type="cellIs" dxfId="1344" priority="40" operator="greaterThanOrEqual">
      <formula>H30</formula>
    </cfRule>
    <cfRule type="expression" dxfId="1343" priority="38">
      <formula>H30=""</formula>
    </cfRule>
  </conditionalFormatting>
  <conditionalFormatting sqref="H75:AL75">
    <cfRule type="cellIs" dxfId="1342" priority="15" operator="greaterThanOrEqual">
      <formula>H74</formula>
    </cfRule>
    <cfRule type="cellIs" dxfId="1341" priority="14" operator="lessThan">
      <formula>H74</formula>
    </cfRule>
    <cfRule type="expression" dxfId="1340" priority="13">
      <formula>H74=""</formula>
    </cfRule>
  </conditionalFormatting>
  <conditionalFormatting sqref="H78:AL78">
    <cfRule type="cellIs" dxfId="1339" priority="12" operator="greaterThanOrEqual">
      <formula>0.6</formula>
    </cfRule>
    <cfRule type="cellIs" dxfId="1338" priority="11" operator="between">
      <formula>1.6</formula>
      <formula>2</formula>
    </cfRule>
    <cfRule type="cellIs" dxfId="1337" priority="10" operator="greaterThanOrEqual">
      <formula>2</formula>
    </cfRule>
  </conditionalFormatting>
  <conditionalFormatting sqref="I97">
    <cfRule type="expression" dxfId="1336" priority="69">
      <formula>I95=""</formula>
    </cfRule>
    <cfRule type="cellIs" dxfId="1335" priority="70" operator="lessThan">
      <formula>I95</formula>
    </cfRule>
    <cfRule type="cellIs" dxfId="1334" priority="71" operator="greaterThanOrEqual">
      <formula>I95</formula>
    </cfRule>
  </conditionalFormatting>
  <conditionalFormatting sqref="S71:T71">
    <cfRule type="expression" dxfId="1333" priority="72">
      <formula>T$9&gt;$C$7</formula>
    </cfRule>
    <cfRule type="expression" dxfId="1332" priority="73">
      <formula>T70=""</formula>
    </cfRule>
    <cfRule type="cellIs" dxfId="1331" priority="74" operator="lessThan">
      <formula>T70</formula>
    </cfRule>
    <cfRule type="cellIs" dxfId="1330" priority="75" operator="greaterThanOrEqual">
      <formula>T70</formula>
    </cfRule>
  </conditionalFormatting>
  <conditionalFormatting sqref="S78:T78">
    <cfRule type="cellIs" dxfId="1329" priority="22" operator="greaterThanOrEqual">
      <formula>T77</formula>
    </cfRule>
    <cfRule type="cellIs" dxfId="1328" priority="21" operator="lessThan">
      <formula>T77</formula>
    </cfRule>
    <cfRule type="expression" dxfId="1327" priority="20">
      <formula>T77=""</formula>
    </cfRule>
    <cfRule type="expression" dxfId="1326" priority="19">
      <formula>T$9&gt;$C$7</formula>
    </cfRule>
  </conditionalFormatting>
  <pageMargins left="0.7" right="0.7" top="0.75" bottom="0.75" header="0.3" footer="0.3"/>
  <pageSetup scale="35"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A4761-30EE-4EE8-A448-700569899FDB}">
  <dimension ref="A1:AM122"/>
  <sheetViews>
    <sheetView showGridLines="0" topLeftCell="A6" zoomScale="87" zoomScaleNormal="100" workbookViewId="0">
      <pane xSplit="7" ySplit="12" topLeftCell="H18" activePane="bottomRight" state="frozen"/>
      <selection pane="topRight" activeCell="H6" sqref="H6"/>
      <selection pane="bottomLeft" activeCell="A18" sqref="A18"/>
      <selection pane="bottomRight" activeCell="AM131" sqref="AM131"/>
    </sheetView>
  </sheetViews>
  <sheetFormatPr defaultColWidth="9.28515625" defaultRowHeight="13.5" x14ac:dyDescent="0.25"/>
  <cols>
    <col min="1" max="1" width="4" style="1073" customWidth="1"/>
    <col min="2" max="2" width="11" style="1081" customWidth="1"/>
    <col min="3" max="3" width="14.85546875" style="1082" customWidth="1"/>
    <col min="4" max="4" width="11.28515625" style="1082" customWidth="1"/>
    <col min="5" max="5" width="10.28515625" style="1073" customWidth="1"/>
    <col min="6" max="7" width="9.140625" style="1073" customWidth="1"/>
    <col min="8" max="8" width="7.28515625" style="1083" customWidth="1"/>
    <col min="9" max="9" width="7.28515625" style="1073" customWidth="1"/>
    <col min="10" max="12" width="7.28515625" style="1082" customWidth="1"/>
    <col min="13" max="13" width="7.28515625" style="1084" customWidth="1"/>
    <col min="14" max="15" width="7.28515625" style="1085" customWidth="1"/>
    <col min="16" max="38" width="7.28515625" style="1073" customWidth="1"/>
    <col min="39" max="39" width="30" style="1073" customWidth="1"/>
    <col min="40" max="16384" width="9.28515625" style="1073"/>
  </cols>
  <sheetData>
    <row r="1" spans="2:38" s="1022" customFormat="1" ht="14.25" thickBot="1" x14ac:dyDescent="0.3">
      <c r="B1" s="1020"/>
      <c r="C1" s="1021"/>
      <c r="D1" s="1021"/>
      <c r="H1" s="1023"/>
      <c r="J1" s="1021"/>
      <c r="K1" s="1021"/>
      <c r="L1" s="1021"/>
      <c r="M1" s="1024"/>
      <c r="N1" s="1025"/>
      <c r="O1" s="1025"/>
    </row>
    <row r="2" spans="2:38" s="1022" customFormat="1" ht="15.75" thickBot="1" x14ac:dyDescent="0.3">
      <c r="B2" s="1026" t="s">
        <v>221</v>
      </c>
      <c r="D2" s="1020"/>
      <c r="E2" s="1027"/>
      <c r="F2" s="1027"/>
      <c r="G2" s="1020"/>
      <c r="H2" s="1647" t="s">
        <v>310</v>
      </c>
      <c r="I2" s="1648"/>
      <c r="K2" s="1647" t="s">
        <v>311</v>
      </c>
      <c r="L2" s="1649"/>
      <c r="M2" s="1649"/>
      <c r="N2" s="1648"/>
      <c r="O2" s="1025"/>
      <c r="P2" s="1028" t="s">
        <v>312</v>
      </c>
      <c r="Q2" s="1029"/>
      <c r="R2" s="1029"/>
      <c r="S2" s="1029"/>
      <c r="T2" s="1030"/>
    </row>
    <row r="3" spans="2:38" s="1022" customFormat="1" ht="15" x14ac:dyDescent="0.25">
      <c r="B3" s="1031" t="s">
        <v>313</v>
      </c>
      <c r="D3" s="1032"/>
      <c r="E3" s="1033"/>
      <c r="F3" s="1027"/>
      <c r="G3" s="1020"/>
      <c r="H3" s="1650" t="s">
        <v>314</v>
      </c>
      <c r="I3" s="1651"/>
      <c r="K3" s="1673" t="s">
        <v>315</v>
      </c>
      <c r="L3" s="1674"/>
      <c r="M3" s="1674"/>
      <c r="N3" s="1675"/>
      <c r="O3" s="1025"/>
      <c r="P3" s="1034" t="s">
        <v>350</v>
      </c>
      <c r="Q3" s="1035"/>
      <c r="R3" s="1035"/>
      <c r="S3" s="1035"/>
      <c r="T3" s="1036"/>
    </row>
    <row r="4" spans="2:38" s="1022" customFormat="1" ht="14.25" thickBot="1" x14ac:dyDescent="0.3">
      <c r="B4" s="1037" t="s">
        <v>351</v>
      </c>
      <c r="D4" s="1038"/>
      <c r="E4" s="1033"/>
      <c r="F4" s="1027"/>
      <c r="G4" s="1020"/>
      <c r="H4" s="1655" t="s">
        <v>318</v>
      </c>
      <c r="I4" s="1656"/>
      <c r="K4" s="1657" t="s">
        <v>319</v>
      </c>
      <c r="L4" s="1658"/>
      <c r="M4" s="1658"/>
      <c r="N4" s="1659"/>
      <c r="O4" s="1025"/>
      <c r="P4" s="681" t="s">
        <v>352</v>
      </c>
      <c r="T4" s="1039"/>
    </row>
    <row r="5" spans="2:38" s="1022" customFormat="1" x14ac:dyDescent="0.25">
      <c r="B5" s="1040"/>
      <c r="D5" s="1038"/>
      <c r="E5" s="1033"/>
      <c r="F5" s="1027"/>
      <c r="G5" s="1041"/>
      <c r="K5" s="1640" t="s">
        <v>321</v>
      </c>
      <c r="L5" s="1641"/>
      <c r="M5" s="1641"/>
      <c r="N5" s="1642"/>
      <c r="O5" s="1025"/>
      <c r="P5" s="681" t="s">
        <v>353</v>
      </c>
      <c r="T5" s="1039"/>
    </row>
    <row r="6" spans="2:38" s="1022" customFormat="1" ht="14.25" thickBot="1" x14ac:dyDescent="0.3">
      <c r="B6" s="1042" t="s">
        <v>323</v>
      </c>
      <c r="C6" s="1043">
        <f>[2]SUMMARY!$C$6</f>
        <v>45809</v>
      </c>
      <c r="D6" s="1038"/>
      <c r="E6" s="1033"/>
      <c r="F6" s="1027"/>
      <c r="G6" s="1041"/>
      <c r="K6" s="1643" t="s">
        <v>324</v>
      </c>
      <c r="L6" s="1644"/>
      <c r="M6" s="1644"/>
      <c r="N6" s="1645"/>
      <c r="O6" s="1025"/>
      <c r="P6" s="1044" t="s">
        <v>354</v>
      </c>
      <c r="T6" s="1039"/>
    </row>
    <row r="7" spans="2:38" s="1022" customFormat="1" ht="14.25" thickBot="1" x14ac:dyDescent="0.3">
      <c r="B7" s="1042" t="s">
        <v>326</v>
      </c>
      <c r="C7" s="1045">
        <f>[2]SUMMARY!$C$7</f>
        <v>30</v>
      </c>
      <c r="D7" s="1038"/>
      <c r="E7" s="1033"/>
      <c r="F7" s="1027"/>
      <c r="G7" s="1041"/>
      <c r="H7" s="1020"/>
      <c r="I7" s="1020"/>
      <c r="P7" s="683" t="s">
        <v>355</v>
      </c>
      <c r="Q7" s="1046"/>
      <c r="R7" s="1046"/>
      <c r="S7" s="1046"/>
      <c r="T7" s="1047"/>
    </row>
    <row r="8" spans="2:38" s="1022" customFormat="1" ht="14.25" thickBot="1" x14ac:dyDescent="0.3">
      <c r="B8" s="1042"/>
      <c r="C8" s="1042"/>
      <c r="D8" s="1042"/>
      <c r="E8" s="1033"/>
      <c r="F8" s="1027"/>
      <c r="G8" s="1041"/>
      <c r="H8" s="1020"/>
      <c r="I8" s="1020"/>
    </row>
    <row r="9" spans="2:38" s="1020" customFormat="1" ht="14.25" thickBot="1" x14ac:dyDescent="0.3">
      <c r="B9" s="1048" t="s">
        <v>269</v>
      </c>
      <c r="C9" s="1049" t="s">
        <v>303</v>
      </c>
      <c r="D9" s="1050" t="s">
        <v>32</v>
      </c>
      <c r="E9" s="1051" t="s">
        <v>262</v>
      </c>
      <c r="G9" s="263" t="s">
        <v>328</v>
      </c>
      <c r="H9" s="1052">
        <v>1</v>
      </c>
      <c r="I9" s="1053">
        <v>2</v>
      </c>
      <c r="J9" s="1053">
        <v>3</v>
      </c>
      <c r="K9" s="1053">
        <v>4</v>
      </c>
      <c r="L9" s="1053">
        <v>5</v>
      </c>
      <c r="M9" s="1053">
        <v>6</v>
      </c>
      <c r="N9" s="1053">
        <v>7</v>
      </c>
      <c r="O9" s="1053">
        <v>8</v>
      </c>
      <c r="P9" s="1053">
        <v>9</v>
      </c>
      <c r="Q9" s="1053">
        <v>10</v>
      </c>
      <c r="R9" s="1053">
        <v>11</v>
      </c>
      <c r="S9" s="1053">
        <v>12</v>
      </c>
      <c r="T9" s="1053">
        <v>13</v>
      </c>
      <c r="U9" s="1053">
        <v>14</v>
      </c>
      <c r="V9" s="1053">
        <v>15</v>
      </c>
      <c r="W9" s="1053">
        <v>16</v>
      </c>
      <c r="X9" s="1053">
        <v>17</v>
      </c>
      <c r="Y9" s="1053">
        <v>18</v>
      </c>
      <c r="Z9" s="1053">
        <v>19</v>
      </c>
      <c r="AA9" s="1053">
        <v>20</v>
      </c>
      <c r="AB9" s="1053">
        <v>21</v>
      </c>
      <c r="AC9" s="1053">
        <v>22</v>
      </c>
      <c r="AD9" s="1053">
        <v>23</v>
      </c>
      <c r="AE9" s="1053">
        <v>24</v>
      </c>
      <c r="AF9" s="1053">
        <v>25</v>
      </c>
      <c r="AG9" s="1053">
        <v>26</v>
      </c>
      <c r="AH9" s="1053">
        <v>27</v>
      </c>
      <c r="AI9" s="1053">
        <v>28</v>
      </c>
      <c r="AJ9" s="1053">
        <v>29</v>
      </c>
      <c r="AK9" s="1053">
        <v>30</v>
      </c>
      <c r="AL9" s="1054">
        <v>31</v>
      </c>
    </row>
    <row r="10" spans="2:38" s="1022" customFormat="1" x14ac:dyDescent="0.25">
      <c r="B10" s="1055" t="s">
        <v>356</v>
      </c>
      <c r="C10" s="269">
        <f>SUM(H10:AL10)</f>
        <v>28070</v>
      </c>
      <c r="D10" s="270">
        <f>SUM(H11:AL11)</f>
        <v>28387.600000000002</v>
      </c>
      <c r="E10" s="271">
        <f>IFERROR((D10-C10)/C10,0)</f>
        <v>1.1314570716067052E-2</v>
      </c>
      <c r="F10" s="1056"/>
      <c r="G10" s="272" t="s">
        <v>330</v>
      </c>
      <c r="H10" s="273">
        <f>IF(H$9&gt;$C$7,"",SUMIF($E$18:$E307,"Budget (t)",H$18:H307))</f>
        <v>882</v>
      </c>
      <c r="I10" s="686">
        <f>IF(I$9&gt;$C$7,"",SUMIF($E$18:$E307,"Budget (t)",I$18:I307))</f>
        <v>882</v>
      </c>
      <c r="J10" s="274">
        <f>IF(J$9&gt;$C$7,"",SUMIF($E$18:$E307,"Budget (t)",J$18:J307))</f>
        <v>882</v>
      </c>
      <c r="K10" s="274">
        <f>IF(K$9&gt;$C$7,"",SUMIF($E$18:$E307,"Budget (t)",K$18:K307))</f>
        <v>882</v>
      </c>
      <c r="L10" s="274">
        <f>IF(L$9&gt;$C$7,"",SUMIF($E$18:$E307,"Budget (t)",L$18:L307))</f>
        <v>882</v>
      </c>
      <c r="M10" s="274">
        <f>IF(M$9&gt;$C$7,"",SUMIF($E$18:$E307,"Budget (t)",M$18:M307))</f>
        <v>882</v>
      </c>
      <c r="N10" s="274">
        <f>IF(N$9&gt;$C$7,"",SUMIF($E$18:$E307,"Budget (t)",N$18:N307))</f>
        <v>882</v>
      </c>
      <c r="O10" s="274">
        <f>IF(O$9&gt;$C$7,"",SUMIF($E$18:$E307,"Budget (t)",O$18:O307))</f>
        <v>952</v>
      </c>
      <c r="P10" s="274">
        <f>IF(P$9&gt;$C$7,"",SUMIF($E$18:$E307,"Budget (t)",P$18:P307))</f>
        <v>952</v>
      </c>
      <c r="Q10" s="686">
        <f>IF(Q$9&gt;$C$7,"",SUMIF($E$18:$E307,"Budget (t)",Q$18:Q307))</f>
        <v>952</v>
      </c>
      <c r="R10" s="686">
        <f>IF(R$9&gt;$C$7,"",SUMIF($E$18:$E307,"Budget (t)",R$18:R307))</f>
        <v>952</v>
      </c>
      <c r="S10" s="686">
        <f>IF(S$9&gt;$C$7,"",SUMIF($E$18:$E307,"Budget (t)",S$18:S307))</f>
        <v>952</v>
      </c>
      <c r="T10" s="686">
        <f>IF(T$9&gt;$C$7,"",SUMIF($E$18:$E307,"Budget (t)",T$18:T307))</f>
        <v>952</v>
      </c>
      <c r="U10" s="686">
        <f>IF(U$9&gt;$C$7,"",SUMIF($E$18:$E307,"Budget (t)",U$18:U307))</f>
        <v>952</v>
      </c>
      <c r="V10" s="686">
        <f>IF(V$9&gt;$C$7,"",SUMIF($E$18:$E307,"Budget (t)",V$18:V307))</f>
        <v>952</v>
      </c>
      <c r="W10" s="686">
        <f>IF(W$9&gt;$C$7,"",SUMIF($E$18:$E307,"Budget (t)",W$18:W307))</f>
        <v>952</v>
      </c>
      <c r="X10" s="686">
        <f>IF(X$9&gt;$C$7,"",SUMIF($E$18:$E307,"Budget (t)",X$18:X307))</f>
        <v>952</v>
      </c>
      <c r="Y10" s="686">
        <f>IF(Y$9&gt;$C$7,"",SUMIF($E$18:$E307,"Budget (t)",Y$18:Y307))</f>
        <v>952</v>
      </c>
      <c r="Z10" s="686">
        <f>IF(Z$9&gt;$C$7,"",SUMIF($E$18:$E307,"Budget (t)",Z$18:Z307))</f>
        <v>952</v>
      </c>
      <c r="AA10" s="686">
        <f>IF(AA$9&gt;$C$7,"",SUMIF($E$18:$E307,"Budget (t)",AA$18:AA307))</f>
        <v>952</v>
      </c>
      <c r="AB10" s="686">
        <f>IF(AB$9&gt;$C$7,"",SUMIF($E$18:$E307,"Budget (t)",AB$18:AB307))</f>
        <v>952</v>
      </c>
      <c r="AC10" s="686">
        <f>IF(AC$9&gt;$C$7,"",SUMIF($E$18:$E307,"Budget (t)",AC$18:AC307))</f>
        <v>952</v>
      </c>
      <c r="AD10" s="687">
        <f>IF(AD$9&gt;$C$7,"",SUMIF($E$18:$E307,"Budget (t)",AD$18:AD307))</f>
        <v>952</v>
      </c>
      <c r="AE10" s="687">
        <f>IF(AE$9&gt;$C$7,"",SUMIF($E$18:$E307,"Budget (t)",AE$18:AE307))</f>
        <v>952</v>
      </c>
      <c r="AF10" s="687">
        <f>IF(AF$9&gt;$C$7,"",SUMIF($E$18:$E307,"Budget (t)",AF$18:AF307))</f>
        <v>952</v>
      </c>
      <c r="AG10" s="687">
        <f>IF(AG$9&gt;$C$7,"",SUMIF($E$18:$E307,"Budget (t)",AG$18:AG307))</f>
        <v>952</v>
      </c>
      <c r="AH10" s="687">
        <f>IF(AH$9&gt;$C$7,"",SUMIF($E$18:$E307,"Budget (t)",AH$18:AH307))</f>
        <v>952</v>
      </c>
      <c r="AI10" s="687">
        <f>IF(AI$9&gt;$C$7,"",SUMIF($E$18:$E307,"Budget (t)",AI$18:AI307))</f>
        <v>952</v>
      </c>
      <c r="AJ10" s="687">
        <f>IF(AJ$9&gt;$C$7,"",SUMIF($E$18:$E307,"Budget (t)",AJ$18:AJ307))</f>
        <v>952</v>
      </c>
      <c r="AK10" s="687">
        <f>IF(AK$9&gt;$C$7,"",SUMIF($E$18:$E307,"Budget (t)",AK$18:AK307))</f>
        <v>952</v>
      </c>
      <c r="AL10" s="688" t="str">
        <f>IF(AL$9&gt;$C$7,"",SUMIF($E$18:$E307,"Budget (t)",AL$18:AL307))</f>
        <v/>
      </c>
    </row>
    <row r="11" spans="2:38" s="1057" customFormat="1" ht="14.25" thickBot="1" x14ac:dyDescent="0.3">
      <c r="B11" s="1336" t="s">
        <v>2</v>
      </c>
      <c r="C11" s="1337">
        <f>IFERROR(C12*1000/C10,0)</f>
        <v>2.7877556109725692</v>
      </c>
      <c r="D11" s="786">
        <f>IFERROR(D12*1000/D10,0)</f>
        <v>2.3909706139300253</v>
      </c>
      <c r="E11" s="1548">
        <f t="shared" ref="E11" si="0">IFERROR((D11-C11)/C11,0)</f>
        <v>-0.14233134191562682</v>
      </c>
      <c r="G11" s="263" t="s">
        <v>331</v>
      </c>
      <c r="H11" s="1289">
        <f>IF(H$9&gt;$C$7,"",SUMIF($E$18:$E307,"Actual (t)",H$18:H307))</f>
        <v>1011</v>
      </c>
      <c r="I11" s="1338">
        <f>IF(I$9&gt;$C$7,"",SUMIF($E$18:$E307,"Actual (t)",I$18:I307))</f>
        <v>944</v>
      </c>
      <c r="J11" s="1339">
        <f>IF(J$9&gt;$C$7,"",SUMIF($E$18:$E307,"Actual (t)",J$18:J307))</f>
        <v>1034</v>
      </c>
      <c r="K11" s="1339">
        <f>IF(K$9&gt;$C$7,"",SUMIF($E$18:$E307,"Actual (t)",K$18:K307))</f>
        <v>965</v>
      </c>
      <c r="L11" s="1339">
        <f>IF(L$9&gt;$C$7,"",SUMIF($E$18:$E307,"Actual (t)",L$18:L307))</f>
        <v>907</v>
      </c>
      <c r="M11" s="1339">
        <f>IF(M$9&gt;$C$7,"",SUMIF($E$18:$E307,"Actual (t)",M$18:M307))</f>
        <v>749</v>
      </c>
      <c r="N11" s="1339">
        <f>IF(N$9&gt;$C$7,"",SUMIF($E$18:$E307,"Actual (t)",N$18:N307))</f>
        <v>1103</v>
      </c>
      <c r="O11" s="1339">
        <f>IF(O$9&gt;$C$7,"",SUMIF($E$18:$E307,"Actual (t)",O$18:O307))</f>
        <v>934</v>
      </c>
      <c r="P11" s="1339">
        <f>IF(P$9&gt;$C$7,"",SUMIF($E$18:$E307,"Actual (t)",P$18:P307))</f>
        <v>1072</v>
      </c>
      <c r="Q11" s="1339">
        <f>IF(Q$9&gt;$C$7,"",SUMIF($E$18:$E307,"Actual (t)",Q$18:Q307))</f>
        <v>1064</v>
      </c>
      <c r="R11" s="1339">
        <f>IF(R$9&gt;$C$7,"",SUMIF($E$18:$E307,"Actual (t)",R$18:R307))</f>
        <v>878</v>
      </c>
      <c r="S11" s="1339">
        <f>IF(S$9&gt;$C$7,"",SUMIF($E$18:$E307,"Actual (t)",S$18:S307))</f>
        <v>1020</v>
      </c>
      <c r="T11" s="1339">
        <f>IF(T$9&gt;$C$7,"",SUMIF($E$18:$E307,"Actual (t)",T$18:T307))</f>
        <v>746</v>
      </c>
      <c r="U11" s="1339">
        <f>IF(U$9&gt;$C$7,"",SUMIF($E$18:$E307,"Actual (t)",U$18:U307))</f>
        <v>1043</v>
      </c>
      <c r="V11" s="1339">
        <f>IF(V$9&gt;$C$7,"",SUMIF($E$18:$E307,"Actual (t)",V$18:V307))</f>
        <v>929</v>
      </c>
      <c r="W11" s="1339">
        <f>IF(W$9&gt;$C$7,"",SUMIF($E$18:$E307,"Actual (t)",W$18:W307))</f>
        <v>1025.4000000000001</v>
      </c>
      <c r="X11" s="1339">
        <f>IF(X$9&gt;$C$7,"",SUMIF($E$18:$E307,"Actual (t)",X$18:X307))</f>
        <v>1039</v>
      </c>
      <c r="Y11" s="1339">
        <f>IF(Y$9&gt;$C$7,"",SUMIF($E$18:$E307,"Actual (t)",Y$18:Y307))</f>
        <v>1000</v>
      </c>
      <c r="Z11" s="1339">
        <f>IF(Z$9&gt;$C$7,"",SUMIF($E$18:$E307,"Actual (t)",Z$18:Z307))</f>
        <v>1017</v>
      </c>
      <c r="AA11" s="1339">
        <f>IF(AA$9&gt;$C$7,"",SUMIF($E$18:$E307,"Actual (t)",AA$18:AA307))</f>
        <v>751</v>
      </c>
      <c r="AB11" s="1339">
        <f>IF(AB$9&gt;$C$7,"",SUMIF($E$18:$E307,"Actual (t)",AB$18:AB307))</f>
        <v>1062</v>
      </c>
      <c r="AC11" s="1339">
        <f>IF(AC$9&gt;$C$7,"",SUMIF($E$18:$E307,"Actual (t)",AC$18:AC307))</f>
        <v>1010.2</v>
      </c>
      <c r="AD11" s="1339">
        <f>IF(AD$9&gt;$C$7,"",SUMIF($E$18:$E307,"Actual (t)",AD$18:AD307))</f>
        <v>1067</v>
      </c>
      <c r="AE11" s="1339">
        <f>IF(AE$9&gt;$C$7,"",SUMIF($E$18:$E307,"Actual (t)",AE$18:AE307))</f>
        <v>1070</v>
      </c>
      <c r="AF11" s="1339">
        <f>IF(AF$9&gt;$C$7,"",SUMIF($E$18:$E307,"Actual (t)",AF$18:AF307))</f>
        <v>907</v>
      </c>
      <c r="AG11" s="1339">
        <f>IF(AG$9&gt;$C$7,"",SUMIF($E$18:$E307,"Actual (t)",AG$18:AG307))</f>
        <v>790</v>
      </c>
      <c r="AH11" s="1339">
        <f>IF(AH$9&gt;$C$7,"",SUMIF($E$18:$E307,"Actual (t)",AH$18:AH307))</f>
        <v>864</v>
      </c>
      <c r="AI11" s="1339">
        <f>IF(AI$9&gt;$C$7,"",SUMIF($E$18:$E307,"Actual (t)",AI$18:AI307))</f>
        <v>808</v>
      </c>
      <c r="AJ11" s="1339">
        <f>IF(AJ$9&gt;$C$7,"",SUMIF($E$18:$E307,"Actual (t)",AJ$18:AJ307))</f>
        <v>596</v>
      </c>
      <c r="AK11" s="1339">
        <f>IF(AK$9&gt;$C$7,"",SUMIF($E$18:$E307,"Actual (t)",AK$18:AK307))</f>
        <v>982</v>
      </c>
      <c r="AL11" s="1340" t="str">
        <f>IF(AL$9&gt;$C$7,"",SUMIF($E$18:$E307,"Actual (t)",AL$18:AL307))</f>
        <v/>
      </c>
    </row>
    <row r="12" spans="2:38" s="190" customFormat="1" ht="15" customHeight="1" thickBot="1" x14ac:dyDescent="0.3">
      <c r="B12" s="1292" t="s">
        <v>3</v>
      </c>
      <c r="C12" s="1293">
        <f>SUM(H14:AL14)</f>
        <v>78.25230000000002</v>
      </c>
      <c r="D12" s="1294">
        <f>SUM(H15:AL15)</f>
        <v>67.873917399999996</v>
      </c>
      <c r="E12" s="1295">
        <f>IFERROR((D12-C12)/C12,0)</f>
        <v>-0.1326271892327768</v>
      </c>
      <c r="G12" s="272" t="s">
        <v>332</v>
      </c>
      <c r="H12" s="689">
        <f t="shared" ref="H12:AL13" si="1">IFERROR(H14*1000/H10,"")</f>
        <v>2.8246825396825397</v>
      </c>
      <c r="I12" s="690">
        <f t="shared" si="1"/>
        <v>2.8246825396825397</v>
      </c>
      <c r="J12" s="690">
        <f t="shared" si="1"/>
        <v>2.8246825396825397</v>
      </c>
      <c r="K12" s="690">
        <f t="shared" si="1"/>
        <v>2.8246825396825397</v>
      </c>
      <c r="L12" s="690">
        <f t="shared" si="1"/>
        <v>2.8246825396825397</v>
      </c>
      <c r="M12" s="690">
        <f t="shared" si="1"/>
        <v>2.8246825396825397</v>
      </c>
      <c r="N12" s="691">
        <f t="shared" si="1"/>
        <v>2.8246825396825397</v>
      </c>
      <c r="O12" s="691">
        <f t="shared" si="1"/>
        <v>2.7846323529411769</v>
      </c>
      <c r="P12" s="691">
        <f t="shared" si="1"/>
        <v>2.7846323529411769</v>
      </c>
      <c r="Q12" s="690">
        <f t="shared" si="1"/>
        <v>2.7846323529411769</v>
      </c>
      <c r="R12" s="690">
        <f t="shared" si="1"/>
        <v>2.7846323529411769</v>
      </c>
      <c r="S12" s="690">
        <f t="shared" si="1"/>
        <v>2.7846323529411769</v>
      </c>
      <c r="T12" s="690">
        <f t="shared" si="1"/>
        <v>2.7846323529411769</v>
      </c>
      <c r="U12" s="690">
        <f t="shared" si="1"/>
        <v>2.7846323529411769</v>
      </c>
      <c r="V12" s="690">
        <f t="shared" si="1"/>
        <v>2.7846323529411769</v>
      </c>
      <c r="W12" s="690">
        <f t="shared" si="1"/>
        <v>2.7846323529411769</v>
      </c>
      <c r="X12" s="690">
        <f>IFERROR(X14*1000/X10,"")</f>
        <v>2.7846323529411769</v>
      </c>
      <c r="Y12" s="690">
        <f t="shared" si="1"/>
        <v>2.7846323529411769</v>
      </c>
      <c r="Z12" s="690">
        <f t="shared" si="1"/>
        <v>2.7846323529411769</v>
      </c>
      <c r="AA12" s="690">
        <f t="shared" si="1"/>
        <v>2.7846323529411769</v>
      </c>
      <c r="AB12" s="690">
        <f t="shared" si="1"/>
        <v>2.7846323529411769</v>
      </c>
      <c r="AC12" s="690">
        <f t="shared" si="1"/>
        <v>2.7846323529411769</v>
      </c>
      <c r="AD12" s="692">
        <f t="shared" si="1"/>
        <v>2.7846323529411769</v>
      </c>
      <c r="AE12" s="692">
        <f t="shared" si="1"/>
        <v>2.7846323529411769</v>
      </c>
      <c r="AF12" s="692">
        <f t="shared" si="1"/>
        <v>2.7846323529411769</v>
      </c>
      <c r="AG12" s="692">
        <f t="shared" si="1"/>
        <v>2.6169852941176468</v>
      </c>
      <c r="AH12" s="692">
        <f t="shared" si="1"/>
        <v>2.7846323529411769</v>
      </c>
      <c r="AI12" s="692">
        <f t="shared" si="1"/>
        <v>2.7846323529411769</v>
      </c>
      <c r="AJ12" s="692">
        <f t="shared" si="1"/>
        <v>2.7846323529411769</v>
      </c>
      <c r="AK12" s="692">
        <f t="shared" si="1"/>
        <v>2.7846323529411769</v>
      </c>
      <c r="AL12" s="693" t="str">
        <f t="shared" si="1"/>
        <v/>
      </c>
    </row>
    <row r="13" spans="2:38" s="191" customFormat="1" ht="15" customHeight="1" thickBot="1" x14ac:dyDescent="0.3">
      <c r="G13" s="282" t="s">
        <v>333</v>
      </c>
      <c r="H13" s="1341">
        <f t="shared" si="1"/>
        <v>2.8575964391691397</v>
      </c>
      <c r="I13" s="1342">
        <f t="shared" si="1"/>
        <v>2.4791525423728809</v>
      </c>
      <c r="J13" s="1300">
        <f t="shared" si="1"/>
        <v>2.4652634429400386</v>
      </c>
      <c r="K13" s="1300">
        <f t="shared" si="1"/>
        <v>2.0725616580310882</v>
      </c>
      <c r="L13" s="1300">
        <f t="shared" si="1"/>
        <v>3.850705622932745</v>
      </c>
      <c r="M13" s="1300">
        <f t="shared" si="1"/>
        <v>2.5810013351134846</v>
      </c>
      <c r="N13" s="1300">
        <f t="shared" si="1"/>
        <v>2.3983136899365367</v>
      </c>
      <c r="O13" s="1300">
        <f t="shared" si="1"/>
        <v>2.4915524625267667</v>
      </c>
      <c r="P13" s="1300">
        <f t="shared" si="1"/>
        <v>1.9212126865671642</v>
      </c>
      <c r="Q13" s="1300">
        <f t="shared" si="1"/>
        <v>2.6420300751879697</v>
      </c>
      <c r="R13" s="1300">
        <f t="shared" si="1"/>
        <v>2.3666970387243738</v>
      </c>
      <c r="S13" s="1300">
        <f t="shared" si="1"/>
        <v>2.7295784313725493</v>
      </c>
      <c r="T13" s="1300">
        <f t="shared" si="1"/>
        <v>2.7975335120643434</v>
      </c>
      <c r="U13" s="1300">
        <f t="shared" si="1"/>
        <v>2.1442761265580059</v>
      </c>
      <c r="V13" s="1300">
        <f t="shared" si="1"/>
        <v>2.1358988159311085</v>
      </c>
      <c r="W13" s="1300">
        <f t="shared" si="1"/>
        <v>2.4330758728301145</v>
      </c>
      <c r="X13" s="1300">
        <f>IFERROR(X15*1000/X11,"")</f>
        <v>2.2344465832531286</v>
      </c>
      <c r="Y13" s="1300">
        <f t="shared" si="1"/>
        <v>2.2221799999999998</v>
      </c>
      <c r="Z13" s="1300">
        <f t="shared" si="1"/>
        <v>2.2349262536873158</v>
      </c>
      <c r="AA13" s="1300">
        <f t="shared" si="1"/>
        <v>2.5331291611185089</v>
      </c>
      <c r="AB13" s="1300">
        <f t="shared" si="1"/>
        <v>2.1759934086629009</v>
      </c>
      <c r="AC13" s="1300">
        <f t="shared" si="1"/>
        <v>1.9925777073846762</v>
      </c>
      <c r="AD13" s="1300">
        <f t="shared" si="1"/>
        <v>2.0009934395501405</v>
      </c>
      <c r="AE13" s="1300">
        <f t="shared" si="1"/>
        <v>2.6937757009345797</v>
      </c>
      <c r="AF13" s="1300">
        <f t="shared" si="1"/>
        <v>1.8656229327453138</v>
      </c>
      <c r="AG13" s="1300">
        <f t="shared" si="1"/>
        <v>3.562696202531646</v>
      </c>
      <c r="AH13" s="1300">
        <f t="shared" si="1"/>
        <v>1.7532870370370373</v>
      </c>
      <c r="AI13" s="1300">
        <f t="shared" si="1"/>
        <v>2.0982920792079214</v>
      </c>
      <c r="AJ13" s="1300">
        <f t="shared" si="1"/>
        <v>1.8881040268456375</v>
      </c>
      <c r="AK13" s="1300">
        <f t="shared" si="1"/>
        <v>2.3008146639511198</v>
      </c>
      <c r="AL13" s="1343" t="str">
        <f t="shared" si="1"/>
        <v/>
      </c>
    </row>
    <row r="14" spans="2:38" s="192" customFormat="1" x14ac:dyDescent="0.25">
      <c r="B14" s="694"/>
      <c r="G14" s="283" t="s">
        <v>334</v>
      </c>
      <c r="H14" s="284">
        <f>IF(H$9&gt;$C$7,"",SUMIF($E$18:$E307,"Budget (kg)",H$18:H307))</f>
        <v>2.4913699999999999</v>
      </c>
      <c r="I14" s="695">
        <f>IF(I$9&gt;$C$7,"",SUMIF($E$18:$E307,"Budget (kg)",I$18:I307))</f>
        <v>2.4913699999999999</v>
      </c>
      <c r="J14" s="285">
        <f>IF(J$9&gt;$C$7,"",SUMIF($E$18:$E307,"Budget (kg)",J$18:J307))</f>
        <v>2.4913699999999999</v>
      </c>
      <c r="K14" s="285">
        <f>IF(K$9&gt;$C$7,"",SUMIF($E$18:$E307,"Budget (kg)",K$18:K307))</f>
        <v>2.4913699999999999</v>
      </c>
      <c r="L14" s="285">
        <f>IF(L$9&gt;$C$7,"",SUMIF($E$18:$E307,"Budget (kg)",L$18:L307))</f>
        <v>2.4913699999999999</v>
      </c>
      <c r="M14" s="285">
        <f>IF(M$9&gt;$C$7,"",SUMIF($E$18:$E307,"Budget (kg)",M$18:M307))</f>
        <v>2.4913699999999999</v>
      </c>
      <c r="N14" s="285">
        <f>IF(N$9&gt;$C$7,"",SUMIF($E$18:$E307,"Budget (kg)",N$18:N307))</f>
        <v>2.4913699999999999</v>
      </c>
      <c r="O14" s="285">
        <f>IF(O$9&gt;$C$7,"",SUMIF($E$18:$E307,"Budget (kg)",O$18:O307))</f>
        <v>2.65097</v>
      </c>
      <c r="P14" s="285">
        <f>IF(P$9&gt;$C$7,"",SUMIF($E$18:$E307,"Budget (kg)",P$18:P307))</f>
        <v>2.65097</v>
      </c>
      <c r="Q14" s="695">
        <f>IF(Q$9&gt;$C$7,"",SUMIF($E$18:$E307,"Budget (kg)",Q$18:Q307))</f>
        <v>2.65097</v>
      </c>
      <c r="R14" s="695">
        <f>IF(R$9&gt;$C$7,"",SUMIF($E$18:$E307,"Budget (kg)",R$18:R307))</f>
        <v>2.65097</v>
      </c>
      <c r="S14" s="695">
        <f>IF(S$9&gt;$C$7,"",SUMIF($E$18:$E307,"Budget (kg)",S$18:S307))</f>
        <v>2.65097</v>
      </c>
      <c r="T14" s="695">
        <f>IF(T$9&gt;$C$7,"",SUMIF($E$18:$E307,"Budget (kg)",T$18:T307))</f>
        <v>2.65097</v>
      </c>
      <c r="U14" s="695">
        <f>IF(U$9&gt;$C$7,"",SUMIF($E$18:$E307,"Budget (kg)",U$18:U307))</f>
        <v>2.65097</v>
      </c>
      <c r="V14" s="695">
        <f>IF(V$9&gt;$C$7,"",SUMIF($E$18:$E307,"Budget (kg)",V$18:V307))</f>
        <v>2.65097</v>
      </c>
      <c r="W14" s="695">
        <f>IF(W$9&gt;$C$7,"",SUMIF($E$18:$E307,"Budget (kg)",W$18:W307))</f>
        <v>2.65097</v>
      </c>
      <c r="X14" s="695">
        <f>IF(X$9&gt;$C$7,"",SUMIF($E$18:$E307,"Budget (kg)",X$18:X307))</f>
        <v>2.65097</v>
      </c>
      <c r="Y14" s="695">
        <f>IF(Y$9&gt;$C$7,"",SUMIF($E$18:$E307,"Budget (kg)",Y$18:Y307))</f>
        <v>2.65097</v>
      </c>
      <c r="Z14" s="695">
        <f>IF(Z$9&gt;$C$7,"",SUMIF($E$18:$E307,"Budget (kg)",Z$18:Z307))</f>
        <v>2.65097</v>
      </c>
      <c r="AA14" s="695">
        <f>IF(AA$9&gt;$C$7,"",SUMIF($E$18:$E307,"Budget (kg)",AA$18:AA307))</f>
        <v>2.65097</v>
      </c>
      <c r="AB14" s="695">
        <f>IF(AB$9&gt;$C$7,"",SUMIF($E$18:$E307,"Budget (kg)",AB$18:AB307))</f>
        <v>2.65097</v>
      </c>
      <c r="AC14" s="695">
        <f>IF(AC$9&gt;$C$7,"",SUMIF($E$18:$E307,"Budget (kg)",AC$18:AC307))</f>
        <v>2.65097</v>
      </c>
      <c r="AD14" s="696">
        <f>IF(AD$9&gt;$C$7,"",SUMIF($E$18:$E307,"Budget (kg)",AD$18:AD307))</f>
        <v>2.65097</v>
      </c>
      <c r="AE14" s="696">
        <f>IF(AE$9&gt;$C$7,"",SUMIF($E$18:$E307,"Budget (kg)",AE$18:AE307))</f>
        <v>2.65097</v>
      </c>
      <c r="AF14" s="696">
        <f>IF(AF$9&gt;$C$7,"",SUMIF($E$18:$E307,"Budget (kg)",AF$18:AF307))</f>
        <v>2.65097</v>
      </c>
      <c r="AG14" s="696">
        <f>IF(AG$9&gt;$C$7,"",SUMIF($E$18:$E307,"Budget (kg)",AG$18:AG307))</f>
        <v>2.4913699999999999</v>
      </c>
      <c r="AH14" s="696">
        <f>IF(AH$9&gt;$C$7,"",SUMIF($E$18:$E307,"Budget (kg)",AH$18:AH307))</f>
        <v>2.65097</v>
      </c>
      <c r="AI14" s="696">
        <f>IF(AI$9&gt;$C$7,"",SUMIF($E$18:$E307,"Budget (kg)",AI$18:AI307))</f>
        <v>2.65097</v>
      </c>
      <c r="AJ14" s="696">
        <f>IF(AJ$9&gt;$C$7,"",SUMIF($E$18:$E307,"Budget (kg)",AJ$18:AJ307))</f>
        <v>2.65097</v>
      </c>
      <c r="AK14" s="696">
        <f>IF(AK$9&gt;$C$7,"",SUMIF($E$18:$E307,"Budget (kg)",AK$18:AK307))</f>
        <v>2.65097</v>
      </c>
      <c r="AL14" s="697" t="str">
        <f>IF(AL$9&gt;$C$7,"",SUMIF($E$18:$E307,"Budget (kg)",AL$18:AL307))</f>
        <v/>
      </c>
    </row>
    <row r="15" spans="2:38" s="193" customFormat="1" ht="15" customHeight="1" thickBot="1" x14ac:dyDescent="0.3">
      <c r="G15" s="288" t="s">
        <v>335</v>
      </c>
      <c r="H15" s="1344">
        <f>IF(H$9&gt;$C$7,"",SUMIF($E$18:$E307,"Actual (kg)",H$18:H307))</f>
        <v>2.88903</v>
      </c>
      <c r="I15" s="1345">
        <f>IF(I$9&gt;$C$7,"",SUMIF($E$18:$E307,"Actual (kg)",I$18:I307))</f>
        <v>2.3403199999999997</v>
      </c>
      <c r="J15" s="1346">
        <f>IF(J$9&gt;$C$7,"",SUMIF($E$18:$E307,"Actual (kg)",J$18:J307))</f>
        <v>2.5490823999999996</v>
      </c>
      <c r="K15" s="1346">
        <f>IF(K$9&gt;$C$7,"",SUMIF($E$18:$E307,"Actual (kg)",K$18:K307))</f>
        <v>2.000022</v>
      </c>
      <c r="L15" s="1346">
        <f>IF(L$9&gt;$C$7,"",SUMIF($E$18:$E307,"Actual (kg)",L$18:L307))</f>
        <v>3.4925899999999999</v>
      </c>
      <c r="M15" s="1346">
        <f>IF(M$9&gt;$C$7,"",SUMIF($E$18:$E307,"Actual (kg)",M$18:M307))</f>
        <v>1.9331699999999998</v>
      </c>
      <c r="N15" s="1346">
        <f>IF(N$9&gt;$C$7,"",SUMIF($E$18:$E307,"Actual (kg)",N$18:N307))</f>
        <v>2.64534</v>
      </c>
      <c r="O15" s="1346">
        <f>IF(O$9&gt;$C$7,"",SUMIF($E$18:$E307,"Actual (kg)",O$18:O307))</f>
        <v>2.3271100000000002</v>
      </c>
      <c r="P15" s="1346">
        <f>IF(P$9&gt;$C$7,"",SUMIF($E$18:$E307,"Actual (kg)",P$18:P307))</f>
        <v>2.0595400000000001</v>
      </c>
      <c r="Q15" s="1346">
        <f>IF(Q$9&gt;$C$7,"",SUMIF($E$18:$E307,"Actual (kg)",Q$18:Q307))</f>
        <v>2.8111199999999998</v>
      </c>
      <c r="R15" s="1346">
        <f>IF(R$9&gt;$C$7,"",SUMIF($E$18:$E307,"Actual (kg)",R$18:R307))</f>
        <v>2.07796</v>
      </c>
      <c r="S15" s="1346">
        <f>IF(S$9&gt;$C$7,"",SUMIF($E$18:$E307,"Actual (kg)",S$18:S307))</f>
        <v>2.78417</v>
      </c>
      <c r="T15" s="1346">
        <f>IF(T$9&gt;$C$7,"",SUMIF($E$18:$E307,"Actual (kg)",T$18:T307))</f>
        <v>2.0869599999999999</v>
      </c>
      <c r="U15" s="1346">
        <f>IF(U$9&gt;$C$7,"",SUMIF($E$18:$E307,"Actual (kg)",U$18:U307))</f>
        <v>2.2364799999999998</v>
      </c>
      <c r="V15" s="1346">
        <f>IF(V$9&gt;$C$7,"",SUMIF($E$18:$E307,"Actual (kg)",V$18:V307))</f>
        <v>1.9842499999999998</v>
      </c>
      <c r="W15" s="1346">
        <f>IF(W$9&gt;$C$7,"",SUMIF($E$18:$E307,"Actual (kg)",W$18:W307))</f>
        <v>2.4948759999999996</v>
      </c>
      <c r="X15" s="1346">
        <f>IF(X$9&gt;$C$7,"",SUMIF($E$18:$E307,"Actual (kg)",X$18:X307))</f>
        <v>2.3215900000000005</v>
      </c>
      <c r="Y15" s="1346">
        <f>IF(Y$9&gt;$C$7,"",SUMIF($E$18:$E307,"Actual (kg)",Y$18:Y307))</f>
        <v>2.2221799999999998</v>
      </c>
      <c r="Z15" s="1346">
        <f>IF(Z$9&gt;$C$7,"",SUMIF($E$18:$E307,"Actual (kg)",Z$18:Z307))</f>
        <v>2.2729200000000001</v>
      </c>
      <c r="AA15" s="1346">
        <f>IF(AA$9&gt;$C$7,"",SUMIF($E$18:$E307,"Actual (kg)",AA$18:AA307))</f>
        <v>1.9023800000000002</v>
      </c>
      <c r="AB15" s="1346">
        <f>IF(AB$9&gt;$C$7,"",SUMIF($E$18:$E307,"Actual (kg)",AB$18:AB307))</f>
        <v>2.3109050000000004</v>
      </c>
      <c r="AC15" s="1346">
        <f>IF(AC$9&gt;$C$7,"",SUMIF($E$18:$E307,"Actual (kg)",AC$18:AC307))</f>
        <v>2.012902</v>
      </c>
      <c r="AD15" s="1346">
        <f>IF(AD$9&gt;$C$7,"",SUMIF($E$18:$E307,"Actual (kg)",AD$18:AD307))</f>
        <v>2.1350599999999997</v>
      </c>
      <c r="AE15" s="1346">
        <f>IF(AE$9&gt;$C$7,"",SUMIF($E$18:$E307,"Actual (kg)",AE$18:AE307))</f>
        <v>2.8823400000000001</v>
      </c>
      <c r="AF15" s="1346">
        <f>IF(AF$9&gt;$C$7,"",SUMIF($E$18:$E307,"Actual (kg)",AF$18:AF307))</f>
        <v>1.6921199999999996</v>
      </c>
      <c r="AG15" s="1346">
        <f>IF(AG$9&gt;$C$7,"",SUMIF($E$18:$E307,"Actual (kg)",AG$18:AG307))</f>
        <v>2.81453</v>
      </c>
      <c r="AH15" s="1346">
        <f>IF(AH$9&gt;$C$7,"",SUMIF($E$18:$E307,"Actual (kg)",AH$18:AH307))</f>
        <v>1.5148400000000002</v>
      </c>
      <c r="AI15" s="1346">
        <f>IF(AI$9&gt;$C$7,"",SUMIF($E$18:$E307,"Actual (kg)",AI$18:AI307))</f>
        <v>1.6954200000000004</v>
      </c>
      <c r="AJ15" s="1346">
        <f>IF(AJ$9&gt;$C$7,"",SUMIF($E$18:$E307,"Actual (kg)",AJ$18:AJ307))</f>
        <v>1.12531</v>
      </c>
      <c r="AK15" s="1346">
        <f>IF(AK$9&gt;$C$7,"",SUMIF($E$18:$E307,"Actual (kg)",AK$18:AK307))</f>
        <v>2.2593999999999999</v>
      </c>
      <c r="AL15" s="1347" t="str">
        <f>IF(AL$9&gt;$C$7,"",SUMIF($E$18:$E307,"Actual (kg)",AL$18:AL307))</f>
        <v/>
      </c>
    </row>
    <row r="16" spans="2:38" s="1022" customFormat="1" ht="14.25" thickBot="1" x14ac:dyDescent="0.3">
      <c r="H16" s="1023"/>
      <c r="J16" s="1021"/>
      <c r="K16" s="1021"/>
      <c r="L16" s="1021"/>
      <c r="M16" s="1024"/>
      <c r="N16" s="1025"/>
      <c r="O16" s="1025"/>
    </row>
    <row r="17" spans="1:39" s="1057" customFormat="1" ht="14.25" thickBot="1" x14ac:dyDescent="0.3">
      <c r="A17" s="1058">
        <f>COUNTA(C18:C307)</f>
        <v>15</v>
      </c>
      <c r="B17" s="1059" t="s">
        <v>357</v>
      </c>
      <c r="C17" s="1060" t="s">
        <v>358</v>
      </c>
      <c r="D17" s="1061"/>
      <c r="E17" s="1062"/>
      <c r="F17" s="1063" t="s">
        <v>269</v>
      </c>
      <c r="G17" s="1064" t="s">
        <v>338</v>
      </c>
      <c r="H17" s="1065">
        <f>[2]SUMMARY!I16</f>
        <v>45809</v>
      </c>
      <c r="I17" s="1066">
        <f>[2]SUMMARY!J16</f>
        <v>45810</v>
      </c>
      <c r="J17" s="1066">
        <f>[2]SUMMARY!K16</f>
        <v>45811</v>
      </c>
      <c r="K17" s="1066">
        <f>[2]SUMMARY!L16</f>
        <v>45812</v>
      </c>
      <c r="L17" s="1066">
        <f>[2]SUMMARY!M16</f>
        <v>45813</v>
      </c>
      <c r="M17" s="1066">
        <f>[2]SUMMARY!N16</f>
        <v>45814</v>
      </c>
      <c r="N17" s="1066">
        <f>[2]SUMMARY!O16</f>
        <v>45815</v>
      </c>
      <c r="O17" s="1066">
        <f>[2]SUMMARY!P16</f>
        <v>45816</v>
      </c>
      <c r="P17" s="1066">
        <f>[2]SUMMARY!Q16</f>
        <v>45817</v>
      </c>
      <c r="Q17" s="1066">
        <f>[2]SUMMARY!R16</f>
        <v>45818</v>
      </c>
      <c r="R17" s="1066">
        <f>[2]SUMMARY!S16</f>
        <v>45819</v>
      </c>
      <c r="S17" s="1066">
        <f>[2]SUMMARY!T16</f>
        <v>45820</v>
      </c>
      <c r="T17" s="1066">
        <f>[2]SUMMARY!U16</f>
        <v>45821</v>
      </c>
      <c r="U17" s="1066">
        <f>[2]SUMMARY!V16</f>
        <v>45822</v>
      </c>
      <c r="V17" s="1066">
        <f>[2]SUMMARY!W16</f>
        <v>45823</v>
      </c>
      <c r="W17" s="1066">
        <f>[2]SUMMARY!X16</f>
        <v>45824</v>
      </c>
      <c r="X17" s="1066">
        <f>[2]SUMMARY!Y16</f>
        <v>45825</v>
      </c>
      <c r="Y17" s="1066">
        <f>[2]SUMMARY!Z16</f>
        <v>45826</v>
      </c>
      <c r="Z17" s="1066">
        <f>[2]SUMMARY!AA16</f>
        <v>45827</v>
      </c>
      <c r="AA17" s="1066">
        <f>[2]SUMMARY!AB16</f>
        <v>45828</v>
      </c>
      <c r="AB17" s="1066">
        <f>[2]SUMMARY!AC16</f>
        <v>45829</v>
      </c>
      <c r="AC17" s="1066">
        <f>[2]SUMMARY!AD16</f>
        <v>45830</v>
      </c>
      <c r="AD17" s="1066">
        <f>[2]SUMMARY!AE16</f>
        <v>45831</v>
      </c>
      <c r="AE17" s="1066">
        <f>[2]SUMMARY!AF16</f>
        <v>45832</v>
      </c>
      <c r="AF17" s="1066">
        <f>[2]SUMMARY!AG16</f>
        <v>45833</v>
      </c>
      <c r="AG17" s="1066">
        <f>[2]SUMMARY!AH16</f>
        <v>45834</v>
      </c>
      <c r="AH17" s="1066">
        <f>[2]SUMMARY!AI16</f>
        <v>45835</v>
      </c>
      <c r="AI17" s="1066">
        <f>[2]SUMMARY!AJ16</f>
        <v>45836</v>
      </c>
      <c r="AJ17" s="1066">
        <f>[2]SUMMARY!AK16</f>
        <v>45837</v>
      </c>
      <c r="AK17" s="1066">
        <f>[2]SUMMARY!AL16</f>
        <v>45838</v>
      </c>
      <c r="AL17" s="1067">
        <f>[2]SUMMARY!AM16</f>
        <v>45839</v>
      </c>
      <c r="AM17" s="1068" t="s">
        <v>359</v>
      </c>
    </row>
    <row r="18" spans="1:39" s="1069" customFormat="1" ht="14.85" customHeight="1" x14ac:dyDescent="0.25">
      <c r="B18" s="1608">
        <v>1</v>
      </c>
      <c r="C18" s="1661" t="str">
        <f>[2]Stoping!C18</f>
        <v>1L W24 STOPE</v>
      </c>
      <c r="D18" s="1611" t="s">
        <v>340</v>
      </c>
      <c r="E18" s="1070" t="s">
        <v>341</v>
      </c>
      <c r="F18" s="196">
        <f>SUMIF($H$9:$AL$9,"&lt;="&amp;$C$7,H18:AL18)</f>
        <v>2100</v>
      </c>
      <c r="G18" s="1071"/>
      <c r="H18" s="198">
        <f>[2]Stoping!H18</f>
        <v>70</v>
      </c>
      <c r="I18" s="198">
        <f>[2]Stoping!I18</f>
        <v>70</v>
      </c>
      <c r="J18" s="198">
        <f>[2]Stoping!J18</f>
        <v>70</v>
      </c>
      <c r="K18" s="199">
        <f>[2]Stoping!K18</f>
        <v>70</v>
      </c>
      <c r="L18" s="199">
        <f>[2]Stoping!L18</f>
        <v>70</v>
      </c>
      <c r="M18" s="199">
        <f>[2]Stoping!M18</f>
        <v>70</v>
      </c>
      <c r="N18" s="199">
        <f>[2]Stoping!N18</f>
        <v>70</v>
      </c>
      <c r="O18" s="199">
        <f>[2]Stoping!O18</f>
        <v>70</v>
      </c>
      <c r="P18" s="200">
        <f>[2]Stoping!P18</f>
        <v>70</v>
      </c>
      <c r="Q18" s="199">
        <f>[2]Stoping!Q18</f>
        <v>70</v>
      </c>
      <c r="R18" s="199">
        <f>[2]Stoping!R18</f>
        <v>70</v>
      </c>
      <c r="S18" s="199">
        <f>[2]Stoping!S18</f>
        <v>70</v>
      </c>
      <c r="T18" s="199">
        <f>[2]Stoping!T18</f>
        <v>70</v>
      </c>
      <c r="U18" s="199">
        <f>[2]Stoping!U18</f>
        <v>70</v>
      </c>
      <c r="V18" s="199">
        <f>[2]Stoping!V18</f>
        <v>70</v>
      </c>
      <c r="W18" s="199">
        <f>[2]Stoping!W18</f>
        <v>70</v>
      </c>
      <c r="X18" s="199">
        <f>[2]Stoping!X18</f>
        <v>70</v>
      </c>
      <c r="Y18" s="199">
        <f>[2]Stoping!Y18</f>
        <v>70</v>
      </c>
      <c r="Z18" s="199">
        <f>[2]Stoping!Z18</f>
        <v>70</v>
      </c>
      <c r="AA18" s="199">
        <f>[2]Stoping!AA18</f>
        <v>70</v>
      </c>
      <c r="AB18" s="199">
        <f>[2]Stoping!AB18</f>
        <v>70</v>
      </c>
      <c r="AC18" s="199">
        <f>[2]Stoping!AC18</f>
        <v>70</v>
      </c>
      <c r="AD18" s="199">
        <f>[2]Stoping!AD18</f>
        <v>70</v>
      </c>
      <c r="AE18" s="199">
        <f>[2]Stoping!AE18</f>
        <v>70</v>
      </c>
      <c r="AF18" s="199">
        <f>[2]Stoping!AF18</f>
        <v>70</v>
      </c>
      <c r="AG18" s="199">
        <f>[2]Stoping!AG18</f>
        <v>70</v>
      </c>
      <c r="AH18" s="199">
        <f>[2]Stoping!AH18</f>
        <v>70</v>
      </c>
      <c r="AI18" s="199">
        <f>[2]Stoping!AI18</f>
        <v>70</v>
      </c>
      <c r="AJ18" s="199">
        <f>[2]Stoping!AJ18</f>
        <v>70</v>
      </c>
      <c r="AK18" s="199">
        <f>[2]Stoping!AK18</f>
        <v>70</v>
      </c>
      <c r="AL18" s="201">
        <f>[2]Stoping!AL18</f>
        <v>0</v>
      </c>
      <c r="AM18" s="1072"/>
    </row>
    <row r="19" spans="1:39" x14ac:dyDescent="0.25">
      <c r="B19" s="1607"/>
      <c r="C19" s="1662"/>
      <c r="D19" s="1610"/>
      <c r="E19" s="1302" t="s">
        <v>342</v>
      </c>
      <c r="F19" s="1303">
        <f>SUMIF($H$9:$AL$9,"&lt;="&amp;$C$7,H19:AL19)</f>
        <v>2916</v>
      </c>
      <c r="G19" s="1304">
        <f>IFERROR((F19-F18)/F18,0)</f>
        <v>0.38857142857142857</v>
      </c>
      <c r="H19" s="1305">
        <v>60</v>
      </c>
      <c r="I19" s="1303">
        <v>120</v>
      </c>
      <c r="J19" s="1303">
        <v>90</v>
      </c>
      <c r="K19" s="1303">
        <v>102</v>
      </c>
      <c r="L19" s="1303">
        <v>72</v>
      </c>
      <c r="M19" s="1303">
        <v>90</v>
      </c>
      <c r="N19" s="1303">
        <v>84</v>
      </c>
      <c r="O19" s="1303">
        <v>102</v>
      </c>
      <c r="P19" s="1303">
        <v>84</v>
      </c>
      <c r="Q19" s="1303">
        <v>96</v>
      </c>
      <c r="R19" s="1303">
        <v>60</v>
      </c>
      <c r="S19" s="1303">
        <v>90</v>
      </c>
      <c r="T19" s="1303">
        <v>120</v>
      </c>
      <c r="U19" s="1303">
        <v>120</v>
      </c>
      <c r="V19" s="1303">
        <v>90</v>
      </c>
      <c r="W19" s="1303">
        <v>96</v>
      </c>
      <c r="X19" s="1303">
        <v>120</v>
      </c>
      <c r="Y19" s="1303">
        <v>120</v>
      </c>
      <c r="Z19" s="1303">
        <v>120</v>
      </c>
      <c r="AA19" s="1303">
        <v>96</v>
      </c>
      <c r="AB19" s="1303">
        <v>120</v>
      </c>
      <c r="AC19" s="1303">
        <v>120</v>
      </c>
      <c r="AD19" s="1303">
        <v>96</v>
      </c>
      <c r="AE19" s="1303">
        <v>120</v>
      </c>
      <c r="AF19" s="1303">
        <v>108</v>
      </c>
      <c r="AG19" s="1303">
        <v>60</v>
      </c>
      <c r="AH19" s="1303">
        <v>90</v>
      </c>
      <c r="AI19" s="1303">
        <v>90</v>
      </c>
      <c r="AJ19" s="1303">
        <v>60</v>
      </c>
      <c r="AK19" s="1303">
        <v>120</v>
      </c>
      <c r="AL19" s="1303"/>
      <c r="AM19" s="1074"/>
    </row>
    <row r="20" spans="1:39" x14ac:dyDescent="0.25">
      <c r="B20" s="1607"/>
      <c r="C20" s="1662"/>
      <c r="D20" s="1610"/>
      <c r="E20" s="1324" t="s">
        <v>312</v>
      </c>
      <c r="F20" s="1307"/>
      <c r="G20" s="1308"/>
      <c r="H20" s="1075"/>
      <c r="I20" s="1075"/>
      <c r="J20" s="1075"/>
      <c r="K20" s="1075"/>
      <c r="L20" s="1075"/>
      <c r="M20" s="1075"/>
      <c r="N20" s="1075"/>
      <c r="O20" s="1075"/>
      <c r="P20" s="1076"/>
      <c r="Q20" s="1075"/>
      <c r="R20" s="1075"/>
      <c r="S20" s="1075"/>
      <c r="T20" s="1075"/>
      <c r="U20" s="1075"/>
      <c r="V20" s="1075"/>
      <c r="W20" s="1075"/>
      <c r="X20" s="1075"/>
      <c r="Y20" s="1075"/>
      <c r="Z20" s="1075"/>
      <c r="AA20" s="1075"/>
      <c r="AB20" s="1075"/>
      <c r="AC20" s="1075"/>
      <c r="AD20" s="1075"/>
      <c r="AE20" s="1075"/>
      <c r="AF20" s="1075"/>
      <c r="AG20" s="1075"/>
      <c r="AH20" s="1075"/>
      <c r="AI20" s="1075"/>
      <c r="AJ20" s="1075"/>
      <c r="AK20" s="1075"/>
      <c r="AL20" s="1077"/>
      <c r="AM20" s="1074"/>
    </row>
    <row r="21" spans="1:39" x14ac:dyDescent="0.25">
      <c r="B21" s="1607"/>
      <c r="C21" s="1662"/>
      <c r="D21" s="1612" t="s">
        <v>343</v>
      </c>
      <c r="E21" s="1309" t="s">
        <v>344</v>
      </c>
      <c r="F21" s="1310">
        <f>IFERROR(F23*1000/F18,0)</f>
        <v>2.2999999999999989</v>
      </c>
      <c r="G21" s="1311"/>
      <c r="H21" s="1333">
        <f>[2]Stoping!H21</f>
        <v>2.2999999999999998</v>
      </c>
      <c r="I21" s="1333">
        <f>[2]Stoping!I21</f>
        <v>2.2999999999999998</v>
      </c>
      <c r="J21" s="1333">
        <f>[2]Stoping!J21</f>
        <v>2.2999999999999998</v>
      </c>
      <c r="K21" s="1333">
        <f>[2]Stoping!K21</f>
        <v>2.2999999999999998</v>
      </c>
      <c r="L21" s="1333">
        <f>[2]Stoping!L21</f>
        <v>2.2999999999999998</v>
      </c>
      <c r="M21" s="1333">
        <f>[2]Stoping!M21</f>
        <v>2.2999999999999998</v>
      </c>
      <c r="N21" s="1333">
        <f>[2]Stoping!N21</f>
        <v>2.2999999999999998</v>
      </c>
      <c r="O21" s="1333">
        <f>[2]Stoping!O21</f>
        <v>2.2999999999999998</v>
      </c>
      <c r="P21" s="1334">
        <f>[2]Stoping!P21</f>
        <v>2.2999999999999998</v>
      </c>
      <c r="Q21" s="1333">
        <f>[2]Stoping!Q21</f>
        <v>2.2999999999999998</v>
      </c>
      <c r="R21" s="1333">
        <f>[2]Stoping!R21</f>
        <v>2.2999999999999998</v>
      </c>
      <c r="S21" s="1333">
        <f>[2]Stoping!S21</f>
        <v>2.2999999999999998</v>
      </c>
      <c r="T21" s="1333">
        <f>[2]Stoping!T21</f>
        <v>2.2999999999999998</v>
      </c>
      <c r="U21" s="1333">
        <f>[2]Stoping!U21</f>
        <v>2.2999999999999998</v>
      </c>
      <c r="V21" s="1333">
        <f>[2]Stoping!V21</f>
        <v>2.2999999999999998</v>
      </c>
      <c r="W21" s="1333">
        <f>[2]Stoping!W21</f>
        <v>2.2999999999999998</v>
      </c>
      <c r="X21" s="1333">
        <f>[2]Stoping!X21</f>
        <v>2.2999999999999998</v>
      </c>
      <c r="Y21" s="1333">
        <f>[2]Stoping!Y21</f>
        <v>2.2999999999999998</v>
      </c>
      <c r="Z21" s="1333">
        <f>[2]Stoping!Z21</f>
        <v>2.2999999999999998</v>
      </c>
      <c r="AA21" s="1333">
        <f>[2]Stoping!AA21</f>
        <v>2.2999999999999998</v>
      </c>
      <c r="AB21" s="1333">
        <f>[2]Stoping!AB21</f>
        <v>2.2999999999999998</v>
      </c>
      <c r="AC21" s="1333">
        <f>[2]Stoping!AC21</f>
        <v>2.2999999999999998</v>
      </c>
      <c r="AD21" s="1333">
        <f>[2]Stoping!AD21</f>
        <v>2.2999999999999998</v>
      </c>
      <c r="AE21" s="1333">
        <f>[2]Stoping!AE21</f>
        <v>2.2999999999999998</v>
      </c>
      <c r="AF21" s="1333">
        <f>[2]Stoping!AF21</f>
        <v>2.2999999999999998</v>
      </c>
      <c r="AG21" s="1333">
        <f>[2]Stoping!AG21</f>
        <v>2.2999999999999998</v>
      </c>
      <c r="AH21" s="1333">
        <f>[2]Stoping!AH21</f>
        <v>2.2999999999999998</v>
      </c>
      <c r="AI21" s="1333">
        <f>[2]Stoping!AI21</f>
        <v>2.2999999999999998</v>
      </c>
      <c r="AJ21" s="1333">
        <f>[2]Stoping!AJ21</f>
        <v>2.2999999999999998</v>
      </c>
      <c r="AK21" s="1333">
        <f>[2]Stoping!AK21</f>
        <v>2.2999999999999998</v>
      </c>
      <c r="AL21" s="1335">
        <f>[2]Stoping!AL21</f>
        <v>0</v>
      </c>
      <c r="AM21" s="1074"/>
    </row>
    <row r="22" spans="1:39" x14ac:dyDescent="0.25">
      <c r="B22" s="1607"/>
      <c r="C22" s="1662"/>
      <c r="D22" s="1664"/>
      <c r="E22" s="1313" t="s">
        <v>345</v>
      </c>
      <c r="F22" s="1314">
        <f>IFERROR(F24*1000/F19,0)</f>
        <v>1.3064814814814814</v>
      </c>
      <c r="G22" s="1304">
        <f>IFERROR((F22-F21)/F21,0)</f>
        <v>-0.4319645732689209</v>
      </c>
      <c r="H22" s="1315">
        <v>3.47</v>
      </c>
      <c r="I22" s="1314">
        <v>1.32</v>
      </c>
      <c r="J22" s="1314">
        <v>2.15</v>
      </c>
      <c r="K22" s="1314">
        <v>1.02</v>
      </c>
      <c r="L22" s="1314">
        <v>0.94</v>
      </c>
      <c r="M22" s="1314">
        <v>0.51</v>
      </c>
      <c r="N22" s="1314">
        <v>1.94</v>
      </c>
      <c r="O22" s="1314">
        <v>1.23</v>
      </c>
      <c r="P22" s="1314">
        <v>1.62</v>
      </c>
      <c r="Q22" s="1314">
        <v>1.89</v>
      </c>
      <c r="R22" s="1314">
        <v>2.73</v>
      </c>
      <c r="S22" s="1314">
        <v>2.73</v>
      </c>
      <c r="T22" s="1314">
        <v>1.31</v>
      </c>
      <c r="U22" s="1314">
        <v>1.19</v>
      </c>
      <c r="V22" s="1314">
        <v>1.25</v>
      </c>
      <c r="W22" s="1314">
        <v>0.78</v>
      </c>
      <c r="X22" s="1314">
        <v>0.78</v>
      </c>
      <c r="Y22" s="1314">
        <v>2.2799999999999998</v>
      </c>
      <c r="Z22" s="1314">
        <v>1.1200000000000001</v>
      </c>
      <c r="AA22" s="1314">
        <v>1.54</v>
      </c>
      <c r="AB22" s="1314">
        <v>1.54</v>
      </c>
      <c r="AC22" s="1314">
        <v>0.46</v>
      </c>
      <c r="AD22" s="1314">
        <v>0.46</v>
      </c>
      <c r="AE22" s="1314">
        <v>0.82</v>
      </c>
      <c r="AF22" s="1314">
        <v>0.72</v>
      </c>
      <c r="AG22" s="1314">
        <v>0.93</v>
      </c>
      <c r="AH22" s="1314">
        <v>0.76</v>
      </c>
      <c r="AI22" s="1314">
        <v>1.08</v>
      </c>
      <c r="AJ22" s="1314">
        <v>1.1000000000000001</v>
      </c>
      <c r="AK22" s="1314">
        <v>1.1000000000000001</v>
      </c>
      <c r="AL22" s="1314"/>
      <c r="AM22" s="1074"/>
    </row>
    <row r="23" spans="1:39" x14ac:dyDescent="0.25">
      <c r="B23" s="1607"/>
      <c r="C23" s="1662"/>
      <c r="D23" s="1612" t="s">
        <v>47</v>
      </c>
      <c r="E23" s="1309" t="s">
        <v>346</v>
      </c>
      <c r="F23" s="206">
        <f>SUMIF($H$9:$AL$9,"&lt;="&amp;$C$7,H23:AL23)</f>
        <v>4.8299999999999983</v>
      </c>
      <c r="G23" s="1311"/>
      <c r="H23" s="1316">
        <f t="shared" ref="H23:AL24" si="2">+H21*H18/1000</f>
        <v>0.161</v>
      </c>
      <c r="I23" s="1316">
        <f t="shared" si="2"/>
        <v>0.161</v>
      </c>
      <c r="J23" s="1316">
        <f t="shared" si="2"/>
        <v>0.161</v>
      </c>
      <c r="K23" s="1316">
        <f t="shared" si="2"/>
        <v>0.161</v>
      </c>
      <c r="L23" s="1316">
        <f t="shared" si="2"/>
        <v>0.161</v>
      </c>
      <c r="M23" s="1316">
        <f t="shared" si="2"/>
        <v>0.161</v>
      </c>
      <c r="N23" s="1316">
        <f t="shared" si="2"/>
        <v>0.161</v>
      </c>
      <c r="O23" s="1316">
        <f t="shared" si="2"/>
        <v>0.161</v>
      </c>
      <c r="P23" s="1316">
        <f t="shared" si="2"/>
        <v>0.161</v>
      </c>
      <c r="Q23" s="1316">
        <f t="shared" si="2"/>
        <v>0.161</v>
      </c>
      <c r="R23" s="1316">
        <f t="shared" si="2"/>
        <v>0.161</v>
      </c>
      <c r="S23" s="1316">
        <f t="shared" si="2"/>
        <v>0.161</v>
      </c>
      <c r="T23" s="1316">
        <f t="shared" si="2"/>
        <v>0.161</v>
      </c>
      <c r="U23" s="1316">
        <f t="shared" si="2"/>
        <v>0.161</v>
      </c>
      <c r="V23" s="1316">
        <f t="shared" si="2"/>
        <v>0.161</v>
      </c>
      <c r="W23" s="1316">
        <f t="shared" si="2"/>
        <v>0.161</v>
      </c>
      <c r="X23" s="1316">
        <f t="shared" si="2"/>
        <v>0.161</v>
      </c>
      <c r="Y23" s="1316">
        <f t="shared" si="2"/>
        <v>0.161</v>
      </c>
      <c r="Z23" s="1316">
        <f t="shared" si="2"/>
        <v>0.161</v>
      </c>
      <c r="AA23" s="1316">
        <f t="shared" si="2"/>
        <v>0.161</v>
      </c>
      <c r="AB23" s="1316">
        <f t="shared" si="2"/>
        <v>0.161</v>
      </c>
      <c r="AC23" s="1316">
        <f t="shared" si="2"/>
        <v>0.161</v>
      </c>
      <c r="AD23" s="1316">
        <f t="shared" si="2"/>
        <v>0.161</v>
      </c>
      <c r="AE23" s="1316">
        <f t="shared" si="2"/>
        <v>0.161</v>
      </c>
      <c r="AF23" s="1316">
        <f t="shared" si="2"/>
        <v>0.161</v>
      </c>
      <c r="AG23" s="1316">
        <f t="shared" si="2"/>
        <v>0.161</v>
      </c>
      <c r="AH23" s="1316">
        <f t="shared" si="2"/>
        <v>0.161</v>
      </c>
      <c r="AI23" s="1316">
        <f t="shared" si="2"/>
        <v>0.161</v>
      </c>
      <c r="AJ23" s="1316">
        <f t="shared" si="2"/>
        <v>0.161</v>
      </c>
      <c r="AK23" s="1316">
        <f t="shared" si="2"/>
        <v>0.161</v>
      </c>
      <c r="AL23" s="1316">
        <f t="shared" si="2"/>
        <v>0</v>
      </c>
      <c r="AM23" s="1078"/>
    </row>
    <row r="24" spans="1:39" ht="14.25" thickBot="1" x14ac:dyDescent="0.3">
      <c r="B24" s="1660"/>
      <c r="C24" s="1663"/>
      <c r="D24" s="1665"/>
      <c r="E24" s="1320" t="s">
        <v>347</v>
      </c>
      <c r="F24" s="1321">
        <f>SUMIF($H$9:$AL$9,"&lt;="&amp;$C$7,H24:AL24)</f>
        <v>3.8096999999999994</v>
      </c>
      <c r="G24" s="1322">
        <f>IFERROR((F24-F23)/F23,0)</f>
        <v>-0.21124223602484457</v>
      </c>
      <c r="H24" s="1323">
        <f>+H22*H19/1000</f>
        <v>0.20820000000000002</v>
      </c>
      <c r="I24" s="1323">
        <f t="shared" si="2"/>
        <v>0.15840000000000001</v>
      </c>
      <c r="J24" s="1323">
        <f t="shared" si="2"/>
        <v>0.19350000000000001</v>
      </c>
      <c r="K24" s="1323">
        <f t="shared" si="2"/>
        <v>0.10404000000000001</v>
      </c>
      <c r="L24" s="1323">
        <f t="shared" si="2"/>
        <v>6.767999999999999E-2</v>
      </c>
      <c r="M24" s="1323">
        <f t="shared" si="2"/>
        <v>4.5899999999999996E-2</v>
      </c>
      <c r="N24" s="1323">
        <f t="shared" si="2"/>
        <v>0.16296000000000002</v>
      </c>
      <c r="O24" s="1323">
        <f t="shared" si="2"/>
        <v>0.12545999999999999</v>
      </c>
      <c r="P24" s="1323">
        <f t="shared" si="2"/>
        <v>0.13608000000000001</v>
      </c>
      <c r="Q24" s="1323">
        <f t="shared" si="2"/>
        <v>0.18143999999999999</v>
      </c>
      <c r="R24" s="1323">
        <f t="shared" si="2"/>
        <v>0.1638</v>
      </c>
      <c r="S24" s="1323">
        <f t="shared" si="2"/>
        <v>0.2457</v>
      </c>
      <c r="T24" s="1323">
        <f t="shared" si="2"/>
        <v>0.15720000000000001</v>
      </c>
      <c r="U24" s="1323">
        <f t="shared" si="2"/>
        <v>0.14279999999999998</v>
      </c>
      <c r="V24" s="1323">
        <f t="shared" si="2"/>
        <v>0.1125</v>
      </c>
      <c r="W24" s="1323">
        <f t="shared" si="2"/>
        <v>7.4880000000000002E-2</v>
      </c>
      <c r="X24" s="1323">
        <f t="shared" si="2"/>
        <v>9.3600000000000003E-2</v>
      </c>
      <c r="Y24" s="1323">
        <f t="shared" si="2"/>
        <v>0.27359999999999995</v>
      </c>
      <c r="Z24" s="1323">
        <f t="shared" si="2"/>
        <v>0.13440000000000002</v>
      </c>
      <c r="AA24" s="1323">
        <f t="shared" si="2"/>
        <v>0.14784</v>
      </c>
      <c r="AB24" s="1323">
        <f t="shared" si="2"/>
        <v>0.18480000000000002</v>
      </c>
      <c r="AC24" s="1323">
        <f t="shared" si="2"/>
        <v>5.5200000000000006E-2</v>
      </c>
      <c r="AD24" s="1323">
        <f t="shared" si="2"/>
        <v>4.4160000000000005E-2</v>
      </c>
      <c r="AE24" s="1323">
        <f t="shared" si="2"/>
        <v>9.8399999999999987E-2</v>
      </c>
      <c r="AF24" s="1323">
        <f t="shared" si="2"/>
        <v>7.7759999999999996E-2</v>
      </c>
      <c r="AG24" s="1323">
        <f t="shared" si="2"/>
        <v>5.5800000000000002E-2</v>
      </c>
      <c r="AH24" s="1323">
        <f t="shared" si="2"/>
        <v>6.8400000000000002E-2</v>
      </c>
      <c r="AI24" s="1323">
        <f t="shared" si="2"/>
        <v>9.7200000000000009E-2</v>
      </c>
      <c r="AJ24" s="1323">
        <f t="shared" si="2"/>
        <v>6.6000000000000003E-2</v>
      </c>
      <c r="AK24" s="1323">
        <f t="shared" si="2"/>
        <v>0.13200000000000001</v>
      </c>
      <c r="AL24" s="1323">
        <f t="shared" si="2"/>
        <v>0</v>
      </c>
      <c r="AM24" s="1079"/>
    </row>
    <row r="25" spans="1:39" s="1069" customFormat="1" ht="14.85" customHeight="1" x14ac:dyDescent="0.25">
      <c r="B25" s="1608">
        <v>1</v>
      </c>
      <c r="C25" s="1661" t="str">
        <f>[2]Stoping!C32</f>
        <v>3L_W23B STOPE</v>
      </c>
      <c r="D25" s="1611" t="s">
        <v>340</v>
      </c>
      <c r="E25" s="1070" t="s">
        <v>341</v>
      </c>
      <c r="F25" s="196">
        <f t="shared" ref="F25:F26" si="3">SUMIF($H$9:$AL$9,"&lt;="&amp;$C$7,H25:AL25)</f>
        <v>2100</v>
      </c>
      <c r="G25" s="1071"/>
      <c r="H25" s="198">
        <f>[2]Stoping!H32</f>
        <v>70</v>
      </c>
      <c r="I25" s="198">
        <f>[2]Stoping!I32</f>
        <v>70</v>
      </c>
      <c r="J25" s="198">
        <f>[2]Stoping!J32</f>
        <v>70</v>
      </c>
      <c r="K25" s="199">
        <f>[2]Stoping!K32</f>
        <v>70</v>
      </c>
      <c r="L25" s="199">
        <f>[2]Stoping!L32</f>
        <v>70</v>
      </c>
      <c r="M25" s="199">
        <f>[2]Stoping!M32</f>
        <v>70</v>
      </c>
      <c r="N25" s="199">
        <f>[2]Stoping!N32</f>
        <v>70</v>
      </c>
      <c r="O25" s="199">
        <f>[2]Stoping!O32</f>
        <v>70</v>
      </c>
      <c r="P25" s="200">
        <f>[2]Stoping!P32</f>
        <v>70</v>
      </c>
      <c r="Q25" s="199">
        <f>[2]Stoping!Q32</f>
        <v>70</v>
      </c>
      <c r="R25" s="199">
        <f>[2]Stoping!R32</f>
        <v>70</v>
      </c>
      <c r="S25" s="199">
        <f>[2]Stoping!S32</f>
        <v>70</v>
      </c>
      <c r="T25" s="199">
        <f>[2]Stoping!T32</f>
        <v>70</v>
      </c>
      <c r="U25" s="199">
        <f>[2]Stoping!U32</f>
        <v>70</v>
      </c>
      <c r="V25" s="199">
        <f>[2]Stoping!V32</f>
        <v>70</v>
      </c>
      <c r="W25" s="199">
        <f>[2]Stoping!W32</f>
        <v>70</v>
      </c>
      <c r="X25" s="199">
        <f>[2]Stoping!X32</f>
        <v>70</v>
      </c>
      <c r="Y25" s="199">
        <f>[2]Stoping!Y32</f>
        <v>70</v>
      </c>
      <c r="Z25" s="199">
        <f>[2]Stoping!Z32</f>
        <v>70</v>
      </c>
      <c r="AA25" s="199">
        <f>[2]Stoping!AA32</f>
        <v>70</v>
      </c>
      <c r="AB25" s="199">
        <f>[2]Stoping!AB32</f>
        <v>70</v>
      </c>
      <c r="AC25" s="199">
        <f>[2]Stoping!AC32</f>
        <v>70</v>
      </c>
      <c r="AD25" s="199">
        <f>[2]Stoping!AD32</f>
        <v>70</v>
      </c>
      <c r="AE25" s="199">
        <f>[2]Stoping!AE32</f>
        <v>70</v>
      </c>
      <c r="AF25" s="199">
        <f>[2]Stoping!AF32</f>
        <v>70</v>
      </c>
      <c r="AG25" s="199">
        <f>[2]Stoping!AG32</f>
        <v>70</v>
      </c>
      <c r="AH25" s="199">
        <f>[2]Stoping!AH32</f>
        <v>70</v>
      </c>
      <c r="AI25" s="199">
        <f>[2]Stoping!AI32</f>
        <v>70</v>
      </c>
      <c r="AJ25" s="199">
        <f>[2]Stoping!AJ32</f>
        <v>70</v>
      </c>
      <c r="AK25" s="199">
        <f>[2]Stoping!AK32</f>
        <v>70</v>
      </c>
      <c r="AL25" s="201">
        <f>[2]Stoping!AL32</f>
        <v>0</v>
      </c>
      <c r="AM25" s="1072"/>
    </row>
    <row r="26" spans="1:39" x14ac:dyDescent="0.25">
      <c r="B26" s="1607"/>
      <c r="C26" s="1662"/>
      <c r="D26" s="1610"/>
      <c r="E26" s="1302" t="s">
        <v>342</v>
      </c>
      <c r="F26" s="1303">
        <f t="shared" si="3"/>
        <v>0</v>
      </c>
      <c r="G26" s="1304">
        <f t="shared" ref="G26" si="4">IFERROR((F26-F25)/F25,0)</f>
        <v>-1</v>
      </c>
      <c r="H26" s="1305"/>
      <c r="I26" s="1303"/>
      <c r="J26" s="1303"/>
      <c r="K26" s="1303"/>
      <c r="L26" s="1303"/>
      <c r="M26" s="1303"/>
      <c r="N26" s="1303"/>
      <c r="O26" s="1303"/>
      <c r="P26" s="1303"/>
      <c r="Q26" s="1303"/>
      <c r="R26" s="1303"/>
      <c r="S26" s="1303"/>
      <c r="T26" s="1303"/>
      <c r="U26" s="1303"/>
      <c r="V26" s="1303"/>
      <c r="W26" s="1303"/>
      <c r="X26" s="1303"/>
      <c r="Y26" s="1303"/>
      <c r="Z26" s="1303"/>
      <c r="AA26" s="1303"/>
      <c r="AB26" s="1303"/>
      <c r="AC26" s="1303"/>
      <c r="AD26" s="1303"/>
      <c r="AE26" s="1303"/>
      <c r="AF26" s="1303"/>
      <c r="AG26" s="1303"/>
      <c r="AH26" s="1303"/>
      <c r="AI26" s="1303"/>
      <c r="AJ26" s="1303"/>
      <c r="AK26" s="1303"/>
      <c r="AL26" s="1303"/>
      <c r="AM26" s="1074"/>
    </row>
    <row r="27" spans="1:39" x14ac:dyDescent="0.25">
      <c r="B27" s="1607"/>
      <c r="C27" s="1662"/>
      <c r="D27" s="1610"/>
      <c r="E27" s="1324" t="s">
        <v>312</v>
      </c>
      <c r="F27" s="1307"/>
      <c r="G27" s="1308"/>
      <c r="H27" s="1075"/>
      <c r="I27" s="1075"/>
      <c r="J27" s="1075"/>
      <c r="K27" s="1075"/>
      <c r="L27" s="1075"/>
      <c r="M27" s="1075"/>
      <c r="N27" s="1075"/>
      <c r="O27" s="1075"/>
      <c r="P27" s="1076"/>
      <c r="Q27" s="1075"/>
      <c r="R27" s="1075"/>
      <c r="S27" s="1075"/>
      <c r="T27" s="1075"/>
      <c r="U27" s="1075"/>
      <c r="V27" s="1075"/>
      <c r="W27" s="1075"/>
      <c r="X27" s="1075"/>
      <c r="Y27" s="1075"/>
      <c r="Z27" s="1075"/>
      <c r="AA27" s="1075"/>
      <c r="AB27" s="1075"/>
      <c r="AC27" s="1075"/>
      <c r="AD27" s="1075"/>
      <c r="AE27" s="1075"/>
      <c r="AF27" s="1075"/>
      <c r="AG27" s="1075"/>
      <c r="AH27" s="1075"/>
      <c r="AI27" s="1075"/>
      <c r="AJ27" s="1075"/>
      <c r="AK27" s="1075"/>
      <c r="AL27" s="1077"/>
      <c r="AM27" s="1074"/>
    </row>
    <row r="28" spans="1:39" x14ac:dyDescent="0.25">
      <c r="B28" s="1607"/>
      <c r="C28" s="1662"/>
      <c r="D28" s="1612" t="s">
        <v>343</v>
      </c>
      <c r="E28" s="1309" t="s">
        <v>344</v>
      </c>
      <c r="F28" s="1310">
        <f t="shared" ref="F28:F29" si="5">IFERROR(F30*1000/F25,0)</f>
        <v>2.2500000000000009</v>
      </c>
      <c r="G28" s="1311"/>
      <c r="H28" s="1312">
        <f>[2]Stoping!H35</f>
        <v>2.25</v>
      </c>
      <c r="I28" s="1312">
        <f>[2]Stoping!I35</f>
        <v>2.25</v>
      </c>
      <c r="J28" s="1312">
        <f>[2]Stoping!J35</f>
        <v>2.25</v>
      </c>
      <c r="K28" s="1333">
        <f>[2]Stoping!K35</f>
        <v>2.25</v>
      </c>
      <c r="L28" s="1333">
        <f>[2]Stoping!L35</f>
        <v>2.25</v>
      </c>
      <c r="M28" s="1333">
        <f>[2]Stoping!M35</f>
        <v>2.25</v>
      </c>
      <c r="N28" s="1333">
        <f>[2]Stoping!N35</f>
        <v>2.25</v>
      </c>
      <c r="O28" s="1333">
        <f>[2]Stoping!O35</f>
        <v>2.25</v>
      </c>
      <c r="P28" s="1334">
        <f>[2]Stoping!P35</f>
        <v>2.25</v>
      </c>
      <c r="Q28" s="1333">
        <f>[2]Stoping!Q35</f>
        <v>2.25</v>
      </c>
      <c r="R28" s="1333">
        <f>[2]Stoping!R35</f>
        <v>2.25</v>
      </c>
      <c r="S28" s="1333">
        <f>[2]Stoping!S35</f>
        <v>2.25</v>
      </c>
      <c r="T28" s="1333">
        <f>[2]Stoping!T35</f>
        <v>2.25</v>
      </c>
      <c r="U28" s="1333">
        <f>[2]Stoping!U35</f>
        <v>2.25</v>
      </c>
      <c r="V28" s="1333">
        <f>[2]Stoping!V35</f>
        <v>2.25</v>
      </c>
      <c r="W28" s="1333">
        <f>[2]Stoping!W35</f>
        <v>2.25</v>
      </c>
      <c r="X28" s="1333">
        <f>[2]Stoping!X35</f>
        <v>2.25</v>
      </c>
      <c r="Y28" s="1333">
        <f>[2]Stoping!Y35</f>
        <v>2.25</v>
      </c>
      <c r="Z28" s="1333">
        <f>[2]Stoping!Z35</f>
        <v>2.25</v>
      </c>
      <c r="AA28" s="1333">
        <f>[2]Stoping!AA35</f>
        <v>2.25</v>
      </c>
      <c r="AB28" s="1333">
        <f>[2]Stoping!AB35</f>
        <v>2.25</v>
      </c>
      <c r="AC28" s="1333">
        <f>[2]Stoping!AC35</f>
        <v>2.25</v>
      </c>
      <c r="AD28" s="1333">
        <f>[2]Stoping!AD35</f>
        <v>2.25</v>
      </c>
      <c r="AE28" s="1333">
        <f>[2]Stoping!AE35</f>
        <v>2.25</v>
      </c>
      <c r="AF28" s="1333">
        <f>[2]Stoping!AF35</f>
        <v>2.25</v>
      </c>
      <c r="AG28" s="1333">
        <f>[2]Stoping!AG35</f>
        <v>2.25</v>
      </c>
      <c r="AH28" s="1333">
        <f>[2]Stoping!AH35</f>
        <v>2.25</v>
      </c>
      <c r="AI28" s="1333">
        <f>[2]Stoping!AI35</f>
        <v>2.25</v>
      </c>
      <c r="AJ28" s="1333">
        <f>[2]Stoping!AJ35</f>
        <v>2.25</v>
      </c>
      <c r="AK28" s="1333">
        <f>[2]Stoping!AK35</f>
        <v>2.25</v>
      </c>
      <c r="AL28" s="1335">
        <f>[2]Stoping!AL35</f>
        <v>0</v>
      </c>
      <c r="AM28" s="1074"/>
    </row>
    <row r="29" spans="1:39" x14ac:dyDescent="0.25">
      <c r="B29" s="1607"/>
      <c r="C29" s="1662"/>
      <c r="D29" s="1664"/>
      <c r="E29" s="1313" t="s">
        <v>345</v>
      </c>
      <c r="F29" s="1314">
        <f t="shared" si="5"/>
        <v>0</v>
      </c>
      <c r="G29" s="1304">
        <f t="shared" ref="G29" si="6">IFERROR((F29-F28)/F28,0)</f>
        <v>-1</v>
      </c>
      <c r="H29" s="1315"/>
      <c r="I29" s="1314"/>
      <c r="J29" s="1314"/>
      <c r="K29" s="1314"/>
      <c r="L29" s="1314"/>
      <c r="M29" s="1314"/>
      <c r="N29" s="1314"/>
      <c r="O29" s="1314"/>
      <c r="P29" s="1314"/>
      <c r="Q29" s="1314"/>
      <c r="R29" s="1314"/>
      <c r="S29" s="1314"/>
      <c r="T29" s="1314"/>
      <c r="U29" s="1314"/>
      <c r="V29" s="1314"/>
      <c r="W29" s="1314"/>
      <c r="X29" s="1314"/>
      <c r="Y29" s="1314"/>
      <c r="Z29" s="1314"/>
      <c r="AA29" s="1314"/>
      <c r="AB29" s="1314"/>
      <c r="AC29" s="1314"/>
      <c r="AD29" s="1314"/>
      <c r="AE29" s="1314"/>
      <c r="AF29" s="1314"/>
      <c r="AG29" s="1314"/>
      <c r="AH29" s="1314"/>
      <c r="AI29" s="1314"/>
      <c r="AJ29" s="1314"/>
      <c r="AK29" s="1314"/>
      <c r="AL29" s="1314"/>
      <c r="AM29" s="1074"/>
    </row>
    <row r="30" spans="1:39" x14ac:dyDescent="0.25">
      <c r="B30" s="1607"/>
      <c r="C30" s="1662"/>
      <c r="D30" s="1612" t="s">
        <v>47</v>
      </c>
      <c r="E30" s="1309" t="s">
        <v>346</v>
      </c>
      <c r="F30" s="206">
        <f t="shared" ref="F30:F33" si="7">SUMIF($H$9:$AL$9,"&lt;="&amp;$C$7,H30:AL30)</f>
        <v>4.7250000000000014</v>
      </c>
      <c r="G30" s="1311"/>
      <c r="H30" s="1316">
        <f t="shared" ref="H30:AL31" si="8">+H28*H25/1000</f>
        <v>0.1575</v>
      </c>
      <c r="I30" s="1316">
        <f t="shared" si="8"/>
        <v>0.1575</v>
      </c>
      <c r="J30" s="1316">
        <f t="shared" si="8"/>
        <v>0.1575</v>
      </c>
      <c r="K30" s="1316">
        <f t="shared" si="8"/>
        <v>0.1575</v>
      </c>
      <c r="L30" s="1316">
        <f t="shared" si="8"/>
        <v>0.1575</v>
      </c>
      <c r="M30" s="1316">
        <f t="shared" si="8"/>
        <v>0.1575</v>
      </c>
      <c r="N30" s="1316">
        <f t="shared" si="8"/>
        <v>0.1575</v>
      </c>
      <c r="O30" s="1316">
        <f t="shared" si="8"/>
        <v>0.1575</v>
      </c>
      <c r="P30" s="1316">
        <f t="shared" si="8"/>
        <v>0.1575</v>
      </c>
      <c r="Q30" s="1316">
        <f t="shared" si="8"/>
        <v>0.1575</v>
      </c>
      <c r="R30" s="1316">
        <f t="shared" si="8"/>
        <v>0.1575</v>
      </c>
      <c r="S30" s="1316">
        <f t="shared" si="8"/>
        <v>0.1575</v>
      </c>
      <c r="T30" s="1316">
        <f t="shared" si="8"/>
        <v>0.1575</v>
      </c>
      <c r="U30" s="1316">
        <f t="shared" si="8"/>
        <v>0.1575</v>
      </c>
      <c r="V30" s="1316">
        <f t="shared" si="8"/>
        <v>0.1575</v>
      </c>
      <c r="W30" s="1316">
        <f t="shared" si="8"/>
        <v>0.1575</v>
      </c>
      <c r="X30" s="1316">
        <f t="shared" si="8"/>
        <v>0.1575</v>
      </c>
      <c r="Y30" s="1316">
        <f t="shared" si="8"/>
        <v>0.1575</v>
      </c>
      <c r="Z30" s="1316">
        <f t="shared" si="8"/>
        <v>0.1575</v>
      </c>
      <c r="AA30" s="1316">
        <f t="shared" si="8"/>
        <v>0.1575</v>
      </c>
      <c r="AB30" s="1316">
        <f t="shared" si="8"/>
        <v>0.1575</v>
      </c>
      <c r="AC30" s="1316">
        <f t="shared" si="8"/>
        <v>0.1575</v>
      </c>
      <c r="AD30" s="1316">
        <f t="shared" si="8"/>
        <v>0.1575</v>
      </c>
      <c r="AE30" s="1316">
        <f t="shared" si="8"/>
        <v>0.1575</v>
      </c>
      <c r="AF30" s="1316">
        <f t="shared" si="8"/>
        <v>0.1575</v>
      </c>
      <c r="AG30" s="1316">
        <f t="shared" si="8"/>
        <v>0.1575</v>
      </c>
      <c r="AH30" s="1316">
        <f t="shared" si="8"/>
        <v>0.1575</v>
      </c>
      <c r="AI30" s="1316">
        <f t="shared" si="8"/>
        <v>0.1575</v>
      </c>
      <c r="AJ30" s="1316">
        <f t="shared" si="8"/>
        <v>0.1575</v>
      </c>
      <c r="AK30" s="1316">
        <f t="shared" si="8"/>
        <v>0.1575</v>
      </c>
      <c r="AL30" s="1316">
        <f t="shared" si="8"/>
        <v>0</v>
      </c>
      <c r="AM30" s="1078"/>
    </row>
    <row r="31" spans="1:39" ht="14.25" thickBot="1" x14ac:dyDescent="0.3">
      <c r="B31" s="1660"/>
      <c r="C31" s="1663"/>
      <c r="D31" s="1665"/>
      <c r="E31" s="1320" t="s">
        <v>347</v>
      </c>
      <c r="F31" s="1321">
        <f t="shared" si="7"/>
        <v>0</v>
      </c>
      <c r="G31" s="1322">
        <f t="shared" ref="G31" si="9">IFERROR((F31-F30)/F30,0)</f>
        <v>-1</v>
      </c>
      <c r="H31" s="1323">
        <v>0</v>
      </c>
      <c r="I31" s="1323">
        <f t="shared" si="8"/>
        <v>0</v>
      </c>
      <c r="J31" s="1323">
        <f t="shared" si="8"/>
        <v>0</v>
      </c>
      <c r="K31" s="1323">
        <f t="shared" si="8"/>
        <v>0</v>
      </c>
      <c r="L31" s="1323">
        <f t="shared" si="8"/>
        <v>0</v>
      </c>
      <c r="M31" s="1323">
        <f t="shared" si="8"/>
        <v>0</v>
      </c>
      <c r="N31" s="1323">
        <f t="shared" si="8"/>
        <v>0</v>
      </c>
      <c r="O31" s="1323">
        <f t="shared" si="8"/>
        <v>0</v>
      </c>
      <c r="P31" s="1323">
        <f t="shared" si="8"/>
        <v>0</v>
      </c>
      <c r="Q31" s="1323">
        <f t="shared" si="8"/>
        <v>0</v>
      </c>
      <c r="R31" s="1323">
        <f t="shared" si="8"/>
        <v>0</v>
      </c>
      <c r="S31" s="1323">
        <f t="shared" si="8"/>
        <v>0</v>
      </c>
      <c r="T31" s="1323">
        <f t="shared" si="8"/>
        <v>0</v>
      </c>
      <c r="U31" s="1323">
        <f t="shared" si="8"/>
        <v>0</v>
      </c>
      <c r="V31" s="1323">
        <f t="shared" si="8"/>
        <v>0</v>
      </c>
      <c r="W31" s="1323">
        <f t="shared" si="8"/>
        <v>0</v>
      </c>
      <c r="X31" s="1323">
        <f t="shared" si="8"/>
        <v>0</v>
      </c>
      <c r="Y31" s="1323">
        <f t="shared" si="8"/>
        <v>0</v>
      </c>
      <c r="Z31" s="1323">
        <f t="shared" si="8"/>
        <v>0</v>
      </c>
      <c r="AA31" s="1323">
        <f t="shared" si="8"/>
        <v>0</v>
      </c>
      <c r="AB31" s="1323">
        <f t="shared" si="8"/>
        <v>0</v>
      </c>
      <c r="AC31" s="1323">
        <f t="shared" si="8"/>
        <v>0</v>
      </c>
      <c r="AD31" s="1323">
        <f t="shared" si="8"/>
        <v>0</v>
      </c>
      <c r="AE31" s="1323">
        <f t="shared" si="8"/>
        <v>0</v>
      </c>
      <c r="AF31" s="1323">
        <f t="shared" si="8"/>
        <v>0</v>
      </c>
      <c r="AG31" s="1323">
        <f t="shared" si="8"/>
        <v>0</v>
      </c>
      <c r="AH31" s="1323">
        <f t="shared" si="8"/>
        <v>0</v>
      </c>
      <c r="AI31" s="1323">
        <f t="shared" si="8"/>
        <v>0</v>
      </c>
      <c r="AJ31" s="1323">
        <f t="shared" si="8"/>
        <v>0</v>
      </c>
      <c r="AK31" s="1323">
        <f t="shared" si="8"/>
        <v>0</v>
      </c>
      <c r="AL31" s="1323">
        <f t="shared" si="8"/>
        <v>0</v>
      </c>
      <c r="AM31" s="1079"/>
    </row>
    <row r="32" spans="1:39" s="1069" customFormat="1" ht="14.85" customHeight="1" x14ac:dyDescent="0.25">
      <c r="B32" s="1608">
        <v>1</v>
      </c>
      <c r="C32" s="1672" t="str">
        <f>[2]Stoping!C39</f>
        <v>3L_W24A STOPE</v>
      </c>
      <c r="D32" s="1611" t="s">
        <v>340</v>
      </c>
      <c r="E32" s="1070" t="s">
        <v>341</v>
      </c>
      <c r="F32" s="196">
        <f t="shared" si="7"/>
        <v>2100</v>
      </c>
      <c r="G32" s="1071"/>
      <c r="H32" s="198">
        <f>[2]Stoping!H39</f>
        <v>70</v>
      </c>
      <c r="I32" s="198">
        <f>[2]Stoping!I39</f>
        <v>70</v>
      </c>
      <c r="J32" s="198">
        <f>[2]Stoping!J39</f>
        <v>70</v>
      </c>
      <c r="K32" s="199">
        <f>[2]Stoping!K39</f>
        <v>70</v>
      </c>
      <c r="L32" s="199">
        <f>[2]Stoping!L39</f>
        <v>70</v>
      </c>
      <c r="M32" s="199">
        <f>[2]Stoping!M39</f>
        <v>70</v>
      </c>
      <c r="N32" s="199">
        <f>[2]Stoping!N39</f>
        <v>70</v>
      </c>
      <c r="O32" s="199">
        <f>[2]Stoping!O39</f>
        <v>70</v>
      </c>
      <c r="P32" s="200">
        <f>[2]Stoping!P39</f>
        <v>70</v>
      </c>
      <c r="Q32" s="199">
        <f>[2]Stoping!Q39</f>
        <v>70</v>
      </c>
      <c r="R32" s="199">
        <f>[2]Stoping!R39</f>
        <v>70</v>
      </c>
      <c r="S32" s="199">
        <f>[2]Stoping!S39</f>
        <v>70</v>
      </c>
      <c r="T32" s="199">
        <f>[2]Stoping!T39</f>
        <v>70</v>
      </c>
      <c r="U32" s="199">
        <f>[2]Stoping!U39</f>
        <v>70</v>
      </c>
      <c r="V32" s="199">
        <f>[2]Stoping!V39</f>
        <v>70</v>
      </c>
      <c r="W32" s="199">
        <f>[2]Stoping!W39</f>
        <v>70</v>
      </c>
      <c r="X32" s="199">
        <f>[2]Stoping!X39</f>
        <v>70</v>
      </c>
      <c r="Y32" s="199">
        <f>[2]Stoping!Y39</f>
        <v>70</v>
      </c>
      <c r="Z32" s="199">
        <f>[2]Stoping!Z39</f>
        <v>70</v>
      </c>
      <c r="AA32" s="199">
        <f>[2]Stoping!AA39</f>
        <v>70</v>
      </c>
      <c r="AB32" s="199">
        <f>[2]Stoping!AB39</f>
        <v>70</v>
      </c>
      <c r="AC32" s="199">
        <f>[2]Stoping!AC39</f>
        <v>70</v>
      </c>
      <c r="AD32" s="199">
        <f>[2]Stoping!AD39</f>
        <v>70</v>
      </c>
      <c r="AE32" s="199">
        <f>[2]Stoping!AE39</f>
        <v>70</v>
      </c>
      <c r="AF32" s="199">
        <f>[2]Stoping!AF39</f>
        <v>70</v>
      </c>
      <c r="AG32" s="199">
        <f>[2]Stoping!AG39</f>
        <v>70</v>
      </c>
      <c r="AH32" s="199">
        <f>[2]Stoping!AH39</f>
        <v>70</v>
      </c>
      <c r="AI32" s="199">
        <f>[2]Stoping!AI39</f>
        <v>70</v>
      </c>
      <c r="AJ32" s="199">
        <f>[2]Stoping!AJ39</f>
        <v>70</v>
      </c>
      <c r="AK32" s="199">
        <f>[2]Stoping!AK39</f>
        <v>70</v>
      </c>
      <c r="AL32" s="201">
        <f>[2]Stoping!AL39</f>
        <v>0</v>
      </c>
      <c r="AM32" s="1072"/>
    </row>
    <row r="33" spans="2:39" x14ac:dyDescent="0.25">
      <c r="B33" s="1607"/>
      <c r="C33" s="1662"/>
      <c r="D33" s="1610"/>
      <c r="E33" s="1302" t="s">
        <v>342</v>
      </c>
      <c r="F33" s="1303">
        <f t="shared" si="7"/>
        <v>0</v>
      </c>
      <c r="G33" s="1304">
        <f t="shared" ref="G33" si="10">IFERROR((F33-F32)/F32,0)</f>
        <v>-1</v>
      </c>
      <c r="H33" s="1305"/>
      <c r="I33" s="1303"/>
      <c r="J33" s="1303"/>
      <c r="K33" s="1303"/>
      <c r="L33" s="1303"/>
      <c r="M33" s="1303"/>
      <c r="N33" s="1303"/>
      <c r="O33" s="1303"/>
      <c r="P33" s="1303"/>
      <c r="Q33" s="1303"/>
      <c r="R33" s="1303"/>
      <c r="S33" s="1303"/>
      <c r="T33" s="1303"/>
      <c r="U33" s="1303"/>
      <c r="V33" s="1303"/>
      <c r="W33" s="1303"/>
      <c r="X33" s="1303"/>
      <c r="Y33" s="1303"/>
      <c r="Z33" s="1303"/>
      <c r="AA33" s="1303"/>
      <c r="AB33" s="1303"/>
      <c r="AC33" s="1303"/>
      <c r="AD33" s="1303"/>
      <c r="AE33" s="1303"/>
      <c r="AF33" s="1303"/>
      <c r="AG33" s="1303"/>
      <c r="AH33" s="1303"/>
      <c r="AI33" s="1303"/>
      <c r="AJ33" s="1303"/>
      <c r="AK33" s="1303"/>
      <c r="AL33" s="1303"/>
      <c r="AM33" s="1074"/>
    </row>
    <row r="34" spans="2:39" x14ac:dyDescent="0.25">
      <c r="B34" s="1607"/>
      <c r="C34" s="1662"/>
      <c r="D34" s="1610"/>
      <c r="E34" s="1324" t="s">
        <v>312</v>
      </c>
      <c r="F34" s="1307"/>
      <c r="G34" s="1308"/>
      <c r="H34" s="1075"/>
      <c r="I34" s="1075"/>
      <c r="J34" s="1075"/>
      <c r="K34" s="1075"/>
      <c r="L34" s="1075"/>
      <c r="M34" s="1075"/>
      <c r="N34" s="1075"/>
      <c r="O34" s="1075"/>
      <c r="P34" s="1076"/>
      <c r="Q34" s="1075"/>
      <c r="R34" s="1075"/>
      <c r="S34" s="1075"/>
      <c r="T34" s="1075"/>
      <c r="U34" s="1075"/>
      <c r="V34" s="1075"/>
      <c r="W34" s="1075"/>
      <c r="X34" s="1075"/>
      <c r="Y34" s="1075"/>
      <c r="Z34" s="1075"/>
      <c r="AA34" s="1075"/>
      <c r="AB34" s="1075"/>
      <c r="AC34" s="1075"/>
      <c r="AD34" s="1075"/>
      <c r="AE34" s="1075"/>
      <c r="AF34" s="1075"/>
      <c r="AG34" s="1075"/>
      <c r="AH34" s="1075"/>
      <c r="AI34" s="1075"/>
      <c r="AJ34" s="1075"/>
      <c r="AK34" s="1075"/>
      <c r="AL34" s="1077"/>
      <c r="AM34" s="1074"/>
    </row>
    <row r="35" spans="2:39" x14ac:dyDescent="0.25">
      <c r="B35" s="1607"/>
      <c r="C35" s="1662"/>
      <c r="D35" s="1612" t="s">
        <v>343</v>
      </c>
      <c r="E35" s="1309" t="s">
        <v>344</v>
      </c>
      <c r="F35" s="1310">
        <f t="shared" ref="F35:F36" si="11">IFERROR(F37*1000/F32,0)</f>
        <v>2.5200000000000014</v>
      </c>
      <c r="G35" s="1311"/>
      <c r="H35" s="1312">
        <f>[2]Stoping!H42</f>
        <v>2.52</v>
      </c>
      <c r="I35" s="1312">
        <f>[2]Stoping!I42</f>
        <v>2.52</v>
      </c>
      <c r="J35" s="1312">
        <f>[2]Stoping!J42</f>
        <v>2.52</v>
      </c>
      <c r="K35" s="1333">
        <f>[2]Stoping!K42</f>
        <v>2.52</v>
      </c>
      <c r="L35" s="1333">
        <f>[2]Stoping!L42</f>
        <v>2.52</v>
      </c>
      <c r="M35" s="1333">
        <f>[2]Stoping!M42</f>
        <v>2.52</v>
      </c>
      <c r="N35" s="1333">
        <f>[2]Stoping!N42</f>
        <v>2.52</v>
      </c>
      <c r="O35" s="1333">
        <f>[2]Stoping!O42</f>
        <v>2.52</v>
      </c>
      <c r="P35" s="1334">
        <f>[2]Stoping!P42</f>
        <v>2.52</v>
      </c>
      <c r="Q35" s="1333">
        <f>[2]Stoping!Q42</f>
        <v>2.52</v>
      </c>
      <c r="R35" s="1333">
        <f>[2]Stoping!R42</f>
        <v>2.52</v>
      </c>
      <c r="S35" s="1333">
        <f>[2]Stoping!S42</f>
        <v>2.52</v>
      </c>
      <c r="T35" s="1333">
        <f>[2]Stoping!T42</f>
        <v>2.52</v>
      </c>
      <c r="U35" s="1333">
        <f>[2]Stoping!U42</f>
        <v>2.52</v>
      </c>
      <c r="V35" s="1333">
        <f>[2]Stoping!V42</f>
        <v>2.52</v>
      </c>
      <c r="W35" s="1333">
        <f>[2]Stoping!W42</f>
        <v>2.52</v>
      </c>
      <c r="X35" s="1333">
        <f>[2]Stoping!X42</f>
        <v>2.52</v>
      </c>
      <c r="Y35" s="1333">
        <f>[2]Stoping!Y42</f>
        <v>2.52</v>
      </c>
      <c r="Z35" s="1333">
        <f>[2]Stoping!Z42</f>
        <v>2.52</v>
      </c>
      <c r="AA35" s="1333">
        <f>[2]Stoping!AA42</f>
        <v>2.52</v>
      </c>
      <c r="AB35" s="1333">
        <f>[2]Stoping!AB42</f>
        <v>2.52</v>
      </c>
      <c r="AC35" s="1333">
        <f>[2]Stoping!AC42</f>
        <v>2.52</v>
      </c>
      <c r="AD35" s="1333">
        <f>[2]Stoping!AD42</f>
        <v>2.52</v>
      </c>
      <c r="AE35" s="1333">
        <f>[2]Stoping!AE42</f>
        <v>2.52</v>
      </c>
      <c r="AF35" s="1333">
        <f>[2]Stoping!AF42</f>
        <v>2.52</v>
      </c>
      <c r="AG35" s="1333">
        <f>[2]Stoping!AG42</f>
        <v>2.52</v>
      </c>
      <c r="AH35" s="1333">
        <f>[2]Stoping!AH42</f>
        <v>2.52</v>
      </c>
      <c r="AI35" s="1333">
        <f>[2]Stoping!AI42</f>
        <v>2.52</v>
      </c>
      <c r="AJ35" s="1333">
        <f>[2]Stoping!AJ42</f>
        <v>2.52</v>
      </c>
      <c r="AK35" s="1333">
        <f>[2]Stoping!AK42</f>
        <v>2.52</v>
      </c>
      <c r="AL35" s="1335">
        <f>[2]Stoping!AL42</f>
        <v>0</v>
      </c>
      <c r="AM35" s="1074"/>
    </row>
    <row r="36" spans="2:39" x14ac:dyDescent="0.25">
      <c r="B36" s="1607"/>
      <c r="C36" s="1662"/>
      <c r="D36" s="1664"/>
      <c r="E36" s="1313" t="s">
        <v>345</v>
      </c>
      <c r="F36" s="1314">
        <f t="shared" si="11"/>
        <v>0</v>
      </c>
      <c r="G36" s="1304">
        <f t="shared" ref="G36" si="12">IFERROR((F36-F35)/F35,0)</f>
        <v>-1</v>
      </c>
      <c r="H36" s="1315"/>
      <c r="I36" s="1314"/>
      <c r="J36" s="1314"/>
      <c r="K36" s="1314"/>
      <c r="L36" s="1314"/>
      <c r="M36" s="1314"/>
      <c r="N36" s="1314"/>
      <c r="O36" s="1314"/>
      <c r="P36" s="1314"/>
      <c r="Q36" s="1314"/>
      <c r="R36" s="1314"/>
      <c r="S36" s="1314"/>
      <c r="T36" s="1314"/>
      <c r="U36" s="1314"/>
      <c r="V36" s="1314"/>
      <c r="W36" s="1314"/>
      <c r="X36" s="1314"/>
      <c r="Y36" s="1314"/>
      <c r="Z36" s="1314"/>
      <c r="AA36" s="1314"/>
      <c r="AB36" s="1314"/>
      <c r="AC36" s="1314"/>
      <c r="AD36" s="1314"/>
      <c r="AE36" s="1314"/>
      <c r="AF36" s="1314"/>
      <c r="AG36" s="1314"/>
      <c r="AH36" s="1314"/>
      <c r="AI36" s="1314"/>
      <c r="AJ36" s="1314"/>
      <c r="AK36" s="1314"/>
      <c r="AL36" s="1314"/>
      <c r="AM36" s="1074"/>
    </row>
    <row r="37" spans="2:39" x14ac:dyDescent="0.25">
      <c r="B37" s="1607"/>
      <c r="C37" s="1662"/>
      <c r="D37" s="1612" t="s">
        <v>47</v>
      </c>
      <c r="E37" s="1309" t="s">
        <v>346</v>
      </c>
      <c r="F37" s="206">
        <f t="shared" ref="F37:F39" si="13">SUMIF($H$9:$AL$9,"&lt;="&amp;$C$7,H37:AL37)</f>
        <v>5.2920000000000025</v>
      </c>
      <c r="G37" s="1311"/>
      <c r="H37" s="1316">
        <f t="shared" ref="H37:AL38" si="14">+H35*H32/1000</f>
        <v>0.1764</v>
      </c>
      <c r="I37" s="1316">
        <f t="shared" si="14"/>
        <v>0.1764</v>
      </c>
      <c r="J37" s="1316">
        <f t="shared" si="14"/>
        <v>0.1764</v>
      </c>
      <c r="K37" s="1316">
        <f t="shared" si="14"/>
        <v>0.1764</v>
      </c>
      <c r="L37" s="1316">
        <f t="shared" si="14"/>
        <v>0.1764</v>
      </c>
      <c r="M37" s="1316">
        <f t="shared" si="14"/>
        <v>0.1764</v>
      </c>
      <c r="N37" s="1316">
        <f t="shared" si="14"/>
        <v>0.1764</v>
      </c>
      <c r="O37" s="1316">
        <f t="shared" si="14"/>
        <v>0.1764</v>
      </c>
      <c r="P37" s="1316">
        <f t="shared" si="14"/>
        <v>0.1764</v>
      </c>
      <c r="Q37" s="1316">
        <f t="shared" si="14"/>
        <v>0.1764</v>
      </c>
      <c r="R37" s="1316">
        <f t="shared" si="14"/>
        <v>0.1764</v>
      </c>
      <c r="S37" s="1316">
        <f t="shared" si="14"/>
        <v>0.1764</v>
      </c>
      <c r="T37" s="1316">
        <f t="shared" si="14"/>
        <v>0.1764</v>
      </c>
      <c r="U37" s="1316">
        <f t="shared" si="14"/>
        <v>0.1764</v>
      </c>
      <c r="V37" s="1316">
        <f t="shared" si="14"/>
        <v>0.1764</v>
      </c>
      <c r="W37" s="1316">
        <f t="shared" si="14"/>
        <v>0.1764</v>
      </c>
      <c r="X37" s="1316">
        <f t="shared" si="14"/>
        <v>0.1764</v>
      </c>
      <c r="Y37" s="1316">
        <f t="shared" si="14"/>
        <v>0.1764</v>
      </c>
      <c r="Z37" s="1316">
        <f t="shared" si="14"/>
        <v>0.1764</v>
      </c>
      <c r="AA37" s="1316">
        <f t="shared" si="14"/>
        <v>0.1764</v>
      </c>
      <c r="AB37" s="1316">
        <f t="shared" si="14"/>
        <v>0.1764</v>
      </c>
      <c r="AC37" s="1316">
        <f t="shared" si="14"/>
        <v>0.1764</v>
      </c>
      <c r="AD37" s="1316">
        <f t="shared" si="14"/>
        <v>0.1764</v>
      </c>
      <c r="AE37" s="1316">
        <f t="shared" si="14"/>
        <v>0.1764</v>
      </c>
      <c r="AF37" s="1316">
        <f t="shared" si="14"/>
        <v>0.1764</v>
      </c>
      <c r="AG37" s="1316">
        <f t="shared" si="14"/>
        <v>0.1764</v>
      </c>
      <c r="AH37" s="1316">
        <f t="shared" si="14"/>
        <v>0.1764</v>
      </c>
      <c r="AI37" s="1316">
        <f t="shared" si="14"/>
        <v>0.1764</v>
      </c>
      <c r="AJ37" s="1316">
        <f t="shared" si="14"/>
        <v>0.1764</v>
      </c>
      <c r="AK37" s="1316">
        <f t="shared" si="14"/>
        <v>0.1764</v>
      </c>
      <c r="AL37" s="1316">
        <f t="shared" si="14"/>
        <v>0</v>
      </c>
      <c r="AM37" s="1078"/>
    </row>
    <row r="38" spans="2:39" ht="14.25" thickBot="1" x14ac:dyDescent="0.3">
      <c r="B38" s="1660"/>
      <c r="C38" s="1663"/>
      <c r="D38" s="1665"/>
      <c r="E38" s="1320" t="s">
        <v>347</v>
      </c>
      <c r="F38" s="1321">
        <f t="shared" si="13"/>
        <v>0</v>
      </c>
      <c r="G38" s="1322">
        <f t="shared" ref="G38" si="15">IFERROR((F38-F37)/F37,0)</f>
        <v>-1</v>
      </c>
      <c r="H38" s="1323">
        <v>0</v>
      </c>
      <c r="I38" s="1323">
        <f t="shared" si="14"/>
        <v>0</v>
      </c>
      <c r="J38" s="1323">
        <f t="shared" si="14"/>
        <v>0</v>
      </c>
      <c r="K38" s="1323">
        <f t="shared" si="14"/>
        <v>0</v>
      </c>
      <c r="L38" s="1323">
        <f t="shared" si="14"/>
        <v>0</v>
      </c>
      <c r="M38" s="1323">
        <f t="shared" si="14"/>
        <v>0</v>
      </c>
      <c r="N38" s="1323">
        <f t="shared" si="14"/>
        <v>0</v>
      </c>
      <c r="O38" s="1323">
        <f t="shared" si="14"/>
        <v>0</v>
      </c>
      <c r="P38" s="1323">
        <f t="shared" si="14"/>
        <v>0</v>
      </c>
      <c r="Q38" s="1323">
        <f t="shared" si="14"/>
        <v>0</v>
      </c>
      <c r="R38" s="1323">
        <f t="shared" si="14"/>
        <v>0</v>
      </c>
      <c r="S38" s="1323">
        <f t="shared" si="14"/>
        <v>0</v>
      </c>
      <c r="T38" s="1323">
        <f t="shared" si="14"/>
        <v>0</v>
      </c>
      <c r="U38" s="1323">
        <f t="shared" si="14"/>
        <v>0</v>
      </c>
      <c r="V38" s="1323">
        <f t="shared" si="14"/>
        <v>0</v>
      </c>
      <c r="W38" s="1323">
        <f t="shared" si="14"/>
        <v>0</v>
      </c>
      <c r="X38" s="1323">
        <f t="shared" si="14"/>
        <v>0</v>
      </c>
      <c r="Y38" s="1323">
        <f t="shared" si="14"/>
        <v>0</v>
      </c>
      <c r="Z38" s="1323">
        <f t="shared" si="14"/>
        <v>0</v>
      </c>
      <c r="AA38" s="1323">
        <f t="shared" si="14"/>
        <v>0</v>
      </c>
      <c r="AB38" s="1323">
        <f t="shared" si="14"/>
        <v>0</v>
      </c>
      <c r="AC38" s="1323">
        <f t="shared" si="14"/>
        <v>0</v>
      </c>
      <c r="AD38" s="1323">
        <f t="shared" si="14"/>
        <v>0</v>
      </c>
      <c r="AE38" s="1323">
        <f t="shared" si="14"/>
        <v>0</v>
      </c>
      <c r="AF38" s="1323">
        <f t="shared" si="14"/>
        <v>0</v>
      </c>
      <c r="AG38" s="1323">
        <f t="shared" si="14"/>
        <v>0</v>
      </c>
      <c r="AH38" s="1323">
        <f t="shared" si="14"/>
        <v>0</v>
      </c>
      <c r="AI38" s="1323">
        <f t="shared" si="14"/>
        <v>0</v>
      </c>
      <c r="AJ38" s="1323">
        <f t="shared" si="14"/>
        <v>0</v>
      </c>
      <c r="AK38" s="1323">
        <f t="shared" si="14"/>
        <v>0</v>
      </c>
      <c r="AL38" s="1323">
        <f t="shared" si="14"/>
        <v>0</v>
      </c>
      <c r="AM38" s="1079"/>
    </row>
    <row r="39" spans="2:39" s="1069" customFormat="1" ht="14.85" customHeight="1" x14ac:dyDescent="0.25">
      <c r="B39" s="1608">
        <v>1</v>
      </c>
      <c r="C39" s="1661" t="str">
        <f>[2]Stoping!C46</f>
        <v>4L_W23B STOPE</v>
      </c>
      <c r="D39" s="1611" t="s">
        <v>340</v>
      </c>
      <c r="E39" s="1070" t="s">
        <v>341</v>
      </c>
      <c r="F39" s="196">
        <f t="shared" si="13"/>
        <v>2100</v>
      </c>
      <c r="G39" s="1071"/>
      <c r="H39" s="198">
        <f>[2]Stoping!H46</f>
        <v>70</v>
      </c>
      <c r="I39" s="198">
        <f>[2]Stoping!I46</f>
        <v>70</v>
      </c>
      <c r="J39" s="198">
        <f>[2]Stoping!J46</f>
        <v>70</v>
      </c>
      <c r="K39" s="199">
        <f>[2]Stoping!K46</f>
        <v>70</v>
      </c>
      <c r="L39" s="199">
        <f>[2]Stoping!L46</f>
        <v>70</v>
      </c>
      <c r="M39" s="199">
        <f>[2]Stoping!M46</f>
        <v>70</v>
      </c>
      <c r="N39" s="199">
        <f>[2]Stoping!N46</f>
        <v>70</v>
      </c>
      <c r="O39" s="199">
        <f>[2]Stoping!O46</f>
        <v>70</v>
      </c>
      <c r="P39" s="200">
        <f>[2]Stoping!P46</f>
        <v>70</v>
      </c>
      <c r="Q39" s="199">
        <f>[2]Stoping!Q46</f>
        <v>70</v>
      </c>
      <c r="R39" s="199">
        <f>[2]Stoping!R46</f>
        <v>70</v>
      </c>
      <c r="S39" s="199">
        <f>[2]Stoping!S46</f>
        <v>70</v>
      </c>
      <c r="T39" s="199">
        <f>[2]Stoping!T46</f>
        <v>70</v>
      </c>
      <c r="U39" s="199">
        <f>[2]Stoping!U46</f>
        <v>70</v>
      </c>
      <c r="V39" s="199">
        <f>[2]Stoping!V46</f>
        <v>70</v>
      </c>
      <c r="W39" s="199">
        <f>[2]Stoping!W46</f>
        <v>70</v>
      </c>
      <c r="X39" s="199">
        <f>[2]Stoping!X46</f>
        <v>70</v>
      </c>
      <c r="Y39" s="199">
        <f>[2]Stoping!Y46</f>
        <v>70</v>
      </c>
      <c r="Z39" s="199">
        <f>[2]Stoping!Z46</f>
        <v>70</v>
      </c>
      <c r="AA39" s="199">
        <f>[2]Stoping!AA46</f>
        <v>70</v>
      </c>
      <c r="AB39" s="199">
        <f>[2]Stoping!AB46</f>
        <v>70</v>
      </c>
      <c r="AC39" s="199">
        <f>[2]Stoping!AC46</f>
        <v>70</v>
      </c>
      <c r="AD39" s="199">
        <f>[2]Stoping!AD46</f>
        <v>70</v>
      </c>
      <c r="AE39" s="199">
        <f>[2]Stoping!AE46</f>
        <v>70</v>
      </c>
      <c r="AF39" s="199">
        <f>[2]Stoping!AF46</f>
        <v>70</v>
      </c>
      <c r="AG39" s="199">
        <f>[2]Stoping!AG46</f>
        <v>70</v>
      </c>
      <c r="AH39" s="199">
        <f>[2]Stoping!AH46</f>
        <v>70</v>
      </c>
      <c r="AI39" s="199">
        <f>[2]Stoping!AI46</f>
        <v>70</v>
      </c>
      <c r="AJ39" s="199">
        <f>[2]Stoping!AJ46</f>
        <v>70</v>
      </c>
      <c r="AK39" s="199">
        <f>[2]Stoping!AK46</f>
        <v>70</v>
      </c>
      <c r="AL39" s="201">
        <f>[2]Stoping!AL46</f>
        <v>0</v>
      </c>
      <c r="AM39" s="1072"/>
    </row>
    <row r="40" spans="2:39" x14ac:dyDescent="0.25">
      <c r="B40" s="1607"/>
      <c r="C40" s="1662"/>
      <c r="D40" s="1610"/>
      <c r="E40" s="1302" t="s">
        <v>342</v>
      </c>
      <c r="F40" s="1303">
        <f>SUMIF($H$9:$AL$9,"&lt;="&amp;$C$7,H40:AL40)</f>
        <v>6784</v>
      </c>
      <c r="G40" s="1304">
        <f t="shared" ref="G40" si="16">IFERROR((F40-F39)/F39,0)</f>
        <v>2.2304761904761903</v>
      </c>
      <c r="H40" s="1305">
        <v>156</v>
      </c>
      <c r="I40" s="1303">
        <v>204</v>
      </c>
      <c r="J40" s="1303">
        <v>228</v>
      </c>
      <c r="K40" s="1303">
        <v>236</v>
      </c>
      <c r="L40" s="1303">
        <v>219</v>
      </c>
      <c r="M40" s="1303">
        <v>240</v>
      </c>
      <c r="N40" s="1303">
        <v>199</v>
      </c>
      <c r="O40" s="1303">
        <v>246</v>
      </c>
      <c r="P40" s="1303">
        <v>270</v>
      </c>
      <c r="Q40" s="1303">
        <v>272</v>
      </c>
      <c r="R40" s="1303">
        <v>296</v>
      </c>
      <c r="S40" s="1303">
        <v>266</v>
      </c>
      <c r="T40" s="1303">
        <v>252</v>
      </c>
      <c r="U40" s="1303">
        <v>264</v>
      </c>
      <c r="V40" s="1303">
        <v>156</v>
      </c>
      <c r="W40" s="1303">
        <v>216</v>
      </c>
      <c r="X40" s="1303">
        <v>219</v>
      </c>
      <c r="Y40" s="1303">
        <v>208</v>
      </c>
      <c r="Z40" s="1303">
        <v>234</v>
      </c>
      <c r="AA40" s="1303">
        <v>230</v>
      </c>
      <c r="AB40" s="1303">
        <f>312-74</f>
        <v>238</v>
      </c>
      <c r="AC40" s="1303">
        <v>216</v>
      </c>
      <c r="AD40" s="1303">
        <v>200</v>
      </c>
      <c r="AE40" s="1303">
        <v>276</v>
      </c>
      <c r="AF40" s="1303">
        <v>156</v>
      </c>
      <c r="AG40" s="1303">
        <v>208</v>
      </c>
      <c r="AH40" s="1303">
        <v>228</v>
      </c>
      <c r="AI40" s="1303">
        <v>231</v>
      </c>
      <c r="AJ40" s="1303">
        <v>258</v>
      </c>
      <c r="AK40" s="1303">
        <v>162</v>
      </c>
      <c r="AL40" s="1303"/>
      <c r="AM40" s="1074"/>
    </row>
    <row r="41" spans="2:39" x14ac:dyDescent="0.25">
      <c r="B41" s="1607"/>
      <c r="C41" s="1662"/>
      <c r="D41" s="1610"/>
      <c r="E41" s="1324" t="s">
        <v>312</v>
      </c>
      <c r="F41" s="1307"/>
      <c r="G41" s="1308"/>
      <c r="H41" s="1075"/>
      <c r="I41" s="1075"/>
      <c r="J41" s="1075"/>
      <c r="K41" s="1075"/>
      <c r="L41" s="1075"/>
      <c r="M41" s="1075"/>
      <c r="N41" s="1075"/>
      <c r="O41" s="1075"/>
      <c r="P41" s="1076"/>
      <c r="Q41" s="1075"/>
      <c r="R41" s="1075"/>
      <c r="S41" s="1075"/>
      <c r="T41" s="1075"/>
      <c r="U41" s="1075"/>
      <c r="V41" s="1075"/>
      <c r="W41" s="1075"/>
      <c r="X41" s="1075"/>
      <c r="Y41" s="1075"/>
      <c r="Z41" s="1075"/>
      <c r="AA41" s="1075"/>
      <c r="AB41" s="1075"/>
      <c r="AC41" s="1075"/>
      <c r="AD41" s="1075"/>
      <c r="AE41" s="1075"/>
      <c r="AF41" s="1075"/>
      <c r="AG41" s="1075"/>
      <c r="AH41" s="1075"/>
      <c r="AI41" s="1075"/>
      <c r="AJ41" s="1075"/>
      <c r="AK41" s="1075"/>
      <c r="AL41" s="1077"/>
      <c r="AM41" s="1074"/>
    </row>
    <row r="42" spans="2:39" x14ac:dyDescent="0.25">
      <c r="B42" s="1607"/>
      <c r="C42" s="1662"/>
      <c r="D42" s="1612" t="s">
        <v>343</v>
      </c>
      <c r="E42" s="1309" t="s">
        <v>344</v>
      </c>
      <c r="F42" s="1310">
        <f t="shared" ref="F42" si="17">IFERROR(F44*1000/F39,0)</f>
        <v>3.8499999999999988</v>
      </c>
      <c r="G42" s="1311"/>
      <c r="H42" s="1312">
        <f>[2]Stoping!H49</f>
        <v>3.85</v>
      </c>
      <c r="I42" s="1312">
        <f>[2]Stoping!I49</f>
        <v>3.85</v>
      </c>
      <c r="J42" s="1312">
        <f>[2]Stoping!J49</f>
        <v>3.85</v>
      </c>
      <c r="K42" s="1333">
        <f>[2]Stoping!K49</f>
        <v>3.85</v>
      </c>
      <c r="L42" s="1333">
        <f>[2]Stoping!L49</f>
        <v>3.85</v>
      </c>
      <c r="M42" s="1333">
        <f>[2]Stoping!M49</f>
        <v>3.85</v>
      </c>
      <c r="N42" s="1333">
        <f>[2]Stoping!N49</f>
        <v>3.85</v>
      </c>
      <c r="O42" s="1333">
        <f>[2]Stoping!O49</f>
        <v>3.85</v>
      </c>
      <c r="P42" s="1334">
        <f>[2]Stoping!P49</f>
        <v>3.85</v>
      </c>
      <c r="Q42" s="1333">
        <f>[2]Stoping!Q49</f>
        <v>3.85</v>
      </c>
      <c r="R42" s="1333">
        <f>[2]Stoping!R49</f>
        <v>3.85</v>
      </c>
      <c r="S42" s="1333">
        <f>[2]Stoping!S49</f>
        <v>3.85</v>
      </c>
      <c r="T42" s="1333">
        <f>[2]Stoping!T49</f>
        <v>3.85</v>
      </c>
      <c r="U42" s="1333">
        <f>[2]Stoping!U49</f>
        <v>3.85</v>
      </c>
      <c r="V42" s="1333">
        <f>[2]Stoping!V49</f>
        <v>3.85</v>
      </c>
      <c r="W42" s="1333">
        <f>[2]Stoping!W49</f>
        <v>3.85</v>
      </c>
      <c r="X42" s="1333">
        <f>[2]Stoping!X49</f>
        <v>3.85</v>
      </c>
      <c r="Y42" s="1333">
        <f>[2]Stoping!Y49</f>
        <v>3.85</v>
      </c>
      <c r="Z42" s="1333">
        <f>[2]Stoping!Z49</f>
        <v>3.85</v>
      </c>
      <c r="AA42" s="1333">
        <f>[2]Stoping!AA49</f>
        <v>3.85</v>
      </c>
      <c r="AB42" s="1333">
        <f>[2]Stoping!AB49</f>
        <v>3.85</v>
      </c>
      <c r="AC42" s="1333">
        <f>[2]Stoping!AC49</f>
        <v>3.85</v>
      </c>
      <c r="AD42" s="1333">
        <f>[2]Stoping!AD49</f>
        <v>3.85</v>
      </c>
      <c r="AE42" s="1333">
        <f>[2]Stoping!AE49</f>
        <v>3.85</v>
      </c>
      <c r="AF42" s="1333">
        <f>[2]Stoping!AF49</f>
        <v>3.85</v>
      </c>
      <c r="AG42" s="1333">
        <f>[2]Stoping!AG49</f>
        <v>3.85</v>
      </c>
      <c r="AH42" s="1333">
        <f>[2]Stoping!AH49</f>
        <v>3.85</v>
      </c>
      <c r="AI42" s="1333">
        <f>[2]Stoping!AI49</f>
        <v>3.85</v>
      </c>
      <c r="AJ42" s="1333">
        <f>[2]Stoping!AJ49</f>
        <v>3.85</v>
      </c>
      <c r="AK42" s="1333">
        <f>[2]Stoping!AK49</f>
        <v>3.85</v>
      </c>
      <c r="AL42" s="1335">
        <f>[2]Stoping!AL49</f>
        <v>0</v>
      </c>
      <c r="AM42" s="1074"/>
    </row>
    <row r="43" spans="2:39" x14ac:dyDescent="0.25">
      <c r="B43" s="1607"/>
      <c r="C43" s="1662"/>
      <c r="D43" s="1664"/>
      <c r="E43" s="1313" t="s">
        <v>345</v>
      </c>
      <c r="F43" s="1314">
        <f>IFERROR(F45*1000/F40,0)</f>
        <v>2.4596421580188674</v>
      </c>
      <c r="G43" s="1304">
        <f t="shared" ref="G43" si="18">IFERROR((F43-F42)/F42,0)</f>
        <v>-0.36113190700808617</v>
      </c>
      <c r="H43" s="1315">
        <v>5.13</v>
      </c>
      <c r="I43" s="1314">
        <v>4.0599999999999996</v>
      </c>
      <c r="J43" s="1314">
        <v>2.5133000000000001</v>
      </c>
      <c r="K43" s="1314">
        <v>1.64</v>
      </c>
      <c r="L43" s="1314">
        <v>2.78</v>
      </c>
      <c r="M43" s="1314">
        <v>1.63</v>
      </c>
      <c r="N43" s="1314">
        <v>1.51</v>
      </c>
      <c r="O43" s="1314">
        <v>2.78</v>
      </c>
      <c r="P43" s="1314">
        <v>1.81</v>
      </c>
      <c r="Q43" s="1314">
        <v>2.16</v>
      </c>
      <c r="R43" s="1314">
        <v>1.86</v>
      </c>
      <c r="S43" s="1314">
        <v>1.81</v>
      </c>
      <c r="T43" s="1314">
        <v>2.57</v>
      </c>
      <c r="U43" s="1314">
        <v>3.53</v>
      </c>
      <c r="V43" s="1314">
        <v>2.5</v>
      </c>
      <c r="W43" s="1314">
        <v>5.57</v>
      </c>
      <c r="X43" s="1314">
        <v>2.19</v>
      </c>
      <c r="Y43" s="1314">
        <v>2.72</v>
      </c>
      <c r="Z43" s="1314">
        <v>2.61</v>
      </c>
      <c r="AA43" s="1314">
        <v>2.61</v>
      </c>
      <c r="AB43" s="1314">
        <v>1.64</v>
      </c>
      <c r="AC43" s="1314">
        <v>2.52</v>
      </c>
      <c r="AD43" s="1314">
        <v>2.52</v>
      </c>
      <c r="AE43" s="1314">
        <v>2.29</v>
      </c>
      <c r="AF43" s="1314">
        <v>1.25</v>
      </c>
      <c r="AG43" s="1314">
        <v>3.85</v>
      </c>
      <c r="AH43" s="1314">
        <v>0.87</v>
      </c>
      <c r="AI43" s="1314">
        <v>2.42</v>
      </c>
      <c r="AJ43" s="1314">
        <v>0.78</v>
      </c>
      <c r="AK43" s="1314">
        <v>3.4</v>
      </c>
      <c r="AL43" s="1314"/>
      <c r="AM43" s="1074"/>
    </row>
    <row r="44" spans="2:39" x14ac:dyDescent="0.25">
      <c r="B44" s="1607"/>
      <c r="C44" s="1662"/>
      <c r="D44" s="1612" t="s">
        <v>47</v>
      </c>
      <c r="E44" s="1309" t="s">
        <v>346</v>
      </c>
      <c r="F44" s="206">
        <f t="shared" ref="F44:F46" si="19">SUMIF($H$9:$AL$9,"&lt;="&amp;$C$7,H44:AL44)</f>
        <v>8.0849999999999973</v>
      </c>
      <c r="G44" s="1311"/>
      <c r="H44" s="1316">
        <f t="shared" ref="H44:AL45" si="20">+H42*H39/1000</f>
        <v>0.26950000000000002</v>
      </c>
      <c r="I44" s="1316">
        <f t="shared" si="20"/>
        <v>0.26950000000000002</v>
      </c>
      <c r="J44" s="1316">
        <f t="shared" si="20"/>
        <v>0.26950000000000002</v>
      </c>
      <c r="K44" s="1316">
        <f t="shared" si="20"/>
        <v>0.26950000000000002</v>
      </c>
      <c r="L44" s="1316">
        <f t="shared" si="20"/>
        <v>0.26950000000000002</v>
      </c>
      <c r="M44" s="1316">
        <f t="shared" si="20"/>
        <v>0.26950000000000002</v>
      </c>
      <c r="N44" s="1316">
        <f t="shared" si="20"/>
        <v>0.26950000000000002</v>
      </c>
      <c r="O44" s="1316">
        <f t="shared" si="20"/>
        <v>0.26950000000000002</v>
      </c>
      <c r="P44" s="1316">
        <f t="shared" si="20"/>
        <v>0.26950000000000002</v>
      </c>
      <c r="Q44" s="1316">
        <f t="shared" si="20"/>
        <v>0.26950000000000002</v>
      </c>
      <c r="R44" s="1316">
        <f t="shared" si="20"/>
        <v>0.26950000000000002</v>
      </c>
      <c r="S44" s="1316">
        <f t="shared" si="20"/>
        <v>0.26950000000000002</v>
      </c>
      <c r="T44" s="1316">
        <f t="shared" si="20"/>
        <v>0.26950000000000002</v>
      </c>
      <c r="U44" s="1316">
        <f t="shared" si="20"/>
        <v>0.26950000000000002</v>
      </c>
      <c r="V44" s="1316">
        <f t="shared" si="20"/>
        <v>0.26950000000000002</v>
      </c>
      <c r="W44" s="1316">
        <f t="shared" si="20"/>
        <v>0.26950000000000002</v>
      </c>
      <c r="X44" s="1316">
        <f t="shared" si="20"/>
        <v>0.26950000000000002</v>
      </c>
      <c r="Y44" s="1316">
        <f t="shared" si="20"/>
        <v>0.26950000000000002</v>
      </c>
      <c r="Z44" s="1316">
        <f t="shared" si="20"/>
        <v>0.26950000000000002</v>
      </c>
      <c r="AA44" s="1316">
        <f t="shared" si="20"/>
        <v>0.26950000000000002</v>
      </c>
      <c r="AB44" s="1316">
        <f t="shared" si="20"/>
        <v>0.26950000000000002</v>
      </c>
      <c r="AC44" s="1316">
        <f t="shared" si="20"/>
        <v>0.26950000000000002</v>
      </c>
      <c r="AD44" s="1316">
        <f t="shared" si="20"/>
        <v>0.26950000000000002</v>
      </c>
      <c r="AE44" s="1316">
        <f t="shared" si="20"/>
        <v>0.26950000000000002</v>
      </c>
      <c r="AF44" s="1316">
        <f t="shared" si="20"/>
        <v>0.26950000000000002</v>
      </c>
      <c r="AG44" s="1316">
        <f t="shared" si="20"/>
        <v>0.26950000000000002</v>
      </c>
      <c r="AH44" s="1316">
        <f t="shared" si="20"/>
        <v>0.26950000000000002</v>
      </c>
      <c r="AI44" s="1316">
        <f t="shared" si="20"/>
        <v>0.26950000000000002</v>
      </c>
      <c r="AJ44" s="1316">
        <f t="shared" si="20"/>
        <v>0.26950000000000002</v>
      </c>
      <c r="AK44" s="1316">
        <f t="shared" si="20"/>
        <v>0.26950000000000002</v>
      </c>
      <c r="AL44" s="1316">
        <f t="shared" si="20"/>
        <v>0</v>
      </c>
      <c r="AM44" s="1078"/>
    </row>
    <row r="45" spans="2:39" ht="14.25" thickBot="1" x14ac:dyDescent="0.3">
      <c r="B45" s="1660"/>
      <c r="C45" s="1663"/>
      <c r="D45" s="1665"/>
      <c r="E45" s="1320" t="s">
        <v>347</v>
      </c>
      <c r="F45" s="1321">
        <f t="shared" si="19"/>
        <v>16.686212399999995</v>
      </c>
      <c r="G45" s="1322">
        <f t="shared" ref="G45" si="21">IFERROR((F45-F44)/F44,0)</f>
        <v>1.0638481632653063</v>
      </c>
      <c r="H45" s="1323">
        <f t="shared" si="20"/>
        <v>0.80027999999999999</v>
      </c>
      <c r="I45" s="1323">
        <f t="shared" si="20"/>
        <v>0.82823999999999987</v>
      </c>
      <c r="J45" s="1323">
        <f t="shared" si="20"/>
        <v>0.5730324</v>
      </c>
      <c r="K45" s="1323">
        <f t="shared" si="20"/>
        <v>0.38703999999999994</v>
      </c>
      <c r="L45" s="1323">
        <f t="shared" si="20"/>
        <v>0.60881999999999992</v>
      </c>
      <c r="M45" s="1323">
        <f t="shared" si="20"/>
        <v>0.39119999999999999</v>
      </c>
      <c r="N45" s="1323">
        <f t="shared" si="20"/>
        <v>0.30049000000000003</v>
      </c>
      <c r="O45" s="1323">
        <f t="shared" si="20"/>
        <v>0.68388000000000004</v>
      </c>
      <c r="P45" s="1323">
        <f t="shared" si="20"/>
        <v>0.48869999999999997</v>
      </c>
      <c r="Q45" s="1323">
        <f t="shared" si="20"/>
        <v>0.58751999999999993</v>
      </c>
      <c r="R45" s="1323">
        <f t="shared" si="20"/>
        <v>0.55056000000000005</v>
      </c>
      <c r="S45" s="1323">
        <f t="shared" si="20"/>
        <v>0.48146000000000005</v>
      </c>
      <c r="T45" s="1323">
        <f t="shared" si="20"/>
        <v>0.64763999999999999</v>
      </c>
      <c r="U45" s="1323">
        <f t="shared" si="20"/>
        <v>0.93191999999999997</v>
      </c>
      <c r="V45" s="1323">
        <f t="shared" si="20"/>
        <v>0.39</v>
      </c>
      <c r="W45" s="1323">
        <f t="shared" si="20"/>
        <v>1.2031200000000002</v>
      </c>
      <c r="X45" s="1323">
        <f t="shared" si="20"/>
        <v>0.47961000000000004</v>
      </c>
      <c r="Y45" s="1323">
        <f t="shared" si="20"/>
        <v>0.56576000000000004</v>
      </c>
      <c r="Z45" s="1323">
        <f t="shared" si="20"/>
        <v>0.61074000000000006</v>
      </c>
      <c r="AA45" s="1323">
        <f t="shared" si="20"/>
        <v>0.60029999999999994</v>
      </c>
      <c r="AB45" s="1323">
        <f t="shared" si="20"/>
        <v>0.39032</v>
      </c>
      <c r="AC45" s="1323">
        <f t="shared" si="20"/>
        <v>0.54432000000000003</v>
      </c>
      <c r="AD45" s="1323">
        <f t="shared" si="20"/>
        <v>0.504</v>
      </c>
      <c r="AE45" s="1323">
        <f t="shared" si="20"/>
        <v>0.63203999999999994</v>
      </c>
      <c r="AF45" s="1323">
        <f t="shared" si="20"/>
        <v>0.19500000000000001</v>
      </c>
      <c r="AG45" s="1323">
        <f t="shared" si="20"/>
        <v>0.80080000000000007</v>
      </c>
      <c r="AH45" s="1323">
        <f t="shared" si="20"/>
        <v>0.19835999999999998</v>
      </c>
      <c r="AI45" s="1323">
        <f t="shared" si="20"/>
        <v>0.55901999999999996</v>
      </c>
      <c r="AJ45" s="1323">
        <f t="shared" si="20"/>
        <v>0.20124</v>
      </c>
      <c r="AK45" s="1323">
        <f t="shared" si="20"/>
        <v>0.55079999999999996</v>
      </c>
      <c r="AL45" s="1323">
        <f t="shared" si="20"/>
        <v>0</v>
      </c>
      <c r="AM45" s="1079"/>
    </row>
    <row r="46" spans="2:39" s="1069" customFormat="1" ht="14.85" customHeight="1" x14ac:dyDescent="0.25">
      <c r="B46" s="1608">
        <v>1</v>
      </c>
      <c r="C46" s="1661" t="str">
        <f>[2]Stoping!C53</f>
        <v xml:space="preserve">4L_W26 STOPE </v>
      </c>
      <c r="D46" s="1611" t="s">
        <v>340</v>
      </c>
      <c r="E46" s="1070" t="s">
        <v>341</v>
      </c>
      <c r="F46" s="196">
        <f t="shared" si="19"/>
        <v>2100</v>
      </c>
      <c r="G46" s="1071"/>
      <c r="H46" s="198">
        <f>[2]Stoping!H53</f>
        <v>70</v>
      </c>
      <c r="I46" s="198">
        <f>[2]Stoping!I53</f>
        <v>70</v>
      </c>
      <c r="J46" s="198">
        <f>[2]Stoping!J53</f>
        <v>70</v>
      </c>
      <c r="K46" s="199">
        <f>[2]Stoping!K53</f>
        <v>70</v>
      </c>
      <c r="L46" s="199">
        <f>[2]Stoping!L53</f>
        <v>70</v>
      </c>
      <c r="M46" s="199">
        <f>[2]Stoping!M53</f>
        <v>70</v>
      </c>
      <c r="N46" s="199">
        <f>[2]Stoping!N53</f>
        <v>70</v>
      </c>
      <c r="O46" s="199">
        <f>[2]Stoping!O53</f>
        <v>70</v>
      </c>
      <c r="P46" s="200">
        <f>[2]Stoping!P53</f>
        <v>70</v>
      </c>
      <c r="Q46" s="199">
        <f>[2]Stoping!Q53</f>
        <v>70</v>
      </c>
      <c r="R46" s="199">
        <f>[2]Stoping!R53</f>
        <v>70</v>
      </c>
      <c r="S46" s="199">
        <f>[2]Stoping!S53</f>
        <v>70</v>
      </c>
      <c r="T46" s="199">
        <f>[2]Stoping!T53</f>
        <v>70</v>
      </c>
      <c r="U46" s="199">
        <f>[2]Stoping!U53</f>
        <v>70</v>
      </c>
      <c r="V46" s="199">
        <f>[2]Stoping!V53</f>
        <v>70</v>
      </c>
      <c r="W46" s="199">
        <f>[2]Stoping!W53</f>
        <v>70</v>
      </c>
      <c r="X46" s="199">
        <f>[2]Stoping!X53</f>
        <v>70</v>
      </c>
      <c r="Y46" s="199">
        <f>[2]Stoping!Y53</f>
        <v>70</v>
      </c>
      <c r="Z46" s="199">
        <f>[2]Stoping!Z53</f>
        <v>70</v>
      </c>
      <c r="AA46" s="199">
        <f>[2]Stoping!AA53</f>
        <v>70</v>
      </c>
      <c r="AB46" s="199">
        <f>[2]Stoping!AB53</f>
        <v>70</v>
      </c>
      <c r="AC46" s="199">
        <f>[2]Stoping!AC53</f>
        <v>70</v>
      </c>
      <c r="AD46" s="199">
        <f>[2]Stoping!AD53</f>
        <v>70</v>
      </c>
      <c r="AE46" s="199">
        <f>[2]Stoping!AE53</f>
        <v>70</v>
      </c>
      <c r="AF46" s="199">
        <f>[2]Stoping!AF53</f>
        <v>70</v>
      </c>
      <c r="AG46" s="199">
        <f>[2]Stoping!AG53</f>
        <v>70</v>
      </c>
      <c r="AH46" s="199">
        <f>[2]Stoping!AH53</f>
        <v>70</v>
      </c>
      <c r="AI46" s="199">
        <f>[2]Stoping!AI53</f>
        <v>70</v>
      </c>
      <c r="AJ46" s="199">
        <f>[2]Stoping!AJ53</f>
        <v>70</v>
      </c>
      <c r="AK46" s="199">
        <f>[2]Stoping!AK53</f>
        <v>70</v>
      </c>
      <c r="AL46" s="201">
        <f>[2]Stoping!AL53</f>
        <v>0</v>
      </c>
      <c r="AM46" s="1072"/>
    </row>
    <row r="47" spans="2:39" x14ac:dyDescent="0.25">
      <c r="B47" s="1607"/>
      <c r="C47" s="1662"/>
      <c r="D47" s="1610"/>
      <c r="E47" s="1302" t="s">
        <v>342</v>
      </c>
      <c r="F47" s="1303">
        <f>SUMIF($H$9:$AL$9,"&lt;="&amp;$C$7,H47:AL47)</f>
        <v>1612</v>
      </c>
      <c r="G47" s="1304">
        <f t="shared" ref="G47" si="22">IFERROR((F47-F46)/F46,0)</f>
        <v>-0.23238095238095238</v>
      </c>
      <c r="H47" s="1305">
        <v>120</v>
      </c>
      <c r="I47" s="1303">
        <v>80</v>
      </c>
      <c r="J47" s="1303">
        <v>60</v>
      </c>
      <c r="K47" s="1303">
        <v>66</v>
      </c>
      <c r="L47" s="1303">
        <v>72</v>
      </c>
      <c r="M47" s="1303">
        <v>12</v>
      </c>
      <c r="N47" s="1303">
        <v>96</v>
      </c>
      <c r="O47" s="1303">
        <v>92</v>
      </c>
      <c r="P47" s="1303">
        <v>72</v>
      </c>
      <c r="Q47" s="1303">
        <v>66</v>
      </c>
      <c r="R47" s="1303">
        <v>36</v>
      </c>
      <c r="S47" s="1303">
        <v>60</v>
      </c>
      <c r="T47" s="1303">
        <v>36</v>
      </c>
      <c r="U47" s="1303">
        <v>25</v>
      </c>
      <c r="V47" s="1303">
        <v>72</v>
      </c>
      <c r="W47" s="1303">
        <v>76</v>
      </c>
      <c r="X47" s="1303">
        <v>70</v>
      </c>
      <c r="Y47" s="1303">
        <v>78</v>
      </c>
      <c r="Z47" s="1303">
        <v>80</v>
      </c>
      <c r="AA47" s="1303">
        <v>53</v>
      </c>
      <c r="AB47" s="1303">
        <v>74</v>
      </c>
      <c r="AC47" s="1303">
        <v>0</v>
      </c>
      <c r="AD47" s="1303"/>
      <c r="AE47" s="1303">
        <v>36</v>
      </c>
      <c r="AF47" s="1303">
        <v>84</v>
      </c>
      <c r="AG47" s="1303">
        <v>24</v>
      </c>
      <c r="AH47" s="1303"/>
      <c r="AI47" s="1303"/>
      <c r="AJ47" s="1303"/>
      <c r="AK47" s="1303">
        <v>72</v>
      </c>
      <c r="AL47" s="1303"/>
      <c r="AM47" s="1074"/>
    </row>
    <row r="48" spans="2:39" x14ac:dyDescent="0.25">
      <c r="B48" s="1607"/>
      <c r="C48" s="1662"/>
      <c r="D48" s="1610"/>
      <c r="E48" s="1324" t="s">
        <v>312</v>
      </c>
      <c r="F48" s="1307"/>
      <c r="G48" s="1308"/>
      <c r="H48" s="1075"/>
      <c r="I48" s="1075"/>
      <c r="J48" s="1075"/>
      <c r="K48" s="1075"/>
      <c r="L48" s="1075"/>
      <c r="M48" s="1075"/>
      <c r="N48" s="1075"/>
      <c r="O48" s="1075"/>
      <c r="P48" s="1076"/>
      <c r="Q48" s="1075"/>
      <c r="R48" s="1075"/>
      <c r="S48" s="1075"/>
      <c r="T48" s="1075"/>
      <c r="U48" s="1075"/>
      <c r="V48" s="1075"/>
      <c r="W48" s="1075"/>
      <c r="X48" s="1075"/>
      <c r="Y48" s="1075" t="s">
        <v>361</v>
      </c>
      <c r="Z48" s="1075"/>
      <c r="AA48" s="1075"/>
      <c r="AB48" s="1075"/>
      <c r="AC48" s="1075"/>
      <c r="AD48" s="1075"/>
      <c r="AE48" s="1075"/>
      <c r="AF48" s="1075"/>
      <c r="AG48" s="1075"/>
      <c r="AH48" s="1075"/>
      <c r="AI48" s="1075"/>
      <c r="AJ48" s="1075"/>
      <c r="AK48" s="1075"/>
      <c r="AL48" s="1077"/>
      <c r="AM48" s="1074"/>
    </row>
    <row r="49" spans="2:39" x14ac:dyDescent="0.25">
      <c r="B49" s="1607"/>
      <c r="C49" s="1662"/>
      <c r="D49" s="1612" t="s">
        <v>343</v>
      </c>
      <c r="E49" s="1309" t="s">
        <v>344</v>
      </c>
      <c r="F49" s="1310">
        <f t="shared" ref="F49" si="23">IFERROR(F51*1000/F46,0)</f>
        <v>2.12</v>
      </c>
      <c r="G49" s="1311"/>
      <c r="H49" s="1312">
        <f>[2]Stoping!H56</f>
        <v>2.12</v>
      </c>
      <c r="I49" s="1312">
        <f>[2]Stoping!I56</f>
        <v>2.12</v>
      </c>
      <c r="J49" s="1312">
        <f>[2]Stoping!J56</f>
        <v>2.12</v>
      </c>
      <c r="K49" s="1333">
        <f>[2]Stoping!K56</f>
        <v>2.12</v>
      </c>
      <c r="L49" s="1333">
        <f>[2]Stoping!L56</f>
        <v>2.12</v>
      </c>
      <c r="M49" s="1333">
        <f>[2]Stoping!M56</f>
        <v>2.12</v>
      </c>
      <c r="N49" s="1333">
        <f>[2]Stoping!N56</f>
        <v>2.12</v>
      </c>
      <c r="O49" s="1333">
        <f>[2]Stoping!O56</f>
        <v>2.12</v>
      </c>
      <c r="P49" s="1334">
        <f>[2]Stoping!P56</f>
        <v>2.12</v>
      </c>
      <c r="Q49" s="1333">
        <f>[2]Stoping!Q56</f>
        <v>2.12</v>
      </c>
      <c r="R49" s="1333">
        <f>[2]Stoping!R56</f>
        <v>2.12</v>
      </c>
      <c r="S49" s="1333">
        <f>[2]Stoping!S56</f>
        <v>2.12</v>
      </c>
      <c r="T49" s="1333">
        <f>[2]Stoping!T56</f>
        <v>2.12</v>
      </c>
      <c r="U49" s="1333">
        <f>[2]Stoping!U56</f>
        <v>2.12</v>
      </c>
      <c r="V49" s="1333">
        <f>[2]Stoping!V56</f>
        <v>2.12</v>
      </c>
      <c r="W49" s="1333">
        <f>[2]Stoping!W56</f>
        <v>2.12</v>
      </c>
      <c r="X49" s="1333">
        <f>[2]Stoping!X56</f>
        <v>2.12</v>
      </c>
      <c r="Y49" s="1333">
        <f>[2]Stoping!Y56</f>
        <v>2.12</v>
      </c>
      <c r="Z49" s="1333">
        <f>[2]Stoping!Z56</f>
        <v>2.12</v>
      </c>
      <c r="AA49" s="1333">
        <f>[2]Stoping!AA56</f>
        <v>2.12</v>
      </c>
      <c r="AB49" s="1333">
        <f>[2]Stoping!AB56</f>
        <v>2.12</v>
      </c>
      <c r="AC49" s="1333">
        <f>[2]Stoping!AC56</f>
        <v>2.12</v>
      </c>
      <c r="AD49" s="1333">
        <f>[2]Stoping!AD56</f>
        <v>2.12</v>
      </c>
      <c r="AE49" s="1333">
        <f>[2]Stoping!AE56</f>
        <v>2.12</v>
      </c>
      <c r="AF49" s="1333">
        <f>[2]Stoping!AF56</f>
        <v>2.12</v>
      </c>
      <c r="AG49" s="1333">
        <f>[2]Stoping!AG56</f>
        <v>2.12</v>
      </c>
      <c r="AH49" s="1333">
        <f>[2]Stoping!AH56</f>
        <v>2.12</v>
      </c>
      <c r="AI49" s="1333">
        <f>[2]Stoping!AI56</f>
        <v>2.12</v>
      </c>
      <c r="AJ49" s="1333">
        <f>[2]Stoping!AJ56</f>
        <v>2.12</v>
      </c>
      <c r="AK49" s="1333">
        <f>[2]Stoping!AK56</f>
        <v>2.12</v>
      </c>
      <c r="AL49" s="1335">
        <f>[2]Stoping!AL56</f>
        <v>0</v>
      </c>
      <c r="AM49" s="1074"/>
    </row>
    <row r="50" spans="2:39" x14ac:dyDescent="0.25">
      <c r="B50" s="1607"/>
      <c r="C50" s="1662"/>
      <c r="D50" s="1664"/>
      <c r="E50" s="1313" t="s">
        <v>345</v>
      </c>
      <c r="F50" s="1314">
        <f>IFERROR(F52*1000/F47,0)</f>
        <v>2.3721153846153844</v>
      </c>
      <c r="G50" s="1304">
        <f t="shared" ref="G50" si="24">IFERROR((F50-F49)/F49,0)</f>
        <v>0.11892235123367183</v>
      </c>
      <c r="H50" s="1315">
        <v>1.42</v>
      </c>
      <c r="I50" s="1314">
        <v>1.1200000000000001</v>
      </c>
      <c r="J50" s="1314">
        <v>1.55</v>
      </c>
      <c r="K50" s="1314">
        <v>4.3600000000000003</v>
      </c>
      <c r="L50" s="1314">
        <v>3.94</v>
      </c>
      <c r="M50" s="1314">
        <v>3.94</v>
      </c>
      <c r="N50" s="1314">
        <v>2.91</v>
      </c>
      <c r="O50" s="1314">
        <v>1.1399999999999999</v>
      </c>
      <c r="P50" s="1314">
        <v>1.5</v>
      </c>
      <c r="Q50" s="1314">
        <v>2.4700000000000002</v>
      </c>
      <c r="R50" s="1314">
        <v>1.38</v>
      </c>
      <c r="S50" s="1314">
        <v>1.24</v>
      </c>
      <c r="T50" s="1314">
        <v>2.58</v>
      </c>
      <c r="U50" s="1314">
        <v>0.95</v>
      </c>
      <c r="V50" s="1314">
        <v>2.36</v>
      </c>
      <c r="W50" s="1314">
        <v>0.74</v>
      </c>
      <c r="X50" s="1314">
        <v>2.4500000000000002</v>
      </c>
      <c r="Y50" s="1314">
        <v>3.05</v>
      </c>
      <c r="Z50" s="1314">
        <v>4.4400000000000004</v>
      </c>
      <c r="AA50" s="1314">
        <v>4.4400000000000004</v>
      </c>
      <c r="AB50" s="1314">
        <v>1.74</v>
      </c>
      <c r="AC50" s="1314"/>
      <c r="AD50" s="1314"/>
      <c r="AE50" s="1314">
        <v>2.3199999999999998</v>
      </c>
      <c r="AF50" s="1314">
        <v>2.93</v>
      </c>
      <c r="AG50" s="1314">
        <v>2.83</v>
      </c>
      <c r="AH50" s="1314"/>
      <c r="AI50" s="1314"/>
      <c r="AJ50" s="1314"/>
      <c r="AK50" s="1314">
        <v>2.83</v>
      </c>
      <c r="AL50" s="1314"/>
      <c r="AM50" s="1074"/>
    </row>
    <row r="51" spans="2:39" x14ac:dyDescent="0.25">
      <c r="B51" s="1607"/>
      <c r="C51" s="1662"/>
      <c r="D51" s="1612" t="s">
        <v>47</v>
      </c>
      <c r="E51" s="1309" t="s">
        <v>346</v>
      </c>
      <c r="F51" s="206">
        <f t="shared" ref="F51:F54" si="25">SUMIF($H$9:$AL$9,"&lt;="&amp;$C$7,H51:AL51)</f>
        <v>4.452</v>
      </c>
      <c r="G51" s="1311"/>
      <c r="H51" s="1316">
        <f t="shared" ref="H51:AL52" si="26">+H49*H46/1000</f>
        <v>0.1484</v>
      </c>
      <c r="I51" s="1316">
        <f t="shared" si="26"/>
        <v>0.1484</v>
      </c>
      <c r="J51" s="1316">
        <f t="shared" si="26"/>
        <v>0.1484</v>
      </c>
      <c r="K51" s="1316">
        <f t="shared" si="26"/>
        <v>0.1484</v>
      </c>
      <c r="L51" s="1316">
        <f t="shared" si="26"/>
        <v>0.1484</v>
      </c>
      <c r="M51" s="1316">
        <f t="shared" si="26"/>
        <v>0.1484</v>
      </c>
      <c r="N51" s="1316">
        <f t="shared" si="26"/>
        <v>0.1484</v>
      </c>
      <c r="O51" s="1316">
        <f t="shared" si="26"/>
        <v>0.1484</v>
      </c>
      <c r="P51" s="1316">
        <f t="shared" si="26"/>
        <v>0.1484</v>
      </c>
      <c r="Q51" s="1316">
        <f t="shared" si="26"/>
        <v>0.1484</v>
      </c>
      <c r="R51" s="1316">
        <f t="shared" si="26"/>
        <v>0.1484</v>
      </c>
      <c r="S51" s="1316">
        <f t="shared" si="26"/>
        <v>0.1484</v>
      </c>
      <c r="T51" s="1316">
        <f t="shared" si="26"/>
        <v>0.1484</v>
      </c>
      <c r="U51" s="1316">
        <f t="shared" si="26"/>
        <v>0.1484</v>
      </c>
      <c r="V51" s="1316">
        <f t="shared" si="26"/>
        <v>0.1484</v>
      </c>
      <c r="W51" s="1316">
        <f t="shared" si="26"/>
        <v>0.1484</v>
      </c>
      <c r="X51" s="1316">
        <f t="shared" si="26"/>
        <v>0.1484</v>
      </c>
      <c r="Y51" s="1316">
        <f t="shared" si="26"/>
        <v>0.1484</v>
      </c>
      <c r="Z51" s="1316">
        <f t="shared" si="26"/>
        <v>0.1484</v>
      </c>
      <c r="AA51" s="1316">
        <f t="shared" si="26"/>
        <v>0.1484</v>
      </c>
      <c r="AB51" s="1316">
        <f t="shared" si="26"/>
        <v>0.1484</v>
      </c>
      <c r="AC51" s="1316">
        <f t="shared" si="26"/>
        <v>0.1484</v>
      </c>
      <c r="AD51" s="1316">
        <f t="shared" si="26"/>
        <v>0.1484</v>
      </c>
      <c r="AE51" s="1316">
        <f t="shared" si="26"/>
        <v>0.1484</v>
      </c>
      <c r="AF51" s="1316">
        <f>+AF49*AF46/1000</f>
        <v>0.1484</v>
      </c>
      <c r="AG51" s="1316">
        <f t="shared" si="26"/>
        <v>0.1484</v>
      </c>
      <c r="AH51" s="1316">
        <f t="shared" si="26"/>
        <v>0.1484</v>
      </c>
      <c r="AI51" s="1316">
        <f t="shared" si="26"/>
        <v>0.1484</v>
      </c>
      <c r="AJ51" s="1316">
        <f t="shared" si="26"/>
        <v>0.1484</v>
      </c>
      <c r="AK51" s="1316">
        <f t="shared" si="26"/>
        <v>0.1484</v>
      </c>
      <c r="AL51" s="1316">
        <f t="shared" si="26"/>
        <v>0</v>
      </c>
      <c r="AM51" s="1078"/>
    </row>
    <row r="52" spans="2:39" ht="14.25" thickBot="1" x14ac:dyDescent="0.3">
      <c r="B52" s="1660"/>
      <c r="C52" s="1663"/>
      <c r="D52" s="1665"/>
      <c r="E52" s="1320" t="s">
        <v>347</v>
      </c>
      <c r="F52" s="1321">
        <f t="shared" si="25"/>
        <v>3.8238499999999997</v>
      </c>
      <c r="G52" s="1322">
        <f t="shared" ref="G52" si="27">IFERROR((F52-F51)/F51,0)</f>
        <v>-0.14109389038634326</v>
      </c>
      <c r="H52" s="1323">
        <f t="shared" si="26"/>
        <v>0.17039999999999997</v>
      </c>
      <c r="I52" s="1323">
        <f t="shared" si="26"/>
        <v>8.9600000000000013E-2</v>
      </c>
      <c r="J52" s="1323">
        <f t="shared" si="26"/>
        <v>9.2999999999999999E-2</v>
      </c>
      <c r="K52" s="1323">
        <f t="shared" si="26"/>
        <v>0.28776000000000007</v>
      </c>
      <c r="L52" s="1323">
        <f t="shared" si="26"/>
        <v>0.28367999999999999</v>
      </c>
      <c r="M52" s="1323">
        <f t="shared" si="26"/>
        <v>4.7280000000000003E-2</v>
      </c>
      <c r="N52" s="1323">
        <f t="shared" si="26"/>
        <v>0.27936</v>
      </c>
      <c r="O52" s="1323">
        <f t="shared" si="26"/>
        <v>0.10488</v>
      </c>
      <c r="P52" s="1323">
        <f t="shared" si="26"/>
        <v>0.108</v>
      </c>
      <c r="Q52" s="1323">
        <f t="shared" si="26"/>
        <v>0.16302</v>
      </c>
      <c r="R52" s="1323">
        <f t="shared" si="26"/>
        <v>4.9679999999999995E-2</v>
      </c>
      <c r="S52" s="1323">
        <f t="shared" si="26"/>
        <v>7.4400000000000008E-2</v>
      </c>
      <c r="T52" s="1323">
        <f t="shared" si="26"/>
        <v>9.287999999999999E-2</v>
      </c>
      <c r="U52" s="1323">
        <f t="shared" si="26"/>
        <v>2.375E-2</v>
      </c>
      <c r="V52" s="1323">
        <f t="shared" si="26"/>
        <v>0.16991999999999999</v>
      </c>
      <c r="W52" s="1323">
        <f t="shared" si="26"/>
        <v>5.6240000000000005E-2</v>
      </c>
      <c r="X52" s="1323">
        <f t="shared" si="26"/>
        <v>0.17150000000000001</v>
      </c>
      <c r="Y52" s="1323">
        <f t="shared" si="26"/>
        <v>0.23789999999999997</v>
      </c>
      <c r="Z52" s="1323">
        <f t="shared" si="26"/>
        <v>0.35520000000000007</v>
      </c>
      <c r="AA52" s="1323">
        <f t="shared" si="26"/>
        <v>0.23532000000000003</v>
      </c>
      <c r="AB52" s="1323">
        <f t="shared" si="26"/>
        <v>0.12875999999999999</v>
      </c>
      <c r="AC52" s="1323">
        <f t="shared" si="26"/>
        <v>0</v>
      </c>
      <c r="AD52" s="1323">
        <f t="shared" si="26"/>
        <v>0</v>
      </c>
      <c r="AE52" s="1323">
        <f t="shared" si="26"/>
        <v>8.3519999999999997E-2</v>
      </c>
      <c r="AF52" s="1323">
        <f t="shared" si="26"/>
        <v>0.24612000000000001</v>
      </c>
      <c r="AG52" s="1323">
        <f t="shared" si="26"/>
        <v>6.7920000000000008E-2</v>
      </c>
      <c r="AH52" s="1323">
        <f t="shared" si="26"/>
        <v>0</v>
      </c>
      <c r="AI52" s="1323">
        <f t="shared" si="26"/>
        <v>0</v>
      </c>
      <c r="AJ52" s="1323">
        <f t="shared" si="26"/>
        <v>0</v>
      </c>
      <c r="AK52" s="1323">
        <f t="shared" si="26"/>
        <v>0.20376</v>
      </c>
      <c r="AL52" s="1323">
        <f t="shared" si="26"/>
        <v>0</v>
      </c>
      <c r="AM52" s="1079"/>
    </row>
    <row r="53" spans="2:39" s="1069" customFormat="1" ht="14.85" customHeight="1" x14ac:dyDescent="0.25">
      <c r="B53" s="1608">
        <v>1</v>
      </c>
      <c r="C53" s="1661" t="str">
        <f>[2]Stoping!C67</f>
        <v>5L_W12 STOPE</v>
      </c>
      <c r="D53" s="1611" t="s">
        <v>340</v>
      </c>
      <c r="E53" s="1070" t="s">
        <v>341</v>
      </c>
      <c r="F53" s="196">
        <f t="shared" si="25"/>
        <v>1610</v>
      </c>
      <c r="G53" s="1071"/>
      <c r="H53" s="198">
        <f>[2]Stoping!H67</f>
        <v>0</v>
      </c>
      <c r="I53" s="198">
        <f>[2]Stoping!I67</f>
        <v>0</v>
      </c>
      <c r="J53" s="198">
        <f>[2]Stoping!J67</f>
        <v>0</v>
      </c>
      <c r="K53" s="199">
        <f>[2]Stoping!K67</f>
        <v>0</v>
      </c>
      <c r="L53" s="199">
        <f>[2]Stoping!L67</f>
        <v>0</v>
      </c>
      <c r="M53" s="199">
        <f>[2]Stoping!M67</f>
        <v>0</v>
      </c>
      <c r="N53" s="199">
        <f>[2]Stoping!N67</f>
        <v>0</v>
      </c>
      <c r="O53" s="199">
        <f>[2]Stoping!O67</f>
        <v>70</v>
      </c>
      <c r="P53" s="200">
        <f>[2]Stoping!P67</f>
        <v>70</v>
      </c>
      <c r="Q53" s="199">
        <f>[2]Stoping!Q67</f>
        <v>70</v>
      </c>
      <c r="R53" s="199">
        <f>[2]Stoping!R67</f>
        <v>70</v>
      </c>
      <c r="S53" s="199">
        <f>[2]Stoping!S67</f>
        <v>70</v>
      </c>
      <c r="T53" s="199">
        <f>[2]Stoping!T67</f>
        <v>70</v>
      </c>
      <c r="U53" s="199">
        <f>[2]Stoping!U67</f>
        <v>70</v>
      </c>
      <c r="V53" s="199">
        <f>[2]Stoping!V67</f>
        <v>70</v>
      </c>
      <c r="W53" s="199">
        <f>[2]Stoping!W67</f>
        <v>70</v>
      </c>
      <c r="X53" s="199">
        <f>[2]Stoping!X67</f>
        <v>70</v>
      </c>
      <c r="Y53" s="199">
        <f>[2]Stoping!Y67</f>
        <v>70</v>
      </c>
      <c r="Z53" s="199">
        <f>[2]Stoping!Z67</f>
        <v>70</v>
      </c>
      <c r="AA53" s="199">
        <f>[2]Stoping!AA67</f>
        <v>70</v>
      </c>
      <c r="AB53" s="199">
        <f>[2]Stoping!AB67</f>
        <v>70</v>
      </c>
      <c r="AC53" s="199">
        <f>[2]Stoping!AC67</f>
        <v>70</v>
      </c>
      <c r="AD53" s="199">
        <f>[2]Stoping!AD67</f>
        <v>70</v>
      </c>
      <c r="AE53" s="199">
        <f>[2]Stoping!AE67</f>
        <v>70</v>
      </c>
      <c r="AF53" s="199">
        <f>[2]Stoping!AF67</f>
        <v>70</v>
      </c>
      <c r="AG53" s="199">
        <f>[2]Stoping!AG67</f>
        <v>70</v>
      </c>
      <c r="AH53" s="199">
        <f>[2]Stoping!AH67</f>
        <v>70</v>
      </c>
      <c r="AI53" s="199">
        <f>[2]Stoping!AI67</f>
        <v>70</v>
      </c>
      <c r="AJ53" s="199">
        <f>[2]Stoping!AJ67</f>
        <v>70</v>
      </c>
      <c r="AK53" s="199">
        <f>[2]Stoping!AK67</f>
        <v>70</v>
      </c>
      <c r="AL53" s="201">
        <f>[2]Stoping!AL60</f>
        <v>0</v>
      </c>
      <c r="AM53" s="1072"/>
    </row>
    <row r="54" spans="2:39" x14ac:dyDescent="0.25">
      <c r="B54" s="1607"/>
      <c r="C54" s="1662"/>
      <c r="D54" s="1610"/>
      <c r="E54" s="1302" t="s">
        <v>342</v>
      </c>
      <c r="F54" s="1303">
        <f t="shared" si="25"/>
        <v>874</v>
      </c>
      <c r="G54" s="1304">
        <f t="shared" ref="G54" si="28">IFERROR((F54-F53)/F53,0)</f>
        <v>-0.45714285714285713</v>
      </c>
      <c r="H54" s="1305"/>
      <c r="I54" s="1303"/>
      <c r="J54" s="1303"/>
      <c r="K54" s="1303"/>
      <c r="L54" s="1303"/>
      <c r="M54" s="1303"/>
      <c r="N54" s="1303"/>
      <c r="O54" s="1303">
        <v>0</v>
      </c>
      <c r="P54" s="1303"/>
      <c r="Q54" s="1303"/>
      <c r="R54" s="1303"/>
      <c r="S54" s="1303"/>
      <c r="T54" s="1303">
        <v>90</v>
      </c>
      <c r="U54" s="1303">
        <v>20</v>
      </c>
      <c r="V54" s="1303">
        <f>105</f>
        <v>105</v>
      </c>
      <c r="W54" s="1303">
        <f>57+32+15</f>
        <v>104</v>
      </c>
      <c r="X54" s="1303">
        <v>104</v>
      </c>
      <c r="Y54" s="1303">
        <f>106+7</f>
        <v>113</v>
      </c>
      <c r="Z54" s="1303">
        <v>78</v>
      </c>
      <c r="AA54" s="1303">
        <v>0</v>
      </c>
      <c r="AB54" s="1303">
        <v>0</v>
      </c>
      <c r="AC54" s="1303">
        <f>58</f>
        <v>58</v>
      </c>
      <c r="AD54" s="1303">
        <v>99</v>
      </c>
      <c r="AE54" s="1303">
        <v>76</v>
      </c>
      <c r="AF54" s="1303">
        <v>27</v>
      </c>
      <c r="AG54" s="1303"/>
      <c r="AH54" s="1303"/>
      <c r="AI54" s="1303"/>
      <c r="AJ54" s="1303"/>
      <c r="AK54" s="1303"/>
      <c r="AL54" s="1303"/>
      <c r="AM54" s="1074"/>
    </row>
    <row r="55" spans="2:39" x14ac:dyDescent="0.25">
      <c r="B55" s="1607"/>
      <c r="C55" s="1662"/>
      <c r="D55" s="1610"/>
      <c r="E55" s="1324" t="s">
        <v>312</v>
      </c>
      <c r="F55" s="1307"/>
      <c r="G55" s="1308"/>
      <c r="H55" s="1075"/>
      <c r="I55" s="1075"/>
      <c r="J55" s="1075"/>
      <c r="K55" s="1075"/>
      <c r="L55" s="1075"/>
      <c r="M55" s="1075"/>
      <c r="N55" s="1075"/>
      <c r="O55" s="1075"/>
      <c r="P55" s="1076"/>
      <c r="Q55" s="1075"/>
      <c r="R55" s="1075"/>
      <c r="S55" s="1075"/>
      <c r="T55" s="1075"/>
      <c r="U55" s="1075"/>
      <c r="V55" s="1075"/>
      <c r="W55" s="1075"/>
      <c r="X55" s="1075"/>
      <c r="Y55" s="1075"/>
      <c r="Z55" s="1075"/>
      <c r="AA55" s="1075"/>
      <c r="AB55" s="1075"/>
      <c r="AC55" s="1075"/>
      <c r="AD55" s="1075"/>
      <c r="AE55" s="1075"/>
      <c r="AF55" s="1075"/>
      <c r="AG55" s="1075"/>
      <c r="AH55" s="1075"/>
      <c r="AI55" s="1075"/>
      <c r="AJ55" s="1075"/>
      <c r="AK55" s="1075"/>
      <c r="AL55" s="1077"/>
      <c r="AM55" s="1074"/>
    </row>
    <row r="56" spans="2:39" x14ac:dyDescent="0.25">
      <c r="B56" s="1607"/>
      <c r="C56" s="1662"/>
      <c r="D56" s="1612" t="s">
        <v>343</v>
      </c>
      <c r="E56" s="1309" t="s">
        <v>344</v>
      </c>
      <c r="F56" s="1310">
        <f t="shared" ref="F56" si="29">IFERROR(F58*1000/F53,0)</f>
        <v>2.1808695652173924</v>
      </c>
      <c r="G56" s="1311"/>
      <c r="H56" s="1312">
        <f>[2]Stoping!H70</f>
        <v>0</v>
      </c>
      <c r="I56" s="1312">
        <f>[2]Stoping!I70</f>
        <v>0</v>
      </c>
      <c r="J56" s="1312">
        <f>[2]Stoping!J70</f>
        <v>0</v>
      </c>
      <c r="K56" s="1333">
        <f>[2]Stoping!K70</f>
        <v>0</v>
      </c>
      <c r="L56" s="1333">
        <f>[2]Stoping!L70</f>
        <v>0</v>
      </c>
      <c r="M56" s="1333">
        <f>[2]Stoping!M70</f>
        <v>0</v>
      </c>
      <c r="N56" s="1333">
        <f>[2]Stoping!N70</f>
        <v>0</v>
      </c>
      <c r="O56" s="1333">
        <f>[2]Stoping!O70</f>
        <v>2.2799999999999998</v>
      </c>
      <c r="P56" s="1334">
        <f>[2]Stoping!P70</f>
        <v>2.2799999999999998</v>
      </c>
      <c r="Q56" s="1333">
        <f>[2]Stoping!Q70</f>
        <v>2.2799999999999998</v>
      </c>
      <c r="R56" s="1333">
        <f>[2]Stoping!R70</f>
        <v>2.2799999999999998</v>
      </c>
      <c r="S56" s="1333">
        <f>[2]Stoping!S70</f>
        <v>2.2799999999999998</v>
      </c>
      <c r="T56" s="1333">
        <f>[2]Stoping!T70</f>
        <v>2.2799999999999998</v>
      </c>
      <c r="U56" s="1333">
        <f>[2]Stoping!U70</f>
        <v>2.2799999999999998</v>
      </c>
      <c r="V56" s="1333">
        <f>[2]Stoping!V70</f>
        <v>2.2799999999999998</v>
      </c>
      <c r="W56" s="1333">
        <f>[2]Stoping!W70</f>
        <v>2.2799999999999998</v>
      </c>
      <c r="X56" s="1333">
        <f>[2]Stoping!X70</f>
        <v>2.2799999999999998</v>
      </c>
      <c r="Y56" s="1333">
        <f>[2]Stoping!Y70</f>
        <v>2.2799999999999998</v>
      </c>
      <c r="Z56" s="1333">
        <f>[2]Stoping!Z70</f>
        <v>2.2799999999999998</v>
      </c>
      <c r="AA56" s="1333">
        <f>[2]Stoping!AA70</f>
        <v>2.2799999999999998</v>
      </c>
      <c r="AB56" s="1333">
        <f>[2]Stoping!AB70</f>
        <v>2.2799999999999998</v>
      </c>
      <c r="AC56" s="1333">
        <f>[2]Stoping!AC70</f>
        <v>2.2799999999999998</v>
      </c>
      <c r="AD56" s="1333">
        <f>[2]Stoping!AD70</f>
        <v>2.2799999999999998</v>
      </c>
      <c r="AE56" s="1333">
        <f>[2]Stoping!AE70</f>
        <v>2.2799999999999998</v>
      </c>
      <c r="AF56" s="1333">
        <f>[2]Stoping!AF70</f>
        <v>2.2799999999999998</v>
      </c>
      <c r="AG56" s="1333">
        <f>[2]Stoping!AG70</f>
        <v>2.2799999999999998</v>
      </c>
      <c r="AH56" s="1333">
        <f>[2]Stoping!AH70</f>
        <v>2.2799999999999998</v>
      </c>
      <c r="AI56" s="1333">
        <f>[2]Stoping!AI70</f>
        <v>2.2799999999999998</v>
      </c>
      <c r="AJ56" s="1333">
        <f>[2]Stoping!AJ70</f>
        <v>2.2799999999999998</v>
      </c>
      <c r="AK56" s="1333">
        <f>[2]Stoping!AK70</f>
        <v>2.2799999999999998</v>
      </c>
      <c r="AL56" s="1335">
        <f>[2]Stoping!AL63</f>
        <v>0</v>
      </c>
      <c r="AM56" s="1074"/>
    </row>
    <row r="57" spans="2:39" x14ac:dyDescent="0.25">
      <c r="B57" s="1607"/>
      <c r="C57" s="1662"/>
      <c r="D57" s="1664"/>
      <c r="E57" s="1313" t="s">
        <v>345</v>
      </c>
      <c r="F57" s="1314">
        <f>IFERROR(F59*1000/F54,0)</f>
        <v>1.4168878718535465</v>
      </c>
      <c r="G57" s="1304">
        <f t="shared" ref="G57" si="30">IFERROR((F57-F56)/F56,0)</f>
        <v>-0.35031058507512852</v>
      </c>
      <c r="H57" s="1315"/>
      <c r="I57" s="1314"/>
      <c r="J57" s="1314"/>
      <c r="K57" s="1314"/>
      <c r="L57" s="1314"/>
      <c r="M57" s="1314"/>
      <c r="N57" s="1314"/>
      <c r="O57" s="1314"/>
      <c r="P57" s="1314"/>
      <c r="Q57" s="1314"/>
      <c r="R57" s="1314"/>
      <c r="S57" s="1314"/>
      <c r="T57" s="1314">
        <v>2.0499999999999998</v>
      </c>
      <c r="U57" s="1314">
        <v>2.0499999999999998</v>
      </c>
      <c r="V57" s="1314">
        <v>2.0499999999999998</v>
      </c>
      <c r="W57" s="1314">
        <v>2.0499999999999998</v>
      </c>
      <c r="X57" s="1314">
        <v>1.19</v>
      </c>
      <c r="Y57" s="1314">
        <v>1.19</v>
      </c>
      <c r="Z57" s="1314">
        <v>1.19</v>
      </c>
      <c r="AA57" s="1314">
        <v>1.19</v>
      </c>
      <c r="AB57" s="1314"/>
      <c r="AC57" s="1314">
        <v>0.85</v>
      </c>
      <c r="AD57" s="1314">
        <v>0.85</v>
      </c>
      <c r="AE57" s="1314">
        <v>0.97</v>
      </c>
      <c r="AF57" s="1314">
        <v>0.97</v>
      </c>
      <c r="AG57" s="1314"/>
      <c r="AH57" s="1314"/>
      <c r="AI57" s="1314"/>
      <c r="AJ57" s="1314"/>
      <c r="AK57" s="1314"/>
      <c r="AL57" s="1314"/>
      <c r="AM57" s="1074"/>
    </row>
    <row r="58" spans="2:39" x14ac:dyDescent="0.25">
      <c r="B58" s="1607"/>
      <c r="C58" s="1662"/>
      <c r="D58" s="1612" t="s">
        <v>47</v>
      </c>
      <c r="E58" s="1309" t="s">
        <v>346</v>
      </c>
      <c r="F58" s="206">
        <f t="shared" ref="F58:F68" si="31">SUMIF($H$9:$AL$9,"&lt;="&amp;$C$7,H58:AL58)</f>
        <v>3.5112000000000014</v>
      </c>
      <c r="G58" s="1311"/>
      <c r="H58" s="1316">
        <v>0</v>
      </c>
      <c r="I58" s="1316">
        <f t="shared" ref="I58:AL59" si="32">+I56*I53/1000</f>
        <v>0</v>
      </c>
      <c r="J58" s="1316">
        <f t="shared" si="32"/>
        <v>0</v>
      </c>
      <c r="K58" s="1316">
        <f t="shared" si="32"/>
        <v>0</v>
      </c>
      <c r="L58" s="1316">
        <f t="shared" si="32"/>
        <v>0</v>
      </c>
      <c r="M58" s="1316">
        <f t="shared" si="32"/>
        <v>0</v>
      </c>
      <c r="N58" s="1316">
        <f t="shared" si="32"/>
        <v>0</v>
      </c>
      <c r="O58" s="1316">
        <f t="shared" si="32"/>
        <v>0.15959999999999999</v>
      </c>
      <c r="P58" s="1316">
        <f t="shared" si="32"/>
        <v>0.15959999999999999</v>
      </c>
      <c r="Q58" s="1316">
        <f t="shared" si="32"/>
        <v>0.15959999999999999</v>
      </c>
      <c r="R58" s="1316">
        <f t="shared" si="32"/>
        <v>0.15959999999999999</v>
      </c>
      <c r="S58" s="1316">
        <f t="shared" si="32"/>
        <v>0.15959999999999999</v>
      </c>
      <c r="T58" s="1316">
        <f t="shared" si="32"/>
        <v>0.15959999999999999</v>
      </c>
      <c r="U58" s="1316">
        <f t="shared" si="32"/>
        <v>0.15959999999999999</v>
      </c>
      <c r="V58" s="1316">
        <f t="shared" si="32"/>
        <v>0.15959999999999999</v>
      </c>
      <c r="W58" s="1316">
        <f t="shared" si="32"/>
        <v>0.15959999999999999</v>
      </c>
      <c r="X58" s="1316">
        <f t="shared" si="32"/>
        <v>0.15959999999999999</v>
      </c>
      <c r="Y58" s="1316">
        <f t="shared" si="32"/>
        <v>0.15959999999999999</v>
      </c>
      <c r="Z58" s="1316">
        <f t="shared" si="32"/>
        <v>0.15959999999999999</v>
      </c>
      <c r="AA58" s="1316">
        <f t="shared" si="32"/>
        <v>0.15959999999999999</v>
      </c>
      <c r="AB58" s="1316">
        <f t="shared" si="32"/>
        <v>0.15959999999999999</v>
      </c>
      <c r="AC58" s="1316">
        <f t="shared" si="32"/>
        <v>0.15959999999999999</v>
      </c>
      <c r="AD58" s="1316">
        <f t="shared" si="32"/>
        <v>0.15959999999999999</v>
      </c>
      <c r="AE58" s="1316">
        <f t="shared" si="32"/>
        <v>0.15959999999999999</v>
      </c>
      <c r="AF58" s="1316">
        <f t="shared" si="32"/>
        <v>0.15959999999999999</v>
      </c>
      <c r="AG58" s="1316" t="s">
        <v>362</v>
      </c>
      <c r="AH58" s="1316">
        <f t="shared" si="32"/>
        <v>0.15959999999999999</v>
      </c>
      <c r="AI58" s="1316">
        <f t="shared" si="32"/>
        <v>0.15959999999999999</v>
      </c>
      <c r="AJ58" s="1316">
        <f t="shared" si="32"/>
        <v>0.15959999999999999</v>
      </c>
      <c r="AK58" s="1316">
        <f t="shared" si="32"/>
        <v>0.15959999999999999</v>
      </c>
      <c r="AL58" s="1316">
        <f t="shared" si="32"/>
        <v>0</v>
      </c>
      <c r="AM58" s="1078"/>
    </row>
    <row r="59" spans="2:39" ht="14.25" thickBot="1" x14ac:dyDescent="0.3">
      <c r="B59" s="1660"/>
      <c r="C59" s="1663"/>
      <c r="D59" s="1665"/>
      <c r="E59" s="1320" t="s">
        <v>347</v>
      </c>
      <c r="F59" s="1321">
        <f t="shared" si="31"/>
        <v>1.2383599999999997</v>
      </c>
      <c r="G59" s="1322">
        <f t="shared" ref="G59" si="33">IFERROR((F59-F58)/F58,0)</f>
        <v>-0.64731146046935539</v>
      </c>
      <c r="H59" s="1323">
        <f t="shared" ref="H59" si="34">+H57*H54/1000</f>
        <v>0</v>
      </c>
      <c r="I59" s="1323">
        <f t="shared" si="32"/>
        <v>0</v>
      </c>
      <c r="J59" s="1323">
        <f t="shared" si="32"/>
        <v>0</v>
      </c>
      <c r="K59" s="1323">
        <f t="shared" si="32"/>
        <v>0</v>
      </c>
      <c r="L59" s="1323">
        <f t="shared" si="32"/>
        <v>0</v>
      </c>
      <c r="M59" s="1323">
        <f t="shared" si="32"/>
        <v>0</v>
      </c>
      <c r="N59" s="1323">
        <f t="shared" si="32"/>
        <v>0</v>
      </c>
      <c r="O59" s="1323">
        <f t="shared" si="32"/>
        <v>0</v>
      </c>
      <c r="P59" s="1323">
        <f t="shared" si="32"/>
        <v>0</v>
      </c>
      <c r="Q59" s="1323">
        <f t="shared" si="32"/>
        <v>0</v>
      </c>
      <c r="R59" s="1323">
        <f t="shared" si="32"/>
        <v>0</v>
      </c>
      <c r="S59" s="1323">
        <f t="shared" si="32"/>
        <v>0</v>
      </c>
      <c r="T59" s="1323">
        <f t="shared" si="32"/>
        <v>0.18449999999999997</v>
      </c>
      <c r="U59" s="1323">
        <f t="shared" si="32"/>
        <v>4.1000000000000002E-2</v>
      </c>
      <c r="V59" s="1323">
        <f t="shared" si="32"/>
        <v>0.21524999999999997</v>
      </c>
      <c r="W59" s="1323">
        <f t="shared" si="32"/>
        <v>0.2132</v>
      </c>
      <c r="X59" s="1323">
        <f t="shared" si="32"/>
        <v>0.12376</v>
      </c>
      <c r="Y59" s="1323">
        <f t="shared" si="32"/>
        <v>0.13447000000000001</v>
      </c>
      <c r="Z59" s="1323">
        <f t="shared" si="32"/>
        <v>9.282E-2</v>
      </c>
      <c r="AA59" s="1323">
        <f t="shared" si="32"/>
        <v>0</v>
      </c>
      <c r="AB59" s="1323">
        <f t="shared" si="32"/>
        <v>0</v>
      </c>
      <c r="AC59" s="1323">
        <f t="shared" si="32"/>
        <v>4.9299999999999997E-2</v>
      </c>
      <c r="AD59" s="1323">
        <f t="shared" si="32"/>
        <v>8.4149999999999989E-2</v>
      </c>
      <c r="AE59" s="1323">
        <f t="shared" si="32"/>
        <v>7.3719999999999994E-2</v>
      </c>
      <c r="AF59" s="1323">
        <f t="shared" si="32"/>
        <v>2.6189999999999998E-2</v>
      </c>
      <c r="AG59" s="1323">
        <f t="shared" si="32"/>
        <v>0</v>
      </c>
      <c r="AH59" s="1323">
        <f t="shared" si="32"/>
        <v>0</v>
      </c>
      <c r="AI59" s="1323">
        <f t="shared" si="32"/>
        <v>0</v>
      </c>
      <c r="AJ59" s="1323">
        <f t="shared" si="32"/>
        <v>0</v>
      </c>
      <c r="AK59" s="1323">
        <f t="shared" si="32"/>
        <v>0</v>
      </c>
      <c r="AL59" s="1323">
        <f t="shared" si="32"/>
        <v>0</v>
      </c>
      <c r="AM59" s="1079"/>
    </row>
    <row r="60" spans="2:39" s="1069" customFormat="1" x14ac:dyDescent="0.25">
      <c r="B60" s="1666">
        <v>2</v>
      </c>
      <c r="C60" s="1669" t="str">
        <f>[2]Stoping!C74</f>
        <v>5L_W8 STOPE</v>
      </c>
      <c r="D60" s="1611" t="s">
        <v>340</v>
      </c>
      <c r="E60" s="1070" t="s">
        <v>341</v>
      </c>
      <c r="F60" s="196">
        <f>SUMIF($H$9:$AL$9,"&lt;="&amp;$C$7,H60:AL60)</f>
        <v>0</v>
      </c>
      <c r="G60" s="1071"/>
      <c r="H60" s="198">
        <f>[2]Stoping!H74</f>
        <v>0</v>
      </c>
      <c r="I60" s="198">
        <f>[2]Stoping!I74</f>
        <v>0</v>
      </c>
      <c r="J60" s="198">
        <f>[2]Stoping!J74</f>
        <v>0</v>
      </c>
      <c r="K60" s="199">
        <f>[2]Stoping!K74</f>
        <v>0</v>
      </c>
      <c r="L60" s="199">
        <f>[2]Stoping!L74</f>
        <v>0</v>
      </c>
      <c r="M60" s="199">
        <f>[2]Stoping!M74</f>
        <v>0</v>
      </c>
      <c r="N60" s="199">
        <f>[2]Stoping!N74</f>
        <v>0</v>
      </c>
      <c r="O60" s="199">
        <f>[2]Stoping!O74</f>
        <v>0</v>
      </c>
      <c r="P60" s="200">
        <f>[2]Stoping!P74</f>
        <v>0</v>
      </c>
      <c r="Q60" s="199">
        <f>[2]Stoping!Q74</f>
        <v>0</v>
      </c>
      <c r="R60" s="199">
        <f>[2]Stoping!R74</f>
        <v>0</v>
      </c>
      <c r="S60" s="199">
        <f>[2]Stoping!S74</f>
        <v>0</v>
      </c>
      <c r="T60" s="199">
        <f>[2]Stoping!T74</f>
        <v>0</v>
      </c>
      <c r="U60" s="199">
        <f>[2]Stoping!U74</f>
        <v>0</v>
      </c>
      <c r="V60" s="199">
        <f>[2]Stoping!V74</f>
        <v>0</v>
      </c>
      <c r="W60" s="199">
        <f>[2]Stoping!W74</f>
        <v>0</v>
      </c>
      <c r="X60" s="199">
        <f>[2]Stoping!X74</f>
        <v>0</v>
      </c>
      <c r="Y60" s="199">
        <f>[2]Stoping!Y74</f>
        <v>0</v>
      </c>
      <c r="Z60" s="199">
        <f>[2]Stoping!Z74</f>
        <v>0</v>
      </c>
      <c r="AA60" s="199">
        <f>[2]Stoping!AA74</f>
        <v>0</v>
      </c>
      <c r="AB60" s="199">
        <f>[2]Stoping!AB74</f>
        <v>0</v>
      </c>
      <c r="AC60" s="199">
        <f>[2]Stoping!AC74</f>
        <v>0</v>
      </c>
      <c r="AD60" s="199">
        <f>[2]Stoping!AD74</f>
        <v>0</v>
      </c>
      <c r="AE60" s="199">
        <f>[2]Stoping!AE74</f>
        <v>0</v>
      </c>
      <c r="AF60" s="199">
        <f>[2]Stoping!AF74</f>
        <v>0</v>
      </c>
      <c r="AG60" s="199">
        <f>[2]Stoping!AG74</f>
        <v>0</v>
      </c>
      <c r="AH60" s="199">
        <f>[2]Stoping!AH74</f>
        <v>0</v>
      </c>
      <c r="AI60" s="199">
        <f>[2]Stoping!AI74</f>
        <v>0</v>
      </c>
      <c r="AJ60" s="199">
        <f>[2]Stoping!AJ74</f>
        <v>0</v>
      </c>
      <c r="AK60" s="199">
        <f>[2]Stoping!AK74</f>
        <v>0</v>
      </c>
      <c r="AL60" s="201">
        <f>[2]Stoping!AL67</f>
        <v>0</v>
      </c>
      <c r="AM60" s="1072"/>
    </row>
    <row r="61" spans="2:39" x14ac:dyDescent="0.25">
      <c r="B61" s="1667"/>
      <c r="C61" s="1670"/>
      <c r="D61" s="1610"/>
      <c r="E61" s="1302" t="s">
        <v>342</v>
      </c>
      <c r="F61" s="1303">
        <f>SUMIF($H$9:$AL$9,"&lt;="&amp;$C$7,H61:AL61)</f>
        <v>1801</v>
      </c>
      <c r="G61" s="1304">
        <f>IFERROR((F61-F60)/F60,0)</f>
        <v>0</v>
      </c>
      <c r="H61" s="1305">
        <v>167</v>
      </c>
      <c r="I61" s="1303">
        <v>109</v>
      </c>
      <c r="J61" s="1303">
        <v>157</v>
      </c>
      <c r="K61" s="1303">
        <v>54</v>
      </c>
      <c r="L61" s="1303">
        <v>72</v>
      </c>
      <c r="M61" s="1303">
        <v>100</v>
      </c>
      <c r="N61" s="1303">
        <v>149</v>
      </c>
      <c r="O61" s="1303">
        <v>0</v>
      </c>
      <c r="P61" s="1303">
        <f>108+29</f>
        <v>137</v>
      </c>
      <c r="Q61" s="1303">
        <v>83</v>
      </c>
      <c r="R61" s="1303">
        <v>100</v>
      </c>
      <c r="S61" s="1303">
        <v>103</v>
      </c>
      <c r="T61" s="1303"/>
      <c r="U61" s="1303">
        <v>90</v>
      </c>
      <c r="V61" s="1303"/>
      <c r="W61" s="1303"/>
      <c r="X61" s="1303"/>
      <c r="Y61" s="1303"/>
      <c r="Z61" s="1303"/>
      <c r="AA61" s="1303">
        <v>57</v>
      </c>
      <c r="AB61" s="1303"/>
      <c r="AC61" s="1303"/>
      <c r="AD61" s="1303">
        <v>78</v>
      </c>
      <c r="AE61" s="1303"/>
      <c r="AF61" s="1303"/>
      <c r="AG61" s="1303"/>
      <c r="AH61" s="1303">
        <v>90</v>
      </c>
      <c r="AI61" s="1303">
        <v>102</v>
      </c>
      <c r="AJ61" s="1303">
        <v>54</v>
      </c>
      <c r="AK61" s="1303">
        <v>99</v>
      </c>
      <c r="AL61" s="1303"/>
      <c r="AM61" s="1074"/>
    </row>
    <row r="62" spans="2:39" x14ac:dyDescent="0.25">
      <c r="B62" s="1667"/>
      <c r="C62" s="1670"/>
      <c r="D62" s="1610"/>
      <c r="E62" s="1324" t="s">
        <v>312</v>
      </c>
      <c r="F62" s="1307"/>
      <c r="G62" s="1308"/>
      <c r="H62" s="1075"/>
      <c r="I62" s="1075"/>
      <c r="J62" s="1075"/>
      <c r="K62" s="1075"/>
      <c r="L62" s="1075"/>
      <c r="M62" s="1075"/>
      <c r="N62" s="1075"/>
      <c r="O62" s="1075"/>
      <c r="P62" s="1076"/>
      <c r="Q62" s="1075"/>
      <c r="R62" s="1075"/>
      <c r="S62" s="1075"/>
      <c r="T62" s="1075"/>
      <c r="U62" s="1075"/>
      <c r="V62" s="1075"/>
      <c r="W62" s="1075"/>
      <c r="X62" s="1075"/>
      <c r="Y62" s="1075"/>
      <c r="Z62" s="1075"/>
      <c r="AA62" s="1075"/>
      <c r="AB62" s="1075"/>
      <c r="AC62" s="1075"/>
      <c r="AD62" s="1075"/>
      <c r="AE62" s="1075"/>
      <c r="AF62" s="1075"/>
      <c r="AG62" s="1075"/>
      <c r="AH62" s="1075"/>
      <c r="AI62" s="1075"/>
      <c r="AJ62" s="1075"/>
      <c r="AK62" s="1075"/>
      <c r="AL62" s="1077"/>
      <c r="AM62" s="1074"/>
    </row>
    <row r="63" spans="2:39" x14ac:dyDescent="0.25">
      <c r="B63" s="1667"/>
      <c r="C63" s="1670"/>
      <c r="D63" s="1612" t="s">
        <v>343</v>
      </c>
      <c r="E63" s="1309" t="s">
        <v>344</v>
      </c>
      <c r="F63" s="1310">
        <f>IFERROR(F65*1000/F60,0)</f>
        <v>0</v>
      </c>
      <c r="G63" s="1311"/>
      <c r="H63" s="1312">
        <f>[2]Stoping!H77</f>
        <v>0</v>
      </c>
      <c r="I63" s="1312">
        <f>[2]Stoping!I77</f>
        <v>0</v>
      </c>
      <c r="J63" s="1312">
        <f>[2]Stoping!J77</f>
        <v>0</v>
      </c>
      <c r="K63" s="1333">
        <f>[2]Stoping!K77</f>
        <v>0</v>
      </c>
      <c r="L63" s="1333">
        <f>[2]Stoping!L77</f>
        <v>0</v>
      </c>
      <c r="M63" s="1333">
        <f>[2]Stoping!M77</f>
        <v>0</v>
      </c>
      <c r="N63" s="1333">
        <f>[2]Stoping!N77</f>
        <v>0</v>
      </c>
      <c r="O63" s="1333">
        <f>[2]Stoping!O77</f>
        <v>0</v>
      </c>
      <c r="P63" s="1334">
        <f>[2]Stoping!P77</f>
        <v>0</v>
      </c>
      <c r="Q63" s="1333">
        <f>[2]Stoping!Q77</f>
        <v>0</v>
      </c>
      <c r="R63" s="1333">
        <f>[2]Stoping!R77</f>
        <v>0</v>
      </c>
      <c r="S63" s="1333">
        <f>[2]Stoping!S77</f>
        <v>0</v>
      </c>
      <c r="T63" s="1333">
        <f>[2]Stoping!T77</f>
        <v>0</v>
      </c>
      <c r="U63" s="1333">
        <f>[2]Stoping!U77</f>
        <v>0</v>
      </c>
      <c r="V63" s="1333">
        <f>[2]Stoping!V77</f>
        <v>0</v>
      </c>
      <c r="W63" s="1333">
        <f>[2]Stoping!W77</f>
        <v>0</v>
      </c>
      <c r="X63" s="1333">
        <f>[2]Stoping!X77</f>
        <v>0</v>
      </c>
      <c r="Y63" s="1333">
        <f>[2]Stoping!Y77</f>
        <v>0</v>
      </c>
      <c r="Z63" s="1333">
        <f>[2]Stoping!Z77</f>
        <v>0</v>
      </c>
      <c r="AA63" s="1333">
        <f>[2]Stoping!AA77</f>
        <v>0</v>
      </c>
      <c r="AB63" s="1333">
        <f>[2]Stoping!AB77</f>
        <v>0</v>
      </c>
      <c r="AC63" s="1333">
        <f>[2]Stoping!AC77</f>
        <v>0</v>
      </c>
      <c r="AD63" s="1333">
        <f>[2]Stoping!AD77</f>
        <v>0</v>
      </c>
      <c r="AE63" s="1333">
        <f>[2]Stoping!AE77</f>
        <v>0</v>
      </c>
      <c r="AF63" s="1333">
        <f>[2]Stoping!AF77</f>
        <v>0</v>
      </c>
      <c r="AG63" s="1333">
        <f>[2]Stoping!AG77</f>
        <v>0</v>
      </c>
      <c r="AH63" s="1333">
        <f>[2]Stoping!AH77</f>
        <v>0</v>
      </c>
      <c r="AI63" s="1333">
        <f>[2]Stoping!AI77</f>
        <v>0</v>
      </c>
      <c r="AJ63" s="1333">
        <f>[2]Stoping!AJ77</f>
        <v>0</v>
      </c>
      <c r="AK63" s="1333">
        <f>[2]Stoping!AK77</f>
        <v>0</v>
      </c>
      <c r="AL63" s="1335">
        <f>[2]Stoping!AL70</f>
        <v>0</v>
      </c>
      <c r="AM63" s="1074"/>
    </row>
    <row r="64" spans="2:39" x14ac:dyDescent="0.25">
      <c r="B64" s="1667"/>
      <c r="C64" s="1670"/>
      <c r="D64" s="1664"/>
      <c r="E64" s="1313" t="s">
        <v>345</v>
      </c>
      <c r="F64" s="1314">
        <f>IFERROR(F66*1000/F61,0)</f>
        <v>2.3008495280399779</v>
      </c>
      <c r="G64" s="1304">
        <f>IFERROR((F64-F63)/F63,0)</f>
        <v>0</v>
      </c>
      <c r="H64" s="1315">
        <v>2.68</v>
      </c>
      <c r="I64" s="1314">
        <v>3.35</v>
      </c>
      <c r="J64" s="1314">
        <v>1.31</v>
      </c>
      <c r="K64" s="1314">
        <v>1.27</v>
      </c>
      <c r="L64" s="1314">
        <v>2.29</v>
      </c>
      <c r="M64" s="1314">
        <v>3.05</v>
      </c>
      <c r="N64" s="1314">
        <v>2.79</v>
      </c>
      <c r="O64" s="1314"/>
      <c r="P64" s="1314">
        <v>2.4500000000000002</v>
      </c>
      <c r="Q64" s="1314">
        <v>1.59</v>
      </c>
      <c r="R64" s="1314">
        <v>1.2</v>
      </c>
      <c r="S64" s="1314">
        <v>2.15</v>
      </c>
      <c r="T64" s="1314"/>
      <c r="U64" s="1314">
        <v>0.16</v>
      </c>
      <c r="V64" s="1314"/>
      <c r="W64" s="1314"/>
      <c r="X64" s="1314"/>
      <c r="Y64" s="1314"/>
      <c r="Z64" s="1314"/>
      <c r="AA64" s="1314">
        <v>2.0299999999999998</v>
      </c>
      <c r="AB64" s="1314"/>
      <c r="AC64" s="1314"/>
      <c r="AD64" s="1314">
        <v>2.0299999999999998</v>
      </c>
      <c r="AE64" s="1314"/>
      <c r="AF64" s="1314"/>
      <c r="AG64" s="1314"/>
      <c r="AH64" s="1314">
        <v>2.99</v>
      </c>
      <c r="AI64" s="1314">
        <v>3.47</v>
      </c>
      <c r="AJ64" s="1314">
        <v>3.47</v>
      </c>
      <c r="AK64" s="1314">
        <v>2.66</v>
      </c>
      <c r="AL64" s="1314"/>
      <c r="AM64" s="1074"/>
    </row>
    <row r="65" spans="2:39" x14ac:dyDescent="0.25">
      <c r="B65" s="1667"/>
      <c r="C65" s="1670"/>
      <c r="D65" s="1612" t="s">
        <v>47</v>
      </c>
      <c r="E65" s="1309" t="s">
        <v>346</v>
      </c>
      <c r="F65" s="206">
        <f>SUMIF($H$9:$AL$9,"&lt;="&amp;$C$7,H65:AL65)</f>
        <v>0</v>
      </c>
      <c r="G65" s="1311"/>
      <c r="H65" s="1316">
        <v>0</v>
      </c>
      <c r="I65" s="1316">
        <f t="shared" ref="I65:AF66" si="35">+I63*I60/1000</f>
        <v>0</v>
      </c>
      <c r="J65" s="1316">
        <f t="shared" si="35"/>
        <v>0</v>
      </c>
      <c r="K65" s="1316">
        <f t="shared" si="35"/>
        <v>0</v>
      </c>
      <c r="L65" s="1316">
        <f t="shared" si="35"/>
        <v>0</v>
      </c>
      <c r="M65" s="1316">
        <f t="shared" si="35"/>
        <v>0</v>
      </c>
      <c r="N65" s="1316">
        <f t="shared" si="35"/>
        <v>0</v>
      </c>
      <c r="O65" s="1316">
        <f t="shared" si="35"/>
        <v>0</v>
      </c>
      <c r="P65" s="1316">
        <f t="shared" si="35"/>
        <v>0</v>
      </c>
      <c r="Q65" s="1316">
        <f t="shared" si="35"/>
        <v>0</v>
      </c>
      <c r="R65" s="1316">
        <f t="shared" si="35"/>
        <v>0</v>
      </c>
      <c r="S65" s="1316">
        <f t="shared" si="35"/>
        <v>0</v>
      </c>
      <c r="T65" s="1316">
        <f t="shared" si="35"/>
        <v>0</v>
      </c>
      <c r="U65" s="1316">
        <f t="shared" si="35"/>
        <v>0</v>
      </c>
      <c r="V65" s="1316">
        <f t="shared" si="35"/>
        <v>0</v>
      </c>
      <c r="W65" s="1316">
        <f t="shared" si="35"/>
        <v>0</v>
      </c>
      <c r="X65" s="1316">
        <f t="shared" si="35"/>
        <v>0</v>
      </c>
      <c r="Y65" s="1316">
        <f t="shared" si="35"/>
        <v>0</v>
      </c>
      <c r="Z65" s="1316">
        <f t="shared" si="35"/>
        <v>0</v>
      </c>
      <c r="AA65" s="1316">
        <f t="shared" si="35"/>
        <v>0</v>
      </c>
      <c r="AB65" s="1316">
        <f t="shared" si="35"/>
        <v>0</v>
      </c>
      <c r="AC65" s="1316">
        <f t="shared" si="35"/>
        <v>0</v>
      </c>
      <c r="AD65" s="1316">
        <f t="shared" si="35"/>
        <v>0</v>
      </c>
      <c r="AE65" s="1316">
        <f t="shared" si="35"/>
        <v>0</v>
      </c>
      <c r="AF65" s="1316">
        <f t="shared" si="35"/>
        <v>0</v>
      </c>
      <c r="AG65" s="1316" t="s">
        <v>362</v>
      </c>
      <c r="AH65" s="1316">
        <f t="shared" ref="AH65:AL66" si="36">+AH63*AH60/1000</f>
        <v>0</v>
      </c>
      <c r="AI65" s="1316">
        <f t="shared" si="36"/>
        <v>0</v>
      </c>
      <c r="AJ65" s="1316">
        <f t="shared" si="36"/>
        <v>0</v>
      </c>
      <c r="AK65" s="1316">
        <f t="shared" si="36"/>
        <v>0</v>
      </c>
      <c r="AL65" s="1316">
        <f t="shared" si="36"/>
        <v>0</v>
      </c>
      <c r="AM65" s="1078"/>
    </row>
    <row r="66" spans="2:39" ht="14.25" thickBot="1" x14ac:dyDescent="0.3">
      <c r="B66" s="1668"/>
      <c r="C66" s="1671"/>
      <c r="D66" s="1665"/>
      <c r="E66" s="1320" t="s">
        <v>347</v>
      </c>
      <c r="F66" s="1321">
        <f>SUMIF($H$9:$AL$9,"&lt;="&amp;$C$7,H66:AL66)</f>
        <v>4.1438300000000003</v>
      </c>
      <c r="G66" s="1322">
        <f>IFERROR((F66-F65)/F65,0)</f>
        <v>0</v>
      </c>
      <c r="H66" s="1323">
        <f>+H64*H61/1000</f>
        <v>0.44756000000000001</v>
      </c>
      <c r="I66" s="1323">
        <f t="shared" si="35"/>
        <v>0.36515000000000003</v>
      </c>
      <c r="J66" s="1323">
        <f t="shared" si="35"/>
        <v>0.20567000000000002</v>
      </c>
      <c r="K66" s="1323">
        <f t="shared" si="35"/>
        <v>6.8580000000000002E-2</v>
      </c>
      <c r="L66" s="1323">
        <f t="shared" si="35"/>
        <v>0.16488</v>
      </c>
      <c r="M66" s="1323">
        <f t="shared" si="35"/>
        <v>0.30499999999999999</v>
      </c>
      <c r="N66" s="1323">
        <f t="shared" si="35"/>
        <v>0.41570999999999997</v>
      </c>
      <c r="O66" s="1323">
        <f t="shared" si="35"/>
        <v>0</v>
      </c>
      <c r="P66" s="1323">
        <f t="shared" si="35"/>
        <v>0.33565000000000006</v>
      </c>
      <c r="Q66" s="1323">
        <f t="shared" si="35"/>
        <v>0.13197</v>
      </c>
      <c r="R66" s="1323">
        <f t="shared" si="35"/>
        <v>0.12</v>
      </c>
      <c r="S66" s="1323">
        <f t="shared" si="35"/>
        <v>0.22144999999999998</v>
      </c>
      <c r="T66" s="1323">
        <f t="shared" si="35"/>
        <v>0</v>
      </c>
      <c r="U66" s="1323">
        <f t="shared" si="35"/>
        <v>1.44E-2</v>
      </c>
      <c r="V66" s="1323">
        <f t="shared" si="35"/>
        <v>0</v>
      </c>
      <c r="W66" s="1323">
        <f t="shared" si="35"/>
        <v>0</v>
      </c>
      <c r="X66" s="1323">
        <f t="shared" si="35"/>
        <v>0</v>
      </c>
      <c r="Y66" s="1323">
        <f t="shared" si="35"/>
        <v>0</v>
      </c>
      <c r="Z66" s="1323">
        <f t="shared" si="35"/>
        <v>0</v>
      </c>
      <c r="AA66" s="1323">
        <f t="shared" si="35"/>
        <v>0.11570999999999999</v>
      </c>
      <c r="AB66" s="1323">
        <f t="shared" si="35"/>
        <v>0</v>
      </c>
      <c r="AC66" s="1323">
        <f t="shared" si="35"/>
        <v>0</v>
      </c>
      <c r="AD66" s="1323">
        <f t="shared" si="35"/>
        <v>0.15833999999999998</v>
      </c>
      <c r="AE66" s="1323">
        <f t="shared" si="35"/>
        <v>0</v>
      </c>
      <c r="AF66" s="1323">
        <f t="shared" si="35"/>
        <v>0</v>
      </c>
      <c r="AG66" s="1323">
        <f>+AG64*AG61/1000</f>
        <v>0</v>
      </c>
      <c r="AH66" s="1323">
        <f t="shared" si="36"/>
        <v>0.26910000000000001</v>
      </c>
      <c r="AI66" s="1323">
        <f t="shared" si="36"/>
        <v>0.35393999999999998</v>
      </c>
      <c r="AJ66" s="1323">
        <f t="shared" si="36"/>
        <v>0.18738000000000002</v>
      </c>
      <c r="AK66" s="1323">
        <f t="shared" si="36"/>
        <v>0.26334000000000002</v>
      </c>
      <c r="AL66" s="1323">
        <f t="shared" si="36"/>
        <v>0</v>
      </c>
      <c r="AM66" s="1079"/>
    </row>
    <row r="67" spans="2:39" s="1069" customFormat="1" ht="14.85" customHeight="1" x14ac:dyDescent="0.25">
      <c r="B67" s="1608">
        <v>1</v>
      </c>
      <c r="C67" s="1661" t="str">
        <f>[2]Stoping!C81</f>
        <v>6L_E1 STOPE</v>
      </c>
      <c r="D67" s="1611" t="s">
        <v>340</v>
      </c>
      <c r="E67" s="1070" t="s">
        <v>341</v>
      </c>
      <c r="F67" s="196">
        <f t="shared" si="31"/>
        <v>1050</v>
      </c>
      <c r="G67" s="1071"/>
      <c r="H67" s="198">
        <f>[2]Stoping!H81</f>
        <v>35</v>
      </c>
      <c r="I67" s="198">
        <f>[2]Stoping!I81</f>
        <v>35</v>
      </c>
      <c r="J67" s="198">
        <f>[2]Stoping!J81</f>
        <v>35</v>
      </c>
      <c r="K67" s="199">
        <f>[2]Stoping!K81</f>
        <v>35</v>
      </c>
      <c r="L67" s="199">
        <f>[2]Stoping!L81</f>
        <v>35</v>
      </c>
      <c r="M67" s="199">
        <f>[2]Stoping!M81</f>
        <v>35</v>
      </c>
      <c r="N67" s="199">
        <f>[2]Stoping!N81</f>
        <v>35</v>
      </c>
      <c r="O67" s="199">
        <f>[2]Stoping!O81</f>
        <v>35</v>
      </c>
      <c r="P67" s="200">
        <f>[2]Stoping!P81</f>
        <v>35</v>
      </c>
      <c r="Q67" s="199">
        <f>[2]Stoping!Q81</f>
        <v>35</v>
      </c>
      <c r="R67" s="199">
        <f>[2]Stoping!R81</f>
        <v>35</v>
      </c>
      <c r="S67" s="199">
        <f>[2]Stoping!S81</f>
        <v>35</v>
      </c>
      <c r="T67" s="199">
        <f>[2]Stoping!T81</f>
        <v>35</v>
      </c>
      <c r="U67" s="199">
        <f>[2]Stoping!U81</f>
        <v>35</v>
      </c>
      <c r="V67" s="199">
        <f>[2]Stoping!V81</f>
        <v>35</v>
      </c>
      <c r="W67" s="199">
        <f>[2]Stoping!W81</f>
        <v>35</v>
      </c>
      <c r="X67" s="199">
        <f>[2]Stoping!X81</f>
        <v>35</v>
      </c>
      <c r="Y67" s="199">
        <f>[2]Stoping!Y81</f>
        <v>35</v>
      </c>
      <c r="Z67" s="199">
        <f>[2]Stoping!Z81</f>
        <v>35</v>
      </c>
      <c r="AA67" s="199">
        <f>[2]Stoping!AA81</f>
        <v>35</v>
      </c>
      <c r="AB67" s="199">
        <f>[2]Stoping!AB81</f>
        <v>35</v>
      </c>
      <c r="AC67" s="199">
        <f>[2]Stoping!AC81</f>
        <v>35</v>
      </c>
      <c r="AD67" s="199">
        <f>[2]Stoping!AD81</f>
        <v>35</v>
      </c>
      <c r="AE67" s="199">
        <f>[2]Stoping!AE81</f>
        <v>35</v>
      </c>
      <c r="AF67" s="199">
        <f>[2]Stoping!AF81</f>
        <v>35</v>
      </c>
      <c r="AG67" s="199">
        <f>[2]Stoping!AG81</f>
        <v>35</v>
      </c>
      <c r="AH67" s="199">
        <f>[2]Stoping!AH81</f>
        <v>35</v>
      </c>
      <c r="AI67" s="199">
        <f>[2]Stoping!AI81</f>
        <v>35</v>
      </c>
      <c r="AJ67" s="199">
        <f>[2]Stoping!AJ81</f>
        <v>35</v>
      </c>
      <c r="AK67" s="199">
        <f>[2]Stoping!AK81</f>
        <v>35</v>
      </c>
      <c r="AL67" s="201">
        <f>[2]Stoping!AL67</f>
        <v>0</v>
      </c>
      <c r="AM67" s="1072"/>
    </row>
    <row r="68" spans="2:39" x14ac:dyDescent="0.25">
      <c r="B68" s="1607"/>
      <c r="C68" s="1662"/>
      <c r="D68" s="1610"/>
      <c r="E68" s="1302" t="s">
        <v>342</v>
      </c>
      <c r="F68" s="1303">
        <f t="shared" si="31"/>
        <v>2181.6999999999998</v>
      </c>
      <c r="G68" s="1304"/>
      <c r="H68" s="1305"/>
      <c r="I68" s="1303">
        <v>48</v>
      </c>
      <c r="J68" s="1303">
        <v>56</v>
      </c>
      <c r="K68" s="1303">
        <f>28+52</f>
        <v>80</v>
      </c>
      <c r="L68" s="1303">
        <v>72</v>
      </c>
      <c r="M68" s="1303">
        <v>63</v>
      </c>
      <c r="N68" s="1303">
        <v>75</v>
      </c>
      <c r="O68" s="1303">
        <v>63</v>
      </c>
      <c r="P68" s="1303">
        <v>53</v>
      </c>
      <c r="Q68" s="1303">
        <v>47</v>
      </c>
      <c r="R68" s="1303"/>
      <c r="S68" s="1303"/>
      <c r="T68" s="1303"/>
      <c r="U68" s="1303"/>
      <c r="V68" s="1303">
        <v>105</v>
      </c>
      <c r="W68" s="1303">
        <v>57.2</v>
      </c>
      <c r="X68" s="1303">
        <v>35</v>
      </c>
      <c r="Y68" s="1303">
        <v>113</v>
      </c>
      <c r="Z68" s="1303">
        <v>100</v>
      </c>
      <c r="AA68" s="1303">
        <v>111</v>
      </c>
      <c r="AB68" s="1303">
        <v>178.5</v>
      </c>
      <c r="AC68" s="1303">
        <v>108</v>
      </c>
      <c r="AD68" s="1303">
        <v>100</v>
      </c>
      <c r="AE68" s="1303">
        <v>132</v>
      </c>
      <c r="AF68" s="1303"/>
      <c r="AG68" s="1303">
        <v>166</v>
      </c>
      <c r="AH68" s="1303">
        <v>166</v>
      </c>
      <c r="AI68" s="1303">
        <v>98</v>
      </c>
      <c r="AJ68" s="1303">
        <v>57</v>
      </c>
      <c r="AK68" s="1303">
        <v>98</v>
      </c>
      <c r="AL68" s="1303"/>
      <c r="AM68" s="1074"/>
    </row>
    <row r="69" spans="2:39" x14ac:dyDescent="0.25">
      <c r="B69" s="1607"/>
      <c r="C69" s="1662"/>
      <c r="D69" s="1610"/>
      <c r="E69" s="1324" t="s">
        <v>312</v>
      </c>
      <c r="F69" s="1307"/>
      <c r="G69" s="1308"/>
      <c r="H69" s="1075"/>
      <c r="I69" s="1075"/>
      <c r="J69" s="1075"/>
      <c r="K69" s="1075"/>
      <c r="L69" s="1075"/>
      <c r="M69" s="1075"/>
      <c r="N69" s="1075"/>
      <c r="O69" s="1075"/>
      <c r="P69" s="1076"/>
      <c r="Q69" s="1075"/>
      <c r="R69" s="1075"/>
      <c r="S69" s="1075"/>
      <c r="T69" s="1075"/>
      <c r="U69" s="1075"/>
      <c r="V69" s="1075"/>
      <c r="W69" s="1075"/>
      <c r="X69" s="1075"/>
      <c r="Y69" s="1075"/>
      <c r="Z69" s="1075"/>
      <c r="AA69" s="1075"/>
      <c r="AB69" s="1075"/>
      <c r="AC69" s="1075"/>
      <c r="AD69" s="1075"/>
      <c r="AE69" s="1075"/>
      <c r="AF69" s="1075"/>
      <c r="AG69" s="1075"/>
      <c r="AH69" s="1075"/>
      <c r="AI69" s="1075"/>
      <c r="AJ69" s="1075"/>
      <c r="AK69" s="1075"/>
      <c r="AL69" s="1077"/>
      <c r="AM69" s="1074"/>
    </row>
    <row r="70" spans="2:39" x14ac:dyDescent="0.25">
      <c r="B70" s="1607"/>
      <c r="C70" s="1662"/>
      <c r="D70" s="1612" t="s">
        <v>343</v>
      </c>
      <c r="E70" s="1309" t="s">
        <v>344</v>
      </c>
      <c r="F70" s="1310">
        <f t="shared" ref="F70:F71" si="37">IFERROR(F72*1000/F67,0)</f>
        <v>3.889999999999997</v>
      </c>
      <c r="G70" s="1311"/>
      <c r="H70" s="1312">
        <f>[2]Stoping!H84</f>
        <v>3.89</v>
      </c>
      <c r="I70" s="1312">
        <f>[2]Stoping!I84</f>
        <v>3.89</v>
      </c>
      <c r="J70" s="1312">
        <f>[2]Stoping!J84</f>
        <v>3.89</v>
      </c>
      <c r="K70" s="1333">
        <f>[2]Stoping!K84</f>
        <v>3.89</v>
      </c>
      <c r="L70" s="1333">
        <f>[2]Stoping!L84</f>
        <v>3.89</v>
      </c>
      <c r="M70" s="1333">
        <f>[2]Stoping!M84</f>
        <v>3.89</v>
      </c>
      <c r="N70" s="1333">
        <f>[2]Stoping!N84</f>
        <v>3.89</v>
      </c>
      <c r="O70" s="1333">
        <f>[2]Stoping!O84</f>
        <v>3.89</v>
      </c>
      <c r="P70" s="1334">
        <f>[2]Stoping!P84</f>
        <v>3.89</v>
      </c>
      <c r="Q70" s="1333">
        <f>[2]Stoping!Q84</f>
        <v>3.89</v>
      </c>
      <c r="R70" s="1333">
        <f>[2]Stoping!R84</f>
        <v>3.89</v>
      </c>
      <c r="S70" s="1333">
        <f>[2]Stoping!S84</f>
        <v>3.89</v>
      </c>
      <c r="T70" s="1333">
        <f>[2]Stoping!T84</f>
        <v>3.89</v>
      </c>
      <c r="U70" s="1333">
        <f>[2]Stoping!U84</f>
        <v>3.89</v>
      </c>
      <c r="V70" s="1333">
        <f>[2]Stoping!V84</f>
        <v>3.89</v>
      </c>
      <c r="W70" s="1333">
        <f>[2]Stoping!W84</f>
        <v>3.89</v>
      </c>
      <c r="X70" s="1333">
        <f>[2]Stoping!X84</f>
        <v>3.89</v>
      </c>
      <c r="Y70" s="1333">
        <f>[2]Stoping!Y84</f>
        <v>3.89</v>
      </c>
      <c r="Z70" s="1333">
        <f>[2]Stoping!Z84</f>
        <v>3.89</v>
      </c>
      <c r="AA70" s="1333">
        <f>[2]Stoping!AA84</f>
        <v>3.89</v>
      </c>
      <c r="AB70" s="1333">
        <f>[2]Stoping!AB84</f>
        <v>3.89</v>
      </c>
      <c r="AC70" s="1333">
        <f>[2]Stoping!AC84</f>
        <v>3.89</v>
      </c>
      <c r="AD70" s="1333">
        <f>[2]Stoping!AD84</f>
        <v>3.89</v>
      </c>
      <c r="AE70" s="1333">
        <f>[2]Stoping!AE84</f>
        <v>3.89</v>
      </c>
      <c r="AF70" s="1333">
        <f>[2]Stoping!AF84</f>
        <v>3.89</v>
      </c>
      <c r="AG70" s="1333">
        <f>[2]Stoping!AG84</f>
        <v>3.89</v>
      </c>
      <c r="AH70" s="1333">
        <f>[2]Stoping!AH84</f>
        <v>3.89</v>
      </c>
      <c r="AI70" s="1333">
        <f>[2]Stoping!AI84</f>
        <v>3.89</v>
      </c>
      <c r="AJ70" s="1333">
        <f>[2]Stoping!AJ84</f>
        <v>3.89</v>
      </c>
      <c r="AK70" s="1333">
        <f>[2]Stoping!AK84</f>
        <v>3.89</v>
      </c>
      <c r="AL70" s="1335">
        <f>[2]Stoping!AL70</f>
        <v>0</v>
      </c>
      <c r="AM70" s="1074"/>
    </row>
    <row r="71" spans="2:39" x14ac:dyDescent="0.25">
      <c r="B71" s="1607"/>
      <c r="C71" s="1662"/>
      <c r="D71" s="1664"/>
      <c r="E71" s="1313" t="s">
        <v>345</v>
      </c>
      <c r="F71" s="1314">
        <f t="shared" si="37"/>
        <v>3.7103144336984921</v>
      </c>
      <c r="G71" s="1304">
        <f t="shared" ref="G71" si="38">IFERROR((F71-F70)/F70,0)</f>
        <v>-4.6191662288304638E-2</v>
      </c>
      <c r="H71" s="1315"/>
      <c r="I71" s="1314">
        <v>1.54</v>
      </c>
      <c r="J71" s="1314">
        <v>2.37</v>
      </c>
      <c r="K71" s="1314">
        <v>2.72</v>
      </c>
      <c r="L71" s="1314">
        <v>4.6100000000000003</v>
      </c>
      <c r="M71" s="1314">
        <v>5.63</v>
      </c>
      <c r="N71" s="1314">
        <v>2.72</v>
      </c>
      <c r="O71" s="1314">
        <v>3.03</v>
      </c>
      <c r="P71" s="1314">
        <v>3.43</v>
      </c>
      <c r="Q71" s="1314">
        <v>5.38</v>
      </c>
      <c r="R71" s="1314"/>
      <c r="S71" s="1314"/>
      <c r="T71" s="1314"/>
      <c r="U71" s="1314"/>
      <c r="V71" s="1314">
        <v>3.29</v>
      </c>
      <c r="W71" s="1314">
        <v>5.59</v>
      </c>
      <c r="X71" s="1314">
        <v>6.71</v>
      </c>
      <c r="Y71" s="1314">
        <v>4.26</v>
      </c>
      <c r="Z71" s="1314">
        <v>2.75</v>
      </c>
      <c r="AA71" s="1314">
        <v>2.75</v>
      </c>
      <c r="AB71" s="1314">
        <v>5.37</v>
      </c>
      <c r="AC71" s="1314">
        <v>4.0599999999999996</v>
      </c>
      <c r="AD71" s="1314">
        <v>4.0599999999999996</v>
      </c>
      <c r="AE71" s="1314">
        <v>1.3</v>
      </c>
      <c r="AF71" s="1314"/>
      <c r="AG71" s="1314">
        <v>5</v>
      </c>
      <c r="AH71" s="1314">
        <v>3.1</v>
      </c>
      <c r="AI71" s="1314">
        <v>2.5</v>
      </c>
      <c r="AJ71" s="1314">
        <v>5.92</v>
      </c>
      <c r="AK71" s="1314">
        <v>2.97</v>
      </c>
      <c r="AL71" s="1314"/>
      <c r="AM71" s="1074"/>
    </row>
    <row r="72" spans="2:39" x14ac:dyDescent="0.25">
      <c r="B72" s="1607"/>
      <c r="C72" s="1662"/>
      <c r="D72" s="1612" t="s">
        <v>47</v>
      </c>
      <c r="E72" s="1309" t="s">
        <v>346</v>
      </c>
      <c r="F72" s="206">
        <f t="shared" ref="F72:F75" si="39">SUMIF($H$9:$AL$9,"&lt;="&amp;$C$7,H72:AL72)</f>
        <v>4.0844999999999967</v>
      </c>
      <c r="G72" s="1311"/>
      <c r="H72" s="1316">
        <f>+H70*H67/1000</f>
        <v>0.13614999999999999</v>
      </c>
      <c r="I72" s="1316">
        <f t="shared" ref="I72:AL73" si="40">+I70*I67/1000</f>
        <v>0.13614999999999999</v>
      </c>
      <c r="J72" s="1316">
        <f t="shared" si="40"/>
        <v>0.13614999999999999</v>
      </c>
      <c r="K72" s="1316">
        <f t="shared" si="40"/>
        <v>0.13614999999999999</v>
      </c>
      <c r="L72" s="1316">
        <f t="shared" si="40"/>
        <v>0.13614999999999999</v>
      </c>
      <c r="M72" s="1316">
        <f t="shared" si="40"/>
        <v>0.13614999999999999</v>
      </c>
      <c r="N72" s="1316">
        <f t="shared" si="40"/>
        <v>0.13614999999999999</v>
      </c>
      <c r="O72" s="1316">
        <f t="shared" si="40"/>
        <v>0.13614999999999999</v>
      </c>
      <c r="P72" s="1316">
        <f t="shared" si="40"/>
        <v>0.13614999999999999</v>
      </c>
      <c r="Q72" s="1316">
        <f t="shared" si="40"/>
        <v>0.13614999999999999</v>
      </c>
      <c r="R72" s="1316">
        <f t="shared" si="40"/>
        <v>0.13614999999999999</v>
      </c>
      <c r="S72" s="1316">
        <f t="shared" si="40"/>
        <v>0.13614999999999999</v>
      </c>
      <c r="T72" s="1316">
        <f t="shared" si="40"/>
        <v>0.13614999999999999</v>
      </c>
      <c r="U72" s="1316">
        <f t="shared" si="40"/>
        <v>0.13614999999999999</v>
      </c>
      <c r="V72" s="1316">
        <f t="shared" si="40"/>
        <v>0.13614999999999999</v>
      </c>
      <c r="W72" s="1316">
        <f t="shared" si="40"/>
        <v>0.13614999999999999</v>
      </c>
      <c r="X72" s="1316">
        <f t="shared" si="40"/>
        <v>0.13614999999999999</v>
      </c>
      <c r="Y72" s="1316">
        <f t="shared" si="40"/>
        <v>0.13614999999999999</v>
      </c>
      <c r="Z72" s="1316">
        <f t="shared" si="40"/>
        <v>0.13614999999999999</v>
      </c>
      <c r="AA72" s="1316">
        <f t="shared" si="40"/>
        <v>0.13614999999999999</v>
      </c>
      <c r="AB72" s="1316">
        <f t="shared" si="40"/>
        <v>0.13614999999999999</v>
      </c>
      <c r="AC72" s="1316">
        <f t="shared" si="40"/>
        <v>0.13614999999999999</v>
      </c>
      <c r="AD72" s="1316">
        <f t="shared" si="40"/>
        <v>0.13614999999999999</v>
      </c>
      <c r="AE72" s="1316">
        <f t="shared" si="40"/>
        <v>0.13614999999999999</v>
      </c>
      <c r="AF72" s="1316">
        <f t="shared" si="40"/>
        <v>0.13614999999999999</v>
      </c>
      <c r="AG72" s="1316">
        <f t="shared" si="40"/>
        <v>0.13614999999999999</v>
      </c>
      <c r="AH72" s="1316">
        <f t="shared" si="40"/>
        <v>0.13614999999999999</v>
      </c>
      <c r="AI72" s="1316">
        <f t="shared" si="40"/>
        <v>0.13614999999999999</v>
      </c>
      <c r="AJ72" s="1316">
        <f t="shared" si="40"/>
        <v>0.13614999999999999</v>
      </c>
      <c r="AK72" s="1316">
        <f t="shared" si="40"/>
        <v>0.13614999999999999</v>
      </c>
      <c r="AL72" s="1316">
        <f t="shared" si="40"/>
        <v>0</v>
      </c>
      <c r="AM72" s="1078"/>
    </row>
    <row r="73" spans="2:39" ht="14.25" thickBot="1" x14ac:dyDescent="0.3">
      <c r="B73" s="1660"/>
      <c r="C73" s="1663"/>
      <c r="D73" s="1665"/>
      <c r="E73" s="1320" t="s">
        <v>347</v>
      </c>
      <c r="F73" s="1321">
        <f t="shared" si="39"/>
        <v>8.0947929999999992</v>
      </c>
      <c r="G73" s="1322">
        <f t="shared" ref="G73" si="41">IFERROR((F73-F72)/F72,0)</f>
        <v>0.98183204798629109</v>
      </c>
      <c r="H73" s="1323">
        <f>+H71*H68/1000</f>
        <v>0</v>
      </c>
      <c r="I73" s="1323">
        <f t="shared" si="40"/>
        <v>7.392E-2</v>
      </c>
      <c r="J73" s="1323">
        <f t="shared" si="40"/>
        <v>0.13272</v>
      </c>
      <c r="K73" s="1323">
        <f t="shared" si="40"/>
        <v>0.21760000000000002</v>
      </c>
      <c r="L73" s="1323">
        <f t="shared" si="40"/>
        <v>0.33191999999999999</v>
      </c>
      <c r="M73" s="1323">
        <f t="shared" si="40"/>
        <v>0.35469000000000001</v>
      </c>
      <c r="N73" s="1323">
        <f t="shared" si="40"/>
        <v>0.20400000000000001</v>
      </c>
      <c r="O73" s="1323">
        <f t="shared" si="40"/>
        <v>0.19088999999999998</v>
      </c>
      <c r="P73" s="1323">
        <f t="shared" si="40"/>
        <v>0.18179000000000001</v>
      </c>
      <c r="Q73" s="1323">
        <f t="shared" si="40"/>
        <v>0.25285999999999997</v>
      </c>
      <c r="R73" s="1323">
        <f t="shared" si="40"/>
        <v>0</v>
      </c>
      <c r="S73" s="1323">
        <f t="shared" si="40"/>
        <v>0</v>
      </c>
      <c r="T73" s="1323">
        <f t="shared" si="40"/>
        <v>0</v>
      </c>
      <c r="U73" s="1323">
        <f t="shared" si="40"/>
        <v>0</v>
      </c>
      <c r="V73" s="1323">
        <f t="shared" si="40"/>
        <v>0.34544999999999998</v>
      </c>
      <c r="W73" s="1323">
        <f t="shared" si="40"/>
        <v>0.31974799999999998</v>
      </c>
      <c r="X73" s="1323">
        <f t="shared" si="40"/>
        <v>0.23485</v>
      </c>
      <c r="Y73" s="1323">
        <f t="shared" si="40"/>
        <v>0.48137999999999997</v>
      </c>
      <c r="Z73" s="1323">
        <f t="shared" si="40"/>
        <v>0.27500000000000002</v>
      </c>
      <c r="AA73" s="1323">
        <f t="shared" si="40"/>
        <v>0.30525000000000002</v>
      </c>
      <c r="AB73" s="1323">
        <f t="shared" si="40"/>
        <v>0.95854500000000009</v>
      </c>
      <c r="AC73" s="1323">
        <f t="shared" si="40"/>
        <v>0.43847999999999998</v>
      </c>
      <c r="AD73" s="1323">
        <f t="shared" si="40"/>
        <v>0.40599999999999992</v>
      </c>
      <c r="AE73" s="1323">
        <f t="shared" si="40"/>
        <v>0.1716</v>
      </c>
      <c r="AF73" s="1323">
        <f t="shared" si="40"/>
        <v>0</v>
      </c>
      <c r="AG73" s="1323">
        <f t="shared" si="40"/>
        <v>0.83</v>
      </c>
      <c r="AH73" s="1323">
        <f t="shared" si="40"/>
        <v>0.51460000000000006</v>
      </c>
      <c r="AI73" s="1323">
        <f t="shared" si="40"/>
        <v>0.245</v>
      </c>
      <c r="AJ73" s="1323">
        <f t="shared" si="40"/>
        <v>0.33744000000000002</v>
      </c>
      <c r="AK73" s="1323">
        <f t="shared" si="40"/>
        <v>0.29105999999999999</v>
      </c>
      <c r="AL73" s="1323">
        <f t="shared" si="40"/>
        <v>0</v>
      </c>
      <c r="AM73" s="1079"/>
    </row>
    <row r="74" spans="2:39" s="1069" customFormat="1" ht="14.85" customHeight="1" x14ac:dyDescent="0.25">
      <c r="B74" s="1608">
        <v>1</v>
      </c>
      <c r="C74" s="1661" t="str">
        <f>[2]Stoping!C88</f>
        <v xml:space="preserve">6L_W1 STOPE </v>
      </c>
      <c r="D74" s="1611" t="s">
        <v>340</v>
      </c>
      <c r="E74" s="1070" t="s">
        <v>341</v>
      </c>
      <c r="F74" s="196">
        <f t="shared" si="39"/>
        <v>4200</v>
      </c>
      <c r="G74" s="1071"/>
      <c r="H74" s="198">
        <f>[2]Stoping!H88</f>
        <v>140</v>
      </c>
      <c r="I74" s="198">
        <f>[2]Stoping!I88</f>
        <v>140</v>
      </c>
      <c r="J74" s="198">
        <f>[2]Stoping!J88</f>
        <v>140</v>
      </c>
      <c r="K74" s="199">
        <f>[2]Stoping!K88</f>
        <v>140</v>
      </c>
      <c r="L74" s="199">
        <f>[2]Stoping!L88</f>
        <v>140</v>
      </c>
      <c r="M74" s="199">
        <f>[2]Stoping!M88</f>
        <v>140</v>
      </c>
      <c r="N74" s="199">
        <f>[2]Stoping!N88</f>
        <v>140</v>
      </c>
      <c r="O74" s="199">
        <f>[2]Stoping!O88</f>
        <v>140</v>
      </c>
      <c r="P74" s="200">
        <f>[2]Stoping!P88</f>
        <v>140</v>
      </c>
      <c r="Q74" s="199">
        <f>[2]Stoping!Q88</f>
        <v>140</v>
      </c>
      <c r="R74" s="199">
        <f>[2]Stoping!R88</f>
        <v>140</v>
      </c>
      <c r="S74" s="199">
        <f>[2]Stoping!S88</f>
        <v>140</v>
      </c>
      <c r="T74" s="199">
        <f>[2]Stoping!T88</f>
        <v>140</v>
      </c>
      <c r="U74" s="199">
        <f>[2]Stoping!U88</f>
        <v>140</v>
      </c>
      <c r="V74" s="199">
        <f>[2]Stoping!V88</f>
        <v>140</v>
      </c>
      <c r="W74" s="199">
        <f>[2]Stoping!W88</f>
        <v>140</v>
      </c>
      <c r="X74" s="199">
        <f>[2]Stoping!X88</f>
        <v>140</v>
      </c>
      <c r="Y74" s="199">
        <f>[2]Stoping!Y88</f>
        <v>140</v>
      </c>
      <c r="Z74" s="199">
        <f>[2]Stoping!Z88</f>
        <v>140</v>
      </c>
      <c r="AA74" s="199">
        <f>[2]Stoping!AA88</f>
        <v>140</v>
      </c>
      <c r="AB74" s="199">
        <f>[2]Stoping!AB88</f>
        <v>140</v>
      </c>
      <c r="AC74" s="199">
        <f>[2]Stoping!AC88</f>
        <v>140</v>
      </c>
      <c r="AD74" s="199">
        <f>[2]Stoping!AD88</f>
        <v>140</v>
      </c>
      <c r="AE74" s="199">
        <f>[2]Stoping!AE88</f>
        <v>140</v>
      </c>
      <c r="AF74" s="199">
        <f>[2]Stoping!AF88</f>
        <v>140</v>
      </c>
      <c r="AG74" s="199">
        <f>[2]Stoping!AG88</f>
        <v>140</v>
      </c>
      <c r="AH74" s="199">
        <f>[2]Stoping!AH88</f>
        <v>140</v>
      </c>
      <c r="AI74" s="199">
        <f>[2]Stoping!AI88</f>
        <v>140</v>
      </c>
      <c r="AJ74" s="199">
        <f>[2]Stoping!AJ88</f>
        <v>140</v>
      </c>
      <c r="AK74" s="199">
        <f>[2]Stoping!AK88</f>
        <v>140</v>
      </c>
      <c r="AL74" s="201">
        <f>[2]Stoping!AL81</f>
        <v>0</v>
      </c>
      <c r="AM74" s="1072"/>
    </row>
    <row r="75" spans="2:39" x14ac:dyDescent="0.25">
      <c r="B75" s="1607"/>
      <c r="C75" s="1662"/>
      <c r="D75" s="1610"/>
      <c r="E75" s="1302" t="s">
        <v>342</v>
      </c>
      <c r="F75" s="1303">
        <f t="shared" si="39"/>
        <v>4389.3999999999996</v>
      </c>
      <c r="G75" s="1304">
        <f t="shared" ref="G75" si="42">IFERROR((F75-F74)/F74,0)</f>
        <v>4.5095238095238008E-2</v>
      </c>
      <c r="H75" s="1305">
        <v>266</v>
      </c>
      <c r="I75" s="1303">
        <v>142</v>
      </c>
      <c r="J75" s="1303">
        <v>150</v>
      </c>
      <c r="K75" s="1303">
        <v>161.4</v>
      </c>
      <c r="L75" s="1303">
        <f>185-36</f>
        <v>149</v>
      </c>
      <c r="M75" s="1303">
        <v>110</v>
      </c>
      <c r="N75" s="1303">
        <v>257</v>
      </c>
      <c r="O75" s="1303">
        <v>208</v>
      </c>
      <c r="P75" s="1303">
        <v>227</v>
      </c>
      <c r="Q75" s="1303">
        <v>189</v>
      </c>
      <c r="R75" s="1303">
        <v>160</v>
      </c>
      <c r="S75" s="1303">
        <v>203</v>
      </c>
      <c r="T75" s="1303">
        <v>76</v>
      </c>
      <c r="U75" s="1303">
        <v>174</v>
      </c>
      <c r="V75" s="1303">
        <v>76</v>
      </c>
      <c r="W75" s="1303">
        <v>130</v>
      </c>
      <c r="X75" s="1303">
        <v>199</v>
      </c>
      <c r="Y75" s="1303">
        <f>139</f>
        <v>139</v>
      </c>
      <c r="Z75" s="1303">
        <v>169.5</v>
      </c>
      <c r="AA75" s="1303">
        <v>72</v>
      </c>
      <c r="AB75" s="1303">
        <f>30+118.5</f>
        <v>148.5</v>
      </c>
      <c r="AC75" s="1303">
        <v>108</v>
      </c>
      <c r="AD75" s="1303">
        <v>96</v>
      </c>
      <c r="AE75" s="1303">
        <v>132</v>
      </c>
      <c r="AF75" s="1303">
        <v>225</v>
      </c>
      <c r="AG75" s="1303">
        <v>145</v>
      </c>
      <c r="AH75" s="1303">
        <v>91</v>
      </c>
      <c r="AI75" s="1303">
        <v>42</v>
      </c>
      <c r="AJ75" s="1303">
        <v>36</v>
      </c>
      <c r="AK75" s="1303">
        <v>108</v>
      </c>
      <c r="AL75" s="1303"/>
      <c r="AM75" s="1074"/>
    </row>
    <row r="76" spans="2:39" x14ac:dyDescent="0.25">
      <c r="B76" s="1607"/>
      <c r="C76" s="1662"/>
      <c r="D76" s="1610"/>
      <c r="E76" s="1324" t="s">
        <v>312</v>
      </c>
      <c r="F76" s="1307"/>
      <c r="G76" s="1308"/>
      <c r="H76" s="1075"/>
      <c r="I76" s="1075"/>
      <c r="J76" s="1075"/>
      <c r="K76" s="1075"/>
      <c r="L76" s="1075"/>
      <c r="M76" s="1075"/>
      <c r="N76" s="1075"/>
      <c r="O76" s="1075"/>
      <c r="P76" s="1076"/>
      <c r="Q76" s="1075"/>
      <c r="R76" s="1075"/>
      <c r="S76" s="1075"/>
      <c r="T76" s="1075"/>
      <c r="U76" s="1075"/>
      <c r="V76" s="1075"/>
      <c r="W76" s="1075"/>
      <c r="X76" s="1075"/>
      <c r="Y76" s="1075"/>
      <c r="Z76" s="1075"/>
      <c r="AA76" s="1075"/>
      <c r="AB76" s="1075"/>
      <c r="AC76" s="1075"/>
      <c r="AD76" s="1075"/>
      <c r="AE76" s="1075"/>
      <c r="AF76" s="1075"/>
      <c r="AG76" s="1075"/>
      <c r="AH76" s="1075"/>
      <c r="AI76" s="1075"/>
      <c r="AJ76" s="1075"/>
      <c r="AK76" s="1075"/>
      <c r="AL76" s="1077"/>
      <c r="AM76" s="1074"/>
    </row>
    <row r="77" spans="2:39" x14ac:dyDescent="0.25">
      <c r="B77" s="1607"/>
      <c r="C77" s="1662"/>
      <c r="D77" s="1612" t="s">
        <v>343</v>
      </c>
      <c r="E77" s="1309" t="s">
        <v>344</v>
      </c>
      <c r="F77" s="1310">
        <f t="shared" ref="F77:F78" si="43">IFERROR(F79*1000/F74,0)</f>
        <v>3.889999999999997</v>
      </c>
      <c r="G77" s="1311"/>
      <c r="H77" s="1312">
        <f>[2]Stoping!H91</f>
        <v>3.89</v>
      </c>
      <c r="I77" s="1312">
        <f>[2]Stoping!I91</f>
        <v>3.89</v>
      </c>
      <c r="J77" s="1312">
        <f>[2]Stoping!J91</f>
        <v>3.89</v>
      </c>
      <c r="K77" s="1333">
        <f>[2]Stoping!K91</f>
        <v>3.89</v>
      </c>
      <c r="L77" s="1333">
        <f>[2]Stoping!L91</f>
        <v>3.89</v>
      </c>
      <c r="M77" s="1333">
        <f>[2]Stoping!M91</f>
        <v>3.89</v>
      </c>
      <c r="N77" s="1333">
        <f>[2]Stoping!N91</f>
        <v>3.89</v>
      </c>
      <c r="O77" s="1333">
        <f>[2]Stoping!O91</f>
        <v>3.89</v>
      </c>
      <c r="P77" s="1334">
        <f>[2]Stoping!P91</f>
        <v>3.89</v>
      </c>
      <c r="Q77" s="1333">
        <f>[2]Stoping!Q91</f>
        <v>3.89</v>
      </c>
      <c r="R77" s="1333">
        <f>[2]Stoping!R91</f>
        <v>3.89</v>
      </c>
      <c r="S77" s="1333">
        <f>[2]Stoping!S91</f>
        <v>3.89</v>
      </c>
      <c r="T77" s="1333">
        <f>[2]Stoping!T91</f>
        <v>3.89</v>
      </c>
      <c r="U77" s="1333">
        <f>[2]Stoping!U91</f>
        <v>3.89</v>
      </c>
      <c r="V77" s="1333">
        <f>[2]Stoping!V91</f>
        <v>3.89</v>
      </c>
      <c r="W77" s="1333">
        <f>[2]Stoping!W91</f>
        <v>3.89</v>
      </c>
      <c r="X77" s="1333">
        <f>[2]Stoping!X91</f>
        <v>3.89</v>
      </c>
      <c r="Y77" s="1333">
        <f>[2]Stoping!Y91</f>
        <v>3.89</v>
      </c>
      <c r="Z77" s="1333">
        <f>[2]Stoping!Z91</f>
        <v>3.89</v>
      </c>
      <c r="AA77" s="1333">
        <f>[2]Stoping!AA91</f>
        <v>3.89</v>
      </c>
      <c r="AB77" s="1333">
        <f>[2]Stoping!AB91</f>
        <v>3.89</v>
      </c>
      <c r="AC77" s="1333">
        <f>[2]Stoping!AC91</f>
        <v>3.89</v>
      </c>
      <c r="AD77" s="1333">
        <f>[2]Stoping!AD91</f>
        <v>3.89</v>
      </c>
      <c r="AE77" s="1333">
        <f>[2]Stoping!AE91</f>
        <v>3.89</v>
      </c>
      <c r="AF77" s="1333">
        <f>[2]Stoping!AF91</f>
        <v>3.89</v>
      </c>
      <c r="AG77" s="1333">
        <f>[2]Stoping!AG91</f>
        <v>3.89</v>
      </c>
      <c r="AH77" s="1333">
        <f>[2]Stoping!AH91</f>
        <v>3.89</v>
      </c>
      <c r="AI77" s="1333">
        <f>[2]Stoping!AI91</f>
        <v>3.89</v>
      </c>
      <c r="AJ77" s="1333">
        <f>[2]Stoping!AJ91</f>
        <v>3.89</v>
      </c>
      <c r="AK77" s="1333">
        <f>[2]Stoping!AK91</f>
        <v>3.89</v>
      </c>
      <c r="AL77" s="1335">
        <f>[2]Stoping!AL91</f>
        <v>0</v>
      </c>
      <c r="AM77" s="1074"/>
    </row>
    <row r="78" spans="2:39" x14ac:dyDescent="0.25">
      <c r="B78" s="1607"/>
      <c r="C78" s="1662"/>
      <c r="D78" s="1664"/>
      <c r="E78" s="1313" t="s">
        <v>345</v>
      </c>
      <c r="F78" s="1314">
        <f t="shared" si="43"/>
        <v>3.3489401740556803</v>
      </c>
      <c r="G78" s="1304">
        <f t="shared" ref="G78" si="44">IFERROR((F78-F77)/F77,0)</f>
        <v>-0.13908992954866764</v>
      </c>
      <c r="H78" s="1315">
        <v>3.06</v>
      </c>
      <c r="I78" s="1314">
        <v>1.76</v>
      </c>
      <c r="J78" s="1314">
        <v>3.41</v>
      </c>
      <c r="K78" s="1314">
        <v>4.22</v>
      </c>
      <c r="L78" s="1314">
        <v>7</v>
      </c>
      <c r="M78" s="1314">
        <v>5.63</v>
      </c>
      <c r="N78" s="1314">
        <v>3.86</v>
      </c>
      <c r="O78" s="1314">
        <v>4.57</v>
      </c>
      <c r="P78" s="1314">
        <v>2.02</v>
      </c>
      <c r="Q78" s="1314">
        <v>3.24</v>
      </c>
      <c r="R78" s="1314">
        <v>4.67</v>
      </c>
      <c r="S78" s="1314">
        <v>5</v>
      </c>
      <c r="T78" s="1314">
        <v>5</v>
      </c>
      <c r="U78" s="1314">
        <v>4.3499999999999996</v>
      </c>
      <c r="V78" s="1314">
        <v>5.96</v>
      </c>
      <c r="W78" s="1314">
        <f>5.59/2</f>
        <v>2.7949999999999999</v>
      </c>
      <c r="X78" s="1314">
        <v>1.78</v>
      </c>
      <c r="Y78" s="1314">
        <v>1.74</v>
      </c>
      <c r="Z78" s="1314">
        <v>2.5</v>
      </c>
      <c r="AA78" s="1314">
        <v>3.43</v>
      </c>
      <c r="AB78" s="1314">
        <v>2.5</v>
      </c>
      <c r="AC78" s="1314">
        <v>0.68</v>
      </c>
      <c r="AD78" s="1314">
        <v>0.68</v>
      </c>
      <c r="AE78" s="1314">
        <v>4.99</v>
      </c>
      <c r="AF78" s="1314">
        <v>2.2599999999999998</v>
      </c>
      <c r="AG78" s="1314">
        <v>3.62</v>
      </c>
      <c r="AH78" s="1314">
        <v>1.38</v>
      </c>
      <c r="AI78" s="1314">
        <v>2.13</v>
      </c>
      <c r="AJ78" s="1314">
        <v>2.13</v>
      </c>
      <c r="AK78" s="1314">
        <v>2.7</v>
      </c>
      <c r="AL78" s="1314"/>
      <c r="AM78" s="1074"/>
    </row>
    <row r="79" spans="2:39" x14ac:dyDescent="0.25">
      <c r="B79" s="1607"/>
      <c r="C79" s="1662"/>
      <c r="D79" s="1612" t="s">
        <v>47</v>
      </c>
      <c r="E79" s="1309" t="s">
        <v>346</v>
      </c>
      <c r="F79" s="206">
        <f t="shared" ref="F79:F82" si="45">SUMIF($H$9:$AL$9,"&lt;="&amp;$C$7,H79:AL79)</f>
        <v>16.337999999999987</v>
      </c>
      <c r="G79" s="1311"/>
      <c r="H79" s="1316">
        <f>+H77*H74/1000</f>
        <v>0.54459999999999997</v>
      </c>
      <c r="I79" s="1316">
        <f t="shared" ref="I79:AL80" si="46">+I77*I74/1000</f>
        <v>0.54459999999999997</v>
      </c>
      <c r="J79" s="1316">
        <f t="shared" si="46"/>
        <v>0.54459999999999997</v>
      </c>
      <c r="K79" s="1316">
        <f t="shared" si="46"/>
        <v>0.54459999999999997</v>
      </c>
      <c r="L79" s="1316">
        <f t="shared" si="46"/>
        <v>0.54459999999999997</v>
      </c>
      <c r="M79" s="1316">
        <f t="shared" si="46"/>
        <v>0.54459999999999997</v>
      </c>
      <c r="N79" s="1316">
        <f t="shared" si="46"/>
        <v>0.54459999999999997</v>
      </c>
      <c r="O79" s="1316">
        <f t="shared" si="46"/>
        <v>0.54459999999999997</v>
      </c>
      <c r="P79" s="1316">
        <f t="shared" si="46"/>
        <v>0.54459999999999997</v>
      </c>
      <c r="Q79" s="1316">
        <f t="shared" si="46"/>
        <v>0.54459999999999997</v>
      </c>
      <c r="R79" s="1316">
        <f t="shared" si="46"/>
        <v>0.54459999999999997</v>
      </c>
      <c r="S79" s="1316">
        <f t="shared" si="46"/>
        <v>0.54459999999999997</v>
      </c>
      <c r="T79" s="1316">
        <f t="shared" si="46"/>
        <v>0.54459999999999997</v>
      </c>
      <c r="U79" s="1316">
        <f t="shared" si="46"/>
        <v>0.54459999999999997</v>
      </c>
      <c r="V79" s="1316">
        <f t="shared" si="46"/>
        <v>0.54459999999999997</v>
      </c>
      <c r="W79" s="1316">
        <f t="shared" si="46"/>
        <v>0.54459999999999997</v>
      </c>
      <c r="X79" s="1316">
        <f t="shared" si="46"/>
        <v>0.54459999999999997</v>
      </c>
      <c r="Y79" s="1316">
        <f t="shared" si="46"/>
        <v>0.54459999999999997</v>
      </c>
      <c r="Z79" s="1316">
        <f t="shared" si="46"/>
        <v>0.54459999999999997</v>
      </c>
      <c r="AA79" s="1316">
        <f t="shared" si="46"/>
        <v>0.54459999999999997</v>
      </c>
      <c r="AB79" s="1316">
        <f t="shared" si="46"/>
        <v>0.54459999999999997</v>
      </c>
      <c r="AC79" s="1316">
        <f t="shared" si="46"/>
        <v>0.54459999999999997</v>
      </c>
      <c r="AD79" s="1316">
        <f t="shared" si="46"/>
        <v>0.54459999999999997</v>
      </c>
      <c r="AE79" s="1316">
        <f t="shared" si="46"/>
        <v>0.54459999999999997</v>
      </c>
      <c r="AF79" s="1316">
        <f t="shared" si="46"/>
        <v>0.54459999999999997</v>
      </c>
      <c r="AG79" s="1316">
        <f t="shared" si="46"/>
        <v>0.54459999999999997</v>
      </c>
      <c r="AH79" s="1316">
        <f t="shared" si="46"/>
        <v>0.54459999999999997</v>
      </c>
      <c r="AI79" s="1316">
        <f t="shared" si="46"/>
        <v>0.54459999999999997</v>
      </c>
      <c r="AJ79" s="1316">
        <f t="shared" si="46"/>
        <v>0.54459999999999997</v>
      </c>
      <c r="AK79" s="1316">
        <f t="shared" si="46"/>
        <v>0.54459999999999997</v>
      </c>
      <c r="AL79" s="1316">
        <f t="shared" si="46"/>
        <v>0</v>
      </c>
      <c r="AM79" s="1078"/>
    </row>
    <row r="80" spans="2:39" ht="14.25" thickBot="1" x14ac:dyDescent="0.3">
      <c r="B80" s="1660"/>
      <c r="C80" s="1663"/>
      <c r="D80" s="1665"/>
      <c r="E80" s="1320" t="s">
        <v>347</v>
      </c>
      <c r="F80" s="1321">
        <f t="shared" si="45"/>
        <v>14.699838000000002</v>
      </c>
      <c r="G80" s="1322">
        <f t="shared" ref="G80" si="47">IFERROR((F80-F79)/F79,0)</f>
        <v>-0.10026698494307666</v>
      </c>
      <c r="H80" s="1323">
        <f>+H78*H75/1000</f>
        <v>0.81396000000000002</v>
      </c>
      <c r="I80" s="1323">
        <f t="shared" si="46"/>
        <v>0.24991999999999998</v>
      </c>
      <c r="J80" s="1323">
        <f t="shared" si="46"/>
        <v>0.51149999999999995</v>
      </c>
      <c r="K80" s="1323">
        <f t="shared" si="46"/>
        <v>0.68110799999999994</v>
      </c>
      <c r="L80" s="1323">
        <f t="shared" si="46"/>
        <v>1.0429999999999999</v>
      </c>
      <c r="M80" s="1323">
        <f t="shared" si="46"/>
        <v>0.61929999999999996</v>
      </c>
      <c r="N80" s="1323">
        <f t="shared" si="46"/>
        <v>0.99202000000000001</v>
      </c>
      <c r="O80" s="1323">
        <f t="shared" si="46"/>
        <v>0.95056000000000007</v>
      </c>
      <c r="P80" s="1323">
        <f t="shared" si="46"/>
        <v>0.45854</v>
      </c>
      <c r="Q80" s="1323">
        <f t="shared" si="46"/>
        <v>0.61236000000000002</v>
      </c>
      <c r="R80" s="1323">
        <f t="shared" si="46"/>
        <v>0.74720000000000009</v>
      </c>
      <c r="S80" s="1323">
        <f t="shared" si="46"/>
        <v>1.0149999999999999</v>
      </c>
      <c r="T80" s="1323">
        <f t="shared" si="46"/>
        <v>0.38</v>
      </c>
      <c r="U80" s="1323">
        <f t="shared" si="46"/>
        <v>0.75690000000000002</v>
      </c>
      <c r="V80" s="1323">
        <f t="shared" si="46"/>
        <v>0.45295999999999997</v>
      </c>
      <c r="W80" s="1323">
        <f t="shared" si="46"/>
        <v>0.36334999999999995</v>
      </c>
      <c r="X80" s="1323">
        <f t="shared" si="46"/>
        <v>0.35422000000000003</v>
      </c>
      <c r="Y80" s="1323">
        <f t="shared" si="46"/>
        <v>0.24185999999999999</v>
      </c>
      <c r="Z80" s="1323">
        <f t="shared" si="46"/>
        <v>0.42375000000000002</v>
      </c>
      <c r="AA80" s="1323">
        <f t="shared" si="46"/>
        <v>0.24696000000000001</v>
      </c>
      <c r="AB80" s="1323">
        <f t="shared" si="46"/>
        <v>0.37125000000000002</v>
      </c>
      <c r="AC80" s="1323">
        <f t="shared" si="46"/>
        <v>7.3440000000000005E-2</v>
      </c>
      <c r="AD80" s="1323">
        <f t="shared" si="46"/>
        <v>6.5280000000000005E-2</v>
      </c>
      <c r="AE80" s="1323">
        <f t="shared" si="46"/>
        <v>0.65868000000000004</v>
      </c>
      <c r="AF80" s="1323">
        <f t="shared" si="46"/>
        <v>0.50849999999999995</v>
      </c>
      <c r="AG80" s="1323">
        <f t="shared" si="46"/>
        <v>0.52489999999999992</v>
      </c>
      <c r="AH80" s="1323">
        <f t="shared" si="46"/>
        <v>0.12558</v>
      </c>
      <c r="AI80" s="1323">
        <f t="shared" si="46"/>
        <v>8.9459999999999998E-2</v>
      </c>
      <c r="AJ80" s="1323">
        <f t="shared" si="46"/>
        <v>7.6679999999999998E-2</v>
      </c>
      <c r="AK80" s="1323">
        <f t="shared" si="46"/>
        <v>0.29160000000000003</v>
      </c>
      <c r="AL80" s="1323">
        <f t="shared" si="46"/>
        <v>0</v>
      </c>
      <c r="AM80" s="1079"/>
    </row>
    <row r="81" spans="2:39" s="1069" customFormat="1" ht="14.85" customHeight="1" x14ac:dyDescent="0.25">
      <c r="B81" s="1608">
        <v>1</v>
      </c>
      <c r="C81" s="1661" t="str">
        <f>[2]Stoping!C95</f>
        <v xml:space="preserve">6L_W2 STOPE </v>
      </c>
      <c r="D81" s="1611" t="s">
        <v>340</v>
      </c>
      <c r="E81" s="1070" t="s">
        <v>341</v>
      </c>
      <c r="F81" s="196">
        <f t="shared" si="45"/>
        <v>1260</v>
      </c>
      <c r="G81" s="1071"/>
      <c r="H81" s="198">
        <f>[2]Stoping!H95</f>
        <v>42</v>
      </c>
      <c r="I81" s="198">
        <f>[2]Stoping!I95</f>
        <v>42</v>
      </c>
      <c r="J81" s="198">
        <f>[2]Stoping!J95</f>
        <v>42</v>
      </c>
      <c r="K81" s="199">
        <f>[2]Stoping!K95</f>
        <v>42</v>
      </c>
      <c r="L81" s="199">
        <f>[2]Stoping!L95</f>
        <v>42</v>
      </c>
      <c r="M81" s="199">
        <f>[2]Stoping!M95</f>
        <v>42</v>
      </c>
      <c r="N81" s="199">
        <f>[2]Stoping!N95</f>
        <v>42</v>
      </c>
      <c r="O81" s="199">
        <f>[2]Stoping!O95</f>
        <v>42</v>
      </c>
      <c r="P81" s="200">
        <f>[2]Stoping!P95</f>
        <v>42</v>
      </c>
      <c r="Q81" s="199">
        <f>[2]Stoping!Q95</f>
        <v>42</v>
      </c>
      <c r="R81" s="199">
        <f>[2]Stoping!R95</f>
        <v>42</v>
      </c>
      <c r="S81" s="199">
        <f>[2]Stoping!S95</f>
        <v>42</v>
      </c>
      <c r="T81" s="199">
        <f>[2]Stoping!T95</f>
        <v>42</v>
      </c>
      <c r="U81" s="199">
        <f>[2]Stoping!U95</f>
        <v>42</v>
      </c>
      <c r="V81" s="199">
        <f>[2]Stoping!V95</f>
        <v>42</v>
      </c>
      <c r="W81" s="199">
        <f>[2]Stoping!W95</f>
        <v>42</v>
      </c>
      <c r="X81" s="199">
        <f>[2]Stoping!X95</f>
        <v>42</v>
      </c>
      <c r="Y81" s="199">
        <f>[2]Stoping!Y95</f>
        <v>42</v>
      </c>
      <c r="Z81" s="199">
        <f>[2]Stoping!Z95</f>
        <v>42</v>
      </c>
      <c r="AA81" s="199">
        <f>[2]Stoping!AA95</f>
        <v>42</v>
      </c>
      <c r="AB81" s="199">
        <f>[2]Stoping!AB95</f>
        <v>42</v>
      </c>
      <c r="AC81" s="199">
        <f>[2]Stoping!AC95</f>
        <v>42</v>
      </c>
      <c r="AD81" s="199">
        <f>[2]Stoping!AD95</f>
        <v>42</v>
      </c>
      <c r="AE81" s="199">
        <f>[2]Stoping!AE95</f>
        <v>42</v>
      </c>
      <c r="AF81" s="199">
        <f>[2]Stoping!AF95</f>
        <v>42</v>
      </c>
      <c r="AG81" s="199">
        <f>[2]Stoping!AG95</f>
        <v>42</v>
      </c>
      <c r="AH81" s="199">
        <f>[2]Stoping!AH95</f>
        <v>42</v>
      </c>
      <c r="AI81" s="199">
        <f>[2]Stoping!AI95</f>
        <v>42</v>
      </c>
      <c r="AJ81" s="199">
        <f>[2]Stoping!AJ95</f>
        <v>42</v>
      </c>
      <c r="AK81" s="199">
        <f>[2]Stoping!AK95</f>
        <v>42</v>
      </c>
      <c r="AL81" s="201">
        <f>[2]Stoping!AL95</f>
        <v>0</v>
      </c>
      <c r="AM81" s="1072"/>
    </row>
    <row r="82" spans="2:39" x14ac:dyDescent="0.25">
      <c r="B82" s="1607"/>
      <c r="C82" s="1662"/>
      <c r="D82" s="1610"/>
      <c r="E82" s="1302" t="s">
        <v>342</v>
      </c>
      <c r="F82" s="1303">
        <f t="shared" si="45"/>
        <v>734.2</v>
      </c>
      <c r="G82" s="1304">
        <f t="shared" ref="G82" si="48">IFERROR((F82-F81)/F81,0)</f>
        <v>-0.41730158730158728</v>
      </c>
      <c r="H82" s="1305"/>
      <c r="I82" s="1303"/>
      <c r="J82" s="1303"/>
      <c r="K82" s="1303"/>
      <c r="L82" s="1303"/>
      <c r="M82" s="1303"/>
      <c r="N82" s="1303"/>
      <c r="O82" s="1303"/>
      <c r="P82" s="1303"/>
      <c r="Q82" s="1303"/>
      <c r="R82" s="1303">
        <v>74</v>
      </c>
      <c r="S82" s="1303">
        <v>41</v>
      </c>
      <c r="T82" s="1303">
        <v>35</v>
      </c>
      <c r="U82" s="1303"/>
      <c r="V82" s="1303">
        <v>60</v>
      </c>
      <c r="W82" s="1303">
        <v>79.2</v>
      </c>
      <c r="X82" s="1303"/>
      <c r="Y82" s="1303"/>
      <c r="Z82" s="1303"/>
      <c r="AA82" s="1303">
        <v>34</v>
      </c>
      <c r="AB82" s="1303">
        <v>72</v>
      </c>
      <c r="AC82" s="1303">
        <v>87</v>
      </c>
      <c r="AD82" s="1303">
        <v>84</v>
      </c>
      <c r="AE82" s="1303">
        <v>48</v>
      </c>
      <c r="AF82" s="1303">
        <v>35</v>
      </c>
      <c r="AG82" s="1303">
        <v>24</v>
      </c>
      <c r="AH82" s="1303"/>
      <c r="AI82" s="1303"/>
      <c r="AJ82" s="1303">
        <v>18</v>
      </c>
      <c r="AK82" s="1303">
        <v>43</v>
      </c>
      <c r="AL82" s="1303"/>
      <c r="AM82" s="1074"/>
    </row>
    <row r="83" spans="2:39" x14ac:dyDescent="0.25">
      <c r="B83" s="1607"/>
      <c r="C83" s="1662"/>
      <c r="D83" s="1610"/>
      <c r="E83" s="1324" t="s">
        <v>312</v>
      </c>
      <c r="F83" s="1307"/>
      <c r="G83" s="1308"/>
      <c r="H83" s="1075"/>
      <c r="I83" s="1075"/>
      <c r="J83" s="1075"/>
      <c r="K83" s="1075"/>
      <c r="L83" s="1075"/>
      <c r="M83" s="1075"/>
      <c r="N83" s="1075"/>
      <c r="O83" s="1075"/>
      <c r="P83" s="1076"/>
      <c r="Q83" s="1075"/>
      <c r="R83" s="1075"/>
      <c r="S83" s="1075"/>
      <c r="T83" s="1075"/>
      <c r="U83" s="1075"/>
      <c r="V83" s="1075"/>
      <c r="W83" s="1075"/>
      <c r="X83" s="1075"/>
      <c r="Y83" s="1075"/>
      <c r="Z83" s="1075"/>
      <c r="AA83" s="1075"/>
      <c r="AB83" s="1075"/>
      <c r="AC83" s="1075"/>
      <c r="AD83" s="1075"/>
      <c r="AE83" s="1075"/>
      <c r="AF83" s="1075"/>
      <c r="AG83" s="1075"/>
      <c r="AH83" s="1075"/>
      <c r="AI83" s="1075"/>
      <c r="AJ83" s="1075"/>
      <c r="AK83" s="1075"/>
      <c r="AL83" s="1077"/>
      <c r="AM83" s="1074"/>
    </row>
    <row r="84" spans="2:39" x14ac:dyDescent="0.25">
      <c r="B84" s="1607"/>
      <c r="C84" s="1662"/>
      <c r="D84" s="1612" t="s">
        <v>343</v>
      </c>
      <c r="E84" s="1309" t="s">
        <v>344</v>
      </c>
      <c r="F84" s="1310">
        <f t="shared" ref="F84:F85" si="49">IFERROR(F86*1000/F81,0)</f>
        <v>2.91</v>
      </c>
      <c r="G84" s="1311"/>
      <c r="H84" s="1312">
        <f>[2]Stoping!H98</f>
        <v>2.91</v>
      </c>
      <c r="I84" s="1312">
        <f>[2]Stoping!I98</f>
        <v>2.91</v>
      </c>
      <c r="J84" s="1312">
        <f>[2]Stoping!J98</f>
        <v>2.91</v>
      </c>
      <c r="K84" s="1333">
        <f>[2]Stoping!K98</f>
        <v>2.91</v>
      </c>
      <c r="L84" s="1333">
        <f>[2]Stoping!L98</f>
        <v>2.91</v>
      </c>
      <c r="M84" s="1333">
        <f>[2]Stoping!M98</f>
        <v>2.91</v>
      </c>
      <c r="N84" s="1333">
        <f>[2]Stoping!N98</f>
        <v>2.91</v>
      </c>
      <c r="O84" s="1333">
        <f>[2]Stoping!O98</f>
        <v>2.91</v>
      </c>
      <c r="P84" s="1334">
        <f>[2]Stoping!P98</f>
        <v>2.91</v>
      </c>
      <c r="Q84" s="1333">
        <f>[2]Stoping!Q98</f>
        <v>2.91</v>
      </c>
      <c r="R84" s="1333">
        <f>[2]Stoping!R98</f>
        <v>2.91</v>
      </c>
      <c r="S84" s="1333">
        <f>[2]Stoping!S98</f>
        <v>2.91</v>
      </c>
      <c r="T84" s="1333">
        <f>[2]Stoping!T98</f>
        <v>2.91</v>
      </c>
      <c r="U84" s="1333">
        <f>[2]Stoping!U98</f>
        <v>2.91</v>
      </c>
      <c r="V84" s="1333">
        <f>[2]Stoping!V98</f>
        <v>2.91</v>
      </c>
      <c r="W84" s="1333">
        <f>[2]Stoping!W98</f>
        <v>2.91</v>
      </c>
      <c r="X84" s="1333">
        <f>[2]Stoping!X98</f>
        <v>2.91</v>
      </c>
      <c r="Y84" s="1333">
        <f>[2]Stoping!Y98</f>
        <v>2.91</v>
      </c>
      <c r="Z84" s="1333">
        <f>[2]Stoping!Z98</f>
        <v>2.91</v>
      </c>
      <c r="AA84" s="1333">
        <f>[2]Stoping!AA98</f>
        <v>2.91</v>
      </c>
      <c r="AB84" s="1333">
        <f>[2]Stoping!AB98</f>
        <v>2.91</v>
      </c>
      <c r="AC84" s="1333">
        <f>[2]Stoping!AC98</f>
        <v>2.91</v>
      </c>
      <c r="AD84" s="1333">
        <f>[2]Stoping!AD98</f>
        <v>2.91</v>
      </c>
      <c r="AE84" s="1333">
        <f>[2]Stoping!AE98</f>
        <v>2.91</v>
      </c>
      <c r="AF84" s="1333">
        <f>[2]Stoping!AF98</f>
        <v>2.91</v>
      </c>
      <c r="AG84" s="1333">
        <f>[2]Stoping!AG98</f>
        <v>2.91</v>
      </c>
      <c r="AH84" s="1333">
        <f>[2]Stoping!AH98</f>
        <v>2.91</v>
      </c>
      <c r="AI84" s="1333">
        <f>[2]Stoping!AI98</f>
        <v>2.91</v>
      </c>
      <c r="AJ84" s="1333">
        <f>[2]Stoping!AJ98</f>
        <v>2.91</v>
      </c>
      <c r="AK84" s="1333">
        <f>[2]Stoping!AK98</f>
        <v>2.91</v>
      </c>
      <c r="AL84" s="1335">
        <f>[2]Stoping!AL91</f>
        <v>0</v>
      </c>
      <c r="AM84" s="1074"/>
    </row>
    <row r="85" spans="2:39" x14ac:dyDescent="0.25">
      <c r="B85" s="1607"/>
      <c r="C85" s="1662"/>
      <c r="D85" s="1664"/>
      <c r="E85" s="1313" t="s">
        <v>345</v>
      </c>
      <c r="F85" s="1314">
        <f t="shared" si="49"/>
        <v>1.5229310814491965</v>
      </c>
      <c r="G85" s="1304">
        <f t="shared" ref="G85" si="50">IFERROR((F85-F84)/F84,0)</f>
        <v>-0.47665598575628987</v>
      </c>
      <c r="H85" s="1315"/>
      <c r="I85" s="1314"/>
      <c r="J85" s="1314"/>
      <c r="K85" s="1314"/>
      <c r="L85" s="1314"/>
      <c r="M85" s="1314"/>
      <c r="N85" s="1314"/>
      <c r="O85" s="1314"/>
      <c r="P85" s="1314"/>
      <c r="Q85" s="1314"/>
      <c r="R85" s="1314">
        <v>2</v>
      </c>
      <c r="S85" s="1314">
        <v>2.5</v>
      </c>
      <c r="T85" s="1314">
        <v>3</v>
      </c>
      <c r="U85" s="1314"/>
      <c r="V85" s="1314">
        <v>1.72</v>
      </c>
      <c r="W85" s="1314">
        <v>0.23</v>
      </c>
      <c r="X85" s="1314"/>
      <c r="Y85" s="1314"/>
      <c r="Z85" s="1314"/>
      <c r="AA85" s="1314">
        <v>2.62</v>
      </c>
      <c r="AB85" s="1314">
        <v>0.82</v>
      </c>
      <c r="AC85" s="1314">
        <v>0.89</v>
      </c>
      <c r="AD85" s="1314">
        <v>0.89</v>
      </c>
      <c r="AE85" s="1314">
        <v>1.27</v>
      </c>
      <c r="AF85" s="1314">
        <v>3.57</v>
      </c>
      <c r="AG85" s="1314">
        <v>2.78</v>
      </c>
      <c r="AH85" s="1314"/>
      <c r="AI85" s="1314"/>
      <c r="AJ85" s="1314">
        <v>1.1299999999999999</v>
      </c>
      <c r="AK85" s="1314">
        <v>1.58</v>
      </c>
      <c r="AL85" s="1314"/>
      <c r="AM85" s="1074"/>
    </row>
    <row r="86" spans="2:39" x14ac:dyDescent="0.25">
      <c r="B86" s="1607"/>
      <c r="C86" s="1662"/>
      <c r="D86" s="1612" t="s">
        <v>47</v>
      </c>
      <c r="E86" s="1309" t="s">
        <v>346</v>
      </c>
      <c r="F86" s="206">
        <f t="shared" ref="F86:F89" si="51">SUMIF($H$9:$AL$9,"&lt;="&amp;$C$7,H86:AL86)</f>
        <v>3.6665999999999999</v>
      </c>
      <c r="G86" s="1311"/>
      <c r="H86" s="1316">
        <f>+H84*H81/1000</f>
        <v>0.12222</v>
      </c>
      <c r="I86" s="1316">
        <f t="shared" ref="I86:AL87" si="52">+I84*I81/1000</f>
        <v>0.12222</v>
      </c>
      <c r="J86" s="1316">
        <f t="shared" si="52"/>
        <v>0.12222</v>
      </c>
      <c r="K86" s="1316">
        <f t="shared" si="52"/>
        <v>0.12222</v>
      </c>
      <c r="L86" s="1316">
        <f t="shared" si="52"/>
        <v>0.12222</v>
      </c>
      <c r="M86" s="1316">
        <f t="shared" si="52"/>
        <v>0.12222</v>
      </c>
      <c r="N86" s="1316">
        <f t="shared" si="52"/>
        <v>0.12222</v>
      </c>
      <c r="O86" s="1316">
        <f t="shared" si="52"/>
        <v>0.12222</v>
      </c>
      <c r="P86" s="1316">
        <f t="shared" si="52"/>
        <v>0.12222</v>
      </c>
      <c r="Q86" s="1316">
        <f t="shared" si="52"/>
        <v>0.12222</v>
      </c>
      <c r="R86" s="1316">
        <f t="shared" si="52"/>
        <v>0.12222</v>
      </c>
      <c r="S86" s="1316">
        <f t="shared" si="52"/>
        <v>0.12222</v>
      </c>
      <c r="T86" s="1316">
        <f t="shared" si="52"/>
        <v>0.12222</v>
      </c>
      <c r="U86" s="1316">
        <f t="shared" si="52"/>
        <v>0.12222</v>
      </c>
      <c r="V86" s="1316">
        <f t="shared" si="52"/>
        <v>0.12222</v>
      </c>
      <c r="W86" s="1316">
        <f t="shared" si="52"/>
        <v>0.12222</v>
      </c>
      <c r="X86" s="1316">
        <f t="shared" si="52"/>
        <v>0.12222</v>
      </c>
      <c r="Y86" s="1316">
        <f t="shared" si="52"/>
        <v>0.12222</v>
      </c>
      <c r="Z86" s="1316">
        <f t="shared" si="52"/>
        <v>0.12222</v>
      </c>
      <c r="AA86" s="1316">
        <f t="shared" si="52"/>
        <v>0.12222</v>
      </c>
      <c r="AB86" s="1316">
        <f t="shared" si="52"/>
        <v>0.12222</v>
      </c>
      <c r="AC86" s="1316">
        <f t="shared" si="52"/>
        <v>0.12222</v>
      </c>
      <c r="AD86" s="1316">
        <f t="shared" si="52"/>
        <v>0.12222</v>
      </c>
      <c r="AE86" s="1316">
        <f t="shared" si="52"/>
        <v>0.12222</v>
      </c>
      <c r="AF86" s="1316">
        <f t="shared" si="52"/>
        <v>0.12222</v>
      </c>
      <c r="AG86" s="1316">
        <f t="shared" si="52"/>
        <v>0.12222</v>
      </c>
      <c r="AH86" s="1316">
        <f t="shared" si="52"/>
        <v>0.12222</v>
      </c>
      <c r="AI86" s="1316">
        <f t="shared" si="52"/>
        <v>0.12222</v>
      </c>
      <c r="AJ86" s="1316">
        <f t="shared" si="52"/>
        <v>0.12222</v>
      </c>
      <c r="AK86" s="1316">
        <f t="shared" si="52"/>
        <v>0.12222</v>
      </c>
      <c r="AL86" s="1316">
        <f t="shared" si="52"/>
        <v>0</v>
      </c>
      <c r="AM86" s="1078"/>
    </row>
    <row r="87" spans="2:39" ht="14.25" thickBot="1" x14ac:dyDescent="0.3">
      <c r="B87" s="1660"/>
      <c r="C87" s="1663"/>
      <c r="D87" s="1665"/>
      <c r="E87" s="1320" t="s">
        <v>347</v>
      </c>
      <c r="F87" s="1321">
        <f t="shared" si="51"/>
        <v>1.1181360000000002</v>
      </c>
      <c r="G87" s="1322">
        <f t="shared" ref="G87" si="53">IFERROR((F87-F86)/F86,0)</f>
        <v>-0.69504827360497456</v>
      </c>
      <c r="H87" s="1323">
        <f>+H85*H82/1000</f>
        <v>0</v>
      </c>
      <c r="I87" s="1323">
        <f t="shared" si="52"/>
        <v>0</v>
      </c>
      <c r="J87" s="1323">
        <f t="shared" si="52"/>
        <v>0</v>
      </c>
      <c r="K87" s="1323">
        <f t="shared" si="52"/>
        <v>0</v>
      </c>
      <c r="L87" s="1323">
        <f t="shared" si="52"/>
        <v>0</v>
      </c>
      <c r="M87" s="1323"/>
      <c r="N87" s="1323">
        <f t="shared" si="52"/>
        <v>0</v>
      </c>
      <c r="O87" s="1323">
        <f t="shared" si="52"/>
        <v>0</v>
      </c>
      <c r="P87" s="1323">
        <f t="shared" si="52"/>
        <v>0</v>
      </c>
      <c r="Q87" s="1323">
        <f t="shared" si="52"/>
        <v>0</v>
      </c>
      <c r="R87" s="1323">
        <f t="shared" si="52"/>
        <v>0.14799999999999999</v>
      </c>
      <c r="S87" s="1323">
        <f t="shared" si="52"/>
        <v>0.10249999999999999</v>
      </c>
      <c r="T87" s="1323">
        <f t="shared" si="52"/>
        <v>0.105</v>
      </c>
      <c r="U87" s="1323">
        <f t="shared" si="52"/>
        <v>0</v>
      </c>
      <c r="V87" s="1323">
        <f t="shared" si="52"/>
        <v>0.1032</v>
      </c>
      <c r="W87" s="1323">
        <f t="shared" si="52"/>
        <v>1.8216E-2</v>
      </c>
      <c r="X87" s="1323">
        <f t="shared" si="52"/>
        <v>0</v>
      </c>
      <c r="Y87" s="1323">
        <f t="shared" si="52"/>
        <v>0</v>
      </c>
      <c r="Z87" s="1323">
        <f t="shared" si="52"/>
        <v>0</v>
      </c>
      <c r="AA87" s="1323">
        <f t="shared" si="52"/>
        <v>8.9079999999999993E-2</v>
      </c>
      <c r="AB87" s="1323">
        <f t="shared" si="52"/>
        <v>5.9040000000000002E-2</v>
      </c>
      <c r="AC87" s="1323">
        <f t="shared" si="52"/>
        <v>7.7430000000000013E-2</v>
      </c>
      <c r="AD87" s="1323">
        <f t="shared" si="52"/>
        <v>7.4760000000000007E-2</v>
      </c>
      <c r="AE87" s="1323">
        <f t="shared" si="52"/>
        <v>6.096E-2</v>
      </c>
      <c r="AF87" s="1323">
        <f t="shared" si="52"/>
        <v>0.12494999999999999</v>
      </c>
      <c r="AG87" s="1323">
        <f t="shared" si="52"/>
        <v>6.6720000000000002E-2</v>
      </c>
      <c r="AH87" s="1323">
        <f t="shared" si="52"/>
        <v>0</v>
      </c>
      <c r="AI87" s="1323">
        <f t="shared" si="52"/>
        <v>0</v>
      </c>
      <c r="AJ87" s="1323">
        <f t="shared" si="52"/>
        <v>2.0339999999999997E-2</v>
      </c>
      <c r="AK87" s="1323">
        <f t="shared" si="52"/>
        <v>6.794E-2</v>
      </c>
      <c r="AL87" s="1323">
        <f t="shared" si="52"/>
        <v>0</v>
      </c>
      <c r="AM87" s="1079"/>
    </row>
    <row r="88" spans="2:39" s="1069" customFormat="1" ht="14.85" customHeight="1" x14ac:dyDescent="0.25">
      <c r="B88" s="1608">
        <v>1</v>
      </c>
      <c r="C88" s="1661" t="str">
        <f>[2]Stoping!C102</f>
        <v>6L_W3 STOPE</v>
      </c>
      <c r="D88" s="1611" t="s">
        <v>340</v>
      </c>
      <c r="E88" s="1070" t="s">
        <v>341</v>
      </c>
      <c r="F88" s="196">
        <f t="shared" si="51"/>
        <v>2100</v>
      </c>
      <c r="G88" s="1071"/>
      <c r="H88" s="198">
        <f>[2]Stoping!H102</f>
        <v>70</v>
      </c>
      <c r="I88" s="198">
        <f>[2]Stoping!I102</f>
        <v>70</v>
      </c>
      <c r="J88" s="198">
        <f>[2]Stoping!J102</f>
        <v>70</v>
      </c>
      <c r="K88" s="198">
        <f>[2]Stoping!K102</f>
        <v>70</v>
      </c>
      <c r="L88" s="198">
        <f>[2]Stoping!L102</f>
        <v>70</v>
      </c>
      <c r="M88" s="198">
        <f>[2]Stoping!M102</f>
        <v>70</v>
      </c>
      <c r="N88" s="198">
        <f>[2]Stoping!N102</f>
        <v>70</v>
      </c>
      <c r="O88" s="198">
        <f>[2]Stoping!O102</f>
        <v>70</v>
      </c>
      <c r="P88" s="198">
        <f>[2]Stoping!P102</f>
        <v>70</v>
      </c>
      <c r="Q88" s="198">
        <f>[2]Stoping!Q102</f>
        <v>70</v>
      </c>
      <c r="R88" s="198">
        <f>[2]Stoping!R102</f>
        <v>70</v>
      </c>
      <c r="S88" s="198">
        <f>[2]Stoping!S102</f>
        <v>70</v>
      </c>
      <c r="T88" s="198">
        <f>[2]Stoping!T102</f>
        <v>70</v>
      </c>
      <c r="U88" s="198">
        <f>[2]Stoping!U102</f>
        <v>70</v>
      </c>
      <c r="V88" s="198">
        <f>[2]Stoping!V102</f>
        <v>70</v>
      </c>
      <c r="W88" s="198">
        <f>[2]Stoping!W102</f>
        <v>70</v>
      </c>
      <c r="X88" s="198">
        <f>[2]Stoping!X102</f>
        <v>70</v>
      </c>
      <c r="Y88" s="198">
        <f>[2]Stoping!Y102</f>
        <v>70</v>
      </c>
      <c r="Z88" s="198">
        <f>[2]Stoping!Z102</f>
        <v>70</v>
      </c>
      <c r="AA88" s="198">
        <f>[2]Stoping!AA102</f>
        <v>70</v>
      </c>
      <c r="AB88" s="198">
        <f>[2]Stoping!AB102</f>
        <v>70</v>
      </c>
      <c r="AC88" s="198">
        <f>[2]Stoping!AC102</f>
        <v>70</v>
      </c>
      <c r="AD88" s="198">
        <f>[2]Stoping!AD102</f>
        <v>70</v>
      </c>
      <c r="AE88" s="198">
        <f>[2]Stoping!AE102</f>
        <v>70</v>
      </c>
      <c r="AF88" s="198">
        <f>[2]Stoping!AF102</f>
        <v>70</v>
      </c>
      <c r="AG88" s="198">
        <f>[2]Stoping!AG102</f>
        <v>70</v>
      </c>
      <c r="AH88" s="198">
        <f>[2]Stoping!AH102</f>
        <v>70</v>
      </c>
      <c r="AI88" s="198">
        <f>[2]Stoping!AI102</f>
        <v>70</v>
      </c>
      <c r="AJ88" s="198">
        <f>[2]Stoping!AJ102</f>
        <v>70</v>
      </c>
      <c r="AK88" s="198">
        <f>[2]Stoping!AK102</f>
        <v>70</v>
      </c>
      <c r="AL88" s="198">
        <f>[2]Stoping!AL95</f>
        <v>0</v>
      </c>
      <c r="AM88" s="1072"/>
    </row>
    <row r="89" spans="2:39" x14ac:dyDescent="0.25">
      <c r="B89" s="1607"/>
      <c r="C89" s="1662"/>
      <c r="D89" s="1610"/>
      <c r="E89" s="1302" t="s">
        <v>342</v>
      </c>
      <c r="F89" s="1303">
        <f t="shared" si="51"/>
        <v>0</v>
      </c>
      <c r="G89" s="1304">
        <f t="shared" ref="G89" si="54">IFERROR((F89-F88)/F88,0)</f>
        <v>-1</v>
      </c>
      <c r="H89" s="1305"/>
      <c r="I89" s="1303"/>
      <c r="J89" s="1303"/>
      <c r="K89" s="1303"/>
      <c r="L89" s="1303"/>
      <c r="M89" s="1303"/>
      <c r="N89" s="1303"/>
      <c r="O89" s="1303"/>
      <c r="P89" s="1303"/>
      <c r="Q89" s="1303"/>
      <c r="R89" s="1303"/>
      <c r="S89" s="1303"/>
      <c r="T89" s="1303"/>
      <c r="U89" s="1303"/>
      <c r="V89" s="1303"/>
      <c r="W89" s="1303"/>
      <c r="X89" s="1303"/>
      <c r="Y89" s="1303"/>
      <c r="Z89" s="1303"/>
      <c r="AA89" s="1303"/>
      <c r="AB89" s="1303"/>
      <c r="AC89" s="1303"/>
      <c r="AD89" s="1303"/>
      <c r="AE89" s="1303"/>
      <c r="AF89" s="1303"/>
      <c r="AG89" s="1303"/>
      <c r="AH89" s="1303"/>
      <c r="AI89" s="1303"/>
      <c r="AJ89" s="1303"/>
      <c r="AK89" s="1303"/>
      <c r="AL89" s="1303"/>
      <c r="AM89" s="1074"/>
    </row>
    <row r="90" spans="2:39" x14ac:dyDescent="0.25">
      <c r="B90" s="1607"/>
      <c r="C90" s="1662"/>
      <c r="D90" s="1610"/>
      <c r="E90" s="1324" t="s">
        <v>312</v>
      </c>
      <c r="F90" s="1307"/>
      <c r="G90" s="1308"/>
      <c r="H90" s="1075"/>
      <c r="I90" s="1075"/>
      <c r="J90" s="1075"/>
      <c r="K90" s="1075"/>
      <c r="L90" s="1075"/>
      <c r="M90" s="1075"/>
      <c r="N90" s="1075"/>
      <c r="O90" s="1075"/>
      <c r="P90" s="1076"/>
      <c r="Q90" s="1075"/>
      <c r="R90" s="1075"/>
      <c r="S90" s="1075"/>
      <c r="T90" s="1075"/>
      <c r="U90" s="1075"/>
      <c r="V90" s="1075"/>
      <c r="W90" s="1075"/>
      <c r="X90" s="1075"/>
      <c r="Y90" s="1075"/>
      <c r="Z90" s="1075"/>
      <c r="AA90" s="1075"/>
      <c r="AB90" s="1075"/>
      <c r="AC90" s="1075"/>
      <c r="AD90" s="1075"/>
      <c r="AE90" s="1075"/>
      <c r="AF90" s="1075"/>
      <c r="AG90" s="1075"/>
      <c r="AH90" s="1075"/>
      <c r="AI90" s="1075"/>
      <c r="AJ90" s="1075"/>
      <c r="AK90" s="1075"/>
      <c r="AL90" s="1077"/>
      <c r="AM90" s="1074"/>
    </row>
    <row r="91" spans="2:39" x14ac:dyDescent="0.25">
      <c r="B91" s="1607"/>
      <c r="C91" s="1662"/>
      <c r="D91" s="1612" t="s">
        <v>343</v>
      </c>
      <c r="E91" s="1309" t="s">
        <v>344</v>
      </c>
      <c r="F91" s="1310">
        <f t="shared" ref="F91:F92" si="55">IFERROR(F93*1000/F88,0)</f>
        <v>2.9100000000000028</v>
      </c>
      <c r="G91" s="1311"/>
      <c r="H91" s="1312">
        <f>[2]Stoping!H105</f>
        <v>2.91</v>
      </c>
      <c r="I91" s="1312">
        <f>[2]Stoping!I105</f>
        <v>2.91</v>
      </c>
      <c r="J91" s="1312">
        <f>[2]Stoping!J105</f>
        <v>2.91</v>
      </c>
      <c r="K91" s="1312">
        <f>[2]Stoping!K105</f>
        <v>2.91</v>
      </c>
      <c r="L91" s="1312">
        <f>[2]Stoping!L105</f>
        <v>2.91</v>
      </c>
      <c r="M91" s="1312">
        <f>[2]Stoping!M105</f>
        <v>2.91</v>
      </c>
      <c r="N91" s="1312">
        <f>[2]Stoping!N105</f>
        <v>2.91</v>
      </c>
      <c r="O91" s="1312">
        <f>[2]Stoping!O105</f>
        <v>2.91</v>
      </c>
      <c r="P91" s="1312">
        <f>[2]Stoping!P105</f>
        <v>2.91</v>
      </c>
      <c r="Q91" s="1312">
        <f>[2]Stoping!Q105</f>
        <v>2.91</v>
      </c>
      <c r="R91" s="1312">
        <f>[2]Stoping!R105</f>
        <v>2.91</v>
      </c>
      <c r="S91" s="1312">
        <f>[2]Stoping!S105</f>
        <v>2.91</v>
      </c>
      <c r="T91" s="1312">
        <f>[2]Stoping!T105</f>
        <v>2.91</v>
      </c>
      <c r="U91" s="1312">
        <f>[2]Stoping!U105</f>
        <v>2.91</v>
      </c>
      <c r="V91" s="1312">
        <f>[2]Stoping!V105</f>
        <v>2.91</v>
      </c>
      <c r="W91" s="1312">
        <f>[2]Stoping!W105</f>
        <v>2.91</v>
      </c>
      <c r="X91" s="1312">
        <f>[2]Stoping!X105</f>
        <v>2.91</v>
      </c>
      <c r="Y91" s="1312">
        <f>[2]Stoping!Y105</f>
        <v>2.91</v>
      </c>
      <c r="Z91" s="1312">
        <f>[2]Stoping!Z105</f>
        <v>2.91</v>
      </c>
      <c r="AA91" s="1312">
        <f>[2]Stoping!AA105</f>
        <v>2.91</v>
      </c>
      <c r="AB91" s="1312">
        <f>[2]Stoping!AB105</f>
        <v>2.91</v>
      </c>
      <c r="AC91" s="1312">
        <f>[2]Stoping!AC105</f>
        <v>2.91</v>
      </c>
      <c r="AD91" s="1312">
        <f>[2]Stoping!AD105</f>
        <v>2.91</v>
      </c>
      <c r="AE91" s="1312">
        <f>[2]Stoping!AE105</f>
        <v>2.91</v>
      </c>
      <c r="AF91" s="1312">
        <f>[2]Stoping!AF105</f>
        <v>2.91</v>
      </c>
      <c r="AG91" s="1312">
        <f>[2]Stoping!AG105</f>
        <v>2.91</v>
      </c>
      <c r="AH91" s="1312">
        <f>[2]Stoping!AH105</f>
        <v>2.91</v>
      </c>
      <c r="AI91" s="1312">
        <f>[2]Stoping!AI105</f>
        <v>2.91</v>
      </c>
      <c r="AJ91" s="1312">
        <f>[2]Stoping!AJ105</f>
        <v>2.91</v>
      </c>
      <c r="AK91" s="1312">
        <f>[2]Stoping!AK105</f>
        <v>2.91</v>
      </c>
      <c r="AL91" s="1312">
        <f>[2]Stoping!AL98</f>
        <v>0</v>
      </c>
      <c r="AM91" s="1074"/>
    </row>
    <row r="92" spans="2:39" x14ac:dyDescent="0.25">
      <c r="B92" s="1607"/>
      <c r="C92" s="1662"/>
      <c r="D92" s="1664"/>
      <c r="E92" s="1313" t="s">
        <v>345</v>
      </c>
      <c r="F92" s="1314">
        <f t="shared" si="55"/>
        <v>0</v>
      </c>
      <c r="G92" s="1304">
        <f t="shared" ref="G92" si="56">IFERROR((F92-F91)/F91,0)</f>
        <v>-1</v>
      </c>
      <c r="H92" s="1315"/>
      <c r="I92" s="1314"/>
      <c r="J92" s="1314"/>
      <c r="K92" s="1314"/>
      <c r="L92" s="1314"/>
      <c r="M92" s="1314"/>
      <c r="N92" s="1314"/>
      <c r="O92" s="1314"/>
      <c r="P92" s="1314"/>
      <c r="Q92" s="1314"/>
      <c r="R92" s="1314"/>
      <c r="S92" s="1314"/>
      <c r="T92" s="1314"/>
      <c r="U92" s="1314"/>
      <c r="V92" s="1314"/>
      <c r="W92" s="1314"/>
      <c r="X92" s="1314"/>
      <c r="Y92" s="1314"/>
      <c r="Z92" s="1314"/>
      <c r="AA92" s="1314"/>
      <c r="AB92" s="1314"/>
      <c r="AC92" s="1314"/>
      <c r="AD92" s="1314"/>
      <c r="AE92" s="1314"/>
      <c r="AF92" s="1314"/>
      <c r="AG92" s="1314"/>
      <c r="AH92" s="1314"/>
      <c r="AI92" s="1314"/>
      <c r="AJ92" s="1314"/>
      <c r="AK92" s="1314"/>
      <c r="AL92" s="1314"/>
      <c r="AM92" s="1074"/>
    </row>
    <row r="93" spans="2:39" x14ac:dyDescent="0.25">
      <c r="B93" s="1607"/>
      <c r="C93" s="1662"/>
      <c r="D93" s="1612" t="s">
        <v>47</v>
      </c>
      <c r="E93" s="1309" t="s">
        <v>346</v>
      </c>
      <c r="F93" s="206">
        <f t="shared" ref="F93:F96" si="57">SUMIF($H$9:$AL$9,"&lt;="&amp;$C$7,H93:AL93)</f>
        <v>6.1110000000000051</v>
      </c>
      <c r="G93" s="1311"/>
      <c r="H93" s="1316">
        <f>+H91*H88/1000</f>
        <v>0.20370000000000002</v>
      </c>
      <c r="I93" s="1316">
        <f t="shared" ref="I93:AL94" si="58">+I91*I88/1000</f>
        <v>0.20370000000000002</v>
      </c>
      <c r="J93" s="1316">
        <f t="shared" si="58"/>
        <v>0.20370000000000002</v>
      </c>
      <c r="K93" s="1316">
        <f t="shared" si="58"/>
        <v>0.20370000000000002</v>
      </c>
      <c r="L93" s="1316">
        <f t="shared" si="58"/>
        <v>0.20370000000000002</v>
      </c>
      <c r="M93" s="1316">
        <f t="shared" si="58"/>
        <v>0.20370000000000002</v>
      </c>
      <c r="N93" s="1316">
        <f t="shared" si="58"/>
        <v>0.20370000000000002</v>
      </c>
      <c r="O93" s="1316">
        <f t="shared" si="58"/>
        <v>0.20370000000000002</v>
      </c>
      <c r="P93" s="1316">
        <f t="shared" si="58"/>
        <v>0.20370000000000002</v>
      </c>
      <c r="Q93" s="1316">
        <f t="shared" si="58"/>
        <v>0.20370000000000002</v>
      </c>
      <c r="R93" s="1316">
        <f t="shared" si="58"/>
        <v>0.20370000000000002</v>
      </c>
      <c r="S93" s="1316">
        <f t="shared" si="58"/>
        <v>0.20370000000000002</v>
      </c>
      <c r="T93" s="1316">
        <f t="shared" si="58"/>
        <v>0.20370000000000002</v>
      </c>
      <c r="U93" s="1316">
        <f t="shared" si="58"/>
        <v>0.20370000000000002</v>
      </c>
      <c r="V93" s="1316">
        <f t="shared" si="58"/>
        <v>0.20370000000000002</v>
      </c>
      <c r="W93" s="1316">
        <f t="shared" si="58"/>
        <v>0.20370000000000002</v>
      </c>
      <c r="X93" s="1316">
        <f t="shared" si="58"/>
        <v>0.20370000000000002</v>
      </c>
      <c r="Y93" s="1316">
        <f t="shared" si="58"/>
        <v>0.20370000000000002</v>
      </c>
      <c r="Z93" s="1316">
        <f t="shared" si="58"/>
        <v>0.20370000000000002</v>
      </c>
      <c r="AA93" s="1316">
        <f t="shared" si="58"/>
        <v>0.20370000000000002</v>
      </c>
      <c r="AB93" s="1316">
        <f t="shared" si="58"/>
        <v>0.20370000000000002</v>
      </c>
      <c r="AC93" s="1316">
        <f t="shared" si="58"/>
        <v>0.20370000000000002</v>
      </c>
      <c r="AD93" s="1316">
        <f t="shared" si="58"/>
        <v>0.20370000000000002</v>
      </c>
      <c r="AE93" s="1316">
        <f t="shared" si="58"/>
        <v>0.20370000000000002</v>
      </c>
      <c r="AF93" s="1316">
        <f t="shared" si="58"/>
        <v>0.20370000000000002</v>
      </c>
      <c r="AG93" s="1316">
        <f t="shared" si="58"/>
        <v>0.20370000000000002</v>
      </c>
      <c r="AH93" s="1316">
        <f t="shared" si="58"/>
        <v>0.20370000000000002</v>
      </c>
      <c r="AI93" s="1316">
        <f t="shared" si="58"/>
        <v>0.20370000000000002</v>
      </c>
      <c r="AJ93" s="1316">
        <f t="shared" si="58"/>
        <v>0.20370000000000002</v>
      </c>
      <c r="AK93" s="1316">
        <f t="shared" si="58"/>
        <v>0.20370000000000002</v>
      </c>
      <c r="AL93" s="1316">
        <f t="shared" si="58"/>
        <v>0</v>
      </c>
      <c r="AM93" s="1078"/>
    </row>
    <row r="94" spans="2:39" ht="14.25" thickBot="1" x14ac:dyDescent="0.3">
      <c r="B94" s="1660"/>
      <c r="C94" s="1663"/>
      <c r="D94" s="1665"/>
      <c r="E94" s="1320" t="s">
        <v>347</v>
      </c>
      <c r="F94" s="1321">
        <f t="shared" si="57"/>
        <v>0</v>
      </c>
      <c r="G94" s="1322">
        <f t="shared" ref="G94" si="59">IFERROR((F94-F93)/F93,0)</f>
        <v>-1</v>
      </c>
      <c r="H94" s="1323">
        <f>+H92*H89/1000</f>
        <v>0</v>
      </c>
      <c r="I94" s="1323">
        <f t="shared" si="58"/>
        <v>0</v>
      </c>
      <c r="J94" s="1323">
        <f t="shared" si="58"/>
        <v>0</v>
      </c>
      <c r="K94" s="1323">
        <f t="shared" si="58"/>
        <v>0</v>
      </c>
      <c r="L94" s="1323">
        <f t="shared" si="58"/>
        <v>0</v>
      </c>
      <c r="M94" s="1323">
        <f t="shared" si="58"/>
        <v>0</v>
      </c>
      <c r="N94" s="1323">
        <f t="shared" si="58"/>
        <v>0</v>
      </c>
      <c r="O94" s="1323">
        <f t="shared" si="58"/>
        <v>0</v>
      </c>
      <c r="P94" s="1323">
        <f t="shared" si="58"/>
        <v>0</v>
      </c>
      <c r="Q94" s="1323">
        <f t="shared" si="58"/>
        <v>0</v>
      </c>
      <c r="R94" s="1323">
        <f t="shared" si="58"/>
        <v>0</v>
      </c>
      <c r="S94" s="1323">
        <f t="shared" si="58"/>
        <v>0</v>
      </c>
      <c r="T94" s="1323">
        <f t="shared" si="58"/>
        <v>0</v>
      </c>
      <c r="U94" s="1323">
        <f t="shared" si="58"/>
        <v>0</v>
      </c>
      <c r="V94" s="1323">
        <f t="shared" si="58"/>
        <v>0</v>
      </c>
      <c r="W94" s="1323">
        <f t="shared" si="58"/>
        <v>0</v>
      </c>
      <c r="X94" s="1323">
        <f t="shared" si="58"/>
        <v>0</v>
      </c>
      <c r="Y94" s="1323">
        <f t="shared" si="58"/>
        <v>0</v>
      </c>
      <c r="Z94" s="1323">
        <f t="shared" si="58"/>
        <v>0</v>
      </c>
      <c r="AA94" s="1323">
        <f t="shared" si="58"/>
        <v>0</v>
      </c>
      <c r="AB94" s="1323">
        <f t="shared" si="58"/>
        <v>0</v>
      </c>
      <c r="AC94" s="1323">
        <f t="shared" si="58"/>
        <v>0</v>
      </c>
      <c r="AD94" s="1323">
        <f t="shared" si="58"/>
        <v>0</v>
      </c>
      <c r="AE94" s="1323">
        <f t="shared" si="58"/>
        <v>0</v>
      </c>
      <c r="AF94" s="1323">
        <f t="shared" si="58"/>
        <v>0</v>
      </c>
      <c r="AG94" s="1323">
        <f t="shared" si="58"/>
        <v>0</v>
      </c>
      <c r="AH94" s="1323">
        <f t="shared" si="58"/>
        <v>0</v>
      </c>
      <c r="AI94" s="1323">
        <f t="shared" si="58"/>
        <v>0</v>
      </c>
      <c r="AJ94" s="1323">
        <f t="shared" si="58"/>
        <v>0</v>
      </c>
      <c r="AK94" s="1323">
        <f t="shared" si="58"/>
        <v>0</v>
      </c>
      <c r="AL94" s="1323">
        <f t="shared" si="58"/>
        <v>0</v>
      </c>
      <c r="AM94" s="1079"/>
    </row>
    <row r="95" spans="2:39" s="1069" customFormat="1" ht="14.85" customHeight="1" x14ac:dyDescent="0.25">
      <c r="B95" s="1608">
        <v>1</v>
      </c>
      <c r="C95" s="1661" t="str">
        <f>[2]Stoping!C109</f>
        <v>6L_W4 STOPE</v>
      </c>
      <c r="D95" s="1611" t="s">
        <v>340</v>
      </c>
      <c r="E95" s="1070" t="s">
        <v>341</v>
      </c>
      <c r="F95" s="196">
        <f t="shared" si="57"/>
        <v>2100</v>
      </c>
      <c r="G95" s="1071"/>
      <c r="H95" s="198">
        <f>[2]Stoping!H109</f>
        <v>70</v>
      </c>
      <c r="I95" s="198">
        <f>[2]Stoping!I109</f>
        <v>70</v>
      </c>
      <c r="J95" s="198">
        <f>[2]Stoping!J109</f>
        <v>70</v>
      </c>
      <c r="K95" s="198">
        <f>[2]Stoping!K109</f>
        <v>70</v>
      </c>
      <c r="L95" s="198">
        <f>[2]Stoping!L109</f>
        <v>70</v>
      </c>
      <c r="M95" s="198">
        <f>[2]Stoping!M109</f>
        <v>70</v>
      </c>
      <c r="N95" s="198">
        <f>[2]Stoping!N109</f>
        <v>70</v>
      </c>
      <c r="O95" s="198">
        <f>[2]Stoping!O109</f>
        <v>70</v>
      </c>
      <c r="P95" s="198">
        <f>[2]Stoping!P109</f>
        <v>70</v>
      </c>
      <c r="Q95" s="198">
        <f>[2]Stoping!Q109</f>
        <v>70</v>
      </c>
      <c r="R95" s="198">
        <f>[2]Stoping!R109</f>
        <v>70</v>
      </c>
      <c r="S95" s="198">
        <f>[2]Stoping!S109</f>
        <v>70</v>
      </c>
      <c r="T95" s="198">
        <f>[2]Stoping!T109</f>
        <v>70</v>
      </c>
      <c r="U95" s="198">
        <f>[2]Stoping!U109</f>
        <v>70</v>
      </c>
      <c r="V95" s="198">
        <f>[2]Stoping!V109</f>
        <v>70</v>
      </c>
      <c r="W95" s="198">
        <f>[2]Stoping!W109</f>
        <v>70</v>
      </c>
      <c r="X95" s="198">
        <f>[2]Stoping!X109</f>
        <v>70</v>
      </c>
      <c r="Y95" s="198">
        <f>[2]Stoping!Y109</f>
        <v>70</v>
      </c>
      <c r="Z95" s="198">
        <f>[2]Stoping!Z109</f>
        <v>70</v>
      </c>
      <c r="AA95" s="198">
        <f>[2]Stoping!AA109</f>
        <v>70</v>
      </c>
      <c r="AB95" s="198">
        <f>[2]Stoping!AB109</f>
        <v>70</v>
      </c>
      <c r="AC95" s="198">
        <f>[2]Stoping!AC109</f>
        <v>70</v>
      </c>
      <c r="AD95" s="198">
        <f>[2]Stoping!AD109</f>
        <v>70</v>
      </c>
      <c r="AE95" s="198">
        <f>[2]Stoping!AE109</f>
        <v>70</v>
      </c>
      <c r="AF95" s="198">
        <f>[2]Stoping!AF109</f>
        <v>70</v>
      </c>
      <c r="AG95" s="198">
        <f>[2]Stoping!AG109</f>
        <v>70</v>
      </c>
      <c r="AH95" s="198">
        <f>[2]Stoping!AH109</f>
        <v>70</v>
      </c>
      <c r="AI95" s="198">
        <f>[2]Stoping!AI109</f>
        <v>70</v>
      </c>
      <c r="AJ95" s="198">
        <f>[2]Stoping!AJ109</f>
        <v>70</v>
      </c>
      <c r="AK95" s="198">
        <f>[2]Stoping!AK109</f>
        <v>70</v>
      </c>
      <c r="AL95" s="198">
        <f>[2]Stoping!AL102</f>
        <v>0</v>
      </c>
      <c r="AM95" s="1072"/>
    </row>
    <row r="96" spans="2:39" x14ac:dyDescent="0.25">
      <c r="B96" s="1607"/>
      <c r="C96" s="1662"/>
      <c r="D96" s="1610"/>
      <c r="E96" s="1302" t="s">
        <v>342</v>
      </c>
      <c r="F96" s="1303">
        <f t="shared" si="57"/>
        <v>1322.5</v>
      </c>
      <c r="G96" s="1304">
        <f t="shared" ref="G96" si="60">IFERROR((F96-F95)/F95,0)</f>
        <v>-0.37023809523809526</v>
      </c>
      <c r="H96" s="1305"/>
      <c r="I96" s="1303"/>
      <c r="J96" s="1303"/>
      <c r="K96" s="1303"/>
      <c r="L96" s="1303"/>
      <c r="M96" s="1303"/>
      <c r="N96" s="1303"/>
      <c r="O96" s="1303"/>
      <c r="P96" s="1303"/>
      <c r="Q96" s="1303">
        <v>100</v>
      </c>
      <c r="R96" s="1303"/>
      <c r="S96" s="1303"/>
      <c r="T96" s="1303">
        <v>36</v>
      </c>
      <c r="U96" s="1303">
        <v>51</v>
      </c>
      <c r="V96" s="1303">
        <v>80</v>
      </c>
      <c r="W96" s="1303">
        <f>30.6+39.2</f>
        <v>69.800000000000011</v>
      </c>
      <c r="X96" s="1303">
        <v>30</v>
      </c>
      <c r="Y96" s="1303">
        <v>65</v>
      </c>
      <c r="Z96" s="1303">
        <v>129.5</v>
      </c>
      <c r="AA96" s="1303">
        <v>36</v>
      </c>
      <c r="AB96" s="1303">
        <v>78</v>
      </c>
      <c r="AC96" s="1303">
        <v>97.2</v>
      </c>
      <c r="AD96" s="1303">
        <v>84</v>
      </c>
      <c r="AE96" s="1303">
        <v>75</v>
      </c>
      <c r="AF96" s="1303">
        <v>51</v>
      </c>
      <c r="AG96" s="1303">
        <v>15</v>
      </c>
      <c r="AH96" s="1303">
        <v>54</v>
      </c>
      <c r="AI96" s="1303">
        <v>84</v>
      </c>
      <c r="AJ96" s="1303">
        <v>67</v>
      </c>
      <c r="AK96" s="1303">
        <v>120</v>
      </c>
      <c r="AL96" s="1303"/>
      <c r="AM96" s="1074"/>
    </row>
    <row r="97" spans="2:39" x14ac:dyDescent="0.25">
      <c r="B97" s="1607"/>
      <c r="C97" s="1662"/>
      <c r="D97" s="1610"/>
      <c r="E97" s="1324" t="s">
        <v>312</v>
      </c>
      <c r="F97" s="1307"/>
      <c r="G97" s="1308"/>
      <c r="H97" s="1075"/>
      <c r="I97" s="1075"/>
      <c r="J97" s="1075"/>
      <c r="K97" s="1075"/>
      <c r="L97" s="1075"/>
      <c r="M97" s="1075"/>
      <c r="N97" s="1075"/>
      <c r="O97" s="1075"/>
      <c r="P97" s="1076"/>
      <c r="Q97" s="1075"/>
      <c r="R97" s="1075"/>
      <c r="S97" s="1075"/>
      <c r="T97" s="1075"/>
      <c r="U97" s="1075"/>
      <c r="V97" s="1075"/>
      <c r="W97" s="1075"/>
      <c r="X97" s="1075"/>
      <c r="Y97" s="1075"/>
      <c r="Z97" s="1075"/>
      <c r="AA97" s="1075"/>
      <c r="AB97" s="1075"/>
      <c r="AC97" s="1075"/>
      <c r="AD97" s="1075"/>
      <c r="AE97" s="1075"/>
      <c r="AF97" s="1075"/>
      <c r="AG97" s="1075"/>
      <c r="AH97" s="1075"/>
      <c r="AI97" s="1075"/>
      <c r="AJ97" s="1075"/>
      <c r="AK97" s="1075"/>
      <c r="AL97" s="1077"/>
      <c r="AM97" s="1074"/>
    </row>
    <row r="98" spans="2:39" x14ac:dyDescent="0.25">
      <c r="B98" s="1607"/>
      <c r="C98" s="1662"/>
      <c r="D98" s="1612" t="s">
        <v>343</v>
      </c>
      <c r="E98" s="1309" t="s">
        <v>344</v>
      </c>
      <c r="F98" s="1310">
        <f t="shared" ref="F98:F99" si="61">IFERROR(F100*1000/F95,0)</f>
        <v>2.3500000000000005</v>
      </c>
      <c r="G98" s="1311"/>
      <c r="H98" s="1312">
        <f>[2]Stoping!H112</f>
        <v>2.35</v>
      </c>
      <c r="I98" s="1312">
        <f>[2]Stoping!I112</f>
        <v>2.35</v>
      </c>
      <c r="J98" s="1312">
        <f>[2]Stoping!J112</f>
        <v>2.35</v>
      </c>
      <c r="K98" s="1333">
        <f>[2]Stoping!K112</f>
        <v>2.35</v>
      </c>
      <c r="L98" s="1333">
        <f>[2]Stoping!L112</f>
        <v>2.35</v>
      </c>
      <c r="M98" s="1333">
        <f>[2]Stoping!M112</f>
        <v>2.35</v>
      </c>
      <c r="N98" s="1333">
        <f>[2]Stoping!N112</f>
        <v>2.35</v>
      </c>
      <c r="O98" s="1333">
        <f>[2]Stoping!O112</f>
        <v>2.35</v>
      </c>
      <c r="P98" s="1334">
        <f>[2]Stoping!P112</f>
        <v>2.35</v>
      </c>
      <c r="Q98" s="1333">
        <f>[2]Stoping!Q112</f>
        <v>2.35</v>
      </c>
      <c r="R98" s="1333">
        <f>[2]Stoping!R112</f>
        <v>2.35</v>
      </c>
      <c r="S98" s="1333">
        <f>[2]Stoping!S112</f>
        <v>2.35</v>
      </c>
      <c r="T98" s="1333">
        <f>[2]Stoping!T112</f>
        <v>2.35</v>
      </c>
      <c r="U98" s="1333">
        <f>[2]Stoping!U112</f>
        <v>2.35</v>
      </c>
      <c r="V98" s="1333">
        <f>[2]Stoping!V112</f>
        <v>2.35</v>
      </c>
      <c r="W98" s="1333">
        <f>[2]Stoping!W112</f>
        <v>2.35</v>
      </c>
      <c r="X98" s="1333">
        <f>[2]Stoping!X112</f>
        <v>2.35</v>
      </c>
      <c r="Y98" s="1333">
        <f>[2]Stoping!Y112</f>
        <v>2.35</v>
      </c>
      <c r="Z98" s="1333">
        <f>[2]Stoping!Z112</f>
        <v>2.35</v>
      </c>
      <c r="AA98" s="1333">
        <f>[2]Stoping!AA112</f>
        <v>2.35</v>
      </c>
      <c r="AB98" s="1333">
        <f>[2]Stoping!AB112</f>
        <v>2.35</v>
      </c>
      <c r="AC98" s="1333">
        <f>[2]Stoping!AC112</f>
        <v>2.35</v>
      </c>
      <c r="AD98" s="1333">
        <f>[2]Stoping!AD112</f>
        <v>2.35</v>
      </c>
      <c r="AE98" s="1333">
        <f>[2]Stoping!AE112</f>
        <v>2.35</v>
      </c>
      <c r="AF98" s="1333">
        <f>[2]Stoping!AF112</f>
        <v>2.35</v>
      </c>
      <c r="AG98" s="1333">
        <f>[2]Stoping!AG112</f>
        <v>2.35</v>
      </c>
      <c r="AH98" s="1333">
        <f>[2]Stoping!AH112</f>
        <v>2.35</v>
      </c>
      <c r="AI98" s="1333">
        <f>[2]Stoping!AI112</f>
        <v>2.35</v>
      </c>
      <c r="AJ98" s="1333">
        <f>[2]Stoping!AJ112</f>
        <v>2.35</v>
      </c>
      <c r="AK98" s="1333">
        <f>[2]Stoping!AK112</f>
        <v>2.35</v>
      </c>
      <c r="AL98" s="1335">
        <f>[2]Stoping!AL105</f>
        <v>0</v>
      </c>
      <c r="AM98" s="1074"/>
    </row>
    <row r="99" spans="2:39" x14ac:dyDescent="0.25">
      <c r="B99" s="1607"/>
      <c r="C99" s="1662"/>
      <c r="D99" s="1664"/>
      <c r="E99" s="1313" t="s">
        <v>345</v>
      </c>
      <c r="F99" s="1314">
        <f t="shared" si="61"/>
        <v>1.6667962192816632</v>
      </c>
      <c r="G99" s="1304">
        <f t="shared" ref="G99" si="62">IFERROR((F99-F98)/F98,0)</f>
        <v>-0.29072501307163284</v>
      </c>
      <c r="H99" s="1315"/>
      <c r="I99" s="1314"/>
      <c r="J99" s="1314"/>
      <c r="K99" s="1314"/>
      <c r="L99" s="1314"/>
      <c r="M99" s="1314"/>
      <c r="N99" s="1314"/>
      <c r="O99" s="1314"/>
      <c r="P99" s="1314"/>
      <c r="Q99" s="1314">
        <v>3.16</v>
      </c>
      <c r="R99" s="1314"/>
      <c r="S99" s="1314"/>
      <c r="T99" s="1314">
        <v>2.09</v>
      </c>
      <c r="U99" s="1314">
        <v>0.69</v>
      </c>
      <c r="V99" s="1314">
        <v>0.54</v>
      </c>
      <c r="W99" s="1314">
        <v>0.87</v>
      </c>
      <c r="X99" s="1314">
        <v>1.1100000000000001</v>
      </c>
      <c r="Y99" s="1314">
        <v>1.37</v>
      </c>
      <c r="Z99" s="1314">
        <v>1.6</v>
      </c>
      <c r="AA99" s="1314">
        <v>1.6</v>
      </c>
      <c r="AB99" s="1314">
        <v>0.62</v>
      </c>
      <c r="AC99" s="1314">
        <v>1.1100000000000001</v>
      </c>
      <c r="AD99" s="1314">
        <v>1.1100000000000001</v>
      </c>
      <c r="AE99" s="1314">
        <v>5.7</v>
      </c>
      <c r="AF99" s="1314">
        <v>1.38</v>
      </c>
      <c r="AG99" s="1314">
        <v>2.0499999999999998</v>
      </c>
      <c r="AH99" s="1314">
        <v>0.8</v>
      </c>
      <c r="AI99" s="1314">
        <v>1.01</v>
      </c>
      <c r="AJ99" s="1314">
        <v>3.21</v>
      </c>
      <c r="AK99" s="1314">
        <v>1.38</v>
      </c>
      <c r="AL99" s="1314"/>
      <c r="AM99" s="1074"/>
    </row>
    <row r="100" spans="2:39" x14ac:dyDescent="0.25">
      <c r="B100" s="1607"/>
      <c r="C100" s="1662"/>
      <c r="D100" s="1612" t="s">
        <v>47</v>
      </c>
      <c r="E100" s="1309" t="s">
        <v>346</v>
      </c>
      <c r="F100" s="206">
        <f t="shared" ref="F100:F103" si="63">SUMIF($H$9:$AL$9,"&lt;="&amp;$C$7,H100:AL100)</f>
        <v>4.9350000000000005</v>
      </c>
      <c r="G100" s="1311"/>
      <c r="H100" s="1316">
        <f>+H98*H95/1000</f>
        <v>0.16450000000000001</v>
      </c>
      <c r="I100" s="1316">
        <f t="shared" ref="I100:AL101" si="64">+I98*I95/1000</f>
        <v>0.16450000000000001</v>
      </c>
      <c r="J100" s="1316">
        <f t="shared" si="64"/>
        <v>0.16450000000000001</v>
      </c>
      <c r="K100" s="1316">
        <f t="shared" si="64"/>
        <v>0.16450000000000001</v>
      </c>
      <c r="L100" s="1316">
        <f t="shared" si="64"/>
        <v>0.16450000000000001</v>
      </c>
      <c r="M100" s="1316">
        <f t="shared" si="64"/>
        <v>0.16450000000000001</v>
      </c>
      <c r="N100" s="1316">
        <f t="shared" si="64"/>
        <v>0.16450000000000001</v>
      </c>
      <c r="O100" s="1316">
        <f t="shared" si="64"/>
        <v>0.16450000000000001</v>
      </c>
      <c r="P100" s="1316">
        <f t="shared" si="64"/>
        <v>0.16450000000000001</v>
      </c>
      <c r="Q100" s="1316">
        <f t="shared" si="64"/>
        <v>0.16450000000000001</v>
      </c>
      <c r="R100" s="1316">
        <f t="shared" si="64"/>
        <v>0.16450000000000001</v>
      </c>
      <c r="S100" s="1316">
        <f t="shared" si="64"/>
        <v>0.16450000000000001</v>
      </c>
      <c r="T100" s="1316">
        <f t="shared" si="64"/>
        <v>0.16450000000000001</v>
      </c>
      <c r="U100" s="1316">
        <f t="shared" si="64"/>
        <v>0.16450000000000001</v>
      </c>
      <c r="V100" s="1316">
        <f t="shared" si="64"/>
        <v>0.16450000000000001</v>
      </c>
      <c r="W100" s="1316">
        <f t="shared" si="64"/>
        <v>0.16450000000000001</v>
      </c>
      <c r="X100" s="1316">
        <f t="shared" si="64"/>
        <v>0.16450000000000001</v>
      </c>
      <c r="Y100" s="1316">
        <f t="shared" si="64"/>
        <v>0.16450000000000001</v>
      </c>
      <c r="Z100" s="1316">
        <f t="shared" si="64"/>
        <v>0.16450000000000001</v>
      </c>
      <c r="AA100" s="1316">
        <f t="shared" si="64"/>
        <v>0.16450000000000001</v>
      </c>
      <c r="AB100" s="1316">
        <f t="shared" si="64"/>
        <v>0.16450000000000001</v>
      </c>
      <c r="AC100" s="1316">
        <f t="shared" si="64"/>
        <v>0.16450000000000001</v>
      </c>
      <c r="AD100" s="1316">
        <f t="shared" si="64"/>
        <v>0.16450000000000001</v>
      </c>
      <c r="AE100" s="1316">
        <f t="shared" si="64"/>
        <v>0.16450000000000001</v>
      </c>
      <c r="AF100" s="1316">
        <f t="shared" si="64"/>
        <v>0.16450000000000001</v>
      </c>
      <c r="AG100" s="1316">
        <f t="shared" si="64"/>
        <v>0.16450000000000001</v>
      </c>
      <c r="AH100" s="1316">
        <f t="shared" si="64"/>
        <v>0.16450000000000001</v>
      </c>
      <c r="AI100" s="1316">
        <f t="shared" si="64"/>
        <v>0.16450000000000001</v>
      </c>
      <c r="AJ100" s="1316">
        <f t="shared" si="64"/>
        <v>0.16450000000000001</v>
      </c>
      <c r="AK100" s="1316">
        <f t="shared" si="64"/>
        <v>0.16450000000000001</v>
      </c>
      <c r="AL100" s="1316">
        <f t="shared" si="64"/>
        <v>0</v>
      </c>
      <c r="AM100" s="1078"/>
    </row>
    <row r="101" spans="2:39" ht="14.25" thickBot="1" x14ac:dyDescent="0.3">
      <c r="B101" s="1660"/>
      <c r="C101" s="1663"/>
      <c r="D101" s="1665"/>
      <c r="E101" s="1320" t="s">
        <v>347</v>
      </c>
      <c r="F101" s="1321">
        <f t="shared" si="63"/>
        <v>2.2043379999999999</v>
      </c>
      <c r="G101" s="1322">
        <f t="shared" ref="G101" si="65">IFERROR((F101-F100)/F100,0)</f>
        <v>-0.55332563323201622</v>
      </c>
      <c r="H101" s="1323">
        <f>+H99*H96/1000</f>
        <v>0</v>
      </c>
      <c r="I101" s="1323">
        <f t="shared" si="64"/>
        <v>0</v>
      </c>
      <c r="J101" s="1323">
        <f t="shared" si="64"/>
        <v>0</v>
      </c>
      <c r="K101" s="1323">
        <f t="shared" si="64"/>
        <v>0</v>
      </c>
      <c r="L101" s="1323">
        <f t="shared" si="64"/>
        <v>0</v>
      </c>
      <c r="M101" s="1323">
        <f t="shared" si="64"/>
        <v>0</v>
      </c>
      <c r="N101" s="1323">
        <f t="shared" si="64"/>
        <v>0</v>
      </c>
      <c r="O101" s="1323"/>
      <c r="P101" s="1323">
        <f t="shared" si="64"/>
        <v>0</v>
      </c>
      <c r="Q101" s="1323">
        <f t="shared" si="64"/>
        <v>0.316</v>
      </c>
      <c r="R101" s="1323">
        <f t="shared" si="64"/>
        <v>0</v>
      </c>
      <c r="S101" s="1323">
        <f t="shared" si="64"/>
        <v>0</v>
      </c>
      <c r="T101" s="1323">
        <f t="shared" si="64"/>
        <v>7.5240000000000001E-2</v>
      </c>
      <c r="U101" s="1323">
        <f t="shared" si="64"/>
        <v>3.5189999999999999E-2</v>
      </c>
      <c r="V101" s="1323">
        <f t="shared" si="64"/>
        <v>4.3200000000000002E-2</v>
      </c>
      <c r="W101" s="1323">
        <f t="shared" si="64"/>
        <v>6.0726000000000009E-2</v>
      </c>
      <c r="X101" s="1323">
        <f t="shared" si="64"/>
        <v>3.3300000000000003E-2</v>
      </c>
      <c r="Y101" s="1323">
        <f t="shared" si="64"/>
        <v>8.9050000000000018E-2</v>
      </c>
      <c r="Z101" s="1323">
        <f t="shared" si="64"/>
        <v>0.20720000000000002</v>
      </c>
      <c r="AA101" s="1323">
        <f t="shared" si="64"/>
        <v>5.7599999999999998E-2</v>
      </c>
      <c r="AB101" s="1323">
        <f t="shared" si="64"/>
        <v>4.836E-2</v>
      </c>
      <c r="AC101" s="1323">
        <f t="shared" si="64"/>
        <v>0.10789200000000002</v>
      </c>
      <c r="AD101" s="1323">
        <f t="shared" si="64"/>
        <v>9.3240000000000003E-2</v>
      </c>
      <c r="AE101" s="1323">
        <f t="shared" si="64"/>
        <v>0.42749999999999999</v>
      </c>
      <c r="AF101" s="1323">
        <f t="shared" si="64"/>
        <v>7.0379999999999998E-2</v>
      </c>
      <c r="AG101" s="1323">
        <f t="shared" si="64"/>
        <v>3.0749999999999996E-2</v>
      </c>
      <c r="AH101" s="1323">
        <f t="shared" si="64"/>
        <v>4.3200000000000002E-2</v>
      </c>
      <c r="AI101" s="1323">
        <f t="shared" si="64"/>
        <v>8.4839999999999999E-2</v>
      </c>
      <c r="AJ101" s="1323">
        <f t="shared" si="64"/>
        <v>0.21506999999999998</v>
      </c>
      <c r="AK101" s="1323">
        <f t="shared" si="64"/>
        <v>0.1656</v>
      </c>
      <c r="AL101" s="1323">
        <f t="shared" si="64"/>
        <v>0</v>
      </c>
      <c r="AM101" s="1079"/>
    </row>
    <row r="102" spans="2:39" s="1069" customFormat="1" ht="14.85" customHeight="1" x14ac:dyDescent="0.25">
      <c r="B102" s="1608">
        <v>1</v>
      </c>
      <c r="C102" s="1661" t="str">
        <f>[2]Stoping!C116</f>
        <v>6L_W8 STOPE</v>
      </c>
      <c r="D102" s="1611" t="s">
        <v>340</v>
      </c>
      <c r="E102" s="1070" t="s">
        <v>341</v>
      </c>
      <c r="F102" s="196">
        <f t="shared" si="63"/>
        <v>1050</v>
      </c>
      <c r="G102" s="1071"/>
      <c r="H102" s="198">
        <f>[2]Stoping!H116</f>
        <v>35</v>
      </c>
      <c r="I102" s="198">
        <f>[2]Stoping!I116</f>
        <v>35</v>
      </c>
      <c r="J102" s="198">
        <f>[2]Stoping!J116</f>
        <v>35</v>
      </c>
      <c r="K102" s="199">
        <f>[2]Stoping!K116</f>
        <v>35</v>
      </c>
      <c r="L102" s="199">
        <f>[2]Stoping!L116</f>
        <v>35</v>
      </c>
      <c r="M102" s="199">
        <f>[2]Stoping!M116</f>
        <v>35</v>
      </c>
      <c r="N102" s="199">
        <f>[2]Stoping!N116</f>
        <v>35</v>
      </c>
      <c r="O102" s="199">
        <f>[2]Stoping!O116</f>
        <v>35</v>
      </c>
      <c r="P102" s="200">
        <f>[2]Stoping!P116</f>
        <v>35</v>
      </c>
      <c r="Q102" s="199">
        <f>[2]Stoping!Q116</f>
        <v>35</v>
      </c>
      <c r="R102" s="199">
        <f>[2]Stoping!R116</f>
        <v>35</v>
      </c>
      <c r="S102" s="199">
        <f>[2]Stoping!S116</f>
        <v>35</v>
      </c>
      <c r="T102" s="199">
        <f>[2]Stoping!T116</f>
        <v>35</v>
      </c>
      <c r="U102" s="199">
        <f>[2]Stoping!U116</f>
        <v>35</v>
      </c>
      <c r="V102" s="199">
        <f>[2]Stoping!V116</f>
        <v>35</v>
      </c>
      <c r="W102" s="199">
        <f>[2]Stoping!W116</f>
        <v>35</v>
      </c>
      <c r="X102" s="199">
        <f>[2]Stoping!X116</f>
        <v>35</v>
      </c>
      <c r="Y102" s="199">
        <f>[2]Stoping!Y116</f>
        <v>35</v>
      </c>
      <c r="Z102" s="199">
        <f>[2]Stoping!Z116</f>
        <v>35</v>
      </c>
      <c r="AA102" s="199">
        <f>[2]Stoping!AA116</f>
        <v>35</v>
      </c>
      <c r="AB102" s="199">
        <f>[2]Stoping!AB116</f>
        <v>35</v>
      </c>
      <c r="AC102" s="199">
        <f>[2]Stoping!AC116</f>
        <v>35</v>
      </c>
      <c r="AD102" s="199">
        <f>[2]Stoping!AD116</f>
        <v>35</v>
      </c>
      <c r="AE102" s="199">
        <f>[2]Stoping!AE116</f>
        <v>35</v>
      </c>
      <c r="AF102" s="199">
        <f>[2]Stoping!AF116</f>
        <v>35</v>
      </c>
      <c r="AG102" s="199">
        <f>[2]Stoping!AG116</f>
        <v>35</v>
      </c>
      <c r="AH102" s="199">
        <f>[2]Stoping!AH116</f>
        <v>35</v>
      </c>
      <c r="AI102" s="199">
        <f>[2]Stoping!AI116</f>
        <v>35</v>
      </c>
      <c r="AJ102" s="199">
        <f>[2]Stoping!AJ116</f>
        <v>35</v>
      </c>
      <c r="AK102" s="199">
        <f>[2]Stoping!AK116</f>
        <v>35</v>
      </c>
      <c r="AL102" s="201">
        <f>[2]Stoping!AL109</f>
        <v>0</v>
      </c>
      <c r="AM102" s="1072"/>
    </row>
    <row r="103" spans="2:39" x14ac:dyDescent="0.25">
      <c r="B103" s="1607"/>
      <c r="C103" s="1662"/>
      <c r="D103" s="1610"/>
      <c r="E103" s="1302" t="s">
        <v>342</v>
      </c>
      <c r="F103" s="1303">
        <f t="shared" si="63"/>
        <v>767.6</v>
      </c>
      <c r="G103" s="1304">
        <f t="shared" ref="G103" si="66">IFERROR((F103-F102)/F102,0)</f>
        <v>-0.26895238095238094</v>
      </c>
      <c r="H103" s="1305">
        <v>65</v>
      </c>
      <c r="I103" s="1303">
        <v>43</v>
      </c>
      <c r="J103" s="1303">
        <v>125</v>
      </c>
      <c r="K103" s="1303">
        <f>17.6+48</f>
        <v>65.599999999999994</v>
      </c>
      <c r="L103" s="1303">
        <v>56</v>
      </c>
      <c r="M103" s="1303">
        <v>15</v>
      </c>
      <c r="N103" s="1303">
        <v>70</v>
      </c>
      <c r="O103" s="1303">
        <f>58+22</f>
        <v>80</v>
      </c>
      <c r="P103" s="1303">
        <f>12+25</f>
        <v>37</v>
      </c>
      <c r="Q103" s="1303"/>
      <c r="R103" s="1303">
        <v>53</v>
      </c>
      <c r="S103" s="1303">
        <v>41</v>
      </c>
      <c r="T103" s="1303"/>
      <c r="U103" s="1080">
        <v>30</v>
      </c>
      <c r="V103" s="1303"/>
      <c r="W103" s="1303"/>
      <c r="X103" s="1303"/>
      <c r="Y103" s="1303"/>
      <c r="Z103" s="1303"/>
      <c r="AA103" s="1303"/>
      <c r="AB103" s="1303"/>
      <c r="AC103" s="1303"/>
      <c r="AD103" s="1303"/>
      <c r="AE103" s="1303"/>
      <c r="AF103" s="1303">
        <v>67</v>
      </c>
      <c r="AG103" s="1303"/>
      <c r="AH103" s="1303"/>
      <c r="AI103" s="1303">
        <v>20</v>
      </c>
      <c r="AJ103" s="1303"/>
      <c r="AK103" s="1303"/>
      <c r="AL103" s="1303"/>
      <c r="AM103" s="1074"/>
    </row>
    <row r="104" spans="2:39" x14ac:dyDescent="0.25">
      <c r="B104" s="1607"/>
      <c r="C104" s="1662"/>
      <c r="D104" s="1610"/>
      <c r="E104" s="1324" t="s">
        <v>312</v>
      </c>
      <c r="F104" s="1307"/>
      <c r="G104" s="1308"/>
      <c r="H104" s="1075"/>
      <c r="I104" s="1075"/>
      <c r="J104" s="1075"/>
      <c r="K104" s="1075"/>
      <c r="L104" s="1075"/>
      <c r="M104" s="1075"/>
      <c r="N104" s="1075"/>
      <c r="O104" s="1075"/>
      <c r="P104" s="1076"/>
      <c r="Q104" s="1075"/>
      <c r="R104" s="1075"/>
      <c r="S104" s="1075"/>
      <c r="T104" s="1075"/>
      <c r="U104" s="1075"/>
      <c r="V104" s="1075"/>
      <c r="W104" s="1075"/>
      <c r="X104" s="1075"/>
      <c r="Y104" s="1075"/>
      <c r="Z104" s="1075"/>
      <c r="AA104" s="1075"/>
      <c r="AB104" s="1075"/>
      <c r="AC104" s="1075"/>
      <c r="AD104" s="1075"/>
      <c r="AE104" s="1075"/>
      <c r="AF104" s="1075"/>
      <c r="AG104" s="1075"/>
      <c r="AH104" s="1075"/>
      <c r="AI104" s="1075"/>
      <c r="AJ104" s="1075"/>
      <c r="AK104" s="1075"/>
      <c r="AL104" s="1077"/>
      <c r="AM104" s="1074"/>
    </row>
    <row r="105" spans="2:39" x14ac:dyDescent="0.25">
      <c r="B105" s="1607"/>
      <c r="C105" s="1662"/>
      <c r="D105" s="1612" t="s">
        <v>343</v>
      </c>
      <c r="E105" s="1309" t="s">
        <v>344</v>
      </c>
      <c r="F105" s="1310">
        <f t="shared" ref="F105:F106" si="67">IFERROR(F107*1000/F102,0)</f>
        <v>2.8400000000000003</v>
      </c>
      <c r="G105" s="1311"/>
      <c r="H105" s="1312">
        <f>[2]Stoping!H119</f>
        <v>2.84</v>
      </c>
      <c r="I105" s="1312">
        <f>[2]Stoping!I119</f>
        <v>2.84</v>
      </c>
      <c r="J105" s="1312">
        <f>[2]Stoping!J119</f>
        <v>2.84</v>
      </c>
      <c r="K105" s="1333">
        <f>[2]Stoping!K119</f>
        <v>2.84</v>
      </c>
      <c r="L105" s="1333">
        <f>[2]Stoping!L119</f>
        <v>2.84</v>
      </c>
      <c r="M105" s="1333">
        <f>[2]Stoping!M119</f>
        <v>2.84</v>
      </c>
      <c r="N105" s="1333">
        <f>[2]Stoping!N119</f>
        <v>2.84</v>
      </c>
      <c r="O105" s="1333">
        <f>[2]Stoping!O119</f>
        <v>2.84</v>
      </c>
      <c r="P105" s="1334">
        <f>[2]Stoping!P119</f>
        <v>2.84</v>
      </c>
      <c r="Q105" s="1333">
        <f>[2]Stoping!Q119</f>
        <v>2.84</v>
      </c>
      <c r="R105" s="1333">
        <f>[2]Stoping!R119</f>
        <v>2.84</v>
      </c>
      <c r="S105" s="1333">
        <f>[2]Stoping!S119</f>
        <v>2.84</v>
      </c>
      <c r="T105" s="1333">
        <f>[2]Stoping!T119</f>
        <v>2.84</v>
      </c>
      <c r="U105" s="1333">
        <f>[2]Stoping!U119</f>
        <v>2.84</v>
      </c>
      <c r="V105" s="1333">
        <f>[2]Stoping!V119</f>
        <v>2.84</v>
      </c>
      <c r="W105" s="1333">
        <f>[2]Stoping!W119</f>
        <v>2.84</v>
      </c>
      <c r="X105" s="1333">
        <f>[2]Stoping!X119</f>
        <v>2.84</v>
      </c>
      <c r="Y105" s="1333">
        <f>[2]Stoping!Y119</f>
        <v>2.84</v>
      </c>
      <c r="Z105" s="1333">
        <f>[2]Stoping!Z119</f>
        <v>2.84</v>
      </c>
      <c r="AA105" s="1333">
        <f>[2]Stoping!AA119</f>
        <v>2.84</v>
      </c>
      <c r="AB105" s="1333">
        <f>[2]Stoping!AB119</f>
        <v>2.84</v>
      </c>
      <c r="AC105" s="1333">
        <f>[2]Stoping!AC119</f>
        <v>2.84</v>
      </c>
      <c r="AD105" s="1333">
        <f>[2]Stoping!AD119</f>
        <v>2.84</v>
      </c>
      <c r="AE105" s="1333">
        <f>[2]Stoping!AE119</f>
        <v>2.84</v>
      </c>
      <c r="AF105" s="1333">
        <f>[2]Stoping!AF119</f>
        <v>2.84</v>
      </c>
      <c r="AG105" s="1333">
        <f>[2]Stoping!AG119</f>
        <v>2.84</v>
      </c>
      <c r="AH105" s="1333">
        <f>[2]Stoping!AH119</f>
        <v>2.84</v>
      </c>
      <c r="AI105" s="1333">
        <f>[2]Stoping!AI119</f>
        <v>2.84</v>
      </c>
      <c r="AJ105" s="1333">
        <f>[2]Stoping!AJ119</f>
        <v>2.84</v>
      </c>
      <c r="AK105" s="1333">
        <f>[2]Stoping!AK119</f>
        <v>2.84</v>
      </c>
      <c r="AL105" s="1335">
        <f>[2]Stoping!AL112</f>
        <v>0</v>
      </c>
      <c r="AM105" s="1074"/>
    </row>
    <row r="106" spans="2:39" x14ac:dyDescent="0.25">
      <c r="B106" s="1607"/>
      <c r="C106" s="1662"/>
      <c r="D106" s="1664"/>
      <c r="E106" s="1313" t="s">
        <v>345</v>
      </c>
      <c r="F106" s="1314">
        <f t="shared" si="67"/>
        <v>2.5407816571130799</v>
      </c>
      <c r="G106" s="1304">
        <f t="shared" ref="G106" si="68">IFERROR((F106-F105)/F105,0)</f>
        <v>-0.10535857143905647</v>
      </c>
      <c r="H106" s="1315">
        <v>2.9</v>
      </c>
      <c r="I106" s="1314">
        <v>3.29</v>
      </c>
      <c r="J106" s="1314">
        <v>4.54</v>
      </c>
      <c r="K106" s="1314">
        <v>1.49</v>
      </c>
      <c r="L106" s="1314">
        <v>1.64</v>
      </c>
      <c r="M106" s="1314">
        <v>0.5</v>
      </c>
      <c r="N106" s="1314">
        <v>1.22</v>
      </c>
      <c r="O106" s="1314">
        <v>0.88</v>
      </c>
      <c r="P106" s="1314">
        <v>2.54</v>
      </c>
      <c r="Q106" s="1314"/>
      <c r="R106" s="1314">
        <v>2.33</v>
      </c>
      <c r="S106" s="1314">
        <v>5.9</v>
      </c>
      <c r="T106" s="1314"/>
      <c r="U106" s="1314">
        <v>1.8</v>
      </c>
      <c r="V106" s="1314"/>
      <c r="W106" s="1314"/>
      <c r="X106" s="1314"/>
      <c r="Y106" s="1314"/>
      <c r="Z106" s="1314"/>
      <c r="AA106" s="1314"/>
      <c r="AB106" s="1314"/>
      <c r="AC106" s="1314"/>
      <c r="AD106" s="1314"/>
      <c r="AE106" s="1314"/>
      <c r="AF106" s="1314">
        <v>2.34</v>
      </c>
      <c r="AG106" s="1314"/>
      <c r="AH106" s="1314"/>
      <c r="AI106" s="1314">
        <v>1.49</v>
      </c>
      <c r="AJ106" s="1314"/>
      <c r="AK106" s="1314"/>
      <c r="AL106" s="1314"/>
      <c r="AM106" s="1074"/>
    </row>
    <row r="107" spans="2:39" x14ac:dyDescent="0.25">
      <c r="B107" s="1607"/>
      <c r="C107" s="1662"/>
      <c r="D107" s="1612" t="s">
        <v>47</v>
      </c>
      <c r="E107" s="1309" t="s">
        <v>346</v>
      </c>
      <c r="F107" s="206">
        <f t="shared" ref="F107:F110" si="69">SUMIF($H$9:$AL$9,"&lt;="&amp;$C$7,H107:AL107)</f>
        <v>2.9820000000000007</v>
      </c>
      <c r="G107" s="1311"/>
      <c r="H107" s="1316">
        <f>+H105*H102/1000</f>
        <v>9.9399999999999988E-2</v>
      </c>
      <c r="I107" s="1316">
        <f t="shared" ref="I107:AL108" si="70">+I105*I102/1000</f>
        <v>9.9399999999999988E-2</v>
      </c>
      <c r="J107" s="1316">
        <f t="shared" si="70"/>
        <v>9.9399999999999988E-2</v>
      </c>
      <c r="K107" s="1316">
        <f t="shared" si="70"/>
        <v>9.9399999999999988E-2</v>
      </c>
      <c r="L107" s="1316">
        <f t="shared" si="70"/>
        <v>9.9399999999999988E-2</v>
      </c>
      <c r="M107" s="1316">
        <f t="shared" si="70"/>
        <v>9.9399999999999988E-2</v>
      </c>
      <c r="N107" s="1316">
        <f t="shared" si="70"/>
        <v>9.9399999999999988E-2</v>
      </c>
      <c r="O107" s="1316">
        <f t="shared" si="70"/>
        <v>9.9399999999999988E-2</v>
      </c>
      <c r="P107" s="1316">
        <f t="shared" si="70"/>
        <v>9.9399999999999988E-2</v>
      </c>
      <c r="Q107" s="1316">
        <f t="shared" si="70"/>
        <v>9.9399999999999988E-2</v>
      </c>
      <c r="R107" s="1316">
        <f t="shared" si="70"/>
        <v>9.9399999999999988E-2</v>
      </c>
      <c r="S107" s="1316">
        <f t="shared" si="70"/>
        <v>9.9399999999999988E-2</v>
      </c>
      <c r="T107" s="1316">
        <f t="shared" si="70"/>
        <v>9.9399999999999988E-2</v>
      </c>
      <c r="U107" s="1316">
        <f t="shared" si="70"/>
        <v>9.9399999999999988E-2</v>
      </c>
      <c r="V107" s="1316">
        <f t="shared" si="70"/>
        <v>9.9399999999999988E-2</v>
      </c>
      <c r="W107" s="1316">
        <f t="shared" si="70"/>
        <v>9.9399999999999988E-2</v>
      </c>
      <c r="X107" s="1316">
        <f t="shared" si="70"/>
        <v>9.9399999999999988E-2</v>
      </c>
      <c r="Y107" s="1316">
        <f t="shared" si="70"/>
        <v>9.9399999999999988E-2</v>
      </c>
      <c r="Z107" s="1316">
        <f t="shared" si="70"/>
        <v>9.9399999999999988E-2</v>
      </c>
      <c r="AA107" s="1316">
        <f t="shared" si="70"/>
        <v>9.9399999999999988E-2</v>
      </c>
      <c r="AB107" s="1316">
        <f t="shared" si="70"/>
        <v>9.9399999999999988E-2</v>
      </c>
      <c r="AC107" s="1316">
        <f t="shared" si="70"/>
        <v>9.9399999999999988E-2</v>
      </c>
      <c r="AD107" s="1316">
        <f t="shared" si="70"/>
        <v>9.9399999999999988E-2</v>
      </c>
      <c r="AE107" s="1316">
        <f t="shared" si="70"/>
        <v>9.9399999999999988E-2</v>
      </c>
      <c r="AF107" s="1316">
        <f t="shared" si="70"/>
        <v>9.9399999999999988E-2</v>
      </c>
      <c r="AG107" s="1316">
        <f t="shared" si="70"/>
        <v>9.9399999999999988E-2</v>
      </c>
      <c r="AH107" s="1316">
        <f>+AH105*AH102/1000</f>
        <v>9.9399999999999988E-2</v>
      </c>
      <c r="AI107" s="1316">
        <f t="shared" si="70"/>
        <v>9.9399999999999988E-2</v>
      </c>
      <c r="AJ107" s="1316">
        <f t="shared" si="70"/>
        <v>9.9399999999999988E-2</v>
      </c>
      <c r="AK107" s="1316">
        <f t="shared" si="70"/>
        <v>9.9399999999999988E-2</v>
      </c>
      <c r="AL107" s="1316">
        <f t="shared" si="70"/>
        <v>0</v>
      </c>
      <c r="AM107" s="1078"/>
    </row>
    <row r="108" spans="2:39" ht="14.25" thickBot="1" x14ac:dyDescent="0.3">
      <c r="B108" s="1660"/>
      <c r="C108" s="1663"/>
      <c r="D108" s="1665"/>
      <c r="E108" s="1320" t="s">
        <v>347</v>
      </c>
      <c r="F108" s="1321">
        <f t="shared" si="69"/>
        <v>1.950304</v>
      </c>
      <c r="G108" s="1322">
        <f t="shared" ref="G108" si="71">IFERROR((F108-F107)/F107,0)</f>
        <v>-0.34597451374916177</v>
      </c>
      <c r="H108" s="1323">
        <f>+H106*H103/1000</f>
        <v>0.1885</v>
      </c>
      <c r="I108" s="1323">
        <f t="shared" si="70"/>
        <v>0.14147000000000001</v>
      </c>
      <c r="J108" s="1323">
        <f t="shared" si="70"/>
        <v>0.5675</v>
      </c>
      <c r="K108" s="1323">
        <f t="shared" si="70"/>
        <v>9.7743999999999984E-2</v>
      </c>
      <c r="L108" s="1323">
        <f t="shared" si="70"/>
        <v>9.1839999999999991E-2</v>
      </c>
      <c r="M108" s="1323">
        <f t="shared" si="70"/>
        <v>7.4999999999999997E-3</v>
      </c>
      <c r="N108" s="1323">
        <f t="shared" si="70"/>
        <v>8.539999999999999E-2</v>
      </c>
      <c r="O108" s="1323">
        <f t="shared" si="70"/>
        <v>7.0400000000000004E-2</v>
      </c>
      <c r="P108" s="1323">
        <f t="shared" si="70"/>
        <v>9.3980000000000008E-2</v>
      </c>
      <c r="Q108" s="1323">
        <f t="shared" si="70"/>
        <v>0</v>
      </c>
      <c r="R108" s="1323">
        <f t="shared" si="70"/>
        <v>0.12349</v>
      </c>
      <c r="S108" s="1323">
        <f t="shared" si="70"/>
        <v>0.2419</v>
      </c>
      <c r="T108" s="1323">
        <f t="shared" si="70"/>
        <v>0</v>
      </c>
      <c r="U108" s="1323">
        <f t="shared" si="70"/>
        <v>5.3999999999999999E-2</v>
      </c>
      <c r="V108" s="1323">
        <f t="shared" si="70"/>
        <v>0</v>
      </c>
      <c r="W108" s="1323">
        <f t="shared" si="70"/>
        <v>0</v>
      </c>
      <c r="X108" s="1323">
        <f t="shared" si="70"/>
        <v>0</v>
      </c>
      <c r="Y108" s="1323">
        <f t="shared" si="70"/>
        <v>0</v>
      </c>
      <c r="Z108" s="1323">
        <f t="shared" si="70"/>
        <v>0</v>
      </c>
      <c r="AA108" s="1323">
        <f t="shared" si="70"/>
        <v>0</v>
      </c>
      <c r="AB108" s="1323">
        <f t="shared" si="70"/>
        <v>0</v>
      </c>
      <c r="AC108" s="1323">
        <f t="shared" si="70"/>
        <v>0</v>
      </c>
      <c r="AD108" s="1323">
        <f t="shared" si="70"/>
        <v>0</v>
      </c>
      <c r="AE108" s="1323">
        <f t="shared" si="70"/>
        <v>0</v>
      </c>
      <c r="AF108" s="1323">
        <f t="shared" si="70"/>
        <v>0.15678</v>
      </c>
      <c r="AG108" s="1323">
        <f t="shared" si="70"/>
        <v>0</v>
      </c>
      <c r="AH108" s="1323">
        <f t="shared" si="70"/>
        <v>0</v>
      </c>
      <c r="AI108" s="1323">
        <f t="shared" si="70"/>
        <v>2.98E-2</v>
      </c>
      <c r="AJ108" s="1323">
        <f t="shared" si="70"/>
        <v>0</v>
      </c>
      <c r="AK108" s="1323">
        <f t="shared" si="70"/>
        <v>0</v>
      </c>
      <c r="AL108" s="1323">
        <f t="shared" si="70"/>
        <v>0</v>
      </c>
      <c r="AM108" s="1079"/>
    </row>
    <row r="109" spans="2:39" s="1069" customFormat="1" ht="14.85" customHeight="1" x14ac:dyDescent="0.25">
      <c r="B109" s="1608">
        <v>1</v>
      </c>
      <c r="C109" s="1661" t="str">
        <f>[2]Stoping!C123</f>
        <v>6L_W14 STOPE</v>
      </c>
      <c r="D109" s="1611" t="s">
        <v>340</v>
      </c>
      <c r="E109" s="1070" t="s">
        <v>341</v>
      </c>
      <c r="F109" s="196">
        <f t="shared" si="69"/>
        <v>2100</v>
      </c>
      <c r="G109" s="1071"/>
      <c r="H109" s="198">
        <f>[2]Stoping!H123</f>
        <v>70</v>
      </c>
      <c r="I109" s="198">
        <f>[2]Stoping!I123</f>
        <v>70</v>
      </c>
      <c r="J109" s="198">
        <f>[2]Stoping!J123</f>
        <v>70</v>
      </c>
      <c r="K109" s="199">
        <f>[2]Stoping!K123</f>
        <v>70</v>
      </c>
      <c r="L109" s="199">
        <f>[2]Stoping!L123</f>
        <v>70</v>
      </c>
      <c r="M109" s="199">
        <f>[2]Stoping!M123</f>
        <v>70</v>
      </c>
      <c r="N109" s="199">
        <f>[2]Stoping!N123</f>
        <v>70</v>
      </c>
      <c r="O109" s="199">
        <f>[2]Stoping!O123</f>
        <v>70</v>
      </c>
      <c r="P109" s="200">
        <f>[2]Stoping!P123</f>
        <v>70</v>
      </c>
      <c r="Q109" s="199">
        <f>[2]Stoping!Q123</f>
        <v>70</v>
      </c>
      <c r="R109" s="199">
        <f>[2]Stoping!R123</f>
        <v>70</v>
      </c>
      <c r="S109" s="199">
        <f>[2]Stoping!S123</f>
        <v>70</v>
      </c>
      <c r="T109" s="199">
        <f>[2]Stoping!T123</f>
        <v>70</v>
      </c>
      <c r="U109" s="199">
        <f>[2]Stoping!U123</f>
        <v>70</v>
      </c>
      <c r="V109" s="199">
        <f>[2]Stoping!V123</f>
        <v>70</v>
      </c>
      <c r="W109" s="199">
        <f>[2]Stoping!W123</f>
        <v>70</v>
      </c>
      <c r="X109" s="199">
        <f>[2]Stoping!X123</f>
        <v>70</v>
      </c>
      <c r="Y109" s="199">
        <f>[2]Stoping!Y123</f>
        <v>70</v>
      </c>
      <c r="Z109" s="199">
        <f>[2]Stoping!Z123</f>
        <v>70</v>
      </c>
      <c r="AA109" s="199">
        <f>[2]Stoping!AA123</f>
        <v>70</v>
      </c>
      <c r="AB109" s="199">
        <f>[2]Stoping!AB123</f>
        <v>70</v>
      </c>
      <c r="AC109" s="199">
        <f>[2]Stoping!AC123</f>
        <v>70</v>
      </c>
      <c r="AD109" s="199">
        <f>[2]Stoping!AD123</f>
        <v>70</v>
      </c>
      <c r="AE109" s="199">
        <f>[2]Stoping!AE123</f>
        <v>70</v>
      </c>
      <c r="AF109" s="199">
        <f>[2]Stoping!AF123</f>
        <v>70</v>
      </c>
      <c r="AG109" s="199">
        <f>[2]Stoping!AG123</f>
        <v>70</v>
      </c>
      <c r="AH109" s="199">
        <f>[2]Stoping!AH123</f>
        <v>70</v>
      </c>
      <c r="AI109" s="199">
        <f>[2]Stoping!AI123</f>
        <v>70</v>
      </c>
      <c r="AJ109" s="199">
        <f>[2]Stoping!AJ123</f>
        <v>70</v>
      </c>
      <c r="AK109" s="199">
        <f>[2]Stoping!AK123</f>
        <v>70</v>
      </c>
      <c r="AL109" s="201">
        <f>[2]Stoping!AL116</f>
        <v>0</v>
      </c>
      <c r="AM109" s="1072"/>
    </row>
    <row r="110" spans="2:39" x14ac:dyDescent="0.25">
      <c r="B110" s="1607"/>
      <c r="C110" s="1662"/>
      <c r="D110" s="1610"/>
      <c r="E110" s="1302" t="s">
        <v>342</v>
      </c>
      <c r="F110" s="1303">
        <f t="shared" si="69"/>
        <v>1981</v>
      </c>
      <c r="G110" s="1304">
        <f t="shared" ref="G110" si="72">IFERROR((F110-F109)/F109,0)</f>
        <v>-5.6666666666666664E-2</v>
      </c>
      <c r="H110" s="1305">
        <v>137</v>
      </c>
      <c r="I110" s="1303">
        <v>100</v>
      </c>
      <c r="J110" s="1303">
        <v>60</v>
      </c>
      <c r="K110" s="1303">
        <v>85</v>
      </c>
      <c r="L110" s="1303">
        <f>67+25</f>
        <v>92</v>
      </c>
      <c r="M110" s="1303">
        <v>30</v>
      </c>
      <c r="N110" s="1303">
        <v>57</v>
      </c>
      <c r="O110" s="1303">
        <v>87</v>
      </c>
      <c r="P110" s="1303">
        <v>79</v>
      </c>
      <c r="Q110" s="1303">
        <f>57+154-134</f>
        <v>77</v>
      </c>
      <c r="R110" s="1303"/>
      <c r="S110" s="1303"/>
      <c r="T110" s="1303">
        <v>25</v>
      </c>
      <c r="U110" s="1303">
        <v>90</v>
      </c>
      <c r="V110" s="1303">
        <v>94</v>
      </c>
      <c r="W110" s="1303">
        <v>96</v>
      </c>
      <c r="X110" s="1303">
        <v>85</v>
      </c>
      <c r="Y110" s="1303">
        <f>15+30+45</f>
        <v>90</v>
      </c>
      <c r="Z110" s="1303">
        <v>71</v>
      </c>
      <c r="AA110" s="1303">
        <v>12</v>
      </c>
      <c r="AB110" s="1303">
        <v>75</v>
      </c>
      <c r="AC110" s="1303">
        <v>84</v>
      </c>
      <c r="AD110" s="1303">
        <v>91</v>
      </c>
      <c r="AE110" s="1303">
        <v>71</v>
      </c>
      <c r="AF110" s="1303">
        <v>66</v>
      </c>
      <c r="AG110" s="1303">
        <v>43</v>
      </c>
      <c r="AH110" s="1303">
        <v>23</v>
      </c>
      <c r="AI110" s="1303">
        <v>71</v>
      </c>
      <c r="AJ110" s="1303"/>
      <c r="AK110" s="1303">
        <v>90</v>
      </c>
      <c r="AL110" s="1303"/>
      <c r="AM110" s="1074"/>
    </row>
    <row r="111" spans="2:39" x14ac:dyDescent="0.25">
      <c r="B111" s="1607"/>
      <c r="C111" s="1662"/>
      <c r="D111" s="1610"/>
      <c r="E111" s="1324" t="s">
        <v>312</v>
      </c>
      <c r="F111" s="1307"/>
      <c r="G111" s="1308"/>
      <c r="H111" s="1075"/>
      <c r="I111" s="1075"/>
      <c r="J111" s="1075"/>
      <c r="K111" s="1075"/>
      <c r="L111" s="1075"/>
      <c r="M111" s="1075"/>
      <c r="N111" s="1075"/>
      <c r="O111" s="1075"/>
      <c r="P111" s="1076"/>
      <c r="Q111" s="1075"/>
      <c r="R111" s="1075"/>
      <c r="S111" s="1075"/>
      <c r="T111" s="1075"/>
      <c r="U111" s="1075"/>
      <c r="V111" s="1075"/>
      <c r="W111" s="1075"/>
      <c r="X111" s="1075"/>
      <c r="Y111" s="1075"/>
      <c r="Z111" s="1075"/>
      <c r="AA111" s="1075"/>
      <c r="AB111" s="1075"/>
      <c r="AC111" s="1075"/>
      <c r="AD111" s="1075"/>
      <c r="AE111" s="1075"/>
      <c r="AF111" s="1075"/>
      <c r="AG111" s="1075"/>
      <c r="AH111" s="1075"/>
      <c r="AI111" s="1075"/>
      <c r="AJ111" s="1075"/>
      <c r="AK111" s="1075"/>
      <c r="AL111" s="1077"/>
      <c r="AM111" s="1074"/>
    </row>
    <row r="112" spans="2:39" x14ac:dyDescent="0.25">
      <c r="B112" s="1607"/>
      <c r="C112" s="1662"/>
      <c r="D112" s="1612" t="s">
        <v>343</v>
      </c>
      <c r="E112" s="1309" t="s">
        <v>344</v>
      </c>
      <c r="F112" s="1310">
        <f t="shared" ref="F112:F113" si="73">IFERROR(F114*1000/F109,0)</f>
        <v>2.1999999999999993</v>
      </c>
      <c r="G112" s="1311"/>
      <c r="H112" s="1312">
        <f>[2]Stoping!H126</f>
        <v>2.2000000000000002</v>
      </c>
      <c r="I112" s="1312">
        <f>[2]Stoping!I126</f>
        <v>2.2000000000000002</v>
      </c>
      <c r="J112" s="1312">
        <f>[2]Stoping!J126</f>
        <v>2.2000000000000002</v>
      </c>
      <c r="K112" s="1333">
        <f>[2]Stoping!K126</f>
        <v>2.2000000000000002</v>
      </c>
      <c r="L112" s="1333">
        <f>[2]Stoping!L126</f>
        <v>2.2000000000000002</v>
      </c>
      <c r="M112" s="1333">
        <f>[2]Stoping!M126</f>
        <v>2.2000000000000002</v>
      </c>
      <c r="N112" s="1333">
        <f>[2]Stoping!N126</f>
        <v>2.2000000000000002</v>
      </c>
      <c r="O112" s="1333">
        <f>[2]Stoping!O126</f>
        <v>2.2000000000000002</v>
      </c>
      <c r="P112" s="1334">
        <f>[2]Stoping!P126</f>
        <v>2.2000000000000002</v>
      </c>
      <c r="Q112" s="1333">
        <f>[2]Stoping!Q126</f>
        <v>2.2000000000000002</v>
      </c>
      <c r="R112" s="1333">
        <f>[2]Stoping!R126</f>
        <v>2.2000000000000002</v>
      </c>
      <c r="S112" s="1333">
        <f>[2]Stoping!S126</f>
        <v>2.2000000000000002</v>
      </c>
      <c r="T112" s="1333">
        <f>[2]Stoping!T126</f>
        <v>2.2000000000000002</v>
      </c>
      <c r="U112" s="1333">
        <f>[2]Stoping!U126</f>
        <v>2.2000000000000002</v>
      </c>
      <c r="V112" s="1333">
        <f>[2]Stoping!V126</f>
        <v>2.2000000000000002</v>
      </c>
      <c r="W112" s="1333">
        <f>[2]Stoping!W126</f>
        <v>2.2000000000000002</v>
      </c>
      <c r="X112" s="1333">
        <f>[2]Stoping!X126</f>
        <v>2.2000000000000002</v>
      </c>
      <c r="Y112" s="1333">
        <f>[2]Stoping!Y126</f>
        <v>2.2000000000000002</v>
      </c>
      <c r="Z112" s="1333">
        <f>[2]Stoping!Z126</f>
        <v>2.2000000000000002</v>
      </c>
      <c r="AA112" s="1333">
        <f>[2]Stoping!AA126</f>
        <v>2.2000000000000002</v>
      </c>
      <c r="AB112" s="1333">
        <f>[2]Stoping!AB126</f>
        <v>2.2000000000000002</v>
      </c>
      <c r="AC112" s="1333">
        <f>[2]Stoping!AC126</f>
        <v>2.2000000000000002</v>
      </c>
      <c r="AD112" s="1333">
        <f>[2]Stoping!AD126</f>
        <v>2.2000000000000002</v>
      </c>
      <c r="AE112" s="1333">
        <f>[2]Stoping!AE126</f>
        <v>2.2000000000000002</v>
      </c>
      <c r="AF112" s="1333">
        <f>[2]Stoping!AF126</f>
        <v>2.2000000000000002</v>
      </c>
      <c r="AG112" s="1333">
        <f>[2]Stoping!AG126</f>
        <v>2.2000000000000002</v>
      </c>
      <c r="AH112" s="1333">
        <f>[2]Stoping!AH126</f>
        <v>2.2000000000000002</v>
      </c>
      <c r="AI112" s="1333">
        <f>[2]Stoping!AI126</f>
        <v>2.2000000000000002</v>
      </c>
      <c r="AJ112" s="1333">
        <f>[2]Stoping!AJ126</f>
        <v>2.2000000000000002</v>
      </c>
      <c r="AK112" s="1333">
        <f>[2]Stoping!AK126</f>
        <v>2.2000000000000002</v>
      </c>
      <c r="AL112" s="1335">
        <f>[2]Stoping!AL119</f>
        <v>0</v>
      </c>
      <c r="AM112" s="1074"/>
    </row>
    <row r="113" spans="2:39" x14ac:dyDescent="0.25">
      <c r="B113" s="1607"/>
      <c r="C113" s="1662"/>
      <c r="D113" s="1664"/>
      <c r="E113" s="1313" t="s">
        <v>345</v>
      </c>
      <c r="F113" s="1314">
        <f t="shared" si="73"/>
        <v>1.4931044926804642</v>
      </c>
      <c r="G113" s="1304">
        <f t="shared" ref="G113" si="74">IFERROR((F113-F112)/F112,0)</f>
        <v>-0.32131613969069789</v>
      </c>
      <c r="H113" s="1315">
        <v>1.49</v>
      </c>
      <c r="I113" s="1314">
        <v>2.19</v>
      </c>
      <c r="J113" s="1314">
        <v>1.62</v>
      </c>
      <c r="K113" s="1314">
        <v>0.89</v>
      </c>
      <c r="L113" s="1314">
        <v>5.0999999999999996</v>
      </c>
      <c r="M113" s="1314">
        <v>0.96</v>
      </c>
      <c r="N113" s="1314">
        <v>1.08</v>
      </c>
      <c r="O113" s="1314">
        <v>1.1200000000000001</v>
      </c>
      <c r="P113" s="1314">
        <v>0.49</v>
      </c>
      <c r="Q113" s="1314">
        <v>1.99</v>
      </c>
      <c r="R113" s="1314"/>
      <c r="S113" s="1314"/>
      <c r="T113" s="1314">
        <v>2.58</v>
      </c>
      <c r="U113" s="1314">
        <v>0.48</v>
      </c>
      <c r="V113" s="1314">
        <v>0.54</v>
      </c>
      <c r="W113" s="1314">
        <v>0.74</v>
      </c>
      <c r="X113" s="1314">
        <v>3.11</v>
      </c>
      <c r="Y113" s="1314">
        <v>0.73</v>
      </c>
      <c r="Z113" s="1314">
        <v>1.61</v>
      </c>
      <c r="AA113" s="1314">
        <v>1.61</v>
      </c>
      <c r="AB113" s="1314">
        <v>1.1100000000000001</v>
      </c>
      <c r="AC113" s="1314">
        <v>1.1499999999999999</v>
      </c>
      <c r="AD113" s="1314">
        <v>1.1499999999999999</v>
      </c>
      <c r="AE113" s="1314">
        <v>1.2</v>
      </c>
      <c r="AF113" s="1314">
        <v>1.26</v>
      </c>
      <c r="AG113" s="1314">
        <v>1.68</v>
      </c>
      <c r="AH113" s="1314">
        <v>1.66</v>
      </c>
      <c r="AI113" s="1314">
        <v>1.66</v>
      </c>
      <c r="AJ113" s="1314"/>
      <c r="AK113" s="1314">
        <v>1.54</v>
      </c>
      <c r="AL113" s="1314"/>
      <c r="AM113" s="1074"/>
    </row>
    <row r="114" spans="2:39" x14ac:dyDescent="0.25">
      <c r="B114" s="1607"/>
      <c r="C114" s="1662"/>
      <c r="D114" s="1612" t="s">
        <v>47</v>
      </c>
      <c r="E114" s="1309" t="s">
        <v>346</v>
      </c>
      <c r="F114" s="206">
        <f t="shared" ref="F114:F117" si="75">SUMIF($H$9:$AL$9,"&lt;="&amp;$C$7,H114:AL114)</f>
        <v>4.6199999999999983</v>
      </c>
      <c r="G114" s="1311"/>
      <c r="H114" s="1316">
        <f>+H112*H109/1000</f>
        <v>0.154</v>
      </c>
      <c r="I114" s="1316">
        <f t="shared" ref="I114:AG115" si="76">+I112*I109/1000</f>
        <v>0.154</v>
      </c>
      <c r="J114" s="1316">
        <f t="shared" si="76"/>
        <v>0.154</v>
      </c>
      <c r="K114" s="1316">
        <f t="shared" si="76"/>
        <v>0.154</v>
      </c>
      <c r="L114" s="1316">
        <f t="shared" si="76"/>
        <v>0.154</v>
      </c>
      <c r="M114" s="1316">
        <f t="shared" si="76"/>
        <v>0.154</v>
      </c>
      <c r="N114" s="1316">
        <f t="shared" si="76"/>
        <v>0.154</v>
      </c>
      <c r="O114" s="1316">
        <f t="shared" si="76"/>
        <v>0.154</v>
      </c>
      <c r="P114" s="1316">
        <f t="shared" si="76"/>
        <v>0.154</v>
      </c>
      <c r="Q114" s="1316">
        <f t="shared" si="76"/>
        <v>0.154</v>
      </c>
      <c r="R114" s="1316">
        <f t="shared" si="76"/>
        <v>0.154</v>
      </c>
      <c r="S114" s="1316">
        <f t="shared" si="76"/>
        <v>0.154</v>
      </c>
      <c r="T114" s="1316">
        <f t="shared" si="76"/>
        <v>0.154</v>
      </c>
      <c r="U114" s="1316">
        <f t="shared" si="76"/>
        <v>0.154</v>
      </c>
      <c r="V114" s="1316">
        <f t="shared" si="76"/>
        <v>0.154</v>
      </c>
      <c r="W114" s="1316">
        <f t="shared" si="76"/>
        <v>0.154</v>
      </c>
      <c r="X114" s="1316">
        <f t="shared" si="76"/>
        <v>0.154</v>
      </c>
      <c r="Y114" s="1316">
        <f t="shared" si="76"/>
        <v>0.154</v>
      </c>
      <c r="Z114" s="1316">
        <f t="shared" si="76"/>
        <v>0.154</v>
      </c>
      <c r="AA114" s="1316">
        <f t="shared" si="76"/>
        <v>0.154</v>
      </c>
      <c r="AB114" s="1316">
        <f t="shared" si="76"/>
        <v>0.154</v>
      </c>
      <c r="AC114" s="1316">
        <f t="shared" si="76"/>
        <v>0.154</v>
      </c>
      <c r="AD114" s="1316">
        <f t="shared" si="76"/>
        <v>0.154</v>
      </c>
      <c r="AE114" s="1316">
        <f t="shared" si="76"/>
        <v>0.154</v>
      </c>
      <c r="AF114" s="1316">
        <f t="shared" si="76"/>
        <v>0.154</v>
      </c>
      <c r="AG114" s="1316">
        <f t="shared" si="76"/>
        <v>0.154</v>
      </c>
      <c r="AH114" s="1316">
        <f>+AH112*AH109/1000</f>
        <v>0.154</v>
      </c>
      <c r="AI114" s="1316">
        <f t="shared" ref="AI114:AL114" si="77">+AI112*AI109/1000</f>
        <v>0.154</v>
      </c>
      <c r="AJ114" s="1316">
        <f t="shared" si="77"/>
        <v>0.154</v>
      </c>
      <c r="AK114" s="1316">
        <f t="shared" si="77"/>
        <v>0.154</v>
      </c>
      <c r="AL114" s="1316">
        <f t="shared" si="77"/>
        <v>0</v>
      </c>
      <c r="AM114" s="1078"/>
    </row>
    <row r="115" spans="2:39" ht="14.25" thickBot="1" x14ac:dyDescent="0.3">
      <c r="B115" s="1660"/>
      <c r="C115" s="1663"/>
      <c r="D115" s="1665"/>
      <c r="E115" s="1320" t="s">
        <v>347</v>
      </c>
      <c r="F115" s="1321">
        <f t="shared" si="75"/>
        <v>2.9578399999999996</v>
      </c>
      <c r="G115" s="1322">
        <f t="shared" ref="G115" si="78">IFERROR((F115-F114)/F114,0)</f>
        <v>-0.35977489177489164</v>
      </c>
      <c r="H115" s="1323">
        <f>+H113*H110/1000</f>
        <v>0.20413000000000001</v>
      </c>
      <c r="I115" s="1323">
        <f t="shared" si="76"/>
        <v>0.219</v>
      </c>
      <c r="J115" s="1323">
        <f t="shared" si="76"/>
        <v>9.7200000000000009E-2</v>
      </c>
      <c r="K115" s="1323">
        <f t="shared" si="76"/>
        <v>7.5650000000000009E-2</v>
      </c>
      <c r="L115" s="1323">
        <f t="shared" si="76"/>
        <v>0.46920000000000001</v>
      </c>
      <c r="M115" s="1323">
        <f t="shared" si="76"/>
        <v>2.8799999999999996E-2</v>
      </c>
      <c r="N115" s="1323">
        <f t="shared" si="76"/>
        <v>6.1560000000000004E-2</v>
      </c>
      <c r="O115" s="1323">
        <f t="shared" si="76"/>
        <v>9.7440000000000013E-2</v>
      </c>
      <c r="P115" s="1323">
        <f t="shared" si="76"/>
        <v>3.8710000000000001E-2</v>
      </c>
      <c r="Q115" s="1323">
        <f t="shared" si="76"/>
        <v>0.15322999999999998</v>
      </c>
      <c r="R115" s="1323">
        <f t="shared" si="76"/>
        <v>0</v>
      </c>
      <c r="S115" s="1323">
        <f t="shared" si="76"/>
        <v>0</v>
      </c>
      <c r="T115" s="1323">
        <f t="shared" si="76"/>
        <v>6.4500000000000002E-2</v>
      </c>
      <c r="U115" s="1323">
        <f t="shared" si="76"/>
        <v>4.3199999999999995E-2</v>
      </c>
      <c r="V115" s="1323">
        <f t="shared" si="76"/>
        <v>5.0760000000000007E-2</v>
      </c>
      <c r="W115" s="1323">
        <f t="shared" si="76"/>
        <v>7.1039999999999992E-2</v>
      </c>
      <c r="X115" s="1323">
        <f t="shared" si="76"/>
        <v>0.26434999999999997</v>
      </c>
      <c r="Y115" s="1323">
        <f t="shared" si="76"/>
        <v>6.5700000000000008E-2</v>
      </c>
      <c r="Z115" s="1323">
        <f t="shared" si="76"/>
        <v>0.11431000000000001</v>
      </c>
      <c r="AA115" s="1323">
        <f t="shared" si="76"/>
        <v>1.932E-2</v>
      </c>
      <c r="AB115" s="1323">
        <f t="shared" si="76"/>
        <v>8.3250000000000018E-2</v>
      </c>
      <c r="AC115" s="1323">
        <f t="shared" si="76"/>
        <v>9.6599999999999991E-2</v>
      </c>
      <c r="AD115" s="1323">
        <f t="shared" si="76"/>
        <v>0.10464999999999999</v>
      </c>
      <c r="AE115" s="1323">
        <f t="shared" si="76"/>
        <v>8.5199999999999998E-2</v>
      </c>
      <c r="AF115" s="1323">
        <f t="shared" si="76"/>
        <v>8.3159999999999998E-2</v>
      </c>
      <c r="AG115" s="1323">
        <f t="shared" si="76"/>
        <v>7.2239999999999999E-2</v>
      </c>
      <c r="AH115" s="1323">
        <f t="shared" ref="AH115:AL115" si="79">+AH113*AH110/1000</f>
        <v>3.8179999999999999E-2</v>
      </c>
      <c r="AI115" s="1323">
        <f t="shared" si="79"/>
        <v>0.11785999999999999</v>
      </c>
      <c r="AJ115" s="1323">
        <f t="shared" si="79"/>
        <v>0</v>
      </c>
      <c r="AK115" s="1323">
        <f t="shared" si="79"/>
        <v>0.1386</v>
      </c>
      <c r="AL115" s="1323">
        <f t="shared" si="79"/>
        <v>0</v>
      </c>
      <c r="AM115" s="1079"/>
    </row>
    <row r="116" spans="2:39" s="1069" customFormat="1" ht="14.85" customHeight="1" x14ac:dyDescent="0.25">
      <c r="B116" s="1608">
        <v>1</v>
      </c>
      <c r="C116" s="1661" t="str">
        <f>[2]Stoping!C130</f>
        <v>6L_W15_STOPE</v>
      </c>
      <c r="D116" s="1611" t="s">
        <v>340</v>
      </c>
      <c r="E116" s="1070" t="s">
        <v>341</v>
      </c>
      <c r="F116" s="196">
        <f t="shared" si="75"/>
        <v>2100</v>
      </c>
      <c r="G116" s="1071"/>
      <c r="H116" s="198">
        <f>[2]Stoping!H130</f>
        <v>70</v>
      </c>
      <c r="I116" s="198">
        <f>[2]Stoping!I130</f>
        <v>70</v>
      </c>
      <c r="J116" s="198">
        <f>[2]Stoping!J130</f>
        <v>70</v>
      </c>
      <c r="K116" s="199">
        <f>[2]Stoping!K130</f>
        <v>70</v>
      </c>
      <c r="L116" s="199">
        <f>[2]Stoping!L130</f>
        <v>70</v>
      </c>
      <c r="M116" s="199">
        <f>[2]Stoping!M130</f>
        <v>70</v>
      </c>
      <c r="N116" s="199">
        <f>[2]Stoping!N130</f>
        <v>70</v>
      </c>
      <c r="O116" s="199">
        <f>[2]Stoping!O130</f>
        <v>70</v>
      </c>
      <c r="P116" s="200">
        <f>[2]Stoping!P130</f>
        <v>70</v>
      </c>
      <c r="Q116" s="199">
        <f>[2]Stoping!Q130</f>
        <v>70</v>
      </c>
      <c r="R116" s="199">
        <f>[2]Stoping!R130</f>
        <v>70</v>
      </c>
      <c r="S116" s="199">
        <f>[2]Stoping!S130</f>
        <v>70</v>
      </c>
      <c r="T116" s="199">
        <f>[2]Stoping!T130</f>
        <v>70</v>
      </c>
      <c r="U116" s="199">
        <f>[2]Stoping!U130</f>
        <v>70</v>
      </c>
      <c r="V116" s="199">
        <f>[2]Stoping!V130</f>
        <v>70</v>
      </c>
      <c r="W116" s="199">
        <f>[2]Stoping!W130</f>
        <v>70</v>
      </c>
      <c r="X116" s="199">
        <f>[2]Stoping!X130</f>
        <v>70</v>
      </c>
      <c r="Y116" s="199">
        <f>[2]Stoping!Y130</f>
        <v>70</v>
      </c>
      <c r="Z116" s="199">
        <f>[2]Stoping!Z130</f>
        <v>70</v>
      </c>
      <c r="AA116" s="199">
        <f>[2]Stoping!AA130</f>
        <v>70</v>
      </c>
      <c r="AB116" s="199">
        <f>[2]Stoping!AB130</f>
        <v>70</v>
      </c>
      <c r="AC116" s="199">
        <f>[2]Stoping!AC130</f>
        <v>70</v>
      </c>
      <c r="AD116" s="199">
        <f>[2]Stoping!AD130</f>
        <v>70</v>
      </c>
      <c r="AE116" s="199">
        <f>[2]Stoping!AE130</f>
        <v>70</v>
      </c>
      <c r="AF116" s="199">
        <f>[2]Stoping!AF130</f>
        <v>70</v>
      </c>
      <c r="AG116" s="199">
        <f>[2]Stoping!AG130</f>
        <v>70</v>
      </c>
      <c r="AH116" s="199">
        <f>[2]Stoping!AH130</f>
        <v>70</v>
      </c>
      <c r="AI116" s="199">
        <f>[2]Stoping!AI130</f>
        <v>70</v>
      </c>
      <c r="AJ116" s="199">
        <f>[2]Stoping!AJ130</f>
        <v>70</v>
      </c>
      <c r="AK116" s="199">
        <f>[2]Stoping!AK130</f>
        <v>70</v>
      </c>
      <c r="AL116" s="201">
        <f>[2]Stoping!AL123</f>
        <v>0</v>
      </c>
      <c r="AM116" s="1072"/>
    </row>
    <row r="117" spans="2:39" x14ac:dyDescent="0.25">
      <c r="B117" s="1607"/>
      <c r="C117" s="1662"/>
      <c r="D117" s="1610"/>
      <c r="E117" s="1302" t="s">
        <v>342</v>
      </c>
      <c r="F117" s="1303">
        <f t="shared" si="75"/>
        <v>3024.2</v>
      </c>
      <c r="G117" s="1304">
        <f t="shared" ref="G117" si="80">IFERROR((F117-F116)/F116,0)</f>
        <v>0.44009523809523798</v>
      </c>
      <c r="H117" s="1305">
        <v>40</v>
      </c>
      <c r="I117" s="1303">
        <v>98</v>
      </c>
      <c r="J117" s="1303">
        <v>108</v>
      </c>
      <c r="K117" s="1303">
        <v>115</v>
      </c>
      <c r="L117" s="1303">
        <v>103</v>
      </c>
      <c r="M117" s="1303">
        <f>74+15</f>
        <v>89</v>
      </c>
      <c r="N117" s="1303">
        <v>116</v>
      </c>
      <c r="O117" s="1303">
        <v>56</v>
      </c>
      <c r="P117" s="1303">
        <v>113</v>
      </c>
      <c r="Q117" s="1303">
        <v>134</v>
      </c>
      <c r="R117" s="1303">
        <v>99</v>
      </c>
      <c r="S117" s="1303">
        <v>216</v>
      </c>
      <c r="T117" s="1303">
        <v>76</v>
      </c>
      <c r="U117" s="1303">
        <v>179</v>
      </c>
      <c r="V117" s="1303">
        <v>91</v>
      </c>
      <c r="W117" s="1303">
        <v>101.2</v>
      </c>
      <c r="X117" s="1303">
        <v>177</v>
      </c>
      <c r="Y117" s="1303">
        <v>74</v>
      </c>
      <c r="Z117" s="1303">
        <v>35</v>
      </c>
      <c r="AA117" s="1303">
        <v>50</v>
      </c>
      <c r="AB117" s="1303">
        <v>78</v>
      </c>
      <c r="AC117" s="1303">
        <f>72+60</f>
        <v>132</v>
      </c>
      <c r="AD117" s="1303">
        <f>79+60</f>
        <v>139</v>
      </c>
      <c r="AE117" s="1303">
        <v>104</v>
      </c>
      <c r="AF117" s="1303">
        <v>88</v>
      </c>
      <c r="AG117" s="1303">
        <v>105</v>
      </c>
      <c r="AH117" s="1303">
        <v>122</v>
      </c>
      <c r="AI117" s="1303">
        <v>70</v>
      </c>
      <c r="AJ117" s="1303">
        <f>22+12+12</f>
        <v>46</v>
      </c>
      <c r="AK117" s="1303">
        <f>33+37</f>
        <v>70</v>
      </c>
      <c r="AL117" s="1303"/>
      <c r="AM117" s="1074"/>
    </row>
    <row r="118" spans="2:39" x14ac:dyDescent="0.25">
      <c r="B118" s="1607"/>
      <c r="C118" s="1662"/>
      <c r="D118" s="1610"/>
      <c r="E118" s="1324" t="s">
        <v>312</v>
      </c>
      <c r="F118" s="1307"/>
      <c r="G118" s="1308"/>
      <c r="H118" s="1075"/>
      <c r="I118" s="1075"/>
      <c r="J118" s="1075"/>
      <c r="K118" s="1075"/>
      <c r="L118" s="1075"/>
      <c r="M118" s="1075"/>
      <c r="N118" s="1075"/>
      <c r="O118" s="1075"/>
      <c r="P118" s="1076"/>
      <c r="Q118" s="1075"/>
      <c r="R118" s="1075"/>
      <c r="S118" s="1075"/>
      <c r="T118" s="1075"/>
      <c r="U118" s="1075"/>
      <c r="V118" s="1075"/>
      <c r="W118" s="1075"/>
      <c r="X118" s="1075"/>
      <c r="Y118" s="1075"/>
      <c r="Z118" s="1075"/>
      <c r="AA118" s="1075"/>
      <c r="AB118" s="1075"/>
      <c r="AC118" s="1075"/>
      <c r="AD118" s="1075"/>
      <c r="AE118" s="1075"/>
      <c r="AF118" s="1075"/>
      <c r="AG118" s="1075"/>
      <c r="AH118" s="1075"/>
      <c r="AI118" s="1075"/>
      <c r="AJ118" s="1075"/>
      <c r="AK118" s="1075"/>
      <c r="AL118" s="1077"/>
      <c r="AM118" s="1074"/>
    </row>
    <row r="119" spans="2:39" x14ac:dyDescent="0.25">
      <c r="B119" s="1607"/>
      <c r="C119" s="1662"/>
      <c r="D119" s="1612" t="s">
        <v>343</v>
      </c>
      <c r="E119" s="1309" t="s">
        <v>344</v>
      </c>
      <c r="F119" s="1310">
        <f t="shared" ref="F119:F120" si="81">IFERROR(F121*1000/F116,0)</f>
        <v>2.1999999999999993</v>
      </c>
      <c r="G119" s="1311"/>
      <c r="H119" s="1312">
        <f>[2]Stoping!H133</f>
        <v>2.2000000000000002</v>
      </c>
      <c r="I119" s="1312">
        <f>[2]Stoping!I133</f>
        <v>2.2000000000000002</v>
      </c>
      <c r="J119" s="1312">
        <f>[2]Stoping!J133</f>
        <v>2.2000000000000002</v>
      </c>
      <c r="K119" s="1333">
        <f>[2]Stoping!K133</f>
        <v>2.2000000000000002</v>
      </c>
      <c r="L119" s="1333">
        <f>[2]Stoping!L133</f>
        <v>2.2000000000000002</v>
      </c>
      <c r="M119" s="1333">
        <f>[2]Stoping!M133</f>
        <v>2.2000000000000002</v>
      </c>
      <c r="N119" s="1333">
        <f>[2]Stoping!N133</f>
        <v>2.2000000000000002</v>
      </c>
      <c r="O119" s="1333">
        <f>[2]Stoping!O133</f>
        <v>2.2000000000000002</v>
      </c>
      <c r="P119" s="1334">
        <f>[2]Stoping!P133</f>
        <v>2.2000000000000002</v>
      </c>
      <c r="Q119" s="1333">
        <f>[2]Stoping!Q133</f>
        <v>2.2000000000000002</v>
      </c>
      <c r="R119" s="1333">
        <f>[2]Stoping!R133</f>
        <v>2.2000000000000002</v>
      </c>
      <c r="S119" s="1333">
        <f>[2]Stoping!S133</f>
        <v>2.2000000000000002</v>
      </c>
      <c r="T119" s="1333">
        <f>[2]Stoping!T133</f>
        <v>2.2000000000000002</v>
      </c>
      <c r="U119" s="1333">
        <f>[2]Stoping!U133</f>
        <v>2.2000000000000002</v>
      </c>
      <c r="V119" s="1333">
        <f>[2]Stoping!V133</f>
        <v>2.2000000000000002</v>
      </c>
      <c r="W119" s="1333">
        <f>[2]Stoping!W133</f>
        <v>2.2000000000000002</v>
      </c>
      <c r="X119" s="1333">
        <f>[2]Stoping!X133</f>
        <v>2.2000000000000002</v>
      </c>
      <c r="Y119" s="1333">
        <f>[2]Stoping!Y133</f>
        <v>2.2000000000000002</v>
      </c>
      <c r="Z119" s="1333">
        <f>[2]Stoping!Z133</f>
        <v>2.2000000000000002</v>
      </c>
      <c r="AA119" s="1333">
        <f>[2]Stoping!AA133</f>
        <v>2.2000000000000002</v>
      </c>
      <c r="AB119" s="1333">
        <f>[2]Stoping!AB133</f>
        <v>2.2000000000000002</v>
      </c>
      <c r="AC119" s="1333">
        <f>[2]Stoping!AC133</f>
        <v>2.2000000000000002</v>
      </c>
      <c r="AD119" s="1333">
        <f>[2]Stoping!AD133</f>
        <v>2.2000000000000002</v>
      </c>
      <c r="AE119" s="1333">
        <f>[2]Stoping!AE133</f>
        <v>2.2000000000000002</v>
      </c>
      <c r="AF119" s="1333">
        <f>[2]Stoping!AF133</f>
        <v>2.2000000000000002</v>
      </c>
      <c r="AG119" s="1333">
        <f>[2]Stoping!AG133</f>
        <v>2.2000000000000002</v>
      </c>
      <c r="AH119" s="1333">
        <f>[2]Stoping!AH133</f>
        <v>2.2000000000000002</v>
      </c>
      <c r="AI119" s="1333">
        <f>[2]Stoping!AI133</f>
        <v>2.2000000000000002</v>
      </c>
      <c r="AJ119" s="1333">
        <f>[2]Stoping!AJ133</f>
        <v>2.2000000000000002</v>
      </c>
      <c r="AK119" s="1333">
        <f>[2]Stoping!AK133</f>
        <v>2.2000000000000002</v>
      </c>
      <c r="AL119" s="1335">
        <f>[2]Stoping!AL126</f>
        <v>0</v>
      </c>
      <c r="AM119" s="1074"/>
    </row>
    <row r="120" spans="2:39" x14ac:dyDescent="0.25">
      <c r="B120" s="1607"/>
      <c r="C120" s="1662"/>
      <c r="D120" s="1664"/>
      <c r="E120" s="1313" t="s">
        <v>345</v>
      </c>
      <c r="F120" s="1314">
        <f t="shared" si="81"/>
        <v>2.3631757158918059</v>
      </c>
      <c r="G120" s="1304">
        <f t="shared" ref="G120" si="82">IFERROR((F120-F119)/F119,0)</f>
        <v>7.4170779950821192E-2</v>
      </c>
      <c r="H120" s="1315">
        <v>1.4</v>
      </c>
      <c r="I120" s="1314">
        <v>2.19</v>
      </c>
      <c r="J120" s="1314">
        <v>1.62</v>
      </c>
      <c r="K120" s="1314">
        <v>0.7</v>
      </c>
      <c r="L120" s="1314">
        <v>4.1900000000000004</v>
      </c>
      <c r="M120" s="1314">
        <v>1.5</v>
      </c>
      <c r="N120" s="1314">
        <v>1.24</v>
      </c>
      <c r="O120" s="1314">
        <v>1.85</v>
      </c>
      <c r="P120" s="1314">
        <v>1.93</v>
      </c>
      <c r="Q120" s="1314">
        <v>3.08</v>
      </c>
      <c r="R120" s="1314">
        <v>1.77</v>
      </c>
      <c r="S120" s="1314">
        <v>1.86</v>
      </c>
      <c r="T120" s="1314">
        <v>5</v>
      </c>
      <c r="U120" s="1314">
        <v>1.08</v>
      </c>
      <c r="V120" s="1314">
        <v>1.1100000000000001</v>
      </c>
      <c r="W120" s="1314">
        <v>1.1299999999999999</v>
      </c>
      <c r="X120" s="1314">
        <v>3.2</v>
      </c>
      <c r="Y120" s="1314">
        <v>1.79</v>
      </c>
      <c r="Z120" s="1314">
        <v>1.7</v>
      </c>
      <c r="AA120" s="1314">
        <v>1.7</v>
      </c>
      <c r="AB120" s="1314">
        <v>1.1100000000000001</v>
      </c>
      <c r="AC120" s="1314">
        <v>4.32</v>
      </c>
      <c r="AD120" s="1314">
        <v>4.32</v>
      </c>
      <c r="AE120" s="1314">
        <v>5.68</v>
      </c>
      <c r="AF120" s="1314">
        <v>2.31</v>
      </c>
      <c r="AG120" s="1314">
        <v>3.48</v>
      </c>
      <c r="AH120" s="1314">
        <v>2.11</v>
      </c>
      <c r="AI120" s="1314">
        <v>1.69</v>
      </c>
      <c r="AJ120" s="1314">
        <v>0.46</v>
      </c>
      <c r="AK120" s="1314">
        <v>2.21</v>
      </c>
      <c r="AL120" s="1314"/>
      <c r="AM120" s="1074"/>
    </row>
    <row r="121" spans="2:39" x14ac:dyDescent="0.25">
      <c r="B121" s="1607"/>
      <c r="C121" s="1662"/>
      <c r="D121" s="1612" t="s">
        <v>47</v>
      </c>
      <c r="E121" s="1309" t="s">
        <v>346</v>
      </c>
      <c r="F121" s="206">
        <f t="shared" ref="F121:F122" si="83">SUMIF($H$9:$AL$9,"&lt;="&amp;$C$7,H121:AL121)</f>
        <v>4.6199999999999983</v>
      </c>
      <c r="G121" s="1311"/>
      <c r="H121" s="1316">
        <f>+H119*H116/1000</f>
        <v>0.154</v>
      </c>
      <c r="I121" s="1316">
        <f t="shared" ref="I121:AG122" si="84">+I119*I116/1000</f>
        <v>0.154</v>
      </c>
      <c r="J121" s="1316">
        <f t="shared" si="84"/>
        <v>0.154</v>
      </c>
      <c r="K121" s="1316">
        <f t="shared" si="84"/>
        <v>0.154</v>
      </c>
      <c r="L121" s="1316">
        <f t="shared" si="84"/>
        <v>0.154</v>
      </c>
      <c r="M121" s="1316">
        <f t="shared" si="84"/>
        <v>0.154</v>
      </c>
      <c r="N121" s="1316">
        <f t="shared" si="84"/>
        <v>0.154</v>
      </c>
      <c r="O121" s="1316">
        <f t="shared" si="84"/>
        <v>0.154</v>
      </c>
      <c r="P121" s="1316">
        <f t="shared" si="84"/>
        <v>0.154</v>
      </c>
      <c r="Q121" s="1316">
        <f t="shared" si="84"/>
        <v>0.154</v>
      </c>
      <c r="R121" s="1316">
        <f t="shared" si="84"/>
        <v>0.154</v>
      </c>
      <c r="S121" s="1316">
        <f t="shared" si="84"/>
        <v>0.154</v>
      </c>
      <c r="T121" s="1316">
        <f t="shared" si="84"/>
        <v>0.154</v>
      </c>
      <c r="U121" s="1316">
        <f t="shared" si="84"/>
        <v>0.154</v>
      </c>
      <c r="V121" s="1316">
        <f t="shared" si="84"/>
        <v>0.154</v>
      </c>
      <c r="W121" s="1316">
        <f t="shared" si="84"/>
        <v>0.154</v>
      </c>
      <c r="X121" s="1316">
        <f t="shared" si="84"/>
        <v>0.154</v>
      </c>
      <c r="Y121" s="1316">
        <f t="shared" si="84"/>
        <v>0.154</v>
      </c>
      <c r="Z121" s="1316">
        <f t="shared" si="84"/>
        <v>0.154</v>
      </c>
      <c r="AA121" s="1316">
        <f t="shared" si="84"/>
        <v>0.154</v>
      </c>
      <c r="AB121" s="1316">
        <f t="shared" si="84"/>
        <v>0.154</v>
      </c>
      <c r="AC121" s="1316">
        <f t="shared" si="84"/>
        <v>0.154</v>
      </c>
      <c r="AD121" s="1316">
        <f t="shared" si="84"/>
        <v>0.154</v>
      </c>
      <c r="AE121" s="1316">
        <f t="shared" si="84"/>
        <v>0.154</v>
      </c>
      <c r="AF121" s="1316">
        <f t="shared" si="84"/>
        <v>0.154</v>
      </c>
      <c r="AG121" s="1316">
        <f t="shared" si="84"/>
        <v>0.154</v>
      </c>
      <c r="AH121" s="1316">
        <f>+AH119*AH116/1000</f>
        <v>0.154</v>
      </c>
      <c r="AI121" s="1316">
        <f t="shared" ref="AI121:AL121" si="85">+AI119*AI116/1000</f>
        <v>0.154</v>
      </c>
      <c r="AJ121" s="1316">
        <f t="shared" si="85"/>
        <v>0.154</v>
      </c>
      <c r="AK121" s="1316">
        <f t="shared" si="85"/>
        <v>0.154</v>
      </c>
      <c r="AL121" s="1316">
        <f t="shared" si="85"/>
        <v>0</v>
      </c>
      <c r="AM121" s="1078"/>
    </row>
    <row r="122" spans="2:39" ht="14.25" thickBot="1" x14ac:dyDescent="0.3">
      <c r="B122" s="1660"/>
      <c r="C122" s="1663"/>
      <c r="D122" s="1665"/>
      <c r="E122" s="1320" t="s">
        <v>347</v>
      </c>
      <c r="F122" s="1321">
        <f t="shared" si="83"/>
        <v>7.1467159999999996</v>
      </c>
      <c r="G122" s="1322">
        <f t="shared" ref="G122" si="86">IFERROR((F122-F121)/F121,0)</f>
        <v>0.54690822510822557</v>
      </c>
      <c r="H122" s="1323">
        <f>+H120*H117/1000</f>
        <v>5.6000000000000001E-2</v>
      </c>
      <c r="I122" s="1323">
        <f t="shared" si="84"/>
        <v>0.21462000000000001</v>
      </c>
      <c r="J122" s="1323">
        <f t="shared" si="84"/>
        <v>0.17496</v>
      </c>
      <c r="K122" s="1323">
        <f t="shared" si="84"/>
        <v>8.0500000000000002E-2</v>
      </c>
      <c r="L122" s="1323">
        <f t="shared" si="84"/>
        <v>0.43157000000000006</v>
      </c>
      <c r="M122" s="1323">
        <f t="shared" si="84"/>
        <v>0.13350000000000001</v>
      </c>
      <c r="N122" s="1323">
        <f t="shared" si="84"/>
        <v>0.14384</v>
      </c>
      <c r="O122" s="1323">
        <f t="shared" si="84"/>
        <v>0.10360000000000001</v>
      </c>
      <c r="P122" s="1323">
        <f t="shared" si="84"/>
        <v>0.21809000000000001</v>
      </c>
      <c r="Q122" s="1323">
        <f t="shared" si="84"/>
        <v>0.41272000000000003</v>
      </c>
      <c r="R122" s="1323">
        <f t="shared" si="84"/>
        <v>0.17523</v>
      </c>
      <c r="S122" s="1323">
        <f t="shared" si="84"/>
        <v>0.40176000000000006</v>
      </c>
      <c r="T122" s="1323">
        <f t="shared" si="84"/>
        <v>0.38</v>
      </c>
      <c r="U122" s="1323">
        <f t="shared" si="84"/>
        <v>0.19332000000000002</v>
      </c>
      <c r="V122" s="1323">
        <f t="shared" si="84"/>
        <v>0.10101</v>
      </c>
      <c r="W122" s="1323">
        <f t="shared" si="84"/>
        <v>0.114356</v>
      </c>
      <c r="X122" s="1323">
        <f t="shared" si="84"/>
        <v>0.56640000000000001</v>
      </c>
      <c r="Y122" s="1323">
        <f t="shared" si="84"/>
        <v>0.13245999999999999</v>
      </c>
      <c r="Z122" s="1323">
        <f t="shared" si="84"/>
        <v>5.9499999999999997E-2</v>
      </c>
      <c r="AA122" s="1323">
        <f t="shared" si="84"/>
        <v>8.5000000000000006E-2</v>
      </c>
      <c r="AB122" s="1323">
        <f t="shared" si="84"/>
        <v>8.6580000000000018E-2</v>
      </c>
      <c r="AC122" s="1323">
        <f t="shared" si="84"/>
        <v>0.57023999999999997</v>
      </c>
      <c r="AD122" s="1323">
        <f t="shared" si="84"/>
        <v>0.60048000000000001</v>
      </c>
      <c r="AE122" s="1323">
        <f t="shared" si="84"/>
        <v>0.59072000000000002</v>
      </c>
      <c r="AF122" s="1323">
        <f t="shared" si="84"/>
        <v>0.20327999999999999</v>
      </c>
      <c r="AG122" s="1323">
        <f t="shared" si="84"/>
        <v>0.3654</v>
      </c>
      <c r="AH122" s="1323">
        <f t="shared" ref="AH122:AL122" si="87">+AH120*AH117/1000</f>
        <v>0.25741999999999998</v>
      </c>
      <c r="AI122" s="1323">
        <f t="shared" si="87"/>
        <v>0.1183</v>
      </c>
      <c r="AJ122" s="1323">
        <f t="shared" si="87"/>
        <v>2.1160000000000002E-2</v>
      </c>
      <c r="AK122" s="1323">
        <f t="shared" si="87"/>
        <v>0.15469999999999998</v>
      </c>
      <c r="AL122" s="1323">
        <f t="shared" si="87"/>
        <v>0</v>
      </c>
      <c r="AM122" s="1079"/>
    </row>
  </sheetData>
  <sheetProtection algorithmName="SHA-512" hashValue="9OEXF6wudgJo2+hrwTshmcTz+qSB89f1LqhjuyILYQGflveT3aVqejO6qsb36VR3Bd6KeZZiwIeSDGz+j2uXDA==" saltValue="2dd5qCc1i4H1Yec4WWtMbw==" spinCount="100000" sheet="1" objects="1" scenarios="1"/>
  <mergeCells count="83">
    <mergeCell ref="H2:I2"/>
    <mergeCell ref="K2:N2"/>
    <mergeCell ref="H3:I3"/>
    <mergeCell ref="K3:N3"/>
    <mergeCell ref="H4:I4"/>
    <mergeCell ref="K4:N4"/>
    <mergeCell ref="K5:N5"/>
    <mergeCell ref="K6:N6"/>
    <mergeCell ref="B18:B24"/>
    <mergeCell ref="C18:C24"/>
    <mergeCell ref="D18:D20"/>
    <mergeCell ref="D21:D22"/>
    <mergeCell ref="D23:D24"/>
    <mergeCell ref="B32:B38"/>
    <mergeCell ref="C32:C38"/>
    <mergeCell ref="D32:D34"/>
    <mergeCell ref="D35:D36"/>
    <mergeCell ref="D37:D38"/>
    <mergeCell ref="B25:B31"/>
    <mergeCell ref="C25:C31"/>
    <mergeCell ref="D25:D27"/>
    <mergeCell ref="D28:D29"/>
    <mergeCell ref="D30:D31"/>
    <mergeCell ref="B46:B52"/>
    <mergeCell ref="C46:C52"/>
    <mergeCell ref="D46:D48"/>
    <mergeCell ref="D49:D50"/>
    <mergeCell ref="D51:D52"/>
    <mergeCell ref="B39:B45"/>
    <mergeCell ref="C39:C45"/>
    <mergeCell ref="D39:D41"/>
    <mergeCell ref="D42:D43"/>
    <mergeCell ref="D44:D45"/>
    <mergeCell ref="B60:B66"/>
    <mergeCell ref="C60:C66"/>
    <mergeCell ref="D60:D62"/>
    <mergeCell ref="D63:D64"/>
    <mergeCell ref="D65:D66"/>
    <mergeCell ref="B53:B59"/>
    <mergeCell ref="C53:C59"/>
    <mergeCell ref="D53:D55"/>
    <mergeCell ref="D56:D57"/>
    <mergeCell ref="D58:D59"/>
    <mergeCell ref="B74:B80"/>
    <mergeCell ref="C74:C80"/>
    <mergeCell ref="D74:D76"/>
    <mergeCell ref="D77:D78"/>
    <mergeCell ref="D79:D80"/>
    <mergeCell ref="B67:B73"/>
    <mergeCell ref="C67:C73"/>
    <mergeCell ref="D67:D69"/>
    <mergeCell ref="D70:D71"/>
    <mergeCell ref="D72:D73"/>
    <mergeCell ref="B88:B94"/>
    <mergeCell ref="C88:C94"/>
    <mergeCell ref="D88:D90"/>
    <mergeCell ref="D91:D92"/>
    <mergeCell ref="D93:D94"/>
    <mergeCell ref="B81:B87"/>
    <mergeCell ref="C81:C87"/>
    <mergeCell ref="D81:D83"/>
    <mergeCell ref="D84:D85"/>
    <mergeCell ref="D86:D87"/>
    <mergeCell ref="B102:B108"/>
    <mergeCell ref="C102:C108"/>
    <mergeCell ref="D102:D104"/>
    <mergeCell ref="D105:D106"/>
    <mergeCell ref="D107:D108"/>
    <mergeCell ref="B95:B101"/>
    <mergeCell ref="C95:C101"/>
    <mergeCell ref="D95:D97"/>
    <mergeCell ref="D98:D99"/>
    <mergeCell ref="D100:D101"/>
    <mergeCell ref="B116:B122"/>
    <mergeCell ref="C116:C122"/>
    <mergeCell ref="D116:D118"/>
    <mergeCell ref="D119:D120"/>
    <mergeCell ref="D121:D122"/>
    <mergeCell ref="B109:B115"/>
    <mergeCell ref="C109:C115"/>
    <mergeCell ref="D109:D111"/>
    <mergeCell ref="D112:D113"/>
    <mergeCell ref="D114:D115"/>
  </mergeCells>
  <conditionalFormatting sqref="B18 B25 B32 B39 B46 B53 B67">
    <cfRule type="cellIs" dxfId="1325" priority="248" operator="equal">
      <formula>2</formula>
    </cfRule>
    <cfRule type="cellIs" dxfId="1324" priority="247" operator="equal">
      <formula>1</formula>
    </cfRule>
    <cfRule type="cellIs" dxfId="1323" priority="246" operator="equal">
      <formula>3</formula>
    </cfRule>
  </conditionalFormatting>
  <conditionalFormatting sqref="B60">
    <cfRule type="cellIs" dxfId="1322" priority="17" operator="equal">
      <formula>1</formula>
    </cfRule>
    <cfRule type="cellIs" dxfId="1321" priority="18" operator="equal">
      <formula>2</formula>
    </cfRule>
    <cfRule type="cellIs" dxfId="1320" priority="16" operator="equal">
      <formula>3</formula>
    </cfRule>
  </conditionalFormatting>
  <conditionalFormatting sqref="B74">
    <cfRule type="cellIs" dxfId="1319" priority="202" operator="equal">
      <formula>3</formula>
    </cfRule>
    <cfRule type="cellIs" dxfId="1318" priority="203" operator="equal">
      <formula>1</formula>
    </cfRule>
    <cfRule type="cellIs" dxfId="1317" priority="204" operator="equal">
      <formula>2</formula>
    </cfRule>
  </conditionalFormatting>
  <conditionalFormatting sqref="B81">
    <cfRule type="cellIs" dxfId="1316" priority="176" operator="equal">
      <formula>3</formula>
    </cfRule>
    <cfRule type="cellIs" dxfId="1315" priority="178" operator="equal">
      <formula>2</formula>
    </cfRule>
    <cfRule type="cellIs" dxfId="1314" priority="177" operator="equal">
      <formula>1</formula>
    </cfRule>
  </conditionalFormatting>
  <conditionalFormatting sqref="B88">
    <cfRule type="cellIs" dxfId="1313" priority="151" operator="equal">
      <formula>1</formula>
    </cfRule>
    <cfRule type="cellIs" dxfId="1312" priority="150" operator="equal">
      <formula>3</formula>
    </cfRule>
    <cfRule type="cellIs" dxfId="1311" priority="152" operator="equal">
      <formula>2</formula>
    </cfRule>
  </conditionalFormatting>
  <conditionalFormatting sqref="B95">
    <cfRule type="cellIs" dxfId="1310" priority="125" operator="equal">
      <formula>1</formula>
    </cfRule>
    <cfRule type="cellIs" dxfId="1309" priority="126" operator="equal">
      <formula>2</formula>
    </cfRule>
    <cfRule type="cellIs" dxfId="1308" priority="124" operator="equal">
      <formula>3</formula>
    </cfRule>
  </conditionalFormatting>
  <conditionalFormatting sqref="B102">
    <cfRule type="cellIs" dxfId="1307" priority="104" operator="equal">
      <formula>3</formula>
    </cfRule>
    <cfRule type="cellIs" dxfId="1306" priority="105" operator="equal">
      <formula>1</formula>
    </cfRule>
    <cfRule type="cellIs" dxfId="1305" priority="106" operator="equal">
      <formula>2</formula>
    </cfRule>
  </conditionalFormatting>
  <conditionalFormatting sqref="B109">
    <cfRule type="cellIs" dxfId="1304" priority="78" operator="equal">
      <formula>3</formula>
    </cfRule>
    <cfRule type="cellIs" dxfId="1303" priority="79" operator="equal">
      <formula>1</formula>
    </cfRule>
    <cfRule type="cellIs" dxfId="1302" priority="80" operator="equal">
      <formula>2</formula>
    </cfRule>
  </conditionalFormatting>
  <conditionalFormatting sqref="B116">
    <cfRule type="cellIs" dxfId="1301" priority="34" operator="equal">
      <formula>3</formula>
    </cfRule>
    <cfRule type="cellIs" dxfId="1300" priority="35" operator="equal">
      <formula>1</formula>
    </cfRule>
    <cfRule type="cellIs" dxfId="1299" priority="36" operator="equal">
      <formula>2</formula>
    </cfRule>
  </conditionalFormatting>
  <conditionalFormatting sqref="D10:D12">
    <cfRule type="cellIs" dxfId="1298" priority="208" stopIfTrue="1" operator="greaterThanOrEqual">
      <formula>C10</formula>
    </cfRule>
    <cfRule type="cellIs" dxfId="1297" priority="207" stopIfTrue="1" operator="lessThan">
      <formula>C10</formula>
    </cfRule>
  </conditionalFormatting>
  <conditionalFormatting sqref="E10:E12">
    <cfRule type="cellIs" dxfId="1296" priority="205" stopIfTrue="1" operator="lessThan">
      <formula>0</formula>
    </cfRule>
    <cfRule type="cellIs" dxfId="1295" priority="206" stopIfTrue="1" operator="greaterThanOrEqual">
      <formula>0</formula>
    </cfRule>
  </conditionalFormatting>
  <conditionalFormatting sqref="F19">
    <cfRule type="cellIs" dxfId="1294" priority="228" stopIfTrue="1" operator="greaterThanOrEqual">
      <formula>F18</formula>
    </cfRule>
    <cfRule type="cellIs" dxfId="1293" priority="227" stopIfTrue="1" operator="lessThan">
      <formula>F18</formula>
    </cfRule>
  </conditionalFormatting>
  <conditionalFormatting sqref="F22 F24">
    <cfRule type="cellIs" dxfId="1292" priority="224" stopIfTrue="1" operator="greaterThanOrEqual">
      <formula>F21</formula>
    </cfRule>
    <cfRule type="cellIs" dxfId="1291" priority="223" stopIfTrue="1" operator="lessThan">
      <formula>F21</formula>
    </cfRule>
  </conditionalFormatting>
  <conditionalFormatting sqref="F26 F33 F40 F47 F54 F68">
    <cfRule type="cellIs" dxfId="1290" priority="217" stopIfTrue="1" operator="lessThan">
      <formula>F25</formula>
    </cfRule>
    <cfRule type="cellIs" dxfId="1289" priority="218" stopIfTrue="1" operator="greaterThanOrEqual">
      <formula>F25</formula>
    </cfRule>
  </conditionalFormatting>
  <conditionalFormatting sqref="F29 F31 F36 F38 F43 F45 F50 F52 F57 F59 F64 F66 F71 F73">
    <cfRule type="cellIs" dxfId="1288" priority="214" stopIfTrue="1" operator="greaterThanOrEqual">
      <formula>F28</formula>
    </cfRule>
    <cfRule type="cellIs" dxfId="1287" priority="213" stopIfTrue="1" operator="lessThan">
      <formula>F28</formula>
    </cfRule>
  </conditionalFormatting>
  <conditionalFormatting sqref="F61">
    <cfRule type="cellIs" dxfId="1286" priority="6" stopIfTrue="1" operator="greaterThanOrEqual">
      <formula>F60</formula>
    </cfRule>
    <cfRule type="cellIs" dxfId="1285" priority="5" stopIfTrue="1" operator="lessThan">
      <formula>F60</formula>
    </cfRule>
  </conditionalFormatting>
  <conditionalFormatting sqref="F75">
    <cfRule type="cellIs" dxfId="1284" priority="187" stopIfTrue="1" operator="lessThan">
      <formula>F74</formula>
    </cfRule>
    <cfRule type="cellIs" dxfId="1283" priority="188" stopIfTrue="1" operator="greaterThanOrEqual">
      <formula>F74</formula>
    </cfRule>
  </conditionalFormatting>
  <conditionalFormatting sqref="F78 F80">
    <cfRule type="cellIs" dxfId="1282" priority="183" stopIfTrue="1" operator="lessThan">
      <formula>F77</formula>
    </cfRule>
    <cfRule type="cellIs" dxfId="1281" priority="184" stopIfTrue="1" operator="greaterThanOrEqual">
      <formula>F77</formula>
    </cfRule>
  </conditionalFormatting>
  <conditionalFormatting sqref="F82">
    <cfRule type="cellIs" dxfId="1280" priority="162" stopIfTrue="1" operator="greaterThanOrEqual">
      <formula>F81</formula>
    </cfRule>
    <cfRule type="cellIs" dxfId="1279" priority="161" stopIfTrue="1" operator="lessThan">
      <formula>F81</formula>
    </cfRule>
  </conditionalFormatting>
  <conditionalFormatting sqref="F85 F87">
    <cfRule type="cellIs" dxfId="1278" priority="158" stopIfTrue="1" operator="greaterThanOrEqual">
      <formula>F84</formula>
    </cfRule>
    <cfRule type="cellIs" dxfId="1277" priority="157" stopIfTrue="1" operator="lessThan">
      <formula>F84</formula>
    </cfRule>
  </conditionalFormatting>
  <conditionalFormatting sqref="F89">
    <cfRule type="cellIs" dxfId="1276" priority="136" stopIfTrue="1" operator="greaterThanOrEqual">
      <formula>F88</formula>
    </cfRule>
    <cfRule type="cellIs" dxfId="1275" priority="135" stopIfTrue="1" operator="lessThan">
      <formula>F88</formula>
    </cfRule>
  </conditionalFormatting>
  <conditionalFormatting sqref="F92 F94">
    <cfRule type="cellIs" dxfId="1274" priority="132" stopIfTrue="1" operator="greaterThanOrEqual">
      <formula>F91</formula>
    </cfRule>
    <cfRule type="cellIs" dxfId="1273" priority="131" stopIfTrue="1" operator="lessThan">
      <formula>F91</formula>
    </cfRule>
  </conditionalFormatting>
  <conditionalFormatting sqref="F96">
    <cfRule type="cellIs" dxfId="1272" priority="115" stopIfTrue="1" operator="lessThan">
      <formula>F95</formula>
    </cfRule>
    <cfRule type="cellIs" dxfId="1271" priority="116" stopIfTrue="1" operator="greaterThanOrEqual">
      <formula>F95</formula>
    </cfRule>
  </conditionalFormatting>
  <conditionalFormatting sqref="F99 F101">
    <cfRule type="cellIs" dxfId="1270" priority="111" stopIfTrue="1" operator="lessThan">
      <formula>F98</formula>
    </cfRule>
    <cfRule type="cellIs" dxfId="1269" priority="112" stopIfTrue="1" operator="greaterThanOrEqual">
      <formula>F98</formula>
    </cfRule>
  </conditionalFormatting>
  <conditionalFormatting sqref="F103">
    <cfRule type="cellIs" dxfId="1268" priority="89" stopIfTrue="1" operator="lessThan">
      <formula>F102</formula>
    </cfRule>
    <cfRule type="cellIs" dxfId="1267" priority="90" stopIfTrue="1" operator="greaterThanOrEqual">
      <formula>F102</formula>
    </cfRule>
  </conditionalFormatting>
  <conditionalFormatting sqref="F106 F108">
    <cfRule type="cellIs" dxfId="1266" priority="86" stopIfTrue="1" operator="greaterThanOrEqual">
      <formula>F105</formula>
    </cfRule>
    <cfRule type="cellIs" dxfId="1265" priority="85" stopIfTrue="1" operator="lessThan">
      <formula>F105</formula>
    </cfRule>
  </conditionalFormatting>
  <conditionalFormatting sqref="F110">
    <cfRule type="cellIs" dxfId="1264" priority="64" stopIfTrue="1" operator="greaterThanOrEqual">
      <formula>F109</formula>
    </cfRule>
    <cfRule type="cellIs" dxfId="1263" priority="63" stopIfTrue="1" operator="lessThan">
      <formula>F109</formula>
    </cfRule>
  </conditionalFormatting>
  <conditionalFormatting sqref="F113 F115 F120 F122">
    <cfRule type="cellIs" dxfId="1262" priority="60" stopIfTrue="1" operator="greaterThanOrEqual">
      <formula>F112</formula>
    </cfRule>
    <cfRule type="cellIs" dxfId="1261" priority="59" stopIfTrue="1" operator="lessThan">
      <formula>F112</formula>
    </cfRule>
  </conditionalFormatting>
  <conditionalFormatting sqref="F117">
    <cfRule type="cellIs" dxfId="1260" priority="24" stopIfTrue="1" operator="greaterThanOrEqual">
      <formula>F116</formula>
    </cfRule>
    <cfRule type="cellIs" dxfId="1259" priority="23" stopIfTrue="1" operator="lessThan">
      <formula>F116</formula>
    </cfRule>
  </conditionalFormatting>
  <conditionalFormatting sqref="G19">
    <cfRule type="cellIs" dxfId="1258" priority="226" operator="lessThan">
      <formula>0</formula>
    </cfRule>
    <cfRule type="cellIs" dxfId="1257" priority="225" operator="greaterThan">
      <formula>0</formula>
    </cfRule>
  </conditionalFormatting>
  <conditionalFormatting sqref="G22">
    <cfRule type="cellIs" dxfId="1256" priority="222" operator="lessThan">
      <formula>0</formula>
    </cfRule>
    <cfRule type="cellIs" dxfId="1255" priority="221" operator="greaterThan">
      <formula>0</formula>
    </cfRule>
  </conditionalFormatting>
  <conditionalFormatting sqref="G24">
    <cfRule type="cellIs" dxfId="1254" priority="220" operator="lessThan">
      <formula>0</formula>
    </cfRule>
    <cfRule type="cellIs" dxfId="1253" priority="219" operator="greaterThan">
      <formula>0</formula>
    </cfRule>
  </conditionalFormatting>
  <conditionalFormatting sqref="G26 G33 G40 G47 G54 G68">
    <cfRule type="cellIs" dxfId="1252" priority="216" operator="lessThan">
      <formula>0</formula>
    </cfRule>
    <cfRule type="cellIs" dxfId="1251" priority="215" operator="greaterThan">
      <formula>0</formula>
    </cfRule>
  </conditionalFormatting>
  <conditionalFormatting sqref="G29 G36 G43 G50 G57 G71">
    <cfRule type="cellIs" dxfId="1250" priority="212" operator="lessThan">
      <formula>0</formula>
    </cfRule>
    <cfRule type="cellIs" dxfId="1249" priority="211" operator="greaterThan">
      <formula>0</formula>
    </cfRule>
  </conditionalFormatting>
  <conditionalFormatting sqref="G31 G38 G45 G52 G59 G66 G73">
    <cfRule type="cellIs" dxfId="1248" priority="209" operator="greaterThan">
      <formula>0</formula>
    </cfRule>
    <cfRule type="cellIs" dxfId="1247" priority="210" operator="lessThan">
      <formula>0</formula>
    </cfRule>
  </conditionalFormatting>
  <conditionalFormatting sqref="G61">
    <cfRule type="cellIs" dxfId="1246" priority="4" operator="lessThan">
      <formula>0</formula>
    </cfRule>
    <cfRule type="cellIs" dxfId="1245" priority="3" operator="greaterThan">
      <formula>0</formula>
    </cfRule>
  </conditionalFormatting>
  <conditionalFormatting sqref="G64">
    <cfRule type="cellIs" dxfId="1244" priority="2" operator="lessThan">
      <formula>0</formula>
    </cfRule>
    <cfRule type="cellIs" dxfId="1243" priority="1" operator="greaterThan">
      <formula>0</formula>
    </cfRule>
  </conditionalFormatting>
  <conditionalFormatting sqref="G75">
    <cfRule type="cellIs" dxfId="1242" priority="185" operator="greaterThan">
      <formula>0</formula>
    </cfRule>
    <cfRule type="cellIs" dxfId="1241" priority="186" operator="lessThan">
      <formula>0</formula>
    </cfRule>
  </conditionalFormatting>
  <conditionalFormatting sqref="G78">
    <cfRule type="cellIs" dxfId="1240" priority="181" operator="greaterThan">
      <formula>0</formula>
    </cfRule>
    <cfRule type="cellIs" dxfId="1239" priority="182" operator="lessThan">
      <formula>0</formula>
    </cfRule>
  </conditionalFormatting>
  <conditionalFormatting sqref="G80">
    <cfRule type="cellIs" dxfId="1238" priority="180" operator="lessThan">
      <formula>0</formula>
    </cfRule>
    <cfRule type="cellIs" dxfId="1237" priority="179" operator="greaterThan">
      <formula>0</formula>
    </cfRule>
  </conditionalFormatting>
  <conditionalFormatting sqref="G82">
    <cfRule type="cellIs" dxfId="1236" priority="159" operator="greaterThan">
      <formula>0</formula>
    </cfRule>
    <cfRule type="cellIs" dxfId="1235" priority="160" operator="lessThan">
      <formula>0</formula>
    </cfRule>
  </conditionalFormatting>
  <conditionalFormatting sqref="G85">
    <cfRule type="cellIs" dxfId="1234" priority="155" operator="greaterThan">
      <formula>0</formula>
    </cfRule>
    <cfRule type="cellIs" dxfId="1233" priority="156" operator="lessThan">
      <formula>0</formula>
    </cfRule>
  </conditionalFormatting>
  <conditionalFormatting sqref="G87">
    <cfRule type="cellIs" dxfId="1232" priority="153" operator="greaterThan">
      <formula>0</formula>
    </cfRule>
    <cfRule type="cellIs" dxfId="1231" priority="154" operator="lessThan">
      <formula>0</formula>
    </cfRule>
  </conditionalFormatting>
  <conditionalFormatting sqref="G89">
    <cfRule type="cellIs" dxfId="1230" priority="134" operator="lessThan">
      <formula>0</formula>
    </cfRule>
    <cfRule type="cellIs" dxfId="1229" priority="133" operator="greaterThan">
      <formula>0</formula>
    </cfRule>
  </conditionalFormatting>
  <conditionalFormatting sqref="G92">
    <cfRule type="cellIs" dxfId="1228" priority="129" operator="greaterThan">
      <formula>0</formula>
    </cfRule>
    <cfRule type="cellIs" dxfId="1227" priority="130" operator="lessThan">
      <formula>0</formula>
    </cfRule>
  </conditionalFormatting>
  <conditionalFormatting sqref="G94">
    <cfRule type="cellIs" dxfId="1226" priority="128" operator="lessThan">
      <formula>0</formula>
    </cfRule>
    <cfRule type="cellIs" dxfId="1225" priority="127" operator="greaterThan">
      <formula>0</formula>
    </cfRule>
  </conditionalFormatting>
  <conditionalFormatting sqref="G96">
    <cfRule type="cellIs" dxfId="1224" priority="113" operator="greaterThan">
      <formula>0</formula>
    </cfRule>
    <cfRule type="cellIs" dxfId="1223" priority="114" operator="lessThan">
      <formula>0</formula>
    </cfRule>
  </conditionalFormatting>
  <conditionalFormatting sqref="G99">
    <cfRule type="cellIs" dxfId="1222" priority="110" operator="lessThan">
      <formula>0</formula>
    </cfRule>
    <cfRule type="cellIs" dxfId="1221" priority="109" operator="greaterThan">
      <formula>0</formula>
    </cfRule>
  </conditionalFormatting>
  <conditionalFormatting sqref="G101">
    <cfRule type="cellIs" dxfId="1220" priority="108" operator="lessThan">
      <formula>0</formula>
    </cfRule>
    <cfRule type="cellIs" dxfId="1219" priority="107" operator="greaterThan">
      <formula>0</formula>
    </cfRule>
  </conditionalFormatting>
  <conditionalFormatting sqref="G103">
    <cfRule type="cellIs" dxfId="1218" priority="88" operator="lessThan">
      <formula>0</formula>
    </cfRule>
    <cfRule type="cellIs" dxfId="1217" priority="87" operator="greaterThan">
      <formula>0</formula>
    </cfRule>
  </conditionalFormatting>
  <conditionalFormatting sqref="G106">
    <cfRule type="cellIs" dxfId="1216" priority="83" operator="greaterThan">
      <formula>0</formula>
    </cfRule>
    <cfRule type="cellIs" dxfId="1215" priority="84" operator="lessThan">
      <formula>0</formula>
    </cfRule>
  </conditionalFormatting>
  <conditionalFormatting sqref="G108">
    <cfRule type="cellIs" dxfId="1214" priority="82" operator="lessThan">
      <formula>0</formula>
    </cfRule>
    <cfRule type="cellIs" dxfId="1213" priority="81" operator="greaterThan">
      <formula>0</formula>
    </cfRule>
  </conditionalFormatting>
  <conditionalFormatting sqref="G110">
    <cfRule type="cellIs" dxfId="1212" priority="61" operator="greaterThan">
      <formula>0</formula>
    </cfRule>
    <cfRule type="cellIs" dxfId="1211" priority="62" operator="lessThan">
      <formula>0</formula>
    </cfRule>
  </conditionalFormatting>
  <conditionalFormatting sqref="G113">
    <cfRule type="cellIs" dxfId="1210" priority="58" operator="lessThan">
      <formula>0</formula>
    </cfRule>
    <cfRule type="cellIs" dxfId="1209" priority="57" operator="greaterThan">
      <formula>0</formula>
    </cfRule>
  </conditionalFormatting>
  <conditionalFormatting sqref="G115 G122">
    <cfRule type="cellIs" dxfId="1208" priority="55" operator="greaterThan">
      <formula>0</formula>
    </cfRule>
    <cfRule type="cellIs" dxfId="1207" priority="56" operator="lessThan">
      <formula>0</formula>
    </cfRule>
  </conditionalFormatting>
  <conditionalFormatting sqref="G117">
    <cfRule type="cellIs" dxfId="1206" priority="22" operator="lessThan">
      <formula>0</formula>
    </cfRule>
    <cfRule type="cellIs" dxfId="1205" priority="21" operator="greaterThan">
      <formula>0</formula>
    </cfRule>
  </conditionalFormatting>
  <conditionalFormatting sqref="G120">
    <cfRule type="cellIs" dxfId="1204" priority="19" operator="greaterThan">
      <formula>0</formula>
    </cfRule>
    <cfRule type="cellIs" dxfId="1203" priority="20" operator="lessThan">
      <formula>0</formula>
    </cfRule>
  </conditionalFormatting>
  <conditionalFormatting sqref="H13">
    <cfRule type="cellIs" dxfId="1202" priority="46" operator="greaterThanOrEqual">
      <formula>0.6</formula>
    </cfRule>
  </conditionalFormatting>
  <conditionalFormatting sqref="H15">
    <cfRule type="cellIs" dxfId="1201" priority="39" operator="greaterThanOrEqual">
      <formula>H14</formula>
    </cfRule>
    <cfRule type="cellIs" dxfId="1200" priority="38" operator="lessThan">
      <formula>H14</formula>
    </cfRule>
  </conditionalFormatting>
  <conditionalFormatting sqref="H103:T103 V103:AL103 H106:AL106 H108:AL108">
    <cfRule type="expression" dxfId="1199" priority="91">
      <formula>H$9&gt;$C$7</formula>
    </cfRule>
  </conditionalFormatting>
  <conditionalFormatting sqref="H103:T103 V103:AL103">
    <cfRule type="cellIs" dxfId="1198" priority="103" operator="greaterThanOrEqual">
      <formula>H102</formula>
    </cfRule>
    <cfRule type="cellIs" dxfId="1197" priority="102" operator="lessThan">
      <formula>H102</formula>
    </cfRule>
    <cfRule type="expression" dxfId="1196" priority="101">
      <formula>H102=""</formula>
    </cfRule>
  </conditionalFormatting>
  <conditionalFormatting sqref="H11:AL11">
    <cfRule type="cellIs" dxfId="1195" priority="47" operator="greaterThanOrEqual">
      <formula>H10</formula>
    </cfRule>
    <cfRule type="cellIs" dxfId="1194" priority="45" operator="lessThan">
      <formula>H10</formula>
    </cfRule>
    <cfRule type="expression" dxfId="1193" priority="249">
      <formula>H10=""</formula>
    </cfRule>
  </conditionalFormatting>
  <conditionalFormatting sqref="H13:AL13">
    <cfRule type="cellIs" dxfId="1192" priority="244" operator="between">
      <formula>1.6</formula>
      <formula>2</formula>
    </cfRule>
    <cfRule type="expression" dxfId="1191" priority="41">
      <formula>H12=""</formula>
    </cfRule>
    <cfRule type="cellIs" dxfId="1190" priority="44" operator="greaterThanOrEqual">
      <formula>2</formula>
    </cfRule>
    <cfRule type="cellIs" dxfId="1189" priority="42" operator="lessThan">
      <formula>H12</formula>
    </cfRule>
    <cfRule type="cellIs" dxfId="1188" priority="43" operator="greaterThanOrEqual">
      <formula>H12</formula>
    </cfRule>
  </conditionalFormatting>
  <conditionalFormatting sqref="H15:AL15 H11:AL11 H13:AL13">
    <cfRule type="expression" dxfId="1187" priority="40">
      <formula>H$9&gt;$C$7</formula>
    </cfRule>
  </conditionalFormatting>
  <conditionalFormatting sqref="H15:AL15">
    <cfRule type="expression" dxfId="1186" priority="37">
      <formula>H14=""</formula>
    </cfRule>
  </conditionalFormatting>
  <conditionalFormatting sqref="H19:AL19 H26:AL26 H33:AL33 H40:AL40 H47:AL47 H54:AL54 H68:AL68">
    <cfRule type="cellIs" dxfId="1185" priority="240" operator="lessThan">
      <formula>H18</formula>
    </cfRule>
    <cfRule type="expression" dxfId="1184" priority="239">
      <formula>H18=""</formula>
    </cfRule>
    <cfRule type="cellIs" dxfId="1183" priority="241" operator="greaterThanOrEqual">
      <formula>H18</formula>
    </cfRule>
  </conditionalFormatting>
  <conditionalFormatting sqref="H22:AL22 H29:AL29 H36:AL36 H43:AL43 H50:AL50 H57:AL57 H71:AL71">
    <cfRule type="cellIs" dxfId="1182" priority="237" operator="between">
      <formula>1.6</formula>
      <formula>2</formula>
    </cfRule>
    <cfRule type="cellIs" dxfId="1181" priority="236" operator="greaterThanOrEqual">
      <formula>2</formula>
    </cfRule>
    <cfRule type="cellIs" dxfId="1180" priority="235" operator="greaterThanOrEqual">
      <formula>H21</formula>
    </cfRule>
    <cfRule type="cellIs" dxfId="1179" priority="238" operator="greaterThanOrEqual">
      <formula>0.6</formula>
    </cfRule>
    <cfRule type="cellIs" dxfId="1178" priority="234" operator="lessThan">
      <formula>H21</formula>
    </cfRule>
    <cfRule type="expression" dxfId="1177" priority="230">
      <formula>H21=""</formula>
    </cfRule>
  </conditionalFormatting>
  <conditionalFormatting sqref="H24:AL24 H31:AL31 H38:AL38 H45:AL45 H52:AL52 H59:AL59 H66:AL66 H73:AL73">
    <cfRule type="cellIs" dxfId="1176" priority="232" operator="lessThan">
      <formula>H23</formula>
    </cfRule>
    <cfRule type="cellIs" dxfId="1175" priority="233" operator="greaterThanOrEqual">
      <formula>H23</formula>
    </cfRule>
    <cfRule type="expression" dxfId="1174" priority="231">
      <formula>H23=""</formula>
    </cfRule>
  </conditionalFormatting>
  <conditionalFormatting sqref="H61:AL61 H64:AL64 H19:AL19 H22:AL22 H24:AL24 H26:AL26 H29:AL29 H31:AL31 H33:AL33 H36:AL36 H38:AL38 H40:AL40 H43:AL43 H45:AL45 H47:AL47 H50:AL50 H52:AL52 H54:AL54 H57:AL57 H59:AL59 H66:AL66 H68:AL68 H71:AL71 H73:AL73">
    <cfRule type="expression" dxfId="1173" priority="229">
      <formula>H$9&gt;$C$7</formula>
    </cfRule>
  </conditionalFormatting>
  <conditionalFormatting sqref="H61:AL61">
    <cfRule type="cellIs" dxfId="1172" priority="15" operator="greaterThanOrEqual">
      <formula>H60</formula>
    </cfRule>
    <cfRule type="cellIs" dxfId="1171" priority="14" operator="lessThan">
      <formula>H60</formula>
    </cfRule>
    <cfRule type="expression" dxfId="1170" priority="13">
      <formula>H60=""</formula>
    </cfRule>
  </conditionalFormatting>
  <conditionalFormatting sqref="H64:AL64">
    <cfRule type="cellIs" dxfId="1169" priority="8" operator="lessThan">
      <formula>H63</formula>
    </cfRule>
    <cfRule type="cellIs" dxfId="1168" priority="9" operator="greaterThanOrEqual">
      <formula>H63</formula>
    </cfRule>
    <cfRule type="cellIs" dxfId="1167" priority="10" operator="greaterThanOrEqual">
      <formula>2</formula>
    </cfRule>
    <cfRule type="cellIs" dxfId="1166" priority="11" operator="between">
      <formula>1.6</formula>
      <formula>2</formula>
    </cfRule>
    <cfRule type="cellIs" dxfId="1165" priority="12" operator="greaterThanOrEqual">
      <formula>0.6</formula>
    </cfRule>
    <cfRule type="expression" dxfId="1164" priority="7">
      <formula>H63=""</formula>
    </cfRule>
  </conditionalFormatting>
  <conditionalFormatting sqref="H75:AL75 H78:AL78 H80:AL80">
    <cfRule type="expression" dxfId="1163" priority="189">
      <formula>H$9&gt;$C$7</formula>
    </cfRule>
  </conditionalFormatting>
  <conditionalFormatting sqref="H75:AL75">
    <cfRule type="cellIs" dxfId="1162" priority="200" operator="lessThan">
      <formula>H74</formula>
    </cfRule>
    <cfRule type="cellIs" dxfId="1161" priority="201" operator="greaterThanOrEqual">
      <formula>H74</formula>
    </cfRule>
    <cfRule type="expression" dxfId="1160" priority="199">
      <formula>H74=""</formula>
    </cfRule>
  </conditionalFormatting>
  <conditionalFormatting sqref="H78:AL78">
    <cfRule type="cellIs" dxfId="1159" priority="196" operator="greaterThanOrEqual">
      <formula>2</formula>
    </cfRule>
    <cfRule type="cellIs" dxfId="1158" priority="194" operator="lessThan">
      <formula>H77</formula>
    </cfRule>
    <cfRule type="cellIs" dxfId="1157" priority="195" operator="greaterThanOrEqual">
      <formula>H77</formula>
    </cfRule>
    <cfRule type="expression" dxfId="1156" priority="190">
      <formula>H77=""</formula>
    </cfRule>
    <cfRule type="cellIs" dxfId="1155" priority="198" operator="greaterThanOrEqual">
      <formula>0.6</formula>
    </cfRule>
    <cfRule type="cellIs" dxfId="1154" priority="197" operator="between">
      <formula>1.6</formula>
      <formula>2</formula>
    </cfRule>
  </conditionalFormatting>
  <conditionalFormatting sqref="H80:AL80">
    <cfRule type="cellIs" dxfId="1153" priority="193" operator="greaterThanOrEqual">
      <formula>H79</formula>
    </cfRule>
    <cfRule type="cellIs" dxfId="1152" priority="192" operator="lessThan">
      <formula>H79</formula>
    </cfRule>
    <cfRule type="expression" dxfId="1151" priority="191">
      <formula>H79=""</formula>
    </cfRule>
  </conditionalFormatting>
  <conditionalFormatting sqref="H82:AL82 H85:AL85 H87:AL87">
    <cfRule type="expression" dxfId="1150" priority="163">
      <formula>H$9&gt;$C$7</formula>
    </cfRule>
  </conditionalFormatting>
  <conditionalFormatting sqref="H82:AL82">
    <cfRule type="expression" dxfId="1149" priority="173">
      <formula>H81=""</formula>
    </cfRule>
    <cfRule type="cellIs" dxfId="1148" priority="175" operator="greaterThanOrEqual">
      <formula>H81</formula>
    </cfRule>
    <cfRule type="cellIs" dxfId="1147" priority="174" operator="lessThan">
      <formula>H81</formula>
    </cfRule>
  </conditionalFormatting>
  <conditionalFormatting sqref="H85:AL85">
    <cfRule type="cellIs" dxfId="1146" priority="169" operator="greaterThanOrEqual">
      <formula>H84</formula>
    </cfRule>
    <cfRule type="cellIs" dxfId="1145" priority="170" operator="greaterThanOrEqual">
      <formula>2</formula>
    </cfRule>
    <cfRule type="cellIs" dxfId="1144" priority="171" operator="between">
      <formula>1.6</formula>
      <formula>2</formula>
    </cfRule>
    <cfRule type="expression" dxfId="1143" priority="164">
      <formula>H84=""</formula>
    </cfRule>
    <cfRule type="cellIs" dxfId="1142" priority="168" operator="lessThan">
      <formula>H84</formula>
    </cfRule>
    <cfRule type="cellIs" dxfId="1141" priority="172" operator="greaterThanOrEqual">
      <formula>0.6</formula>
    </cfRule>
  </conditionalFormatting>
  <conditionalFormatting sqref="H87:AL87">
    <cfRule type="cellIs" dxfId="1140" priority="167" operator="greaterThanOrEqual">
      <formula>H86</formula>
    </cfRule>
    <cfRule type="expression" dxfId="1139" priority="165">
      <formula>H86=""</formula>
    </cfRule>
    <cfRule type="cellIs" dxfId="1138" priority="166" operator="lessThan">
      <formula>H86</formula>
    </cfRule>
  </conditionalFormatting>
  <conditionalFormatting sqref="H89:AL89 H92:AL92 H94:AL94">
    <cfRule type="expression" dxfId="1137" priority="137">
      <formula>H$9&gt;$C$7</formula>
    </cfRule>
  </conditionalFormatting>
  <conditionalFormatting sqref="H89:AL89">
    <cfRule type="cellIs" dxfId="1136" priority="148" operator="lessThan">
      <formula>H88</formula>
    </cfRule>
    <cfRule type="expression" dxfId="1135" priority="147">
      <formula>H88=""</formula>
    </cfRule>
    <cfRule type="cellIs" dxfId="1134" priority="149" operator="greaterThanOrEqual">
      <formula>H88</formula>
    </cfRule>
  </conditionalFormatting>
  <conditionalFormatting sqref="H92:AL92">
    <cfRule type="cellIs" dxfId="1133" priority="142" operator="lessThan">
      <formula>H91</formula>
    </cfRule>
    <cfRule type="expression" dxfId="1132" priority="138">
      <formula>H91=""</formula>
    </cfRule>
    <cfRule type="cellIs" dxfId="1131" priority="143" operator="greaterThanOrEqual">
      <formula>H91</formula>
    </cfRule>
    <cfRule type="cellIs" dxfId="1130" priority="144" operator="greaterThanOrEqual">
      <formula>2</formula>
    </cfRule>
    <cfRule type="cellIs" dxfId="1129" priority="145" operator="between">
      <formula>1.6</formula>
      <formula>2</formula>
    </cfRule>
    <cfRule type="cellIs" dxfId="1128" priority="146" operator="greaterThanOrEqual">
      <formula>0.6</formula>
    </cfRule>
  </conditionalFormatting>
  <conditionalFormatting sqref="H94:AL94">
    <cfRule type="cellIs" dxfId="1127" priority="141" operator="greaterThanOrEqual">
      <formula>H93</formula>
    </cfRule>
    <cfRule type="cellIs" dxfId="1126" priority="140" operator="lessThan">
      <formula>H93</formula>
    </cfRule>
    <cfRule type="expression" dxfId="1125" priority="139">
      <formula>H93=""</formula>
    </cfRule>
  </conditionalFormatting>
  <conditionalFormatting sqref="H96:AL96 H101:AL101">
    <cfRule type="expression" dxfId="1124" priority="117">
      <formula>H$9&gt;$C$7</formula>
    </cfRule>
  </conditionalFormatting>
  <conditionalFormatting sqref="H96:AL96">
    <cfRule type="cellIs" dxfId="1123" priority="123" operator="greaterThanOrEqual">
      <formula>H95</formula>
    </cfRule>
    <cfRule type="cellIs" dxfId="1122" priority="122" operator="lessThan">
      <formula>H95</formula>
    </cfRule>
    <cfRule type="expression" dxfId="1121" priority="121">
      <formula>H95=""</formula>
    </cfRule>
  </conditionalFormatting>
  <conditionalFormatting sqref="H99:AL99">
    <cfRule type="cellIs" dxfId="1120" priority="53" operator="between">
      <formula>1.6</formula>
      <formula>2</formula>
    </cfRule>
    <cfRule type="cellIs" dxfId="1119" priority="54" operator="greaterThanOrEqual">
      <formula>0.6</formula>
    </cfRule>
    <cfRule type="cellIs" dxfId="1118" priority="52" operator="greaterThanOrEqual">
      <formula>2</formula>
    </cfRule>
    <cfRule type="cellIs" dxfId="1117" priority="51" operator="greaterThanOrEqual">
      <formula>H98</formula>
    </cfRule>
    <cfRule type="cellIs" dxfId="1116" priority="50" operator="lessThan">
      <formula>H98</formula>
    </cfRule>
    <cfRule type="expression" dxfId="1115" priority="49">
      <formula>H98=""</formula>
    </cfRule>
    <cfRule type="expression" dxfId="1114" priority="48">
      <formula>H$9&gt;$C$7</formula>
    </cfRule>
  </conditionalFormatting>
  <conditionalFormatting sqref="H101:AL101">
    <cfRule type="expression" dxfId="1113" priority="118">
      <formula>H100=""</formula>
    </cfRule>
    <cfRule type="cellIs" dxfId="1112" priority="119" operator="lessThan">
      <formula>H100</formula>
    </cfRule>
    <cfRule type="cellIs" dxfId="1111" priority="120" operator="greaterThanOrEqual">
      <formula>H100</formula>
    </cfRule>
  </conditionalFormatting>
  <conditionalFormatting sqref="H106:AL106">
    <cfRule type="cellIs" dxfId="1110" priority="100" operator="greaterThanOrEqual">
      <formula>0.6</formula>
    </cfRule>
    <cfRule type="expression" dxfId="1109" priority="92">
      <formula>H105=""</formula>
    </cfRule>
    <cfRule type="cellIs" dxfId="1108" priority="96" operator="lessThan">
      <formula>H105</formula>
    </cfRule>
    <cfRule type="cellIs" dxfId="1107" priority="97" operator="greaterThanOrEqual">
      <formula>H105</formula>
    </cfRule>
    <cfRule type="cellIs" dxfId="1106" priority="98" operator="greaterThanOrEqual">
      <formula>2</formula>
    </cfRule>
    <cfRule type="cellIs" dxfId="1105" priority="99" operator="between">
      <formula>1.6</formula>
      <formula>2</formula>
    </cfRule>
  </conditionalFormatting>
  <conditionalFormatting sqref="H108:AL108">
    <cfRule type="cellIs" dxfId="1104" priority="94" operator="lessThan">
      <formula>H107</formula>
    </cfRule>
    <cfRule type="expression" dxfId="1103" priority="93">
      <formula>H107=""</formula>
    </cfRule>
    <cfRule type="cellIs" dxfId="1102" priority="95" operator="greaterThanOrEqual">
      <formula>H107</formula>
    </cfRule>
  </conditionalFormatting>
  <conditionalFormatting sqref="H110:AL110">
    <cfRule type="cellIs" dxfId="1101" priority="77" operator="greaterThanOrEqual">
      <formula>H109</formula>
    </cfRule>
    <cfRule type="cellIs" dxfId="1100" priority="76" operator="lessThan">
      <formula>H109</formula>
    </cfRule>
    <cfRule type="expression" dxfId="1099" priority="75">
      <formula>H109=""</formula>
    </cfRule>
  </conditionalFormatting>
  <conditionalFormatting sqref="H113:AL113">
    <cfRule type="cellIs" dxfId="1098" priority="74" operator="greaterThanOrEqual">
      <formula>0.6</formula>
    </cfRule>
    <cfRule type="cellIs" dxfId="1097" priority="73" operator="between">
      <formula>1.6</formula>
      <formula>2</formula>
    </cfRule>
    <cfRule type="cellIs" dxfId="1096" priority="72" operator="greaterThanOrEqual">
      <formula>2</formula>
    </cfRule>
    <cfRule type="cellIs" dxfId="1095" priority="71" operator="greaterThanOrEqual">
      <formula>H112</formula>
    </cfRule>
    <cfRule type="cellIs" dxfId="1094" priority="70" operator="lessThan">
      <formula>H112</formula>
    </cfRule>
    <cfRule type="expression" dxfId="1093" priority="66">
      <formula>H112=""</formula>
    </cfRule>
  </conditionalFormatting>
  <conditionalFormatting sqref="H115:AL115 H122:AL122">
    <cfRule type="cellIs" dxfId="1092" priority="69" operator="greaterThanOrEqual">
      <formula>H114</formula>
    </cfRule>
    <cfRule type="cellIs" dxfId="1091" priority="68" operator="lessThan">
      <formula>H114</formula>
    </cfRule>
    <cfRule type="expression" dxfId="1090" priority="67">
      <formula>H114=""</formula>
    </cfRule>
  </conditionalFormatting>
  <conditionalFormatting sqref="H117:AL117 H120:AL120 H110:AL110 H113:AL113 H115:AL115 H122:AL122">
    <cfRule type="expression" dxfId="1089" priority="65">
      <formula>H$9&gt;$C$7</formula>
    </cfRule>
  </conditionalFormatting>
  <conditionalFormatting sqref="H117:AL117">
    <cfRule type="cellIs" dxfId="1088" priority="32" operator="lessThan">
      <formula>H116</formula>
    </cfRule>
    <cfRule type="cellIs" dxfId="1087" priority="33" operator="greaterThanOrEqual">
      <formula>H116</formula>
    </cfRule>
    <cfRule type="expression" dxfId="1086" priority="31">
      <formula>H116=""</formula>
    </cfRule>
  </conditionalFormatting>
  <conditionalFormatting sqref="H120:AL120">
    <cfRule type="cellIs" dxfId="1085" priority="26" operator="lessThan">
      <formula>H119</formula>
    </cfRule>
    <cfRule type="expression" dxfId="1084" priority="25">
      <formula>H119=""</formula>
    </cfRule>
    <cfRule type="cellIs" dxfId="1083" priority="29" operator="between">
      <formula>1.6</formula>
      <formula>2</formula>
    </cfRule>
    <cfRule type="cellIs" dxfId="1082" priority="28" operator="greaterThanOrEqual">
      <formula>2</formula>
    </cfRule>
    <cfRule type="cellIs" dxfId="1081" priority="27" operator="greaterThanOrEqual">
      <formula>H119</formula>
    </cfRule>
    <cfRule type="cellIs" dxfId="1080" priority="30" operator="greaterThanOrEqual">
      <formula>0.6</formula>
    </cfRule>
  </conditionalFormatting>
  <conditionalFormatting sqref="I13:AL13">
    <cfRule type="cellIs" dxfId="1079" priority="245" operator="greaterThanOrEqual">
      <formula>0.6</formula>
    </cfRule>
  </conditionalFormatting>
  <conditionalFormatting sqref="I15:AL15">
    <cfRule type="cellIs" dxfId="1078" priority="242" operator="lessThan">
      <formula>I14</formula>
    </cfRule>
    <cfRule type="cellIs" dxfId="1077" priority="243" operator="greaterThanOrEqual">
      <formula>I14</formula>
    </cfRule>
  </conditionalFormatting>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B3B4D-32AB-49EC-B801-CF7E03CA9D58}">
  <dimension ref="B1:AE26"/>
  <sheetViews>
    <sheetView topLeftCell="F1" workbookViewId="0">
      <selection activeCell="W6" sqref="W6"/>
    </sheetView>
  </sheetViews>
  <sheetFormatPr defaultRowHeight="15" x14ac:dyDescent="0.25"/>
  <cols>
    <col min="2" max="2" width="11.5703125" bestFit="1" customWidth="1"/>
    <col min="3" max="3" width="11.5703125" customWidth="1"/>
    <col min="7" max="12" width="0" hidden="1" customWidth="1"/>
  </cols>
  <sheetData>
    <row r="1" spans="2:31" ht="15.75" thickBot="1" x14ac:dyDescent="0.3">
      <c r="E1" t="s">
        <v>317</v>
      </c>
      <c r="F1" t="s">
        <v>317</v>
      </c>
      <c r="G1" t="s">
        <v>351</v>
      </c>
      <c r="H1" t="s">
        <v>351</v>
      </c>
    </row>
    <row r="2" spans="2:31" ht="36.75" thickBot="1" x14ac:dyDescent="0.3">
      <c r="B2" s="820" t="s">
        <v>367</v>
      </c>
      <c r="C2" s="820" t="s">
        <v>368</v>
      </c>
      <c r="D2" s="821" t="s">
        <v>369</v>
      </c>
      <c r="E2" s="821" t="s">
        <v>370</v>
      </c>
      <c r="F2" s="821" t="s">
        <v>371</v>
      </c>
      <c r="G2" s="821" t="s">
        <v>370</v>
      </c>
      <c r="H2" s="821" t="s">
        <v>371</v>
      </c>
      <c r="I2" s="821" t="s">
        <v>372</v>
      </c>
      <c r="J2" s="822" t="s">
        <v>373</v>
      </c>
      <c r="K2" s="823" t="s">
        <v>374</v>
      </c>
      <c r="L2" s="824" t="s">
        <v>375</v>
      </c>
      <c r="M2" s="823" t="s">
        <v>374</v>
      </c>
      <c r="N2" s="824" t="s">
        <v>375</v>
      </c>
      <c r="O2" s="927"/>
      <c r="R2" s="1681" t="s">
        <v>376</v>
      </c>
      <c r="S2" s="1682"/>
      <c r="T2" s="1676" t="s">
        <v>32</v>
      </c>
      <c r="U2" s="1677"/>
      <c r="V2" s="1683"/>
      <c r="W2" s="1676" t="s">
        <v>377</v>
      </c>
      <c r="X2" s="1677"/>
      <c r="Y2" s="1683"/>
      <c r="Z2" s="1676" t="s">
        <v>262</v>
      </c>
      <c r="AA2" s="1677"/>
      <c r="AB2" s="1683"/>
      <c r="AC2" s="1676" t="s">
        <v>378</v>
      </c>
      <c r="AD2" s="1677"/>
      <c r="AE2" s="1677"/>
    </row>
    <row r="3" spans="2:31" ht="15.75" thickBot="1" x14ac:dyDescent="0.3">
      <c r="B3" s="1348" t="str">
        <f>'Monthly Stope Performance'!B61</f>
        <v>1L_W24_STOPE</v>
      </c>
      <c r="C3" s="1349">
        <f>'Monthly Stope Performance'!C61</f>
        <v>1890</v>
      </c>
      <c r="D3" s="1350">
        <f>'Monthly Stope Performance'!F61</f>
        <v>1.83</v>
      </c>
      <c r="E3" s="1349">
        <f>T4</f>
        <v>1353</v>
      </c>
      <c r="F3" s="1350">
        <f>U4*$P$3</f>
        <v>2.0765408818064395</v>
      </c>
      <c r="G3" s="1348">
        <f>'Monthly Stope Performance'!E61</f>
        <v>2125</v>
      </c>
      <c r="H3" s="1350">
        <f>'Monthly Stope Performance'!G61</f>
        <v>1.882352941176471</v>
      </c>
      <c r="I3" s="1351" t="e">
        <f>G3-B3</f>
        <v>#VALUE!</v>
      </c>
      <c r="J3" s="1352">
        <f>H3-C3</f>
        <v>-1888.1176470588234</v>
      </c>
      <c r="K3" s="1348">
        <f>'April 25 D_R (Tramming)'!B19</f>
        <v>2125</v>
      </c>
      <c r="L3" s="1353">
        <f>((H3*K3)*0.88)/1000</f>
        <v>3.5200000000000009</v>
      </c>
      <c r="M3" s="1348">
        <f>(E3/23)*25</f>
        <v>1470.6521739130435</v>
      </c>
      <c r="N3" s="1354">
        <f>(M3*F3*0.88)/1000</f>
        <v>2.6874050386021944</v>
      </c>
      <c r="O3" s="928"/>
      <c r="P3">
        <f>0.85/1.07</f>
        <v>0.79439252336448596</v>
      </c>
      <c r="R3" s="852" t="s">
        <v>57</v>
      </c>
      <c r="S3" s="853" t="s">
        <v>43</v>
      </c>
      <c r="T3" s="854" t="s">
        <v>379</v>
      </c>
      <c r="U3" s="855" t="s">
        <v>2</v>
      </c>
      <c r="V3" s="856" t="s">
        <v>380</v>
      </c>
      <c r="W3" s="854" t="s">
        <v>379</v>
      </c>
      <c r="X3" s="855" t="s">
        <v>2</v>
      </c>
      <c r="Y3" s="856" t="s">
        <v>380</v>
      </c>
      <c r="Z3" s="854" t="s">
        <v>379</v>
      </c>
      <c r="AA3" s="855" t="s">
        <v>2</v>
      </c>
      <c r="AB3" s="856" t="s">
        <v>380</v>
      </c>
      <c r="AC3" s="854" t="s">
        <v>379</v>
      </c>
      <c r="AD3" s="855" t="s">
        <v>2</v>
      </c>
      <c r="AE3" s="856" t="s">
        <v>380</v>
      </c>
    </row>
    <row r="4" spans="2:31" ht="15.75" thickBot="1" x14ac:dyDescent="0.3">
      <c r="B4" s="825" t="s">
        <v>381</v>
      </c>
      <c r="C4" s="840">
        <f>C3</f>
        <v>1890</v>
      </c>
      <c r="D4" s="826">
        <f>SUMPRODUCT(C3,D3)/C4</f>
        <v>1.83</v>
      </c>
      <c r="E4" s="840">
        <f>E3</f>
        <v>1353</v>
      </c>
      <c r="F4" s="826">
        <f>SUMPRODUCT(E3,F3)/E4</f>
        <v>2.0765408818064395</v>
      </c>
      <c r="G4" s="840">
        <f>G3</f>
        <v>2125</v>
      </c>
      <c r="H4" s="826">
        <f>SUMPRODUCT(G3,H3)/G4</f>
        <v>1.882352941176471</v>
      </c>
      <c r="I4" s="827" t="e">
        <f t="shared" ref="I4:J4" si="0">I3</f>
        <v>#VALUE!</v>
      </c>
      <c r="J4" s="828">
        <f t="shared" si="0"/>
        <v>-1888.1176470588234</v>
      </c>
      <c r="K4" s="829">
        <f>K3</f>
        <v>2125</v>
      </c>
      <c r="L4" s="830">
        <f>SUMPRODUCT(K3,L3)/K4</f>
        <v>3.5200000000000009</v>
      </c>
      <c r="M4" s="829">
        <f>M3</f>
        <v>1470.6521739130435</v>
      </c>
      <c r="N4" s="933">
        <f>N3</f>
        <v>2.6874050386021944</v>
      </c>
      <c r="O4" s="929"/>
      <c r="R4" s="857">
        <v>1</v>
      </c>
      <c r="S4" s="858" t="s">
        <v>382</v>
      </c>
      <c r="T4" s="936">
        <v>1353</v>
      </c>
      <c r="U4" s="937">
        <v>2.6139985218034001</v>
      </c>
      <c r="V4" s="861">
        <v>3.5</v>
      </c>
      <c r="W4" s="862">
        <v>1610</v>
      </c>
      <c r="X4" s="863">
        <v>2.2000000000000002</v>
      </c>
      <c r="Y4" s="864">
        <v>3.5</v>
      </c>
      <c r="Z4" s="865">
        <v>-193</v>
      </c>
      <c r="AA4" s="866">
        <v>0.3</v>
      </c>
      <c r="AB4" s="865">
        <v>0</v>
      </c>
      <c r="AC4" s="867">
        <v>-0.12</v>
      </c>
      <c r="AD4" s="868">
        <v>0.13</v>
      </c>
      <c r="AE4" s="869">
        <v>0</v>
      </c>
    </row>
    <row r="5" spans="2:31" ht="15.75" thickBot="1" x14ac:dyDescent="0.3">
      <c r="B5" s="1348"/>
      <c r="C5" s="1350"/>
      <c r="D5" s="1350"/>
      <c r="E5" s="1350"/>
      <c r="F5" s="1355"/>
      <c r="G5" s="1348"/>
      <c r="H5" s="1350"/>
      <c r="I5" s="1351"/>
      <c r="J5" s="1352"/>
      <c r="K5" s="1348"/>
      <c r="L5" s="1353"/>
      <c r="M5" s="1348"/>
      <c r="N5" s="1356"/>
      <c r="O5" s="930"/>
      <c r="R5" s="1678">
        <v>3</v>
      </c>
      <c r="S5" s="870" t="s">
        <v>383</v>
      </c>
      <c r="T5" s="871">
        <v>2531</v>
      </c>
      <c r="U5" s="872">
        <v>3.4199446858949027</v>
      </c>
      <c r="V5" s="873">
        <v>8.6999999999999993</v>
      </c>
      <c r="W5" s="874">
        <v>2415</v>
      </c>
      <c r="X5" s="875">
        <v>3.85</v>
      </c>
      <c r="Y5" s="876">
        <v>9.3000000000000007</v>
      </c>
      <c r="Z5" s="877">
        <v>221</v>
      </c>
      <c r="AA5" s="878">
        <v>-0.56999999999999995</v>
      </c>
      <c r="AB5" s="879">
        <v>-0.6</v>
      </c>
      <c r="AC5" s="880">
        <v>0.09</v>
      </c>
      <c r="AD5" s="881">
        <v>-0.15</v>
      </c>
      <c r="AE5" s="882">
        <v>-7.0000000000000007E-2</v>
      </c>
    </row>
    <row r="6" spans="2:31" ht="15.75" thickBot="1" x14ac:dyDescent="0.3">
      <c r="B6" s="1348" t="str">
        <f>'Monthly Stope Performance'!B62</f>
        <v>3L_W23A_STOPE</v>
      </c>
      <c r="C6" s="1349">
        <f>'Monthly Stope Performance'!C62</f>
        <v>2940</v>
      </c>
      <c r="D6" s="1350">
        <f>'Monthly Stope Performance'!F62</f>
        <v>3.06</v>
      </c>
      <c r="E6" s="1349">
        <f>T5</f>
        <v>2531</v>
      </c>
      <c r="F6" s="1350">
        <f>U5*$P$3</f>
        <v>2.7167784887950162</v>
      </c>
      <c r="G6" s="1348">
        <f>'Monthly Stope Performance'!E62</f>
        <v>2726</v>
      </c>
      <c r="H6" s="1350">
        <f>'Monthly Stope Performance'!G62</f>
        <v>2.0542920029347025</v>
      </c>
      <c r="I6" s="1351" t="e">
        <f>G6-B6</f>
        <v>#VALUE!</v>
      </c>
      <c r="J6" s="1352">
        <f>H6-C6</f>
        <v>-2937.9457079970653</v>
      </c>
      <c r="K6" s="1348">
        <f>'April 25 D_R (Tramming)'!B26</f>
        <v>2726</v>
      </c>
      <c r="L6" s="1353">
        <f>((H6*K6)*0.88)/1000</f>
        <v>4.927999999999999</v>
      </c>
      <c r="M6" s="1348">
        <f>(E6/23)*25</f>
        <v>2751.086956521739</v>
      </c>
      <c r="N6" s="1354">
        <f>(M6*F6*0.88)/1000</f>
        <v>6.5772026005688735</v>
      </c>
      <c r="O6" s="928"/>
      <c r="R6" s="1679"/>
      <c r="S6" s="883" t="s">
        <v>384</v>
      </c>
      <c r="T6" s="884">
        <v>2531</v>
      </c>
      <c r="U6" s="885">
        <v>3.4199446858949027</v>
      </c>
      <c r="V6" s="886">
        <v>8.6999999999999993</v>
      </c>
      <c r="W6" s="887">
        <v>2415</v>
      </c>
      <c r="X6" s="888">
        <v>3.85</v>
      </c>
      <c r="Y6" s="889">
        <v>9.3000000000000007</v>
      </c>
      <c r="Z6" s="890">
        <v>221</v>
      </c>
      <c r="AA6" s="891">
        <v>-0.56999999999999995</v>
      </c>
      <c r="AB6" s="892">
        <v>-0.6</v>
      </c>
      <c r="AC6" s="893">
        <v>0.09</v>
      </c>
      <c r="AD6" s="894">
        <v>-0.15</v>
      </c>
      <c r="AE6" s="895">
        <v>-7.0000000000000007E-2</v>
      </c>
    </row>
    <row r="7" spans="2:31" ht="15.75" thickBot="1" x14ac:dyDescent="0.3">
      <c r="B7" s="825" t="s">
        <v>385</v>
      </c>
      <c r="C7" s="840">
        <f>C6</f>
        <v>2940</v>
      </c>
      <c r="D7" s="826">
        <f>SUMPRODUCT(C6,D6)/C7</f>
        <v>3.06</v>
      </c>
      <c r="E7" s="840">
        <f>E6</f>
        <v>2531</v>
      </c>
      <c r="F7" s="826">
        <f>SUMPRODUCT(E6,F6)/E7</f>
        <v>2.7167784887950162</v>
      </c>
      <c r="G7" s="840">
        <f>G6</f>
        <v>2726</v>
      </c>
      <c r="H7" s="826">
        <f>SUMPRODUCT(G6,H6)/G7</f>
        <v>2.0542920029347025</v>
      </c>
      <c r="I7" s="827" t="e">
        <f t="shared" ref="I7:J7" si="1">I6</f>
        <v>#VALUE!</v>
      </c>
      <c r="J7" s="828">
        <f t="shared" si="1"/>
        <v>-2937.9457079970653</v>
      </c>
      <c r="K7" s="829">
        <f>K6</f>
        <v>2726</v>
      </c>
      <c r="L7" s="830">
        <f>SUMPRODUCT(K6,L6)/K7</f>
        <v>4.927999999999999</v>
      </c>
      <c r="M7" s="829">
        <f>M6</f>
        <v>2751.086956521739</v>
      </c>
      <c r="N7" s="830">
        <f>SUMPRODUCT(M6,N6)/M7</f>
        <v>6.5772026005688735</v>
      </c>
      <c r="O7" s="931"/>
      <c r="R7" s="1678">
        <v>4</v>
      </c>
      <c r="S7" s="858" t="s">
        <v>386</v>
      </c>
      <c r="T7" s="859">
        <v>3399</v>
      </c>
      <c r="U7" s="860">
        <v>3.7235745807590481</v>
      </c>
      <c r="V7" s="861">
        <v>12.7</v>
      </c>
      <c r="W7" s="862">
        <v>3220</v>
      </c>
      <c r="X7" s="863">
        <v>3.85</v>
      </c>
      <c r="Y7" s="864">
        <v>12.4</v>
      </c>
      <c r="Z7" s="896">
        <v>329</v>
      </c>
      <c r="AA7" s="897">
        <v>-0.28000000000000003</v>
      </c>
      <c r="AB7" s="896">
        <v>0.3</v>
      </c>
      <c r="AC7" s="898">
        <v>0.1</v>
      </c>
      <c r="AD7" s="899">
        <v>-7.0000000000000007E-2</v>
      </c>
      <c r="AE7" s="900">
        <v>0.02</v>
      </c>
    </row>
    <row r="8" spans="2:31" ht="15.75" thickBot="1" x14ac:dyDescent="0.3">
      <c r="B8" s="1348"/>
      <c r="C8" s="1350"/>
      <c r="D8" s="1350"/>
      <c r="E8" s="1350"/>
      <c r="F8" s="1355"/>
      <c r="G8" s="1348"/>
      <c r="H8" s="1350"/>
      <c r="I8" s="1351"/>
      <c r="J8" s="1352"/>
      <c r="K8" s="1348"/>
      <c r="L8" s="1353"/>
      <c r="M8" s="1348"/>
      <c r="N8" s="1356"/>
      <c r="O8" s="930"/>
      <c r="R8" s="1680"/>
      <c r="S8" s="1357" t="s">
        <v>387</v>
      </c>
      <c r="T8" s="1358">
        <v>1543</v>
      </c>
      <c r="U8" s="1359">
        <v>4.2649902786779004</v>
      </c>
      <c r="V8" s="1360">
        <v>6.6</v>
      </c>
      <c r="W8" s="1361">
        <v>1610</v>
      </c>
      <c r="X8" s="1362">
        <v>2.09</v>
      </c>
      <c r="Y8" s="1363">
        <v>3.4</v>
      </c>
      <c r="Z8" s="901">
        <v>4</v>
      </c>
      <c r="AA8" s="901">
        <v>1.99</v>
      </c>
      <c r="AB8" s="901">
        <v>3.2</v>
      </c>
      <c r="AC8" s="1364">
        <v>0</v>
      </c>
      <c r="AD8" s="1365">
        <v>0.95</v>
      </c>
      <c r="AE8" s="1366">
        <v>0.96</v>
      </c>
    </row>
    <row r="9" spans="2:31" ht="15.75" thickBot="1" x14ac:dyDescent="0.3">
      <c r="B9" s="1348" t="str">
        <f>'Monthly Stope Performance'!B63</f>
        <v>3L_W24A_STOPE</v>
      </c>
      <c r="C9" s="1349">
        <f>'Monthly Stope Performance'!C63</f>
        <v>3920</v>
      </c>
      <c r="D9" s="1350">
        <f>'Monthly Stope Performance'!F63</f>
        <v>3.06</v>
      </c>
      <c r="E9" s="1349">
        <f>T7</f>
        <v>3399</v>
      </c>
      <c r="F9" s="1350">
        <f>U7*$P$3</f>
        <v>2.9579798071450383</v>
      </c>
      <c r="G9" s="1348">
        <f>'Monthly Stope Performance'!E63</f>
        <v>4161</v>
      </c>
      <c r="H9" s="1350">
        <f>'Monthly Stope Performance'!G63</f>
        <v>2.2590723383801965</v>
      </c>
      <c r="I9" s="1351" t="e">
        <f t="shared" ref="I9:J11" si="2">G9-B9</f>
        <v>#VALUE!</v>
      </c>
      <c r="J9" s="1352">
        <f t="shared" si="2"/>
        <v>-3917.7409276616199</v>
      </c>
      <c r="K9" s="1348">
        <f>'April 25 D_R (Tramming)'!B40</f>
        <v>4161</v>
      </c>
      <c r="L9" s="1353">
        <f t="shared" ref="L9:L10" si="3">((H9*K9)*0.88)/1000</f>
        <v>8.2719999999999985</v>
      </c>
      <c r="M9" s="1348">
        <f>(E9/23)*25</f>
        <v>3694.5652173913045</v>
      </c>
      <c r="N9" s="1354">
        <f>(M9*F9*0.88)/1000</f>
        <v>9.61703539211703</v>
      </c>
      <c r="O9" s="928"/>
      <c r="R9" s="1679"/>
      <c r="S9" s="883" t="s">
        <v>384</v>
      </c>
      <c r="T9" s="887">
        <v>4942</v>
      </c>
      <c r="U9" s="888">
        <v>3.8926163496560107</v>
      </c>
      <c r="V9" s="889">
        <v>19.2</v>
      </c>
      <c r="W9" s="887">
        <v>4830</v>
      </c>
      <c r="X9" s="888">
        <v>3.26</v>
      </c>
      <c r="Y9" s="889">
        <v>15.8</v>
      </c>
      <c r="Z9" s="890">
        <v>333</v>
      </c>
      <c r="AA9" s="902">
        <v>0.46</v>
      </c>
      <c r="AB9" s="903">
        <v>3.5</v>
      </c>
      <c r="AC9" s="893">
        <v>7.0000000000000007E-2</v>
      </c>
      <c r="AD9" s="904">
        <v>0.14000000000000001</v>
      </c>
      <c r="AE9" s="905">
        <v>0.22</v>
      </c>
    </row>
    <row r="10" spans="2:31" ht="15.75" thickBot="1" x14ac:dyDescent="0.3">
      <c r="B10" s="1348" t="str">
        <f>'Monthly Stope Performance'!B64</f>
        <v>4L_W23B_STOPE</v>
      </c>
      <c r="C10" s="1349">
        <f>'Monthly Stope Performance'!C64</f>
        <v>1960</v>
      </c>
      <c r="D10" s="1350">
        <f>'Monthly Stope Performance'!F64</f>
        <v>1.68</v>
      </c>
      <c r="E10" s="1349">
        <f>T8</f>
        <v>1543</v>
      </c>
      <c r="F10" s="1350">
        <f>U8*$P$3</f>
        <v>3.3880763896039396</v>
      </c>
      <c r="G10" s="1348">
        <f>'Monthly Stope Performance'!E64</f>
        <v>1695</v>
      </c>
      <c r="H10" s="1350">
        <f>'Monthly Stope Performance'!G64</f>
        <v>2.3598820058997054</v>
      </c>
      <c r="I10" s="1351" t="e">
        <f t="shared" si="2"/>
        <v>#VALUE!</v>
      </c>
      <c r="J10" s="1352">
        <f t="shared" si="2"/>
        <v>-1957.6401179941004</v>
      </c>
      <c r="K10" s="1348">
        <f>'April 25 D_R (Tramming)'!B47</f>
        <v>1695</v>
      </c>
      <c r="L10" s="1353">
        <f t="shared" si="3"/>
        <v>3.5200000000000009</v>
      </c>
      <c r="M10" s="1348">
        <f>(E10/23)*25</f>
        <v>1677.173913043478</v>
      </c>
      <c r="N10" s="1354">
        <f>(M10*F10*0.88)/1000</f>
        <v>5.0005061357171883</v>
      </c>
      <c r="O10" s="928"/>
      <c r="R10" s="1678">
        <v>5</v>
      </c>
      <c r="S10" s="858" t="s">
        <v>388</v>
      </c>
      <c r="T10" s="936">
        <v>1316</v>
      </c>
      <c r="U10" s="937">
        <v>2.5680547112462002</v>
      </c>
      <c r="V10" s="861">
        <v>3.4</v>
      </c>
      <c r="W10" s="906">
        <v>1050</v>
      </c>
      <c r="X10" s="907">
        <v>2.13</v>
      </c>
      <c r="Y10" s="908">
        <v>2.2000000000000002</v>
      </c>
      <c r="Z10" s="877">
        <v>266</v>
      </c>
      <c r="AA10" s="909">
        <v>0.44</v>
      </c>
      <c r="AB10" s="910">
        <v>1.1000000000000001</v>
      </c>
      <c r="AC10" s="911">
        <v>0.25</v>
      </c>
      <c r="AD10" s="868">
        <v>0.21</v>
      </c>
      <c r="AE10" s="900">
        <v>0.51</v>
      </c>
    </row>
    <row r="11" spans="2:31" ht="15.75" thickBot="1" x14ac:dyDescent="0.3">
      <c r="B11" s="825" t="s">
        <v>389</v>
      </c>
      <c r="C11" s="840">
        <f>SUM(C9:C10)</f>
        <v>5880</v>
      </c>
      <c r="D11" s="826">
        <f>SUMPRODUCT(C9:C10,D9:D10)/C11</f>
        <v>2.6</v>
      </c>
      <c r="E11" s="840">
        <f>SUM(E9:E10)</f>
        <v>4942</v>
      </c>
      <c r="F11" s="826">
        <f>SUMPRODUCT(E9:E10,F9:F10)/E11</f>
        <v>3.0922653244930927</v>
      </c>
      <c r="G11" s="840">
        <f>SUM(G9:G10)</f>
        <v>5856</v>
      </c>
      <c r="H11" s="826">
        <f>SUMPRODUCT(G9:G10,H9:H10)/G11</f>
        <v>2.2882513661202184</v>
      </c>
      <c r="I11" s="827" t="e">
        <f t="shared" si="2"/>
        <v>#VALUE!</v>
      </c>
      <c r="J11" s="828">
        <f t="shared" si="2"/>
        <v>-5877.7117486338802</v>
      </c>
      <c r="K11" s="829">
        <f>SUM(K9:K10)</f>
        <v>5856</v>
      </c>
      <c r="L11" s="843">
        <f>SUM(L9:L10)</f>
        <v>11.792</v>
      </c>
      <c r="M11" s="829">
        <f>SUM(M9:M10)</f>
        <v>5371.7391304347821</v>
      </c>
      <c r="N11" s="933">
        <f>SUM(N9:N10)</f>
        <v>14.617541527834218</v>
      </c>
      <c r="O11" s="929"/>
      <c r="R11" s="1680"/>
      <c r="S11" s="1357" t="s">
        <v>390</v>
      </c>
      <c r="T11" s="1367">
        <v>1127</v>
      </c>
      <c r="U11" s="1368">
        <v>2.4111180124223601</v>
      </c>
      <c r="V11" s="1550">
        <v>2.7</v>
      </c>
      <c r="W11" s="1361">
        <v>1120</v>
      </c>
      <c r="X11" s="1362">
        <v>2.02</v>
      </c>
      <c r="Y11" s="1369">
        <v>2.2999999999999998</v>
      </c>
      <c r="Z11" s="1370">
        <v>77</v>
      </c>
      <c r="AA11" s="901">
        <v>0.25</v>
      </c>
      <c r="AB11" s="1551">
        <v>0.5</v>
      </c>
      <c r="AC11" s="1371">
        <v>7.0000000000000007E-2</v>
      </c>
      <c r="AD11" s="1365">
        <v>0.12</v>
      </c>
      <c r="AE11" s="1366">
        <v>0.2</v>
      </c>
    </row>
    <row r="12" spans="2:31" ht="15.75" thickBot="1" x14ac:dyDescent="0.3">
      <c r="B12" s="1348"/>
      <c r="C12" s="1350"/>
      <c r="D12" s="1350"/>
      <c r="E12" s="1350"/>
      <c r="F12" s="1355"/>
      <c r="G12" s="1348"/>
      <c r="H12" s="1350"/>
      <c r="I12" s="1351"/>
      <c r="J12" s="1352"/>
      <c r="K12" s="1348"/>
      <c r="L12" s="1353"/>
      <c r="M12" s="1348"/>
      <c r="N12" s="1356"/>
      <c r="O12" s="930"/>
      <c r="R12" s="1680"/>
      <c r="S12" s="912" t="s">
        <v>384</v>
      </c>
      <c r="T12" s="887">
        <v>2443</v>
      </c>
      <c r="U12" s="888">
        <v>2.495656979124028</v>
      </c>
      <c r="V12" s="889">
        <v>6.1</v>
      </c>
      <c r="W12" s="887">
        <v>2170</v>
      </c>
      <c r="X12" s="913">
        <v>4</v>
      </c>
      <c r="Y12" s="913">
        <v>4</v>
      </c>
      <c r="Z12" s="890">
        <v>343</v>
      </c>
      <c r="AA12" s="902">
        <v>0.69</v>
      </c>
      <c r="AB12" s="903">
        <v>1.6</v>
      </c>
      <c r="AC12" s="893">
        <v>0.32</v>
      </c>
      <c r="AD12" s="904">
        <v>0.33</v>
      </c>
      <c r="AE12" s="905">
        <v>0.71</v>
      </c>
    </row>
    <row r="13" spans="2:31" x14ac:dyDescent="0.25">
      <c r="B13" s="1348" t="str">
        <f>'Monthly Stope Performance'!B65</f>
        <v>4L_W26_STOPE</v>
      </c>
      <c r="C13" s="1349">
        <f>'Monthly Stope Performance'!C65</f>
        <v>1050</v>
      </c>
      <c r="D13" s="1350">
        <f>'Monthly Stope Performance'!F65</f>
        <v>1.68</v>
      </c>
      <c r="E13" s="1349">
        <f>T10</f>
        <v>1316</v>
      </c>
      <c r="F13" s="1350">
        <f>U10*$P$3</f>
        <v>2.0400434622049253</v>
      </c>
      <c r="G13" s="1348">
        <f>'Monthly Stope Performance'!E65</f>
        <v>1481</v>
      </c>
      <c r="H13" s="1350">
        <f>'Monthly Stope Performance'!G65</f>
        <v>2.160702228224173</v>
      </c>
      <c r="I13" s="1351" t="e">
        <f t="shared" ref="I13:J15" si="4">G13-B13</f>
        <v>#VALUE!</v>
      </c>
      <c r="J13" s="1352">
        <f t="shared" si="4"/>
        <v>-1047.8392977717758</v>
      </c>
      <c r="K13" s="1348">
        <f>'April 25 D_R (Tramming)'!B54</f>
        <v>1481</v>
      </c>
      <c r="L13" s="1353">
        <f t="shared" ref="L13:L14" si="5">((H13*K13)*0.88)/1000</f>
        <v>2.8160000000000003</v>
      </c>
      <c r="M13" s="1348">
        <f>(E13/23)*25</f>
        <v>1430.4347826086957</v>
      </c>
      <c r="N13" s="1354">
        <f>(M13*F13*0.88)/1000</f>
        <v>2.5679712312068266</v>
      </c>
      <c r="O13" s="928"/>
      <c r="R13" s="1680">
        <v>6</v>
      </c>
      <c r="S13" s="1357" t="s">
        <v>391</v>
      </c>
      <c r="T13" s="1358">
        <v>1489</v>
      </c>
      <c r="U13" s="1359">
        <v>4.6912558764271317</v>
      </c>
      <c r="V13" s="1550">
        <v>7</v>
      </c>
      <c r="W13" s="1361">
        <v>1610</v>
      </c>
      <c r="X13" s="1362">
        <v>3.89</v>
      </c>
      <c r="Y13" s="1369">
        <v>6.3</v>
      </c>
      <c r="Z13" s="914">
        <v>-51</v>
      </c>
      <c r="AA13" s="901">
        <v>0.59</v>
      </c>
      <c r="AB13" s="901">
        <v>0.7</v>
      </c>
      <c r="AC13" s="1372">
        <v>-0.03</v>
      </c>
      <c r="AD13" s="1365">
        <v>0.15</v>
      </c>
      <c r="AE13" s="1366">
        <v>0.12</v>
      </c>
    </row>
    <row r="14" spans="2:31" ht="15.75" thickBot="1" x14ac:dyDescent="0.3">
      <c r="B14" s="1348" t="str">
        <f>'Monthly Stope Performance'!B66</f>
        <v>5L_W8_STOPE</v>
      </c>
      <c r="C14" s="1349">
        <f>'Monthly Stope Performance'!C66</f>
        <v>1470</v>
      </c>
      <c r="D14" s="1350">
        <f>'Monthly Stope Performance'!F66</f>
        <v>1.6</v>
      </c>
      <c r="E14" s="1349">
        <f>T11</f>
        <v>1127</v>
      </c>
      <c r="F14" s="1350">
        <f>U11*$P$3</f>
        <v>1.9153741220177627</v>
      </c>
      <c r="G14" s="1348">
        <f>'Monthly Stope Performance'!E66</f>
        <v>1881</v>
      </c>
      <c r="H14" s="1350">
        <f>'Monthly Stope Performance'!G66</f>
        <v>3.0834662413609788</v>
      </c>
      <c r="I14" s="1351" t="e">
        <f t="shared" si="4"/>
        <v>#VALUE!</v>
      </c>
      <c r="J14" s="1352">
        <f t="shared" si="4"/>
        <v>-1466.9165337586389</v>
      </c>
      <c r="K14" s="1348">
        <f>'April 25 D_R (Tramming)'!B61</f>
        <v>1881</v>
      </c>
      <c r="L14" s="1353">
        <f t="shared" si="5"/>
        <v>5.104000000000001</v>
      </c>
      <c r="M14" s="1348">
        <f>(E14/23)*25</f>
        <v>1225</v>
      </c>
      <c r="N14" s="1354">
        <f>(M14*F14*0.88)/1000</f>
        <v>2.0647733035351483</v>
      </c>
      <c r="O14" s="928"/>
      <c r="R14" s="1680"/>
      <c r="S14" s="1357" t="s">
        <v>392</v>
      </c>
      <c r="T14" s="1358">
        <v>1549</v>
      </c>
      <c r="U14" s="1359">
        <v>3.720477727566172</v>
      </c>
      <c r="V14" s="1550">
        <v>5.8</v>
      </c>
      <c r="W14" s="1361">
        <v>1540</v>
      </c>
      <c r="X14" s="1362">
        <v>3.89</v>
      </c>
      <c r="Y14" s="1369">
        <v>6</v>
      </c>
      <c r="Z14" s="901">
        <v>80</v>
      </c>
      <c r="AA14" s="914">
        <v>-0.33</v>
      </c>
      <c r="AB14" s="914">
        <v>-0.2</v>
      </c>
      <c r="AC14" s="1364">
        <v>0.05</v>
      </c>
      <c r="AD14" s="1373">
        <v>-0.09</v>
      </c>
      <c r="AE14" s="1374">
        <v>-0.04</v>
      </c>
    </row>
    <row r="15" spans="2:31" ht="15.75" thickBot="1" x14ac:dyDescent="0.3">
      <c r="B15" s="825" t="s">
        <v>393</v>
      </c>
      <c r="C15" s="840">
        <f>SUM(C13:C14)</f>
        <v>2520</v>
      </c>
      <c r="D15" s="826">
        <f>SUMPRODUCT(C13:C14,D13:D14)/C15</f>
        <v>1.6333333333333333</v>
      </c>
      <c r="E15" s="840">
        <f>SUM(E13:E14)</f>
        <v>2443</v>
      </c>
      <c r="F15" s="826">
        <f>SUMPRODUCT(E13:E14,F13:F14)/E15</f>
        <v>1.9825312450985266</v>
      </c>
      <c r="G15" s="840">
        <f>SUM(G13:G14)</f>
        <v>3362</v>
      </c>
      <c r="H15" s="826">
        <f>SUMPRODUCT(G13:G14,H13:H14)/G15</f>
        <v>2.6769779892920886</v>
      </c>
      <c r="I15" s="827" t="e">
        <f t="shared" si="4"/>
        <v>#VALUE!</v>
      </c>
      <c r="J15" s="828">
        <f t="shared" si="4"/>
        <v>-2517.323022010708</v>
      </c>
      <c r="K15" s="829">
        <f>SUM(K13:K14)</f>
        <v>3362</v>
      </c>
      <c r="L15" s="843">
        <f>SUM(L13:L14)</f>
        <v>7.9200000000000017</v>
      </c>
      <c r="M15" s="829">
        <f>SUM(M13:M14)</f>
        <v>2655.434782608696</v>
      </c>
      <c r="N15" s="933">
        <f>SUM(N13:N14)</f>
        <v>4.6327445347419749</v>
      </c>
      <c r="O15" s="929"/>
      <c r="R15" s="1680"/>
      <c r="S15" s="1357" t="s">
        <v>394</v>
      </c>
      <c r="T15" s="1358">
        <v>1706</v>
      </c>
      <c r="U15" s="1359">
        <v>4.1280128956623683</v>
      </c>
      <c r="V15" s="1550">
        <v>7</v>
      </c>
      <c r="W15" s="1361">
        <v>1540</v>
      </c>
      <c r="X15" s="1362">
        <v>4.25</v>
      </c>
      <c r="Y15" s="1369">
        <v>6.5</v>
      </c>
      <c r="Z15" s="901">
        <v>201</v>
      </c>
      <c r="AA15" s="914">
        <v>-0.2</v>
      </c>
      <c r="AB15" s="901">
        <v>0.5</v>
      </c>
      <c r="AC15" s="1364">
        <v>0.13</v>
      </c>
      <c r="AD15" s="1373">
        <v>-0.05</v>
      </c>
      <c r="AE15" s="1366">
        <v>0.08</v>
      </c>
    </row>
    <row r="16" spans="2:31" x14ac:dyDescent="0.25">
      <c r="B16" s="1348"/>
      <c r="C16" s="1350"/>
      <c r="D16" s="1350"/>
      <c r="E16" s="1350"/>
      <c r="F16" s="1355"/>
      <c r="G16" s="1348"/>
      <c r="H16" s="1350"/>
      <c r="I16" s="1351"/>
      <c r="J16" s="1352"/>
      <c r="K16" s="1348"/>
      <c r="L16" s="1353"/>
      <c r="M16" s="1348"/>
      <c r="N16" s="1356"/>
      <c r="O16" s="930"/>
      <c r="R16" s="1680"/>
      <c r="S16" s="1357" t="s">
        <v>395</v>
      </c>
      <c r="T16" s="1358">
        <v>1171</v>
      </c>
      <c r="U16" s="1359">
        <v>3.4883176771989759</v>
      </c>
      <c r="V16" s="1550">
        <v>4.0999999999999996</v>
      </c>
      <c r="W16" s="1361">
        <v>1540</v>
      </c>
      <c r="X16" s="1362">
        <v>2.97</v>
      </c>
      <c r="Y16" s="1369">
        <v>4.5999999999999996</v>
      </c>
      <c r="Z16" s="914">
        <v>-299</v>
      </c>
      <c r="AA16" s="901">
        <v>0.32</v>
      </c>
      <c r="AB16" s="914">
        <v>-0.5</v>
      </c>
      <c r="AC16" s="1372">
        <v>-0.19</v>
      </c>
      <c r="AD16" s="1365">
        <v>0.11</v>
      </c>
      <c r="AE16" s="1374">
        <v>-0.11</v>
      </c>
    </row>
    <row r="17" spans="2:31" x14ac:dyDescent="0.25">
      <c r="B17" s="1348" t="str">
        <f>'Monthly Stope Performance'!B67</f>
        <v>6L_E1_STOPE</v>
      </c>
      <c r="C17" s="1349">
        <f>'Monthly Stope Performance'!C67</f>
        <v>1960</v>
      </c>
      <c r="D17" s="1350">
        <f>'Monthly Stope Performance'!F67</f>
        <v>3.09</v>
      </c>
      <c r="E17" s="1349">
        <f t="shared" ref="E17:E22" si="6">T13</f>
        <v>1489</v>
      </c>
      <c r="F17" s="1350">
        <f>U13*$P$3</f>
        <v>3.7266985934234222</v>
      </c>
      <c r="G17" s="1348">
        <f>'Monthly Stope Performance'!E67</f>
        <v>1723</v>
      </c>
      <c r="H17" s="1350">
        <f>'Monthly Stope Performance'!G67</f>
        <v>3.1921067904817186</v>
      </c>
      <c r="I17" s="1351" t="e">
        <f t="shared" ref="I17:J24" si="7">G17-B17</f>
        <v>#VALUE!</v>
      </c>
      <c r="J17" s="1352">
        <f t="shared" si="7"/>
        <v>-1956.8078932095182</v>
      </c>
      <c r="K17" s="1348">
        <f>'April 25 D_R (Tramming)'!B68</f>
        <v>1723</v>
      </c>
      <c r="L17" s="1353">
        <f>((H17*K17)*0.88)/1000</f>
        <v>4.8400000000000007</v>
      </c>
      <c r="M17" s="1348">
        <f>(E17/23)*25</f>
        <v>1618.4782608695652</v>
      </c>
      <c r="N17" s="1354">
        <f>(M17*F17*0.88)/1000</f>
        <v>5.3077909792767155</v>
      </c>
      <c r="O17" s="928"/>
      <c r="R17" s="1680"/>
      <c r="S17" s="1357" t="s">
        <v>396</v>
      </c>
      <c r="T17" s="1358">
        <v>2705</v>
      </c>
      <c r="U17" s="1359">
        <v>3.5621774491682072</v>
      </c>
      <c r="V17" s="1550">
        <v>9.6</v>
      </c>
      <c r="W17" s="1361">
        <v>3080</v>
      </c>
      <c r="X17" s="1362">
        <v>2.66</v>
      </c>
      <c r="Y17" s="1369">
        <v>8.1999999999999993</v>
      </c>
      <c r="Z17" s="914">
        <v>-307</v>
      </c>
      <c r="AA17" s="901">
        <v>0.81</v>
      </c>
      <c r="AB17" s="901">
        <v>1.4</v>
      </c>
      <c r="AC17" s="1372">
        <v>-0.1</v>
      </c>
      <c r="AD17" s="1365">
        <v>0.31</v>
      </c>
      <c r="AE17" s="1366">
        <v>0.18</v>
      </c>
    </row>
    <row r="18" spans="2:31" x14ac:dyDescent="0.25">
      <c r="B18" s="1348" t="str">
        <f>'Monthly Stope Performance'!B68</f>
        <v>6L_W1_STOPE</v>
      </c>
      <c r="C18" s="1349">
        <f>'Monthly Stope Performance'!C68</f>
        <v>1960</v>
      </c>
      <c r="D18" s="1350">
        <f>'Monthly Stope Performance'!F68</f>
        <v>3.09</v>
      </c>
      <c r="E18" s="1349">
        <f t="shared" si="6"/>
        <v>1549</v>
      </c>
      <c r="F18" s="1350">
        <f>U14*$P$3</f>
        <v>2.9555196901226601</v>
      </c>
      <c r="G18" s="1348">
        <f>'Monthly Stope Performance'!E68</f>
        <v>2443</v>
      </c>
      <c r="H18" s="1350">
        <f>'Monthly Stope Performance'!G68</f>
        <v>1.7601309864920185</v>
      </c>
      <c r="I18" s="1351" t="e">
        <f t="shared" si="7"/>
        <v>#VALUE!</v>
      </c>
      <c r="J18" s="1352">
        <f t="shared" si="7"/>
        <v>-1958.239869013508</v>
      </c>
      <c r="K18" s="1348">
        <f>'April 25 D_R (Tramming)'!B75</f>
        <v>2443</v>
      </c>
      <c r="L18" s="1353">
        <f t="shared" ref="L18:L22" si="8">((H18*K18)*0.88)/1000</f>
        <v>3.7840000000000007</v>
      </c>
      <c r="M18" s="1348">
        <f t="shared" ref="M18:M22" si="9">(E18/23)*25</f>
        <v>1683.695652173913</v>
      </c>
      <c r="N18" s="1354">
        <f>(M18*F18*0.88)/1000</f>
        <v>4.3790521739130446</v>
      </c>
      <c r="O18" s="928"/>
      <c r="R18" s="1680"/>
      <c r="S18" s="1357" t="s">
        <v>397</v>
      </c>
      <c r="T18" s="1358">
        <v>1642</v>
      </c>
      <c r="U18" s="1359">
        <v>3.6272594397076734</v>
      </c>
      <c r="V18" s="1550">
        <v>6</v>
      </c>
      <c r="W18" s="1361">
        <v>1540</v>
      </c>
      <c r="X18" s="1362">
        <v>2.2999999999999998</v>
      </c>
      <c r="Y18" s="1369">
        <v>3.5</v>
      </c>
      <c r="Z18" s="901">
        <v>208</v>
      </c>
      <c r="AA18" s="901">
        <v>1.1100000000000001</v>
      </c>
      <c r="AB18" s="901">
        <v>2.4</v>
      </c>
      <c r="AC18" s="1364">
        <v>0.14000000000000001</v>
      </c>
      <c r="AD18" s="1365">
        <v>0.48</v>
      </c>
      <c r="AE18" s="1366">
        <v>0.68</v>
      </c>
    </row>
    <row r="19" spans="2:31" ht="15.75" thickBot="1" x14ac:dyDescent="0.3">
      <c r="B19" s="1348" t="str">
        <f>'Monthly Stope Performance'!B69</f>
        <v>6L_W2_STOPE</v>
      </c>
      <c r="C19" s="1349">
        <f>'Monthly Stope Performance'!C69</f>
        <v>1960</v>
      </c>
      <c r="D19" s="1350">
        <f>'Monthly Stope Performance'!F69</f>
        <v>2.31</v>
      </c>
      <c r="E19" s="1349">
        <f t="shared" si="6"/>
        <v>1706</v>
      </c>
      <c r="F19" s="1350">
        <f t="shared" ref="F19:F22" si="10">U15*$P$3</f>
        <v>3.2792625806663671</v>
      </c>
      <c r="G19" s="1348">
        <f>'Monthly Stope Performance'!E69</f>
        <v>2199</v>
      </c>
      <c r="H19" s="1350">
        <f>'Monthly Stope Performance'!G69</f>
        <v>2.4556616643929057</v>
      </c>
      <c r="I19" s="1351" t="e">
        <f t="shared" si="7"/>
        <v>#VALUE!</v>
      </c>
      <c r="J19" s="1352">
        <f t="shared" si="7"/>
        <v>-1957.5443383356071</v>
      </c>
      <c r="K19" s="1348">
        <f>'April 25 D_R (Tramming)'!B82</f>
        <v>2199</v>
      </c>
      <c r="L19" s="1353">
        <f t="shared" si="8"/>
        <v>4.7519999999999998</v>
      </c>
      <c r="M19" s="1348">
        <f t="shared" si="9"/>
        <v>1854.3478260869567</v>
      </c>
      <c r="N19" s="1354">
        <f t="shared" ref="N19:N22" si="11">(M19*F19*0.88)/1000</f>
        <v>5.3511862251117437</v>
      </c>
      <c r="O19" s="928"/>
      <c r="R19" s="1680"/>
      <c r="S19" s="915" t="s">
        <v>398</v>
      </c>
      <c r="T19" s="916">
        <v>883</v>
      </c>
      <c r="U19" s="917">
        <v>2.4662514156285393</v>
      </c>
      <c r="V19" s="1550">
        <v>2.2000000000000002</v>
      </c>
      <c r="W19" s="918">
        <v>770</v>
      </c>
      <c r="X19" s="919">
        <v>1.92</v>
      </c>
      <c r="Y19" s="1369">
        <v>1.5</v>
      </c>
      <c r="Z19" s="901">
        <v>186</v>
      </c>
      <c r="AA19" s="901">
        <v>0.36</v>
      </c>
      <c r="AB19" s="901">
        <v>0.7</v>
      </c>
      <c r="AC19" s="1364">
        <v>0.24</v>
      </c>
      <c r="AD19" s="1365">
        <v>0.19</v>
      </c>
      <c r="AE19" s="1366">
        <v>0.47</v>
      </c>
    </row>
    <row r="20" spans="2:31" ht="15.75" thickBot="1" x14ac:dyDescent="0.3">
      <c r="B20" s="1348" t="str">
        <f>'Monthly Stope Performance'!B70</f>
        <v>6L_W8_STOPE</v>
      </c>
      <c r="C20" s="1349">
        <f>'Monthly Stope Performance'!C70</f>
        <v>1960</v>
      </c>
      <c r="D20" s="1350">
        <f>'Monthly Stope Performance'!F70</f>
        <v>2.2599999999999998</v>
      </c>
      <c r="E20" s="1349">
        <f t="shared" si="6"/>
        <v>1171</v>
      </c>
      <c r="F20" s="1350">
        <f t="shared" si="10"/>
        <v>2.771093481887037</v>
      </c>
      <c r="G20" s="1348">
        <f>'Monthly Stope Performance'!E70</f>
        <v>1134</v>
      </c>
      <c r="H20" s="1350">
        <f>'Monthly Stope Performance'!G70</f>
        <v>1.5873015873015877</v>
      </c>
      <c r="I20" s="1351" t="e">
        <f t="shared" si="7"/>
        <v>#VALUE!</v>
      </c>
      <c r="J20" s="1352">
        <f t="shared" si="7"/>
        <v>-1958.4126984126983</v>
      </c>
      <c r="K20" s="1348">
        <f>'April 25 D_R (Tramming)'!B89</f>
        <v>1134</v>
      </c>
      <c r="L20" s="1353">
        <f t="shared" si="8"/>
        <v>1.5840000000000005</v>
      </c>
      <c r="M20" s="1348">
        <f t="shared" si="9"/>
        <v>1272.8260869565217</v>
      </c>
      <c r="N20" s="1354">
        <f t="shared" si="11"/>
        <v>3.1038656643640801</v>
      </c>
      <c r="O20" s="928"/>
      <c r="R20" s="1680"/>
      <c r="S20" s="883" t="s">
        <v>384</v>
      </c>
      <c r="T20" s="884">
        <v>10262</v>
      </c>
      <c r="U20" s="885">
        <v>3.8459520561294092</v>
      </c>
      <c r="V20" s="886">
        <v>39.5</v>
      </c>
      <c r="W20" s="887">
        <v>10850</v>
      </c>
      <c r="X20" s="888">
        <v>3.23</v>
      </c>
      <c r="Y20" s="889">
        <v>35.1</v>
      </c>
      <c r="Z20" s="920">
        <v>-168</v>
      </c>
      <c r="AA20" s="902">
        <v>0.46</v>
      </c>
      <c r="AB20" s="903">
        <v>4.4000000000000004</v>
      </c>
      <c r="AC20" s="921">
        <v>-0.02</v>
      </c>
      <c r="AD20" s="904">
        <v>0.14000000000000001</v>
      </c>
      <c r="AE20" s="905">
        <v>0.12</v>
      </c>
    </row>
    <row r="21" spans="2:31" ht="15.75" thickBot="1" x14ac:dyDescent="0.3">
      <c r="B21" s="1348" t="e">
        <f>'Monthly Stope Performance'!#REF!</f>
        <v>#REF!</v>
      </c>
      <c r="C21" s="1349" t="e">
        <f>'Monthly Stope Performance'!#REF!</f>
        <v>#REF!</v>
      </c>
      <c r="D21" s="1350" t="e">
        <f>'Monthly Stope Performance'!#REF!</f>
        <v>#REF!</v>
      </c>
      <c r="E21" s="1349">
        <f t="shared" si="6"/>
        <v>2705</v>
      </c>
      <c r="F21" s="1350">
        <f t="shared" si="10"/>
        <v>2.8297671325168001</v>
      </c>
      <c r="G21" s="1348" t="e">
        <f>'Monthly Stope Performance'!#REF!</f>
        <v>#REF!</v>
      </c>
      <c r="H21" s="1350" t="e">
        <f>'Monthly Stope Performance'!#REF!</f>
        <v>#REF!</v>
      </c>
      <c r="I21" s="1351" t="e">
        <f t="shared" si="7"/>
        <v>#REF!</v>
      </c>
      <c r="J21" s="1352" t="e">
        <f t="shared" si="7"/>
        <v>#REF!</v>
      </c>
      <c r="K21" s="1348">
        <f>'April 25 D_R (Tramming)'!B96</f>
        <v>2858.6</v>
      </c>
      <c r="L21" s="1353" t="e">
        <f t="shared" si="8"/>
        <v>#REF!</v>
      </c>
      <c r="M21" s="1348">
        <f t="shared" si="9"/>
        <v>2940.2173913043475</v>
      </c>
      <c r="N21" s="1354">
        <f t="shared" si="11"/>
        <v>7.3217148720032501</v>
      </c>
      <c r="O21" s="928"/>
      <c r="R21" s="1679"/>
      <c r="S21" s="226"/>
      <c r="T21" s="226"/>
      <c r="U21" s="226"/>
      <c r="V21" s="226"/>
      <c r="W21" s="226"/>
      <c r="X21" s="226"/>
      <c r="Y21" s="226"/>
      <c r="Z21" s="226"/>
      <c r="AA21" s="226"/>
      <c r="AB21" s="226"/>
      <c r="AC21" s="226"/>
      <c r="AD21" s="226"/>
      <c r="AE21" s="226"/>
    </row>
    <row r="22" spans="2:31" ht="15.75" thickBot="1" x14ac:dyDescent="0.3">
      <c r="B22" s="1348" t="e">
        <f>'Monthly Stope Performance'!#REF!</f>
        <v>#REF!</v>
      </c>
      <c r="C22" s="1349" t="e">
        <f>'Monthly Stope Performance'!#REF!</f>
        <v>#REF!</v>
      </c>
      <c r="D22" s="1350" t="e">
        <f>'Monthly Stope Performance'!#REF!</f>
        <v>#REF!</v>
      </c>
      <c r="E22" s="1349">
        <f t="shared" si="6"/>
        <v>1642</v>
      </c>
      <c r="F22" s="1350">
        <f t="shared" si="10"/>
        <v>2.8814677792070302</v>
      </c>
      <c r="G22" s="1348" t="e">
        <f>'Monthly Stope Performance'!#REF!</f>
        <v>#REF!</v>
      </c>
      <c r="H22" s="1350" t="e">
        <f>'Monthly Stope Performance'!#REF!</f>
        <v>#REF!</v>
      </c>
      <c r="I22" s="1351" t="e">
        <f t="shared" si="7"/>
        <v>#REF!</v>
      </c>
      <c r="J22" s="1352" t="e">
        <f t="shared" si="7"/>
        <v>#REF!</v>
      </c>
      <c r="K22" s="1348">
        <f>'April 25 D_R (Tramming)'!B103</f>
        <v>1950</v>
      </c>
      <c r="L22" s="1353" t="e">
        <f t="shared" si="8"/>
        <v>#REF!</v>
      </c>
      <c r="M22" s="1348">
        <f t="shared" si="9"/>
        <v>1784.7826086956522</v>
      </c>
      <c r="N22" s="1354">
        <f t="shared" si="11"/>
        <v>4.5256583502641199</v>
      </c>
      <c r="O22" s="928"/>
      <c r="R22" s="922" t="s">
        <v>399</v>
      </c>
      <c r="S22" s="923"/>
      <c r="T22" s="924">
        <v>22411</v>
      </c>
      <c r="U22" s="925">
        <v>3.44</v>
      </c>
      <c r="V22" s="926">
        <v>77</v>
      </c>
      <c r="W22" s="924">
        <v>21875</v>
      </c>
      <c r="X22" s="925">
        <v>3.12</v>
      </c>
      <c r="Y22" s="926">
        <v>68.2</v>
      </c>
      <c r="Z22" s="890">
        <v>536</v>
      </c>
      <c r="AA22" s="902">
        <v>0.32</v>
      </c>
      <c r="AB22" s="903">
        <v>8.8000000000000007</v>
      </c>
      <c r="AC22" s="893">
        <v>0.02</v>
      </c>
      <c r="AD22" s="904">
        <v>0.1</v>
      </c>
      <c r="AE22" s="905">
        <v>0.13</v>
      </c>
    </row>
    <row r="23" spans="2:31" ht="15.75" thickBot="1" x14ac:dyDescent="0.3">
      <c r="B23" s="1348" t="str">
        <f>'Monthly Stope Performance'!B71</f>
        <v>6L_W14_STOPE</v>
      </c>
      <c r="C23" s="1349">
        <f>'Monthly Stope Performance'!C71</f>
        <v>980</v>
      </c>
      <c r="D23" s="1350">
        <f>'Monthly Stope Performance'!F71</f>
        <v>1.42</v>
      </c>
      <c r="E23" s="1349">
        <f t="shared" ref="E23" si="12">T19</f>
        <v>883</v>
      </c>
      <c r="F23" s="1350">
        <f t="shared" ref="F23" si="13">U19*$P$3</f>
        <v>1.9591716853123911</v>
      </c>
      <c r="G23" s="1348" t="str">
        <f>'Monthly Stope Performance'!E71</f>
        <v>-</v>
      </c>
      <c r="H23" s="1350" t="str">
        <f>'Monthly Stope Performance'!G71</f>
        <v>-</v>
      </c>
      <c r="I23" s="1351" t="e">
        <f t="shared" si="7"/>
        <v>#VALUE!</v>
      </c>
      <c r="J23" s="1352" t="e">
        <f t="shared" si="7"/>
        <v>#VALUE!</v>
      </c>
      <c r="K23" s="1348" t="str">
        <f>G23</f>
        <v>-</v>
      </c>
      <c r="L23" s="1348" t="str">
        <f>H23</f>
        <v>-</v>
      </c>
      <c r="M23" s="1348">
        <f>(E23/23)*25</f>
        <v>959.78260869565213</v>
      </c>
      <c r="N23" s="1354">
        <f>(M23*F23*0.88)/1000</f>
        <v>1.6547334416903698</v>
      </c>
      <c r="O23" s="928"/>
    </row>
    <row r="24" spans="2:31" ht="15.75" thickBot="1" x14ac:dyDescent="0.3">
      <c r="B24" s="825" t="s">
        <v>400</v>
      </c>
      <c r="C24" s="840" t="e">
        <f>SUM(C17:C23)</f>
        <v>#REF!</v>
      </c>
      <c r="D24" s="826" t="e">
        <f>SUMPRODUCT(C17:C23,D17:D23)/C24</f>
        <v>#REF!</v>
      </c>
      <c r="E24" s="840">
        <f>SUM(E17:E22)</f>
        <v>10262</v>
      </c>
      <c r="F24" s="826">
        <f>SUMPRODUCT(E17:E23,F17:F23)/E24</f>
        <v>3.2237736718535124</v>
      </c>
      <c r="G24" s="840" t="e">
        <f>SUM(G17:G23)</f>
        <v>#REF!</v>
      </c>
      <c r="H24" s="826" t="e">
        <f>SUMPRODUCT(G17:G23,H17:H23)/G24</f>
        <v>#REF!</v>
      </c>
      <c r="I24" s="827" t="e">
        <f t="shared" si="7"/>
        <v>#REF!</v>
      </c>
      <c r="J24" s="828" t="e">
        <f t="shared" si="7"/>
        <v>#REF!</v>
      </c>
      <c r="K24" s="829">
        <f>SUM(K17:K23)</f>
        <v>12307.6</v>
      </c>
      <c r="L24" s="830" t="e">
        <f>SUM(L17:L23)</f>
        <v>#REF!</v>
      </c>
      <c r="M24" s="829">
        <f>SUM(M17:M23)</f>
        <v>12114.130434782608</v>
      </c>
      <c r="N24" s="830">
        <f>SUM(N17:N23)</f>
        <v>31.644001706623321</v>
      </c>
      <c r="O24" s="931"/>
    </row>
    <row r="25" spans="2:31" ht="15.75" thickBot="1" x14ac:dyDescent="0.3">
      <c r="B25" s="831"/>
      <c r="C25" s="842"/>
      <c r="D25" s="842"/>
      <c r="E25" s="842"/>
      <c r="F25" s="842"/>
      <c r="G25" s="831"/>
      <c r="H25" s="832"/>
      <c r="I25" s="833"/>
      <c r="J25" s="834"/>
      <c r="K25" s="831"/>
      <c r="L25" s="835"/>
      <c r="M25" s="831"/>
      <c r="N25" s="934"/>
      <c r="O25" s="930"/>
    </row>
    <row r="26" spans="2:31" ht="15.75" thickBot="1" x14ac:dyDescent="0.3">
      <c r="B26" s="836" t="s">
        <v>401</v>
      </c>
      <c r="C26" s="841" t="e">
        <f>SUM(C4,C7,C11,C15,C24)</f>
        <v>#REF!</v>
      </c>
      <c r="D26" s="837" t="e">
        <f>(C4*D4+C7*D7+C11*D11+C15*D15+C24*D24)/C26</f>
        <v>#REF!</v>
      </c>
      <c r="E26" s="841">
        <f>SUM(E4,E7,E11,E15,E24)</f>
        <v>21531</v>
      </c>
      <c r="F26" s="837">
        <f>(E4*F4+E7*F7+E11*F11+E15*F15+E24*F24)/E26</f>
        <v>2.9210622197856861</v>
      </c>
      <c r="G26" s="841" t="e">
        <f>SUM(G4,G7,G11,G15,G24)</f>
        <v>#REF!</v>
      </c>
      <c r="H26" s="837" t="e">
        <f>(G4*H4+G7*H7+G11*H11+G15*H15+G24*H24)/G26</f>
        <v>#REF!</v>
      </c>
      <c r="I26" s="838" t="e">
        <f>G26-B26</f>
        <v>#REF!</v>
      </c>
      <c r="J26" s="839" t="e">
        <f>H26-C26</f>
        <v>#REF!</v>
      </c>
      <c r="K26" s="829">
        <f>SUM(K4,K7,K11,K15,K24)</f>
        <v>26376.6</v>
      </c>
      <c r="L26" s="829" t="e">
        <f>SUM(L4,L7,L11,L15,L24)</f>
        <v>#REF!</v>
      </c>
      <c r="M26" s="829">
        <f>SUM(M4,M7,M11,M15,M24)</f>
        <v>24363.043478260868</v>
      </c>
      <c r="N26" s="935">
        <f>SUM(N4,N7,N11,N15,N24)</f>
        <v>60.158895408370583</v>
      </c>
      <c r="O26" s="932"/>
    </row>
  </sheetData>
  <mergeCells count="9">
    <mergeCell ref="AC2:AE2"/>
    <mergeCell ref="R5:R6"/>
    <mergeCell ref="R7:R9"/>
    <mergeCell ref="R10:R12"/>
    <mergeCell ref="R13:R21"/>
    <mergeCell ref="R2:S2"/>
    <mergeCell ref="T2:V2"/>
    <mergeCell ref="W2:Y2"/>
    <mergeCell ref="Z2:AB2"/>
  </mergeCells>
  <conditionalFormatting sqref="U4">
    <cfRule type="cellIs" dxfId="1076" priority="4" operator="greaterThanOrEqual">
      <formula>2</formula>
    </cfRule>
    <cfRule type="cellIs" dxfId="1075" priority="5" operator="between">
      <formula>1.6</formula>
      <formula>2</formula>
    </cfRule>
    <cfRule type="cellIs" dxfId="1074" priority="6" operator="greaterThanOrEqual">
      <formula>0.6</formula>
    </cfRule>
  </conditionalFormatting>
  <conditionalFormatting sqref="U10:U11">
    <cfRule type="cellIs" dxfId="1073" priority="1" operator="greaterThanOrEqual">
      <formula>2</formula>
    </cfRule>
    <cfRule type="cellIs" dxfId="1072" priority="2" operator="between">
      <formula>1.6</formula>
      <formula>2</formula>
    </cfRule>
    <cfRule type="cellIs" dxfId="1071" priority="3" operator="greaterThanOrEqual">
      <formula>0.6</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7" id="{BAC0E6E4-B21D-4DD1-9F01-112955BD0823}">
            <x14:iconSet iconSet="3Triangles">
              <x14:cfvo type="percent">
                <xm:f>0</xm:f>
              </x14:cfvo>
              <x14:cfvo type="num">
                <xm:f>0</xm:f>
              </x14:cfvo>
              <x14:cfvo type="num" gte="0">
                <xm:f>0</xm:f>
              </x14:cfvo>
            </x14:iconSet>
          </x14:cfRule>
          <xm:sqref>I3:I26</xm:sqref>
        </x14:conditionalFormatting>
        <x14:conditionalFormatting xmlns:xm="http://schemas.microsoft.com/office/excel/2006/main">
          <x14:cfRule type="iconSet" priority="8" id="{D006F406-D472-428A-8409-467C3DA6B7AD}">
            <x14:iconSet iconSet="3Triangles">
              <x14:cfvo type="percent">
                <xm:f>0</xm:f>
              </x14:cfvo>
              <x14:cfvo type="num">
                <xm:f>0</xm:f>
              </x14:cfvo>
              <x14:cfvo type="num" gte="0">
                <xm:f>0</xm:f>
              </x14:cfvo>
            </x14:iconSet>
          </x14:cfRule>
          <xm:sqref>J3:J26</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24873-AAB8-45E6-8CB4-99C2C3725A67}">
  <dimension ref="A1:AM136"/>
  <sheetViews>
    <sheetView topLeftCell="M1" workbookViewId="0">
      <selection activeCell="AA36" sqref="AA36"/>
    </sheetView>
  </sheetViews>
  <sheetFormatPr defaultRowHeight="15" x14ac:dyDescent="0.25"/>
  <sheetData>
    <row r="1" spans="1:39" ht="15.75" thickBot="1" x14ac:dyDescent="0.3">
      <c r="A1" s="182"/>
      <c r="B1" s="182"/>
      <c r="C1" s="182"/>
      <c r="D1" s="239"/>
      <c r="E1" s="184"/>
      <c r="F1" s="240"/>
      <c r="G1" s="240"/>
      <c r="H1" s="182"/>
      <c r="I1" s="182"/>
      <c r="J1" s="182"/>
      <c r="K1" s="182"/>
      <c r="L1" s="182"/>
      <c r="M1" s="182"/>
      <c r="N1" s="182"/>
      <c r="O1" s="182"/>
      <c r="P1" s="182"/>
      <c r="Q1" s="182"/>
      <c r="R1" s="182"/>
      <c r="S1" s="182"/>
      <c r="T1" s="182"/>
      <c r="U1" s="182"/>
      <c r="V1" s="182"/>
      <c r="W1" s="182"/>
      <c r="X1" s="182"/>
      <c r="Y1" s="182"/>
      <c r="Z1" s="182"/>
      <c r="AA1" s="182"/>
      <c r="AB1" s="182"/>
      <c r="AC1" s="182"/>
      <c r="AD1" s="182"/>
      <c r="AE1" s="182"/>
      <c r="AF1" s="182"/>
      <c r="AG1" s="182"/>
      <c r="AH1" s="182"/>
      <c r="AI1" s="182"/>
      <c r="AJ1" s="182"/>
      <c r="AK1" s="182"/>
      <c r="AL1" s="182"/>
      <c r="AM1" s="182"/>
    </row>
    <row r="2" spans="1:39" ht="15.75" thickBot="1" x14ac:dyDescent="0.3">
      <c r="A2" s="182"/>
      <c r="B2" s="183" t="s">
        <v>221</v>
      </c>
      <c r="C2" s="182"/>
      <c r="D2" s="181"/>
      <c r="E2" s="182"/>
      <c r="F2" s="182"/>
      <c r="G2" s="182"/>
      <c r="H2" s="1647" t="s">
        <v>310</v>
      </c>
      <c r="I2" s="1648"/>
      <c r="J2" s="182"/>
      <c r="K2" s="1647" t="s">
        <v>311</v>
      </c>
      <c r="L2" s="1649"/>
      <c r="M2" s="1649"/>
      <c r="N2" s="1648"/>
      <c r="O2" s="182"/>
      <c r="P2" s="241" t="s">
        <v>312</v>
      </c>
      <c r="Q2" s="242"/>
      <c r="R2" s="243"/>
      <c r="S2" s="182"/>
      <c r="T2" s="182"/>
      <c r="U2" s="182"/>
      <c r="V2" s="182"/>
      <c r="W2" s="182"/>
      <c r="X2" s="182"/>
      <c r="Y2" s="182"/>
      <c r="Z2" s="182"/>
      <c r="AA2" s="182"/>
      <c r="AB2" s="182"/>
      <c r="AC2" s="182"/>
      <c r="AD2" s="182"/>
      <c r="AE2" s="182"/>
      <c r="AF2" s="182"/>
      <c r="AG2" s="182"/>
      <c r="AH2" s="182"/>
      <c r="AI2" s="182"/>
      <c r="AJ2" s="182"/>
      <c r="AK2" s="182"/>
      <c r="AL2" s="182"/>
      <c r="AM2" s="182"/>
    </row>
    <row r="3" spans="1:39" x14ac:dyDescent="0.25">
      <c r="A3" s="182"/>
      <c r="B3" s="244" t="s">
        <v>313</v>
      </c>
      <c r="C3" s="182"/>
      <c r="D3" s="239"/>
      <c r="E3" s="182"/>
      <c r="F3" s="182"/>
      <c r="G3" s="182"/>
      <c r="H3" s="1700" t="s">
        <v>314</v>
      </c>
      <c r="I3" s="1701"/>
      <c r="J3" s="182"/>
      <c r="K3" s="1652" t="s">
        <v>315</v>
      </c>
      <c r="L3" s="1653"/>
      <c r="M3" s="1653"/>
      <c r="N3" s="1654"/>
      <c r="O3" s="182"/>
      <c r="P3" s="245" t="s">
        <v>316</v>
      </c>
      <c r="Q3" s="246"/>
      <c r="R3" s="247"/>
      <c r="S3" s="182"/>
      <c r="T3" s="182"/>
      <c r="U3" s="182"/>
      <c r="V3" s="182"/>
      <c r="W3" s="182"/>
      <c r="X3" s="182"/>
      <c r="Y3" s="182"/>
      <c r="Z3" s="182"/>
      <c r="AA3" s="182"/>
      <c r="AB3" s="182"/>
      <c r="AC3" s="182"/>
      <c r="AD3" s="182"/>
      <c r="AE3" s="182"/>
      <c r="AF3" s="182"/>
      <c r="AG3" s="182"/>
      <c r="AH3" s="182"/>
      <c r="AI3" s="182"/>
      <c r="AJ3" s="182"/>
      <c r="AK3" s="182"/>
      <c r="AL3" s="182"/>
      <c r="AM3" s="182"/>
    </row>
    <row r="4" spans="1:39" ht="15.75" thickBot="1" x14ac:dyDescent="0.3">
      <c r="A4" s="182"/>
      <c r="B4" s="248" t="s">
        <v>317</v>
      </c>
      <c r="C4" s="182"/>
      <c r="D4" s="239"/>
      <c r="E4" s="182"/>
      <c r="F4" s="182"/>
      <c r="G4" s="182"/>
      <c r="H4" s="1702" t="s">
        <v>318</v>
      </c>
      <c r="I4" s="1703"/>
      <c r="J4" s="182"/>
      <c r="K4" s="1657" t="s">
        <v>319</v>
      </c>
      <c r="L4" s="1658"/>
      <c r="M4" s="1658"/>
      <c r="N4" s="1659"/>
      <c r="O4" s="182"/>
      <c r="P4" s="249" t="s">
        <v>320</v>
      </c>
      <c r="Q4" s="250"/>
      <c r="R4" s="251"/>
      <c r="S4" s="182"/>
      <c r="T4" s="182"/>
      <c r="U4" s="182"/>
      <c r="V4" s="182"/>
      <c r="W4" s="182"/>
      <c r="X4" s="182"/>
      <c r="Y4" s="182"/>
      <c r="Z4" s="182"/>
      <c r="AA4" s="182"/>
      <c r="AB4" s="182"/>
      <c r="AC4" s="182"/>
      <c r="AD4" s="182"/>
      <c r="AE4" s="182"/>
      <c r="AF4" s="182"/>
      <c r="AG4" s="182"/>
      <c r="AH4" s="182"/>
      <c r="AI4" s="182"/>
      <c r="AJ4" s="182"/>
      <c r="AK4" s="182"/>
      <c r="AL4" s="182"/>
      <c r="AM4" s="182"/>
    </row>
    <row r="5" spans="1:39" x14ac:dyDescent="0.25">
      <c r="A5" s="182"/>
      <c r="B5" s="252"/>
      <c r="C5" s="182"/>
      <c r="D5" s="239"/>
      <c r="E5" s="182"/>
      <c r="F5" s="182"/>
      <c r="G5" s="182"/>
      <c r="H5" s="182"/>
      <c r="I5" s="182"/>
      <c r="J5" s="182"/>
      <c r="K5" s="1640" t="s">
        <v>321</v>
      </c>
      <c r="L5" s="1641"/>
      <c r="M5" s="1641"/>
      <c r="N5" s="1642"/>
      <c r="O5" s="182"/>
      <c r="P5" s="249" t="s">
        <v>322</v>
      </c>
      <c r="Q5" s="250"/>
      <c r="R5" s="251"/>
      <c r="S5" s="182"/>
      <c r="T5" s="182"/>
      <c r="U5" s="182"/>
      <c r="V5" s="182"/>
      <c r="W5" s="182"/>
      <c r="X5" s="182"/>
      <c r="Y5" s="182"/>
      <c r="Z5" s="182"/>
      <c r="AA5" s="182"/>
      <c r="AB5" s="182"/>
      <c r="AC5" s="182"/>
      <c r="AD5" s="182"/>
      <c r="AE5" s="182"/>
      <c r="AF5" s="182"/>
      <c r="AG5" s="182"/>
      <c r="AH5" s="182"/>
      <c r="AI5" s="182"/>
      <c r="AJ5" s="182"/>
      <c r="AK5" s="182"/>
      <c r="AL5" s="182"/>
      <c r="AM5" s="182"/>
    </row>
    <row r="6" spans="1:39" ht="15.75" thickBot="1" x14ac:dyDescent="0.3">
      <c r="A6" s="182"/>
      <c r="B6" s="185" t="s">
        <v>323</v>
      </c>
      <c r="C6" s="253">
        <f>[10]SUMMARY!$C$6</f>
        <v>45778</v>
      </c>
      <c r="D6" s="239"/>
      <c r="E6" s="182"/>
      <c r="F6" s="182"/>
      <c r="G6" s="182"/>
      <c r="H6" s="182"/>
      <c r="I6" s="182"/>
      <c r="J6" s="182"/>
      <c r="K6" s="1643" t="s">
        <v>324</v>
      </c>
      <c r="L6" s="1644"/>
      <c r="M6" s="1644"/>
      <c r="N6" s="1645"/>
      <c r="O6" s="182"/>
      <c r="P6" s="249" t="s">
        <v>325</v>
      </c>
      <c r="Q6" s="250"/>
      <c r="R6" s="251"/>
      <c r="S6" s="182"/>
      <c r="T6" s="182"/>
      <c r="U6" s="182"/>
      <c r="V6" s="182"/>
      <c r="W6" s="182"/>
      <c r="X6" s="182"/>
      <c r="Y6" s="182"/>
      <c r="Z6" s="182"/>
      <c r="AA6" s="182"/>
      <c r="AB6" s="182"/>
      <c r="AC6" s="182"/>
      <c r="AD6" s="182"/>
      <c r="AE6" s="182"/>
      <c r="AF6" s="182"/>
      <c r="AG6" s="182"/>
      <c r="AH6" s="182"/>
      <c r="AI6" s="182"/>
      <c r="AJ6" s="182"/>
      <c r="AK6" s="182"/>
      <c r="AL6" s="182"/>
      <c r="AM6" s="182"/>
    </row>
    <row r="7" spans="1:39" ht="15.75" thickBot="1" x14ac:dyDescent="0.3">
      <c r="A7" s="182"/>
      <c r="B7" s="185" t="s">
        <v>326</v>
      </c>
      <c r="C7" s="254">
        <v>26</v>
      </c>
      <c r="D7" s="239"/>
      <c r="E7" s="184"/>
      <c r="F7" s="240"/>
      <c r="G7" s="240"/>
      <c r="H7" s="255"/>
      <c r="I7" s="181"/>
      <c r="J7" s="181"/>
      <c r="K7" s="182"/>
      <c r="L7" s="182"/>
      <c r="M7" s="182"/>
      <c r="N7" s="182"/>
      <c r="O7" s="182"/>
      <c r="P7" s="256" t="s">
        <v>327</v>
      </c>
      <c r="Q7" s="257"/>
      <c r="R7" s="258"/>
      <c r="S7" s="182"/>
      <c r="T7" s="182"/>
      <c r="U7" s="182"/>
      <c r="V7" s="182"/>
      <c r="W7" s="182"/>
      <c r="X7" s="182"/>
      <c r="Y7" s="182"/>
      <c r="Z7" s="182"/>
      <c r="AA7" s="182"/>
      <c r="AB7" s="182"/>
      <c r="AC7" s="182"/>
      <c r="AD7" s="182"/>
      <c r="AE7" s="182"/>
      <c r="AF7" s="182"/>
      <c r="AG7" s="182"/>
      <c r="AH7" s="182"/>
      <c r="AI7" s="182"/>
      <c r="AJ7" s="182"/>
      <c r="AK7" s="182"/>
      <c r="AL7" s="182"/>
      <c r="AM7" s="182"/>
    </row>
    <row r="8" spans="1:39" ht="15.75" thickBot="1" x14ac:dyDescent="0.3">
      <c r="A8" s="182"/>
      <c r="B8" s="259"/>
      <c r="C8" s="259"/>
      <c r="D8" s="260"/>
      <c r="E8" s="259"/>
      <c r="F8" s="259"/>
      <c r="G8" s="259"/>
      <c r="H8" s="259"/>
      <c r="I8" s="259"/>
      <c r="J8" s="259"/>
      <c r="K8" s="261"/>
      <c r="L8" s="182"/>
      <c r="M8" s="182"/>
      <c r="N8" s="182"/>
      <c r="O8" s="182"/>
      <c r="P8" s="182"/>
      <c r="Q8" s="182"/>
      <c r="R8" s="182"/>
      <c r="S8" s="182"/>
      <c r="T8" s="182"/>
      <c r="U8" s="182"/>
      <c r="V8" s="182"/>
      <c r="W8" s="182"/>
      <c r="X8" s="182"/>
      <c r="Y8" s="182"/>
      <c r="Z8" s="182"/>
      <c r="AA8" s="182"/>
      <c r="AB8" s="182"/>
      <c r="AC8" s="182"/>
      <c r="AD8" s="182"/>
      <c r="AE8" s="182"/>
      <c r="AF8" s="182"/>
      <c r="AG8" s="182"/>
      <c r="AH8" s="182"/>
      <c r="AI8" s="182"/>
      <c r="AJ8" s="182"/>
      <c r="AK8" s="182"/>
      <c r="AL8" s="182"/>
      <c r="AM8" s="182"/>
    </row>
    <row r="9" spans="1:39" ht="15.75" thickBot="1" x14ac:dyDescent="0.3">
      <c r="A9" s="181"/>
      <c r="B9" s="262" t="s">
        <v>269</v>
      </c>
      <c r="C9" s="186" t="s">
        <v>303</v>
      </c>
      <c r="D9" s="187" t="s">
        <v>32</v>
      </c>
      <c r="E9" s="188" t="s">
        <v>262</v>
      </c>
      <c r="F9" s="181"/>
      <c r="G9" s="263" t="s">
        <v>328</v>
      </c>
      <c r="H9" s="264">
        <v>1</v>
      </c>
      <c r="I9" s="265">
        <v>2</v>
      </c>
      <c r="J9" s="265">
        <v>3</v>
      </c>
      <c r="K9" s="265">
        <v>4</v>
      </c>
      <c r="L9" s="265">
        <v>5</v>
      </c>
      <c r="M9" s="265">
        <v>6</v>
      </c>
      <c r="N9" s="265">
        <v>7</v>
      </c>
      <c r="O9" s="265">
        <v>8</v>
      </c>
      <c r="P9" s="266">
        <v>9</v>
      </c>
      <c r="Q9" s="265">
        <v>10</v>
      </c>
      <c r="R9" s="265">
        <v>11</v>
      </c>
      <c r="S9" s="266">
        <v>12</v>
      </c>
      <c r="T9" s="266">
        <v>13</v>
      </c>
      <c r="U9" s="265">
        <v>14</v>
      </c>
      <c r="V9" s="265">
        <v>15</v>
      </c>
      <c r="W9" s="265">
        <v>16</v>
      </c>
      <c r="X9" s="265">
        <v>17</v>
      </c>
      <c r="Y9" s="265">
        <v>18</v>
      </c>
      <c r="Z9" s="265">
        <v>19</v>
      </c>
      <c r="AA9" s="265">
        <v>20</v>
      </c>
      <c r="AB9" s="265">
        <v>21</v>
      </c>
      <c r="AC9" s="265">
        <v>22</v>
      </c>
      <c r="AD9" s="265">
        <v>23</v>
      </c>
      <c r="AE9" s="265">
        <v>24</v>
      </c>
      <c r="AF9" s="265">
        <v>25</v>
      </c>
      <c r="AG9" s="265">
        <v>26</v>
      </c>
      <c r="AH9" s="265">
        <v>27</v>
      </c>
      <c r="AI9" s="265">
        <v>28</v>
      </c>
      <c r="AJ9" s="265">
        <v>29</v>
      </c>
      <c r="AK9" s="265">
        <v>30</v>
      </c>
      <c r="AL9" s="267">
        <v>31</v>
      </c>
      <c r="AM9" s="181"/>
    </row>
    <row r="10" spans="1:39" x14ac:dyDescent="0.25">
      <c r="A10" s="182"/>
      <c r="B10" s="268" t="s">
        <v>329</v>
      </c>
      <c r="C10" s="269">
        <f>SUM(H10:AL10)</f>
        <v>24080</v>
      </c>
      <c r="D10" s="270">
        <f>SUM(H11:AL11)</f>
        <v>22112</v>
      </c>
      <c r="E10" s="271">
        <f>IFERROR((D10-C10)/C10,0)</f>
        <v>-8.1727574750830562E-2</v>
      </c>
      <c r="F10" s="240"/>
      <c r="G10" s="272" t="s">
        <v>330</v>
      </c>
      <c r="H10" s="273">
        <f>IF(H$9&gt;$C$7,"",SUMIF($E$18:$E300,"Budget (t)",H$18:H300))</f>
        <v>0</v>
      </c>
      <c r="I10" s="275">
        <f>IF(I$9&gt;$C$7,"",SUMIF($E$18:$E300,"Budget (t)",I$18:I300))</f>
        <v>945</v>
      </c>
      <c r="J10" s="687">
        <f>IF(J$9&gt;$C$7,"",SUMIF($E$18:$E300,"Budget (t)",J$18:J300))</f>
        <v>945</v>
      </c>
      <c r="K10" s="274">
        <f>IF(K$9&gt;$C$7,"",SUMIF($E$18:$E300,"Budget (t)",K$18:K300))</f>
        <v>945</v>
      </c>
      <c r="L10" s="274">
        <f>IF(L$9&gt;$C$7,"",SUMIF($E$18:$E300,"Budget (t)",L$18:L300))</f>
        <v>945</v>
      </c>
      <c r="M10" s="274">
        <f>IF(M$9&gt;$C$7,"",SUMIF($E$18:$E300,"Budget (t)",M$18:M300))</f>
        <v>1015</v>
      </c>
      <c r="N10" s="274">
        <f>IF(N$9&gt;$C$7,"",SUMIF($E$18:$E300,"Budget (t)",N$18:N300))</f>
        <v>1015</v>
      </c>
      <c r="O10" s="274">
        <f>IF(O$9&gt;$C$7,"",SUMIF($E$18:$E300,"Budget (t)",O$18:O300))</f>
        <v>1015</v>
      </c>
      <c r="P10" s="274">
        <f>IF(P$9&gt;$C$7,"",SUMIF($E$18:$E300,"Budget (t)",P$18:P300))</f>
        <v>1015</v>
      </c>
      <c r="Q10" s="275">
        <f>IF(Q$9&gt;$C$7,"",SUMIF($E$18:$E300,"Budget (t)",Q$18:Q300))</f>
        <v>1015</v>
      </c>
      <c r="R10" s="275">
        <f>IF(R$9&gt;$C$7,"",SUMIF($E$18:$E300,"Budget (t)",R$18:R300))</f>
        <v>1015</v>
      </c>
      <c r="S10" s="274">
        <f>IF(S$9&gt;$C$7,"",SUMIF($E$18:$E300,"Budget (t)",S$18:S300))</f>
        <v>1015</v>
      </c>
      <c r="T10" s="274">
        <f>IF(T$9&gt;$C$7,"",SUMIF($E$18:$E300,"Budget (t)",T$18:T300))</f>
        <v>1015</v>
      </c>
      <c r="U10" s="274">
        <f>IF(U$9&gt;$C$7,"",SUMIF($E$18:$E300,"Budget (t)",U$18:U300))</f>
        <v>1015</v>
      </c>
      <c r="V10" s="274">
        <f>IF(V$9&gt;$C$7,"",SUMIF($E$18:$E300,"Budget (t)",V$18:V300))</f>
        <v>1015</v>
      </c>
      <c r="W10" s="274">
        <f>IF(W$9&gt;$C$7,"",SUMIF($E$18:$E300,"Budget (t)",W$18:W300))</f>
        <v>1015</v>
      </c>
      <c r="X10" s="274">
        <f>IF(X$9&gt;$C$7,"",SUMIF($E$18:$E300,"Budget (t)",X$18:X300))</f>
        <v>1015</v>
      </c>
      <c r="Y10" s="274">
        <f>IF(Y$9&gt;$C$7,"",SUMIF($E$18:$E300,"Budget (t)",Y$18:Y300))</f>
        <v>1015</v>
      </c>
      <c r="Z10" s="274">
        <f>IF(Z$9&gt;$C$7,"",SUMIF($E$18:$E300,"Budget (t)",Z$18:Z300))</f>
        <v>1015</v>
      </c>
      <c r="AA10" s="274">
        <f>IF(AA$9&gt;$C$7,"",SUMIF($E$18:$E300,"Budget (t)",AA$18:AA300))</f>
        <v>1015</v>
      </c>
      <c r="AB10" s="274">
        <f>IF(AB$9&gt;$C$7,"",SUMIF($E$18:$E300,"Budget (t)",AB$18:AB300))</f>
        <v>1015</v>
      </c>
      <c r="AC10" s="274">
        <f>IF(AC$9&gt;$C$7,"",SUMIF($E$18:$E300,"Budget (t)",AC$18:AC300))</f>
        <v>1015</v>
      </c>
      <c r="AD10" s="274">
        <f>IF(AD$9&gt;$C$7,"",SUMIF($E$18:$E300,"Budget (t)",AD$18:AD300))</f>
        <v>1015</v>
      </c>
      <c r="AE10" s="274">
        <f>IF(AE$9&gt;$C$7,"",SUMIF($E$18:$E300,"Budget (t)",AE$18:AE300))</f>
        <v>1015</v>
      </c>
      <c r="AF10" s="274">
        <f>IF(AF$9&gt;$C$7,"",SUMIF($E$18:$E300,"Budget (t)",AF$18:AF300))</f>
        <v>0</v>
      </c>
      <c r="AG10" s="274">
        <f>IF(AG$9&gt;$C$7,"",SUMIF($E$18:$E300,"Budget (t)",AG$18:AG300))</f>
        <v>1015</v>
      </c>
      <c r="AH10" s="274" t="str">
        <f>IF(AH$9&gt;$C$7,"",SUMIF($E$18:$E300,"Budget (t)",AH$18:AH300))</f>
        <v/>
      </c>
      <c r="AI10" s="274" t="str">
        <f>IF(AI$9&gt;$C$7,"",SUMIF($E$18:$E300,"Budget (t)",AI$18:AI300))</f>
        <v/>
      </c>
      <c r="AJ10" s="274" t="str">
        <f>IF(AJ$9&gt;$C$7,"",SUMIF($E$18:$E300,"Budget (t)",AJ$18:AJ300))</f>
        <v/>
      </c>
      <c r="AK10" s="274" t="str">
        <f>IF(AK$9&gt;$C$7,"",SUMIF($E$18:$E300,"Budget (t)",AK$18:AK300))</f>
        <v/>
      </c>
      <c r="AL10" s="276" t="str">
        <f>IF(AL$9&gt;$C$7,"",SUMIF($E$18:$E300,"Budget (t)",AL$18:AL300))</f>
        <v/>
      </c>
      <c r="AM10" s="182"/>
    </row>
    <row r="11" spans="1:39" ht="15.75" thickBot="1" x14ac:dyDescent="0.3">
      <c r="A11" s="189"/>
      <c r="B11" s="1375" t="s">
        <v>2</v>
      </c>
      <c r="C11" s="1288">
        <f>IFERROR(C12*1000/C10,0)</f>
        <v>2.9962250830564767</v>
      </c>
      <c r="D11" s="786">
        <f>IFERROR(D12*1000/D10,0)</f>
        <v>3.1029502532561497</v>
      </c>
      <c r="E11" s="1548">
        <f t="shared" ref="E11:E12" si="0">IFERROR((D11-C11)/C11,0)</f>
        <v>3.5619877426165077E-2</v>
      </c>
      <c r="F11" s="189"/>
      <c r="G11" s="263" t="s">
        <v>331</v>
      </c>
      <c r="H11" s="1289">
        <f>IF(H$9&gt;$C$7,"",SUMIF($E$18:$E300,"Actual (t)",H$18:H300))</f>
        <v>974</v>
      </c>
      <c r="I11" s="1290">
        <f>IF(I$9&gt;$C$7,"",SUMIF($E$18:$E300,"Actual (t)",I$18:I300))</f>
        <v>997</v>
      </c>
      <c r="J11" s="1290">
        <f>IF(J$9&gt;$C$7,"",SUMIF($E$18:$E300,"Actual (t)",J$18:J300))</f>
        <v>991</v>
      </c>
      <c r="K11" s="1290">
        <f>IF(K$9&gt;$C$7,"",SUMIF($E$18:$E300,"Actual (t)",K$18:K300))</f>
        <v>1003</v>
      </c>
      <c r="L11" s="1290">
        <f>IF(L$9&gt;$C$7,"",SUMIF($E$18:$E300,"Actual (t)",L$18:L300))</f>
        <v>875</v>
      </c>
      <c r="M11" s="1290">
        <f>IF(M$9&gt;$C$7,"",SUMIF($E$18:$E300,"Actual (t)",M$18:M300))</f>
        <v>854</v>
      </c>
      <c r="N11" s="1290">
        <f>IF(N$9&gt;$C$7,"",SUMIF($E$18:$E300,"Actual (t)",N$18:N300))</f>
        <v>1019</v>
      </c>
      <c r="O11" s="1290">
        <f>IF(O$9&gt;$C$7,"",SUMIF($E$18:$E300,"Actual (t)",O$18:O300))</f>
        <v>912</v>
      </c>
      <c r="P11" s="1290">
        <f>IF(P$9&gt;$C$7,"",SUMIF($E$18:$E300,"Actual (t)",P$18:P300))</f>
        <v>877</v>
      </c>
      <c r="Q11" s="1290">
        <f>IF(Q$9&gt;$C$7,"",SUMIF($E$18:$E300,"Actual (t)",Q$18:Q300))</f>
        <v>878</v>
      </c>
      <c r="R11" s="1290">
        <f>IF(R$9&gt;$C$7,"",SUMIF($E$18:$E300,"Actual (t)",R$18:R300))</f>
        <v>876</v>
      </c>
      <c r="S11" s="1290">
        <f>IF(S$9&gt;$C$7,"",SUMIF($E$18:$E300,"Actual (t)",S$18:S300))</f>
        <v>950</v>
      </c>
      <c r="T11" s="1290">
        <f>IF(T$9&gt;$C$7,"",SUMIF($E$18:$E300,"Actual (t)",T$18:T300))</f>
        <v>815</v>
      </c>
      <c r="U11" s="1290">
        <f>IF(U$9&gt;$C$7,"",SUMIF($E$18:$E300,"Actual (t)",U$18:U300))</f>
        <v>877</v>
      </c>
      <c r="V11" s="1290">
        <f>IF(V$9&gt;$C$7,"",SUMIF($E$18:$E300,"Actual (t)",V$18:V300))</f>
        <v>800</v>
      </c>
      <c r="W11" s="1290">
        <f>IF(W$9&gt;$C$7,"",SUMIF($E$18:$E300,"Actual (t)",W$18:W300))</f>
        <v>941</v>
      </c>
      <c r="X11" s="1290">
        <f>IF(X$9&gt;$C$7,"",SUMIF($E$18:$E300,"Actual (t)",X$18:X300))</f>
        <v>938</v>
      </c>
      <c r="Y11" s="1290">
        <f>IF(Y$9&gt;$C$7,"",SUMIF($E$18:$E300,"Actual (t)",Y$18:Y300))</f>
        <v>950</v>
      </c>
      <c r="Z11" s="1290">
        <f>IF(Z$9&gt;$C$7,"",SUMIF($E$18:$E300,"Actual (t)",Z$18:Z300))</f>
        <v>984</v>
      </c>
      <c r="AA11" s="1290">
        <f>IF(AA$9&gt;$C$7,"",SUMIF($E$18:$E300,"Actual (t)",AA$18:AA300))</f>
        <v>963</v>
      </c>
      <c r="AB11" s="1290">
        <f>IF(AB$9&gt;$C$7,"",SUMIF($E$18:$E300,"Actual (t)",AB$18:AB300))</f>
        <v>791</v>
      </c>
      <c r="AC11" s="1290">
        <f>IF(AC$9&gt;$C$7,"",SUMIF($E$18:$E300,"Actual (t)",AC$18:AC300))</f>
        <v>757</v>
      </c>
      <c r="AD11" s="1290">
        <f>IF(AD$9&gt;$C$7,"",SUMIF($E$18:$E300,"Actual (t)",AD$18:AD300))</f>
        <v>810</v>
      </c>
      <c r="AE11" s="1290">
        <f>IF(AE$9&gt;$C$7,"",SUMIF($E$18:$E300,"Actual (t)",AE$18:AE300))</f>
        <v>696</v>
      </c>
      <c r="AF11" s="1290">
        <f>IF(AF$9&gt;$C$7,"",SUMIF($E$18:$E300,"Actual (t)",AF$18:AF300))</f>
        <v>0</v>
      </c>
      <c r="AG11" s="1290">
        <f>IF(AG$9&gt;$C$7,"",SUMIF($E$18:$E300,"Actual (t)",AG$18:AG300))</f>
        <v>584</v>
      </c>
      <c r="AH11" s="1290" t="str">
        <f>IF(AH$9&gt;$C$7,"",SUMIF($E$18:$E300,"Actual (t)",AH$18:AH300))</f>
        <v/>
      </c>
      <c r="AI11" s="1290" t="str">
        <f>IF(AI$9&gt;$C$7,"",SUMIF($E$18:$E300,"Actual (t)",AI$18:AI300))</f>
        <v/>
      </c>
      <c r="AJ11" s="1290" t="str">
        <f>IF(AJ$9&gt;$C$7,"",SUMIF($E$18:$E300,"Actual (t)",AJ$18:AJ300))</f>
        <v/>
      </c>
      <c r="AK11" s="1290" t="str">
        <f>IF(AK$9&gt;$C$7,"",SUMIF($E$18:$E300,"Actual (t)",AK$18:AK300))</f>
        <v/>
      </c>
      <c r="AL11" s="1291" t="str">
        <f>IF(AL$9&gt;$C$7,"",SUMIF($E$18:$E300,"Actual (t)",AL$18:AL300))</f>
        <v/>
      </c>
      <c r="AM11" s="189"/>
    </row>
    <row r="12" spans="1:39" ht="15.75" thickBot="1" x14ac:dyDescent="0.3">
      <c r="A12" s="190"/>
      <c r="B12" s="1376" t="s">
        <v>3</v>
      </c>
      <c r="C12" s="1293">
        <f>SUM(H14:AL14)</f>
        <v>72.149099999999962</v>
      </c>
      <c r="D12" s="1294">
        <f>SUM(H15:AL15)</f>
        <v>68.612435999999988</v>
      </c>
      <c r="E12" s="1295">
        <f t="shared" si="0"/>
        <v>-4.9018823519627761E-2</v>
      </c>
      <c r="F12" s="190"/>
      <c r="G12" s="272" t="s">
        <v>332</v>
      </c>
      <c r="H12" s="277" t="str">
        <f t="shared" ref="H12:AL13" si="1">IFERROR(H14*1000/H10,"")</f>
        <v/>
      </c>
      <c r="I12" s="278">
        <f t="shared" si="1"/>
        <v>2.9718518518518513</v>
      </c>
      <c r="J12" s="278">
        <f t="shared" si="1"/>
        <v>2.9718518518518513</v>
      </c>
      <c r="K12" s="278">
        <f t="shared" si="1"/>
        <v>2.9718518518518513</v>
      </c>
      <c r="L12" s="278">
        <f t="shared" si="1"/>
        <v>2.9718518518518513</v>
      </c>
      <c r="M12" s="278">
        <f t="shared" si="1"/>
        <v>2.906206896551724</v>
      </c>
      <c r="N12" s="278">
        <f t="shared" si="1"/>
        <v>2.906206896551724</v>
      </c>
      <c r="O12" s="278">
        <f t="shared" si="1"/>
        <v>2.906206896551724</v>
      </c>
      <c r="P12" s="278">
        <f t="shared" si="1"/>
        <v>2.906206896551724</v>
      </c>
      <c r="Q12" s="279">
        <f t="shared" si="1"/>
        <v>2.906206896551724</v>
      </c>
      <c r="R12" s="279">
        <f t="shared" si="1"/>
        <v>2.906206896551724</v>
      </c>
      <c r="S12" s="278">
        <f t="shared" si="1"/>
        <v>2.906206896551724</v>
      </c>
      <c r="T12" s="278">
        <f t="shared" si="1"/>
        <v>4.7350738916256159</v>
      </c>
      <c r="U12" s="278">
        <f t="shared" si="1"/>
        <v>2.906206896551724</v>
      </c>
      <c r="V12" s="278">
        <f t="shared" si="1"/>
        <v>2.906206896551724</v>
      </c>
      <c r="W12" s="278">
        <f t="shared" si="1"/>
        <v>2.906206896551724</v>
      </c>
      <c r="X12" s="278">
        <f t="shared" si="1"/>
        <v>2.906206896551724</v>
      </c>
      <c r="Y12" s="278">
        <f t="shared" si="1"/>
        <v>2.906206896551724</v>
      </c>
      <c r="Z12" s="278">
        <f t="shared" si="1"/>
        <v>2.906206896551724</v>
      </c>
      <c r="AA12" s="278">
        <f t="shared" si="1"/>
        <v>2.9684729064039415</v>
      </c>
      <c r="AB12" s="278">
        <f t="shared" si="1"/>
        <v>2.906206896551724</v>
      </c>
      <c r="AC12" s="278">
        <f t="shared" si="1"/>
        <v>2.906206896551724</v>
      </c>
      <c r="AD12" s="278">
        <f t="shared" si="1"/>
        <v>2.906206896551724</v>
      </c>
      <c r="AE12" s="278">
        <f t="shared" si="1"/>
        <v>2.906206896551724</v>
      </c>
      <c r="AF12" s="278" t="str">
        <f t="shared" si="1"/>
        <v/>
      </c>
      <c r="AG12" s="278">
        <f t="shared" si="1"/>
        <v>2.906206896551724</v>
      </c>
      <c r="AH12" s="278" t="str">
        <f t="shared" si="1"/>
        <v/>
      </c>
      <c r="AI12" s="278" t="str">
        <f t="shared" si="1"/>
        <v/>
      </c>
      <c r="AJ12" s="278" t="str">
        <f t="shared" si="1"/>
        <v/>
      </c>
      <c r="AK12" s="278" t="str">
        <f t="shared" si="1"/>
        <v/>
      </c>
      <c r="AL12" s="280" t="str">
        <f t="shared" si="1"/>
        <v/>
      </c>
      <c r="AM12" s="190"/>
    </row>
    <row r="13" spans="1:39" ht="15.75" thickBot="1" x14ac:dyDescent="0.3">
      <c r="A13" s="191"/>
      <c r="B13" s="191"/>
      <c r="C13" s="191"/>
      <c r="D13" s="191"/>
      <c r="E13" s="281"/>
      <c r="F13" s="191"/>
      <c r="G13" s="282" t="s">
        <v>333</v>
      </c>
      <c r="H13" s="1296">
        <f>IFERROR(H15*1000/H11,"")</f>
        <v>2.2222135523613962</v>
      </c>
      <c r="I13" s="1297">
        <f t="shared" si="1"/>
        <v>2.7160080240722166</v>
      </c>
      <c r="J13" s="1297">
        <f>IFERROR(J15*1000/J11,"")</f>
        <v>3.4082139253279511</v>
      </c>
      <c r="K13" s="1297">
        <f t="shared" si="1"/>
        <v>3.0106281156530406</v>
      </c>
      <c r="L13" s="1297">
        <f t="shared" si="1"/>
        <v>2.8821371428571427</v>
      </c>
      <c r="M13" s="1297">
        <f t="shared" si="1"/>
        <v>4.0175058548009357</v>
      </c>
      <c r="N13" s="1297">
        <f t="shared" si="1"/>
        <v>3.0356231599607457</v>
      </c>
      <c r="O13" s="1297">
        <f t="shared" si="1"/>
        <v>2.9921929824561402</v>
      </c>
      <c r="P13" s="1297">
        <f t="shared" si="1"/>
        <v>2.9426909920182447</v>
      </c>
      <c r="Q13" s="1297">
        <f t="shared" si="1"/>
        <v>3.1667995444191344</v>
      </c>
      <c r="R13" s="1297">
        <f t="shared" si="1"/>
        <v>2.7980136986301369</v>
      </c>
      <c r="S13" s="1297">
        <f t="shared" si="1"/>
        <v>3.2199263157894733</v>
      </c>
      <c r="T13" s="1297">
        <f t="shared" si="1"/>
        <v>4.7753496932515338</v>
      </c>
      <c r="U13" s="1297">
        <f t="shared" si="1"/>
        <v>3.5877765108323834</v>
      </c>
      <c r="V13" s="1297">
        <f t="shared" si="1"/>
        <v>4.634662500000001</v>
      </c>
      <c r="W13" s="1297">
        <f t="shared" si="1"/>
        <v>3.5440382571732196</v>
      </c>
      <c r="X13" s="1297">
        <f t="shared" si="1"/>
        <v>2.251481876332623</v>
      </c>
      <c r="Y13" s="1297">
        <f t="shared" si="1"/>
        <v>2.1975052631578942</v>
      </c>
      <c r="Z13" s="1297">
        <f t="shared" si="1"/>
        <v>2.5743191056910568</v>
      </c>
      <c r="AA13" s="1297">
        <f t="shared" si="1"/>
        <v>3.5932087227414327</v>
      </c>
      <c r="AB13" s="1297">
        <f t="shared" si="1"/>
        <v>2.9955372945638437</v>
      </c>
      <c r="AC13" s="1297">
        <f t="shared" si="1"/>
        <v>3.4428797886393654</v>
      </c>
      <c r="AD13" s="1297">
        <f>IFERROR(AD15*1000/AD11,"")</f>
        <v>2.6956296296296292</v>
      </c>
      <c r="AE13" s="1297">
        <f t="shared" si="1"/>
        <v>2.4862931034482756</v>
      </c>
      <c r="AF13" s="1297" t="str">
        <f t="shared" si="1"/>
        <v/>
      </c>
      <c r="AG13" s="1297">
        <f t="shared" si="1"/>
        <v>2.625239726027397</v>
      </c>
      <c r="AH13" s="1297" t="str">
        <f t="shared" si="1"/>
        <v/>
      </c>
      <c r="AI13" s="1297" t="str">
        <f t="shared" si="1"/>
        <v/>
      </c>
      <c r="AJ13" s="1297" t="str">
        <f t="shared" si="1"/>
        <v/>
      </c>
      <c r="AK13" s="1297" t="str">
        <f t="shared" si="1"/>
        <v/>
      </c>
      <c r="AL13" s="1298" t="str">
        <f t="shared" si="1"/>
        <v/>
      </c>
      <c r="AM13" s="191"/>
    </row>
    <row r="14" spans="1:39" x14ac:dyDescent="0.25">
      <c r="A14" s="192"/>
      <c r="B14" s="192"/>
      <c r="C14" s="192"/>
      <c r="D14" s="192"/>
      <c r="E14" s="192"/>
      <c r="F14" s="192"/>
      <c r="G14" s="283" t="s">
        <v>334</v>
      </c>
      <c r="H14" s="284">
        <f>IF(H$9&gt;$C$7,"",SUMIF($E$18:$E300,"Budget (kg)",H$18:H300))</f>
        <v>0</v>
      </c>
      <c r="I14" s="285">
        <f>IF(I$9&gt;$C$7,"",SUMIF($E$18:$E300,"Budget (kg)",I$18:I300))</f>
        <v>2.8083999999999998</v>
      </c>
      <c r="J14" s="285">
        <f>IF(J$9&gt;$C$7,"",SUMIF($E$18:$E300,"Budget (kg)",J$18:J300))</f>
        <v>2.8083999999999998</v>
      </c>
      <c r="K14" s="285">
        <f>IF(K$9&gt;$C$7,"",SUMIF($E$18:$E300,"Budget (kg)",K$18:K300))</f>
        <v>2.8083999999999998</v>
      </c>
      <c r="L14" s="285">
        <f>IF(L$9&gt;$C$7,"",SUMIF($E$18:$E300,"Budget (kg)",L$18:L300))</f>
        <v>2.8083999999999998</v>
      </c>
      <c r="M14" s="285">
        <f>IF(M$9&gt;$C$7,"",SUMIF($E$18:$E300,"Budget (kg)",M$18:M300))</f>
        <v>2.9497999999999998</v>
      </c>
      <c r="N14" s="285">
        <f>IF(N$9&gt;$C$7,"",SUMIF($E$18:$E300,"Budget (kg)",N$18:N300))</f>
        <v>2.9497999999999998</v>
      </c>
      <c r="O14" s="285">
        <f>IF(O$9&gt;$C$7,"",SUMIF($E$18:$E300,"Budget (kg)",O$18:O300))</f>
        <v>2.9497999999999998</v>
      </c>
      <c r="P14" s="285">
        <f>IF(P$9&gt;$C$7,"",SUMIF($E$18:$E300,"Budget (kg)",P$18:P300))</f>
        <v>2.9497999999999998</v>
      </c>
      <c r="Q14" s="286">
        <f>IF(Q$9&gt;$C$7,"",SUMIF($E$18:$E300,"Budget (kg)",Q$18:Q300))</f>
        <v>2.9497999999999998</v>
      </c>
      <c r="R14" s="286">
        <f>IF(R$9&gt;$C$7,"",SUMIF($E$18:$E300,"Budget (kg)",R$18:R300))</f>
        <v>2.9497999999999998</v>
      </c>
      <c r="S14" s="285">
        <f>IF(S$9&gt;$C$7,"",SUMIF($E$18:$E300,"Budget (kg)",S$18:S300))</f>
        <v>2.9497999999999998</v>
      </c>
      <c r="T14" s="285">
        <f>IF(T$9&gt;$C$7,"",SUMIF($E$18:$E300,"Budget (kg)",T$18:T300))</f>
        <v>4.8061000000000007</v>
      </c>
      <c r="U14" s="285">
        <f>IF(U$9&gt;$C$7,"",SUMIF($E$18:$E300,"Budget (kg)",U$18:U300))</f>
        <v>2.9497999999999998</v>
      </c>
      <c r="V14" s="285">
        <f>IF(V$9&gt;$C$7,"",SUMIF($E$18:$E300,"Budget (kg)",V$18:V300))</f>
        <v>2.9497999999999998</v>
      </c>
      <c r="W14" s="285">
        <f>IF(W$9&gt;$C$7,"",SUMIF($E$18:$E300,"Budget (kg)",W$18:W300))</f>
        <v>2.9497999999999998</v>
      </c>
      <c r="X14" s="285">
        <f>IF(X$9&gt;$C$7,"",SUMIF($E$18:$E300,"Budget (kg)",X$18:X300))</f>
        <v>2.9497999999999998</v>
      </c>
      <c r="Y14" s="285">
        <f>IF(Y$9&gt;$C$7,"",SUMIF($E$18:$E300,"Budget (kg)",Y$18:Y300))</f>
        <v>2.9497999999999998</v>
      </c>
      <c r="Z14" s="285">
        <f>IF(Z$9&gt;$C$7,"",SUMIF($E$18:$E300,"Budget (kg)",Z$18:Z300))</f>
        <v>2.9497999999999998</v>
      </c>
      <c r="AA14" s="285">
        <f>IF(AA$9&gt;$C$7,"",SUMIF($E$18:$E300,"Budget (kg)",AA$18:AA300))</f>
        <v>3.0130000000000003</v>
      </c>
      <c r="AB14" s="285">
        <f>IF(AB$9&gt;$C$7,"",SUMIF($E$18:$E300,"Budget (kg)",AB$18:AB300))</f>
        <v>2.9497999999999998</v>
      </c>
      <c r="AC14" s="285">
        <f>IF(AC$9&gt;$C$7,"",SUMIF($E$18:$E300,"Budget (kg)",AC$18:AC300))</f>
        <v>2.9497999999999998</v>
      </c>
      <c r="AD14" s="285">
        <f>IF(AD$9&gt;$C$7,"",SUMIF($E$18:$E300,"Budget (kg)",AD$18:AD300))</f>
        <v>2.9497999999999998</v>
      </c>
      <c r="AE14" s="285">
        <f>IF(AE$9&gt;$C$7,"",SUMIF($E$18:$E300,"Budget (kg)",AE$18:AE300))</f>
        <v>2.9497999999999998</v>
      </c>
      <c r="AF14" s="285">
        <f>IF(AF$9&gt;$C$7,"",SUMIF($E$18:$E300,"Budget (kg)",AF$18:AF300))</f>
        <v>0</v>
      </c>
      <c r="AG14" s="285">
        <f>IF(AG$9&gt;$C$7,"",SUMIF($E$18:$E300,"Budget (kg)",AG$18:AG300))</f>
        <v>2.9497999999999998</v>
      </c>
      <c r="AH14" s="285" t="str">
        <f>IF(AH$9&gt;$C$7,"",SUMIF($E$18:$E300,"Budget (kg)",AH$18:AH300))</f>
        <v/>
      </c>
      <c r="AI14" s="285" t="str">
        <f>IF(AI$9&gt;$C$7,"",SUMIF($E$18:$E300,"Budget (kg)",AI$18:AI300))</f>
        <v/>
      </c>
      <c r="AJ14" s="285" t="str">
        <f>IF(AJ$9&gt;$C$7,"",SUMIF($E$18:$E300,"Budget (kg)",AJ$18:AJ300))</f>
        <v/>
      </c>
      <c r="AK14" s="285" t="str">
        <f>IF(AK$9&gt;$C$7,"",SUMIF($E$18:$E300,"Budget (kg)",AK$18:AK300))</f>
        <v/>
      </c>
      <c r="AL14" s="287" t="str">
        <f>IF(AL$9&gt;$C$7,"",SUMIF($E$18:$E300,"Budget (kg)",AL$18:AL300))</f>
        <v/>
      </c>
      <c r="AM14" s="192"/>
    </row>
    <row r="15" spans="1:39" ht="15.75" thickBot="1" x14ac:dyDescent="0.3">
      <c r="A15" s="193"/>
      <c r="B15" s="193"/>
      <c r="C15" s="193"/>
      <c r="D15" s="193"/>
      <c r="E15" s="193"/>
      <c r="F15" s="193"/>
      <c r="G15" s="288" t="s">
        <v>335</v>
      </c>
      <c r="H15" s="1377">
        <f>IF(H$9&gt;$C$7,"",SUMIF($E$18:$E300,"Actual (kg)",H$18:H300))</f>
        <v>2.1644359999999998</v>
      </c>
      <c r="I15" s="1346">
        <f>IF(I$9&gt;$C$7,"",SUMIF($E$18:$E300,"Actual (kg)",I$18:I300))</f>
        <v>2.7078600000000002</v>
      </c>
      <c r="J15" s="1346">
        <f>IF(J$9&gt;$C$7,"",SUMIF($E$18:$E300,"Actual (kg)",J$18:J300))</f>
        <v>3.3775399999999993</v>
      </c>
      <c r="K15" s="1346">
        <f>IF(K$9&gt;$C$7,"",SUMIF($E$18:$E300,"Actual (kg)",K$18:K300))</f>
        <v>3.01966</v>
      </c>
      <c r="L15" s="1346">
        <f>IF(L$9&gt;$C$7,"",SUMIF($E$18:$E300,"Actual (kg)",L$18:L300))</f>
        <v>2.5218699999999998</v>
      </c>
      <c r="M15" s="1346">
        <f>IF(M$9&gt;$C$7,"",SUMIF($E$18:$E300,"Actual (kg)",M$18:M300))</f>
        <v>3.4309499999999993</v>
      </c>
      <c r="N15" s="1346">
        <f>IF(N$9&gt;$C$7,"",SUMIF($E$18:$E300,"Actual (kg)",N$18:N300))</f>
        <v>3.0932999999999997</v>
      </c>
      <c r="O15" s="1346">
        <f>IF(O$9&gt;$C$7,"",SUMIF($E$18:$E300,"Actual (kg)",O$18:O300))</f>
        <v>2.7288799999999998</v>
      </c>
      <c r="P15" s="1346">
        <f>IF(P$9&gt;$C$7,"",SUMIF($E$18:$E300,"Actual (kg)",P$18:P300))</f>
        <v>2.5807400000000005</v>
      </c>
      <c r="Q15" s="1346">
        <f>IF(Q$9&gt;$C$7,"",SUMIF($E$18:$E300,"Actual (kg)",Q$18:Q300))</f>
        <v>2.7804499999999996</v>
      </c>
      <c r="R15" s="1346">
        <f>IF(R$9&gt;$C$7,"",SUMIF($E$18:$E300,"Actual (kg)",R$18:R300))</f>
        <v>2.45106</v>
      </c>
      <c r="S15" s="1346">
        <f>IF(S$9&gt;$C$7,"",SUMIF($E$18:$E300,"Actual (kg)",S$18:S300))</f>
        <v>3.0589299999999997</v>
      </c>
      <c r="T15" s="1346">
        <f>IF(T$9&gt;$C$7,"",SUMIF($E$18:$E300,"Actual (kg)",T$18:T300))</f>
        <v>3.8919100000000002</v>
      </c>
      <c r="U15" s="1346">
        <f>IF(U$9&gt;$C$7,"",SUMIF($E$18:$E300,"Actual (kg)",U$18:U300))</f>
        <v>3.1464799999999999</v>
      </c>
      <c r="V15" s="1346">
        <f>IF(V$9&gt;$C$7,"",SUMIF($E$18:$E300,"Actual (kg)",V$18:V300))</f>
        <v>3.7077300000000006</v>
      </c>
      <c r="W15" s="1346">
        <f>IF(W$9&gt;$C$7,"",SUMIF($E$18:$E300,"Actual (kg)",W$18:W300))</f>
        <v>3.3349399999999996</v>
      </c>
      <c r="X15" s="1346">
        <f>IF(X$9&gt;$C$7,"",SUMIF($E$18:$E300,"Actual (kg)",X$18:X300))</f>
        <v>2.1118900000000003</v>
      </c>
      <c r="Y15" s="1346">
        <f>IF(Y$9&gt;$C$7,"",SUMIF($E$18:$E300,"Actual (kg)",Y$18:Y300))</f>
        <v>2.0876299999999999</v>
      </c>
      <c r="Z15" s="1346">
        <f>IF(Z$9&gt;$C$7,"",SUMIF($E$18:$E300,"Actual (kg)",Z$18:Z300))</f>
        <v>2.5331299999999999</v>
      </c>
      <c r="AA15" s="1346">
        <f>IF(AA$9&gt;$C$7,"",SUMIF($E$18:$E300,"Actual (kg)",AA$18:AA300))</f>
        <v>3.4602599999999999</v>
      </c>
      <c r="AB15" s="1346">
        <f>IF(AB$9&gt;$C$7,"",SUMIF($E$18:$E300,"Actual (kg)",AB$18:AB300))</f>
        <v>2.3694700000000002</v>
      </c>
      <c r="AC15" s="1346">
        <f>IF(AC$9&gt;$C$7,"",SUMIF($E$18:$E300,"Actual (kg)",AC$18:AC300))</f>
        <v>2.6062599999999998</v>
      </c>
      <c r="AD15" s="1346">
        <f>IF(AD$9&gt;$C$7,"",SUMIF($E$18:$E300,"Actual (kg)",AD$18:AD300))</f>
        <v>2.1834599999999997</v>
      </c>
      <c r="AE15" s="1346">
        <f>IF(AE$9&gt;$C$7,"",SUMIF($E$18:$E300,"Actual (kg)",AE$18:AE300))</f>
        <v>1.7304599999999999</v>
      </c>
      <c r="AF15" s="1346">
        <f>IF(AF$9&gt;$C$7,"",SUMIF($E$18:$E300,"Actual (kg)",AF$18:AF300))</f>
        <v>0</v>
      </c>
      <c r="AG15" s="1346">
        <f>IF(AG$9&gt;$C$7,"",SUMIF($E$18:$E300,"Actual (kg)",AG$18:AG300))</f>
        <v>1.5331399999999999</v>
      </c>
      <c r="AH15" s="1346" t="str">
        <f>IF(AH$9&gt;$C$7,"",SUMIF($E$18:$E300,"Actual (kg)",AH$18:AH300))</f>
        <v/>
      </c>
      <c r="AI15" s="1346" t="str">
        <f>IF(AI$9&gt;$C$7,"",SUMIF($E$18:$E300,"Actual (kg)",AI$18:AI300))</f>
        <v/>
      </c>
      <c r="AJ15" s="1346" t="str">
        <f>IF(AJ$9&gt;$C$7,"",SUMIF($E$18:$E300,"Actual (kg)",AJ$18:AJ300))</f>
        <v/>
      </c>
      <c r="AK15" s="1346" t="str">
        <f>IF(AK$9&gt;$C$7,"",SUMIF($E$18:$E300,"Actual (kg)",AK$18:AK300))</f>
        <v/>
      </c>
      <c r="AL15" s="1378" t="str">
        <f>IF(AL$9&gt;$C$7,"",SUMIF($E$18:$E300,"Actual (kg)",AL$18:AL300))</f>
        <v/>
      </c>
      <c r="AM15" s="193"/>
    </row>
    <row r="16" spans="1:39" ht="15.75" thickBot="1" x14ac:dyDescent="0.3">
      <c r="A16" s="182"/>
      <c r="B16" s="182"/>
      <c r="C16" s="182"/>
      <c r="D16" s="239"/>
      <c r="E16" s="184"/>
      <c r="F16" s="240"/>
      <c r="G16" s="240"/>
      <c r="H16" s="181"/>
      <c r="I16" s="181"/>
      <c r="J16" s="181"/>
      <c r="K16" s="182"/>
      <c r="L16" s="182"/>
      <c r="M16" s="182"/>
      <c r="N16" s="182"/>
      <c r="O16" s="182"/>
      <c r="P16" s="182"/>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row>
    <row r="17" spans="1:39" ht="15.75" thickBot="1" x14ac:dyDescent="0.3">
      <c r="A17" s="289">
        <f>COUNT(B18:B300)</f>
        <v>13</v>
      </c>
      <c r="B17" s="228" t="s">
        <v>336</v>
      </c>
      <c r="C17" s="229" t="s">
        <v>337</v>
      </c>
      <c r="D17" s="1699"/>
      <c r="E17" s="1699"/>
      <c r="F17" s="290" t="s">
        <v>269</v>
      </c>
      <c r="G17" s="291" t="s">
        <v>338</v>
      </c>
      <c r="H17" s="230">
        <f>[10]SUMMARY!I16</f>
        <v>45778</v>
      </c>
      <c r="I17" s="231">
        <f>[10]SUMMARY!J16</f>
        <v>45779</v>
      </c>
      <c r="J17" s="231">
        <f>[10]SUMMARY!K16</f>
        <v>45780</v>
      </c>
      <c r="K17" s="232">
        <f>[10]SUMMARY!L16</f>
        <v>45781</v>
      </c>
      <c r="L17" s="232">
        <f>[10]SUMMARY!M16</f>
        <v>45782</v>
      </c>
      <c r="M17" s="232">
        <f>[10]SUMMARY!N16</f>
        <v>45783</v>
      </c>
      <c r="N17" s="232">
        <f>[10]SUMMARY!O16</f>
        <v>45784</v>
      </c>
      <c r="O17" s="232">
        <f>[10]SUMMARY!P16</f>
        <v>45785</v>
      </c>
      <c r="P17" s="232">
        <f>[10]SUMMARY!Q16</f>
        <v>45786</v>
      </c>
      <c r="Q17" s="233">
        <f>[10]SUMMARY!R16</f>
        <v>45787</v>
      </c>
      <c r="R17" s="233">
        <f>[10]SUMMARY!S16</f>
        <v>45788</v>
      </c>
      <c r="S17" s="232">
        <f>[10]SUMMARY!T16</f>
        <v>45789</v>
      </c>
      <c r="T17" s="232">
        <f>[10]SUMMARY!U16</f>
        <v>45790</v>
      </c>
      <c r="U17" s="232">
        <f>[10]SUMMARY!V16</f>
        <v>45791</v>
      </c>
      <c r="V17" s="232">
        <f>[10]SUMMARY!W16</f>
        <v>45792</v>
      </c>
      <c r="W17" s="232">
        <f>[10]SUMMARY!X16</f>
        <v>45793</v>
      </c>
      <c r="X17" s="232">
        <f>[10]SUMMARY!Y16</f>
        <v>45794</v>
      </c>
      <c r="Y17" s="232">
        <f>[10]SUMMARY!Z16</f>
        <v>45795</v>
      </c>
      <c r="Z17" s="232">
        <f>[10]SUMMARY!AA16</f>
        <v>45796</v>
      </c>
      <c r="AA17" s="232">
        <f>[10]SUMMARY!AB16</f>
        <v>45797</v>
      </c>
      <c r="AB17" s="232">
        <f>[10]SUMMARY!AC16</f>
        <v>45798</v>
      </c>
      <c r="AC17" s="232">
        <f>[10]SUMMARY!AD16</f>
        <v>45799</v>
      </c>
      <c r="AD17" s="232">
        <f>[10]SUMMARY!AE16</f>
        <v>45800</v>
      </c>
      <c r="AE17" s="232">
        <f>[10]SUMMARY!AF16</f>
        <v>45801</v>
      </c>
      <c r="AF17" s="232">
        <f>[10]SUMMARY!AG16</f>
        <v>45802</v>
      </c>
      <c r="AG17" s="232">
        <f>[10]SUMMARY!AH16</f>
        <v>45803</v>
      </c>
      <c r="AH17" s="232">
        <f>[10]SUMMARY!AI16</f>
        <v>45804</v>
      </c>
      <c r="AI17" s="232">
        <f>[10]SUMMARY!AJ16</f>
        <v>45805</v>
      </c>
      <c r="AJ17" s="232">
        <f>[10]SUMMARY!AK16</f>
        <v>45806</v>
      </c>
      <c r="AK17" s="232">
        <f>[10]SUMMARY!AL16</f>
        <v>45807</v>
      </c>
      <c r="AL17" s="292">
        <f>[10]SUMMARY!AM16</f>
        <v>45808</v>
      </c>
      <c r="AM17" s="844" t="s">
        <v>339</v>
      </c>
    </row>
    <row r="18" spans="1:39" ht="15.75" thickBot="1" x14ac:dyDescent="0.3">
      <c r="A18" s="202"/>
      <c r="B18" s="1608">
        <v>1</v>
      </c>
      <c r="C18" s="1692" t="str">
        <f>[11]Stoping!C18</f>
        <v>1L W24 STOPE</v>
      </c>
      <c r="D18" s="1696" t="str">
        <f>[11]Stoping!D18</f>
        <v>Tonnes</v>
      </c>
      <c r="E18" s="293" t="str">
        <f>[11]Stoping!E18</f>
        <v>Budget (t)</v>
      </c>
      <c r="F18" s="196">
        <f>[11]Stoping!F18</f>
        <v>1960</v>
      </c>
      <c r="G18" s="197">
        <f>[11]Stoping!G18</f>
        <v>0</v>
      </c>
      <c r="H18" s="945">
        <f>[11]Stoping!H18</f>
        <v>0</v>
      </c>
      <c r="I18" s="945">
        <f>[11]Stoping!I18</f>
        <v>70</v>
      </c>
      <c r="J18" s="945">
        <f>[11]Stoping!J18</f>
        <v>70</v>
      </c>
      <c r="K18" s="945">
        <f>[11]Stoping!K18</f>
        <v>70</v>
      </c>
      <c r="L18" s="945">
        <f>[11]Stoping!L18</f>
        <v>70</v>
      </c>
      <c r="M18" s="945">
        <f>[11]Stoping!M18</f>
        <v>70</v>
      </c>
      <c r="N18" s="945">
        <f>[11]Stoping!N18</f>
        <v>70</v>
      </c>
      <c r="O18" s="945">
        <f>[11]Stoping!O18</f>
        <v>70</v>
      </c>
      <c r="P18" s="945">
        <f>[11]Stoping!P18</f>
        <v>70</v>
      </c>
      <c r="Q18" s="945">
        <f>[11]Stoping!Q18</f>
        <v>70</v>
      </c>
      <c r="R18" s="945">
        <f>[11]Stoping!R18</f>
        <v>70</v>
      </c>
      <c r="S18" s="945">
        <f>[11]Stoping!S18</f>
        <v>70</v>
      </c>
      <c r="T18" s="945">
        <f>[11]Stoping!T18</f>
        <v>70</v>
      </c>
      <c r="U18" s="945">
        <f>[11]Stoping!U18</f>
        <v>70</v>
      </c>
      <c r="V18" s="945">
        <f>[11]Stoping!V18</f>
        <v>70</v>
      </c>
      <c r="W18" s="945">
        <f>[11]Stoping!W18</f>
        <v>70</v>
      </c>
      <c r="X18" s="945">
        <f>[11]Stoping!X18</f>
        <v>70</v>
      </c>
      <c r="Y18" s="945">
        <f>[11]Stoping!Y18</f>
        <v>70</v>
      </c>
      <c r="Z18" s="945">
        <f>[11]Stoping!Z18</f>
        <v>70</v>
      </c>
      <c r="AA18" s="945">
        <f>[11]Stoping!AA18</f>
        <v>70</v>
      </c>
      <c r="AB18" s="945">
        <f>[11]Stoping!AB18</f>
        <v>70</v>
      </c>
      <c r="AC18" s="945">
        <f>[11]Stoping!AC18</f>
        <v>70</v>
      </c>
      <c r="AD18" s="945">
        <f>[11]Stoping!AD18</f>
        <v>70</v>
      </c>
      <c r="AE18" s="945">
        <f>[11]Stoping!AE18</f>
        <v>70</v>
      </c>
      <c r="AF18" s="945">
        <f>[11]Stoping!AF18</f>
        <v>0</v>
      </c>
      <c r="AG18" s="945">
        <f>[11]Stoping!AG18</f>
        <v>70</v>
      </c>
      <c r="AH18" s="945">
        <f>[11]Stoping!AH18</f>
        <v>70</v>
      </c>
      <c r="AI18" s="945">
        <f>[11]Stoping!AI18</f>
        <v>70</v>
      </c>
      <c r="AJ18" s="945">
        <f>[11]Stoping!AJ18</f>
        <v>70</v>
      </c>
      <c r="AK18" s="945">
        <f>[11]Stoping!AK18</f>
        <v>70</v>
      </c>
      <c r="AL18" s="945">
        <f>[11]Stoping!AL18</f>
        <v>70</v>
      </c>
      <c r="AM18" s="845"/>
    </row>
    <row r="19" spans="1:39" ht="15.75" thickBot="1" x14ac:dyDescent="0.3">
      <c r="A19" s="202"/>
      <c r="B19" s="1608"/>
      <c r="C19" s="1693"/>
      <c r="D19" s="1697"/>
      <c r="E19" s="1379" t="str">
        <f>[11]Stoping!E19</f>
        <v>Actual (t)</v>
      </c>
      <c r="F19" s="1303">
        <f>[11]Stoping!F19</f>
        <v>2017</v>
      </c>
      <c r="G19" s="1380">
        <f>[11]Stoping!G19</f>
        <v>2.9081632653061223E-2</v>
      </c>
      <c r="H19" s="1305">
        <f>[11]Stoping!H19</f>
        <v>89</v>
      </c>
      <c r="I19" s="1303">
        <f>[11]Stoping!I19</f>
        <v>85</v>
      </c>
      <c r="J19" s="1303">
        <f>[11]Stoping!J19</f>
        <v>64</v>
      </c>
      <c r="K19" s="1303">
        <f>[11]Stoping!K19</f>
        <v>71</v>
      </c>
      <c r="L19" s="1303">
        <f>[11]Stoping!L19</f>
        <v>74</v>
      </c>
      <c r="M19" s="1303">
        <f>[11]Stoping!M19</f>
        <v>79</v>
      </c>
      <c r="N19" s="1303">
        <f>[11]Stoping!N19</f>
        <v>70</v>
      </c>
      <c r="O19" s="1303">
        <f>[11]Stoping!O19</f>
        <v>79</v>
      </c>
      <c r="P19" s="1303">
        <f>[11]Stoping!P19</f>
        <v>70</v>
      </c>
      <c r="Q19" s="1303">
        <f>[11]Stoping!Q19</f>
        <v>70</v>
      </c>
      <c r="R19" s="1303">
        <f>[11]Stoping!R19</f>
        <v>74</v>
      </c>
      <c r="S19" s="1303">
        <f>[11]Stoping!S19</f>
        <v>68</v>
      </c>
      <c r="T19" s="1303">
        <f>[11]Stoping!T19</f>
        <v>81</v>
      </c>
      <c r="U19" s="1303">
        <f>[11]Stoping!U19</f>
        <v>70</v>
      </c>
      <c r="V19" s="1303">
        <f>[11]Stoping!V19</f>
        <v>17</v>
      </c>
      <c r="W19" s="1303">
        <f>[11]Stoping!W19</f>
        <v>40</v>
      </c>
      <c r="X19" s="1303">
        <f>[11]Stoping!X19</f>
        <v>36</v>
      </c>
      <c r="Y19" s="1303">
        <f>[11]Stoping!Y19</f>
        <v>71</v>
      </c>
      <c r="Z19" s="1303">
        <f>[11]Stoping!Z19</f>
        <v>66</v>
      </c>
      <c r="AA19" s="1303">
        <f>[11]Stoping!AA19</f>
        <v>70</v>
      </c>
      <c r="AB19" s="1303">
        <f>[11]Stoping!AB19</f>
        <v>71</v>
      </c>
      <c r="AC19" s="1303">
        <f>[11]Stoping!AC19</f>
        <v>74</v>
      </c>
      <c r="AD19" s="1303">
        <f>[11]Stoping!AD19</f>
        <v>76</v>
      </c>
      <c r="AE19" s="1303">
        <f>[11]Stoping!AE19</f>
        <v>79</v>
      </c>
      <c r="AF19" s="1303">
        <f>[11]Stoping!AF19</f>
        <v>0</v>
      </c>
      <c r="AG19" s="1303">
        <f>[11]Stoping!AG19</f>
        <v>74</v>
      </c>
      <c r="AH19" s="1303">
        <f>[11]Stoping!AH19</f>
        <v>70</v>
      </c>
      <c r="AI19" s="1303">
        <f>[11]Stoping!AI19</f>
        <v>76</v>
      </c>
      <c r="AJ19" s="1303">
        <f>[11]Stoping!AJ19</f>
        <v>72</v>
      </c>
      <c r="AK19" s="1303">
        <f>[11]Stoping!AK19</f>
        <v>81</v>
      </c>
      <c r="AL19" s="1303">
        <f>[11]Stoping!AL19</f>
        <v>77</v>
      </c>
      <c r="AM19" s="347"/>
    </row>
    <row r="20" spans="1:39" ht="15.75" thickBot="1" x14ac:dyDescent="0.3">
      <c r="A20" s="294"/>
      <c r="B20" s="1608"/>
      <c r="C20" s="1693"/>
      <c r="D20" s="1697"/>
      <c r="E20" s="1381" t="str">
        <f>[11]Stoping!E20</f>
        <v>Reason if Actual is RED</v>
      </c>
      <c r="F20" s="1382">
        <f>[11]Stoping!F20</f>
        <v>0</v>
      </c>
      <c r="G20" s="1383">
        <f>[11]Stoping!G20</f>
        <v>0</v>
      </c>
      <c r="H20" s="203">
        <f>[11]Stoping!H20</f>
        <v>0</v>
      </c>
      <c r="I20" s="203">
        <f>[11]Stoping!I20</f>
        <v>0</v>
      </c>
      <c r="J20" s="203">
        <f>[11]Stoping!J20</f>
        <v>0</v>
      </c>
      <c r="K20" s="203">
        <f>[11]Stoping!K20</f>
        <v>0</v>
      </c>
      <c r="L20" s="203">
        <f>[11]Stoping!L20</f>
        <v>0</v>
      </c>
      <c r="M20" s="203">
        <f>[11]Stoping!M20</f>
        <v>0</v>
      </c>
      <c r="N20" s="203">
        <f>[11]Stoping!N20</f>
        <v>0</v>
      </c>
      <c r="O20" s="203">
        <f>[11]Stoping!O20</f>
        <v>0</v>
      </c>
      <c r="P20" s="204">
        <f>[11]Stoping!P20</f>
        <v>0</v>
      </c>
      <c r="Q20" s="203">
        <f>[11]Stoping!Q20</f>
        <v>0</v>
      </c>
      <c r="R20" s="203">
        <f>[11]Stoping!R20</f>
        <v>0</v>
      </c>
      <c r="S20" s="203">
        <f>[11]Stoping!S20</f>
        <v>0</v>
      </c>
      <c r="T20" s="203">
        <f>[11]Stoping!T20</f>
        <v>0</v>
      </c>
      <c r="U20" s="203">
        <f>[11]Stoping!U20</f>
        <v>0</v>
      </c>
      <c r="V20" s="203">
        <f>[11]Stoping!V20</f>
        <v>0</v>
      </c>
      <c r="W20" s="203">
        <f>[11]Stoping!W20</f>
        <v>0</v>
      </c>
      <c r="X20" s="203">
        <f>[11]Stoping!X20</f>
        <v>0</v>
      </c>
      <c r="Y20" s="203">
        <f>[11]Stoping!Y20</f>
        <v>0</v>
      </c>
      <c r="Z20" s="203">
        <f>[11]Stoping!Z20</f>
        <v>0</v>
      </c>
      <c r="AA20" s="203">
        <f>[11]Stoping!AA20</f>
        <v>0</v>
      </c>
      <c r="AB20" s="203">
        <f>[11]Stoping!AB20</f>
        <v>0</v>
      </c>
      <c r="AC20" s="203">
        <f>[11]Stoping!AC20</f>
        <v>0</v>
      </c>
      <c r="AD20" s="203">
        <f>[11]Stoping!AD20</f>
        <v>0</v>
      </c>
      <c r="AE20" s="203">
        <f>[11]Stoping!AE20</f>
        <v>0</v>
      </c>
      <c r="AF20" s="203">
        <f>[11]Stoping!AF20</f>
        <v>0</v>
      </c>
      <c r="AG20" s="203">
        <f>[11]Stoping!AG20</f>
        <v>0</v>
      </c>
      <c r="AH20" s="203">
        <f>[11]Stoping!AH20</f>
        <v>0</v>
      </c>
      <c r="AI20" s="203">
        <f>[11]Stoping!AI20</f>
        <v>0</v>
      </c>
      <c r="AJ20" s="203">
        <f>[11]Stoping!AJ20</f>
        <v>0</v>
      </c>
      <c r="AK20" s="203">
        <f>[11]Stoping!AK20</f>
        <v>0</v>
      </c>
      <c r="AL20" s="205">
        <f>[11]Stoping!AL20</f>
        <v>0</v>
      </c>
      <c r="AM20" s="846"/>
    </row>
    <row r="21" spans="1:39" ht="15.75" thickBot="1" x14ac:dyDescent="0.3">
      <c r="A21" s="202"/>
      <c r="B21" s="1608"/>
      <c r="C21" s="1693"/>
      <c r="D21" s="1686" t="str">
        <f>[11]Stoping!D21</f>
        <v>Grade</v>
      </c>
      <c r="E21" s="1384" t="str">
        <f>[11]Stoping!E21</f>
        <v>Budget (g/t)</v>
      </c>
      <c r="F21" s="1310">
        <f>[11]Stoping!F21</f>
        <v>2.2999999999999994</v>
      </c>
      <c r="G21" s="1385">
        <f>[11]Stoping!G21</f>
        <v>0</v>
      </c>
      <c r="H21" s="1312">
        <f>[11]Stoping!H21</f>
        <v>0</v>
      </c>
      <c r="I21" s="1312">
        <f>[11]Stoping!I21</f>
        <v>2.2999999999999998</v>
      </c>
      <c r="J21" s="1312">
        <f>[11]Stoping!J21</f>
        <v>2.2999999999999998</v>
      </c>
      <c r="K21" s="1312">
        <f>[11]Stoping!K21</f>
        <v>2.2999999999999998</v>
      </c>
      <c r="L21" s="1312">
        <f>[11]Stoping!L21</f>
        <v>2.2999999999999998</v>
      </c>
      <c r="M21" s="1312">
        <f>[11]Stoping!M21</f>
        <v>2.2999999999999998</v>
      </c>
      <c r="N21" s="1312">
        <f>[11]Stoping!N21</f>
        <v>2.2999999999999998</v>
      </c>
      <c r="O21" s="1312">
        <f>[11]Stoping!O21</f>
        <v>2.2999999999999998</v>
      </c>
      <c r="P21" s="1312">
        <f>[11]Stoping!P21</f>
        <v>2.2999999999999998</v>
      </c>
      <c r="Q21" s="1312">
        <f>[11]Stoping!Q21</f>
        <v>2.2999999999999998</v>
      </c>
      <c r="R21" s="1312">
        <f>[11]Stoping!R21</f>
        <v>2.2999999999999998</v>
      </c>
      <c r="S21" s="1312">
        <f>[11]Stoping!S21</f>
        <v>2.2999999999999998</v>
      </c>
      <c r="T21" s="1312">
        <f>[11]Stoping!T21</f>
        <v>2.2999999999999998</v>
      </c>
      <c r="U21" s="1312">
        <f>[11]Stoping!U21</f>
        <v>2.2999999999999998</v>
      </c>
      <c r="V21" s="1312">
        <f>[11]Stoping!V21</f>
        <v>2.2999999999999998</v>
      </c>
      <c r="W21" s="1312">
        <f>[11]Stoping!W21</f>
        <v>2.2999999999999998</v>
      </c>
      <c r="X21" s="1312">
        <f>[11]Stoping!X21</f>
        <v>2.2999999999999998</v>
      </c>
      <c r="Y21" s="1312">
        <f>[11]Stoping!Y21</f>
        <v>2.2999999999999998</v>
      </c>
      <c r="Z21" s="1312">
        <f>[11]Stoping!Z21</f>
        <v>2.2999999999999998</v>
      </c>
      <c r="AA21" s="1312">
        <f>[11]Stoping!AA21</f>
        <v>2.2999999999999998</v>
      </c>
      <c r="AB21" s="1312">
        <f>[11]Stoping!AB21</f>
        <v>2.2999999999999998</v>
      </c>
      <c r="AC21" s="1312">
        <f>[11]Stoping!AC21</f>
        <v>2.2999999999999998</v>
      </c>
      <c r="AD21" s="1312">
        <f>[11]Stoping!AD21</f>
        <v>2.2999999999999998</v>
      </c>
      <c r="AE21" s="1312">
        <f>[11]Stoping!AE21</f>
        <v>2.2999999999999998</v>
      </c>
      <c r="AF21" s="1312">
        <f>[11]Stoping!AF21</f>
        <v>0</v>
      </c>
      <c r="AG21" s="1312">
        <f>[11]Stoping!AG21</f>
        <v>2.2999999999999998</v>
      </c>
      <c r="AH21" s="1312">
        <f>[11]Stoping!AH21</f>
        <v>2.2999999999999998</v>
      </c>
      <c r="AI21" s="1312">
        <f>[11]Stoping!AI21</f>
        <v>2.2999999999999998</v>
      </c>
      <c r="AJ21" s="1312">
        <f>[11]Stoping!AJ21</f>
        <v>2.2999999999999998</v>
      </c>
      <c r="AK21" s="1312">
        <f>[11]Stoping!AK21</f>
        <v>2.2999999999999998</v>
      </c>
      <c r="AL21" s="1312">
        <f>[11]Stoping!AL21</f>
        <v>2.2999999999999998</v>
      </c>
      <c r="AM21" s="347"/>
    </row>
    <row r="22" spans="1:39" ht="15.75" thickBot="1" x14ac:dyDescent="0.3">
      <c r="A22" s="202"/>
      <c r="B22" s="1608"/>
      <c r="C22" s="1693"/>
      <c r="D22" s="1686"/>
      <c r="E22" s="1386" t="str">
        <f>[11]Stoping!E22</f>
        <v>Actual (g/t)</v>
      </c>
      <c r="F22" s="1314">
        <f>[11]Stoping!F22</f>
        <v>1.4907882994546355</v>
      </c>
      <c r="G22" s="1380">
        <f>[11]Stoping!G22</f>
        <v>-0.3518311741501583</v>
      </c>
      <c r="H22" s="1315">
        <f>[11]Stoping!H22</f>
        <v>1.24</v>
      </c>
      <c r="I22" s="1314">
        <f>[11]Stoping!I22</f>
        <v>1.57</v>
      </c>
      <c r="J22" s="1314">
        <f>[11]Stoping!J22</f>
        <v>2.42</v>
      </c>
      <c r="K22" s="1314">
        <f>[11]Stoping!K22</f>
        <v>2.42</v>
      </c>
      <c r="L22" s="1314">
        <f>[11]Stoping!L22</f>
        <v>1.92</v>
      </c>
      <c r="M22" s="1314">
        <f>[11]Stoping!M22</f>
        <v>1.4</v>
      </c>
      <c r="N22" s="1314">
        <f>[11]Stoping!N22</f>
        <v>1.04</v>
      </c>
      <c r="O22" s="1314">
        <f>[11]Stoping!O22</f>
        <v>1.1000000000000001</v>
      </c>
      <c r="P22" s="1314">
        <f>[11]Stoping!P22</f>
        <v>1.01</v>
      </c>
      <c r="Q22" s="1314">
        <f>[11]Stoping!Q22</f>
        <v>1.79</v>
      </c>
      <c r="R22" s="1314">
        <f>[11]Stoping!R22</f>
        <v>1.79</v>
      </c>
      <c r="S22" s="1314">
        <f>[11]Stoping!S22</f>
        <v>2.0299999999999998</v>
      </c>
      <c r="T22" s="1314">
        <f>[11]Stoping!T22</f>
        <v>1.71</v>
      </c>
      <c r="U22" s="1314">
        <f>[11]Stoping!U22</f>
        <v>1.77</v>
      </c>
      <c r="V22" s="1314">
        <f>[11]Stoping!V22</f>
        <v>1.88</v>
      </c>
      <c r="W22" s="1314">
        <f>[11]Stoping!W22</f>
        <v>1.21</v>
      </c>
      <c r="X22" s="1314">
        <f>[11]Stoping!X22</f>
        <v>0.89</v>
      </c>
      <c r="Y22" s="1314">
        <f>[11]Stoping!Y22</f>
        <v>0.89</v>
      </c>
      <c r="Z22" s="1314">
        <f>[11]Stoping!Z22</f>
        <v>1.71</v>
      </c>
      <c r="AA22" s="1314">
        <f>[11]Stoping!AA22</f>
        <v>1.71</v>
      </c>
      <c r="AB22" s="1314">
        <f>[11]Stoping!AB22</f>
        <v>1.92</v>
      </c>
      <c r="AC22" s="1314">
        <f>[11]Stoping!AC22</f>
        <v>1.55</v>
      </c>
      <c r="AD22" s="1314">
        <f>[11]Stoping!AD22</f>
        <v>1.32</v>
      </c>
      <c r="AE22" s="1314">
        <f>[11]Stoping!AE22</f>
        <v>0.83</v>
      </c>
      <c r="AF22" s="1314">
        <f>[11]Stoping!AF22</f>
        <v>0</v>
      </c>
      <c r="AG22" s="1314">
        <f>[11]Stoping!AG22</f>
        <v>0.83</v>
      </c>
      <c r="AH22" s="1314">
        <f>[11]Stoping!AH22</f>
        <v>1.1000000000000001</v>
      </c>
      <c r="AI22" s="1314">
        <f>[11]Stoping!AI22</f>
        <v>1.1000000000000001</v>
      </c>
      <c r="AJ22" s="1314">
        <f>[11]Stoping!AJ22</f>
        <v>1.78</v>
      </c>
      <c r="AK22" s="1314">
        <f>[11]Stoping!AK22</f>
        <v>1.48</v>
      </c>
      <c r="AL22" s="1314">
        <f>[11]Stoping!AL22</f>
        <v>1.63</v>
      </c>
      <c r="AM22" s="347"/>
    </row>
    <row r="23" spans="1:39" ht="15.75" thickBot="1" x14ac:dyDescent="0.3">
      <c r="A23" s="202"/>
      <c r="B23" s="1608"/>
      <c r="C23" s="1693"/>
      <c r="D23" s="1686" t="str">
        <f>[11]Stoping!D23</f>
        <v>Gold</v>
      </c>
      <c r="E23" s="1384" t="str">
        <f>[11]Stoping!E23</f>
        <v>Budget (kg)</v>
      </c>
      <c r="F23" s="206">
        <f>[11]Stoping!F23</f>
        <v>4.5079999999999991</v>
      </c>
      <c r="G23" s="1385">
        <f>[11]Stoping!G23</f>
        <v>0</v>
      </c>
      <c r="H23" s="1316">
        <f>[11]Stoping!H23</f>
        <v>0</v>
      </c>
      <c r="I23" s="1316">
        <f>[11]Stoping!I23</f>
        <v>0.161</v>
      </c>
      <c r="J23" s="1316">
        <f>[11]Stoping!J23</f>
        <v>0.161</v>
      </c>
      <c r="K23" s="1317">
        <f>[11]Stoping!K23</f>
        <v>0.161</v>
      </c>
      <c r="L23" s="1317">
        <f>[11]Stoping!L23</f>
        <v>0.161</v>
      </c>
      <c r="M23" s="1317">
        <f>[11]Stoping!M23</f>
        <v>0.161</v>
      </c>
      <c r="N23" s="1317">
        <f>[11]Stoping!N23</f>
        <v>0.161</v>
      </c>
      <c r="O23" s="1317">
        <f>[11]Stoping!O23</f>
        <v>0.161</v>
      </c>
      <c r="P23" s="1318">
        <f>[11]Stoping!P23</f>
        <v>0.161</v>
      </c>
      <c r="Q23" s="1317">
        <f>[11]Stoping!Q23</f>
        <v>0.161</v>
      </c>
      <c r="R23" s="1317">
        <f>[11]Stoping!R23</f>
        <v>0.161</v>
      </c>
      <c r="S23" s="1317">
        <f>[11]Stoping!S23</f>
        <v>0.161</v>
      </c>
      <c r="T23" s="1317">
        <f>[11]Stoping!T23</f>
        <v>0.161</v>
      </c>
      <c r="U23" s="1317">
        <f>[11]Stoping!U23</f>
        <v>0.161</v>
      </c>
      <c r="V23" s="1317">
        <f>[11]Stoping!V23</f>
        <v>0.161</v>
      </c>
      <c r="W23" s="1317">
        <f>[11]Stoping!W23</f>
        <v>0.161</v>
      </c>
      <c r="X23" s="1317">
        <f>[11]Stoping!X23</f>
        <v>0.161</v>
      </c>
      <c r="Y23" s="1317">
        <f>[11]Stoping!Y23</f>
        <v>0.161</v>
      </c>
      <c r="Z23" s="1317">
        <f>[11]Stoping!Z23</f>
        <v>0.161</v>
      </c>
      <c r="AA23" s="1317">
        <f>[11]Stoping!AA23</f>
        <v>0.161</v>
      </c>
      <c r="AB23" s="1317">
        <f>[11]Stoping!AB23</f>
        <v>0.161</v>
      </c>
      <c r="AC23" s="1317">
        <f>[11]Stoping!AC23</f>
        <v>0.161</v>
      </c>
      <c r="AD23" s="1317">
        <f>[11]Stoping!AD23</f>
        <v>0.161</v>
      </c>
      <c r="AE23" s="1317">
        <f>[11]Stoping!AE23</f>
        <v>0.161</v>
      </c>
      <c r="AF23" s="1317">
        <f>[11]Stoping!AF23</f>
        <v>0</v>
      </c>
      <c r="AG23" s="1317">
        <f>[11]Stoping!AG23</f>
        <v>0.161</v>
      </c>
      <c r="AH23" s="1317">
        <f>[11]Stoping!AH23</f>
        <v>0.161</v>
      </c>
      <c r="AI23" s="1317">
        <f>[11]Stoping!AI23</f>
        <v>0.161</v>
      </c>
      <c r="AJ23" s="1317">
        <f>[11]Stoping!AJ23</f>
        <v>0.161</v>
      </c>
      <c r="AK23" s="1317">
        <f>[11]Stoping!AK23</f>
        <v>0.161</v>
      </c>
      <c r="AL23" s="1319">
        <f>[11]Stoping!AL23</f>
        <v>0.161</v>
      </c>
      <c r="AM23" s="705"/>
    </row>
    <row r="24" spans="1:39" ht="15.75" thickBot="1" x14ac:dyDescent="0.3">
      <c r="A24" s="202"/>
      <c r="B24" s="1609"/>
      <c r="C24" s="1694"/>
      <c r="D24" s="1687"/>
      <c r="E24" s="1387" t="str">
        <f>[11]Stoping!E24</f>
        <v>Actual (kg)</v>
      </c>
      <c r="F24" s="1321">
        <f>[11]Stoping!F24</f>
        <v>3.00692</v>
      </c>
      <c r="G24" s="1388">
        <f>[11]Stoping!G24</f>
        <v>-0.33298136645962717</v>
      </c>
      <c r="H24" s="1323">
        <f>[11]Stoping!H24</f>
        <v>0.11036</v>
      </c>
      <c r="I24" s="1321">
        <f>[11]Stoping!I24</f>
        <v>0.13345000000000001</v>
      </c>
      <c r="J24" s="1321">
        <f>[11]Stoping!J24</f>
        <v>0.15487999999999999</v>
      </c>
      <c r="K24" s="1321">
        <f>[11]Stoping!K24</f>
        <v>0.17182</v>
      </c>
      <c r="L24" s="1321">
        <f>[11]Stoping!L24</f>
        <v>0.14207999999999998</v>
      </c>
      <c r="M24" s="1321">
        <f>[11]Stoping!M24</f>
        <v>0.11059999999999999</v>
      </c>
      <c r="N24" s="1321">
        <f>[11]Stoping!N24</f>
        <v>7.2800000000000004E-2</v>
      </c>
      <c r="O24" s="1321">
        <f>[11]Stoping!O24</f>
        <v>8.6900000000000005E-2</v>
      </c>
      <c r="P24" s="1321">
        <f>[11]Stoping!P24</f>
        <v>7.0699999999999999E-2</v>
      </c>
      <c r="Q24" s="1321">
        <f>[11]Stoping!Q24</f>
        <v>0.12529999999999999</v>
      </c>
      <c r="R24" s="1321">
        <f>[11]Stoping!R24</f>
        <v>0.13245999999999999</v>
      </c>
      <c r="S24" s="1321">
        <f>[11]Stoping!S24</f>
        <v>0.13804</v>
      </c>
      <c r="T24" s="1321">
        <f>[11]Stoping!T24</f>
        <v>0.13850999999999999</v>
      </c>
      <c r="U24" s="1321">
        <f>[11]Stoping!U24</f>
        <v>0.12390000000000001</v>
      </c>
      <c r="V24" s="1321">
        <f>[11]Stoping!V24</f>
        <v>3.1959999999999995E-2</v>
      </c>
      <c r="W24" s="1321">
        <f>[11]Stoping!W24</f>
        <v>4.8399999999999999E-2</v>
      </c>
      <c r="X24" s="1321">
        <f>[11]Stoping!X24</f>
        <v>3.2039999999999999E-2</v>
      </c>
      <c r="Y24" s="1321">
        <f>[11]Stoping!Y24</f>
        <v>6.3189999999999996E-2</v>
      </c>
      <c r="Z24" s="1321">
        <f>[11]Stoping!Z24</f>
        <v>0.11286</v>
      </c>
      <c r="AA24" s="1321">
        <f>[11]Stoping!AA24</f>
        <v>0.1197</v>
      </c>
      <c r="AB24" s="1321">
        <f>[11]Stoping!AB24</f>
        <v>0.13632</v>
      </c>
      <c r="AC24" s="1321">
        <f>[11]Stoping!AC24</f>
        <v>0.1147</v>
      </c>
      <c r="AD24" s="1321">
        <f>[11]Stoping!AD24</f>
        <v>0.10032000000000001</v>
      </c>
      <c r="AE24" s="1321">
        <f>[11]Stoping!AE24</f>
        <v>6.5569999999999989E-2</v>
      </c>
      <c r="AF24" s="1321">
        <f>[11]Stoping!AF24</f>
        <v>0</v>
      </c>
      <c r="AG24" s="1321">
        <f>[11]Stoping!AG24</f>
        <v>6.1419999999999995E-2</v>
      </c>
      <c r="AH24" s="1321">
        <f>[11]Stoping!AH24</f>
        <v>7.6999999999999999E-2</v>
      </c>
      <c r="AI24" s="1321">
        <f>[11]Stoping!AI24</f>
        <v>8.3600000000000008E-2</v>
      </c>
      <c r="AJ24" s="1321">
        <f>[11]Stoping!AJ24</f>
        <v>0.12816</v>
      </c>
      <c r="AK24" s="1321">
        <f>[11]Stoping!AK24</f>
        <v>0.11988</v>
      </c>
      <c r="AL24" s="1321">
        <f>[11]Stoping!AL24</f>
        <v>0.12550999999999998</v>
      </c>
      <c r="AM24" s="706"/>
    </row>
    <row r="25" spans="1:39" ht="15.75" thickBot="1" x14ac:dyDescent="0.3">
      <c r="A25" s="202"/>
      <c r="B25" s="1608"/>
      <c r="C25" s="1692" t="str">
        <f>[11]Stoping!C25</f>
        <v>2L_W23B STOPE</v>
      </c>
      <c r="D25" s="1696" t="str">
        <f>[11]Stoping!D25</f>
        <v>Tonnes</v>
      </c>
      <c r="E25" s="293" t="str">
        <f>[11]Stoping!E25</f>
        <v>Budget (t)</v>
      </c>
      <c r="F25" s="196">
        <f>[11]Stoping!F25</f>
        <v>0</v>
      </c>
      <c r="G25" s="197">
        <f>[11]Stoping!G25</f>
        <v>0</v>
      </c>
      <c r="H25" s="198">
        <f>[11]Stoping!H25</f>
        <v>0</v>
      </c>
      <c r="I25" s="198">
        <f>[11]Stoping!I25</f>
        <v>0</v>
      </c>
      <c r="J25" s="198">
        <f>[11]Stoping!J25</f>
        <v>0</v>
      </c>
      <c r="K25" s="198">
        <f>[11]Stoping!K25</f>
        <v>0</v>
      </c>
      <c r="L25" s="198">
        <f>[11]Stoping!L25</f>
        <v>0</v>
      </c>
      <c r="M25" s="198">
        <f>[11]Stoping!M25</f>
        <v>0</v>
      </c>
      <c r="N25" s="198">
        <f>[11]Stoping!N25</f>
        <v>0</v>
      </c>
      <c r="O25" s="198">
        <f>[11]Stoping!O25</f>
        <v>0</v>
      </c>
      <c r="P25" s="198">
        <f>[11]Stoping!P25</f>
        <v>0</v>
      </c>
      <c r="Q25" s="198">
        <f>[11]Stoping!Q25</f>
        <v>0</v>
      </c>
      <c r="R25" s="198">
        <f>[11]Stoping!R25</f>
        <v>0</v>
      </c>
      <c r="S25" s="198">
        <f>[11]Stoping!S25</f>
        <v>0</v>
      </c>
      <c r="T25" s="198">
        <f>[11]Stoping!T25</f>
        <v>0</v>
      </c>
      <c r="U25" s="198">
        <f>[11]Stoping!U25</f>
        <v>0</v>
      </c>
      <c r="V25" s="198">
        <f>[11]Stoping!V25</f>
        <v>0</v>
      </c>
      <c r="W25" s="198">
        <f>[11]Stoping!W25</f>
        <v>0</v>
      </c>
      <c r="X25" s="198">
        <f>[11]Stoping!X25</f>
        <v>0</v>
      </c>
      <c r="Y25" s="198">
        <f>[11]Stoping!Y25</f>
        <v>0</v>
      </c>
      <c r="Z25" s="198">
        <f>[11]Stoping!Z25</f>
        <v>0</v>
      </c>
      <c r="AA25" s="198">
        <f>[11]Stoping!AA25</f>
        <v>0</v>
      </c>
      <c r="AB25" s="198">
        <f>[11]Stoping!AB25</f>
        <v>0</v>
      </c>
      <c r="AC25" s="198">
        <f>[11]Stoping!AC25</f>
        <v>0</v>
      </c>
      <c r="AD25" s="198">
        <f>[11]Stoping!AD25</f>
        <v>0</v>
      </c>
      <c r="AE25" s="198">
        <f>[11]Stoping!AE25</f>
        <v>0</v>
      </c>
      <c r="AF25" s="198">
        <f>[11]Stoping!AF25</f>
        <v>0</v>
      </c>
      <c r="AG25" s="198">
        <f>[11]Stoping!AG25</f>
        <v>0</v>
      </c>
      <c r="AH25" s="198">
        <f>[11]Stoping!AH25</f>
        <v>0</v>
      </c>
      <c r="AI25" s="198">
        <f>[11]Stoping!AI25</f>
        <v>0</v>
      </c>
      <c r="AJ25" s="198">
        <f>[11]Stoping!AJ25</f>
        <v>0</v>
      </c>
      <c r="AK25" s="198">
        <f>[11]Stoping!AK25</f>
        <v>0</v>
      </c>
      <c r="AL25" s="198">
        <f>[11]Stoping!AL25</f>
        <v>0</v>
      </c>
      <c r="AM25" s="845"/>
    </row>
    <row r="26" spans="1:39" ht="15.75" thickBot="1" x14ac:dyDescent="0.3">
      <c r="A26" s="202"/>
      <c r="B26" s="1608"/>
      <c r="C26" s="1693"/>
      <c r="D26" s="1697"/>
      <c r="E26" s="1379" t="str">
        <f>[11]Stoping!E26</f>
        <v>Actual (t)</v>
      </c>
      <c r="F26" s="1303">
        <f>[11]Stoping!F26</f>
        <v>310</v>
      </c>
      <c r="G26" s="1380">
        <f>[11]Stoping!G26</f>
        <v>0</v>
      </c>
      <c r="H26" s="1305">
        <f>[11]Stoping!H26</f>
        <v>0</v>
      </c>
      <c r="I26" s="1303">
        <f>[11]Stoping!I26</f>
        <v>0</v>
      </c>
      <c r="J26" s="1303">
        <f>[11]Stoping!J26</f>
        <v>0</v>
      </c>
      <c r="K26" s="1303">
        <f>[11]Stoping!K26</f>
        <v>0</v>
      </c>
      <c r="L26" s="1303">
        <f>[11]Stoping!L26</f>
        <v>0</v>
      </c>
      <c r="M26" s="1303">
        <f>[11]Stoping!M26</f>
        <v>0</v>
      </c>
      <c r="N26" s="1303">
        <f>[11]Stoping!N26</f>
        <v>0</v>
      </c>
      <c r="O26" s="1303">
        <f>[11]Stoping!O26</f>
        <v>0</v>
      </c>
      <c r="P26" s="1303">
        <f>[11]Stoping!P26</f>
        <v>0</v>
      </c>
      <c r="Q26" s="1303">
        <f>[11]Stoping!Q26</f>
        <v>0</v>
      </c>
      <c r="R26" s="1303">
        <f>[11]Stoping!R26</f>
        <v>0</v>
      </c>
      <c r="S26" s="1303">
        <f>[11]Stoping!S26</f>
        <v>0</v>
      </c>
      <c r="T26" s="1303">
        <f>[11]Stoping!T26</f>
        <v>0</v>
      </c>
      <c r="U26" s="1303">
        <f>[11]Stoping!U26</f>
        <v>0</v>
      </c>
      <c r="V26" s="1303">
        <f>[11]Stoping!V26</f>
        <v>0</v>
      </c>
      <c r="W26" s="1303">
        <f>[11]Stoping!W26</f>
        <v>0</v>
      </c>
      <c r="X26" s="1303">
        <f>[11]Stoping!X26</f>
        <v>0</v>
      </c>
      <c r="Y26" s="1303">
        <f>[11]Stoping!Y26</f>
        <v>0</v>
      </c>
      <c r="Z26" s="1303">
        <f>[11]Stoping!Z26</f>
        <v>0</v>
      </c>
      <c r="AA26" s="1303">
        <f>[11]Stoping!AA26</f>
        <v>35</v>
      </c>
      <c r="AB26" s="1303">
        <f>[11]Stoping!AB26</f>
        <v>39</v>
      </c>
      <c r="AC26" s="1303">
        <f>[11]Stoping!AC26</f>
        <v>0</v>
      </c>
      <c r="AD26" s="1303">
        <f>[11]Stoping!AD26</f>
        <v>35</v>
      </c>
      <c r="AE26" s="1303">
        <f>[11]Stoping!AE26</f>
        <v>36</v>
      </c>
      <c r="AF26" s="1303">
        <f>[11]Stoping!AF26</f>
        <v>0</v>
      </c>
      <c r="AG26" s="1303">
        <f>[11]Stoping!AG26</f>
        <v>26</v>
      </c>
      <c r="AH26" s="1303">
        <f>[11]Stoping!AH26</f>
        <v>33</v>
      </c>
      <c r="AI26" s="1303">
        <f>[11]Stoping!AI26</f>
        <v>34</v>
      </c>
      <c r="AJ26" s="1303">
        <f>[11]Stoping!AJ26</f>
        <v>36</v>
      </c>
      <c r="AK26" s="1303">
        <f>[11]Stoping!AK26</f>
        <v>36</v>
      </c>
      <c r="AL26" s="1303">
        <f>[11]Stoping!AL26</f>
        <v>38</v>
      </c>
      <c r="AM26" s="347"/>
    </row>
    <row r="27" spans="1:39" ht="15.75" thickBot="1" x14ac:dyDescent="0.3">
      <c r="A27" s="294"/>
      <c r="B27" s="1608"/>
      <c r="C27" s="1693"/>
      <c r="D27" s="1697"/>
      <c r="E27" s="1381" t="str">
        <f>[11]Stoping!E27</f>
        <v>Reason if Actual is RED</v>
      </c>
      <c r="F27" s="1382">
        <f>[11]Stoping!F27</f>
        <v>0</v>
      </c>
      <c r="G27" s="1383">
        <f>[11]Stoping!G27</f>
        <v>0</v>
      </c>
      <c r="H27" s="203">
        <f>[11]Stoping!H27</f>
        <v>0</v>
      </c>
      <c r="I27" s="203">
        <f>[11]Stoping!I27</f>
        <v>0</v>
      </c>
      <c r="J27" s="203">
        <f>[11]Stoping!J27</f>
        <v>0</v>
      </c>
      <c r="K27" s="203">
        <f>[11]Stoping!K27</f>
        <v>0</v>
      </c>
      <c r="L27" s="203">
        <f>[11]Stoping!L27</f>
        <v>0</v>
      </c>
      <c r="M27" s="203">
        <f>[11]Stoping!M27</f>
        <v>0</v>
      </c>
      <c r="N27" s="203">
        <f>[11]Stoping!N27</f>
        <v>0</v>
      </c>
      <c r="O27" s="203">
        <f>[11]Stoping!O27</f>
        <v>0</v>
      </c>
      <c r="P27" s="204">
        <f>[11]Stoping!P27</f>
        <v>0</v>
      </c>
      <c r="Q27" s="203">
        <f>[11]Stoping!Q27</f>
        <v>0</v>
      </c>
      <c r="R27" s="203">
        <f>[11]Stoping!R27</f>
        <v>0</v>
      </c>
      <c r="S27" s="203">
        <f>[11]Stoping!S27</f>
        <v>0</v>
      </c>
      <c r="T27" s="203">
        <f>[11]Stoping!T27</f>
        <v>0</v>
      </c>
      <c r="U27" s="203">
        <f>[11]Stoping!U27</f>
        <v>0</v>
      </c>
      <c r="V27" s="203">
        <f>[11]Stoping!V27</f>
        <v>0</v>
      </c>
      <c r="W27" s="203">
        <f>[11]Stoping!W27</f>
        <v>0</v>
      </c>
      <c r="X27" s="203">
        <f>[11]Stoping!X27</f>
        <v>0</v>
      </c>
      <c r="Y27" s="203">
        <f>[11]Stoping!Y27</f>
        <v>0</v>
      </c>
      <c r="Z27" s="203">
        <f>[11]Stoping!Z27</f>
        <v>0</v>
      </c>
      <c r="AA27" s="203">
        <f>[11]Stoping!AA27</f>
        <v>0</v>
      </c>
      <c r="AB27" s="203">
        <f>[11]Stoping!AB27</f>
        <v>0</v>
      </c>
      <c r="AC27" s="203">
        <f>[11]Stoping!AC27</f>
        <v>0</v>
      </c>
      <c r="AD27" s="203">
        <f>[11]Stoping!AD27</f>
        <v>0</v>
      </c>
      <c r="AE27" s="203">
        <f>[11]Stoping!AE27</f>
        <v>0</v>
      </c>
      <c r="AF27" s="203">
        <f>[11]Stoping!AF27</f>
        <v>0</v>
      </c>
      <c r="AG27" s="203">
        <f>[11]Stoping!AG27</f>
        <v>0</v>
      </c>
      <c r="AH27" s="203">
        <f>[11]Stoping!AH27</f>
        <v>0</v>
      </c>
      <c r="AI27" s="203">
        <f>[11]Stoping!AI27</f>
        <v>0</v>
      </c>
      <c r="AJ27" s="203">
        <f>[11]Stoping!AJ27</f>
        <v>0</v>
      </c>
      <c r="AK27" s="203">
        <f>[11]Stoping!AK27</f>
        <v>0</v>
      </c>
      <c r="AL27" s="205">
        <f>[11]Stoping!AL27</f>
        <v>0</v>
      </c>
      <c r="AM27" s="846"/>
    </row>
    <row r="28" spans="1:39" ht="15.75" thickBot="1" x14ac:dyDescent="0.3">
      <c r="A28" s="202"/>
      <c r="B28" s="1608"/>
      <c r="C28" s="1693"/>
      <c r="D28" s="1686" t="str">
        <f>[11]Stoping!D28</f>
        <v>Grade</v>
      </c>
      <c r="E28" s="1384" t="str">
        <f>[11]Stoping!E28</f>
        <v>Budget (g/t)</v>
      </c>
      <c r="F28" s="1310">
        <f>[11]Stoping!F28</f>
        <v>0</v>
      </c>
      <c r="G28" s="1385">
        <f>[11]Stoping!G28</f>
        <v>0</v>
      </c>
      <c r="H28" s="1312">
        <f>[11]Stoping!H28</f>
        <v>0</v>
      </c>
      <c r="I28" s="1312">
        <f>[11]Stoping!I28</f>
        <v>0</v>
      </c>
      <c r="J28" s="1312">
        <f>[11]Stoping!J28</f>
        <v>0</v>
      </c>
      <c r="K28" s="1312">
        <f>[11]Stoping!K28</f>
        <v>0</v>
      </c>
      <c r="L28" s="1312">
        <f>[11]Stoping!L28</f>
        <v>0</v>
      </c>
      <c r="M28" s="1312">
        <f>[11]Stoping!M28</f>
        <v>0</v>
      </c>
      <c r="N28" s="1312">
        <f>[11]Stoping!N28</f>
        <v>0</v>
      </c>
      <c r="O28" s="1312">
        <f>[11]Stoping!O28</f>
        <v>0</v>
      </c>
      <c r="P28" s="1312">
        <f>[11]Stoping!P28</f>
        <v>0</v>
      </c>
      <c r="Q28" s="1312">
        <f>[11]Stoping!Q28</f>
        <v>0</v>
      </c>
      <c r="R28" s="1312">
        <f>[11]Stoping!R28</f>
        <v>0</v>
      </c>
      <c r="S28" s="1312">
        <f>[11]Stoping!S28</f>
        <v>0</v>
      </c>
      <c r="T28" s="1312">
        <f>[11]Stoping!T28</f>
        <v>0</v>
      </c>
      <c r="U28" s="1312">
        <f>[11]Stoping!U28</f>
        <v>0</v>
      </c>
      <c r="V28" s="1312">
        <f>[11]Stoping!V28</f>
        <v>0</v>
      </c>
      <c r="W28" s="1312">
        <f>[11]Stoping!W28</f>
        <v>0</v>
      </c>
      <c r="X28" s="1312">
        <f>[11]Stoping!X28</f>
        <v>0</v>
      </c>
      <c r="Y28" s="1312">
        <f>[11]Stoping!Y28</f>
        <v>0</v>
      </c>
      <c r="Z28" s="1312">
        <f>[11]Stoping!Z28</f>
        <v>0</v>
      </c>
      <c r="AA28" s="1312">
        <f>[11]Stoping!AA28</f>
        <v>0</v>
      </c>
      <c r="AB28" s="1312">
        <f>[11]Stoping!AB28</f>
        <v>0</v>
      </c>
      <c r="AC28" s="1312">
        <f>[11]Stoping!AC28</f>
        <v>0</v>
      </c>
      <c r="AD28" s="1312">
        <f>[11]Stoping!AD28</f>
        <v>0</v>
      </c>
      <c r="AE28" s="1312">
        <f>[11]Stoping!AE28</f>
        <v>0</v>
      </c>
      <c r="AF28" s="1312">
        <f>[11]Stoping!AF28</f>
        <v>0</v>
      </c>
      <c r="AG28" s="1312">
        <f>[11]Stoping!AG28</f>
        <v>0</v>
      </c>
      <c r="AH28" s="1312">
        <f>[11]Stoping!AH28</f>
        <v>0</v>
      </c>
      <c r="AI28" s="1312">
        <f>[11]Stoping!AI28</f>
        <v>0</v>
      </c>
      <c r="AJ28" s="1312">
        <f>[11]Stoping!AJ28</f>
        <v>0</v>
      </c>
      <c r="AK28" s="1312">
        <f>[11]Stoping!AK28</f>
        <v>0</v>
      </c>
      <c r="AL28" s="1312">
        <f>[11]Stoping!AL28</f>
        <v>0</v>
      </c>
      <c r="AM28" s="347"/>
    </row>
    <row r="29" spans="1:39" ht="15.75" thickBot="1" x14ac:dyDescent="0.3">
      <c r="A29" s="202"/>
      <c r="B29" s="1608"/>
      <c r="C29" s="1693"/>
      <c r="D29" s="1686"/>
      <c r="E29" s="1386" t="str">
        <f>[11]Stoping!E29</f>
        <v>Actual (g/t)</v>
      </c>
      <c r="F29" s="1314">
        <f>[11]Stoping!F29</f>
        <v>2.4865806451612902</v>
      </c>
      <c r="G29" s="1380">
        <f>[11]Stoping!G29</f>
        <v>0</v>
      </c>
      <c r="H29" s="1315">
        <f>[11]Stoping!H29</f>
        <v>0</v>
      </c>
      <c r="I29" s="1314">
        <f>[11]Stoping!I29</f>
        <v>0</v>
      </c>
      <c r="J29" s="1314">
        <f>[11]Stoping!J29</f>
        <v>0</v>
      </c>
      <c r="K29" s="1314">
        <f>[11]Stoping!K29</f>
        <v>0</v>
      </c>
      <c r="L29" s="1314">
        <f>[11]Stoping!L29</f>
        <v>0</v>
      </c>
      <c r="M29" s="1314">
        <f>[11]Stoping!M29</f>
        <v>0</v>
      </c>
      <c r="N29" s="1314">
        <f>[11]Stoping!N29</f>
        <v>0</v>
      </c>
      <c r="O29" s="1314">
        <f>[11]Stoping!O29</f>
        <v>0</v>
      </c>
      <c r="P29" s="1314">
        <f>[11]Stoping!P29</f>
        <v>0</v>
      </c>
      <c r="Q29" s="1314">
        <f>[11]Stoping!Q29</f>
        <v>0</v>
      </c>
      <c r="R29" s="1314">
        <f>[11]Stoping!R29</f>
        <v>0</v>
      </c>
      <c r="S29" s="1314">
        <f>[11]Stoping!S29</f>
        <v>0</v>
      </c>
      <c r="T29" s="1314">
        <f>[11]Stoping!T29</f>
        <v>0</v>
      </c>
      <c r="U29" s="1314">
        <f>[11]Stoping!U29</f>
        <v>0</v>
      </c>
      <c r="V29" s="1314">
        <f>[11]Stoping!V29</f>
        <v>0</v>
      </c>
      <c r="W29" s="1314">
        <f>[11]Stoping!W29</f>
        <v>0</v>
      </c>
      <c r="X29" s="1314">
        <f>[11]Stoping!X29</f>
        <v>0</v>
      </c>
      <c r="Y29" s="1314">
        <f>[11]Stoping!Y29</f>
        <v>0</v>
      </c>
      <c r="Z29" s="1314">
        <f>[11]Stoping!Z29</f>
        <v>0</v>
      </c>
      <c r="AA29" s="1314">
        <f>[11]Stoping!AA29</f>
        <v>2.98</v>
      </c>
      <c r="AB29" s="1314">
        <f>[11]Stoping!AB29</f>
        <v>2.33</v>
      </c>
      <c r="AC29" s="1314">
        <f>[11]Stoping!AC29</f>
        <v>0</v>
      </c>
      <c r="AD29" s="1314">
        <f>[11]Stoping!AD29</f>
        <v>1.8</v>
      </c>
      <c r="AE29" s="1314">
        <f>[11]Stoping!AE29</f>
        <v>2.5099999999999998</v>
      </c>
      <c r="AF29" s="1314">
        <f>[11]Stoping!AF29</f>
        <v>0</v>
      </c>
      <c r="AG29" s="1314">
        <f>[11]Stoping!AG29</f>
        <v>2.5099999999999998</v>
      </c>
      <c r="AH29" s="1314">
        <f>[11]Stoping!AH29</f>
        <v>2.0099999999999998</v>
      </c>
      <c r="AI29" s="1314">
        <f>[11]Stoping!AI29</f>
        <v>1.7</v>
      </c>
      <c r="AJ29" s="1314">
        <f>[11]Stoping!AJ29</f>
        <v>2.99</v>
      </c>
      <c r="AK29" s="1314">
        <f>[11]Stoping!AK29</f>
        <v>3.48</v>
      </c>
      <c r="AL29" s="1314">
        <f>[11]Stoping!AL29</f>
        <v>1.66</v>
      </c>
      <c r="AM29" s="347"/>
    </row>
    <row r="30" spans="1:39" ht="15.75" thickBot="1" x14ac:dyDescent="0.3">
      <c r="A30" s="202"/>
      <c r="B30" s="1608"/>
      <c r="C30" s="1693"/>
      <c r="D30" s="1686" t="str">
        <f>[11]Stoping!D30</f>
        <v>Gold</v>
      </c>
      <c r="E30" s="1384" t="str">
        <f>[11]Stoping!E30</f>
        <v>Budget (kg)</v>
      </c>
      <c r="F30" s="206">
        <f>[11]Stoping!F30</f>
        <v>0</v>
      </c>
      <c r="G30" s="1385">
        <f>[11]Stoping!G30</f>
        <v>0</v>
      </c>
      <c r="H30" s="1316">
        <f>[11]Stoping!H30</f>
        <v>0</v>
      </c>
      <c r="I30" s="1316">
        <f>[11]Stoping!I30</f>
        <v>0</v>
      </c>
      <c r="J30" s="1316">
        <f>[11]Stoping!J30</f>
        <v>0</v>
      </c>
      <c r="K30" s="1317">
        <f>[11]Stoping!K30</f>
        <v>0</v>
      </c>
      <c r="L30" s="1317">
        <f>[11]Stoping!L30</f>
        <v>0</v>
      </c>
      <c r="M30" s="1317">
        <f>[11]Stoping!M30</f>
        <v>0</v>
      </c>
      <c r="N30" s="1317">
        <f>[11]Stoping!N30</f>
        <v>0</v>
      </c>
      <c r="O30" s="1317">
        <f>[11]Stoping!O30</f>
        <v>0</v>
      </c>
      <c r="P30" s="1318">
        <f>[11]Stoping!P30</f>
        <v>0</v>
      </c>
      <c r="Q30" s="1317">
        <f>[11]Stoping!Q30</f>
        <v>0</v>
      </c>
      <c r="R30" s="1317">
        <f>[11]Stoping!R30</f>
        <v>0</v>
      </c>
      <c r="S30" s="1317">
        <f>[11]Stoping!S30</f>
        <v>0</v>
      </c>
      <c r="T30" s="1317">
        <f>[11]Stoping!T30</f>
        <v>0</v>
      </c>
      <c r="U30" s="1317">
        <f>[11]Stoping!U30</f>
        <v>0</v>
      </c>
      <c r="V30" s="1317">
        <f>[11]Stoping!V30</f>
        <v>0</v>
      </c>
      <c r="W30" s="1317">
        <f>[11]Stoping!W30</f>
        <v>0</v>
      </c>
      <c r="X30" s="1317">
        <f>[11]Stoping!X30</f>
        <v>0</v>
      </c>
      <c r="Y30" s="1317">
        <f>[11]Stoping!Y30</f>
        <v>0</v>
      </c>
      <c r="Z30" s="1317">
        <f>[11]Stoping!Z30</f>
        <v>0</v>
      </c>
      <c r="AA30" s="1317">
        <f>[11]Stoping!AA30</f>
        <v>0</v>
      </c>
      <c r="AB30" s="1317">
        <f>[11]Stoping!AB30</f>
        <v>0</v>
      </c>
      <c r="AC30" s="1317">
        <f>[11]Stoping!AC30</f>
        <v>0</v>
      </c>
      <c r="AD30" s="1317">
        <f>[11]Stoping!AD30</f>
        <v>0</v>
      </c>
      <c r="AE30" s="1317">
        <f>[11]Stoping!AE30</f>
        <v>0</v>
      </c>
      <c r="AF30" s="1317">
        <f>[11]Stoping!AF30</f>
        <v>0</v>
      </c>
      <c r="AG30" s="1317">
        <f>[11]Stoping!AG30</f>
        <v>0</v>
      </c>
      <c r="AH30" s="1317">
        <f>[11]Stoping!AH30</f>
        <v>0</v>
      </c>
      <c r="AI30" s="1317">
        <f>[11]Stoping!AI30</f>
        <v>0</v>
      </c>
      <c r="AJ30" s="1317">
        <f>[11]Stoping!AJ30</f>
        <v>0</v>
      </c>
      <c r="AK30" s="1317">
        <f>[11]Stoping!AK30</f>
        <v>0</v>
      </c>
      <c r="AL30" s="1319">
        <f>[11]Stoping!AL30</f>
        <v>0</v>
      </c>
      <c r="AM30" s="705"/>
    </row>
    <row r="31" spans="1:39" ht="15.75" thickBot="1" x14ac:dyDescent="0.3">
      <c r="A31" s="202"/>
      <c r="B31" s="1609"/>
      <c r="C31" s="1694"/>
      <c r="D31" s="1687"/>
      <c r="E31" s="1387" t="str">
        <f>[11]Stoping!E31</f>
        <v>Actual (kg)</v>
      </c>
      <c r="F31" s="1321">
        <f>[11]Stoping!F31</f>
        <v>0.77083999999999997</v>
      </c>
      <c r="G31" s="1388">
        <f>[11]Stoping!G31</f>
        <v>0</v>
      </c>
      <c r="H31" s="1323">
        <f>[11]Stoping!H31</f>
        <v>0</v>
      </c>
      <c r="I31" s="1321">
        <f>[11]Stoping!I31</f>
        <v>0</v>
      </c>
      <c r="J31" s="1321">
        <f>[11]Stoping!J31</f>
        <v>0</v>
      </c>
      <c r="K31" s="1321">
        <f>[11]Stoping!K31</f>
        <v>0</v>
      </c>
      <c r="L31" s="1321">
        <f>[11]Stoping!L31</f>
        <v>0</v>
      </c>
      <c r="M31" s="1321">
        <f>[11]Stoping!M31</f>
        <v>0</v>
      </c>
      <c r="N31" s="1321">
        <f>[11]Stoping!N31</f>
        <v>0</v>
      </c>
      <c r="O31" s="1321">
        <f>[11]Stoping!O31</f>
        <v>0</v>
      </c>
      <c r="P31" s="1321">
        <f>[11]Stoping!P31</f>
        <v>0</v>
      </c>
      <c r="Q31" s="1321">
        <f>[11]Stoping!Q31</f>
        <v>0</v>
      </c>
      <c r="R31" s="1321">
        <f>[11]Stoping!R31</f>
        <v>0</v>
      </c>
      <c r="S31" s="1321">
        <f>[11]Stoping!S31</f>
        <v>0</v>
      </c>
      <c r="T31" s="1321">
        <f>[11]Stoping!T31</f>
        <v>0</v>
      </c>
      <c r="U31" s="1321">
        <f>[11]Stoping!U31</f>
        <v>0</v>
      </c>
      <c r="V31" s="1321">
        <f>[11]Stoping!V31</f>
        <v>0</v>
      </c>
      <c r="W31" s="1321">
        <f>[11]Stoping!W31</f>
        <v>0</v>
      </c>
      <c r="X31" s="1321">
        <f>[11]Stoping!X31</f>
        <v>0</v>
      </c>
      <c r="Y31" s="1321">
        <f>[11]Stoping!Y31</f>
        <v>0</v>
      </c>
      <c r="Z31" s="1321">
        <f>[11]Stoping!Z31</f>
        <v>0</v>
      </c>
      <c r="AA31" s="1321">
        <f>[11]Stoping!AA31</f>
        <v>0.1043</v>
      </c>
      <c r="AB31" s="1321">
        <f>[11]Stoping!AB31</f>
        <v>9.0870000000000006E-2</v>
      </c>
      <c r="AC31" s="1321">
        <f>[11]Stoping!AC31</f>
        <v>0</v>
      </c>
      <c r="AD31" s="1321">
        <f>[11]Stoping!AD31</f>
        <v>6.3E-2</v>
      </c>
      <c r="AE31" s="1321">
        <f>[11]Stoping!AE31</f>
        <v>9.0359999999999982E-2</v>
      </c>
      <c r="AF31" s="1321">
        <f>[11]Stoping!AF31</f>
        <v>0</v>
      </c>
      <c r="AG31" s="1321">
        <f>[11]Stoping!AG31</f>
        <v>6.5259999999999985E-2</v>
      </c>
      <c r="AH31" s="1321">
        <f>[11]Stoping!AH31</f>
        <v>6.633E-2</v>
      </c>
      <c r="AI31" s="1321">
        <f>[11]Stoping!AI31</f>
        <v>5.7799999999999997E-2</v>
      </c>
      <c r="AJ31" s="1321">
        <f>[11]Stoping!AJ31</f>
        <v>0.10764000000000001</v>
      </c>
      <c r="AK31" s="1321">
        <f>[11]Stoping!AK31</f>
        <v>0.12528</v>
      </c>
      <c r="AL31" s="1321">
        <f>[11]Stoping!AL31</f>
        <v>6.3079999999999997E-2</v>
      </c>
      <c r="AM31" s="706"/>
    </row>
    <row r="32" spans="1:39" ht="15.75" thickBot="1" x14ac:dyDescent="0.3">
      <c r="A32" s="202"/>
      <c r="B32" s="1608">
        <v>1</v>
      </c>
      <c r="C32" s="1692" t="str">
        <f>[11]Stoping!C32</f>
        <v>3L_W23A STOPE</v>
      </c>
      <c r="D32" s="1696" t="str">
        <f>[11]Stoping!D32</f>
        <v>Tonnes</v>
      </c>
      <c r="E32" s="293" t="str">
        <f>[11]Stoping!E32</f>
        <v>Budget (t)</v>
      </c>
      <c r="F32" s="196">
        <f>[11]Stoping!F32</f>
        <v>1960</v>
      </c>
      <c r="G32" s="197">
        <f>[11]Stoping!G32</f>
        <v>0</v>
      </c>
      <c r="H32" s="945">
        <f>[11]Stoping!H32</f>
        <v>0</v>
      </c>
      <c r="I32" s="945">
        <f>[11]Stoping!I32</f>
        <v>70</v>
      </c>
      <c r="J32" s="945">
        <f>[11]Stoping!J32</f>
        <v>70</v>
      </c>
      <c r="K32" s="945">
        <f>[11]Stoping!K32</f>
        <v>70</v>
      </c>
      <c r="L32" s="945">
        <f>[11]Stoping!L32</f>
        <v>70</v>
      </c>
      <c r="M32" s="945">
        <f>[11]Stoping!M32</f>
        <v>70</v>
      </c>
      <c r="N32" s="945">
        <f>[11]Stoping!N32</f>
        <v>70</v>
      </c>
      <c r="O32" s="945">
        <f>[11]Stoping!O32</f>
        <v>70</v>
      </c>
      <c r="P32" s="945">
        <f>[11]Stoping!P32</f>
        <v>70</v>
      </c>
      <c r="Q32" s="945">
        <f>[11]Stoping!Q32</f>
        <v>70</v>
      </c>
      <c r="R32" s="945">
        <f>[11]Stoping!R32</f>
        <v>70</v>
      </c>
      <c r="S32" s="945">
        <f>[11]Stoping!S32</f>
        <v>70</v>
      </c>
      <c r="T32" s="945">
        <f>[11]Stoping!T32</f>
        <v>70</v>
      </c>
      <c r="U32" s="945">
        <f>[11]Stoping!U32</f>
        <v>70</v>
      </c>
      <c r="V32" s="945">
        <f>[11]Stoping!V32</f>
        <v>70</v>
      </c>
      <c r="W32" s="945">
        <f>[11]Stoping!W32</f>
        <v>70</v>
      </c>
      <c r="X32" s="945">
        <f>[11]Stoping!X32</f>
        <v>70</v>
      </c>
      <c r="Y32" s="945">
        <f>[11]Stoping!Y32</f>
        <v>70</v>
      </c>
      <c r="Z32" s="945">
        <f>[11]Stoping!Z32</f>
        <v>70</v>
      </c>
      <c r="AA32" s="945">
        <f>[11]Stoping!AA32</f>
        <v>70</v>
      </c>
      <c r="AB32" s="945">
        <f>[11]Stoping!AB32</f>
        <v>70</v>
      </c>
      <c r="AC32" s="945">
        <f>[11]Stoping!AC32</f>
        <v>70</v>
      </c>
      <c r="AD32" s="945">
        <f>[11]Stoping!AD32</f>
        <v>70</v>
      </c>
      <c r="AE32" s="945">
        <f>[11]Stoping!AE32</f>
        <v>70</v>
      </c>
      <c r="AF32" s="945">
        <f>[11]Stoping!AF32</f>
        <v>0</v>
      </c>
      <c r="AG32" s="945">
        <f>[11]Stoping!AG32</f>
        <v>70</v>
      </c>
      <c r="AH32" s="945">
        <f>[11]Stoping!AH32</f>
        <v>70</v>
      </c>
      <c r="AI32" s="945">
        <f>[11]Stoping!AI32</f>
        <v>70</v>
      </c>
      <c r="AJ32" s="945">
        <f>[11]Stoping!AJ32</f>
        <v>70</v>
      </c>
      <c r="AK32" s="945">
        <f>[11]Stoping!AK32</f>
        <v>70</v>
      </c>
      <c r="AL32" s="945">
        <f>[11]Stoping!AL32</f>
        <v>70</v>
      </c>
      <c r="AM32" s="845"/>
    </row>
    <row r="33" spans="1:39" ht="15.75" thickBot="1" x14ac:dyDescent="0.3">
      <c r="A33" s="202"/>
      <c r="B33" s="1608"/>
      <c r="C33" s="1693"/>
      <c r="D33" s="1696"/>
      <c r="E33" s="1379" t="str">
        <f>[11]Stoping!E33</f>
        <v>Actual (t)</v>
      </c>
      <c r="F33" s="1303">
        <f>[11]Stoping!F33</f>
        <v>2273</v>
      </c>
      <c r="G33" s="1380">
        <f>[11]Stoping!G33</f>
        <v>0.15969387755102041</v>
      </c>
      <c r="H33" s="1305">
        <f>[11]Stoping!H33</f>
        <v>73</v>
      </c>
      <c r="I33" s="1303">
        <f>[11]Stoping!I33</f>
        <v>108</v>
      </c>
      <c r="J33" s="1303">
        <f>[11]Stoping!J33</f>
        <v>70</v>
      </c>
      <c r="K33" s="1303">
        <f>[11]Stoping!K33</f>
        <v>108</v>
      </c>
      <c r="L33" s="1303">
        <f>[11]Stoping!L33</f>
        <v>110</v>
      </c>
      <c r="M33" s="1303">
        <f>[11]Stoping!M33</f>
        <v>0</v>
      </c>
      <c r="N33" s="1303">
        <f>[11]Stoping!N33</f>
        <v>106</v>
      </c>
      <c r="O33" s="1303">
        <f>[11]Stoping!O33</f>
        <v>70</v>
      </c>
      <c r="P33" s="1303">
        <f>[11]Stoping!P33</f>
        <v>72</v>
      </c>
      <c r="Q33" s="1303">
        <f>[11]Stoping!Q33</f>
        <v>70</v>
      </c>
      <c r="R33" s="1303">
        <f>[11]Stoping!R33</f>
        <v>71</v>
      </c>
      <c r="S33" s="1303">
        <f>[11]Stoping!S33</f>
        <v>106</v>
      </c>
      <c r="T33" s="1303">
        <f>[11]Stoping!T33</f>
        <v>74</v>
      </c>
      <c r="U33" s="1303">
        <f>[11]Stoping!U33</f>
        <v>70</v>
      </c>
      <c r="V33" s="1303">
        <f>[11]Stoping!V33</f>
        <v>61</v>
      </c>
      <c r="W33" s="1303">
        <f>[11]Stoping!W33</f>
        <v>73</v>
      </c>
      <c r="X33" s="1303">
        <f>[11]Stoping!X33</f>
        <v>108</v>
      </c>
      <c r="Y33" s="1303">
        <f>[11]Stoping!Y33</f>
        <v>109</v>
      </c>
      <c r="Z33" s="1303">
        <f>[11]Stoping!Z33</f>
        <v>73</v>
      </c>
      <c r="AA33" s="1303">
        <f>[11]Stoping!AA33</f>
        <v>70</v>
      </c>
      <c r="AB33" s="1303">
        <f>[11]Stoping!AB33</f>
        <v>74</v>
      </c>
      <c r="AC33" s="1303">
        <f>[11]Stoping!AC33</f>
        <v>70</v>
      </c>
      <c r="AD33" s="1303">
        <f>[11]Stoping!AD33</f>
        <v>76</v>
      </c>
      <c r="AE33" s="1303">
        <f>[11]Stoping!AE33</f>
        <v>73</v>
      </c>
      <c r="AF33" s="1303">
        <f>[11]Stoping!AF33</f>
        <v>0</v>
      </c>
      <c r="AG33" s="1303">
        <f>[11]Stoping!AG33</f>
        <v>69</v>
      </c>
      <c r="AH33" s="1303">
        <f>[11]Stoping!AH33</f>
        <v>61</v>
      </c>
      <c r="AI33" s="1303">
        <f>[11]Stoping!AI33</f>
        <v>68</v>
      </c>
      <c r="AJ33" s="1303">
        <f>[11]Stoping!AJ33</f>
        <v>73</v>
      </c>
      <c r="AK33" s="1303">
        <f>[11]Stoping!AK33</f>
        <v>107</v>
      </c>
      <c r="AL33" s="1303">
        <f>[11]Stoping!AL33</f>
        <v>109</v>
      </c>
      <c r="AM33" s="347"/>
    </row>
    <row r="34" spans="1:39" ht="15.75" thickBot="1" x14ac:dyDescent="0.3">
      <c r="A34" s="202"/>
      <c r="B34" s="1608"/>
      <c r="C34" s="1693"/>
      <c r="D34" s="1696"/>
      <c r="E34" s="1389" t="str">
        <f>[11]Stoping!E34</f>
        <v>Reason if Actual is RED</v>
      </c>
      <c r="F34" s="1390">
        <f>[11]Stoping!F34</f>
        <v>0</v>
      </c>
      <c r="G34" s="1391">
        <f>[11]Stoping!G34</f>
        <v>0</v>
      </c>
      <c r="H34" s="203">
        <f>[11]Stoping!H34</f>
        <v>0</v>
      </c>
      <c r="I34" s="203">
        <f>[11]Stoping!I34</f>
        <v>0</v>
      </c>
      <c r="J34" s="203">
        <f>[11]Stoping!J34</f>
        <v>0</v>
      </c>
      <c r="K34" s="203">
        <f>[11]Stoping!K34</f>
        <v>0</v>
      </c>
      <c r="L34" s="203">
        <f>[11]Stoping!L34</f>
        <v>0</v>
      </c>
      <c r="M34" s="203">
        <f>[11]Stoping!M34</f>
        <v>0</v>
      </c>
      <c r="N34" s="203">
        <f>[11]Stoping!N34</f>
        <v>0</v>
      </c>
      <c r="O34" s="203">
        <f>[11]Stoping!O34</f>
        <v>0</v>
      </c>
      <c r="P34" s="204">
        <f>[11]Stoping!P34</f>
        <v>0</v>
      </c>
      <c r="Q34" s="203">
        <f>[11]Stoping!Q34</f>
        <v>0</v>
      </c>
      <c r="R34" s="203">
        <f>[11]Stoping!R34</f>
        <v>0</v>
      </c>
      <c r="S34" s="203">
        <f>[11]Stoping!S34</f>
        <v>0</v>
      </c>
      <c r="T34" s="203">
        <f>[11]Stoping!T34</f>
        <v>0</v>
      </c>
      <c r="U34" s="203">
        <f>[11]Stoping!U34</f>
        <v>0</v>
      </c>
      <c r="V34" s="203">
        <f>[11]Stoping!V34</f>
        <v>0</v>
      </c>
      <c r="W34" s="203">
        <f>[11]Stoping!W34</f>
        <v>0</v>
      </c>
      <c r="X34" s="203">
        <f>[11]Stoping!X34</f>
        <v>0</v>
      </c>
      <c r="Y34" s="203">
        <f>[11]Stoping!Y34</f>
        <v>0</v>
      </c>
      <c r="Z34" s="203">
        <f>[11]Stoping!Z34</f>
        <v>0</v>
      </c>
      <c r="AA34" s="203">
        <f>[11]Stoping!AA34</f>
        <v>0</v>
      </c>
      <c r="AB34" s="203">
        <f>[11]Stoping!AB34</f>
        <v>0</v>
      </c>
      <c r="AC34" s="203">
        <f>[11]Stoping!AC34</f>
        <v>0</v>
      </c>
      <c r="AD34" s="203">
        <f>[11]Stoping!AD34</f>
        <v>0</v>
      </c>
      <c r="AE34" s="203">
        <f>[11]Stoping!AE34</f>
        <v>0</v>
      </c>
      <c r="AF34" s="203">
        <f>[11]Stoping!AF34</f>
        <v>0</v>
      </c>
      <c r="AG34" s="203">
        <f>[11]Stoping!AG34</f>
        <v>0</v>
      </c>
      <c r="AH34" s="203">
        <f>[11]Stoping!AH34</f>
        <v>0</v>
      </c>
      <c r="AI34" s="203">
        <f>[11]Stoping!AI34</f>
        <v>0</v>
      </c>
      <c r="AJ34" s="203">
        <f>[11]Stoping!AJ34</f>
        <v>0</v>
      </c>
      <c r="AK34" s="203">
        <f>[11]Stoping!AK34</f>
        <v>0</v>
      </c>
      <c r="AL34" s="205">
        <f>[11]Stoping!AL34</f>
        <v>0</v>
      </c>
      <c r="AM34" s="846"/>
    </row>
    <row r="35" spans="1:39" ht="15.75" thickBot="1" x14ac:dyDescent="0.3">
      <c r="A35" s="202"/>
      <c r="B35" s="1608"/>
      <c r="C35" s="1693"/>
      <c r="D35" s="1686" t="str">
        <f>[11]Stoping!D35</f>
        <v>Grade</v>
      </c>
      <c r="E35" s="1384" t="str">
        <f>[11]Stoping!E35</f>
        <v>Budget (g/t)</v>
      </c>
      <c r="F35" s="1310">
        <f>[11]Stoping!F35</f>
        <v>3.8499999999999988</v>
      </c>
      <c r="G35" s="1385">
        <f>[11]Stoping!G35</f>
        <v>0</v>
      </c>
      <c r="H35" s="1312">
        <f>[11]Stoping!H35</f>
        <v>0</v>
      </c>
      <c r="I35" s="1312">
        <f>[11]Stoping!I35</f>
        <v>3.85</v>
      </c>
      <c r="J35" s="1312">
        <f>[11]Stoping!J35</f>
        <v>3.85</v>
      </c>
      <c r="K35" s="1312">
        <f>[11]Stoping!K35</f>
        <v>3.85</v>
      </c>
      <c r="L35" s="1312">
        <f>[11]Stoping!L35</f>
        <v>3.85</v>
      </c>
      <c r="M35" s="1312">
        <f>[11]Stoping!M35</f>
        <v>3.85</v>
      </c>
      <c r="N35" s="1312">
        <f>[11]Stoping!N35</f>
        <v>3.85</v>
      </c>
      <c r="O35" s="1312">
        <f>[11]Stoping!O35</f>
        <v>3.85</v>
      </c>
      <c r="P35" s="1312">
        <f>[11]Stoping!P35</f>
        <v>3.85</v>
      </c>
      <c r="Q35" s="1312">
        <f>[11]Stoping!Q35</f>
        <v>3.85</v>
      </c>
      <c r="R35" s="1312">
        <f>[11]Stoping!R35</f>
        <v>3.85</v>
      </c>
      <c r="S35" s="1312">
        <f>[11]Stoping!S35</f>
        <v>3.85</v>
      </c>
      <c r="T35" s="1312">
        <f>[11]Stoping!T35</f>
        <v>3.85</v>
      </c>
      <c r="U35" s="1312">
        <f>[11]Stoping!U35</f>
        <v>3.85</v>
      </c>
      <c r="V35" s="1312">
        <f>[11]Stoping!V35</f>
        <v>3.85</v>
      </c>
      <c r="W35" s="1312">
        <f>[11]Stoping!W35</f>
        <v>3.85</v>
      </c>
      <c r="X35" s="1312">
        <f>[11]Stoping!X35</f>
        <v>3.85</v>
      </c>
      <c r="Y35" s="1312">
        <f>[11]Stoping!Y35</f>
        <v>3.85</v>
      </c>
      <c r="Z35" s="1312">
        <f>[11]Stoping!Z35</f>
        <v>3.85</v>
      </c>
      <c r="AA35" s="1312">
        <f>[11]Stoping!AA35</f>
        <v>3.85</v>
      </c>
      <c r="AB35" s="1312">
        <f>[11]Stoping!AB35</f>
        <v>3.85</v>
      </c>
      <c r="AC35" s="1312">
        <f>[11]Stoping!AC35</f>
        <v>3.85</v>
      </c>
      <c r="AD35" s="1312">
        <f>[11]Stoping!AD35</f>
        <v>3.85</v>
      </c>
      <c r="AE35" s="1312">
        <f>[11]Stoping!AE35</f>
        <v>3.85</v>
      </c>
      <c r="AF35" s="1312">
        <f>[11]Stoping!AF35</f>
        <v>0</v>
      </c>
      <c r="AG35" s="1312">
        <f>[11]Stoping!AG35</f>
        <v>3.85</v>
      </c>
      <c r="AH35" s="1312">
        <f>[11]Stoping!AH35</f>
        <v>3.85</v>
      </c>
      <c r="AI35" s="1312">
        <f>[11]Stoping!AI35</f>
        <v>3.85</v>
      </c>
      <c r="AJ35" s="1312">
        <f>[11]Stoping!AJ35</f>
        <v>3.85</v>
      </c>
      <c r="AK35" s="1312">
        <f>[11]Stoping!AK35</f>
        <v>3.85</v>
      </c>
      <c r="AL35" s="1312">
        <f>[11]Stoping!AL35</f>
        <v>3.85</v>
      </c>
      <c r="AM35" s="347"/>
    </row>
    <row r="36" spans="1:39" ht="15.75" thickBot="1" x14ac:dyDescent="0.3">
      <c r="A36" s="202"/>
      <c r="B36" s="1608"/>
      <c r="C36" s="1693"/>
      <c r="D36" s="1686"/>
      <c r="E36" s="1386" t="str">
        <f>[11]Stoping!E36</f>
        <v>Actual (g/t)</v>
      </c>
      <c r="F36" s="1314">
        <f>[11]Stoping!F36</f>
        <v>2.6462516498020237</v>
      </c>
      <c r="G36" s="1380">
        <f>[11]Stoping!G36</f>
        <v>-0.31266190914233127</v>
      </c>
      <c r="H36" s="1315">
        <f>[11]Stoping!H36</f>
        <v>2.1</v>
      </c>
      <c r="I36" s="1314">
        <f>[11]Stoping!I36</f>
        <v>2.36</v>
      </c>
      <c r="J36" s="1314">
        <f>[11]Stoping!J36</f>
        <v>2.23</v>
      </c>
      <c r="K36" s="1314">
        <f>[11]Stoping!K36</f>
        <v>2.23</v>
      </c>
      <c r="L36" s="1314">
        <f>[11]Stoping!L36</f>
        <v>3.44</v>
      </c>
      <c r="M36" s="1314">
        <f>[11]Stoping!M36</f>
        <v>4.12</v>
      </c>
      <c r="N36" s="1314">
        <f>[11]Stoping!N36</f>
        <v>2.59</v>
      </c>
      <c r="O36" s="1314">
        <f>[11]Stoping!O36</f>
        <v>1.62</v>
      </c>
      <c r="P36" s="1314">
        <f>[11]Stoping!P36</f>
        <v>1.22</v>
      </c>
      <c r="Q36" s="1314">
        <f>[11]Stoping!Q36</f>
        <v>1.45</v>
      </c>
      <c r="R36" s="1314">
        <f>[11]Stoping!R36</f>
        <v>1.45</v>
      </c>
      <c r="S36" s="1314">
        <f>[11]Stoping!S36</f>
        <v>3.6</v>
      </c>
      <c r="T36" s="1314">
        <f>[11]Stoping!T36</f>
        <v>4.17</v>
      </c>
      <c r="U36" s="1314">
        <f>[11]Stoping!U36</f>
        <v>3.84</v>
      </c>
      <c r="V36" s="1314">
        <f>[11]Stoping!V36</f>
        <v>7</v>
      </c>
      <c r="W36" s="1314">
        <f>[11]Stoping!W36</f>
        <v>2.35</v>
      </c>
      <c r="X36" s="1314">
        <f>[11]Stoping!X36</f>
        <v>2.2400000000000002</v>
      </c>
      <c r="Y36" s="1314">
        <f>[11]Stoping!Y36</f>
        <v>2.2400000000000002</v>
      </c>
      <c r="Z36" s="1314">
        <f>[11]Stoping!Z36</f>
        <v>3.6</v>
      </c>
      <c r="AA36" s="1314">
        <f>[11]Stoping!AA36</f>
        <v>5.66</v>
      </c>
      <c r="AB36" s="1314">
        <f>[11]Stoping!AB36</f>
        <v>3.33</v>
      </c>
      <c r="AC36" s="1314">
        <f>[11]Stoping!AC36</f>
        <v>3.46</v>
      </c>
      <c r="AD36" s="1314">
        <f>[11]Stoping!AD36</f>
        <v>1.9</v>
      </c>
      <c r="AE36" s="1314">
        <f>[11]Stoping!AE36</f>
        <v>1.4</v>
      </c>
      <c r="AF36" s="1314">
        <f>[11]Stoping!AF36</f>
        <v>0</v>
      </c>
      <c r="AG36" s="1314">
        <f>[11]Stoping!AG36</f>
        <v>1.4</v>
      </c>
      <c r="AH36" s="1314">
        <f>[11]Stoping!AH36</f>
        <v>1.57</v>
      </c>
      <c r="AI36" s="1314">
        <f>[11]Stoping!AI36</f>
        <v>1.7</v>
      </c>
      <c r="AJ36" s="1314">
        <f>[11]Stoping!AJ36</f>
        <v>2.0499999999999998</v>
      </c>
      <c r="AK36" s="1314">
        <f>[11]Stoping!AK36</f>
        <v>2.39</v>
      </c>
      <c r="AL36" s="1314">
        <f>[11]Stoping!AL36</f>
        <v>1.67</v>
      </c>
      <c r="AM36" s="347"/>
    </row>
    <row r="37" spans="1:39" ht="15.75" thickBot="1" x14ac:dyDescent="0.3">
      <c r="A37" s="202"/>
      <c r="B37" s="1608"/>
      <c r="C37" s="1693"/>
      <c r="D37" s="1686" t="str">
        <f>[11]Stoping!D37</f>
        <v>Gold</v>
      </c>
      <c r="E37" s="1384" t="str">
        <f>[11]Stoping!E37</f>
        <v>Budget (kg)</v>
      </c>
      <c r="F37" s="206">
        <f>[11]Stoping!F37</f>
        <v>7.5459999999999976</v>
      </c>
      <c r="G37" s="1385">
        <f>[11]Stoping!G37</f>
        <v>0</v>
      </c>
      <c r="H37" s="1316">
        <f>[11]Stoping!H37</f>
        <v>0</v>
      </c>
      <c r="I37" s="1316">
        <f>[11]Stoping!I37</f>
        <v>0.26950000000000002</v>
      </c>
      <c r="J37" s="1316">
        <f>[11]Stoping!J37</f>
        <v>0.26950000000000002</v>
      </c>
      <c r="K37" s="1317">
        <f>[11]Stoping!K37</f>
        <v>0.26950000000000002</v>
      </c>
      <c r="L37" s="1317">
        <f>[11]Stoping!L37</f>
        <v>0.26950000000000002</v>
      </c>
      <c r="M37" s="1317">
        <f>[11]Stoping!M37</f>
        <v>0.26950000000000002</v>
      </c>
      <c r="N37" s="1317">
        <f>[11]Stoping!N37</f>
        <v>0.26950000000000002</v>
      </c>
      <c r="O37" s="1317">
        <f>[11]Stoping!O37</f>
        <v>0.26950000000000002</v>
      </c>
      <c r="P37" s="1318">
        <f>[11]Stoping!P37</f>
        <v>0.26950000000000002</v>
      </c>
      <c r="Q37" s="1317">
        <f>[11]Stoping!Q37</f>
        <v>0.26950000000000002</v>
      </c>
      <c r="R37" s="1317">
        <f>[11]Stoping!R37</f>
        <v>0.26950000000000002</v>
      </c>
      <c r="S37" s="1317">
        <f>[11]Stoping!S37</f>
        <v>0.26950000000000002</v>
      </c>
      <c r="T37" s="1317">
        <f>[11]Stoping!T37</f>
        <v>0.26950000000000002</v>
      </c>
      <c r="U37" s="1317">
        <f>[11]Stoping!U37</f>
        <v>0.26950000000000002</v>
      </c>
      <c r="V37" s="1317">
        <f>[11]Stoping!V37</f>
        <v>0.26950000000000002</v>
      </c>
      <c r="W37" s="1317">
        <f>[11]Stoping!W37</f>
        <v>0.26950000000000002</v>
      </c>
      <c r="X37" s="1317">
        <f>[11]Stoping!X37</f>
        <v>0.26950000000000002</v>
      </c>
      <c r="Y37" s="1317">
        <f>[11]Stoping!Y37</f>
        <v>0.26950000000000002</v>
      </c>
      <c r="Z37" s="1317">
        <f>[11]Stoping!Z37</f>
        <v>0.26950000000000002</v>
      </c>
      <c r="AA37" s="1317">
        <f>[11]Stoping!AA37</f>
        <v>0.26950000000000002</v>
      </c>
      <c r="AB37" s="1317">
        <f>[11]Stoping!AB37</f>
        <v>0.26950000000000002</v>
      </c>
      <c r="AC37" s="1317">
        <f>[11]Stoping!AC37</f>
        <v>0.26950000000000002</v>
      </c>
      <c r="AD37" s="1317">
        <f>[11]Stoping!AD37</f>
        <v>0.26950000000000002</v>
      </c>
      <c r="AE37" s="1317">
        <f>[11]Stoping!AE37</f>
        <v>0.26950000000000002</v>
      </c>
      <c r="AF37" s="1317">
        <f>[11]Stoping!AF37</f>
        <v>0</v>
      </c>
      <c r="AG37" s="1317">
        <f>[11]Stoping!AG37</f>
        <v>0.26950000000000002</v>
      </c>
      <c r="AH37" s="1317">
        <f>[11]Stoping!AH37</f>
        <v>0.26950000000000002</v>
      </c>
      <c r="AI37" s="1317">
        <f>[11]Stoping!AI37</f>
        <v>0.26950000000000002</v>
      </c>
      <c r="AJ37" s="1317">
        <f>[11]Stoping!AJ37</f>
        <v>0.26950000000000002</v>
      </c>
      <c r="AK37" s="1317">
        <f>[11]Stoping!AK37</f>
        <v>0.26950000000000002</v>
      </c>
      <c r="AL37" s="1319">
        <f>[11]Stoping!AL37</f>
        <v>0.26950000000000002</v>
      </c>
      <c r="AM37" s="705"/>
    </row>
    <row r="38" spans="1:39" ht="15.75" thickBot="1" x14ac:dyDescent="0.3">
      <c r="A38" s="202"/>
      <c r="B38" s="1609"/>
      <c r="C38" s="1694"/>
      <c r="D38" s="1687"/>
      <c r="E38" s="1387" t="str">
        <f>[11]Stoping!E38</f>
        <v>Actual (kg)</v>
      </c>
      <c r="F38" s="1321">
        <f>[11]Stoping!F38</f>
        <v>6.0149299999999997</v>
      </c>
      <c r="G38" s="1388">
        <f>[11]Stoping!G38</f>
        <v>-0.20289822422475462</v>
      </c>
      <c r="H38" s="1323">
        <f>[11]Stoping!H38</f>
        <v>0.15330000000000002</v>
      </c>
      <c r="I38" s="1321">
        <f>[11]Stoping!I38</f>
        <v>0.25488</v>
      </c>
      <c r="J38" s="1321">
        <f>[11]Stoping!J38</f>
        <v>0.15609999999999999</v>
      </c>
      <c r="K38" s="1321">
        <f>[11]Stoping!K38</f>
        <v>0.24084</v>
      </c>
      <c r="L38" s="1321">
        <f>[11]Stoping!L38</f>
        <v>0.37839999999999996</v>
      </c>
      <c r="M38" s="1321">
        <f>[11]Stoping!M38</f>
        <v>0</v>
      </c>
      <c r="N38" s="1321">
        <f>[11]Stoping!N38</f>
        <v>0.27453999999999995</v>
      </c>
      <c r="O38" s="1321">
        <f>[11]Stoping!O38</f>
        <v>0.1134</v>
      </c>
      <c r="P38" s="1321">
        <f>[11]Stoping!P38</f>
        <v>8.7840000000000001E-2</v>
      </c>
      <c r="Q38" s="1321">
        <f>[11]Stoping!Q38</f>
        <v>0.10150000000000001</v>
      </c>
      <c r="R38" s="1321">
        <f>[11]Stoping!R38</f>
        <v>0.10295</v>
      </c>
      <c r="S38" s="1321">
        <f>[11]Stoping!S38</f>
        <v>0.38160000000000005</v>
      </c>
      <c r="T38" s="1321">
        <f>[11]Stoping!T38</f>
        <v>0.30857999999999997</v>
      </c>
      <c r="U38" s="1321">
        <f>[11]Stoping!U38</f>
        <v>0.26880000000000004</v>
      </c>
      <c r="V38" s="1321">
        <f>[11]Stoping!V38</f>
        <v>0.42699999999999999</v>
      </c>
      <c r="W38" s="1321">
        <f>[11]Stoping!W38</f>
        <v>0.17155000000000001</v>
      </c>
      <c r="X38" s="1321">
        <f>[11]Stoping!X38</f>
        <v>0.24192000000000002</v>
      </c>
      <c r="Y38" s="1321">
        <f>[11]Stoping!Y38</f>
        <v>0.24416000000000002</v>
      </c>
      <c r="Z38" s="1321">
        <f>[11]Stoping!Z38</f>
        <v>0.26280000000000003</v>
      </c>
      <c r="AA38" s="1321">
        <f>[11]Stoping!AA38</f>
        <v>0.3962</v>
      </c>
      <c r="AB38" s="1321">
        <f>[11]Stoping!AB38</f>
        <v>0.24642000000000003</v>
      </c>
      <c r="AC38" s="1321">
        <f>[11]Stoping!AC38</f>
        <v>0.2422</v>
      </c>
      <c r="AD38" s="1321">
        <f>[11]Stoping!AD38</f>
        <v>0.1444</v>
      </c>
      <c r="AE38" s="1321">
        <f>[11]Stoping!AE38</f>
        <v>0.10219999999999999</v>
      </c>
      <c r="AF38" s="1321">
        <f>[11]Stoping!AF38</f>
        <v>0</v>
      </c>
      <c r="AG38" s="1321">
        <f>[11]Stoping!AG38</f>
        <v>9.6599999999999991E-2</v>
      </c>
      <c r="AH38" s="1321">
        <f>[11]Stoping!AH38</f>
        <v>9.5770000000000008E-2</v>
      </c>
      <c r="AI38" s="1321">
        <f>[11]Stoping!AI38</f>
        <v>0.11559999999999999</v>
      </c>
      <c r="AJ38" s="1321">
        <f>[11]Stoping!AJ38</f>
        <v>0.14964999999999998</v>
      </c>
      <c r="AK38" s="1321">
        <f>[11]Stoping!AK38</f>
        <v>0.25573000000000001</v>
      </c>
      <c r="AL38" s="1321">
        <f>[11]Stoping!AL38</f>
        <v>0.18203</v>
      </c>
      <c r="AM38" s="706"/>
    </row>
    <row r="39" spans="1:39" ht="15.75" thickBot="1" x14ac:dyDescent="0.3">
      <c r="A39" s="202"/>
      <c r="B39" s="1608">
        <v>1</v>
      </c>
      <c r="C39" s="1698" t="str">
        <f>[11]Stoping!C39</f>
        <v>3L_W24A STOPE</v>
      </c>
      <c r="D39" s="1696" t="str">
        <f>[11]Stoping!D39</f>
        <v>Tonnes</v>
      </c>
      <c r="E39" s="293" t="str">
        <f>[11]Stoping!E39</f>
        <v>Budget (t)</v>
      </c>
      <c r="F39" s="196">
        <f>[11]Stoping!F39</f>
        <v>1960</v>
      </c>
      <c r="G39" s="197">
        <f>[11]Stoping!G39</f>
        <v>0</v>
      </c>
      <c r="H39" s="945">
        <f>[11]Stoping!H39</f>
        <v>0</v>
      </c>
      <c r="I39" s="945">
        <f>[11]Stoping!I39</f>
        <v>70</v>
      </c>
      <c r="J39" s="945">
        <f>[11]Stoping!J39</f>
        <v>70</v>
      </c>
      <c r="K39" s="945">
        <f>[11]Stoping!K39</f>
        <v>70</v>
      </c>
      <c r="L39" s="945">
        <f>[11]Stoping!L39</f>
        <v>70</v>
      </c>
      <c r="M39" s="945">
        <f>[11]Stoping!M39</f>
        <v>70</v>
      </c>
      <c r="N39" s="945">
        <f>[11]Stoping!N39</f>
        <v>70</v>
      </c>
      <c r="O39" s="945">
        <f>[11]Stoping!O39</f>
        <v>70</v>
      </c>
      <c r="P39" s="945">
        <f>[11]Stoping!P39</f>
        <v>70</v>
      </c>
      <c r="Q39" s="945">
        <f>[11]Stoping!Q39</f>
        <v>70</v>
      </c>
      <c r="R39" s="945">
        <f>[11]Stoping!R39</f>
        <v>70</v>
      </c>
      <c r="S39" s="945">
        <f>[11]Stoping!S39</f>
        <v>70</v>
      </c>
      <c r="T39" s="945">
        <f>[11]Stoping!T39</f>
        <v>70</v>
      </c>
      <c r="U39" s="945">
        <f>[11]Stoping!U39</f>
        <v>70</v>
      </c>
      <c r="V39" s="945">
        <f>[11]Stoping!V39</f>
        <v>70</v>
      </c>
      <c r="W39" s="945">
        <f>[11]Stoping!W39</f>
        <v>70</v>
      </c>
      <c r="X39" s="945">
        <f>[11]Stoping!X39</f>
        <v>70</v>
      </c>
      <c r="Y39" s="945">
        <f>[11]Stoping!Y39</f>
        <v>70</v>
      </c>
      <c r="Z39" s="945">
        <f>[11]Stoping!Z39</f>
        <v>70</v>
      </c>
      <c r="AA39" s="945">
        <f>[11]Stoping!AA39</f>
        <v>70</v>
      </c>
      <c r="AB39" s="945">
        <f>[11]Stoping!AB39</f>
        <v>70</v>
      </c>
      <c r="AC39" s="945">
        <f>[11]Stoping!AC39</f>
        <v>70</v>
      </c>
      <c r="AD39" s="945">
        <f>[11]Stoping!AD39</f>
        <v>70</v>
      </c>
      <c r="AE39" s="945">
        <f>[11]Stoping!AE39</f>
        <v>70</v>
      </c>
      <c r="AF39" s="945">
        <f>[11]Stoping!AF39</f>
        <v>0</v>
      </c>
      <c r="AG39" s="945">
        <f>[11]Stoping!AG39</f>
        <v>70</v>
      </c>
      <c r="AH39" s="945">
        <f>[11]Stoping!AH39</f>
        <v>70</v>
      </c>
      <c r="AI39" s="945">
        <f>[11]Stoping!AI39</f>
        <v>70</v>
      </c>
      <c r="AJ39" s="945">
        <f>[11]Stoping!AJ39</f>
        <v>70</v>
      </c>
      <c r="AK39" s="945">
        <f>[11]Stoping!AK39</f>
        <v>70</v>
      </c>
      <c r="AL39" s="945">
        <f>[11]Stoping!AL39</f>
        <v>70</v>
      </c>
      <c r="AM39" s="845"/>
    </row>
    <row r="40" spans="1:39" ht="15.75" thickBot="1" x14ac:dyDescent="0.3">
      <c r="A40" s="202"/>
      <c r="B40" s="1608"/>
      <c r="C40" s="1693"/>
      <c r="D40" s="1696"/>
      <c r="E40" s="1379" t="str">
        <f>[11]Stoping!E40</f>
        <v>Actual (t)</v>
      </c>
      <c r="F40" s="1303">
        <f>[11]Stoping!F40</f>
        <v>480</v>
      </c>
      <c r="G40" s="1380">
        <f>[11]Stoping!G40</f>
        <v>-0.75510204081632648</v>
      </c>
      <c r="H40" s="1305">
        <f>[11]Stoping!H40</f>
        <v>81</v>
      </c>
      <c r="I40" s="1303">
        <f>[11]Stoping!I40</f>
        <v>82</v>
      </c>
      <c r="J40" s="1303">
        <f>[11]Stoping!J40</f>
        <v>77</v>
      </c>
      <c r="K40" s="1303">
        <f>[11]Stoping!K40</f>
        <v>0</v>
      </c>
      <c r="L40" s="1303">
        <f>[11]Stoping!L40</f>
        <v>0</v>
      </c>
      <c r="M40" s="1303">
        <f>[11]Stoping!M40</f>
        <v>0</v>
      </c>
      <c r="N40" s="1303">
        <f>[11]Stoping!N40</f>
        <v>0</v>
      </c>
      <c r="O40" s="1303">
        <f>[11]Stoping!O40</f>
        <v>0</v>
      </c>
      <c r="P40" s="1303">
        <f>[11]Stoping!P40</f>
        <v>0</v>
      </c>
      <c r="Q40" s="1303">
        <f>[11]Stoping!Q40</f>
        <v>0</v>
      </c>
      <c r="R40" s="1303">
        <f>[11]Stoping!R40</f>
        <v>0</v>
      </c>
      <c r="S40" s="1303">
        <f>[11]Stoping!S40</f>
        <v>0</v>
      </c>
      <c r="T40" s="1303">
        <f>[11]Stoping!T40</f>
        <v>0</v>
      </c>
      <c r="U40" s="1303">
        <f>[11]Stoping!U40</f>
        <v>0</v>
      </c>
      <c r="V40" s="1303">
        <f>[11]Stoping!V40</f>
        <v>0</v>
      </c>
      <c r="W40" s="1303">
        <f>[11]Stoping!W40</f>
        <v>0</v>
      </c>
      <c r="X40" s="1303">
        <f>[11]Stoping!X40</f>
        <v>0</v>
      </c>
      <c r="Y40" s="1303">
        <f>[11]Stoping!Y40</f>
        <v>0</v>
      </c>
      <c r="Z40" s="1303">
        <f>[11]Stoping!Z40</f>
        <v>0</v>
      </c>
      <c r="AA40" s="1303">
        <f>[11]Stoping!AA40</f>
        <v>0</v>
      </c>
      <c r="AB40" s="1303">
        <f>[11]Stoping!AB40</f>
        <v>0</v>
      </c>
      <c r="AC40" s="1303">
        <f>[11]Stoping!AC40</f>
        <v>0</v>
      </c>
      <c r="AD40" s="1303">
        <f>[11]Stoping!AD40</f>
        <v>0</v>
      </c>
      <c r="AE40" s="1303">
        <f>[11]Stoping!AE40</f>
        <v>39</v>
      </c>
      <c r="AF40" s="1303">
        <f>[11]Stoping!AF40</f>
        <v>0</v>
      </c>
      <c r="AG40" s="1303">
        <f>[11]Stoping!AG40</f>
        <v>0</v>
      </c>
      <c r="AH40" s="1303">
        <f>[11]Stoping!AH40</f>
        <v>0</v>
      </c>
      <c r="AI40" s="1303">
        <f>[11]Stoping!AI40</f>
        <v>67</v>
      </c>
      <c r="AJ40" s="1303">
        <f>[11]Stoping!AJ40</f>
        <v>66</v>
      </c>
      <c r="AK40" s="1303">
        <f>[11]Stoping!AK40</f>
        <v>68</v>
      </c>
      <c r="AL40" s="1303">
        <f>[11]Stoping!AL40</f>
        <v>78</v>
      </c>
      <c r="AM40" s="347"/>
    </row>
    <row r="41" spans="1:39" ht="15.75" thickBot="1" x14ac:dyDescent="0.3">
      <c r="A41" s="202"/>
      <c r="B41" s="1608"/>
      <c r="C41" s="1693"/>
      <c r="D41" s="1696"/>
      <c r="E41" s="1389" t="str">
        <f>[11]Stoping!E41</f>
        <v>Reason if Actual is RED</v>
      </c>
      <c r="F41" s="1390">
        <f>[11]Stoping!F41</f>
        <v>0</v>
      </c>
      <c r="G41" s="1391">
        <f>[11]Stoping!G41</f>
        <v>0</v>
      </c>
      <c r="H41" s="203">
        <f>[11]Stoping!H41</f>
        <v>0</v>
      </c>
      <c r="I41" s="203">
        <f>[11]Stoping!I41</f>
        <v>0</v>
      </c>
      <c r="J41" s="203">
        <f>[11]Stoping!J41</f>
        <v>0</v>
      </c>
      <c r="K41" s="203">
        <f>[11]Stoping!K41</f>
        <v>0</v>
      </c>
      <c r="L41" s="203">
        <f>[11]Stoping!L41</f>
        <v>0</v>
      </c>
      <c r="M41" s="203">
        <f>[11]Stoping!M41</f>
        <v>0</v>
      </c>
      <c r="N41" s="203">
        <f>[11]Stoping!N41</f>
        <v>0</v>
      </c>
      <c r="O41" s="203">
        <f>[11]Stoping!O41</f>
        <v>0</v>
      </c>
      <c r="P41" s="204">
        <f>[11]Stoping!P41</f>
        <v>0</v>
      </c>
      <c r="Q41" s="203">
        <f>[11]Stoping!Q41</f>
        <v>0</v>
      </c>
      <c r="R41" s="203">
        <f>[11]Stoping!R41</f>
        <v>0</v>
      </c>
      <c r="S41" s="203">
        <f>[11]Stoping!S41</f>
        <v>0</v>
      </c>
      <c r="T41" s="203">
        <f>[11]Stoping!T41</f>
        <v>0</v>
      </c>
      <c r="U41" s="203">
        <f>[11]Stoping!U41</f>
        <v>0</v>
      </c>
      <c r="V41" s="203">
        <f>[11]Stoping!V41</f>
        <v>0</v>
      </c>
      <c r="W41" s="203">
        <f>[11]Stoping!W41</f>
        <v>0</v>
      </c>
      <c r="X41" s="203">
        <f>[11]Stoping!X41</f>
        <v>0</v>
      </c>
      <c r="Y41" s="203">
        <f>[11]Stoping!Y41</f>
        <v>0</v>
      </c>
      <c r="Z41" s="203">
        <f>[11]Stoping!Z41</f>
        <v>0</v>
      </c>
      <c r="AA41" s="203">
        <f>[11]Stoping!AA41</f>
        <v>0</v>
      </c>
      <c r="AB41" s="203">
        <f>[11]Stoping!AB41</f>
        <v>0</v>
      </c>
      <c r="AC41" s="203">
        <f>[11]Stoping!AC41</f>
        <v>0</v>
      </c>
      <c r="AD41" s="203">
        <f>[11]Stoping!AD41</f>
        <v>0</v>
      </c>
      <c r="AE41" s="203">
        <f>[11]Stoping!AE41</f>
        <v>0</v>
      </c>
      <c r="AF41" s="203">
        <f>[11]Stoping!AF41</f>
        <v>0</v>
      </c>
      <c r="AG41" s="203">
        <f>[11]Stoping!AG41</f>
        <v>0</v>
      </c>
      <c r="AH41" s="203">
        <f>[11]Stoping!AH41</f>
        <v>0</v>
      </c>
      <c r="AI41" s="203">
        <f>[11]Stoping!AI41</f>
        <v>0</v>
      </c>
      <c r="AJ41" s="203">
        <f>[11]Stoping!AJ41</f>
        <v>0</v>
      </c>
      <c r="AK41" s="203">
        <f>[11]Stoping!AK41</f>
        <v>0</v>
      </c>
      <c r="AL41" s="205">
        <f>[11]Stoping!AL41</f>
        <v>0</v>
      </c>
      <c r="AM41" s="846"/>
    </row>
    <row r="42" spans="1:39" ht="15.75" thickBot="1" x14ac:dyDescent="0.3">
      <c r="A42" s="202"/>
      <c r="B42" s="1608"/>
      <c r="C42" s="1693"/>
      <c r="D42" s="1686" t="str">
        <f>[11]Stoping!D42</f>
        <v>Grade</v>
      </c>
      <c r="E42" s="1384" t="str">
        <f>[11]Stoping!E42</f>
        <v>Budget (g/t)</v>
      </c>
      <c r="F42" s="1310">
        <f>[11]Stoping!F42</f>
        <v>2.1696428571428581</v>
      </c>
      <c r="G42" s="1385">
        <f>[11]Stoping!G42</f>
        <v>0</v>
      </c>
      <c r="H42" s="1312">
        <f>[11]Stoping!H42</f>
        <v>0</v>
      </c>
      <c r="I42" s="1312">
        <f>[11]Stoping!I42</f>
        <v>2.25</v>
      </c>
      <c r="J42" s="1312">
        <f>[11]Stoping!J42</f>
        <v>2.25</v>
      </c>
      <c r="K42" s="1312">
        <f>[11]Stoping!K42</f>
        <v>2.25</v>
      </c>
      <c r="L42" s="1312">
        <f>[11]Stoping!L42</f>
        <v>2.25</v>
      </c>
      <c r="M42" s="1312">
        <f>[11]Stoping!M42</f>
        <v>2.25</v>
      </c>
      <c r="N42" s="1312">
        <f>[11]Stoping!N42</f>
        <v>2.25</v>
      </c>
      <c r="O42" s="1312">
        <f>[11]Stoping!O42</f>
        <v>2.25</v>
      </c>
      <c r="P42" s="1312">
        <f>[11]Stoping!P42</f>
        <v>2.25</v>
      </c>
      <c r="Q42" s="1312">
        <f>[11]Stoping!Q42</f>
        <v>2.25</v>
      </c>
      <c r="R42" s="1312">
        <f>[11]Stoping!R42</f>
        <v>2.25</v>
      </c>
      <c r="S42" s="1312">
        <f>[11]Stoping!S42</f>
        <v>2.25</v>
      </c>
      <c r="T42" s="1312">
        <f>[11]Stoping!T42</f>
        <v>2.25</v>
      </c>
      <c r="U42" s="1312">
        <f>[11]Stoping!U42</f>
        <v>2.25</v>
      </c>
      <c r="V42" s="1312">
        <f>[11]Stoping!V42</f>
        <v>2.25</v>
      </c>
      <c r="W42" s="1312">
        <f>[11]Stoping!W42</f>
        <v>2.25</v>
      </c>
      <c r="X42" s="1312">
        <f>[11]Stoping!X42</f>
        <v>2.25</v>
      </c>
      <c r="Y42" s="1312">
        <f>[11]Stoping!Y42</f>
        <v>2.25</v>
      </c>
      <c r="Z42" s="1312">
        <f>[11]Stoping!Z42</f>
        <v>2.25</v>
      </c>
      <c r="AA42" s="1312">
        <f>[11]Stoping!AA42</f>
        <v>2.25</v>
      </c>
      <c r="AB42" s="1312">
        <f>[11]Stoping!AB42</f>
        <v>2.25</v>
      </c>
      <c r="AC42" s="1312">
        <f>[11]Stoping!AC42</f>
        <v>2.25</v>
      </c>
      <c r="AD42" s="1312">
        <f>[11]Stoping!AD42</f>
        <v>2.25</v>
      </c>
      <c r="AE42" s="1312">
        <f>[11]Stoping!AE42</f>
        <v>2.25</v>
      </c>
      <c r="AF42" s="1312">
        <f>[11]Stoping!AF42</f>
        <v>0</v>
      </c>
      <c r="AG42" s="1312">
        <f>[11]Stoping!AG42</f>
        <v>2.25</v>
      </c>
      <c r="AH42" s="1312">
        <f>[11]Stoping!AH42</f>
        <v>2.25</v>
      </c>
      <c r="AI42" s="1312">
        <f>[11]Stoping!AI42</f>
        <v>2.25</v>
      </c>
      <c r="AJ42" s="1312">
        <f>[11]Stoping!AJ42</f>
        <v>2.25</v>
      </c>
      <c r="AK42" s="1312">
        <f>[11]Stoping!AK42</f>
        <v>2.25</v>
      </c>
      <c r="AL42" s="1312">
        <f>[11]Stoping!AL42</f>
        <v>2.25</v>
      </c>
      <c r="AM42" s="347"/>
    </row>
    <row r="43" spans="1:39" ht="15.75" thickBot="1" x14ac:dyDescent="0.3">
      <c r="A43" s="202"/>
      <c r="B43" s="1608"/>
      <c r="C43" s="1693"/>
      <c r="D43" s="1686"/>
      <c r="E43" s="1386" t="str">
        <f>[11]Stoping!E43</f>
        <v>Actual (g/t)</v>
      </c>
      <c r="F43" s="1314">
        <f>[11]Stoping!F43</f>
        <v>3.5084374999999999</v>
      </c>
      <c r="G43" s="1380">
        <f>[11]Stoping!G43</f>
        <v>0.61705761316872354</v>
      </c>
      <c r="H43" s="1315">
        <f>[11]Stoping!H43</f>
        <v>2.1</v>
      </c>
      <c r="I43" s="1314">
        <f>[11]Stoping!I43</f>
        <v>4.8899999999999997</v>
      </c>
      <c r="J43" s="1314">
        <f>[11]Stoping!J43</f>
        <v>3.95</v>
      </c>
      <c r="K43" s="1314">
        <f>[11]Stoping!K43</f>
        <v>0</v>
      </c>
      <c r="L43" s="1314">
        <f>[11]Stoping!L43</f>
        <v>0</v>
      </c>
      <c r="M43" s="1314">
        <f>[11]Stoping!M43</f>
        <v>0</v>
      </c>
      <c r="N43" s="1314">
        <f>[11]Stoping!N43</f>
        <v>0</v>
      </c>
      <c r="O43" s="1314">
        <f>[11]Stoping!O43</f>
        <v>0</v>
      </c>
      <c r="P43" s="1314">
        <f>[11]Stoping!P43</f>
        <v>0</v>
      </c>
      <c r="Q43" s="1314">
        <f>[11]Stoping!Q43</f>
        <v>0</v>
      </c>
      <c r="R43" s="1314">
        <f>[11]Stoping!R43</f>
        <v>0</v>
      </c>
      <c r="S43" s="1314">
        <f>[11]Stoping!S43</f>
        <v>0</v>
      </c>
      <c r="T43" s="1314">
        <f>[11]Stoping!T43</f>
        <v>0</v>
      </c>
      <c r="U43" s="1314">
        <f>[11]Stoping!U43</f>
        <v>0</v>
      </c>
      <c r="V43" s="1314">
        <f>[11]Stoping!V43</f>
        <v>3.72</v>
      </c>
      <c r="W43" s="1314">
        <f>[11]Stoping!W43</f>
        <v>0</v>
      </c>
      <c r="X43" s="1314">
        <f>[11]Stoping!X43</f>
        <v>0</v>
      </c>
      <c r="Y43" s="1314">
        <f>[11]Stoping!Y43</f>
        <v>0</v>
      </c>
      <c r="Z43" s="1314">
        <f>[11]Stoping!Z43</f>
        <v>0</v>
      </c>
      <c r="AA43" s="1314">
        <f>[11]Stoping!AA43</f>
        <v>0</v>
      </c>
      <c r="AB43" s="1314">
        <f>[11]Stoping!AB43</f>
        <v>0</v>
      </c>
      <c r="AC43" s="1314">
        <f>[11]Stoping!AC43</f>
        <v>0</v>
      </c>
      <c r="AD43" s="1314">
        <f>[11]Stoping!AD43</f>
        <v>0</v>
      </c>
      <c r="AE43" s="1314">
        <f>[11]Stoping!AE43</f>
        <v>2.37</v>
      </c>
      <c r="AF43" s="1314">
        <f>[11]Stoping!AF43</f>
        <v>0</v>
      </c>
      <c r="AG43" s="1314">
        <f>[11]Stoping!AG43</f>
        <v>0</v>
      </c>
      <c r="AH43" s="1314">
        <f>[11]Stoping!AH43</f>
        <v>0</v>
      </c>
      <c r="AI43" s="1314">
        <f>[11]Stoping!AI43</f>
        <v>4.13</v>
      </c>
      <c r="AJ43" s="1314">
        <f>[11]Stoping!AJ43</f>
        <v>2.86</v>
      </c>
      <c r="AK43" s="1314">
        <f>[11]Stoping!AK43</f>
        <v>3.69</v>
      </c>
      <c r="AL43" s="1314">
        <f>[11]Stoping!AL43</f>
        <v>2.1</v>
      </c>
      <c r="AM43" s="347"/>
    </row>
    <row r="44" spans="1:39" ht="15.75" thickBot="1" x14ac:dyDescent="0.3">
      <c r="A44" s="202"/>
      <c r="B44" s="1608"/>
      <c r="C44" s="1693"/>
      <c r="D44" s="1686" t="str">
        <f>[11]Stoping!D44</f>
        <v>Gold</v>
      </c>
      <c r="E44" s="1384" t="str">
        <f>[11]Stoping!E44</f>
        <v>Budget (kg)</v>
      </c>
      <c r="F44" s="206">
        <f>[11]Stoping!F44</f>
        <v>4.2525000000000022</v>
      </c>
      <c r="G44" s="1385">
        <f>[11]Stoping!G44</f>
        <v>0</v>
      </c>
      <c r="H44" s="1316">
        <f>[11]Stoping!H44</f>
        <v>0</v>
      </c>
      <c r="I44" s="1316">
        <f>[11]Stoping!I44</f>
        <v>0.1575</v>
      </c>
      <c r="J44" s="1316">
        <f>[11]Stoping!J44</f>
        <v>0.1575</v>
      </c>
      <c r="K44" s="1317">
        <f>[11]Stoping!K44</f>
        <v>0.1575</v>
      </c>
      <c r="L44" s="1317">
        <f>[11]Stoping!L44</f>
        <v>0.1575</v>
      </c>
      <c r="M44" s="1317">
        <f>[11]Stoping!M44</f>
        <v>0.1575</v>
      </c>
      <c r="N44" s="1317">
        <f>[11]Stoping!N44</f>
        <v>0.1575</v>
      </c>
      <c r="O44" s="1317">
        <f>[11]Stoping!O44</f>
        <v>0.1575</v>
      </c>
      <c r="P44" s="1318">
        <f>[11]Stoping!P44</f>
        <v>0.1575</v>
      </c>
      <c r="Q44" s="1317">
        <f>[11]Stoping!Q44</f>
        <v>0.1575</v>
      </c>
      <c r="R44" s="1317">
        <f>[11]Stoping!R44</f>
        <v>0.1575</v>
      </c>
      <c r="S44" s="1317">
        <f>[11]Stoping!S44</f>
        <v>0.1575</v>
      </c>
      <c r="T44" s="1317">
        <f>[11]Stoping!T44</f>
        <v>0.1575</v>
      </c>
      <c r="U44" s="1317">
        <f>[11]Stoping!U44</f>
        <v>0.1575</v>
      </c>
      <c r="V44" s="1317">
        <f>[11]Stoping!V44</f>
        <v>0.1575</v>
      </c>
      <c r="W44" s="1317">
        <f>[11]Stoping!W44</f>
        <v>0.1575</v>
      </c>
      <c r="X44" s="1317">
        <f>[11]Stoping!X44</f>
        <v>0.1575</v>
      </c>
      <c r="Y44" s="1317">
        <f>[11]Stoping!Y44</f>
        <v>0.1575</v>
      </c>
      <c r="Z44" s="1317">
        <f>[11]Stoping!Z44</f>
        <v>0.1575</v>
      </c>
      <c r="AA44" s="1317">
        <f>[11]Stoping!AA44</f>
        <v>0.1575</v>
      </c>
      <c r="AB44" s="1317">
        <f>[11]Stoping!AB44</f>
        <v>0.1575</v>
      </c>
      <c r="AC44" s="1317">
        <f>[11]Stoping!AC44</f>
        <v>0.1575</v>
      </c>
      <c r="AD44" s="1317">
        <f>[11]Stoping!AD44</f>
        <v>0.1575</v>
      </c>
      <c r="AE44" s="1317">
        <f>[11]Stoping!AE44</f>
        <v>0.1575</v>
      </c>
      <c r="AF44" s="1317">
        <f>[11]Stoping!AF44</f>
        <v>0</v>
      </c>
      <c r="AG44" s="1317">
        <f>[11]Stoping!AG44</f>
        <v>0.1575</v>
      </c>
      <c r="AH44" s="1317">
        <f>[11]Stoping!AH44</f>
        <v>0.1575</v>
      </c>
      <c r="AI44" s="1317">
        <f>[11]Stoping!AI44</f>
        <v>0</v>
      </c>
      <c r="AJ44" s="1317">
        <f>[11]Stoping!AJ44</f>
        <v>0.1575</v>
      </c>
      <c r="AK44" s="1317">
        <f>[11]Stoping!AK44</f>
        <v>0.1575</v>
      </c>
      <c r="AL44" s="1319">
        <f>[11]Stoping!AL44</f>
        <v>0.1575</v>
      </c>
      <c r="AM44" s="705"/>
    </row>
    <row r="45" spans="1:39" ht="15.75" thickBot="1" x14ac:dyDescent="0.3">
      <c r="A45" s="202"/>
      <c r="B45" s="1609"/>
      <c r="C45" s="1694"/>
      <c r="D45" s="1687"/>
      <c r="E45" s="1387" t="str">
        <f>[11]Stoping!E45</f>
        <v>Actual (kg)</v>
      </c>
      <c r="F45" s="1321">
        <f>[11]Stoping!F45</f>
        <v>1.68405</v>
      </c>
      <c r="G45" s="1388">
        <f>[11]Stoping!G45</f>
        <v>-0.60398589065255748</v>
      </c>
      <c r="H45" s="1323">
        <f>[11]Stoping!H45</f>
        <v>0.1701</v>
      </c>
      <c r="I45" s="1321">
        <f>[11]Stoping!I45</f>
        <v>0.40097999999999995</v>
      </c>
      <c r="J45" s="1321">
        <f>[11]Stoping!J45</f>
        <v>0.30415000000000003</v>
      </c>
      <c r="K45" s="1321">
        <f>[11]Stoping!K45</f>
        <v>0</v>
      </c>
      <c r="L45" s="1321">
        <f>[11]Stoping!L45</f>
        <v>0</v>
      </c>
      <c r="M45" s="1321">
        <f>[11]Stoping!M45</f>
        <v>0</v>
      </c>
      <c r="N45" s="1321">
        <f>[11]Stoping!N45</f>
        <v>0</v>
      </c>
      <c r="O45" s="1321">
        <f>[11]Stoping!O45</f>
        <v>0</v>
      </c>
      <c r="P45" s="1321">
        <f>[11]Stoping!P45</f>
        <v>0</v>
      </c>
      <c r="Q45" s="1321">
        <f>[11]Stoping!Q45</f>
        <v>0</v>
      </c>
      <c r="R45" s="1321">
        <f>[11]Stoping!R45</f>
        <v>0</v>
      </c>
      <c r="S45" s="1321">
        <f>[11]Stoping!S45</f>
        <v>0</v>
      </c>
      <c r="T45" s="1321">
        <f>[11]Stoping!T45</f>
        <v>0</v>
      </c>
      <c r="U45" s="1321">
        <f>[11]Stoping!U45</f>
        <v>0</v>
      </c>
      <c r="V45" s="1321">
        <f>[11]Stoping!V45</f>
        <v>0</v>
      </c>
      <c r="W45" s="1321">
        <f>[11]Stoping!W45</f>
        <v>0</v>
      </c>
      <c r="X45" s="1321">
        <f>[11]Stoping!X45</f>
        <v>0</v>
      </c>
      <c r="Y45" s="1321">
        <f>[11]Stoping!Y45</f>
        <v>0</v>
      </c>
      <c r="Z45" s="1321">
        <f>[11]Stoping!Z45</f>
        <v>0</v>
      </c>
      <c r="AA45" s="1321">
        <f>[11]Stoping!AA45</f>
        <v>0</v>
      </c>
      <c r="AB45" s="1321">
        <f>[11]Stoping!AB45</f>
        <v>0</v>
      </c>
      <c r="AC45" s="1321">
        <f>[11]Stoping!AC45</f>
        <v>0</v>
      </c>
      <c r="AD45" s="1321">
        <f>[11]Stoping!AD45</f>
        <v>0</v>
      </c>
      <c r="AE45" s="1321">
        <f>[11]Stoping!AE45</f>
        <v>9.2430000000000012E-2</v>
      </c>
      <c r="AF45" s="1321">
        <f>[11]Stoping!AF45</f>
        <v>0</v>
      </c>
      <c r="AG45" s="1321">
        <f>[11]Stoping!AG45</f>
        <v>0</v>
      </c>
      <c r="AH45" s="1321">
        <f>[11]Stoping!AH45</f>
        <v>0</v>
      </c>
      <c r="AI45" s="1321">
        <f>[11]Stoping!AI45</f>
        <v>0.27670999999999996</v>
      </c>
      <c r="AJ45" s="1321">
        <f>[11]Stoping!AJ45</f>
        <v>0.18875999999999998</v>
      </c>
      <c r="AK45" s="1321">
        <f>[11]Stoping!AK45</f>
        <v>0.25091999999999998</v>
      </c>
      <c r="AL45" s="1321">
        <f>[11]Stoping!AL45</f>
        <v>0.1638</v>
      </c>
      <c r="AM45" s="706"/>
    </row>
    <row r="46" spans="1:39" ht="15.75" thickBot="1" x14ac:dyDescent="0.3">
      <c r="A46" s="202"/>
      <c r="B46" s="1608">
        <v>1</v>
      </c>
      <c r="C46" s="1692" t="str">
        <f>[11]Stoping!C46</f>
        <v>4L_W23B STOPE</v>
      </c>
      <c r="D46" s="1696" t="str">
        <f>[11]Stoping!D46</f>
        <v>Tonnes</v>
      </c>
      <c r="E46" s="293" t="str">
        <f>[11]Stoping!E46</f>
        <v>Budget (t)</v>
      </c>
      <c r="F46" s="196">
        <f>[11]Stoping!F46</f>
        <v>3920</v>
      </c>
      <c r="G46" s="197">
        <f>[11]Stoping!G46</f>
        <v>0</v>
      </c>
      <c r="H46" s="945">
        <f>[11]Stoping!H46</f>
        <v>0</v>
      </c>
      <c r="I46" s="945">
        <f>[11]Stoping!I46</f>
        <v>140</v>
      </c>
      <c r="J46" s="945">
        <f>[11]Stoping!J46</f>
        <v>140</v>
      </c>
      <c r="K46" s="945">
        <f>[11]Stoping!K46</f>
        <v>140</v>
      </c>
      <c r="L46" s="945">
        <f>[11]Stoping!L46</f>
        <v>140</v>
      </c>
      <c r="M46" s="945">
        <f>[11]Stoping!M46</f>
        <v>140</v>
      </c>
      <c r="N46" s="945">
        <f>[11]Stoping!N46</f>
        <v>140</v>
      </c>
      <c r="O46" s="945">
        <f>[11]Stoping!O46</f>
        <v>140</v>
      </c>
      <c r="P46" s="945">
        <f>[11]Stoping!P46</f>
        <v>140</v>
      </c>
      <c r="Q46" s="945">
        <f>[11]Stoping!Q46</f>
        <v>140</v>
      </c>
      <c r="R46" s="945">
        <f>[11]Stoping!R46</f>
        <v>140</v>
      </c>
      <c r="S46" s="945">
        <f>[11]Stoping!S46</f>
        <v>140</v>
      </c>
      <c r="T46" s="945">
        <f>[11]Stoping!T46</f>
        <v>140</v>
      </c>
      <c r="U46" s="945">
        <f>[11]Stoping!U46</f>
        <v>140</v>
      </c>
      <c r="V46" s="945">
        <f>[11]Stoping!V46</f>
        <v>140</v>
      </c>
      <c r="W46" s="945">
        <f>[11]Stoping!W46</f>
        <v>140</v>
      </c>
      <c r="X46" s="945">
        <f>[11]Stoping!X46</f>
        <v>140</v>
      </c>
      <c r="Y46" s="945">
        <f>[11]Stoping!Y46</f>
        <v>140</v>
      </c>
      <c r="Z46" s="945">
        <f>[11]Stoping!Z46</f>
        <v>140</v>
      </c>
      <c r="AA46" s="945">
        <f>[11]Stoping!AA46</f>
        <v>140</v>
      </c>
      <c r="AB46" s="945">
        <f>[11]Stoping!AB46</f>
        <v>140</v>
      </c>
      <c r="AC46" s="945">
        <f>[11]Stoping!AC46</f>
        <v>140</v>
      </c>
      <c r="AD46" s="945">
        <f>[11]Stoping!AD46</f>
        <v>140</v>
      </c>
      <c r="AE46" s="945">
        <f>[11]Stoping!AE46</f>
        <v>140</v>
      </c>
      <c r="AF46" s="945">
        <f>[11]Stoping!AF46</f>
        <v>0</v>
      </c>
      <c r="AG46" s="945">
        <f>[11]Stoping!AG46</f>
        <v>140</v>
      </c>
      <c r="AH46" s="945">
        <f>[11]Stoping!AH46</f>
        <v>140</v>
      </c>
      <c r="AI46" s="945">
        <f>[11]Stoping!AI46</f>
        <v>140</v>
      </c>
      <c r="AJ46" s="945">
        <f>[11]Stoping!AJ46</f>
        <v>140</v>
      </c>
      <c r="AK46" s="945">
        <f>[11]Stoping!AK46</f>
        <v>140</v>
      </c>
      <c r="AL46" s="945">
        <f>[11]Stoping!AL46</f>
        <v>140</v>
      </c>
      <c r="AM46" s="845"/>
    </row>
    <row r="47" spans="1:39" ht="15.75" thickBot="1" x14ac:dyDescent="0.3">
      <c r="A47" s="202"/>
      <c r="B47" s="1608"/>
      <c r="C47" s="1693"/>
      <c r="D47" s="1696"/>
      <c r="E47" s="1379" t="str">
        <f>[11]Stoping!E47</f>
        <v>Actual (t)</v>
      </c>
      <c r="F47" s="1303">
        <f>[11]Stoping!F47</f>
        <v>3328</v>
      </c>
      <c r="G47" s="1380">
        <f>[11]Stoping!G47</f>
        <v>-0.15102040816326531</v>
      </c>
      <c r="H47" s="1305">
        <f>[11]Stoping!H47</f>
        <v>86</v>
      </c>
      <c r="I47" s="1303">
        <f>[11]Stoping!I47</f>
        <v>81</v>
      </c>
      <c r="J47" s="1303">
        <f>[11]Stoping!J47</f>
        <v>139</v>
      </c>
      <c r="K47" s="1303">
        <f>[11]Stoping!K47</f>
        <v>152</v>
      </c>
      <c r="L47" s="1303">
        <f>[11]Stoping!L47</f>
        <v>115</v>
      </c>
      <c r="M47" s="1303">
        <f>[11]Stoping!M47</f>
        <v>156</v>
      </c>
      <c r="N47" s="1303">
        <f>[11]Stoping!N47</f>
        <v>140</v>
      </c>
      <c r="O47" s="1303">
        <f>[11]Stoping!O47</f>
        <v>116</v>
      </c>
      <c r="P47" s="1303">
        <f>[11]Stoping!P47</f>
        <v>0</v>
      </c>
      <c r="Q47" s="1303">
        <f>[11]Stoping!Q47</f>
        <v>60</v>
      </c>
      <c r="R47" s="1303">
        <f>[11]Stoping!R47</f>
        <v>136</v>
      </c>
      <c r="S47" s="1303">
        <f>[11]Stoping!S47</f>
        <v>140</v>
      </c>
      <c r="T47" s="1303">
        <f>[11]Stoping!T47</f>
        <v>110</v>
      </c>
      <c r="U47" s="1303">
        <f>[11]Stoping!U47</f>
        <v>134</v>
      </c>
      <c r="V47" s="1303">
        <f>[11]Stoping!V47</f>
        <v>120</v>
      </c>
      <c r="W47" s="1303">
        <f>[11]Stoping!W47</f>
        <v>141</v>
      </c>
      <c r="X47" s="1303">
        <f>[11]Stoping!X47</f>
        <v>142</v>
      </c>
      <c r="Y47" s="1303">
        <f>[11]Stoping!Y47</f>
        <v>149</v>
      </c>
      <c r="Z47" s="1303">
        <f>[11]Stoping!Z47</f>
        <v>145</v>
      </c>
      <c r="AA47" s="1303">
        <f>[11]Stoping!AA47</f>
        <v>127</v>
      </c>
      <c r="AB47" s="1303">
        <f>[11]Stoping!AB47</f>
        <v>34</v>
      </c>
      <c r="AC47" s="1303">
        <f>[11]Stoping!AC47</f>
        <v>138</v>
      </c>
      <c r="AD47" s="1303">
        <f>[11]Stoping!AD47</f>
        <v>144</v>
      </c>
      <c r="AE47" s="1303">
        <f>[11]Stoping!AE47</f>
        <v>151</v>
      </c>
      <c r="AF47" s="1303">
        <f>[11]Stoping!AF47</f>
        <v>0</v>
      </c>
      <c r="AG47" s="1303">
        <f>[11]Stoping!AG47</f>
        <v>71</v>
      </c>
      <c r="AH47" s="1303">
        <f>[11]Stoping!AH47</f>
        <v>127</v>
      </c>
      <c r="AI47" s="1303">
        <f>[11]Stoping!AI47</f>
        <v>101</v>
      </c>
      <c r="AJ47" s="1303">
        <f>[11]Stoping!AJ47</f>
        <v>133</v>
      </c>
      <c r="AK47" s="1303">
        <f>[11]Stoping!AK47</f>
        <v>40</v>
      </c>
      <c r="AL47" s="1303">
        <f>[11]Stoping!AL47</f>
        <v>38</v>
      </c>
      <c r="AM47" s="347"/>
    </row>
    <row r="48" spans="1:39" ht="15.75" thickBot="1" x14ac:dyDescent="0.3">
      <c r="A48" s="202"/>
      <c r="B48" s="1608"/>
      <c r="C48" s="1693"/>
      <c r="D48" s="1696"/>
      <c r="E48" s="1389" t="str">
        <f>[11]Stoping!E48</f>
        <v>Reason if Actual is RED</v>
      </c>
      <c r="F48" s="1390">
        <f>[11]Stoping!F48</f>
        <v>0</v>
      </c>
      <c r="G48" s="1391">
        <f>[11]Stoping!G48</f>
        <v>0</v>
      </c>
      <c r="H48" s="203">
        <f>[11]Stoping!H48</f>
        <v>0</v>
      </c>
      <c r="I48" s="203">
        <f>[11]Stoping!I48</f>
        <v>0</v>
      </c>
      <c r="J48" s="203">
        <f>[11]Stoping!J48</f>
        <v>0</v>
      </c>
      <c r="K48" s="203">
        <f>[11]Stoping!K48</f>
        <v>0</v>
      </c>
      <c r="L48" s="203">
        <f>[11]Stoping!L48</f>
        <v>0</v>
      </c>
      <c r="M48" s="203">
        <f>[11]Stoping!M48</f>
        <v>0</v>
      </c>
      <c r="N48" s="203">
        <f>[11]Stoping!N48</f>
        <v>0</v>
      </c>
      <c r="O48" s="203">
        <f>[11]Stoping!O48</f>
        <v>0</v>
      </c>
      <c r="P48" s="204">
        <f>[11]Stoping!P48</f>
        <v>0</v>
      </c>
      <c r="Q48" s="203">
        <f>[11]Stoping!Q48</f>
        <v>0</v>
      </c>
      <c r="R48" s="203">
        <f>[11]Stoping!R48</f>
        <v>0</v>
      </c>
      <c r="S48" s="203">
        <f>[11]Stoping!S48</f>
        <v>0</v>
      </c>
      <c r="T48" s="203">
        <f>[11]Stoping!T48</f>
        <v>0</v>
      </c>
      <c r="U48" s="203">
        <f>[11]Stoping!U48</f>
        <v>0</v>
      </c>
      <c r="V48" s="203">
        <f>[11]Stoping!V48</f>
        <v>0</v>
      </c>
      <c r="W48" s="203">
        <f>[11]Stoping!W48</f>
        <v>0</v>
      </c>
      <c r="X48" s="203">
        <f>[11]Stoping!X48</f>
        <v>0</v>
      </c>
      <c r="Y48" s="203">
        <f>[11]Stoping!Y48</f>
        <v>0</v>
      </c>
      <c r="Z48" s="203">
        <f>[11]Stoping!Z48</f>
        <v>0</v>
      </c>
      <c r="AA48" s="203">
        <f>[11]Stoping!AA48</f>
        <v>0</v>
      </c>
      <c r="AB48" s="203">
        <f>[11]Stoping!AB48</f>
        <v>0</v>
      </c>
      <c r="AC48" s="203">
        <f>[11]Stoping!AC48</f>
        <v>0</v>
      </c>
      <c r="AD48" s="203">
        <f>[11]Stoping!AD48</f>
        <v>0</v>
      </c>
      <c r="AE48" s="203">
        <f>[11]Stoping!AE48</f>
        <v>0</v>
      </c>
      <c r="AF48" s="203">
        <f>[11]Stoping!AF48</f>
        <v>0</v>
      </c>
      <c r="AG48" s="203">
        <f>[11]Stoping!AG48</f>
        <v>0</v>
      </c>
      <c r="AH48" s="203">
        <f>[11]Stoping!AH48</f>
        <v>0</v>
      </c>
      <c r="AI48" s="203">
        <f>[11]Stoping!AI48</f>
        <v>0</v>
      </c>
      <c r="AJ48" s="203">
        <f>[11]Stoping!AJ48</f>
        <v>0</v>
      </c>
      <c r="AK48" s="203">
        <f>[11]Stoping!AK48</f>
        <v>0</v>
      </c>
      <c r="AL48" s="205">
        <f>[11]Stoping!AL48</f>
        <v>0</v>
      </c>
      <c r="AM48" s="846"/>
    </row>
    <row r="49" spans="1:39" ht="15.75" thickBot="1" x14ac:dyDescent="0.3">
      <c r="A49" s="202"/>
      <c r="B49" s="1608"/>
      <c r="C49" s="1693"/>
      <c r="D49" s="1686" t="str">
        <f>[11]Stoping!D49</f>
        <v>Grade</v>
      </c>
      <c r="E49" s="1384" t="str">
        <f>[11]Stoping!E49</f>
        <v>Budget (g/t)</v>
      </c>
      <c r="F49" s="1310">
        <f>[11]Stoping!F49</f>
        <v>3.8499999999999988</v>
      </c>
      <c r="G49" s="1385">
        <f>[11]Stoping!G49</f>
        <v>0</v>
      </c>
      <c r="H49" s="1312">
        <f>[11]Stoping!H49</f>
        <v>3.85</v>
      </c>
      <c r="I49" s="1312">
        <f>[11]Stoping!I49</f>
        <v>3.85</v>
      </c>
      <c r="J49" s="1312">
        <f>[11]Stoping!J49</f>
        <v>3.85</v>
      </c>
      <c r="K49" s="1312">
        <f>[11]Stoping!K49</f>
        <v>3.85</v>
      </c>
      <c r="L49" s="1312">
        <f>[11]Stoping!L49</f>
        <v>3.85</v>
      </c>
      <c r="M49" s="1312">
        <f>[11]Stoping!M49</f>
        <v>3.85</v>
      </c>
      <c r="N49" s="1312">
        <f>[11]Stoping!N49</f>
        <v>3.85</v>
      </c>
      <c r="O49" s="1312">
        <f>[11]Stoping!O49</f>
        <v>3.85</v>
      </c>
      <c r="P49" s="1312">
        <f>[11]Stoping!P49</f>
        <v>3.85</v>
      </c>
      <c r="Q49" s="1312">
        <f>[11]Stoping!Q49</f>
        <v>3.85</v>
      </c>
      <c r="R49" s="1312">
        <f>[11]Stoping!R49</f>
        <v>3.85</v>
      </c>
      <c r="S49" s="1312">
        <f>[11]Stoping!S49</f>
        <v>3.85</v>
      </c>
      <c r="T49" s="1312">
        <f>[11]Stoping!T49</f>
        <v>3.85</v>
      </c>
      <c r="U49" s="1312">
        <f>[11]Stoping!U49</f>
        <v>3.85</v>
      </c>
      <c r="V49" s="1312">
        <f>[11]Stoping!V49</f>
        <v>3.85</v>
      </c>
      <c r="W49" s="1312">
        <f>[11]Stoping!W49</f>
        <v>3.85</v>
      </c>
      <c r="X49" s="1312">
        <f>[11]Stoping!X49</f>
        <v>3.85</v>
      </c>
      <c r="Y49" s="1312">
        <f>[11]Stoping!Y49</f>
        <v>3.85</v>
      </c>
      <c r="Z49" s="1312">
        <f>[11]Stoping!Z49</f>
        <v>3.85</v>
      </c>
      <c r="AA49" s="1312">
        <f>[11]Stoping!AA49</f>
        <v>3.85</v>
      </c>
      <c r="AB49" s="1312">
        <f>[11]Stoping!AB49</f>
        <v>3.85</v>
      </c>
      <c r="AC49" s="1312">
        <f>[11]Stoping!AC49</f>
        <v>3.85</v>
      </c>
      <c r="AD49" s="1312">
        <f>[11]Stoping!AD49</f>
        <v>3.85</v>
      </c>
      <c r="AE49" s="1312">
        <f>[11]Stoping!AE49</f>
        <v>3.85</v>
      </c>
      <c r="AF49" s="1312">
        <f>[11]Stoping!AF49</f>
        <v>0</v>
      </c>
      <c r="AG49" s="1312">
        <f>[11]Stoping!AG49</f>
        <v>3.85</v>
      </c>
      <c r="AH49" s="1312">
        <f>[11]Stoping!AH49</f>
        <v>3.85</v>
      </c>
      <c r="AI49" s="1312">
        <f>[11]Stoping!AI49</f>
        <v>3.85</v>
      </c>
      <c r="AJ49" s="1312">
        <f>[11]Stoping!AJ49</f>
        <v>3.85</v>
      </c>
      <c r="AK49" s="1312">
        <f>[11]Stoping!AK49</f>
        <v>3.85</v>
      </c>
      <c r="AL49" s="1312">
        <f>[11]Stoping!AL49</f>
        <v>3.85</v>
      </c>
      <c r="AM49" s="347"/>
    </row>
    <row r="50" spans="1:39" ht="15.75" thickBot="1" x14ac:dyDescent="0.3">
      <c r="A50" s="202"/>
      <c r="B50" s="1608"/>
      <c r="C50" s="1693"/>
      <c r="D50" s="1686"/>
      <c r="E50" s="1386" t="str">
        <f>[11]Stoping!E50</f>
        <v>Actual (g/t)</v>
      </c>
      <c r="F50" s="1314">
        <f>[11]Stoping!F50</f>
        <v>2.9641123798076938</v>
      </c>
      <c r="G50" s="1380">
        <f>[11]Stoping!G50</f>
        <v>-0.23010068056942992</v>
      </c>
      <c r="H50" s="1328">
        <f>[11]Stoping!H50</f>
        <v>2.1110000000000002</v>
      </c>
      <c r="I50" s="1314">
        <f>[11]Stoping!I50</f>
        <v>1.2</v>
      </c>
      <c r="J50" s="1314">
        <f>[11]Stoping!J50</f>
        <v>2.42</v>
      </c>
      <c r="K50" s="1314">
        <f>[11]Stoping!K50</f>
        <v>2.42</v>
      </c>
      <c r="L50" s="1314">
        <f>[11]Stoping!L50</f>
        <v>1.96</v>
      </c>
      <c r="M50" s="1314">
        <f>[11]Stoping!M50</f>
        <v>6.96</v>
      </c>
      <c r="N50" s="1314">
        <f>[11]Stoping!N50</f>
        <v>3.15</v>
      </c>
      <c r="O50" s="1314">
        <f>[11]Stoping!O50</f>
        <v>3.42</v>
      </c>
      <c r="P50" s="1314">
        <f>[11]Stoping!P50</f>
        <v>0</v>
      </c>
      <c r="Q50" s="1314">
        <f>[11]Stoping!Q50</f>
        <v>1.19</v>
      </c>
      <c r="R50" s="1314">
        <f>[11]Stoping!R50</f>
        <v>1.19</v>
      </c>
      <c r="S50" s="1314">
        <f>[11]Stoping!S50</f>
        <v>2.11</v>
      </c>
      <c r="T50" s="1314">
        <f>[11]Stoping!T50</f>
        <v>3.82</v>
      </c>
      <c r="U50" s="1314">
        <f>[11]Stoping!U50</f>
        <v>6.4</v>
      </c>
      <c r="V50" s="1314">
        <f>[11]Stoping!V50</f>
        <v>2.5</v>
      </c>
      <c r="W50" s="1314">
        <f>[11]Stoping!W50</f>
        <v>1.45</v>
      </c>
      <c r="X50" s="1314">
        <f>[11]Stoping!X50</f>
        <v>3.04</v>
      </c>
      <c r="Y50" s="1314">
        <f>[11]Stoping!Y50</f>
        <v>3.04</v>
      </c>
      <c r="Z50" s="1314">
        <f>[11]Stoping!Z50</f>
        <v>2.33</v>
      </c>
      <c r="AA50" s="1314">
        <f>[11]Stoping!AA50</f>
        <v>5.73</v>
      </c>
      <c r="AB50" s="1314">
        <f>[11]Stoping!AB50</f>
        <v>4.3600000000000003</v>
      </c>
      <c r="AC50" s="1314">
        <f>[11]Stoping!AC50</f>
        <v>3.14</v>
      </c>
      <c r="AD50" s="1314">
        <f>[11]Stoping!AD50</f>
        <v>1.9</v>
      </c>
      <c r="AE50" s="1314">
        <f>[11]Stoping!AE50</f>
        <v>2.79</v>
      </c>
      <c r="AF50" s="1314">
        <f>[11]Stoping!AF50</f>
        <v>0</v>
      </c>
      <c r="AG50" s="1314">
        <f>[11]Stoping!AG50</f>
        <v>2.79</v>
      </c>
      <c r="AH50" s="1314">
        <f>[11]Stoping!AH50</f>
        <v>2.52</v>
      </c>
      <c r="AI50" s="1314">
        <f>[11]Stoping!AI50</f>
        <v>2.42</v>
      </c>
      <c r="AJ50" s="1314">
        <f>[11]Stoping!AJ50</f>
        <v>2.5099999999999998</v>
      </c>
      <c r="AK50" s="1314">
        <f>[11]Stoping!AK50</f>
        <v>2.4700000000000002</v>
      </c>
      <c r="AL50" s="1314">
        <f>[11]Stoping!AL50</f>
        <v>5</v>
      </c>
      <c r="AM50" s="347"/>
    </row>
    <row r="51" spans="1:39" ht="15.75" thickBot="1" x14ac:dyDescent="0.3">
      <c r="A51" s="202"/>
      <c r="B51" s="1608"/>
      <c r="C51" s="1693"/>
      <c r="D51" s="1686" t="str">
        <f>[11]Stoping!D51</f>
        <v>Gold</v>
      </c>
      <c r="E51" s="1384" t="str">
        <f>[11]Stoping!E51</f>
        <v>Budget (kg)</v>
      </c>
      <c r="F51" s="206">
        <f>[11]Stoping!F51</f>
        <v>15.091999999999995</v>
      </c>
      <c r="G51" s="1385">
        <f>[11]Stoping!G51</f>
        <v>0</v>
      </c>
      <c r="H51" s="1316">
        <f>[11]Stoping!H51</f>
        <v>0</v>
      </c>
      <c r="I51" s="1316">
        <f>[11]Stoping!I51</f>
        <v>0.53900000000000003</v>
      </c>
      <c r="J51" s="1316">
        <f>[11]Stoping!J51</f>
        <v>0.53900000000000003</v>
      </c>
      <c r="K51" s="1317">
        <f>[11]Stoping!K51</f>
        <v>0.53900000000000003</v>
      </c>
      <c r="L51" s="1317">
        <f>[11]Stoping!L51</f>
        <v>0.53900000000000003</v>
      </c>
      <c r="M51" s="1317">
        <f>[11]Stoping!M51</f>
        <v>0.53900000000000003</v>
      </c>
      <c r="N51" s="1317">
        <f>[11]Stoping!N51</f>
        <v>0.53900000000000003</v>
      </c>
      <c r="O51" s="1317">
        <f>[11]Stoping!O51</f>
        <v>0.53900000000000003</v>
      </c>
      <c r="P51" s="1318">
        <f>[11]Stoping!P51</f>
        <v>0.53900000000000003</v>
      </c>
      <c r="Q51" s="1317">
        <f>[11]Stoping!Q51</f>
        <v>0.53900000000000003</v>
      </c>
      <c r="R51" s="1317">
        <f>[11]Stoping!R51</f>
        <v>0.53900000000000003</v>
      </c>
      <c r="S51" s="1317">
        <f>[11]Stoping!S51</f>
        <v>0.53900000000000003</v>
      </c>
      <c r="T51" s="1317">
        <f>[11]Stoping!T51</f>
        <v>0.53900000000000003</v>
      </c>
      <c r="U51" s="1317">
        <f>[11]Stoping!U51</f>
        <v>0.53900000000000003</v>
      </c>
      <c r="V51" s="1317">
        <f>[11]Stoping!V51</f>
        <v>0.53900000000000003</v>
      </c>
      <c r="W51" s="1317">
        <f>[11]Stoping!W51</f>
        <v>0.53900000000000003</v>
      </c>
      <c r="X51" s="1317">
        <f>[11]Stoping!X51</f>
        <v>0.53900000000000003</v>
      </c>
      <c r="Y51" s="1317">
        <f>[11]Stoping!Y51</f>
        <v>0.53900000000000003</v>
      </c>
      <c r="Z51" s="1317">
        <f>[11]Stoping!Z51</f>
        <v>0.53900000000000003</v>
      </c>
      <c r="AA51" s="1317">
        <f>[11]Stoping!AA51</f>
        <v>0.53900000000000003</v>
      </c>
      <c r="AB51" s="1317">
        <f>[11]Stoping!AB51</f>
        <v>0.53900000000000003</v>
      </c>
      <c r="AC51" s="1317">
        <f>[11]Stoping!AC51</f>
        <v>0.53900000000000003</v>
      </c>
      <c r="AD51" s="1317">
        <f>[11]Stoping!AD51</f>
        <v>0.53900000000000003</v>
      </c>
      <c r="AE51" s="1317">
        <f>[11]Stoping!AE51</f>
        <v>0.53900000000000003</v>
      </c>
      <c r="AF51" s="1317">
        <f>[11]Stoping!AF51</f>
        <v>0</v>
      </c>
      <c r="AG51" s="1317">
        <f>[11]Stoping!AG51</f>
        <v>0.53900000000000003</v>
      </c>
      <c r="AH51" s="1317">
        <f>[11]Stoping!AH51</f>
        <v>0.53900000000000003</v>
      </c>
      <c r="AI51" s="1317">
        <f>[11]Stoping!AI51</f>
        <v>0.53900000000000003</v>
      </c>
      <c r="AJ51" s="1317">
        <f>[11]Stoping!AJ51</f>
        <v>0.53900000000000003</v>
      </c>
      <c r="AK51" s="1317">
        <f>[11]Stoping!AK51</f>
        <v>0.53900000000000003</v>
      </c>
      <c r="AL51" s="1319">
        <f>[11]Stoping!AL51</f>
        <v>0.53900000000000003</v>
      </c>
      <c r="AM51" s="705"/>
    </row>
    <row r="52" spans="1:39" ht="15.75" thickBot="1" x14ac:dyDescent="0.3">
      <c r="A52" s="202"/>
      <c r="B52" s="1609"/>
      <c r="C52" s="1694"/>
      <c r="D52" s="1687"/>
      <c r="E52" s="1387" t="str">
        <f>[11]Stoping!E52</f>
        <v>Actual (kg)</v>
      </c>
      <c r="F52" s="1321">
        <f>[11]Stoping!F52</f>
        <v>9.8645660000000035</v>
      </c>
      <c r="G52" s="1388">
        <f>[11]Stoping!G52</f>
        <v>-0.34637119003445488</v>
      </c>
      <c r="H52" s="1323">
        <f>[11]Stoping!H52</f>
        <v>0.18154600000000001</v>
      </c>
      <c r="I52" s="1321">
        <f>[11]Stoping!I52</f>
        <v>9.7200000000000009E-2</v>
      </c>
      <c r="J52" s="1321">
        <f>[11]Stoping!J52</f>
        <v>0.33638000000000001</v>
      </c>
      <c r="K52" s="1321">
        <f>[11]Stoping!K52</f>
        <v>0.36784</v>
      </c>
      <c r="L52" s="1321">
        <f>[11]Stoping!L52</f>
        <v>0.22540000000000002</v>
      </c>
      <c r="M52" s="1321">
        <f>[11]Stoping!M52</f>
        <v>1.0857600000000001</v>
      </c>
      <c r="N52" s="1321">
        <f>[11]Stoping!N52</f>
        <v>0.441</v>
      </c>
      <c r="O52" s="1321">
        <f>[11]Stoping!O52</f>
        <v>0.39671999999999996</v>
      </c>
      <c r="P52" s="1321">
        <f>[11]Stoping!P52</f>
        <v>0</v>
      </c>
      <c r="Q52" s="1321">
        <f>[11]Stoping!Q52</f>
        <v>7.1399999999999991E-2</v>
      </c>
      <c r="R52" s="1321">
        <f>[11]Stoping!R52</f>
        <v>0.16184000000000001</v>
      </c>
      <c r="S52" s="1321">
        <f>[11]Stoping!S52</f>
        <v>0.2954</v>
      </c>
      <c r="T52" s="1321">
        <f>[11]Stoping!T52</f>
        <v>0.42019999999999996</v>
      </c>
      <c r="U52" s="1321">
        <f>[11]Stoping!U52</f>
        <v>0.85760000000000003</v>
      </c>
      <c r="V52" s="1321">
        <f>[11]Stoping!V52</f>
        <v>0.3</v>
      </c>
      <c r="W52" s="1321">
        <f>[11]Stoping!W52</f>
        <v>0.20444999999999999</v>
      </c>
      <c r="X52" s="1321">
        <f>[11]Stoping!X52</f>
        <v>0.43168000000000001</v>
      </c>
      <c r="Y52" s="1321">
        <f>[11]Stoping!Y52</f>
        <v>0.45295999999999997</v>
      </c>
      <c r="Z52" s="1321">
        <f>[11]Stoping!Z52</f>
        <v>0.33785000000000004</v>
      </c>
      <c r="AA52" s="1321">
        <f>[11]Stoping!AA52</f>
        <v>0.72771000000000008</v>
      </c>
      <c r="AB52" s="1321">
        <f>[11]Stoping!AB52</f>
        <v>0.14824000000000001</v>
      </c>
      <c r="AC52" s="1321">
        <f>[11]Stoping!AC52</f>
        <v>0.43331999999999998</v>
      </c>
      <c r="AD52" s="1321">
        <f>[11]Stoping!AD52</f>
        <v>0.27359999999999995</v>
      </c>
      <c r="AE52" s="1321">
        <f>[11]Stoping!AE52</f>
        <v>0.42129</v>
      </c>
      <c r="AF52" s="1321">
        <f>[11]Stoping!AF52</f>
        <v>0</v>
      </c>
      <c r="AG52" s="1321">
        <f>[11]Stoping!AG52</f>
        <v>0.19809000000000002</v>
      </c>
      <c r="AH52" s="1321">
        <f>[11]Stoping!AH52</f>
        <v>0.32004000000000005</v>
      </c>
      <c r="AI52" s="1321">
        <f>[11]Stoping!AI52</f>
        <v>0.24442</v>
      </c>
      <c r="AJ52" s="1321">
        <f>[11]Stoping!AJ52</f>
        <v>0.33382999999999996</v>
      </c>
      <c r="AK52" s="1321">
        <f>[11]Stoping!AK52</f>
        <v>9.8800000000000013E-2</v>
      </c>
      <c r="AL52" s="1321">
        <f>[11]Stoping!AL52</f>
        <v>0.19</v>
      </c>
      <c r="AM52" s="706"/>
    </row>
    <row r="53" spans="1:39" ht="15.75" thickBot="1" x14ac:dyDescent="0.3">
      <c r="A53" s="202"/>
      <c r="B53" s="1608">
        <v>1</v>
      </c>
      <c r="C53" s="1692" t="str">
        <f>[11]Stoping!C53</f>
        <v xml:space="preserve">4L_W26 STOPE </v>
      </c>
      <c r="D53" s="1696" t="str">
        <f>[11]Stoping!D53</f>
        <v>Tonnes</v>
      </c>
      <c r="E53" s="293" t="str">
        <f>[11]Stoping!E53</f>
        <v>Budget (t)</v>
      </c>
      <c r="F53" s="196">
        <f>[11]Stoping!F53</f>
        <v>2940</v>
      </c>
      <c r="G53" s="197">
        <f>[11]Stoping!G53</f>
        <v>0</v>
      </c>
      <c r="H53" s="945">
        <f>[11]Stoping!H53</f>
        <v>0</v>
      </c>
      <c r="I53" s="945">
        <f>[11]Stoping!I53</f>
        <v>105</v>
      </c>
      <c r="J53" s="945">
        <f>[11]Stoping!J53</f>
        <v>105</v>
      </c>
      <c r="K53" s="945">
        <f>[11]Stoping!K53</f>
        <v>105</v>
      </c>
      <c r="L53" s="945">
        <f>[11]Stoping!L53</f>
        <v>105</v>
      </c>
      <c r="M53" s="945">
        <f>[11]Stoping!M53</f>
        <v>105</v>
      </c>
      <c r="N53" s="945">
        <f>[11]Stoping!N53</f>
        <v>105</v>
      </c>
      <c r="O53" s="945">
        <f>[11]Stoping!O53</f>
        <v>105</v>
      </c>
      <c r="P53" s="945">
        <f>[11]Stoping!P53</f>
        <v>105</v>
      </c>
      <c r="Q53" s="945">
        <f>[11]Stoping!Q53</f>
        <v>105</v>
      </c>
      <c r="R53" s="945">
        <f>[11]Stoping!R53</f>
        <v>105</v>
      </c>
      <c r="S53" s="945">
        <f>[11]Stoping!S53</f>
        <v>105</v>
      </c>
      <c r="T53" s="945">
        <f>[11]Stoping!T53</f>
        <v>105</v>
      </c>
      <c r="U53" s="945">
        <f>[11]Stoping!U53</f>
        <v>105</v>
      </c>
      <c r="V53" s="945">
        <f>[11]Stoping!V53</f>
        <v>105</v>
      </c>
      <c r="W53" s="945">
        <f>[11]Stoping!W53</f>
        <v>105</v>
      </c>
      <c r="X53" s="945">
        <f>[11]Stoping!X53</f>
        <v>105</v>
      </c>
      <c r="Y53" s="945">
        <f>[11]Stoping!Y53</f>
        <v>105</v>
      </c>
      <c r="Z53" s="945">
        <f>[11]Stoping!Z53</f>
        <v>105</v>
      </c>
      <c r="AA53" s="945">
        <f>[11]Stoping!AA53</f>
        <v>105</v>
      </c>
      <c r="AB53" s="945">
        <f>[11]Stoping!AB53</f>
        <v>105</v>
      </c>
      <c r="AC53" s="945">
        <f>[11]Stoping!AC53</f>
        <v>105</v>
      </c>
      <c r="AD53" s="945">
        <f>[11]Stoping!AD53</f>
        <v>105</v>
      </c>
      <c r="AE53" s="945">
        <f>[11]Stoping!AE53</f>
        <v>105</v>
      </c>
      <c r="AF53" s="945">
        <f>[11]Stoping!AF53</f>
        <v>0</v>
      </c>
      <c r="AG53" s="945">
        <f>[11]Stoping!AG53</f>
        <v>105</v>
      </c>
      <c r="AH53" s="945">
        <f>[11]Stoping!AH53</f>
        <v>105</v>
      </c>
      <c r="AI53" s="945">
        <f>[11]Stoping!AI53</f>
        <v>105</v>
      </c>
      <c r="AJ53" s="945">
        <f>[11]Stoping!AJ53</f>
        <v>105</v>
      </c>
      <c r="AK53" s="945">
        <f>[11]Stoping!AK53</f>
        <v>105</v>
      </c>
      <c r="AL53" s="945">
        <f>[11]Stoping!AL53</f>
        <v>105</v>
      </c>
      <c r="AM53" s="845"/>
    </row>
    <row r="54" spans="1:39" ht="15.75" thickBot="1" x14ac:dyDescent="0.3">
      <c r="A54" s="202"/>
      <c r="B54" s="1608"/>
      <c r="C54" s="1693"/>
      <c r="D54" s="1696"/>
      <c r="E54" s="1379" t="str">
        <f>[11]Stoping!E54</f>
        <v>Actual (t)</v>
      </c>
      <c r="F54" s="1303">
        <f>[11]Stoping!F54</f>
        <v>1242</v>
      </c>
      <c r="G54" s="1380">
        <f>[11]Stoping!G54</f>
        <v>-0.57755102040816331</v>
      </c>
      <c r="H54" s="1305">
        <f>[11]Stoping!H54</f>
        <v>73</v>
      </c>
      <c r="I54" s="1303">
        <f>[11]Stoping!I54</f>
        <v>88</v>
      </c>
      <c r="J54" s="1303">
        <f>[11]Stoping!J54</f>
        <v>88</v>
      </c>
      <c r="K54" s="1303">
        <f>[11]Stoping!K54</f>
        <v>78</v>
      </c>
      <c r="L54" s="1303">
        <f>[11]Stoping!L54</f>
        <v>76</v>
      </c>
      <c r="M54" s="1303">
        <f>[11]Stoping!M54</f>
        <v>0</v>
      </c>
      <c r="N54" s="1303">
        <f>[11]Stoping!N54</f>
        <v>91</v>
      </c>
      <c r="O54" s="1303">
        <f>[11]Stoping!O54</f>
        <v>58</v>
      </c>
      <c r="P54" s="1303">
        <f>[11]Stoping!P54</f>
        <v>81</v>
      </c>
      <c r="Q54" s="1303">
        <f>[11]Stoping!Q54</f>
        <v>67</v>
      </c>
      <c r="R54" s="1303">
        <f>[11]Stoping!R54</f>
        <v>62</v>
      </c>
      <c r="S54" s="1303">
        <f>[11]Stoping!S54</f>
        <v>33</v>
      </c>
      <c r="T54" s="1303">
        <f>[11]Stoping!T54</f>
        <v>38</v>
      </c>
      <c r="U54" s="1303">
        <f>[11]Stoping!U54</f>
        <v>26</v>
      </c>
      <c r="V54" s="1303">
        <f>[11]Stoping!V54</f>
        <v>44</v>
      </c>
      <c r="W54" s="1303">
        <f>[11]Stoping!W54</f>
        <v>33</v>
      </c>
      <c r="X54" s="1303">
        <f>[11]Stoping!X54</f>
        <v>0</v>
      </c>
      <c r="Y54" s="1303">
        <f>[11]Stoping!Y54</f>
        <v>0</v>
      </c>
      <c r="Z54" s="1303">
        <f>[11]Stoping!Z54</f>
        <v>72</v>
      </c>
      <c r="AA54" s="1303">
        <f>[11]Stoping!AA54</f>
        <v>65</v>
      </c>
      <c r="AB54" s="1303">
        <f>[11]Stoping!AB54</f>
        <v>33</v>
      </c>
      <c r="AC54" s="1303">
        <f>[11]Stoping!AC54</f>
        <v>62</v>
      </c>
      <c r="AD54" s="1303">
        <f>[11]Stoping!AD54</f>
        <v>0</v>
      </c>
      <c r="AE54" s="1303">
        <f>[11]Stoping!AE54</f>
        <v>0</v>
      </c>
      <c r="AF54" s="1303">
        <f>[11]Stoping!AF54</f>
        <v>0</v>
      </c>
      <c r="AG54" s="1303">
        <f>[11]Stoping!AG54</f>
        <v>0</v>
      </c>
      <c r="AH54" s="1303">
        <f>[11]Stoping!AH54</f>
        <v>0</v>
      </c>
      <c r="AI54" s="1303">
        <f>[11]Stoping!AI54</f>
        <v>0</v>
      </c>
      <c r="AJ54" s="1303">
        <f>[11]Stoping!AJ54</f>
        <v>38</v>
      </c>
      <c r="AK54" s="1303">
        <f>[11]Stoping!AK54</f>
        <v>36</v>
      </c>
      <c r="AL54" s="1303">
        <f>[11]Stoping!AL54</f>
        <v>35</v>
      </c>
      <c r="AM54" s="347"/>
    </row>
    <row r="55" spans="1:39" ht="15.75" thickBot="1" x14ac:dyDescent="0.3">
      <c r="A55" s="202"/>
      <c r="B55" s="1608"/>
      <c r="C55" s="1693"/>
      <c r="D55" s="1696"/>
      <c r="E55" s="1389" t="str">
        <f>[11]Stoping!E55</f>
        <v>Reason if Actual is RED</v>
      </c>
      <c r="F55" s="1390">
        <f>[11]Stoping!F55</f>
        <v>0</v>
      </c>
      <c r="G55" s="1391">
        <f>[11]Stoping!G55</f>
        <v>0</v>
      </c>
      <c r="H55" s="203">
        <f>[11]Stoping!H55</f>
        <v>0</v>
      </c>
      <c r="I55" s="203">
        <f>[11]Stoping!I55</f>
        <v>0</v>
      </c>
      <c r="J55" s="203">
        <f>[11]Stoping!J55</f>
        <v>0</v>
      </c>
      <c r="K55" s="203">
        <f>[11]Stoping!K55</f>
        <v>0</v>
      </c>
      <c r="L55" s="203">
        <f>[11]Stoping!L55</f>
        <v>0</v>
      </c>
      <c r="M55" s="203">
        <f>[11]Stoping!M55</f>
        <v>0</v>
      </c>
      <c r="N55" s="203">
        <f>[11]Stoping!N55</f>
        <v>0</v>
      </c>
      <c r="O55" s="203">
        <f>[11]Stoping!O55</f>
        <v>0</v>
      </c>
      <c r="P55" s="204">
        <f>[11]Stoping!P55</f>
        <v>0</v>
      </c>
      <c r="Q55" s="203">
        <f>[11]Stoping!Q55</f>
        <v>0</v>
      </c>
      <c r="R55" s="203">
        <f>[11]Stoping!R55</f>
        <v>0</v>
      </c>
      <c r="S55" s="203">
        <f>[11]Stoping!S55</f>
        <v>0</v>
      </c>
      <c r="T55" s="203">
        <f>[11]Stoping!T55</f>
        <v>0</v>
      </c>
      <c r="U55" s="203">
        <f>[11]Stoping!U55</f>
        <v>0</v>
      </c>
      <c r="V55" s="203">
        <f>[11]Stoping!V55</f>
        <v>0</v>
      </c>
      <c r="W55" s="203">
        <f>[11]Stoping!W55</f>
        <v>0</v>
      </c>
      <c r="X55" s="203">
        <f>[11]Stoping!X55</f>
        <v>0</v>
      </c>
      <c r="Y55" s="203">
        <f>[11]Stoping!Y55</f>
        <v>0</v>
      </c>
      <c r="Z55" s="203">
        <f>[11]Stoping!Z55</f>
        <v>0</v>
      </c>
      <c r="AA55" s="203">
        <f>[11]Stoping!AA55</f>
        <v>0</v>
      </c>
      <c r="AB55" s="203">
        <f>[11]Stoping!AB55</f>
        <v>0</v>
      </c>
      <c r="AC55" s="203">
        <f>[11]Stoping!AC55</f>
        <v>0</v>
      </c>
      <c r="AD55" s="203">
        <f>[11]Stoping!AD55</f>
        <v>0</v>
      </c>
      <c r="AE55" s="203">
        <f>[11]Stoping!AE55</f>
        <v>0</v>
      </c>
      <c r="AF55" s="203">
        <f>[11]Stoping!AF55</f>
        <v>0</v>
      </c>
      <c r="AG55" s="203">
        <f>[11]Stoping!AG55</f>
        <v>0</v>
      </c>
      <c r="AH55" s="203">
        <f>[11]Stoping!AH55</f>
        <v>0</v>
      </c>
      <c r="AI55" s="203">
        <f>[11]Stoping!AI55</f>
        <v>0</v>
      </c>
      <c r="AJ55" s="203">
        <f>[11]Stoping!AJ55</f>
        <v>0</v>
      </c>
      <c r="AK55" s="203">
        <f>[11]Stoping!AK55</f>
        <v>0</v>
      </c>
      <c r="AL55" s="205">
        <f>[11]Stoping!AL55</f>
        <v>0</v>
      </c>
      <c r="AM55" s="846"/>
    </row>
    <row r="56" spans="1:39" ht="15.75" thickBot="1" x14ac:dyDescent="0.3">
      <c r="A56" s="202"/>
      <c r="B56" s="1608"/>
      <c r="C56" s="1693"/>
      <c r="D56" s="1686" t="str">
        <f>[11]Stoping!D56</f>
        <v>Grade</v>
      </c>
      <c r="E56" s="1384" t="str">
        <f>[11]Stoping!E56</f>
        <v>Budget (g/t)</v>
      </c>
      <c r="F56" s="1310">
        <f>[11]Stoping!F56</f>
        <v>2.0782993197278903</v>
      </c>
      <c r="G56" s="1385">
        <f>[11]Stoping!G56</f>
        <v>0</v>
      </c>
      <c r="H56" s="1312">
        <f>[11]Stoping!H56</f>
        <v>0</v>
      </c>
      <c r="I56" s="1312">
        <f>[11]Stoping!I56</f>
        <v>2.12</v>
      </c>
      <c r="J56" s="1312">
        <f>[11]Stoping!J56</f>
        <v>2.12</v>
      </c>
      <c r="K56" s="1312">
        <f>[11]Stoping!K56</f>
        <v>2.12</v>
      </c>
      <c r="L56" s="1312">
        <f>[11]Stoping!L56</f>
        <v>2.12</v>
      </c>
      <c r="M56" s="1312">
        <f>[11]Stoping!M56</f>
        <v>2.12</v>
      </c>
      <c r="N56" s="1312">
        <f>[11]Stoping!N56</f>
        <v>2.12</v>
      </c>
      <c r="O56" s="1312">
        <f>[11]Stoping!O56</f>
        <v>2.12</v>
      </c>
      <c r="P56" s="1312">
        <f>[11]Stoping!P56</f>
        <v>2.12</v>
      </c>
      <c r="Q56" s="1312">
        <f>[11]Stoping!Q56</f>
        <v>2.12</v>
      </c>
      <c r="R56" s="1312">
        <f>[11]Stoping!R56</f>
        <v>2.12</v>
      </c>
      <c r="S56" s="1312">
        <f>[11]Stoping!S56</f>
        <v>2.12</v>
      </c>
      <c r="T56" s="1312">
        <f>[11]Stoping!T56</f>
        <v>2.12</v>
      </c>
      <c r="U56" s="1312">
        <f>[11]Stoping!U56</f>
        <v>2.12</v>
      </c>
      <c r="V56" s="1312">
        <f>[11]Stoping!V56</f>
        <v>2.12</v>
      </c>
      <c r="W56" s="1312">
        <f>[11]Stoping!W56</f>
        <v>2.12</v>
      </c>
      <c r="X56" s="1312">
        <f>[11]Stoping!X56</f>
        <v>2.12</v>
      </c>
      <c r="Y56" s="1312">
        <f>[11]Stoping!Y56</f>
        <v>2.12</v>
      </c>
      <c r="Z56" s="1312">
        <f>[11]Stoping!Z56</f>
        <v>2.12</v>
      </c>
      <c r="AA56" s="1312">
        <f>[11]Stoping!AA56</f>
        <v>2.12</v>
      </c>
      <c r="AB56" s="1312">
        <f>[11]Stoping!AB56</f>
        <v>2.12</v>
      </c>
      <c r="AC56" s="1312">
        <f>[11]Stoping!AC56</f>
        <v>2.12</v>
      </c>
      <c r="AD56" s="1312">
        <f>[11]Stoping!AD56</f>
        <v>2.12</v>
      </c>
      <c r="AE56" s="1312">
        <f>[11]Stoping!AE56</f>
        <v>2.12</v>
      </c>
      <c r="AF56" s="1312">
        <f>[11]Stoping!AF56</f>
        <v>0</v>
      </c>
      <c r="AG56" s="1312">
        <f>[11]Stoping!AG56</f>
        <v>2.12</v>
      </c>
      <c r="AH56" s="1312">
        <f>[11]Stoping!AH56</f>
        <v>2.12</v>
      </c>
      <c r="AI56" s="1312">
        <f>[11]Stoping!AI56</f>
        <v>2.12</v>
      </c>
      <c r="AJ56" s="1312">
        <f>[11]Stoping!AJ56</f>
        <v>2.12</v>
      </c>
      <c r="AK56" s="1312">
        <f>[11]Stoping!AK56</f>
        <v>2.12</v>
      </c>
      <c r="AL56" s="1312">
        <f>[11]Stoping!AL56</f>
        <v>2.12</v>
      </c>
      <c r="AM56" s="347"/>
    </row>
    <row r="57" spans="1:39" ht="15.75" thickBot="1" x14ac:dyDescent="0.3">
      <c r="A57" s="202"/>
      <c r="B57" s="1608"/>
      <c r="C57" s="1693"/>
      <c r="D57" s="1686"/>
      <c r="E57" s="1386" t="str">
        <f>[11]Stoping!E57</f>
        <v>Actual (g/t)</v>
      </c>
      <c r="F57" s="1314">
        <f>[11]Stoping!F57</f>
        <v>3.4237681159420288</v>
      </c>
      <c r="G57" s="1380">
        <f>[11]Stoping!G57</f>
        <v>0.64738932618728828</v>
      </c>
      <c r="H57" s="1315">
        <f>[11]Stoping!H57</f>
        <v>3.66</v>
      </c>
      <c r="I57" s="1314">
        <f>[11]Stoping!I57</f>
        <v>4.8899999999999997</v>
      </c>
      <c r="J57" s="1314">
        <f>[11]Stoping!J57</f>
        <v>3.23</v>
      </c>
      <c r="K57" s="1314">
        <f>[11]Stoping!K57</f>
        <v>3.23</v>
      </c>
      <c r="L57" s="1314">
        <f>[11]Stoping!L57</f>
        <v>4.29</v>
      </c>
      <c r="M57" s="1314">
        <f>[11]Stoping!M57</f>
        <v>0</v>
      </c>
      <c r="N57" s="1314">
        <f>[11]Stoping!N57</f>
        <v>1.77</v>
      </c>
      <c r="O57" s="1314">
        <f>[11]Stoping!O57</f>
        <v>3.52</v>
      </c>
      <c r="P57" s="1314">
        <f>[11]Stoping!P57</f>
        <v>4.2699999999999996</v>
      </c>
      <c r="Q57" s="1314">
        <f>[11]Stoping!Q57</f>
        <v>2.66</v>
      </c>
      <c r="R57" s="1314">
        <f>[11]Stoping!R57</f>
        <v>2.66</v>
      </c>
      <c r="S57" s="1314">
        <f>[11]Stoping!S57</f>
        <v>2.95</v>
      </c>
      <c r="T57" s="1314">
        <f>[11]Stoping!T57</f>
        <v>2.31</v>
      </c>
      <c r="U57" s="1314">
        <f>[11]Stoping!U57</f>
        <v>4.1900000000000004</v>
      </c>
      <c r="V57" s="1314">
        <f>[11]Stoping!V57</f>
        <v>6.71</v>
      </c>
      <c r="W57" s="1314">
        <f>[11]Stoping!W57</f>
        <v>7</v>
      </c>
      <c r="X57" s="1314">
        <f>[11]Stoping!X57</f>
        <v>4.4000000000000004</v>
      </c>
      <c r="Y57" s="1314">
        <f>[11]Stoping!Y57</f>
        <v>4.4000000000000004</v>
      </c>
      <c r="Z57" s="1314">
        <f>[11]Stoping!Z57</f>
        <v>2.41</v>
      </c>
      <c r="AA57" s="1314">
        <f>[11]Stoping!AA57</f>
        <v>2.41</v>
      </c>
      <c r="AB57" s="1314">
        <f>[11]Stoping!AB57</f>
        <v>4.58</v>
      </c>
      <c r="AC57" s="1314">
        <f>[11]Stoping!AC57</f>
        <v>3.02</v>
      </c>
      <c r="AD57" s="1314">
        <f>[11]Stoping!AD57</f>
        <v>0</v>
      </c>
      <c r="AE57" s="1314">
        <f>[11]Stoping!AE57</f>
        <v>2.44</v>
      </c>
      <c r="AF57" s="1314">
        <f>[11]Stoping!AF57</f>
        <v>0</v>
      </c>
      <c r="AG57" s="1314">
        <f>[11]Stoping!AG57</f>
        <v>0</v>
      </c>
      <c r="AH57" s="1314">
        <f>[11]Stoping!AH57</f>
        <v>0</v>
      </c>
      <c r="AI57" s="1314">
        <f>[11]Stoping!AI57</f>
        <v>0</v>
      </c>
      <c r="AJ57" s="1314">
        <f>[11]Stoping!AJ57</f>
        <v>2.21</v>
      </c>
      <c r="AK57" s="1314">
        <f>[11]Stoping!AK57</f>
        <v>1.82</v>
      </c>
      <c r="AL57" s="1314">
        <f>[11]Stoping!AL57</f>
        <v>2.11</v>
      </c>
      <c r="AM57" s="347"/>
    </row>
    <row r="58" spans="1:39" ht="15.75" thickBot="1" x14ac:dyDescent="0.3">
      <c r="A58" s="202"/>
      <c r="B58" s="1608"/>
      <c r="C58" s="1693"/>
      <c r="D58" s="1686" t="str">
        <f>[11]Stoping!D58</f>
        <v>Gold</v>
      </c>
      <c r="E58" s="1384" t="str">
        <f>[11]Stoping!E58</f>
        <v>Budget (kg)</v>
      </c>
      <c r="F58" s="206">
        <f>[11]Stoping!F58</f>
        <v>6.1101999999999981</v>
      </c>
      <c r="G58" s="1385">
        <f>[11]Stoping!G58</f>
        <v>0</v>
      </c>
      <c r="H58" s="1316">
        <f>[11]Stoping!H58</f>
        <v>0</v>
      </c>
      <c r="I58" s="1316">
        <f>[11]Stoping!I58</f>
        <v>0.22260000000000002</v>
      </c>
      <c r="J58" s="1316">
        <f>[11]Stoping!J58</f>
        <v>0.22260000000000002</v>
      </c>
      <c r="K58" s="1317">
        <f>[11]Stoping!K58</f>
        <v>0.22260000000000002</v>
      </c>
      <c r="L58" s="1317">
        <f>[11]Stoping!L58</f>
        <v>0.22260000000000002</v>
      </c>
      <c r="M58" s="1317">
        <f>[11]Stoping!M58</f>
        <v>0.22260000000000002</v>
      </c>
      <c r="N58" s="1317">
        <f>[11]Stoping!N58</f>
        <v>0.22260000000000002</v>
      </c>
      <c r="O58" s="1317">
        <f>[11]Stoping!O58</f>
        <v>0.22260000000000002</v>
      </c>
      <c r="P58" s="1318">
        <f>[11]Stoping!P58</f>
        <v>0.22260000000000002</v>
      </c>
      <c r="Q58" s="1317">
        <f>[11]Stoping!Q58</f>
        <v>0.22260000000000002</v>
      </c>
      <c r="R58" s="1317">
        <f>[11]Stoping!R58</f>
        <v>0.22260000000000002</v>
      </c>
      <c r="S58" s="1317">
        <f>[11]Stoping!S58</f>
        <v>0.22260000000000002</v>
      </c>
      <c r="T58" s="1317">
        <f>[11]Stoping!T58</f>
        <v>0.22260000000000002</v>
      </c>
      <c r="U58" s="1317">
        <f>[11]Stoping!U58</f>
        <v>0.22260000000000002</v>
      </c>
      <c r="V58" s="1317">
        <f>[11]Stoping!V58</f>
        <v>0.22260000000000002</v>
      </c>
      <c r="W58" s="1317">
        <f>[11]Stoping!W58</f>
        <v>0.22260000000000002</v>
      </c>
      <c r="X58" s="1317">
        <f>[11]Stoping!X58</f>
        <v>0.22260000000000002</v>
      </c>
      <c r="Y58" s="1317">
        <f>[11]Stoping!Y58</f>
        <v>0.22260000000000002</v>
      </c>
      <c r="Z58" s="1317">
        <f>[11]Stoping!Z58</f>
        <v>0.22260000000000002</v>
      </c>
      <c r="AA58" s="1317">
        <f>[11]Stoping!AA58</f>
        <v>0.1</v>
      </c>
      <c r="AB58" s="1317">
        <f>[11]Stoping!AB58</f>
        <v>0.22260000000000002</v>
      </c>
      <c r="AC58" s="1317">
        <f>[11]Stoping!AC58</f>
        <v>0.22260000000000002</v>
      </c>
      <c r="AD58" s="1317">
        <f>[11]Stoping!AD58</f>
        <v>0.22260000000000002</v>
      </c>
      <c r="AE58" s="1317">
        <f>[11]Stoping!AE58</f>
        <v>0.22260000000000002</v>
      </c>
      <c r="AF58" s="1317">
        <f>[11]Stoping!AF58</f>
        <v>0</v>
      </c>
      <c r="AG58" s="1317">
        <f>[11]Stoping!AG58</f>
        <v>0.22260000000000002</v>
      </c>
      <c r="AH58" s="1317">
        <f>[11]Stoping!AH58</f>
        <v>0.22260000000000002</v>
      </c>
      <c r="AI58" s="1317">
        <f>[11]Stoping!AI58</f>
        <v>0.22260000000000002</v>
      </c>
      <c r="AJ58" s="1317">
        <f>[11]Stoping!AJ58</f>
        <v>0.22260000000000002</v>
      </c>
      <c r="AK58" s="1317">
        <f>[11]Stoping!AK58</f>
        <v>0.22260000000000002</v>
      </c>
      <c r="AL58" s="1319">
        <f>[11]Stoping!AL58</f>
        <v>0.22260000000000002</v>
      </c>
      <c r="AM58" s="705"/>
    </row>
    <row r="59" spans="1:39" ht="15.75" thickBot="1" x14ac:dyDescent="0.3">
      <c r="A59" s="202"/>
      <c r="B59" s="1609"/>
      <c r="C59" s="1694"/>
      <c r="D59" s="1687"/>
      <c r="E59" s="1387" t="str">
        <f>[11]Stoping!E59</f>
        <v>Actual (kg)</v>
      </c>
      <c r="F59" s="1321">
        <f>[11]Stoping!F59</f>
        <v>4.2523200000000001</v>
      </c>
      <c r="G59" s="1388">
        <f>[11]Stoping!G59</f>
        <v>-0.30406206016169662</v>
      </c>
      <c r="H59" s="1323">
        <f>[11]Stoping!H59</f>
        <v>0.26718000000000003</v>
      </c>
      <c r="I59" s="1321">
        <f>[11]Stoping!I59</f>
        <v>0.43031999999999998</v>
      </c>
      <c r="J59" s="1321">
        <f>[11]Stoping!J59</f>
        <v>0.28423999999999999</v>
      </c>
      <c r="K59" s="1321">
        <f>[11]Stoping!K59</f>
        <v>0.25194</v>
      </c>
      <c r="L59" s="1321">
        <f>[11]Stoping!L59</f>
        <v>0.32604</v>
      </c>
      <c r="M59" s="1321">
        <f>[11]Stoping!M59</f>
        <v>0</v>
      </c>
      <c r="N59" s="1321">
        <f>[11]Stoping!N59</f>
        <v>0.16106999999999999</v>
      </c>
      <c r="O59" s="1321">
        <f>[11]Stoping!O59</f>
        <v>0.20416000000000001</v>
      </c>
      <c r="P59" s="1321">
        <f>[11]Stoping!P59</f>
        <v>0.34586999999999996</v>
      </c>
      <c r="Q59" s="1321">
        <f>[11]Stoping!Q59</f>
        <v>0.17821999999999999</v>
      </c>
      <c r="R59" s="1321">
        <f>[11]Stoping!R59</f>
        <v>0.16492000000000001</v>
      </c>
      <c r="S59" s="1321">
        <f>[11]Stoping!S59</f>
        <v>9.7350000000000006E-2</v>
      </c>
      <c r="T59" s="1321">
        <f>[11]Stoping!T59</f>
        <v>8.7779999999999997E-2</v>
      </c>
      <c r="U59" s="1321">
        <f>[11]Stoping!U59</f>
        <v>0.10894000000000001</v>
      </c>
      <c r="V59" s="1321">
        <f>[11]Stoping!V59</f>
        <v>0.29524</v>
      </c>
      <c r="W59" s="1321">
        <f>[11]Stoping!W59</f>
        <v>0.23100000000000001</v>
      </c>
      <c r="X59" s="1321">
        <f>[11]Stoping!X59</f>
        <v>0</v>
      </c>
      <c r="Y59" s="1321">
        <f>[11]Stoping!Y59</f>
        <v>0</v>
      </c>
      <c r="Z59" s="1321">
        <f>[11]Stoping!Z59</f>
        <v>0.17352000000000001</v>
      </c>
      <c r="AA59" s="1321">
        <f>[11]Stoping!AA59</f>
        <v>0.15665000000000001</v>
      </c>
      <c r="AB59" s="1321">
        <f>[11]Stoping!AB59</f>
        <v>0.15114000000000002</v>
      </c>
      <c r="AC59" s="1321">
        <f>[11]Stoping!AC59</f>
        <v>0.18724000000000002</v>
      </c>
      <c r="AD59" s="1321">
        <f>[11]Stoping!AD59</f>
        <v>0</v>
      </c>
      <c r="AE59" s="1321">
        <f>[11]Stoping!AE59</f>
        <v>0</v>
      </c>
      <c r="AF59" s="1321">
        <f>[11]Stoping!AF59</f>
        <v>0</v>
      </c>
      <c r="AG59" s="1321">
        <f>[11]Stoping!AG59</f>
        <v>0</v>
      </c>
      <c r="AH59" s="1321">
        <f>[11]Stoping!AH59</f>
        <v>0</v>
      </c>
      <c r="AI59" s="1321">
        <f>[11]Stoping!AI59</f>
        <v>0</v>
      </c>
      <c r="AJ59" s="1321">
        <f>[11]Stoping!AJ59</f>
        <v>8.3979999999999999E-2</v>
      </c>
      <c r="AK59" s="1321">
        <f>[11]Stoping!AK59</f>
        <v>6.5519999999999995E-2</v>
      </c>
      <c r="AL59" s="1321">
        <f>[11]Stoping!AL59</f>
        <v>7.3849999999999999E-2</v>
      </c>
      <c r="AM59" s="706"/>
    </row>
    <row r="60" spans="1:39" ht="15.75" thickBot="1" x14ac:dyDescent="0.3">
      <c r="A60" s="202"/>
      <c r="B60" s="1608"/>
      <c r="C60" s="1692">
        <f>[11]Stoping!C60</f>
        <v>0</v>
      </c>
      <c r="D60" s="1696" t="str">
        <f>[11]Stoping!D60</f>
        <v>Tonnes</v>
      </c>
      <c r="E60" s="293" t="str">
        <f>[11]Stoping!E60</f>
        <v>Budget (t)</v>
      </c>
      <c r="F60" s="196">
        <f>[11]Stoping!F60</f>
        <v>0</v>
      </c>
      <c r="G60" s="197">
        <f>[11]Stoping!G60</f>
        <v>0</v>
      </c>
      <c r="H60" s="198">
        <f>[11]Stoping!H60</f>
        <v>0</v>
      </c>
      <c r="I60" s="198">
        <f>[11]Stoping!I60</f>
        <v>0</v>
      </c>
      <c r="J60" s="198">
        <f>[11]Stoping!J60</f>
        <v>0</v>
      </c>
      <c r="K60" s="198">
        <f>[11]Stoping!K60</f>
        <v>0</v>
      </c>
      <c r="L60" s="198">
        <f>[11]Stoping!L60</f>
        <v>0</v>
      </c>
      <c r="M60" s="198">
        <f>[11]Stoping!M60</f>
        <v>0</v>
      </c>
      <c r="N60" s="198">
        <f>[11]Stoping!N60</f>
        <v>0</v>
      </c>
      <c r="O60" s="198">
        <f>[11]Stoping!O60</f>
        <v>0</v>
      </c>
      <c r="P60" s="198">
        <f>[11]Stoping!P60</f>
        <v>0</v>
      </c>
      <c r="Q60" s="198">
        <f>[11]Stoping!Q60</f>
        <v>0</v>
      </c>
      <c r="R60" s="198">
        <f>[11]Stoping!R60</f>
        <v>0</v>
      </c>
      <c r="S60" s="198">
        <f>[11]Stoping!S60</f>
        <v>0</v>
      </c>
      <c r="T60" s="198">
        <f>[11]Stoping!T60</f>
        <v>0</v>
      </c>
      <c r="U60" s="198">
        <f>[11]Stoping!U60</f>
        <v>0</v>
      </c>
      <c r="V60" s="198">
        <f>[11]Stoping!V60</f>
        <v>0</v>
      </c>
      <c r="W60" s="198">
        <f>[11]Stoping!W60</f>
        <v>0</v>
      </c>
      <c r="X60" s="198">
        <f>[11]Stoping!X60</f>
        <v>0</v>
      </c>
      <c r="Y60" s="198">
        <f>[11]Stoping!Y60</f>
        <v>0</v>
      </c>
      <c r="Z60" s="198">
        <f>[11]Stoping!Z60</f>
        <v>0</v>
      </c>
      <c r="AA60" s="198">
        <f>[11]Stoping!AA60</f>
        <v>0</v>
      </c>
      <c r="AB60" s="198">
        <f>[11]Stoping!AB60</f>
        <v>0</v>
      </c>
      <c r="AC60" s="198">
        <f>[11]Stoping!AC60</f>
        <v>0</v>
      </c>
      <c r="AD60" s="198">
        <f>[11]Stoping!AD60</f>
        <v>0</v>
      </c>
      <c r="AE60" s="198">
        <f>[11]Stoping!AE60</f>
        <v>0</v>
      </c>
      <c r="AF60" s="198">
        <f>[11]Stoping!AF60</f>
        <v>0</v>
      </c>
      <c r="AG60" s="198">
        <f>[11]Stoping!AG60</f>
        <v>0</v>
      </c>
      <c r="AH60" s="198">
        <f>[11]Stoping!AH60</f>
        <v>0</v>
      </c>
      <c r="AI60" s="198">
        <f>[11]Stoping!AI60</f>
        <v>0</v>
      </c>
      <c r="AJ60" s="198">
        <f>[11]Stoping!AJ60</f>
        <v>0</v>
      </c>
      <c r="AK60" s="198">
        <f>[11]Stoping!AK60</f>
        <v>0</v>
      </c>
      <c r="AL60" s="198">
        <f>[11]Stoping!AL60</f>
        <v>0</v>
      </c>
      <c r="AM60" s="845"/>
    </row>
    <row r="61" spans="1:39" ht="15.75" thickBot="1" x14ac:dyDescent="0.3">
      <c r="A61" s="202"/>
      <c r="B61" s="1608"/>
      <c r="C61" s="1693"/>
      <c r="D61" s="1696"/>
      <c r="E61" s="1379" t="str">
        <f>[11]Stoping!E61</f>
        <v>Actual (t)</v>
      </c>
      <c r="F61" s="1303">
        <f>[11]Stoping!F61</f>
        <v>0</v>
      </c>
      <c r="G61" s="1380">
        <f>[11]Stoping!G61</f>
        <v>0</v>
      </c>
      <c r="H61" s="1305">
        <f>[11]Stoping!H61</f>
        <v>0</v>
      </c>
      <c r="I61" s="1303">
        <f>[11]Stoping!I61</f>
        <v>0</v>
      </c>
      <c r="J61" s="1303">
        <f>[11]Stoping!J61</f>
        <v>0</v>
      </c>
      <c r="K61" s="1303">
        <f>[11]Stoping!K61</f>
        <v>0</v>
      </c>
      <c r="L61" s="1303">
        <f>[11]Stoping!L61</f>
        <v>0</v>
      </c>
      <c r="M61" s="1303">
        <f>[11]Stoping!M61</f>
        <v>0</v>
      </c>
      <c r="N61" s="1303">
        <f>[11]Stoping!N61</f>
        <v>0</v>
      </c>
      <c r="O61" s="1303">
        <f>[11]Stoping!O61</f>
        <v>0</v>
      </c>
      <c r="P61" s="1303">
        <f>[11]Stoping!P61</f>
        <v>0</v>
      </c>
      <c r="Q61" s="1303">
        <f>[11]Stoping!Q61</f>
        <v>0</v>
      </c>
      <c r="R61" s="1303">
        <f>[11]Stoping!R61</f>
        <v>0</v>
      </c>
      <c r="S61" s="1303">
        <f>[11]Stoping!S61</f>
        <v>0</v>
      </c>
      <c r="T61" s="1303">
        <f>[11]Stoping!T61</f>
        <v>0</v>
      </c>
      <c r="U61" s="1303">
        <f>[11]Stoping!U61</f>
        <v>0</v>
      </c>
      <c r="V61" s="1303">
        <f>[11]Stoping!V61</f>
        <v>0</v>
      </c>
      <c r="W61" s="1303">
        <f>[11]Stoping!W61</f>
        <v>0</v>
      </c>
      <c r="X61" s="1303">
        <f>[11]Stoping!X61</f>
        <v>0</v>
      </c>
      <c r="Y61" s="1303">
        <f>[11]Stoping!Y61</f>
        <v>0</v>
      </c>
      <c r="Z61" s="1303">
        <f>[11]Stoping!Z61</f>
        <v>0</v>
      </c>
      <c r="AA61" s="1303">
        <f>[11]Stoping!AA61</f>
        <v>0</v>
      </c>
      <c r="AB61" s="1303">
        <f>[11]Stoping!AB61</f>
        <v>0</v>
      </c>
      <c r="AC61" s="1303">
        <f>[11]Stoping!AC61</f>
        <v>0</v>
      </c>
      <c r="AD61" s="1303">
        <f>[11]Stoping!AD61</f>
        <v>0</v>
      </c>
      <c r="AE61" s="1303">
        <f>[11]Stoping!AE61</f>
        <v>0</v>
      </c>
      <c r="AF61" s="1303">
        <f>[11]Stoping!AF61</f>
        <v>0</v>
      </c>
      <c r="AG61" s="1303">
        <f>[11]Stoping!AG61</f>
        <v>0</v>
      </c>
      <c r="AH61" s="1303">
        <f>[11]Stoping!AH61</f>
        <v>0</v>
      </c>
      <c r="AI61" s="1303">
        <f>[11]Stoping!AI61</f>
        <v>0</v>
      </c>
      <c r="AJ61" s="1303">
        <f>[11]Stoping!AJ61</f>
        <v>0</v>
      </c>
      <c r="AK61" s="1303">
        <f>[11]Stoping!AK61</f>
        <v>0</v>
      </c>
      <c r="AL61" s="1303">
        <f>[11]Stoping!AL61</f>
        <v>0</v>
      </c>
      <c r="AM61" s="347"/>
    </row>
    <row r="62" spans="1:39" ht="15.75" thickBot="1" x14ac:dyDescent="0.3">
      <c r="A62" s="202"/>
      <c r="B62" s="1608"/>
      <c r="C62" s="1693"/>
      <c r="D62" s="1696"/>
      <c r="E62" s="1389" t="str">
        <f>[11]Stoping!E62</f>
        <v>Reason if Actual is RED</v>
      </c>
      <c r="F62" s="1390">
        <f>[11]Stoping!F62</f>
        <v>0</v>
      </c>
      <c r="G62" s="1391">
        <f>[11]Stoping!G62</f>
        <v>0</v>
      </c>
      <c r="H62" s="203">
        <f>[11]Stoping!H62</f>
        <v>0</v>
      </c>
      <c r="I62" s="203">
        <f>[11]Stoping!I62</f>
        <v>0</v>
      </c>
      <c r="J62" s="203">
        <f>[11]Stoping!J62</f>
        <v>0</v>
      </c>
      <c r="K62" s="203">
        <f>[11]Stoping!K62</f>
        <v>0</v>
      </c>
      <c r="L62" s="203">
        <f>[11]Stoping!L62</f>
        <v>0</v>
      </c>
      <c r="M62" s="203">
        <f>[11]Stoping!M62</f>
        <v>0</v>
      </c>
      <c r="N62" s="203">
        <f>[11]Stoping!N62</f>
        <v>0</v>
      </c>
      <c r="O62" s="203">
        <f>[11]Stoping!O62</f>
        <v>0</v>
      </c>
      <c r="P62" s="204">
        <f>[11]Stoping!P62</f>
        <v>0</v>
      </c>
      <c r="Q62" s="203">
        <f>[11]Stoping!Q62</f>
        <v>0</v>
      </c>
      <c r="R62" s="203">
        <f>[11]Stoping!R62</f>
        <v>0</v>
      </c>
      <c r="S62" s="203">
        <f>[11]Stoping!S62</f>
        <v>0</v>
      </c>
      <c r="T62" s="203">
        <f>[11]Stoping!T62</f>
        <v>0</v>
      </c>
      <c r="U62" s="203">
        <f>[11]Stoping!U62</f>
        <v>0</v>
      </c>
      <c r="V62" s="203">
        <f>[11]Stoping!V62</f>
        <v>0</v>
      </c>
      <c r="W62" s="203">
        <f>[11]Stoping!W62</f>
        <v>0</v>
      </c>
      <c r="X62" s="203">
        <f>[11]Stoping!X62</f>
        <v>0</v>
      </c>
      <c r="Y62" s="203">
        <f>[11]Stoping!Y62</f>
        <v>0</v>
      </c>
      <c r="Z62" s="203">
        <f>[11]Stoping!Z62</f>
        <v>0</v>
      </c>
      <c r="AA62" s="203">
        <f>[11]Stoping!AA62</f>
        <v>0</v>
      </c>
      <c r="AB62" s="203">
        <f>[11]Stoping!AB62</f>
        <v>0</v>
      </c>
      <c r="AC62" s="203">
        <f>[11]Stoping!AC62</f>
        <v>0</v>
      </c>
      <c r="AD62" s="203">
        <f>[11]Stoping!AD62</f>
        <v>0</v>
      </c>
      <c r="AE62" s="203">
        <f>[11]Stoping!AE62</f>
        <v>0</v>
      </c>
      <c r="AF62" s="203">
        <f>[11]Stoping!AF62</f>
        <v>0</v>
      </c>
      <c r="AG62" s="203">
        <f>[11]Stoping!AG62</f>
        <v>0</v>
      </c>
      <c r="AH62" s="203">
        <f>[11]Stoping!AH62</f>
        <v>0</v>
      </c>
      <c r="AI62" s="203">
        <f>[11]Stoping!AI62</f>
        <v>0</v>
      </c>
      <c r="AJ62" s="203">
        <f>[11]Stoping!AJ62</f>
        <v>0</v>
      </c>
      <c r="AK62" s="203">
        <f>[11]Stoping!AK62</f>
        <v>0</v>
      </c>
      <c r="AL62" s="205">
        <f>[11]Stoping!AL62</f>
        <v>0</v>
      </c>
      <c r="AM62" s="846"/>
    </row>
    <row r="63" spans="1:39" ht="15.75" thickBot="1" x14ac:dyDescent="0.3">
      <c r="A63" s="202"/>
      <c r="B63" s="1608"/>
      <c r="C63" s="1693"/>
      <c r="D63" s="1686" t="str">
        <f>[11]Stoping!D63</f>
        <v>Grade</v>
      </c>
      <c r="E63" s="1384" t="str">
        <f>[11]Stoping!E63</f>
        <v>Budget (g/t)</v>
      </c>
      <c r="F63" s="1310">
        <f>[11]Stoping!F63</f>
        <v>0</v>
      </c>
      <c r="G63" s="1385">
        <f>[11]Stoping!G63</f>
        <v>0</v>
      </c>
      <c r="H63" s="1312">
        <f>[11]Stoping!H63</f>
        <v>0</v>
      </c>
      <c r="I63" s="1312">
        <f>[11]Stoping!I63</f>
        <v>0</v>
      </c>
      <c r="J63" s="1312">
        <f>[11]Stoping!J63</f>
        <v>0</v>
      </c>
      <c r="K63" s="1312">
        <f>[11]Stoping!K63</f>
        <v>0</v>
      </c>
      <c r="L63" s="1312">
        <f>[11]Stoping!L63</f>
        <v>0</v>
      </c>
      <c r="M63" s="1312">
        <f>[11]Stoping!M63</f>
        <v>0</v>
      </c>
      <c r="N63" s="1312">
        <f>[11]Stoping!N63</f>
        <v>0</v>
      </c>
      <c r="O63" s="1312">
        <f>[11]Stoping!O63</f>
        <v>0</v>
      </c>
      <c r="P63" s="1312">
        <f>[11]Stoping!P63</f>
        <v>0</v>
      </c>
      <c r="Q63" s="1312">
        <f>[11]Stoping!Q63</f>
        <v>0</v>
      </c>
      <c r="R63" s="1312">
        <f>[11]Stoping!R63</f>
        <v>0</v>
      </c>
      <c r="S63" s="1312">
        <f>[11]Stoping!S63</f>
        <v>0</v>
      </c>
      <c r="T63" s="1312">
        <f>[11]Stoping!T63</f>
        <v>0</v>
      </c>
      <c r="U63" s="1312">
        <f>[11]Stoping!U63</f>
        <v>0</v>
      </c>
      <c r="V63" s="1312">
        <f>[11]Stoping!V63</f>
        <v>0</v>
      </c>
      <c r="W63" s="1312">
        <f>[11]Stoping!W63</f>
        <v>0</v>
      </c>
      <c r="X63" s="1312">
        <f>[11]Stoping!X63</f>
        <v>0</v>
      </c>
      <c r="Y63" s="1312">
        <f>[11]Stoping!Y63</f>
        <v>0</v>
      </c>
      <c r="Z63" s="1312">
        <f>[11]Stoping!Z63</f>
        <v>0</v>
      </c>
      <c r="AA63" s="1312">
        <f>[11]Stoping!AA63</f>
        <v>0</v>
      </c>
      <c r="AB63" s="1312">
        <f>[11]Stoping!AB63</f>
        <v>0</v>
      </c>
      <c r="AC63" s="1312">
        <f>[11]Stoping!AC63</f>
        <v>0</v>
      </c>
      <c r="AD63" s="1312">
        <f>[11]Stoping!AD63</f>
        <v>0</v>
      </c>
      <c r="AE63" s="1312">
        <f>[11]Stoping!AE63</f>
        <v>0</v>
      </c>
      <c r="AF63" s="1312">
        <f>[11]Stoping!AF63</f>
        <v>0</v>
      </c>
      <c r="AG63" s="1312">
        <f>[11]Stoping!AG63</f>
        <v>0</v>
      </c>
      <c r="AH63" s="1312">
        <f>[11]Stoping!AH63</f>
        <v>0</v>
      </c>
      <c r="AI63" s="1312">
        <f>[11]Stoping!AI63</f>
        <v>0</v>
      </c>
      <c r="AJ63" s="1312">
        <f>[11]Stoping!AJ63</f>
        <v>0</v>
      </c>
      <c r="AK63" s="1312">
        <f>[11]Stoping!AK63</f>
        <v>0</v>
      </c>
      <c r="AL63" s="1312">
        <f>[11]Stoping!AL63</f>
        <v>0</v>
      </c>
      <c r="AM63" s="347"/>
    </row>
    <row r="64" spans="1:39" ht="15.75" thickBot="1" x14ac:dyDescent="0.3">
      <c r="A64" s="202"/>
      <c r="B64" s="1608"/>
      <c r="C64" s="1693"/>
      <c r="D64" s="1686"/>
      <c r="E64" s="1386" t="str">
        <f>[11]Stoping!E64</f>
        <v>Actual (g/t)</v>
      </c>
      <c r="F64" s="1314">
        <f>[11]Stoping!F64</f>
        <v>0</v>
      </c>
      <c r="G64" s="1380">
        <f>[11]Stoping!G64</f>
        <v>0</v>
      </c>
      <c r="H64" s="1315">
        <f>[11]Stoping!H64</f>
        <v>0</v>
      </c>
      <c r="I64" s="1314">
        <f>[11]Stoping!I64</f>
        <v>0</v>
      </c>
      <c r="J64" s="1314">
        <f>[11]Stoping!J64</f>
        <v>0</v>
      </c>
      <c r="K64" s="1314">
        <f>[11]Stoping!K64</f>
        <v>0</v>
      </c>
      <c r="L64" s="1314">
        <f>[11]Stoping!L64</f>
        <v>0</v>
      </c>
      <c r="M64" s="1314">
        <f>[11]Stoping!M64</f>
        <v>0</v>
      </c>
      <c r="N64" s="1314">
        <f>[11]Stoping!N64</f>
        <v>0</v>
      </c>
      <c r="O64" s="1314">
        <f>[11]Stoping!O64</f>
        <v>0</v>
      </c>
      <c r="P64" s="1314">
        <f>[11]Stoping!P64</f>
        <v>0</v>
      </c>
      <c r="Q64" s="1314">
        <f>[11]Stoping!Q64</f>
        <v>0</v>
      </c>
      <c r="R64" s="1314">
        <f>[11]Stoping!R64</f>
        <v>0</v>
      </c>
      <c r="S64" s="1314">
        <f>[11]Stoping!S64</f>
        <v>0</v>
      </c>
      <c r="T64" s="1314">
        <f>[11]Stoping!T64</f>
        <v>0</v>
      </c>
      <c r="U64" s="1314">
        <f>[11]Stoping!U64</f>
        <v>0</v>
      </c>
      <c r="V64" s="1314">
        <f>[11]Stoping!V64</f>
        <v>0</v>
      </c>
      <c r="W64" s="1314">
        <f>[11]Stoping!W64</f>
        <v>0</v>
      </c>
      <c r="X64" s="1314">
        <f>[11]Stoping!X64</f>
        <v>0</v>
      </c>
      <c r="Y64" s="1314">
        <f>[11]Stoping!Y64</f>
        <v>0</v>
      </c>
      <c r="Z64" s="1314">
        <f>[11]Stoping!Z64</f>
        <v>0</v>
      </c>
      <c r="AA64" s="1314">
        <f>[11]Stoping!AA64</f>
        <v>0</v>
      </c>
      <c r="AB64" s="1314">
        <f>[11]Stoping!AB64</f>
        <v>0</v>
      </c>
      <c r="AC64" s="1314">
        <f>[11]Stoping!AC64</f>
        <v>0</v>
      </c>
      <c r="AD64" s="1314">
        <f>[11]Stoping!AD64</f>
        <v>0</v>
      </c>
      <c r="AE64" s="1314">
        <f>[11]Stoping!AE64</f>
        <v>0</v>
      </c>
      <c r="AF64" s="1314">
        <f>[11]Stoping!AF64</f>
        <v>0</v>
      </c>
      <c r="AG64" s="1314">
        <f>[11]Stoping!AG64</f>
        <v>0</v>
      </c>
      <c r="AH64" s="1314">
        <f>[11]Stoping!AH64</f>
        <v>0</v>
      </c>
      <c r="AI64" s="1314">
        <f>[11]Stoping!AI64</f>
        <v>0</v>
      </c>
      <c r="AJ64" s="1314">
        <f>[11]Stoping!AJ64</f>
        <v>0</v>
      </c>
      <c r="AK64" s="1314">
        <f>[11]Stoping!AK64</f>
        <v>0</v>
      </c>
      <c r="AL64" s="1314">
        <f>[11]Stoping!AL64</f>
        <v>0</v>
      </c>
      <c r="AM64" s="347"/>
    </row>
    <row r="65" spans="1:39" ht="15.75" thickBot="1" x14ac:dyDescent="0.3">
      <c r="A65" s="202"/>
      <c r="B65" s="1608"/>
      <c r="C65" s="1693"/>
      <c r="D65" s="1686" t="str">
        <f>[11]Stoping!D65</f>
        <v>Gold</v>
      </c>
      <c r="E65" s="1384" t="str">
        <f>[11]Stoping!E65</f>
        <v>Budget (kg)</v>
      </c>
      <c r="F65" s="206">
        <f>[11]Stoping!F65</f>
        <v>0</v>
      </c>
      <c r="G65" s="1385">
        <f>[11]Stoping!G65</f>
        <v>0</v>
      </c>
      <c r="H65" s="1316">
        <f>[11]Stoping!H65</f>
        <v>0</v>
      </c>
      <c r="I65" s="1316">
        <f>[11]Stoping!I65</f>
        <v>0</v>
      </c>
      <c r="J65" s="1316">
        <f>[11]Stoping!J65</f>
        <v>0</v>
      </c>
      <c r="K65" s="1317">
        <f>[11]Stoping!K65</f>
        <v>0</v>
      </c>
      <c r="L65" s="1317">
        <f>[11]Stoping!L65</f>
        <v>0</v>
      </c>
      <c r="M65" s="1317">
        <f>[11]Stoping!M65</f>
        <v>0</v>
      </c>
      <c r="N65" s="1317">
        <f>[11]Stoping!N65</f>
        <v>0</v>
      </c>
      <c r="O65" s="1317">
        <f>[11]Stoping!O65</f>
        <v>0</v>
      </c>
      <c r="P65" s="1318">
        <f>[11]Stoping!P65</f>
        <v>0</v>
      </c>
      <c r="Q65" s="1317">
        <f>[11]Stoping!Q65</f>
        <v>0</v>
      </c>
      <c r="R65" s="1317">
        <f>[11]Stoping!R65</f>
        <v>0</v>
      </c>
      <c r="S65" s="1317">
        <f>[11]Stoping!S65</f>
        <v>0</v>
      </c>
      <c r="T65" s="1317">
        <f>[11]Stoping!T65</f>
        <v>0</v>
      </c>
      <c r="U65" s="1317">
        <f>[11]Stoping!U65</f>
        <v>0</v>
      </c>
      <c r="V65" s="1317">
        <f>[11]Stoping!V65</f>
        <v>0</v>
      </c>
      <c r="W65" s="1317">
        <f>[11]Stoping!W65</f>
        <v>0</v>
      </c>
      <c r="X65" s="1317">
        <f>[11]Stoping!X65</f>
        <v>0</v>
      </c>
      <c r="Y65" s="1317">
        <f>[11]Stoping!Y65</f>
        <v>0</v>
      </c>
      <c r="Z65" s="1317">
        <f>[11]Stoping!Z65</f>
        <v>0</v>
      </c>
      <c r="AA65" s="1317">
        <f>[11]Stoping!AA65</f>
        <v>0</v>
      </c>
      <c r="AB65" s="1317">
        <f>[11]Stoping!AB65</f>
        <v>0</v>
      </c>
      <c r="AC65" s="1317">
        <f>[11]Stoping!AC65</f>
        <v>0</v>
      </c>
      <c r="AD65" s="1317">
        <f>[11]Stoping!AD65</f>
        <v>0</v>
      </c>
      <c r="AE65" s="1317">
        <f>[11]Stoping!AE65</f>
        <v>0</v>
      </c>
      <c r="AF65" s="1317">
        <f>[11]Stoping!AF65</f>
        <v>0</v>
      </c>
      <c r="AG65" s="1317">
        <f>[11]Stoping!AG65</f>
        <v>0</v>
      </c>
      <c r="AH65" s="1317">
        <f>[11]Stoping!AH65</f>
        <v>0</v>
      </c>
      <c r="AI65" s="1317">
        <f>[11]Stoping!AI65</f>
        <v>0</v>
      </c>
      <c r="AJ65" s="1317">
        <f>[11]Stoping!AJ65</f>
        <v>0</v>
      </c>
      <c r="AK65" s="1317">
        <f>[11]Stoping!AK65</f>
        <v>0</v>
      </c>
      <c r="AL65" s="1319">
        <f>[11]Stoping!AL65</f>
        <v>0</v>
      </c>
      <c r="AM65" s="705"/>
    </row>
    <row r="66" spans="1:39" ht="15.75" thickBot="1" x14ac:dyDescent="0.3">
      <c r="A66" s="202"/>
      <c r="B66" s="1609"/>
      <c r="C66" s="1694"/>
      <c r="D66" s="1687"/>
      <c r="E66" s="1387" t="str">
        <f>[11]Stoping!E66</f>
        <v>Actual (kg)</v>
      </c>
      <c r="F66" s="1321">
        <f>[11]Stoping!F66</f>
        <v>0</v>
      </c>
      <c r="G66" s="1388">
        <f>[11]Stoping!G66</f>
        <v>0</v>
      </c>
      <c r="H66" s="1323">
        <f>[11]Stoping!H66</f>
        <v>0</v>
      </c>
      <c r="I66" s="1321">
        <f>[11]Stoping!I66</f>
        <v>0</v>
      </c>
      <c r="J66" s="1321">
        <f>[11]Stoping!J66</f>
        <v>0</v>
      </c>
      <c r="K66" s="1321">
        <f>[11]Stoping!K66</f>
        <v>0</v>
      </c>
      <c r="L66" s="1321">
        <f>[11]Stoping!L66</f>
        <v>0</v>
      </c>
      <c r="M66" s="1321">
        <f>[11]Stoping!M66</f>
        <v>0</v>
      </c>
      <c r="N66" s="1321">
        <f>[11]Stoping!N66</f>
        <v>0</v>
      </c>
      <c r="O66" s="1321">
        <f>[11]Stoping!O66</f>
        <v>0</v>
      </c>
      <c r="P66" s="1321">
        <f>[11]Stoping!P66</f>
        <v>0</v>
      </c>
      <c r="Q66" s="1321">
        <f>[11]Stoping!Q66</f>
        <v>0</v>
      </c>
      <c r="R66" s="1321">
        <f>[11]Stoping!R66</f>
        <v>0</v>
      </c>
      <c r="S66" s="1321">
        <f>[11]Stoping!S66</f>
        <v>0</v>
      </c>
      <c r="T66" s="1321">
        <f>[11]Stoping!T66</f>
        <v>0</v>
      </c>
      <c r="U66" s="1321">
        <f>[11]Stoping!U66</f>
        <v>0</v>
      </c>
      <c r="V66" s="1321">
        <f>[11]Stoping!V66</f>
        <v>0</v>
      </c>
      <c r="W66" s="1321">
        <f>[11]Stoping!W66</f>
        <v>0</v>
      </c>
      <c r="X66" s="1321">
        <f>[11]Stoping!X66</f>
        <v>0</v>
      </c>
      <c r="Y66" s="1321">
        <f>[11]Stoping!Y66</f>
        <v>0</v>
      </c>
      <c r="Z66" s="1321">
        <f>[11]Stoping!Z66</f>
        <v>0</v>
      </c>
      <c r="AA66" s="1321">
        <f>[11]Stoping!AA66</f>
        <v>0</v>
      </c>
      <c r="AB66" s="1321">
        <f>[11]Stoping!AB66</f>
        <v>0</v>
      </c>
      <c r="AC66" s="1321">
        <f>[11]Stoping!AC66</f>
        <v>0</v>
      </c>
      <c r="AD66" s="1321">
        <f>[11]Stoping!AD66</f>
        <v>0</v>
      </c>
      <c r="AE66" s="1321">
        <f>[11]Stoping!AE66</f>
        <v>0</v>
      </c>
      <c r="AF66" s="1321">
        <f>[11]Stoping!AF66</f>
        <v>0</v>
      </c>
      <c r="AG66" s="1321">
        <f>[11]Stoping!AG66</f>
        <v>0</v>
      </c>
      <c r="AH66" s="1321">
        <f>[11]Stoping!AH66</f>
        <v>0</v>
      </c>
      <c r="AI66" s="1321">
        <f>[11]Stoping!AI66</f>
        <v>0</v>
      </c>
      <c r="AJ66" s="1321">
        <f>[11]Stoping!AJ66</f>
        <v>0</v>
      </c>
      <c r="AK66" s="1321">
        <f>[11]Stoping!AK66</f>
        <v>0</v>
      </c>
      <c r="AL66" s="1321">
        <f>[11]Stoping!AL66</f>
        <v>0</v>
      </c>
      <c r="AM66" s="706"/>
    </row>
    <row r="67" spans="1:39" ht="15.75" thickBot="1" x14ac:dyDescent="0.3">
      <c r="A67" s="202"/>
      <c r="B67" s="1608">
        <v>1</v>
      </c>
      <c r="C67" s="1692" t="str">
        <f>[11]Stoping!C67</f>
        <v>5L_W8 STOPE</v>
      </c>
      <c r="D67" s="1696" t="str">
        <f>[11]Stoping!D67</f>
        <v>Tonnes</v>
      </c>
      <c r="E67" s="293" t="str">
        <f>[11]Stoping!E67</f>
        <v>Budget (t)</v>
      </c>
      <c r="F67" s="196">
        <f>[11]Stoping!F67</f>
        <v>1680</v>
      </c>
      <c r="G67" s="197">
        <f>[11]Stoping!G67</f>
        <v>0</v>
      </c>
      <c r="H67" s="945">
        <f>[11]Stoping!H67</f>
        <v>0</v>
      </c>
      <c r="I67" s="945">
        <f>[11]Stoping!I67</f>
        <v>0</v>
      </c>
      <c r="J67" s="945">
        <f>[11]Stoping!J67</f>
        <v>0</v>
      </c>
      <c r="K67" s="945">
        <f>[11]Stoping!K67</f>
        <v>0</v>
      </c>
      <c r="L67" s="945">
        <f>[11]Stoping!L67</f>
        <v>0</v>
      </c>
      <c r="M67" s="945">
        <f>[11]Stoping!M67</f>
        <v>70</v>
      </c>
      <c r="N67" s="945">
        <f>[11]Stoping!N67</f>
        <v>70</v>
      </c>
      <c r="O67" s="945">
        <f>[11]Stoping!O67</f>
        <v>70</v>
      </c>
      <c r="P67" s="945">
        <f>[11]Stoping!P67</f>
        <v>70</v>
      </c>
      <c r="Q67" s="945">
        <f>[11]Stoping!Q67</f>
        <v>70</v>
      </c>
      <c r="R67" s="945">
        <f>[11]Stoping!R67</f>
        <v>70</v>
      </c>
      <c r="S67" s="945">
        <f>[11]Stoping!S67</f>
        <v>70</v>
      </c>
      <c r="T67" s="945">
        <f>[11]Stoping!T67</f>
        <v>70</v>
      </c>
      <c r="U67" s="945">
        <f>[11]Stoping!U67</f>
        <v>70</v>
      </c>
      <c r="V67" s="945">
        <f>[11]Stoping!V67</f>
        <v>70</v>
      </c>
      <c r="W67" s="945">
        <f>[11]Stoping!W67</f>
        <v>70</v>
      </c>
      <c r="X67" s="945">
        <f>[11]Stoping!X67</f>
        <v>70</v>
      </c>
      <c r="Y67" s="945">
        <f>[11]Stoping!Y67</f>
        <v>70</v>
      </c>
      <c r="Z67" s="945">
        <f>[11]Stoping!Z67</f>
        <v>70</v>
      </c>
      <c r="AA67" s="945">
        <f>[11]Stoping!AA67</f>
        <v>70</v>
      </c>
      <c r="AB67" s="945">
        <f>[11]Stoping!AB67</f>
        <v>70</v>
      </c>
      <c r="AC67" s="945">
        <f>[11]Stoping!AC67</f>
        <v>70</v>
      </c>
      <c r="AD67" s="945">
        <f>[11]Stoping!AD67</f>
        <v>70</v>
      </c>
      <c r="AE67" s="945">
        <f>[11]Stoping!AE67</f>
        <v>70</v>
      </c>
      <c r="AF67" s="945">
        <f>[11]Stoping!AF67</f>
        <v>0</v>
      </c>
      <c r="AG67" s="945">
        <f>[11]Stoping!AG67</f>
        <v>70</v>
      </c>
      <c r="AH67" s="945">
        <f>[11]Stoping!AH67</f>
        <v>70</v>
      </c>
      <c r="AI67" s="945">
        <f>[11]Stoping!AI67</f>
        <v>70</v>
      </c>
      <c r="AJ67" s="945">
        <f>[11]Stoping!AJ67</f>
        <v>70</v>
      </c>
      <c r="AK67" s="945">
        <f>[11]Stoping!AK67</f>
        <v>70</v>
      </c>
      <c r="AL67" s="945">
        <f>[11]Stoping!AL67</f>
        <v>70</v>
      </c>
      <c r="AM67" s="845"/>
    </row>
    <row r="68" spans="1:39" ht="15.75" thickBot="1" x14ac:dyDescent="0.3">
      <c r="A68" s="202"/>
      <c r="B68" s="1608"/>
      <c r="C68" s="1693"/>
      <c r="D68" s="1696"/>
      <c r="E68" s="1379" t="str">
        <f>[11]Stoping!E68</f>
        <v>Actual (t)</v>
      </c>
      <c r="F68" s="1303">
        <f>[11]Stoping!F68</f>
        <v>3407</v>
      </c>
      <c r="G68" s="1380">
        <f>[11]Stoping!G68</f>
        <v>1.0279761904761904</v>
      </c>
      <c r="H68" s="1305">
        <f>[11]Stoping!H68</f>
        <v>83</v>
      </c>
      <c r="I68" s="1303">
        <f>[11]Stoping!I68</f>
        <v>72</v>
      </c>
      <c r="J68" s="1303">
        <f>[11]Stoping!J68</f>
        <v>66</v>
      </c>
      <c r="K68" s="1303">
        <f>[11]Stoping!K68</f>
        <v>110</v>
      </c>
      <c r="L68" s="1303">
        <f>[11]Stoping!L68</f>
        <v>144</v>
      </c>
      <c r="M68" s="1303">
        <f>[11]Stoping!M68</f>
        <v>157</v>
      </c>
      <c r="N68" s="1303">
        <f>[11]Stoping!N68</f>
        <v>136</v>
      </c>
      <c r="O68" s="1303">
        <f>[11]Stoping!O68</f>
        <v>161</v>
      </c>
      <c r="P68" s="1303">
        <f>[11]Stoping!P68</f>
        <v>174</v>
      </c>
      <c r="Q68" s="1303">
        <f>[11]Stoping!Q68</f>
        <v>147</v>
      </c>
      <c r="R68" s="1303">
        <f>[11]Stoping!R68</f>
        <v>146</v>
      </c>
      <c r="S68" s="1303">
        <f>[11]Stoping!S68</f>
        <v>133</v>
      </c>
      <c r="T68" s="1303">
        <f>[11]Stoping!T68</f>
        <v>155</v>
      </c>
      <c r="U68" s="1303">
        <f>[11]Stoping!U68</f>
        <v>146</v>
      </c>
      <c r="V68" s="1303">
        <f>[11]Stoping!V68</f>
        <v>134</v>
      </c>
      <c r="W68" s="1303">
        <f>[11]Stoping!W68</f>
        <v>152</v>
      </c>
      <c r="X68" s="1303">
        <f>[11]Stoping!X68</f>
        <v>147</v>
      </c>
      <c r="Y68" s="1303">
        <f>[11]Stoping!Y68</f>
        <v>140</v>
      </c>
      <c r="Z68" s="1303">
        <f>[11]Stoping!Z68</f>
        <v>132</v>
      </c>
      <c r="AA68" s="1303">
        <f>[11]Stoping!AA68</f>
        <v>135</v>
      </c>
      <c r="AB68" s="1303">
        <f>[11]Stoping!AB68</f>
        <v>144</v>
      </c>
      <c r="AC68" s="1303">
        <f>[11]Stoping!AC68</f>
        <v>71</v>
      </c>
      <c r="AD68" s="1303">
        <f>[11]Stoping!AD68</f>
        <v>69</v>
      </c>
      <c r="AE68" s="1303">
        <f>[11]Stoping!AE68</f>
        <v>78</v>
      </c>
      <c r="AF68" s="1303">
        <f>[11]Stoping!AF68</f>
        <v>0</v>
      </c>
      <c r="AG68" s="1303">
        <f>[11]Stoping!AG68</f>
        <v>69</v>
      </c>
      <c r="AH68" s="1303">
        <f>[11]Stoping!AH68</f>
        <v>75</v>
      </c>
      <c r="AI68" s="1303">
        <f>[11]Stoping!AI68</f>
        <v>76</v>
      </c>
      <c r="AJ68" s="1303">
        <f>[11]Stoping!AJ68</f>
        <v>75</v>
      </c>
      <c r="AK68" s="1303">
        <f>[11]Stoping!AK68</f>
        <v>80</v>
      </c>
      <c r="AL68" s="1303">
        <f>[11]Stoping!AL68</f>
        <v>82</v>
      </c>
      <c r="AM68" s="347"/>
    </row>
    <row r="69" spans="1:39" ht="15.75" thickBot="1" x14ac:dyDescent="0.3">
      <c r="A69" s="202"/>
      <c r="B69" s="1608"/>
      <c r="C69" s="1693"/>
      <c r="D69" s="1696"/>
      <c r="E69" s="1389" t="str">
        <f>[11]Stoping!E69</f>
        <v>Reason if Actual is RED</v>
      </c>
      <c r="F69" s="1390">
        <f>[11]Stoping!F69</f>
        <v>0</v>
      </c>
      <c r="G69" s="1391">
        <f>[11]Stoping!G69</f>
        <v>0</v>
      </c>
      <c r="H69" s="203">
        <f>[11]Stoping!H69</f>
        <v>0</v>
      </c>
      <c r="I69" s="203">
        <f>[11]Stoping!I69</f>
        <v>0</v>
      </c>
      <c r="J69" s="203">
        <f>[11]Stoping!J69</f>
        <v>0</v>
      </c>
      <c r="K69" s="203">
        <f>[11]Stoping!K69</f>
        <v>0</v>
      </c>
      <c r="L69" s="203">
        <f>[11]Stoping!L69</f>
        <v>0</v>
      </c>
      <c r="M69" s="203">
        <f>[11]Stoping!M69</f>
        <v>0</v>
      </c>
      <c r="N69" s="203">
        <f>[11]Stoping!N69</f>
        <v>0</v>
      </c>
      <c r="O69" s="203">
        <f>[11]Stoping!O69</f>
        <v>0</v>
      </c>
      <c r="P69" s="204">
        <f>[11]Stoping!P69</f>
        <v>0</v>
      </c>
      <c r="Q69" s="203">
        <f>[11]Stoping!Q69</f>
        <v>0</v>
      </c>
      <c r="R69" s="203">
        <f>[11]Stoping!R69</f>
        <v>0</v>
      </c>
      <c r="S69" s="203">
        <f>[11]Stoping!S69</f>
        <v>0</v>
      </c>
      <c r="T69" s="203">
        <f>[11]Stoping!T69</f>
        <v>0</v>
      </c>
      <c r="U69" s="203">
        <f>[11]Stoping!U69</f>
        <v>0</v>
      </c>
      <c r="V69" s="203">
        <f>[11]Stoping!V69</f>
        <v>0</v>
      </c>
      <c r="W69" s="203">
        <f>[11]Stoping!W69</f>
        <v>0</v>
      </c>
      <c r="X69" s="203">
        <f>[11]Stoping!X69</f>
        <v>0</v>
      </c>
      <c r="Y69" s="203">
        <f>[11]Stoping!Y69</f>
        <v>0</v>
      </c>
      <c r="Z69" s="203">
        <f>[11]Stoping!Z69</f>
        <v>0</v>
      </c>
      <c r="AA69" s="203">
        <f>[11]Stoping!AA69</f>
        <v>0</v>
      </c>
      <c r="AB69" s="203">
        <f>[11]Stoping!AB69</f>
        <v>0</v>
      </c>
      <c r="AC69" s="203">
        <f>[11]Stoping!AC69</f>
        <v>0</v>
      </c>
      <c r="AD69" s="203">
        <f>[11]Stoping!AD69</f>
        <v>0</v>
      </c>
      <c r="AE69" s="203">
        <f>[11]Stoping!AE69</f>
        <v>0</v>
      </c>
      <c r="AF69" s="203">
        <f>[11]Stoping!AF69</f>
        <v>0</v>
      </c>
      <c r="AG69" s="203">
        <f>[11]Stoping!AG69</f>
        <v>0</v>
      </c>
      <c r="AH69" s="203">
        <f>[11]Stoping!AH69</f>
        <v>0</v>
      </c>
      <c r="AI69" s="203">
        <f>[11]Stoping!AI69</f>
        <v>0</v>
      </c>
      <c r="AJ69" s="203">
        <f>[11]Stoping!AJ69</f>
        <v>0</v>
      </c>
      <c r="AK69" s="203">
        <f>[11]Stoping!AK69</f>
        <v>0</v>
      </c>
      <c r="AL69" s="205">
        <f>[11]Stoping!AL69</f>
        <v>0</v>
      </c>
      <c r="AM69" s="846"/>
    </row>
    <row r="70" spans="1:39" ht="15.75" thickBot="1" x14ac:dyDescent="0.3">
      <c r="A70" s="202"/>
      <c r="B70" s="1608"/>
      <c r="C70" s="1693"/>
      <c r="D70" s="1686" t="str">
        <f>[11]Stoping!D70</f>
        <v>Grade</v>
      </c>
      <c r="E70" s="1384" t="str">
        <f>[11]Stoping!E70</f>
        <v>Budget (g/t)</v>
      </c>
      <c r="F70" s="1310">
        <f>[11]Stoping!F70</f>
        <v>2.02</v>
      </c>
      <c r="G70" s="1385">
        <f>[11]Stoping!G70</f>
        <v>0</v>
      </c>
      <c r="H70" s="1312">
        <f>[11]Stoping!H70</f>
        <v>0</v>
      </c>
      <c r="I70" s="1312">
        <f>[11]Stoping!I70</f>
        <v>2.02</v>
      </c>
      <c r="J70" s="1312">
        <f>[11]Stoping!J70</f>
        <v>2.02</v>
      </c>
      <c r="K70" s="1312">
        <f>[11]Stoping!K70</f>
        <v>2.02</v>
      </c>
      <c r="L70" s="1312">
        <f>[11]Stoping!L70</f>
        <v>2.02</v>
      </c>
      <c r="M70" s="1312">
        <f>[11]Stoping!M70</f>
        <v>2.02</v>
      </c>
      <c r="N70" s="1312">
        <f>[11]Stoping!N70</f>
        <v>2.02</v>
      </c>
      <c r="O70" s="1312">
        <f>[11]Stoping!O70</f>
        <v>2.02</v>
      </c>
      <c r="P70" s="1312">
        <f>[11]Stoping!P70</f>
        <v>2.02</v>
      </c>
      <c r="Q70" s="1312">
        <f>[11]Stoping!Q70</f>
        <v>2.02</v>
      </c>
      <c r="R70" s="1312">
        <f>[11]Stoping!R70</f>
        <v>2.02</v>
      </c>
      <c r="S70" s="1312">
        <f>[11]Stoping!S70</f>
        <v>2.02</v>
      </c>
      <c r="T70" s="1312">
        <f>[11]Stoping!T70</f>
        <v>2.02</v>
      </c>
      <c r="U70" s="1312">
        <f>[11]Stoping!U70</f>
        <v>2.02</v>
      </c>
      <c r="V70" s="1312">
        <f>[11]Stoping!V70</f>
        <v>2.02</v>
      </c>
      <c r="W70" s="1312">
        <f>[11]Stoping!W70</f>
        <v>2.02</v>
      </c>
      <c r="X70" s="1312">
        <f>[11]Stoping!X70</f>
        <v>2.02</v>
      </c>
      <c r="Y70" s="1312">
        <f>[11]Stoping!Y70</f>
        <v>2.02</v>
      </c>
      <c r="Z70" s="1312">
        <f>[11]Stoping!Z70</f>
        <v>2.02</v>
      </c>
      <c r="AA70" s="1312">
        <f>[11]Stoping!AA70</f>
        <v>2.02</v>
      </c>
      <c r="AB70" s="1312">
        <f>[11]Stoping!AB70</f>
        <v>2.02</v>
      </c>
      <c r="AC70" s="1312">
        <f>[11]Stoping!AC70</f>
        <v>2.02</v>
      </c>
      <c r="AD70" s="1312">
        <f>[11]Stoping!AD70</f>
        <v>2.02</v>
      </c>
      <c r="AE70" s="1312">
        <f>[11]Stoping!AE70</f>
        <v>2.02</v>
      </c>
      <c r="AF70" s="1312">
        <f>[11]Stoping!AF70</f>
        <v>0</v>
      </c>
      <c r="AG70" s="1312">
        <f>[11]Stoping!AG70</f>
        <v>2.02</v>
      </c>
      <c r="AH70" s="1312">
        <f>[11]Stoping!AH70</f>
        <v>2.02</v>
      </c>
      <c r="AI70" s="1312">
        <f>[11]Stoping!AI70</f>
        <v>2.02</v>
      </c>
      <c r="AJ70" s="1312">
        <f>[11]Stoping!AJ70</f>
        <v>2.02</v>
      </c>
      <c r="AK70" s="1312">
        <f>[11]Stoping!AK70</f>
        <v>2.02</v>
      </c>
      <c r="AL70" s="1312">
        <f>[11]Stoping!AL70</f>
        <v>2.02</v>
      </c>
      <c r="AM70" s="347"/>
    </row>
    <row r="71" spans="1:39" ht="15.75" thickBot="1" x14ac:dyDescent="0.3">
      <c r="A71" s="202"/>
      <c r="B71" s="1608"/>
      <c r="C71" s="1693"/>
      <c r="D71" s="1686"/>
      <c r="E71" s="1386" t="str">
        <f>[11]Stoping!E71</f>
        <v>Actual (g/t)</v>
      </c>
      <c r="F71" s="1314">
        <f>[11]Stoping!F71</f>
        <v>2.9248576460228941</v>
      </c>
      <c r="G71" s="1380">
        <f>[11]Stoping!G71</f>
        <v>0.44794932971430401</v>
      </c>
      <c r="H71" s="1315">
        <f>[11]Stoping!H71</f>
        <v>1.69</v>
      </c>
      <c r="I71" s="1314">
        <f>[11]Stoping!I71</f>
        <v>1.69</v>
      </c>
      <c r="J71" s="1314">
        <f>[11]Stoping!J71</f>
        <v>7</v>
      </c>
      <c r="K71" s="1314">
        <f>[11]Stoping!K71</f>
        <v>2.61</v>
      </c>
      <c r="L71" s="1314">
        <f>[11]Stoping!L71</f>
        <v>2.31</v>
      </c>
      <c r="M71" s="1314">
        <f>[11]Stoping!M71</f>
        <v>3.56</v>
      </c>
      <c r="N71" s="1314">
        <f>[11]Stoping!N71</f>
        <v>2.1800000000000002</v>
      </c>
      <c r="O71" s="1314">
        <f>[11]Stoping!O71</f>
        <v>2.4900000000000002</v>
      </c>
      <c r="P71" s="1314">
        <f>[11]Stoping!P71</f>
        <v>1.1000000000000001</v>
      </c>
      <c r="Q71" s="1314">
        <f>[11]Stoping!Q71</f>
        <v>2.33</v>
      </c>
      <c r="R71" s="1314">
        <f>[11]Stoping!R71</f>
        <v>2.33</v>
      </c>
      <c r="S71" s="1314">
        <f>[11]Stoping!S71</f>
        <v>1.72</v>
      </c>
      <c r="T71" s="1314">
        <f>[11]Stoping!T71</f>
        <v>7</v>
      </c>
      <c r="U71" s="1314">
        <f>[11]Stoping!U71</f>
        <v>3.51</v>
      </c>
      <c r="V71" s="1314">
        <f>[11]Stoping!V71</f>
        <v>6.43</v>
      </c>
      <c r="W71" s="1314">
        <f>[11]Stoping!W71</f>
        <v>2.82</v>
      </c>
      <c r="X71" s="1314">
        <f>[11]Stoping!X71</f>
        <v>2.2000000000000002</v>
      </c>
      <c r="Y71" s="1314">
        <f>[11]Stoping!Y71</f>
        <v>2.2000000000000002</v>
      </c>
      <c r="Z71" s="1314">
        <f>[11]Stoping!Z71</f>
        <v>1.91</v>
      </c>
      <c r="AA71" s="1314">
        <f>[11]Stoping!AA71</f>
        <v>4.3499999999999996</v>
      </c>
      <c r="AB71" s="1314">
        <f>[11]Stoping!AB71</f>
        <v>3.51</v>
      </c>
      <c r="AC71" s="1314">
        <f>[11]Stoping!AC71</f>
        <v>3.46</v>
      </c>
      <c r="AD71" s="1314">
        <f>[11]Stoping!AD71</f>
        <v>3.46</v>
      </c>
      <c r="AE71" s="1314">
        <f>[11]Stoping!AE71</f>
        <v>2.73</v>
      </c>
      <c r="AF71" s="1314">
        <f>[11]Stoping!AF71</f>
        <v>0</v>
      </c>
      <c r="AG71" s="1314">
        <f>[11]Stoping!AG71</f>
        <v>2.73</v>
      </c>
      <c r="AH71" s="1314">
        <f>[11]Stoping!AH71</f>
        <v>0.91</v>
      </c>
      <c r="AI71" s="1314">
        <f>[11]Stoping!AI71</f>
        <v>1.82</v>
      </c>
      <c r="AJ71" s="1314">
        <f>[11]Stoping!AJ71</f>
        <v>1.69</v>
      </c>
      <c r="AK71" s="1314">
        <f>[11]Stoping!AK71</f>
        <v>2.2400000000000002</v>
      </c>
      <c r="AL71" s="1314">
        <f>[11]Stoping!AL71</f>
        <v>3.32</v>
      </c>
      <c r="AM71" s="347"/>
    </row>
    <row r="72" spans="1:39" ht="15.75" thickBot="1" x14ac:dyDescent="0.3">
      <c r="A72" s="202"/>
      <c r="B72" s="1608"/>
      <c r="C72" s="1693"/>
      <c r="D72" s="1686" t="str">
        <f>[11]Stoping!D72</f>
        <v>Gold</v>
      </c>
      <c r="E72" s="1384" t="str">
        <f>[11]Stoping!E72</f>
        <v>Budget (kg)</v>
      </c>
      <c r="F72" s="206">
        <f>[11]Stoping!F72</f>
        <v>3.3935999999999997</v>
      </c>
      <c r="G72" s="1385">
        <f>[11]Stoping!G72</f>
        <v>0</v>
      </c>
      <c r="H72" s="1316">
        <f>[11]Stoping!H72</f>
        <v>0</v>
      </c>
      <c r="I72" s="1316">
        <f>[11]Stoping!I72</f>
        <v>0</v>
      </c>
      <c r="J72" s="1316">
        <f>[11]Stoping!J72</f>
        <v>0</v>
      </c>
      <c r="K72" s="1317">
        <f>[11]Stoping!K72</f>
        <v>0</v>
      </c>
      <c r="L72" s="1317">
        <f>[11]Stoping!L72</f>
        <v>0</v>
      </c>
      <c r="M72" s="1317">
        <f>[11]Stoping!M72</f>
        <v>0.1414</v>
      </c>
      <c r="N72" s="1317">
        <f>[11]Stoping!N72</f>
        <v>0.1414</v>
      </c>
      <c r="O72" s="1317">
        <f>[11]Stoping!O72</f>
        <v>0.1414</v>
      </c>
      <c r="P72" s="1318">
        <f>[11]Stoping!P72</f>
        <v>0.1414</v>
      </c>
      <c r="Q72" s="1317">
        <f>[11]Stoping!Q72</f>
        <v>0.1414</v>
      </c>
      <c r="R72" s="1317">
        <f>[11]Stoping!R72</f>
        <v>0.1414</v>
      </c>
      <c r="S72" s="1317">
        <f>[11]Stoping!S72</f>
        <v>0.1414</v>
      </c>
      <c r="T72" s="1317">
        <f>[11]Stoping!T72</f>
        <v>0.1414</v>
      </c>
      <c r="U72" s="1317">
        <f>[11]Stoping!U72</f>
        <v>0.1414</v>
      </c>
      <c r="V72" s="1317">
        <f>[11]Stoping!V72</f>
        <v>0.1414</v>
      </c>
      <c r="W72" s="1317">
        <f>[11]Stoping!W72</f>
        <v>0.1414</v>
      </c>
      <c r="X72" s="1317">
        <f>[11]Stoping!X72</f>
        <v>0.1414</v>
      </c>
      <c r="Y72" s="1317">
        <f>[11]Stoping!Y72</f>
        <v>0.1414</v>
      </c>
      <c r="Z72" s="1317">
        <f>[11]Stoping!Z72</f>
        <v>0.1414</v>
      </c>
      <c r="AA72" s="1317">
        <f>[11]Stoping!AA72</f>
        <v>0.1414</v>
      </c>
      <c r="AB72" s="1317">
        <f>[11]Stoping!AB72</f>
        <v>0.1414</v>
      </c>
      <c r="AC72" s="1317">
        <f>[11]Stoping!AC72</f>
        <v>0.1414</v>
      </c>
      <c r="AD72" s="1317">
        <f>[11]Stoping!AD72</f>
        <v>0.1414</v>
      </c>
      <c r="AE72" s="1317">
        <f>[11]Stoping!AE72</f>
        <v>0.1414</v>
      </c>
      <c r="AF72" s="1317">
        <f>[11]Stoping!AF72</f>
        <v>0</v>
      </c>
      <c r="AG72" s="1317">
        <f>[11]Stoping!AG72</f>
        <v>0.1414</v>
      </c>
      <c r="AH72" s="1317">
        <f>[11]Stoping!AH72</f>
        <v>0.1414</v>
      </c>
      <c r="AI72" s="1317">
        <f>[11]Stoping!AI72</f>
        <v>0.1414</v>
      </c>
      <c r="AJ72" s="1317">
        <f>[11]Stoping!AJ72</f>
        <v>0.1414</v>
      </c>
      <c r="AK72" s="1317">
        <f>[11]Stoping!AK72</f>
        <v>0.1414</v>
      </c>
      <c r="AL72" s="1319">
        <f>[11]Stoping!AL72</f>
        <v>0.1414</v>
      </c>
      <c r="AM72" s="705"/>
    </row>
    <row r="73" spans="1:39" ht="15.75" thickBot="1" x14ac:dyDescent="0.3">
      <c r="A73" s="202"/>
      <c r="B73" s="1609"/>
      <c r="C73" s="1694"/>
      <c r="D73" s="1687"/>
      <c r="E73" s="1387" t="str">
        <f>[11]Stoping!E73</f>
        <v>Actual (kg)</v>
      </c>
      <c r="F73" s="1321">
        <f>[11]Stoping!F73</f>
        <v>9.9649900000000002</v>
      </c>
      <c r="G73" s="1388">
        <f>[11]Stoping!G73</f>
        <v>1.936406765676568</v>
      </c>
      <c r="H73" s="1323">
        <f>[11]Stoping!H73</f>
        <v>0.14026999999999998</v>
      </c>
      <c r="I73" s="1321">
        <f>[11]Stoping!I73</f>
        <v>0.12168</v>
      </c>
      <c r="J73" s="1321">
        <f>[11]Stoping!J73</f>
        <v>0.46200000000000002</v>
      </c>
      <c r="K73" s="1321">
        <f>[11]Stoping!K73</f>
        <v>0.28709999999999997</v>
      </c>
      <c r="L73" s="1321">
        <f>[11]Stoping!L73</f>
        <v>0.33263999999999999</v>
      </c>
      <c r="M73" s="1321">
        <f>[11]Stoping!M73</f>
        <v>0.55891999999999997</v>
      </c>
      <c r="N73" s="1321">
        <f>[11]Stoping!N73</f>
        <v>0.29648000000000002</v>
      </c>
      <c r="O73" s="1321">
        <f>[11]Stoping!O73</f>
        <v>0.40089000000000002</v>
      </c>
      <c r="P73" s="1321">
        <f>[11]Stoping!P73</f>
        <v>0.19140000000000001</v>
      </c>
      <c r="Q73" s="1321">
        <f>[11]Stoping!Q73</f>
        <v>0.34250999999999998</v>
      </c>
      <c r="R73" s="1321">
        <f>[11]Stoping!R73</f>
        <v>0.34017999999999998</v>
      </c>
      <c r="S73" s="1321">
        <f>[11]Stoping!S73</f>
        <v>0.22875999999999999</v>
      </c>
      <c r="T73" s="1321">
        <f>[11]Stoping!T73</f>
        <v>1.085</v>
      </c>
      <c r="U73" s="1321">
        <f>[11]Stoping!U73</f>
        <v>0.51245999999999992</v>
      </c>
      <c r="V73" s="1321">
        <f>[11]Stoping!V73</f>
        <v>0.86162000000000005</v>
      </c>
      <c r="W73" s="1321">
        <f>[11]Stoping!W73</f>
        <v>0.42863999999999997</v>
      </c>
      <c r="X73" s="1321">
        <f>[11]Stoping!X73</f>
        <v>0.32340000000000002</v>
      </c>
      <c r="Y73" s="1321">
        <f>[11]Stoping!Y73</f>
        <v>0.308</v>
      </c>
      <c r="Z73" s="1321">
        <f>[11]Stoping!Z73</f>
        <v>0.25211999999999996</v>
      </c>
      <c r="AA73" s="1321">
        <f>[11]Stoping!AA73</f>
        <v>0.58725000000000005</v>
      </c>
      <c r="AB73" s="1321">
        <f>[11]Stoping!AB73</f>
        <v>0.50543999999999989</v>
      </c>
      <c r="AC73" s="1321">
        <f>[11]Stoping!AC73</f>
        <v>0.24565999999999999</v>
      </c>
      <c r="AD73" s="1321">
        <f>[11]Stoping!AD73</f>
        <v>0.23874000000000001</v>
      </c>
      <c r="AE73" s="1321">
        <f>[11]Stoping!AE73</f>
        <v>0.21293999999999999</v>
      </c>
      <c r="AF73" s="1321">
        <f>[11]Stoping!AF73</f>
        <v>0</v>
      </c>
      <c r="AG73" s="1321">
        <f>[11]Stoping!AG73</f>
        <v>0.18837000000000001</v>
      </c>
      <c r="AH73" s="1321">
        <f>[11]Stoping!AH73</f>
        <v>6.8250000000000005E-2</v>
      </c>
      <c r="AI73" s="1321">
        <f>[11]Stoping!AI73</f>
        <v>0.13832</v>
      </c>
      <c r="AJ73" s="1321">
        <f>[11]Stoping!AJ73</f>
        <v>0.12675</v>
      </c>
      <c r="AK73" s="1321">
        <f>[11]Stoping!AK73</f>
        <v>0.17920000000000003</v>
      </c>
      <c r="AL73" s="1321">
        <f>[11]Stoping!AL73</f>
        <v>0.27223999999999998</v>
      </c>
      <c r="AM73" s="706"/>
    </row>
    <row r="74" spans="1:39" ht="15.75" thickBot="1" x14ac:dyDescent="0.3">
      <c r="A74" s="202"/>
      <c r="B74" s="1607">
        <v>1</v>
      </c>
      <c r="C74" s="1692" t="str">
        <f>[11]Stoping!C74</f>
        <v>6L_E1 STOPE</v>
      </c>
      <c r="D74" s="1697" t="str">
        <f>[11]Stoping!D74</f>
        <v>Tonnes</v>
      </c>
      <c r="E74" s="195" t="str">
        <f>[11]Stoping!E74</f>
        <v>Budget (t)</v>
      </c>
      <c r="F74" s="295">
        <f>[11]Stoping!F74</f>
        <v>1960</v>
      </c>
      <c r="G74" s="296">
        <f>[11]Stoping!G74</f>
        <v>0</v>
      </c>
      <c r="H74" s="945">
        <f>[11]Stoping!H74</f>
        <v>0</v>
      </c>
      <c r="I74" s="945">
        <f>[11]Stoping!I74</f>
        <v>70</v>
      </c>
      <c r="J74" s="945">
        <f>[11]Stoping!J74</f>
        <v>70</v>
      </c>
      <c r="K74" s="945">
        <f>[11]Stoping!K74</f>
        <v>70</v>
      </c>
      <c r="L74" s="945">
        <f>[11]Stoping!L74</f>
        <v>70</v>
      </c>
      <c r="M74" s="945">
        <f>[11]Stoping!M74</f>
        <v>70</v>
      </c>
      <c r="N74" s="945">
        <f>[11]Stoping!N74</f>
        <v>70</v>
      </c>
      <c r="O74" s="945">
        <f>[11]Stoping!O74</f>
        <v>70</v>
      </c>
      <c r="P74" s="945">
        <f>[11]Stoping!P74</f>
        <v>70</v>
      </c>
      <c r="Q74" s="945">
        <f>[11]Stoping!Q74</f>
        <v>70</v>
      </c>
      <c r="R74" s="945">
        <f>[11]Stoping!R74</f>
        <v>70</v>
      </c>
      <c r="S74" s="945">
        <f>[11]Stoping!S74</f>
        <v>70</v>
      </c>
      <c r="T74" s="945">
        <f>[11]Stoping!T74</f>
        <v>70</v>
      </c>
      <c r="U74" s="945">
        <f>[11]Stoping!U74</f>
        <v>70</v>
      </c>
      <c r="V74" s="945">
        <f>[11]Stoping!V74</f>
        <v>70</v>
      </c>
      <c r="W74" s="945">
        <f>[11]Stoping!W74</f>
        <v>70</v>
      </c>
      <c r="X74" s="945">
        <f>[11]Stoping!X74</f>
        <v>70</v>
      </c>
      <c r="Y74" s="945">
        <f>[11]Stoping!Y74</f>
        <v>70</v>
      </c>
      <c r="Z74" s="945">
        <f>[11]Stoping!Z74</f>
        <v>70</v>
      </c>
      <c r="AA74" s="945">
        <f>[11]Stoping!AA74</f>
        <v>70</v>
      </c>
      <c r="AB74" s="945">
        <f>[11]Stoping!AB74</f>
        <v>70</v>
      </c>
      <c r="AC74" s="945">
        <f>[11]Stoping!AC74</f>
        <v>70</v>
      </c>
      <c r="AD74" s="945">
        <f>[11]Stoping!AD74</f>
        <v>70</v>
      </c>
      <c r="AE74" s="945">
        <f>[11]Stoping!AE74</f>
        <v>70</v>
      </c>
      <c r="AF74" s="945">
        <f>[11]Stoping!AF74</f>
        <v>0</v>
      </c>
      <c r="AG74" s="945">
        <f>[11]Stoping!AG74</f>
        <v>70</v>
      </c>
      <c r="AH74" s="945">
        <f>[11]Stoping!AH74</f>
        <v>70</v>
      </c>
      <c r="AI74" s="945">
        <f>[11]Stoping!AI74</f>
        <v>70</v>
      </c>
      <c r="AJ74" s="945">
        <f>[11]Stoping!AJ74</f>
        <v>70</v>
      </c>
      <c r="AK74" s="945">
        <f>[11]Stoping!AK74</f>
        <v>70</v>
      </c>
      <c r="AL74" s="945">
        <f>[11]Stoping!AL74</f>
        <v>70</v>
      </c>
      <c r="AM74" s="845"/>
    </row>
    <row r="75" spans="1:39" ht="15.75" thickBot="1" x14ac:dyDescent="0.3">
      <c r="A75" s="202"/>
      <c r="B75" s="1608"/>
      <c r="C75" s="1693"/>
      <c r="D75" s="1696"/>
      <c r="E75" s="1379" t="str">
        <f>[11]Stoping!E75</f>
        <v>Actual (t)</v>
      </c>
      <c r="F75" s="1303">
        <f>[11]Stoping!F75</f>
        <v>1975</v>
      </c>
      <c r="G75" s="1380">
        <f>[11]Stoping!G75</f>
        <v>7.6530612244897957E-3</v>
      </c>
      <c r="H75" s="1305">
        <f>[11]Stoping!H75</f>
        <v>72</v>
      </c>
      <c r="I75" s="1303">
        <f>[11]Stoping!I75</f>
        <v>70</v>
      </c>
      <c r="J75" s="1303">
        <f>[11]Stoping!J75</f>
        <v>72</v>
      </c>
      <c r="K75" s="1303">
        <f>[11]Stoping!K75</f>
        <v>76</v>
      </c>
      <c r="L75" s="1303">
        <f>[11]Stoping!L75</f>
        <v>78</v>
      </c>
      <c r="M75" s="1303">
        <f>[11]Stoping!M75</f>
        <v>90</v>
      </c>
      <c r="N75" s="1303">
        <f>[11]Stoping!N75</f>
        <v>88</v>
      </c>
      <c r="O75" s="1303">
        <f>[11]Stoping!O75</f>
        <v>70</v>
      </c>
      <c r="P75" s="1303">
        <f>[11]Stoping!P75</f>
        <v>70</v>
      </c>
      <c r="Q75" s="1303">
        <f>[11]Stoping!Q75</f>
        <v>70</v>
      </c>
      <c r="R75" s="1303">
        <f>[11]Stoping!R75</f>
        <v>71</v>
      </c>
      <c r="S75" s="1303">
        <f>[11]Stoping!S75</f>
        <v>64</v>
      </c>
      <c r="T75" s="1303">
        <f>[11]Stoping!T75</f>
        <v>71</v>
      </c>
      <c r="U75" s="1303">
        <f>[11]Stoping!U75</f>
        <v>73</v>
      </c>
      <c r="V75" s="1303">
        <f>[11]Stoping!V75</f>
        <v>70</v>
      </c>
      <c r="W75" s="1303">
        <f>[11]Stoping!W75</f>
        <v>74</v>
      </c>
      <c r="X75" s="1303">
        <f>[11]Stoping!X75</f>
        <v>67</v>
      </c>
      <c r="Y75" s="1303">
        <f>[11]Stoping!Y75</f>
        <v>62</v>
      </c>
      <c r="Z75" s="1303">
        <f>[11]Stoping!Z75</f>
        <v>62</v>
      </c>
      <c r="AA75" s="1303">
        <f>[11]Stoping!AA75</f>
        <v>68</v>
      </c>
      <c r="AB75" s="1303">
        <f>[11]Stoping!AB75</f>
        <v>74</v>
      </c>
      <c r="AC75" s="1303">
        <f>[11]Stoping!AC75</f>
        <v>74</v>
      </c>
      <c r="AD75" s="1303">
        <f>[11]Stoping!AD75</f>
        <v>66</v>
      </c>
      <c r="AE75" s="1303">
        <f>[11]Stoping!AE75</f>
        <v>35</v>
      </c>
      <c r="AF75" s="1303">
        <f>[11]Stoping!AF75</f>
        <v>0</v>
      </c>
      <c r="AG75" s="1303">
        <f>[11]Stoping!AG75</f>
        <v>70</v>
      </c>
      <c r="AH75" s="1303">
        <f>[11]Stoping!AH75</f>
        <v>72</v>
      </c>
      <c r="AI75" s="1303">
        <f>[11]Stoping!AI75</f>
        <v>70</v>
      </c>
      <c r="AJ75" s="1303">
        <f>[11]Stoping!AJ75</f>
        <v>37</v>
      </c>
      <c r="AK75" s="1303">
        <f>[11]Stoping!AK75</f>
        <v>39</v>
      </c>
      <c r="AL75" s="1303">
        <f>[11]Stoping!AL75</f>
        <v>38</v>
      </c>
      <c r="AM75" s="347"/>
    </row>
    <row r="76" spans="1:39" ht="15.75" thickBot="1" x14ac:dyDescent="0.3">
      <c r="A76" s="202"/>
      <c r="B76" s="1608"/>
      <c r="C76" s="1693"/>
      <c r="D76" s="1696"/>
      <c r="E76" s="1389" t="str">
        <f>[11]Stoping!E76</f>
        <v>Reason if Actual is RED</v>
      </c>
      <c r="F76" s="1390">
        <f>[11]Stoping!F76</f>
        <v>0</v>
      </c>
      <c r="G76" s="1391">
        <f>[11]Stoping!G76</f>
        <v>0</v>
      </c>
      <c r="H76" s="203">
        <f>[11]Stoping!H76</f>
        <v>0</v>
      </c>
      <c r="I76" s="203">
        <f>[11]Stoping!I76</f>
        <v>0</v>
      </c>
      <c r="J76" s="203">
        <f>[11]Stoping!J76</f>
        <v>0</v>
      </c>
      <c r="K76" s="203">
        <f>[11]Stoping!K76</f>
        <v>0</v>
      </c>
      <c r="L76" s="203">
        <f>[11]Stoping!L76</f>
        <v>0</v>
      </c>
      <c r="M76" s="203">
        <f>[11]Stoping!M76</f>
        <v>0</v>
      </c>
      <c r="N76" s="203">
        <f>[11]Stoping!N76</f>
        <v>0</v>
      </c>
      <c r="O76" s="203">
        <f>[11]Stoping!O76</f>
        <v>0</v>
      </c>
      <c r="P76" s="204">
        <f>[11]Stoping!P76</f>
        <v>0</v>
      </c>
      <c r="Q76" s="203">
        <f>[11]Stoping!Q76</f>
        <v>0</v>
      </c>
      <c r="R76" s="203">
        <f>[11]Stoping!R76</f>
        <v>0</v>
      </c>
      <c r="S76" s="203">
        <f>[11]Stoping!S76</f>
        <v>0</v>
      </c>
      <c r="T76" s="203">
        <f>[11]Stoping!T76</f>
        <v>0</v>
      </c>
      <c r="U76" s="203">
        <f>[11]Stoping!U76</f>
        <v>0</v>
      </c>
      <c r="V76" s="203">
        <f>[11]Stoping!V76</f>
        <v>0</v>
      </c>
      <c r="W76" s="203">
        <f>[11]Stoping!W76</f>
        <v>0</v>
      </c>
      <c r="X76" s="203">
        <f>[11]Stoping!X76</f>
        <v>0</v>
      </c>
      <c r="Y76" s="203">
        <f>[11]Stoping!Y76</f>
        <v>0</v>
      </c>
      <c r="Z76" s="203">
        <f>[11]Stoping!Z76</f>
        <v>0</v>
      </c>
      <c r="AA76" s="203">
        <f>[11]Stoping!AA76</f>
        <v>0</v>
      </c>
      <c r="AB76" s="203">
        <f>[11]Stoping!AB76</f>
        <v>0</v>
      </c>
      <c r="AC76" s="203">
        <f>[11]Stoping!AC76</f>
        <v>0</v>
      </c>
      <c r="AD76" s="203">
        <f>[11]Stoping!AD76</f>
        <v>0</v>
      </c>
      <c r="AE76" s="203">
        <f>[11]Stoping!AE76</f>
        <v>0</v>
      </c>
      <c r="AF76" s="203">
        <f>[11]Stoping!AF76</f>
        <v>0</v>
      </c>
      <c r="AG76" s="203">
        <f>[11]Stoping!AG76</f>
        <v>0</v>
      </c>
      <c r="AH76" s="203">
        <f>[11]Stoping!AH76</f>
        <v>0</v>
      </c>
      <c r="AI76" s="203">
        <f>[11]Stoping!AI76</f>
        <v>0</v>
      </c>
      <c r="AJ76" s="203">
        <f>[11]Stoping!AJ76</f>
        <v>0</v>
      </c>
      <c r="AK76" s="203">
        <f>[11]Stoping!AK76</f>
        <v>0</v>
      </c>
      <c r="AL76" s="205">
        <f>[11]Stoping!AL76</f>
        <v>0</v>
      </c>
      <c r="AM76" s="846"/>
    </row>
    <row r="77" spans="1:39" ht="15.75" thickBot="1" x14ac:dyDescent="0.3">
      <c r="A77" s="202"/>
      <c r="B77" s="1608"/>
      <c r="C77" s="1693"/>
      <c r="D77" s="1686" t="str">
        <f>[11]Stoping!D77</f>
        <v>Grade</v>
      </c>
      <c r="E77" s="1384" t="str">
        <f>[11]Stoping!E77</f>
        <v>Budget (g/t)</v>
      </c>
      <c r="F77" s="1310">
        <f>[11]Stoping!F77</f>
        <v>3.889999999999997</v>
      </c>
      <c r="G77" s="1385">
        <f>[11]Stoping!G77</f>
        <v>0</v>
      </c>
      <c r="H77" s="1312">
        <f>[11]Stoping!H77</f>
        <v>0</v>
      </c>
      <c r="I77" s="1312">
        <f>[11]Stoping!I77</f>
        <v>3.89</v>
      </c>
      <c r="J77" s="1312">
        <f>[11]Stoping!J77</f>
        <v>3.89</v>
      </c>
      <c r="K77" s="1312">
        <f>[11]Stoping!K77</f>
        <v>3.89</v>
      </c>
      <c r="L77" s="1312">
        <f>[11]Stoping!L77</f>
        <v>3.89</v>
      </c>
      <c r="M77" s="1312">
        <f>[11]Stoping!M77</f>
        <v>3.89</v>
      </c>
      <c r="N77" s="1312">
        <f>[11]Stoping!N77</f>
        <v>3.89</v>
      </c>
      <c r="O77" s="1312">
        <f>[11]Stoping!O77</f>
        <v>3.89</v>
      </c>
      <c r="P77" s="1312">
        <f>[11]Stoping!P77</f>
        <v>3.89</v>
      </c>
      <c r="Q77" s="1312">
        <f>[11]Stoping!Q77</f>
        <v>3.89</v>
      </c>
      <c r="R77" s="1312">
        <f>[11]Stoping!R77</f>
        <v>3.89</v>
      </c>
      <c r="S77" s="1312">
        <f>[11]Stoping!S77</f>
        <v>3.89</v>
      </c>
      <c r="T77" s="1312">
        <f>[11]Stoping!T77</f>
        <v>3.89</v>
      </c>
      <c r="U77" s="1312">
        <f>[11]Stoping!U77</f>
        <v>3.89</v>
      </c>
      <c r="V77" s="1312">
        <f>[11]Stoping!V77</f>
        <v>3.89</v>
      </c>
      <c r="W77" s="1312">
        <f>[11]Stoping!W77</f>
        <v>3.89</v>
      </c>
      <c r="X77" s="1312">
        <f>[11]Stoping!X77</f>
        <v>3.89</v>
      </c>
      <c r="Y77" s="1312">
        <f>[11]Stoping!Y77</f>
        <v>3.89</v>
      </c>
      <c r="Z77" s="1312">
        <f>[11]Stoping!Z77</f>
        <v>3.89</v>
      </c>
      <c r="AA77" s="1312">
        <f>[11]Stoping!AA77</f>
        <v>3.89</v>
      </c>
      <c r="AB77" s="1312">
        <f>[11]Stoping!AB77</f>
        <v>3.89</v>
      </c>
      <c r="AC77" s="1312">
        <f>[11]Stoping!AC77</f>
        <v>3.89</v>
      </c>
      <c r="AD77" s="1312">
        <f>[11]Stoping!AD77</f>
        <v>3.89</v>
      </c>
      <c r="AE77" s="1312">
        <f>[11]Stoping!AE77</f>
        <v>3.89</v>
      </c>
      <c r="AF77" s="1312">
        <f>[11]Stoping!AF77</f>
        <v>0</v>
      </c>
      <c r="AG77" s="1312">
        <f>[11]Stoping!AG77</f>
        <v>3.89</v>
      </c>
      <c r="AH77" s="1312">
        <f>[11]Stoping!AH77</f>
        <v>3.89</v>
      </c>
      <c r="AI77" s="1312">
        <f>[11]Stoping!AI77</f>
        <v>3.89</v>
      </c>
      <c r="AJ77" s="1312">
        <f>[11]Stoping!AJ77</f>
        <v>3.89</v>
      </c>
      <c r="AK77" s="1312">
        <f>[11]Stoping!AK77</f>
        <v>3.89</v>
      </c>
      <c r="AL77" s="1312">
        <f>[11]Stoping!AL77</f>
        <v>3.89</v>
      </c>
      <c r="AM77" s="347"/>
    </row>
    <row r="78" spans="1:39" ht="15.75" thickBot="1" x14ac:dyDescent="0.3">
      <c r="A78" s="202"/>
      <c r="B78" s="1608"/>
      <c r="C78" s="1693"/>
      <c r="D78" s="1686"/>
      <c r="E78" s="1386" t="str">
        <f>[11]Stoping!E78</f>
        <v>Actual (g/t)</v>
      </c>
      <c r="F78" s="1314">
        <f>[11]Stoping!F78</f>
        <v>4.5140962025316451</v>
      </c>
      <c r="G78" s="1380">
        <f>[11]Stoping!G78</f>
        <v>0.16043604178191481</v>
      </c>
      <c r="H78" s="1315">
        <f>[11]Stoping!H78</f>
        <v>4.51</v>
      </c>
      <c r="I78" s="1314">
        <f>[11]Stoping!I78</f>
        <v>2.54</v>
      </c>
      <c r="J78" s="1314">
        <f>[11]Stoping!J78</f>
        <v>6.31</v>
      </c>
      <c r="K78" s="1314">
        <f>[11]Stoping!K78</f>
        <v>6.31</v>
      </c>
      <c r="L78" s="1314">
        <f>[11]Stoping!L78</f>
        <v>2.88</v>
      </c>
      <c r="M78" s="1314">
        <f>[11]Stoping!M78</f>
        <v>4.6500000000000004</v>
      </c>
      <c r="N78" s="1314">
        <f>[11]Stoping!N78</f>
        <v>5.0599999999999996</v>
      </c>
      <c r="O78" s="1314">
        <f>[11]Stoping!O78</f>
        <v>4.25</v>
      </c>
      <c r="P78" s="1314">
        <f>[11]Stoping!P78</f>
        <v>7</v>
      </c>
      <c r="Q78" s="1314">
        <f>[11]Stoping!Q78</f>
        <v>5.21</v>
      </c>
      <c r="R78" s="1314">
        <f>[11]Stoping!R78</f>
        <v>5.21</v>
      </c>
      <c r="S78" s="1314">
        <f>[11]Stoping!S78</f>
        <v>7</v>
      </c>
      <c r="T78" s="1314">
        <f>[11]Stoping!T78</f>
        <v>4.82</v>
      </c>
      <c r="U78" s="1314">
        <f>[11]Stoping!U78</f>
        <v>3.64</v>
      </c>
      <c r="V78" s="1314">
        <f>[11]Stoping!V78</f>
        <v>7</v>
      </c>
      <c r="W78" s="1314">
        <f>[11]Stoping!W78</f>
        <v>6.48</v>
      </c>
      <c r="X78" s="1314">
        <f>[11]Stoping!X78</f>
        <v>2.65</v>
      </c>
      <c r="Y78" s="1314">
        <f>[11]Stoping!Y78</f>
        <v>2.65</v>
      </c>
      <c r="Z78" s="1314">
        <f>[11]Stoping!Z78</f>
        <v>3.9</v>
      </c>
      <c r="AA78" s="1314">
        <f>[11]Stoping!AA78</f>
        <v>2.0499999999999998</v>
      </c>
      <c r="AB78" s="1314">
        <f>[11]Stoping!AB78</f>
        <v>2.83</v>
      </c>
      <c r="AC78" s="1314">
        <f>[11]Stoping!AC78</f>
        <v>4.87</v>
      </c>
      <c r="AD78" s="1314">
        <f>[11]Stoping!AD78</f>
        <v>3.74</v>
      </c>
      <c r="AE78" s="1314">
        <f>[11]Stoping!AE78</f>
        <v>4.5199999999999996</v>
      </c>
      <c r="AF78" s="1314">
        <f>[11]Stoping!AF78</f>
        <v>0</v>
      </c>
      <c r="AG78" s="1314">
        <f>[11]Stoping!AG78</f>
        <v>4.5199999999999996</v>
      </c>
      <c r="AH78" s="1314">
        <f>[11]Stoping!AH78</f>
        <v>3.56</v>
      </c>
      <c r="AI78" s="1314">
        <f>[11]Stoping!AI78</f>
        <v>3.05</v>
      </c>
      <c r="AJ78" s="1314">
        <f>[11]Stoping!AJ78</f>
        <v>2.3199999999999998</v>
      </c>
      <c r="AK78" s="1314">
        <f>[11]Stoping!AK78</f>
        <v>7</v>
      </c>
      <c r="AL78" s="1314">
        <f>[11]Stoping!AL78</f>
        <v>7</v>
      </c>
      <c r="AM78" s="347"/>
    </row>
    <row r="79" spans="1:39" ht="15.75" thickBot="1" x14ac:dyDescent="0.3">
      <c r="A79" s="202"/>
      <c r="B79" s="1608"/>
      <c r="C79" s="1693"/>
      <c r="D79" s="1686" t="str">
        <f>[11]Stoping!D79</f>
        <v>Gold</v>
      </c>
      <c r="E79" s="1384" t="str">
        <f>[11]Stoping!E79</f>
        <v>Budget (kg)</v>
      </c>
      <c r="F79" s="206">
        <f>[11]Stoping!F79</f>
        <v>7.6243999999999943</v>
      </c>
      <c r="G79" s="1385">
        <f>[11]Stoping!G79</f>
        <v>0</v>
      </c>
      <c r="H79" s="1316">
        <f>[11]Stoping!H79</f>
        <v>0</v>
      </c>
      <c r="I79" s="1316">
        <f>[11]Stoping!I79</f>
        <v>0.27229999999999999</v>
      </c>
      <c r="J79" s="1316">
        <f>[11]Stoping!J79</f>
        <v>0.27229999999999999</v>
      </c>
      <c r="K79" s="1317">
        <f>[11]Stoping!K79</f>
        <v>0.27229999999999999</v>
      </c>
      <c r="L79" s="1317">
        <f>[11]Stoping!L79</f>
        <v>0.27229999999999999</v>
      </c>
      <c r="M79" s="1317">
        <f>[11]Stoping!M79</f>
        <v>0.27229999999999999</v>
      </c>
      <c r="N79" s="1317">
        <f>[11]Stoping!N79</f>
        <v>0.27229999999999999</v>
      </c>
      <c r="O79" s="1317">
        <f>[11]Stoping!O79</f>
        <v>0.27229999999999999</v>
      </c>
      <c r="P79" s="1318">
        <f>[11]Stoping!P79</f>
        <v>0.27229999999999999</v>
      </c>
      <c r="Q79" s="1317">
        <f>[11]Stoping!Q79</f>
        <v>0.27229999999999999</v>
      </c>
      <c r="R79" s="1317">
        <f>[11]Stoping!R79</f>
        <v>0.27229999999999999</v>
      </c>
      <c r="S79" s="1317">
        <f>[11]Stoping!S79</f>
        <v>0.27229999999999999</v>
      </c>
      <c r="T79" s="1317">
        <f>[11]Stoping!T79</f>
        <v>0.27229999999999999</v>
      </c>
      <c r="U79" s="1317">
        <f>[11]Stoping!U79</f>
        <v>0.27229999999999999</v>
      </c>
      <c r="V79" s="1317">
        <f>[11]Stoping!V79</f>
        <v>0.27229999999999999</v>
      </c>
      <c r="W79" s="1317">
        <f>[11]Stoping!W79</f>
        <v>0.27229999999999999</v>
      </c>
      <c r="X79" s="1317">
        <f>[11]Stoping!X79</f>
        <v>0.27229999999999999</v>
      </c>
      <c r="Y79" s="1317">
        <f>[11]Stoping!Y79</f>
        <v>0.27229999999999999</v>
      </c>
      <c r="Z79" s="1317">
        <f>[11]Stoping!Z79</f>
        <v>0.27229999999999999</v>
      </c>
      <c r="AA79" s="1317">
        <f>[11]Stoping!AA79</f>
        <v>0.27229999999999999</v>
      </c>
      <c r="AB79" s="1317">
        <f>[11]Stoping!AB79</f>
        <v>0.27229999999999999</v>
      </c>
      <c r="AC79" s="1317">
        <f>[11]Stoping!AC79</f>
        <v>0.27229999999999999</v>
      </c>
      <c r="AD79" s="1317">
        <f>[11]Stoping!AD79</f>
        <v>0.27229999999999999</v>
      </c>
      <c r="AE79" s="1317">
        <f>[11]Stoping!AE79</f>
        <v>0.27229999999999999</v>
      </c>
      <c r="AF79" s="1317">
        <f>[11]Stoping!AF79</f>
        <v>0</v>
      </c>
      <c r="AG79" s="1317">
        <f>[11]Stoping!AG79</f>
        <v>0.27229999999999999</v>
      </c>
      <c r="AH79" s="1317">
        <f>[11]Stoping!AH79</f>
        <v>0.27229999999999999</v>
      </c>
      <c r="AI79" s="1317">
        <f>[11]Stoping!AI79</f>
        <v>0.27229999999999999</v>
      </c>
      <c r="AJ79" s="1317">
        <f>[11]Stoping!AJ79</f>
        <v>0.27229999999999999</v>
      </c>
      <c r="AK79" s="1317">
        <f>[11]Stoping!AK79</f>
        <v>0.27229999999999999</v>
      </c>
      <c r="AL79" s="1319">
        <f>[11]Stoping!AL79</f>
        <v>0.27229999999999999</v>
      </c>
      <c r="AM79" s="705"/>
    </row>
    <row r="80" spans="1:39" ht="15.75" thickBot="1" x14ac:dyDescent="0.3">
      <c r="A80" s="202"/>
      <c r="B80" s="1608"/>
      <c r="C80" s="1694"/>
      <c r="D80" s="1686"/>
      <c r="E80" s="1392" t="str">
        <f>[11]Stoping!E80</f>
        <v>Actual (kg)</v>
      </c>
      <c r="F80" s="1331">
        <f>[11]Stoping!F80</f>
        <v>8.9153399999999987</v>
      </c>
      <c r="G80" s="1552">
        <f>[11]Stoping!G80</f>
        <v>0.16931692985677632</v>
      </c>
      <c r="H80" s="1323">
        <f>[11]Stoping!H80</f>
        <v>0.32471999999999995</v>
      </c>
      <c r="I80" s="1321">
        <f>[11]Stoping!I80</f>
        <v>0.17780000000000001</v>
      </c>
      <c r="J80" s="1321">
        <f>[11]Stoping!J80</f>
        <v>0.45432</v>
      </c>
      <c r="K80" s="1321">
        <f>[11]Stoping!K80</f>
        <v>0.47955999999999993</v>
      </c>
      <c r="L80" s="1321">
        <f>[11]Stoping!L80</f>
        <v>0.22463999999999998</v>
      </c>
      <c r="M80" s="1321">
        <f>[11]Stoping!M80</f>
        <v>0.41850000000000004</v>
      </c>
      <c r="N80" s="1321">
        <f>[11]Stoping!N80</f>
        <v>0.44527999999999995</v>
      </c>
      <c r="O80" s="1321">
        <f>[11]Stoping!O80</f>
        <v>0.29749999999999999</v>
      </c>
      <c r="P80" s="1321">
        <f>[11]Stoping!P80</f>
        <v>0.49</v>
      </c>
      <c r="Q80" s="1321">
        <f>[11]Stoping!Q80</f>
        <v>0.36469999999999997</v>
      </c>
      <c r="R80" s="1321">
        <f>[11]Stoping!R80</f>
        <v>0.36991000000000002</v>
      </c>
      <c r="S80" s="1321">
        <f>[11]Stoping!S80</f>
        <v>0.44800000000000001</v>
      </c>
      <c r="T80" s="1321">
        <f>[11]Stoping!T80</f>
        <v>0.34222000000000002</v>
      </c>
      <c r="U80" s="1321">
        <f>[11]Stoping!U80</f>
        <v>0.26572000000000001</v>
      </c>
      <c r="V80" s="1321">
        <f>[11]Stoping!V80</f>
        <v>0.49</v>
      </c>
      <c r="W80" s="1321">
        <f>[11]Stoping!W80</f>
        <v>0.47952000000000006</v>
      </c>
      <c r="X80" s="1321">
        <f>[11]Stoping!X80</f>
        <v>0.17754999999999999</v>
      </c>
      <c r="Y80" s="1321">
        <f>[11]Stoping!Y80</f>
        <v>0.16429999999999997</v>
      </c>
      <c r="Z80" s="1321">
        <f>[11]Stoping!Z80</f>
        <v>0.24179999999999999</v>
      </c>
      <c r="AA80" s="1321">
        <f>[11]Stoping!AA80</f>
        <v>0.13939999999999997</v>
      </c>
      <c r="AB80" s="1321">
        <f>[11]Stoping!AB80</f>
        <v>0.20942000000000002</v>
      </c>
      <c r="AC80" s="1321">
        <f>[11]Stoping!AC80</f>
        <v>0.36037999999999998</v>
      </c>
      <c r="AD80" s="1321">
        <f>[11]Stoping!AD80</f>
        <v>0.24684</v>
      </c>
      <c r="AE80" s="1321">
        <f>[11]Stoping!AE80</f>
        <v>0.15819999999999998</v>
      </c>
      <c r="AF80" s="1321">
        <f>[11]Stoping!AF80</f>
        <v>0</v>
      </c>
      <c r="AG80" s="1321">
        <f>[11]Stoping!AG80</f>
        <v>0.31639999999999996</v>
      </c>
      <c r="AH80" s="1321">
        <f>[11]Stoping!AH80</f>
        <v>0.25631999999999999</v>
      </c>
      <c r="AI80" s="1321">
        <f>[11]Stoping!AI80</f>
        <v>0.2135</v>
      </c>
      <c r="AJ80" s="1321">
        <f>[11]Stoping!AJ80</f>
        <v>8.5839999999999986E-2</v>
      </c>
      <c r="AK80" s="1321">
        <f>[11]Stoping!AK80</f>
        <v>0.27300000000000002</v>
      </c>
      <c r="AL80" s="1321">
        <f>[11]Stoping!AL80</f>
        <v>0.26600000000000001</v>
      </c>
      <c r="AM80" s="706"/>
    </row>
    <row r="81" spans="1:39" ht="15.75" thickBot="1" x14ac:dyDescent="0.3">
      <c r="A81" s="202"/>
      <c r="B81" s="1608">
        <v>1</v>
      </c>
      <c r="C81" s="1692" t="str">
        <f>[11]Stoping!C81</f>
        <v xml:space="preserve">6L_W1 STOPE </v>
      </c>
      <c r="D81" s="1696" t="str">
        <f>[11]Stoping!D81</f>
        <v>Tonnes</v>
      </c>
      <c r="E81" s="293" t="str">
        <f>[11]Stoping!E81</f>
        <v>Budget (t)</v>
      </c>
      <c r="F81" s="196">
        <f>[11]Stoping!F81</f>
        <v>1960</v>
      </c>
      <c r="G81" s="197">
        <f>[11]Stoping!G81</f>
        <v>0</v>
      </c>
      <c r="H81" s="945">
        <f>[11]Stoping!H81</f>
        <v>0</v>
      </c>
      <c r="I81" s="945">
        <f>[11]Stoping!I81</f>
        <v>70</v>
      </c>
      <c r="J81" s="945">
        <f>[11]Stoping!J81</f>
        <v>70</v>
      </c>
      <c r="K81" s="945">
        <f>[11]Stoping!K81</f>
        <v>70</v>
      </c>
      <c r="L81" s="945">
        <f>[11]Stoping!L81</f>
        <v>70</v>
      </c>
      <c r="M81" s="945">
        <f>[11]Stoping!M81</f>
        <v>70</v>
      </c>
      <c r="N81" s="945">
        <f>[11]Stoping!N81</f>
        <v>70</v>
      </c>
      <c r="O81" s="945">
        <f>[11]Stoping!O81</f>
        <v>70</v>
      </c>
      <c r="P81" s="945">
        <f>[11]Stoping!P81</f>
        <v>70</v>
      </c>
      <c r="Q81" s="945">
        <f>[11]Stoping!Q81</f>
        <v>70</v>
      </c>
      <c r="R81" s="945">
        <f>[11]Stoping!R81</f>
        <v>70</v>
      </c>
      <c r="S81" s="945">
        <f>[11]Stoping!S81</f>
        <v>70</v>
      </c>
      <c r="T81" s="945">
        <f>[11]Stoping!T81</f>
        <v>70</v>
      </c>
      <c r="U81" s="945">
        <f>[11]Stoping!U81</f>
        <v>70</v>
      </c>
      <c r="V81" s="945">
        <f>[11]Stoping!V81</f>
        <v>70</v>
      </c>
      <c r="W81" s="945">
        <f>[11]Stoping!W81</f>
        <v>70</v>
      </c>
      <c r="X81" s="945">
        <f>[11]Stoping!X81</f>
        <v>70</v>
      </c>
      <c r="Y81" s="945">
        <f>[11]Stoping!Y81</f>
        <v>70</v>
      </c>
      <c r="Z81" s="945">
        <f>[11]Stoping!Z81</f>
        <v>70</v>
      </c>
      <c r="AA81" s="945">
        <f>[11]Stoping!AA81</f>
        <v>70</v>
      </c>
      <c r="AB81" s="945">
        <f>[11]Stoping!AB81</f>
        <v>70</v>
      </c>
      <c r="AC81" s="945">
        <f>[11]Stoping!AC81</f>
        <v>70</v>
      </c>
      <c r="AD81" s="945">
        <f>[11]Stoping!AD81</f>
        <v>70</v>
      </c>
      <c r="AE81" s="945">
        <f>[11]Stoping!AE81</f>
        <v>70</v>
      </c>
      <c r="AF81" s="945">
        <f>[11]Stoping!AF81</f>
        <v>0</v>
      </c>
      <c r="AG81" s="945">
        <f>[11]Stoping!AG81</f>
        <v>70</v>
      </c>
      <c r="AH81" s="945">
        <f>[11]Stoping!AH81</f>
        <v>70</v>
      </c>
      <c r="AI81" s="945">
        <f>[11]Stoping!AI81</f>
        <v>70</v>
      </c>
      <c r="AJ81" s="945">
        <f>[11]Stoping!AJ81</f>
        <v>70</v>
      </c>
      <c r="AK81" s="945">
        <f>[11]Stoping!AK81</f>
        <v>70</v>
      </c>
      <c r="AL81" s="945">
        <f>[11]Stoping!AL81</f>
        <v>70</v>
      </c>
      <c r="AM81" s="845"/>
    </row>
    <row r="82" spans="1:39" ht="15.75" thickBot="1" x14ac:dyDescent="0.3">
      <c r="A82" s="202"/>
      <c r="B82" s="1608"/>
      <c r="C82" s="1693"/>
      <c r="D82" s="1696"/>
      <c r="E82" s="1379" t="str">
        <f>[11]Stoping!E82</f>
        <v>Actual (t)</v>
      </c>
      <c r="F82" s="1303">
        <f>[11]Stoping!F82</f>
        <v>2305</v>
      </c>
      <c r="G82" s="1380">
        <f>[11]Stoping!G82</f>
        <v>0.17602040816326531</v>
      </c>
      <c r="H82" s="1305">
        <f>[11]Stoping!H82</f>
        <v>86</v>
      </c>
      <c r="I82" s="1303">
        <f>[11]Stoping!I82</f>
        <v>76</v>
      </c>
      <c r="J82" s="1303">
        <f>[11]Stoping!J82</f>
        <v>73</v>
      </c>
      <c r="K82" s="1303">
        <f>[11]Stoping!K82</f>
        <v>72</v>
      </c>
      <c r="L82" s="1303">
        <f>[11]Stoping!L82</f>
        <v>76</v>
      </c>
      <c r="M82" s="1303">
        <f>[11]Stoping!M82</f>
        <v>83</v>
      </c>
      <c r="N82" s="1303">
        <f>[11]Stoping!N82</f>
        <v>86</v>
      </c>
      <c r="O82" s="1303">
        <f>[11]Stoping!O82</f>
        <v>71</v>
      </c>
      <c r="P82" s="1303">
        <f>[11]Stoping!P82</f>
        <v>70</v>
      </c>
      <c r="Q82" s="1303">
        <f>[11]Stoping!Q82</f>
        <v>70</v>
      </c>
      <c r="R82" s="1303">
        <f>[11]Stoping!R82</f>
        <v>89</v>
      </c>
      <c r="S82" s="1303">
        <f>[11]Stoping!S82</f>
        <v>66</v>
      </c>
      <c r="T82" s="1303">
        <f>[11]Stoping!T82</f>
        <v>35</v>
      </c>
      <c r="U82" s="1303">
        <f>[11]Stoping!U82</f>
        <v>73</v>
      </c>
      <c r="V82" s="1303">
        <f>[11]Stoping!V82</f>
        <v>78</v>
      </c>
      <c r="W82" s="1303">
        <f>[11]Stoping!W82</f>
        <v>74</v>
      </c>
      <c r="X82" s="1303">
        <f>[11]Stoping!X82</f>
        <v>66</v>
      </c>
      <c r="Y82" s="1303">
        <f>[11]Stoping!Y82</f>
        <v>61</v>
      </c>
      <c r="Z82" s="1303">
        <f>[11]Stoping!Z82</f>
        <v>64</v>
      </c>
      <c r="AA82" s="1303">
        <f>[11]Stoping!AA82</f>
        <v>72</v>
      </c>
      <c r="AB82" s="1303">
        <f>[11]Stoping!AB82</f>
        <v>70</v>
      </c>
      <c r="AC82" s="1303">
        <f>[11]Stoping!AC82</f>
        <v>38</v>
      </c>
      <c r="AD82" s="1303">
        <f>[11]Stoping!AD82</f>
        <v>70</v>
      </c>
      <c r="AE82" s="1303">
        <f>[11]Stoping!AE82</f>
        <v>0</v>
      </c>
      <c r="AF82" s="1303">
        <f>[11]Stoping!AF82</f>
        <v>0</v>
      </c>
      <c r="AG82" s="1303">
        <f>[11]Stoping!AG82</f>
        <v>92</v>
      </c>
      <c r="AH82" s="1303">
        <f>[11]Stoping!AH82</f>
        <v>100</v>
      </c>
      <c r="AI82" s="1303">
        <f>[11]Stoping!AI82</f>
        <v>155</v>
      </c>
      <c r="AJ82" s="1303">
        <f>[11]Stoping!AJ82</f>
        <v>148</v>
      </c>
      <c r="AK82" s="1303">
        <f>[11]Stoping!AK82</f>
        <v>191</v>
      </c>
      <c r="AL82" s="1303">
        <f>[11]Stoping!AL82</f>
        <v>194</v>
      </c>
      <c r="AM82" s="347"/>
    </row>
    <row r="83" spans="1:39" ht="15.75" thickBot="1" x14ac:dyDescent="0.3">
      <c r="A83" s="202"/>
      <c r="B83" s="1608"/>
      <c r="C83" s="1693"/>
      <c r="D83" s="1696"/>
      <c r="E83" s="1389" t="str">
        <f>[11]Stoping!E83</f>
        <v>Reason if Actual is RED</v>
      </c>
      <c r="F83" s="1390">
        <f>[11]Stoping!F83</f>
        <v>0</v>
      </c>
      <c r="G83" s="1391">
        <f>[11]Stoping!G83</f>
        <v>0</v>
      </c>
      <c r="H83" s="203">
        <f>[11]Stoping!H83</f>
        <v>0</v>
      </c>
      <c r="I83" s="203">
        <f>[11]Stoping!I83</f>
        <v>0</v>
      </c>
      <c r="J83" s="203">
        <f>[11]Stoping!J83</f>
        <v>0</v>
      </c>
      <c r="K83" s="203">
        <f>[11]Stoping!K83</f>
        <v>0</v>
      </c>
      <c r="L83" s="203">
        <f>[11]Stoping!L83</f>
        <v>0</v>
      </c>
      <c r="M83" s="203">
        <f>[11]Stoping!M83</f>
        <v>0</v>
      </c>
      <c r="N83" s="203">
        <f>[11]Stoping!N83</f>
        <v>0</v>
      </c>
      <c r="O83" s="203">
        <f>[11]Stoping!O83</f>
        <v>0</v>
      </c>
      <c r="P83" s="204">
        <f>[11]Stoping!P83</f>
        <v>0</v>
      </c>
      <c r="Q83" s="203">
        <f>[11]Stoping!Q83</f>
        <v>0</v>
      </c>
      <c r="R83" s="203">
        <f>[11]Stoping!R83</f>
        <v>0</v>
      </c>
      <c r="S83" s="203">
        <f>[11]Stoping!S83</f>
        <v>0</v>
      </c>
      <c r="T83" s="203">
        <f>[11]Stoping!T83</f>
        <v>0</v>
      </c>
      <c r="U83" s="203">
        <f>[11]Stoping!U83</f>
        <v>0</v>
      </c>
      <c r="V83" s="203">
        <f>[11]Stoping!V83</f>
        <v>0</v>
      </c>
      <c r="W83" s="203">
        <f>[11]Stoping!W83</f>
        <v>0</v>
      </c>
      <c r="X83" s="203">
        <f>[11]Stoping!X83</f>
        <v>0</v>
      </c>
      <c r="Y83" s="203">
        <f>[11]Stoping!Y83</f>
        <v>0</v>
      </c>
      <c r="Z83" s="203">
        <f>[11]Stoping!Z83</f>
        <v>0</v>
      </c>
      <c r="AA83" s="203">
        <f>[11]Stoping!AA83</f>
        <v>0</v>
      </c>
      <c r="AB83" s="203">
        <f>[11]Stoping!AB83</f>
        <v>0</v>
      </c>
      <c r="AC83" s="203">
        <f>[11]Stoping!AC83</f>
        <v>0</v>
      </c>
      <c r="AD83" s="203">
        <f>[11]Stoping!AD83</f>
        <v>0</v>
      </c>
      <c r="AE83" s="203">
        <f>[11]Stoping!AE83</f>
        <v>0</v>
      </c>
      <c r="AF83" s="203">
        <f>[11]Stoping!AF83</f>
        <v>0</v>
      </c>
      <c r="AG83" s="203">
        <f>[11]Stoping!AG83</f>
        <v>0</v>
      </c>
      <c r="AH83" s="203">
        <f>[11]Stoping!AH83</f>
        <v>0</v>
      </c>
      <c r="AI83" s="203">
        <f>[11]Stoping!AI83</f>
        <v>0</v>
      </c>
      <c r="AJ83" s="203">
        <f>[11]Stoping!AJ83</f>
        <v>0</v>
      </c>
      <c r="AK83" s="203">
        <f>[11]Stoping!AK83</f>
        <v>0</v>
      </c>
      <c r="AL83" s="205">
        <f>[11]Stoping!AL83</f>
        <v>0</v>
      </c>
      <c r="AM83" s="846"/>
    </row>
    <row r="84" spans="1:39" ht="15.75" thickBot="1" x14ac:dyDescent="0.3">
      <c r="A84" s="202"/>
      <c r="B84" s="1608"/>
      <c r="C84" s="1693"/>
      <c r="D84" s="1686" t="str">
        <f>[11]Stoping!D84</f>
        <v>Grade</v>
      </c>
      <c r="E84" s="1384" t="str">
        <f>[11]Stoping!E84</f>
        <v>Budget (g/t)</v>
      </c>
      <c r="F84" s="1310">
        <f>[11]Stoping!F84</f>
        <v>3.889999999999997</v>
      </c>
      <c r="G84" s="1385">
        <f>[11]Stoping!G84</f>
        <v>0</v>
      </c>
      <c r="H84" s="1312">
        <f>[11]Stoping!H84</f>
        <v>0</v>
      </c>
      <c r="I84" s="1312">
        <f>[11]Stoping!I84</f>
        <v>3.89</v>
      </c>
      <c r="J84" s="1312">
        <f>[11]Stoping!J84</f>
        <v>3.89</v>
      </c>
      <c r="K84" s="1312">
        <f>[11]Stoping!K84</f>
        <v>3.89</v>
      </c>
      <c r="L84" s="1312">
        <f>[11]Stoping!L84</f>
        <v>3.89</v>
      </c>
      <c r="M84" s="1312">
        <f>[11]Stoping!M84</f>
        <v>3.89</v>
      </c>
      <c r="N84" s="1312">
        <f>[11]Stoping!N84</f>
        <v>3.89</v>
      </c>
      <c r="O84" s="1312">
        <f>[11]Stoping!O84</f>
        <v>3.89</v>
      </c>
      <c r="P84" s="1312">
        <f>[11]Stoping!P84</f>
        <v>3.89</v>
      </c>
      <c r="Q84" s="1312">
        <f>[11]Stoping!Q84</f>
        <v>3.89</v>
      </c>
      <c r="R84" s="1312">
        <f>[11]Stoping!R84</f>
        <v>3.89</v>
      </c>
      <c r="S84" s="1312">
        <f>[11]Stoping!S84</f>
        <v>3.89</v>
      </c>
      <c r="T84" s="1312">
        <f>[11]Stoping!T84</f>
        <v>3.89</v>
      </c>
      <c r="U84" s="1312">
        <f>[11]Stoping!U84</f>
        <v>3.89</v>
      </c>
      <c r="V84" s="1312">
        <f>[11]Stoping!V84</f>
        <v>3.89</v>
      </c>
      <c r="W84" s="1312">
        <f>[11]Stoping!W84</f>
        <v>3.89</v>
      </c>
      <c r="X84" s="1312">
        <f>[11]Stoping!X84</f>
        <v>3.89</v>
      </c>
      <c r="Y84" s="1312">
        <f>[11]Stoping!Y84</f>
        <v>3.89</v>
      </c>
      <c r="Z84" s="1312">
        <f>[11]Stoping!Z84</f>
        <v>3.89</v>
      </c>
      <c r="AA84" s="1312">
        <f>[11]Stoping!AA84</f>
        <v>3.89</v>
      </c>
      <c r="AB84" s="1312">
        <f>[11]Stoping!AB84</f>
        <v>3.89</v>
      </c>
      <c r="AC84" s="1312">
        <f>[11]Stoping!AC84</f>
        <v>3.89</v>
      </c>
      <c r="AD84" s="1312">
        <f>[11]Stoping!AD84</f>
        <v>3.89</v>
      </c>
      <c r="AE84" s="1312">
        <f>[11]Stoping!AE84</f>
        <v>3.89</v>
      </c>
      <c r="AF84" s="1312">
        <f>[11]Stoping!AF84</f>
        <v>0</v>
      </c>
      <c r="AG84" s="1312">
        <f>[11]Stoping!AG84</f>
        <v>3.89</v>
      </c>
      <c r="AH84" s="1312">
        <f>[11]Stoping!AH84</f>
        <v>3.89</v>
      </c>
      <c r="AI84" s="1312">
        <f>[11]Stoping!AI84</f>
        <v>3.89</v>
      </c>
      <c r="AJ84" s="1312">
        <f>[11]Stoping!AJ84</f>
        <v>3.89</v>
      </c>
      <c r="AK84" s="1312">
        <f>[11]Stoping!AK84</f>
        <v>3.89</v>
      </c>
      <c r="AL84" s="1312">
        <f>[11]Stoping!AL84</f>
        <v>3.89</v>
      </c>
      <c r="AM84" s="347"/>
    </row>
    <row r="85" spans="1:39" ht="15.75" thickBot="1" x14ac:dyDescent="0.3">
      <c r="A85" s="202"/>
      <c r="B85" s="1608"/>
      <c r="C85" s="1693"/>
      <c r="D85" s="1686"/>
      <c r="E85" s="1386" t="str">
        <f>[11]Stoping!E85</f>
        <v>Actual (g/t)</v>
      </c>
      <c r="F85" s="1314">
        <f>[11]Stoping!F85</f>
        <v>4.0703036876355743</v>
      </c>
      <c r="G85" s="1380">
        <f>[11]Stoping!G85</f>
        <v>4.6350562374184417E-2</v>
      </c>
      <c r="H85" s="1315">
        <f>[11]Stoping!H85</f>
        <v>4.5999999999999996</v>
      </c>
      <c r="I85" s="1314">
        <f>[11]Stoping!I85</f>
        <v>2.63</v>
      </c>
      <c r="J85" s="1314">
        <f>[11]Stoping!J85</f>
        <v>4.05</v>
      </c>
      <c r="K85" s="1314">
        <f>[11]Stoping!K85</f>
        <v>4.05</v>
      </c>
      <c r="L85" s="1314">
        <f>[11]Stoping!L85</f>
        <v>2.65</v>
      </c>
      <c r="M85" s="1314">
        <f>[11]Stoping!M85</f>
        <v>5.1100000000000003</v>
      </c>
      <c r="N85" s="1314">
        <f>[11]Stoping!N85</f>
        <v>7</v>
      </c>
      <c r="O85" s="1314">
        <f>[11]Stoping!O85</f>
        <v>5.82</v>
      </c>
      <c r="P85" s="1314">
        <f>[11]Stoping!P85</f>
        <v>5.12</v>
      </c>
      <c r="Q85" s="1314">
        <f>[11]Stoping!Q85</f>
        <v>3.43</v>
      </c>
      <c r="R85" s="1314">
        <f>[11]Stoping!R85</f>
        <v>3.43</v>
      </c>
      <c r="S85" s="1314">
        <f>[11]Stoping!S85</f>
        <v>7</v>
      </c>
      <c r="T85" s="1314">
        <f>[11]Stoping!T85</f>
        <v>5.0199999999999996</v>
      </c>
      <c r="U85" s="1314">
        <f>[11]Stoping!U85</f>
        <v>3.67</v>
      </c>
      <c r="V85" s="1314">
        <f>[11]Stoping!V85</f>
        <v>7</v>
      </c>
      <c r="W85" s="1314">
        <f>[11]Stoping!W85</f>
        <v>4.43</v>
      </c>
      <c r="X85" s="1314">
        <f>[11]Stoping!X85</f>
        <v>2.4500000000000002</v>
      </c>
      <c r="Y85" s="1314">
        <f>[11]Stoping!Y85</f>
        <v>2.4500000000000002</v>
      </c>
      <c r="Z85" s="1314">
        <f>[11]Stoping!Z85</f>
        <v>3.92</v>
      </c>
      <c r="AA85" s="1314">
        <f>[11]Stoping!AA85</f>
        <v>3.52</v>
      </c>
      <c r="AB85" s="1314">
        <f>[11]Stoping!AB85</f>
        <v>3.53</v>
      </c>
      <c r="AC85" s="1314">
        <f>[11]Stoping!AC85</f>
        <v>2.87</v>
      </c>
      <c r="AD85" s="1314">
        <f>[11]Stoping!AD85</f>
        <v>1.74</v>
      </c>
      <c r="AE85" s="1314">
        <f>[11]Stoping!AE85</f>
        <v>3.1</v>
      </c>
      <c r="AF85" s="1314">
        <f>[11]Stoping!AF85</f>
        <v>0</v>
      </c>
      <c r="AG85" s="1314">
        <f>[11]Stoping!AG85</f>
        <v>3.1</v>
      </c>
      <c r="AH85" s="1314">
        <f>[11]Stoping!AH85</f>
        <v>3</v>
      </c>
      <c r="AI85" s="1314">
        <f>[11]Stoping!AI85</f>
        <v>2.36</v>
      </c>
      <c r="AJ85" s="1314">
        <f>[11]Stoping!AJ85</f>
        <v>2.27</v>
      </c>
      <c r="AK85" s="1314">
        <f>[11]Stoping!AK85</f>
        <v>6.78</v>
      </c>
      <c r="AL85" s="1314">
        <f>[11]Stoping!AL85</f>
        <v>6.27</v>
      </c>
      <c r="AM85" s="347"/>
    </row>
    <row r="86" spans="1:39" ht="15.75" thickBot="1" x14ac:dyDescent="0.3">
      <c r="A86" s="202"/>
      <c r="B86" s="1608"/>
      <c r="C86" s="1693"/>
      <c r="D86" s="1686" t="str">
        <f>[11]Stoping!D86</f>
        <v>Gold</v>
      </c>
      <c r="E86" s="1384" t="str">
        <f>[11]Stoping!E86</f>
        <v>Budget (kg)</v>
      </c>
      <c r="F86" s="206">
        <f>[11]Stoping!F86</f>
        <v>7.6243999999999943</v>
      </c>
      <c r="G86" s="1385">
        <f>[11]Stoping!G86</f>
        <v>0</v>
      </c>
      <c r="H86" s="1316">
        <f>[11]Stoping!H86</f>
        <v>0</v>
      </c>
      <c r="I86" s="1316">
        <f>[11]Stoping!I86</f>
        <v>0.27229999999999999</v>
      </c>
      <c r="J86" s="1316">
        <f>[11]Stoping!J86</f>
        <v>0.27229999999999999</v>
      </c>
      <c r="K86" s="1317">
        <f>[11]Stoping!K86</f>
        <v>0.27229999999999999</v>
      </c>
      <c r="L86" s="1317">
        <f>[11]Stoping!L86</f>
        <v>0.27229999999999999</v>
      </c>
      <c r="M86" s="1317">
        <f>[11]Stoping!M86</f>
        <v>0.27229999999999999</v>
      </c>
      <c r="N86" s="1317">
        <f>[11]Stoping!N86</f>
        <v>0.27229999999999999</v>
      </c>
      <c r="O86" s="1317">
        <f>[11]Stoping!O86</f>
        <v>0.27229999999999999</v>
      </c>
      <c r="P86" s="1318">
        <f>[11]Stoping!P86</f>
        <v>0.27229999999999999</v>
      </c>
      <c r="Q86" s="1317">
        <f>[11]Stoping!Q86</f>
        <v>0.27229999999999999</v>
      </c>
      <c r="R86" s="1317">
        <f>[11]Stoping!R86</f>
        <v>0.27229999999999999</v>
      </c>
      <c r="S86" s="1317">
        <f>[11]Stoping!S86</f>
        <v>0.27229999999999999</v>
      </c>
      <c r="T86" s="1317">
        <f>[11]Stoping!T86</f>
        <v>0.27229999999999999</v>
      </c>
      <c r="U86" s="1317">
        <f>[11]Stoping!U86</f>
        <v>0.27229999999999999</v>
      </c>
      <c r="V86" s="1317">
        <f>[11]Stoping!V86</f>
        <v>0.27229999999999999</v>
      </c>
      <c r="W86" s="1317">
        <f>[11]Stoping!W86</f>
        <v>0.27229999999999999</v>
      </c>
      <c r="X86" s="1317">
        <f>[11]Stoping!X86</f>
        <v>0.27229999999999999</v>
      </c>
      <c r="Y86" s="1317">
        <f>[11]Stoping!Y86</f>
        <v>0.27229999999999999</v>
      </c>
      <c r="Z86" s="1317">
        <f>[11]Stoping!Z86</f>
        <v>0.27229999999999999</v>
      </c>
      <c r="AA86" s="1317">
        <f>[11]Stoping!AA86</f>
        <v>0.27229999999999999</v>
      </c>
      <c r="AB86" s="1317">
        <f>[11]Stoping!AB86</f>
        <v>0.27229999999999999</v>
      </c>
      <c r="AC86" s="1317">
        <f>[11]Stoping!AC86</f>
        <v>0.27229999999999999</v>
      </c>
      <c r="AD86" s="1317">
        <f>[11]Stoping!AD86</f>
        <v>0.27229999999999999</v>
      </c>
      <c r="AE86" s="1317">
        <f>[11]Stoping!AE86</f>
        <v>0.27229999999999999</v>
      </c>
      <c r="AF86" s="1317">
        <f>[11]Stoping!AF86</f>
        <v>0</v>
      </c>
      <c r="AG86" s="1317">
        <f>[11]Stoping!AG86</f>
        <v>0.27229999999999999</v>
      </c>
      <c r="AH86" s="1317">
        <f>[11]Stoping!AH86</f>
        <v>0.27229999999999999</v>
      </c>
      <c r="AI86" s="1317">
        <f>[11]Stoping!AI86</f>
        <v>0.27229999999999999</v>
      </c>
      <c r="AJ86" s="1317">
        <f>[11]Stoping!AJ86</f>
        <v>0.27229999999999999</v>
      </c>
      <c r="AK86" s="1317">
        <f>[11]Stoping!AK86</f>
        <v>0.27229999999999999</v>
      </c>
      <c r="AL86" s="1319">
        <f>[11]Stoping!AL86</f>
        <v>0.27229999999999999</v>
      </c>
      <c r="AM86" s="705"/>
    </row>
    <row r="87" spans="1:39" ht="15.75" thickBot="1" x14ac:dyDescent="0.3">
      <c r="A87" s="202"/>
      <c r="B87" s="1609"/>
      <c r="C87" s="1694"/>
      <c r="D87" s="1687"/>
      <c r="E87" s="1387" t="str">
        <f>[11]Stoping!E87</f>
        <v>Actual (kg)</v>
      </c>
      <c r="F87" s="1321">
        <f>[11]Stoping!F87</f>
        <v>9.3820499999999996</v>
      </c>
      <c r="G87" s="1388">
        <f>[11]Stoping!G87</f>
        <v>0.23052961544515063</v>
      </c>
      <c r="H87" s="1323">
        <f>[11]Stoping!H87</f>
        <v>0.39559999999999995</v>
      </c>
      <c r="I87" s="1321">
        <f>[11]Stoping!I87</f>
        <v>0.19988</v>
      </c>
      <c r="J87" s="1321">
        <f>[11]Stoping!J87</f>
        <v>0.29564999999999997</v>
      </c>
      <c r="K87" s="1321">
        <f>[11]Stoping!K87</f>
        <v>0.29159999999999997</v>
      </c>
      <c r="L87" s="1321">
        <f>[11]Stoping!L87</f>
        <v>0.2014</v>
      </c>
      <c r="M87" s="1321">
        <f>[11]Stoping!M87</f>
        <v>0.42413000000000006</v>
      </c>
      <c r="N87" s="1321">
        <f>[11]Stoping!N87</f>
        <v>0.60199999999999998</v>
      </c>
      <c r="O87" s="1321">
        <f>[11]Stoping!O87</f>
        <v>0.41322000000000003</v>
      </c>
      <c r="P87" s="1321">
        <f>[11]Stoping!P87</f>
        <v>0.35840000000000005</v>
      </c>
      <c r="Q87" s="1321">
        <f>[11]Stoping!Q87</f>
        <v>0.24010000000000004</v>
      </c>
      <c r="R87" s="1321">
        <f>[11]Stoping!R87</f>
        <v>0.30527000000000004</v>
      </c>
      <c r="S87" s="1321">
        <f>[11]Stoping!S87</f>
        <v>0.46200000000000002</v>
      </c>
      <c r="T87" s="1321">
        <f>[11]Stoping!T87</f>
        <v>0.1757</v>
      </c>
      <c r="U87" s="1321">
        <f>[11]Stoping!U87</f>
        <v>0.26790999999999998</v>
      </c>
      <c r="V87" s="1321">
        <f>[11]Stoping!V87</f>
        <v>0.54600000000000004</v>
      </c>
      <c r="W87" s="1321">
        <f>[11]Stoping!W87</f>
        <v>0.32782</v>
      </c>
      <c r="X87" s="1321">
        <f>[11]Stoping!X87</f>
        <v>0.16170000000000001</v>
      </c>
      <c r="Y87" s="1321">
        <f>[11]Stoping!Y87</f>
        <v>0.14945000000000003</v>
      </c>
      <c r="Z87" s="1321">
        <f>[11]Stoping!Z87</f>
        <v>0.25087999999999999</v>
      </c>
      <c r="AA87" s="1321">
        <f>[11]Stoping!AA87</f>
        <v>0.25344</v>
      </c>
      <c r="AB87" s="1321">
        <f>[11]Stoping!AB87</f>
        <v>0.24709999999999999</v>
      </c>
      <c r="AC87" s="1321">
        <f>[11]Stoping!AC87</f>
        <v>0.10906</v>
      </c>
      <c r="AD87" s="1321">
        <f>[11]Stoping!AD87</f>
        <v>0.12179999999999999</v>
      </c>
      <c r="AE87" s="1321">
        <f>[11]Stoping!AE87</f>
        <v>0</v>
      </c>
      <c r="AF87" s="1321">
        <f>[11]Stoping!AF87</f>
        <v>0</v>
      </c>
      <c r="AG87" s="1321">
        <f>[11]Stoping!AG87</f>
        <v>0.28520000000000001</v>
      </c>
      <c r="AH87" s="1321">
        <f>[11]Stoping!AH87</f>
        <v>0.3</v>
      </c>
      <c r="AI87" s="1321">
        <f>[11]Stoping!AI87</f>
        <v>0.36579999999999996</v>
      </c>
      <c r="AJ87" s="1321">
        <f>[11]Stoping!AJ87</f>
        <v>0.33595999999999998</v>
      </c>
      <c r="AK87" s="1321">
        <f>[11]Stoping!AK87</f>
        <v>1.29498</v>
      </c>
      <c r="AL87" s="1321">
        <f>[11]Stoping!AL87</f>
        <v>1.2163799999999998</v>
      </c>
      <c r="AM87" s="706"/>
    </row>
    <row r="88" spans="1:39" ht="15.75" thickBot="1" x14ac:dyDescent="0.3">
      <c r="A88" s="202"/>
      <c r="B88" s="1608">
        <v>1</v>
      </c>
      <c r="C88" s="1692" t="str">
        <f>[11]Stoping!C88</f>
        <v xml:space="preserve">6L_W2 STOPE </v>
      </c>
      <c r="D88" s="1696" t="str">
        <f>[11]Stoping!D88</f>
        <v>Tonnes</v>
      </c>
      <c r="E88" s="293" t="str">
        <f>[11]Stoping!E88</f>
        <v>Budget (t)</v>
      </c>
      <c r="F88" s="196">
        <f>[11]Stoping!F88</f>
        <v>1960</v>
      </c>
      <c r="G88" s="197">
        <f>[11]Stoping!G88</f>
        <v>0</v>
      </c>
      <c r="H88" s="945">
        <f>[11]Stoping!H88</f>
        <v>0</v>
      </c>
      <c r="I88" s="945">
        <f>[11]Stoping!I88</f>
        <v>70</v>
      </c>
      <c r="J88" s="945">
        <f>[11]Stoping!J88</f>
        <v>70</v>
      </c>
      <c r="K88" s="945">
        <f>[11]Stoping!K88</f>
        <v>70</v>
      </c>
      <c r="L88" s="945">
        <f>[11]Stoping!L88</f>
        <v>70</v>
      </c>
      <c r="M88" s="945">
        <f>[11]Stoping!M88</f>
        <v>70</v>
      </c>
      <c r="N88" s="945">
        <f>[11]Stoping!N88</f>
        <v>70</v>
      </c>
      <c r="O88" s="945">
        <f>[11]Stoping!O88</f>
        <v>70</v>
      </c>
      <c r="P88" s="945">
        <f>[11]Stoping!P88</f>
        <v>70</v>
      </c>
      <c r="Q88" s="945">
        <f>[11]Stoping!Q88</f>
        <v>70</v>
      </c>
      <c r="R88" s="945">
        <f>[11]Stoping!R88</f>
        <v>70</v>
      </c>
      <c r="S88" s="945">
        <f>[11]Stoping!S88</f>
        <v>70</v>
      </c>
      <c r="T88" s="945">
        <f>[11]Stoping!T88</f>
        <v>70</v>
      </c>
      <c r="U88" s="945">
        <f>[11]Stoping!U88</f>
        <v>70</v>
      </c>
      <c r="V88" s="945">
        <f>[11]Stoping!V88</f>
        <v>70</v>
      </c>
      <c r="W88" s="945">
        <f>[11]Stoping!W88</f>
        <v>70</v>
      </c>
      <c r="X88" s="945">
        <f>[11]Stoping!X88</f>
        <v>70</v>
      </c>
      <c r="Y88" s="945">
        <f>[11]Stoping!Y88</f>
        <v>70</v>
      </c>
      <c r="Z88" s="945">
        <f>[11]Stoping!Z88</f>
        <v>70</v>
      </c>
      <c r="AA88" s="945">
        <f>[11]Stoping!AA88</f>
        <v>70</v>
      </c>
      <c r="AB88" s="945">
        <f>[11]Stoping!AB88</f>
        <v>70</v>
      </c>
      <c r="AC88" s="945">
        <f>[11]Stoping!AC88</f>
        <v>70</v>
      </c>
      <c r="AD88" s="945">
        <f>[11]Stoping!AD88</f>
        <v>70</v>
      </c>
      <c r="AE88" s="945">
        <f>[11]Stoping!AE88</f>
        <v>70</v>
      </c>
      <c r="AF88" s="945">
        <f>[11]Stoping!AF88</f>
        <v>0</v>
      </c>
      <c r="AG88" s="945">
        <f>[11]Stoping!AG88</f>
        <v>70</v>
      </c>
      <c r="AH88" s="945">
        <f>[11]Stoping!AH88</f>
        <v>70</v>
      </c>
      <c r="AI88" s="945">
        <f>[11]Stoping!AI88</f>
        <v>70</v>
      </c>
      <c r="AJ88" s="945">
        <f>[11]Stoping!AJ88</f>
        <v>70</v>
      </c>
      <c r="AK88" s="945">
        <f>[11]Stoping!AK88</f>
        <v>70</v>
      </c>
      <c r="AL88" s="945">
        <f>[11]Stoping!AL88</f>
        <v>70</v>
      </c>
      <c r="AM88" s="845"/>
    </row>
    <row r="89" spans="1:39" ht="15.75" thickBot="1" x14ac:dyDescent="0.3">
      <c r="A89" s="202"/>
      <c r="B89" s="1608"/>
      <c r="C89" s="1693"/>
      <c r="D89" s="1696"/>
      <c r="E89" s="1379" t="str">
        <f>[11]Stoping!E89</f>
        <v>Actual (t)</v>
      </c>
      <c r="F89" s="1303">
        <f>[11]Stoping!F89</f>
        <v>1896</v>
      </c>
      <c r="G89" s="1380">
        <f>[11]Stoping!G89</f>
        <v>-3.2653061224489799E-2</v>
      </c>
      <c r="H89" s="1305">
        <f>[11]Stoping!H89</f>
        <v>70</v>
      </c>
      <c r="I89" s="847">
        <f>[11]Stoping!I89</f>
        <v>72</v>
      </c>
      <c r="J89" s="1303">
        <f>[11]Stoping!J89</f>
        <v>76</v>
      </c>
      <c r="K89" s="1303">
        <f>[11]Stoping!K89</f>
        <v>72</v>
      </c>
      <c r="L89" s="1303">
        <f>[11]Stoping!L89</f>
        <v>71</v>
      </c>
      <c r="M89" s="1303">
        <f>[11]Stoping!M89</f>
        <v>80</v>
      </c>
      <c r="N89" s="1303">
        <f>[11]Stoping!N89</f>
        <v>80</v>
      </c>
      <c r="O89" s="1303">
        <f>[11]Stoping!O89</f>
        <v>70</v>
      </c>
      <c r="P89" s="1303">
        <f>[11]Stoping!P89</f>
        <v>70</v>
      </c>
      <c r="Q89" s="1303">
        <f>[11]Stoping!Q89</f>
        <v>70</v>
      </c>
      <c r="R89" s="1303">
        <f>[11]Stoping!R89</f>
        <v>70</v>
      </c>
      <c r="S89" s="1303">
        <f>[11]Stoping!S89</f>
        <v>96</v>
      </c>
      <c r="T89" s="1303">
        <f>[11]Stoping!T89</f>
        <v>0</v>
      </c>
      <c r="U89" s="1303">
        <f>[11]Stoping!U89</f>
        <v>80</v>
      </c>
      <c r="V89" s="1303">
        <f>[11]Stoping!V89</f>
        <v>71</v>
      </c>
      <c r="W89" s="1303">
        <f>[11]Stoping!W89</f>
        <v>76</v>
      </c>
      <c r="X89" s="1303">
        <f>[11]Stoping!X89</f>
        <v>69</v>
      </c>
      <c r="Y89" s="1303">
        <f>[11]Stoping!Y89</f>
        <v>67</v>
      </c>
      <c r="Z89" s="1303">
        <f>[11]Stoping!Z89</f>
        <v>66</v>
      </c>
      <c r="AA89" s="1303">
        <f>[11]Stoping!AA89</f>
        <v>71</v>
      </c>
      <c r="AB89" s="1303">
        <f>[11]Stoping!AB89</f>
        <v>72</v>
      </c>
      <c r="AC89" s="1303">
        <f>[11]Stoping!AC89</f>
        <v>0</v>
      </c>
      <c r="AD89" s="1303">
        <f>[11]Stoping!AD89</f>
        <v>72</v>
      </c>
      <c r="AE89" s="1303">
        <f>[11]Stoping!AE89</f>
        <v>33</v>
      </c>
      <c r="AF89" s="1303">
        <f>[11]Stoping!AF89</f>
        <v>0</v>
      </c>
      <c r="AG89" s="1303">
        <f>[11]Stoping!AG89</f>
        <v>0</v>
      </c>
      <c r="AH89" s="1303">
        <f>[11]Stoping!AH89</f>
        <v>98</v>
      </c>
      <c r="AI89" s="1303">
        <f>[11]Stoping!AI89</f>
        <v>74</v>
      </c>
      <c r="AJ89" s="1303">
        <f>[11]Stoping!AJ89</f>
        <v>73</v>
      </c>
      <c r="AK89" s="1303">
        <f>[11]Stoping!AK89</f>
        <v>77</v>
      </c>
      <c r="AL89" s="1303">
        <f>[11]Stoping!AL89</f>
        <v>77</v>
      </c>
      <c r="AM89" s="347"/>
    </row>
    <row r="90" spans="1:39" ht="15.75" thickBot="1" x14ac:dyDescent="0.3">
      <c r="A90" s="202"/>
      <c r="B90" s="1608"/>
      <c r="C90" s="1693"/>
      <c r="D90" s="1696"/>
      <c r="E90" s="1389" t="str">
        <f>[11]Stoping!E90</f>
        <v>Reason if Actual is RED</v>
      </c>
      <c r="F90" s="1390">
        <f>[11]Stoping!F90</f>
        <v>0</v>
      </c>
      <c r="G90" s="1391">
        <f>[11]Stoping!G90</f>
        <v>0</v>
      </c>
      <c r="H90" s="203">
        <f>[11]Stoping!H90</f>
        <v>0</v>
      </c>
      <c r="I90" s="1303">
        <f>[11]Stoping!I90</f>
        <v>0</v>
      </c>
      <c r="J90" s="203">
        <f>[11]Stoping!J90</f>
        <v>0</v>
      </c>
      <c r="K90" s="203">
        <f>[11]Stoping!K90</f>
        <v>0</v>
      </c>
      <c r="L90" s="203">
        <f>[11]Stoping!L90</f>
        <v>0</v>
      </c>
      <c r="M90" s="203">
        <f>[11]Stoping!M90</f>
        <v>0</v>
      </c>
      <c r="N90" s="203">
        <f>[11]Stoping!N90</f>
        <v>0</v>
      </c>
      <c r="O90" s="203">
        <f>[11]Stoping!O90</f>
        <v>0</v>
      </c>
      <c r="P90" s="204">
        <f>[11]Stoping!P90</f>
        <v>0</v>
      </c>
      <c r="Q90" s="203">
        <f>[11]Stoping!Q90</f>
        <v>0</v>
      </c>
      <c r="R90" s="203">
        <f>[11]Stoping!R90</f>
        <v>0</v>
      </c>
      <c r="S90" s="203">
        <f>[11]Stoping!S90</f>
        <v>0</v>
      </c>
      <c r="T90" s="203">
        <f>[11]Stoping!T90</f>
        <v>0</v>
      </c>
      <c r="U90" s="203">
        <f>[11]Stoping!U90</f>
        <v>0</v>
      </c>
      <c r="V90" s="203">
        <f>[11]Stoping!V90</f>
        <v>0</v>
      </c>
      <c r="W90" s="203">
        <f>[11]Stoping!W90</f>
        <v>0</v>
      </c>
      <c r="X90" s="203">
        <f>[11]Stoping!X90</f>
        <v>0</v>
      </c>
      <c r="Y90" s="203">
        <f>[11]Stoping!Y90</f>
        <v>0</v>
      </c>
      <c r="Z90" s="203">
        <f>[11]Stoping!Z90</f>
        <v>0</v>
      </c>
      <c r="AA90" s="203">
        <f>[11]Stoping!AA90</f>
        <v>0</v>
      </c>
      <c r="AB90" s="203">
        <f>[11]Stoping!AB90</f>
        <v>0</v>
      </c>
      <c r="AC90" s="203">
        <f>[11]Stoping!AC90</f>
        <v>0</v>
      </c>
      <c r="AD90" s="203">
        <f>[11]Stoping!AD90</f>
        <v>0</v>
      </c>
      <c r="AE90" s="203">
        <f>[11]Stoping!AE90</f>
        <v>0</v>
      </c>
      <c r="AF90" s="203">
        <f>[11]Stoping!AF90</f>
        <v>0</v>
      </c>
      <c r="AG90" s="203">
        <f>[11]Stoping!AG90</f>
        <v>0</v>
      </c>
      <c r="AH90" s="203">
        <f>[11]Stoping!AH90</f>
        <v>0</v>
      </c>
      <c r="AI90" s="203">
        <f>[11]Stoping!AI90</f>
        <v>0</v>
      </c>
      <c r="AJ90" s="203">
        <f>[11]Stoping!AJ90</f>
        <v>0</v>
      </c>
      <c r="AK90" s="203">
        <f>[11]Stoping!AK90</f>
        <v>0</v>
      </c>
      <c r="AL90" s="205">
        <f>[11]Stoping!AL90</f>
        <v>0</v>
      </c>
      <c r="AM90" s="846"/>
    </row>
    <row r="91" spans="1:39" ht="15.75" thickBot="1" x14ac:dyDescent="0.3">
      <c r="A91" s="202"/>
      <c r="B91" s="1608"/>
      <c r="C91" s="1693"/>
      <c r="D91" s="1686" t="str">
        <f>[11]Stoping!D91</f>
        <v>Grade</v>
      </c>
      <c r="E91" s="1384" t="str">
        <f>[11]Stoping!E91</f>
        <v>Budget (g/t)</v>
      </c>
      <c r="F91" s="1310">
        <f>[11]Stoping!F91</f>
        <v>3.8552040816326572</v>
      </c>
      <c r="G91" s="1385">
        <f>[11]Stoping!G91</f>
        <v>0</v>
      </c>
      <c r="H91" s="1312">
        <f>[11]Stoping!H91</f>
        <v>0</v>
      </c>
      <c r="I91" s="1312">
        <f>[11]Stoping!I91</f>
        <v>2.91</v>
      </c>
      <c r="J91" s="1312">
        <f>[11]Stoping!J91</f>
        <v>2.91</v>
      </c>
      <c r="K91" s="1312">
        <f>[11]Stoping!K91</f>
        <v>2.91</v>
      </c>
      <c r="L91" s="1312">
        <f>[11]Stoping!L91</f>
        <v>2.91</v>
      </c>
      <c r="M91" s="1312">
        <f>[11]Stoping!M91</f>
        <v>2.91</v>
      </c>
      <c r="N91" s="1312">
        <f>[11]Stoping!N91</f>
        <v>2.91</v>
      </c>
      <c r="O91" s="1312">
        <f>[11]Stoping!O91</f>
        <v>2.91</v>
      </c>
      <c r="P91" s="1312">
        <f>[11]Stoping!P91</f>
        <v>2.91</v>
      </c>
      <c r="Q91" s="1312">
        <f>[11]Stoping!Q91</f>
        <v>2.91</v>
      </c>
      <c r="R91" s="1312">
        <f>[11]Stoping!R91</f>
        <v>2.91</v>
      </c>
      <c r="S91" s="1312">
        <f>[11]Stoping!S91</f>
        <v>2.91</v>
      </c>
      <c r="T91" s="1312">
        <f>[11]Stoping!T91</f>
        <v>2.91</v>
      </c>
      <c r="U91" s="1312">
        <f>[11]Stoping!U91</f>
        <v>2.91</v>
      </c>
      <c r="V91" s="1312">
        <f>[11]Stoping!V91</f>
        <v>2.91</v>
      </c>
      <c r="W91" s="1312">
        <f>[11]Stoping!W91</f>
        <v>2.91</v>
      </c>
      <c r="X91" s="1312">
        <f>[11]Stoping!X91</f>
        <v>2.91</v>
      </c>
      <c r="Y91" s="1312">
        <f>[11]Stoping!Y91</f>
        <v>2.91</v>
      </c>
      <c r="Z91" s="1312">
        <f>[11]Stoping!Z91</f>
        <v>2.91</v>
      </c>
      <c r="AA91" s="1312">
        <f>[11]Stoping!AA91</f>
        <v>2.91</v>
      </c>
      <c r="AB91" s="1312">
        <f>[11]Stoping!AB91</f>
        <v>2.91</v>
      </c>
      <c r="AC91" s="1312">
        <f>[11]Stoping!AC91</f>
        <v>2.91</v>
      </c>
      <c r="AD91" s="1312">
        <f>[11]Stoping!AD91</f>
        <v>2.91</v>
      </c>
      <c r="AE91" s="1312">
        <f>[11]Stoping!AE91</f>
        <v>2.91</v>
      </c>
      <c r="AF91" s="1312">
        <f>[11]Stoping!AF91</f>
        <v>2.91</v>
      </c>
      <c r="AG91" s="1312">
        <f>[11]Stoping!AG91</f>
        <v>2.91</v>
      </c>
      <c r="AH91" s="1312">
        <f>[11]Stoping!AH91</f>
        <v>2.91</v>
      </c>
      <c r="AI91" s="1312">
        <f>[11]Stoping!AI91</f>
        <v>2.91</v>
      </c>
      <c r="AJ91" s="1312">
        <f>[11]Stoping!AJ91</f>
        <v>2.91</v>
      </c>
      <c r="AK91" s="1312">
        <f>[11]Stoping!AK91</f>
        <v>2.91</v>
      </c>
      <c r="AL91" s="1312">
        <f>[11]Stoping!AL91</f>
        <v>2.91</v>
      </c>
      <c r="AM91" s="347"/>
    </row>
    <row r="92" spans="1:39" ht="15.75" thickBot="1" x14ac:dyDescent="0.3">
      <c r="A92" s="202"/>
      <c r="B92" s="1608"/>
      <c r="C92" s="1693"/>
      <c r="D92" s="1686"/>
      <c r="E92" s="1386" t="str">
        <f>[11]Stoping!E92</f>
        <v>Actual (g/t)</v>
      </c>
      <c r="F92" s="1314">
        <f>[11]Stoping!F92</f>
        <v>3.1643565400843876</v>
      </c>
      <c r="G92" s="1380">
        <f>[11]Stoping!G92</f>
        <v>-0.17919869530115759</v>
      </c>
      <c r="H92" s="1315">
        <f>[11]Stoping!H92</f>
        <v>1.41</v>
      </c>
      <c r="I92" s="1314">
        <f>[11]Stoping!I92</f>
        <v>1.38</v>
      </c>
      <c r="J92" s="1314">
        <f>[11]Stoping!J92</f>
        <v>1.3</v>
      </c>
      <c r="K92" s="1314">
        <f>[11]Stoping!K92</f>
        <v>1.3</v>
      </c>
      <c r="L92" s="1314">
        <f>[11]Stoping!L92</f>
        <v>4.09</v>
      </c>
      <c r="M92" s="1314">
        <f>[11]Stoping!M92</f>
        <v>4.75</v>
      </c>
      <c r="N92" s="1314">
        <f>[11]Stoping!N92</f>
        <v>3.17</v>
      </c>
      <c r="O92" s="1314">
        <f>[11]Stoping!O92</f>
        <v>5.6</v>
      </c>
      <c r="P92" s="1314">
        <f>[11]Stoping!P92</f>
        <v>2.62</v>
      </c>
      <c r="Q92" s="1314">
        <f>[11]Stoping!Q92</f>
        <v>2.59</v>
      </c>
      <c r="R92" s="1314">
        <f>[11]Stoping!R92</f>
        <v>2.59</v>
      </c>
      <c r="S92" s="1314">
        <f>[11]Stoping!S92</f>
        <v>3.07</v>
      </c>
      <c r="T92" s="1314">
        <f>[11]Stoping!T92</f>
        <v>0</v>
      </c>
      <c r="U92" s="1314">
        <f>[11]Stoping!U92</f>
        <v>3.73</v>
      </c>
      <c r="V92" s="1314">
        <f>[11]Stoping!V92</f>
        <v>3.2</v>
      </c>
      <c r="W92" s="1314">
        <f>[11]Stoping!W92</f>
        <v>4.38</v>
      </c>
      <c r="X92" s="1314">
        <f>[11]Stoping!X92</f>
        <v>2.0699999999999998</v>
      </c>
      <c r="Y92" s="1314">
        <f>[11]Stoping!Y92</f>
        <v>2.0699999999999998</v>
      </c>
      <c r="Z92" s="1314">
        <f>[11]Stoping!Z92</f>
        <v>2.91</v>
      </c>
      <c r="AA92" s="1314">
        <f>[11]Stoping!AA92</f>
        <v>2.67</v>
      </c>
      <c r="AB92" s="1314">
        <f>[11]Stoping!AB92</f>
        <v>2.61</v>
      </c>
      <c r="AC92" s="1314">
        <f>[11]Stoping!AC92</f>
        <v>2.99</v>
      </c>
      <c r="AD92" s="1314">
        <f>[11]Stoping!AD92</f>
        <v>6</v>
      </c>
      <c r="AE92" s="1314">
        <f>[11]Stoping!AE92</f>
        <v>2.4</v>
      </c>
      <c r="AF92" s="1314">
        <f>[11]Stoping!AF92</f>
        <v>0</v>
      </c>
      <c r="AG92" s="1314">
        <f>[11]Stoping!AG92</f>
        <v>0</v>
      </c>
      <c r="AH92" s="1314">
        <f>[11]Stoping!AH92</f>
        <v>2.87</v>
      </c>
      <c r="AI92" s="1314">
        <f>[11]Stoping!AI92</f>
        <v>2.64</v>
      </c>
      <c r="AJ92" s="1314">
        <f>[11]Stoping!AJ92</f>
        <v>2.96</v>
      </c>
      <c r="AK92" s="1314">
        <f>[11]Stoping!AK92</f>
        <v>7</v>
      </c>
      <c r="AL92" s="1314">
        <f>[11]Stoping!AL92</f>
        <v>2.74</v>
      </c>
      <c r="AM92" s="347"/>
    </row>
    <row r="93" spans="1:39" ht="15.75" thickBot="1" x14ac:dyDescent="0.3">
      <c r="A93" s="202"/>
      <c r="B93" s="1608"/>
      <c r="C93" s="1693"/>
      <c r="D93" s="1686" t="str">
        <f>[11]Stoping!D93</f>
        <v>Gold</v>
      </c>
      <c r="E93" s="1384" t="str">
        <f>[11]Stoping!E93</f>
        <v>Budget (kg)</v>
      </c>
      <c r="F93" s="206">
        <f>[11]Stoping!F93</f>
        <v>7.5562000000000076</v>
      </c>
      <c r="G93" s="1385">
        <f>[11]Stoping!G93</f>
        <v>0</v>
      </c>
      <c r="H93" s="1316">
        <f>[11]Stoping!H93</f>
        <v>0</v>
      </c>
      <c r="I93" s="1316">
        <f>[11]Stoping!I93</f>
        <v>0.20370000000000002</v>
      </c>
      <c r="J93" s="1316">
        <f>[11]Stoping!J93</f>
        <v>0.20370000000000002</v>
      </c>
      <c r="K93" s="1317">
        <f>[11]Stoping!K93</f>
        <v>0.20370000000000002</v>
      </c>
      <c r="L93" s="1317">
        <f>[11]Stoping!L93</f>
        <v>0.20370000000000002</v>
      </c>
      <c r="M93" s="1317">
        <f>[11]Stoping!M93</f>
        <v>0.20370000000000002</v>
      </c>
      <c r="N93" s="1317">
        <f>[11]Stoping!N93</f>
        <v>0.20370000000000002</v>
      </c>
      <c r="O93" s="1317">
        <f>[11]Stoping!O93</f>
        <v>0.20370000000000002</v>
      </c>
      <c r="P93" s="1318">
        <f>[11]Stoping!P93</f>
        <v>0.20370000000000002</v>
      </c>
      <c r="Q93" s="1317">
        <f>[11]Stoping!Q93</f>
        <v>0.20370000000000002</v>
      </c>
      <c r="R93" s="1317">
        <f>[11]Stoping!R93</f>
        <v>0.20370000000000002</v>
      </c>
      <c r="S93" s="1317">
        <f>[11]Stoping!S93</f>
        <v>0.20370000000000002</v>
      </c>
      <c r="T93" s="1317">
        <f>[11]Stoping!T93</f>
        <v>2.06</v>
      </c>
      <c r="U93" s="1317">
        <f>[11]Stoping!U93</f>
        <v>0.20370000000000002</v>
      </c>
      <c r="V93" s="1317">
        <f>[11]Stoping!V93</f>
        <v>0.20370000000000002</v>
      </c>
      <c r="W93" s="1317">
        <f>[11]Stoping!W93</f>
        <v>0.20370000000000002</v>
      </c>
      <c r="X93" s="1317">
        <f>[11]Stoping!X93</f>
        <v>0.20370000000000002</v>
      </c>
      <c r="Y93" s="1317">
        <f>[11]Stoping!Y93</f>
        <v>0.20370000000000002</v>
      </c>
      <c r="Z93" s="1317">
        <f>[11]Stoping!Z93</f>
        <v>0.20370000000000002</v>
      </c>
      <c r="AA93" s="1317">
        <f>[11]Stoping!AA93</f>
        <v>0.2</v>
      </c>
      <c r="AB93" s="1317">
        <f>[11]Stoping!AB93</f>
        <v>0.20370000000000002</v>
      </c>
      <c r="AC93" s="1317">
        <f>[11]Stoping!AC93</f>
        <v>0.20370000000000002</v>
      </c>
      <c r="AD93" s="1317">
        <f>[11]Stoping!AD93</f>
        <v>0.20370000000000002</v>
      </c>
      <c r="AE93" s="1317">
        <f>[11]Stoping!AE93</f>
        <v>0.20370000000000002</v>
      </c>
      <c r="AF93" s="1317">
        <f>[11]Stoping!AF93</f>
        <v>0</v>
      </c>
      <c r="AG93" s="1317">
        <f>[11]Stoping!AG93</f>
        <v>0.20370000000000002</v>
      </c>
      <c r="AH93" s="1317">
        <f>[11]Stoping!AH93</f>
        <v>0.20370000000000002</v>
      </c>
      <c r="AI93" s="1317">
        <f>[11]Stoping!AI93</f>
        <v>0.20370000000000002</v>
      </c>
      <c r="AJ93" s="1317">
        <f>[11]Stoping!AJ93</f>
        <v>0.20370000000000002</v>
      </c>
      <c r="AK93" s="1317">
        <f>[11]Stoping!AK93</f>
        <v>0.20370000000000002</v>
      </c>
      <c r="AL93" s="1319">
        <f>[11]Stoping!AL93</f>
        <v>0.20370000000000002</v>
      </c>
      <c r="AM93" s="705"/>
    </row>
    <row r="94" spans="1:39" ht="15.75" thickBot="1" x14ac:dyDescent="0.3">
      <c r="A94" s="202"/>
      <c r="B94" s="1609"/>
      <c r="C94" s="1694"/>
      <c r="D94" s="1687"/>
      <c r="E94" s="1387" t="str">
        <f>[11]Stoping!E94</f>
        <v>Actual (kg)</v>
      </c>
      <c r="F94" s="1321">
        <f>[11]Stoping!F94</f>
        <v>5.9996199999999993</v>
      </c>
      <c r="G94" s="1388">
        <f>[11]Stoping!G94</f>
        <v>-0.2060003705566299</v>
      </c>
      <c r="H94" s="1323">
        <f>[11]Stoping!H94</f>
        <v>9.8699999999999982E-2</v>
      </c>
      <c r="I94" s="1323">
        <f>[11]Stoping!I94</f>
        <v>9.935999999999999E-2</v>
      </c>
      <c r="J94" s="1321">
        <f>[11]Stoping!J94</f>
        <v>9.8799999999999999E-2</v>
      </c>
      <c r="K94" s="1321">
        <f>[11]Stoping!K94</f>
        <v>9.3600000000000003E-2</v>
      </c>
      <c r="L94" s="1321">
        <f>[11]Stoping!L94</f>
        <v>0.29038999999999998</v>
      </c>
      <c r="M94" s="1321">
        <f>[11]Stoping!M94</f>
        <v>0.38</v>
      </c>
      <c r="N94" s="1321">
        <f>[11]Stoping!N94</f>
        <v>0.25359999999999999</v>
      </c>
      <c r="O94" s="1321">
        <f>[11]Stoping!O94</f>
        <v>0.39200000000000002</v>
      </c>
      <c r="P94" s="1321">
        <f>[11]Stoping!P94</f>
        <v>0.18340000000000001</v>
      </c>
      <c r="Q94" s="1321">
        <f>[11]Stoping!Q94</f>
        <v>0.18129999999999999</v>
      </c>
      <c r="R94" s="1321">
        <f>[11]Stoping!R94</f>
        <v>0.18129999999999999</v>
      </c>
      <c r="S94" s="1321">
        <f>[11]Stoping!S94</f>
        <v>0.29471999999999998</v>
      </c>
      <c r="T94" s="1321">
        <f>[11]Stoping!T94</f>
        <v>0</v>
      </c>
      <c r="U94" s="1321">
        <f>[11]Stoping!U94</f>
        <v>0.2984</v>
      </c>
      <c r="V94" s="1321">
        <f>[11]Stoping!V94</f>
        <v>0.22720000000000001</v>
      </c>
      <c r="W94" s="1321">
        <f>[11]Stoping!W94</f>
        <v>0.33288000000000001</v>
      </c>
      <c r="X94" s="1321">
        <f>[11]Stoping!X94</f>
        <v>0.14282999999999998</v>
      </c>
      <c r="Y94" s="1321">
        <f>[11]Stoping!Y94</f>
        <v>0.13869000000000001</v>
      </c>
      <c r="Z94" s="1321">
        <f>[11]Stoping!Z94</f>
        <v>0.19206000000000001</v>
      </c>
      <c r="AA94" s="1321">
        <f>[11]Stoping!AA94</f>
        <v>0.18956999999999999</v>
      </c>
      <c r="AB94" s="1321">
        <f>[11]Stoping!AB94</f>
        <v>0.18791999999999998</v>
      </c>
      <c r="AC94" s="1321">
        <f>[11]Stoping!AC94</f>
        <v>0</v>
      </c>
      <c r="AD94" s="1321">
        <f>[11]Stoping!AD94</f>
        <v>0.432</v>
      </c>
      <c r="AE94" s="1321">
        <f>[11]Stoping!AE94</f>
        <v>7.9200000000000007E-2</v>
      </c>
      <c r="AF94" s="1321">
        <f>[11]Stoping!AF94</f>
        <v>0</v>
      </c>
      <c r="AG94" s="1321">
        <f>[11]Stoping!AG94</f>
        <v>0</v>
      </c>
      <c r="AH94" s="1321">
        <f>[11]Stoping!AH94</f>
        <v>0.28126000000000001</v>
      </c>
      <c r="AI94" s="1321">
        <f>[11]Stoping!AI94</f>
        <v>0.19536000000000001</v>
      </c>
      <c r="AJ94" s="1321">
        <f>[11]Stoping!AJ94</f>
        <v>0.21607999999999999</v>
      </c>
      <c r="AK94" s="1321">
        <f>[11]Stoping!AK94</f>
        <v>0.53900000000000003</v>
      </c>
      <c r="AL94" s="1321">
        <f>[11]Stoping!AL94</f>
        <v>0.21098000000000003</v>
      </c>
      <c r="AM94" s="706"/>
    </row>
    <row r="95" spans="1:39" ht="15.75" thickBot="1" x14ac:dyDescent="0.3">
      <c r="A95" s="202"/>
      <c r="B95" s="1608">
        <v>1</v>
      </c>
      <c r="C95" s="1692" t="str">
        <f>[11]Stoping!C95</f>
        <v>6L_W3 STOPE</v>
      </c>
      <c r="D95" s="1684" t="str">
        <f>[11]Stoping!D95</f>
        <v>Tonnes</v>
      </c>
      <c r="E95" s="293" t="str">
        <f>[11]Stoping!E95</f>
        <v>Budget (t)</v>
      </c>
      <c r="F95" s="196">
        <f>[11]Stoping!F95</f>
        <v>1960</v>
      </c>
      <c r="G95" s="197">
        <f>[11]Stoping!G95</f>
        <v>0</v>
      </c>
      <c r="H95" s="945">
        <f>[11]Stoping!H95</f>
        <v>0</v>
      </c>
      <c r="I95" s="945">
        <f>[11]Stoping!I95</f>
        <v>70</v>
      </c>
      <c r="J95" s="945">
        <f>[11]Stoping!J95</f>
        <v>70</v>
      </c>
      <c r="K95" s="945">
        <f>[11]Stoping!K95</f>
        <v>70</v>
      </c>
      <c r="L95" s="945">
        <f>[11]Stoping!L95</f>
        <v>70</v>
      </c>
      <c r="M95" s="945">
        <f>[11]Stoping!M95</f>
        <v>70</v>
      </c>
      <c r="N95" s="945">
        <f>[11]Stoping!N95</f>
        <v>70</v>
      </c>
      <c r="O95" s="945">
        <f>[11]Stoping!O95</f>
        <v>70</v>
      </c>
      <c r="P95" s="945">
        <f>[11]Stoping!P95</f>
        <v>70</v>
      </c>
      <c r="Q95" s="945">
        <f>[11]Stoping!Q95</f>
        <v>70</v>
      </c>
      <c r="R95" s="945">
        <f>[11]Stoping!R95</f>
        <v>70</v>
      </c>
      <c r="S95" s="945">
        <f>[11]Stoping!S95</f>
        <v>70</v>
      </c>
      <c r="T95" s="945">
        <f>[11]Stoping!T95</f>
        <v>70</v>
      </c>
      <c r="U95" s="945">
        <f>[11]Stoping!U95</f>
        <v>70</v>
      </c>
      <c r="V95" s="945">
        <f>[11]Stoping!V95</f>
        <v>70</v>
      </c>
      <c r="W95" s="945">
        <f>[11]Stoping!W95</f>
        <v>70</v>
      </c>
      <c r="X95" s="945">
        <f>[11]Stoping!X95</f>
        <v>70</v>
      </c>
      <c r="Y95" s="945">
        <f>[11]Stoping!Y95</f>
        <v>70</v>
      </c>
      <c r="Z95" s="945">
        <f>[11]Stoping!Z95</f>
        <v>70</v>
      </c>
      <c r="AA95" s="945">
        <f>[11]Stoping!AA95</f>
        <v>70</v>
      </c>
      <c r="AB95" s="945">
        <f>[11]Stoping!AB95</f>
        <v>70</v>
      </c>
      <c r="AC95" s="945">
        <f>[11]Stoping!AC95</f>
        <v>70</v>
      </c>
      <c r="AD95" s="945">
        <f>[11]Stoping!AD95</f>
        <v>70</v>
      </c>
      <c r="AE95" s="945">
        <f>[11]Stoping!AE95</f>
        <v>70</v>
      </c>
      <c r="AF95" s="945">
        <f>[11]Stoping!AF95</f>
        <v>0</v>
      </c>
      <c r="AG95" s="945">
        <f>[11]Stoping!AG95</f>
        <v>70</v>
      </c>
      <c r="AH95" s="945">
        <f>[11]Stoping!AH95</f>
        <v>70</v>
      </c>
      <c r="AI95" s="945">
        <f>[11]Stoping!AI95</f>
        <v>70</v>
      </c>
      <c r="AJ95" s="945">
        <f>[11]Stoping!AJ95</f>
        <v>70</v>
      </c>
      <c r="AK95" s="945">
        <f>[11]Stoping!AK95</f>
        <v>70</v>
      </c>
      <c r="AL95" s="945">
        <f>[11]Stoping!AL95</f>
        <v>70</v>
      </c>
      <c r="AM95" s="845"/>
    </row>
    <row r="96" spans="1:39" ht="15.75" thickBot="1" x14ac:dyDescent="0.3">
      <c r="A96" s="202"/>
      <c r="B96" s="1608"/>
      <c r="C96" s="1693"/>
      <c r="D96" s="1684"/>
      <c r="E96" s="1379" t="str">
        <f>[11]Stoping!E96</f>
        <v>Actual (t)</v>
      </c>
      <c r="F96" s="1303">
        <f>[11]Stoping!F96</f>
        <v>1376</v>
      </c>
      <c r="G96" s="1380">
        <f>[11]Stoping!G96</f>
        <v>-0.29795918367346941</v>
      </c>
      <c r="H96" s="1305">
        <f>[11]Stoping!H96</f>
        <v>72</v>
      </c>
      <c r="I96" s="1303">
        <f>[11]Stoping!I96</f>
        <v>70</v>
      </c>
      <c r="J96" s="1303">
        <f>[11]Stoping!J96</f>
        <v>78</v>
      </c>
      <c r="K96" s="1303">
        <f>[11]Stoping!K96</f>
        <v>70</v>
      </c>
      <c r="L96" s="1303">
        <f>[11]Stoping!L96</f>
        <v>18</v>
      </c>
      <c r="M96" s="1303">
        <f>[11]Stoping!M96</f>
        <v>72</v>
      </c>
      <c r="N96" s="1303">
        <f>[11]Stoping!N96</f>
        <v>78</v>
      </c>
      <c r="O96" s="1303">
        <f>[11]Stoping!O96</f>
        <v>72</v>
      </c>
      <c r="P96" s="1303">
        <f>[11]Stoping!P96</f>
        <v>71</v>
      </c>
      <c r="Q96" s="1303">
        <f>[11]Stoping!Q96</f>
        <v>72</v>
      </c>
      <c r="R96" s="1303">
        <f>[11]Stoping!R96</f>
        <v>84</v>
      </c>
      <c r="S96" s="1303">
        <f>[11]Stoping!S96</f>
        <v>38</v>
      </c>
      <c r="T96" s="1303">
        <f>[11]Stoping!T96</f>
        <v>37</v>
      </c>
      <c r="U96" s="1303">
        <f>[11]Stoping!U96</f>
        <v>69</v>
      </c>
      <c r="V96" s="1303">
        <f>[11]Stoping!V96</f>
        <v>71</v>
      </c>
      <c r="W96" s="1303">
        <f>[11]Stoping!W96</f>
        <v>70</v>
      </c>
      <c r="X96" s="1303">
        <f>[11]Stoping!X96</f>
        <v>66</v>
      </c>
      <c r="Y96" s="1303">
        <f>[11]Stoping!Y96</f>
        <v>61</v>
      </c>
      <c r="Z96" s="1303">
        <f>[11]Stoping!Z96</f>
        <v>100</v>
      </c>
      <c r="AA96" s="1303">
        <f>[11]Stoping!AA96</f>
        <v>34</v>
      </c>
      <c r="AB96" s="1303">
        <f>[11]Stoping!AB96</f>
        <v>73</v>
      </c>
      <c r="AC96" s="1303">
        <f>[11]Stoping!AC96</f>
        <v>0</v>
      </c>
      <c r="AD96" s="1303">
        <f>[11]Stoping!AD96</f>
        <v>0</v>
      </c>
      <c r="AE96" s="1303">
        <f>[11]Stoping!AE96</f>
        <v>0</v>
      </c>
      <c r="AF96" s="1303">
        <f>[11]Stoping!AF96</f>
        <v>0</v>
      </c>
      <c r="AG96" s="1303">
        <f>[11]Stoping!AG96</f>
        <v>0</v>
      </c>
      <c r="AH96" s="1303">
        <f>[11]Stoping!AH96</f>
        <v>0</v>
      </c>
      <c r="AI96" s="1303">
        <f>[11]Stoping!AI96</f>
        <v>0</v>
      </c>
      <c r="AJ96" s="1303">
        <f>[11]Stoping!AJ96</f>
        <v>0</v>
      </c>
      <c r="AK96" s="1303">
        <f>[11]Stoping!AK96</f>
        <v>0</v>
      </c>
      <c r="AL96" s="1303">
        <f>[11]Stoping!AL96</f>
        <v>0</v>
      </c>
      <c r="AM96" s="347"/>
    </row>
    <row r="97" spans="1:39" ht="15.75" thickBot="1" x14ac:dyDescent="0.3">
      <c r="A97" s="202"/>
      <c r="B97" s="1608"/>
      <c r="C97" s="1693"/>
      <c r="D97" s="1684"/>
      <c r="E97" s="1389" t="str">
        <f>[11]Stoping!E97</f>
        <v>Reason if Actual is RED</v>
      </c>
      <c r="F97" s="1390">
        <f>[11]Stoping!F97</f>
        <v>0</v>
      </c>
      <c r="G97" s="1391">
        <f>[11]Stoping!G97</f>
        <v>0</v>
      </c>
      <c r="H97" s="203">
        <f>[11]Stoping!H97</f>
        <v>0</v>
      </c>
      <c r="I97" s="203">
        <f>[11]Stoping!I97</f>
        <v>0</v>
      </c>
      <c r="J97" s="203">
        <f>[11]Stoping!J97</f>
        <v>0</v>
      </c>
      <c r="K97" s="203">
        <f>[11]Stoping!K97</f>
        <v>0</v>
      </c>
      <c r="L97" s="203">
        <f>[11]Stoping!L97</f>
        <v>0</v>
      </c>
      <c r="M97" s="203">
        <f>[11]Stoping!M97</f>
        <v>0</v>
      </c>
      <c r="N97" s="203">
        <f>[11]Stoping!N97</f>
        <v>0</v>
      </c>
      <c r="O97" s="203">
        <f>[11]Stoping!O97</f>
        <v>0</v>
      </c>
      <c r="P97" s="204">
        <f>[11]Stoping!P97</f>
        <v>0</v>
      </c>
      <c r="Q97" s="203">
        <f>[11]Stoping!Q97</f>
        <v>0</v>
      </c>
      <c r="R97" s="203">
        <f>[11]Stoping!R97</f>
        <v>0</v>
      </c>
      <c r="S97" s="203">
        <f>[11]Stoping!S97</f>
        <v>0</v>
      </c>
      <c r="T97" s="203">
        <f>[11]Stoping!T97</f>
        <v>0</v>
      </c>
      <c r="U97" s="203">
        <f>[11]Stoping!U97</f>
        <v>0</v>
      </c>
      <c r="V97" s="203">
        <f>[11]Stoping!V97</f>
        <v>0</v>
      </c>
      <c r="W97" s="203">
        <f>[11]Stoping!W97</f>
        <v>0</v>
      </c>
      <c r="X97" s="203">
        <f>[11]Stoping!X97</f>
        <v>0</v>
      </c>
      <c r="Y97" s="203">
        <f>[11]Stoping!Y97</f>
        <v>0</v>
      </c>
      <c r="Z97" s="203">
        <f>[11]Stoping!Z97</f>
        <v>0</v>
      </c>
      <c r="AA97" s="203">
        <f>[11]Stoping!AA97</f>
        <v>0</v>
      </c>
      <c r="AB97" s="203">
        <f>[11]Stoping!AB97</f>
        <v>0</v>
      </c>
      <c r="AC97" s="203">
        <f>[11]Stoping!AC97</f>
        <v>0</v>
      </c>
      <c r="AD97" s="203">
        <f>[11]Stoping!AD97</f>
        <v>0</v>
      </c>
      <c r="AE97" s="203">
        <f>[11]Stoping!AE97</f>
        <v>0</v>
      </c>
      <c r="AF97" s="203">
        <f>[11]Stoping!AF97</f>
        <v>0</v>
      </c>
      <c r="AG97" s="203">
        <f>[11]Stoping!AG97</f>
        <v>0</v>
      </c>
      <c r="AH97" s="203">
        <f>[11]Stoping!AH97</f>
        <v>0</v>
      </c>
      <c r="AI97" s="203">
        <f>[11]Stoping!AI97</f>
        <v>0</v>
      </c>
      <c r="AJ97" s="203">
        <f>[11]Stoping!AJ97</f>
        <v>0</v>
      </c>
      <c r="AK97" s="203">
        <f>[11]Stoping!AK97</f>
        <v>0</v>
      </c>
      <c r="AL97" s="205">
        <f>[11]Stoping!AL97</f>
        <v>0</v>
      </c>
      <c r="AM97" s="846"/>
    </row>
    <row r="98" spans="1:39" ht="15.75" thickBot="1" x14ac:dyDescent="0.3">
      <c r="A98" s="202"/>
      <c r="B98" s="1608"/>
      <c r="C98" s="1693"/>
      <c r="D98" s="1685" t="str">
        <f>[11]Stoping!D98</f>
        <v>Grade</v>
      </c>
      <c r="E98" s="1384" t="str">
        <f>[11]Stoping!E98</f>
        <v>Budget (g/t)</v>
      </c>
      <c r="F98" s="1310">
        <f>[11]Stoping!F98</f>
        <v>2.9081122448979615</v>
      </c>
      <c r="G98" s="1385">
        <f>[11]Stoping!G98</f>
        <v>0</v>
      </c>
      <c r="H98" s="1312">
        <f>[11]Stoping!H98</f>
        <v>0</v>
      </c>
      <c r="I98" s="1312">
        <f>[11]Stoping!I98</f>
        <v>2.91</v>
      </c>
      <c r="J98" s="1312">
        <f>[11]Stoping!J98</f>
        <v>2.91</v>
      </c>
      <c r="K98" s="1312">
        <f>[11]Stoping!K98</f>
        <v>2.91</v>
      </c>
      <c r="L98" s="1312">
        <f>[11]Stoping!L98</f>
        <v>2.91</v>
      </c>
      <c r="M98" s="1312">
        <f>[11]Stoping!M98</f>
        <v>2.91</v>
      </c>
      <c r="N98" s="1312">
        <f>[11]Stoping!N98</f>
        <v>2.91</v>
      </c>
      <c r="O98" s="1312">
        <f>[11]Stoping!O98</f>
        <v>2.91</v>
      </c>
      <c r="P98" s="1312">
        <f>[11]Stoping!P98</f>
        <v>2.91</v>
      </c>
      <c r="Q98" s="1312">
        <f>[11]Stoping!Q98</f>
        <v>2.91</v>
      </c>
      <c r="R98" s="1312">
        <f>[11]Stoping!R98</f>
        <v>2.91</v>
      </c>
      <c r="S98" s="1312">
        <f>[11]Stoping!S98</f>
        <v>2.91</v>
      </c>
      <c r="T98" s="1312">
        <f>[11]Stoping!T98</f>
        <v>2.91</v>
      </c>
      <c r="U98" s="1312">
        <f>[11]Stoping!U98</f>
        <v>2.91</v>
      </c>
      <c r="V98" s="1312">
        <f>[11]Stoping!V98</f>
        <v>2.91</v>
      </c>
      <c r="W98" s="1312">
        <f>[11]Stoping!W98</f>
        <v>2.91</v>
      </c>
      <c r="X98" s="1312">
        <f>[11]Stoping!X98</f>
        <v>2.91</v>
      </c>
      <c r="Y98" s="1312">
        <f>[11]Stoping!Y98</f>
        <v>2.91</v>
      </c>
      <c r="Z98" s="1312">
        <f>[11]Stoping!Z98</f>
        <v>2.91</v>
      </c>
      <c r="AA98" s="1312">
        <f>[11]Stoping!AA98</f>
        <v>2.91</v>
      </c>
      <c r="AB98" s="1312">
        <f>[11]Stoping!AB98</f>
        <v>2.91</v>
      </c>
      <c r="AC98" s="1312">
        <f>[11]Stoping!AC98</f>
        <v>2.91</v>
      </c>
      <c r="AD98" s="1312">
        <f>[11]Stoping!AD98</f>
        <v>2.91</v>
      </c>
      <c r="AE98" s="1312">
        <f>[11]Stoping!AE98</f>
        <v>2.91</v>
      </c>
      <c r="AF98" s="1312">
        <f>[11]Stoping!AF98</f>
        <v>0</v>
      </c>
      <c r="AG98" s="1312">
        <f>[11]Stoping!AG98</f>
        <v>2.91</v>
      </c>
      <c r="AH98" s="1312">
        <f>[11]Stoping!AH98</f>
        <v>2.91</v>
      </c>
      <c r="AI98" s="1312">
        <f>[11]Stoping!AI98</f>
        <v>2.91</v>
      </c>
      <c r="AJ98" s="1312">
        <f>[11]Stoping!AJ98</f>
        <v>2.91</v>
      </c>
      <c r="AK98" s="1312">
        <f>[11]Stoping!AK98</f>
        <v>2.91</v>
      </c>
      <c r="AL98" s="1312">
        <f>[11]Stoping!AL98</f>
        <v>2.91</v>
      </c>
      <c r="AM98" s="347"/>
    </row>
    <row r="99" spans="1:39" ht="15.75" thickBot="1" x14ac:dyDescent="0.3">
      <c r="A99" s="202"/>
      <c r="B99" s="1608"/>
      <c r="C99" s="1693"/>
      <c r="D99" s="1685"/>
      <c r="E99" s="1386" t="str">
        <f>[11]Stoping!E99</f>
        <v>Actual (g/t)</v>
      </c>
      <c r="F99" s="1314">
        <f>[11]Stoping!F99</f>
        <v>2.347739825581395</v>
      </c>
      <c r="G99" s="1380">
        <f>[11]Stoping!G99</f>
        <v>-0.19269284406050446</v>
      </c>
      <c r="H99" s="1315">
        <f>[11]Stoping!H99</f>
        <v>0</v>
      </c>
      <c r="I99" s="1314">
        <f>[11]Stoping!I99</f>
        <v>2.38</v>
      </c>
      <c r="J99" s="1314">
        <f>[11]Stoping!J99</f>
        <v>1.88</v>
      </c>
      <c r="K99" s="1314">
        <f>[11]Stoping!K99</f>
        <v>1.88</v>
      </c>
      <c r="L99" s="1314">
        <f>[11]Stoping!L99</f>
        <v>2.0099999999999998</v>
      </c>
      <c r="M99" s="1314">
        <f>[11]Stoping!M99</f>
        <v>2.0099999999999998</v>
      </c>
      <c r="N99" s="1314">
        <f>[11]Stoping!N99</f>
        <v>3.17</v>
      </c>
      <c r="O99" s="1314">
        <f>[11]Stoping!O99</f>
        <v>3.44</v>
      </c>
      <c r="P99" s="1314">
        <f>[11]Stoping!P99</f>
        <v>2.36</v>
      </c>
      <c r="Q99" s="1314">
        <f>[11]Stoping!Q99</f>
        <v>3.07</v>
      </c>
      <c r="R99" s="1314">
        <f>[11]Stoping!R99</f>
        <v>3.07</v>
      </c>
      <c r="S99" s="1314">
        <f>[11]Stoping!S99</f>
        <v>2.72</v>
      </c>
      <c r="T99" s="1314">
        <f>[11]Stoping!T99</f>
        <v>0.4</v>
      </c>
      <c r="U99" s="1314">
        <f>[11]Stoping!U99</f>
        <v>1.1399999999999999</v>
      </c>
      <c r="V99" s="1314">
        <f>[11]Stoping!V99</f>
        <v>0.91</v>
      </c>
      <c r="W99" s="1314">
        <f>[11]Stoping!W99</f>
        <v>5.48</v>
      </c>
      <c r="X99" s="1314">
        <f>[11]Stoping!X99</f>
        <v>2.44</v>
      </c>
      <c r="Y99" s="1314">
        <f>[11]Stoping!Y99</f>
        <v>2.44</v>
      </c>
      <c r="Z99" s="1314">
        <f>[11]Stoping!Z99</f>
        <v>2.5</v>
      </c>
      <c r="AA99" s="1314">
        <f>[11]Stoping!AA99</f>
        <v>2.19</v>
      </c>
      <c r="AB99" s="1314">
        <f>[11]Stoping!AB99</f>
        <v>2.52</v>
      </c>
      <c r="AC99" s="1314">
        <f>[11]Stoping!AC99</f>
        <v>0</v>
      </c>
      <c r="AD99" s="1314">
        <f>[11]Stoping!AD99</f>
        <v>0</v>
      </c>
      <c r="AE99" s="1314">
        <f>[11]Stoping!AE99</f>
        <v>0</v>
      </c>
      <c r="AF99" s="1314">
        <f>[11]Stoping!AF99</f>
        <v>0</v>
      </c>
      <c r="AG99" s="1314">
        <f>[11]Stoping!AG99</f>
        <v>0</v>
      </c>
      <c r="AH99" s="1314">
        <f>[11]Stoping!AH99</f>
        <v>0</v>
      </c>
      <c r="AI99" s="1314">
        <f>[11]Stoping!AI99</f>
        <v>0</v>
      </c>
      <c r="AJ99" s="1314">
        <f>[11]Stoping!AJ99</f>
        <v>0</v>
      </c>
      <c r="AK99" s="1314">
        <f>[11]Stoping!AK99</f>
        <v>0</v>
      </c>
      <c r="AL99" s="1314">
        <f>[11]Stoping!AL99</f>
        <v>0</v>
      </c>
      <c r="AM99" s="347"/>
    </row>
    <row r="100" spans="1:39" ht="15.75" thickBot="1" x14ac:dyDescent="0.3">
      <c r="A100" s="202"/>
      <c r="B100" s="1608"/>
      <c r="C100" s="1693"/>
      <c r="D100" s="1685" t="str">
        <f>[11]Stoping!D100</f>
        <v>Gold</v>
      </c>
      <c r="E100" s="1384" t="str">
        <f>[11]Stoping!E100</f>
        <v>Budget (kg)</v>
      </c>
      <c r="F100" s="206">
        <f>[11]Stoping!F100</f>
        <v>5.699900000000004</v>
      </c>
      <c r="G100" s="1385">
        <f>[11]Stoping!G100</f>
        <v>0</v>
      </c>
      <c r="H100" s="1316">
        <f>[11]Stoping!H100</f>
        <v>0</v>
      </c>
      <c r="I100" s="1316">
        <f>[11]Stoping!I100</f>
        <v>0.20370000000000002</v>
      </c>
      <c r="J100" s="1316">
        <f>[11]Stoping!J100</f>
        <v>0.20370000000000002</v>
      </c>
      <c r="K100" s="1317">
        <f>[11]Stoping!K100</f>
        <v>0.20370000000000002</v>
      </c>
      <c r="L100" s="1317">
        <f>[11]Stoping!L100</f>
        <v>0.20370000000000002</v>
      </c>
      <c r="M100" s="1317">
        <f>[11]Stoping!M100</f>
        <v>0.20370000000000002</v>
      </c>
      <c r="N100" s="1317">
        <f>[11]Stoping!N100</f>
        <v>0.20370000000000002</v>
      </c>
      <c r="O100" s="1317">
        <f>[11]Stoping!O100</f>
        <v>0.20370000000000002</v>
      </c>
      <c r="P100" s="1318">
        <f>[11]Stoping!P100</f>
        <v>0.20370000000000002</v>
      </c>
      <c r="Q100" s="1317">
        <f>[11]Stoping!Q100</f>
        <v>0.20370000000000002</v>
      </c>
      <c r="R100" s="1317">
        <f>[11]Stoping!R100</f>
        <v>0.20370000000000002</v>
      </c>
      <c r="S100" s="1317">
        <f>[11]Stoping!S100</f>
        <v>0.20370000000000002</v>
      </c>
      <c r="T100" s="1317">
        <f>[11]Stoping!T100</f>
        <v>0.20370000000000002</v>
      </c>
      <c r="U100" s="1317">
        <f>[11]Stoping!U100</f>
        <v>0.20370000000000002</v>
      </c>
      <c r="V100" s="1317">
        <f>[11]Stoping!V100</f>
        <v>0.20370000000000002</v>
      </c>
      <c r="W100" s="1317">
        <f>[11]Stoping!W100</f>
        <v>0.20370000000000002</v>
      </c>
      <c r="X100" s="1317">
        <f>[11]Stoping!X100</f>
        <v>0.20370000000000002</v>
      </c>
      <c r="Y100" s="1317">
        <f>[11]Stoping!Y100</f>
        <v>0.20370000000000002</v>
      </c>
      <c r="Z100" s="1317">
        <f>[11]Stoping!Z100</f>
        <v>0.20370000000000002</v>
      </c>
      <c r="AA100" s="1317">
        <f>[11]Stoping!AA100</f>
        <v>0.2</v>
      </c>
      <c r="AB100" s="1317">
        <f>[11]Stoping!AB100</f>
        <v>0.20370000000000002</v>
      </c>
      <c r="AC100" s="1317">
        <f>[11]Stoping!AC100</f>
        <v>0.20370000000000002</v>
      </c>
      <c r="AD100" s="1317">
        <f>[11]Stoping!AD100</f>
        <v>0.20370000000000002</v>
      </c>
      <c r="AE100" s="1317">
        <f>[11]Stoping!AE100</f>
        <v>0.20370000000000002</v>
      </c>
      <c r="AF100" s="1317">
        <f>[11]Stoping!AF100</f>
        <v>0</v>
      </c>
      <c r="AG100" s="1317">
        <f>[11]Stoping!AG100</f>
        <v>0.20370000000000002</v>
      </c>
      <c r="AH100" s="1317">
        <f>[11]Stoping!AH100</f>
        <v>0.20370000000000002</v>
      </c>
      <c r="AI100" s="1317">
        <f>[11]Stoping!AI100</f>
        <v>0.20370000000000002</v>
      </c>
      <c r="AJ100" s="1317">
        <f>[11]Stoping!AJ100</f>
        <v>0.20370000000000002</v>
      </c>
      <c r="AK100" s="1317">
        <f>[11]Stoping!AK100</f>
        <v>0.20370000000000002</v>
      </c>
      <c r="AL100" s="1319">
        <f>[11]Stoping!AL100</f>
        <v>0.20370000000000002</v>
      </c>
      <c r="AM100" s="705"/>
    </row>
    <row r="101" spans="1:39" ht="15.75" thickBot="1" x14ac:dyDescent="0.3">
      <c r="A101" s="202"/>
      <c r="B101" s="1609"/>
      <c r="C101" s="1694"/>
      <c r="D101" s="1695"/>
      <c r="E101" s="1387" t="str">
        <f>[11]Stoping!E101</f>
        <v>Actual (kg)</v>
      </c>
      <c r="F101" s="1321">
        <f>[11]Stoping!F101</f>
        <v>3.2304899999999996</v>
      </c>
      <c r="G101" s="1388">
        <f>[11]Stoping!G101</f>
        <v>-0.43323742521798675</v>
      </c>
      <c r="H101" s="1323">
        <f>[11]Stoping!H101</f>
        <v>0</v>
      </c>
      <c r="I101" s="1321">
        <f>[11]Stoping!I101</f>
        <v>0.1666</v>
      </c>
      <c r="J101" s="1321">
        <f>[11]Stoping!J101</f>
        <v>0.14663999999999999</v>
      </c>
      <c r="K101" s="1321">
        <f>[11]Stoping!K101</f>
        <v>0.13159999999999999</v>
      </c>
      <c r="L101" s="1321">
        <f>[11]Stoping!L101</f>
        <v>3.617999999999999E-2</v>
      </c>
      <c r="M101" s="1321">
        <f>[11]Stoping!M101</f>
        <v>0.14471999999999996</v>
      </c>
      <c r="N101" s="1321">
        <f>[11]Stoping!N101</f>
        <v>0.24725999999999998</v>
      </c>
      <c r="O101" s="1321">
        <f>[11]Stoping!O101</f>
        <v>0.24768000000000001</v>
      </c>
      <c r="P101" s="1321">
        <f>[11]Stoping!P101</f>
        <v>0.16756000000000001</v>
      </c>
      <c r="Q101" s="1321">
        <f>[11]Stoping!Q101</f>
        <v>0.22103999999999999</v>
      </c>
      <c r="R101" s="1321">
        <f>[11]Stoping!R101</f>
        <v>0.25788</v>
      </c>
      <c r="S101" s="1321">
        <f>[11]Stoping!S101</f>
        <v>0.10336000000000001</v>
      </c>
      <c r="T101" s="1321">
        <f>[11]Stoping!T101</f>
        <v>1.4800000000000001E-2</v>
      </c>
      <c r="U101" s="1321">
        <f>[11]Stoping!U101</f>
        <v>7.8659999999999994E-2</v>
      </c>
      <c r="V101" s="1321">
        <f>[11]Stoping!V101</f>
        <v>6.4610000000000001E-2</v>
      </c>
      <c r="W101" s="1321">
        <f>[11]Stoping!W101</f>
        <v>0.3836</v>
      </c>
      <c r="X101" s="1321">
        <f>[11]Stoping!X101</f>
        <v>0.16103999999999999</v>
      </c>
      <c r="Y101" s="1321">
        <f>[11]Stoping!Y101</f>
        <v>0.14884</v>
      </c>
      <c r="Z101" s="1321">
        <f>[11]Stoping!Z101</f>
        <v>0.25</v>
      </c>
      <c r="AA101" s="1321">
        <f>[11]Stoping!AA101</f>
        <v>7.4459999999999998E-2</v>
      </c>
      <c r="AB101" s="1321">
        <f>[11]Stoping!AB101</f>
        <v>0.18396000000000001</v>
      </c>
      <c r="AC101" s="1321">
        <f>[11]Stoping!AC101</f>
        <v>0</v>
      </c>
      <c r="AD101" s="1321">
        <f>[11]Stoping!AD101</f>
        <v>0</v>
      </c>
      <c r="AE101" s="1321">
        <f>[11]Stoping!AE101</f>
        <v>0</v>
      </c>
      <c r="AF101" s="1321">
        <f>[11]Stoping!AF101</f>
        <v>0</v>
      </c>
      <c r="AG101" s="1321">
        <f>[11]Stoping!AG101</f>
        <v>0</v>
      </c>
      <c r="AH101" s="1321">
        <f>[11]Stoping!AH101</f>
        <v>0</v>
      </c>
      <c r="AI101" s="1321">
        <f>[11]Stoping!AI101</f>
        <v>0</v>
      </c>
      <c r="AJ101" s="1321">
        <f>[11]Stoping!AJ101</f>
        <v>0</v>
      </c>
      <c r="AK101" s="1321">
        <f>[11]Stoping!AK101</f>
        <v>0</v>
      </c>
      <c r="AL101" s="1321">
        <f>[11]Stoping!AL101</f>
        <v>0</v>
      </c>
      <c r="AM101" s="706"/>
    </row>
    <row r="102" spans="1:39" ht="15.75" thickBot="1" x14ac:dyDescent="0.3">
      <c r="A102" s="202"/>
      <c r="B102" s="1608">
        <v>1</v>
      </c>
      <c r="C102" s="1689" t="str">
        <f>[11]Stoping!C102</f>
        <v>6L_W8 STOPE</v>
      </c>
      <c r="D102" s="1684" t="str">
        <f>[11]Stoping!D102</f>
        <v>Tonnes</v>
      </c>
      <c r="E102" s="293" t="str">
        <f>[11]Stoping!E102</f>
        <v>Budget (t)</v>
      </c>
      <c r="F102" s="196">
        <f>[11]Stoping!F102</f>
        <v>1960</v>
      </c>
      <c r="G102" s="197">
        <f>[11]Stoping!G102</f>
        <v>0</v>
      </c>
      <c r="H102" s="945">
        <f>[11]Stoping!H102</f>
        <v>0</v>
      </c>
      <c r="I102" s="945">
        <f>[11]Stoping!I102</f>
        <v>70</v>
      </c>
      <c r="J102" s="945">
        <f>[11]Stoping!J102</f>
        <v>70</v>
      </c>
      <c r="K102" s="945">
        <f>[11]Stoping!K102</f>
        <v>70</v>
      </c>
      <c r="L102" s="945">
        <f>[11]Stoping!L102</f>
        <v>70</v>
      </c>
      <c r="M102" s="945">
        <f>[11]Stoping!M102</f>
        <v>70</v>
      </c>
      <c r="N102" s="945">
        <f>[11]Stoping!N102</f>
        <v>70</v>
      </c>
      <c r="O102" s="945">
        <f>[11]Stoping!O102</f>
        <v>70</v>
      </c>
      <c r="P102" s="945">
        <f>[11]Stoping!P102</f>
        <v>70</v>
      </c>
      <c r="Q102" s="945">
        <f>[11]Stoping!Q102</f>
        <v>70</v>
      </c>
      <c r="R102" s="945">
        <f>[11]Stoping!R102</f>
        <v>70</v>
      </c>
      <c r="S102" s="945">
        <f>[11]Stoping!S102</f>
        <v>70</v>
      </c>
      <c r="T102" s="945">
        <f>[11]Stoping!T102</f>
        <v>70</v>
      </c>
      <c r="U102" s="945">
        <f>[11]Stoping!U102</f>
        <v>70</v>
      </c>
      <c r="V102" s="945">
        <f>[11]Stoping!V102</f>
        <v>70</v>
      </c>
      <c r="W102" s="945">
        <f>[11]Stoping!W102</f>
        <v>70</v>
      </c>
      <c r="X102" s="945">
        <f>[11]Stoping!X102</f>
        <v>70</v>
      </c>
      <c r="Y102" s="945">
        <f>[11]Stoping!Y102</f>
        <v>70</v>
      </c>
      <c r="Z102" s="945">
        <f>[11]Stoping!Z102</f>
        <v>70</v>
      </c>
      <c r="AA102" s="945">
        <f>[11]Stoping!AA102</f>
        <v>70</v>
      </c>
      <c r="AB102" s="945">
        <f>[11]Stoping!AB102</f>
        <v>70</v>
      </c>
      <c r="AC102" s="945">
        <f>[11]Stoping!AC102</f>
        <v>70</v>
      </c>
      <c r="AD102" s="945">
        <f>[11]Stoping!AD102</f>
        <v>70</v>
      </c>
      <c r="AE102" s="945">
        <f>[11]Stoping!AE102</f>
        <v>70</v>
      </c>
      <c r="AF102" s="945">
        <f>[11]Stoping!AF102</f>
        <v>0</v>
      </c>
      <c r="AG102" s="945">
        <f>[11]Stoping!AG102</f>
        <v>70</v>
      </c>
      <c r="AH102" s="945">
        <f>[11]Stoping!AH102</f>
        <v>70</v>
      </c>
      <c r="AI102" s="945">
        <f>[11]Stoping!AI102</f>
        <v>70</v>
      </c>
      <c r="AJ102" s="945">
        <f>[11]Stoping!AJ102</f>
        <v>70</v>
      </c>
      <c r="AK102" s="945">
        <f>[11]Stoping!AK102</f>
        <v>70</v>
      </c>
      <c r="AL102" s="945">
        <f>[11]Stoping!AL102</f>
        <v>70</v>
      </c>
      <c r="AM102" s="845"/>
    </row>
    <row r="103" spans="1:39" ht="15.75" thickBot="1" x14ac:dyDescent="0.3">
      <c r="A103" s="202"/>
      <c r="B103" s="1608"/>
      <c r="C103" s="1690"/>
      <c r="D103" s="1684"/>
      <c r="E103" s="1379" t="str">
        <f>[11]Stoping!E103</f>
        <v>Actual (t)</v>
      </c>
      <c r="F103" s="1303">
        <f>[11]Stoping!F103</f>
        <v>1833</v>
      </c>
      <c r="G103" s="1380">
        <f>[11]Stoping!G103</f>
        <v>-6.4795918367346939E-2</v>
      </c>
      <c r="H103" s="1305">
        <f>[11]Stoping!H103</f>
        <v>73</v>
      </c>
      <c r="I103" s="1303">
        <f>[11]Stoping!I103</f>
        <v>80</v>
      </c>
      <c r="J103" s="1303">
        <f>[11]Stoping!J103</f>
        <v>78</v>
      </c>
      <c r="K103" s="1303">
        <f>[11]Stoping!K103</f>
        <v>72</v>
      </c>
      <c r="L103" s="1303">
        <f>[11]Stoping!L103</f>
        <v>70</v>
      </c>
      <c r="M103" s="1303">
        <f>[11]Stoping!M103</f>
        <v>86</v>
      </c>
      <c r="N103" s="1303">
        <f>[11]Stoping!N103</f>
        <v>77</v>
      </c>
      <c r="O103" s="1303">
        <f>[11]Stoping!O103</f>
        <v>28</v>
      </c>
      <c r="P103" s="1303">
        <f>[11]Stoping!P103</f>
        <v>71</v>
      </c>
      <c r="Q103" s="1303">
        <f>[11]Stoping!Q103</f>
        <v>70</v>
      </c>
      <c r="R103" s="1303">
        <f>[11]Stoping!R103</f>
        <v>73</v>
      </c>
      <c r="S103" s="1303">
        <f>[11]Stoping!S103</f>
        <v>70</v>
      </c>
      <c r="T103" s="1303">
        <f>[11]Stoping!T103</f>
        <v>68</v>
      </c>
      <c r="U103" s="1303">
        <f>[11]Stoping!U103</f>
        <v>69</v>
      </c>
      <c r="V103" s="1303">
        <f>[11]Stoping!V103</f>
        <v>70</v>
      </c>
      <c r="W103" s="1303">
        <f>[11]Stoping!W103</f>
        <v>70</v>
      </c>
      <c r="X103" s="1303">
        <f>[11]Stoping!X103</f>
        <v>70</v>
      </c>
      <c r="Y103" s="1303">
        <f>[11]Stoping!Y103</f>
        <v>63</v>
      </c>
      <c r="Z103" s="1303">
        <f>[11]Stoping!Z103</f>
        <v>66</v>
      </c>
      <c r="AA103" s="1303">
        <f>[11]Stoping!AA103</f>
        <v>70</v>
      </c>
      <c r="AB103" s="1303">
        <f>[11]Stoping!AB103</f>
        <v>72</v>
      </c>
      <c r="AC103" s="1303">
        <f>[11]Stoping!AC103</f>
        <v>78</v>
      </c>
      <c r="AD103" s="1303">
        <f>[11]Stoping!AD103</f>
        <v>72</v>
      </c>
      <c r="AE103" s="1303">
        <f>[11]Stoping!AE103</f>
        <v>34</v>
      </c>
      <c r="AF103" s="1303">
        <f>[11]Stoping!AF103</f>
        <v>0</v>
      </c>
      <c r="AG103" s="1303">
        <f>[11]Stoping!AG103</f>
        <v>38</v>
      </c>
      <c r="AH103" s="1303">
        <f>[11]Stoping!AH103</f>
        <v>34</v>
      </c>
      <c r="AI103" s="1303">
        <f>[11]Stoping!AI103</f>
        <v>37</v>
      </c>
      <c r="AJ103" s="1303">
        <f>[11]Stoping!AJ103</f>
        <v>36</v>
      </c>
      <c r="AK103" s="1303">
        <f>[11]Stoping!AK103</f>
        <v>38</v>
      </c>
      <c r="AL103" s="1303">
        <f>[11]Stoping!AL103</f>
        <v>39</v>
      </c>
      <c r="AM103" s="347"/>
    </row>
    <row r="104" spans="1:39" ht="15.75" thickBot="1" x14ac:dyDescent="0.3">
      <c r="A104" s="202"/>
      <c r="B104" s="1608"/>
      <c r="C104" s="1690"/>
      <c r="D104" s="1684"/>
      <c r="E104" s="1389" t="str">
        <f>[11]Stoping!E104</f>
        <v>Reason if Actual is RED</v>
      </c>
      <c r="F104" s="1390">
        <f>[11]Stoping!F104</f>
        <v>0</v>
      </c>
      <c r="G104" s="1391">
        <f>[11]Stoping!G104</f>
        <v>0</v>
      </c>
      <c r="H104" s="203">
        <f>[11]Stoping!H104</f>
        <v>0</v>
      </c>
      <c r="I104" s="203">
        <f>[11]Stoping!I104</f>
        <v>0</v>
      </c>
      <c r="J104" s="203">
        <f>[11]Stoping!J104</f>
        <v>0</v>
      </c>
      <c r="K104" s="203">
        <f>[11]Stoping!K104</f>
        <v>0</v>
      </c>
      <c r="L104" s="203">
        <f>[11]Stoping!L104</f>
        <v>0</v>
      </c>
      <c r="M104" s="203">
        <f>[11]Stoping!M104</f>
        <v>0</v>
      </c>
      <c r="N104" s="203">
        <f>[11]Stoping!N104</f>
        <v>0</v>
      </c>
      <c r="O104" s="203">
        <f>[11]Stoping!O104</f>
        <v>0</v>
      </c>
      <c r="P104" s="204">
        <f>[11]Stoping!P104</f>
        <v>0</v>
      </c>
      <c r="Q104" s="203">
        <f>[11]Stoping!Q104</f>
        <v>0</v>
      </c>
      <c r="R104" s="203">
        <f>[11]Stoping!R104</f>
        <v>0</v>
      </c>
      <c r="S104" s="203">
        <f>[11]Stoping!S104</f>
        <v>0</v>
      </c>
      <c r="T104" s="203">
        <f>[11]Stoping!T104</f>
        <v>0</v>
      </c>
      <c r="U104" s="203">
        <f>[11]Stoping!U104</f>
        <v>0</v>
      </c>
      <c r="V104" s="203">
        <f>[11]Stoping!V104</f>
        <v>0</v>
      </c>
      <c r="W104" s="203">
        <f>[11]Stoping!W104</f>
        <v>0</v>
      </c>
      <c r="X104" s="203">
        <f>[11]Stoping!X104</f>
        <v>0</v>
      </c>
      <c r="Y104" s="203">
        <f>[11]Stoping!Y104</f>
        <v>0</v>
      </c>
      <c r="Z104" s="203">
        <f>[11]Stoping!Z104</f>
        <v>0</v>
      </c>
      <c r="AA104" s="203">
        <f>[11]Stoping!AA104</f>
        <v>0</v>
      </c>
      <c r="AB104" s="203">
        <f>[11]Stoping!AB104</f>
        <v>0</v>
      </c>
      <c r="AC104" s="203">
        <f>[11]Stoping!AC104</f>
        <v>0</v>
      </c>
      <c r="AD104" s="203">
        <f>[11]Stoping!AD104</f>
        <v>0</v>
      </c>
      <c r="AE104" s="203">
        <f>[11]Stoping!AE104</f>
        <v>0</v>
      </c>
      <c r="AF104" s="203">
        <f>[11]Stoping!AF104</f>
        <v>0</v>
      </c>
      <c r="AG104" s="203">
        <f>[11]Stoping!AG104</f>
        <v>0</v>
      </c>
      <c r="AH104" s="203">
        <f>[11]Stoping!AH104</f>
        <v>0</v>
      </c>
      <c r="AI104" s="203">
        <f>[11]Stoping!AI104</f>
        <v>0</v>
      </c>
      <c r="AJ104" s="203">
        <f>[11]Stoping!AJ104</f>
        <v>0</v>
      </c>
      <c r="AK104" s="203">
        <f>[11]Stoping!AK104</f>
        <v>0</v>
      </c>
      <c r="AL104" s="205">
        <f>[11]Stoping!AL104</f>
        <v>0</v>
      </c>
      <c r="AM104" s="846"/>
    </row>
    <row r="105" spans="1:39" ht="15.75" thickBot="1" x14ac:dyDescent="0.3">
      <c r="A105" s="202"/>
      <c r="B105" s="1608"/>
      <c r="C105" s="1690"/>
      <c r="D105" s="1685" t="str">
        <f>[11]Stoping!D105</f>
        <v>Grade</v>
      </c>
      <c r="E105" s="1384" t="str">
        <f>[11]Stoping!E105</f>
        <v>Budget (g/t)</v>
      </c>
      <c r="F105" s="1310">
        <f>[11]Stoping!F105</f>
        <v>2.9426530612244899</v>
      </c>
      <c r="G105" s="1385">
        <f>[11]Stoping!G105</f>
        <v>0</v>
      </c>
      <c r="H105" s="1312">
        <f>[11]Stoping!H105</f>
        <v>0</v>
      </c>
      <c r="I105" s="1312">
        <f>[11]Stoping!I105</f>
        <v>2.84</v>
      </c>
      <c r="J105" s="1312">
        <f>[11]Stoping!J105</f>
        <v>2.84</v>
      </c>
      <c r="K105" s="1312">
        <f>[11]Stoping!K105</f>
        <v>2.84</v>
      </c>
      <c r="L105" s="1312">
        <f>[11]Stoping!L105</f>
        <v>2.84</v>
      </c>
      <c r="M105" s="1312">
        <f>[11]Stoping!M105</f>
        <v>2.84</v>
      </c>
      <c r="N105" s="1312">
        <f>[11]Stoping!N105</f>
        <v>2.84</v>
      </c>
      <c r="O105" s="1312">
        <f>[11]Stoping!O105</f>
        <v>2.84</v>
      </c>
      <c r="P105" s="1312">
        <f>[11]Stoping!P105</f>
        <v>2.84</v>
      </c>
      <c r="Q105" s="1312">
        <f>[11]Stoping!Q105</f>
        <v>2.84</v>
      </c>
      <c r="R105" s="1312">
        <f>[11]Stoping!R105</f>
        <v>2.84</v>
      </c>
      <c r="S105" s="1312">
        <f>[11]Stoping!S105</f>
        <v>2.84</v>
      </c>
      <c r="T105" s="1312">
        <f>[11]Stoping!T105</f>
        <v>2.84</v>
      </c>
      <c r="U105" s="1312">
        <f>[11]Stoping!U105</f>
        <v>2.84</v>
      </c>
      <c r="V105" s="1312">
        <f>[11]Stoping!V105</f>
        <v>2.84</v>
      </c>
      <c r="W105" s="1312">
        <f>[11]Stoping!W105</f>
        <v>2.84</v>
      </c>
      <c r="X105" s="1312">
        <f>[11]Stoping!X105</f>
        <v>2.84</v>
      </c>
      <c r="Y105" s="1312">
        <f>[11]Stoping!Y105</f>
        <v>2.84</v>
      </c>
      <c r="Z105" s="1312">
        <f>[11]Stoping!Z105</f>
        <v>2.84</v>
      </c>
      <c r="AA105" s="1312">
        <f>[11]Stoping!AA105</f>
        <v>2.84</v>
      </c>
      <c r="AB105" s="1312">
        <f>[11]Stoping!AB105</f>
        <v>2.84</v>
      </c>
      <c r="AC105" s="1312">
        <f>[11]Stoping!AC105</f>
        <v>2.84</v>
      </c>
      <c r="AD105" s="1312">
        <f>[11]Stoping!AD105</f>
        <v>2.84</v>
      </c>
      <c r="AE105" s="1312">
        <f>[11]Stoping!AE105</f>
        <v>2.84</v>
      </c>
      <c r="AF105" s="1312">
        <f>[11]Stoping!AF105</f>
        <v>0</v>
      </c>
      <c r="AG105" s="1312">
        <f>[11]Stoping!AG105</f>
        <v>2.84</v>
      </c>
      <c r="AH105" s="1312">
        <f>[11]Stoping!AH105</f>
        <v>2.84</v>
      </c>
      <c r="AI105" s="1312">
        <f>[11]Stoping!AI105</f>
        <v>2.84</v>
      </c>
      <c r="AJ105" s="1312">
        <f>[11]Stoping!AJ105</f>
        <v>2.84</v>
      </c>
      <c r="AK105" s="1312">
        <f>[11]Stoping!AK105</f>
        <v>2.84</v>
      </c>
      <c r="AL105" s="1312">
        <f>[11]Stoping!AL105</f>
        <v>2.84</v>
      </c>
      <c r="AM105" s="347"/>
    </row>
    <row r="106" spans="1:39" ht="15.75" thickBot="1" x14ac:dyDescent="0.3">
      <c r="A106" s="202"/>
      <c r="B106" s="1608"/>
      <c r="C106" s="1690"/>
      <c r="D106" s="1685"/>
      <c r="E106" s="1386" t="str">
        <f>[11]Stoping!E106</f>
        <v>Actual (g/t)</v>
      </c>
      <c r="F106" s="1314">
        <f>[11]Stoping!F106</f>
        <v>3.8256519367157669</v>
      </c>
      <c r="G106" s="1380">
        <f>[11]Stoping!G106</f>
        <v>0.30006897079598149</v>
      </c>
      <c r="H106" s="1315">
        <f>[11]Stoping!H106</f>
        <v>4.42</v>
      </c>
      <c r="I106" s="1314">
        <f>[11]Stoping!I106</f>
        <v>2.92</v>
      </c>
      <c r="J106" s="1314">
        <f>[11]Stoping!J106</f>
        <v>3.81</v>
      </c>
      <c r="K106" s="1314">
        <f>[11]Stoping!K106</f>
        <v>3.81</v>
      </c>
      <c r="L106" s="1314">
        <f>[11]Stoping!L106</f>
        <v>2.63</v>
      </c>
      <c r="M106" s="1314">
        <f>[11]Stoping!M106</f>
        <v>2.66</v>
      </c>
      <c r="N106" s="1314">
        <f>[11]Stoping!N106</f>
        <v>3.31</v>
      </c>
      <c r="O106" s="1314">
        <f>[11]Stoping!O106</f>
        <v>2.08</v>
      </c>
      <c r="P106" s="1314">
        <f>[11]Stoping!P106</f>
        <v>2.23</v>
      </c>
      <c r="Q106" s="1314">
        <f>[11]Stoping!Q106</f>
        <v>5.95</v>
      </c>
      <c r="R106" s="1314">
        <f>[11]Stoping!R106</f>
        <v>5.95</v>
      </c>
      <c r="S106" s="1314">
        <f>[11]Stoping!S106</f>
        <v>3.27</v>
      </c>
      <c r="T106" s="1314">
        <f>[11]Stoping!T106</f>
        <v>6.78</v>
      </c>
      <c r="U106" s="1314">
        <f>[11]Stoping!U106</f>
        <v>2.15</v>
      </c>
      <c r="V106" s="1314">
        <f>[11]Stoping!V106</f>
        <v>6.63</v>
      </c>
      <c r="W106" s="1314">
        <f>[11]Stoping!W106</f>
        <v>4.12</v>
      </c>
      <c r="X106" s="1314">
        <f>[11]Stoping!X106</f>
        <v>2.91</v>
      </c>
      <c r="Y106" s="1314">
        <f>[11]Stoping!Y106</f>
        <v>2.91</v>
      </c>
      <c r="Z106" s="1314">
        <f>[11]Stoping!Z106</f>
        <v>3.09</v>
      </c>
      <c r="AA106" s="1314">
        <f>[11]Stoping!AA106</f>
        <v>5.75</v>
      </c>
      <c r="AB106" s="1314">
        <f>[11]Stoping!AB106</f>
        <v>2.87</v>
      </c>
      <c r="AC106" s="1314">
        <f>[11]Stoping!AC106</f>
        <v>6.55</v>
      </c>
      <c r="AD106" s="1314">
        <f>[11]Stoping!AD106</f>
        <v>2.48</v>
      </c>
      <c r="AE106" s="1314">
        <f>[11]Stoping!AE106</f>
        <v>2.4</v>
      </c>
      <c r="AF106" s="1314">
        <f>[11]Stoping!AF106</f>
        <v>0</v>
      </c>
      <c r="AG106" s="1314">
        <f>[11]Stoping!AG106</f>
        <v>2.4</v>
      </c>
      <c r="AH106" s="1314">
        <f>[11]Stoping!AH106</f>
        <v>2.17</v>
      </c>
      <c r="AI106" s="1314">
        <f>[11]Stoping!AI106</f>
        <v>2.4900000000000002</v>
      </c>
      <c r="AJ106" s="1314">
        <f>[11]Stoping!AJ106</f>
        <v>1.79</v>
      </c>
      <c r="AK106" s="1314">
        <f>[11]Stoping!AK106</f>
        <v>7</v>
      </c>
      <c r="AL106" s="1314">
        <f>[11]Stoping!AL106</f>
        <v>3.3</v>
      </c>
      <c r="AM106" s="347"/>
    </row>
    <row r="107" spans="1:39" ht="15.75" thickBot="1" x14ac:dyDescent="0.3">
      <c r="A107" s="202"/>
      <c r="B107" s="1608"/>
      <c r="C107" s="1690"/>
      <c r="D107" s="1686" t="str">
        <f>[11]Stoping!D107</f>
        <v>Gold</v>
      </c>
      <c r="E107" s="1384" t="str">
        <f>[11]Stoping!E107</f>
        <v>Budget (kg)</v>
      </c>
      <c r="F107" s="206">
        <f>[11]Stoping!F107</f>
        <v>5.7676000000000007</v>
      </c>
      <c r="G107" s="1385">
        <f>[11]Stoping!G107</f>
        <v>0</v>
      </c>
      <c r="H107" s="1316">
        <f>[11]Stoping!H107</f>
        <v>0</v>
      </c>
      <c r="I107" s="1316">
        <f>[11]Stoping!I107</f>
        <v>0.19879999999999998</v>
      </c>
      <c r="J107" s="1316">
        <f>[11]Stoping!J107</f>
        <v>0.19879999999999998</v>
      </c>
      <c r="K107" s="1317">
        <f>[11]Stoping!K107</f>
        <v>0.19879999999999998</v>
      </c>
      <c r="L107" s="1317">
        <f>[11]Stoping!L107</f>
        <v>0.19879999999999998</v>
      </c>
      <c r="M107" s="1317">
        <f>[11]Stoping!M107</f>
        <v>0.19879999999999998</v>
      </c>
      <c r="N107" s="1317">
        <f>[11]Stoping!N107</f>
        <v>0.19879999999999998</v>
      </c>
      <c r="O107" s="1317">
        <f>[11]Stoping!O107</f>
        <v>0.19879999999999998</v>
      </c>
      <c r="P107" s="1318">
        <f>[11]Stoping!P107</f>
        <v>0.19879999999999998</v>
      </c>
      <c r="Q107" s="1317">
        <f>[11]Stoping!Q107</f>
        <v>0.19879999999999998</v>
      </c>
      <c r="R107" s="1317">
        <f>[11]Stoping!R107</f>
        <v>0.19879999999999998</v>
      </c>
      <c r="S107" s="1317">
        <f>[11]Stoping!S107</f>
        <v>0.19879999999999998</v>
      </c>
      <c r="T107" s="1317">
        <f>[11]Stoping!T107</f>
        <v>0.19879999999999998</v>
      </c>
      <c r="U107" s="1317">
        <f>[11]Stoping!U107</f>
        <v>0.19879999999999998</v>
      </c>
      <c r="V107" s="1317">
        <f>[11]Stoping!V107</f>
        <v>0.19879999999999998</v>
      </c>
      <c r="W107" s="1317">
        <f>[11]Stoping!W107</f>
        <v>0.19879999999999998</v>
      </c>
      <c r="X107" s="1317">
        <f>[11]Stoping!X107</f>
        <v>0.19879999999999998</v>
      </c>
      <c r="Y107" s="1317">
        <f>[11]Stoping!Y107</f>
        <v>0.19879999999999998</v>
      </c>
      <c r="Z107" s="1317">
        <f>[11]Stoping!Z107</f>
        <v>0.19879999999999998</v>
      </c>
      <c r="AA107" s="1317">
        <f>[11]Stoping!AA107</f>
        <v>0.4</v>
      </c>
      <c r="AB107" s="1317">
        <f>[11]Stoping!AB107</f>
        <v>0.19879999999999998</v>
      </c>
      <c r="AC107" s="1317">
        <f>[11]Stoping!AC107</f>
        <v>0.19879999999999998</v>
      </c>
      <c r="AD107" s="1317">
        <f>[11]Stoping!AD107</f>
        <v>0.19879999999999998</v>
      </c>
      <c r="AE107" s="1317">
        <f>[11]Stoping!AE107</f>
        <v>0.19879999999999998</v>
      </c>
      <c r="AF107" s="1317">
        <f>[11]Stoping!AF107</f>
        <v>0</v>
      </c>
      <c r="AG107" s="1317">
        <f>[11]Stoping!AG107</f>
        <v>0.19879999999999998</v>
      </c>
      <c r="AH107" s="1317">
        <f>[11]Stoping!AH107</f>
        <v>0.19879999999999998</v>
      </c>
      <c r="AI107" s="1317">
        <f>[11]Stoping!AI107</f>
        <v>0.19879999999999998</v>
      </c>
      <c r="AJ107" s="1317">
        <f>[11]Stoping!AJ107</f>
        <v>0.19879999999999998</v>
      </c>
      <c r="AK107" s="1317">
        <f>[11]Stoping!AK107</f>
        <v>0.19879999999999998</v>
      </c>
      <c r="AL107" s="1319">
        <f>[11]Stoping!AL107</f>
        <v>0.19879999999999998</v>
      </c>
      <c r="AM107" s="705"/>
    </row>
    <row r="108" spans="1:39" ht="15.75" thickBot="1" x14ac:dyDescent="0.3">
      <c r="A108" s="202"/>
      <c r="B108" s="1609"/>
      <c r="C108" s="1691"/>
      <c r="D108" s="1687"/>
      <c r="E108" s="1387" t="str">
        <f>[11]Stoping!E108</f>
        <v>Actual (kg)</v>
      </c>
      <c r="F108" s="1321">
        <f>[11]Stoping!F108</f>
        <v>7.0124200000000014</v>
      </c>
      <c r="G108" s="1388">
        <f>[11]Stoping!G108</f>
        <v>0.21582980789236433</v>
      </c>
      <c r="H108" s="1323">
        <f>[11]Stoping!H108</f>
        <v>0.32265999999999995</v>
      </c>
      <c r="I108" s="1321">
        <f>[11]Stoping!I108</f>
        <v>0.2336</v>
      </c>
      <c r="J108" s="1321">
        <f>[11]Stoping!J108</f>
        <v>0.29718</v>
      </c>
      <c r="K108" s="1321">
        <f>[11]Stoping!K108</f>
        <v>0.27432000000000001</v>
      </c>
      <c r="L108" s="1321">
        <f>[11]Stoping!L108</f>
        <v>0.18409999999999999</v>
      </c>
      <c r="M108" s="1321">
        <f>[11]Stoping!M108</f>
        <v>0.22876000000000002</v>
      </c>
      <c r="N108" s="1321">
        <f>[11]Stoping!N108</f>
        <v>0.25486999999999999</v>
      </c>
      <c r="O108" s="1321">
        <f>[11]Stoping!O108</f>
        <v>5.824E-2</v>
      </c>
      <c r="P108" s="1321">
        <f>[11]Stoping!P108</f>
        <v>0.15833000000000003</v>
      </c>
      <c r="Q108" s="1321">
        <f>[11]Stoping!Q108</f>
        <v>0.41649999999999998</v>
      </c>
      <c r="R108" s="1321">
        <f>[11]Stoping!R108</f>
        <v>0.43435000000000001</v>
      </c>
      <c r="S108" s="1321">
        <f>[11]Stoping!S108</f>
        <v>0.22889999999999999</v>
      </c>
      <c r="T108" s="1321">
        <f>[11]Stoping!T108</f>
        <v>0.46104000000000001</v>
      </c>
      <c r="U108" s="1321">
        <f>[11]Stoping!U108</f>
        <v>0.14834999999999998</v>
      </c>
      <c r="V108" s="1321">
        <f>[11]Stoping!V108</f>
        <v>0.46409999999999996</v>
      </c>
      <c r="W108" s="1321">
        <f>[11]Stoping!W108</f>
        <v>0.28840000000000005</v>
      </c>
      <c r="X108" s="1321">
        <f>[11]Stoping!X108</f>
        <v>0.20370000000000002</v>
      </c>
      <c r="Y108" s="1321">
        <f>[11]Stoping!Y108</f>
        <v>0.18333000000000002</v>
      </c>
      <c r="Z108" s="1321">
        <f>[11]Stoping!Z108</f>
        <v>0.20394000000000001</v>
      </c>
      <c r="AA108" s="1321">
        <f>[11]Stoping!AA108</f>
        <v>0.40250000000000002</v>
      </c>
      <c r="AB108" s="1321">
        <f>[11]Stoping!AB108</f>
        <v>0.20664000000000002</v>
      </c>
      <c r="AC108" s="1321">
        <f>[11]Stoping!AC108</f>
        <v>0.51090000000000002</v>
      </c>
      <c r="AD108" s="1321">
        <f>[11]Stoping!AD108</f>
        <v>0.17856</v>
      </c>
      <c r="AE108" s="1321">
        <f>[11]Stoping!AE108</f>
        <v>8.1599999999999992E-2</v>
      </c>
      <c r="AF108" s="1321">
        <f>[11]Stoping!AF108</f>
        <v>0</v>
      </c>
      <c r="AG108" s="1321">
        <f>[11]Stoping!AG108</f>
        <v>9.1200000000000003E-2</v>
      </c>
      <c r="AH108" s="1321">
        <f>[11]Stoping!AH108</f>
        <v>7.3779999999999998E-2</v>
      </c>
      <c r="AI108" s="1321">
        <f>[11]Stoping!AI108</f>
        <v>9.2130000000000004E-2</v>
      </c>
      <c r="AJ108" s="1321">
        <f>[11]Stoping!AJ108</f>
        <v>6.4439999999999997E-2</v>
      </c>
      <c r="AK108" s="1321">
        <f>[11]Stoping!AK108</f>
        <v>0.26600000000000001</v>
      </c>
      <c r="AL108" s="1321">
        <f>[11]Stoping!AL108</f>
        <v>0.12869999999999998</v>
      </c>
      <c r="AM108" s="706"/>
    </row>
    <row r="109" spans="1:39" ht="15.75" thickBot="1" x14ac:dyDescent="0.3">
      <c r="A109" s="202"/>
      <c r="B109" s="1607">
        <v>1</v>
      </c>
      <c r="C109" s="1689" t="str">
        <f>[11]Stoping!C109</f>
        <v>6L_W14 STOPE</v>
      </c>
      <c r="D109" s="1688" t="str">
        <f>[11]Stoping!D109</f>
        <v>Tonnes</v>
      </c>
      <c r="E109" s="195" t="str">
        <f>[11]Stoping!E109</f>
        <v>Budget (t)</v>
      </c>
      <c r="F109" s="295">
        <f>[11]Stoping!F109</f>
        <v>1960</v>
      </c>
      <c r="G109" s="296">
        <f>[11]Stoping!G109</f>
        <v>0</v>
      </c>
      <c r="H109" s="945">
        <f>[11]Stoping!H109</f>
        <v>0</v>
      </c>
      <c r="I109" s="945">
        <f>[11]Stoping!I109</f>
        <v>70</v>
      </c>
      <c r="J109" s="945">
        <f>[11]Stoping!J109</f>
        <v>70</v>
      </c>
      <c r="K109" s="945">
        <f>[11]Stoping!K109</f>
        <v>70</v>
      </c>
      <c r="L109" s="945">
        <f>[11]Stoping!L109</f>
        <v>70</v>
      </c>
      <c r="M109" s="945">
        <f>[11]Stoping!M109</f>
        <v>70</v>
      </c>
      <c r="N109" s="945">
        <f>[11]Stoping!N109</f>
        <v>70</v>
      </c>
      <c r="O109" s="945">
        <f>[11]Stoping!O109</f>
        <v>70</v>
      </c>
      <c r="P109" s="945">
        <f>[11]Stoping!P109</f>
        <v>70</v>
      </c>
      <c r="Q109" s="945">
        <f>[11]Stoping!Q109</f>
        <v>70</v>
      </c>
      <c r="R109" s="945">
        <f>[11]Stoping!R109</f>
        <v>70</v>
      </c>
      <c r="S109" s="945">
        <f>[11]Stoping!S109</f>
        <v>70</v>
      </c>
      <c r="T109" s="945">
        <f>[11]Stoping!T109</f>
        <v>70</v>
      </c>
      <c r="U109" s="945">
        <f>[11]Stoping!U109</f>
        <v>70</v>
      </c>
      <c r="V109" s="945">
        <f>[11]Stoping!V109</f>
        <v>70</v>
      </c>
      <c r="W109" s="945">
        <f>[11]Stoping!W109</f>
        <v>70</v>
      </c>
      <c r="X109" s="945">
        <f>[11]Stoping!X109</f>
        <v>70</v>
      </c>
      <c r="Y109" s="945">
        <f>[11]Stoping!Y109</f>
        <v>70</v>
      </c>
      <c r="Z109" s="945">
        <f>[11]Stoping!Z109</f>
        <v>70</v>
      </c>
      <c r="AA109" s="945">
        <f>[11]Stoping!AA109</f>
        <v>70</v>
      </c>
      <c r="AB109" s="945">
        <f>[11]Stoping!AB109</f>
        <v>70</v>
      </c>
      <c r="AC109" s="945">
        <f>[11]Stoping!AC109</f>
        <v>70</v>
      </c>
      <c r="AD109" s="945">
        <f>[11]Stoping!AD109</f>
        <v>70</v>
      </c>
      <c r="AE109" s="945">
        <f>[11]Stoping!AE109</f>
        <v>70</v>
      </c>
      <c r="AF109" s="945">
        <f>[11]Stoping!AF109</f>
        <v>0</v>
      </c>
      <c r="AG109" s="945">
        <f>[11]Stoping!AG109</f>
        <v>70</v>
      </c>
      <c r="AH109" s="945">
        <f>[11]Stoping!AH109</f>
        <v>70</v>
      </c>
      <c r="AI109" s="945">
        <f>[11]Stoping!AI109</f>
        <v>70</v>
      </c>
      <c r="AJ109" s="945">
        <f>[11]Stoping!AJ109</f>
        <v>70</v>
      </c>
      <c r="AK109" s="945">
        <f>[11]Stoping!AK109</f>
        <v>70</v>
      </c>
      <c r="AL109" s="945">
        <f>[11]Stoping!AL109</f>
        <v>70</v>
      </c>
      <c r="AM109" s="845"/>
    </row>
    <row r="110" spans="1:39" ht="15.75" thickBot="1" x14ac:dyDescent="0.3">
      <c r="A110" s="202"/>
      <c r="B110" s="1608"/>
      <c r="C110" s="1690"/>
      <c r="D110" s="1684"/>
      <c r="E110" s="1379" t="str">
        <f>[11]Stoping!E110</f>
        <v>Actual (t)</v>
      </c>
      <c r="F110" s="1303">
        <f>[11]Stoping!F110</f>
        <v>1694</v>
      </c>
      <c r="G110" s="1380">
        <f>[11]Stoping!G110</f>
        <v>-0.1357142857142857</v>
      </c>
      <c r="H110" s="1305">
        <f>[11]Stoping!H110</f>
        <v>70</v>
      </c>
      <c r="I110" s="1303">
        <f>[11]Stoping!I110</f>
        <v>76</v>
      </c>
      <c r="J110" s="1303">
        <f>[11]Stoping!J110</f>
        <v>80</v>
      </c>
      <c r="K110" s="1303">
        <f>[11]Stoping!K110</f>
        <v>71</v>
      </c>
      <c r="L110" s="1303">
        <f>[11]Stoping!L110</f>
        <v>43</v>
      </c>
      <c r="M110" s="1303">
        <f>[11]Stoping!M110</f>
        <v>51</v>
      </c>
      <c r="N110" s="1303">
        <f>[11]Stoping!N110</f>
        <v>37</v>
      </c>
      <c r="O110" s="1303">
        <f>[11]Stoping!O110</f>
        <v>47</v>
      </c>
      <c r="P110" s="1303">
        <f>[11]Stoping!P110</f>
        <v>58</v>
      </c>
      <c r="Q110" s="1303">
        <f>[11]Stoping!Q110</f>
        <v>70</v>
      </c>
      <c r="R110" s="1303">
        <f>[11]Stoping!R110</f>
        <v>0</v>
      </c>
      <c r="S110" s="1303">
        <f>[11]Stoping!S110</f>
        <v>136</v>
      </c>
      <c r="T110" s="1303">
        <f>[11]Stoping!T110</f>
        <v>72</v>
      </c>
      <c r="U110" s="1303">
        <f>[11]Stoping!U110</f>
        <v>0</v>
      </c>
      <c r="V110" s="1303">
        <f>[11]Stoping!V110</f>
        <v>0</v>
      </c>
      <c r="W110" s="1303">
        <f>[11]Stoping!W110</f>
        <v>68</v>
      </c>
      <c r="X110" s="1303">
        <f>[11]Stoping!X110</f>
        <v>70</v>
      </c>
      <c r="Y110" s="1303">
        <f>[11]Stoping!Y110</f>
        <v>72</v>
      </c>
      <c r="Z110" s="1303">
        <f>[11]Stoping!Z110</f>
        <v>70</v>
      </c>
      <c r="AA110" s="1303">
        <f>[11]Stoping!AA110</f>
        <v>70</v>
      </c>
      <c r="AB110" s="1303">
        <f>[11]Stoping!AB110</f>
        <v>0</v>
      </c>
      <c r="AC110" s="1303">
        <f>[11]Stoping!AC110</f>
        <v>73</v>
      </c>
      <c r="AD110" s="1303">
        <f>[11]Stoping!AD110</f>
        <v>60</v>
      </c>
      <c r="AE110" s="1303">
        <f>[11]Stoping!AE110</f>
        <v>67</v>
      </c>
      <c r="AF110" s="1303">
        <f>[11]Stoping!AF110</f>
        <v>0</v>
      </c>
      <c r="AG110" s="1303">
        <f>[11]Stoping!AG110</f>
        <v>35</v>
      </c>
      <c r="AH110" s="1303">
        <f>[11]Stoping!AH110</f>
        <v>70</v>
      </c>
      <c r="AI110" s="1303">
        <f>[11]Stoping!AI110</f>
        <v>75</v>
      </c>
      <c r="AJ110" s="1303">
        <f>[11]Stoping!AJ110</f>
        <v>75</v>
      </c>
      <c r="AK110" s="1303">
        <f>[11]Stoping!AK110</f>
        <v>78</v>
      </c>
      <c r="AL110" s="1303">
        <f>[11]Stoping!AL110</f>
        <v>77</v>
      </c>
      <c r="AM110" s="347"/>
    </row>
    <row r="111" spans="1:39" ht="15.75" thickBot="1" x14ac:dyDescent="0.3">
      <c r="A111" s="202"/>
      <c r="B111" s="1608"/>
      <c r="C111" s="1690"/>
      <c r="D111" s="1684"/>
      <c r="E111" s="1389" t="str">
        <f>[11]Stoping!E111</f>
        <v>Reason if Actual is RED</v>
      </c>
      <c r="F111" s="1390">
        <f>[11]Stoping!F111</f>
        <v>0</v>
      </c>
      <c r="G111" s="1391">
        <f>[11]Stoping!G111</f>
        <v>0</v>
      </c>
      <c r="H111" s="203">
        <f>[11]Stoping!H111</f>
        <v>0</v>
      </c>
      <c r="I111" s="203">
        <f>[11]Stoping!I111</f>
        <v>0</v>
      </c>
      <c r="J111" s="203">
        <f>[11]Stoping!J111</f>
        <v>0</v>
      </c>
      <c r="K111" s="203">
        <f>[11]Stoping!K111</f>
        <v>0</v>
      </c>
      <c r="L111" s="203">
        <f>[11]Stoping!L111</f>
        <v>0</v>
      </c>
      <c r="M111" s="203">
        <f>[11]Stoping!M111</f>
        <v>0</v>
      </c>
      <c r="N111" s="203">
        <f>[11]Stoping!N111</f>
        <v>0</v>
      </c>
      <c r="O111" s="203">
        <f>[11]Stoping!O111</f>
        <v>0</v>
      </c>
      <c r="P111" s="204">
        <f>[11]Stoping!P111</f>
        <v>0</v>
      </c>
      <c r="Q111" s="203">
        <f>[11]Stoping!Q111</f>
        <v>0</v>
      </c>
      <c r="R111" s="203">
        <f>[11]Stoping!R111</f>
        <v>0</v>
      </c>
      <c r="S111" s="203">
        <f>[11]Stoping!S111</f>
        <v>0</v>
      </c>
      <c r="T111" s="203">
        <f>[11]Stoping!T111</f>
        <v>0</v>
      </c>
      <c r="U111" s="203">
        <f>[11]Stoping!U111</f>
        <v>0</v>
      </c>
      <c r="V111" s="203">
        <f>[11]Stoping!V111</f>
        <v>0</v>
      </c>
      <c r="W111" s="203">
        <f>[11]Stoping!W111</f>
        <v>0</v>
      </c>
      <c r="X111" s="203">
        <f>[11]Stoping!X111</f>
        <v>0</v>
      </c>
      <c r="Y111" s="203">
        <f>[11]Stoping!Y111</f>
        <v>0</v>
      </c>
      <c r="Z111" s="203">
        <f>[11]Stoping!Z111</f>
        <v>0</v>
      </c>
      <c r="AA111" s="203">
        <f>[11]Stoping!AA111</f>
        <v>0</v>
      </c>
      <c r="AB111" s="203">
        <f>[11]Stoping!AB111</f>
        <v>0</v>
      </c>
      <c r="AC111" s="203">
        <f>[11]Stoping!AC111</f>
        <v>0</v>
      </c>
      <c r="AD111" s="203">
        <f>[11]Stoping!AD111</f>
        <v>0</v>
      </c>
      <c r="AE111" s="203">
        <f>[11]Stoping!AE111</f>
        <v>0</v>
      </c>
      <c r="AF111" s="203">
        <f>[11]Stoping!AF111</f>
        <v>0</v>
      </c>
      <c r="AG111" s="203">
        <f>[11]Stoping!AG111</f>
        <v>0</v>
      </c>
      <c r="AH111" s="203">
        <f>[11]Stoping!AH111</f>
        <v>0</v>
      </c>
      <c r="AI111" s="203">
        <f>[11]Stoping!AI111</f>
        <v>0</v>
      </c>
      <c r="AJ111" s="203">
        <f>[11]Stoping!AJ111</f>
        <v>0</v>
      </c>
      <c r="AK111" s="203">
        <f>[11]Stoping!AK111</f>
        <v>0</v>
      </c>
      <c r="AL111" s="205">
        <f>[11]Stoping!AL111</f>
        <v>0</v>
      </c>
      <c r="AM111" s="846"/>
    </row>
    <row r="112" spans="1:39" ht="15.75" thickBot="1" x14ac:dyDescent="0.3">
      <c r="A112" s="202"/>
      <c r="B112" s="1608"/>
      <c r="C112" s="1690"/>
      <c r="D112" s="1685" t="str">
        <f>[11]Stoping!D112</f>
        <v>Grade</v>
      </c>
      <c r="E112" s="1384" t="str">
        <f>[11]Stoping!E112</f>
        <v>Budget (g/t)</v>
      </c>
      <c r="F112" s="1310">
        <f>[11]Stoping!F112</f>
        <v>2.2234693877551015</v>
      </c>
      <c r="G112" s="1385">
        <f>[11]Stoping!G112</f>
        <v>0</v>
      </c>
      <c r="H112" s="1312">
        <f>[11]Stoping!H112</f>
        <v>0</v>
      </c>
      <c r="I112" s="1312">
        <f>[11]Stoping!I112</f>
        <v>2.2000000000000002</v>
      </c>
      <c r="J112" s="1312">
        <f>[11]Stoping!J112</f>
        <v>2.2000000000000002</v>
      </c>
      <c r="K112" s="1312">
        <f>[11]Stoping!K112</f>
        <v>2.2000000000000002</v>
      </c>
      <c r="L112" s="1312">
        <f>[11]Stoping!L112</f>
        <v>2.2000000000000002</v>
      </c>
      <c r="M112" s="1312">
        <f>[11]Stoping!M112</f>
        <v>2.2000000000000002</v>
      </c>
      <c r="N112" s="1312">
        <f>[11]Stoping!N112</f>
        <v>2.2000000000000002</v>
      </c>
      <c r="O112" s="1312">
        <f>[11]Stoping!O112</f>
        <v>2.2000000000000002</v>
      </c>
      <c r="P112" s="1312">
        <f>[11]Stoping!P112</f>
        <v>2.2000000000000002</v>
      </c>
      <c r="Q112" s="1312">
        <f>[11]Stoping!Q112</f>
        <v>2.2000000000000002</v>
      </c>
      <c r="R112" s="1312">
        <f>[11]Stoping!R112</f>
        <v>2.2000000000000002</v>
      </c>
      <c r="S112" s="1312">
        <f>[11]Stoping!S112</f>
        <v>2.2000000000000002</v>
      </c>
      <c r="T112" s="1312">
        <f>[11]Stoping!T112</f>
        <v>2.2000000000000002</v>
      </c>
      <c r="U112" s="1312">
        <f>[11]Stoping!U112</f>
        <v>2.2000000000000002</v>
      </c>
      <c r="V112" s="1312">
        <f>[11]Stoping!V112</f>
        <v>2.2000000000000002</v>
      </c>
      <c r="W112" s="1312">
        <f>[11]Stoping!W112</f>
        <v>2.2000000000000002</v>
      </c>
      <c r="X112" s="1312">
        <f>[11]Stoping!X112</f>
        <v>2.2000000000000002</v>
      </c>
      <c r="Y112" s="1312">
        <f>[11]Stoping!Y112</f>
        <v>2.2000000000000002</v>
      </c>
      <c r="Z112" s="1312">
        <f>[11]Stoping!Z112</f>
        <v>2.2000000000000002</v>
      </c>
      <c r="AA112" s="1312">
        <f>[11]Stoping!AA112</f>
        <v>2.2000000000000002</v>
      </c>
      <c r="AB112" s="1312">
        <f>[11]Stoping!AB112</f>
        <v>2.2000000000000002</v>
      </c>
      <c r="AC112" s="1312">
        <f>[11]Stoping!AC112</f>
        <v>2.2000000000000002</v>
      </c>
      <c r="AD112" s="1312">
        <f>[11]Stoping!AD112</f>
        <v>2.2000000000000002</v>
      </c>
      <c r="AE112" s="1312">
        <f>[11]Stoping!AE112</f>
        <v>2.2000000000000002</v>
      </c>
      <c r="AF112" s="1312">
        <f>[11]Stoping!AF112</f>
        <v>0</v>
      </c>
      <c r="AG112" s="1312">
        <f>[11]Stoping!AG112</f>
        <v>2.2000000000000002</v>
      </c>
      <c r="AH112" s="1312">
        <f>[11]Stoping!AH112</f>
        <v>2.2000000000000002</v>
      </c>
      <c r="AI112" s="1312">
        <f>[11]Stoping!AI112</f>
        <v>2.2000000000000002</v>
      </c>
      <c r="AJ112" s="1312">
        <f>[11]Stoping!AJ112</f>
        <v>2.2000000000000002</v>
      </c>
      <c r="AK112" s="1312">
        <f>[11]Stoping!AK112</f>
        <v>2.2000000000000002</v>
      </c>
      <c r="AL112" s="1312">
        <f>[11]Stoping!AL112</f>
        <v>2.2000000000000002</v>
      </c>
      <c r="AM112" s="347"/>
    </row>
    <row r="113" spans="1:39" ht="15.75" thickBot="1" x14ac:dyDescent="0.3">
      <c r="A113" s="202"/>
      <c r="B113" s="1608"/>
      <c r="C113" s="1690"/>
      <c r="D113" s="1685"/>
      <c r="E113" s="1386" t="str">
        <f>[11]Stoping!E113</f>
        <v>Actual (g/t)</v>
      </c>
      <c r="F113" s="1314">
        <f>[11]Stoping!F113</f>
        <v>2.9337662337662334</v>
      </c>
      <c r="G113" s="1380">
        <f>[11]Stoping!G113</f>
        <v>0.31945429513121126</v>
      </c>
      <c r="H113" s="1315">
        <f>[11]Stoping!H113</f>
        <v>0</v>
      </c>
      <c r="I113" s="1314">
        <f>[11]Stoping!I113</f>
        <v>3.47</v>
      </c>
      <c r="J113" s="1314">
        <f>[11]Stoping!J113</f>
        <v>3.52</v>
      </c>
      <c r="K113" s="1314">
        <f>[11]Stoping!K113</f>
        <v>3.52</v>
      </c>
      <c r="L113" s="1314">
        <f>[11]Stoping!L113</f>
        <v>4.2</v>
      </c>
      <c r="M113" s="1314">
        <f>[11]Stoping!M113</f>
        <v>1.56</v>
      </c>
      <c r="N113" s="1314">
        <f>[11]Stoping!N113</f>
        <v>1.2</v>
      </c>
      <c r="O113" s="1314">
        <f>[11]Stoping!O113</f>
        <v>1.01</v>
      </c>
      <c r="P113" s="1314">
        <f>[11]Stoping!P113</f>
        <v>6.93</v>
      </c>
      <c r="Q113" s="1314">
        <f>[11]Stoping!Q113</f>
        <v>5.44</v>
      </c>
      <c r="R113" s="1314">
        <f>[11]Stoping!R113</f>
        <v>0</v>
      </c>
      <c r="S113" s="1314">
        <f>[11]Stoping!S113</f>
        <v>2.8</v>
      </c>
      <c r="T113" s="1314">
        <f>[11]Stoping!T113</f>
        <v>5.71</v>
      </c>
      <c r="U113" s="1314">
        <f>[11]Stoping!U113</f>
        <v>0</v>
      </c>
      <c r="V113" s="1314">
        <f>[11]Stoping!V113</f>
        <v>3.12</v>
      </c>
      <c r="W113" s="1314">
        <f>[11]Stoping!W113</f>
        <v>4.66</v>
      </c>
      <c r="X113" s="1314">
        <f>[11]Stoping!X113</f>
        <v>1.03</v>
      </c>
      <c r="Y113" s="1314">
        <f>[11]Stoping!Y113</f>
        <v>1.03</v>
      </c>
      <c r="Z113" s="1314">
        <f>[11]Stoping!Z113</f>
        <v>1.85</v>
      </c>
      <c r="AA113" s="1314">
        <f>[11]Stoping!AA113</f>
        <v>1.94</v>
      </c>
      <c r="AB113" s="1314">
        <f>[11]Stoping!AB113</f>
        <v>0</v>
      </c>
      <c r="AC113" s="1314">
        <f>[11]Stoping!AC113</f>
        <v>2.65</v>
      </c>
      <c r="AD113" s="1314">
        <f>[11]Stoping!AD113</f>
        <v>2.25</v>
      </c>
      <c r="AE113" s="1314">
        <f>[11]Stoping!AE113</f>
        <v>3.56</v>
      </c>
      <c r="AF113" s="1314">
        <f>[11]Stoping!AF113</f>
        <v>0</v>
      </c>
      <c r="AG113" s="1314">
        <f>[11]Stoping!AG113</f>
        <v>3.56</v>
      </c>
      <c r="AH113" s="1314">
        <f>[11]Stoping!AH113</f>
        <v>1.27</v>
      </c>
      <c r="AI113" s="1314">
        <f>[11]Stoping!AI113</f>
        <v>3</v>
      </c>
      <c r="AJ113" s="1314">
        <f>[11]Stoping!AJ113</f>
        <v>4.18</v>
      </c>
      <c r="AK113" s="1314">
        <f>[11]Stoping!AK113</f>
        <v>2.57</v>
      </c>
      <c r="AL113" s="1314">
        <f>[11]Stoping!AL113</f>
        <v>3.66</v>
      </c>
      <c r="AM113" s="347"/>
    </row>
    <row r="114" spans="1:39" ht="15.75" thickBot="1" x14ac:dyDescent="0.3">
      <c r="A114" s="202"/>
      <c r="B114" s="1608"/>
      <c r="C114" s="1690"/>
      <c r="D114" s="1686" t="str">
        <f>[11]Stoping!D114</f>
        <v>Gold</v>
      </c>
      <c r="E114" s="1384" t="str">
        <f>[11]Stoping!E114</f>
        <v>Budget (kg)</v>
      </c>
      <c r="F114" s="206">
        <f>[11]Stoping!F114</f>
        <v>4.3579999999999988</v>
      </c>
      <c r="G114" s="1385">
        <f>[11]Stoping!G114</f>
        <v>0</v>
      </c>
      <c r="H114" s="1316">
        <f>[11]Stoping!H114</f>
        <v>0</v>
      </c>
      <c r="I114" s="1316">
        <f>[11]Stoping!I114</f>
        <v>0.154</v>
      </c>
      <c r="J114" s="1316">
        <f>[11]Stoping!J114</f>
        <v>0.154</v>
      </c>
      <c r="K114" s="1317">
        <f>[11]Stoping!K114</f>
        <v>0.154</v>
      </c>
      <c r="L114" s="1317">
        <f>[11]Stoping!L114</f>
        <v>0.154</v>
      </c>
      <c r="M114" s="1317">
        <f>[11]Stoping!M114</f>
        <v>0.154</v>
      </c>
      <c r="N114" s="1317">
        <f>[11]Stoping!N114</f>
        <v>0.154</v>
      </c>
      <c r="O114" s="1317">
        <f>[11]Stoping!O114</f>
        <v>0.154</v>
      </c>
      <c r="P114" s="1318">
        <f>[11]Stoping!P114</f>
        <v>0.154</v>
      </c>
      <c r="Q114" s="1317">
        <f>[11]Stoping!Q114</f>
        <v>0.154</v>
      </c>
      <c r="R114" s="1317">
        <f>[11]Stoping!R114</f>
        <v>0.154</v>
      </c>
      <c r="S114" s="1317">
        <f>[11]Stoping!S114</f>
        <v>0.154</v>
      </c>
      <c r="T114" s="1317">
        <f>[11]Stoping!T114</f>
        <v>0.154</v>
      </c>
      <c r="U114" s="1317">
        <f>[11]Stoping!U114</f>
        <v>0.154</v>
      </c>
      <c r="V114" s="1317">
        <f>[11]Stoping!V114</f>
        <v>0.154</v>
      </c>
      <c r="W114" s="1317">
        <f>[11]Stoping!W114</f>
        <v>0.154</v>
      </c>
      <c r="X114" s="1317">
        <f>[11]Stoping!X114</f>
        <v>0.154</v>
      </c>
      <c r="Y114" s="1317">
        <f>[11]Stoping!Y114</f>
        <v>0.154</v>
      </c>
      <c r="Z114" s="1317">
        <f>[11]Stoping!Z114</f>
        <v>0.154</v>
      </c>
      <c r="AA114" s="1317">
        <f>[11]Stoping!AA114</f>
        <v>0.2</v>
      </c>
      <c r="AB114" s="1317">
        <f>[11]Stoping!AB114</f>
        <v>0.154</v>
      </c>
      <c r="AC114" s="1317">
        <f>[11]Stoping!AC114</f>
        <v>0.154</v>
      </c>
      <c r="AD114" s="1317">
        <f>[11]Stoping!AD114</f>
        <v>0.154</v>
      </c>
      <c r="AE114" s="1317">
        <f>[11]Stoping!AE114</f>
        <v>0.154</v>
      </c>
      <c r="AF114" s="1317">
        <f>[11]Stoping!AF114</f>
        <v>0</v>
      </c>
      <c r="AG114" s="1317">
        <f>[11]Stoping!AG114</f>
        <v>0.154</v>
      </c>
      <c r="AH114" s="1317">
        <f>[11]Stoping!AH114</f>
        <v>0.154</v>
      </c>
      <c r="AI114" s="1317">
        <f>[11]Stoping!AI114</f>
        <v>0.154</v>
      </c>
      <c r="AJ114" s="1317">
        <f>[11]Stoping!AJ114</f>
        <v>0.154</v>
      </c>
      <c r="AK114" s="1317">
        <f>[11]Stoping!AK114</f>
        <v>0.154</v>
      </c>
      <c r="AL114" s="1319">
        <f>[11]Stoping!AL114</f>
        <v>0.154</v>
      </c>
      <c r="AM114" s="705"/>
    </row>
    <row r="115" spans="1:39" ht="15.75" thickBot="1" x14ac:dyDescent="0.3">
      <c r="A115" s="202"/>
      <c r="B115" s="1608"/>
      <c r="C115" s="1691"/>
      <c r="D115" s="1686"/>
      <c r="E115" s="1392" t="str">
        <f>[11]Stoping!E115</f>
        <v>Actual (kg)</v>
      </c>
      <c r="F115" s="1331">
        <f>[11]Stoping!F115</f>
        <v>4.9697999999999993</v>
      </c>
      <c r="G115" s="1552">
        <f>[11]Stoping!G115</f>
        <v>0.14038549793483265</v>
      </c>
      <c r="H115" s="1323">
        <f>[11]Stoping!H115</f>
        <v>0</v>
      </c>
      <c r="I115" s="1321">
        <f>[11]Stoping!I115</f>
        <v>0.26372000000000001</v>
      </c>
      <c r="J115" s="1321">
        <f>[11]Stoping!J115</f>
        <v>0.28160000000000002</v>
      </c>
      <c r="K115" s="1321">
        <f>[11]Stoping!K115</f>
        <v>0.24991999999999998</v>
      </c>
      <c r="L115" s="1321">
        <f>[11]Stoping!L115</f>
        <v>0.18059999999999998</v>
      </c>
      <c r="M115" s="1321">
        <f>[11]Stoping!M115</f>
        <v>7.9560000000000006E-2</v>
      </c>
      <c r="N115" s="1321">
        <f>[11]Stoping!N115</f>
        <v>4.4400000000000002E-2</v>
      </c>
      <c r="O115" s="1321">
        <f>[11]Stoping!O115</f>
        <v>4.7469999999999998E-2</v>
      </c>
      <c r="P115" s="1321">
        <f>[11]Stoping!P115</f>
        <v>0.40194000000000002</v>
      </c>
      <c r="Q115" s="1321">
        <f>[11]Stoping!Q115</f>
        <v>0.38080000000000003</v>
      </c>
      <c r="R115" s="1321">
        <f>[11]Stoping!R115</f>
        <v>0</v>
      </c>
      <c r="S115" s="1321">
        <f>[11]Stoping!S115</f>
        <v>0.38079999999999997</v>
      </c>
      <c r="T115" s="1321">
        <f>[11]Stoping!T115</f>
        <v>0.41111999999999999</v>
      </c>
      <c r="U115" s="1321">
        <f>[11]Stoping!U115</f>
        <v>0</v>
      </c>
      <c r="V115" s="1321">
        <f>[11]Stoping!V115</f>
        <v>0</v>
      </c>
      <c r="W115" s="1321">
        <f>[11]Stoping!W115</f>
        <v>0.31688</v>
      </c>
      <c r="X115" s="1321">
        <f>[11]Stoping!X115</f>
        <v>7.2100000000000011E-2</v>
      </c>
      <c r="Y115" s="1321">
        <f>[11]Stoping!Y115</f>
        <v>7.415999999999999E-2</v>
      </c>
      <c r="Z115" s="1321">
        <f>[11]Stoping!Z115</f>
        <v>0.1295</v>
      </c>
      <c r="AA115" s="1321">
        <f>[11]Stoping!AA115</f>
        <v>0.13579999999999998</v>
      </c>
      <c r="AB115" s="1321">
        <f>[11]Stoping!AB115</f>
        <v>0</v>
      </c>
      <c r="AC115" s="1321">
        <f>[11]Stoping!AC115</f>
        <v>0.19344999999999998</v>
      </c>
      <c r="AD115" s="1321">
        <f>[11]Stoping!AD115</f>
        <v>0.13500000000000001</v>
      </c>
      <c r="AE115" s="1321">
        <f>[11]Stoping!AE115</f>
        <v>0.23852000000000001</v>
      </c>
      <c r="AF115" s="1321">
        <f>[11]Stoping!AF115</f>
        <v>0</v>
      </c>
      <c r="AG115" s="1321">
        <f>[11]Stoping!AG115</f>
        <v>0.1246</v>
      </c>
      <c r="AH115" s="1321">
        <f>[11]Stoping!AH115</f>
        <v>8.8900000000000007E-2</v>
      </c>
      <c r="AI115" s="1321">
        <f>[11]Stoping!AI115</f>
        <v>0.22500000000000001</v>
      </c>
      <c r="AJ115" s="1321">
        <f>[11]Stoping!AJ115</f>
        <v>0.3135</v>
      </c>
      <c r="AK115" s="1321">
        <f>[11]Stoping!AK115</f>
        <v>0.20045999999999997</v>
      </c>
      <c r="AL115" s="1321">
        <f>[11]Stoping!AL115</f>
        <v>0.28182000000000001</v>
      </c>
      <c r="AM115" s="706"/>
    </row>
    <row r="116" spans="1:39" ht="15.75" thickBot="1" x14ac:dyDescent="0.3">
      <c r="A116" s="202"/>
      <c r="B116" s="1608">
        <v>1</v>
      </c>
      <c r="C116" s="1689" t="str">
        <f>[11]Stoping!C116</f>
        <v>6L_W15_STOPE</v>
      </c>
      <c r="D116" s="1684" t="str">
        <f>[11]Stoping!D116</f>
        <v>Tonnes</v>
      </c>
      <c r="E116" s="293" t="str">
        <f>[11]Stoping!E116</f>
        <v>Budget (t)</v>
      </c>
      <c r="F116" s="196">
        <f>[11]Stoping!F116</f>
        <v>1960</v>
      </c>
      <c r="G116" s="197">
        <f>[11]Stoping!G116</f>
        <v>0</v>
      </c>
      <c r="H116" s="945">
        <f>[11]Stoping!H116</f>
        <v>0</v>
      </c>
      <c r="I116" s="945">
        <f>[11]Stoping!I116</f>
        <v>70</v>
      </c>
      <c r="J116" s="945">
        <f>[11]Stoping!J116</f>
        <v>70</v>
      </c>
      <c r="K116" s="945">
        <f>[11]Stoping!K116</f>
        <v>70</v>
      </c>
      <c r="L116" s="945">
        <f>[11]Stoping!L116</f>
        <v>70</v>
      </c>
      <c r="M116" s="945">
        <f>[11]Stoping!M116</f>
        <v>70</v>
      </c>
      <c r="N116" s="945">
        <f>[11]Stoping!N116</f>
        <v>70</v>
      </c>
      <c r="O116" s="945">
        <f>[11]Stoping!O116</f>
        <v>70</v>
      </c>
      <c r="P116" s="945">
        <f>[11]Stoping!P116</f>
        <v>70</v>
      </c>
      <c r="Q116" s="945">
        <f>[11]Stoping!Q116</f>
        <v>70</v>
      </c>
      <c r="R116" s="945">
        <f>[11]Stoping!R116</f>
        <v>70</v>
      </c>
      <c r="S116" s="945">
        <f>[11]Stoping!S116</f>
        <v>70</v>
      </c>
      <c r="T116" s="945">
        <f>[11]Stoping!T116</f>
        <v>70</v>
      </c>
      <c r="U116" s="945">
        <f>[11]Stoping!U116</f>
        <v>70</v>
      </c>
      <c r="V116" s="945">
        <f>[11]Stoping!V116</f>
        <v>70</v>
      </c>
      <c r="W116" s="945">
        <f>[11]Stoping!W116</f>
        <v>70</v>
      </c>
      <c r="X116" s="945">
        <f>[11]Stoping!X116</f>
        <v>70</v>
      </c>
      <c r="Y116" s="945">
        <f>[11]Stoping!Y116</f>
        <v>70</v>
      </c>
      <c r="Z116" s="945">
        <f>[11]Stoping!Z116</f>
        <v>70</v>
      </c>
      <c r="AA116" s="945">
        <f>[11]Stoping!AA116</f>
        <v>70</v>
      </c>
      <c r="AB116" s="945">
        <f>[11]Stoping!AB116</f>
        <v>70</v>
      </c>
      <c r="AC116" s="945">
        <f>[11]Stoping!AC116</f>
        <v>70</v>
      </c>
      <c r="AD116" s="945">
        <f>[11]Stoping!AD116</f>
        <v>70</v>
      </c>
      <c r="AE116" s="945">
        <f>[11]Stoping!AE116</f>
        <v>70</v>
      </c>
      <c r="AF116" s="945">
        <f>[11]Stoping!AF116</f>
        <v>0</v>
      </c>
      <c r="AG116" s="945">
        <f>[11]Stoping!AG116</f>
        <v>70</v>
      </c>
      <c r="AH116" s="945">
        <f>[11]Stoping!AH116</f>
        <v>70</v>
      </c>
      <c r="AI116" s="945">
        <f>[11]Stoping!AI116</f>
        <v>70</v>
      </c>
      <c r="AJ116" s="945">
        <f>[11]Stoping!AJ116</f>
        <v>70</v>
      </c>
      <c r="AK116" s="945">
        <f>[11]Stoping!AK116</f>
        <v>70</v>
      </c>
      <c r="AL116" s="945">
        <f>[11]Stoping!AL116</f>
        <v>70</v>
      </c>
      <c r="AM116" s="845"/>
    </row>
    <row r="117" spans="1:39" ht="15.75" thickBot="1" x14ac:dyDescent="0.3">
      <c r="A117" s="202"/>
      <c r="B117" s="1608"/>
      <c r="C117" s="1690"/>
      <c r="D117" s="1684"/>
      <c r="E117" s="1379" t="str">
        <f>[11]Stoping!E117</f>
        <v>Actual (t)</v>
      </c>
      <c r="F117" s="1303">
        <f>[11]Stoping!F117</f>
        <v>1541</v>
      </c>
      <c r="G117" s="1380">
        <f>[11]Stoping!G117</f>
        <v>-0.21377551020408164</v>
      </c>
      <c r="H117" s="1305">
        <f>[11]Stoping!H117</f>
        <v>46</v>
      </c>
      <c r="I117" s="1303">
        <f>[11]Stoping!I117</f>
        <v>37</v>
      </c>
      <c r="J117" s="1303">
        <f>[11]Stoping!J117</f>
        <v>30</v>
      </c>
      <c r="K117" s="1303">
        <f>[11]Stoping!K117</f>
        <v>51</v>
      </c>
      <c r="L117" s="1303">
        <f>[11]Stoping!L117</f>
        <v>0</v>
      </c>
      <c r="M117" s="1303">
        <f>[11]Stoping!M117</f>
        <v>0</v>
      </c>
      <c r="N117" s="1303">
        <f>[11]Stoping!N117</f>
        <v>30</v>
      </c>
      <c r="O117" s="1303">
        <f>[11]Stoping!O117</f>
        <v>70</v>
      </c>
      <c r="P117" s="1303">
        <f>[11]Stoping!P117</f>
        <v>70</v>
      </c>
      <c r="Q117" s="1303">
        <f>[11]Stoping!Q117</f>
        <v>42</v>
      </c>
      <c r="R117" s="1303">
        <f>[11]Stoping!R117</f>
        <v>0</v>
      </c>
      <c r="S117" s="1303">
        <f>[11]Stoping!S117</f>
        <v>0</v>
      </c>
      <c r="T117" s="1303">
        <f>[11]Stoping!T117</f>
        <v>74</v>
      </c>
      <c r="U117" s="1303">
        <f>[11]Stoping!U117</f>
        <v>67</v>
      </c>
      <c r="V117" s="1303">
        <f>[11]Stoping!V117</f>
        <v>64</v>
      </c>
      <c r="W117" s="1303">
        <f>[11]Stoping!W117</f>
        <v>70</v>
      </c>
      <c r="X117" s="1303">
        <f>[11]Stoping!X117</f>
        <v>97</v>
      </c>
      <c r="Y117" s="1303">
        <f>[11]Stoping!Y117</f>
        <v>95</v>
      </c>
      <c r="Z117" s="1303">
        <f>[11]Stoping!Z117</f>
        <v>68</v>
      </c>
      <c r="AA117" s="1303">
        <f>[11]Stoping!AA117</f>
        <v>76</v>
      </c>
      <c r="AB117" s="1303">
        <f>[11]Stoping!AB117</f>
        <v>35</v>
      </c>
      <c r="AC117" s="1303">
        <f>[11]Stoping!AC117</f>
        <v>79</v>
      </c>
      <c r="AD117" s="1303">
        <f>[11]Stoping!AD117</f>
        <v>70</v>
      </c>
      <c r="AE117" s="1303">
        <f>[11]Stoping!AE117</f>
        <v>71</v>
      </c>
      <c r="AF117" s="1303">
        <f>[11]Stoping!AF117</f>
        <v>0</v>
      </c>
      <c r="AG117" s="1303">
        <f>[11]Stoping!AG117</f>
        <v>40</v>
      </c>
      <c r="AH117" s="1303">
        <f>[11]Stoping!AH117</f>
        <v>31</v>
      </c>
      <c r="AI117" s="1303">
        <f>[11]Stoping!AI117</f>
        <v>76</v>
      </c>
      <c r="AJ117" s="1303">
        <f>[11]Stoping!AJ117</f>
        <v>73</v>
      </c>
      <c r="AK117" s="1303">
        <f>[11]Stoping!AK117</f>
        <v>79</v>
      </c>
      <c r="AL117" s="1303">
        <f>[11]Stoping!AL117</f>
        <v>79</v>
      </c>
      <c r="AM117" s="347"/>
    </row>
    <row r="118" spans="1:39" ht="15.75" thickBot="1" x14ac:dyDescent="0.3">
      <c r="A118" s="202"/>
      <c r="B118" s="1608"/>
      <c r="C118" s="1690"/>
      <c r="D118" s="1684"/>
      <c r="E118" s="1389" t="str">
        <f>[11]Stoping!E118</f>
        <v>Reason if Actual is RED</v>
      </c>
      <c r="F118" s="1390">
        <f>[11]Stoping!F118</f>
        <v>0</v>
      </c>
      <c r="G118" s="1391">
        <f>[11]Stoping!G118</f>
        <v>0</v>
      </c>
      <c r="H118" s="203">
        <f>[11]Stoping!H118</f>
        <v>0</v>
      </c>
      <c r="I118" s="203">
        <f>[11]Stoping!I118</f>
        <v>0</v>
      </c>
      <c r="J118" s="203">
        <f>[11]Stoping!J118</f>
        <v>0</v>
      </c>
      <c r="K118" s="203">
        <f>[11]Stoping!K118</f>
        <v>0</v>
      </c>
      <c r="L118" s="203">
        <f>[11]Stoping!L118</f>
        <v>0</v>
      </c>
      <c r="M118" s="203">
        <f>[11]Stoping!M118</f>
        <v>0</v>
      </c>
      <c r="N118" s="203">
        <f>[11]Stoping!N118</f>
        <v>0</v>
      </c>
      <c r="O118" s="203">
        <f>[11]Stoping!O118</f>
        <v>0</v>
      </c>
      <c r="P118" s="204">
        <f>[11]Stoping!P118</f>
        <v>0</v>
      </c>
      <c r="Q118" s="203">
        <f>[11]Stoping!Q118</f>
        <v>0</v>
      </c>
      <c r="R118" s="203">
        <f>[11]Stoping!R118</f>
        <v>0</v>
      </c>
      <c r="S118" s="203">
        <f>[11]Stoping!S118</f>
        <v>0</v>
      </c>
      <c r="T118" s="203">
        <f>[11]Stoping!T118</f>
        <v>0</v>
      </c>
      <c r="U118" s="203">
        <f>[11]Stoping!U118</f>
        <v>0</v>
      </c>
      <c r="V118" s="203">
        <f>[11]Stoping!V118</f>
        <v>0</v>
      </c>
      <c r="W118" s="203">
        <f>[11]Stoping!W118</f>
        <v>0</v>
      </c>
      <c r="X118" s="203">
        <f>[11]Stoping!X118</f>
        <v>0</v>
      </c>
      <c r="Y118" s="203">
        <f>[11]Stoping!Y118</f>
        <v>0</v>
      </c>
      <c r="Z118" s="203">
        <f>[11]Stoping!Z118</f>
        <v>0</v>
      </c>
      <c r="AA118" s="203">
        <f>[11]Stoping!AA118</f>
        <v>0</v>
      </c>
      <c r="AB118" s="203">
        <f>[11]Stoping!AB118</f>
        <v>0</v>
      </c>
      <c r="AC118" s="203">
        <f>[11]Stoping!AC118</f>
        <v>0</v>
      </c>
      <c r="AD118" s="203">
        <f>[11]Stoping!AD118</f>
        <v>0</v>
      </c>
      <c r="AE118" s="203">
        <f>[11]Stoping!AE118</f>
        <v>0</v>
      </c>
      <c r="AF118" s="203">
        <f>[11]Stoping!AF118</f>
        <v>0</v>
      </c>
      <c r="AG118" s="203">
        <f>[11]Stoping!AG118</f>
        <v>0</v>
      </c>
      <c r="AH118" s="203">
        <f>[11]Stoping!AH118</f>
        <v>0</v>
      </c>
      <c r="AI118" s="203">
        <f>[11]Stoping!AI118</f>
        <v>0</v>
      </c>
      <c r="AJ118" s="203">
        <f>[11]Stoping!AJ118</f>
        <v>0</v>
      </c>
      <c r="AK118" s="203">
        <f>[11]Stoping!AK118</f>
        <v>0</v>
      </c>
      <c r="AL118" s="205">
        <f>[11]Stoping!AL118</f>
        <v>0</v>
      </c>
      <c r="AM118" s="846"/>
    </row>
    <row r="119" spans="1:39" ht="15.75" thickBot="1" x14ac:dyDescent="0.3">
      <c r="A119" s="202"/>
      <c r="B119" s="1608"/>
      <c r="C119" s="1690"/>
      <c r="D119" s="1685" t="str">
        <f>[11]Stoping!D119</f>
        <v>Grade</v>
      </c>
      <c r="E119" s="1384" t="str">
        <f>[11]Stoping!E119</f>
        <v>Budget (g/t)</v>
      </c>
      <c r="F119" s="1310">
        <f>[11]Stoping!F119</f>
        <v>2.1724489795918362</v>
      </c>
      <c r="G119" s="1385">
        <f>[11]Stoping!G119</f>
        <v>0</v>
      </c>
      <c r="H119" s="1312">
        <f>[11]Stoping!H119</f>
        <v>0</v>
      </c>
      <c r="I119" s="1312">
        <f>[11]Stoping!I119</f>
        <v>2.2000000000000002</v>
      </c>
      <c r="J119" s="1312">
        <f>[11]Stoping!J119</f>
        <v>2.2000000000000002</v>
      </c>
      <c r="K119" s="1312">
        <f>[11]Stoping!K119</f>
        <v>2.2000000000000002</v>
      </c>
      <c r="L119" s="1312">
        <f>[11]Stoping!L119</f>
        <v>2.2000000000000002</v>
      </c>
      <c r="M119" s="1312">
        <f>[11]Stoping!M119</f>
        <v>2.2000000000000002</v>
      </c>
      <c r="N119" s="1312">
        <f>[11]Stoping!N119</f>
        <v>2.2000000000000002</v>
      </c>
      <c r="O119" s="1312">
        <f>[11]Stoping!O119</f>
        <v>2.2000000000000002</v>
      </c>
      <c r="P119" s="1312">
        <f>[11]Stoping!P119</f>
        <v>2.2000000000000002</v>
      </c>
      <c r="Q119" s="1312">
        <f>[11]Stoping!Q119</f>
        <v>2.2000000000000002</v>
      </c>
      <c r="R119" s="1312">
        <f>[11]Stoping!R119</f>
        <v>2.2000000000000002</v>
      </c>
      <c r="S119" s="1312">
        <f>[11]Stoping!S119</f>
        <v>2.2000000000000002</v>
      </c>
      <c r="T119" s="1312">
        <f>[11]Stoping!T119</f>
        <v>2.2000000000000002</v>
      </c>
      <c r="U119" s="1312">
        <f>[11]Stoping!U119</f>
        <v>2.2000000000000002</v>
      </c>
      <c r="V119" s="1312">
        <f>[11]Stoping!V119</f>
        <v>2.2000000000000002</v>
      </c>
      <c r="W119" s="1312">
        <f>[11]Stoping!W119</f>
        <v>2.2000000000000002</v>
      </c>
      <c r="X119" s="1312">
        <f>[11]Stoping!X119</f>
        <v>2.2000000000000002</v>
      </c>
      <c r="Y119" s="1312">
        <f>[11]Stoping!Y119</f>
        <v>2.2000000000000002</v>
      </c>
      <c r="Z119" s="1312">
        <f>[11]Stoping!Z119</f>
        <v>2.2000000000000002</v>
      </c>
      <c r="AA119" s="1312">
        <f>[11]Stoping!AA119</f>
        <v>2.2000000000000002</v>
      </c>
      <c r="AB119" s="1312">
        <f>[11]Stoping!AB119</f>
        <v>2.2000000000000002</v>
      </c>
      <c r="AC119" s="1312">
        <f>[11]Stoping!AC119</f>
        <v>2.2000000000000002</v>
      </c>
      <c r="AD119" s="1312">
        <f>[11]Stoping!AD119</f>
        <v>2.2000000000000002</v>
      </c>
      <c r="AE119" s="1312">
        <f>[11]Stoping!AE119</f>
        <v>2.2000000000000002</v>
      </c>
      <c r="AF119" s="1312">
        <f>[11]Stoping!AF119</f>
        <v>0</v>
      </c>
      <c r="AG119" s="1312">
        <f>[11]Stoping!AG119</f>
        <v>2.2000000000000002</v>
      </c>
      <c r="AH119" s="1312">
        <f>[11]Stoping!AH119</f>
        <v>2.2000000000000002</v>
      </c>
      <c r="AI119" s="1312">
        <f>[11]Stoping!AI119</f>
        <v>2.2000000000000002</v>
      </c>
      <c r="AJ119" s="1312">
        <f>[11]Stoping!AJ119</f>
        <v>2.2000000000000002</v>
      </c>
      <c r="AK119" s="1312">
        <f>[11]Stoping!AK119</f>
        <v>2.2000000000000002</v>
      </c>
      <c r="AL119" s="1312">
        <f>[11]Stoping!AL119</f>
        <v>2.2000000000000002</v>
      </c>
      <c r="AM119" s="347"/>
    </row>
    <row r="120" spans="1:39" ht="15.75" thickBot="1" x14ac:dyDescent="0.3">
      <c r="A120" s="202"/>
      <c r="B120" s="1608"/>
      <c r="C120" s="1690"/>
      <c r="D120" s="1685"/>
      <c r="E120" s="1386" t="str">
        <f>[11]Stoping!E120</f>
        <v>Actual (g/t)</v>
      </c>
      <c r="F120" s="1314">
        <f>[11]Stoping!F120</f>
        <v>2.320058403634004</v>
      </c>
      <c r="G120" s="1380">
        <f>[11]Stoping!G120</f>
        <v>6.7946094674177726E-2</v>
      </c>
      <c r="H120" s="1315">
        <f>[11]Stoping!H120</f>
        <v>0</v>
      </c>
      <c r="I120" s="1314">
        <f>[11]Stoping!I120</f>
        <v>3.47</v>
      </c>
      <c r="J120" s="1314">
        <f>[11]Stoping!J120</f>
        <v>3.52</v>
      </c>
      <c r="K120" s="1314">
        <f>[11]Stoping!K120</f>
        <v>3.52</v>
      </c>
      <c r="L120" s="1314">
        <f>[11]Stoping!L120</f>
        <v>0</v>
      </c>
      <c r="M120" s="1314">
        <f>[11]Stoping!M120</f>
        <v>0</v>
      </c>
      <c r="N120" s="1314">
        <f>[11]Stoping!N120</f>
        <v>0</v>
      </c>
      <c r="O120" s="1314">
        <f>[11]Stoping!O120</f>
        <v>1.01</v>
      </c>
      <c r="P120" s="1314">
        <f>[11]Stoping!P120</f>
        <v>1.79</v>
      </c>
      <c r="Q120" s="1314">
        <f>[11]Stoping!Q120</f>
        <v>3.74</v>
      </c>
      <c r="R120" s="1314">
        <f>[11]Stoping!R120</f>
        <v>0</v>
      </c>
      <c r="S120" s="1314">
        <f>[11]Stoping!S120</f>
        <v>0</v>
      </c>
      <c r="T120" s="1314">
        <f>[11]Stoping!T120</f>
        <v>6.04</v>
      </c>
      <c r="U120" s="1314">
        <f>[11]Stoping!U120</f>
        <v>3.22</v>
      </c>
      <c r="V120" s="1314">
        <f>[11]Stoping!V120</f>
        <v>0</v>
      </c>
      <c r="W120" s="1314">
        <f>[11]Stoping!W120</f>
        <v>1.74</v>
      </c>
      <c r="X120" s="1314">
        <f>[11]Stoping!X120</f>
        <v>1.69</v>
      </c>
      <c r="Y120" s="1314">
        <f>[11]Stoping!Y120</f>
        <v>1.69</v>
      </c>
      <c r="Z120" s="1314">
        <f>[11]Stoping!Z120</f>
        <v>1.85</v>
      </c>
      <c r="AA120" s="1314">
        <f>[11]Stoping!AA120</f>
        <v>2.2799999999999998</v>
      </c>
      <c r="AB120" s="1314">
        <f>[11]Stoping!AB120</f>
        <v>1.6</v>
      </c>
      <c r="AC120" s="1314">
        <f>[11]Stoping!AC120</f>
        <v>2.65</v>
      </c>
      <c r="AD120" s="1314">
        <f>[11]Stoping!AD120</f>
        <v>3.56</v>
      </c>
      <c r="AE120" s="1314">
        <f>[11]Stoping!AE120</f>
        <v>2.65</v>
      </c>
      <c r="AF120" s="1314">
        <f>[11]Stoping!AF120</f>
        <v>0</v>
      </c>
      <c r="AG120" s="1314">
        <f>[11]Stoping!AG120</f>
        <v>2.65</v>
      </c>
      <c r="AH120" s="1314">
        <f>[11]Stoping!AH120</f>
        <v>1.46</v>
      </c>
      <c r="AI120" s="1314">
        <f>[11]Stoping!AI120</f>
        <v>2.76</v>
      </c>
      <c r="AJ120" s="1314">
        <f>[11]Stoping!AJ120</f>
        <v>2.3199999999999998</v>
      </c>
      <c r="AK120" s="1314">
        <f>[11]Stoping!AK120</f>
        <v>2.12</v>
      </c>
      <c r="AL120" s="1314">
        <f>[11]Stoping!AL120</f>
        <v>4.29</v>
      </c>
      <c r="AM120" s="347"/>
    </row>
    <row r="121" spans="1:39" ht="15.75" thickBot="1" x14ac:dyDescent="0.3">
      <c r="A121" s="202"/>
      <c r="B121" s="1608"/>
      <c r="C121" s="1690"/>
      <c r="D121" s="1686" t="str">
        <f>[11]Stoping!D121</f>
        <v>Gold</v>
      </c>
      <c r="E121" s="1384" t="str">
        <f>[11]Stoping!E121</f>
        <v>Budget (kg)</v>
      </c>
      <c r="F121" s="206">
        <f>[11]Stoping!F121</f>
        <v>4.2579999999999991</v>
      </c>
      <c r="G121" s="1385">
        <f>[11]Stoping!G121</f>
        <v>0</v>
      </c>
      <c r="H121" s="1316">
        <f>[11]Stoping!H121</f>
        <v>0</v>
      </c>
      <c r="I121" s="1316">
        <f>[11]Stoping!I121</f>
        <v>0.154</v>
      </c>
      <c r="J121" s="1316">
        <f>[11]Stoping!J121</f>
        <v>0.154</v>
      </c>
      <c r="K121" s="1316">
        <f>[11]Stoping!K121</f>
        <v>0.154</v>
      </c>
      <c r="L121" s="1316">
        <f>[11]Stoping!L121</f>
        <v>0.154</v>
      </c>
      <c r="M121" s="1316">
        <f>[11]Stoping!M121</f>
        <v>0.154</v>
      </c>
      <c r="N121" s="1316">
        <f>[11]Stoping!N121</f>
        <v>0.154</v>
      </c>
      <c r="O121" s="1316">
        <f>[11]Stoping!O121</f>
        <v>0.154</v>
      </c>
      <c r="P121" s="1316">
        <f>[11]Stoping!P121</f>
        <v>0.154</v>
      </c>
      <c r="Q121" s="1316">
        <f>[11]Stoping!Q121</f>
        <v>0.154</v>
      </c>
      <c r="R121" s="1316">
        <f>[11]Stoping!R121</f>
        <v>0.154</v>
      </c>
      <c r="S121" s="1316">
        <f>[11]Stoping!S121</f>
        <v>0.154</v>
      </c>
      <c r="T121" s="1316">
        <f>[11]Stoping!T121</f>
        <v>0.154</v>
      </c>
      <c r="U121" s="1316">
        <f>[11]Stoping!U121</f>
        <v>0.154</v>
      </c>
      <c r="V121" s="1316">
        <f>[11]Stoping!V121</f>
        <v>0.154</v>
      </c>
      <c r="W121" s="1316">
        <f>[11]Stoping!W121</f>
        <v>0.154</v>
      </c>
      <c r="X121" s="1316">
        <f>[11]Stoping!X121</f>
        <v>0.154</v>
      </c>
      <c r="Y121" s="1316">
        <f>[11]Stoping!Y121</f>
        <v>0.154</v>
      </c>
      <c r="Z121" s="1316">
        <f>[11]Stoping!Z121</f>
        <v>0.154</v>
      </c>
      <c r="AA121" s="1316">
        <f>[11]Stoping!AA121</f>
        <v>0.1</v>
      </c>
      <c r="AB121" s="1316">
        <f>[11]Stoping!AB121</f>
        <v>0.154</v>
      </c>
      <c r="AC121" s="1316">
        <f>[11]Stoping!AC121</f>
        <v>0.154</v>
      </c>
      <c r="AD121" s="1316">
        <f>[11]Stoping!AD121</f>
        <v>0.154</v>
      </c>
      <c r="AE121" s="1316">
        <f>[11]Stoping!AE121</f>
        <v>0.154</v>
      </c>
      <c r="AF121" s="1316">
        <f>[11]Stoping!AF121</f>
        <v>0</v>
      </c>
      <c r="AG121" s="1316">
        <f>[11]Stoping!AG121</f>
        <v>0.154</v>
      </c>
      <c r="AH121" s="1316">
        <f>[11]Stoping!AH121</f>
        <v>0.154</v>
      </c>
      <c r="AI121" s="1316">
        <f>[11]Stoping!AI121</f>
        <v>0.154</v>
      </c>
      <c r="AJ121" s="1316">
        <f>[11]Stoping!AJ121</f>
        <v>0.154</v>
      </c>
      <c r="AK121" s="1316">
        <f>[11]Stoping!AK121</f>
        <v>0.154</v>
      </c>
      <c r="AL121" s="1316">
        <f>[11]Stoping!AL121</f>
        <v>0.154</v>
      </c>
      <c r="AM121" s="705"/>
    </row>
    <row r="122" spans="1:39" ht="15.75" thickBot="1" x14ac:dyDescent="0.3">
      <c r="A122" s="202"/>
      <c r="B122" s="1609"/>
      <c r="C122" s="1691"/>
      <c r="D122" s="1687"/>
      <c r="E122" s="1387" t="str">
        <f>[11]Stoping!E122</f>
        <v>Actual (kg)</v>
      </c>
      <c r="F122" s="1321">
        <f>[11]Stoping!F122</f>
        <v>3.5752100000000002</v>
      </c>
      <c r="G122" s="1388">
        <f>[11]Stoping!G122</f>
        <v>-0.16035462658525107</v>
      </c>
      <c r="H122" s="1323">
        <f>[11]Stoping!H122</f>
        <v>0</v>
      </c>
      <c r="I122" s="1321">
        <f>[11]Stoping!I122</f>
        <v>0.12839</v>
      </c>
      <c r="J122" s="1321">
        <f>[11]Stoping!J122</f>
        <v>0.1056</v>
      </c>
      <c r="K122" s="1321">
        <f>[11]Stoping!K122</f>
        <v>0.17952000000000001</v>
      </c>
      <c r="L122" s="1321">
        <f>[11]Stoping!L122</f>
        <v>0</v>
      </c>
      <c r="M122" s="1329">
        <f>[11]Stoping!M122</f>
        <v>0</v>
      </c>
      <c r="N122" s="1321">
        <f>[11]Stoping!N122</f>
        <v>0</v>
      </c>
      <c r="O122" s="1321">
        <f>[11]Stoping!O122</f>
        <v>7.0699999999999999E-2</v>
      </c>
      <c r="P122" s="1321">
        <f>[11]Stoping!P122</f>
        <v>0.12529999999999999</v>
      </c>
      <c r="Q122" s="1321">
        <f>[11]Stoping!Q122</f>
        <v>0.15708000000000003</v>
      </c>
      <c r="R122" s="1321">
        <f>[11]Stoping!R122</f>
        <v>0</v>
      </c>
      <c r="S122" s="1321">
        <f>[11]Stoping!S122</f>
        <v>0</v>
      </c>
      <c r="T122" s="1321">
        <f>[11]Stoping!T122</f>
        <v>0.44695999999999997</v>
      </c>
      <c r="U122" s="1321">
        <f>[11]Stoping!U122</f>
        <v>0.21574000000000002</v>
      </c>
      <c r="V122" s="1321">
        <f>[11]Stoping!V122</f>
        <v>0</v>
      </c>
      <c r="W122" s="1321">
        <f>[11]Stoping!W122</f>
        <v>0.12179999999999999</v>
      </c>
      <c r="X122" s="1321">
        <f>[11]Stoping!X122</f>
        <v>0.16393000000000002</v>
      </c>
      <c r="Y122" s="1321">
        <f>[11]Stoping!Y122</f>
        <v>0.16054999999999997</v>
      </c>
      <c r="Z122" s="1321">
        <f>[11]Stoping!Z122</f>
        <v>0.12580000000000002</v>
      </c>
      <c r="AA122" s="1321">
        <f>[11]Stoping!AA122</f>
        <v>0.17327999999999996</v>
      </c>
      <c r="AB122" s="1321">
        <f>[11]Stoping!AB122</f>
        <v>5.6000000000000001E-2</v>
      </c>
      <c r="AC122" s="1321">
        <f>[11]Stoping!AC122</f>
        <v>0.20934999999999998</v>
      </c>
      <c r="AD122" s="1321">
        <f>[11]Stoping!AD122</f>
        <v>0.2492</v>
      </c>
      <c r="AE122" s="1321">
        <f>[11]Stoping!AE122</f>
        <v>0.18815000000000001</v>
      </c>
      <c r="AF122" s="1321">
        <f>[11]Stoping!AF122</f>
        <v>0</v>
      </c>
      <c r="AG122" s="1321">
        <f>[11]Stoping!AG122</f>
        <v>0.106</v>
      </c>
      <c r="AH122" s="1321">
        <f>[11]Stoping!AH122</f>
        <v>4.5259999999999995E-2</v>
      </c>
      <c r="AI122" s="1321">
        <f>[11]Stoping!AI122</f>
        <v>0.20976</v>
      </c>
      <c r="AJ122" s="1321">
        <f>[11]Stoping!AJ122</f>
        <v>0.16935999999999998</v>
      </c>
      <c r="AK122" s="1321">
        <f>[11]Stoping!AK122</f>
        <v>0.16748000000000002</v>
      </c>
      <c r="AL122" s="1321">
        <f>[11]Stoping!AL122</f>
        <v>0.33891000000000004</v>
      </c>
      <c r="AM122" s="706"/>
    </row>
    <row r="123" spans="1:39" ht="15.75" thickBot="1" x14ac:dyDescent="0.3">
      <c r="A123" s="202"/>
      <c r="B123" s="1608"/>
      <c r="C123" s="848"/>
      <c r="D123" s="1684" t="s">
        <v>340</v>
      </c>
      <c r="E123" s="293" t="s">
        <v>341</v>
      </c>
      <c r="F123" s="196">
        <f>SUMIF($H$9:$AL$9,"&lt;="&amp;$C$7,H123:AL123)</f>
        <v>0</v>
      </c>
      <c r="G123" s="197"/>
      <c r="H123" s="198"/>
      <c r="I123" s="198"/>
      <c r="J123" s="198"/>
      <c r="K123" s="199"/>
      <c r="L123" s="199"/>
      <c r="M123" s="199"/>
      <c r="N123" s="199"/>
      <c r="O123" s="199"/>
      <c r="P123" s="200"/>
      <c r="Q123" s="199"/>
      <c r="R123" s="199"/>
      <c r="S123" s="199"/>
      <c r="T123" s="199"/>
      <c r="U123" s="199"/>
      <c r="V123" s="199"/>
      <c r="W123" s="199"/>
      <c r="X123" s="199"/>
      <c r="Y123" s="199"/>
      <c r="Z123" s="199"/>
      <c r="AA123" s="199"/>
      <c r="AB123" s="199"/>
      <c r="AC123" s="199"/>
      <c r="AD123" s="199"/>
      <c r="AE123" s="199"/>
      <c r="AF123" s="199"/>
      <c r="AG123" s="199"/>
      <c r="AH123" s="199"/>
      <c r="AI123" s="199"/>
      <c r="AJ123" s="199"/>
      <c r="AK123" s="199"/>
      <c r="AL123" s="201"/>
      <c r="AM123" s="845"/>
    </row>
    <row r="124" spans="1:39" ht="15.75" thickBot="1" x14ac:dyDescent="0.3">
      <c r="A124" s="202"/>
      <c r="B124" s="1608"/>
      <c r="C124" s="849"/>
      <c r="D124" s="1684"/>
      <c r="E124" s="1379" t="s">
        <v>342</v>
      </c>
      <c r="F124" s="1303">
        <f>SUMIF($H$9:$AL$9,"&lt;="&amp;$C$7,H124:AL124)</f>
        <v>0</v>
      </c>
      <c r="G124" s="1380">
        <f t="shared" ref="G124" si="2">IFERROR((F124-F123)/F123,0)</f>
        <v>0</v>
      </c>
      <c r="H124" s="1305"/>
      <c r="I124" s="1305"/>
      <c r="J124" s="1303"/>
      <c r="K124" s="1303"/>
      <c r="L124" s="1303"/>
      <c r="M124" s="1303"/>
      <c r="N124" s="1303"/>
      <c r="O124" s="1303"/>
      <c r="P124" s="1303"/>
      <c r="Q124" s="1303"/>
      <c r="R124" s="1303"/>
      <c r="S124" s="1303"/>
      <c r="T124" s="1303"/>
      <c r="U124" s="1303"/>
      <c r="V124" s="1303"/>
      <c r="W124" s="1303"/>
      <c r="X124" s="1303"/>
      <c r="Y124" s="1303"/>
      <c r="Z124" s="1303"/>
      <c r="AA124" s="1303"/>
      <c r="AB124" s="1303"/>
      <c r="AC124" s="1303"/>
      <c r="AD124" s="1303"/>
      <c r="AE124" s="1303"/>
      <c r="AF124" s="1303"/>
      <c r="AG124" s="1303"/>
      <c r="AH124" s="1303"/>
      <c r="AI124" s="1303"/>
      <c r="AJ124" s="1303"/>
      <c r="AK124" s="1303"/>
      <c r="AL124" s="1303"/>
      <c r="AM124" s="347"/>
    </row>
    <row r="125" spans="1:39" ht="15.75" thickBot="1" x14ac:dyDescent="0.3">
      <c r="A125" s="202"/>
      <c r="B125" s="1608"/>
      <c r="C125" s="849"/>
      <c r="D125" s="1684"/>
      <c r="E125" s="1389" t="s">
        <v>312</v>
      </c>
      <c r="F125" s="1390"/>
      <c r="G125" s="1391"/>
      <c r="H125" s="203"/>
      <c r="I125" s="203"/>
      <c r="J125" s="203"/>
      <c r="K125" s="203"/>
      <c r="L125" s="203"/>
      <c r="M125" s="203"/>
      <c r="N125" s="203"/>
      <c r="O125" s="203"/>
      <c r="P125" s="204"/>
      <c r="Q125" s="203"/>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5"/>
      <c r="AM125" s="846"/>
    </row>
    <row r="126" spans="1:39" ht="15.75" thickBot="1" x14ac:dyDescent="0.3">
      <c r="A126" s="202"/>
      <c r="B126" s="1608"/>
      <c r="C126" s="849"/>
      <c r="D126" s="1685" t="s">
        <v>343</v>
      </c>
      <c r="E126" s="1384" t="s">
        <v>344</v>
      </c>
      <c r="F126" s="1310">
        <f t="shared" ref="F126:F127" si="3">IFERROR(F128*1000/F123,0)</f>
        <v>0</v>
      </c>
      <c r="G126" s="1385"/>
      <c r="H126" s="1312"/>
      <c r="I126" s="1312"/>
      <c r="J126" s="1312"/>
      <c r="K126" s="1333"/>
      <c r="L126" s="1333"/>
      <c r="M126" s="1333"/>
      <c r="N126" s="1333"/>
      <c r="O126" s="1333"/>
      <c r="P126" s="1334"/>
      <c r="Q126" s="1333"/>
      <c r="R126" s="1333"/>
      <c r="S126" s="1333"/>
      <c r="T126" s="1333"/>
      <c r="U126" s="1333"/>
      <c r="V126" s="1333"/>
      <c r="W126" s="1333"/>
      <c r="X126" s="1333"/>
      <c r="Y126" s="1333"/>
      <c r="Z126" s="1333"/>
      <c r="AA126" s="1333"/>
      <c r="AB126" s="1333"/>
      <c r="AC126" s="1333"/>
      <c r="AD126" s="1333"/>
      <c r="AE126" s="1333"/>
      <c r="AF126" s="1333"/>
      <c r="AG126" s="1333"/>
      <c r="AH126" s="1333"/>
      <c r="AI126" s="1333"/>
      <c r="AJ126" s="1333"/>
      <c r="AK126" s="1333"/>
      <c r="AL126" s="1335"/>
      <c r="AM126" s="347"/>
    </row>
    <row r="127" spans="1:39" ht="15.75" thickBot="1" x14ac:dyDescent="0.3">
      <c r="A127" s="202"/>
      <c r="B127" s="1608"/>
      <c r="C127" s="849"/>
      <c r="D127" s="1685"/>
      <c r="E127" s="1386" t="s">
        <v>345</v>
      </c>
      <c r="F127" s="1314">
        <f t="shared" si="3"/>
        <v>0</v>
      </c>
      <c r="G127" s="1380">
        <f t="shared" ref="G127" si="4">IFERROR((F127-F126)/F126,0)</f>
        <v>0</v>
      </c>
      <c r="H127" s="1315"/>
      <c r="I127" s="1315"/>
      <c r="J127" s="1314"/>
      <c r="K127" s="1314"/>
      <c r="L127" s="1314"/>
      <c r="M127" s="1314"/>
      <c r="N127" s="1314"/>
      <c r="O127" s="1314"/>
      <c r="P127" s="1314"/>
      <c r="Q127" s="1314"/>
      <c r="R127" s="1314"/>
      <c r="S127" s="1314"/>
      <c r="T127" s="1314"/>
      <c r="U127" s="1314"/>
      <c r="V127" s="1314"/>
      <c r="W127" s="1314"/>
      <c r="X127" s="1314"/>
      <c r="Y127" s="1314"/>
      <c r="Z127" s="1314"/>
      <c r="AA127" s="1314"/>
      <c r="AB127" s="1314"/>
      <c r="AC127" s="1314"/>
      <c r="AD127" s="1314"/>
      <c r="AE127" s="1314"/>
      <c r="AF127" s="1314"/>
      <c r="AG127" s="1314"/>
      <c r="AH127" s="1314"/>
      <c r="AI127" s="1314"/>
      <c r="AJ127" s="1314"/>
      <c r="AK127" s="1314"/>
      <c r="AL127" s="1314"/>
      <c r="AM127" s="347"/>
    </row>
    <row r="128" spans="1:39" ht="15.75" thickBot="1" x14ac:dyDescent="0.3">
      <c r="A128" s="202"/>
      <c r="B128" s="1608"/>
      <c r="C128" s="849"/>
      <c r="D128" s="1686" t="s">
        <v>47</v>
      </c>
      <c r="E128" s="1384" t="s">
        <v>346</v>
      </c>
      <c r="F128" s="206">
        <f>SUMIF($H$9:$AL$9,"&lt;="&amp;$C$7,H128:AL128)</f>
        <v>0</v>
      </c>
      <c r="G128" s="1385"/>
      <c r="H128" s="1316">
        <f t="shared" ref="H128:Q129" si="5">+H126*H123/1000</f>
        <v>0</v>
      </c>
      <c r="I128" s="1316">
        <f t="shared" si="5"/>
        <v>0</v>
      </c>
      <c r="J128" s="1316">
        <f t="shared" si="5"/>
        <v>0</v>
      </c>
      <c r="K128" s="1317">
        <f t="shared" si="5"/>
        <v>0</v>
      </c>
      <c r="L128" s="1317">
        <f t="shared" si="5"/>
        <v>0</v>
      </c>
      <c r="M128" s="1317">
        <f t="shared" si="5"/>
        <v>0</v>
      </c>
      <c r="N128" s="1317">
        <f t="shared" si="5"/>
        <v>0</v>
      </c>
      <c r="O128" s="1317">
        <f t="shared" si="5"/>
        <v>0</v>
      </c>
      <c r="P128" s="1318">
        <f t="shared" si="5"/>
        <v>0</v>
      </c>
      <c r="Q128" s="1317">
        <f t="shared" si="5"/>
        <v>0</v>
      </c>
      <c r="R128" s="1317">
        <f t="shared" ref="R128:AL129" si="6">+R126*R123/1000</f>
        <v>0</v>
      </c>
      <c r="S128" s="1317">
        <f t="shared" si="6"/>
        <v>0</v>
      </c>
      <c r="T128" s="1317">
        <f t="shared" si="6"/>
        <v>0</v>
      </c>
      <c r="U128" s="1317">
        <f t="shared" si="6"/>
        <v>0</v>
      </c>
      <c r="V128" s="1317">
        <f t="shared" si="6"/>
        <v>0</v>
      </c>
      <c r="W128" s="1317">
        <f t="shared" si="6"/>
        <v>0</v>
      </c>
      <c r="X128" s="1317">
        <f t="shared" si="6"/>
        <v>0</v>
      </c>
      <c r="Y128" s="1317">
        <f t="shared" si="6"/>
        <v>0</v>
      </c>
      <c r="Z128" s="1317">
        <f t="shared" si="6"/>
        <v>0</v>
      </c>
      <c r="AA128" s="1317">
        <f t="shared" si="6"/>
        <v>0</v>
      </c>
      <c r="AB128" s="1317">
        <f t="shared" si="6"/>
        <v>0</v>
      </c>
      <c r="AC128" s="1317">
        <f t="shared" si="6"/>
        <v>0</v>
      </c>
      <c r="AD128" s="1317">
        <f t="shared" si="6"/>
        <v>0</v>
      </c>
      <c r="AE128" s="1317">
        <f t="shared" si="6"/>
        <v>0</v>
      </c>
      <c r="AF128" s="1317">
        <f t="shared" si="6"/>
        <v>0</v>
      </c>
      <c r="AG128" s="1317">
        <f t="shared" si="6"/>
        <v>0</v>
      </c>
      <c r="AH128" s="1317">
        <f t="shared" si="6"/>
        <v>0</v>
      </c>
      <c r="AI128" s="1317">
        <f t="shared" si="6"/>
        <v>0</v>
      </c>
      <c r="AJ128" s="1317">
        <f t="shared" si="6"/>
        <v>0</v>
      </c>
      <c r="AK128" s="1317">
        <f t="shared" si="6"/>
        <v>0</v>
      </c>
      <c r="AL128" s="1319">
        <f t="shared" si="6"/>
        <v>0</v>
      </c>
      <c r="AM128" s="705"/>
    </row>
    <row r="129" spans="1:39" ht="15.75" thickBot="1" x14ac:dyDescent="0.3">
      <c r="A129" s="202"/>
      <c r="B129" s="1609"/>
      <c r="C129" s="850"/>
      <c r="D129" s="1687"/>
      <c r="E129" s="1387" t="s">
        <v>347</v>
      </c>
      <c r="F129" s="1321">
        <f>SUMIF($H$9:$AL$9,"&lt;="&amp;$C$7,H129:AL129)</f>
        <v>0</v>
      </c>
      <c r="G129" s="1388">
        <f t="shared" ref="G129" si="7">IFERROR((F129-F128)/F128,0)</f>
        <v>0</v>
      </c>
      <c r="H129" s="1323">
        <f t="shared" si="5"/>
        <v>0</v>
      </c>
      <c r="I129" s="1323">
        <f t="shared" si="5"/>
        <v>0</v>
      </c>
      <c r="J129" s="1321">
        <f t="shared" si="5"/>
        <v>0</v>
      </c>
      <c r="K129" s="1321">
        <f t="shared" si="5"/>
        <v>0</v>
      </c>
      <c r="L129" s="1321">
        <f t="shared" si="5"/>
        <v>0</v>
      </c>
      <c r="M129" s="1321">
        <f t="shared" si="5"/>
        <v>0</v>
      </c>
      <c r="N129" s="1321">
        <f t="shared" si="5"/>
        <v>0</v>
      </c>
      <c r="O129" s="1321">
        <f t="shared" si="5"/>
        <v>0</v>
      </c>
      <c r="P129" s="1321">
        <f t="shared" si="5"/>
        <v>0</v>
      </c>
      <c r="Q129" s="1321">
        <f t="shared" si="5"/>
        <v>0</v>
      </c>
      <c r="R129" s="1321">
        <f t="shared" si="6"/>
        <v>0</v>
      </c>
      <c r="S129" s="1321">
        <f t="shared" si="6"/>
        <v>0</v>
      </c>
      <c r="T129" s="1321">
        <f t="shared" si="6"/>
        <v>0</v>
      </c>
      <c r="U129" s="1321">
        <f t="shared" si="6"/>
        <v>0</v>
      </c>
      <c r="V129" s="1321">
        <f t="shared" si="6"/>
        <v>0</v>
      </c>
      <c r="W129" s="1321">
        <f t="shared" si="6"/>
        <v>0</v>
      </c>
      <c r="X129" s="1321">
        <f t="shared" si="6"/>
        <v>0</v>
      </c>
      <c r="Y129" s="1321">
        <f t="shared" si="6"/>
        <v>0</v>
      </c>
      <c r="Z129" s="1321">
        <f t="shared" si="6"/>
        <v>0</v>
      </c>
      <c r="AA129" s="1321">
        <f t="shared" si="6"/>
        <v>0</v>
      </c>
      <c r="AB129" s="1321">
        <f t="shared" si="6"/>
        <v>0</v>
      </c>
      <c r="AC129" s="1321">
        <f t="shared" si="6"/>
        <v>0</v>
      </c>
      <c r="AD129" s="1321">
        <f t="shared" si="6"/>
        <v>0</v>
      </c>
      <c r="AE129" s="1321">
        <f t="shared" si="6"/>
        <v>0</v>
      </c>
      <c r="AF129" s="1321">
        <f t="shared" si="6"/>
        <v>0</v>
      </c>
      <c r="AG129" s="1321">
        <f t="shared" si="6"/>
        <v>0</v>
      </c>
      <c r="AH129" s="1321">
        <f t="shared" si="6"/>
        <v>0</v>
      </c>
      <c r="AI129" s="1321">
        <f t="shared" si="6"/>
        <v>0</v>
      </c>
      <c r="AJ129" s="1321">
        <f t="shared" si="6"/>
        <v>0</v>
      </c>
      <c r="AK129" s="1321">
        <f t="shared" si="6"/>
        <v>0</v>
      </c>
      <c r="AL129" s="1321">
        <f t="shared" si="6"/>
        <v>0</v>
      </c>
      <c r="AM129" s="706"/>
    </row>
    <row r="130" spans="1:39" ht="15.75" thickBot="1" x14ac:dyDescent="0.3">
      <c r="A130" s="202"/>
      <c r="B130" s="1607"/>
      <c r="C130" s="849"/>
      <c r="D130" s="1688" t="s">
        <v>340</v>
      </c>
      <c r="E130" s="195" t="s">
        <v>341</v>
      </c>
      <c r="F130" s="295">
        <f>SUMIF($H$9:$AL$9,"&lt;="&amp;$C$7,H130:AL130)</f>
        <v>0</v>
      </c>
      <c r="G130" s="296"/>
      <c r="H130" s="851"/>
      <c r="I130" s="198"/>
      <c r="J130" s="198"/>
      <c r="K130" s="199"/>
      <c r="L130" s="199"/>
      <c r="M130" s="199"/>
      <c r="N130" s="199"/>
      <c r="O130" s="199"/>
      <c r="P130" s="200"/>
      <c r="Q130" s="199"/>
      <c r="R130" s="199"/>
      <c r="S130" s="199"/>
      <c r="T130" s="199"/>
      <c r="U130" s="199"/>
      <c r="V130" s="199"/>
      <c r="W130" s="199"/>
      <c r="X130" s="199"/>
      <c r="Y130" s="199"/>
      <c r="Z130" s="199"/>
      <c r="AA130" s="199"/>
      <c r="AB130" s="199"/>
      <c r="AC130" s="199"/>
      <c r="AD130" s="199"/>
      <c r="AE130" s="199"/>
      <c r="AF130" s="199"/>
      <c r="AG130" s="199"/>
      <c r="AH130" s="199"/>
      <c r="AI130" s="199"/>
      <c r="AJ130" s="199"/>
      <c r="AK130" s="199"/>
      <c r="AL130" s="201"/>
      <c r="AM130" s="845"/>
    </row>
    <row r="131" spans="1:39" ht="15.75" thickBot="1" x14ac:dyDescent="0.3">
      <c r="A131" s="202"/>
      <c r="B131" s="1608"/>
      <c r="C131" s="849"/>
      <c r="D131" s="1684"/>
      <c r="E131" s="1379" t="s">
        <v>342</v>
      </c>
      <c r="F131" s="1303">
        <f>SUMIF($H$9:$AL$9,"&lt;="&amp;$C$7,H131:AL131)</f>
        <v>0</v>
      </c>
      <c r="G131" s="1380">
        <f t="shared" ref="G131" si="8">IFERROR((F131-F130)/F130,0)</f>
        <v>0</v>
      </c>
      <c r="H131" s="1305"/>
      <c r="I131" s="1303"/>
      <c r="J131" s="1303"/>
      <c r="K131" s="1303"/>
      <c r="L131" s="1303"/>
      <c r="M131" s="1303"/>
      <c r="N131" s="1303"/>
      <c r="O131" s="1303"/>
      <c r="P131" s="1303"/>
      <c r="Q131" s="1303"/>
      <c r="R131" s="1303"/>
      <c r="S131" s="1303"/>
      <c r="T131" s="1303"/>
      <c r="U131" s="1303"/>
      <c r="V131" s="1303"/>
      <c r="W131" s="1303"/>
      <c r="X131" s="1303"/>
      <c r="Y131" s="1303"/>
      <c r="Z131" s="1303"/>
      <c r="AA131" s="1303"/>
      <c r="AB131" s="1303"/>
      <c r="AC131" s="1303"/>
      <c r="AD131" s="1303"/>
      <c r="AE131" s="1303"/>
      <c r="AF131" s="1303"/>
      <c r="AG131" s="1303"/>
      <c r="AH131" s="1303"/>
      <c r="AI131" s="1303"/>
      <c r="AJ131" s="1303"/>
      <c r="AK131" s="1303"/>
      <c r="AL131" s="1303"/>
      <c r="AM131" s="347"/>
    </row>
    <row r="132" spans="1:39" ht="15.75" thickBot="1" x14ac:dyDescent="0.3">
      <c r="A132" s="202"/>
      <c r="B132" s="1608"/>
      <c r="C132" s="849"/>
      <c r="D132" s="1684"/>
      <c r="E132" s="1389" t="s">
        <v>312</v>
      </c>
      <c r="F132" s="1390"/>
      <c r="G132" s="1391"/>
      <c r="H132" s="203"/>
      <c r="I132" s="203"/>
      <c r="J132" s="203"/>
      <c r="K132" s="203"/>
      <c r="L132" s="203"/>
      <c r="M132" s="203"/>
      <c r="N132" s="203"/>
      <c r="O132" s="203"/>
      <c r="P132" s="204"/>
      <c r="Q132" s="203"/>
      <c r="R132" s="203"/>
      <c r="S132" s="203"/>
      <c r="T132" s="203"/>
      <c r="U132" s="203"/>
      <c r="V132" s="203"/>
      <c r="W132" s="203"/>
      <c r="X132" s="203"/>
      <c r="Y132" s="203"/>
      <c r="Z132" s="203"/>
      <c r="AA132" s="203"/>
      <c r="AB132" s="203"/>
      <c r="AC132" s="203"/>
      <c r="AD132" s="203"/>
      <c r="AE132" s="203"/>
      <c r="AF132" s="203"/>
      <c r="AG132" s="203"/>
      <c r="AH132" s="203"/>
      <c r="AI132" s="203"/>
      <c r="AJ132" s="203"/>
      <c r="AK132" s="203"/>
      <c r="AL132" s="205"/>
      <c r="AM132" s="846"/>
    </row>
    <row r="133" spans="1:39" ht="15.75" thickBot="1" x14ac:dyDescent="0.3">
      <c r="A133" s="202"/>
      <c r="B133" s="1608"/>
      <c r="C133" s="849"/>
      <c r="D133" s="1685" t="s">
        <v>343</v>
      </c>
      <c r="E133" s="1384" t="s">
        <v>344</v>
      </c>
      <c r="F133" s="1310">
        <f t="shared" ref="F133:F134" si="9">IFERROR(F135*1000/F130,0)</f>
        <v>0</v>
      </c>
      <c r="G133" s="1385"/>
      <c r="H133" s="1312"/>
      <c r="I133" s="1312"/>
      <c r="J133" s="1312"/>
      <c r="K133" s="1333"/>
      <c r="L133" s="1333"/>
      <c r="M133" s="1333"/>
      <c r="N133" s="1333"/>
      <c r="O133" s="1333"/>
      <c r="P133" s="1334"/>
      <c r="Q133" s="1333"/>
      <c r="R133" s="1333"/>
      <c r="S133" s="1333"/>
      <c r="T133" s="1333"/>
      <c r="U133" s="1333"/>
      <c r="V133" s="1333"/>
      <c r="W133" s="1333"/>
      <c r="X133" s="1333"/>
      <c r="Y133" s="1333"/>
      <c r="Z133" s="1333"/>
      <c r="AA133" s="1333"/>
      <c r="AB133" s="1333"/>
      <c r="AC133" s="1333"/>
      <c r="AD133" s="1333"/>
      <c r="AE133" s="1333"/>
      <c r="AF133" s="1333"/>
      <c r="AG133" s="1333"/>
      <c r="AH133" s="1333"/>
      <c r="AI133" s="1333"/>
      <c r="AJ133" s="1333"/>
      <c r="AK133" s="1333"/>
      <c r="AL133" s="1335"/>
      <c r="AM133" s="347"/>
    </row>
    <row r="134" spans="1:39" ht="15.75" thickBot="1" x14ac:dyDescent="0.3">
      <c r="A134" s="202"/>
      <c r="B134" s="1608"/>
      <c r="C134" s="849"/>
      <c r="D134" s="1685"/>
      <c r="E134" s="1386" t="s">
        <v>345</v>
      </c>
      <c r="F134" s="1314">
        <f t="shared" si="9"/>
        <v>0</v>
      </c>
      <c r="G134" s="1380">
        <f t="shared" ref="G134" si="10">IFERROR((F134-F133)/F133,0)</f>
        <v>0</v>
      </c>
      <c r="H134" s="1315"/>
      <c r="I134" s="1314"/>
      <c r="J134" s="1314"/>
      <c r="K134" s="1314"/>
      <c r="L134" s="1314"/>
      <c r="M134" s="1314"/>
      <c r="N134" s="1314"/>
      <c r="O134" s="1314"/>
      <c r="P134" s="1314"/>
      <c r="Q134" s="1314"/>
      <c r="R134" s="1314"/>
      <c r="S134" s="1314"/>
      <c r="T134" s="1314"/>
      <c r="U134" s="1314"/>
      <c r="V134" s="1314"/>
      <c r="W134" s="1314"/>
      <c r="X134" s="1314"/>
      <c r="Y134" s="1314"/>
      <c r="Z134" s="1314"/>
      <c r="AA134" s="1314"/>
      <c r="AB134" s="1314"/>
      <c r="AC134" s="1314"/>
      <c r="AD134" s="1314"/>
      <c r="AE134" s="1314"/>
      <c r="AF134" s="1314"/>
      <c r="AG134" s="1314"/>
      <c r="AH134" s="1314"/>
      <c r="AI134" s="1314"/>
      <c r="AJ134" s="1314"/>
      <c r="AK134" s="1314"/>
      <c r="AL134" s="1314"/>
      <c r="AM134" s="347"/>
    </row>
    <row r="135" spans="1:39" ht="15.75" thickBot="1" x14ac:dyDescent="0.3">
      <c r="A135" s="202"/>
      <c r="B135" s="1608"/>
      <c r="C135" s="849"/>
      <c r="D135" s="1686" t="s">
        <v>47</v>
      </c>
      <c r="E135" s="1384" t="s">
        <v>346</v>
      </c>
      <c r="F135" s="206">
        <f>SUMIF($H$9:$AL$9,"&lt;="&amp;$C$7,H135:AL135)</f>
        <v>0</v>
      </c>
      <c r="G135" s="1385"/>
      <c r="H135" s="1316">
        <f t="shared" ref="H135:Q136" si="11">+H133*H130/1000</f>
        <v>0</v>
      </c>
      <c r="I135" s="1316">
        <f t="shared" si="11"/>
        <v>0</v>
      </c>
      <c r="J135" s="1316">
        <f t="shared" si="11"/>
        <v>0</v>
      </c>
      <c r="K135" s="1317">
        <f t="shared" si="11"/>
        <v>0</v>
      </c>
      <c r="L135" s="1317">
        <f t="shared" si="11"/>
        <v>0</v>
      </c>
      <c r="M135" s="1317">
        <f t="shared" si="11"/>
        <v>0</v>
      </c>
      <c r="N135" s="1317">
        <f t="shared" si="11"/>
        <v>0</v>
      </c>
      <c r="O135" s="1317">
        <f t="shared" si="11"/>
        <v>0</v>
      </c>
      <c r="P135" s="1318">
        <f t="shared" si="11"/>
        <v>0</v>
      </c>
      <c r="Q135" s="1317">
        <f t="shared" si="11"/>
        <v>0</v>
      </c>
      <c r="R135" s="1317">
        <f t="shared" ref="R135:AL136" si="12">+R133*R130/1000</f>
        <v>0</v>
      </c>
      <c r="S135" s="1317">
        <f t="shared" si="12"/>
        <v>0</v>
      </c>
      <c r="T135" s="1317">
        <f t="shared" si="12"/>
        <v>0</v>
      </c>
      <c r="U135" s="1317">
        <f t="shared" si="12"/>
        <v>0</v>
      </c>
      <c r="V135" s="1317">
        <f t="shared" si="12"/>
        <v>0</v>
      </c>
      <c r="W135" s="1317">
        <f t="shared" si="12"/>
        <v>0</v>
      </c>
      <c r="X135" s="1317">
        <f t="shared" si="12"/>
        <v>0</v>
      </c>
      <c r="Y135" s="1317">
        <f t="shared" si="12"/>
        <v>0</v>
      </c>
      <c r="Z135" s="1317">
        <f t="shared" si="12"/>
        <v>0</v>
      </c>
      <c r="AA135" s="1317">
        <f t="shared" si="12"/>
        <v>0</v>
      </c>
      <c r="AB135" s="1317">
        <f t="shared" si="12"/>
        <v>0</v>
      </c>
      <c r="AC135" s="1317">
        <f t="shared" si="12"/>
        <v>0</v>
      </c>
      <c r="AD135" s="1317">
        <f t="shared" si="12"/>
        <v>0</v>
      </c>
      <c r="AE135" s="1317">
        <f t="shared" si="12"/>
        <v>0</v>
      </c>
      <c r="AF135" s="1317">
        <f t="shared" si="12"/>
        <v>0</v>
      </c>
      <c r="AG135" s="1317">
        <f t="shared" si="12"/>
        <v>0</v>
      </c>
      <c r="AH135" s="1317">
        <f t="shared" si="12"/>
        <v>0</v>
      </c>
      <c r="AI135" s="1317">
        <f t="shared" si="12"/>
        <v>0</v>
      </c>
      <c r="AJ135" s="1317">
        <f t="shared" si="12"/>
        <v>0</v>
      </c>
      <c r="AK135" s="1317">
        <f t="shared" si="12"/>
        <v>0</v>
      </c>
      <c r="AL135" s="1319">
        <f t="shared" si="12"/>
        <v>0</v>
      </c>
      <c r="AM135" s="705"/>
    </row>
    <row r="136" spans="1:39" ht="15.75" thickBot="1" x14ac:dyDescent="0.3">
      <c r="A136" s="202"/>
      <c r="B136" s="1609"/>
      <c r="C136" s="850"/>
      <c r="D136" s="1687"/>
      <c r="E136" s="1387" t="s">
        <v>347</v>
      </c>
      <c r="F136" s="1321">
        <f>SUMIF($H$9:$AL$9,"&lt;="&amp;$C$7,H136:AL136)</f>
        <v>0</v>
      </c>
      <c r="G136" s="1388">
        <f t="shared" ref="G136" si="13">IFERROR((F136-F135)/F135,0)</f>
        <v>0</v>
      </c>
      <c r="H136" s="1323">
        <f t="shared" si="11"/>
        <v>0</v>
      </c>
      <c r="I136" s="1321">
        <f t="shared" si="11"/>
        <v>0</v>
      </c>
      <c r="J136" s="1321">
        <f t="shared" si="11"/>
        <v>0</v>
      </c>
      <c r="K136" s="1321">
        <f t="shared" si="11"/>
        <v>0</v>
      </c>
      <c r="L136" s="1321">
        <f t="shared" si="11"/>
        <v>0</v>
      </c>
      <c r="M136" s="1321">
        <f t="shared" si="11"/>
        <v>0</v>
      </c>
      <c r="N136" s="1321">
        <f t="shared" si="11"/>
        <v>0</v>
      </c>
      <c r="O136" s="1321">
        <f t="shared" si="11"/>
        <v>0</v>
      </c>
      <c r="P136" s="1321">
        <f t="shared" si="11"/>
        <v>0</v>
      </c>
      <c r="Q136" s="1321">
        <f t="shared" si="11"/>
        <v>0</v>
      </c>
      <c r="R136" s="1321">
        <f t="shared" si="12"/>
        <v>0</v>
      </c>
      <c r="S136" s="1321">
        <f t="shared" si="12"/>
        <v>0</v>
      </c>
      <c r="T136" s="1321">
        <f t="shared" si="12"/>
        <v>0</v>
      </c>
      <c r="U136" s="1321">
        <f t="shared" si="12"/>
        <v>0</v>
      </c>
      <c r="V136" s="1321">
        <f t="shared" si="12"/>
        <v>0</v>
      </c>
      <c r="W136" s="1321">
        <f t="shared" si="12"/>
        <v>0</v>
      </c>
      <c r="X136" s="1321">
        <f t="shared" si="12"/>
        <v>0</v>
      </c>
      <c r="Y136" s="1321">
        <f t="shared" si="12"/>
        <v>0</v>
      </c>
      <c r="Z136" s="1321">
        <f t="shared" si="12"/>
        <v>0</v>
      </c>
      <c r="AA136" s="1321">
        <f t="shared" si="12"/>
        <v>0</v>
      </c>
      <c r="AB136" s="1321">
        <f t="shared" si="12"/>
        <v>0</v>
      </c>
      <c r="AC136" s="1321">
        <f t="shared" si="12"/>
        <v>0</v>
      </c>
      <c r="AD136" s="1321">
        <f t="shared" si="12"/>
        <v>0</v>
      </c>
      <c r="AE136" s="1321">
        <f t="shared" si="12"/>
        <v>0</v>
      </c>
      <c r="AF136" s="1321">
        <f t="shared" si="12"/>
        <v>0</v>
      </c>
      <c r="AG136" s="1321">
        <f t="shared" si="12"/>
        <v>0</v>
      </c>
      <c r="AH136" s="1321">
        <f t="shared" si="12"/>
        <v>0</v>
      </c>
      <c r="AI136" s="1321">
        <f t="shared" si="12"/>
        <v>0</v>
      </c>
      <c r="AJ136" s="1321">
        <f t="shared" si="12"/>
        <v>0</v>
      </c>
      <c r="AK136" s="1321">
        <f t="shared" si="12"/>
        <v>0</v>
      </c>
      <c r="AL136" s="1321">
        <f t="shared" si="12"/>
        <v>0</v>
      </c>
      <c r="AM136" s="706"/>
    </row>
  </sheetData>
  <mergeCells count="92">
    <mergeCell ref="H2:I2"/>
    <mergeCell ref="K2:N2"/>
    <mergeCell ref="H3:I3"/>
    <mergeCell ref="K3:N3"/>
    <mergeCell ref="H4:I4"/>
    <mergeCell ref="K4:N4"/>
    <mergeCell ref="K5:N5"/>
    <mergeCell ref="K6:N6"/>
    <mergeCell ref="D17:E17"/>
    <mergeCell ref="B18:B24"/>
    <mergeCell ref="C18:C24"/>
    <mergeCell ref="D18:D20"/>
    <mergeCell ref="D21:D22"/>
    <mergeCell ref="D23:D24"/>
    <mergeCell ref="B32:B38"/>
    <mergeCell ref="C32:C38"/>
    <mergeCell ref="D32:D34"/>
    <mergeCell ref="D35:D36"/>
    <mergeCell ref="D37:D38"/>
    <mergeCell ref="B25:B31"/>
    <mergeCell ref="C25:C31"/>
    <mergeCell ref="D25:D27"/>
    <mergeCell ref="D28:D29"/>
    <mergeCell ref="D30:D31"/>
    <mergeCell ref="B46:B52"/>
    <mergeCell ref="C46:C52"/>
    <mergeCell ref="D46:D48"/>
    <mergeCell ref="D49:D50"/>
    <mergeCell ref="D51:D52"/>
    <mergeCell ref="B39:B45"/>
    <mergeCell ref="C39:C45"/>
    <mergeCell ref="D39:D41"/>
    <mergeCell ref="D42:D43"/>
    <mergeCell ref="D44:D45"/>
    <mergeCell ref="B60:B66"/>
    <mergeCell ref="C60:C66"/>
    <mergeCell ref="D60:D62"/>
    <mergeCell ref="D63:D64"/>
    <mergeCell ref="D65:D66"/>
    <mergeCell ref="B53:B59"/>
    <mergeCell ref="C53:C59"/>
    <mergeCell ref="D53:D55"/>
    <mergeCell ref="D56:D57"/>
    <mergeCell ref="D58:D59"/>
    <mergeCell ref="B74:B80"/>
    <mergeCell ref="C74:C80"/>
    <mergeCell ref="D74:D76"/>
    <mergeCell ref="D77:D78"/>
    <mergeCell ref="D79:D80"/>
    <mergeCell ref="B67:B73"/>
    <mergeCell ref="C67:C73"/>
    <mergeCell ref="D67:D69"/>
    <mergeCell ref="D70:D71"/>
    <mergeCell ref="D72:D73"/>
    <mergeCell ref="B88:B94"/>
    <mergeCell ref="C88:C94"/>
    <mergeCell ref="D88:D90"/>
    <mergeCell ref="D91:D92"/>
    <mergeCell ref="D93:D94"/>
    <mergeCell ref="B81:B87"/>
    <mergeCell ref="C81:C87"/>
    <mergeCell ref="D81:D83"/>
    <mergeCell ref="D84:D85"/>
    <mergeCell ref="D86:D87"/>
    <mergeCell ref="B102:B108"/>
    <mergeCell ref="C102:C108"/>
    <mergeCell ref="D102:D104"/>
    <mergeCell ref="D105:D106"/>
    <mergeCell ref="D107:D108"/>
    <mergeCell ref="B95:B101"/>
    <mergeCell ref="C95:C101"/>
    <mergeCell ref="D95:D97"/>
    <mergeCell ref="D98:D99"/>
    <mergeCell ref="D100:D101"/>
    <mergeCell ref="B116:B122"/>
    <mergeCell ref="C116:C122"/>
    <mergeCell ref="D116:D118"/>
    <mergeCell ref="D119:D120"/>
    <mergeCell ref="D121:D122"/>
    <mergeCell ref="B109:B115"/>
    <mergeCell ref="C109:C115"/>
    <mergeCell ref="D109:D111"/>
    <mergeCell ref="D112:D113"/>
    <mergeCell ref="D114:D115"/>
    <mergeCell ref="B123:B129"/>
    <mergeCell ref="D123:D125"/>
    <mergeCell ref="D126:D127"/>
    <mergeCell ref="D128:D129"/>
    <mergeCell ref="B130:B136"/>
    <mergeCell ref="D130:D132"/>
    <mergeCell ref="D133:D134"/>
    <mergeCell ref="D135:D136"/>
  </mergeCells>
  <conditionalFormatting sqref="B18">
    <cfRule type="cellIs" dxfId="1070" priority="80" operator="equal">
      <formula>3</formula>
    </cfRule>
    <cfRule type="cellIs" dxfId="1069" priority="81" operator="equal">
      <formula>1</formula>
    </cfRule>
    <cfRule type="cellIs" dxfId="1068" priority="82" operator="equal">
      <formula>2</formula>
    </cfRule>
  </conditionalFormatting>
  <conditionalFormatting sqref="B25">
    <cfRule type="cellIs" dxfId="1067" priority="88" operator="equal">
      <formula>2</formula>
    </cfRule>
    <cfRule type="cellIs" dxfId="1066" priority="87" operator="equal">
      <formula>1</formula>
    </cfRule>
    <cfRule type="cellIs" dxfId="1065" priority="86" operator="equal">
      <formula>3</formula>
    </cfRule>
  </conditionalFormatting>
  <conditionalFormatting sqref="B32 B39 B46 B53 B60 B67 B74 B81 B88 B95 B102 B109 B116 B123 B130">
    <cfRule type="cellIs" dxfId="1064" priority="83" operator="equal">
      <formula>3</formula>
    </cfRule>
    <cfRule type="cellIs" dxfId="1063" priority="85" operator="equal">
      <formula>2</formula>
    </cfRule>
    <cfRule type="cellIs" dxfId="1062" priority="84" operator="equal">
      <formula>1</formula>
    </cfRule>
  </conditionalFormatting>
  <conditionalFormatting sqref="D10:D12">
    <cfRule type="cellIs" dxfId="1061" priority="92" stopIfTrue="1" operator="greaterThanOrEqual">
      <formula>C10</formula>
    </cfRule>
    <cfRule type="cellIs" dxfId="1060" priority="91" stopIfTrue="1" operator="lessThan">
      <formula>C10</formula>
    </cfRule>
  </conditionalFormatting>
  <conditionalFormatting sqref="E10:E12">
    <cfRule type="cellIs" dxfId="1059" priority="90" stopIfTrue="1" operator="greaterThanOrEqual">
      <formula>0</formula>
    </cfRule>
    <cfRule type="cellIs" dxfId="1058" priority="89" stopIfTrue="1" operator="lessThan">
      <formula>0</formula>
    </cfRule>
  </conditionalFormatting>
  <conditionalFormatting sqref="F19 F22 F24 F26 F29 F31 F33 F36 F38 F40 F43 F45 F47 F50 F52 F54 F57 F59 F61 F64 F66 F68 F71 F73 F75 F78 F80 F82 F85 F87 F89 F92 F94 F96 F99 F101 F103 F106 F108 F110 F113 F115 F117 F120 F122 F124 F127 F129 F131 F134 F136">
    <cfRule type="cellIs" dxfId="1057" priority="99" stopIfTrue="1" operator="lessThan">
      <formula>F18</formula>
    </cfRule>
    <cfRule type="cellIs" dxfId="1056" priority="100" stopIfTrue="1" operator="greaterThanOrEqual">
      <formula>F18</formula>
    </cfRule>
  </conditionalFormatting>
  <conditionalFormatting sqref="G19 G40 G61 G66:G73 G75 G82 G87 G89 G96 G103 G110 G117 G124 G131">
    <cfRule type="cellIs" dxfId="1055" priority="97" operator="greaterThan">
      <formula>0</formula>
    </cfRule>
    <cfRule type="cellIs" dxfId="1054" priority="98" operator="lessThan">
      <formula>0</formula>
    </cfRule>
  </conditionalFormatting>
  <conditionalFormatting sqref="G22 G43 G64 G78 G85 G92 G99 G106 G113 G120 G127 G134">
    <cfRule type="cellIs" dxfId="1053" priority="95" operator="greaterThan">
      <formula>0</formula>
    </cfRule>
    <cfRule type="cellIs" dxfId="1052" priority="96" operator="lessThan">
      <formula>0</formula>
    </cfRule>
  </conditionalFormatting>
  <conditionalFormatting sqref="G24:G38 G45:G59 G80 G94 G101 G108 G115 G122 G129 G136">
    <cfRule type="cellIs" dxfId="1051" priority="93" operator="greaterThan">
      <formula>0</formula>
    </cfRule>
    <cfRule type="cellIs" dxfId="1050" priority="94" operator="lessThan">
      <formula>0</formula>
    </cfRule>
  </conditionalFormatting>
  <conditionalFormatting sqref="H71:R71 U71:AL71">
    <cfRule type="expression" dxfId="1049" priority="4">
      <formula>H70=""</formula>
    </cfRule>
    <cfRule type="cellIs" dxfId="1048" priority="5" operator="lessThan">
      <formula>H70</formula>
    </cfRule>
    <cfRule type="cellIs" dxfId="1047" priority="6" operator="greaterThanOrEqual">
      <formula>H70</formula>
    </cfRule>
  </conditionalFormatting>
  <conditionalFormatting sqref="H11:AL11">
    <cfRule type="expression" dxfId="1046" priority="59">
      <formula>H10=""</formula>
    </cfRule>
    <cfRule type="cellIs" dxfId="1045" priority="67" operator="greaterThanOrEqual">
      <formula>H10</formula>
    </cfRule>
    <cfRule type="cellIs" dxfId="1044" priority="60" operator="lessThan">
      <formula>H10</formula>
    </cfRule>
  </conditionalFormatting>
  <conditionalFormatting sqref="H13:AL13">
    <cfRule type="cellIs" dxfId="1043" priority="66" operator="greaterThanOrEqual">
      <formula>0.6</formula>
    </cfRule>
    <cfRule type="cellIs" dxfId="1042" priority="65" operator="between">
      <formula>1.6</formula>
      <formula>2</formula>
    </cfRule>
    <cfRule type="cellIs" dxfId="1041" priority="64" operator="greaterThanOrEqual">
      <formula>2</formula>
    </cfRule>
    <cfRule type="cellIs" dxfId="1040" priority="63" operator="greaterThanOrEqual">
      <formula>H12</formula>
    </cfRule>
    <cfRule type="cellIs" dxfId="1039" priority="62" operator="lessThan">
      <formula>H12</formula>
    </cfRule>
    <cfRule type="expression" dxfId="1038" priority="61">
      <formula>H12=""</formula>
    </cfRule>
  </conditionalFormatting>
  <conditionalFormatting sqref="H15:AL15 H11:AL11 H13:AL13">
    <cfRule type="expression" dxfId="1037" priority="58">
      <formula>H$9&gt;$C$7</formula>
    </cfRule>
  </conditionalFormatting>
  <conditionalFormatting sqref="H15:AL15">
    <cfRule type="cellIs" dxfId="1036" priority="56" operator="lessThan">
      <formula>H14</formula>
    </cfRule>
    <cfRule type="cellIs" dxfId="1035" priority="57" operator="greaterThanOrEqual">
      <formula>H14</formula>
    </cfRule>
    <cfRule type="expression" dxfId="1034" priority="55">
      <formula>H14=""</formula>
    </cfRule>
  </conditionalFormatting>
  <conditionalFormatting sqref="H19:AL19 H22:AL22 H24:AL31 H33:AL33 H36:AL36 H38:AL38 H40:AL40 H43:AL43 H45:AL45 H47:AL47 H50:AL50 H52:AL59 H61:AL61 H64:AL64 H66:AL70 H71:R71 U71:AL71 H72:AL73 H75:AL75 H78:AL78 H80:AL80 H82:AL82 H85:AL85 H87:AL87 H89 J89:AL89 I90 H92:AL92 H94:AL94 H96:AL96 H99:AL99 H101:AL101 H103:AL103 H106:AL106 H108:AL108 H110:AL110 H113:AL113 H115:AL115 H117:AL117 H120:AL120 H122:AL122">
    <cfRule type="expression" dxfId="1033" priority="1">
      <formula>H$9&gt;$C$7</formula>
    </cfRule>
  </conditionalFormatting>
  <conditionalFormatting sqref="H19:AL19 H26:AL26 H33:AL33 H40:AL40 H47:AL47 H54:AL54 H61:AL61 H68:AL68 H75:AL75 H82:AL82 H96:AL96 H103:AL103 H110:AL110 H117:AL117">
    <cfRule type="expression" dxfId="1032" priority="20">
      <formula>H18=""</formula>
    </cfRule>
    <cfRule type="cellIs" dxfId="1031" priority="22" operator="greaterThanOrEqual">
      <formula>H18</formula>
    </cfRule>
    <cfRule type="cellIs" dxfId="1030" priority="21" operator="lessThan">
      <formula>H18</formula>
    </cfRule>
  </conditionalFormatting>
  <conditionalFormatting sqref="H22:AL22 H29:AL29 H36:AL36 H43:AL43 H50:AL50 H57:AL57 H64:AL64 H78:AL78 H85:AL85 H92:AL92 H99:AL99 H106:AL106 H113:AL113 H120:AL120">
    <cfRule type="cellIs" dxfId="1029" priority="16" operator="greaterThanOrEqual">
      <formula>H21</formula>
    </cfRule>
    <cfRule type="cellIs" dxfId="1028" priority="17" operator="greaterThanOrEqual">
      <formula>2</formula>
    </cfRule>
    <cfRule type="cellIs" dxfId="1027" priority="18" operator="between">
      <formula>1.6</formula>
      <formula>2</formula>
    </cfRule>
    <cfRule type="cellIs" dxfId="1026" priority="19" operator="greaterThanOrEqual">
      <formula>0.6</formula>
    </cfRule>
    <cfRule type="expression" dxfId="1025" priority="11">
      <formula>H21=""</formula>
    </cfRule>
    <cfRule type="cellIs" dxfId="1024" priority="12" operator="lessThan">
      <formula>H21</formula>
    </cfRule>
  </conditionalFormatting>
  <conditionalFormatting sqref="H24:AL24 H52:AL52 H66:AL66 H89 J89:AL89">
    <cfRule type="cellIs" dxfId="1023" priority="10" operator="greaterThanOrEqual">
      <formula>H23</formula>
    </cfRule>
    <cfRule type="cellIs" dxfId="1022" priority="3" operator="lessThan">
      <formula>H23</formula>
    </cfRule>
    <cfRule type="expression" dxfId="1021" priority="2">
      <formula>H23=""</formula>
    </cfRule>
  </conditionalFormatting>
  <conditionalFormatting sqref="H31:AL31 H38:AL38 H45:AL45 H59:AL59 H73:AL73 H80:AL80 H87:AL87 H94:AL94 H101:AL101 H108:AL108 H115:AL115 H122:AL122">
    <cfRule type="cellIs" dxfId="1020" priority="15" operator="greaterThanOrEqual">
      <formula>H30</formula>
    </cfRule>
    <cfRule type="cellIs" dxfId="1019" priority="14" operator="lessThan">
      <formula>H30</formula>
    </cfRule>
    <cfRule type="expression" dxfId="1018" priority="13">
      <formula>H30=""</formula>
    </cfRule>
  </conditionalFormatting>
  <conditionalFormatting sqref="H71:AL71">
    <cfRule type="cellIs" dxfId="1017" priority="9" operator="greaterThanOrEqual">
      <formula>0.6</formula>
    </cfRule>
    <cfRule type="cellIs" dxfId="1016" priority="8" operator="between">
      <formula>1.6</formula>
      <formula>2</formula>
    </cfRule>
    <cfRule type="cellIs" dxfId="1015" priority="7" operator="greaterThanOrEqual">
      <formula>2</formula>
    </cfRule>
  </conditionalFormatting>
  <conditionalFormatting sqref="H124:AL124 H127:AL127 H129:AL129 H131:AL131 H134:AL134 H136:AL136">
    <cfRule type="expression" dxfId="1014" priority="30">
      <formula>H$9&gt;$C$7</formula>
    </cfRule>
  </conditionalFormatting>
  <conditionalFormatting sqref="H124:AL124 H131:AL131">
    <cfRule type="expression" dxfId="1013" priority="49">
      <formula>H123=""</formula>
    </cfRule>
    <cfRule type="cellIs" dxfId="1012" priority="50" operator="lessThan">
      <formula>H123</formula>
    </cfRule>
    <cfRule type="cellIs" dxfId="1011" priority="51" operator="greaterThanOrEqual">
      <formula>H123</formula>
    </cfRule>
  </conditionalFormatting>
  <conditionalFormatting sqref="H127:AL127 H134:AL134">
    <cfRule type="cellIs" dxfId="1010" priority="48" operator="greaterThanOrEqual">
      <formula>0.6</formula>
    </cfRule>
    <cfRule type="cellIs" dxfId="1009" priority="41" operator="lessThan">
      <formula>H126</formula>
    </cfRule>
    <cfRule type="expression" dxfId="1008" priority="40">
      <formula>H126=""</formula>
    </cfRule>
    <cfRule type="cellIs" dxfId="1007" priority="47" operator="between">
      <formula>1.6</formula>
      <formula>2</formula>
    </cfRule>
    <cfRule type="cellIs" dxfId="1006" priority="46" operator="greaterThanOrEqual">
      <formula>2</formula>
    </cfRule>
    <cfRule type="cellIs" dxfId="1005" priority="45" operator="greaterThanOrEqual">
      <formula>H126</formula>
    </cfRule>
  </conditionalFormatting>
  <conditionalFormatting sqref="H129:AL129 H136:AL136">
    <cfRule type="expression" dxfId="1004" priority="42">
      <formula>H128=""</formula>
    </cfRule>
    <cfRule type="cellIs" dxfId="1003" priority="44" operator="greaterThanOrEqual">
      <formula>H128</formula>
    </cfRule>
    <cfRule type="cellIs" dxfId="1002" priority="43" operator="lessThan">
      <formula>H128</formula>
    </cfRule>
  </conditionalFormatting>
  <conditionalFormatting sqref="I90">
    <cfRule type="cellIs" dxfId="1001" priority="25" operator="greaterThanOrEqual">
      <formula>I88</formula>
    </cfRule>
    <cfRule type="cellIs" dxfId="1000" priority="24" operator="lessThan">
      <formula>I88</formula>
    </cfRule>
    <cfRule type="expression" dxfId="999" priority="23">
      <formula>I88=""</formula>
    </cfRule>
  </conditionalFormatting>
  <conditionalFormatting sqref="S71:T71">
    <cfRule type="cellIs" dxfId="998" priority="29" operator="greaterThanOrEqual">
      <formula>T70</formula>
    </cfRule>
    <cfRule type="cellIs" dxfId="997" priority="28" operator="lessThan">
      <formula>T70</formula>
    </cfRule>
    <cfRule type="expression" dxfId="996" priority="27">
      <formula>T70=""</formula>
    </cfRule>
    <cfRule type="expression" dxfId="995" priority="26">
      <formula>T$9&gt;$C$7</formula>
    </cfRule>
  </conditionalFormatting>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CA48C-C83F-41A0-8EC0-49F25FA381E8}">
  <dimension ref="A1:AM108"/>
  <sheetViews>
    <sheetView workbookViewId="0">
      <selection activeCell="F19" sqref="F19"/>
    </sheetView>
  </sheetViews>
  <sheetFormatPr defaultRowHeight="15" x14ac:dyDescent="0.25"/>
  <sheetData>
    <row r="1" spans="1:39" ht="15.75" thickBot="1" x14ac:dyDescent="0.3">
      <c r="A1" s="182"/>
      <c r="B1" s="181"/>
      <c r="C1" s="341"/>
      <c r="D1" s="341"/>
      <c r="E1" s="182"/>
      <c r="F1" s="182"/>
      <c r="G1" s="182"/>
      <c r="H1" s="675"/>
      <c r="I1" s="182"/>
      <c r="J1" s="341"/>
      <c r="K1" s="341"/>
      <c r="L1" s="341"/>
      <c r="M1" s="676"/>
      <c r="N1" s="677"/>
      <c r="O1" s="677"/>
      <c r="P1" s="182"/>
      <c r="Q1" s="182"/>
      <c r="R1" s="182"/>
      <c r="S1" s="182"/>
      <c r="T1" s="182"/>
      <c r="U1" s="182"/>
      <c r="V1" s="182"/>
      <c r="W1" s="182"/>
      <c r="X1" s="182"/>
      <c r="Y1" s="182"/>
      <c r="Z1" s="182"/>
      <c r="AA1" s="182"/>
      <c r="AB1" s="182"/>
      <c r="AC1" s="182"/>
      <c r="AD1" s="182"/>
      <c r="AE1" s="182"/>
      <c r="AF1" s="182"/>
      <c r="AG1" s="182"/>
      <c r="AH1" s="182"/>
      <c r="AI1" s="182"/>
      <c r="AJ1" s="182"/>
      <c r="AK1" s="182"/>
      <c r="AL1" s="182"/>
      <c r="AM1" s="182"/>
    </row>
    <row r="2" spans="1:39" ht="15.75" thickBot="1" x14ac:dyDescent="0.3">
      <c r="A2" s="182"/>
      <c r="B2" s="183" t="s">
        <v>221</v>
      </c>
      <c r="C2" s="182"/>
      <c r="D2" s="181"/>
      <c r="E2" s="240"/>
      <c r="F2" s="240"/>
      <c r="G2" s="181"/>
      <c r="H2" s="1647" t="s">
        <v>310</v>
      </c>
      <c r="I2" s="1648"/>
      <c r="J2" s="182"/>
      <c r="K2" s="1647" t="s">
        <v>311</v>
      </c>
      <c r="L2" s="1649"/>
      <c r="M2" s="1649"/>
      <c r="N2" s="1648"/>
      <c r="O2" s="677"/>
      <c r="P2" s="678" t="s">
        <v>312</v>
      </c>
      <c r="Q2" s="679"/>
      <c r="R2" s="679"/>
      <c r="S2" s="679"/>
      <c r="T2" s="680"/>
      <c r="U2" s="182"/>
      <c r="V2" s="182"/>
      <c r="W2" s="182"/>
      <c r="X2" s="182"/>
      <c r="Y2" s="182"/>
      <c r="Z2" s="182"/>
      <c r="AA2" s="182"/>
      <c r="AB2" s="182"/>
      <c r="AC2" s="182"/>
      <c r="AD2" s="182"/>
      <c r="AE2" s="182"/>
      <c r="AF2" s="182"/>
      <c r="AG2" s="182"/>
      <c r="AH2" s="182"/>
      <c r="AI2" s="182"/>
      <c r="AJ2" s="182"/>
      <c r="AK2" s="182"/>
      <c r="AL2" s="182"/>
      <c r="AM2" s="182"/>
    </row>
    <row r="3" spans="1:39" x14ac:dyDescent="0.25">
      <c r="A3" s="182"/>
      <c r="B3" s="244" t="s">
        <v>313</v>
      </c>
      <c r="C3" s="182"/>
      <c r="D3" s="342"/>
      <c r="E3" s="184"/>
      <c r="F3" s="240"/>
      <c r="G3" s="181"/>
      <c r="H3" s="1700" t="s">
        <v>314</v>
      </c>
      <c r="I3" s="1701"/>
      <c r="J3" s="182"/>
      <c r="K3" s="1673" t="s">
        <v>315</v>
      </c>
      <c r="L3" s="1674"/>
      <c r="M3" s="1674"/>
      <c r="N3" s="1675"/>
      <c r="O3" s="677"/>
      <c r="P3" s="245" t="s">
        <v>350</v>
      </c>
      <c r="Q3" s="246"/>
      <c r="R3" s="246"/>
      <c r="S3" s="246"/>
      <c r="T3" s="247"/>
      <c r="U3" s="182"/>
      <c r="V3" s="182"/>
      <c r="W3" s="182"/>
      <c r="X3" s="182"/>
      <c r="Y3" s="182"/>
      <c r="Z3" s="182"/>
      <c r="AA3" s="182"/>
      <c r="AB3" s="182"/>
      <c r="AC3" s="182"/>
      <c r="AD3" s="182"/>
      <c r="AE3" s="182"/>
      <c r="AF3" s="182"/>
      <c r="AG3" s="182"/>
      <c r="AH3" s="182"/>
      <c r="AI3" s="182"/>
      <c r="AJ3" s="182"/>
      <c r="AK3" s="182"/>
      <c r="AL3" s="182"/>
      <c r="AM3" s="182"/>
    </row>
    <row r="4" spans="1:39" ht="15.75" thickBot="1" x14ac:dyDescent="0.3">
      <c r="A4" s="182"/>
      <c r="B4" s="248" t="s">
        <v>351</v>
      </c>
      <c r="C4" s="182"/>
      <c r="D4" s="239"/>
      <c r="E4" s="184"/>
      <c r="F4" s="240"/>
      <c r="G4" s="181"/>
      <c r="H4" s="1702" t="s">
        <v>318</v>
      </c>
      <c r="I4" s="1703"/>
      <c r="J4" s="182"/>
      <c r="K4" s="1657" t="s">
        <v>319</v>
      </c>
      <c r="L4" s="1658"/>
      <c r="M4" s="1658"/>
      <c r="N4" s="1659"/>
      <c r="O4" s="677"/>
      <c r="P4" s="681" t="s">
        <v>352</v>
      </c>
      <c r="Q4" s="182"/>
      <c r="R4" s="182"/>
      <c r="S4" s="182"/>
      <c r="T4" s="251"/>
      <c r="U4" s="182"/>
      <c r="V4" s="182"/>
      <c r="W4" s="182"/>
      <c r="X4" s="182"/>
      <c r="Y4" s="182"/>
      <c r="Z4" s="182"/>
      <c r="AA4" s="182"/>
      <c r="AB4" s="182"/>
      <c r="AC4" s="182"/>
      <c r="AD4" s="182"/>
      <c r="AE4" s="182"/>
      <c r="AF4" s="182"/>
      <c r="AG4" s="182"/>
      <c r="AH4" s="182"/>
      <c r="AI4" s="182"/>
      <c r="AJ4" s="182"/>
      <c r="AK4" s="182"/>
      <c r="AL4" s="182"/>
      <c r="AM4" s="182"/>
    </row>
    <row r="5" spans="1:39" x14ac:dyDescent="0.25">
      <c r="A5" s="182"/>
      <c r="B5" s="252"/>
      <c r="C5" s="182"/>
      <c r="D5" s="239"/>
      <c r="E5" s="184"/>
      <c r="F5" s="240"/>
      <c r="G5" s="255"/>
      <c r="H5" s="182"/>
      <c r="I5" s="182"/>
      <c r="J5" s="182"/>
      <c r="K5" s="1640" t="s">
        <v>321</v>
      </c>
      <c r="L5" s="1641"/>
      <c r="M5" s="1641"/>
      <c r="N5" s="1642"/>
      <c r="O5" s="677"/>
      <c r="P5" s="681" t="s">
        <v>353</v>
      </c>
      <c r="Q5" s="182"/>
      <c r="R5" s="182"/>
      <c r="S5" s="182"/>
      <c r="T5" s="251"/>
      <c r="U5" s="182"/>
      <c r="V5" s="182"/>
      <c r="W5" s="182"/>
      <c r="X5" s="182"/>
      <c r="Y5" s="182"/>
      <c r="Z5" s="182"/>
      <c r="AA5" s="182"/>
      <c r="AB5" s="182"/>
      <c r="AC5" s="182"/>
      <c r="AD5" s="182"/>
      <c r="AE5" s="182"/>
      <c r="AF5" s="182"/>
      <c r="AG5" s="182"/>
      <c r="AH5" s="182"/>
      <c r="AI5" s="182"/>
      <c r="AJ5" s="182"/>
      <c r="AK5" s="182"/>
      <c r="AL5" s="182"/>
      <c r="AM5" s="182"/>
    </row>
    <row r="6" spans="1:39" ht="15.75" thickBot="1" x14ac:dyDescent="0.3">
      <c r="A6" s="182"/>
      <c r="B6" s="185" t="s">
        <v>323</v>
      </c>
      <c r="C6" s="253">
        <f>[10]SUMMARY!$C$6</f>
        <v>45778</v>
      </c>
      <c r="D6" s="239"/>
      <c r="E6" s="184"/>
      <c r="F6" s="240"/>
      <c r="G6" s="255"/>
      <c r="H6" s="182"/>
      <c r="I6" s="182"/>
      <c r="J6" s="182"/>
      <c r="K6" s="1643" t="s">
        <v>324</v>
      </c>
      <c r="L6" s="1644"/>
      <c r="M6" s="1644"/>
      <c r="N6" s="1645"/>
      <c r="O6" s="677"/>
      <c r="P6" s="682" t="s">
        <v>354</v>
      </c>
      <c r="Q6" s="182"/>
      <c r="R6" s="182"/>
      <c r="S6" s="182"/>
      <c r="T6" s="251"/>
      <c r="U6" s="182"/>
      <c r="V6" s="182"/>
      <c r="W6" s="182"/>
      <c r="X6" s="182"/>
      <c r="Y6" s="182"/>
      <c r="Z6" s="182"/>
      <c r="AA6" s="182"/>
      <c r="AB6" s="182"/>
      <c r="AC6" s="182"/>
      <c r="AD6" s="182"/>
      <c r="AE6" s="182"/>
      <c r="AF6" s="182"/>
      <c r="AG6" s="182"/>
      <c r="AH6" s="182"/>
      <c r="AI6" s="182"/>
      <c r="AJ6" s="182"/>
      <c r="AK6" s="182"/>
      <c r="AL6" s="182"/>
      <c r="AM6" s="182"/>
    </row>
    <row r="7" spans="1:39" ht="15.75" thickBot="1" x14ac:dyDescent="0.3">
      <c r="A7" s="182"/>
      <c r="B7" s="185" t="s">
        <v>326</v>
      </c>
      <c r="C7" s="254">
        <v>26</v>
      </c>
      <c r="D7" s="239"/>
      <c r="E7" s="184"/>
      <c r="F7" s="240"/>
      <c r="G7" s="255"/>
      <c r="H7" s="181"/>
      <c r="I7" s="181"/>
      <c r="J7" s="182"/>
      <c r="K7" s="182"/>
      <c r="L7" s="182"/>
      <c r="M7" s="182"/>
      <c r="N7" s="182"/>
      <c r="O7" s="182"/>
      <c r="P7" s="683" t="s">
        <v>355</v>
      </c>
      <c r="Q7" s="684"/>
      <c r="R7" s="684"/>
      <c r="S7" s="684"/>
      <c r="T7" s="258"/>
      <c r="U7" s="182"/>
      <c r="V7" s="182"/>
      <c r="W7" s="182"/>
      <c r="X7" s="182"/>
      <c r="Y7" s="182"/>
      <c r="Z7" s="182"/>
      <c r="AA7" s="182"/>
      <c r="AB7" s="182"/>
      <c r="AC7" s="182"/>
      <c r="AD7" s="182"/>
      <c r="AE7" s="182"/>
      <c r="AF7" s="182"/>
      <c r="AG7" s="182"/>
      <c r="AH7" s="182"/>
      <c r="AI7" s="182"/>
      <c r="AJ7" s="182"/>
      <c r="AK7" s="182"/>
      <c r="AL7" s="182"/>
      <c r="AM7" s="182"/>
    </row>
    <row r="8" spans="1:39" ht="15.75" thickBot="1" x14ac:dyDescent="0.3">
      <c r="A8" s="182"/>
      <c r="B8" s="185"/>
      <c r="C8" s="185"/>
      <c r="D8" s="185"/>
      <c r="E8" s="184"/>
      <c r="F8" s="240"/>
      <c r="G8" s="255"/>
      <c r="H8" s="181"/>
      <c r="I8" s="181"/>
      <c r="J8" s="182"/>
      <c r="K8" s="182"/>
      <c r="L8" s="182"/>
      <c r="M8" s="182"/>
      <c r="N8" s="182"/>
      <c r="O8" s="182"/>
      <c r="P8" s="182"/>
      <c r="Q8" s="182"/>
      <c r="R8" s="182"/>
      <c r="S8" s="182"/>
      <c r="T8" s="182"/>
      <c r="U8" s="182"/>
      <c r="V8" s="182"/>
      <c r="W8" s="182"/>
      <c r="X8" s="182"/>
      <c r="Y8" s="182"/>
      <c r="Z8" s="182"/>
      <c r="AA8" s="182"/>
      <c r="AB8" s="182"/>
      <c r="AC8" s="182"/>
      <c r="AD8" s="182"/>
      <c r="AE8" s="182"/>
      <c r="AF8" s="182"/>
      <c r="AG8" s="182"/>
      <c r="AH8" s="182"/>
      <c r="AI8" s="182"/>
      <c r="AJ8" s="182"/>
      <c r="AK8" s="182"/>
      <c r="AL8" s="182"/>
      <c r="AM8" s="182"/>
    </row>
    <row r="9" spans="1:39" ht="15.75" thickBot="1" x14ac:dyDescent="0.3">
      <c r="A9" s="181"/>
      <c r="B9" s="262" t="s">
        <v>269</v>
      </c>
      <c r="C9" s="186" t="s">
        <v>303</v>
      </c>
      <c r="D9" s="187" t="s">
        <v>32</v>
      </c>
      <c r="E9" s="188" t="s">
        <v>262</v>
      </c>
      <c r="F9" s="181"/>
      <c r="G9" s="263" t="s">
        <v>328</v>
      </c>
      <c r="H9" s="264">
        <v>1</v>
      </c>
      <c r="I9" s="265">
        <v>2</v>
      </c>
      <c r="J9" s="265">
        <v>3</v>
      </c>
      <c r="K9" s="265">
        <v>4</v>
      </c>
      <c r="L9" s="265">
        <v>5</v>
      </c>
      <c r="M9" s="265">
        <v>6</v>
      </c>
      <c r="N9" s="265">
        <v>7</v>
      </c>
      <c r="O9" s="265">
        <v>8</v>
      </c>
      <c r="P9" s="265">
        <v>9</v>
      </c>
      <c r="Q9" s="265">
        <v>10</v>
      </c>
      <c r="R9" s="265">
        <v>11</v>
      </c>
      <c r="S9" s="265">
        <v>12</v>
      </c>
      <c r="T9" s="265">
        <v>13</v>
      </c>
      <c r="U9" s="265">
        <v>14</v>
      </c>
      <c r="V9" s="265">
        <v>15</v>
      </c>
      <c r="W9" s="265">
        <v>16</v>
      </c>
      <c r="X9" s="265">
        <v>17</v>
      </c>
      <c r="Y9" s="265">
        <v>18</v>
      </c>
      <c r="Z9" s="265">
        <v>19</v>
      </c>
      <c r="AA9" s="265">
        <v>20</v>
      </c>
      <c r="AB9" s="265">
        <v>21</v>
      </c>
      <c r="AC9" s="265">
        <v>22</v>
      </c>
      <c r="AD9" s="265">
        <v>23</v>
      </c>
      <c r="AE9" s="265">
        <v>24</v>
      </c>
      <c r="AF9" s="265">
        <v>25</v>
      </c>
      <c r="AG9" s="265">
        <v>26</v>
      </c>
      <c r="AH9" s="265">
        <v>27</v>
      </c>
      <c r="AI9" s="265">
        <v>28</v>
      </c>
      <c r="AJ9" s="265">
        <v>29</v>
      </c>
      <c r="AK9" s="265">
        <v>30</v>
      </c>
      <c r="AL9" s="267">
        <v>31</v>
      </c>
      <c r="AM9" s="181"/>
    </row>
    <row r="10" spans="1:39" x14ac:dyDescent="0.25">
      <c r="A10" s="182"/>
      <c r="B10" s="268" t="s">
        <v>356</v>
      </c>
      <c r="C10" s="269">
        <f>SUM(H10:AL10)</f>
        <v>22400</v>
      </c>
      <c r="D10" s="270">
        <f>SUM(H11:AL11)</f>
        <v>22245.600000000002</v>
      </c>
      <c r="E10" s="271">
        <f>IFERROR((D10-C10)/C10,0)</f>
        <v>-6.8928571428570453E-3</v>
      </c>
      <c r="F10" s="685"/>
      <c r="G10" s="272" t="s">
        <v>330</v>
      </c>
      <c r="H10" s="273">
        <f>IF(H$9&gt;$C$7,"",SUMIF($E$18:$E300,"Budget (t)",H$18:H300))</f>
        <v>0</v>
      </c>
      <c r="I10" s="686">
        <f>IF(I$9&gt;$C$7,"",SUMIF($E$18:$E300,"Budget (t)",I$18:I300))</f>
        <v>875</v>
      </c>
      <c r="J10" s="274">
        <f>IF(J$9&gt;$C$7,"",SUMIF($E$18:$E300,"Budget (t)",J$18:J300))</f>
        <v>875</v>
      </c>
      <c r="K10" s="274">
        <f>IF(K$9&gt;$C$7,"",SUMIF($E$18:$E300,"Budget (t)",K$18:K300))</f>
        <v>875</v>
      </c>
      <c r="L10" s="274">
        <f>IF(L$9&gt;$C$7,"",SUMIF($E$18:$E300,"Budget (t)",L$18:L300))</f>
        <v>875</v>
      </c>
      <c r="M10" s="274">
        <f>IF(M$9&gt;$C$7,"",SUMIF($E$18:$E300,"Budget (t)",M$18:M300))</f>
        <v>945</v>
      </c>
      <c r="N10" s="274">
        <f>IF(N$9&gt;$C$7,"",SUMIF($E$18:$E300,"Budget (t)",N$18:N300))</f>
        <v>945</v>
      </c>
      <c r="O10" s="274">
        <f>IF(O$9&gt;$C$7,"",SUMIF($E$18:$E300,"Budget (t)",O$18:O300))</f>
        <v>945</v>
      </c>
      <c r="P10" s="274">
        <f>IF(P$9&gt;$C$7,"",SUMIF($E$18:$E300,"Budget (t)",P$18:P300))</f>
        <v>945</v>
      </c>
      <c r="Q10" s="686">
        <f>IF(Q$9&gt;$C$7,"",SUMIF($E$18:$E300,"Budget (t)",Q$18:Q300))</f>
        <v>945</v>
      </c>
      <c r="R10" s="686">
        <f>IF(R$9&gt;$C$7,"",SUMIF($E$18:$E300,"Budget (t)",R$18:R300))</f>
        <v>945</v>
      </c>
      <c r="S10" s="686">
        <f>IF(S$9&gt;$C$7,"",SUMIF($E$18:$E300,"Budget (t)",S$18:S300))</f>
        <v>945</v>
      </c>
      <c r="T10" s="686">
        <f>IF(T$9&gt;$C$7,"",SUMIF($E$18:$E300,"Budget (t)",T$18:T300))</f>
        <v>945</v>
      </c>
      <c r="U10" s="686">
        <f>IF(U$9&gt;$C$7,"",SUMIF($E$18:$E300,"Budget (t)",U$18:U300))</f>
        <v>945</v>
      </c>
      <c r="V10" s="686">
        <f>IF(V$9&gt;$C$7,"",SUMIF($E$18:$E300,"Budget (t)",V$18:V300))</f>
        <v>945</v>
      </c>
      <c r="W10" s="686">
        <f>IF(W$9&gt;$C$7,"",SUMIF($E$18:$E300,"Budget (t)",W$18:W300))</f>
        <v>945</v>
      </c>
      <c r="X10" s="686">
        <f>IF(X$9&gt;$C$7,"",SUMIF($E$18:$E300,"Budget (t)",X$18:X300))</f>
        <v>945</v>
      </c>
      <c r="Y10" s="686">
        <f>IF(Y$9&gt;$C$7,"",SUMIF($E$18:$E300,"Budget (t)",Y$18:Y300))</f>
        <v>945</v>
      </c>
      <c r="Z10" s="686">
        <f>IF(Z$9&gt;$C$7,"",SUMIF($E$18:$E300,"Budget (t)",Z$18:Z300))</f>
        <v>945</v>
      </c>
      <c r="AA10" s="686">
        <f>IF(AA$9&gt;$C$7,"",SUMIF($E$18:$E300,"Budget (t)",AA$18:AA300))</f>
        <v>945</v>
      </c>
      <c r="AB10" s="686">
        <f>IF(AB$9&gt;$C$7,"",SUMIF($E$18:$E300,"Budget (t)",AB$18:AB300))</f>
        <v>945</v>
      </c>
      <c r="AC10" s="686">
        <f>IF(AC$9&gt;$C$7,"",SUMIF($E$18:$E300,"Budget (t)",AC$18:AC300))</f>
        <v>945</v>
      </c>
      <c r="AD10" s="687">
        <f>IF(AD$9&gt;$C$7,"",SUMIF($E$18:$E300,"Budget (t)",AD$18:AD300))</f>
        <v>945</v>
      </c>
      <c r="AE10" s="687">
        <f>IF(AE$9&gt;$C$7,"",SUMIF($E$18:$E300,"Budget (t)",AE$18:AE300))</f>
        <v>945</v>
      </c>
      <c r="AF10" s="687">
        <f>IF(AF$9&gt;$C$7,"",SUMIF($E$18:$E300,"Budget (t)",AF$18:AF300))</f>
        <v>0</v>
      </c>
      <c r="AG10" s="687">
        <f>IF(AG$9&gt;$C$7,"",SUMIF($E$18:$E300,"Budget (t)",AG$18:AG300))</f>
        <v>945</v>
      </c>
      <c r="AH10" s="687" t="str">
        <f>IF(AH$9&gt;$C$7,"",SUMIF($E$18:$E300,"Budget (t)",AH$18:AH300))</f>
        <v/>
      </c>
      <c r="AI10" s="687" t="str">
        <f>IF(AI$9&gt;$C$7,"",SUMIF($E$18:$E300,"Budget (t)",AI$18:AI300))</f>
        <v/>
      </c>
      <c r="AJ10" s="687" t="str">
        <f>IF(AJ$9&gt;$C$7,"",SUMIF($E$18:$E300,"Budget (t)",AJ$18:AJ300))</f>
        <v/>
      </c>
      <c r="AK10" s="687" t="str">
        <f>IF(AK$9&gt;$C$7,"",SUMIF($E$18:$E300,"Budget (t)",AK$18:AK300))</f>
        <v/>
      </c>
      <c r="AL10" s="688" t="str">
        <f>IF(AL$9&gt;$C$7,"",SUMIF($E$18:$E300,"Budget (t)",AL$18:AL300))</f>
        <v/>
      </c>
      <c r="AM10" s="182"/>
    </row>
    <row r="11" spans="1:39" ht="15.75" thickBot="1" x14ac:dyDescent="0.3">
      <c r="A11" s="189"/>
      <c r="B11" s="1393" t="s">
        <v>2</v>
      </c>
      <c r="C11" s="1337">
        <f>IFERROR(C12*1000/C10,0)</f>
        <v>2.9569062499999998</v>
      </c>
      <c r="D11" s="786">
        <f>IFERROR(D12*1000/D10,0)</f>
        <v>2.5920920541590244</v>
      </c>
      <c r="E11" s="1548">
        <f t="shared" ref="E11" si="0">IFERROR((D11-C11)/C11,0)</f>
        <v>-0.12337699101585498</v>
      </c>
      <c r="F11" s="189"/>
      <c r="G11" s="263" t="s">
        <v>331</v>
      </c>
      <c r="H11" s="1289">
        <f>IF(H$9&gt;$C$7,"",SUMIF($E$18:$E300,"Actual (t)",H$18:H300))</f>
        <v>873</v>
      </c>
      <c r="I11" s="1338">
        <f>IF(I$9&gt;$C$7,"",SUMIF($E$18:$E300,"Actual (t)",I$18:I300))</f>
        <v>695.8</v>
      </c>
      <c r="J11" s="1339">
        <f>IF(J$9&gt;$C$7,"",SUMIF($E$18:$E300,"Actual (t)",J$18:J300))</f>
        <v>1080.5999999999999</v>
      </c>
      <c r="K11" s="1339">
        <f>IF(K$9&gt;$C$7,"",SUMIF($E$18:$E300,"Actual (t)",K$18:K300))</f>
        <v>1035.6000000000001</v>
      </c>
      <c r="L11" s="1339">
        <f>IF(L$9&gt;$C$7,"",SUMIF($E$18:$E300,"Actual (t)",L$18:L300))</f>
        <v>959.8</v>
      </c>
      <c r="M11" s="1339">
        <f>IF(M$9&gt;$C$7,"",SUMIF($E$18:$E300,"Actual (t)",M$18:M300))</f>
        <v>878.6</v>
      </c>
      <c r="N11" s="1339">
        <f>IF(N$9&gt;$C$7,"",SUMIF($E$18:$E300,"Actual (t)",N$18:N300))</f>
        <v>816</v>
      </c>
      <c r="O11" s="1339">
        <f>IF(O$9&gt;$C$7,"",SUMIF($E$18:$E300,"Actual (t)",O$18:O300))</f>
        <v>862</v>
      </c>
      <c r="P11" s="1339">
        <f>IF(P$9&gt;$C$7,"",SUMIF($E$18:$E300,"Actual (t)",P$18:P300))</f>
        <v>665.6</v>
      </c>
      <c r="Q11" s="1339">
        <f>IF(Q$9&gt;$C$7,"",SUMIF($E$18:$E300,"Actual (t)",Q$18:Q300))</f>
        <v>880.8</v>
      </c>
      <c r="R11" s="1339">
        <f>IF(R$9&gt;$C$7,"",SUMIF($E$18:$E300,"Actual (t)",R$18:R300))</f>
        <v>806</v>
      </c>
      <c r="S11" s="1339">
        <f>IF(S$9&gt;$C$7,"",SUMIF($E$18:$E300,"Actual (t)",S$18:S300))</f>
        <v>828</v>
      </c>
      <c r="T11" s="1339">
        <f>IF(T$9&gt;$C$7,"",SUMIF($E$18:$E300,"Actual (t)",T$18:T300))</f>
        <v>760</v>
      </c>
      <c r="U11" s="1339">
        <f>IF(U$9&gt;$C$7,"",SUMIF($E$18:$E300,"Actual (t)",U$18:U300))</f>
        <v>800</v>
      </c>
      <c r="V11" s="1339">
        <f>IF(V$9&gt;$C$7,"",SUMIF($E$18:$E300,"Actual (t)",V$18:V300))</f>
        <v>853</v>
      </c>
      <c r="W11" s="1339">
        <f>IF(W$9&gt;$C$7,"",SUMIF($E$18:$E300,"Actual (t)",W$18:W300))</f>
        <v>1036</v>
      </c>
      <c r="X11" s="1339">
        <f>IF(X$9&gt;$C$7,"",SUMIF($E$18:$E300,"Actual (t)",X$18:X300))</f>
        <v>907</v>
      </c>
      <c r="Y11" s="1339">
        <f>IF(Y$9&gt;$C$7,"",SUMIF($E$18:$E300,"Actual (t)",Y$18:Y300))</f>
        <v>1013</v>
      </c>
      <c r="Z11" s="1339">
        <f>IF(Z$9&gt;$C$7,"",SUMIF($E$18:$E300,"Actual (t)",Z$18:Z300))</f>
        <v>952</v>
      </c>
      <c r="AA11" s="1339">
        <f>IF(AA$9&gt;$C$7,"",SUMIF($E$18:$E300,"Actual (t)",AA$18:AA300))</f>
        <v>750</v>
      </c>
      <c r="AB11" s="1339">
        <f>IF(AB$9&gt;$C$7,"",SUMIF($E$18:$E300,"Actual (t)",AB$18:AB300))</f>
        <v>966</v>
      </c>
      <c r="AC11" s="1339">
        <f>IF(AC$9&gt;$C$7,"",SUMIF($E$18:$E300,"Actual (t)",AC$18:AC300))</f>
        <v>958.8</v>
      </c>
      <c r="AD11" s="1339">
        <f>IF(AD$9&gt;$C$7,"",SUMIF($E$18:$E300,"Actual (t)",AD$18:AD300))</f>
        <v>945</v>
      </c>
      <c r="AE11" s="1339">
        <f>IF(AE$9&gt;$C$7,"",SUMIF($E$18:$E300,"Actual (t)",AE$18:AE300))</f>
        <v>1034</v>
      </c>
      <c r="AF11" s="1339">
        <f>IF(AF$9&gt;$C$7,"",SUMIF($E$18:$E300,"Actual (t)",AF$18:AF300))</f>
        <v>0</v>
      </c>
      <c r="AG11" s="1339">
        <f>IF(AG$9&gt;$C$7,"",SUMIF($E$18:$E300,"Actual (t)",AG$18:AG300))</f>
        <v>889</v>
      </c>
      <c r="AH11" s="1339" t="str">
        <f>IF(AH$9&gt;$C$7,"",SUMIF($E$18:$E300,"Actual (t)",AH$18:AH300))</f>
        <v/>
      </c>
      <c r="AI11" s="1339" t="str">
        <f>IF(AI$9&gt;$C$7,"",SUMIF($E$18:$E300,"Actual (t)",AI$18:AI300))</f>
        <v/>
      </c>
      <c r="AJ11" s="1339" t="str">
        <f>IF(AJ$9&gt;$C$7,"",SUMIF($E$18:$E300,"Actual (t)",AJ$18:AJ300))</f>
        <v/>
      </c>
      <c r="AK11" s="1339" t="str">
        <f>IF(AK$9&gt;$C$7,"",SUMIF($E$18:$E300,"Actual (t)",AK$18:AK300))</f>
        <v/>
      </c>
      <c r="AL11" s="1340" t="str">
        <f>IF(AL$9&gt;$C$7,"",SUMIF($E$18:$E300,"Actual (t)",AL$18:AL300))</f>
        <v/>
      </c>
      <c r="AM11" s="189"/>
    </row>
    <row r="12" spans="1:39" ht="15.75" thickBot="1" x14ac:dyDescent="0.3">
      <c r="A12" s="190"/>
      <c r="B12" s="1376" t="s">
        <v>3</v>
      </c>
      <c r="C12" s="1293">
        <f>SUM(H14:AL14)</f>
        <v>66.234700000000004</v>
      </c>
      <c r="D12" s="1294">
        <f>SUM(H15:AL15)</f>
        <v>57.662643000000003</v>
      </c>
      <c r="E12" s="1295">
        <f>IFERROR((D12-C12)/C12,0)</f>
        <v>-0.12941942818492422</v>
      </c>
      <c r="F12" s="190"/>
      <c r="G12" s="272" t="s">
        <v>332</v>
      </c>
      <c r="H12" s="689" t="str">
        <f t="shared" ref="H12:AL13" si="1">IFERROR(H14*1000/H10,"")</f>
        <v/>
      </c>
      <c r="I12" s="690">
        <f t="shared" si="1"/>
        <v>3.0336000000000003</v>
      </c>
      <c r="J12" s="690">
        <f t="shared" si="1"/>
        <v>3.0336000000000003</v>
      </c>
      <c r="K12" s="690">
        <f t="shared" si="1"/>
        <v>3.0336000000000003</v>
      </c>
      <c r="L12" s="690">
        <f t="shared" si="1"/>
        <v>3.0336000000000003</v>
      </c>
      <c r="M12" s="690">
        <f t="shared" si="1"/>
        <v>2.9585185185185181</v>
      </c>
      <c r="N12" s="691">
        <f t="shared" si="1"/>
        <v>2.9585185185185181</v>
      </c>
      <c r="O12" s="691">
        <f t="shared" si="1"/>
        <v>2.9585185185185181</v>
      </c>
      <c r="P12" s="691">
        <f t="shared" si="1"/>
        <v>2.9585185185185181</v>
      </c>
      <c r="Q12" s="690">
        <f t="shared" si="1"/>
        <v>2.9585185185185181</v>
      </c>
      <c r="R12" s="690">
        <f t="shared" si="1"/>
        <v>2.9585185185185181</v>
      </c>
      <c r="S12" s="690">
        <f t="shared" si="1"/>
        <v>2.7918518518518516</v>
      </c>
      <c r="T12" s="690">
        <f t="shared" si="1"/>
        <v>2.9585185185185181</v>
      </c>
      <c r="U12" s="690">
        <f t="shared" si="1"/>
        <v>2.9585185185185181</v>
      </c>
      <c r="V12" s="690">
        <f t="shared" si="1"/>
        <v>2.9585185185185181</v>
      </c>
      <c r="W12" s="690">
        <f t="shared" si="1"/>
        <v>2.9585185185185181</v>
      </c>
      <c r="X12" s="690">
        <f>IFERROR(X14*1000/X10,"")</f>
        <v>2.9585185185185181</v>
      </c>
      <c r="Y12" s="690">
        <f t="shared" si="1"/>
        <v>2.9585185185185181</v>
      </c>
      <c r="Z12" s="690">
        <f t="shared" si="1"/>
        <v>2.8088888888888888</v>
      </c>
      <c r="AA12" s="690">
        <f t="shared" si="1"/>
        <v>2.9585185185185181</v>
      </c>
      <c r="AB12" s="690">
        <f t="shared" si="1"/>
        <v>2.9585185185185181</v>
      </c>
      <c r="AC12" s="690">
        <f t="shared" si="1"/>
        <v>2.9585185185185181</v>
      </c>
      <c r="AD12" s="692">
        <f t="shared" si="1"/>
        <v>2.9585185185185181</v>
      </c>
      <c r="AE12" s="692">
        <f t="shared" si="1"/>
        <v>2.9585185185185181</v>
      </c>
      <c r="AF12" s="692" t="str">
        <f t="shared" si="1"/>
        <v/>
      </c>
      <c r="AG12" s="692">
        <f t="shared" si="1"/>
        <v>2.9585185185185181</v>
      </c>
      <c r="AH12" s="692" t="str">
        <f t="shared" si="1"/>
        <v/>
      </c>
      <c r="AI12" s="692" t="str">
        <f t="shared" si="1"/>
        <v/>
      </c>
      <c r="AJ12" s="692" t="str">
        <f t="shared" si="1"/>
        <v/>
      </c>
      <c r="AK12" s="692" t="str">
        <f t="shared" si="1"/>
        <v/>
      </c>
      <c r="AL12" s="693" t="str">
        <f t="shared" si="1"/>
        <v/>
      </c>
      <c r="AM12" s="190"/>
    </row>
    <row r="13" spans="1:39" ht="15.75" thickBot="1" x14ac:dyDescent="0.3">
      <c r="A13" s="191"/>
      <c r="B13" s="191"/>
      <c r="C13" s="191"/>
      <c r="D13" s="191"/>
      <c r="E13" s="191"/>
      <c r="F13" s="191"/>
      <c r="G13" s="282" t="s">
        <v>333</v>
      </c>
      <c r="H13" s="1341">
        <f t="shared" si="1"/>
        <v>2.4180000000000001</v>
      </c>
      <c r="I13" s="1342">
        <f t="shared" si="1"/>
        <v>2.5189537223340044</v>
      </c>
      <c r="J13" s="1300">
        <f t="shared" si="1"/>
        <v>3.3018822876179894</v>
      </c>
      <c r="K13" s="1300">
        <f t="shared" si="1"/>
        <v>2.7699806875241402</v>
      </c>
      <c r="L13" s="1300">
        <f t="shared" si="1"/>
        <v>2.0779912481767036</v>
      </c>
      <c r="M13" s="1300">
        <f t="shared" si="1"/>
        <v>2.8946961074436603</v>
      </c>
      <c r="N13" s="1300">
        <f t="shared" si="1"/>
        <v>2.3118382352941169</v>
      </c>
      <c r="O13" s="1300">
        <f t="shared" si="1"/>
        <v>2.1244199535962878</v>
      </c>
      <c r="P13" s="1300">
        <f t="shared" si="1"/>
        <v>1.6272115384615387</v>
      </c>
      <c r="Q13" s="1300">
        <f t="shared" si="1"/>
        <v>2.2633957765667576</v>
      </c>
      <c r="R13" s="1300">
        <f t="shared" si="1"/>
        <v>2.238064516129032</v>
      </c>
      <c r="S13" s="1300">
        <f t="shared" si="1"/>
        <v>3.0797826086956519</v>
      </c>
      <c r="T13" s="1300">
        <f t="shared" si="1"/>
        <v>3.0687236842105263</v>
      </c>
      <c r="U13" s="1300">
        <f t="shared" si="1"/>
        <v>2.6406250000000004</v>
      </c>
      <c r="V13" s="1300">
        <f t="shared" si="1"/>
        <v>2.5242555685814771</v>
      </c>
      <c r="W13" s="1300">
        <f t="shared" si="1"/>
        <v>2.6248069498069504</v>
      </c>
      <c r="X13" s="1300">
        <f>IFERROR(X15*1000/X11,"")</f>
        <v>4.0499779492833525</v>
      </c>
      <c r="Y13" s="1300">
        <f t="shared" si="1"/>
        <v>2.4840572556762091</v>
      </c>
      <c r="Z13" s="1300">
        <f t="shared" si="1"/>
        <v>2.1863445378151263</v>
      </c>
      <c r="AA13" s="1300">
        <f t="shared" si="1"/>
        <v>2.9636400000000007</v>
      </c>
      <c r="AB13" s="1300">
        <f t="shared" si="1"/>
        <v>3.1225569358178054</v>
      </c>
      <c r="AC13" s="1300">
        <f t="shared" si="1"/>
        <v>3.1132311222361286</v>
      </c>
      <c r="AD13" s="1300">
        <f t="shared" si="1"/>
        <v>2.1398328042328036</v>
      </c>
      <c r="AE13" s="1300">
        <f t="shared" si="1"/>
        <v>2.1613442940038681</v>
      </c>
      <c r="AF13" s="1300" t="str">
        <f t="shared" si="1"/>
        <v/>
      </c>
      <c r="AG13" s="1300">
        <f t="shared" si="1"/>
        <v>1.807671541057368</v>
      </c>
      <c r="AH13" s="1300" t="str">
        <f t="shared" si="1"/>
        <v/>
      </c>
      <c r="AI13" s="1300" t="str">
        <f t="shared" si="1"/>
        <v/>
      </c>
      <c r="AJ13" s="1300" t="str">
        <f t="shared" si="1"/>
        <v/>
      </c>
      <c r="AK13" s="1300" t="str">
        <f t="shared" si="1"/>
        <v/>
      </c>
      <c r="AL13" s="1343" t="str">
        <f t="shared" si="1"/>
        <v/>
      </c>
      <c r="AM13" s="191"/>
    </row>
    <row r="14" spans="1:39" x14ac:dyDescent="0.25">
      <c r="A14" s="192"/>
      <c r="B14" s="694"/>
      <c r="C14" s="192"/>
      <c r="D14" s="192"/>
      <c r="E14" s="192"/>
      <c r="F14" s="192"/>
      <c r="G14" s="283" t="s">
        <v>334</v>
      </c>
      <c r="H14" s="284">
        <f>IF(H$9&gt;$C$7,"",SUMIF($E$18:$E300,"Budget (kg)",H$18:H300))</f>
        <v>0</v>
      </c>
      <c r="I14" s="695">
        <f>IF(I$9&gt;$C$7,"",SUMIF($E$18:$E300,"Budget (kg)",I$18:I300))</f>
        <v>2.6543999999999999</v>
      </c>
      <c r="J14" s="285">
        <f>IF(J$9&gt;$C$7,"",SUMIF($E$18:$E300,"Budget (kg)",J$18:J300))</f>
        <v>2.6543999999999999</v>
      </c>
      <c r="K14" s="285">
        <f>IF(K$9&gt;$C$7,"",SUMIF($E$18:$E300,"Budget (kg)",K$18:K300))</f>
        <v>2.6543999999999999</v>
      </c>
      <c r="L14" s="285">
        <f>IF(L$9&gt;$C$7,"",SUMIF($E$18:$E300,"Budget (kg)",L$18:L300))</f>
        <v>2.6543999999999999</v>
      </c>
      <c r="M14" s="285">
        <f>IF(M$9&gt;$C$7,"",SUMIF($E$18:$E300,"Budget (kg)",M$18:M300))</f>
        <v>2.7957999999999998</v>
      </c>
      <c r="N14" s="285">
        <f>IF(N$9&gt;$C$7,"",SUMIF($E$18:$E300,"Budget (kg)",N$18:N300))</f>
        <v>2.7957999999999998</v>
      </c>
      <c r="O14" s="285">
        <f>IF(O$9&gt;$C$7,"",SUMIF($E$18:$E300,"Budget (kg)",O$18:O300))</f>
        <v>2.7957999999999998</v>
      </c>
      <c r="P14" s="285">
        <f>IF(P$9&gt;$C$7,"",SUMIF($E$18:$E300,"Budget (kg)",P$18:P300))</f>
        <v>2.7957999999999998</v>
      </c>
      <c r="Q14" s="695">
        <f>IF(Q$9&gt;$C$7,"",SUMIF($E$18:$E300,"Budget (kg)",Q$18:Q300))</f>
        <v>2.7957999999999998</v>
      </c>
      <c r="R14" s="695">
        <f>IF(R$9&gt;$C$7,"",SUMIF($E$18:$E300,"Budget (kg)",R$18:R300))</f>
        <v>2.7957999999999998</v>
      </c>
      <c r="S14" s="695">
        <f>IF(S$9&gt;$C$7,"",SUMIF($E$18:$E300,"Budget (kg)",S$18:S300))</f>
        <v>2.6382999999999996</v>
      </c>
      <c r="T14" s="695">
        <f>IF(T$9&gt;$C$7,"",SUMIF($E$18:$E300,"Budget (kg)",T$18:T300))</f>
        <v>2.7957999999999998</v>
      </c>
      <c r="U14" s="695">
        <f>IF(U$9&gt;$C$7,"",SUMIF($E$18:$E300,"Budget (kg)",U$18:U300))</f>
        <v>2.7957999999999998</v>
      </c>
      <c r="V14" s="695">
        <f>IF(V$9&gt;$C$7,"",SUMIF($E$18:$E300,"Budget (kg)",V$18:V300))</f>
        <v>2.7957999999999998</v>
      </c>
      <c r="W14" s="695">
        <f>IF(W$9&gt;$C$7,"",SUMIF($E$18:$E300,"Budget (kg)",W$18:W300))</f>
        <v>2.7957999999999998</v>
      </c>
      <c r="X14" s="695">
        <f>IF(X$9&gt;$C$7,"",SUMIF($E$18:$E300,"Budget (kg)",X$18:X300))</f>
        <v>2.7957999999999998</v>
      </c>
      <c r="Y14" s="695">
        <f>IF(Y$9&gt;$C$7,"",SUMIF($E$18:$E300,"Budget (kg)",Y$18:Y300))</f>
        <v>2.7957999999999998</v>
      </c>
      <c r="Z14" s="695">
        <f>IF(Z$9&gt;$C$7,"",SUMIF($E$18:$E300,"Budget (kg)",Z$18:Z300))</f>
        <v>2.6543999999999999</v>
      </c>
      <c r="AA14" s="695">
        <f>IF(AA$9&gt;$C$7,"",SUMIF($E$18:$E300,"Budget (kg)",AA$18:AA300))</f>
        <v>2.7957999999999998</v>
      </c>
      <c r="AB14" s="695">
        <f>IF(AB$9&gt;$C$7,"",SUMIF($E$18:$E300,"Budget (kg)",AB$18:AB300))</f>
        <v>2.7957999999999998</v>
      </c>
      <c r="AC14" s="695">
        <f>IF(AC$9&gt;$C$7,"",SUMIF($E$18:$E300,"Budget (kg)",AC$18:AC300))</f>
        <v>2.7957999999999998</v>
      </c>
      <c r="AD14" s="696">
        <f>IF(AD$9&gt;$C$7,"",SUMIF($E$18:$E300,"Budget (kg)",AD$18:AD300))</f>
        <v>2.7957999999999998</v>
      </c>
      <c r="AE14" s="696">
        <f>IF(AE$9&gt;$C$7,"",SUMIF($E$18:$E300,"Budget (kg)",AE$18:AE300))</f>
        <v>2.7957999999999998</v>
      </c>
      <c r="AF14" s="696">
        <f>IF(AF$9&gt;$C$7,"",SUMIF($E$18:$E300,"Budget (kg)",AF$18:AF300))</f>
        <v>0</v>
      </c>
      <c r="AG14" s="696">
        <f>IF(AG$9&gt;$C$7,"",SUMIF($E$18:$E300,"Budget (kg)",AG$18:AG300))</f>
        <v>2.7957999999999998</v>
      </c>
      <c r="AH14" s="696" t="str">
        <f>IF(AH$9&gt;$C$7,"",SUMIF($E$18:$E300,"Budget (kg)",AH$18:AH300))</f>
        <v/>
      </c>
      <c r="AI14" s="696" t="str">
        <f>IF(AI$9&gt;$C$7,"",SUMIF($E$18:$E300,"Budget (kg)",AI$18:AI300))</f>
        <v/>
      </c>
      <c r="AJ14" s="696" t="str">
        <f>IF(AJ$9&gt;$C$7,"",SUMIF($E$18:$E300,"Budget (kg)",AJ$18:AJ300))</f>
        <v/>
      </c>
      <c r="AK14" s="696" t="str">
        <f>IF(AK$9&gt;$C$7,"",SUMIF($E$18:$E300,"Budget (kg)",AK$18:AK300))</f>
        <v/>
      </c>
      <c r="AL14" s="697" t="str">
        <f>IF(AL$9&gt;$C$7,"",SUMIF($E$18:$E300,"Budget (kg)",AL$18:AL300))</f>
        <v/>
      </c>
      <c r="AM14" s="192"/>
    </row>
    <row r="15" spans="1:39" ht="15.75" thickBot="1" x14ac:dyDescent="0.3">
      <c r="A15" s="193"/>
      <c r="B15" s="193"/>
      <c r="C15" s="193"/>
      <c r="D15" s="193"/>
      <c r="E15" s="193"/>
      <c r="F15" s="193"/>
      <c r="G15" s="288" t="s">
        <v>335</v>
      </c>
      <c r="H15" s="1344">
        <f>IF(H$9&gt;$C$7,"",SUMIF($E$18:$E300,"Actual (kg)",H$18:H300))</f>
        <v>2.1109140000000002</v>
      </c>
      <c r="I15" s="1345">
        <f>IF(I$9&gt;$C$7,"",SUMIF($E$18:$E300,"Actual (kg)",I$18:I300))</f>
        <v>1.752688</v>
      </c>
      <c r="J15" s="1346">
        <f>IF(J$9&gt;$C$7,"",SUMIF($E$18:$E300,"Actual (kg)",J$18:J300))</f>
        <v>3.5680139999999994</v>
      </c>
      <c r="K15" s="1346">
        <f>IF(K$9&gt;$C$7,"",SUMIF($E$18:$E300,"Actual (kg)",K$18:K300))</f>
        <v>2.868592</v>
      </c>
      <c r="L15" s="1346">
        <f>IF(L$9&gt;$C$7,"",SUMIF($E$18:$E300,"Actual (kg)",L$18:L300))</f>
        <v>1.994456</v>
      </c>
      <c r="M15" s="1346">
        <f>IF(M$9&gt;$C$7,"",SUMIF($E$18:$E300,"Actual (kg)",M$18:M300))</f>
        <v>2.5432800000000002</v>
      </c>
      <c r="N15" s="1346">
        <f>IF(N$9&gt;$C$7,"",SUMIF($E$18:$E300,"Actual (kg)",N$18:N300))</f>
        <v>1.8864599999999996</v>
      </c>
      <c r="O15" s="1346">
        <f>IF(O$9&gt;$C$7,"",SUMIF($E$18:$E300,"Actual (kg)",O$18:O300))</f>
        <v>1.83125</v>
      </c>
      <c r="P15" s="1346">
        <f>IF(P$9&gt;$C$7,"",SUMIF($E$18:$E300,"Actual (kg)",P$18:P300))</f>
        <v>1.083072</v>
      </c>
      <c r="Q15" s="1346">
        <f>IF(Q$9&gt;$C$7,"",SUMIF($E$18:$E300,"Actual (kg)",Q$18:Q300))</f>
        <v>1.9935989999999999</v>
      </c>
      <c r="R15" s="1346">
        <f>IF(R$9&gt;$C$7,"",SUMIF($E$18:$E300,"Actual (kg)",R$18:R300))</f>
        <v>1.8038799999999999</v>
      </c>
      <c r="S15" s="1346">
        <f>IF(S$9&gt;$C$7,"",SUMIF($E$18:$E300,"Actual (kg)",S$18:S300))</f>
        <v>2.5500599999999998</v>
      </c>
      <c r="T15" s="1346">
        <f>IF(T$9&gt;$C$7,"",SUMIF($E$18:$E300,"Actual (kg)",T$18:T300))</f>
        <v>2.33223</v>
      </c>
      <c r="U15" s="1346">
        <f>IF(U$9&gt;$C$7,"",SUMIF($E$18:$E300,"Actual (kg)",U$18:U300))</f>
        <v>2.1125000000000003</v>
      </c>
      <c r="V15" s="1346">
        <f>IF(V$9&gt;$C$7,"",SUMIF($E$18:$E300,"Actual (kg)",V$18:V300))</f>
        <v>2.1531899999999999</v>
      </c>
      <c r="W15" s="1346">
        <f>IF(W$9&gt;$C$7,"",SUMIF($E$18:$E300,"Actual (kg)",W$18:W300))</f>
        <v>2.7193000000000005</v>
      </c>
      <c r="X15" s="1346">
        <f>IF(X$9&gt;$C$7,"",SUMIF($E$18:$E300,"Actual (kg)",X$18:X300))</f>
        <v>3.6733300000000004</v>
      </c>
      <c r="Y15" s="1346">
        <f>IF(Y$9&gt;$C$7,"",SUMIF($E$18:$E300,"Actual (kg)",Y$18:Y300))</f>
        <v>2.5163500000000001</v>
      </c>
      <c r="Z15" s="1346">
        <f>IF(Z$9&gt;$C$7,"",SUMIF($E$18:$E300,"Actual (kg)",Z$18:Z300))</f>
        <v>2.0813999999999999</v>
      </c>
      <c r="AA15" s="1346">
        <f>IF(AA$9&gt;$C$7,"",SUMIF($E$18:$E300,"Actual (kg)",AA$18:AA300))</f>
        <v>2.2227300000000003</v>
      </c>
      <c r="AB15" s="1346">
        <f>IF(AB$9&gt;$C$7,"",SUMIF($E$18:$E300,"Actual (kg)",AB$18:AB300))</f>
        <v>3.0163899999999999</v>
      </c>
      <c r="AC15" s="1346">
        <f>IF(AC$9&gt;$C$7,"",SUMIF($E$18:$E300,"Actual (kg)",AC$18:AC300))</f>
        <v>2.984966</v>
      </c>
      <c r="AD15" s="1346">
        <f>IF(AD$9&gt;$C$7,"",SUMIF($E$18:$E300,"Actual (kg)",AD$18:AD300))</f>
        <v>2.0221419999999997</v>
      </c>
      <c r="AE15" s="1346">
        <f>IF(AE$9&gt;$C$7,"",SUMIF($E$18:$E300,"Actual (kg)",AE$18:AE300))</f>
        <v>2.2348299999999997</v>
      </c>
      <c r="AF15" s="1346">
        <f>IF(AF$9&gt;$C$7,"",SUMIF($E$18:$E300,"Actual (kg)",AF$18:AF300))</f>
        <v>0</v>
      </c>
      <c r="AG15" s="1346">
        <f>IF(AG$9&gt;$C$7,"",SUMIF($E$18:$E300,"Actual (kg)",AG$18:AG300))</f>
        <v>1.6070200000000001</v>
      </c>
      <c r="AH15" s="1346" t="str">
        <f>IF(AH$9&gt;$C$7,"",SUMIF($E$18:$E300,"Actual (kg)",AH$18:AH300))</f>
        <v/>
      </c>
      <c r="AI15" s="1346" t="str">
        <f>IF(AI$9&gt;$C$7,"",SUMIF($E$18:$E300,"Actual (kg)",AI$18:AI300))</f>
        <v/>
      </c>
      <c r="AJ15" s="1346" t="str">
        <f>IF(AJ$9&gt;$C$7,"",SUMIF($E$18:$E300,"Actual (kg)",AJ$18:AJ300))</f>
        <v/>
      </c>
      <c r="AK15" s="1346" t="str">
        <f>IF(AK$9&gt;$C$7,"",SUMIF($E$18:$E300,"Actual (kg)",AK$18:AK300))</f>
        <v/>
      </c>
      <c r="AL15" s="1347" t="str">
        <f>IF(AL$9&gt;$C$7,"",SUMIF($E$18:$E300,"Actual (kg)",AL$18:AL300))</f>
        <v/>
      </c>
      <c r="AM15" s="193"/>
    </row>
    <row r="16" spans="1:39" ht="15.75" thickBot="1" x14ac:dyDescent="0.3">
      <c r="A16" s="182"/>
      <c r="B16" s="182"/>
      <c r="C16" s="182"/>
      <c r="D16" s="182"/>
      <c r="E16" s="182"/>
      <c r="F16" s="182"/>
      <c r="G16" s="182"/>
      <c r="H16" s="675"/>
      <c r="I16" s="182"/>
      <c r="J16" s="341"/>
      <c r="K16" s="341"/>
      <c r="L16" s="341"/>
      <c r="M16" s="676"/>
      <c r="N16" s="677"/>
      <c r="O16" s="677"/>
      <c r="P16" s="182"/>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row>
    <row r="17" spans="1:39" ht="15.75" thickBot="1" x14ac:dyDescent="0.3">
      <c r="A17" s="289">
        <f>COUNTA(C18:C300)</f>
        <v>13</v>
      </c>
      <c r="B17" s="343" t="s">
        <v>357</v>
      </c>
      <c r="C17" s="344" t="s">
        <v>358</v>
      </c>
      <c r="D17" s="345"/>
      <c r="E17" s="346"/>
      <c r="F17" s="698" t="s">
        <v>269</v>
      </c>
      <c r="G17" s="699" t="s">
        <v>338</v>
      </c>
      <c r="H17" s="700">
        <f>[10]SUMMARY!I16</f>
        <v>45778</v>
      </c>
      <c r="I17" s="701">
        <f>[10]SUMMARY!J16</f>
        <v>45779</v>
      </c>
      <c r="J17" s="701">
        <f>[10]SUMMARY!K16</f>
        <v>45780</v>
      </c>
      <c r="K17" s="701">
        <f>[10]SUMMARY!L16</f>
        <v>45781</v>
      </c>
      <c r="L17" s="701">
        <f>[10]SUMMARY!M16</f>
        <v>45782</v>
      </c>
      <c r="M17" s="701">
        <f>[10]SUMMARY!N16</f>
        <v>45783</v>
      </c>
      <c r="N17" s="701">
        <f>[10]SUMMARY!O16</f>
        <v>45784</v>
      </c>
      <c r="O17" s="701">
        <f>[10]SUMMARY!P16</f>
        <v>45785</v>
      </c>
      <c r="P17" s="701">
        <f>[10]SUMMARY!Q16</f>
        <v>45786</v>
      </c>
      <c r="Q17" s="701">
        <f>[10]SUMMARY!R16</f>
        <v>45787</v>
      </c>
      <c r="R17" s="701">
        <f>[10]SUMMARY!S16</f>
        <v>45788</v>
      </c>
      <c r="S17" s="701">
        <f>[10]SUMMARY!T16</f>
        <v>45789</v>
      </c>
      <c r="T17" s="701">
        <f>[10]SUMMARY!U16</f>
        <v>45790</v>
      </c>
      <c r="U17" s="701">
        <f>[10]SUMMARY!V16</f>
        <v>45791</v>
      </c>
      <c r="V17" s="701">
        <f>[10]SUMMARY!W16</f>
        <v>45792</v>
      </c>
      <c r="W17" s="701">
        <f>[10]SUMMARY!X16</f>
        <v>45793</v>
      </c>
      <c r="X17" s="701">
        <f>[10]SUMMARY!Y16</f>
        <v>45794</v>
      </c>
      <c r="Y17" s="701">
        <f>[10]SUMMARY!Z16</f>
        <v>45795</v>
      </c>
      <c r="Z17" s="701">
        <f>[10]SUMMARY!AA16</f>
        <v>45796</v>
      </c>
      <c r="AA17" s="701">
        <f>[10]SUMMARY!AB16</f>
        <v>45797</v>
      </c>
      <c r="AB17" s="701">
        <f>[10]SUMMARY!AC16</f>
        <v>45798</v>
      </c>
      <c r="AC17" s="701">
        <f>[10]SUMMARY!AD16</f>
        <v>45799</v>
      </c>
      <c r="AD17" s="701">
        <f>[10]SUMMARY!AE16</f>
        <v>45800</v>
      </c>
      <c r="AE17" s="701">
        <f>[10]SUMMARY!AF16</f>
        <v>45801</v>
      </c>
      <c r="AF17" s="701">
        <f>[10]SUMMARY!AG16</f>
        <v>45802</v>
      </c>
      <c r="AG17" s="701">
        <f>[10]SUMMARY!AH16</f>
        <v>45803</v>
      </c>
      <c r="AH17" s="701">
        <f>[10]SUMMARY!AI16</f>
        <v>45804</v>
      </c>
      <c r="AI17" s="701">
        <f>[10]SUMMARY!AJ16</f>
        <v>45805</v>
      </c>
      <c r="AJ17" s="701">
        <f>[10]SUMMARY!AK16</f>
        <v>45806</v>
      </c>
      <c r="AK17" s="701">
        <f>[10]SUMMARY!AL16</f>
        <v>45807</v>
      </c>
      <c r="AL17" s="702">
        <f>[10]SUMMARY!AM16</f>
        <v>45808</v>
      </c>
      <c r="AM17" s="703" t="s">
        <v>359</v>
      </c>
    </row>
    <row r="18" spans="1:39" x14ac:dyDescent="0.25">
      <c r="A18" s="194"/>
      <c r="B18" s="1608"/>
      <c r="C18" s="1704" t="str">
        <f>[11]Tramming!C18</f>
        <v>1L W24 STOPE</v>
      </c>
      <c r="D18" s="1684" t="s">
        <v>340</v>
      </c>
      <c r="E18" s="195" t="s">
        <v>341</v>
      </c>
      <c r="F18" s="196">
        <f>SUMIF($H$9:$AL$9,"&lt;="&amp;$C$7,H18:AL18)</f>
        <v>1680</v>
      </c>
      <c r="G18" s="197"/>
      <c r="H18" s="198">
        <f>[11]Tramming!H18</f>
        <v>0</v>
      </c>
      <c r="I18" s="198">
        <f>[11]Tramming!I18</f>
        <v>70</v>
      </c>
      <c r="J18" s="198">
        <f>[11]Tramming!J18</f>
        <v>70</v>
      </c>
      <c r="K18" s="199">
        <f>[11]Tramming!K18</f>
        <v>70</v>
      </c>
      <c r="L18" s="199">
        <f>[11]Tramming!L18</f>
        <v>70</v>
      </c>
      <c r="M18" s="199">
        <f>[11]Tramming!M18</f>
        <v>70</v>
      </c>
      <c r="N18" s="199">
        <f>[11]Tramming!N18</f>
        <v>70</v>
      </c>
      <c r="O18" s="199">
        <f>[11]Tramming!O18</f>
        <v>70</v>
      </c>
      <c r="P18" s="200">
        <f>[11]Tramming!P18</f>
        <v>70</v>
      </c>
      <c r="Q18" s="199">
        <f>[11]Tramming!Q18</f>
        <v>70</v>
      </c>
      <c r="R18" s="199">
        <f>[11]Tramming!R18</f>
        <v>70</v>
      </c>
      <c r="S18" s="199">
        <f>[11]Tramming!S18</f>
        <v>70</v>
      </c>
      <c r="T18" s="199">
        <f>[11]Tramming!T18</f>
        <v>70</v>
      </c>
      <c r="U18" s="199">
        <f>[11]Tramming!U18</f>
        <v>70</v>
      </c>
      <c r="V18" s="199">
        <f>[11]Tramming!V18</f>
        <v>70</v>
      </c>
      <c r="W18" s="199">
        <f>[11]Tramming!W18</f>
        <v>70</v>
      </c>
      <c r="X18" s="199">
        <f>[11]Tramming!X18</f>
        <v>70</v>
      </c>
      <c r="Y18" s="199">
        <f>[11]Tramming!Y18</f>
        <v>70</v>
      </c>
      <c r="Z18" s="199">
        <f>[11]Tramming!Z18</f>
        <v>70</v>
      </c>
      <c r="AA18" s="199">
        <f>[11]Tramming!AA18</f>
        <v>70</v>
      </c>
      <c r="AB18" s="199">
        <f>[11]Tramming!AB18</f>
        <v>70</v>
      </c>
      <c r="AC18" s="199">
        <f>[11]Tramming!AC18</f>
        <v>70</v>
      </c>
      <c r="AD18" s="199">
        <f>[11]Tramming!AD18</f>
        <v>70</v>
      </c>
      <c r="AE18" s="199">
        <f>[11]Tramming!AE18</f>
        <v>70</v>
      </c>
      <c r="AF18" s="199">
        <f>[11]Tramming!AF18</f>
        <v>0</v>
      </c>
      <c r="AG18" s="199">
        <f>[11]Tramming!AG18</f>
        <v>70</v>
      </c>
      <c r="AH18" s="199">
        <f>[11]Tramming!AH18</f>
        <v>70</v>
      </c>
      <c r="AI18" s="199">
        <f>[11]Tramming!AI18</f>
        <v>70</v>
      </c>
      <c r="AJ18" s="199">
        <f>[11]Tramming!AJ18</f>
        <v>70</v>
      </c>
      <c r="AK18" s="199">
        <f>[11]Tramming!AK18</f>
        <v>70</v>
      </c>
      <c r="AL18" s="201">
        <f>[11]Tramming!AL18</f>
        <v>70</v>
      </c>
      <c r="AM18" s="704"/>
    </row>
    <row r="19" spans="1:39" x14ac:dyDescent="0.25">
      <c r="A19" s="202"/>
      <c r="B19" s="1607"/>
      <c r="C19" s="1705"/>
      <c r="D19" s="1688"/>
      <c r="E19" s="1379" t="s">
        <v>342</v>
      </c>
      <c r="F19" s="1303">
        <f>SUMIF($H$9:$AL$9,"&lt;="&amp;$C$7,H19:AL19)</f>
        <v>2424</v>
      </c>
      <c r="G19" s="1380">
        <f>IFERROR((F19-F18)/F18,0)</f>
        <v>0.44285714285714284</v>
      </c>
      <c r="H19" s="1305">
        <f>[11]Tramming!H19</f>
        <v>60</v>
      </c>
      <c r="I19" s="1305">
        <f>[11]Tramming!I19</f>
        <v>90</v>
      </c>
      <c r="J19" s="1303">
        <f>[11]Tramming!J19</f>
        <v>90</v>
      </c>
      <c r="K19" s="1303">
        <f>[11]Tramming!K19</f>
        <v>90</v>
      </c>
      <c r="L19" s="1303">
        <f>[11]Tramming!L19</f>
        <v>90</v>
      </c>
      <c r="M19" s="1303">
        <f>[11]Tramming!M19</f>
        <v>48</v>
      </c>
      <c r="N19" s="1303">
        <f>[11]Tramming!N19</f>
        <v>130</v>
      </c>
      <c r="O19" s="1303">
        <f>[11]Tramming!O19</f>
        <v>96</v>
      </c>
      <c r="P19" s="1303">
        <f>[11]Tramming!P19</f>
        <v>90</v>
      </c>
      <c r="Q19" s="1303">
        <f>[11]Tramming!Q19</f>
        <v>90</v>
      </c>
      <c r="R19" s="1303">
        <f>[11]Tramming!R19</f>
        <v>90</v>
      </c>
      <c r="S19" s="1303">
        <f>[11]Tramming!S19</f>
        <v>120</v>
      </c>
      <c r="T19" s="1303">
        <f>[11]Tramming!T19</f>
        <v>90</v>
      </c>
      <c r="U19" s="1303">
        <f>[11]Tramming!U19</f>
        <v>95</v>
      </c>
      <c r="V19" s="1303">
        <f>[11]Tramming!V19</f>
        <v>94</v>
      </c>
      <c r="W19" s="1303">
        <f>[11]Tramming!W19</f>
        <v>95</v>
      </c>
      <c r="X19" s="1303">
        <f>[11]Tramming!X19</f>
        <v>90</v>
      </c>
      <c r="Y19" s="1303">
        <f>[11]Tramming!Y19</f>
        <v>90</v>
      </c>
      <c r="Z19" s="1303">
        <f>[11]Tramming!Z19</f>
        <v>108</v>
      </c>
      <c r="AA19" s="1303">
        <f>[11]Tramming!AA19</f>
        <v>114</v>
      </c>
      <c r="AB19" s="1303">
        <f>[11]Tramming!AB19</f>
        <v>108</v>
      </c>
      <c r="AC19" s="1303">
        <f>[11]Tramming!AC19</f>
        <v>102</v>
      </c>
      <c r="AD19" s="1303">
        <f>[11]Tramming!AD19</f>
        <v>120</v>
      </c>
      <c r="AE19" s="1303">
        <f>[11]Tramming!AE19</f>
        <v>114</v>
      </c>
      <c r="AF19" s="1303">
        <f>[11]Tramming!AF19</f>
        <v>0</v>
      </c>
      <c r="AG19" s="1303">
        <f>[11]Tramming!AG19</f>
        <v>120</v>
      </c>
      <c r="AH19" s="1303">
        <f>[11]Tramming!AH19</f>
        <v>90</v>
      </c>
      <c r="AI19" s="1303">
        <f>[11]Tramming!AI19</f>
        <v>120</v>
      </c>
      <c r="AJ19" s="1303">
        <f>[11]Tramming!AJ19</f>
        <v>120</v>
      </c>
      <c r="AK19" s="1303">
        <f>[11]Tramming!AK19</f>
        <v>120</v>
      </c>
      <c r="AL19" s="1303">
        <f>[11]Tramming!AL19</f>
        <v>90</v>
      </c>
      <c r="AM19" s="347"/>
    </row>
    <row r="20" spans="1:39" x14ac:dyDescent="0.25">
      <c r="A20" s="202"/>
      <c r="B20" s="1607"/>
      <c r="C20" s="1705"/>
      <c r="D20" s="1688"/>
      <c r="E20" s="1389" t="s">
        <v>312</v>
      </c>
      <c r="F20" s="1382"/>
      <c r="G20" s="1383"/>
      <c r="H20" s="203"/>
      <c r="I20" s="203"/>
      <c r="J20" s="203"/>
      <c r="K20" s="203"/>
      <c r="L20" s="203"/>
      <c r="M20" s="203"/>
      <c r="N20" s="203"/>
      <c r="O20" s="203"/>
      <c r="P20" s="204"/>
      <c r="Q20" s="203"/>
      <c r="R20" s="203"/>
      <c r="S20" s="203"/>
      <c r="T20" s="203"/>
      <c r="U20" s="203"/>
      <c r="V20" s="203"/>
      <c r="W20" s="203"/>
      <c r="X20" s="203"/>
      <c r="Y20" s="203"/>
      <c r="Z20" s="203"/>
      <c r="AA20" s="203"/>
      <c r="AB20" s="203"/>
      <c r="AC20" s="203"/>
      <c r="AD20" s="203"/>
      <c r="AE20" s="203"/>
      <c r="AF20" s="203"/>
      <c r="AG20" s="203"/>
      <c r="AH20" s="203"/>
      <c r="AI20" s="203"/>
      <c r="AJ20" s="203"/>
      <c r="AK20" s="203"/>
      <c r="AL20" s="205"/>
      <c r="AM20" s="347"/>
    </row>
    <row r="21" spans="1:39" x14ac:dyDescent="0.25">
      <c r="A21" s="202"/>
      <c r="B21" s="1607"/>
      <c r="C21" s="1705"/>
      <c r="D21" s="1685" t="s">
        <v>343</v>
      </c>
      <c r="E21" s="1384" t="s">
        <v>344</v>
      </c>
      <c r="F21" s="1310">
        <f>IFERROR(F23*1000/F18,0)</f>
        <v>2.3000000000000003</v>
      </c>
      <c r="G21" s="1385"/>
      <c r="H21" s="1333">
        <f>[11]Tramming!H21</f>
        <v>0</v>
      </c>
      <c r="I21" s="1333">
        <f>[11]Tramming!I21</f>
        <v>2.2999999999999998</v>
      </c>
      <c r="J21" s="1333">
        <f>[11]Tramming!J21</f>
        <v>2.2999999999999998</v>
      </c>
      <c r="K21" s="1333">
        <f>[11]Tramming!K21</f>
        <v>2.2999999999999998</v>
      </c>
      <c r="L21" s="1333">
        <f>[11]Tramming!L21</f>
        <v>2.2999999999999998</v>
      </c>
      <c r="M21" s="1333">
        <f>[11]Tramming!M21</f>
        <v>2.2999999999999998</v>
      </c>
      <c r="N21" s="1333">
        <f>[11]Tramming!N21</f>
        <v>2.2999999999999998</v>
      </c>
      <c r="O21" s="1333">
        <f>[11]Tramming!O21</f>
        <v>2.2999999999999998</v>
      </c>
      <c r="P21" s="1334">
        <f>[11]Tramming!P21</f>
        <v>2.2999999999999998</v>
      </c>
      <c r="Q21" s="1333">
        <f>[11]Tramming!Q21</f>
        <v>2.2999999999999998</v>
      </c>
      <c r="R21" s="1333">
        <f>[11]Tramming!R21</f>
        <v>2.2999999999999998</v>
      </c>
      <c r="S21" s="1333">
        <f>[11]Tramming!S21</f>
        <v>2.2999999999999998</v>
      </c>
      <c r="T21" s="1333">
        <f>[11]Tramming!T21</f>
        <v>2.2999999999999998</v>
      </c>
      <c r="U21" s="1333">
        <f>[11]Tramming!U21</f>
        <v>2.2999999999999998</v>
      </c>
      <c r="V21" s="1333">
        <f>[11]Tramming!V21</f>
        <v>2.2999999999999998</v>
      </c>
      <c r="W21" s="1333">
        <f>[11]Tramming!W21</f>
        <v>2.2999999999999998</v>
      </c>
      <c r="X21" s="1333">
        <f>[11]Tramming!X21</f>
        <v>2.2999999999999998</v>
      </c>
      <c r="Y21" s="1333">
        <f>[11]Tramming!Y21</f>
        <v>2.2999999999999998</v>
      </c>
      <c r="Z21" s="1333">
        <f>[11]Tramming!Z21</f>
        <v>2.2999999999999998</v>
      </c>
      <c r="AA21" s="1333">
        <f>[11]Tramming!AA21</f>
        <v>2.2999999999999998</v>
      </c>
      <c r="AB21" s="1333">
        <f>[11]Tramming!AB21</f>
        <v>2.2999999999999998</v>
      </c>
      <c r="AC21" s="1333">
        <f>[11]Tramming!AC21</f>
        <v>2.2999999999999998</v>
      </c>
      <c r="AD21" s="1333">
        <f>[11]Tramming!AD21</f>
        <v>2.2999999999999998</v>
      </c>
      <c r="AE21" s="1333">
        <f>[11]Tramming!AE21</f>
        <v>2.2999999999999998</v>
      </c>
      <c r="AF21" s="1333">
        <f>[11]Tramming!AF21</f>
        <v>0</v>
      </c>
      <c r="AG21" s="1333">
        <f>[11]Tramming!AG21</f>
        <v>2.2999999999999998</v>
      </c>
      <c r="AH21" s="1333">
        <f>[11]Tramming!AH21</f>
        <v>2.2999999999999998</v>
      </c>
      <c r="AI21" s="1333">
        <f>[11]Tramming!AI21</f>
        <v>2.2999999999999998</v>
      </c>
      <c r="AJ21" s="1333">
        <f>[11]Tramming!AJ21</f>
        <v>2.2999999999999998</v>
      </c>
      <c r="AK21" s="1333">
        <f>[11]Tramming!AK21</f>
        <v>2.2999999999999998</v>
      </c>
      <c r="AL21" s="1335">
        <f>[11]Tramming!AL21</f>
        <v>2.2999999999999998</v>
      </c>
      <c r="AM21" s="347"/>
    </row>
    <row r="22" spans="1:39" x14ac:dyDescent="0.25">
      <c r="A22" s="202"/>
      <c r="B22" s="1607"/>
      <c r="C22" s="1705"/>
      <c r="D22" s="1707"/>
      <c r="E22" s="1386" t="s">
        <v>345</v>
      </c>
      <c r="F22" s="1314">
        <f>IFERROR(F24*1000/F19,0)</f>
        <v>0.90976072607260716</v>
      </c>
      <c r="G22" s="1380">
        <f>IFERROR((F22-F21)/F21,0)</f>
        <v>-0.60445185822930125</v>
      </c>
      <c r="H22" s="1315">
        <f>[11]Tramming!H22</f>
        <v>0.56999999999999995</v>
      </c>
      <c r="I22" s="1314">
        <f>[11]Tramming!I22</f>
        <v>0.49</v>
      </c>
      <c r="J22" s="1314">
        <f>[11]Tramming!J22</f>
        <v>2.42</v>
      </c>
      <c r="K22" s="1314">
        <f>[11]Tramming!K22</f>
        <v>0.49</v>
      </c>
      <c r="L22" s="1314">
        <f>[11]Tramming!L22</f>
        <v>0.35</v>
      </c>
      <c r="M22" s="1314">
        <f>[11]Tramming!M22</f>
        <v>0.32</v>
      </c>
      <c r="N22" s="1314">
        <f>[11]Tramming!N22</f>
        <v>0.28999999999999998</v>
      </c>
      <c r="O22" s="1314">
        <f>[11]Tramming!O22</f>
        <v>0.39</v>
      </c>
      <c r="P22" s="1314">
        <f>[11]Tramming!P22</f>
        <v>0.31</v>
      </c>
      <c r="Q22" s="1314">
        <f>[11]Tramming!Q22</f>
        <v>1.79</v>
      </c>
      <c r="R22" s="1314">
        <f>[11]Tramming!R22</f>
        <v>2.0299999999999998</v>
      </c>
      <c r="S22" s="1314">
        <f>[11]Tramming!S22</f>
        <v>0.55000000000000004</v>
      </c>
      <c r="T22" s="1314">
        <f>[11]Tramming!T22</f>
        <v>0.23</v>
      </c>
      <c r="U22" s="1314">
        <f>[11]Tramming!U22</f>
        <v>1.85</v>
      </c>
      <c r="V22" s="1314">
        <f>[11]Tramming!V22</f>
        <v>0.31</v>
      </c>
      <c r="W22" s="1314">
        <f>[11]Tramming!W22</f>
        <v>0.89</v>
      </c>
      <c r="X22" s="1314">
        <f>[11]Tramming!X22</f>
        <v>0.89</v>
      </c>
      <c r="Y22" s="1314">
        <f>[11]Tramming!Y22</f>
        <v>1.71</v>
      </c>
      <c r="Z22" s="1314">
        <f>[11]Tramming!Z22</f>
        <v>0.55000000000000004</v>
      </c>
      <c r="AA22" s="1314">
        <f>[11]Tramming!AA22</f>
        <v>1.22</v>
      </c>
      <c r="AB22" s="1314">
        <f>[11]Tramming!AB22</f>
        <v>1.92</v>
      </c>
      <c r="AC22" s="1314">
        <f>[11]Tramming!AC22</f>
        <v>0.83</v>
      </c>
      <c r="AD22" s="1314">
        <f>[11]Tramming!AD22</f>
        <v>0.84</v>
      </c>
      <c r="AE22" s="1314">
        <f>[11]Tramming!AE22</f>
        <v>0.88</v>
      </c>
      <c r="AF22" s="1314">
        <f>[11]Tramming!AF22</f>
        <v>0</v>
      </c>
      <c r="AG22" s="1314">
        <f>[11]Tramming!AG22</f>
        <v>0.57999999999999996</v>
      </c>
      <c r="AH22" s="1314">
        <f>[11]Tramming!AH22</f>
        <v>1.1000000000000001</v>
      </c>
      <c r="AI22" s="1314">
        <f>[11]Tramming!AI22</f>
        <v>1.78</v>
      </c>
      <c r="AJ22" s="1314">
        <f>[11]Tramming!AJ22</f>
        <v>1.48</v>
      </c>
      <c r="AK22" s="1314">
        <f>[11]Tramming!AK22</f>
        <v>2.2400000000000002</v>
      </c>
      <c r="AL22" s="1314">
        <f>[11]Tramming!AL22</f>
        <v>2.2400000000000002</v>
      </c>
      <c r="AM22" s="347"/>
    </row>
    <row r="23" spans="1:39" x14ac:dyDescent="0.25">
      <c r="A23" s="202"/>
      <c r="B23" s="1607"/>
      <c r="C23" s="1705"/>
      <c r="D23" s="1685" t="s">
        <v>47</v>
      </c>
      <c r="E23" s="1384" t="s">
        <v>346</v>
      </c>
      <c r="F23" s="206">
        <f>SUMIF($H$9:$AL$9,"&lt;="&amp;$C$7,H23:AL23)</f>
        <v>3.8640000000000003</v>
      </c>
      <c r="G23" s="1385"/>
      <c r="H23" s="1316">
        <f>[11]Tramming!H23</f>
        <v>0</v>
      </c>
      <c r="I23" s="1316">
        <f>[11]Tramming!I23</f>
        <v>0.161</v>
      </c>
      <c r="J23" s="1316">
        <f>[11]Tramming!J23</f>
        <v>0.161</v>
      </c>
      <c r="K23" s="1316">
        <f>[11]Tramming!K23</f>
        <v>0.161</v>
      </c>
      <c r="L23" s="1316">
        <f>[11]Tramming!L23</f>
        <v>0.161</v>
      </c>
      <c r="M23" s="1316">
        <f>[11]Tramming!M23</f>
        <v>0.161</v>
      </c>
      <c r="N23" s="1316">
        <f>[11]Tramming!N23</f>
        <v>0.161</v>
      </c>
      <c r="O23" s="1316">
        <f>[11]Tramming!O23</f>
        <v>0.161</v>
      </c>
      <c r="P23" s="1316">
        <f>[11]Tramming!P23</f>
        <v>0.161</v>
      </c>
      <c r="Q23" s="1316">
        <f>[11]Tramming!Q23</f>
        <v>0.161</v>
      </c>
      <c r="R23" s="1316">
        <f>[11]Tramming!R23</f>
        <v>0.161</v>
      </c>
      <c r="S23" s="1316">
        <f>[11]Tramming!S23</f>
        <v>0.161</v>
      </c>
      <c r="T23" s="1316">
        <f>[11]Tramming!T23</f>
        <v>0.161</v>
      </c>
      <c r="U23" s="1316">
        <f>[11]Tramming!U23</f>
        <v>0.161</v>
      </c>
      <c r="V23" s="1316">
        <f>[11]Tramming!V23</f>
        <v>0.161</v>
      </c>
      <c r="W23" s="1316">
        <f>[11]Tramming!W23</f>
        <v>0.161</v>
      </c>
      <c r="X23" s="1316">
        <f>[11]Tramming!X23</f>
        <v>0.161</v>
      </c>
      <c r="Y23" s="1316">
        <f>[11]Tramming!Y23</f>
        <v>0.161</v>
      </c>
      <c r="Z23" s="1316">
        <f>[11]Tramming!Z23</f>
        <v>0.161</v>
      </c>
      <c r="AA23" s="1316">
        <f>[11]Tramming!AA23</f>
        <v>0.161</v>
      </c>
      <c r="AB23" s="1316">
        <f>[11]Tramming!AB23</f>
        <v>0.161</v>
      </c>
      <c r="AC23" s="1316">
        <f>[11]Tramming!AC23</f>
        <v>0.161</v>
      </c>
      <c r="AD23" s="1316">
        <f>[11]Tramming!AD23</f>
        <v>0.161</v>
      </c>
      <c r="AE23" s="1316">
        <f>[11]Tramming!AE23</f>
        <v>0.161</v>
      </c>
      <c r="AF23" s="1316">
        <f>[11]Tramming!AF23</f>
        <v>0</v>
      </c>
      <c r="AG23" s="1316">
        <f>[11]Tramming!AG23</f>
        <v>0.161</v>
      </c>
      <c r="AH23" s="1316">
        <f>[11]Tramming!AH23</f>
        <v>0.161</v>
      </c>
      <c r="AI23" s="1316">
        <f>[11]Tramming!AI23</f>
        <v>0.161</v>
      </c>
      <c r="AJ23" s="1316">
        <f>[11]Tramming!AJ23</f>
        <v>0.161</v>
      </c>
      <c r="AK23" s="1316">
        <f>[11]Tramming!AK23</f>
        <v>0.161</v>
      </c>
      <c r="AL23" s="1316">
        <f>[11]Tramming!AL23</f>
        <v>0.161</v>
      </c>
      <c r="AM23" s="705"/>
    </row>
    <row r="24" spans="1:39" ht="15.75" thickBot="1" x14ac:dyDescent="0.3">
      <c r="A24" s="202"/>
      <c r="B24" s="1660"/>
      <c r="C24" s="1706"/>
      <c r="D24" s="1708"/>
      <c r="E24" s="1387" t="s">
        <v>347</v>
      </c>
      <c r="F24" s="1321">
        <f>SUMIF($H$9:$AL$9,"&lt;="&amp;$C$7,H24:AL24)</f>
        <v>2.2052599999999996</v>
      </c>
      <c r="G24" s="1388">
        <f>IFERROR((F24-F23)/F23,0)</f>
        <v>-0.42928053830227758</v>
      </c>
      <c r="H24" s="1323">
        <f>[11]Tramming!H24</f>
        <v>3.4199999999999994E-2</v>
      </c>
      <c r="I24" s="1323">
        <f>[11]Tramming!I24</f>
        <v>4.41E-2</v>
      </c>
      <c r="J24" s="1323">
        <f>[11]Tramming!J24</f>
        <v>0.21779999999999999</v>
      </c>
      <c r="K24" s="1323">
        <f>[11]Tramming!K24</f>
        <v>4.41E-2</v>
      </c>
      <c r="L24" s="1323">
        <f>[11]Tramming!L24</f>
        <v>3.1499999999999993E-2</v>
      </c>
      <c r="M24" s="1323">
        <f>[11]Tramming!M24</f>
        <v>1.5359999999999999E-2</v>
      </c>
      <c r="N24" s="1323">
        <f>[11]Tramming!N24</f>
        <v>3.7699999999999997E-2</v>
      </c>
      <c r="O24" s="1323">
        <f>[11]Tramming!O24</f>
        <v>3.7440000000000001E-2</v>
      </c>
      <c r="P24" s="1323">
        <f>[11]Tramming!P24</f>
        <v>2.7899999999999998E-2</v>
      </c>
      <c r="Q24" s="1323">
        <f>[11]Tramming!Q24</f>
        <v>0.16109999999999999</v>
      </c>
      <c r="R24" s="1323">
        <f>[11]Tramming!R24</f>
        <v>0.1827</v>
      </c>
      <c r="S24" s="1323">
        <f>[11]Tramming!S24</f>
        <v>6.6000000000000003E-2</v>
      </c>
      <c r="T24" s="1323">
        <f>[11]Tramming!T24</f>
        <v>2.07E-2</v>
      </c>
      <c r="U24" s="1323">
        <f>[11]Tramming!U24</f>
        <v>0.17574999999999999</v>
      </c>
      <c r="V24" s="1323">
        <f>[11]Tramming!V24</f>
        <v>2.9139999999999999E-2</v>
      </c>
      <c r="W24" s="1323">
        <f>[11]Tramming!W24</f>
        <v>8.455E-2</v>
      </c>
      <c r="X24" s="1323">
        <f>[11]Tramming!X24</f>
        <v>8.0099999999999991E-2</v>
      </c>
      <c r="Y24" s="1323">
        <f>[11]Tramming!Y24</f>
        <v>0.15390000000000001</v>
      </c>
      <c r="Z24" s="1323">
        <f>[11]Tramming!Z24</f>
        <v>5.9400000000000008E-2</v>
      </c>
      <c r="AA24" s="1323">
        <f>[11]Tramming!AA24</f>
        <v>0.13907999999999998</v>
      </c>
      <c r="AB24" s="1323">
        <f>[11]Tramming!AB24</f>
        <v>0.20735999999999999</v>
      </c>
      <c r="AC24" s="1323">
        <f>[11]Tramming!AC24</f>
        <v>8.4659999999999999E-2</v>
      </c>
      <c r="AD24" s="1323">
        <f>[11]Tramming!AD24</f>
        <v>0.1008</v>
      </c>
      <c r="AE24" s="1323">
        <f>[11]Tramming!AE24</f>
        <v>0.10032000000000001</v>
      </c>
      <c r="AF24" s="1323">
        <f>[11]Tramming!AF24</f>
        <v>0</v>
      </c>
      <c r="AG24" s="1323">
        <f>[11]Tramming!AG24</f>
        <v>6.9599999999999995E-2</v>
      </c>
      <c r="AH24" s="1323">
        <f>[11]Tramming!AH24</f>
        <v>9.9000000000000019E-2</v>
      </c>
      <c r="AI24" s="1323">
        <f>[11]Tramming!AI24</f>
        <v>0.21359999999999998</v>
      </c>
      <c r="AJ24" s="1323">
        <f>[11]Tramming!AJ24</f>
        <v>0.17760000000000001</v>
      </c>
      <c r="AK24" s="1323">
        <f>[11]Tramming!AK24</f>
        <v>0.26880000000000004</v>
      </c>
      <c r="AL24" s="1323">
        <f>[11]Tramming!AL24</f>
        <v>0.20160000000000003</v>
      </c>
      <c r="AM24" s="706"/>
    </row>
    <row r="25" spans="1:39" ht="14.25" customHeight="1" x14ac:dyDescent="0.25">
      <c r="A25" s="194"/>
      <c r="B25" s="1608"/>
      <c r="C25" s="1704" t="str">
        <f>[11]Tramming!C25</f>
        <v>3L_W23A STOPE</v>
      </c>
      <c r="D25" s="1684" t="s">
        <v>340</v>
      </c>
      <c r="E25" s="195" t="s">
        <v>341</v>
      </c>
      <c r="F25" s="196">
        <f t="shared" ref="F25:F26" si="2">SUMIF($H$9:$AL$9,"&lt;="&amp;$C$7,H25:AL25)</f>
        <v>1680</v>
      </c>
      <c r="G25" s="197"/>
      <c r="H25" s="198">
        <f>[11]Tramming!H25</f>
        <v>0</v>
      </c>
      <c r="I25" s="198">
        <f>[11]Tramming!I25</f>
        <v>70</v>
      </c>
      <c r="J25" s="198">
        <f>[11]Tramming!J25</f>
        <v>70</v>
      </c>
      <c r="K25" s="199">
        <f>[11]Tramming!K25</f>
        <v>70</v>
      </c>
      <c r="L25" s="199">
        <f>[11]Tramming!L25</f>
        <v>70</v>
      </c>
      <c r="M25" s="199">
        <f>[11]Tramming!M25</f>
        <v>70</v>
      </c>
      <c r="N25" s="199">
        <f>[11]Tramming!N25</f>
        <v>70</v>
      </c>
      <c r="O25" s="199">
        <f>[11]Tramming!O25</f>
        <v>70</v>
      </c>
      <c r="P25" s="200">
        <f>[11]Tramming!P25</f>
        <v>70</v>
      </c>
      <c r="Q25" s="199">
        <f>[11]Tramming!Q25</f>
        <v>70</v>
      </c>
      <c r="R25" s="199">
        <f>[11]Tramming!R25</f>
        <v>70</v>
      </c>
      <c r="S25" s="199">
        <f>[11]Tramming!S25</f>
        <v>70</v>
      </c>
      <c r="T25" s="199">
        <f>[11]Tramming!T25</f>
        <v>70</v>
      </c>
      <c r="U25" s="199">
        <f>[11]Tramming!U25</f>
        <v>70</v>
      </c>
      <c r="V25" s="199">
        <f>[11]Tramming!V25</f>
        <v>70</v>
      </c>
      <c r="W25" s="199">
        <f>[11]Tramming!W25</f>
        <v>70</v>
      </c>
      <c r="X25" s="199">
        <f>[11]Tramming!X25</f>
        <v>70</v>
      </c>
      <c r="Y25" s="199">
        <f>[11]Tramming!Y25</f>
        <v>70</v>
      </c>
      <c r="Z25" s="199">
        <f>[11]Tramming!Z25</f>
        <v>70</v>
      </c>
      <c r="AA25" s="199">
        <f>[11]Tramming!AA25</f>
        <v>70</v>
      </c>
      <c r="AB25" s="199">
        <f>[11]Tramming!AB25</f>
        <v>70</v>
      </c>
      <c r="AC25" s="199">
        <f>[11]Tramming!AC25</f>
        <v>70</v>
      </c>
      <c r="AD25" s="199">
        <f>[11]Tramming!AD25</f>
        <v>70</v>
      </c>
      <c r="AE25" s="199">
        <f>[11]Tramming!AE25</f>
        <v>70</v>
      </c>
      <c r="AF25" s="199">
        <f>[11]Tramming!AF25</f>
        <v>0</v>
      </c>
      <c r="AG25" s="199">
        <f>[11]Tramming!AG25</f>
        <v>70</v>
      </c>
      <c r="AH25" s="199">
        <f>[11]Tramming!AH25</f>
        <v>70</v>
      </c>
      <c r="AI25" s="199">
        <f>[11]Tramming!AI25</f>
        <v>70</v>
      </c>
      <c r="AJ25" s="199">
        <f>[11]Tramming!AJ25</f>
        <v>70</v>
      </c>
      <c r="AK25" s="199">
        <f>[11]Tramming!AK25</f>
        <v>70</v>
      </c>
      <c r="AL25" s="201">
        <f>[11]Tramming!AL25</f>
        <v>70</v>
      </c>
      <c r="AM25" s="704"/>
    </row>
    <row r="26" spans="1:39" x14ac:dyDescent="0.25">
      <c r="A26" s="202"/>
      <c r="B26" s="1607"/>
      <c r="C26" s="1705"/>
      <c r="D26" s="1688"/>
      <c r="E26" s="1379" t="s">
        <v>342</v>
      </c>
      <c r="F26" s="1303">
        <f t="shared" si="2"/>
        <v>0</v>
      </c>
      <c r="G26" s="1380">
        <f t="shared" ref="G26" si="3">IFERROR((F26-F25)/F25,0)</f>
        <v>-1</v>
      </c>
      <c r="H26" s="1305">
        <f>[11]Tramming!H26</f>
        <v>0</v>
      </c>
      <c r="I26" s="1303">
        <f>[11]Tramming!I26</f>
        <v>0</v>
      </c>
      <c r="J26" s="1303">
        <f>[11]Tramming!J26</f>
        <v>0</v>
      </c>
      <c r="K26" s="1303">
        <f>[11]Tramming!K26</f>
        <v>0</v>
      </c>
      <c r="L26" s="1303">
        <f>[11]Tramming!L26</f>
        <v>0</v>
      </c>
      <c r="M26" s="1303">
        <f>[11]Tramming!M26</f>
        <v>0</v>
      </c>
      <c r="N26" s="1303">
        <f>[11]Tramming!N26</f>
        <v>0</v>
      </c>
      <c r="O26" s="1303">
        <f>[11]Tramming!O26</f>
        <v>0</v>
      </c>
      <c r="P26" s="1303">
        <f>[11]Tramming!P26</f>
        <v>0</v>
      </c>
      <c r="Q26" s="1303">
        <f>[11]Tramming!Q26</f>
        <v>0</v>
      </c>
      <c r="R26" s="1303">
        <f>[11]Tramming!R26</f>
        <v>0</v>
      </c>
      <c r="S26" s="1303">
        <f>[11]Tramming!S26</f>
        <v>0</v>
      </c>
      <c r="T26" s="1303">
        <f>[11]Tramming!T26</f>
        <v>0</v>
      </c>
      <c r="U26" s="1303">
        <f>[11]Tramming!U26</f>
        <v>0</v>
      </c>
      <c r="V26" s="1303">
        <f>[11]Tramming!V26</f>
        <v>0</v>
      </c>
      <c r="W26" s="1303">
        <f>[11]Tramming!W26</f>
        <v>0</v>
      </c>
      <c r="X26" s="1303">
        <f>[11]Tramming!X26</f>
        <v>0</v>
      </c>
      <c r="Y26" s="1303">
        <f>[11]Tramming!Y26</f>
        <v>0</v>
      </c>
      <c r="Z26" s="1303">
        <f>[11]Tramming!Z26</f>
        <v>0</v>
      </c>
      <c r="AA26" s="1303">
        <f>[11]Tramming!AA26</f>
        <v>0</v>
      </c>
      <c r="AB26" s="1303">
        <f>[11]Tramming!AB26</f>
        <v>0</v>
      </c>
      <c r="AC26" s="1303">
        <f>[11]Tramming!AC26</f>
        <v>0</v>
      </c>
      <c r="AD26" s="1303">
        <f>[11]Tramming!AD26</f>
        <v>0</v>
      </c>
      <c r="AE26" s="1303">
        <f>[11]Tramming!AE26</f>
        <v>0</v>
      </c>
      <c r="AF26" s="1303">
        <f>[11]Tramming!AF26</f>
        <v>0</v>
      </c>
      <c r="AG26" s="1303">
        <f>[11]Tramming!AG26</f>
        <v>0</v>
      </c>
      <c r="AH26" s="1303">
        <f>[11]Tramming!AH26</f>
        <v>0</v>
      </c>
      <c r="AI26" s="1303">
        <f>[11]Tramming!AI26</f>
        <v>0</v>
      </c>
      <c r="AJ26" s="1303">
        <f>[11]Tramming!AJ26</f>
        <v>0</v>
      </c>
      <c r="AK26" s="1303">
        <f>[11]Tramming!AK26</f>
        <v>0</v>
      </c>
      <c r="AL26" s="1303">
        <f>[11]Tramming!AL26</f>
        <v>0</v>
      </c>
      <c r="AM26" s="347"/>
    </row>
    <row r="27" spans="1:39" x14ac:dyDescent="0.25">
      <c r="A27" s="202"/>
      <c r="B27" s="1607"/>
      <c r="C27" s="1705"/>
      <c r="D27" s="1688"/>
      <c r="E27" s="1389" t="s">
        <v>312</v>
      </c>
      <c r="F27" s="1382"/>
      <c r="G27" s="1383"/>
      <c r="H27" s="203"/>
      <c r="I27" s="203"/>
      <c r="J27" s="203"/>
      <c r="K27" s="203"/>
      <c r="L27" s="203"/>
      <c r="M27" s="203"/>
      <c r="N27" s="203"/>
      <c r="O27" s="203"/>
      <c r="P27" s="204"/>
      <c r="Q27" s="203"/>
      <c r="R27" s="203"/>
      <c r="S27" s="203"/>
      <c r="T27" s="203"/>
      <c r="U27" s="203"/>
      <c r="V27" s="203"/>
      <c r="W27" s="203"/>
      <c r="X27" s="203"/>
      <c r="Y27" s="203"/>
      <c r="Z27" s="203"/>
      <c r="AA27" s="203"/>
      <c r="AB27" s="203"/>
      <c r="AC27" s="203"/>
      <c r="AD27" s="203"/>
      <c r="AE27" s="203"/>
      <c r="AF27" s="203"/>
      <c r="AG27" s="203"/>
      <c r="AH27" s="203"/>
      <c r="AI27" s="203"/>
      <c r="AJ27" s="203"/>
      <c r="AK27" s="203"/>
      <c r="AL27" s="205"/>
      <c r="AM27" s="347"/>
    </row>
    <row r="28" spans="1:39" x14ac:dyDescent="0.25">
      <c r="A28" s="202"/>
      <c r="B28" s="1607"/>
      <c r="C28" s="1705"/>
      <c r="D28" s="1685" t="s">
        <v>343</v>
      </c>
      <c r="E28" s="1384" t="s">
        <v>344</v>
      </c>
      <c r="F28" s="1310">
        <f t="shared" ref="F28:F29" si="4">IFERROR(F30*1000/F25,0)</f>
        <v>3.8499999999999988</v>
      </c>
      <c r="G28" s="1385"/>
      <c r="H28" s="1312">
        <f>[11]Tramming!H28</f>
        <v>0</v>
      </c>
      <c r="I28" s="1312">
        <f>[11]Tramming!I28</f>
        <v>3.85</v>
      </c>
      <c r="J28" s="1312">
        <f>[11]Tramming!J28</f>
        <v>3.85</v>
      </c>
      <c r="K28" s="1333">
        <f>[11]Tramming!K28</f>
        <v>3.85</v>
      </c>
      <c r="L28" s="1333">
        <f>[11]Tramming!L28</f>
        <v>3.85</v>
      </c>
      <c r="M28" s="1333">
        <f>[11]Tramming!M28</f>
        <v>3.85</v>
      </c>
      <c r="N28" s="1333">
        <f>[11]Tramming!N28</f>
        <v>3.85</v>
      </c>
      <c r="O28" s="1333">
        <f>[11]Tramming!O28</f>
        <v>3.85</v>
      </c>
      <c r="P28" s="1334">
        <f>[11]Tramming!P28</f>
        <v>3.85</v>
      </c>
      <c r="Q28" s="1333">
        <f>[11]Tramming!Q28</f>
        <v>3.85</v>
      </c>
      <c r="R28" s="1333">
        <f>[11]Tramming!R28</f>
        <v>3.85</v>
      </c>
      <c r="S28" s="1333">
        <f>[11]Tramming!S28</f>
        <v>3.85</v>
      </c>
      <c r="T28" s="1333">
        <f>[11]Tramming!T28</f>
        <v>3.85</v>
      </c>
      <c r="U28" s="1333">
        <f>[11]Tramming!U28</f>
        <v>3.85</v>
      </c>
      <c r="V28" s="1333">
        <f>[11]Tramming!V28</f>
        <v>3.85</v>
      </c>
      <c r="W28" s="1333">
        <f>[11]Tramming!W28</f>
        <v>3.85</v>
      </c>
      <c r="X28" s="1333">
        <f>[11]Tramming!X28</f>
        <v>3.85</v>
      </c>
      <c r="Y28" s="1333">
        <f>[11]Tramming!Y28</f>
        <v>3.85</v>
      </c>
      <c r="Z28" s="1333">
        <f>[11]Tramming!Z28</f>
        <v>3.85</v>
      </c>
      <c r="AA28" s="1333">
        <f>[11]Tramming!AA28</f>
        <v>3.85</v>
      </c>
      <c r="AB28" s="1333">
        <f>[11]Tramming!AB28</f>
        <v>3.85</v>
      </c>
      <c r="AC28" s="1333">
        <f>[11]Tramming!AC28</f>
        <v>3.85</v>
      </c>
      <c r="AD28" s="1333">
        <f>[11]Tramming!AD28</f>
        <v>3.85</v>
      </c>
      <c r="AE28" s="1333">
        <f>[11]Tramming!AE28</f>
        <v>3.85</v>
      </c>
      <c r="AF28" s="1333">
        <f>[11]Tramming!AF28</f>
        <v>0</v>
      </c>
      <c r="AG28" s="1333">
        <f>[11]Tramming!AG28</f>
        <v>3.85</v>
      </c>
      <c r="AH28" s="1333">
        <f>[11]Tramming!AH28</f>
        <v>3.85</v>
      </c>
      <c r="AI28" s="1333">
        <f>[11]Tramming!AI28</f>
        <v>3.85</v>
      </c>
      <c r="AJ28" s="1333">
        <f>[11]Tramming!AJ28</f>
        <v>3.85</v>
      </c>
      <c r="AK28" s="1333">
        <f>[11]Tramming!AK28</f>
        <v>3.85</v>
      </c>
      <c r="AL28" s="1335">
        <f>[11]Tramming!AL28</f>
        <v>3.85</v>
      </c>
      <c r="AM28" s="347"/>
    </row>
    <row r="29" spans="1:39" x14ac:dyDescent="0.25">
      <c r="A29" s="202"/>
      <c r="B29" s="1607"/>
      <c r="C29" s="1705"/>
      <c r="D29" s="1707"/>
      <c r="E29" s="1386" t="s">
        <v>345</v>
      </c>
      <c r="F29" s="1314">
        <f t="shared" si="4"/>
        <v>0</v>
      </c>
      <c r="G29" s="1380">
        <f t="shared" ref="G29" si="5">IFERROR((F29-F28)/F28,0)</f>
        <v>-1</v>
      </c>
      <c r="H29" s="1315">
        <f>[11]Tramming!H29</f>
        <v>2.11</v>
      </c>
      <c r="I29" s="1314">
        <f>[11]Tramming!I29</f>
        <v>0</v>
      </c>
      <c r="J29" s="1314">
        <f>[11]Tramming!J29</f>
        <v>0</v>
      </c>
      <c r="K29" s="1314">
        <f>[11]Tramming!K29</f>
        <v>0</v>
      </c>
      <c r="L29" s="1314">
        <f>[11]Tramming!L29</f>
        <v>0</v>
      </c>
      <c r="M29" s="1314">
        <f>[11]Tramming!M29</f>
        <v>0</v>
      </c>
      <c r="N29" s="1314">
        <f>[11]Tramming!N29</f>
        <v>0</v>
      </c>
      <c r="O29" s="1314">
        <f>[11]Tramming!O29</f>
        <v>0</v>
      </c>
      <c r="P29" s="1314">
        <f>[11]Tramming!P29</f>
        <v>0</v>
      </c>
      <c r="Q29" s="1314">
        <f>[11]Tramming!Q29</f>
        <v>0</v>
      </c>
      <c r="R29" s="1314">
        <f>[11]Tramming!R29</f>
        <v>0</v>
      </c>
      <c r="S29" s="1314">
        <f>[11]Tramming!S29</f>
        <v>0</v>
      </c>
      <c r="T29" s="1314">
        <f>[11]Tramming!T29</f>
        <v>0</v>
      </c>
      <c r="U29" s="1314">
        <f>[11]Tramming!U29</f>
        <v>0</v>
      </c>
      <c r="V29" s="1314">
        <f>[11]Tramming!V29</f>
        <v>0</v>
      </c>
      <c r="W29" s="1314">
        <f>[11]Tramming!W29</f>
        <v>0</v>
      </c>
      <c r="X29" s="1314">
        <f>[11]Tramming!X29</f>
        <v>0</v>
      </c>
      <c r="Y29" s="1314">
        <f>[11]Tramming!Y29</f>
        <v>0</v>
      </c>
      <c r="Z29" s="1314">
        <f>[11]Tramming!Z29</f>
        <v>0</v>
      </c>
      <c r="AA29" s="1314">
        <f>[11]Tramming!AA29</f>
        <v>0</v>
      </c>
      <c r="AB29" s="1314">
        <f>[11]Tramming!AB29</f>
        <v>0</v>
      </c>
      <c r="AC29" s="1314">
        <f>[11]Tramming!AC29</f>
        <v>0</v>
      </c>
      <c r="AD29" s="1314">
        <f>[11]Tramming!AD29</f>
        <v>0</v>
      </c>
      <c r="AE29" s="1314">
        <f>[11]Tramming!AE29</f>
        <v>0</v>
      </c>
      <c r="AF29" s="1314">
        <f>[11]Tramming!AF29</f>
        <v>0</v>
      </c>
      <c r="AG29" s="1314">
        <f>[11]Tramming!AG29</f>
        <v>0</v>
      </c>
      <c r="AH29" s="1314">
        <f>[11]Tramming!AH29</f>
        <v>0</v>
      </c>
      <c r="AI29" s="1314">
        <f>[11]Tramming!AI29</f>
        <v>0</v>
      </c>
      <c r="AJ29" s="1314">
        <f>[11]Tramming!AJ29</f>
        <v>0</v>
      </c>
      <c r="AK29" s="1314">
        <f>[11]Tramming!AK29</f>
        <v>0</v>
      </c>
      <c r="AL29" s="1314">
        <f>[11]Tramming!AL29</f>
        <v>0</v>
      </c>
      <c r="AM29" s="347"/>
    </row>
    <row r="30" spans="1:39" x14ac:dyDescent="0.25">
      <c r="A30" s="202"/>
      <c r="B30" s="1607"/>
      <c r="C30" s="1705"/>
      <c r="D30" s="1685" t="s">
        <v>47</v>
      </c>
      <c r="E30" s="1384" t="s">
        <v>346</v>
      </c>
      <c r="F30" s="206">
        <f t="shared" ref="F30:F33" si="6">SUMIF($H$9:$AL$9,"&lt;="&amp;$C$7,H30:AL30)</f>
        <v>6.4679999999999982</v>
      </c>
      <c r="G30" s="1385"/>
      <c r="H30" s="1316">
        <f>[11]Tramming!H30</f>
        <v>0</v>
      </c>
      <c r="I30" s="1316">
        <f>[11]Tramming!I30</f>
        <v>0.26950000000000002</v>
      </c>
      <c r="J30" s="1316">
        <f>[11]Tramming!J30</f>
        <v>0.26950000000000002</v>
      </c>
      <c r="K30" s="1316">
        <f>[11]Tramming!K30</f>
        <v>0.26950000000000002</v>
      </c>
      <c r="L30" s="1316">
        <f>[11]Tramming!L30</f>
        <v>0.26950000000000002</v>
      </c>
      <c r="M30" s="1316">
        <f>[11]Tramming!M30</f>
        <v>0.26950000000000002</v>
      </c>
      <c r="N30" s="1316">
        <f>[11]Tramming!N30</f>
        <v>0.26950000000000002</v>
      </c>
      <c r="O30" s="1316">
        <f>[11]Tramming!O30</f>
        <v>0.26950000000000002</v>
      </c>
      <c r="P30" s="1316">
        <f>[11]Tramming!P30</f>
        <v>0.26950000000000002</v>
      </c>
      <c r="Q30" s="1316">
        <f>[11]Tramming!Q30</f>
        <v>0.26950000000000002</v>
      </c>
      <c r="R30" s="1316">
        <f>[11]Tramming!R30</f>
        <v>0.26950000000000002</v>
      </c>
      <c r="S30" s="1316">
        <f>[11]Tramming!S30</f>
        <v>0.26950000000000002</v>
      </c>
      <c r="T30" s="1316">
        <f>[11]Tramming!T30</f>
        <v>0.26950000000000002</v>
      </c>
      <c r="U30" s="1316">
        <f>[11]Tramming!U30</f>
        <v>0.26950000000000002</v>
      </c>
      <c r="V30" s="1316">
        <f>[11]Tramming!V30</f>
        <v>0.26950000000000002</v>
      </c>
      <c r="W30" s="1316">
        <f>[11]Tramming!W30</f>
        <v>0.26950000000000002</v>
      </c>
      <c r="X30" s="1316">
        <f>[11]Tramming!X30</f>
        <v>0.26950000000000002</v>
      </c>
      <c r="Y30" s="1316">
        <f>[11]Tramming!Y30</f>
        <v>0.26950000000000002</v>
      </c>
      <c r="Z30" s="1316">
        <f>[11]Tramming!Z30</f>
        <v>0.26950000000000002</v>
      </c>
      <c r="AA30" s="1316">
        <f>[11]Tramming!AA30</f>
        <v>0.26950000000000002</v>
      </c>
      <c r="AB30" s="1316">
        <f>[11]Tramming!AB30</f>
        <v>0.26950000000000002</v>
      </c>
      <c r="AC30" s="1316">
        <f>[11]Tramming!AC30</f>
        <v>0.26950000000000002</v>
      </c>
      <c r="AD30" s="1316">
        <f>[11]Tramming!AD30</f>
        <v>0.26950000000000002</v>
      </c>
      <c r="AE30" s="1316">
        <f>[11]Tramming!AE30</f>
        <v>0.26950000000000002</v>
      </c>
      <c r="AF30" s="1316">
        <f>[11]Tramming!AF30</f>
        <v>0</v>
      </c>
      <c r="AG30" s="1316">
        <f>[11]Tramming!AG30</f>
        <v>0.26950000000000002</v>
      </c>
      <c r="AH30" s="1316">
        <f>[11]Tramming!AH30</f>
        <v>0.26950000000000002</v>
      </c>
      <c r="AI30" s="1316">
        <f>[11]Tramming!AI30</f>
        <v>0.26950000000000002</v>
      </c>
      <c r="AJ30" s="1316">
        <f>[11]Tramming!AJ30</f>
        <v>0.26950000000000002</v>
      </c>
      <c r="AK30" s="1316">
        <f>[11]Tramming!AK30</f>
        <v>0.26950000000000002</v>
      </c>
      <c r="AL30" s="1316">
        <f>[11]Tramming!AL30</f>
        <v>0.26950000000000002</v>
      </c>
      <c r="AM30" s="705"/>
    </row>
    <row r="31" spans="1:39" ht="15.75" thickBot="1" x14ac:dyDescent="0.3">
      <c r="A31" s="202"/>
      <c r="B31" s="1660"/>
      <c r="C31" s="1706"/>
      <c r="D31" s="1708"/>
      <c r="E31" s="1387" t="s">
        <v>347</v>
      </c>
      <c r="F31" s="1321">
        <f t="shared" si="6"/>
        <v>0</v>
      </c>
      <c r="G31" s="1388">
        <f t="shared" ref="G31" si="7">IFERROR((F31-F30)/F30,0)</f>
        <v>-1</v>
      </c>
      <c r="H31" s="1323">
        <f>[11]Tramming!H31</f>
        <v>0</v>
      </c>
      <c r="I31" s="1323">
        <f>[11]Tramming!I31</f>
        <v>0</v>
      </c>
      <c r="J31" s="1323">
        <f>[11]Tramming!J31</f>
        <v>0</v>
      </c>
      <c r="K31" s="1323">
        <f>[11]Tramming!K31</f>
        <v>0</v>
      </c>
      <c r="L31" s="1323">
        <f>[11]Tramming!L31</f>
        <v>0</v>
      </c>
      <c r="M31" s="1323">
        <f>[11]Tramming!M31</f>
        <v>0</v>
      </c>
      <c r="N31" s="1323">
        <f>[11]Tramming!N31</f>
        <v>0</v>
      </c>
      <c r="O31" s="1323">
        <f>[11]Tramming!O31</f>
        <v>0</v>
      </c>
      <c r="P31" s="1323">
        <f>[11]Tramming!P31</f>
        <v>0</v>
      </c>
      <c r="Q31" s="1323">
        <f>[11]Tramming!Q31</f>
        <v>0</v>
      </c>
      <c r="R31" s="1323">
        <f>[11]Tramming!R31</f>
        <v>0</v>
      </c>
      <c r="S31" s="1323">
        <f>[11]Tramming!S31</f>
        <v>0</v>
      </c>
      <c r="T31" s="1323">
        <f>[11]Tramming!T31</f>
        <v>0</v>
      </c>
      <c r="U31" s="1323">
        <f>[11]Tramming!U31</f>
        <v>0</v>
      </c>
      <c r="V31" s="1323">
        <f>[11]Tramming!V31</f>
        <v>0</v>
      </c>
      <c r="W31" s="1323">
        <f>[11]Tramming!W31</f>
        <v>0</v>
      </c>
      <c r="X31" s="1323">
        <f>[11]Tramming!X31</f>
        <v>0</v>
      </c>
      <c r="Y31" s="1323">
        <f>[11]Tramming!Y31</f>
        <v>0</v>
      </c>
      <c r="Z31" s="1323">
        <f>[11]Tramming!Z31</f>
        <v>0</v>
      </c>
      <c r="AA31" s="1323">
        <f>[11]Tramming!AA31</f>
        <v>0</v>
      </c>
      <c r="AB31" s="1323">
        <f>[11]Tramming!AB31</f>
        <v>0</v>
      </c>
      <c r="AC31" s="1323">
        <f>[11]Tramming!AC31</f>
        <v>0</v>
      </c>
      <c r="AD31" s="1323">
        <f>[11]Tramming!AD31</f>
        <v>0</v>
      </c>
      <c r="AE31" s="1323">
        <f>[11]Tramming!AE31</f>
        <v>0</v>
      </c>
      <c r="AF31" s="1323">
        <f>[11]Tramming!AF31</f>
        <v>0</v>
      </c>
      <c r="AG31" s="1323">
        <f>[11]Tramming!AG31</f>
        <v>0</v>
      </c>
      <c r="AH31" s="1323">
        <f>[11]Tramming!AH31</f>
        <v>0</v>
      </c>
      <c r="AI31" s="1323">
        <f>[11]Tramming!AI31</f>
        <v>0</v>
      </c>
      <c r="AJ31" s="1323">
        <f>[11]Tramming!AJ31</f>
        <v>0</v>
      </c>
      <c r="AK31" s="1323">
        <f>[11]Tramming!AK31</f>
        <v>0</v>
      </c>
      <c r="AL31" s="1323">
        <f>[11]Tramming!AL31</f>
        <v>0</v>
      </c>
      <c r="AM31" s="706"/>
    </row>
    <row r="32" spans="1:39" ht="14.25" customHeight="1" x14ac:dyDescent="0.25">
      <c r="A32" s="194"/>
      <c r="B32" s="1608"/>
      <c r="C32" s="1704" t="str">
        <f>[11]Tramming!C32</f>
        <v>3L_W24A STOPE</v>
      </c>
      <c r="D32" s="1684" t="s">
        <v>340</v>
      </c>
      <c r="E32" s="195" t="s">
        <v>341</v>
      </c>
      <c r="F32" s="196">
        <f t="shared" si="6"/>
        <v>1680</v>
      </c>
      <c r="G32" s="197"/>
      <c r="H32" s="198">
        <f>[11]Tramming!H32</f>
        <v>0</v>
      </c>
      <c r="I32" s="198">
        <f>[11]Tramming!I32</f>
        <v>70</v>
      </c>
      <c r="J32" s="198">
        <f>[11]Tramming!J32</f>
        <v>70</v>
      </c>
      <c r="K32" s="199">
        <f>[11]Tramming!K32</f>
        <v>70</v>
      </c>
      <c r="L32" s="199">
        <f>[11]Tramming!L32</f>
        <v>70</v>
      </c>
      <c r="M32" s="199">
        <f>[11]Tramming!M32</f>
        <v>70</v>
      </c>
      <c r="N32" s="199">
        <f>[11]Tramming!N32</f>
        <v>70</v>
      </c>
      <c r="O32" s="199">
        <f>[11]Tramming!O32</f>
        <v>70</v>
      </c>
      <c r="P32" s="200">
        <f>[11]Tramming!P32</f>
        <v>70</v>
      </c>
      <c r="Q32" s="199">
        <f>[11]Tramming!Q32</f>
        <v>70</v>
      </c>
      <c r="R32" s="199">
        <f>[11]Tramming!R32</f>
        <v>70</v>
      </c>
      <c r="S32" s="199">
        <f>[11]Tramming!S32</f>
        <v>70</v>
      </c>
      <c r="T32" s="199">
        <f>[11]Tramming!T32</f>
        <v>70</v>
      </c>
      <c r="U32" s="199">
        <f>[11]Tramming!U32</f>
        <v>70</v>
      </c>
      <c r="V32" s="199">
        <f>[11]Tramming!V32</f>
        <v>70</v>
      </c>
      <c r="W32" s="199">
        <f>[11]Tramming!W32</f>
        <v>70</v>
      </c>
      <c r="X32" s="199">
        <f>[11]Tramming!X32</f>
        <v>70</v>
      </c>
      <c r="Y32" s="199">
        <f>[11]Tramming!Y32</f>
        <v>70</v>
      </c>
      <c r="Z32" s="199">
        <f>[11]Tramming!Z32</f>
        <v>70</v>
      </c>
      <c r="AA32" s="199">
        <f>[11]Tramming!AA32</f>
        <v>70</v>
      </c>
      <c r="AB32" s="199">
        <f>[11]Tramming!AB32</f>
        <v>70</v>
      </c>
      <c r="AC32" s="199">
        <f>[11]Tramming!AC32</f>
        <v>70</v>
      </c>
      <c r="AD32" s="199">
        <f>[11]Tramming!AD32</f>
        <v>70</v>
      </c>
      <c r="AE32" s="199">
        <f>[11]Tramming!AE32</f>
        <v>70</v>
      </c>
      <c r="AF32" s="199">
        <f>[11]Tramming!AF32</f>
        <v>0</v>
      </c>
      <c r="AG32" s="199">
        <f>[11]Tramming!AG32</f>
        <v>70</v>
      </c>
      <c r="AH32" s="199">
        <f>[11]Tramming!AH32</f>
        <v>0</v>
      </c>
      <c r="AI32" s="199">
        <f>[11]Tramming!AI32</f>
        <v>70</v>
      </c>
      <c r="AJ32" s="199">
        <f>[11]Tramming!AJ32</f>
        <v>70</v>
      </c>
      <c r="AK32" s="199">
        <f>[11]Tramming!AK32</f>
        <v>70</v>
      </c>
      <c r="AL32" s="201">
        <f>[11]Tramming!AL32</f>
        <v>70</v>
      </c>
      <c r="AM32" s="704"/>
    </row>
    <row r="33" spans="1:39" x14ac:dyDescent="0.25">
      <c r="A33" s="202"/>
      <c r="B33" s="1607"/>
      <c r="C33" s="1705"/>
      <c r="D33" s="1688"/>
      <c r="E33" s="1379" t="s">
        <v>342</v>
      </c>
      <c r="F33" s="1303">
        <f t="shared" si="6"/>
        <v>2583</v>
      </c>
      <c r="G33" s="1380">
        <f t="shared" ref="G33" si="8">IFERROR((F33-F32)/F32,0)</f>
        <v>0.53749999999999998</v>
      </c>
      <c r="H33" s="1305">
        <f>[11]Tramming!H33</f>
        <v>120</v>
      </c>
      <c r="I33" s="1303">
        <f>[11]Tramming!I33</f>
        <v>228</v>
      </c>
      <c r="J33" s="1303">
        <f>[11]Tramming!J33</f>
        <v>216</v>
      </c>
      <c r="K33" s="1303">
        <f>[11]Tramming!K33</f>
        <v>162</v>
      </c>
      <c r="L33" s="1303">
        <f>[11]Tramming!L33</f>
        <v>228</v>
      </c>
      <c r="M33" s="1303">
        <f>[11]Tramming!M33</f>
        <v>180</v>
      </c>
      <c r="N33" s="1303">
        <f>[11]Tramming!N33</f>
        <v>170</v>
      </c>
      <c r="O33" s="1303">
        <f>[11]Tramming!O33</f>
        <v>36</v>
      </c>
      <c r="P33" s="1303">
        <f>[11]Tramming!P33</f>
        <v>18</v>
      </c>
      <c r="Q33" s="1303">
        <f>[11]Tramming!Q33</f>
        <v>140</v>
      </c>
      <c r="R33" s="1303">
        <f>[11]Tramming!R33</f>
        <v>159</v>
      </c>
      <c r="S33" s="1303">
        <f>[11]Tramming!S33</f>
        <v>24</v>
      </c>
      <c r="T33" s="1303">
        <f>[11]Tramming!T33</f>
        <v>90</v>
      </c>
      <c r="U33" s="1303">
        <f>[11]Tramming!U33</f>
        <v>72</v>
      </c>
      <c r="V33" s="1303">
        <f>[11]Tramming!V33</f>
        <v>130</v>
      </c>
      <c r="W33" s="1303">
        <f>[11]Tramming!W33</f>
        <v>104</v>
      </c>
      <c r="X33" s="1303">
        <f>[11]Tramming!X33</f>
        <v>114</v>
      </c>
      <c r="Y33" s="1303">
        <f>[11]Tramming!Y33</f>
        <v>72</v>
      </c>
      <c r="Z33" s="1303">
        <f>[11]Tramming!Z33</f>
        <v>0</v>
      </c>
      <c r="AA33" s="1303">
        <f>[11]Tramming!AA33</f>
        <v>0</v>
      </c>
      <c r="AB33" s="1303">
        <f>[11]Tramming!AB33</f>
        <v>72</v>
      </c>
      <c r="AC33" s="1303">
        <f>[11]Tramming!AC33</f>
        <v>68</v>
      </c>
      <c r="AD33" s="1303">
        <f>[11]Tramming!AD33</f>
        <v>70</v>
      </c>
      <c r="AE33" s="1303">
        <f>[11]Tramming!AE33</f>
        <v>72</v>
      </c>
      <c r="AF33" s="1303">
        <f>[11]Tramming!AF33</f>
        <v>0</v>
      </c>
      <c r="AG33" s="1303">
        <f>[11]Tramming!AG33</f>
        <v>38</v>
      </c>
      <c r="AH33" s="1303">
        <f>[11]Tramming!AH33</f>
        <v>82</v>
      </c>
      <c r="AI33" s="1303">
        <f>[11]Tramming!AI33</f>
        <v>38</v>
      </c>
      <c r="AJ33" s="1303">
        <f>[11]Tramming!AJ33</f>
        <v>40</v>
      </c>
      <c r="AK33" s="1303">
        <f>[11]Tramming!AK33</f>
        <v>0</v>
      </c>
      <c r="AL33" s="1303">
        <f>[11]Tramming!AL33</f>
        <v>0</v>
      </c>
      <c r="AM33" s="347"/>
    </row>
    <row r="34" spans="1:39" x14ac:dyDescent="0.25">
      <c r="A34" s="202"/>
      <c r="B34" s="1607"/>
      <c r="C34" s="1705"/>
      <c r="D34" s="1688"/>
      <c r="E34" s="1389" t="s">
        <v>312</v>
      </c>
      <c r="F34" s="1382"/>
      <c r="G34" s="1383"/>
      <c r="H34" s="203"/>
      <c r="I34" s="203"/>
      <c r="J34" s="203"/>
      <c r="K34" s="203"/>
      <c r="L34" s="203"/>
      <c r="M34" s="203"/>
      <c r="N34" s="203"/>
      <c r="O34" s="203"/>
      <c r="P34" s="204"/>
      <c r="Q34" s="203"/>
      <c r="R34" s="203"/>
      <c r="S34" s="203"/>
      <c r="T34" s="203"/>
      <c r="U34" s="203"/>
      <c r="V34" s="203"/>
      <c r="W34" s="203"/>
      <c r="X34" s="203"/>
      <c r="Y34" s="203"/>
      <c r="Z34" s="203"/>
      <c r="AA34" s="203"/>
      <c r="AB34" s="203"/>
      <c r="AC34" s="203"/>
      <c r="AD34" s="203"/>
      <c r="AE34" s="203"/>
      <c r="AF34" s="203"/>
      <c r="AG34" s="203"/>
      <c r="AH34" s="203"/>
      <c r="AI34" s="203"/>
      <c r="AJ34" s="203"/>
      <c r="AK34" s="203"/>
      <c r="AL34" s="205"/>
      <c r="AM34" s="347"/>
    </row>
    <row r="35" spans="1:39" x14ac:dyDescent="0.25">
      <c r="A35" s="202"/>
      <c r="B35" s="1607"/>
      <c r="C35" s="1705"/>
      <c r="D35" s="1685" t="s">
        <v>343</v>
      </c>
      <c r="E35" s="1384" t="s">
        <v>344</v>
      </c>
      <c r="F35" s="1310">
        <f t="shared" ref="F35:F36" si="9">IFERROR(F37*1000/F32,0)</f>
        <v>2.1562500000000009</v>
      </c>
      <c r="G35" s="1385"/>
      <c r="H35" s="1312">
        <f>[11]Tramming!H35</f>
        <v>0</v>
      </c>
      <c r="I35" s="1312">
        <f>[11]Tramming!I35</f>
        <v>2.25</v>
      </c>
      <c r="J35" s="1312">
        <f>[11]Tramming!J35</f>
        <v>2.25</v>
      </c>
      <c r="K35" s="1333">
        <f>[11]Tramming!K35</f>
        <v>2.25</v>
      </c>
      <c r="L35" s="1333">
        <f>[11]Tramming!L35</f>
        <v>2.25</v>
      </c>
      <c r="M35" s="1333">
        <f>[11]Tramming!M35</f>
        <v>2.25</v>
      </c>
      <c r="N35" s="1333">
        <f>[11]Tramming!N35</f>
        <v>2.25</v>
      </c>
      <c r="O35" s="1333">
        <f>[11]Tramming!O35</f>
        <v>2.25</v>
      </c>
      <c r="P35" s="1334">
        <f>[11]Tramming!P35</f>
        <v>2.25</v>
      </c>
      <c r="Q35" s="1333">
        <f>[11]Tramming!Q35</f>
        <v>2.25</v>
      </c>
      <c r="R35" s="1333">
        <f>[11]Tramming!R35</f>
        <v>2.25</v>
      </c>
      <c r="S35" s="1333">
        <f>[11]Tramming!S35</f>
        <v>2.25</v>
      </c>
      <c r="T35" s="1333">
        <f>[11]Tramming!T35</f>
        <v>2.25</v>
      </c>
      <c r="U35" s="1333">
        <f>[11]Tramming!U35</f>
        <v>2.25</v>
      </c>
      <c r="V35" s="1333">
        <f>[11]Tramming!V35</f>
        <v>2.25</v>
      </c>
      <c r="W35" s="1333">
        <f>[11]Tramming!W35</f>
        <v>2.25</v>
      </c>
      <c r="X35" s="1333">
        <f>[11]Tramming!X35</f>
        <v>2.25</v>
      </c>
      <c r="Y35" s="1333">
        <f>[11]Tramming!Y35</f>
        <v>2.25</v>
      </c>
      <c r="Z35" s="1333">
        <f>[11]Tramming!Z35</f>
        <v>2.25</v>
      </c>
      <c r="AA35" s="1333">
        <f>[11]Tramming!AA35</f>
        <v>2.25</v>
      </c>
      <c r="AB35" s="1333">
        <f>[11]Tramming!AB35</f>
        <v>2.25</v>
      </c>
      <c r="AC35" s="1333">
        <f>[11]Tramming!AC35</f>
        <v>2.25</v>
      </c>
      <c r="AD35" s="1333">
        <f>[11]Tramming!AD35</f>
        <v>2.25</v>
      </c>
      <c r="AE35" s="1333">
        <f>[11]Tramming!AE35</f>
        <v>2.25</v>
      </c>
      <c r="AF35" s="1333">
        <f>[11]Tramming!AF35</f>
        <v>0</v>
      </c>
      <c r="AG35" s="1333">
        <f>[11]Tramming!AG35</f>
        <v>2.25</v>
      </c>
      <c r="AH35" s="1333">
        <f>[11]Tramming!AH35</f>
        <v>2.25</v>
      </c>
      <c r="AI35" s="1333">
        <f>[11]Tramming!AI35</f>
        <v>2.25</v>
      </c>
      <c r="AJ35" s="1333">
        <f>[11]Tramming!AJ35</f>
        <v>2.25</v>
      </c>
      <c r="AK35" s="1333">
        <f>[11]Tramming!AK35</f>
        <v>2.25</v>
      </c>
      <c r="AL35" s="1335">
        <f>[11]Tramming!AL35</f>
        <v>2.25</v>
      </c>
      <c r="AM35" s="347"/>
    </row>
    <row r="36" spans="1:39" x14ac:dyDescent="0.25">
      <c r="A36" s="202"/>
      <c r="B36" s="1607"/>
      <c r="C36" s="1705"/>
      <c r="D36" s="1707"/>
      <c r="E36" s="1386" t="s">
        <v>345</v>
      </c>
      <c r="F36" s="1314">
        <f t="shared" si="9"/>
        <v>2.7024932249322489</v>
      </c>
      <c r="G36" s="1380">
        <f t="shared" ref="G36" si="10">IFERROR((F36-F35)/F35,0)</f>
        <v>0.2533301912729265</v>
      </c>
      <c r="H36" s="1315">
        <f>[11]Tramming!H36</f>
        <v>1.85</v>
      </c>
      <c r="I36" s="1314">
        <f>[11]Tramming!I36</f>
        <v>2.38</v>
      </c>
      <c r="J36" s="1314">
        <f>[11]Tramming!J36</f>
        <v>4.18</v>
      </c>
      <c r="K36" s="1314">
        <f>[11]Tramming!K36</f>
        <v>3</v>
      </c>
      <c r="L36" s="1314">
        <f>[11]Tramming!L36</f>
        <v>2.2799999999999998</v>
      </c>
      <c r="M36" s="1314">
        <f>[11]Tramming!M36</f>
        <v>3.15</v>
      </c>
      <c r="N36" s="1314">
        <f>[11]Tramming!N36</f>
        <v>4.12</v>
      </c>
      <c r="O36" s="1314">
        <f>[11]Tramming!O36</f>
        <v>1.22</v>
      </c>
      <c r="P36" s="1314">
        <f>[11]Tramming!P36</f>
        <v>1.88</v>
      </c>
      <c r="Q36" s="1314">
        <f>[11]Tramming!Q36</f>
        <v>2.5</v>
      </c>
      <c r="R36" s="1314">
        <f>[11]Tramming!R36</f>
        <v>1.1200000000000001</v>
      </c>
      <c r="S36" s="1316">
        <f>[11]Tramming!S36</f>
        <v>2.02</v>
      </c>
      <c r="T36" s="1314">
        <f>[11]Tramming!T36</f>
        <v>0.87</v>
      </c>
      <c r="U36" s="1314">
        <f>[11]Tramming!U36</f>
        <v>1.61</v>
      </c>
      <c r="V36" s="1314">
        <f>[11]Tramming!V36</f>
        <v>3.19</v>
      </c>
      <c r="W36" s="1314">
        <f>[11]Tramming!W36</f>
        <v>1.62</v>
      </c>
      <c r="X36" s="1314">
        <f>[11]Tramming!X36</f>
        <v>6.95</v>
      </c>
      <c r="Y36" s="1314">
        <f>[11]Tramming!Y36</f>
        <v>2.29</v>
      </c>
      <c r="Z36" s="1314">
        <f>[11]Tramming!Z36</f>
        <v>0</v>
      </c>
      <c r="AA36" s="1314">
        <f>[11]Tramming!AA36</f>
        <v>0</v>
      </c>
      <c r="AB36" s="1314">
        <f>[11]Tramming!AB36</f>
        <v>1.75</v>
      </c>
      <c r="AC36" s="1314">
        <f>[11]Tramming!AC36</f>
        <v>3.06</v>
      </c>
      <c r="AD36" s="1314">
        <f>[11]Tramming!AD36</f>
        <v>1.4</v>
      </c>
      <c r="AE36" s="1314">
        <f>[11]Tramming!AE36</f>
        <v>2.11</v>
      </c>
      <c r="AF36" s="1314">
        <f>[11]Tramming!AF36</f>
        <v>0</v>
      </c>
      <c r="AG36" s="1314">
        <f>[11]Tramming!AG36</f>
        <v>1.76</v>
      </c>
      <c r="AH36" s="1314">
        <f>[11]Tramming!AH36</f>
        <v>1.94</v>
      </c>
      <c r="AI36" s="1314">
        <f>[11]Tramming!AI36</f>
        <v>0.99</v>
      </c>
      <c r="AJ36" s="1314">
        <f>[11]Tramming!AJ36</f>
        <v>1.68</v>
      </c>
      <c r="AK36" s="1314">
        <f>[11]Tramming!AK36</f>
        <v>0</v>
      </c>
      <c r="AL36" s="1314">
        <f>[11]Tramming!AL36</f>
        <v>0</v>
      </c>
      <c r="AM36" s="347"/>
    </row>
    <row r="37" spans="1:39" x14ac:dyDescent="0.25">
      <c r="A37" s="202"/>
      <c r="B37" s="1607"/>
      <c r="C37" s="1705"/>
      <c r="D37" s="1685" t="s">
        <v>47</v>
      </c>
      <c r="E37" s="1384" t="s">
        <v>346</v>
      </c>
      <c r="F37" s="206">
        <f t="shared" ref="F37:F40" si="11">SUMIF($H$9:$AL$9,"&lt;="&amp;$C$7,H37:AL37)</f>
        <v>3.6225000000000018</v>
      </c>
      <c r="G37" s="1385"/>
      <c r="H37" s="1316">
        <f>[11]Tramming!H37</f>
        <v>0</v>
      </c>
      <c r="I37" s="1316">
        <f>[11]Tramming!I37</f>
        <v>0.1575</v>
      </c>
      <c r="J37" s="1316">
        <f>[11]Tramming!J37</f>
        <v>0.1575</v>
      </c>
      <c r="K37" s="1316">
        <f>[11]Tramming!K37</f>
        <v>0.1575</v>
      </c>
      <c r="L37" s="1316">
        <f>[11]Tramming!L37</f>
        <v>0.1575</v>
      </c>
      <c r="M37" s="1316">
        <f>[11]Tramming!M37</f>
        <v>0.1575</v>
      </c>
      <c r="N37" s="1316">
        <f>[11]Tramming!N37</f>
        <v>0.1575</v>
      </c>
      <c r="O37" s="1316">
        <f>[11]Tramming!O37</f>
        <v>0.1575</v>
      </c>
      <c r="P37" s="1316">
        <f>[11]Tramming!P37</f>
        <v>0.1575</v>
      </c>
      <c r="Q37" s="1316">
        <f>[11]Tramming!Q37</f>
        <v>0.1575</v>
      </c>
      <c r="R37" s="1316">
        <f>[11]Tramming!R37</f>
        <v>0.1575</v>
      </c>
      <c r="S37" s="202">
        <f>[11]Tramming!S37</f>
        <v>0</v>
      </c>
      <c r="T37" s="1316">
        <f>[11]Tramming!T37</f>
        <v>0.1575</v>
      </c>
      <c r="U37" s="1316">
        <f>[11]Tramming!U37</f>
        <v>0.1575</v>
      </c>
      <c r="V37" s="1316">
        <f>[11]Tramming!V37</f>
        <v>0.1575</v>
      </c>
      <c r="W37" s="1316">
        <f>[11]Tramming!W37</f>
        <v>0.1575</v>
      </c>
      <c r="X37" s="1316">
        <f>[11]Tramming!X37</f>
        <v>0.1575</v>
      </c>
      <c r="Y37" s="1316">
        <f>[11]Tramming!Y37</f>
        <v>0.1575</v>
      </c>
      <c r="Z37" s="1316">
        <f>[11]Tramming!Z37</f>
        <v>0.1575</v>
      </c>
      <c r="AA37" s="1316">
        <f>[11]Tramming!AA37</f>
        <v>0.1575</v>
      </c>
      <c r="AB37" s="1316">
        <f>[11]Tramming!AB37</f>
        <v>0.1575</v>
      </c>
      <c r="AC37" s="1316">
        <f>[11]Tramming!AC37</f>
        <v>0.1575</v>
      </c>
      <c r="AD37" s="1316">
        <f>[11]Tramming!AD37</f>
        <v>0.1575</v>
      </c>
      <c r="AE37" s="1316">
        <f>[11]Tramming!AE37</f>
        <v>0.1575</v>
      </c>
      <c r="AF37" s="1316">
        <f>[11]Tramming!AF37</f>
        <v>0</v>
      </c>
      <c r="AG37" s="1316">
        <f>[11]Tramming!AG37</f>
        <v>0.1575</v>
      </c>
      <c r="AH37" s="1316">
        <f>[11]Tramming!AH37</f>
        <v>0</v>
      </c>
      <c r="AI37" s="1316">
        <f>[11]Tramming!AI37</f>
        <v>0.1575</v>
      </c>
      <c r="AJ37" s="1316">
        <f>[11]Tramming!AJ37</f>
        <v>0.1575</v>
      </c>
      <c r="AK37" s="1316">
        <f>[11]Tramming!AK37</f>
        <v>0.1575</v>
      </c>
      <c r="AL37" s="1316">
        <f>[11]Tramming!AL37</f>
        <v>0.1575</v>
      </c>
      <c r="AM37" s="705"/>
    </row>
    <row r="38" spans="1:39" ht="15.75" thickBot="1" x14ac:dyDescent="0.3">
      <c r="A38" s="202"/>
      <c r="B38" s="1660"/>
      <c r="C38" s="1706"/>
      <c r="D38" s="1708"/>
      <c r="E38" s="1387" t="s">
        <v>347</v>
      </c>
      <c r="F38" s="1321">
        <f t="shared" si="11"/>
        <v>6.9805399999999986</v>
      </c>
      <c r="G38" s="1388">
        <f t="shared" ref="G38" si="12">IFERROR((F38-F37)/F37,0)</f>
        <v>0.9269951690821242</v>
      </c>
      <c r="H38" s="1323">
        <f>[11]Tramming!H38</f>
        <v>0.222</v>
      </c>
      <c r="I38" s="1323">
        <f>[11]Tramming!I38</f>
        <v>0.54264000000000001</v>
      </c>
      <c r="J38" s="1323">
        <f>[11]Tramming!J38</f>
        <v>0.9028799999999999</v>
      </c>
      <c r="K38" s="1323">
        <f>[11]Tramming!K38</f>
        <v>0.48599999999999999</v>
      </c>
      <c r="L38" s="1323">
        <f>[11]Tramming!L38</f>
        <v>0.51983999999999997</v>
      </c>
      <c r="M38" s="1323">
        <f>[11]Tramming!M38</f>
        <v>0.56699999999999995</v>
      </c>
      <c r="N38" s="1323">
        <f>[11]Tramming!N38</f>
        <v>0.70040000000000002</v>
      </c>
      <c r="O38" s="1323">
        <f>[11]Tramming!O38</f>
        <v>4.3920000000000001E-2</v>
      </c>
      <c r="P38" s="1323">
        <f>[11]Tramming!P38</f>
        <v>3.3839999999999995E-2</v>
      </c>
      <c r="Q38" s="1323">
        <f>[11]Tramming!Q38</f>
        <v>0.35</v>
      </c>
      <c r="R38" s="1323">
        <f>[11]Tramming!R38</f>
        <v>0.17808000000000002</v>
      </c>
      <c r="S38" s="1323">
        <f>[11]Tramming!S38</f>
        <v>4.8480000000000002E-2</v>
      </c>
      <c r="T38" s="1323">
        <f>[11]Tramming!T38</f>
        <v>7.8299999999999995E-2</v>
      </c>
      <c r="U38" s="1323">
        <f>[11]Tramming!U38</f>
        <v>0.11592</v>
      </c>
      <c r="V38" s="1323">
        <f>[11]Tramming!V38</f>
        <v>0.41470000000000001</v>
      </c>
      <c r="W38" s="1323">
        <f>[11]Tramming!W38</f>
        <v>0.16848000000000002</v>
      </c>
      <c r="X38" s="1323">
        <f>[11]Tramming!X38</f>
        <v>0.79230000000000012</v>
      </c>
      <c r="Y38" s="1323">
        <f>[11]Tramming!Y38</f>
        <v>0.16488</v>
      </c>
      <c r="Z38" s="1323">
        <f>[11]Tramming!Z38</f>
        <v>0</v>
      </c>
      <c r="AA38" s="1323">
        <f>[11]Tramming!AA38</f>
        <v>0</v>
      </c>
      <c r="AB38" s="1323">
        <f>[11]Tramming!AB38</f>
        <v>0.126</v>
      </c>
      <c r="AC38" s="1323">
        <f>[11]Tramming!AC38</f>
        <v>0.20808000000000001</v>
      </c>
      <c r="AD38" s="1323">
        <f>[11]Tramming!AD38</f>
        <v>9.8000000000000004E-2</v>
      </c>
      <c r="AE38" s="1323">
        <f>[11]Tramming!AE38</f>
        <v>0.15192</v>
      </c>
      <c r="AF38" s="1323">
        <f>[11]Tramming!AF38</f>
        <v>0</v>
      </c>
      <c r="AG38" s="1323">
        <f>[11]Tramming!AG38</f>
        <v>6.6879999999999995E-2</v>
      </c>
      <c r="AH38" s="1323">
        <f>[11]Tramming!AH38</f>
        <v>0.15907999999999997</v>
      </c>
      <c r="AI38" s="1323">
        <f>[11]Tramming!AI38</f>
        <v>3.7620000000000001E-2</v>
      </c>
      <c r="AJ38" s="1323">
        <f>[11]Tramming!AJ38</f>
        <v>6.720000000000001E-2</v>
      </c>
      <c r="AK38" s="1323">
        <f>[11]Tramming!AK38</f>
        <v>0</v>
      </c>
      <c r="AL38" s="1323">
        <f>[11]Tramming!AL38</f>
        <v>0</v>
      </c>
      <c r="AM38" s="706"/>
    </row>
    <row r="39" spans="1:39" ht="14.25" customHeight="1" x14ac:dyDescent="0.25">
      <c r="A39" s="194"/>
      <c r="B39" s="1608"/>
      <c r="C39" s="1704" t="str">
        <f>[11]Tramming!C39</f>
        <v>4L_W23B_STOPE</v>
      </c>
      <c r="D39" s="1684" t="s">
        <v>340</v>
      </c>
      <c r="E39" s="195" t="s">
        <v>341</v>
      </c>
      <c r="F39" s="196">
        <f t="shared" si="11"/>
        <v>3360</v>
      </c>
      <c r="G39" s="197"/>
      <c r="H39" s="198">
        <f>[11]Tramming!H39</f>
        <v>0</v>
      </c>
      <c r="I39" s="198">
        <f>[11]Tramming!I39</f>
        <v>140</v>
      </c>
      <c r="J39" s="198">
        <f>[11]Tramming!J39</f>
        <v>140</v>
      </c>
      <c r="K39" s="199">
        <f>[11]Tramming!K39</f>
        <v>140</v>
      </c>
      <c r="L39" s="199">
        <f>[11]Tramming!L39</f>
        <v>140</v>
      </c>
      <c r="M39" s="199">
        <f>[11]Tramming!M39</f>
        <v>140</v>
      </c>
      <c r="N39" s="199">
        <f>[11]Tramming!N39</f>
        <v>140</v>
      </c>
      <c r="O39" s="199">
        <f>[11]Tramming!O39</f>
        <v>140</v>
      </c>
      <c r="P39" s="200">
        <f>[11]Tramming!P39</f>
        <v>140</v>
      </c>
      <c r="Q39" s="199">
        <f>[11]Tramming!Q39</f>
        <v>140</v>
      </c>
      <c r="R39" s="199">
        <f>[11]Tramming!R39</f>
        <v>140</v>
      </c>
      <c r="S39" s="199">
        <f>[11]Tramming!S39</f>
        <v>140</v>
      </c>
      <c r="T39" s="199">
        <f>[11]Tramming!T39</f>
        <v>140</v>
      </c>
      <c r="U39" s="199">
        <f>[11]Tramming!U39</f>
        <v>140</v>
      </c>
      <c r="V39" s="199">
        <f>[11]Tramming!V39</f>
        <v>140</v>
      </c>
      <c r="W39" s="199">
        <f>[11]Tramming!W39</f>
        <v>140</v>
      </c>
      <c r="X39" s="199">
        <f>[11]Tramming!X39</f>
        <v>140</v>
      </c>
      <c r="Y39" s="199">
        <f>[11]Tramming!Y39</f>
        <v>140</v>
      </c>
      <c r="Z39" s="199">
        <f>[11]Tramming!Z39</f>
        <v>140</v>
      </c>
      <c r="AA39" s="199">
        <f>[11]Tramming!AA39</f>
        <v>140</v>
      </c>
      <c r="AB39" s="199">
        <f>[11]Tramming!AB39</f>
        <v>140</v>
      </c>
      <c r="AC39" s="199">
        <f>[11]Tramming!AC39</f>
        <v>140</v>
      </c>
      <c r="AD39" s="199">
        <f>[11]Tramming!AD39</f>
        <v>140</v>
      </c>
      <c r="AE39" s="199">
        <f>[11]Tramming!AE39</f>
        <v>140</v>
      </c>
      <c r="AF39" s="199">
        <f>[11]Tramming!AF39</f>
        <v>0</v>
      </c>
      <c r="AG39" s="199">
        <f>[11]Tramming!AG39</f>
        <v>140</v>
      </c>
      <c r="AH39" s="199">
        <f>[11]Tramming!AH39</f>
        <v>140</v>
      </c>
      <c r="AI39" s="199">
        <f>[11]Tramming!AI39</f>
        <v>140</v>
      </c>
      <c r="AJ39" s="199">
        <f>[11]Tramming!AJ39</f>
        <v>140</v>
      </c>
      <c r="AK39" s="199">
        <f>[11]Tramming!AK39</f>
        <v>140</v>
      </c>
      <c r="AL39" s="201">
        <f>[11]Tramming!AL39</f>
        <v>140</v>
      </c>
      <c r="AM39" s="704"/>
    </row>
    <row r="40" spans="1:39" x14ac:dyDescent="0.25">
      <c r="A40" s="202"/>
      <c r="B40" s="1607"/>
      <c r="C40" s="1705"/>
      <c r="D40" s="1688"/>
      <c r="E40" s="1379" t="s">
        <v>342</v>
      </c>
      <c r="F40" s="1303">
        <f t="shared" si="11"/>
        <v>1456</v>
      </c>
      <c r="G40" s="1380">
        <f t="shared" ref="G40" si="13">IFERROR((F40-F39)/F39,0)</f>
        <v>-0.56666666666666665</v>
      </c>
      <c r="H40" s="1305">
        <f>[11]Tramming!H40</f>
        <v>132</v>
      </c>
      <c r="I40" s="1303">
        <f>[11]Tramming!I40</f>
        <v>0</v>
      </c>
      <c r="J40" s="1303">
        <f>[11]Tramming!J40</f>
        <v>0</v>
      </c>
      <c r="K40" s="1303">
        <f>[11]Tramming!K40</f>
        <v>0</v>
      </c>
      <c r="L40" s="1303">
        <f>[11]Tramming!L40</f>
        <v>0</v>
      </c>
      <c r="M40" s="1303">
        <f>[11]Tramming!M40</f>
        <v>0</v>
      </c>
      <c r="N40" s="1303">
        <f>[11]Tramming!N40</f>
        <v>0</v>
      </c>
      <c r="O40" s="1303">
        <f>[11]Tramming!O40</f>
        <v>0</v>
      </c>
      <c r="P40" s="1303">
        <f>[11]Tramming!P40</f>
        <v>0</v>
      </c>
      <c r="Q40" s="1303">
        <f>[11]Tramming!Q40</f>
        <v>0</v>
      </c>
      <c r="R40" s="1303">
        <f>[11]Tramming!R40</f>
        <v>0</v>
      </c>
      <c r="S40" s="1303">
        <f>[11]Tramming!S40</f>
        <v>0</v>
      </c>
      <c r="T40" s="1303">
        <f>[11]Tramming!T40</f>
        <v>50</v>
      </c>
      <c r="U40" s="1303">
        <f>[11]Tramming!U40</f>
        <v>80</v>
      </c>
      <c r="V40" s="1303">
        <f>[11]Tramming!V40</f>
        <v>0</v>
      </c>
      <c r="W40" s="1303">
        <f>[11]Tramming!W40</f>
        <v>100</v>
      </c>
      <c r="X40" s="1303">
        <f>[11]Tramming!X40</f>
        <v>102</v>
      </c>
      <c r="Y40" s="1303">
        <f>[11]Tramming!Y40</f>
        <v>108</v>
      </c>
      <c r="Z40" s="1303">
        <f>[11]Tramming!Z40</f>
        <v>0</v>
      </c>
      <c r="AA40" s="1303">
        <f>[11]Tramming!AA40</f>
        <v>120</v>
      </c>
      <c r="AB40" s="1303">
        <f>[11]Tramming!AB40</f>
        <v>204</v>
      </c>
      <c r="AC40" s="1303">
        <f>[11]Tramming!AC40</f>
        <v>100</v>
      </c>
      <c r="AD40" s="1303">
        <f>[11]Tramming!AD40</f>
        <v>158</v>
      </c>
      <c r="AE40" s="1303">
        <f>[11]Tramming!AE40</f>
        <v>160</v>
      </c>
      <c r="AF40" s="1303">
        <f>[11]Tramming!AF40</f>
        <v>0</v>
      </c>
      <c r="AG40" s="1303">
        <f>[11]Tramming!AG40</f>
        <v>142</v>
      </c>
      <c r="AH40" s="1303">
        <f>[11]Tramming!AH40</f>
        <v>150</v>
      </c>
      <c r="AI40" s="1303">
        <f>[11]Tramming!AI40</f>
        <v>152</v>
      </c>
      <c r="AJ40" s="1303">
        <f>[11]Tramming!AJ40</f>
        <v>202</v>
      </c>
      <c r="AK40" s="1303">
        <f>[11]Tramming!AK40</f>
        <v>196</v>
      </c>
      <c r="AL40" s="1303">
        <f>[11]Tramming!AL40</f>
        <v>204</v>
      </c>
      <c r="AM40" s="347"/>
    </row>
    <row r="41" spans="1:39" x14ac:dyDescent="0.25">
      <c r="A41" s="202"/>
      <c r="B41" s="1607"/>
      <c r="C41" s="1705"/>
      <c r="D41" s="1688"/>
      <c r="E41" s="1389" t="s">
        <v>312</v>
      </c>
      <c r="F41" s="1382"/>
      <c r="G41" s="1383"/>
      <c r="H41" s="203"/>
      <c r="I41" s="203"/>
      <c r="J41" s="203"/>
      <c r="K41" s="203"/>
      <c r="L41" s="203"/>
      <c r="M41" s="203"/>
      <c r="N41" s="203"/>
      <c r="O41" s="203"/>
      <c r="P41" s="204"/>
      <c r="Q41" s="203"/>
      <c r="R41" s="203"/>
      <c r="S41" s="203"/>
      <c r="T41" s="203"/>
      <c r="U41" s="203"/>
      <c r="V41" s="203"/>
      <c r="W41" s="203"/>
      <c r="X41" s="203"/>
      <c r="Y41" s="203"/>
      <c r="Z41" s="203"/>
      <c r="AA41" s="203"/>
      <c r="AB41" s="203"/>
      <c r="AC41" s="203"/>
      <c r="AD41" s="203"/>
      <c r="AE41" s="203"/>
      <c r="AF41" s="203"/>
      <c r="AG41" s="203"/>
      <c r="AH41" s="203"/>
      <c r="AI41" s="203"/>
      <c r="AJ41" s="203"/>
      <c r="AK41" s="203"/>
      <c r="AL41" s="205"/>
      <c r="AM41" s="347"/>
    </row>
    <row r="42" spans="1:39" x14ac:dyDescent="0.25">
      <c r="A42" s="202"/>
      <c r="B42" s="1607"/>
      <c r="C42" s="1705"/>
      <c r="D42" s="1685" t="s">
        <v>343</v>
      </c>
      <c r="E42" s="1384" t="s">
        <v>344</v>
      </c>
      <c r="F42" s="1310">
        <f t="shared" ref="F42:F43" si="14">IFERROR(F44*1000/F39,0)</f>
        <v>3.8499999999999988</v>
      </c>
      <c r="G42" s="1385"/>
      <c r="H42" s="1312">
        <f>[11]Tramming!H42</f>
        <v>3.85</v>
      </c>
      <c r="I42" s="1312">
        <f>[11]Tramming!I42</f>
        <v>3.85</v>
      </c>
      <c r="J42" s="1312">
        <f>[11]Tramming!J42</f>
        <v>3.85</v>
      </c>
      <c r="K42" s="1333">
        <f>[11]Tramming!K42</f>
        <v>3.85</v>
      </c>
      <c r="L42" s="1333">
        <f>[11]Tramming!L42</f>
        <v>3.85</v>
      </c>
      <c r="M42" s="1333">
        <f>[11]Tramming!M42</f>
        <v>3.85</v>
      </c>
      <c r="N42" s="1333">
        <f>[11]Tramming!N42</f>
        <v>3.85</v>
      </c>
      <c r="O42" s="1333">
        <f>[11]Tramming!O42</f>
        <v>3.85</v>
      </c>
      <c r="P42" s="1334">
        <f>[11]Tramming!P42</f>
        <v>3.85</v>
      </c>
      <c r="Q42" s="1333">
        <f>[11]Tramming!Q42</f>
        <v>3.85</v>
      </c>
      <c r="R42" s="1333">
        <f>[11]Tramming!R42</f>
        <v>3.85</v>
      </c>
      <c r="S42" s="1333">
        <f>[11]Tramming!S42</f>
        <v>3.85</v>
      </c>
      <c r="T42" s="1333">
        <f>[11]Tramming!T42</f>
        <v>3.85</v>
      </c>
      <c r="U42" s="1333">
        <f>[11]Tramming!U42</f>
        <v>3.85</v>
      </c>
      <c r="V42" s="1333">
        <f>[11]Tramming!V42</f>
        <v>3.85</v>
      </c>
      <c r="W42" s="1333">
        <f>[11]Tramming!W42</f>
        <v>3.85</v>
      </c>
      <c r="X42" s="1333">
        <f>[11]Tramming!X42</f>
        <v>3.85</v>
      </c>
      <c r="Y42" s="1333">
        <f>[11]Tramming!Y42</f>
        <v>3.85</v>
      </c>
      <c r="Z42" s="1333">
        <f>[11]Tramming!Z42</f>
        <v>3.85</v>
      </c>
      <c r="AA42" s="1333">
        <f>[11]Tramming!AA42</f>
        <v>3.85</v>
      </c>
      <c r="AB42" s="1333">
        <f>[11]Tramming!AB42</f>
        <v>3.85</v>
      </c>
      <c r="AC42" s="1333">
        <f>[11]Tramming!AC42</f>
        <v>3.85</v>
      </c>
      <c r="AD42" s="1333">
        <f>[11]Tramming!AD42</f>
        <v>3.85</v>
      </c>
      <c r="AE42" s="1333">
        <f>[11]Tramming!AE42</f>
        <v>3.85</v>
      </c>
      <c r="AF42" s="1333">
        <f>[11]Tramming!AF42</f>
        <v>0</v>
      </c>
      <c r="AG42" s="1333">
        <f>[11]Tramming!AG42</f>
        <v>3.85</v>
      </c>
      <c r="AH42" s="1333">
        <f>[11]Tramming!AH42</f>
        <v>3.85</v>
      </c>
      <c r="AI42" s="1333">
        <f>[11]Tramming!AI42</f>
        <v>3.85</v>
      </c>
      <c r="AJ42" s="1333">
        <f>[11]Tramming!AJ42</f>
        <v>3.85</v>
      </c>
      <c r="AK42" s="1333">
        <f>[11]Tramming!AK42</f>
        <v>3.85</v>
      </c>
      <c r="AL42" s="1335">
        <f>[11]Tramming!AL42</f>
        <v>3.85</v>
      </c>
      <c r="AM42" s="347"/>
    </row>
    <row r="43" spans="1:39" x14ac:dyDescent="0.25">
      <c r="A43" s="202"/>
      <c r="B43" s="1607"/>
      <c r="C43" s="1705"/>
      <c r="D43" s="1707"/>
      <c r="E43" s="1386" t="s">
        <v>345</v>
      </c>
      <c r="F43" s="1314">
        <f t="shared" si="14"/>
        <v>3.1980631868131875</v>
      </c>
      <c r="G43" s="1380">
        <f t="shared" ref="G43" si="15">IFERROR((F43-F42)/F42,0)</f>
        <v>-0.16933423719137961</v>
      </c>
      <c r="H43" s="1315">
        <f>[11]Tramming!H43</f>
        <v>2.11</v>
      </c>
      <c r="I43" s="1314">
        <f>[11]Tramming!I43</f>
        <v>0</v>
      </c>
      <c r="J43" s="1314">
        <f>[11]Tramming!J43</f>
        <v>0</v>
      </c>
      <c r="K43" s="1314">
        <f>[11]Tramming!K43</f>
        <v>0</v>
      </c>
      <c r="L43" s="1314">
        <f>[11]Tramming!L43</f>
        <v>0</v>
      </c>
      <c r="M43" s="1314">
        <f>[11]Tramming!M43</f>
        <v>0</v>
      </c>
      <c r="N43" s="1314">
        <f>[11]Tramming!N43</f>
        <v>0</v>
      </c>
      <c r="O43" s="1314">
        <f>[11]Tramming!O43</f>
        <v>0</v>
      </c>
      <c r="P43" s="1314">
        <f>[11]Tramming!P43</f>
        <v>0</v>
      </c>
      <c r="Q43" s="1314">
        <f>[11]Tramming!Q43</f>
        <v>0</v>
      </c>
      <c r="R43" s="1314">
        <f>[11]Tramming!R43</f>
        <v>0</v>
      </c>
      <c r="S43" s="1314">
        <f>[11]Tramming!S43</f>
        <v>0</v>
      </c>
      <c r="T43" s="1314">
        <f>[11]Tramming!T43</f>
        <v>1.17</v>
      </c>
      <c r="U43" s="1314">
        <f>[11]Tramming!U43</f>
        <v>2.5</v>
      </c>
      <c r="V43" s="1314">
        <f>[11]Tramming!V43</f>
        <v>4.75</v>
      </c>
      <c r="W43" s="1314">
        <f>[11]Tramming!W43</f>
        <v>3.33</v>
      </c>
      <c r="X43" s="1314">
        <f>[11]Tramming!X43</f>
        <v>4.8099999999999996</v>
      </c>
      <c r="Y43" s="1314">
        <f>[11]Tramming!Y43</f>
        <v>3.5</v>
      </c>
      <c r="Z43" s="1314">
        <f>[11]Tramming!Z43</f>
        <v>0</v>
      </c>
      <c r="AA43" s="1314">
        <f>[11]Tramming!AA43</f>
        <v>4.3600000000000003</v>
      </c>
      <c r="AB43" s="1314">
        <f>[11]Tramming!AB43</f>
        <v>4.17</v>
      </c>
      <c r="AC43" s="1314">
        <f>[11]Tramming!AC43</f>
        <v>3.42</v>
      </c>
      <c r="AD43" s="1314">
        <f>[11]Tramming!AD43</f>
        <v>2.79</v>
      </c>
      <c r="AE43" s="1314">
        <f>[11]Tramming!AE43</f>
        <v>2.52</v>
      </c>
      <c r="AF43" s="1314">
        <f>[11]Tramming!AF43</f>
        <v>0</v>
      </c>
      <c r="AG43" s="1314">
        <f>[11]Tramming!AG43</f>
        <v>2.52</v>
      </c>
      <c r="AH43" s="1314">
        <f>[11]Tramming!AH43</f>
        <v>7</v>
      </c>
      <c r="AI43" s="1314">
        <f>[11]Tramming!AI43</f>
        <v>2.5099999999999998</v>
      </c>
      <c r="AJ43" s="1314">
        <f>[11]Tramming!AJ43</f>
        <v>3.26</v>
      </c>
      <c r="AK43" s="1314">
        <f>[11]Tramming!AK43</f>
        <v>2</v>
      </c>
      <c r="AL43" s="1314">
        <f>[11]Tramming!AL43</f>
        <v>4.2699999999999996</v>
      </c>
      <c r="AM43" s="347"/>
    </row>
    <row r="44" spans="1:39" x14ac:dyDescent="0.25">
      <c r="A44" s="202"/>
      <c r="B44" s="1607"/>
      <c r="C44" s="1705"/>
      <c r="D44" s="1685" t="s">
        <v>47</v>
      </c>
      <c r="E44" s="1384" t="s">
        <v>346</v>
      </c>
      <c r="F44" s="206">
        <f t="shared" ref="F44:F47" si="16">SUMIF($H$9:$AL$9,"&lt;="&amp;$C$7,H44:AL44)</f>
        <v>12.935999999999996</v>
      </c>
      <c r="G44" s="1385"/>
      <c r="H44" s="1316">
        <f>[11]Tramming!H44</f>
        <v>0</v>
      </c>
      <c r="I44" s="1316">
        <f>[11]Tramming!I44</f>
        <v>0.53900000000000003</v>
      </c>
      <c r="J44" s="1316">
        <f>[11]Tramming!J44</f>
        <v>0.53900000000000003</v>
      </c>
      <c r="K44" s="1316">
        <f>[11]Tramming!K44</f>
        <v>0.53900000000000003</v>
      </c>
      <c r="L44" s="1316">
        <f>[11]Tramming!L44</f>
        <v>0.53900000000000003</v>
      </c>
      <c r="M44" s="1316">
        <f>[11]Tramming!M44</f>
        <v>0.53900000000000003</v>
      </c>
      <c r="N44" s="1316">
        <f>[11]Tramming!N44</f>
        <v>0.53900000000000003</v>
      </c>
      <c r="O44" s="1316">
        <f>[11]Tramming!O44</f>
        <v>0.53900000000000003</v>
      </c>
      <c r="P44" s="1316">
        <f>[11]Tramming!P44</f>
        <v>0.53900000000000003</v>
      </c>
      <c r="Q44" s="1316">
        <f>[11]Tramming!Q44</f>
        <v>0.53900000000000003</v>
      </c>
      <c r="R44" s="1316">
        <f>[11]Tramming!R44</f>
        <v>0.53900000000000003</v>
      </c>
      <c r="S44" s="1316">
        <f>[11]Tramming!S44</f>
        <v>0.53900000000000003</v>
      </c>
      <c r="T44" s="1316">
        <f>[11]Tramming!T44</f>
        <v>0.53900000000000003</v>
      </c>
      <c r="U44" s="1316">
        <f>[11]Tramming!U44</f>
        <v>0.53900000000000003</v>
      </c>
      <c r="V44" s="1316">
        <f>[11]Tramming!V44</f>
        <v>0.53900000000000003</v>
      </c>
      <c r="W44" s="1316">
        <f>[11]Tramming!W44</f>
        <v>0.53900000000000003</v>
      </c>
      <c r="X44" s="1316">
        <f>[11]Tramming!X44</f>
        <v>0.53900000000000003</v>
      </c>
      <c r="Y44" s="1316">
        <f>[11]Tramming!Y44</f>
        <v>0.53900000000000003</v>
      </c>
      <c r="Z44" s="1316">
        <f>[11]Tramming!Z44</f>
        <v>0.53900000000000003</v>
      </c>
      <c r="AA44" s="1316">
        <f>[11]Tramming!AA44</f>
        <v>0.53900000000000003</v>
      </c>
      <c r="AB44" s="1316">
        <f>[11]Tramming!AB44</f>
        <v>0.53900000000000003</v>
      </c>
      <c r="AC44" s="1316">
        <f>[11]Tramming!AC44</f>
        <v>0.53900000000000003</v>
      </c>
      <c r="AD44" s="1316">
        <f>[11]Tramming!AD44</f>
        <v>0.53900000000000003</v>
      </c>
      <c r="AE44" s="1316">
        <f>[11]Tramming!AE44</f>
        <v>0.53900000000000003</v>
      </c>
      <c r="AF44" s="1316">
        <f>[11]Tramming!AF44</f>
        <v>0</v>
      </c>
      <c r="AG44" s="1316">
        <f>[11]Tramming!AG44</f>
        <v>0.53900000000000003</v>
      </c>
      <c r="AH44" s="1316">
        <f>[11]Tramming!AH44</f>
        <v>0.53900000000000003</v>
      </c>
      <c r="AI44" s="1316">
        <f>[11]Tramming!AI44</f>
        <v>0.53900000000000003</v>
      </c>
      <c r="AJ44" s="1316">
        <f>[11]Tramming!AJ44</f>
        <v>0.53900000000000003</v>
      </c>
      <c r="AK44" s="1316">
        <f>[11]Tramming!AK44</f>
        <v>0.53900000000000003</v>
      </c>
      <c r="AL44" s="1316">
        <f>[11]Tramming!AL44</f>
        <v>0.53900000000000003</v>
      </c>
      <c r="AM44" s="705"/>
    </row>
    <row r="45" spans="1:39" ht="15.75" thickBot="1" x14ac:dyDescent="0.3">
      <c r="A45" s="202"/>
      <c r="B45" s="1660"/>
      <c r="C45" s="1706"/>
      <c r="D45" s="1708"/>
      <c r="E45" s="1387" t="s">
        <v>347</v>
      </c>
      <c r="F45" s="1321">
        <f t="shared" si="16"/>
        <v>4.6563800000000013</v>
      </c>
      <c r="G45" s="1388">
        <f t="shared" ref="G45" si="17">IFERROR((F45-F44)/F44,0)</f>
        <v>-0.64004483611626439</v>
      </c>
      <c r="H45" s="1323">
        <f>[11]Tramming!H45</f>
        <v>0.27851999999999999</v>
      </c>
      <c r="I45" s="1323">
        <f>[11]Tramming!I45</f>
        <v>0</v>
      </c>
      <c r="J45" s="1323">
        <f>[11]Tramming!J45</f>
        <v>0</v>
      </c>
      <c r="K45" s="1323">
        <f>[11]Tramming!K45</f>
        <v>0</v>
      </c>
      <c r="L45" s="1323">
        <f>[11]Tramming!L45</f>
        <v>0</v>
      </c>
      <c r="M45" s="1323">
        <f>[11]Tramming!M45</f>
        <v>0</v>
      </c>
      <c r="N45" s="1323">
        <f>[11]Tramming!N45</f>
        <v>0</v>
      </c>
      <c r="O45" s="1323">
        <f>[11]Tramming!O45</f>
        <v>0</v>
      </c>
      <c r="P45" s="1323">
        <f>[11]Tramming!P45</f>
        <v>0</v>
      </c>
      <c r="Q45" s="1323">
        <f>[11]Tramming!Q45</f>
        <v>0</v>
      </c>
      <c r="R45" s="1323">
        <f>[11]Tramming!R45</f>
        <v>0</v>
      </c>
      <c r="S45" s="1323">
        <f>[11]Tramming!S45</f>
        <v>0</v>
      </c>
      <c r="T45" s="1323">
        <f>[11]Tramming!T45</f>
        <v>5.8500000000000003E-2</v>
      </c>
      <c r="U45" s="1323">
        <f>[11]Tramming!U45</f>
        <v>0.2</v>
      </c>
      <c r="V45" s="1323">
        <f>[11]Tramming!V45</f>
        <v>0</v>
      </c>
      <c r="W45" s="1323">
        <f>[11]Tramming!W45</f>
        <v>0.33300000000000002</v>
      </c>
      <c r="X45" s="1323">
        <f>[11]Tramming!X45</f>
        <v>0.49061999999999995</v>
      </c>
      <c r="Y45" s="1323">
        <f>[11]Tramming!Y45</f>
        <v>0.378</v>
      </c>
      <c r="Z45" s="1323">
        <f>[11]Tramming!Z45</f>
        <v>0</v>
      </c>
      <c r="AA45" s="1323">
        <f>[11]Tramming!AA45</f>
        <v>0.5232</v>
      </c>
      <c r="AB45" s="1323">
        <f>[11]Tramming!AB45</f>
        <v>0.85067999999999999</v>
      </c>
      <c r="AC45" s="1323">
        <f>[11]Tramming!AC45</f>
        <v>0.34200000000000003</v>
      </c>
      <c r="AD45" s="1323">
        <f>[11]Tramming!AD45</f>
        <v>0.44081999999999999</v>
      </c>
      <c r="AE45" s="1323">
        <f>[11]Tramming!AE45</f>
        <v>0.4032</v>
      </c>
      <c r="AF45" s="1323">
        <f>[11]Tramming!AF45</f>
        <v>0</v>
      </c>
      <c r="AG45" s="1323">
        <f>[11]Tramming!AG45</f>
        <v>0.35783999999999999</v>
      </c>
      <c r="AH45" s="1323">
        <f>[11]Tramming!AH45</f>
        <v>1.05</v>
      </c>
      <c r="AI45" s="1323">
        <f>[11]Tramming!AI45</f>
        <v>0.38151999999999997</v>
      </c>
      <c r="AJ45" s="1323">
        <f>[11]Tramming!AJ45</f>
        <v>0.65851999999999999</v>
      </c>
      <c r="AK45" s="1323">
        <f>[11]Tramming!AK45</f>
        <v>0.39200000000000002</v>
      </c>
      <c r="AL45" s="1323">
        <f>[11]Tramming!AL45</f>
        <v>0.87107999999999997</v>
      </c>
      <c r="AM45" s="706"/>
    </row>
    <row r="46" spans="1:39" ht="14.25" customHeight="1" x14ac:dyDescent="0.25">
      <c r="A46" s="194"/>
      <c r="B46" s="1608"/>
      <c r="C46" s="1704" t="str">
        <f>[11]Tramming!C46</f>
        <v xml:space="preserve">4L_W26 STOPE </v>
      </c>
      <c r="D46" s="1684" t="s">
        <v>340</v>
      </c>
      <c r="E46" s="195" t="s">
        <v>341</v>
      </c>
      <c r="F46" s="196">
        <f t="shared" si="16"/>
        <v>2520</v>
      </c>
      <c r="G46" s="197"/>
      <c r="H46" s="198">
        <f>[11]Tramming!H46</f>
        <v>0</v>
      </c>
      <c r="I46" s="198">
        <f>[11]Tramming!I46</f>
        <v>105</v>
      </c>
      <c r="J46" s="198">
        <f>[11]Tramming!J46</f>
        <v>105</v>
      </c>
      <c r="K46" s="199">
        <f>[11]Tramming!K46</f>
        <v>105</v>
      </c>
      <c r="L46" s="199">
        <f>[11]Tramming!L46</f>
        <v>105</v>
      </c>
      <c r="M46" s="199">
        <f>[11]Tramming!M46</f>
        <v>105</v>
      </c>
      <c r="N46" s="199">
        <f>[11]Tramming!N46</f>
        <v>105</v>
      </c>
      <c r="O46" s="199">
        <f>[11]Tramming!O46</f>
        <v>105</v>
      </c>
      <c r="P46" s="200">
        <f>[11]Tramming!P46</f>
        <v>105</v>
      </c>
      <c r="Q46" s="199">
        <f>[11]Tramming!Q46</f>
        <v>105</v>
      </c>
      <c r="R46" s="199">
        <f>[11]Tramming!R46</f>
        <v>105</v>
      </c>
      <c r="S46" s="199">
        <f>[11]Tramming!S46</f>
        <v>105</v>
      </c>
      <c r="T46" s="199">
        <f>[11]Tramming!T46</f>
        <v>105</v>
      </c>
      <c r="U46" s="199">
        <f>[11]Tramming!U46</f>
        <v>105</v>
      </c>
      <c r="V46" s="199">
        <f>[11]Tramming!V46</f>
        <v>105</v>
      </c>
      <c r="W46" s="199">
        <f>[11]Tramming!W46</f>
        <v>105</v>
      </c>
      <c r="X46" s="199">
        <f>[11]Tramming!X46</f>
        <v>105</v>
      </c>
      <c r="Y46" s="199">
        <f>[11]Tramming!Y46</f>
        <v>105</v>
      </c>
      <c r="Z46" s="199">
        <f>[11]Tramming!Z46</f>
        <v>105</v>
      </c>
      <c r="AA46" s="199">
        <f>[11]Tramming!AA46</f>
        <v>105</v>
      </c>
      <c r="AB46" s="199">
        <f>[11]Tramming!AB46</f>
        <v>105</v>
      </c>
      <c r="AC46" s="199">
        <f>[11]Tramming!AC46</f>
        <v>105</v>
      </c>
      <c r="AD46" s="199">
        <f>[11]Tramming!AD46</f>
        <v>105</v>
      </c>
      <c r="AE46" s="199">
        <f>[11]Tramming!AE46</f>
        <v>105</v>
      </c>
      <c r="AF46" s="199">
        <f>[11]Tramming!AF46</f>
        <v>0</v>
      </c>
      <c r="AG46" s="199">
        <f>[11]Tramming!AG46</f>
        <v>105</v>
      </c>
      <c r="AH46" s="199">
        <f>[11]Tramming!AH46</f>
        <v>105</v>
      </c>
      <c r="AI46" s="199">
        <f>[11]Tramming!AI46</f>
        <v>105</v>
      </c>
      <c r="AJ46" s="199">
        <f>[11]Tramming!AJ46</f>
        <v>105</v>
      </c>
      <c r="AK46" s="199">
        <f>[11]Tramming!AK46</f>
        <v>105</v>
      </c>
      <c r="AL46" s="201">
        <f>[11]Tramming!AL46</f>
        <v>105</v>
      </c>
      <c r="AM46" s="704"/>
    </row>
    <row r="47" spans="1:39" x14ac:dyDescent="0.25">
      <c r="A47" s="202"/>
      <c r="B47" s="1607"/>
      <c r="C47" s="1705"/>
      <c r="D47" s="1688"/>
      <c r="E47" s="1379" t="s">
        <v>342</v>
      </c>
      <c r="F47" s="1303">
        <f t="shared" si="16"/>
        <v>1685</v>
      </c>
      <c r="G47" s="1380">
        <f t="shared" ref="G47" si="18">IFERROR((F47-F46)/F46,0)</f>
        <v>-0.33134920634920634</v>
      </c>
      <c r="H47" s="1305">
        <f>[11]Tramming!H47</f>
        <v>36</v>
      </c>
      <c r="I47" s="1303">
        <f>[11]Tramming!I47</f>
        <v>48</v>
      </c>
      <c r="J47" s="1303">
        <f>[11]Tramming!J47</f>
        <v>12</v>
      </c>
      <c r="K47" s="1303">
        <f>[11]Tramming!K47</f>
        <v>78</v>
      </c>
      <c r="L47" s="1303">
        <f>[11]Tramming!L47</f>
        <v>48</v>
      </c>
      <c r="M47" s="1303">
        <f>[11]Tramming!M47</f>
        <v>36</v>
      </c>
      <c r="N47" s="1303">
        <f>[11]Tramming!N47</f>
        <v>22</v>
      </c>
      <c r="O47" s="1303">
        <f>[11]Tramming!O47</f>
        <v>144</v>
      </c>
      <c r="P47" s="1303">
        <f>[11]Tramming!P47</f>
        <v>114</v>
      </c>
      <c r="Q47" s="1303">
        <f>[11]Tramming!Q47</f>
        <v>93</v>
      </c>
      <c r="R47" s="1303">
        <f>[11]Tramming!R47</f>
        <v>62</v>
      </c>
      <c r="S47" s="1303">
        <f>[11]Tramming!S47</f>
        <v>30</v>
      </c>
      <c r="T47" s="1303">
        <f>[11]Tramming!T47</f>
        <v>102</v>
      </c>
      <c r="U47" s="1303">
        <f>[11]Tramming!U47</f>
        <v>72</v>
      </c>
      <c r="V47" s="1303">
        <f>[11]Tramming!V47</f>
        <v>66</v>
      </c>
      <c r="W47" s="1303">
        <f>[11]Tramming!W47</f>
        <v>60</v>
      </c>
      <c r="X47" s="1303">
        <f>[11]Tramming!X47</f>
        <v>72</v>
      </c>
      <c r="Y47" s="1303">
        <f>[11]Tramming!Y47</f>
        <v>108</v>
      </c>
      <c r="Z47" s="1303">
        <f>[11]Tramming!Z47</f>
        <v>124</v>
      </c>
      <c r="AA47" s="1303">
        <f>[11]Tramming!AA47</f>
        <v>25</v>
      </c>
      <c r="AB47" s="1303">
        <f>[11]Tramming!AB47</f>
        <v>36</v>
      </c>
      <c r="AC47" s="1303">
        <f>[11]Tramming!AC47</f>
        <v>72</v>
      </c>
      <c r="AD47" s="1303">
        <f>[11]Tramming!AD47</f>
        <v>48</v>
      </c>
      <c r="AE47" s="1303">
        <f>[11]Tramming!AE47</f>
        <v>129</v>
      </c>
      <c r="AF47" s="1303">
        <f>[11]Tramming!AF47</f>
        <v>0</v>
      </c>
      <c r="AG47" s="1303">
        <f>[11]Tramming!AG47</f>
        <v>48</v>
      </c>
      <c r="AH47" s="1303">
        <f>[11]Tramming!AH47</f>
        <v>42</v>
      </c>
      <c r="AI47" s="1303">
        <f>[11]Tramming!AI47</f>
        <v>104</v>
      </c>
      <c r="AJ47" s="1303">
        <f>[11]Tramming!AJ47</f>
        <v>78</v>
      </c>
      <c r="AK47" s="1303">
        <f>[11]Tramming!AK47</f>
        <v>24</v>
      </c>
      <c r="AL47" s="1303">
        <f>[11]Tramming!AL47</f>
        <v>87</v>
      </c>
      <c r="AM47" s="347"/>
    </row>
    <row r="48" spans="1:39" x14ac:dyDescent="0.25">
      <c r="A48" s="202"/>
      <c r="B48" s="1607"/>
      <c r="C48" s="1705"/>
      <c r="D48" s="1688"/>
      <c r="E48" s="1389" t="s">
        <v>312</v>
      </c>
      <c r="F48" s="1382"/>
      <c r="G48" s="1383"/>
      <c r="H48" s="203"/>
      <c r="I48" s="203"/>
      <c r="J48" s="203"/>
      <c r="K48" s="203"/>
      <c r="L48" s="203"/>
      <c r="M48" s="203"/>
      <c r="N48" s="203"/>
      <c r="O48" s="203"/>
      <c r="P48" s="204"/>
      <c r="Q48" s="203"/>
      <c r="R48" s="203"/>
      <c r="S48" s="203"/>
      <c r="T48" s="203"/>
      <c r="U48" s="203"/>
      <c r="V48" s="203"/>
      <c r="W48" s="203"/>
      <c r="X48" s="203"/>
      <c r="Y48" s="203"/>
      <c r="Z48" s="203"/>
      <c r="AA48" s="203"/>
      <c r="AB48" s="203"/>
      <c r="AC48" s="203"/>
      <c r="AD48" s="203"/>
      <c r="AE48" s="203"/>
      <c r="AF48" s="203"/>
      <c r="AG48" s="203"/>
      <c r="AH48" s="203"/>
      <c r="AI48" s="203"/>
      <c r="AJ48" s="203"/>
      <c r="AK48" s="203"/>
      <c r="AL48" s="205"/>
      <c r="AM48" s="347"/>
    </row>
    <row r="49" spans="1:39" x14ac:dyDescent="0.25">
      <c r="A49" s="202"/>
      <c r="B49" s="1607"/>
      <c r="C49" s="1705"/>
      <c r="D49" s="1685" t="s">
        <v>343</v>
      </c>
      <c r="E49" s="1384" t="s">
        <v>344</v>
      </c>
      <c r="F49" s="1310">
        <f t="shared" ref="F49:F50" si="19">IFERROR(F51*1000/F46,0)</f>
        <v>2.1199999999999997</v>
      </c>
      <c r="G49" s="1385"/>
      <c r="H49" s="1312">
        <f>[11]Tramming!H49</f>
        <v>0</v>
      </c>
      <c r="I49" s="1312">
        <f>[11]Tramming!I49</f>
        <v>2.12</v>
      </c>
      <c r="J49" s="1312">
        <f>[11]Tramming!J49</f>
        <v>2.12</v>
      </c>
      <c r="K49" s="1333">
        <f>[11]Tramming!K49</f>
        <v>2.12</v>
      </c>
      <c r="L49" s="1333">
        <f>[11]Tramming!L49</f>
        <v>2.12</v>
      </c>
      <c r="M49" s="1333">
        <f>[11]Tramming!M49</f>
        <v>2.12</v>
      </c>
      <c r="N49" s="1333">
        <f>[11]Tramming!N49</f>
        <v>2.12</v>
      </c>
      <c r="O49" s="1333">
        <f>[11]Tramming!O49</f>
        <v>2.12</v>
      </c>
      <c r="P49" s="1334">
        <f>[11]Tramming!P49</f>
        <v>2.12</v>
      </c>
      <c r="Q49" s="1333">
        <f>[11]Tramming!Q49</f>
        <v>2.12</v>
      </c>
      <c r="R49" s="1333">
        <f>[11]Tramming!R49</f>
        <v>2.12</v>
      </c>
      <c r="S49" s="1333">
        <f>[11]Tramming!S49</f>
        <v>2.12</v>
      </c>
      <c r="T49" s="1333">
        <f>[11]Tramming!T49</f>
        <v>2.12</v>
      </c>
      <c r="U49" s="1333">
        <f>[11]Tramming!U49</f>
        <v>2.12</v>
      </c>
      <c r="V49" s="1333">
        <f>[11]Tramming!V49</f>
        <v>2.12</v>
      </c>
      <c r="W49" s="1333">
        <f>[11]Tramming!W49</f>
        <v>2.12</v>
      </c>
      <c r="X49" s="1333">
        <f>[11]Tramming!X49</f>
        <v>2.12</v>
      </c>
      <c r="Y49" s="1333">
        <f>[11]Tramming!Y49</f>
        <v>2.12</v>
      </c>
      <c r="Z49" s="1333">
        <f>[11]Tramming!Z49</f>
        <v>2.12</v>
      </c>
      <c r="AA49" s="1333">
        <f>[11]Tramming!AA49</f>
        <v>2.12</v>
      </c>
      <c r="AB49" s="1333">
        <f>[11]Tramming!AB49</f>
        <v>2.12</v>
      </c>
      <c r="AC49" s="1333">
        <f>[11]Tramming!AC49</f>
        <v>2.12</v>
      </c>
      <c r="AD49" s="1333">
        <f>[11]Tramming!AD49</f>
        <v>2.12</v>
      </c>
      <c r="AE49" s="1333">
        <f>[11]Tramming!AE49</f>
        <v>2.12</v>
      </c>
      <c r="AF49" s="1333">
        <f>[11]Tramming!AF49</f>
        <v>0</v>
      </c>
      <c r="AG49" s="1333">
        <f>[11]Tramming!AG49</f>
        <v>2.12</v>
      </c>
      <c r="AH49" s="1333">
        <f>[11]Tramming!AH49</f>
        <v>2.12</v>
      </c>
      <c r="AI49" s="1333">
        <f>[11]Tramming!AI49</f>
        <v>2.12</v>
      </c>
      <c r="AJ49" s="1333">
        <f>[11]Tramming!AJ49</f>
        <v>2.12</v>
      </c>
      <c r="AK49" s="1333">
        <f>[11]Tramming!AK49</f>
        <v>2.12</v>
      </c>
      <c r="AL49" s="1335">
        <f>[11]Tramming!AL49</f>
        <v>2.12</v>
      </c>
      <c r="AM49" s="347"/>
    </row>
    <row r="50" spans="1:39" x14ac:dyDescent="0.25">
      <c r="A50" s="202"/>
      <c r="B50" s="1607"/>
      <c r="C50" s="1705"/>
      <c r="D50" s="1707"/>
      <c r="E50" s="1386" t="s">
        <v>345</v>
      </c>
      <c r="F50" s="1314">
        <f t="shared" si="19"/>
        <v>2.5354670623145403</v>
      </c>
      <c r="G50" s="1380">
        <f t="shared" ref="G50" si="20">IFERROR((F50-F49)/F49,0)</f>
        <v>0.1959750293936513</v>
      </c>
      <c r="H50" s="1315">
        <f>[11]Tramming!H50</f>
        <v>1.58</v>
      </c>
      <c r="I50" s="1314">
        <f>[11]Tramming!I50</f>
        <v>2.0099999999999998</v>
      </c>
      <c r="J50" s="1314">
        <f>[11]Tramming!J50</f>
        <v>1.99</v>
      </c>
      <c r="K50" s="1314">
        <f>[11]Tramming!K50</f>
        <v>1.05</v>
      </c>
      <c r="L50" s="1314">
        <f>[11]Tramming!L50</f>
        <v>1.75</v>
      </c>
      <c r="M50" s="1314">
        <f>[11]Tramming!M50</f>
        <v>0.21</v>
      </c>
      <c r="N50" s="1314">
        <f>[11]Tramming!N50</f>
        <v>3.45</v>
      </c>
      <c r="O50" s="1314">
        <f>[11]Tramming!O50</f>
        <v>2.48</v>
      </c>
      <c r="P50" s="1314">
        <f>[11]Tramming!P50</f>
        <v>1.71</v>
      </c>
      <c r="Q50" s="1314">
        <f>[11]Tramming!Q50</f>
        <v>2</v>
      </c>
      <c r="R50" s="1314">
        <f>[11]Tramming!R50</f>
        <v>2.95</v>
      </c>
      <c r="S50" s="1314">
        <f>[11]Tramming!S50</f>
        <v>2.0099999999999998</v>
      </c>
      <c r="T50" s="1314">
        <f>[11]Tramming!T50</f>
        <v>4.45</v>
      </c>
      <c r="U50" s="1314">
        <f>[11]Tramming!U50</f>
        <v>3.26</v>
      </c>
      <c r="V50" s="1314">
        <f>[11]Tramming!V50</f>
        <v>2.62</v>
      </c>
      <c r="W50" s="1314">
        <f>[11]Tramming!W50</f>
        <v>2.91</v>
      </c>
      <c r="X50" s="1314">
        <f>[11]Tramming!X50</f>
        <v>7</v>
      </c>
      <c r="Y50" s="1314">
        <f>[11]Tramming!Y50</f>
        <v>2.06</v>
      </c>
      <c r="Z50" s="1314">
        <f>[11]Tramming!Z50</f>
        <v>2.31</v>
      </c>
      <c r="AA50" s="1314">
        <f>[11]Tramming!AA50</f>
        <v>4.58</v>
      </c>
      <c r="AB50" s="1314">
        <f>[11]Tramming!AB50</f>
        <v>3.02</v>
      </c>
      <c r="AC50" s="1314">
        <f>[11]Tramming!AC50</f>
        <v>2.93</v>
      </c>
      <c r="AD50" s="1314">
        <f>[11]Tramming!AD50</f>
        <v>2.444</v>
      </c>
      <c r="AE50" s="1314">
        <f>[11]Tramming!AE50</f>
        <v>1.61</v>
      </c>
      <c r="AF50" s="1314">
        <f>[11]Tramming!AF50</f>
        <v>0</v>
      </c>
      <c r="AG50" s="1314">
        <f>[11]Tramming!AG50</f>
        <v>1.17</v>
      </c>
      <c r="AH50" s="1314">
        <f>[11]Tramming!AH50</f>
        <v>1.91</v>
      </c>
      <c r="AI50" s="1314">
        <f>[11]Tramming!AI50</f>
        <v>1.96</v>
      </c>
      <c r="AJ50" s="1314">
        <f>[11]Tramming!AJ50</f>
        <v>2.1800000000000002</v>
      </c>
      <c r="AK50" s="1314">
        <f>[11]Tramming!AK50</f>
        <v>2.35</v>
      </c>
      <c r="AL50" s="1314">
        <f>[11]Tramming!AL50</f>
        <v>5.0999999999999996</v>
      </c>
      <c r="AM50" s="347"/>
    </row>
    <row r="51" spans="1:39" x14ac:dyDescent="0.25">
      <c r="A51" s="202"/>
      <c r="B51" s="1607"/>
      <c r="C51" s="1705"/>
      <c r="D51" s="1685" t="s">
        <v>47</v>
      </c>
      <c r="E51" s="1384" t="s">
        <v>346</v>
      </c>
      <c r="F51" s="206">
        <f t="shared" ref="F51:F54" si="21">SUMIF($H$9:$AL$9,"&lt;="&amp;$C$7,H51:AL51)</f>
        <v>5.3423999999999987</v>
      </c>
      <c r="G51" s="1385"/>
      <c r="H51" s="1316">
        <f>[11]Tramming!H51</f>
        <v>0</v>
      </c>
      <c r="I51" s="1316">
        <f>[11]Tramming!I51</f>
        <v>0.22260000000000002</v>
      </c>
      <c r="J51" s="1316">
        <f>[11]Tramming!J51</f>
        <v>0.22260000000000002</v>
      </c>
      <c r="K51" s="1316">
        <f>[11]Tramming!K51</f>
        <v>0.22260000000000002</v>
      </c>
      <c r="L51" s="1316">
        <f>[11]Tramming!L51</f>
        <v>0.22260000000000002</v>
      </c>
      <c r="M51" s="1316">
        <f>[11]Tramming!M51</f>
        <v>0.22260000000000002</v>
      </c>
      <c r="N51" s="1316">
        <f>[11]Tramming!N51</f>
        <v>0.22260000000000002</v>
      </c>
      <c r="O51" s="1316">
        <f>[11]Tramming!O51</f>
        <v>0.22260000000000002</v>
      </c>
      <c r="P51" s="1316">
        <f>[11]Tramming!P51</f>
        <v>0.22260000000000002</v>
      </c>
      <c r="Q51" s="1316">
        <f>[11]Tramming!Q51</f>
        <v>0.22260000000000002</v>
      </c>
      <c r="R51" s="1316">
        <f>[11]Tramming!R51</f>
        <v>0.22260000000000002</v>
      </c>
      <c r="S51" s="1316">
        <f>[11]Tramming!S51</f>
        <v>0.22260000000000002</v>
      </c>
      <c r="T51" s="1316">
        <f>[11]Tramming!T51</f>
        <v>0.22260000000000002</v>
      </c>
      <c r="U51" s="1316">
        <f>[11]Tramming!U51</f>
        <v>0.22260000000000002</v>
      </c>
      <c r="V51" s="1316">
        <f>[11]Tramming!V51</f>
        <v>0.22260000000000002</v>
      </c>
      <c r="W51" s="1316">
        <f>[11]Tramming!W51</f>
        <v>0.22260000000000002</v>
      </c>
      <c r="X51" s="1316">
        <f>[11]Tramming!X51</f>
        <v>0.22260000000000002</v>
      </c>
      <c r="Y51" s="1316">
        <f>[11]Tramming!Y51</f>
        <v>0.22260000000000002</v>
      </c>
      <c r="Z51" s="1316">
        <f>[11]Tramming!Z51</f>
        <v>0.22260000000000002</v>
      </c>
      <c r="AA51" s="1316">
        <f>[11]Tramming!AA51</f>
        <v>0.22260000000000002</v>
      </c>
      <c r="AB51" s="1316">
        <f>[11]Tramming!AB51</f>
        <v>0.22260000000000002</v>
      </c>
      <c r="AC51" s="1316">
        <f>[11]Tramming!AC51</f>
        <v>0.22260000000000002</v>
      </c>
      <c r="AD51" s="1316">
        <f>[11]Tramming!AD51</f>
        <v>0.22260000000000002</v>
      </c>
      <c r="AE51" s="1316">
        <f>[11]Tramming!AE51</f>
        <v>0.22260000000000002</v>
      </c>
      <c r="AF51" s="1316">
        <f>[11]Tramming!AF51</f>
        <v>0</v>
      </c>
      <c r="AG51" s="1316">
        <f>[11]Tramming!AG51</f>
        <v>0.22260000000000002</v>
      </c>
      <c r="AH51" s="1316">
        <f>[11]Tramming!AH51</f>
        <v>0.22260000000000002</v>
      </c>
      <c r="AI51" s="1316">
        <f>[11]Tramming!AI51</f>
        <v>0.22260000000000002</v>
      </c>
      <c r="AJ51" s="1316">
        <f>[11]Tramming!AJ51</f>
        <v>0.22260000000000002</v>
      </c>
      <c r="AK51" s="1316">
        <f>[11]Tramming!AK51</f>
        <v>0.22260000000000002</v>
      </c>
      <c r="AL51" s="1316">
        <f>[11]Tramming!AL51</f>
        <v>0.22260000000000002</v>
      </c>
      <c r="AM51" s="705"/>
    </row>
    <row r="52" spans="1:39" ht="15.75" thickBot="1" x14ac:dyDescent="0.3">
      <c r="A52" s="202"/>
      <c r="B52" s="1660"/>
      <c r="C52" s="1706"/>
      <c r="D52" s="1708"/>
      <c r="E52" s="1387" t="s">
        <v>347</v>
      </c>
      <c r="F52" s="1321">
        <f t="shared" si="21"/>
        <v>4.2722620000000004</v>
      </c>
      <c r="G52" s="1388">
        <f t="shared" ref="G52" si="22">IFERROR((F52-F51)/F51,0)</f>
        <v>-0.20031034740940373</v>
      </c>
      <c r="H52" s="1323">
        <f>[11]Tramming!H52</f>
        <v>5.688E-2</v>
      </c>
      <c r="I52" s="1323">
        <f>[11]Tramming!I52</f>
        <v>9.6479999999999996E-2</v>
      </c>
      <c r="J52" s="1323">
        <f>[11]Tramming!J52</f>
        <v>2.3879999999999998E-2</v>
      </c>
      <c r="K52" s="1323">
        <f>[11]Tramming!K52</f>
        <v>8.1900000000000001E-2</v>
      </c>
      <c r="L52" s="1323">
        <f>[11]Tramming!L52</f>
        <v>8.4000000000000005E-2</v>
      </c>
      <c r="M52" s="1323">
        <f>[11]Tramming!M52</f>
        <v>7.5599999999999999E-3</v>
      </c>
      <c r="N52" s="1323">
        <f>[11]Tramming!N52</f>
        <v>7.5900000000000009E-2</v>
      </c>
      <c r="O52" s="1323">
        <f>[11]Tramming!O52</f>
        <v>0.35711999999999999</v>
      </c>
      <c r="P52" s="1323">
        <f>[11]Tramming!P52</f>
        <v>0.19494</v>
      </c>
      <c r="Q52" s="1323">
        <f>[11]Tramming!Q52</f>
        <v>0.186</v>
      </c>
      <c r="R52" s="1323">
        <f>[11]Tramming!R52</f>
        <v>0.18290000000000001</v>
      </c>
      <c r="S52" s="1323">
        <f>[11]Tramming!S52</f>
        <v>6.0299999999999999E-2</v>
      </c>
      <c r="T52" s="1323">
        <f>[11]Tramming!T52</f>
        <v>0.45390000000000003</v>
      </c>
      <c r="U52" s="1323">
        <f>[11]Tramming!U52</f>
        <v>0.23471999999999998</v>
      </c>
      <c r="V52" s="1323">
        <f>[11]Tramming!V52</f>
        <v>0.17292000000000002</v>
      </c>
      <c r="W52" s="1323">
        <f>[11]Tramming!W52</f>
        <v>0.17460000000000003</v>
      </c>
      <c r="X52" s="1323">
        <f>[11]Tramming!X52</f>
        <v>0.504</v>
      </c>
      <c r="Y52" s="1323">
        <f>[11]Tramming!Y52</f>
        <v>0.22248000000000001</v>
      </c>
      <c r="Z52" s="1323">
        <f>[11]Tramming!Z52</f>
        <v>0.28643999999999997</v>
      </c>
      <c r="AA52" s="1323">
        <f>[11]Tramming!AA52</f>
        <v>0.1145</v>
      </c>
      <c r="AB52" s="1323">
        <f>[11]Tramming!AB52</f>
        <v>0.10872</v>
      </c>
      <c r="AC52" s="1323">
        <f>[11]Tramming!AC52</f>
        <v>0.21096000000000001</v>
      </c>
      <c r="AD52" s="1323">
        <f>[11]Tramming!AD52</f>
        <v>0.117312</v>
      </c>
      <c r="AE52" s="1323">
        <f>[11]Tramming!AE52</f>
        <v>0.20769000000000001</v>
      </c>
      <c r="AF52" s="1323">
        <f>[11]Tramming!AF52</f>
        <v>0</v>
      </c>
      <c r="AG52" s="1323">
        <f>[11]Tramming!AG52</f>
        <v>5.6159999999999995E-2</v>
      </c>
      <c r="AH52" s="1323">
        <f>[11]Tramming!AH52</f>
        <v>8.022E-2</v>
      </c>
      <c r="AI52" s="1323">
        <f>[11]Tramming!AI52</f>
        <v>0.20383999999999999</v>
      </c>
      <c r="AJ52" s="1323">
        <f>[11]Tramming!AJ52</f>
        <v>0.17004000000000002</v>
      </c>
      <c r="AK52" s="1323">
        <f>[11]Tramming!AK52</f>
        <v>5.6400000000000006E-2</v>
      </c>
      <c r="AL52" s="1323">
        <f>[11]Tramming!AL52</f>
        <v>0.44369999999999998</v>
      </c>
      <c r="AM52" s="706"/>
    </row>
    <row r="53" spans="1:39" ht="14.25" customHeight="1" x14ac:dyDescent="0.25">
      <c r="A53" s="194"/>
      <c r="B53" s="1608"/>
      <c r="C53" s="1704" t="str">
        <f>[11]Tramming!C53</f>
        <v>5L_W7 STOPE</v>
      </c>
      <c r="D53" s="1684" t="s">
        <v>340</v>
      </c>
      <c r="E53" s="195" t="s">
        <v>341</v>
      </c>
      <c r="F53" s="196">
        <f t="shared" si="21"/>
        <v>0</v>
      </c>
      <c r="G53" s="197"/>
      <c r="H53" s="198">
        <f>[11]Tramming!H53</f>
        <v>0</v>
      </c>
      <c r="I53" s="198">
        <f>[11]Tramming!I53</f>
        <v>0</v>
      </c>
      <c r="J53" s="198">
        <f>[11]Tramming!J53</f>
        <v>0</v>
      </c>
      <c r="K53" s="199">
        <f>[11]Tramming!K53</f>
        <v>0</v>
      </c>
      <c r="L53" s="199">
        <f>[11]Tramming!L53</f>
        <v>0</v>
      </c>
      <c r="M53" s="199">
        <f>[11]Tramming!M53</f>
        <v>0</v>
      </c>
      <c r="N53" s="199">
        <f>[11]Tramming!N53</f>
        <v>0</v>
      </c>
      <c r="O53" s="199">
        <f>[11]Tramming!O53</f>
        <v>0</v>
      </c>
      <c r="P53" s="200">
        <f>[11]Tramming!P53</f>
        <v>0</v>
      </c>
      <c r="Q53" s="199">
        <f>[11]Tramming!Q53</f>
        <v>0</v>
      </c>
      <c r="R53" s="199">
        <f>[11]Tramming!R53</f>
        <v>0</v>
      </c>
      <c r="S53" s="199">
        <f>[11]Tramming!S53</f>
        <v>0</v>
      </c>
      <c r="T53" s="199">
        <f>[11]Tramming!T53</f>
        <v>0</v>
      </c>
      <c r="U53" s="199">
        <f>[11]Tramming!U53</f>
        <v>0</v>
      </c>
      <c r="V53" s="199">
        <f>[11]Tramming!V53</f>
        <v>0</v>
      </c>
      <c r="W53" s="199">
        <f>[11]Tramming!W53</f>
        <v>0</v>
      </c>
      <c r="X53" s="199">
        <f>[11]Tramming!X53</f>
        <v>0</v>
      </c>
      <c r="Y53" s="199">
        <f>[11]Tramming!Y53</f>
        <v>0</v>
      </c>
      <c r="Z53" s="199">
        <f>[11]Tramming!Z53</f>
        <v>0</v>
      </c>
      <c r="AA53" s="199">
        <f>[11]Tramming!AA53</f>
        <v>0</v>
      </c>
      <c r="AB53" s="199">
        <f>[11]Tramming!AB53</f>
        <v>0</v>
      </c>
      <c r="AC53" s="199">
        <f>[11]Tramming!AC53</f>
        <v>0</v>
      </c>
      <c r="AD53" s="199">
        <f>[11]Tramming!AD53</f>
        <v>0</v>
      </c>
      <c r="AE53" s="199">
        <f>[11]Tramming!AE53</f>
        <v>0</v>
      </c>
      <c r="AF53" s="199">
        <f>[11]Tramming!AF53</f>
        <v>0</v>
      </c>
      <c r="AG53" s="199">
        <f>[11]Tramming!AG53</f>
        <v>0</v>
      </c>
      <c r="AH53" s="199">
        <f>[11]Tramming!AH53</f>
        <v>0</v>
      </c>
      <c r="AI53" s="199">
        <f>[11]Tramming!AI53</f>
        <v>0</v>
      </c>
      <c r="AJ53" s="199">
        <f>[11]Tramming!AJ53</f>
        <v>0</v>
      </c>
      <c r="AK53" s="199">
        <f>[11]Tramming!AK53</f>
        <v>0</v>
      </c>
      <c r="AL53" s="201">
        <f>[11]Tramming!AL53</f>
        <v>0</v>
      </c>
      <c r="AM53" s="704"/>
    </row>
    <row r="54" spans="1:39" x14ac:dyDescent="0.25">
      <c r="A54" s="202"/>
      <c r="B54" s="1607"/>
      <c r="C54" s="1705"/>
      <c r="D54" s="1688"/>
      <c r="E54" s="1379" t="s">
        <v>342</v>
      </c>
      <c r="F54" s="1303">
        <f t="shared" si="21"/>
        <v>338</v>
      </c>
      <c r="G54" s="1380">
        <f t="shared" ref="G54" si="23">IFERROR((F54-F53)/F53,0)</f>
        <v>0</v>
      </c>
      <c r="H54" s="1305">
        <f>[11]Tramming!H54</f>
        <v>105</v>
      </c>
      <c r="I54" s="1303">
        <f>[11]Tramming!I54</f>
        <v>0</v>
      </c>
      <c r="J54" s="1303">
        <f>[11]Tramming!J54</f>
        <v>0</v>
      </c>
      <c r="K54" s="1303">
        <f>[11]Tramming!K54</f>
        <v>0</v>
      </c>
      <c r="L54" s="1303">
        <f>[11]Tramming!L54</f>
        <v>0</v>
      </c>
      <c r="M54" s="1303">
        <f>[11]Tramming!M54</f>
        <v>0</v>
      </c>
      <c r="N54" s="1303">
        <f>[11]Tramming!N54</f>
        <v>0</v>
      </c>
      <c r="O54" s="1303">
        <f>[11]Tramming!O54</f>
        <v>0</v>
      </c>
      <c r="P54" s="1303">
        <f>[11]Tramming!P54</f>
        <v>0</v>
      </c>
      <c r="Q54" s="1303">
        <f>[11]Tramming!Q54</f>
        <v>0</v>
      </c>
      <c r="R54" s="1303">
        <f>[11]Tramming!R54</f>
        <v>0</v>
      </c>
      <c r="S54" s="1303">
        <f>[11]Tramming!S54</f>
        <v>0</v>
      </c>
      <c r="T54" s="1303">
        <f>[11]Tramming!T54</f>
        <v>0</v>
      </c>
      <c r="U54" s="1303">
        <f>[11]Tramming!U54</f>
        <v>0</v>
      </c>
      <c r="V54" s="1303">
        <f>[11]Tramming!V54</f>
        <v>0</v>
      </c>
      <c r="W54" s="1303">
        <f>[11]Tramming!W54</f>
        <v>0</v>
      </c>
      <c r="X54" s="1303">
        <f>[11]Tramming!X54</f>
        <v>0</v>
      </c>
      <c r="Y54" s="1303">
        <f>[11]Tramming!Y54</f>
        <v>0</v>
      </c>
      <c r="Z54" s="1303">
        <f>[11]Tramming!Z54</f>
        <v>50</v>
      </c>
      <c r="AA54" s="1303">
        <f>[11]Tramming!AA54</f>
        <v>30</v>
      </c>
      <c r="AB54" s="1303">
        <f>[11]Tramming!AB54</f>
        <v>30</v>
      </c>
      <c r="AC54" s="1303">
        <f>[11]Tramming!AC54</f>
        <v>21</v>
      </c>
      <c r="AD54" s="1303">
        <f>[11]Tramming!AD54</f>
        <v>20</v>
      </c>
      <c r="AE54" s="1303">
        <f>[11]Tramming!AE54</f>
        <v>32</v>
      </c>
      <c r="AF54" s="1303">
        <f>[11]Tramming!AF54</f>
        <v>0</v>
      </c>
      <c r="AG54" s="1303">
        <f>[11]Tramming!AG54</f>
        <v>50</v>
      </c>
      <c r="AH54" s="1303">
        <f>[11]Tramming!AH54</f>
        <v>0</v>
      </c>
      <c r="AI54" s="1303">
        <f>[11]Tramming!AI54</f>
        <v>0</v>
      </c>
      <c r="AJ54" s="1303">
        <f>[11]Tramming!AJ54</f>
        <v>0</v>
      </c>
      <c r="AK54" s="1303">
        <f>[11]Tramming!AK54</f>
        <v>0</v>
      </c>
      <c r="AL54" s="1303">
        <f>[11]Tramming!AL54</f>
        <v>0</v>
      </c>
      <c r="AM54" s="347"/>
    </row>
    <row r="55" spans="1:39" x14ac:dyDescent="0.25">
      <c r="A55" s="202"/>
      <c r="B55" s="1607"/>
      <c r="C55" s="1705"/>
      <c r="D55" s="1688"/>
      <c r="E55" s="1389" t="s">
        <v>312</v>
      </c>
      <c r="F55" s="1382"/>
      <c r="G55" s="1383"/>
      <c r="H55" s="203"/>
      <c r="I55" s="203"/>
      <c r="J55" s="203"/>
      <c r="K55" s="203"/>
      <c r="L55" s="203"/>
      <c r="M55" s="203"/>
      <c r="N55" s="203"/>
      <c r="O55" s="203"/>
      <c r="P55" s="204"/>
      <c r="Q55" s="203"/>
      <c r="R55" s="203"/>
      <c r="S55" s="203"/>
      <c r="T55" s="203"/>
      <c r="U55" s="203"/>
      <c r="V55" s="203"/>
      <c r="W55" s="203"/>
      <c r="X55" s="203"/>
      <c r="Y55" s="203"/>
      <c r="Z55" s="203"/>
      <c r="AA55" s="203"/>
      <c r="AB55" s="203"/>
      <c r="AC55" s="203"/>
      <c r="AD55" s="203"/>
      <c r="AE55" s="203"/>
      <c r="AF55" s="203"/>
      <c r="AG55" s="203"/>
      <c r="AH55" s="203"/>
      <c r="AI55" s="203"/>
      <c r="AJ55" s="203"/>
      <c r="AK55" s="203"/>
      <c r="AL55" s="205"/>
      <c r="AM55" s="347"/>
    </row>
    <row r="56" spans="1:39" x14ac:dyDescent="0.25">
      <c r="A56" s="202"/>
      <c r="B56" s="1607"/>
      <c r="C56" s="1705"/>
      <c r="D56" s="1685" t="s">
        <v>343</v>
      </c>
      <c r="E56" s="1384" t="s">
        <v>344</v>
      </c>
      <c r="F56" s="1310">
        <f t="shared" ref="F56:F57" si="24">IFERROR(F58*1000/F53,0)</f>
        <v>0</v>
      </c>
      <c r="G56" s="1385"/>
      <c r="H56" s="1312">
        <f>[11]Tramming!H56</f>
        <v>0</v>
      </c>
      <c r="I56" s="1312">
        <f>[11]Tramming!I56</f>
        <v>0</v>
      </c>
      <c r="J56" s="1312">
        <f>[11]Tramming!J56</f>
        <v>0</v>
      </c>
      <c r="K56" s="1333">
        <f>[11]Tramming!K56</f>
        <v>0</v>
      </c>
      <c r="L56" s="1333">
        <f>[11]Tramming!L56</f>
        <v>0</v>
      </c>
      <c r="M56" s="1333">
        <f>[11]Tramming!M56</f>
        <v>0</v>
      </c>
      <c r="N56" s="1333">
        <f>[11]Tramming!N56</f>
        <v>0</v>
      </c>
      <c r="O56" s="1333">
        <f>[11]Tramming!O56</f>
        <v>0</v>
      </c>
      <c r="P56" s="1334">
        <f>[11]Tramming!P56</f>
        <v>0</v>
      </c>
      <c r="Q56" s="1333">
        <f>[11]Tramming!Q56</f>
        <v>0</v>
      </c>
      <c r="R56" s="1333">
        <f>[11]Tramming!R56</f>
        <v>0</v>
      </c>
      <c r="S56" s="1333">
        <f>[11]Tramming!S56</f>
        <v>0</v>
      </c>
      <c r="T56" s="1333">
        <f>[11]Tramming!T56</f>
        <v>0</v>
      </c>
      <c r="U56" s="1333">
        <f>[11]Tramming!U56</f>
        <v>0</v>
      </c>
      <c r="V56" s="1333">
        <f>[11]Tramming!V56</f>
        <v>0</v>
      </c>
      <c r="W56" s="1333">
        <f>[11]Tramming!W56</f>
        <v>0</v>
      </c>
      <c r="X56" s="1333">
        <f>[11]Tramming!X56</f>
        <v>0</v>
      </c>
      <c r="Y56" s="1333">
        <f>[11]Tramming!Y56</f>
        <v>0</v>
      </c>
      <c r="Z56" s="1333">
        <f>[11]Tramming!Z56</f>
        <v>0</v>
      </c>
      <c r="AA56" s="1333">
        <f>[11]Tramming!AA56</f>
        <v>0</v>
      </c>
      <c r="AB56" s="1333">
        <f>[11]Tramming!AB56</f>
        <v>0</v>
      </c>
      <c r="AC56" s="1333">
        <f>[11]Tramming!AC56</f>
        <v>0</v>
      </c>
      <c r="AD56" s="1333">
        <f>[11]Tramming!AD56</f>
        <v>0</v>
      </c>
      <c r="AE56" s="1333">
        <f>[11]Tramming!AE56</f>
        <v>0</v>
      </c>
      <c r="AF56" s="1333">
        <f>[11]Tramming!AF56</f>
        <v>0</v>
      </c>
      <c r="AG56" s="1333">
        <f>[11]Tramming!AG56</f>
        <v>0</v>
      </c>
      <c r="AH56" s="1333">
        <f>[11]Tramming!AH56</f>
        <v>0</v>
      </c>
      <c r="AI56" s="1333">
        <f>[11]Tramming!AI56</f>
        <v>0</v>
      </c>
      <c r="AJ56" s="1333">
        <f>[11]Tramming!AJ56</f>
        <v>0</v>
      </c>
      <c r="AK56" s="1333">
        <f>[11]Tramming!AK56</f>
        <v>0</v>
      </c>
      <c r="AL56" s="1335">
        <f>[11]Tramming!AL56</f>
        <v>0</v>
      </c>
      <c r="AM56" s="347"/>
    </row>
    <row r="57" spans="1:39" x14ac:dyDescent="0.25">
      <c r="A57" s="202"/>
      <c r="B57" s="1607"/>
      <c r="C57" s="1705"/>
      <c r="D57" s="1707"/>
      <c r="E57" s="1386" t="s">
        <v>345</v>
      </c>
      <c r="F57" s="1314">
        <f t="shared" si="24"/>
        <v>1.8905621301775155</v>
      </c>
      <c r="G57" s="1380">
        <f t="shared" ref="G57" si="25">IFERROR((F57-F56)/F56,0)</f>
        <v>0</v>
      </c>
      <c r="H57" s="1315">
        <f>[11]Tramming!H57</f>
        <v>2.19</v>
      </c>
      <c r="I57" s="1314">
        <f>[11]Tramming!I57</f>
        <v>0</v>
      </c>
      <c r="J57" s="1314">
        <f>[11]Tramming!J57</f>
        <v>0</v>
      </c>
      <c r="K57" s="1314">
        <f>[11]Tramming!K57</f>
        <v>0</v>
      </c>
      <c r="L57" s="1314">
        <f>[11]Tramming!L57</f>
        <v>0</v>
      </c>
      <c r="M57" s="1314">
        <f>[11]Tramming!M57</f>
        <v>0</v>
      </c>
      <c r="N57" s="1314">
        <f>[11]Tramming!N57</f>
        <v>0</v>
      </c>
      <c r="O57" s="1314">
        <f>[11]Tramming!O57</f>
        <v>0</v>
      </c>
      <c r="P57" s="1314">
        <f>[11]Tramming!P57</f>
        <v>0</v>
      </c>
      <c r="Q57" s="1314">
        <f>[11]Tramming!Q57</f>
        <v>0</v>
      </c>
      <c r="R57" s="1314">
        <f>[11]Tramming!R57</f>
        <v>0</v>
      </c>
      <c r="S57" s="1314">
        <f>[11]Tramming!S57</f>
        <v>0</v>
      </c>
      <c r="T57" s="1314">
        <f>[11]Tramming!T57</f>
        <v>0</v>
      </c>
      <c r="U57" s="1314">
        <f>[11]Tramming!U57</f>
        <v>0</v>
      </c>
      <c r="V57" s="1314">
        <f>[11]Tramming!V57</f>
        <v>0</v>
      </c>
      <c r="W57" s="1314">
        <f>[11]Tramming!W57</f>
        <v>0</v>
      </c>
      <c r="X57" s="1314">
        <f>[11]Tramming!X57</f>
        <v>0</v>
      </c>
      <c r="Y57" s="1314">
        <f>[11]Tramming!Y57</f>
        <v>0</v>
      </c>
      <c r="Z57" s="1314">
        <f>[11]Tramming!Z57</f>
        <v>1.77</v>
      </c>
      <c r="AA57" s="1314">
        <f>[11]Tramming!AA57</f>
        <v>2.0299999999999998</v>
      </c>
      <c r="AB57" s="1314">
        <f>[11]Tramming!AB57</f>
        <v>2.41</v>
      </c>
      <c r="AC57" s="1314">
        <f>[11]Tramming!AC57</f>
        <v>4</v>
      </c>
      <c r="AD57" s="1314">
        <f>[11]Tramming!AD57</f>
        <v>1.05</v>
      </c>
      <c r="AE57" s="1314">
        <f>[11]Tramming!AE57</f>
        <v>0.98</v>
      </c>
      <c r="AF57" s="1314">
        <f>[11]Tramming!AF57</f>
        <v>0</v>
      </c>
      <c r="AG57" s="1314">
        <f>[11]Tramming!AG57</f>
        <v>1.02</v>
      </c>
      <c r="AH57" s="1314">
        <f>[11]Tramming!AH57</f>
        <v>0</v>
      </c>
      <c r="AI57" s="1314">
        <f>[11]Tramming!AI57</f>
        <v>0</v>
      </c>
      <c r="AJ57" s="1314">
        <f>[11]Tramming!AJ57</f>
        <v>0</v>
      </c>
      <c r="AK57" s="1314">
        <f>[11]Tramming!AK57</f>
        <v>0</v>
      </c>
      <c r="AL57" s="1314">
        <f>[11]Tramming!AL57</f>
        <v>0</v>
      </c>
      <c r="AM57" s="347"/>
    </row>
    <row r="58" spans="1:39" x14ac:dyDescent="0.25">
      <c r="A58" s="202"/>
      <c r="B58" s="1607"/>
      <c r="C58" s="1705"/>
      <c r="D58" s="1685" t="s">
        <v>47</v>
      </c>
      <c r="E58" s="1384" t="s">
        <v>346</v>
      </c>
      <c r="F58" s="206">
        <f t="shared" ref="F58:F61" si="26">SUMIF($H$9:$AL$9,"&lt;="&amp;$C$7,H58:AL58)</f>
        <v>0</v>
      </c>
      <c r="G58" s="1385"/>
      <c r="H58" s="1316">
        <f>[11]Tramming!H58</f>
        <v>0</v>
      </c>
      <c r="I58" s="1316">
        <f>[11]Tramming!I58</f>
        <v>0</v>
      </c>
      <c r="J58" s="1316">
        <f>[11]Tramming!J58</f>
        <v>0</v>
      </c>
      <c r="K58" s="1316">
        <f>[11]Tramming!K58</f>
        <v>0</v>
      </c>
      <c r="L58" s="1316">
        <f>[11]Tramming!L58</f>
        <v>0</v>
      </c>
      <c r="M58" s="1316">
        <f>[11]Tramming!M58</f>
        <v>0</v>
      </c>
      <c r="N58" s="1316">
        <f>[11]Tramming!N58</f>
        <v>0</v>
      </c>
      <c r="O58" s="1316">
        <f>[11]Tramming!O58</f>
        <v>0</v>
      </c>
      <c r="P58" s="1316">
        <f>[11]Tramming!P58</f>
        <v>0</v>
      </c>
      <c r="Q58" s="1316">
        <f>[11]Tramming!Q58</f>
        <v>0</v>
      </c>
      <c r="R58" s="1316">
        <f>[11]Tramming!R58</f>
        <v>0</v>
      </c>
      <c r="S58" s="1316">
        <f>[11]Tramming!S58</f>
        <v>0</v>
      </c>
      <c r="T58" s="1316">
        <f>[11]Tramming!T58</f>
        <v>0</v>
      </c>
      <c r="U58" s="1316">
        <f>[11]Tramming!U58</f>
        <v>0</v>
      </c>
      <c r="V58" s="1316">
        <f>[11]Tramming!V58</f>
        <v>0</v>
      </c>
      <c r="W58" s="1316">
        <f>[11]Tramming!W58</f>
        <v>0</v>
      </c>
      <c r="X58" s="1316">
        <f>[11]Tramming!X58</f>
        <v>0</v>
      </c>
      <c r="Y58" s="1316">
        <f>[11]Tramming!Y58</f>
        <v>0</v>
      </c>
      <c r="Z58" s="1316">
        <f>[11]Tramming!Z58</f>
        <v>0</v>
      </c>
      <c r="AA58" s="1316">
        <f>[11]Tramming!AA58</f>
        <v>0</v>
      </c>
      <c r="AB58" s="1316">
        <f>[11]Tramming!AB58</f>
        <v>0</v>
      </c>
      <c r="AC58" s="1316">
        <f>[11]Tramming!AC58</f>
        <v>0</v>
      </c>
      <c r="AD58" s="1316">
        <f>[11]Tramming!AD58</f>
        <v>0</v>
      </c>
      <c r="AE58" s="1316">
        <f>[11]Tramming!AE58</f>
        <v>0</v>
      </c>
      <c r="AF58" s="1316">
        <f>[11]Tramming!AF58</f>
        <v>0</v>
      </c>
      <c r="AG58" s="1316" t="str">
        <f>[11]Tramming!AG58</f>
        <v>.</v>
      </c>
      <c r="AH58" s="1316">
        <f>[11]Tramming!AH58</f>
        <v>0</v>
      </c>
      <c r="AI58" s="1316">
        <f>[11]Tramming!AI58</f>
        <v>0</v>
      </c>
      <c r="AJ58" s="1316">
        <f>[11]Tramming!AJ58</f>
        <v>0</v>
      </c>
      <c r="AK58" s="1316">
        <f>[11]Tramming!AK58</f>
        <v>0</v>
      </c>
      <c r="AL58" s="1316">
        <f>[11]Tramming!AL58</f>
        <v>0</v>
      </c>
      <c r="AM58" s="705"/>
    </row>
    <row r="59" spans="1:39" ht="15.75" thickBot="1" x14ac:dyDescent="0.3">
      <c r="A59" s="202"/>
      <c r="B59" s="1660"/>
      <c r="C59" s="1706"/>
      <c r="D59" s="1708"/>
      <c r="E59" s="1387" t="s">
        <v>347</v>
      </c>
      <c r="F59" s="1321">
        <f t="shared" si="26"/>
        <v>0.63901000000000019</v>
      </c>
      <c r="G59" s="1388">
        <f t="shared" ref="G59" si="27">IFERROR((F59-F58)/F58,0)</f>
        <v>0</v>
      </c>
      <c r="H59" s="1323">
        <f>[11]Tramming!H59</f>
        <v>0.22994999999999999</v>
      </c>
      <c r="I59" s="1323">
        <f>[11]Tramming!I59</f>
        <v>0</v>
      </c>
      <c r="J59" s="1323">
        <f>[11]Tramming!J59</f>
        <v>0</v>
      </c>
      <c r="K59" s="1323">
        <f>[11]Tramming!K59</f>
        <v>0</v>
      </c>
      <c r="L59" s="1323">
        <f>[11]Tramming!L59</f>
        <v>0</v>
      </c>
      <c r="M59" s="1323">
        <f>[11]Tramming!M59</f>
        <v>0</v>
      </c>
      <c r="N59" s="1323">
        <f>[11]Tramming!N59</f>
        <v>0</v>
      </c>
      <c r="O59" s="1323">
        <f>[11]Tramming!O59</f>
        <v>0</v>
      </c>
      <c r="P59" s="1323">
        <f>[11]Tramming!P59</f>
        <v>0</v>
      </c>
      <c r="Q59" s="1323">
        <f>[11]Tramming!Q59</f>
        <v>0</v>
      </c>
      <c r="R59" s="1323">
        <f>[11]Tramming!R59</f>
        <v>0</v>
      </c>
      <c r="S59" s="1323">
        <f>[11]Tramming!S59</f>
        <v>0</v>
      </c>
      <c r="T59" s="1323">
        <f>[11]Tramming!T59</f>
        <v>0</v>
      </c>
      <c r="U59" s="1323">
        <f>[11]Tramming!U59</f>
        <v>0</v>
      </c>
      <c r="V59" s="1323">
        <f>[11]Tramming!V59</f>
        <v>0</v>
      </c>
      <c r="W59" s="1323">
        <f>[11]Tramming!W59</f>
        <v>0</v>
      </c>
      <c r="X59" s="1323">
        <f>[11]Tramming!X59</f>
        <v>0</v>
      </c>
      <c r="Y59" s="1323">
        <f>[11]Tramming!Y59</f>
        <v>0</v>
      </c>
      <c r="Z59" s="1323">
        <f>[11]Tramming!Z59</f>
        <v>8.8499999999999995E-2</v>
      </c>
      <c r="AA59" s="1323">
        <f>[11]Tramming!AA59</f>
        <v>6.0899999999999989E-2</v>
      </c>
      <c r="AB59" s="1323">
        <f>[11]Tramming!AB59</f>
        <v>7.2300000000000017E-2</v>
      </c>
      <c r="AC59" s="1323">
        <f>[11]Tramming!AC59</f>
        <v>8.4000000000000005E-2</v>
      </c>
      <c r="AD59" s="1323">
        <f>[11]Tramming!AD59</f>
        <v>2.1000000000000001E-2</v>
      </c>
      <c r="AE59" s="1323">
        <f>[11]Tramming!AE59</f>
        <v>3.1359999999999999E-2</v>
      </c>
      <c r="AF59" s="1323">
        <f>[11]Tramming!AF59</f>
        <v>0</v>
      </c>
      <c r="AG59" s="1323">
        <f>[11]Tramming!AG59</f>
        <v>5.0999999999999997E-2</v>
      </c>
      <c r="AH59" s="1323">
        <f>[11]Tramming!AH59</f>
        <v>0</v>
      </c>
      <c r="AI59" s="1323">
        <f>[11]Tramming!AI59</f>
        <v>0</v>
      </c>
      <c r="AJ59" s="1323">
        <f>[11]Tramming!AJ59</f>
        <v>0</v>
      </c>
      <c r="AK59" s="1323">
        <f>[11]Tramming!AK59</f>
        <v>0</v>
      </c>
      <c r="AL59" s="1323">
        <f>[11]Tramming!AL59</f>
        <v>0</v>
      </c>
      <c r="AM59" s="706"/>
    </row>
    <row r="60" spans="1:39" ht="14.25" customHeight="1" x14ac:dyDescent="0.25">
      <c r="A60" s="194"/>
      <c r="B60" s="1608"/>
      <c r="C60" s="1704" t="str">
        <f>[11]Tramming!C60</f>
        <v>5L_W8 STOPE</v>
      </c>
      <c r="D60" s="1684" t="s">
        <v>340</v>
      </c>
      <c r="E60" s="195" t="s">
        <v>341</v>
      </c>
      <c r="F60" s="196">
        <f t="shared" si="26"/>
        <v>1400</v>
      </c>
      <c r="G60" s="197"/>
      <c r="H60" s="198">
        <f>[11]Tramming!H60</f>
        <v>0</v>
      </c>
      <c r="I60" s="198">
        <f>[11]Tramming!I60</f>
        <v>0</v>
      </c>
      <c r="J60" s="198">
        <f>[11]Tramming!J60</f>
        <v>0</v>
      </c>
      <c r="K60" s="199">
        <f>[11]Tramming!K60</f>
        <v>0</v>
      </c>
      <c r="L60" s="199">
        <f>[11]Tramming!L60</f>
        <v>0</v>
      </c>
      <c r="M60" s="199">
        <f>[11]Tramming!M60</f>
        <v>70</v>
      </c>
      <c r="N60" s="199">
        <f>[11]Tramming!N60</f>
        <v>70</v>
      </c>
      <c r="O60" s="199">
        <f>[11]Tramming!O60</f>
        <v>70</v>
      </c>
      <c r="P60" s="200">
        <f>[11]Tramming!P60</f>
        <v>70</v>
      </c>
      <c r="Q60" s="199">
        <f>[11]Tramming!Q60</f>
        <v>70</v>
      </c>
      <c r="R60" s="199">
        <f>[11]Tramming!R60</f>
        <v>70</v>
      </c>
      <c r="S60" s="199">
        <f>[11]Tramming!S60</f>
        <v>70</v>
      </c>
      <c r="T60" s="199">
        <f>[11]Tramming!T60</f>
        <v>70</v>
      </c>
      <c r="U60" s="199">
        <f>[11]Tramming!U60</f>
        <v>70</v>
      </c>
      <c r="V60" s="199">
        <f>[11]Tramming!V60</f>
        <v>70</v>
      </c>
      <c r="W60" s="199">
        <f>[11]Tramming!W60</f>
        <v>70</v>
      </c>
      <c r="X60" s="199">
        <f>[11]Tramming!X60</f>
        <v>70</v>
      </c>
      <c r="Y60" s="199">
        <f>[11]Tramming!Y60</f>
        <v>70</v>
      </c>
      <c r="Z60" s="199">
        <f>[11]Tramming!Z60</f>
        <v>70</v>
      </c>
      <c r="AA60" s="199">
        <f>[11]Tramming!AA60</f>
        <v>70</v>
      </c>
      <c r="AB60" s="199">
        <f>[11]Tramming!AB60</f>
        <v>70</v>
      </c>
      <c r="AC60" s="199">
        <f>[11]Tramming!AC60</f>
        <v>70</v>
      </c>
      <c r="AD60" s="199">
        <f>[11]Tramming!AD60</f>
        <v>70</v>
      </c>
      <c r="AE60" s="199">
        <f>[11]Tramming!AE60</f>
        <v>70</v>
      </c>
      <c r="AF60" s="199">
        <f>[11]Tramming!AF60</f>
        <v>0</v>
      </c>
      <c r="AG60" s="199">
        <f>[11]Tramming!AG60</f>
        <v>70</v>
      </c>
      <c r="AH60" s="199">
        <f>[11]Tramming!AH60</f>
        <v>70</v>
      </c>
      <c r="AI60" s="199">
        <f>[11]Tramming!AI60</f>
        <v>70</v>
      </c>
      <c r="AJ60" s="199">
        <f>[11]Tramming!AJ60</f>
        <v>70</v>
      </c>
      <c r="AK60" s="199">
        <f>[11]Tramming!AK60</f>
        <v>70</v>
      </c>
      <c r="AL60" s="201">
        <f>[11]Tramming!AL60</f>
        <v>70</v>
      </c>
      <c r="AM60" s="704"/>
    </row>
    <row r="61" spans="1:39" x14ac:dyDescent="0.25">
      <c r="A61" s="202"/>
      <c r="B61" s="1607"/>
      <c r="C61" s="1705"/>
      <c r="D61" s="1688"/>
      <c r="E61" s="1379" t="s">
        <v>342</v>
      </c>
      <c r="F61" s="1303">
        <f t="shared" si="26"/>
        <v>3420</v>
      </c>
      <c r="G61" s="1380"/>
      <c r="H61" s="1305">
        <f>[11]Tramming!H61</f>
        <v>84</v>
      </c>
      <c r="I61" s="1303">
        <f>[11]Tramming!I61</f>
        <v>185</v>
      </c>
      <c r="J61" s="1303">
        <f>[11]Tramming!J61</f>
        <v>165</v>
      </c>
      <c r="K61" s="1303">
        <f>[11]Tramming!K61</f>
        <v>183</v>
      </c>
      <c r="L61" s="1303">
        <f>[11]Tramming!L61</f>
        <v>146</v>
      </c>
      <c r="M61" s="1303">
        <f>[11]Tramming!M61</f>
        <v>151</v>
      </c>
      <c r="N61" s="1303">
        <f>[11]Tramming!N61</f>
        <v>154</v>
      </c>
      <c r="O61" s="1303">
        <f>[11]Tramming!O61</f>
        <v>234</v>
      </c>
      <c r="P61" s="1303">
        <f>[11]Tramming!P61</f>
        <v>144</v>
      </c>
      <c r="Q61" s="1303">
        <f>[11]Tramming!Q61</f>
        <v>163</v>
      </c>
      <c r="R61" s="1303">
        <f>[11]Tramming!R61</f>
        <v>108</v>
      </c>
      <c r="S61" s="1303">
        <f>[11]Tramming!S61</f>
        <v>72</v>
      </c>
      <c r="T61" s="1303">
        <f>[11]Tramming!T61</f>
        <v>113</v>
      </c>
      <c r="U61" s="1303">
        <f>[11]Tramming!U61</f>
        <v>130</v>
      </c>
      <c r="V61" s="1303">
        <f>[11]Tramming!V61</f>
        <v>102</v>
      </c>
      <c r="W61" s="1303">
        <f>[11]Tramming!W61</f>
        <v>181</v>
      </c>
      <c r="X61" s="1303">
        <f>[11]Tramming!X61</f>
        <v>132</v>
      </c>
      <c r="Y61" s="1303">
        <f>[11]Tramming!Y61</f>
        <v>160</v>
      </c>
      <c r="Z61" s="1303">
        <f>[11]Tramming!Z61</f>
        <v>154</v>
      </c>
      <c r="AA61" s="1303">
        <f>[11]Tramming!AA61</f>
        <v>132</v>
      </c>
      <c r="AB61" s="1303">
        <f>[11]Tramming!AB61</f>
        <v>70</v>
      </c>
      <c r="AC61" s="1303">
        <f>[11]Tramming!AC61</f>
        <v>124</v>
      </c>
      <c r="AD61" s="1303">
        <f>[11]Tramming!AD61</f>
        <v>127</v>
      </c>
      <c r="AE61" s="1303">
        <f>[11]Tramming!AE61</f>
        <v>100</v>
      </c>
      <c r="AF61" s="1303">
        <f>[11]Tramming!AF61</f>
        <v>0</v>
      </c>
      <c r="AG61" s="1303">
        <f>[11]Tramming!AG61</f>
        <v>106</v>
      </c>
      <c r="AH61" s="1303">
        <f>[11]Tramming!AH61</f>
        <v>82</v>
      </c>
      <c r="AI61" s="1303">
        <f>[11]Tramming!AI61</f>
        <v>90</v>
      </c>
      <c r="AJ61" s="1303">
        <f>[11]Tramming!AJ61</f>
        <v>146</v>
      </c>
      <c r="AK61" s="1303">
        <f>[11]Tramming!AK61</f>
        <v>191</v>
      </c>
      <c r="AL61" s="1303">
        <f>[11]Tramming!AL61</f>
        <v>117</v>
      </c>
      <c r="AM61" s="347"/>
    </row>
    <row r="62" spans="1:39" x14ac:dyDescent="0.25">
      <c r="A62" s="202"/>
      <c r="B62" s="1607"/>
      <c r="C62" s="1705"/>
      <c r="D62" s="1688"/>
      <c r="E62" s="1389" t="s">
        <v>312</v>
      </c>
      <c r="F62" s="1382"/>
      <c r="G62" s="1383"/>
      <c r="H62" s="203"/>
      <c r="I62" s="203"/>
      <c r="J62" s="203"/>
      <c r="K62" s="203"/>
      <c r="L62" s="203"/>
      <c r="M62" s="203"/>
      <c r="N62" s="203"/>
      <c r="O62" s="203"/>
      <c r="P62" s="204"/>
      <c r="Q62" s="203"/>
      <c r="R62" s="203"/>
      <c r="S62" s="203"/>
      <c r="T62" s="203"/>
      <c r="U62" s="203"/>
      <c r="V62" s="203"/>
      <c r="W62" s="203"/>
      <c r="X62" s="203"/>
      <c r="Y62" s="203"/>
      <c r="Z62" s="203"/>
      <c r="AA62" s="203"/>
      <c r="AB62" s="203"/>
      <c r="AC62" s="203"/>
      <c r="AD62" s="203"/>
      <c r="AE62" s="203"/>
      <c r="AF62" s="203"/>
      <c r="AG62" s="203"/>
      <c r="AH62" s="203"/>
      <c r="AI62" s="203"/>
      <c r="AJ62" s="203"/>
      <c r="AK62" s="203"/>
      <c r="AL62" s="205"/>
      <c r="AM62" s="347"/>
    </row>
    <row r="63" spans="1:39" x14ac:dyDescent="0.25">
      <c r="A63" s="202"/>
      <c r="B63" s="1607"/>
      <c r="C63" s="1705"/>
      <c r="D63" s="1685" t="s">
        <v>343</v>
      </c>
      <c r="E63" s="1384" t="s">
        <v>344</v>
      </c>
      <c r="F63" s="1310">
        <f t="shared" ref="F63:F64" si="28">IFERROR(F65*1000/F60,0)</f>
        <v>1.919</v>
      </c>
      <c r="G63" s="1385"/>
      <c r="H63" s="1312">
        <f>[11]Tramming!H63</f>
        <v>0</v>
      </c>
      <c r="I63" s="1312">
        <f>[11]Tramming!I63</f>
        <v>2.02</v>
      </c>
      <c r="J63" s="1312">
        <f>[11]Tramming!J63</f>
        <v>2.02</v>
      </c>
      <c r="K63" s="1333">
        <f>[11]Tramming!K63</f>
        <v>2.02</v>
      </c>
      <c r="L63" s="1333">
        <f>[11]Tramming!L63</f>
        <v>2.02</v>
      </c>
      <c r="M63" s="1333">
        <f>[11]Tramming!M63</f>
        <v>2.02</v>
      </c>
      <c r="N63" s="1333">
        <f>[11]Tramming!N63</f>
        <v>2.02</v>
      </c>
      <c r="O63" s="1333">
        <f>[11]Tramming!O63</f>
        <v>2.02</v>
      </c>
      <c r="P63" s="1334">
        <f>[11]Tramming!P63</f>
        <v>2.02</v>
      </c>
      <c r="Q63" s="1333">
        <f>[11]Tramming!Q63</f>
        <v>2.02</v>
      </c>
      <c r="R63" s="1333">
        <f>[11]Tramming!R63</f>
        <v>2.02</v>
      </c>
      <c r="S63" s="1333">
        <f>[11]Tramming!S63</f>
        <v>2.02</v>
      </c>
      <c r="T63" s="1333">
        <f>[11]Tramming!T63</f>
        <v>2.02</v>
      </c>
      <c r="U63" s="1333">
        <f>[11]Tramming!U63</f>
        <v>2.02</v>
      </c>
      <c r="V63" s="1333">
        <f>[11]Tramming!V63</f>
        <v>2.02</v>
      </c>
      <c r="W63" s="1333">
        <f>[11]Tramming!W63</f>
        <v>2.02</v>
      </c>
      <c r="X63" s="1333">
        <f>[11]Tramming!X63</f>
        <v>2.02</v>
      </c>
      <c r="Y63" s="1333">
        <f>[11]Tramming!Y63</f>
        <v>2.02</v>
      </c>
      <c r="Z63" s="1333">
        <f>[11]Tramming!Z63</f>
        <v>2.02</v>
      </c>
      <c r="AA63" s="1333">
        <f>[11]Tramming!AA63</f>
        <v>2.02</v>
      </c>
      <c r="AB63" s="1333">
        <f>[11]Tramming!AB63</f>
        <v>2.02</v>
      </c>
      <c r="AC63" s="1333">
        <f>[11]Tramming!AC63</f>
        <v>2.02</v>
      </c>
      <c r="AD63" s="1333">
        <f>[11]Tramming!AD63</f>
        <v>2.02</v>
      </c>
      <c r="AE63" s="1333">
        <f>[11]Tramming!AE63</f>
        <v>2.02</v>
      </c>
      <c r="AF63" s="1333">
        <f>[11]Tramming!AF63</f>
        <v>0</v>
      </c>
      <c r="AG63" s="1333">
        <f>[11]Tramming!AG63</f>
        <v>2.02</v>
      </c>
      <c r="AH63" s="1333">
        <f>[11]Tramming!AH63</f>
        <v>2.02</v>
      </c>
      <c r="AI63" s="1333">
        <f>[11]Tramming!AI63</f>
        <v>2.02</v>
      </c>
      <c r="AJ63" s="1333">
        <f>[11]Tramming!AJ63</f>
        <v>2.02</v>
      </c>
      <c r="AK63" s="1333">
        <f>[11]Tramming!AK63</f>
        <v>2.02</v>
      </c>
      <c r="AL63" s="1335">
        <f>[11]Tramming!AL63</f>
        <v>2.02</v>
      </c>
      <c r="AM63" s="347"/>
    </row>
    <row r="64" spans="1:39" x14ac:dyDescent="0.25">
      <c r="A64" s="202"/>
      <c r="B64" s="1607"/>
      <c r="C64" s="1705"/>
      <c r="D64" s="1707"/>
      <c r="E64" s="1386" t="s">
        <v>345</v>
      </c>
      <c r="F64" s="1314">
        <f t="shared" si="28"/>
        <v>1.9315701754385968</v>
      </c>
      <c r="G64" s="1380">
        <f t="shared" ref="G64" si="29">IFERROR((F64-F63)/F63,0)</f>
        <v>6.5503780294928248E-3</v>
      </c>
      <c r="H64" s="1315">
        <f>[11]Tramming!H64</f>
        <v>4.01</v>
      </c>
      <c r="I64" s="1314">
        <f>[11]Tramming!I64</f>
        <v>1.59</v>
      </c>
      <c r="J64" s="1314">
        <f>[11]Tramming!J64</f>
        <v>2.61</v>
      </c>
      <c r="K64" s="1314">
        <f>[11]Tramming!K64</f>
        <v>2.31</v>
      </c>
      <c r="L64" s="1314">
        <f>[11]Tramming!L64</f>
        <v>1.24</v>
      </c>
      <c r="M64" s="1314">
        <f>[11]Tramming!M64</f>
        <v>1.62</v>
      </c>
      <c r="N64" s="1314">
        <f>[11]Tramming!N64</f>
        <v>1.72</v>
      </c>
      <c r="O64" s="1314">
        <f>[11]Tramming!O64</f>
        <v>1.1000000000000001</v>
      </c>
      <c r="P64" s="1314">
        <f>[11]Tramming!P64</f>
        <v>0.72</v>
      </c>
      <c r="Q64" s="1314">
        <f>[11]Tramming!Q64</f>
        <v>1.24</v>
      </c>
      <c r="R64" s="1314">
        <f>[11]Tramming!R64</f>
        <v>0.64</v>
      </c>
      <c r="S64" s="1314">
        <f>[11]Tramming!S64</f>
        <v>2.12</v>
      </c>
      <c r="T64" s="1314">
        <f>[11]Tramming!T64</f>
        <v>5.57</v>
      </c>
      <c r="U64" s="1314">
        <f>[11]Tramming!U64</f>
        <v>1.1499999999999999</v>
      </c>
      <c r="V64" s="1314">
        <f>[11]Tramming!V64</f>
        <v>2.17</v>
      </c>
      <c r="W64" s="1314">
        <f>[11]Tramming!W64</f>
        <v>2.2000000000000002</v>
      </c>
      <c r="X64" s="1314">
        <f>[11]Tramming!X64</f>
        <v>1.87</v>
      </c>
      <c r="Y64" s="1314">
        <f>[11]Tramming!Y64</f>
        <v>1.91</v>
      </c>
      <c r="Z64" s="1314">
        <f>[11]Tramming!Z64</f>
        <v>1.77</v>
      </c>
      <c r="AA64" s="1314">
        <f>[11]Tramming!AA64</f>
        <v>2.0299999999999998</v>
      </c>
      <c r="AB64" s="1314">
        <f>[11]Tramming!AB64</f>
        <v>3.58</v>
      </c>
      <c r="AC64" s="1314">
        <f>[11]Tramming!AC64</f>
        <v>2.63</v>
      </c>
      <c r="AD64" s="1314">
        <f>[11]Tramming!AD64</f>
        <v>2.73</v>
      </c>
      <c r="AE64" s="1314">
        <f>[11]Tramming!AE64</f>
        <v>1.74</v>
      </c>
      <c r="AF64" s="1314">
        <f>[11]Tramming!AF64</f>
        <v>0</v>
      </c>
      <c r="AG64" s="1314">
        <f>[11]Tramming!AG64</f>
        <v>0.54</v>
      </c>
      <c r="AH64" s="1314">
        <f>[11]Tramming!AH64</f>
        <v>1.51</v>
      </c>
      <c r="AI64" s="1314">
        <f>[11]Tramming!AI64</f>
        <v>1.69</v>
      </c>
      <c r="AJ64" s="1314">
        <f>[11]Tramming!AJ64</f>
        <v>2.2400000000000002</v>
      </c>
      <c r="AK64" s="1314">
        <f>[11]Tramming!AK64</f>
        <v>1.59</v>
      </c>
      <c r="AL64" s="1314">
        <f>[11]Tramming!AL64</f>
        <v>2.58</v>
      </c>
      <c r="AM64" s="347"/>
    </row>
    <row r="65" spans="1:39" x14ac:dyDescent="0.25">
      <c r="A65" s="202"/>
      <c r="B65" s="1607"/>
      <c r="C65" s="1705"/>
      <c r="D65" s="1685" t="s">
        <v>47</v>
      </c>
      <c r="E65" s="1384" t="s">
        <v>346</v>
      </c>
      <c r="F65" s="206">
        <f t="shared" ref="F65:F68" si="30">SUMIF($H$9:$AL$9,"&lt;="&amp;$C$7,H65:AL65)</f>
        <v>2.6865999999999999</v>
      </c>
      <c r="G65" s="1385"/>
      <c r="H65" s="1316">
        <f>[11]Tramming!H65</f>
        <v>0</v>
      </c>
      <c r="I65" s="1316">
        <f>[11]Tramming!I65</f>
        <v>0</v>
      </c>
      <c r="J65" s="1316">
        <f>[11]Tramming!J65</f>
        <v>0</v>
      </c>
      <c r="K65" s="1316">
        <f>[11]Tramming!K65</f>
        <v>0</v>
      </c>
      <c r="L65" s="1316">
        <f>[11]Tramming!L65</f>
        <v>0</v>
      </c>
      <c r="M65" s="1316">
        <f>[11]Tramming!M65</f>
        <v>0.1414</v>
      </c>
      <c r="N65" s="1316">
        <f>[11]Tramming!N65</f>
        <v>0.1414</v>
      </c>
      <c r="O65" s="1316">
        <f>[11]Tramming!O65</f>
        <v>0.1414</v>
      </c>
      <c r="P65" s="1316">
        <f>[11]Tramming!P65</f>
        <v>0.1414</v>
      </c>
      <c r="Q65" s="1316">
        <f>[11]Tramming!Q65</f>
        <v>0.1414</v>
      </c>
      <c r="R65" s="1316">
        <f>[11]Tramming!R65</f>
        <v>0.1414</v>
      </c>
      <c r="S65" s="1316">
        <f>[11]Tramming!S65</f>
        <v>0.1414</v>
      </c>
      <c r="T65" s="1316">
        <f>[11]Tramming!T65</f>
        <v>0.1414</v>
      </c>
      <c r="U65" s="1316">
        <f>[11]Tramming!U65</f>
        <v>0.1414</v>
      </c>
      <c r="V65" s="1316">
        <f>[11]Tramming!V65</f>
        <v>0.1414</v>
      </c>
      <c r="W65" s="1316">
        <f>[11]Tramming!W65</f>
        <v>0.1414</v>
      </c>
      <c r="X65" s="1316">
        <f>[11]Tramming!X65</f>
        <v>0.1414</v>
      </c>
      <c r="Y65" s="1316">
        <f>[11]Tramming!Y65</f>
        <v>0.1414</v>
      </c>
      <c r="Z65" s="1316">
        <f>[11]Tramming!Z65</f>
        <v>0</v>
      </c>
      <c r="AA65" s="1316">
        <f>[11]Tramming!AA65</f>
        <v>0.1414</v>
      </c>
      <c r="AB65" s="1316">
        <f>[11]Tramming!AB65</f>
        <v>0.1414</v>
      </c>
      <c r="AC65" s="1316">
        <f>[11]Tramming!AC65</f>
        <v>0.1414</v>
      </c>
      <c r="AD65" s="1316">
        <f>[11]Tramming!AD65</f>
        <v>0.1414</v>
      </c>
      <c r="AE65" s="1316">
        <f>[11]Tramming!AE65</f>
        <v>0.1414</v>
      </c>
      <c r="AF65" s="1316">
        <f>[11]Tramming!AF65</f>
        <v>0</v>
      </c>
      <c r="AG65" s="1316">
        <f>[11]Tramming!AG65</f>
        <v>0.1414</v>
      </c>
      <c r="AH65" s="1316">
        <f>[11]Tramming!AH65</f>
        <v>0.1414</v>
      </c>
      <c r="AI65" s="1316">
        <f>[11]Tramming!AI65</f>
        <v>0.1414</v>
      </c>
      <c r="AJ65" s="1316">
        <f>[11]Tramming!AJ65</f>
        <v>0.1414</v>
      </c>
      <c r="AK65" s="1316">
        <f>[11]Tramming!AK65</f>
        <v>0.1414</v>
      </c>
      <c r="AL65" s="1316">
        <f>[11]Tramming!AL65</f>
        <v>0.1414</v>
      </c>
      <c r="AM65" s="705"/>
    </row>
    <row r="66" spans="1:39" ht="15.75" thickBot="1" x14ac:dyDescent="0.3">
      <c r="A66" s="202"/>
      <c r="B66" s="1660"/>
      <c r="C66" s="1706"/>
      <c r="D66" s="1708"/>
      <c r="E66" s="1387" t="s">
        <v>347</v>
      </c>
      <c r="F66" s="1321">
        <f t="shared" si="30"/>
        <v>6.605970000000001</v>
      </c>
      <c r="G66" s="1388">
        <f t="shared" ref="G66" si="31">IFERROR((F66-F65)/F65,0)</f>
        <v>1.458858780614904</v>
      </c>
      <c r="H66" s="1323">
        <f>[11]Tramming!H66</f>
        <v>0.33683999999999997</v>
      </c>
      <c r="I66" s="1323">
        <f>[11]Tramming!I66</f>
        <v>0.29415000000000002</v>
      </c>
      <c r="J66" s="1323">
        <f>[11]Tramming!J66</f>
        <v>0.43064999999999998</v>
      </c>
      <c r="K66" s="1323">
        <f>[11]Tramming!K66</f>
        <v>0.42272999999999999</v>
      </c>
      <c r="L66" s="1323">
        <f>[11]Tramming!L66</f>
        <v>0.18103999999999998</v>
      </c>
      <c r="M66" s="1323">
        <f>[11]Tramming!M66</f>
        <v>0.24462</v>
      </c>
      <c r="N66" s="1323">
        <f>[11]Tramming!N66</f>
        <v>0.26488</v>
      </c>
      <c r="O66" s="1323">
        <f>[11]Tramming!O66</f>
        <v>0.25740000000000002</v>
      </c>
      <c r="P66" s="1323">
        <f>[11]Tramming!P66</f>
        <v>0.10367999999999999</v>
      </c>
      <c r="Q66" s="1323">
        <f>[11]Tramming!Q66</f>
        <v>0.20211999999999999</v>
      </c>
      <c r="R66" s="1323">
        <f>[11]Tramming!R66</f>
        <v>6.9120000000000001E-2</v>
      </c>
      <c r="S66" s="1323">
        <f>[11]Tramming!S66</f>
        <v>0.15264000000000003</v>
      </c>
      <c r="T66" s="1323">
        <f>[11]Tramming!T66</f>
        <v>0.62941000000000014</v>
      </c>
      <c r="U66" s="1323">
        <f>[11]Tramming!U66</f>
        <v>0.14949999999999999</v>
      </c>
      <c r="V66" s="1323">
        <f>[11]Tramming!V66</f>
        <v>0.22134000000000001</v>
      </c>
      <c r="W66" s="1323">
        <f>[11]Tramming!W66</f>
        <v>0.39820000000000005</v>
      </c>
      <c r="X66" s="1323">
        <f>[11]Tramming!X66</f>
        <v>0.24684</v>
      </c>
      <c r="Y66" s="1323">
        <f>[11]Tramming!Y66</f>
        <v>0.30559999999999998</v>
      </c>
      <c r="Z66" s="1323">
        <f>[11]Tramming!Z66</f>
        <v>0.27257999999999999</v>
      </c>
      <c r="AA66" s="1323">
        <f>[11]Tramming!AA66</f>
        <v>0.26795999999999998</v>
      </c>
      <c r="AB66" s="1323">
        <f>[11]Tramming!AB66</f>
        <v>0.25059999999999999</v>
      </c>
      <c r="AC66" s="1323">
        <f>[11]Tramming!AC66</f>
        <v>0.32612000000000002</v>
      </c>
      <c r="AD66" s="1323">
        <f>[11]Tramming!AD66</f>
        <v>0.34670999999999996</v>
      </c>
      <c r="AE66" s="1323">
        <f>[11]Tramming!AE66</f>
        <v>0.17399999999999999</v>
      </c>
      <c r="AF66" s="1323">
        <f>[11]Tramming!AF66</f>
        <v>0</v>
      </c>
      <c r="AG66" s="1323">
        <f>[11]Tramming!AG66</f>
        <v>5.7239999999999999E-2</v>
      </c>
      <c r="AH66" s="1323">
        <f>[11]Tramming!AH66</f>
        <v>0.12382000000000001</v>
      </c>
      <c r="AI66" s="1323">
        <f>[11]Tramming!AI66</f>
        <v>0.15209999999999999</v>
      </c>
      <c r="AJ66" s="1323">
        <f>[11]Tramming!AJ66</f>
        <v>0.32704</v>
      </c>
      <c r="AK66" s="1323">
        <f>[11]Tramming!AK66</f>
        <v>0.30369000000000002</v>
      </c>
      <c r="AL66" s="1323">
        <f>[11]Tramming!AL66</f>
        <v>0.30186000000000002</v>
      </c>
      <c r="AM66" s="706"/>
    </row>
    <row r="67" spans="1:39" ht="14.25" customHeight="1" x14ac:dyDescent="0.25">
      <c r="A67" s="194"/>
      <c r="B67" s="1608"/>
      <c r="C67" s="1704" t="str">
        <f>[11]Tramming!C67</f>
        <v>6L_E1 STOPE</v>
      </c>
      <c r="D67" s="1684" t="s">
        <v>340</v>
      </c>
      <c r="E67" s="195" t="s">
        <v>341</v>
      </c>
      <c r="F67" s="196">
        <f t="shared" si="30"/>
        <v>1680</v>
      </c>
      <c r="G67" s="197"/>
      <c r="H67" s="198">
        <f>[11]Tramming!H67</f>
        <v>0</v>
      </c>
      <c r="I67" s="198">
        <f>[11]Tramming!I67</f>
        <v>70</v>
      </c>
      <c r="J67" s="198">
        <f>[11]Tramming!J67</f>
        <v>70</v>
      </c>
      <c r="K67" s="199">
        <f>[11]Tramming!K67</f>
        <v>70</v>
      </c>
      <c r="L67" s="199">
        <f>[11]Tramming!L67</f>
        <v>70</v>
      </c>
      <c r="M67" s="199">
        <f>[11]Tramming!M67</f>
        <v>70</v>
      </c>
      <c r="N67" s="199">
        <f>[11]Tramming!N67</f>
        <v>70</v>
      </c>
      <c r="O67" s="199">
        <f>[11]Tramming!O67</f>
        <v>70</v>
      </c>
      <c r="P67" s="200">
        <f>[11]Tramming!P67</f>
        <v>70</v>
      </c>
      <c r="Q67" s="199">
        <f>[11]Tramming!Q67</f>
        <v>70</v>
      </c>
      <c r="R67" s="199">
        <f>[11]Tramming!R67</f>
        <v>70</v>
      </c>
      <c r="S67" s="199">
        <f>[11]Tramming!S67</f>
        <v>70</v>
      </c>
      <c r="T67" s="199">
        <f>[11]Tramming!T67</f>
        <v>70</v>
      </c>
      <c r="U67" s="199">
        <f>[11]Tramming!U67</f>
        <v>70</v>
      </c>
      <c r="V67" s="199">
        <f>[11]Tramming!V67</f>
        <v>70</v>
      </c>
      <c r="W67" s="199">
        <f>[11]Tramming!W67</f>
        <v>70</v>
      </c>
      <c r="X67" s="199">
        <f>[11]Tramming!X67</f>
        <v>70</v>
      </c>
      <c r="Y67" s="199">
        <f>[11]Tramming!Y67</f>
        <v>70</v>
      </c>
      <c r="Z67" s="199">
        <f>[11]Tramming!Z67</f>
        <v>70</v>
      </c>
      <c r="AA67" s="199">
        <f>[11]Tramming!AA67</f>
        <v>70</v>
      </c>
      <c r="AB67" s="199">
        <f>[11]Tramming!AB67</f>
        <v>70</v>
      </c>
      <c r="AC67" s="199">
        <f>[11]Tramming!AC67</f>
        <v>70</v>
      </c>
      <c r="AD67" s="199">
        <f>[11]Tramming!AD67</f>
        <v>70</v>
      </c>
      <c r="AE67" s="199">
        <f>[11]Tramming!AE67</f>
        <v>70</v>
      </c>
      <c r="AF67" s="199">
        <f>[11]Tramming!AF67</f>
        <v>0</v>
      </c>
      <c r="AG67" s="199">
        <f>[11]Tramming!AG67</f>
        <v>70</v>
      </c>
      <c r="AH67" s="199">
        <f>[11]Tramming!AH67</f>
        <v>70</v>
      </c>
      <c r="AI67" s="199">
        <f>[11]Tramming!AI67</f>
        <v>70</v>
      </c>
      <c r="AJ67" s="199">
        <f>[11]Tramming!AJ67</f>
        <v>70</v>
      </c>
      <c r="AK67" s="199">
        <f>[11]Tramming!AK67</f>
        <v>70</v>
      </c>
      <c r="AL67" s="201">
        <f>[11]Tramming!AL67</f>
        <v>70</v>
      </c>
      <c r="AM67" s="704"/>
    </row>
    <row r="68" spans="1:39" x14ac:dyDescent="0.25">
      <c r="A68" s="202"/>
      <c r="B68" s="1607"/>
      <c r="C68" s="1705"/>
      <c r="D68" s="1688"/>
      <c r="E68" s="1379" t="s">
        <v>342</v>
      </c>
      <c r="F68" s="1303">
        <f t="shared" si="30"/>
        <v>2838.4</v>
      </c>
      <c r="G68" s="1380">
        <f t="shared" ref="G68" si="32">IFERROR((F68-F67)/F67,0)</f>
        <v>0.68952380952380954</v>
      </c>
      <c r="H68" s="1305">
        <f>[11]Tramming!H68</f>
        <v>139.19999999999999</v>
      </c>
      <c r="I68" s="1303">
        <f>[11]Tramming!I68</f>
        <v>34.799999999999997</v>
      </c>
      <c r="J68" s="1303">
        <f>[11]Tramming!J68</f>
        <v>112</v>
      </c>
      <c r="K68" s="1303">
        <f>[11]Tramming!K68</f>
        <v>79.2</v>
      </c>
      <c r="L68" s="1303">
        <f>[11]Tramming!L68</f>
        <v>92.4</v>
      </c>
      <c r="M68" s="1303">
        <f>[11]Tramming!M68</f>
        <v>120</v>
      </c>
      <c r="N68" s="1303">
        <f>[11]Tramming!N68</f>
        <v>73</v>
      </c>
      <c r="O68" s="1303">
        <f>[11]Tramming!O68</f>
        <v>128</v>
      </c>
      <c r="P68" s="1303">
        <f>[11]Tramming!P68</f>
        <v>56</v>
      </c>
      <c r="Q68" s="1303">
        <f>[11]Tramming!Q68</f>
        <v>48.8</v>
      </c>
      <c r="R68" s="1303">
        <f>[11]Tramming!R68</f>
        <v>73</v>
      </c>
      <c r="S68" s="1303">
        <f>[11]Tramming!S68</f>
        <v>288</v>
      </c>
      <c r="T68" s="1303">
        <f>[11]Tramming!T68</f>
        <v>103</v>
      </c>
      <c r="U68" s="1303">
        <f>[11]Tramming!U68</f>
        <v>117</v>
      </c>
      <c r="V68" s="1303">
        <f>[11]Tramming!V68</f>
        <v>145</v>
      </c>
      <c r="W68" s="1303">
        <f>[11]Tramming!W68</f>
        <v>157</v>
      </c>
      <c r="X68" s="1303">
        <f>[11]Tramming!X68</f>
        <v>127</v>
      </c>
      <c r="Y68" s="1303">
        <f>[11]Tramming!Y68</f>
        <v>89</v>
      </c>
      <c r="Z68" s="1303">
        <f>[11]Tramming!Z68</f>
        <v>98</v>
      </c>
      <c r="AA68" s="1303">
        <f>[11]Tramming!AA68</f>
        <v>135</v>
      </c>
      <c r="AB68" s="1303">
        <f>[11]Tramming!AB68</f>
        <v>148</v>
      </c>
      <c r="AC68" s="1303">
        <f>[11]Tramming!AC68</f>
        <v>141</v>
      </c>
      <c r="AD68" s="1303">
        <f>[11]Tramming!AD68</f>
        <v>120</v>
      </c>
      <c r="AE68" s="1303">
        <f>[11]Tramming!AE68</f>
        <v>73</v>
      </c>
      <c r="AF68" s="1303">
        <f>[11]Tramming!AF68</f>
        <v>0</v>
      </c>
      <c r="AG68" s="1303">
        <f>[11]Tramming!AG68</f>
        <v>141</v>
      </c>
      <c r="AH68" s="1303">
        <f>[11]Tramming!AH68</f>
        <v>178</v>
      </c>
      <c r="AI68" s="1303">
        <f>[11]Tramming!AI68</f>
        <v>217</v>
      </c>
      <c r="AJ68" s="1303">
        <f>[11]Tramming!AJ68</f>
        <v>136</v>
      </c>
      <c r="AK68" s="1303">
        <f>[11]Tramming!AK68</f>
        <v>209</v>
      </c>
      <c r="AL68" s="1303">
        <f>[11]Tramming!AL68</f>
        <v>203</v>
      </c>
      <c r="AM68" s="347"/>
    </row>
    <row r="69" spans="1:39" x14ac:dyDescent="0.25">
      <c r="A69" s="202"/>
      <c r="B69" s="1607"/>
      <c r="C69" s="1705"/>
      <c r="D69" s="1688"/>
      <c r="E69" s="1389" t="s">
        <v>312</v>
      </c>
      <c r="F69" s="1382"/>
      <c r="G69" s="1383"/>
      <c r="H69" s="203"/>
      <c r="I69" s="203"/>
      <c r="J69" s="203"/>
      <c r="K69" s="203"/>
      <c r="L69" s="203"/>
      <c r="M69" s="203"/>
      <c r="N69" s="203"/>
      <c r="O69" s="203"/>
      <c r="P69" s="204"/>
      <c r="Q69" s="203"/>
      <c r="R69" s="203"/>
      <c r="S69" s="203"/>
      <c r="T69" s="203"/>
      <c r="U69" s="203"/>
      <c r="V69" s="203"/>
      <c r="W69" s="203"/>
      <c r="X69" s="203"/>
      <c r="Y69" s="203"/>
      <c r="Z69" s="203"/>
      <c r="AA69" s="203"/>
      <c r="AB69" s="203"/>
      <c r="AC69" s="203"/>
      <c r="AD69" s="203"/>
      <c r="AE69" s="203"/>
      <c r="AF69" s="203"/>
      <c r="AG69" s="203"/>
      <c r="AH69" s="203"/>
      <c r="AI69" s="203"/>
      <c r="AJ69" s="203"/>
      <c r="AK69" s="203"/>
      <c r="AL69" s="205"/>
      <c r="AM69" s="347"/>
    </row>
    <row r="70" spans="1:39" x14ac:dyDescent="0.25">
      <c r="A70" s="202"/>
      <c r="B70" s="1607"/>
      <c r="C70" s="1705"/>
      <c r="D70" s="1685" t="s">
        <v>343</v>
      </c>
      <c r="E70" s="1384" t="s">
        <v>344</v>
      </c>
      <c r="F70" s="1310">
        <f t="shared" ref="F70:F71" si="33">IFERROR(F72*1000/F67,0)</f>
        <v>3.8899999999999979</v>
      </c>
      <c r="G70" s="1385"/>
      <c r="H70" s="1312">
        <f>[11]Tramming!H70</f>
        <v>0</v>
      </c>
      <c r="I70" s="1312">
        <f>[11]Tramming!I70</f>
        <v>3.89</v>
      </c>
      <c r="J70" s="1312">
        <f>[11]Tramming!J70</f>
        <v>3.89</v>
      </c>
      <c r="K70" s="1333">
        <f>[11]Tramming!K70</f>
        <v>3.89</v>
      </c>
      <c r="L70" s="1333">
        <f>[11]Tramming!L70</f>
        <v>3.89</v>
      </c>
      <c r="M70" s="1333">
        <f>[11]Tramming!M70</f>
        <v>3.89</v>
      </c>
      <c r="N70" s="1333">
        <f>[11]Tramming!N70</f>
        <v>3.89</v>
      </c>
      <c r="O70" s="1333">
        <f>[11]Tramming!O70</f>
        <v>3.89</v>
      </c>
      <c r="P70" s="1334">
        <f>[11]Tramming!P70</f>
        <v>3.89</v>
      </c>
      <c r="Q70" s="1333">
        <f>[11]Tramming!Q70</f>
        <v>3.89</v>
      </c>
      <c r="R70" s="1333">
        <f>[11]Tramming!R70</f>
        <v>3.89</v>
      </c>
      <c r="S70" s="1333">
        <f>[11]Tramming!S70</f>
        <v>3.89</v>
      </c>
      <c r="T70" s="1333">
        <f>[11]Tramming!T70</f>
        <v>3.89</v>
      </c>
      <c r="U70" s="1333">
        <f>[11]Tramming!U70</f>
        <v>3.89</v>
      </c>
      <c r="V70" s="1333">
        <f>[11]Tramming!V70</f>
        <v>3.89</v>
      </c>
      <c r="W70" s="1333">
        <f>[11]Tramming!W70</f>
        <v>3.89</v>
      </c>
      <c r="X70" s="1333">
        <f>[11]Tramming!X70</f>
        <v>3.89</v>
      </c>
      <c r="Y70" s="1333">
        <f>[11]Tramming!Y70</f>
        <v>3.89</v>
      </c>
      <c r="Z70" s="1333">
        <f>[11]Tramming!Z70</f>
        <v>3.89</v>
      </c>
      <c r="AA70" s="1333">
        <f>[11]Tramming!AA70</f>
        <v>3.89</v>
      </c>
      <c r="AB70" s="1333">
        <f>[11]Tramming!AB70</f>
        <v>3.89</v>
      </c>
      <c r="AC70" s="1333">
        <f>[11]Tramming!AC70</f>
        <v>3.89</v>
      </c>
      <c r="AD70" s="1333">
        <f>[11]Tramming!AD70</f>
        <v>3.89</v>
      </c>
      <c r="AE70" s="1333">
        <f>[11]Tramming!AE70</f>
        <v>3.89</v>
      </c>
      <c r="AF70" s="1333">
        <f>[11]Tramming!AF70</f>
        <v>0</v>
      </c>
      <c r="AG70" s="1333">
        <f>[11]Tramming!AG70</f>
        <v>3.89</v>
      </c>
      <c r="AH70" s="1333">
        <f>[11]Tramming!AH70</f>
        <v>3.89</v>
      </c>
      <c r="AI70" s="1333">
        <f>[11]Tramming!AI70</f>
        <v>3.89</v>
      </c>
      <c r="AJ70" s="1333">
        <f>[11]Tramming!AJ70</f>
        <v>3.89</v>
      </c>
      <c r="AK70" s="1333">
        <f>[11]Tramming!AK70</f>
        <v>3.89</v>
      </c>
      <c r="AL70" s="1335">
        <f>[11]Tramming!AL70</f>
        <v>3.89</v>
      </c>
      <c r="AM70" s="347"/>
    </row>
    <row r="71" spans="1:39" x14ac:dyDescent="0.25">
      <c r="A71" s="202"/>
      <c r="B71" s="1607"/>
      <c r="C71" s="1705"/>
      <c r="D71" s="1707"/>
      <c r="E71" s="1386" t="s">
        <v>345</v>
      </c>
      <c r="F71" s="1314">
        <f t="shared" si="33"/>
        <v>4.1938239853438555</v>
      </c>
      <c r="G71" s="1380">
        <f t="shared" ref="G71" si="34">IFERROR((F71-F70)/F70,0)</f>
        <v>7.8103852273485277E-2</v>
      </c>
      <c r="H71" s="1315">
        <f>[11]Tramming!H71</f>
        <v>4.32</v>
      </c>
      <c r="I71" s="1314">
        <f>[11]Tramming!I71</f>
        <v>6.91</v>
      </c>
      <c r="J71" s="1314">
        <f>[11]Tramming!J71</f>
        <v>3.9</v>
      </c>
      <c r="K71" s="1314">
        <f>[11]Tramming!K71</f>
        <v>4.46</v>
      </c>
      <c r="L71" s="1314">
        <f>[11]Tramming!L71</f>
        <v>3.33</v>
      </c>
      <c r="M71" s="1314">
        <f>[11]Tramming!M71</f>
        <v>6.74</v>
      </c>
      <c r="N71" s="1314">
        <f>[11]Tramming!N71</f>
        <v>4.25</v>
      </c>
      <c r="O71" s="1314">
        <f>[11]Tramming!O71</f>
        <v>5.31</v>
      </c>
      <c r="P71" s="1314">
        <f>[11]Tramming!P71</f>
        <v>4.38</v>
      </c>
      <c r="Q71" s="1314">
        <f>[11]Tramming!Q71</f>
        <v>4.83</v>
      </c>
      <c r="R71" s="1314">
        <f>[11]Tramming!R71</f>
        <v>5.92</v>
      </c>
      <c r="S71" s="1314">
        <f>[11]Tramming!S71</f>
        <v>5.39</v>
      </c>
      <c r="T71" s="1314">
        <f>[11]Tramming!T71</f>
        <v>4.99</v>
      </c>
      <c r="U71" s="1314">
        <f>[11]Tramming!U71</f>
        <v>3.99</v>
      </c>
      <c r="V71" s="1314">
        <f>[11]Tramming!V71</f>
        <v>2.06</v>
      </c>
      <c r="W71" s="1314">
        <f>[11]Tramming!W71</f>
        <v>3.69</v>
      </c>
      <c r="X71" s="1314">
        <f>[11]Tramming!X71</f>
        <v>6.31</v>
      </c>
      <c r="Y71" s="1314">
        <f>[11]Tramming!Y71</f>
        <v>3.42</v>
      </c>
      <c r="Z71" s="1314">
        <f>[11]Tramming!Z71</f>
        <v>2.48</v>
      </c>
      <c r="AA71" s="1314">
        <f>[11]Tramming!AA71</f>
        <v>2.97</v>
      </c>
      <c r="AB71" s="1314">
        <f>[11]Tramming!AB71</f>
        <v>4.5199999999999996</v>
      </c>
      <c r="AC71" s="1314">
        <f>[11]Tramming!AC71</f>
        <v>3.58</v>
      </c>
      <c r="AD71" s="1314">
        <f>[11]Tramming!AD71</f>
        <v>3.09</v>
      </c>
      <c r="AE71" s="1314">
        <f>[11]Tramming!AE71</f>
        <v>2.4700000000000002</v>
      </c>
      <c r="AF71" s="1314">
        <f>[11]Tramming!AF71</f>
        <v>0</v>
      </c>
      <c r="AG71" s="1314">
        <f>[11]Tramming!AG71</f>
        <v>2.6</v>
      </c>
      <c r="AH71" s="1314">
        <f>[11]Tramming!AH71</f>
        <v>3.05</v>
      </c>
      <c r="AI71" s="1314">
        <f>[11]Tramming!AI71</f>
        <v>1.95</v>
      </c>
      <c r="AJ71" s="1314">
        <f>[11]Tramming!AJ71</f>
        <v>1.32</v>
      </c>
      <c r="AK71" s="1314">
        <f>[11]Tramming!AK71</f>
        <v>3.81</v>
      </c>
      <c r="AL71" s="1314">
        <f>[11]Tramming!AL71</f>
        <v>5.01</v>
      </c>
      <c r="AM71" s="347"/>
    </row>
    <row r="72" spans="1:39" x14ac:dyDescent="0.25">
      <c r="A72" s="202"/>
      <c r="B72" s="1607"/>
      <c r="C72" s="1705"/>
      <c r="D72" s="1685" t="s">
        <v>47</v>
      </c>
      <c r="E72" s="1384" t="s">
        <v>346</v>
      </c>
      <c r="F72" s="206">
        <f t="shared" ref="F72:F75" si="35">SUMIF($H$9:$AL$9,"&lt;="&amp;$C$7,H72:AL72)</f>
        <v>6.5351999999999961</v>
      </c>
      <c r="G72" s="1385"/>
      <c r="H72" s="1316">
        <f>[11]Tramming!H72</f>
        <v>0</v>
      </c>
      <c r="I72" s="1316">
        <f>[11]Tramming!I72</f>
        <v>0.27229999999999999</v>
      </c>
      <c r="J72" s="1316">
        <f>[11]Tramming!J72</f>
        <v>0.27229999999999999</v>
      </c>
      <c r="K72" s="1316">
        <f>[11]Tramming!K72</f>
        <v>0.27229999999999999</v>
      </c>
      <c r="L72" s="1316">
        <f>[11]Tramming!L72</f>
        <v>0.27229999999999999</v>
      </c>
      <c r="M72" s="1316">
        <f>[11]Tramming!M72</f>
        <v>0.27229999999999999</v>
      </c>
      <c r="N72" s="1316">
        <f>[11]Tramming!N72</f>
        <v>0.27229999999999999</v>
      </c>
      <c r="O72" s="1316">
        <f>[11]Tramming!O72</f>
        <v>0.27229999999999999</v>
      </c>
      <c r="P72" s="1316">
        <f>[11]Tramming!P72</f>
        <v>0.27229999999999999</v>
      </c>
      <c r="Q72" s="1316">
        <f>[11]Tramming!Q72</f>
        <v>0.27229999999999999</v>
      </c>
      <c r="R72" s="1316">
        <f>[11]Tramming!R72</f>
        <v>0.27229999999999999</v>
      </c>
      <c r="S72" s="1316">
        <f>[11]Tramming!S72</f>
        <v>0.27229999999999999</v>
      </c>
      <c r="T72" s="1316">
        <f>[11]Tramming!T72</f>
        <v>0.27229999999999999</v>
      </c>
      <c r="U72" s="1316">
        <f>[11]Tramming!U72</f>
        <v>0.27229999999999999</v>
      </c>
      <c r="V72" s="1316">
        <f>[11]Tramming!V72</f>
        <v>0.27229999999999999</v>
      </c>
      <c r="W72" s="1316">
        <f>[11]Tramming!W72</f>
        <v>0.27229999999999999</v>
      </c>
      <c r="X72" s="1316">
        <f>[11]Tramming!X72</f>
        <v>0.27229999999999999</v>
      </c>
      <c r="Y72" s="1316">
        <f>[11]Tramming!Y72</f>
        <v>0.27229999999999999</v>
      </c>
      <c r="Z72" s="1316">
        <f>[11]Tramming!Z72</f>
        <v>0.27229999999999999</v>
      </c>
      <c r="AA72" s="1316">
        <f>[11]Tramming!AA72</f>
        <v>0.27229999999999999</v>
      </c>
      <c r="AB72" s="1316">
        <f>[11]Tramming!AB72</f>
        <v>0.27229999999999999</v>
      </c>
      <c r="AC72" s="1316">
        <f>[11]Tramming!AC72</f>
        <v>0.27229999999999999</v>
      </c>
      <c r="AD72" s="1316">
        <f>[11]Tramming!AD72</f>
        <v>0.27229999999999999</v>
      </c>
      <c r="AE72" s="1316">
        <f>[11]Tramming!AE72</f>
        <v>0.27229999999999999</v>
      </c>
      <c r="AF72" s="1316">
        <f>[11]Tramming!AF72</f>
        <v>0</v>
      </c>
      <c r="AG72" s="1316">
        <f>[11]Tramming!AG72</f>
        <v>0.27229999999999999</v>
      </c>
      <c r="AH72" s="1316">
        <f>[11]Tramming!AH72</f>
        <v>0.27229999999999999</v>
      </c>
      <c r="AI72" s="1316">
        <f>[11]Tramming!AI72</f>
        <v>0.27229999999999999</v>
      </c>
      <c r="AJ72" s="1316">
        <f>[11]Tramming!AJ72</f>
        <v>0.27229999999999999</v>
      </c>
      <c r="AK72" s="1316">
        <f>[11]Tramming!AK72</f>
        <v>0.27229999999999999</v>
      </c>
      <c r="AL72" s="1316">
        <f>[11]Tramming!AL72</f>
        <v>0.27229999999999999</v>
      </c>
      <c r="AM72" s="705"/>
    </row>
    <row r="73" spans="1:39" ht="15.75" thickBot="1" x14ac:dyDescent="0.3">
      <c r="A73" s="202"/>
      <c r="B73" s="1660"/>
      <c r="C73" s="1706"/>
      <c r="D73" s="1708"/>
      <c r="E73" s="1387" t="s">
        <v>347</v>
      </c>
      <c r="F73" s="1321">
        <f t="shared" si="35"/>
        <v>11.90375</v>
      </c>
      <c r="G73" s="1388">
        <f t="shared" ref="G73" si="36">IFERROR((F73-F72)/F72,0)</f>
        <v>0.82148212755539352</v>
      </c>
      <c r="H73" s="1323">
        <f>[11]Tramming!H73</f>
        <v>0.60134399999999999</v>
      </c>
      <c r="I73" s="1323">
        <f>[11]Tramming!I73</f>
        <v>0.24046799999999999</v>
      </c>
      <c r="J73" s="1323">
        <f>[11]Tramming!J73</f>
        <v>0.43680000000000002</v>
      </c>
      <c r="K73" s="1323">
        <f>[11]Tramming!K73</f>
        <v>0.35323200000000005</v>
      </c>
      <c r="L73" s="1323">
        <f>[11]Tramming!L73</f>
        <v>0.30769200000000002</v>
      </c>
      <c r="M73" s="1323">
        <f>[11]Tramming!M73</f>
        <v>0.80880000000000007</v>
      </c>
      <c r="N73" s="1323">
        <f>[11]Tramming!N73</f>
        <v>0.31025000000000003</v>
      </c>
      <c r="O73" s="1323">
        <f>[11]Tramming!O73</f>
        <v>0.67967999999999995</v>
      </c>
      <c r="P73" s="1323">
        <f>[11]Tramming!P73</f>
        <v>0.24528</v>
      </c>
      <c r="Q73" s="1323">
        <f>[11]Tramming!Q73</f>
        <v>0.23570399999999997</v>
      </c>
      <c r="R73" s="1323">
        <f>[11]Tramming!R73</f>
        <v>0.43215999999999999</v>
      </c>
      <c r="S73" s="1323">
        <f>[11]Tramming!S73</f>
        <v>1.5523199999999999</v>
      </c>
      <c r="T73" s="1323">
        <f>[11]Tramming!T73</f>
        <v>0.51397000000000004</v>
      </c>
      <c r="U73" s="1323">
        <f>[11]Tramming!U73</f>
        <v>0.46683000000000002</v>
      </c>
      <c r="V73" s="1323">
        <f>[11]Tramming!V73</f>
        <v>0.29869999999999997</v>
      </c>
      <c r="W73" s="1323">
        <f>[11]Tramming!W73</f>
        <v>0.57933000000000001</v>
      </c>
      <c r="X73" s="1323">
        <f>[11]Tramming!X73</f>
        <v>0.80137000000000003</v>
      </c>
      <c r="Y73" s="1323">
        <f>[11]Tramming!Y73</f>
        <v>0.30437999999999998</v>
      </c>
      <c r="Z73" s="1323">
        <f>[11]Tramming!Z73</f>
        <v>0.24303999999999998</v>
      </c>
      <c r="AA73" s="1323">
        <f>[11]Tramming!AA73</f>
        <v>0.40095000000000003</v>
      </c>
      <c r="AB73" s="1323">
        <f>[11]Tramming!AB73</f>
        <v>0.66895999999999989</v>
      </c>
      <c r="AC73" s="1323">
        <f>[11]Tramming!AC73</f>
        <v>0.50478000000000001</v>
      </c>
      <c r="AD73" s="1323">
        <f>[11]Tramming!AD73</f>
        <v>0.37079999999999996</v>
      </c>
      <c r="AE73" s="1323">
        <f>[11]Tramming!AE73</f>
        <v>0.18031</v>
      </c>
      <c r="AF73" s="1323">
        <f>[11]Tramming!AF73</f>
        <v>0</v>
      </c>
      <c r="AG73" s="1323">
        <f>[11]Tramming!AG73</f>
        <v>0.36660000000000004</v>
      </c>
      <c r="AH73" s="1323">
        <f>[11]Tramming!AH73</f>
        <v>0.54289999999999994</v>
      </c>
      <c r="AI73" s="1323">
        <f>[11]Tramming!AI73</f>
        <v>0.42314999999999997</v>
      </c>
      <c r="AJ73" s="1323">
        <f>[11]Tramming!AJ73</f>
        <v>0.17952000000000001</v>
      </c>
      <c r="AK73" s="1323">
        <f>[11]Tramming!AK73</f>
        <v>0.79628999999999994</v>
      </c>
      <c r="AL73" s="1323">
        <f>[11]Tramming!AL73</f>
        <v>1.0170299999999999</v>
      </c>
      <c r="AM73" s="706"/>
    </row>
    <row r="74" spans="1:39" ht="14.25" customHeight="1" x14ac:dyDescent="0.25">
      <c r="A74" s="194"/>
      <c r="B74" s="1608"/>
      <c r="C74" s="1704" t="str">
        <f>[11]Tramming!C74</f>
        <v xml:space="preserve">6L_W1 STOPE </v>
      </c>
      <c r="D74" s="1684" t="s">
        <v>340</v>
      </c>
      <c r="E74" s="195" t="s">
        <v>341</v>
      </c>
      <c r="F74" s="196">
        <f t="shared" si="35"/>
        <v>1680</v>
      </c>
      <c r="G74" s="197"/>
      <c r="H74" s="198">
        <f>[11]Tramming!H74</f>
        <v>0</v>
      </c>
      <c r="I74" s="198">
        <f>[11]Tramming!I74</f>
        <v>70</v>
      </c>
      <c r="J74" s="198">
        <f>[11]Tramming!J74</f>
        <v>70</v>
      </c>
      <c r="K74" s="199">
        <f>[11]Tramming!K74</f>
        <v>70</v>
      </c>
      <c r="L74" s="199">
        <f>[11]Tramming!L74</f>
        <v>70</v>
      </c>
      <c r="M74" s="199">
        <f>[11]Tramming!M74</f>
        <v>70</v>
      </c>
      <c r="N74" s="199">
        <f>[11]Tramming!N74</f>
        <v>70</v>
      </c>
      <c r="O74" s="199">
        <f>[11]Tramming!O74</f>
        <v>70</v>
      </c>
      <c r="P74" s="200">
        <f>[11]Tramming!P74</f>
        <v>70</v>
      </c>
      <c r="Q74" s="199">
        <f>[11]Tramming!Q74</f>
        <v>70</v>
      </c>
      <c r="R74" s="199">
        <f>[11]Tramming!R74</f>
        <v>70</v>
      </c>
      <c r="S74" s="199">
        <f>[11]Tramming!S74</f>
        <v>70</v>
      </c>
      <c r="T74" s="199">
        <f>[11]Tramming!T74</f>
        <v>70</v>
      </c>
      <c r="U74" s="199">
        <f>[11]Tramming!U74</f>
        <v>70</v>
      </c>
      <c r="V74" s="199">
        <f>[11]Tramming!V74</f>
        <v>70</v>
      </c>
      <c r="W74" s="199">
        <f>[11]Tramming!W74</f>
        <v>70</v>
      </c>
      <c r="X74" s="199">
        <f>[11]Tramming!X74</f>
        <v>70</v>
      </c>
      <c r="Y74" s="199">
        <f>[11]Tramming!Y74</f>
        <v>70</v>
      </c>
      <c r="Z74" s="199">
        <f>[11]Tramming!Z74</f>
        <v>70</v>
      </c>
      <c r="AA74" s="199">
        <f>[11]Tramming!AA74</f>
        <v>70</v>
      </c>
      <c r="AB74" s="199">
        <f>[11]Tramming!AB74</f>
        <v>70</v>
      </c>
      <c r="AC74" s="199">
        <f>[11]Tramming!AC74</f>
        <v>70</v>
      </c>
      <c r="AD74" s="199">
        <f>[11]Tramming!AD74</f>
        <v>70</v>
      </c>
      <c r="AE74" s="199">
        <f>[11]Tramming!AE74</f>
        <v>70</v>
      </c>
      <c r="AF74" s="199">
        <f>[11]Tramming!AF74</f>
        <v>0</v>
      </c>
      <c r="AG74" s="199">
        <f>[11]Tramming!AG74</f>
        <v>70</v>
      </c>
      <c r="AH74" s="199">
        <f>[11]Tramming!AH74</f>
        <v>70</v>
      </c>
      <c r="AI74" s="199">
        <f>[11]Tramming!AI74</f>
        <v>70</v>
      </c>
      <c r="AJ74" s="199">
        <f>[11]Tramming!AJ74</f>
        <v>70</v>
      </c>
      <c r="AK74" s="199">
        <f>[11]Tramming!AK74</f>
        <v>70</v>
      </c>
      <c r="AL74" s="201">
        <f>[11]Tramming!AL74</f>
        <v>70</v>
      </c>
      <c r="AM74" s="704"/>
    </row>
    <row r="75" spans="1:39" x14ac:dyDescent="0.25">
      <c r="A75" s="202"/>
      <c r="B75" s="1607"/>
      <c r="C75" s="1705"/>
      <c r="D75" s="1688"/>
      <c r="E75" s="1379" t="s">
        <v>342</v>
      </c>
      <c r="F75" s="1303">
        <f t="shared" si="35"/>
        <v>1545</v>
      </c>
      <c r="G75" s="1380">
        <f t="shared" ref="G75" si="37">IFERROR((F75-F74)/F74,0)</f>
        <v>-8.0357142857142863E-2</v>
      </c>
      <c r="H75" s="1305">
        <f>[11]Tramming!H75</f>
        <v>72</v>
      </c>
      <c r="I75" s="1303">
        <f>[11]Tramming!I75</f>
        <v>0</v>
      </c>
      <c r="J75" s="1303">
        <f>[11]Tramming!J75</f>
        <v>93</v>
      </c>
      <c r="K75" s="1303">
        <f>[11]Tramming!K75</f>
        <v>74.2</v>
      </c>
      <c r="L75" s="1303">
        <f>[11]Tramming!L75</f>
        <v>84.4</v>
      </c>
      <c r="M75" s="1303">
        <f>[11]Tramming!M75</f>
        <v>74.400000000000006</v>
      </c>
      <c r="N75" s="1303">
        <f>[11]Tramming!N75</f>
        <v>76</v>
      </c>
      <c r="O75" s="1303">
        <f>[11]Tramming!O75</f>
        <v>73</v>
      </c>
      <c r="P75" s="1303">
        <f>[11]Tramming!P75</f>
        <v>55.2</v>
      </c>
      <c r="Q75" s="1303">
        <f>[11]Tramming!Q75</f>
        <v>76</v>
      </c>
      <c r="R75" s="1303">
        <f>[11]Tramming!R75</f>
        <v>37</v>
      </c>
      <c r="S75" s="1303">
        <f>[11]Tramming!S75</f>
        <v>0</v>
      </c>
      <c r="T75" s="1303">
        <f>[11]Tramming!T75</f>
        <v>84</v>
      </c>
      <c r="U75" s="1303">
        <f>[11]Tramming!U75</f>
        <v>133</v>
      </c>
      <c r="V75" s="1303">
        <f>[11]Tramming!V75</f>
        <v>117</v>
      </c>
      <c r="W75" s="1303">
        <f>[11]Tramming!W75</f>
        <v>78</v>
      </c>
      <c r="X75" s="1303">
        <f>[11]Tramming!X75</f>
        <v>56</v>
      </c>
      <c r="Y75" s="1303">
        <f>[11]Tramming!Y75</f>
        <v>41</v>
      </c>
      <c r="Z75" s="1303">
        <f>[11]Tramming!Z75</f>
        <v>98</v>
      </c>
      <c r="AA75" s="1303">
        <f>[11]Tramming!AA75</f>
        <v>20</v>
      </c>
      <c r="AB75" s="1303">
        <f>[11]Tramming!AB75</f>
        <v>68</v>
      </c>
      <c r="AC75" s="1303">
        <f>[11]Tramming!AC75</f>
        <v>4.8</v>
      </c>
      <c r="AD75" s="1303">
        <f>[11]Tramming!AD75</f>
        <v>44</v>
      </c>
      <c r="AE75" s="1303">
        <f>[11]Tramming!AE75</f>
        <v>44</v>
      </c>
      <c r="AF75" s="1303">
        <f>[11]Tramming!AF75</f>
        <v>0</v>
      </c>
      <c r="AG75" s="1303">
        <f>[11]Tramming!AG75</f>
        <v>42</v>
      </c>
      <c r="AH75" s="1303">
        <f>[11]Tramming!AH75</f>
        <v>36</v>
      </c>
      <c r="AI75" s="1303">
        <f>[11]Tramming!AI75</f>
        <v>32</v>
      </c>
      <c r="AJ75" s="1303">
        <f>[11]Tramming!AJ75</f>
        <v>57</v>
      </c>
      <c r="AK75" s="1303">
        <f>[11]Tramming!AK75</f>
        <v>0</v>
      </c>
      <c r="AL75" s="1303">
        <f>[11]Tramming!AL75</f>
        <v>0</v>
      </c>
      <c r="AM75" s="347"/>
    </row>
    <row r="76" spans="1:39" x14ac:dyDescent="0.25">
      <c r="A76" s="202"/>
      <c r="B76" s="1607"/>
      <c r="C76" s="1705"/>
      <c r="D76" s="1688"/>
      <c r="E76" s="1389" t="s">
        <v>312</v>
      </c>
      <c r="F76" s="1382"/>
      <c r="G76" s="1383"/>
      <c r="H76" s="203"/>
      <c r="I76" s="203"/>
      <c r="J76" s="203"/>
      <c r="K76" s="203"/>
      <c r="L76" s="203"/>
      <c r="M76" s="203"/>
      <c r="N76" s="203"/>
      <c r="O76" s="203"/>
      <c r="P76" s="204"/>
      <c r="Q76" s="203"/>
      <c r="R76" s="203"/>
      <c r="S76" s="203"/>
      <c r="T76" s="203"/>
      <c r="U76" s="203"/>
      <c r="V76" s="203"/>
      <c r="W76" s="203"/>
      <c r="X76" s="203"/>
      <c r="Y76" s="203"/>
      <c r="Z76" s="203"/>
      <c r="AA76" s="203"/>
      <c r="AB76" s="203"/>
      <c r="AC76" s="203"/>
      <c r="AD76" s="203"/>
      <c r="AE76" s="203"/>
      <c r="AF76" s="203"/>
      <c r="AG76" s="203"/>
      <c r="AH76" s="203"/>
      <c r="AI76" s="203"/>
      <c r="AJ76" s="203"/>
      <c r="AK76" s="203"/>
      <c r="AL76" s="205"/>
      <c r="AM76" s="347"/>
    </row>
    <row r="77" spans="1:39" x14ac:dyDescent="0.25">
      <c r="A77" s="202"/>
      <c r="B77" s="1607"/>
      <c r="C77" s="1705"/>
      <c r="D77" s="1685" t="s">
        <v>343</v>
      </c>
      <c r="E77" s="1384" t="s">
        <v>344</v>
      </c>
      <c r="F77" s="1310">
        <f t="shared" ref="F77:F78" si="38">IFERROR(F79*1000/F74,0)</f>
        <v>3.8899999999999979</v>
      </c>
      <c r="G77" s="1385"/>
      <c r="H77" s="1312">
        <f>[11]Tramming!H77</f>
        <v>0</v>
      </c>
      <c r="I77" s="1312">
        <f>[11]Tramming!I77</f>
        <v>3.89</v>
      </c>
      <c r="J77" s="1312">
        <f>[11]Tramming!J77</f>
        <v>3.89</v>
      </c>
      <c r="K77" s="1333">
        <f>[11]Tramming!K77</f>
        <v>3.89</v>
      </c>
      <c r="L77" s="1333">
        <f>[11]Tramming!L77</f>
        <v>3.89</v>
      </c>
      <c r="M77" s="1333">
        <f>[11]Tramming!M77</f>
        <v>3.89</v>
      </c>
      <c r="N77" s="1333">
        <f>[11]Tramming!N77</f>
        <v>3.89</v>
      </c>
      <c r="O77" s="1333">
        <f>[11]Tramming!O77</f>
        <v>3.89</v>
      </c>
      <c r="P77" s="1334">
        <f>[11]Tramming!P77</f>
        <v>3.89</v>
      </c>
      <c r="Q77" s="1333">
        <f>[11]Tramming!Q77</f>
        <v>3.89</v>
      </c>
      <c r="R77" s="1333">
        <f>[11]Tramming!R77</f>
        <v>3.89</v>
      </c>
      <c r="S77" s="1333">
        <f>[11]Tramming!S77</f>
        <v>3.89</v>
      </c>
      <c r="T77" s="1333">
        <f>[11]Tramming!T77</f>
        <v>3.89</v>
      </c>
      <c r="U77" s="1333">
        <f>[11]Tramming!U77</f>
        <v>3.89</v>
      </c>
      <c r="V77" s="1333">
        <f>[11]Tramming!V77</f>
        <v>3.89</v>
      </c>
      <c r="W77" s="1333">
        <f>[11]Tramming!W77</f>
        <v>3.89</v>
      </c>
      <c r="X77" s="1333">
        <f>[11]Tramming!X77</f>
        <v>3.89</v>
      </c>
      <c r="Y77" s="1333">
        <f>[11]Tramming!Y77</f>
        <v>3.89</v>
      </c>
      <c r="Z77" s="1333">
        <f>[11]Tramming!Z77</f>
        <v>3.89</v>
      </c>
      <c r="AA77" s="1333">
        <f>[11]Tramming!AA77</f>
        <v>3.89</v>
      </c>
      <c r="AB77" s="1333">
        <f>[11]Tramming!AB77</f>
        <v>3.89</v>
      </c>
      <c r="AC77" s="1333">
        <f>[11]Tramming!AC77</f>
        <v>3.89</v>
      </c>
      <c r="AD77" s="1333">
        <f>[11]Tramming!AD77</f>
        <v>3.89</v>
      </c>
      <c r="AE77" s="1333">
        <f>[11]Tramming!AE77</f>
        <v>3.89</v>
      </c>
      <c r="AF77" s="1333">
        <f>[11]Tramming!AF77</f>
        <v>0</v>
      </c>
      <c r="AG77" s="1333">
        <f>[11]Tramming!AG77</f>
        <v>3.89</v>
      </c>
      <c r="AH77" s="1333">
        <f>[11]Tramming!AH77</f>
        <v>3.89</v>
      </c>
      <c r="AI77" s="1333">
        <f>[11]Tramming!AI77</f>
        <v>3.89</v>
      </c>
      <c r="AJ77" s="1333">
        <f>[11]Tramming!AJ77</f>
        <v>3.89</v>
      </c>
      <c r="AK77" s="1333">
        <f>[11]Tramming!AK77</f>
        <v>3.89</v>
      </c>
      <c r="AL77" s="1335">
        <f>[11]Tramming!AL77</f>
        <v>3.89</v>
      </c>
      <c r="AM77" s="347"/>
    </row>
    <row r="78" spans="1:39" x14ac:dyDescent="0.25">
      <c r="A78" s="202"/>
      <c r="B78" s="1607"/>
      <c r="C78" s="1705"/>
      <c r="D78" s="1707"/>
      <c r="E78" s="1386" t="s">
        <v>345</v>
      </c>
      <c r="F78" s="1314">
        <f t="shared" si="38"/>
        <v>2.1568750809061483</v>
      </c>
      <c r="G78" s="1380">
        <f t="shared" ref="G78" si="39">IFERROR((F78-F77)/F77,0)</f>
        <v>-0.44553339822464022</v>
      </c>
      <c r="H78" s="1315">
        <f>[11]Tramming!H78</f>
        <v>1.63</v>
      </c>
      <c r="I78" s="1314">
        <f>[11]Tramming!I78</f>
        <v>0</v>
      </c>
      <c r="J78" s="1314">
        <f>[11]Tramming!J78</f>
        <v>2.65</v>
      </c>
      <c r="K78" s="1314">
        <f>[11]Tramming!K78</f>
        <v>4.12</v>
      </c>
      <c r="L78" s="1314">
        <f>[11]Tramming!L78</f>
        <v>1.1599999999999999</v>
      </c>
      <c r="M78" s="1314">
        <f>[11]Tramming!M78</f>
        <v>1.51</v>
      </c>
      <c r="N78" s="1314">
        <f>[11]Tramming!N78</f>
        <v>1.51</v>
      </c>
      <c r="O78" s="1314">
        <f>[11]Tramming!O78</f>
        <v>1.63</v>
      </c>
      <c r="P78" s="1314">
        <f>[11]Tramming!P78</f>
        <v>1.0900000000000001</v>
      </c>
      <c r="Q78" s="1314">
        <f>[11]Tramming!Q78</f>
        <v>1.76</v>
      </c>
      <c r="R78" s="1314">
        <f>[11]Tramming!R78</f>
        <v>2.64</v>
      </c>
      <c r="S78" s="1314">
        <f>[11]Tramming!S78</f>
        <v>0</v>
      </c>
      <c r="T78" s="1314">
        <f>[11]Tramming!T78</f>
        <v>1.71</v>
      </c>
      <c r="U78" s="1314">
        <f>[11]Tramming!U78</f>
        <v>2.98</v>
      </c>
      <c r="V78" s="1314">
        <f>[11]Tramming!V78</f>
        <v>3</v>
      </c>
      <c r="W78" s="1314">
        <f>[11]Tramming!W78</f>
        <v>2.58</v>
      </c>
      <c r="X78" s="1314">
        <f>[11]Tramming!X78</f>
        <v>2.57</v>
      </c>
      <c r="Y78" s="1314">
        <f>[11]Tramming!Y78</f>
        <v>1.82</v>
      </c>
      <c r="Z78" s="1314">
        <f>[11]Tramming!Z78</f>
        <v>2.71</v>
      </c>
      <c r="AA78" s="1314">
        <f>[11]Tramming!AA78</f>
        <v>2.54</v>
      </c>
      <c r="AB78" s="1314">
        <f>[11]Tramming!AB78</f>
        <v>2.12</v>
      </c>
      <c r="AC78" s="1314">
        <f>[11]Tramming!AC78</f>
        <v>1.57</v>
      </c>
      <c r="AD78" s="1314">
        <f>[11]Tramming!AD78</f>
        <v>2.21</v>
      </c>
      <c r="AE78" s="1314">
        <f>[11]Tramming!AE78</f>
        <v>1.33</v>
      </c>
      <c r="AF78" s="1314">
        <f>[11]Tramming!AF78</f>
        <v>0</v>
      </c>
      <c r="AG78" s="1314">
        <f>[11]Tramming!AG78</f>
        <v>2.5</v>
      </c>
      <c r="AH78" s="1314">
        <f>[11]Tramming!AH78</f>
        <v>1.29</v>
      </c>
      <c r="AI78" s="1314">
        <f>[11]Tramming!AI78</f>
        <v>2.9</v>
      </c>
      <c r="AJ78" s="1314">
        <f>[11]Tramming!AJ78</f>
        <v>5.38</v>
      </c>
      <c r="AK78" s="1314">
        <f>[11]Tramming!AK78</f>
        <v>4.1399999999999997</v>
      </c>
      <c r="AL78" s="1314">
        <f>[11]Tramming!AL78</f>
        <v>0</v>
      </c>
      <c r="AM78" s="347"/>
    </row>
    <row r="79" spans="1:39" x14ac:dyDescent="0.25">
      <c r="A79" s="202"/>
      <c r="B79" s="1607"/>
      <c r="C79" s="1705"/>
      <c r="D79" s="1685" t="s">
        <v>47</v>
      </c>
      <c r="E79" s="1384" t="s">
        <v>346</v>
      </c>
      <c r="F79" s="206">
        <f t="shared" ref="F79:F82" si="40">SUMIF($H$9:$AL$9,"&lt;="&amp;$C$7,H79:AL79)</f>
        <v>6.5351999999999961</v>
      </c>
      <c r="G79" s="1385"/>
      <c r="H79" s="1316">
        <f>[11]Tramming!H79</f>
        <v>0</v>
      </c>
      <c r="I79" s="1316">
        <f>[11]Tramming!I79</f>
        <v>0.27229999999999999</v>
      </c>
      <c r="J79" s="1316">
        <f>[11]Tramming!J79</f>
        <v>0.27229999999999999</v>
      </c>
      <c r="K79" s="1316">
        <f>[11]Tramming!K79</f>
        <v>0.27229999999999999</v>
      </c>
      <c r="L79" s="1316">
        <f>[11]Tramming!L79</f>
        <v>0.27229999999999999</v>
      </c>
      <c r="M79" s="1316">
        <f>[11]Tramming!M79</f>
        <v>0.27229999999999999</v>
      </c>
      <c r="N79" s="1316">
        <f>[11]Tramming!N79</f>
        <v>0.27229999999999999</v>
      </c>
      <c r="O79" s="1316">
        <f>[11]Tramming!O79</f>
        <v>0.27229999999999999</v>
      </c>
      <c r="P79" s="1316">
        <f>[11]Tramming!P79</f>
        <v>0.27229999999999999</v>
      </c>
      <c r="Q79" s="1316">
        <f>[11]Tramming!Q79</f>
        <v>0.27229999999999999</v>
      </c>
      <c r="R79" s="1316">
        <f>[11]Tramming!R79</f>
        <v>0.27229999999999999</v>
      </c>
      <c r="S79" s="1316">
        <f>[11]Tramming!S79</f>
        <v>0.27229999999999999</v>
      </c>
      <c r="T79" s="1316">
        <f>[11]Tramming!T79</f>
        <v>0.27229999999999999</v>
      </c>
      <c r="U79" s="1316">
        <f>[11]Tramming!U79</f>
        <v>0.27229999999999999</v>
      </c>
      <c r="V79" s="1316">
        <f>[11]Tramming!V79</f>
        <v>0.27229999999999999</v>
      </c>
      <c r="W79" s="1316">
        <f>[11]Tramming!W79</f>
        <v>0.27229999999999999</v>
      </c>
      <c r="X79" s="1316">
        <f>[11]Tramming!X79</f>
        <v>0.27229999999999999</v>
      </c>
      <c r="Y79" s="1316">
        <f>[11]Tramming!Y79</f>
        <v>0.27229999999999999</v>
      </c>
      <c r="Z79" s="1316">
        <f>[11]Tramming!Z79</f>
        <v>0.27229999999999999</v>
      </c>
      <c r="AA79" s="1316">
        <f>[11]Tramming!AA79</f>
        <v>0.27229999999999999</v>
      </c>
      <c r="AB79" s="1316">
        <f>[11]Tramming!AB79</f>
        <v>0.27229999999999999</v>
      </c>
      <c r="AC79" s="1316">
        <f>[11]Tramming!AC79</f>
        <v>0.27229999999999999</v>
      </c>
      <c r="AD79" s="1316">
        <f>[11]Tramming!AD79</f>
        <v>0.27229999999999999</v>
      </c>
      <c r="AE79" s="1316">
        <f>[11]Tramming!AE79</f>
        <v>0.27229999999999999</v>
      </c>
      <c r="AF79" s="1316">
        <f>[11]Tramming!AF79</f>
        <v>0</v>
      </c>
      <c r="AG79" s="1316">
        <f>[11]Tramming!AG79</f>
        <v>0.27229999999999999</v>
      </c>
      <c r="AH79" s="1316">
        <f>[11]Tramming!AH79</f>
        <v>0.27229999999999999</v>
      </c>
      <c r="AI79" s="1316">
        <f>[11]Tramming!AI79</f>
        <v>0.27229999999999999</v>
      </c>
      <c r="AJ79" s="1316">
        <f>[11]Tramming!AJ79</f>
        <v>0.27229999999999999</v>
      </c>
      <c r="AK79" s="1316">
        <f>[11]Tramming!AK79</f>
        <v>0.27229999999999999</v>
      </c>
      <c r="AL79" s="1316">
        <f>[11]Tramming!AL79</f>
        <v>0.27229999999999999</v>
      </c>
      <c r="AM79" s="705"/>
    </row>
    <row r="80" spans="1:39" ht="15.75" thickBot="1" x14ac:dyDescent="0.3">
      <c r="A80" s="202"/>
      <c r="B80" s="1660"/>
      <c r="C80" s="1706"/>
      <c r="D80" s="1708"/>
      <c r="E80" s="1387" t="s">
        <v>347</v>
      </c>
      <c r="F80" s="1321">
        <f t="shared" si="40"/>
        <v>3.3323719999999994</v>
      </c>
      <c r="G80" s="1388">
        <f t="shared" ref="G80" si="41">IFERROR((F80-F79)/F79,0)</f>
        <v>-0.49008875015301728</v>
      </c>
      <c r="H80" s="1323">
        <f>[11]Tramming!H80</f>
        <v>0.11735999999999999</v>
      </c>
      <c r="I80" s="1323">
        <f>[11]Tramming!I80</f>
        <v>0</v>
      </c>
      <c r="J80" s="1323">
        <f>[11]Tramming!J80</f>
        <v>0.24645</v>
      </c>
      <c r="K80" s="1323">
        <f>[11]Tramming!K80</f>
        <v>0.30570400000000003</v>
      </c>
      <c r="L80" s="1323">
        <f>[11]Tramming!L80</f>
        <v>9.7903999999999991E-2</v>
      </c>
      <c r="M80" s="1323">
        <f>[11]Tramming!M80</f>
        <v>0</v>
      </c>
      <c r="N80" s="1323">
        <f>[11]Tramming!N80</f>
        <v>0.11476</v>
      </c>
      <c r="O80" s="1323">
        <f>[11]Tramming!O80</f>
        <v>0.11899</v>
      </c>
      <c r="P80" s="1323">
        <f>[11]Tramming!P80</f>
        <v>6.0168000000000006E-2</v>
      </c>
      <c r="Q80" s="1323">
        <f>[11]Tramming!Q80</f>
        <v>0.13375999999999999</v>
      </c>
      <c r="R80" s="1323">
        <f>[11]Tramming!R80</f>
        <v>9.7680000000000003E-2</v>
      </c>
      <c r="S80" s="1323">
        <f>[11]Tramming!S80</f>
        <v>0</v>
      </c>
      <c r="T80" s="1323">
        <f>[11]Tramming!T80</f>
        <v>0.14363999999999999</v>
      </c>
      <c r="U80" s="1323">
        <f>[11]Tramming!U80</f>
        <v>0.39633999999999997</v>
      </c>
      <c r="V80" s="1323">
        <f>[11]Tramming!V80</f>
        <v>0.35099999999999998</v>
      </c>
      <c r="W80" s="1323">
        <f>[11]Tramming!W80</f>
        <v>0.20124</v>
      </c>
      <c r="X80" s="1323">
        <f>[11]Tramming!X80</f>
        <v>0.14391999999999999</v>
      </c>
      <c r="Y80" s="1323">
        <f>[11]Tramming!Y80</f>
        <v>7.4620000000000006E-2</v>
      </c>
      <c r="Z80" s="1323">
        <f>[11]Tramming!Z80</f>
        <v>0.26557999999999998</v>
      </c>
      <c r="AA80" s="1323">
        <f>[11]Tramming!AA80</f>
        <v>5.0799999999999998E-2</v>
      </c>
      <c r="AB80" s="1323">
        <f>[11]Tramming!AB80</f>
        <v>0.14416000000000001</v>
      </c>
      <c r="AC80" s="1323">
        <f>[11]Tramming!AC80</f>
        <v>7.5359999999999993E-3</v>
      </c>
      <c r="AD80" s="1323">
        <f>[11]Tramming!AD80</f>
        <v>9.7239999999999993E-2</v>
      </c>
      <c r="AE80" s="1323">
        <f>[11]Tramming!AE80</f>
        <v>5.8520000000000003E-2</v>
      </c>
      <c r="AF80" s="1323">
        <f>[11]Tramming!AF80</f>
        <v>0</v>
      </c>
      <c r="AG80" s="1323">
        <f>[11]Tramming!AG80</f>
        <v>0.105</v>
      </c>
      <c r="AH80" s="1323">
        <f>[11]Tramming!AH80</f>
        <v>4.6439999999999995E-2</v>
      </c>
      <c r="AI80" s="1323">
        <f>[11]Tramming!AI80</f>
        <v>9.2799999999999994E-2</v>
      </c>
      <c r="AJ80" s="1323">
        <f>[11]Tramming!AJ80</f>
        <v>0.30665999999999999</v>
      </c>
      <c r="AK80" s="1323">
        <f>[11]Tramming!AK80</f>
        <v>0</v>
      </c>
      <c r="AL80" s="1323">
        <f>[11]Tramming!AL80</f>
        <v>0</v>
      </c>
      <c r="AM80" s="706"/>
    </row>
    <row r="81" spans="1:39" ht="14.25" customHeight="1" x14ac:dyDescent="0.25">
      <c r="A81" s="194"/>
      <c r="B81" s="1608"/>
      <c r="C81" s="1704" t="str">
        <f>[11]Tramming!C81</f>
        <v xml:space="preserve">6L_W2 STOPE </v>
      </c>
      <c r="D81" s="1684" t="s">
        <v>340</v>
      </c>
      <c r="E81" s="195" t="s">
        <v>341</v>
      </c>
      <c r="F81" s="196">
        <f t="shared" si="40"/>
        <v>1680</v>
      </c>
      <c r="G81" s="197"/>
      <c r="H81" s="198">
        <f>[11]Tramming!H81</f>
        <v>0</v>
      </c>
      <c r="I81" s="198">
        <f>[11]Tramming!I81</f>
        <v>70</v>
      </c>
      <c r="J81" s="198">
        <f>[11]Tramming!J81</f>
        <v>70</v>
      </c>
      <c r="K81" s="198">
        <f>[11]Tramming!K81</f>
        <v>70</v>
      </c>
      <c r="L81" s="198">
        <f>[11]Tramming!L81</f>
        <v>70</v>
      </c>
      <c r="M81" s="198">
        <f>[11]Tramming!M81</f>
        <v>70</v>
      </c>
      <c r="N81" s="198">
        <f>[11]Tramming!N81</f>
        <v>70</v>
      </c>
      <c r="O81" s="198">
        <f>[11]Tramming!O81</f>
        <v>70</v>
      </c>
      <c r="P81" s="198">
        <f>[11]Tramming!P81</f>
        <v>70</v>
      </c>
      <c r="Q81" s="198">
        <f>[11]Tramming!Q81</f>
        <v>70</v>
      </c>
      <c r="R81" s="198">
        <f>[11]Tramming!R81</f>
        <v>70</v>
      </c>
      <c r="S81" s="198">
        <f>[11]Tramming!S81</f>
        <v>70</v>
      </c>
      <c r="T81" s="198">
        <f>[11]Tramming!T81</f>
        <v>70</v>
      </c>
      <c r="U81" s="198">
        <f>[11]Tramming!U81</f>
        <v>70</v>
      </c>
      <c r="V81" s="198">
        <f>[11]Tramming!V81</f>
        <v>70</v>
      </c>
      <c r="W81" s="198">
        <f>[11]Tramming!W81</f>
        <v>70</v>
      </c>
      <c r="X81" s="198">
        <f>[11]Tramming!X81</f>
        <v>70</v>
      </c>
      <c r="Y81" s="198">
        <f>[11]Tramming!Y81</f>
        <v>70</v>
      </c>
      <c r="Z81" s="198">
        <f>[11]Tramming!Z81</f>
        <v>70</v>
      </c>
      <c r="AA81" s="198">
        <f>[11]Tramming!AA81</f>
        <v>70</v>
      </c>
      <c r="AB81" s="198">
        <f>[11]Tramming!AB81</f>
        <v>70</v>
      </c>
      <c r="AC81" s="198">
        <f>[11]Tramming!AC81</f>
        <v>70</v>
      </c>
      <c r="AD81" s="198">
        <f>[11]Tramming!AD81</f>
        <v>70</v>
      </c>
      <c r="AE81" s="198">
        <f>[11]Tramming!AE81</f>
        <v>70</v>
      </c>
      <c r="AF81" s="198">
        <f>[11]Tramming!AF81</f>
        <v>0</v>
      </c>
      <c r="AG81" s="198">
        <f>[11]Tramming!AG81</f>
        <v>70</v>
      </c>
      <c r="AH81" s="198">
        <f>[11]Tramming!AH81</f>
        <v>70</v>
      </c>
      <c r="AI81" s="198">
        <f>[11]Tramming!AI81</f>
        <v>70</v>
      </c>
      <c r="AJ81" s="198">
        <f>[11]Tramming!AJ81</f>
        <v>70</v>
      </c>
      <c r="AK81" s="198">
        <f>[11]Tramming!AK81</f>
        <v>70</v>
      </c>
      <c r="AL81" s="198">
        <f>[11]Tramming!AL81</f>
        <v>70</v>
      </c>
      <c r="AM81" s="704"/>
    </row>
    <row r="82" spans="1:39" x14ac:dyDescent="0.25">
      <c r="A82" s="202"/>
      <c r="B82" s="1607"/>
      <c r="C82" s="1705"/>
      <c r="D82" s="1688"/>
      <c r="E82" s="1379" t="s">
        <v>342</v>
      </c>
      <c r="F82" s="1303">
        <f t="shared" si="40"/>
        <v>1171.7</v>
      </c>
      <c r="G82" s="1380">
        <f t="shared" ref="G82" si="42">IFERROR((F82-F81)/F81,0)</f>
        <v>-0.30255952380952378</v>
      </c>
      <c r="H82" s="1305">
        <f>[11]Tramming!H82</f>
        <v>60</v>
      </c>
      <c r="I82" s="1303">
        <f>[11]Tramming!I82</f>
        <v>40</v>
      </c>
      <c r="J82" s="1303">
        <f>[11]Tramming!J82</f>
        <v>140</v>
      </c>
      <c r="K82" s="1303">
        <f>[11]Tramming!K82</f>
        <v>122.2</v>
      </c>
      <c r="L82" s="1303">
        <f>[11]Tramming!L82</f>
        <v>102</v>
      </c>
      <c r="M82" s="1303">
        <f>[11]Tramming!M82</f>
        <v>50</v>
      </c>
      <c r="N82" s="1303">
        <f>[11]Tramming!N82</f>
        <v>31</v>
      </c>
      <c r="O82" s="1303">
        <f>[11]Tramming!O82</f>
        <v>60</v>
      </c>
      <c r="P82" s="1303">
        <f>[11]Tramming!P82</f>
        <v>64</v>
      </c>
      <c r="Q82" s="1303">
        <f>[11]Tramming!Q82</f>
        <v>63.5</v>
      </c>
      <c r="R82" s="1303">
        <f>[11]Tramming!R82</f>
        <v>39</v>
      </c>
      <c r="S82" s="1303">
        <f>[11]Tramming!S82</f>
        <v>0</v>
      </c>
      <c r="T82" s="1303">
        <f>[11]Tramming!T82</f>
        <v>0</v>
      </c>
      <c r="U82" s="1303">
        <f>[11]Tramming!U82</f>
        <v>30</v>
      </c>
      <c r="V82" s="1303">
        <f>[11]Tramming!V82</f>
        <v>59</v>
      </c>
      <c r="W82" s="1303">
        <f>[11]Tramming!W82</f>
        <v>65</v>
      </c>
      <c r="X82" s="1303">
        <f>[11]Tramming!X82</f>
        <v>36</v>
      </c>
      <c r="Y82" s="1303">
        <f>[11]Tramming!Y82</f>
        <v>38</v>
      </c>
      <c r="Z82" s="1303">
        <f>[11]Tramming!Z82</f>
        <v>45</v>
      </c>
      <c r="AA82" s="1303">
        <f>[11]Tramming!AA82</f>
        <v>66</v>
      </c>
      <c r="AB82" s="1303">
        <f>[11]Tramming!AB82</f>
        <v>0</v>
      </c>
      <c r="AC82" s="1303">
        <f>[11]Tramming!AC82</f>
        <v>0</v>
      </c>
      <c r="AD82" s="1303">
        <f>[11]Tramming!AD82</f>
        <v>0</v>
      </c>
      <c r="AE82" s="1303">
        <f>[11]Tramming!AE82</f>
        <v>61</v>
      </c>
      <c r="AF82" s="1303">
        <f>[11]Tramming!AF82</f>
        <v>0</v>
      </c>
      <c r="AG82" s="1303">
        <f>[11]Tramming!AG82</f>
        <v>0</v>
      </c>
      <c r="AH82" s="1303">
        <f>[11]Tramming!AH82</f>
        <v>0</v>
      </c>
      <c r="AI82" s="1303">
        <f>[11]Tramming!AI82</f>
        <v>0</v>
      </c>
      <c r="AJ82" s="1303">
        <f>[11]Tramming!AJ82</f>
        <v>20</v>
      </c>
      <c r="AK82" s="1303">
        <f>[11]Tramming!AK82</f>
        <v>30</v>
      </c>
      <c r="AL82" s="1303">
        <f>[11]Tramming!AL82</f>
        <v>45</v>
      </c>
      <c r="AM82" s="347"/>
    </row>
    <row r="83" spans="1:39" x14ac:dyDescent="0.25">
      <c r="A83" s="202"/>
      <c r="B83" s="1607"/>
      <c r="C83" s="1705"/>
      <c r="D83" s="1688"/>
      <c r="E83" s="1389" t="s">
        <v>312</v>
      </c>
      <c r="F83" s="1382"/>
      <c r="G83" s="1383"/>
      <c r="H83" s="203"/>
      <c r="I83" s="203"/>
      <c r="J83" s="203"/>
      <c r="K83" s="203"/>
      <c r="L83" s="203"/>
      <c r="M83" s="203"/>
      <c r="N83" s="203"/>
      <c r="O83" s="203"/>
      <c r="P83" s="204"/>
      <c r="Q83" s="203"/>
      <c r="R83" s="203"/>
      <c r="S83" s="203"/>
      <c r="T83" s="203"/>
      <c r="U83" s="203"/>
      <c r="V83" s="203"/>
      <c r="W83" s="203"/>
      <c r="X83" s="203"/>
      <c r="Y83" s="203"/>
      <c r="Z83" s="203"/>
      <c r="AA83" s="203"/>
      <c r="AB83" s="203"/>
      <c r="AC83" s="203"/>
      <c r="AD83" s="203"/>
      <c r="AE83" s="203"/>
      <c r="AF83" s="203"/>
      <c r="AG83" s="203"/>
      <c r="AH83" s="203"/>
      <c r="AI83" s="203"/>
      <c r="AJ83" s="203"/>
      <c r="AK83" s="203"/>
      <c r="AL83" s="205"/>
      <c r="AM83" s="347"/>
    </row>
    <row r="84" spans="1:39" x14ac:dyDescent="0.25">
      <c r="A84" s="202"/>
      <c r="B84" s="1607"/>
      <c r="C84" s="1705"/>
      <c r="D84" s="1685" t="s">
        <v>343</v>
      </c>
      <c r="E84" s="1384" t="s">
        <v>344</v>
      </c>
      <c r="F84" s="1310">
        <f t="shared" ref="F84:F85" si="43">IFERROR(F86*1000/F81,0)</f>
        <v>2.9100000000000019</v>
      </c>
      <c r="G84" s="1385"/>
      <c r="H84" s="1312">
        <f>[11]Tramming!H84</f>
        <v>0</v>
      </c>
      <c r="I84" s="1312">
        <f>[11]Tramming!I84</f>
        <v>2.91</v>
      </c>
      <c r="J84" s="1312">
        <f>[11]Tramming!J84</f>
        <v>2.91</v>
      </c>
      <c r="K84" s="1312">
        <f>[11]Tramming!K84</f>
        <v>2.91</v>
      </c>
      <c r="L84" s="1312">
        <f>[11]Tramming!L84</f>
        <v>2.91</v>
      </c>
      <c r="M84" s="1312">
        <f>[11]Tramming!M84</f>
        <v>2.91</v>
      </c>
      <c r="N84" s="1312">
        <f>[11]Tramming!N84</f>
        <v>2.91</v>
      </c>
      <c r="O84" s="1312">
        <f>[11]Tramming!O84</f>
        <v>2.91</v>
      </c>
      <c r="P84" s="1312">
        <f>[11]Tramming!P84</f>
        <v>2.91</v>
      </c>
      <c r="Q84" s="1312">
        <f>[11]Tramming!Q84</f>
        <v>2.91</v>
      </c>
      <c r="R84" s="1312">
        <f>[11]Tramming!R84</f>
        <v>2.91</v>
      </c>
      <c r="S84" s="1312">
        <f>[11]Tramming!S84</f>
        <v>2.91</v>
      </c>
      <c r="T84" s="1312">
        <f>[11]Tramming!T84</f>
        <v>2.91</v>
      </c>
      <c r="U84" s="1312">
        <f>[11]Tramming!U84</f>
        <v>2.91</v>
      </c>
      <c r="V84" s="1312">
        <f>[11]Tramming!V84</f>
        <v>2.91</v>
      </c>
      <c r="W84" s="1312">
        <f>[11]Tramming!W84</f>
        <v>2.91</v>
      </c>
      <c r="X84" s="1312">
        <f>[11]Tramming!X84</f>
        <v>2.91</v>
      </c>
      <c r="Y84" s="1312">
        <f>[11]Tramming!Y84</f>
        <v>2.91</v>
      </c>
      <c r="Z84" s="1312">
        <f>[11]Tramming!Z84</f>
        <v>2.91</v>
      </c>
      <c r="AA84" s="1312">
        <f>[11]Tramming!AA84</f>
        <v>2.91</v>
      </c>
      <c r="AB84" s="1312">
        <f>[11]Tramming!AB84</f>
        <v>2.91</v>
      </c>
      <c r="AC84" s="1312">
        <f>[11]Tramming!AC84</f>
        <v>2.91</v>
      </c>
      <c r="AD84" s="1312">
        <f>[11]Tramming!AD84</f>
        <v>2.91</v>
      </c>
      <c r="AE84" s="1312">
        <f>[11]Tramming!AE84</f>
        <v>2.91</v>
      </c>
      <c r="AF84" s="1312">
        <f>[11]Tramming!AF84</f>
        <v>2.91</v>
      </c>
      <c r="AG84" s="1312">
        <f>[11]Tramming!AG84</f>
        <v>2.91</v>
      </c>
      <c r="AH84" s="1312">
        <f>[11]Tramming!AH84</f>
        <v>2.91</v>
      </c>
      <c r="AI84" s="1312">
        <f>[11]Tramming!AI84</f>
        <v>2.91</v>
      </c>
      <c r="AJ84" s="1312">
        <f>[11]Tramming!AJ84</f>
        <v>2.91</v>
      </c>
      <c r="AK84" s="1312">
        <f>[11]Tramming!AK84</f>
        <v>2.91</v>
      </c>
      <c r="AL84" s="1312">
        <f>[11]Tramming!AL84</f>
        <v>2.91</v>
      </c>
      <c r="AM84" s="347"/>
    </row>
    <row r="85" spans="1:39" x14ac:dyDescent="0.25">
      <c r="A85" s="202"/>
      <c r="B85" s="1607"/>
      <c r="C85" s="1705"/>
      <c r="D85" s="1707"/>
      <c r="E85" s="1386" t="s">
        <v>345</v>
      </c>
      <c r="F85" s="1314">
        <f t="shared" si="43"/>
        <v>1.9917265511649735</v>
      </c>
      <c r="G85" s="1380">
        <f t="shared" ref="G85" si="44">IFERROR((F85-F84)/F84,0)</f>
        <v>-0.31555788619760405</v>
      </c>
      <c r="H85" s="1315">
        <f>[11]Tramming!H85</f>
        <v>1.41</v>
      </c>
      <c r="I85" s="1314">
        <f>[11]Tramming!I85</f>
        <v>5.14</v>
      </c>
      <c r="J85" s="1314">
        <f>[11]Tramming!J85</f>
        <v>2.65</v>
      </c>
      <c r="K85" s="1314">
        <f>[11]Tramming!K85</f>
        <v>1.18</v>
      </c>
      <c r="L85" s="1314">
        <f>[11]Tramming!L85</f>
        <v>1.74</v>
      </c>
      <c r="M85" s="1314">
        <f>[11]Tramming!M85</f>
        <v>1.91</v>
      </c>
      <c r="N85" s="1314">
        <f>[11]Tramming!N85</f>
        <v>1.91</v>
      </c>
      <c r="O85" s="1314">
        <f>[11]Tramming!O85</f>
        <v>1.24</v>
      </c>
      <c r="P85" s="1314">
        <f>[11]Tramming!P85</f>
        <v>0.89</v>
      </c>
      <c r="Q85" s="1314">
        <f>[11]Tramming!Q85</f>
        <v>1.76</v>
      </c>
      <c r="R85" s="1314">
        <f>[11]Tramming!R85</f>
        <v>1.76</v>
      </c>
      <c r="S85" s="1314">
        <f>[11]Tramming!S85</f>
        <v>0</v>
      </c>
      <c r="T85" s="1314">
        <f>[11]Tramming!T85</f>
        <v>0</v>
      </c>
      <c r="U85" s="1314">
        <f>[11]Tramming!U85</f>
        <v>0.98</v>
      </c>
      <c r="V85" s="1314">
        <f>[11]Tramming!V85</f>
        <v>3.21</v>
      </c>
      <c r="W85" s="1314">
        <f>[11]Tramming!W85</f>
        <v>2.1</v>
      </c>
      <c r="X85" s="1314">
        <f>[11]Tramming!X85</f>
        <v>2.62</v>
      </c>
      <c r="Y85" s="1314">
        <f>[11]Tramming!Y85</f>
        <v>1.6</v>
      </c>
      <c r="Z85" s="1314">
        <f>[11]Tramming!Z85</f>
        <v>0.86</v>
      </c>
      <c r="AA85" s="1314">
        <f>[11]Tramming!AA85</f>
        <v>2.39</v>
      </c>
      <c r="AB85" s="1314">
        <f>[11]Tramming!AB85</f>
        <v>0</v>
      </c>
      <c r="AC85" s="1314">
        <f>[11]Tramming!AC85</f>
        <v>0</v>
      </c>
      <c r="AD85" s="1314">
        <f>[11]Tramming!AD85</f>
        <v>0</v>
      </c>
      <c r="AE85" s="1314">
        <f>[11]Tramming!AE85</f>
        <v>2.91</v>
      </c>
      <c r="AF85" s="1314">
        <f>[11]Tramming!AF85</f>
        <v>0</v>
      </c>
      <c r="AG85" s="1314">
        <f>[11]Tramming!AG85</f>
        <v>0</v>
      </c>
      <c r="AH85" s="1314">
        <f>[11]Tramming!AH85</f>
        <v>0</v>
      </c>
      <c r="AI85" s="1314">
        <f>[11]Tramming!AI85</f>
        <v>0</v>
      </c>
      <c r="AJ85" s="1314">
        <f>[11]Tramming!AJ85</f>
        <v>2.99</v>
      </c>
      <c r="AK85" s="1314">
        <f>[11]Tramming!AK85</f>
        <v>2.74</v>
      </c>
      <c r="AL85" s="1314">
        <f>[11]Tramming!AL85</f>
        <v>2.87</v>
      </c>
      <c r="AM85" s="347"/>
    </row>
    <row r="86" spans="1:39" x14ac:dyDescent="0.25">
      <c r="A86" s="202"/>
      <c r="B86" s="1607"/>
      <c r="C86" s="1705"/>
      <c r="D86" s="1685" t="s">
        <v>47</v>
      </c>
      <c r="E86" s="1384" t="s">
        <v>346</v>
      </c>
      <c r="F86" s="206">
        <f t="shared" ref="F86:F89" si="45">SUMIF($H$9:$AL$9,"&lt;="&amp;$C$7,H86:AL86)</f>
        <v>4.8888000000000025</v>
      </c>
      <c r="G86" s="1385"/>
      <c r="H86" s="1316">
        <f>[11]Tramming!H86</f>
        <v>0</v>
      </c>
      <c r="I86" s="1316">
        <f>[11]Tramming!I86</f>
        <v>0.20370000000000002</v>
      </c>
      <c r="J86" s="1316">
        <f>[11]Tramming!J86</f>
        <v>0.20370000000000002</v>
      </c>
      <c r="K86" s="1316">
        <f>[11]Tramming!K86</f>
        <v>0.20370000000000002</v>
      </c>
      <c r="L86" s="1316">
        <f>[11]Tramming!L86</f>
        <v>0.20370000000000002</v>
      </c>
      <c r="M86" s="1316">
        <f>[11]Tramming!M86</f>
        <v>0.20370000000000002</v>
      </c>
      <c r="N86" s="1316">
        <f>[11]Tramming!N86</f>
        <v>0.20370000000000002</v>
      </c>
      <c r="O86" s="1316">
        <f>[11]Tramming!O86</f>
        <v>0.20370000000000002</v>
      </c>
      <c r="P86" s="1316">
        <f>[11]Tramming!P86</f>
        <v>0.20370000000000002</v>
      </c>
      <c r="Q86" s="1316">
        <f>[11]Tramming!Q86</f>
        <v>0.20370000000000002</v>
      </c>
      <c r="R86" s="1316">
        <f>[11]Tramming!R86</f>
        <v>0.20370000000000002</v>
      </c>
      <c r="S86" s="1316">
        <f>[11]Tramming!S86</f>
        <v>0.20370000000000002</v>
      </c>
      <c r="T86" s="1316">
        <f>[11]Tramming!T86</f>
        <v>0.20370000000000002</v>
      </c>
      <c r="U86" s="1316">
        <f>[11]Tramming!U86</f>
        <v>0.20370000000000002</v>
      </c>
      <c r="V86" s="1316">
        <f>[11]Tramming!V86</f>
        <v>0.20370000000000002</v>
      </c>
      <c r="W86" s="1316">
        <f>[11]Tramming!W86</f>
        <v>0.20370000000000002</v>
      </c>
      <c r="X86" s="1316">
        <f>[11]Tramming!X86</f>
        <v>0.20370000000000002</v>
      </c>
      <c r="Y86" s="1316">
        <f>[11]Tramming!Y86</f>
        <v>0.20370000000000002</v>
      </c>
      <c r="Z86" s="1316">
        <f>[11]Tramming!Z86</f>
        <v>0.20370000000000002</v>
      </c>
      <c r="AA86" s="1316">
        <f>[11]Tramming!AA86</f>
        <v>0.20370000000000002</v>
      </c>
      <c r="AB86" s="1316">
        <f>[11]Tramming!AB86</f>
        <v>0.20370000000000002</v>
      </c>
      <c r="AC86" s="1316">
        <f>[11]Tramming!AC86</f>
        <v>0.20370000000000002</v>
      </c>
      <c r="AD86" s="1316">
        <f>[11]Tramming!AD86</f>
        <v>0.20370000000000002</v>
      </c>
      <c r="AE86" s="1316">
        <f>[11]Tramming!AE86</f>
        <v>0.20370000000000002</v>
      </c>
      <c r="AF86" s="1316">
        <f>[11]Tramming!AF86</f>
        <v>0</v>
      </c>
      <c r="AG86" s="1316">
        <f>[11]Tramming!AG86</f>
        <v>0.20370000000000002</v>
      </c>
      <c r="AH86" s="1316">
        <f>[11]Tramming!AH86</f>
        <v>0.20370000000000002</v>
      </c>
      <c r="AI86" s="1316">
        <f>[11]Tramming!AI86</f>
        <v>0.20370000000000002</v>
      </c>
      <c r="AJ86" s="1316">
        <f>[11]Tramming!AJ86</f>
        <v>0.20370000000000002</v>
      </c>
      <c r="AK86" s="1316">
        <f>[11]Tramming!AK86</f>
        <v>0.20370000000000002</v>
      </c>
      <c r="AL86" s="1316">
        <f>[11]Tramming!AL86</f>
        <v>0.20370000000000002</v>
      </c>
      <c r="AM86" s="705"/>
    </row>
    <row r="87" spans="1:39" ht="15.75" thickBot="1" x14ac:dyDescent="0.3">
      <c r="A87" s="202"/>
      <c r="B87" s="1660"/>
      <c r="C87" s="1706"/>
      <c r="D87" s="1708"/>
      <c r="E87" s="1387" t="s">
        <v>347</v>
      </c>
      <c r="F87" s="1321">
        <f t="shared" si="45"/>
        <v>2.3337059999999998</v>
      </c>
      <c r="G87" s="1388">
        <f t="shared" ref="G87" si="46">IFERROR((F87-F86)/F86,0)</f>
        <v>-0.52264236622484073</v>
      </c>
      <c r="H87" s="1323">
        <f>[11]Tramming!H87</f>
        <v>8.4599999999999995E-2</v>
      </c>
      <c r="I87" s="1323">
        <f>[11]Tramming!I87</f>
        <v>0.2056</v>
      </c>
      <c r="J87" s="1323">
        <f>[11]Tramming!J87</f>
        <v>0.371</v>
      </c>
      <c r="K87" s="1323">
        <f>[11]Tramming!K87</f>
        <v>0.14419599999999999</v>
      </c>
      <c r="L87" s="1323">
        <f>[11]Tramming!L87</f>
        <v>0.17748</v>
      </c>
      <c r="M87" s="1323">
        <f>[11]Tramming!M87</f>
        <v>9.5500000000000002E-2</v>
      </c>
      <c r="N87" s="1323">
        <f>[11]Tramming!N87</f>
        <v>5.9209999999999999E-2</v>
      </c>
      <c r="O87" s="1323">
        <f>[11]Tramming!O87</f>
        <v>7.4400000000000008E-2</v>
      </c>
      <c r="P87" s="1323">
        <f>[11]Tramming!P87</f>
        <v>5.6960000000000004E-2</v>
      </c>
      <c r="Q87" s="1323">
        <f>[11]Tramming!Q87</f>
        <v>0.11176</v>
      </c>
      <c r="R87" s="1323">
        <f>[11]Tramming!R87</f>
        <v>6.8640000000000007E-2</v>
      </c>
      <c r="S87" s="1323">
        <f>[11]Tramming!S87</f>
        <v>0</v>
      </c>
      <c r="T87" s="1323">
        <f>[11]Tramming!T87</f>
        <v>0</v>
      </c>
      <c r="U87" s="1323">
        <f>[11]Tramming!U87</f>
        <v>2.9399999999999999E-2</v>
      </c>
      <c r="V87" s="1323">
        <f>[11]Tramming!V87</f>
        <v>0.18938999999999998</v>
      </c>
      <c r="W87" s="1323">
        <f>[11]Tramming!W87</f>
        <v>0.13650000000000001</v>
      </c>
      <c r="X87" s="1323">
        <f>[11]Tramming!X87</f>
        <v>9.4320000000000001E-2</v>
      </c>
      <c r="Y87" s="1323">
        <f>[11]Tramming!Y87</f>
        <v>6.0800000000000007E-2</v>
      </c>
      <c r="Z87" s="1323">
        <f>[11]Tramming!Z87</f>
        <v>3.8700000000000005E-2</v>
      </c>
      <c r="AA87" s="1323">
        <f>[11]Tramming!AA87</f>
        <v>0.15774000000000002</v>
      </c>
      <c r="AB87" s="1323">
        <f>[11]Tramming!AB87</f>
        <v>0</v>
      </c>
      <c r="AC87" s="1323">
        <f>[11]Tramming!AC87</f>
        <v>0</v>
      </c>
      <c r="AD87" s="1323">
        <f>[11]Tramming!AD87</f>
        <v>0</v>
      </c>
      <c r="AE87" s="1323">
        <f>[11]Tramming!AE87</f>
        <v>0.17751000000000003</v>
      </c>
      <c r="AF87" s="1323">
        <f>[11]Tramming!AF87</f>
        <v>0</v>
      </c>
      <c r="AG87" s="1323">
        <f>[11]Tramming!AG87</f>
        <v>0</v>
      </c>
      <c r="AH87" s="1323">
        <f>[11]Tramming!AH87</f>
        <v>0</v>
      </c>
      <c r="AI87" s="1323">
        <f>[11]Tramming!AI87</f>
        <v>0</v>
      </c>
      <c r="AJ87" s="1323">
        <f>[11]Tramming!AJ87</f>
        <v>5.9800000000000006E-2</v>
      </c>
      <c r="AK87" s="1323">
        <f>[11]Tramming!AK87</f>
        <v>8.2200000000000009E-2</v>
      </c>
      <c r="AL87" s="1323">
        <f>[11]Tramming!AL87</f>
        <v>0.12915000000000001</v>
      </c>
      <c r="AM87" s="706"/>
    </row>
    <row r="88" spans="1:39" ht="14.25" customHeight="1" x14ac:dyDescent="0.25">
      <c r="A88" s="194"/>
      <c r="B88" s="1608"/>
      <c r="C88" s="1704" t="str">
        <f>[11]Tramming!C88</f>
        <v>6L_W8 STOPE</v>
      </c>
      <c r="D88" s="1684" t="s">
        <v>340</v>
      </c>
      <c r="E88" s="195" t="s">
        <v>341</v>
      </c>
      <c r="F88" s="196">
        <f t="shared" si="45"/>
        <v>1680</v>
      </c>
      <c r="G88" s="197"/>
      <c r="H88" s="198">
        <f>[11]Tramming!H88</f>
        <v>0</v>
      </c>
      <c r="I88" s="198">
        <f>[11]Tramming!I88</f>
        <v>70</v>
      </c>
      <c r="J88" s="198">
        <f>[11]Tramming!J88</f>
        <v>70</v>
      </c>
      <c r="K88" s="198">
        <f>[11]Tramming!K88</f>
        <v>70</v>
      </c>
      <c r="L88" s="198">
        <f>[11]Tramming!L88</f>
        <v>70</v>
      </c>
      <c r="M88" s="198">
        <f>[11]Tramming!M88</f>
        <v>70</v>
      </c>
      <c r="N88" s="198">
        <f>[11]Tramming!N88</f>
        <v>70</v>
      </c>
      <c r="O88" s="198">
        <f>[11]Tramming!O88</f>
        <v>70</v>
      </c>
      <c r="P88" s="198">
        <f>[11]Tramming!P88</f>
        <v>70</v>
      </c>
      <c r="Q88" s="198">
        <f>[11]Tramming!Q88</f>
        <v>70</v>
      </c>
      <c r="R88" s="198">
        <f>[11]Tramming!R88</f>
        <v>70</v>
      </c>
      <c r="S88" s="198">
        <f>[11]Tramming!S88</f>
        <v>70</v>
      </c>
      <c r="T88" s="198">
        <f>[11]Tramming!T88</f>
        <v>70</v>
      </c>
      <c r="U88" s="198">
        <f>[11]Tramming!U88</f>
        <v>70</v>
      </c>
      <c r="V88" s="198">
        <f>[11]Tramming!V88</f>
        <v>70</v>
      </c>
      <c r="W88" s="198">
        <f>[11]Tramming!W88</f>
        <v>70</v>
      </c>
      <c r="X88" s="198">
        <f>[11]Tramming!X88</f>
        <v>70</v>
      </c>
      <c r="Y88" s="198">
        <f>[11]Tramming!Y88</f>
        <v>70</v>
      </c>
      <c r="Z88" s="198">
        <f>[11]Tramming!Z88</f>
        <v>70</v>
      </c>
      <c r="AA88" s="198">
        <f>[11]Tramming!AA88</f>
        <v>70</v>
      </c>
      <c r="AB88" s="198">
        <f>[11]Tramming!AB88</f>
        <v>70</v>
      </c>
      <c r="AC88" s="198">
        <f>[11]Tramming!AC88</f>
        <v>70</v>
      </c>
      <c r="AD88" s="198">
        <f>[11]Tramming!AD88</f>
        <v>70</v>
      </c>
      <c r="AE88" s="198">
        <f>[11]Tramming!AE88</f>
        <v>70</v>
      </c>
      <c r="AF88" s="198">
        <f>[11]Tramming!AF88</f>
        <v>0</v>
      </c>
      <c r="AG88" s="198">
        <f>[11]Tramming!AG88</f>
        <v>70</v>
      </c>
      <c r="AH88" s="198">
        <f>[11]Tramming!AH88</f>
        <v>70</v>
      </c>
      <c r="AI88" s="198">
        <f>[11]Tramming!AI88</f>
        <v>70</v>
      </c>
      <c r="AJ88" s="198">
        <f>[11]Tramming!AJ88</f>
        <v>70</v>
      </c>
      <c r="AK88" s="198">
        <f>[11]Tramming!AK88</f>
        <v>70</v>
      </c>
      <c r="AL88" s="198">
        <f>[11]Tramming!AL88</f>
        <v>70</v>
      </c>
      <c r="AM88" s="704"/>
    </row>
    <row r="89" spans="1:39" x14ac:dyDescent="0.25">
      <c r="A89" s="202"/>
      <c r="B89" s="1607"/>
      <c r="C89" s="1705"/>
      <c r="D89" s="1688"/>
      <c r="E89" s="1379" t="s">
        <v>342</v>
      </c>
      <c r="F89" s="1303">
        <f t="shared" si="45"/>
        <v>1683.4</v>
      </c>
      <c r="G89" s="1380">
        <f t="shared" ref="G89" si="47">IFERROR((F89-F88)/F88,0)</f>
        <v>2.0238095238095779E-3</v>
      </c>
      <c r="H89" s="1305">
        <f>[11]Tramming!H89</f>
        <v>18</v>
      </c>
      <c r="I89" s="1303">
        <f>[11]Tramming!I89</f>
        <v>15</v>
      </c>
      <c r="J89" s="1303">
        <f>[11]Tramming!J89</f>
        <v>71.599999999999994</v>
      </c>
      <c r="K89" s="1303">
        <f>[11]Tramming!K89</f>
        <v>64</v>
      </c>
      <c r="L89" s="1303">
        <f>[11]Tramming!L89</f>
        <v>64</v>
      </c>
      <c r="M89" s="1303">
        <f>[11]Tramming!M89</f>
        <v>68.400000000000006</v>
      </c>
      <c r="N89" s="1303">
        <f>[11]Tramming!N89</f>
        <v>59</v>
      </c>
      <c r="O89" s="1303">
        <f>[11]Tramming!O89</f>
        <v>16</v>
      </c>
      <c r="P89" s="1303">
        <f>[11]Tramming!P89</f>
        <v>44.4</v>
      </c>
      <c r="Q89" s="1303">
        <f>[11]Tramming!Q89</f>
        <v>115</v>
      </c>
      <c r="R89" s="1303">
        <f>[11]Tramming!R89</f>
        <v>50</v>
      </c>
      <c r="S89" s="1303">
        <f>[11]Tramming!S89</f>
        <v>0</v>
      </c>
      <c r="T89" s="1303">
        <f>[11]Tramming!T89</f>
        <v>89</v>
      </c>
      <c r="U89" s="1303">
        <f>[11]Tramming!U89</f>
        <v>48</v>
      </c>
      <c r="V89" s="1303">
        <f>[11]Tramming!V89</f>
        <v>63</v>
      </c>
      <c r="W89" s="1303">
        <f>[11]Tramming!W89</f>
        <v>88</v>
      </c>
      <c r="X89" s="1303">
        <f>[11]Tramming!X89</f>
        <v>82</v>
      </c>
      <c r="Y89" s="1303">
        <f>[11]Tramming!Y89</f>
        <v>62</v>
      </c>
      <c r="Z89" s="1303">
        <f>[11]Tramming!Z89</f>
        <v>83</v>
      </c>
      <c r="AA89" s="1303">
        <f>[11]Tramming!AA89</f>
        <v>108</v>
      </c>
      <c r="AB89" s="1303">
        <f>[11]Tramming!AB89</f>
        <v>111</v>
      </c>
      <c r="AC89" s="1303">
        <f>[11]Tramming!AC89</f>
        <v>108</v>
      </c>
      <c r="AD89" s="1303">
        <f>[11]Tramming!AD89</f>
        <v>108</v>
      </c>
      <c r="AE89" s="1303">
        <f>[11]Tramming!AE89</f>
        <v>88</v>
      </c>
      <c r="AF89" s="1303">
        <f>[11]Tramming!AF89</f>
        <v>0</v>
      </c>
      <c r="AG89" s="1303">
        <f>[11]Tramming!AG89</f>
        <v>60</v>
      </c>
      <c r="AH89" s="1303">
        <f>[11]Tramming!AH89</f>
        <v>60</v>
      </c>
      <c r="AI89" s="1303">
        <f>[11]Tramming!AI89</f>
        <v>47</v>
      </c>
      <c r="AJ89" s="1303">
        <f>[11]Tramming!AJ89</f>
        <v>17</v>
      </c>
      <c r="AK89" s="1303">
        <f>[11]Tramming!AK89</f>
        <v>32</v>
      </c>
      <c r="AL89" s="1303">
        <f>[11]Tramming!AL89</f>
        <v>58</v>
      </c>
      <c r="AM89" s="347"/>
    </row>
    <row r="90" spans="1:39" x14ac:dyDescent="0.25">
      <c r="A90" s="202"/>
      <c r="B90" s="1607"/>
      <c r="C90" s="1705"/>
      <c r="D90" s="1688"/>
      <c r="E90" s="1389" t="s">
        <v>312</v>
      </c>
      <c r="F90" s="1382"/>
      <c r="G90" s="1383"/>
      <c r="H90" s="203"/>
      <c r="I90" s="203"/>
      <c r="J90" s="203"/>
      <c r="K90" s="203"/>
      <c r="L90" s="203"/>
      <c r="M90" s="203"/>
      <c r="N90" s="203"/>
      <c r="O90" s="203"/>
      <c r="P90" s="204"/>
      <c r="Q90" s="203"/>
      <c r="R90" s="203"/>
      <c r="S90" s="203"/>
      <c r="T90" s="203"/>
      <c r="U90" s="203"/>
      <c r="V90" s="203"/>
      <c r="W90" s="203"/>
      <c r="X90" s="203"/>
      <c r="Y90" s="203"/>
      <c r="Z90" s="203"/>
      <c r="AA90" s="203"/>
      <c r="AB90" s="203"/>
      <c r="AC90" s="203"/>
      <c r="AD90" s="203"/>
      <c r="AE90" s="203"/>
      <c r="AF90" s="203"/>
      <c r="AG90" s="203"/>
      <c r="AH90" s="203"/>
      <c r="AI90" s="203"/>
      <c r="AJ90" s="203"/>
      <c r="AK90" s="203"/>
      <c r="AL90" s="205"/>
      <c r="AM90" s="347"/>
    </row>
    <row r="91" spans="1:39" x14ac:dyDescent="0.25">
      <c r="A91" s="202"/>
      <c r="B91" s="1607"/>
      <c r="C91" s="1705"/>
      <c r="D91" s="1685" t="s">
        <v>343</v>
      </c>
      <c r="E91" s="1384" t="s">
        <v>344</v>
      </c>
      <c r="F91" s="1310">
        <f t="shared" ref="F91:F92" si="48">IFERROR(F93*1000/F88,0)</f>
        <v>2.9100000000000019</v>
      </c>
      <c r="G91" s="1385"/>
      <c r="H91" s="1312">
        <f>[11]Tramming!H91</f>
        <v>0</v>
      </c>
      <c r="I91" s="1312">
        <f>[11]Tramming!I91</f>
        <v>2.91</v>
      </c>
      <c r="J91" s="1312">
        <f>[11]Tramming!J91</f>
        <v>2.91</v>
      </c>
      <c r="K91" s="1333">
        <f>[11]Tramming!K91</f>
        <v>2.91</v>
      </c>
      <c r="L91" s="1333">
        <f>[11]Tramming!L91</f>
        <v>2.91</v>
      </c>
      <c r="M91" s="1333">
        <f>[11]Tramming!M91</f>
        <v>2.91</v>
      </c>
      <c r="N91" s="1333">
        <f>[11]Tramming!N91</f>
        <v>2.91</v>
      </c>
      <c r="O91" s="1333">
        <f>[11]Tramming!O91</f>
        <v>2.91</v>
      </c>
      <c r="P91" s="1334">
        <f>[11]Tramming!P91</f>
        <v>2.91</v>
      </c>
      <c r="Q91" s="1333">
        <f>[11]Tramming!Q91</f>
        <v>2.91</v>
      </c>
      <c r="R91" s="1333">
        <f>[11]Tramming!R91</f>
        <v>2.91</v>
      </c>
      <c r="S91" s="1333">
        <f>[11]Tramming!S91</f>
        <v>2.91</v>
      </c>
      <c r="T91" s="1333">
        <f>[11]Tramming!T91</f>
        <v>2.91</v>
      </c>
      <c r="U91" s="1333">
        <f>[11]Tramming!U91</f>
        <v>2.91</v>
      </c>
      <c r="V91" s="1333">
        <f>[11]Tramming!V91</f>
        <v>2.91</v>
      </c>
      <c r="W91" s="1333">
        <f>[11]Tramming!W91</f>
        <v>2.91</v>
      </c>
      <c r="X91" s="1333">
        <f>[11]Tramming!X91</f>
        <v>2.91</v>
      </c>
      <c r="Y91" s="1333">
        <f>[11]Tramming!Y91</f>
        <v>2.91</v>
      </c>
      <c r="Z91" s="1333">
        <f>[11]Tramming!Z91</f>
        <v>2.91</v>
      </c>
      <c r="AA91" s="1333">
        <f>[11]Tramming!AA91</f>
        <v>2.91</v>
      </c>
      <c r="AB91" s="1333">
        <f>[11]Tramming!AB91</f>
        <v>2.91</v>
      </c>
      <c r="AC91" s="1333">
        <f>[11]Tramming!AC91</f>
        <v>2.91</v>
      </c>
      <c r="AD91" s="1333">
        <f>[11]Tramming!AD91</f>
        <v>2.91</v>
      </c>
      <c r="AE91" s="1333">
        <f>[11]Tramming!AE91</f>
        <v>2.91</v>
      </c>
      <c r="AF91" s="1333">
        <f>[11]Tramming!AF91</f>
        <v>0</v>
      </c>
      <c r="AG91" s="1333">
        <f>[11]Tramming!AG91</f>
        <v>2.91</v>
      </c>
      <c r="AH91" s="1333">
        <f>[11]Tramming!AH91</f>
        <v>2.91</v>
      </c>
      <c r="AI91" s="1333">
        <f>[11]Tramming!AI91</f>
        <v>2.91</v>
      </c>
      <c r="AJ91" s="1333">
        <f>[11]Tramming!AJ91</f>
        <v>2.91</v>
      </c>
      <c r="AK91" s="1333">
        <f>[11]Tramming!AK91</f>
        <v>2.91</v>
      </c>
      <c r="AL91" s="1335">
        <f>[11]Tramming!AL91</f>
        <v>2.91</v>
      </c>
      <c r="AM91" s="347"/>
    </row>
    <row r="92" spans="1:39" x14ac:dyDescent="0.25">
      <c r="A92" s="202"/>
      <c r="B92" s="1607"/>
      <c r="C92" s="1705"/>
      <c r="D92" s="1707"/>
      <c r="E92" s="1386" t="s">
        <v>345</v>
      </c>
      <c r="F92" s="1314">
        <f t="shared" si="48"/>
        <v>3.4265260781751214</v>
      </c>
      <c r="G92" s="1380">
        <f t="shared" ref="G92" si="49">IFERROR((F92-F91)/F91,0)</f>
        <v>0.17750037050691381</v>
      </c>
      <c r="H92" s="1315">
        <f>[11]Tramming!H92</f>
        <v>4.01</v>
      </c>
      <c r="I92" s="1314">
        <f>[11]Tramming!I92</f>
        <v>4.74</v>
      </c>
      <c r="J92" s="1314">
        <f>[11]Tramming!J92</f>
        <v>4.9400000000000004</v>
      </c>
      <c r="K92" s="1314">
        <f>[11]Tramming!K92</f>
        <v>4.9400000000000004</v>
      </c>
      <c r="L92" s="1314">
        <f>[11]Tramming!L92</f>
        <v>4.9000000000000004</v>
      </c>
      <c r="M92" s="1314">
        <f>[11]Tramming!M92</f>
        <v>2.54</v>
      </c>
      <c r="N92" s="1314">
        <f>[11]Tramming!N92</f>
        <v>2.08</v>
      </c>
      <c r="O92" s="1314">
        <f>[11]Tramming!O92</f>
        <v>2.59</v>
      </c>
      <c r="P92" s="1314">
        <f>[11]Tramming!P92</f>
        <v>2.16</v>
      </c>
      <c r="Q92" s="1314">
        <f>[11]Tramming!Q92</f>
        <v>3.13</v>
      </c>
      <c r="R92" s="1314">
        <f>[11]Tramming!R92</f>
        <v>2.6</v>
      </c>
      <c r="S92" s="1314">
        <f>[11]Tramming!S92</f>
        <v>0</v>
      </c>
      <c r="T92" s="1314">
        <f>[11]Tramming!T92</f>
        <v>3.05</v>
      </c>
      <c r="U92" s="1314">
        <f>[11]Tramming!U92</f>
        <v>4.9400000000000004</v>
      </c>
      <c r="V92" s="1314">
        <f>[11]Tramming!V92</f>
        <v>5.16</v>
      </c>
      <c r="W92" s="1314">
        <f>[11]Tramming!W92</f>
        <v>3.28</v>
      </c>
      <c r="X92" s="1314">
        <f>[11]Tramming!X92</f>
        <v>3.17</v>
      </c>
      <c r="Y92" s="1314">
        <f>[11]Tramming!Y92</f>
        <v>3.32</v>
      </c>
      <c r="Z92" s="1314">
        <f>[11]Tramming!Z92</f>
        <v>3.72</v>
      </c>
      <c r="AA92" s="1314">
        <f>[11]Tramming!AA92</f>
        <v>4.7</v>
      </c>
      <c r="AB92" s="1314">
        <f>[11]Tramming!AB92</f>
        <v>2.5099999999999998</v>
      </c>
      <c r="AC92" s="1314">
        <f>[11]Tramming!AC92</f>
        <v>4.42</v>
      </c>
      <c r="AD92" s="1314">
        <f>[11]Tramming!AD92</f>
        <v>2.52</v>
      </c>
      <c r="AE92" s="1314">
        <f>[11]Tramming!AE92</f>
        <v>1.87</v>
      </c>
      <c r="AF92" s="1314">
        <f>[11]Tramming!AF92</f>
        <v>0</v>
      </c>
      <c r="AG92" s="1314">
        <f>[11]Tramming!AG92</f>
        <v>2.0099999999999998</v>
      </c>
      <c r="AH92" s="1314">
        <f>[11]Tramming!AH92</f>
        <v>1.33</v>
      </c>
      <c r="AI92" s="1314">
        <f>[11]Tramming!AI92</f>
        <v>1.4</v>
      </c>
      <c r="AJ92" s="1314">
        <f>[11]Tramming!AJ92</f>
        <v>1.53</v>
      </c>
      <c r="AK92" s="1314">
        <f>[11]Tramming!AK92</f>
        <v>4.53</v>
      </c>
      <c r="AL92" s="1314">
        <f>[11]Tramming!AL92</f>
        <v>2.04</v>
      </c>
      <c r="AM92" s="347"/>
    </row>
    <row r="93" spans="1:39" x14ac:dyDescent="0.25">
      <c r="A93" s="202"/>
      <c r="B93" s="1607"/>
      <c r="C93" s="1705"/>
      <c r="D93" s="1685" t="s">
        <v>47</v>
      </c>
      <c r="E93" s="1384" t="s">
        <v>346</v>
      </c>
      <c r="F93" s="206">
        <f t="shared" ref="F93:F96" si="50">SUMIF($H$9:$AL$9,"&lt;="&amp;$C$7,H93:AL93)</f>
        <v>4.8888000000000025</v>
      </c>
      <c r="G93" s="1385"/>
      <c r="H93" s="1316">
        <f>[11]Tramming!H93</f>
        <v>0</v>
      </c>
      <c r="I93" s="1316">
        <f>[11]Tramming!I93</f>
        <v>0.20370000000000002</v>
      </c>
      <c r="J93" s="1316">
        <f>[11]Tramming!J93</f>
        <v>0.20370000000000002</v>
      </c>
      <c r="K93" s="1316">
        <f>[11]Tramming!K93</f>
        <v>0.20370000000000002</v>
      </c>
      <c r="L93" s="1316">
        <f>[11]Tramming!L93</f>
        <v>0.20370000000000002</v>
      </c>
      <c r="M93" s="1316">
        <f>[11]Tramming!M93</f>
        <v>0.20370000000000002</v>
      </c>
      <c r="N93" s="1316">
        <f>[11]Tramming!N93</f>
        <v>0.20370000000000002</v>
      </c>
      <c r="O93" s="1316">
        <f>[11]Tramming!O93</f>
        <v>0.20370000000000002</v>
      </c>
      <c r="P93" s="1316">
        <f>[11]Tramming!P93</f>
        <v>0.20370000000000002</v>
      </c>
      <c r="Q93" s="1316">
        <f>[11]Tramming!Q93</f>
        <v>0.20370000000000002</v>
      </c>
      <c r="R93" s="1316">
        <f>[11]Tramming!R93</f>
        <v>0.20370000000000002</v>
      </c>
      <c r="S93" s="1316">
        <f>[11]Tramming!S93</f>
        <v>0.20370000000000002</v>
      </c>
      <c r="T93" s="1316">
        <f>[11]Tramming!T93</f>
        <v>0.20370000000000002</v>
      </c>
      <c r="U93" s="1316">
        <f>[11]Tramming!U93</f>
        <v>0.20370000000000002</v>
      </c>
      <c r="V93" s="1316">
        <f>[11]Tramming!V93</f>
        <v>0.20370000000000002</v>
      </c>
      <c r="W93" s="1316">
        <f>[11]Tramming!W93</f>
        <v>0.20370000000000002</v>
      </c>
      <c r="X93" s="1316">
        <f>[11]Tramming!X93</f>
        <v>0.20370000000000002</v>
      </c>
      <c r="Y93" s="1316">
        <f>[11]Tramming!Y93</f>
        <v>0.20370000000000002</v>
      </c>
      <c r="Z93" s="1316">
        <f>[11]Tramming!Z93</f>
        <v>0.20370000000000002</v>
      </c>
      <c r="AA93" s="1316">
        <f>[11]Tramming!AA93</f>
        <v>0.20370000000000002</v>
      </c>
      <c r="AB93" s="1316">
        <f>[11]Tramming!AB93</f>
        <v>0.20370000000000002</v>
      </c>
      <c r="AC93" s="1316">
        <f>[11]Tramming!AC93</f>
        <v>0.20370000000000002</v>
      </c>
      <c r="AD93" s="1316">
        <f>[11]Tramming!AD93</f>
        <v>0.20370000000000002</v>
      </c>
      <c r="AE93" s="1316">
        <f>[11]Tramming!AE93</f>
        <v>0.20370000000000002</v>
      </c>
      <c r="AF93" s="1316">
        <f>[11]Tramming!AF93</f>
        <v>0</v>
      </c>
      <c r="AG93" s="1316">
        <f>[11]Tramming!AG93</f>
        <v>0.20370000000000002</v>
      </c>
      <c r="AH93" s="1316">
        <f>[11]Tramming!AH93</f>
        <v>0.20370000000000002</v>
      </c>
      <c r="AI93" s="1316">
        <f>[11]Tramming!AI93</f>
        <v>0.20370000000000002</v>
      </c>
      <c r="AJ93" s="1316">
        <f>[11]Tramming!AJ93</f>
        <v>0.20370000000000002</v>
      </c>
      <c r="AK93" s="1316">
        <f>[11]Tramming!AK93</f>
        <v>0.20370000000000002</v>
      </c>
      <c r="AL93" s="1316">
        <f>[11]Tramming!AL93</f>
        <v>0.20370000000000002</v>
      </c>
      <c r="AM93" s="705"/>
    </row>
    <row r="94" spans="1:39" ht="15.75" thickBot="1" x14ac:dyDescent="0.3">
      <c r="A94" s="202"/>
      <c r="B94" s="1660"/>
      <c r="C94" s="1706"/>
      <c r="D94" s="1708"/>
      <c r="E94" s="1387" t="s">
        <v>347</v>
      </c>
      <c r="F94" s="1321">
        <f t="shared" si="50"/>
        <v>5.7682139999999995</v>
      </c>
      <c r="G94" s="1388">
        <f t="shared" ref="G94" si="51">IFERROR((F94-F93)/F93,0)</f>
        <v>0.17988340697103514</v>
      </c>
      <c r="H94" s="1323">
        <f>[11]Tramming!H94</f>
        <v>7.2179999999999994E-2</v>
      </c>
      <c r="I94" s="1323">
        <f>[11]Tramming!I94</f>
        <v>7.110000000000001E-2</v>
      </c>
      <c r="J94" s="1323">
        <f>[11]Tramming!J94</f>
        <v>0.35370400000000002</v>
      </c>
      <c r="K94" s="1323">
        <f>[11]Tramming!K94</f>
        <v>0.31616000000000005</v>
      </c>
      <c r="L94" s="1323">
        <f>[11]Tramming!L94</f>
        <v>0.31360000000000005</v>
      </c>
      <c r="M94" s="1323">
        <f>[11]Tramming!M94</f>
        <v>0.17373600000000003</v>
      </c>
      <c r="N94" s="1323">
        <f>[11]Tramming!N94</f>
        <v>0.12272</v>
      </c>
      <c r="O94" s="1323">
        <f>[11]Tramming!O94</f>
        <v>4.1439999999999998E-2</v>
      </c>
      <c r="P94" s="1323">
        <f>[11]Tramming!P94</f>
        <v>9.5904000000000003E-2</v>
      </c>
      <c r="Q94" s="1323">
        <f>[11]Tramming!Q94</f>
        <v>0.35994999999999999</v>
      </c>
      <c r="R94" s="1323">
        <f>[11]Tramming!R94</f>
        <v>0.13</v>
      </c>
      <c r="S94" s="1323">
        <f>[11]Tramming!S94</f>
        <v>0</v>
      </c>
      <c r="T94" s="1323">
        <f>[11]Tramming!T94</f>
        <v>0.27144999999999997</v>
      </c>
      <c r="U94" s="1323">
        <f>[11]Tramming!U94</f>
        <v>0.23712</v>
      </c>
      <c r="V94" s="1323">
        <f>[11]Tramming!V94</f>
        <v>0.32507999999999998</v>
      </c>
      <c r="W94" s="1323">
        <f>[11]Tramming!W94</f>
        <v>0.28864000000000001</v>
      </c>
      <c r="X94" s="1323">
        <f>[11]Tramming!X94</f>
        <v>0.25994</v>
      </c>
      <c r="Y94" s="1323">
        <f>[11]Tramming!Y94</f>
        <v>0.20584</v>
      </c>
      <c r="Z94" s="1323">
        <f>[11]Tramming!Z94</f>
        <v>0.30875999999999998</v>
      </c>
      <c r="AA94" s="1323">
        <f>[11]Tramming!AA94</f>
        <v>0.50760000000000005</v>
      </c>
      <c r="AB94" s="1323">
        <f>[11]Tramming!AB94</f>
        <v>0.27860999999999997</v>
      </c>
      <c r="AC94" s="1323">
        <f>[11]Tramming!AC94</f>
        <v>0.47736000000000001</v>
      </c>
      <c r="AD94" s="1323">
        <f>[11]Tramming!AD94</f>
        <v>0.27216000000000001</v>
      </c>
      <c r="AE94" s="1323">
        <f>[11]Tramming!AE94</f>
        <v>0.16456000000000001</v>
      </c>
      <c r="AF94" s="1323">
        <f>[11]Tramming!AF94</f>
        <v>0</v>
      </c>
      <c r="AG94" s="1323">
        <f>[11]Tramming!AG94</f>
        <v>0.1206</v>
      </c>
      <c r="AH94" s="1323">
        <f>[11]Tramming!AH94</f>
        <v>7.980000000000001E-2</v>
      </c>
      <c r="AI94" s="1323">
        <f>[11]Tramming!AI94</f>
        <v>6.5799999999999997E-2</v>
      </c>
      <c r="AJ94" s="1323">
        <f>[11]Tramming!AJ94</f>
        <v>2.6010000000000002E-2</v>
      </c>
      <c r="AK94" s="1323">
        <f>[11]Tramming!AK94</f>
        <v>0.14496000000000001</v>
      </c>
      <c r="AL94" s="1323">
        <f>[11]Tramming!AL94</f>
        <v>0.11832000000000001</v>
      </c>
      <c r="AM94" s="706"/>
    </row>
    <row r="95" spans="1:39" ht="14.25" customHeight="1" x14ac:dyDescent="0.25">
      <c r="A95" s="194"/>
      <c r="B95" s="1608"/>
      <c r="C95" s="1704" t="str">
        <f>[11]Tramming!C95</f>
        <v>6L_W14 STOPE</v>
      </c>
      <c r="D95" s="1684" t="s">
        <v>340</v>
      </c>
      <c r="E95" s="195" t="s">
        <v>341</v>
      </c>
      <c r="F95" s="196">
        <f t="shared" si="50"/>
        <v>1680</v>
      </c>
      <c r="G95" s="197"/>
      <c r="H95" s="198">
        <f>[11]Tramming!H95</f>
        <v>0</v>
      </c>
      <c r="I95" s="198">
        <f>[11]Tramming!I95</f>
        <v>70</v>
      </c>
      <c r="J95" s="198">
        <f>[11]Tramming!J95</f>
        <v>70</v>
      </c>
      <c r="K95" s="199">
        <f>[11]Tramming!K95</f>
        <v>70</v>
      </c>
      <c r="L95" s="199">
        <f>[11]Tramming!L95</f>
        <v>70</v>
      </c>
      <c r="M95" s="199">
        <f>[11]Tramming!M95</f>
        <v>70</v>
      </c>
      <c r="N95" s="199">
        <f>[11]Tramming!N95</f>
        <v>70</v>
      </c>
      <c r="O95" s="199">
        <f>[11]Tramming!O95</f>
        <v>70</v>
      </c>
      <c r="P95" s="200">
        <f>[11]Tramming!P95</f>
        <v>70</v>
      </c>
      <c r="Q95" s="199">
        <f>[11]Tramming!Q95</f>
        <v>70</v>
      </c>
      <c r="R95" s="199">
        <f>[11]Tramming!R95</f>
        <v>70</v>
      </c>
      <c r="S95" s="199">
        <f>[11]Tramming!S95</f>
        <v>70</v>
      </c>
      <c r="T95" s="199">
        <f>[11]Tramming!T95</f>
        <v>70</v>
      </c>
      <c r="U95" s="199">
        <f>[11]Tramming!U95</f>
        <v>70</v>
      </c>
      <c r="V95" s="199">
        <f>[11]Tramming!V95</f>
        <v>70</v>
      </c>
      <c r="W95" s="199">
        <f>[11]Tramming!W95</f>
        <v>70</v>
      </c>
      <c r="X95" s="199">
        <f>[11]Tramming!X95</f>
        <v>70</v>
      </c>
      <c r="Y95" s="199">
        <f>[11]Tramming!Y95</f>
        <v>70</v>
      </c>
      <c r="Z95" s="199">
        <f>[11]Tramming!Z95</f>
        <v>70</v>
      </c>
      <c r="AA95" s="199">
        <f>[11]Tramming!AA95</f>
        <v>70</v>
      </c>
      <c r="AB95" s="199">
        <f>[11]Tramming!AB95</f>
        <v>70</v>
      </c>
      <c r="AC95" s="199">
        <f>[11]Tramming!AC95</f>
        <v>70</v>
      </c>
      <c r="AD95" s="199">
        <f>[11]Tramming!AD95</f>
        <v>70</v>
      </c>
      <c r="AE95" s="199">
        <f>[11]Tramming!AE95</f>
        <v>70</v>
      </c>
      <c r="AF95" s="199">
        <f>[11]Tramming!AF95</f>
        <v>0</v>
      </c>
      <c r="AG95" s="199">
        <f>[11]Tramming!AG95</f>
        <v>70</v>
      </c>
      <c r="AH95" s="199">
        <f>[11]Tramming!AH95</f>
        <v>70</v>
      </c>
      <c r="AI95" s="199">
        <f>[11]Tramming!AI95</f>
        <v>70</v>
      </c>
      <c r="AJ95" s="199">
        <f>[11]Tramming!AJ95</f>
        <v>70</v>
      </c>
      <c r="AK95" s="199">
        <f>[11]Tramming!AK95</f>
        <v>70</v>
      </c>
      <c r="AL95" s="201">
        <f>[11]Tramming!AL95</f>
        <v>70</v>
      </c>
      <c r="AM95" s="704"/>
    </row>
    <row r="96" spans="1:39" x14ac:dyDescent="0.25">
      <c r="A96" s="202"/>
      <c r="B96" s="1607"/>
      <c r="C96" s="1705"/>
      <c r="D96" s="1688"/>
      <c r="E96" s="1379" t="s">
        <v>342</v>
      </c>
      <c r="F96" s="1303">
        <f t="shared" si="50"/>
        <v>1161.2</v>
      </c>
      <c r="G96" s="1380">
        <f t="shared" ref="G96" si="52">IFERROR((F96-F95)/F95,0)</f>
        <v>-0.30880952380952376</v>
      </c>
      <c r="H96" s="1305">
        <f>[11]Tramming!H96</f>
        <v>36</v>
      </c>
      <c r="I96" s="1303">
        <f>[11]Tramming!I96</f>
        <v>30</v>
      </c>
      <c r="J96" s="1303">
        <f>[11]Tramming!J96</f>
        <v>96</v>
      </c>
      <c r="K96" s="1303">
        <f>[11]Tramming!K96</f>
        <v>70</v>
      </c>
      <c r="L96" s="1303">
        <f>[11]Tramming!L96</f>
        <v>76</v>
      </c>
      <c r="M96" s="1303">
        <f>[11]Tramming!M96</f>
        <v>79.2</v>
      </c>
      <c r="N96" s="1303">
        <f>[11]Tramming!N96</f>
        <v>48</v>
      </c>
      <c r="O96" s="1303">
        <f>[11]Tramming!O96</f>
        <v>13</v>
      </c>
      <c r="P96" s="1303">
        <f>[11]Tramming!P96</f>
        <v>40</v>
      </c>
      <c r="Q96" s="1303">
        <f>[11]Tramming!Q96</f>
        <v>49</v>
      </c>
      <c r="R96" s="1303">
        <f>[11]Tramming!R96</f>
        <v>72</v>
      </c>
      <c r="S96" s="1303">
        <f>[11]Tramming!S96</f>
        <v>0</v>
      </c>
      <c r="T96" s="1303">
        <f>[11]Tramming!T96</f>
        <v>24</v>
      </c>
      <c r="U96" s="707">
        <f>[11]Tramming!U96</f>
        <v>12</v>
      </c>
      <c r="V96" s="1303">
        <f>[11]Tramming!V96</f>
        <v>15</v>
      </c>
      <c r="W96" s="1303">
        <f>[11]Tramming!W96</f>
        <v>53</v>
      </c>
      <c r="X96" s="1303">
        <f>[11]Tramming!X96</f>
        <v>12</v>
      </c>
      <c r="Y96" s="1303">
        <f>[11]Tramming!Y96</f>
        <v>38</v>
      </c>
      <c r="Z96" s="1303">
        <f>[11]Tramming!Z96</f>
        <v>0</v>
      </c>
      <c r="AA96" s="1303">
        <f>[11]Tramming!AA96</f>
        <v>0</v>
      </c>
      <c r="AB96" s="1303">
        <f>[11]Tramming!AB96</f>
        <v>39</v>
      </c>
      <c r="AC96" s="1303">
        <f>[11]Tramming!AC96</f>
        <v>127</v>
      </c>
      <c r="AD96" s="1303">
        <f>[11]Tramming!AD96</f>
        <v>60</v>
      </c>
      <c r="AE96" s="1303">
        <f>[11]Tramming!AE96</f>
        <v>100</v>
      </c>
      <c r="AF96" s="1303">
        <f>[11]Tramming!AF96</f>
        <v>0</v>
      </c>
      <c r="AG96" s="1303">
        <f>[11]Tramming!AG96</f>
        <v>72</v>
      </c>
      <c r="AH96" s="1303">
        <f>[11]Tramming!AH96</f>
        <v>50</v>
      </c>
      <c r="AI96" s="1303">
        <f>[11]Tramming!AI96</f>
        <v>72</v>
      </c>
      <c r="AJ96" s="1303">
        <f>[11]Tramming!AJ96</f>
        <v>175</v>
      </c>
      <c r="AK96" s="1303">
        <f>[11]Tramming!AK96</f>
        <v>184</v>
      </c>
      <c r="AL96" s="1303">
        <f>[11]Tramming!AL96</f>
        <v>163</v>
      </c>
      <c r="AM96" s="347"/>
    </row>
    <row r="97" spans="1:39" x14ac:dyDescent="0.25">
      <c r="A97" s="202"/>
      <c r="B97" s="1607"/>
      <c r="C97" s="1705"/>
      <c r="D97" s="1688"/>
      <c r="E97" s="1389" t="s">
        <v>312</v>
      </c>
      <c r="F97" s="1382"/>
      <c r="G97" s="1383"/>
      <c r="H97" s="203"/>
      <c r="I97" s="203"/>
      <c r="J97" s="203"/>
      <c r="K97" s="203"/>
      <c r="L97" s="203"/>
      <c r="M97" s="203"/>
      <c r="N97" s="203"/>
      <c r="O97" s="203"/>
      <c r="P97" s="204"/>
      <c r="Q97" s="203"/>
      <c r="R97" s="203"/>
      <c r="S97" s="203"/>
      <c r="T97" s="203"/>
      <c r="U97" s="203"/>
      <c r="V97" s="203"/>
      <c r="W97" s="203"/>
      <c r="X97" s="203"/>
      <c r="Y97" s="203"/>
      <c r="Z97" s="203"/>
      <c r="AA97" s="203"/>
      <c r="AB97" s="203"/>
      <c r="AC97" s="203"/>
      <c r="AD97" s="203"/>
      <c r="AE97" s="203"/>
      <c r="AF97" s="203"/>
      <c r="AG97" s="203"/>
      <c r="AH97" s="203"/>
      <c r="AI97" s="203"/>
      <c r="AJ97" s="203"/>
      <c r="AK97" s="203"/>
      <c r="AL97" s="205"/>
      <c r="AM97" s="347"/>
    </row>
    <row r="98" spans="1:39" x14ac:dyDescent="0.25">
      <c r="A98" s="202"/>
      <c r="B98" s="1607"/>
      <c r="C98" s="1705"/>
      <c r="D98" s="1685" t="s">
        <v>343</v>
      </c>
      <c r="E98" s="1384" t="s">
        <v>344</v>
      </c>
      <c r="F98" s="1310">
        <f t="shared" ref="F98:F99" si="53">IFERROR(F100*1000/F95,0)</f>
        <v>2.84</v>
      </c>
      <c r="G98" s="1385"/>
      <c r="H98" s="1312">
        <f>[11]Tramming!H98</f>
        <v>0</v>
      </c>
      <c r="I98" s="1312">
        <f>[11]Tramming!I98</f>
        <v>2.84</v>
      </c>
      <c r="J98" s="1312">
        <f>[11]Tramming!J98</f>
        <v>2.84</v>
      </c>
      <c r="K98" s="1333">
        <f>[11]Tramming!K98</f>
        <v>2.84</v>
      </c>
      <c r="L98" s="1333">
        <f>[11]Tramming!L98</f>
        <v>2.84</v>
      </c>
      <c r="M98" s="1333">
        <f>[11]Tramming!M98</f>
        <v>2.84</v>
      </c>
      <c r="N98" s="1333">
        <f>[11]Tramming!N98</f>
        <v>2.84</v>
      </c>
      <c r="O98" s="1333">
        <f>[11]Tramming!O98</f>
        <v>2.84</v>
      </c>
      <c r="P98" s="1334">
        <f>[11]Tramming!P98</f>
        <v>2.84</v>
      </c>
      <c r="Q98" s="1333">
        <f>[11]Tramming!Q98</f>
        <v>2.84</v>
      </c>
      <c r="R98" s="1333">
        <f>[11]Tramming!R98</f>
        <v>2.84</v>
      </c>
      <c r="S98" s="1333">
        <f>[11]Tramming!S98</f>
        <v>2.84</v>
      </c>
      <c r="T98" s="1333">
        <f>[11]Tramming!T98</f>
        <v>2.84</v>
      </c>
      <c r="U98" s="1333">
        <f>[11]Tramming!U98</f>
        <v>2.84</v>
      </c>
      <c r="V98" s="1333">
        <f>[11]Tramming!V98</f>
        <v>2.84</v>
      </c>
      <c r="W98" s="1333">
        <f>[11]Tramming!W98</f>
        <v>2.84</v>
      </c>
      <c r="X98" s="1333">
        <f>[11]Tramming!X98</f>
        <v>2.84</v>
      </c>
      <c r="Y98" s="1333">
        <f>[11]Tramming!Y98</f>
        <v>2.84</v>
      </c>
      <c r="Z98" s="1333">
        <f>[11]Tramming!Z98</f>
        <v>2.84</v>
      </c>
      <c r="AA98" s="1333">
        <f>[11]Tramming!AA98</f>
        <v>2.84</v>
      </c>
      <c r="AB98" s="1333">
        <f>[11]Tramming!AB98</f>
        <v>2.84</v>
      </c>
      <c r="AC98" s="1333">
        <f>[11]Tramming!AC98</f>
        <v>2.84</v>
      </c>
      <c r="AD98" s="1333">
        <f>[11]Tramming!AD98</f>
        <v>2.84</v>
      </c>
      <c r="AE98" s="1333">
        <f>[11]Tramming!AE98</f>
        <v>2.84</v>
      </c>
      <c r="AF98" s="1333">
        <f>[11]Tramming!AF98</f>
        <v>0</v>
      </c>
      <c r="AG98" s="1333">
        <f>[11]Tramming!AG98</f>
        <v>2.84</v>
      </c>
      <c r="AH98" s="1333">
        <f>[11]Tramming!AH98</f>
        <v>2.84</v>
      </c>
      <c r="AI98" s="1333">
        <f>[11]Tramming!AI98</f>
        <v>2.84</v>
      </c>
      <c r="AJ98" s="1333">
        <f>[11]Tramming!AJ98</f>
        <v>2.84</v>
      </c>
      <c r="AK98" s="1333">
        <f>[11]Tramming!AK98</f>
        <v>2.84</v>
      </c>
      <c r="AL98" s="1335">
        <f>[11]Tramming!AL98</f>
        <v>2.84</v>
      </c>
      <c r="AM98" s="347"/>
    </row>
    <row r="99" spans="1:39" x14ac:dyDescent="0.25">
      <c r="A99" s="202"/>
      <c r="B99" s="1607"/>
      <c r="C99" s="1705"/>
      <c r="D99" s="1707"/>
      <c r="E99" s="1386" t="s">
        <v>345</v>
      </c>
      <c r="F99" s="1314">
        <f t="shared" si="53"/>
        <v>3.0046348604891486</v>
      </c>
      <c r="G99" s="1380">
        <f t="shared" ref="G99" si="54">IFERROR((F99-F98)/F98,0)</f>
        <v>5.7970021298996047E-2</v>
      </c>
      <c r="H99" s="1315">
        <f>[11]Tramming!H99</f>
        <v>1.75</v>
      </c>
      <c r="I99" s="1314">
        <f>[11]Tramming!I99</f>
        <v>4.68</v>
      </c>
      <c r="J99" s="1314">
        <f>[11]Tramming!J99</f>
        <v>2.4</v>
      </c>
      <c r="K99" s="1314">
        <f>[11]Tramming!K99</f>
        <v>4.09</v>
      </c>
      <c r="L99" s="1314">
        <f>[11]Tramming!L99</f>
        <v>2.1</v>
      </c>
      <c r="M99" s="1314">
        <f>[11]Tramming!M99</f>
        <v>4.51</v>
      </c>
      <c r="N99" s="1314">
        <f>[11]Tramming!N99</f>
        <v>1</v>
      </c>
      <c r="O99" s="1314">
        <f>[11]Tramming!O99</f>
        <v>2.92</v>
      </c>
      <c r="P99" s="1314">
        <f>[11]Tramming!P99</f>
        <v>2.95</v>
      </c>
      <c r="Q99" s="1314">
        <f>[11]Tramming!Q99</f>
        <v>2.4700000000000002</v>
      </c>
      <c r="R99" s="1314">
        <f>[11]Tramming!R99</f>
        <v>1.64</v>
      </c>
      <c r="S99" s="1314">
        <f>[11]Tramming!S99</f>
        <v>0</v>
      </c>
      <c r="T99" s="1314">
        <f>[11]Tramming!T99</f>
        <v>5.34</v>
      </c>
      <c r="U99" s="1314">
        <f>[11]Tramming!U99</f>
        <v>6.82</v>
      </c>
      <c r="V99" s="1314">
        <f>[11]Tramming!V99</f>
        <v>4.4400000000000004</v>
      </c>
      <c r="W99" s="1314">
        <f>[11]Tramming!W99</f>
        <v>3.57</v>
      </c>
      <c r="X99" s="1314">
        <f>[11]Tramming!X99</f>
        <v>3.18</v>
      </c>
      <c r="Y99" s="1314">
        <f>[11]Tramming!Y99</f>
        <v>1.58</v>
      </c>
      <c r="Z99" s="1314">
        <f>[11]Tramming!Z99</f>
        <v>0</v>
      </c>
      <c r="AA99" s="1314">
        <f>[11]Tramming!AA99</f>
        <v>0</v>
      </c>
      <c r="AB99" s="1314">
        <f>[11]Tramming!AB99</f>
        <v>3</v>
      </c>
      <c r="AC99" s="1314">
        <f>[11]Tramming!AC99</f>
        <v>3.63</v>
      </c>
      <c r="AD99" s="1314">
        <f>[11]Tramming!AD99</f>
        <v>1.21</v>
      </c>
      <c r="AE99" s="1314">
        <f>[11]Tramming!AE99</f>
        <v>4</v>
      </c>
      <c r="AF99" s="1314">
        <f>[11]Tramming!AF99</f>
        <v>0</v>
      </c>
      <c r="AG99" s="1314">
        <f>[11]Tramming!AG99</f>
        <v>2.7</v>
      </c>
      <c r="AH99" s="1314">
        <f>[11]Tramming!AH99</f>
        <v>5.04</v>
      </c>
      <c r="AI99" s="1314">
        <f>[11]Tramming!AI99</f>
        <v>4.18</v>
      </c>
      <c r="AJ99" s="1314">
        <f>[11]Tramming!AJ99</f>
        <v>2.92</v>
      </c>
      <c r="AK99" s="1314">
        <f>[11]Tramming!AK99</f>
        <v>4.7699999999999996</v>
      </c>
      <c r="AL99" s="1314">
        <f>[11]Tramming!AL99</f>
        <v>3.97</v>
      </c>
      <c r="AM99" s="347"/>
    </row>
    <row r="100" spans="1:39" x14ac:dyDescent="0.25">
      <c r="A100" s="202"/>
      <c r="B100" s="1607"/>
      <c r="C100" s="1705"/>
      <c r="D100" s="1685" t="s">
        <v>47</v>
      </c>
      <c r="E100" s="1384" t="s">
        <v>346</v>
      </c>
      <c r="F100" s="206">
        <f t="shared" ref="F100:F103" si="55">SUMIF($H$9:$AL$9,"&lt;="&amp;$C$7,H100:AL100)</f>
        <v>4.7711999999999994</v>
      </c>
      <c r="G100" s="1385"/>
      <c r="H100" s="1316">
        <f>[11]Tramming!H100</f>
        <v>0</v>
      </c>
      <c r="I100" s="1316">
        <f>[11]Tramming!I100</f>
        <v>0.19879999999999998</v>
      </c>
      <c r="J100" s="1316">
        <f>[11]Tramming!J100</f>
        <v>0.19879999999999998</v>
      </c>
      <c r="K100" s="1316">
        <f>[11]Tramming!K100</f>
        <v>0.19879999999999998</v>
      </c>
      <c r="L100" s="1316">
        <f>[11]Tramming!L100</f>
        <v>0.19879999999999998</v>
      </c>
      <c r="M100" s="1316">
        <f>[11]Tramming!M100</f>
        <v>0.19879999999999998</v>
      </c>
      <c r="N100" s="1316">
        <f>[11]Tramming!N100</f>
        <v>0.19879999999999998</v>
      </c>
      <c r="O100" s="1316">
        <f>[11]Tramming!O100</f>
        <v>0.19879999999999998</v>
      </c>
      <c r="P100" s="1316">
        <f>[11]Tramming!P100</f>
        <v>0.19879999999999998</v>
      </c>
      <c r="Q100" s="1316">
        <f>[11]Tramming!Q100</f>
        <v>0.19879999999999998</v>
      </c>
      <c r="R100" s="1316">
        <f>[11]Tramming!R100</f>
        <v>0.19879999999999998</v>
      </c>
      <c r="S100" s="1316">
        <f>[11]Tramming!S100</f>
        <v>0.19879999999999998</v>
      </c>
      <c r="T100" s="1316">
        <f>[11]Tramming!T100</f>
        <v>0.19879999999999998</v>
      </c>
      <c r="U100" s="1316">
        <f>[11]Tramming!U100</f>
        <v>0.19879999999999998</v>
      </c>
      <c r="V100" s="1316">
        <f>[11]Tramming!V100</f>
        <v>0.19879999999999998</v>
      </c>
      <c r="W100" s="1316">
        <f>[11]Tramming!W100</f>
        <v>0.19879999999999998</v>
      </c>
      <c r="X100" s="1316">
        <f>[11]Tramming!X100</f>
        <v>0.19879999999999998</v>
      </c>
      <c r="Y100" s="1316">
        <f>[11]Tramming!Y100</f>
        <v>0.19879999999999998</v>
      </c>
      <c r="Z100" s="1316">
        <f>[11]Tramming!Z100</f>
        <v>0.19879999999999998</v>
      </c>
      <c r="AA100" s="1316">
        <f>[11]Tramming!AA100</f>
        <v>0.19879999999999998</v>
      </c>
      <c r="AB100" s="1316">
        <f>[11]Tramming!AB100</f>
        <v>0.19879999999999998</v>
      </c>
      <c r="AC100" s="1316">
        <f>[11]Tramming!AC100</f>
        <v>0.19879999999999998</v>
      </c>
      <c r="AD100" s="1316">
        <f>[11]Tramming!AD100</f>
        <v>0.19879999999999998</v>
      </c>
      <c r="AE100" s="1316">
        <f>[11]Tramming!AE100</f>
        <v>0.19879999999999998</v>
      </c>
      <c r="AF100" s="1316">
        <f>[11]Tramming!AF100</f>
        <v>0</v>
      </c>
      <c r="AG100" s="1316">
        <f>[11]Tramming!AG100</f>
        <v>0.19879999999999998</v>
      </c>
      <c r="AH100" s="1316">
        <f>[11]Tramming!AH100</f>
        <v>0.19879999999999998</v>
      </c>
      <c r="AI100" s="1316">
        <f>[11]Tramming!AI100</f>
        <v>0.19879999999999998</v>
      </c>
      <c r="AJ100" s="1316">
        <f>[11]Tramming!AJ100</f>
        <v>0.19879999999999998</v>
      </c>
      <c r="AK100" s="1316">
        <f>[11]Tramming!AK100</f>
        <v>0.19879999999999998</v>
      </c>
      <c r="AL100" s="1316">
        <f>[11]Tramming!AL100</f>
        <v>0.19879999999999998</v>
      </c>
      <c r="AM100" s="705"/>
    </row>
    <row r="101" spans="1:39" ht="15.75" thickBot="1" x14ac:dyDescent="0.3">
      <c r="A101" s="202"/>
      <c r="B101" s="1660"/>
      <c r="C101" s="1706"/>
      <c r="D101" s="1708"/>
      <c r="E101" s="1387" t="s">
        <v>347</v>
      </c>
      <c r="F101" s="1321">
        <f t="shared" si="55"/>
        <v>3.4889819999999996</v>
      </c>
      <c r="G101" s="1388">
        <f t="shared" ref="G101" si="56">IFERROR((F101-F100)/F100,0)</f>
        <v>-0.26874119718309858</v>
      </c>
      <c r="H101" s="1323">
        <f>[11]Tramming!H101</f>
        <v>6.3E-2</v>
      </c>
      <c r="I101" s="1323">
        <f>[11]Tramming!I101</f>
        <v>0.14039999999999997</v>
      </c>
      <c r="J101" s="1323">
        <f>[11]Tramming!J101</f>
        <v>0.23039999999999997</v>
      </c>
      <c r="K101" s="1323">
        <f>[11]Tramming!K101</f>
        <v>0.2863</v>
      </c>
      <c r="L101" s="1323">
        <f>[11]Tramming!L101</f>
        <v>0.15959999999999999</v>
      </c>
      <c r="M101" s="1323">
        <f>[11]Tramming!M101</f>
        <v>0.35719200000000001</v>
      </c>
      <c r="N101" s="1323">
        <f>[11]Tramming!N101</f>
        <v>4.8000000000000001E-2</v>
      </c>
      <c r="O101" s="1323">
        <f>[11]Tramming!O101</f>
        <v>3.7960000000000001E-2</v>
      </c>
      <c r="P101" s="1323">
        <f>[11]Tramming!P101</f>
        <v>0.11799999999999999</v>
      </c>
      <c r="Q101" s="1323">
        <f>[11]Tramming!Q101</f>
        <v>0.12103000000000001</v>
      </c>
      <c r="R101" s="1323">
        <f>[11]Tramming!R101</f>
        <v>0.11808</v>
      </c>
      <c r="S101" s="1323">
        <f>[11]Tramming!S101</f>
        <v>0</v>
      </c>
      <c r="T101" s="1323">
        <f>[11]Tramming!T101</f>
        <v>0.12816</v>
      </c>
      <c r="U101" s="1323">
        <f>[11]Tramming!U101</f>
        <v>8.184000000000001E-2</v>
      </c>
      <c r="V101" s="1323">
        <f>[11]Tramming!V101</f>
        <v>6.6600000000000006E-2</v>
      </c>
      <c r="W101" s="1323">
        <f>[11]Tramming!W101</f>
        <v>0.18920999999999999</v>
      </c>
      <c r="X101" s="1323">
        <f>[11]Tramming!X101</f>
        <v>3.8160000000000006E-2</v>
      </c>
      <c r="Y101" s="1323">
        <f>[11]Tramming!Y101</f>
        <v>6.0040000000000003E-2</v>
      </c>
      <c r="Z101" s="1323">
        <f>[11]Tramming!Z101</f>
        <v>0</v>
      </c>
      <c r="AA101" s="1323">
        <f>[11]Tramming!AA101</f>
        <v>0</v>
      </c>
      <c r="AB101" s="1323">
        <f>[11]Tramming!AB101</f>
        <v>0.11700000000000001</v>
      </c>
      <c r="AC101" s="1323">
        <f>[11]Tramming!AC101</f>
        <v>0.46100999999999998</v>
      </c>
      <c r="AD101" s="1323">
        <f>[11]Tramming!AD101</f>
        <v>7.2599999999999998E-2</v>
      </c>
      <c r="AE101" s="1323">
        <f>[11]Tramming!AE101</f>
        <v>0.4</v>
      </c>
      <c r="AF101" s="1323">
        <f>[11]Tramming!AF101</f>
        <v>0</v>
      </c>
      <c r="AG101" s="1323">
        <f>[11]Tramming!AG101</f>
        <v>0.19440000000000002</v>
      </c>
      <c r="AH101" s="1323">
        <f>[11]Tramming!AH101</f>
        <v>0.252</v>
      </c>
      <c r="AI101" s="1323">
        <f>[11]Tramming!AI101</f>
        <v>0.30096000000000001</v>
      </c>
      <c r="AJ101" s="1323">
        <f>[11]Tramming!AJ101</f>
        <v>0.51100000000000001</v>
      </c>
      <c r="AK101" s="1323">
        <f>[11]Tramming!AK101</f>
        <v>0.8776799999999999</v>
      </c>
      <c r="AL101" s="1323">
        <f>[11]Tramming!AL101</f>
        <v>0.64710999999999996</v>
      </c>
      <c r="AM101" s="706"/>
    </row>
    <row r="102" spans="1:39" ht="14.25" customHeight="1" x14ac:dyDescent="0.25">
      <c r="A102" s="194"/>
      <c r="B102" s="1608"/>
      <c r="C102" s="1704" t="str">
        <f>[11]Tramming!C102</f>
        <v>6L_W15_STOPE</v>
      </c>
      <c r="D102" s="1684" t="s">
        <v>340</v>
      </c>
      <c r="E102" s="195" t="s">
        <v>341</v>
      </c>
      <c r="F102" s="196">
        <f t="shared" si="55"/>
        <v>1680</v>
      </c>
      <c r="G102" s="197"/>
      <c r="H102" s="198">
        <f>[11]Tramming!H102</f>
        <v>0</v>
      </c>
      <c r="I102" s="198">
        <f>[11]Tramming!I102</f>
        <v>70</v>
      </c>
      <c r="J102" s="198">
        <f>[11]Tramming!J102</f>
        <v>70</v>
      </c>
      <c r="K102" s="199">
        <f>[11]Tramming!K102</f>
        <v>70</v>
      </c>
      <c r="L102" s="199">
        <f>[11]Tramming!L102</f>
        <v>70</v>
      </c>
      <c r="M102" s="199">
        <f>[11]Tramming!M102</f>
        <v>70</v>
      </c>
      <c r="N102" s="199">
        <f>[11]Tramming!N102</f>
        <v>70</v>
      </c>
      <c r="O102" s="199">
        <f>[11]Tramming!O102</f>
        <v>70</v>
      </c>
      <c r="P102" s="200">
        <f>[11]Tramming!P102</f>
        <v>70</v>
      </c>
      <c r="Q102" s="199">
        <f>[11]Tramming!Q102</f>
        <v>70</v>
      </c>
      <c r="R102" s="199">
        <f>[11]Tramming!R102</f>
        <v>70</v>
      </c>
      <c r="S102" s="199">
        <f>[11]Tramming!S102</f>
        <v>70</v>
      </c>
      <c r="T102" s="199">
        <f>[11]Tramming!T102</f>
        <v>70</v>
      </c>
      <c r="U102" s="199">
        <f>[11]Tramming!U102</f>
        <v>70</v>
      </c>
      <c r="V102" s="199">
        <f>[11]Tramming!V102</f>
        <v>70</v>
      </c>
      <c r="W102" s="199">
        <f>[11]Tramming!W102</f>
        <v>70</v>
      </c>
      <c r="X102" s="199">
        <f>[11]Tramming!X102</f>
        <v>70</v>
      </c>
      <c r="Y102" s="199">
        <f>[11]Tramming!Y102</f>
        <v>70</v>
      </c>
      <c r="Z102" s="199">
        <f>[11]Tramming!Z102</f>
        <v>70</v>
      </c>
      <c r="AA102" s="199">
        <f>[11]Tramming!AA102</f>
        <v>70</v>
      </c>
      <c r="AB102" s="199">
        <f>[11]Tramming!AB102</f>
        <v>70</v>
      </c>
      <c r="AC102" s="199">
        <f>[11]Tramming!AC102</f>
        <v>70</v>
      </c>
      <c r="AD102" s="199">
        <f>[11]Tramming!AD102</f>
        <v>70</v>
      </c>
      <c r="AE102" s="199">
        <f>[11]Tramming!AE102</f>
        <v>70</v>
      </c>
      <c r="AF102" s="199">
        <f>[11]Tramming!AF102</f>
        <v>0</v>
      </c>
      <c r="AG102" s="199">
        <f>[11]Tramming!AG102</f>
        <v>70</v>
      </c>
      <c r="AH102" s="199">
        <f>[11]Tramming!AH102</f>
        <v>70</v>
      </c>
      <c r="AI102" s="199">
        <f>[11]Tramming!AI102</f>
        <v>70</v>
      </c>
      <c r="AJ102" s="199">
        <f>[11]Tramming!AJ102</f>
        <v>70</v>
      </c>
      <c r="AK102" s="199">
        <f>[11]Tramming!AK102</f>
        <v>70</v>
      </c>
      <c r="AL102" s="201">
        <f>[11]Tramming!AL102</f>
        <v>70</v>
      </c>
      <c r="AM102" s="704"/>
    </row>
    <row r="103" spans="1:39" x14ac:dyDescent="0.25">
      <c r="A103" s="202"/>
      <c r="B103" s="1607"/>
      <c r="C103" s="1705"/>
      <c r="D103" s="1688"/>
      <c r="E103" s="1379" t="s">
        <v>342</v>
      </c>
      <c r="F103" s="1303">
        <f t="shared" si="55"/>
        <v>1939.9</v>
      </c>
      <c r="G103" s="1380">
        <f t="shared" ref="G103" si="57">IFERROR((F103-F102)/F102,0)</f>
        <v>0.15470238095238101</v>
      </c>
      <c r="H103" s="1305">
        <f>[11]Tramming!H103</f>
        <v>10.8</v>
      </c>
      <c r="I103" s="1303">
        <f>[11]Tramming!I103</f>
        <v>25</v>
      </c>
      <c r="J103" s="1303">
        <f>[11]Tramming!J103</f>
        <v>85</v>
      </c>
      <c r="K103" s="1303">
        <f>[11]Tramming!K103</f>
        <v>113</v>
      </c>
      <c r="L103" s="1303">
        <f>[11]Tramming!L103</f>
        <v>29</v>
      </c>
      <c r="M103" s="1303">
        <f>[11]Tramming!M103</f>
        <v>71.599999999999994</v>
      </c>
      <c r="N103" s="1303">
        <f>[11]Tramming!N103</f>
        <v>53</v>
      </c>
      <c r="O103" s="1303">
        <f>[11]Tramming!O103</f>
        <v>62</v>
      </c>
      <c r="P103" s="1303">
        <f>[11]Tramming!P103</f>
        <v>40</v>
      </c>
      <c r="Q103" s="1303">
        <f>[11]Tramming!Q103</f>
        <v>42.5</v>
      </c>
      <c r="R103" s="1303">
        <f>[11]Tramming!R103</f>
        <v>116</v>
      </c>
      <c r="S103" s="1303">
        <f>[11]Tramming!S103</f>
        <v>294</v>
      </c>
      <c r="T103" s="1303">
        <f>[11]Tramming!T103</f>
        <v>15</v>
      </c>
      <c r="U103" s="1303">
        <f>[11]Tramming!U103</f>
        <v>11</v>
      </c>
      <c r="V103" s="1303">
        <f>[11]Tramming!V103</f>
        <v>62</v>
      </c>
      <c r="W103" s="1303">
        <f>[11]Tramming!W103</f>
        <v>55</v>
      </c>
      <c r="X103" s="1303">
        <f>[11]Tramming!X103</f>
        <v>84</v>
      </c>
      <c r="Y103" s="1303">
        <f>[11]Tramming!Y103</f>
        <v>207</v>
      </c>
      <c r="Z103" s="1303">
        <f>[11]Tramming!Z103</f>
        <v>192</v>
      </c>
      <c r="AA103" s="1303">
        <f>[11]Tramming!AA103</f>
        <v>0</v>
      </c>
      <c r="AB103" s="1303">
        <f>[11]Tramming!AB103</f>
        <v>80</v>
      </c>
      <c r="AC103" s="1303">
        <f>[11]Tramming!AC103</f>
        <v>91</v>
      </c>
      <c r="AD103" s="1303">
        <f>[11]Tramming!AD103</f>
        <v>70</v>
      </c>
      <c r="AE103" s="1303">
        <f>[11]Tramming!AE103</f>
        <v>61</v>
      </c>
      <c r="AF103" s="1303">
        <f>[11]Tramming!AF103</f>
        <v>0</v>
      </c>
      <c r="AG103" s="1303">
        <f>[11]Tramming!AG103</f>
        <v>70</v>
      </c>
      <c r="AH103" s="1303">
        <f>[11]Tramming!AH103</f>
        <v>52</v>
      </c>
      <c r="AI103" s="1303">
        <f>[11]Tramming!AI103</f>
        <v>70</v>
      </c>
      <c r="AJ103" s="1303">
        <f>[11]Tramming!AJ103</f>
        <v>25</v>
      </c>
      <c r="AK103" s="1303">
        <f>[11]Tramming!AK103</f>
        <v>25</v>
      </c>
      <c r="AL103" s="1303">
        <f>[11]Tramming!AL103</f>
        <v>60</v>
      </c>
      <c r="AM103" s="347"/>
    </row>
    <row r="104" spans="1:39" x14ac:dyDescent="0.25">
      <c r="A104" s="202"/>
      <c r="B104" s="1607"/>
      <c r="C104" s="1705"/>
      <c r="D104" s="1688"/>
      <c r="E104" s="1389" t="s">
        <v>312</v>
      </c>
      <c r="F104" s="1382"/>
      <c r="G104" s="1383"/>
      <c r="H104" s="203"/>
      <c r="I104" s="203"/>
      <c r="J104" s="203"/>
      <c r="K104" s="203"/>
      <c r="L104" s="203"/>
      <c r="M104" s="203"/>
      <c r="N104" s="203"/>
      <c r="O104" s="203"/>
      <c r="P104" s="204"/>
      <c r="Q104" s="203"/>
      <c r="R104" s="203"/>
      <c r="S104" s="203"/>
      <c r="T104" s="203"/>
      <c r="U104" s="203"/>
      <c r="V104" s="203"/>
      <c r="W104" s="203"/>
      <c r="X104" s="203"/>
      <c r="Y104" s="203"/>
      <c r="Z104" s="203"/>
      <c r="AA104" s="203"/>
      <c r="AB104" s="203"/>
      <c r="AC104" s="203"/>
      <c r="AD104" s="203"/>
      <c r="AE104" s="203"/>
      <c r="AF104" s="203"/>
      <c r="AG104" s="203"/>
      <c r="AH104" s="203"/>
      <c r="AI104" s="203"/>
      <c r="AJ104" s="203"/>
      <c r="AK104" s="203"/>
      <c r="AL104" s="205"/>
      <c r="AM104" s="347"/>
    </row>
    <row r="105" spans="1:39" x14ac:dyDescent="0.25">
      <c r="A105" s="202"/>
      <c r="B105" s="1607"/>
      <c r="C105" s="1705"/>
      <c r="D105" s="1685" t="s">
        <v>343</v>
      </c>
      <c r="E105" s="1384" t="s">
        <v>344</v>
      </c>
      <c r="F105" s="1310">
        <f t="shared" ref="F105:F106" si="58">IFERROR(F107*1000/F102,0)</f>
        <v>2.1999999999999993</v>
      </c>
      <c r="G105" s="1385"/>
      <c r="H105" s="1312">
        <f>[11]Tramming!H105</f>
        <v>0</v>
      </c>
      <c r="I105" s="1312">
        <f>[11]Tramming!I105</f>
        <v>2.2000000000000002</v>
      </c>
      <c r="J105" s="1312">
        <f>[11]Tramming!J105</f>
        <v>2.2000000000000002</v>
      </c>
      <c r="K105" s="1333">
        <f>[11]Tramming!K105</f>
        <v>2.2000000000000002</v>
      </c>
      <c r="L105" s="1333">
        <f>[11]Tramming!L105</f>
        <v>2.2000000000000002</v>
      </c>
      <c r="M105" s="1333">
        <f>[11]Tramming!M105</f>
        <v>2.2000000000000002</v>
      </c>
      <c r="N105" s="1333">
        <f>[11]Tramming!N105</f>
        <v>2.2000000000000002</v>
      </c>
      <c r="O105" s="1333">
        <f>[11]Tramming!O105</f>
        <v>2.2000000000000002</v>
      </c>
      <c r="P105" s="1334">
        <f>[11]Tramming!P105</f>
        <v>2.2000000000000002</v>
      </c>
      <c r="Q105" s="1333">
        <f>[11]Tramming!Q105</f>
        <v>2.2000000000000002</v>
      </c>
      <c r="R105" s="1333">
        <f>[11]Tramming!R105</f>
        <v>2.2000000000000002</v>
      </c>
      <c r="S105" s="1333">
        <f>[11]Tramming!S105</f>
        <v>2.2000000000000002</v>
      </c>
      <c r="T105" s="1333">
        <f>[11]Tramming!T105</f>
        <v>2.2000000000000002</v>
      </c>
      <c r="U105" s="1333">
        <f>[11]Tramming!U105</f>
        <v>2.2000000000000002</v>
      </c>
      <c r="V105" s="1333">
        <f>[11]Tramming!V105</f>
        <v>2.2000000000000002</v>
      </c>
      <c r="W105" s="1333">
        <f>[11]Tramming!W105</f>
        <v>2.2000000000000002</v>
      </c>
      <c r="X105" s="1333">
        <f>[11]Tramming!X105</f>
        <v>2.2000000000000002</v>
      </c>
      <c r="Y105" s="1333">
        <f>[11]Tramming!Y105</f>
        <v>2.2000000000000002</v>
      </c>
      <c r="Z105" s="1333">
        <f>[11]Tramming!Z105</f>
        <v>2.2000000000000002</v>
      </c>
      <c r="AA105" s="1333">
        <f>[11]Tramming!AA105</f>
        <v>2.2000000000000002</v>
      </c>
      <c r="AB105" s="1333">
        <f>[11]Tramming!AB105</f>
        <v>2.2000000000000002</v>
      </c>
      <c r="AC105" s="1333">
        <f>[11]Tramming!AC105</f>
        <v>2.2000000000000002</v>
      </c>
      <c r="AD105" s="1333">
        <f>[11]Tramming!AD105</f>
        <v>2.2000000000000002</v>
      </c>
      <c r="AE105" s="1333">
        <f>[11]Tramming!AE105</f>
        <v>2.2000000000000002</v>
      </c>
      <c r="AF105" s="1333">
        <f>[11]Tramming!AF105</f>
        <v>0</v>
      </c>
      <c r="AG105" s="1333">
        <f>[11]Tramming!AG105</f>
        <v>2.2000000000000002</v>
      </c>
      <c r="AH105" s="1333">
        <f>[11]Tramming!AH105</f>
        <v>2.2000000000000002</v>
      </c>
      <c r="AI105" s="1333">
        <f>[11]Tramming!AI105</f>
        <v>2.2000000000000002</v>
      </c>
      <c r="AJ105" s="1333">
        <f>[11]Tramming!AJ105</f>
        <v>2.2000000000000002</v>
      </c>
      <c r="AK105" s="1333">
        <f>[11]Tramming!AK105</f>
        <v>2.2000000000000002</v>
      </c>
      <c r="AL105" s="1335">
        <f>[11]Tramming!AL105</f>
        <v>2.2000000000000002</v>
      </c>
      <c r="AM105" s="347"/>
    </row>
    <row r="106" spans="1:39" x14ac:dyDescent="0.25">
      <c r="A106" s="202"/>
      <c r="B106" s="1607"/>
      <c r="C106" s="1705"/>
      <c r="D106" s="1707"/>
      <c r="E106" s="1386" t="s">
        <v>345</v>
      </c>
      <c r="F106" s="1314">
        <f t="shared" si="58"/>
        <v>2.8229274704881688</v>
      </c>
      <c r="G106" s="1380">
        <f t="shared" ref="G106" si="59">IFERROR((F106-F105)/F105,0)</f>
        <v>0.28314885022189534</v>
      </c>
      <c r="H106" s="1315">
        <f>[11]Tramming!H106</f>
        <v>1.3</v>
      </c>
      <c r="I106" s="1314">
        <f>[11]Tramming!I106</f>
        <v>4.71</v>
      </c>
      <c r="J106" s="1314">
        <f>[11]Tramming!J106</f>
        <v>4.17</v>
      </c>
      <c r="K106" s="1314">
        <f>[11]Tramming!K106</f>
        <v>3.79</v>
      </c>
      <c r="L106" s="1314">
        <f>[11]Tramming!L106</f>
        <v>4.2</v>
      </c>
      <c r="M106" s="1314">
        <f>[11]Tramming!M106</f>
        <v>3.82</v>
      </c>
      <c r="N106" s="1314">
        <f>[11]Tramming!N106</f>
        <v>2.88</v>
      </c>
      <c r="O106" s="1314">
        <f>[11]Tramming!O106</f>
        <v>2.95</v>
      </c>
      <c r="P106" s="1314">
        <f>[11]Tramming!P106</f>
        <v>3.66</v>
      </c>
      <c r="Q106" s="1314">
        <f>[11]Tramming!Q106</f>
        <v>3.11</v>
      </c>
      <c r="R106" s="1314">
        <f>[11]Tramming!R106</f>
        <v>2.97</v>
      </c>
      <c r="S106" s="1314">
        <f>[11]Tramming!S106</f>
        <v>2.2799999999999998</v>
      </c>
      <c r="T106" s="1314">
        <f>[11]Tramming!T106</f>
        <v>2.2799999999999998</v>
      </c>
      <c r="U106" s="1314">
        <f>[11]Tramming!U106</f>
        <v>2.2799999999999998</v>
      </c>
      <c r="V106" s="1314">
        <f>[11]Tramming!V106</f>
        <v>1.36</v>
      </c>
      <c r="W106" s="1314">
        <f>[11]Tramming!W106</f>
        <v>3.01</v>
      </c>
      <c r="X106" s="1314">
        <f>[11]Tramming!X106</f>
        <v>2.64</v>
      </c>
      <c r="Y106" s="1314">
        <f>[11]Tramming!Y106</f>
        <v>2.83</v>
      </c>
      <c r="Z106" s="1314">
        <f>[11]Tramming!Z106</f>
        <v>2.7</v>
      </c>
      <c r="AA106" s="1314">
        <f>[11]Tramming!AA106</f>
        <v>0</v>
      </c>
      <c r="AB106" s="1314">
        <f>[11]Tramming!AB106</f>
        <v>2.4</v>
      </c>
      <c r="AC106" s="1314">
        <f>[11]Tramming!AC106</f>
        <v>3.06</v>
      </c>
      <c r="AD106" s="1314">
        <f>[11]Tramming!AD106</f>
        <v>1.21</v>
      </c>
      <c r="AE106" s="1314">
        <f>[11]Tramming!AE106</f>
        <v>3.04</v>
      </c>
      <c r="AF106" s="1314">
        <f>[11]Tramming!AF106</f>
        <v>0</v>
      </c>
      <c r="AG106" s="1314">
        <f>[11]Tramming!AG106</f>
        <v>2.31</v>
      </c>
      <c r="AH106" s="1314">
        <f>[11]Tramming!AH106</f>
        <v>0.48</v>
      </c>
      <c r="AI106" s="1314">
        <f>[11]Tramming!AI106</f>
        <v>4.18</v>
      </c>
      <c r="AJ106" s="1314">
        <f>[11]Tramming!AJ106</f>
        <v>1.41</v>
      </c>
      <c r="AK106" s="1314">
        <f>[11]Tramming!AK106</f>
        <v>1.27</v>
      </c>
      <c r="AL106" s="1314">
        <f>[11]Tramming!AL106</f>
        <v>3.97</v>
      </c>
      <c r="AM106" s="347"/>
    </row>
    <row r="107" spans="1:39" x14ac:dyDescent="0.25">
      <c r="A107" s="202"/>
      <c r="B107" s="1607"/>
      <c r="C107" s="1705"/>
      <c r="D107" s="1685" t="s">
        <v>47</v>
      </c>
      <c r="E107" s="1384" t="s">
        <v>346</v>
      </c>
      <c r="F107" s="206">
        <f t="shared" ref="F107:F108" si="60">SUMIF($H$9:$AL$9,"&lt;="&amp;$C$7,H107:AL107)</f>
        <v>3.6959999999999988</v>
      </c>
      <c r="G107" s="1385"/>
      <c r="H107" s="1316">
        <f>[11]Tramming!H107</f>
        <v>0</v>
      </c>
      <c r="I107" s="1316">
        <f>[11]Tramming!I107</f>
        <v>0.154</v>
      </c>
      <c r="J107" s="1316">
        <f>[11]Tramming!J107</f>
        <v>0.154</v>
      </c>
      <c r="K107" s="1316">
        <f>[11]Tramming!K107</f>
        <v>0.154</v>
      </c>
      <c r="L107" s="1316">
        <f>[11]Tramming!L107</f>
        <v>0.154</v>
      </c>
      <c r="M107" s="1316">
        <f>[11]Tramming!M107</f>
        <v>0.154</v>
      </c>
      <c r="N107" s="1316">
        <f>[11]Tramming!N107</f>
        <v>0.154</v>
      </c>
      <c r="O107" s="1316">
        <f>[11]Tramming!O107</f>
        <v>0.154</v>
      </c>
      <c r="P107" s="1316">
        <f>[11]Tramming!P107</f>
        <v>0.154</v>
      </c>
      <c r="Q107" s="1316">
        <f>[11]Tramming!Q107</f>
        <v>0.154</v>
      </c>
      <c r="R107" s="1316">
        <f>[11]Tramming!R107</f>
        <v>0.154</v>
      </c>
      <c r="S107" s="1316">
        <f>[11]Tramming!S107</f>
        <v>0.154</v>
      </c>
      <c r="T107" s="1316">
        <f>[11]Tramming!T107</f>
        <v>0.154</v>
      </c>
      <c r="U107" s="1316">
        <f>[11]Tramming!U107</f>
        <v>0.154</v>
      </c>
      <c r="V107" s="1316">
        <f>[11]Tramming!V107</f>
        <v>0.154</v>
      </c>
      <c r="W107" s="1316">
        <f>[11]Tramming!W107</f>
        <v>0.154</v>
      </c>
      <c r="X107" s="1316">
        <f>[11]Tramming!X107</f>
        <v>0.154</v>
      </c>
      <c r="Y107" s="1316">
        <f>[11]Tramming!Y107</f>
        <v>0.154</v>
      </c>
      <c r="Z107" s="1316">
        <f>[11]Tramming!Z107</f>
        <v>0.154</v>
      </c>
      <c r="AA107" s="1316">
        <f>[11]Tramming!AA107</f>
        <v>0.154</v>
      </c>
      <c r="AB107" s="1316">
        <f>[11]Tramming!AB107</f>
        <v>0.154</v>
      </c>
      <c r="AC107" s="1316">
        <f>[11]Tramming!AC107</f>
        <v>0.154</v>
      </c>
      <c r="AD107" s="1316">
        <f>[11]Tramming!AD107</f>
        <v>0.154</v>
      </c>
      <c r="AE107" s="1316">
        <f>[11]Tramming!AE107</f>
        <v>0.154</v>
      </c>
      <c r="AF107" s="1316">
        <f>[11]Tramming!AF107</f>
        <v>0</v>
      </c>
      <c r="AG107" s="1316">
        <f>[11]Tramming!AG107</f>
        <v>0.154</v>
      </c>
      <c r="AH107" s="1316">
        <f>[11]Tramming!AH107</f>
        <v>0.154</v>
      </c>
      <c r="AI107" s="1316">
        <f>[11]Tramming!AI107</f>
        <v>0.154</v>
      </c>
      <c r="AJ107" s="1316">
        <f>[11]Tramming!AJ107</f>
        <v>0.154</v>
      </c>
      <c r="AK107" s="1316">
        <f>[11]Tramming!AK107</f>
        <v>0.154</v>
      </c>
      <c r="AL107" s="1316">
        <f>[11]Tramming!AL107</f>
        <v>0.154</v>
      </c>
      <c r="AM107" s="705"/>
    </row>
    <row r="108" spans="1:39" ht="15.75" thickBot="1" x14ac:dyDescent="0.3">
      <c r="A108" s="202"/>
      <c r="B108" s="1660"/>
      <c r="C108" s="1706"/>
      <c r="D108" s="1708"/>
      <c r="E108" s="1387" t="s">
        <v>347</v>
      </c>
      <c r="F108" s="1321">
        <f t="shared" si="60"/>
        <v>5.4761969999999991</v>
      </c>
      <c r="G108" s="1388">
        <f t="shared" ref="G108" si="61">IFERROR((F108-F107)/F107,0)</f>
        <v>0.48165503246753266</v>
      </c>
      <c r="H108" s="1323">
        <f>[11]Tramming!H108</f>
        <v>1.404E-2</v>
      </c>
      <c r="I108" s="1323">
        <f>[11]Tramming!I108</f>
        <v>0.11774999999999999</v>
      </c>
      <c r="J108" s="1323">
        <f>[11]Tramming!J108</f>
        <v>0.35444999999999999</v>
      </c>
      <c r="K108" s="1323">
        <f>[11]Tramming!K108</f>
        <v>0.42826999999999998</v>
      </c>
      <c r="L108" s="1323">
        <f>[11]Tramming!L108</f>
        <v>0.12180000000000001</v>
      </c>
      <c r="M108" s="1323">
        <f>[11]Tramming!M108</f>
        <v>0.27351199999999992</v>
      </c>
      <c r="N108" s="1323">
        <f>[11]Tramming!N108</f>
        <v>0.15264</v>
      </c>
      <c r="O108" s="1323">
        <f>[11]Tramming!O108</f>
        <v>0.18290000000000001</v>
      </c>
      <c r="P108" s="1323">
        <f>[11]Tramming!P108</f>
        <v>0.1464</v>
      </c>
      <c r="Q108" s="1323">
        <f>[11]Tramming!Q108</f>
        <v>0.13217499999999999</v>
      </c>
      <c r="R108" s="1323">
        <f>[11]Tramming!R108</f>
        <v>0.34452000000000005</v>
      </c>
      <c r="S108" s="1323">
        <f>[11]Tramming!S108</f>
        <v>0.67031999999999992</v>
      </c>
      <c r="T108" s="1323">
        <f>[11]Tramming!T108</f>
        <v>3.4199999999999994E-2</v>
      </c>
      <c r="U108" s="1323">
        <f>[11]Tramming!U108</f>
        <v>2.5079999999999998E-2</v>
      </c>
      <c r="V108" s="1323">
        <f>[11]Tramming!V108</f>
        <v>8.4320000000000006E-2</v>
      </c>
      <c r="W108" s="1323">
        <f>[11]Tramming!W108</f>
        <v>0.16554999999999997</v>
      </c>
      <c r="X108" s="1323">
        <f>[11]Tramming!X108</f>
        <v>0.22176000000000001</v>
      </c>
      <c r="Y108" s="1323">
        <f>[11]Tramming!Y108</f>
        <v>0.58581000000000005</v>
      </c>
      <c r="Z108" s="1323">
        <f>[11]Tramming!Z108</f>
        <v>0.51840000000000008</v>
      </c>
      <c r="AA108" s="1323">
        <f>[11]Tramming!AA108</f>
        <v>0</v>
      </c>
      <c r="AB108" s="1323">
        <f>[11]Tramming!AB108</f>
        <v>0.192</v>
      </c>
      <c r="AC108" s="1323">
        <f>[11]Tramming!AC108</f>
        <v>0.27845999999999999</v>
      </c>
      <c r="AD108" s="1323">
        <f>[11]Tramming!AD108</f>
        <v>8.4699999999999998E-2</v>
      </c>
      <c r="AE108" s="1323">
        <f>[11]Tramming!AE108</f>
        <v>0.18543999999999999</v>
      </c>
      <c r="AF108" s="1323">
        <f>[11]Tramming!AF108</f>
        <v>0</v>
      </c>
      <c r="AG108" s="1323">
        <f>[11]Tramming!AG108</f>
        <v>0.16170000000000001</v>
      </c>
      <c r="AH108" s="1323">
        <f>[11]Tramming!AH108</f>
        <v>2.496E-2</v>
      </c>
      <c r="AI108" s="1323">
        <f>[11]Tramming!AI108</f>
        <v>0.29259999999999997</v>
      </c>
      <c r="AJ108" s="1323">
        <f>[11]Tramming!AJ108</f>
        <v>3.5249999999999997E-2</v>
      </c>
      <c r="AK108" s="1323">
        <f>[11]Tramming!AK108</f>
        <v>3.175E-2</v>
      </c>
      <c r="AL108" s="1323">
        <f>[11]Tramming!AL108</f>
        <v>0.23820000000000002</v>
      </c>
      <c r="AM108" s="706"/>
    </row>
  </sheetData>
  <mergeCells count="73">
    <mergeCell ref="H2:I2"/>
    <mergeCell ref="K2:N2"/>
    <mergeCell ref="H3:I3"/>
    <mergeCell ref="K3:N3"/>
    <mergeCell ref="H4:I4"/>
    <mergeCell ref="K4:N4"/>
    <mergeCell ref="K5:N5"/>
    <mergeCell ref="K6:N6"/>
    <mergeCell ref="B18:B24"/>
    <mergeCell ref="C18:C24"/>
    <mergeCell ref="D18:D20"/>
    <mergeCell ref="D21:D22"/>
    <mergeCell ref="D23:D24"/>
    <mergeCell ref="B32:B38"/>
    <mergeCell ref="C32:C38"/>
    <mergeCell ref="D32:D34"/>
    <mergeCell ref="D35:D36"/>
    <mergeCell ref="D37:D38"/>
    <mergeCell ref="B25:B31"/>
    <mergeCell ref="C25:C31"/>
    <mergeCell ref="D25:D27"/>
    <mergeCell ref="D28:D29"/>
    <mergeCell ref="D30:D31"/>
    <mergeCell ref="B46:B52"/>
    <mergeCell ref="C46:C52"/>
    <mergeCell ref="D46:D48"/>
    <mergeCell ref="D49:D50"/>
    <mergeCell ref="D51:D52"/>
    <mergeCell ref="B39:B45"/>
    <mergeCell ref="C39:C45"/>
    <mergeCell ref="D39:D41"/>
    <mergeCell ref="D42:D43"/>
    <mergeCell ref="D44:D45"/>
    <mergeCell ref="B60:B66"/>
    <mergeCell ref="C60:C66"/>
    <mergeCell ref="D60:D62"/>
    <mergeCell ref="D63:D64"/>
    <mergeCell ref="D65:D66"/>
    <mergeCell ref="B53:B59"/>
    <mergeCell ref="C53:C59"/>
    <mergeCell ref="D53:D55"/>
    <mergeCell ref="D56:D57"/>
    <mergeCell ref="D58:D59"/>
    <mergeCell ref="B74:B80"/>
    <mergeCell ref="C74:C80"/>
    <mergeCell ref="D74:D76"/>
    <mergeCell ref="D77:D78"/>
    <mergeCell ref="D79:D80"/>
    <mergeCell ref="B67:B73"/>
    <mergeCell ref="C67:C73"/>
    <mergeCell ref="D67:D69"/>
    <mergeCell ref="D70:D71"/>
    <mergeCell ref="D72:D73"/>
    <mergeCell ref="B88:B94"/>
    <mergeCell ref="C88:C94"/>
    <mergeCell ref="D88:D90"/>
    <mergeCell ref="D91:D92"/>
    <mergeCell ref="D93:D94"/>
    <mergeCell ref="B81:B87"/>
    <mergeCell ref="C81:C87"/>
    <mergeCell ref="D81:D83"/>
    <mergeCell ref="D84:D85"/>
    <mergeCell ref="D86:D87"/>
    <mergeCell ref="B102:B108"/>
    <mergeCell ref="C102:C108"/>
    <mergeCell ref="D102:D104"/>
    <mergeCell ref="D105:D106"/>
    <mergeCell ref="D107:D108"/>
    <mergeCell ref="B95:B101"/>
    <mergeCell ref="C95:C101"/>
    <mergeCell ref="D95:D97"/>
    <mergeCell ref="D98:D99"/>
    <mergeCell ref="D100:D101"/>
  </mergeCells>
  <conditionalFormatting sqref="B18 B25 B32 B39 B46 B53 B60">
    <cfRule type="cellIs" dxfId="994" priority="494" operator="equal">
      <formula>2</formula>
    </cfRule>
    <cfRule type="cellIs" dxfId="993" priority="493" operator="equal">
      <formula>1</formula>
    </cfRule>
    <cfRule type="cellIs" dxfId="992" priority="492" operator="equal">
      <formula>3</formula>
    </cfRule>
  </conditionalFormatting>
  <conditionalFormatting sqref="B67">
    <cfRule type="cellIs" dxfId="991" priority="450" operator="equal">
      <formula>2</formula>
    </cfRule>
    <cfRule type="cellIs" dxfId="990" priority="449" operator="equal">
      <formula>1</formula>
    </cfRule>
    <cfRule type="cellIs" dxfId="989" priority="448" operator="equal">
      <formula>3</formula>
    </cfRule>
  </conditionalFormatting>
  <conditionalFormatting sqref="B74">
    <cfRule type="cellIs" dxfId="988" priority="424" operator="equal">
      <formula>2</formula>
    </cfRule>
    <cfRule type="cellIs" dxfId="987" priority="423" operator="equal">
      <formula>1</formula>
    </cfRule>
    <cfRule type="cellIs" dxfId="986" priority="422" operator="equal">
      <formula>3</formula>
    </cfRule>
  </conditionalFormatting>
  <conditionalFormatting sqref="B81">
    <cfRule type="cellIs" dxfId="985" priority="396" operator="equal">
      <formula>3</formula>
    </cfRule>
    <cfRule type="cellIs" dxfId="984" priority="397" operator="equal">
      <formula>1</formula>
    </cfRule>
    <cfRule type="cellIs" dxfId="983" priority="398" operator="equal">
      <formula>2</formula>
    </cfRule>
  </conditionalFormatting>
  <conditionalFormatting sqref="B88">
    <cfRule type="cellIs" dxfId="982" priority="370" operator="equal">
      <formula>3</formula>
    </cfRule>
    <cfRule type="cellIs" dxfId="981" priority="371" operator="equal">
      <formula>1</formula>
    </cfRule>
    <cfRule type="cellIs" dxfId="980" priority="372" operator="equal">
      <formula>2</formula>
    </cfRule>
  </conditionalFormatting>
  <conditionalFormatting sqref="B95">
    <cfRule type="cellIs" dxfId="979" priority="351" operator="equal">
      <formula>1</formula>
    </cfRule>
    <cfRule type="cellIs" dxfId="978" priority="352" operator="equal">
      <formula>2</formula>
    </cfRule>
    <cfRule type="cellIs" dxfId="977" priority="350" operator="equal">
      <formula>3</formula>
    </cfRule>
  </conditionalFormatting>
  <conditionalFormatting sqref="B102">
    <cfRule type="cellIs" dxfId="976" priority="324" operator="equal">
      <formula>3</formula>
    </cfRule>
    <cfRule type="cellIs" dxfId="975" priority="325" operator="equal">
      <formula>1</formula>
    </cfRule>
    <cfRule type="cellIs" dxfId="974" priority="326" operator="equal">
      <formula>2</formula>
    </cfRule>
  </conditionalFormatting>
  <conditionalFormatting sqref="D10:D12">
    <cfRule type="cellIs" dxfId="973" priority="453" stopIfTrue="1" operator="lessThan">
      <formula>C10</formula>
    </cfRule>
    <cfRule type="cellIs" dxfId="972" priority="454" stopIfTrue="1" operator="greaterThanOrEqual">
      <formula>C10</formula>
    </cfRule>
  </conditionalFormatting>
  <conditionalFormatting sqref="E10:E12">
    <cfRule type="cellIs" dxfId="971" priority="452" stopIfTrue="1" operator="greaterThanOrEqual">
      <formula>0</formula>
    </cfRule>
    <cfRule type="cellIs" dxfId="970" priority="451" stopIfTrue="1" operator="lessThan">
      <formula>0</formula>
    </cfRule>
  </conditionalFormatting>
  <conditionalFormatting sqref="F19">
    <cfRule type="cellIs" dxfId="969" priority="474" stopIfTrue="1" operator="greaterThanOrEqual">
      <formula>F18</formula>
    </cfRule>
    <cfRule type="cellIs" dxfId="968" priority="473" stopIfTrue="1" operator="lessThan">
      <formula>F18</formula>
    </cfRule>
  </conditionalFormatting>
  <conditionalFormatting sqref="F22 F24">
    <cfRule type="cellIs" dxfId="967" priority="470" stopIfTrue="1" operator="greaterThanOrEqual">
      <formula>F21</formula>
    </cfRule>
    <cfRule type="cellIs" dxfId="966" priority="469" stopIfTrue="1" operator="lessThan">
      <formula>F21</formula>
    </cfRule>
  </conditionalFormatting>
  <conditionalFormatting sqref="F26 F33 F40 F47 F54 F61">
    <cfRule type="cellIs" dxfId="965" priority="464" stopIfTrue="1" operator="greaterThanOrEqual">
      <formula>F25</formula>
    </cfRule>
    <cfRule type="cellIs" dxfId="964" priority="463" stopIfTrue="1" operator="lessThan">
      <formula>F25</formula>
    </cfRule>
  </conditionalFormatting>
  <conditionalFormatting sqref="F29 F31 F36 F38 F43 F45 F50 F52 F57 F59 F64 F66">
    <cfRule type="cellIs" dxfId="963" priority="459" stopIfTrue="1" operator="lessThan">
      <formula>F28</formula>
    </cfRule>
    <cfRule type="cellIs" dxfId="962" priority="460" stopIfTrue="1" operator="greaterThanOrEqual">
      <formula>F28</formula>
    </cfRule>
  </conditionalFormatting>
  <conditionalFormatting sqref="F68">
    <cfRule type="cellIs" dxfId="961" priority="434" stopIfTrue="1" operator="greaterThanOrEqual">
      <formula>F67</formula>
    </cfRule>
    <cfRule type="cellIs" dxfId="960" priority="433" stopIfTrue="1" operator="lessThan">
      <formula>F67</formula>
    </cfRule>
  </conditionalFormatting>
  <conditionalFormatting sqref="F71 F73">
    <cfRule type="cellIs" dxfId="959" priority="429" stopIfTrue="1" operator="lessThan">
      <formula>F70</formula>
    </cfRule>
    <cfRule type="cellIs" dxfId="958" priority="430" stopIfTrue="1" operator="greaterThanOrEqual">
      <formula>F70</formula>
    </cfRule>
  </conditionalFormatting>
  <conditionalFormatting sqref="F75">
    <cfRule type="cellIs" dxfId="957" priority="408" stopIfTrue="1" operator="greaterThanOrEqual">
      <formula>F74</formula>
    </cfRule>
    <cfRule type="cellIs" dxfId="956" priority="407" stopIfTrue="1" operator="lessThan">
      <formula>F74</formula>
    </cfRule>
  </conditionalFormatting>
  <conditionalFormatting sqref="F78 F80">
    <cfRule type="cellIs" dxfId="955" priority="404" stopIfTrue="1" operator="greaterThanOrEqual">
      <formula>F77</formula>
    </cfRule>
    <cfRule type="cellIs" dxfId="954" priority="403" stopIfTrue="1" operator="lessThan">
      <formula>F77</formula>
    </cfRule>
  </conditionalFormatting>
  <conditionalFormatting sqref="F82">
    <cfRule type="cellIs" dxfId="953" priority="382" stopIfTrue="1" operator="greaterThanOrEqual">
      <formula>F81</formula>
    </cfRule>
    <cfRule type="cellIs" dxfId="952" priority="381" stopIfTrue="1" operator="lessThan">
      <formula>F81</formula>
    </cfRule>
  </conditionalFormatting>
  <conditionalFormatting sqref="F85 F87">
    <cfRule type="cellIs" dxfId="951" priority="378" stopIfTrue="1" operator="greaterThanOrEqual">
      <formula>F84</formula>
    </cfRule>
    <cfRule type="cellIs" dxfId="950" priority="377" stopIfTrue="1" operator="lessThan">
      <formula>F84</formula>
    </cfRule>
  </conditionalFormatting>
  <conditionalFormatting sqref="F89">
    <cfRule type="cellIs" dxfId="949" priority="361" stopIfTrue="1" operator="lessThan">
      <formula>F88</formula>
    </cfRule>
    <cfRule type="cellIs" dxfId="948" priority="362" stopIfTrue="1" operator="greaterThanOrEqual">
      <formula>F88</formula>
    </cfRule>
  </conditionalFormatting>
  <conditionalFormatting sqref="F92 F94">
    <cfRule type="cellIs" dxfId="947" priority="358" stopIfTrue="1" operator="greaterThanOrEqual">
      <formula>F91</formula>
    </cfRule>
    <cfRule type="cellIs" dxfId="946" priority="357" stopIfTrue="1" operator="lessThan">
      <formula>F91</formula>
    </cfRule>
  </conditionalFormatting>
  <conditionalFormatting sqref="F96">
    <cfRule type="cellIs" dxfId="945" priority="335" stopIfTrue="1" operator="lessThan">
      <formula>F95</formula>
    </cfRule>
    <cfRule type="cellIs" dxfId="944" priority="336" stopIfTrue="1" operator="greaterThanOrEqual">
      <formula>F95</formula>
    </cfRule>
  </conditionalFormatting>
  <conditionalFormatting sqref="F99 F101">
    <cfRule type="cellIs" dxfId="943" priority="331" stopIfTrue="1" operator="lessThan">
      <formula>F98</formula>
    </cfRule>
    <cfRule type="cellIs" dxfId="942" priority="332" stopIfTrue="1" operator="greaterThanOrEqual">
      <formula>F98</formula>
    </cfRule>
  </conditionalFormatting>
  <conditionalFormatting sqref="F103">
    <cfRule type="cellIs" dxfId="941" priority="310" stopIfTrue="1" operator="greaterThanOrEqual">
      <formula>F102</formula>
    </cfRule>
    <cfRule type="cellIs" dxfId="940" priority="309" stopIfTrue="1" operator="lessThan">
      <formula>F102</formula>
    </cfRule>
  </conditionalFormatting>
  <conditionalFormatting sqref="F106 F108">
    <cfRule type="cellIs" dxfId="939" priority="306" stopIfTrue="1" operator="greaterThanOrEqual">
      <formula>F105</formula>
    </cfRule>
    <cfRule type="cellIs" dxfId="938" priority="305" stopIfTrue="1" operator="lessThan">
      <formula>F105</formula>
    </cfRule>
  </conditionalFormatting>
  <conditionalFormatting sqref="G19">
    <cfRule type="cellIs" dxfId="937" priority="471" operator="greaterThan">
      <formula>0</formula>
    </cfRule>
    <cfRule type="cellIs" dxfId="936" priority="472" operator="lessThan">
      <formula>0</formula>
    </cfRule>
  </conditionalFormatting>
  <conditionalFormatting sqref="G22">
    <cfRule type="cellIs" dxfId="935" priority="468" operator="lessThan">
      <formula>0</formula>
    </cfRule>
    <cfRule type="cellIs" dxfId="934" priority="467" operator="greaterThan">
      <formula>0</formula>
    </cfRule>
  </conditionalFormatting>
  <conditionalFormatting sqref="G24">
    <cfRule type="cellIs" dxfId="933" priority="466" operator="lessThan">
      <formula>0</formula>
    </cfRule>
    <cfRule type="cellIs" dxfId="932" priority="465" operator="greaterThan">
      <formula>0</formula>
    </cfRule>
  </conditionalFormatting>
  <conditionalFormatting sqref="G26 G33 G40 G47 G54 G61">
    <cfRule type="cellIs" dxfId="931" priority="462" operator="lessThan">
      <formula>0</formula>
    </cfRule>
    <cfRule type="cellIs" dxfId="930" priority="461" operator="greaterThan">
      <formula>0</formula>
    </cfRule>
  </conditionalFormatting>
  <conditionalFormatting sqref="G29 G36 G43 G50 G57 G64">
    <cfRule type="cellIs" dxfId="929" priority="458" operator="lessThan">
      <formula>0</formula>
    </cfRule>
    <cfRule type="cellIs" dxfId="928" priority="457" operator="greaterThan">
      <formula>0</formula>
    </cfRule>
  </conditionalFormatting>
  <conditionalFormatting sqref="G31 G38 G45 G52 G59 G66">
    <cfRule type="cellIs" dxfId="927" priority="455" operator="greaterThan">
      <formula>0</formula>
    </cfRule>
    <cfRule type="cellIs" dxfId="926" priority="456" operator="lessThan">
      <formula>0</formula>
    </cfRule>
  </conditionalFormatting>
  <conditionalFormatting sqref="G68">
    <cfRule type="cellIs" dxfId="925" priority="431" operator="greaterThan">
      <formula>0</formula>
    </cfRule>
    <cfRule type="cellIs" dxfId="924" priority="432" operator="lessThan">
      <formula>0</formula>
    </cfRule>
  </conditionalFormatting>
  <conditionalFormatting sqref="G71">
    <cfRule type="cellIs" dxfId="923" priority="427" operator="greaterThan">
      <formula>0</formula>
    </cfRule>
    <cfRule type="cellIs" dxfId="922" priority="428" operator="lessThan">
      <formula>0</formula>
    </cfRule>
  </conditionalFormatting>
  <conditionalFormatting sqref="G73">
    <cfRule type="cellIs" dxfId="921" priority="426" operator="lessThan">
      <formula>0</formula>
    </cfRule>
    <cfRule type="cellIs" dxfId="920" priority="425" operator="greaterThan">
      <formula>0</formula>
    </cfRule>
  </conditionalFormatting>
  <conditionalFormatting sqref="G75">
    <cfRule type="cellIs" dxfId="919" priority="405" operator="greaterThan">
      <formula>0</formula>
    </cfRule>
    <cfRule type="cellIs" dxfId="918" priority="406" operator="lessThan">
      <formula>0</formula>
    </cfRule>
  </conditionalFormatting>
  <conditionalFormatting sqref="G78">
    <cfRule type="cellIs" dxfId="917" priority="401" operator="greaterThan">
      <formula>0</formula>
    </cfRule>
    <cfRule type="cellIs" dxfId="916" priority="402" operator="lessThan">
      <formula>0</formula>
    </cfRule>
  </conditionalFormatting>
  <conditionalFormatting sqref="G80">
    <cfRule type="cellIs" dxfId="915" priority="400" operator="lessThan">
      <formula>0</formula>
    </cfRule>
    <cfRule type="cellIs" dxfId="914" priority="399" operator="greaterThan">
      <formula>0</formula>
    </cfRule>
  </conditionalFormatting>
  <conditionalFormatting sqref="G82">
    <cfRule type="cellIs" dxfId="913" priority="379" operator="greaterThan">
      <formula>0</formula>
    </cfRule>
    <cfRule type="cellIs" dxfId="912" priority="380" operator="lessThan">
      <formula>0</formula>
    </cfRule>
  </conditionalFormatting>
  <conditionalFormatting sqref="G85">
    <cfRule type="cellIs" dxfId="911" priority="376" operator="lessThan">
      <formula>0</formula>
    </cfRule>
    <cfRule type="cellIs" dxfId="910" priority="375" operator="greaterThan">
      <formula>0</formula>
    </cfRule>
  </conditionalFormatting>
  <conditionalFormatting sqref="G87">
    <cfRule type="cellIs" dxfId="909" priority="374" operator="lessThan">
      <formula>0</formula>
    </cfRule>
    <cfRule type="cellIs" dxfId="908" priority="373" operator="greaterThan">
      <formula>0</formula>
    </cfRule>
  </conditionalFormatting>
  <conditionalFormatting sqref="G89">
    <cfRule type="cellIs" dxfId="907" priority="360" operator="lessThan">
      <formula>0</formula>
    </cfRule>
    <cfRule type="cellIs" dxfId="906" priority="359" operator="greaterThan">
      <formula>0</formula>
    </cfRule>
  </conditionalFormatting>
  <conditionalFormatting sqref="G92">
    <cfRule type="cellIs" dxfId="905" priority="356" operator="lessThan">
      <formula>0</formula>
    </cfRule>
    <cfRule type="cellIs" dxfId="904" priority="355" operator="greaterThan">
      <formula>0</formula>
    </cfRule>
  </conditionalFormatting>
  <conditionalFormatting sqref="G94">
    <cfRule type="cellIs" dxfId="903" priority="353" operator="greaterThan">
      <formula>0</formula>
    </cfRule>
    <cfRule type="cellIs" dxfId="902" priority="354" operator="lessThan">
      <formula>0</formula>
    </cfRule>
  </conditionalFormatting>
  <conditionalFormatting sqref="G96">
    <cfRule type="cellIs" dxfId="901" priority="333" operator="greaterThan">
      <formula>0</formula>
    </cfRule>
    <cfRule type="cellIs" dxfId="900" priority="334" operator="lessThan">
      <formula>0</formula>
    </cfRule>
  </conditionalFormatting>
  <conditionalFormatting sqref="G99">
    <cfRule type="cellIs" dxfId="899" priority="330" operator="lessThan">
      <formula>0</formula>
    </cfRule>
    <cfRule type="cellIs" dxfId="898" priority="329" operator="greaterThan">
      <formula>0</formula>
    </cfRule>
  </conditionalFormatting>
  <conditionalFormatting sqref="G101">
    <cfRule type="cellIs" dxfId="897" priority="328" operator="lessThan">
      <formula>0</formula>
    </cfRule>
    <cfRule type="cellIs" dxfId="896" priority="327" operator="greaterThan">
      <formula>0</formula>
    </cfRule>
  </conditionalFormatting>
  <conditionalFormatting sqref="G103">
    <cfRule type="cellIs" dxfId="895" priority="307" operator="greaterThan">
      <formula>0</formula>
    </cfRule>
    <cfRule type="cellIs" dxfId="894" priority="308" operator="lessThan">
      <formula>0</formula>
    </cfRule>
  </conditionalFormatting>
  <conditionalFormatting sqref="G106">
    <cfRule type="cellIs" dxfId="893" priority="304" operator="lessThan">
      <formula>0</formula>
    </cfRule>
    <cfRule type="cellIs" dxfId="892" priority="303" operator="greaterThan">
      <formula>0</formula>
    </cfRule>
  </conditionalFormatting>
  <conditionalFormatting sqref="G108">
    <cfRule type="cellIs" dxfId="891" priority="302" operator="lessThan">
      <formula>0</formula>
    </cfRule>
    <cfRule type="cellIs" dxfId="890" priority="301" operator="greaterThan">
      <formula>0</formula>
    </cfRule>
  </conditionalFormatting>
  <conditionalFormatting sqref="H13">
    <cfRule type="cellIs" dxfId="889" priority="292" operator="greaterThanOrEqual">
      <formula>0.6</formula>
    </cfRule>
  </conditionalFormatting>
  <conditionalFormatting sqref="H15">
    <cfRule type="cellIs" dxfId="888" priority="285" operator="greaterThanOrEqual">
      <formula>H14</formula>
    </cfRule>
    <cfRule type="cellIs" dxfId="887" priority="284" operator="lessThan">
      <formula>H14</formula>
    </cfRule>
  </conditionalFormatting>
  <conditionalFormatting sqref="H38:R38 T38:AL38 H96:T96 V96:AL96">
    <cfRule type="cellIs" dxfId="886" priority="33" operator="greaterThanOrEqual">
      <formula>H37</formula>
    </cfRule>
    <cfRule type="expression" dxfId="885" priority="31">
      <formula>H37=""</formula>
    </cfRule>
    <cfRule type="cellIs" dxfId="884" priority="32" operator="lessThan">
      <formula>H37</formula>
    </cfRule>
  </conditionalFormatting>
  <conditionalFormatting sqref="H96:T96 V96:AL96 H99:AL99 H101:AL101">
    <cfRule type="expression" dxfId="883" priority="21">
      <formula>H$9&gt;$C$7</formula>
    </cfRule>
  </conditionalFormatting>
  <conditionalFormatting sqref="H11:AL11">
    <cfRule type="cellIs" dxfId="882" priority="293" operator="greaterThanOrEqual">
      <formula>H10</formula>
    </cfRule>
    <cfRule type="cellIs" dxfId="881" priority="291" operator="lessThan">
      <formula>H10</formula>
    </cfRule>
    <cfRule type="expression" dxfId="880" priority="495">
      <formula>H10=""</formula>
    </cfRule>
  </conditionalFormatting>
  <conditionalFormatting sqref="H13:AL13">
    <cfRule type="cellIs" dxfId="879" priority="288" operator="lessThan">
      <formula>H12</formula>
    </cfRule>
    <cfRule type="cellIs" dxfId="878" priority="490" operator="between">
      <formula>1.6</formula>
      <formula>2</formula>
    </cfRule>
    <cfRule type="cellIs" dxfId="877" priority="290" operator="greaterThanOrEqual">
      <formula>2</formula>
    </cfRule>
    <cfRule type="cellIs" dxfId="876" priority="289" operator="greaterThanOrEqual">
      <formula>H12</formula>
    </cfRule>
    <cfRule type="expression" dxfId="875" priority="287">
      <formula>H12=""</formula>
    </cfRule>
  </conditionalFormatting>
  <conditionalFormatting sqref="H15:AL15 H11:AL11 H13:AL13">
    <cfRule type="expression" dxfId="874" priority="286">
      <formula>H$9&gt;$C$7</formula>
    </cfRule>
  </conditionalFormatting>
  <conditionalFormatting sqref="H15:AL15">
    <cfRule type="expression" dxfId="873" priority="283">
      <formula>H14=""</formula>
    </cfRule>
  </conditionalFormatting>
  <conditionalFormatting sqref="H19:AL19 H26:AL26 H33:AL33 H40:AL40 H47:AL47 H54:AL54 H61:AL61">
    <cfRule type="cellIs" dxfId="872" priority="92" operator="greaterThanOrEqual">
      <formula>H18</formula>
    </cfRule>
    <cfRule type="cellIs" dxfId="871" priority="91" operator="lessThan">
      <formula>H18</formula>
    </cfRule>
    <cfRule type="expression" dxfId="870" priority="90">
      <formula>H18=""</formula>
    </cfRule>
  </conditionalFormatting>
  <conditionalFormatting sqref="H22:AL22 H29:AL29 H36:AL36 H43:AL43 H50:AL50 H57:AL57 H64:AL64">
    <cfRule type="cellIs" dxfId="869" priority="86" operator="greaterThanOrEqual">
      <formula>H21</formula>
    </cfRule>
    <cfRule type="cellIs" dxfId="868" priority="85" operator="lessThan">
      <formula>H21</formula>
    </cfRule>
    <cfRule type="cellIs" dxfId="867" priority="87" operator="greaterThanOrEqual">
      <formula>2</formula>
    </cfRule>
    <cfRule type="cellIs" dxfId="866" priority="89" operator="greaterThanOrEqual">
      <formula>0.6</formula>
    </cfRule>
    <cfRule type="cellIs" dxfId="865" priority="88" operator="between">
      <formula>1.6</formula>
      <formula>2</formula>
    </cfRule>
    <cfRule type="expression" dxfId="864" priority="81">
      <formula>H21=""</formula>
    </cfRule>
  </conditionalFormatting>
  <conditionalFormatting sqref="H24:AL24 H31:AL31 H45:AL45 H52:AL52 H59:AL59 H66:AL66">
    <cfRule type="cellIs" dxfId="863" priority="84" operator="greaterThanOrEqual">
      <formula>H23</formula>
    </cfRule>
    <cfRule type="cellIs" dxfId="862" priority="83" operator="lessThan">
      <formula>H23</formula>
    </cfRule>
    <cfRule type="expression" dxfId="861" priority="82">
      <formula>H23=""</formula>
    </cfRule>
  </conditionalFormatting>
  <conditionalFormatting sqref="H38:AL38 H19:AL19 H22:AL22 H24:AL24 H26:AL26 H29:AL29 H31:AL31 H33:AL33 H36:AL36 H40:AL40 H43:AL43 H45:AL45 H47:AL47 H50:AL50 H52:AL52 H54:AL54 H57:AL57 H59:AL59 H61:AL61 H64:AL64 H66:AL66">
    <cfRule type="expression" dxfId="860" priority="80">
      <formula>H$9&gt;$C$7</formula>
    </cfRule>
  </conditionalFormatting>
  <conditionalFormatting sqref="H68:AL68 H71:AL71 H73:AL73">
    <cfRule type="expression" dxfId="859" priority="67">
      <formula>H$9&gt;$C$7</formula>
    </cfRule>
  </conditionalFormatting>
  <conditionalFormatting sqref="H68:AL68">
    <cfRule type="cellIs" dxfId="858" priority="79" operator="greaterThanOrEqual">
      <formula>H67</formula>
    </cfRule>
    <cfRule type="cellIs" dxfId="857" priority="78" operator="lessThan">
      <formula>H67</formula>
    </cfRule>
    <cfRule type="expression" dxfId="856" priority="77">
      <formula>H67=""</formula>
    </cfRule>
  </conditionalFormatting>
  <conditionalFormatting sqref="H71:AL71">
    <cfRule type="cellIs" dxfId="855" priority="76" operator="greaterThanOrEqual">
      <formula>0.6</formula>
    </cfRule>
    <cfRule type="cellIs" dxfId="854" priority="75" operator="between">
      <formula>1.6</formula>
      <formula>2</formula>
    </cfRule>
    <cfRule type="cellIs" dxfId="853" priority="74" operator="greaterThanOrEqual">
      <formula>2</formula>
    </cfRule>
    <cfRule type="cellIs" dxfId="852" priority="72" operator="lessThan">
      <formula>H70</formula>
    </cfRule>
    <cfRule type="cellIs" dxfId="851" priority="73" operator="greaterThanOrEqual">
      <formula>H70</formula>
    </cfRule>
    <cfRule type="expression" dxfId="850" priority="68">
      <formula>H70=""</formula>
    </cfRule>
  </conditionalFormatting>
  <conditionalFormatting sqref="H73:AL73">
    <cfRule type="cellIs" dxfId="849" priority="71" operator="greaterThanOrEqual">
      <formula>H72</formula>
    </cfRule>
    <cfRule type="cellIs" dxfId="848" priority="70" operator="lessThan">
      <formula>H72</formula>
    </cfRule>
    <cfRule type="expression" dxfId="847" priority="69">
      <formula>H72=""</formula>
    </cfRule>
  </conditionalFormatting>
  <conditionalFormatting sqref="H75:AL75 H78:AL78 H80:AL80">
    <cfRule type="expression" dxfId="846" priority="54">
      <formula>H$9&gt;$C$7</formula>
    </cfRule>
  </conditionalFormatting>
  <conditionalFormatting sqref="H75:AL75">
    <cfRule type="cellIs" dxfId="845" priority="65" operator="lessThan">
      <formula>H74</formula>
    </cfRule>
    <cfRule type="expression" dxfId="844" priority="64">
      <formula>H74=""</formula>
    </cfRule>
    <cfRule type="cellIs" dxfId="843" priority="66" operator="greaterThanOrEqual">
      <formula>H74</formula>
    </cfRule>
  </conditionalFormatting>
  <conditionalFormatting sqref="H78:AL78">
    <cfRule type="cellIs" dxfId="842" priority="59" operator="lessThan">
      <formula>H77</formula>
    </cfRule>
    <cfRule type="cellIs" dxfId="841" priority="63" operator="greaterThanOrEqual">
      <formula>0.6</formula>
    </cfRule>
    <cfRule type="cellIs" dxfId="840" priority="62" operator="between">
      <formula>1.6</formula>
      <formula>2</formula>
    </cfRule>
    <cfRule type="cellIs" dxfId="839" priority="61" operator="greaterThanOrEqual">
      <formula>2</formula>
    </cfRule>
    <cfRule type="cellIs" dxfId="838" priority="60" operator="greaterThanOrEqual">
      <formula>H77</formula>
    </cfRule>
    <cfRule type="expression" dxfId="837" priority="55">
      <formula>H77=""</formula>
    </cfRule>
  </conditionalFormatting>
  <conditionalFormatting sqref="H80:AL80">
    <cfRule type="cellIs" dxfId="836" priority="58" operator="greaterThanOrEqual">
      <formula>H79</formula>
    </cfRule>
    <cfRule type="cellIs" dxfId="835" priority="57" operator="lessThan">
      <formula>H79</formula>
    </cfRule>
    <cfRule type="expression" dxfId="834" priority="56">
      <formula>H79=""</formula>
    </cfRule>
  </conditionalFormatting>
  <conditionalFormatting sqref="H82:AL82 H85:AL85 H87:AL87">
    <cfRule type="expression" dxfId="833" priority="41">
      <formula>H$9&gt;$C$7</formula>
    </cfRule>
  </conditionalFormatting>
  <conditionalFormatting sqref="H82:AL82">
    <cfRule type="expression" dxfId="832" priority="51">
      <formula>H81=""</formula>
    </cfRule>
    <cfRule type="cellIs" dxfId="831" priority="53" operator="greaterThanOrEqual">
      <formula>H81</formula>
    </cfRule>
    <cfRule type="cellIs" dxfId="830" priority="52" operator="lessThan">
      <formula>H81</formula>
    </cfRule>
  </conditionalFormatting>
  <conditionalFormatting sqref="H85:AL85">
    <cfRule type="cellIs" dxfId="829" priority="47" operator="greaterThanOrEqual">
      <formula>H84</formula>
    </cfRule>
    <cfRule type="expression" dxfId="828" priority="42">
      <formula>H84=""</formula>
    </cfRule>
    <cfRule type="cellIs" dxfId="827" priority="46" operator="lessThan">
      <formula>H84</formula>
    </cfRule>
    <cfRule type="cellIs" dxfId="826" priority="50" operator="greaterThanOrEqual">
      <formula>0.6</formula>
    </cfRule>
    <cfRule type="cellIs" dxfId="825" priority="49" operator="between">
      <formula>1.6</formula>
      <formula>2</formula>
    </cfRule>
    <cfRule type="cellIs" dxfId="824" priority="48" operator="greaterThanOrEqual">
      <formula>2</formula>
    </cfRule>
  </conditionalFormatting>
  <conditionalFormatting sqref="H87:AL87">
    <cfRule type="cellIs" dxfId="823" priority="45" operator="greaterThanOrEqual">
      <formula>H86</formula>
    </cfRule>
    <cfRule type="cellIs" dxfId="822" priority="44" operator="lessThan">
      <formula>H86</formula>
    </cfRule>
    <cfRule type="expression" dxfId="821" priority="43">
      <formula>H86=""</formula>
    </cfRule>
  </conditionalFormatting>
  <conditionalFormatting sqref="H89:AL89 H94:AL94">
    <cfRule type="expression" dxfId="820" priority="34">
      <formula>H$9&gt;$C$7</formula>
    </cfRule>
  </conditionalFormatting>
  <conditionalFormatting sqref="H89:AL89">
    <cfRule type="cellIs" dxfId="819" priority="40" operator="greaterThanOrEqual">
      <formula>H88</formula>
    </cfRule>
    <cfRule type="cellIs" dxfId="818" priority="39" operator="lessThan">
      <formula>H88</formula>
    </cfRule>
    <cfRule type="expression" dxfId="817" priority="38">
      <formula>H88=""</formula>
    </cfRule>
  </conditionalFormatting>
  <conditionalFormatting sqref="H92:AL92">
    <cfRule type="cellIs" dxfId="816" priority="4" operator="greaterThanOrEqual">
      <formula>H91</formula>
    </cfRule>
    <cfRule type="expression" dxfId="815" priority="2">
      <formula>H91=""</formula>
    </cfRule>
    <cfRule type="cellIs" dxfId="814" priority="7" operator="greaterThanOrEqual">
      <formula>0.6</formula>
    </cfRule>
    <cfRule type="expression" dxfId="813" priority="1">
      <formula>H$9&gt;$C$7</formula>
    </cfRule>
    <cfRule type="cellIs" dxfId="812" priority="6" operator="between">
      <formula>1.6</formula>
      <formula>2</formula>
    </cfRule>
    <cfRule type="cellIs" dxfId="811" priority="5" operator="greaterThanOrEqual">
      <formula>2</formula>
    </cfRule>
    <cfRule type="cellIs" dxfId="810" priority="3" operator="lessThan">
      <formula>H91</formula>
    </cfRule>
  </conditionalFormatting>
  <conditionalFormatting sqref="H94:AL94">
    <cfRule type="cellIs" dxfId="809" priority="36" operator="lessThan">
      <formula>H93</formula>
    </cfRule>
    <cfRule type="expression" dxfId="808" priority="35">
      <formula>H93=""</formula>
    </cfRule>
    <cfRule type="cellIs" dxfId="807" priority="37" operator="greaterThanOrEqual">
      <formula>H93</formula>
    </cfRule>
  </conditionalFormatting>
  <conditionalFormatting sqref="H99:AL99">
    <cfRule type="cellIs" dxfId="806" priority="30" operator="greaterThanOrEqual">
      <formula>0.6</formula>
    </cfRule>
    <cfRule type="cellIs" dxfId="805" priority="29" operator="between">
      <formula>1.6</formula>
      <formula>2</formula>
    </cfRule>
    <cfRule type="cellIs" dxfId="804" priority="27" operator="greaterThanOrEqual">
      <formula>H98</formula>
    </cfRule>
    <cfRule type="cellIs" dxfId="803" priority="26" operator="lessThan">
      <formula>H98</formula>
    </cfRule>
    <cfRule type="expression" dxfId="802" priority="22">
      <formula>H98=""</formula>
    </cfRule>
    <cfRule type="cellIs" dxfId="801" priority="28" operator="greaterThanOrEqual">
      <formula>2</formula>
    </cfRule>
  </conditionalFormatting>
  <conditionalFormatting sqref="H101:AL101">
    <cfRule type="cellIs" dxfId="800" priority="25" operator="greaterThanOrEqual">
      <formula>H100</formula>
    </cfRule>
    <cfRule type="cellIs" dxfId="799" priority="24" operator="lessThan">
      <formula>H100</formula>
    </cfRule>
    <cfRule type="expression" dxfId="798" priority="23">
      <formula>H100=""</formula>
    </cfRule>
  </conditionalFormatting>
  <conditionalFormatting sqref="H103:AL103 H106:AL106 H108:AL108">
    <cfRule type="expression" dxfId="797" priority="8">
      <formula>H$9&gt;$C$7</formula>
    </cfRule>
  </conditionalFormatting>
  <conditionalFormatting sqref="H103:AL103">
    <cfRule type="cellIs" dxfId="796" priority="20" operator="greaterThanOrEqual">
      <formula>H102</formula>
    </cfRule>
    <cfRule type="cellIs" dxfId="795" priority="19" operator="lessThan">
      <formula>H102</formula>
    </cfRule>
    <cfRule type="expression" dxfId="794" priority="18">
      <formula>H102=""</formula>
    </cfRule>
  </conditionalFormatting>
  <conditionalFormatting sqref="H106:AL106">
    <cfRule type="cellIs" dxfId="793" priority="16" operator="between">
      <formula>1.6</formula>
      <formula>2</formula>
    </cfRule>
    <cfRule type="cellIs" dxfId="792" priority="15" operator="greaterThanOrEqual">
      <formula>2</formula>
    </cfRule>
    <cfRule type="cellIs" dxfId="791" priority="14" operator="greaterThanOrEqual">
      <formula>H105</formula>
    </cfRule>
    <cfRule type="cellIs" dxfId="790" priority="13" operator="lessThan">
      <formula>H105</formula>
    </cfRule>
    <cfRule type="expression" dxfId="789" priority="9">
      <formula>H105=""</formula>
    </cfRule>
    <cfRule type="cellIs" dxfId="788" priority="17" operator="greaterThanOrEqual">
      <formula>0.6</formula>
    </cfRule>
  </conditionalFormatting>
  <conditionalFormatting sqref="H108:AL108">
    <cfRule type="cellIs" dxfId="787" priority="12" operator="greaterThanOrEqual">
      <formula>H107</formula>
    </cfRule>
    <cfRule type="cellIs" dxfId="786" priority="11" operator="lessThan">
      <formula>H107</formula>
    </cfRule>
    <cfRule type="expression" dxfId="785" priority="10">
      <formula>H107=""</formula>
    </cfRule>
  </conditionalFormatting>
  <conditionalFormatting sqref="I13:AL13">
    <cfRule type="cellIs" dxfId="784" priority="491" operator="greaterThanOrEqual">
      <formula>0.6</formula>
    </cfRule>
  </conditionalFormatting>
  <conditionalFormatting sqref="I15:AL15">
    <cfRule type="cellIs" dxfId="783" priority="488" operator="lessThan">
      <formula>I14</formula>
    </cfRule>
    <cfRule type="cellIs" dxfId="782" priority="489" operator="greaterThanOrEqual">
      <formula>I14</formula>
    </cfRule>
  </conditionalFormatting>
  <conditionalFormatting sqref="S38">
    <cfRule type="expression" dxfId="781" priority="93">
      <formula>S36=""</formula>
    </cfRule>
    <cfRule type="cellIs" dxfId="780" priority="94" operator="lessThan">
      <formula>S36</formula>
    </cfRule>
    <cfRule type="cellIs" dxfId="779" priority="95" operator="greaterThanOrEqual">
      <formula>S36</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344A0-38BC-45CC-8072-68BBE71C8BB9}">
  <dimension ref="A1:H111"/>
  <sheetViews>
    <sheetView topLeftCell="A76" workbookViewId="0">
      <selection activeCell="O63" sqref="O63"/>
    </sheetView>
  </sheetViews>
  <sheetFormatPr defaultRowHeight="15" x14ac:dyDescent="0.25"/>
  <sheetData>
    <row r="1" spans="1:8" x14ac:dyDescent="0.25">
      <c r="A1" s="946" t="s">
        <v>221</v>
      </c>
      <c r="B1" s="947"/>
      <c r="C1" s="947"/>
      <c r="D1" s="947"/>
      <c r="E1" s="252"/>
      <c r="F1" s="947"/>
      <c r="G1" s="252"/>
      <c r="H1" s="252"/>
    </row>
    <row r="2" spans="1:8" x14ac:dyDescent="0.25">
      <c r="A2" s="946" t="s">
        <v>402</v>
      </c>
      <c r="B2" s="948"/>
      <c r="C2" s="946"/>
      <c r="D2" s="947"/>
      <c r="E2" s="252"/>
      <c r="F2" s="947"/>
      <c r="G2" s="252"/>
      <c r="H2" s="252"/>
    </row>
    <row r="3" spans="1:8" x14ac:dyDescent="0.25">
      <c r="A3" s="946" t="str">
        <f>[12]Dashboard!A4</f>
        <v>v2</v>
      </c>
      <c r="B3" s="946"/>
      <c r="C3" s="946"/>
      <c r="D3" s="252"/>
      <c r="E3" s="252"/>
      <c r="F3" s="252"/>
      <c r="G3" s="252"/>
      <c r="H3" s="252"/>
    </row>
    <row r="4" spans="1:8" x14ac:dyDescent="0.25">
      <c r="A4" s="946"/>
      <c r="B4" s="949"/>
      <c r="C4" s="949"/>
      <c r="D4" s="1394">
        <f>INDEX('[12]2025'!Z6:AK6,'[12]2025'!$AL$5)</f>
        <v>45748</v>
      </c>
      <c r="E4" s="252"/>
      <c r="F4" s="1394" t="str">
        <f>INDEX('[12]2025'!U6:X6,'[12]2025'!$Y$5)</f>
        <v>2025Q2</v>
      </c>
      <c r="G4" s="252"/>
      <c r="H4" s="1395" t="s">
        <v>403</v>
      </c>
    </row>
    <row r="5" spans="1:8" x14ac:dyDescent="0.25">
      <c r="A5" s="950"/>
      <c r="B5" s="951" t="s">
        <v>404</v>
      </c>
      <c r="C5" s="949"/>
      <c r="D5" s="947"/>
      <c r="E5" s="252"/>
      <c r="F5" s="947"/>
      <c r="G5" s="252"/>
      <c r="H5" s="252"/>
    </row>
    <row r="6" spans="1:8" x14ac:dyDescent="0.25">
      <c r="A6" s="947"/>
      <c r="B6" s="952" t="s">
        <v>405</v>
      </c>
      <c r="C6" s="947"/>
      <c r="D6" s="1396">
        <f>SUM(D7:D8)</f>
        <v>0</v>
      </c>
      <c r="E6" s="252"/>
      <c r="F6" s="1396">
        <f>SUM(F7:F8)</f>
        <v>0</v>
      </c>
      <c r="G6" s="252"/>
      <c r="H6" s="1396">
        <f>SUM(H7:H8)</f>
        <v>0</v>
      </c>
    </row>
    <row r="7" spans="1:8" x14ac:dyDescent="0.25">
      <c r="A7" s="953"/>
      <c r="B7" s="1397" t="s">
        <v>406</v>
      </c>
      <c r="C7" s="953"/>
      <c r="D7" s="1398">
        <f>D10</f>
        <v>0</v>
      </c>
      <c r="E7" s="185">
        <f t="shared" ref="E7" si="0">E10</f>
        <v>0</v>
      </c>
      <c r="F7" s="1398">
        <f>F10</f>
        <v>0</v>
      </c>
      <c r="G7" s="185"/>
      <c r="H7" s="1398">
        <f>H10</f>
        <v>0</v>
      </c>
    </row>
    <row r="8" spans="1:8" x14ac:dyDescent="0.25">
      <c r="A8" s="953"/>
      <c r="B8" s="954" t="s">
        <v>407</v>
      </c>
      <c r="C8" s="953"/>
      <c r="D8" s="955">
        <f>INDEX('[12]2025'!Z29:AK29,'[12]2025'!$AL$5)</f>
        <v>0</v>
      </c>
      <c r="E8" s="185"/>
      <c r="F8" s="955">
        <f>INDEX('[12]2025'!U29:X29,'[12]2025'!$Y$5)</f>
        <v>0</v>
      </c>
      <c r="G8" s="185"/>
      <c r="H8" s="955">
        <f>'[12]2025'!AL29</f>
        <v>0</v>
      </c>
    </row>
    <row r="9" spans="1:8" x14ac:dyDescent="0.25">
      <c r="A9" s="947"/>
      <c r="B9" s="956"/>
      <c r="C9" s="947"/>
      <c r="D9" s="947"/>
      <c r="E9" s="252"/>
      <c r="F9" s="947"/>
      <c r="G9" s="252"/>
      <c r="H9" s="252"/>
    </row>
    <row r="10" spans="1:8" x14ac:dyDescent="0.25">
      <c r="A10" s="947"/>
      <c r="B10" s="952" t="s">
        <v>408</v>
      </c>
      <c r="C10" s="947"/>
      <c r="D10" s="1399">
        <f>SUM(D11:D12)</f>
        <v>0</v>
      </c>
      <c r="E10" s="252"/>
      <c r="F10" s="1399">
        <f>SUM(F11:F12)</f>
        <v>0</v>
      </c>
      <c r="G10" s="252"/>
      <c r="H10" s="1399">
        <f>SUM(H11:H12)</f>
        <v>0</v>
      </c>
    </row>
    <row r="11" spans="1:8" x14ac:dyDescent="0.25">
      <c r="A11" s="953"/>
      <c r="B11" s="1400" t="s">
        <v>409</v>
      </c>
      <c r="C11" s="953"/>
      <c r="D11" s="1401">
        <f>INDEX('[12]2025'!Z9:AK9,'[12]2025'!$AL$5)</f>
        <v>0</v>
      </c>
      <c r="E11" s="185"/>
      <c r="F11" s="1401">
        <f>INDEX('[12]2025'!U9:X9,'[12]2025'!$Y$5)</f>
        <v>0</v>
      </c>
      <c r="G11" s="185"/>
      <c r="H11" s="1401">
        <f>'[12]2025'!AL9</f>
        <v>0</v>
      </c>
    </row>
    <row r="12" spans="1:8" x14ac:dyDescent="0.25">
      <c r="A12" s="953"/>
      <c r="B12" s="954" t="s">
        <v>410</v>
      </c>
      <c r="C12" s="953"/>
      <c r="D12" s="957">
        <f>INDEX('[12]2025'!Z14:AK14,'[12]2025'!$AL$5)</f>
        <v>0</v>
      </c>
      <c r="E12" s="185"/>
      <c r="F12" s="957">
        <f>INDEX('[12]2025'!U14:X14,'[12]2025'!$Y$5)</f>
        <v>0</v>
      </c>
      <c r="G12" s="185"/>
      <c r="H12" s="957">
        <f>'[12]2025'!AL14</f>
        <v>0</v>
      </c>
    </row>
    <row r="13" spans="1:8" x14ac:dyDescent="0.25">
      <c r="A13" s="947"/>
      <c r="B13" s="956"/>
      <c r="C13" s="947"/>
      <c r="D13" s="947"/>
      <c r="E13" s="252"/>
      <c r="F13" s="947"/>
      <c r="G13" s="252"/>
      <c r="H13" s="252"/>
    </row>
    <row r="14" spans="1:8" x14ac:dyDescent="0.25">
      <c r="A14" s="947"/>
      <c r="B14" s="952" t="s">
        <v>411</v>
      </c>
      <c r="C14" s="947"/>
      <c r="D14" s="958"/>
      <c r="E14" s="252"/>
      <c r="F14" s="958"/>
      <c r="G14" s="252"/>
      <c r="H14" s="958"/>
    </row>
    <row r="15" spans="1:8" x14ac:dyDescent="0.25">
      <c r="A15" s="953"/>
      <c r="B15" s="1402" t="s">
        <v>412</v>
      </c>
      <c r="C15" s="953"/>
      <c r="D15" s="1403">
        <f>IFERROR(D7/D8,0)</f>
        <v>0</v>
      </c>
      <c r="E15" s="959"/>
      <c r="F15" s="1403">
        <f>IFERROR(F7/F8,0)</f>
        <v>0</v>
      </c>
      <c r="G15" s="959"/>
      <c r="H15" s="1403">
        <f>IFERROR(H7/H8,0)</f>
        <v>0</v>
      </c>
    </row>
    <row r="16" spans="1:8" x14ac:dyDescent="0.25">
      <c r="A16" s="947"/>
      <c r="B16" s="947"/>
      <c r="C16" s="947"/>
      <c r="D16" s="947"/>
      <c r="E16" s="252"/>
      <c r="F16" s="947"/>
      <c r="G16" s="252"/>
      <c r="H16" s="252"/>
    </row>
    <row r="17" spans="1:8" x14ac:dyDescent="0.25">
      <c r="A17" s="947"/>
      <c r="B17" s="952" t="s">
        <v>413</v>
      </c>
      <c r="C17" s="947"/>
      <c r="D17" s="1399">
        <f>SUM(D18:D19)</f>
        <v>0</v>
      </c>
      <c r="E17" s="252"/>
      <c r="F17" s="1399">
        <f>SUM(F18:F19)</f>
        <v>0</v>
      </c>
      <c r="G17" s="252"/>
      <c r="H17" s="1396">
        <f>SUM(H18:H19)</f>
        <v>0</v>
      </c>
    </row>
    <row r="18" spans="1:8" x14ac:dyDescent="0.25">
      <c r="A18" s="185"/>
      <c r="B18" s="1400" t="s">
        <v>409</v>
      </c>
      <c r="C18" s="953"/>
      <c r="D18" s="1398">
        <f>INDEX('[12]2025'!Z19:AK19,'[12]2025'!$AL$5)</f>
        <v>0</v>
      </c>
      <c r="E18" s="185"/>
      <c r="F18" s="1398">
        <f>INDEX('[12]2025'!U19:X19,'[12]2025'!$Y$5)</f>
        <v>0</v>
      </c>
      <c r="G18" s="185"/>
      <c r="H18" s="1401">
        <f>+'[12]2025'!AL19</f>
        <v>0</v>
      </c>
    </row>
    <row r="19" spans="1:8" x14ac:dyDescent="0.25">
      <c r="A19" s="185"/>
      <c r="B19" s="954" t="s">
        <v>410</v>
      </c>
      <c r="C19" s="953"/>
      <c r="D19" s="960">
        <f>INDEX('[12]2025'!Z24:AK24,'[12]2025'!$AL$5)</f>
        <v>0</v>
      </c>
      <c r="E19" s="185"/>
      <c r="F19" s="960">
        <f>INDEX('[12]2025'!U24:X24,'[12]2025'!$Y$5)</f>
        <v>0</v>
      </c>
      <c r="G19" s="185"/>
      <c r="H19" s="957">
        <f>+'[12]2025'!AL24</f>
        <v>0</v>
      </c>
    </row>
    <row r="20" spans="1:8" x14ac:dyDescent="0.25">
      <c r="A20" s="947"/>
      <c r="B20" s="956"/>
      <c r="C20" s="947"/>
      <c r="D20" s="947"/>
      <c r="E20" s="252"/>
      <c r="F20" s="947"/>
      <c r="G20" s="252"/>
      <c r="H20" s="252"/>
    </row>
    <row r="21" spans="1:8" x14ac:dyDescent="0.25">
      <c r="A21" s="947"/>
      <c r="B21" s="952" t="s">
        <v>414</v>
      </c>
      <c r="C21" s="947"/>
      <c r="D21" s="1399">
        <f>SUM(D22:D24)</f>
        <v>24344.332000000002</v>
      </c>
      <c r="E21" s="252"/>
      <c r="F21" s="1399">
        <f>SUM(F22:F24)</f>
        <v>24344.332000000002</v>
      </c>
      <c r="G21" s="252"/>
      <c r="H21" s="1399">
        <f>SUM(H22:H24)</f>
        <v>93241.69200000001</v>
      </c>
    </row>
    <row r="22" spans="1:8" x14ac:dyDescent="0.25">
      <c r="A22" s="185"/>
      <c r="B22" s="1397" t="s">
        <v>412</v>
      </c>
      <c r="C22" s="953"/>
      <c r="D22" s="1398">
        <f>INDEX('[12]2025'!Z34:AK34,'[12]2025'!$AL$5)</f>
        <v>0</v>
      </c>
      <c r="E22" s="185"/>
      <c r="F22" s="1398">
        <f>INDEX('[12]2025'!U34:X34,'[12]2025'!$Y$5)</f>
        <v>0</v>
      </c>
      <c r="G22" s="185"/>
      <c r="H22" s="1401">
        <f>+'[12]2025'!AL34</f>
        <v>0</v>
      </c>
    </row>
    <row r="23" spans="1:8" x14ac:dyDescent="0.25">
      <c r="A23" s="185"/>
      <c r="B23" s="961" t="s">
        <v>415</v>
      </c>
      <c r="C23" s="953"/>
      <c r="D23" s="962">
        <f>INDEX('[12]2025'!Z50:AK50,'[12]2025'!$AL$5)</f>
        <v>23930.86</v>
      </c>
      <c r="E23" s="185"/>
      <c r="F23" s="962">
        <f>INDEX('[12]2025'!U50:X50,'[12]2025'!$Y$5)</f>
        <v>23930.86</v>
      </c>
      <c r="G23" s="185"/>
      <c r="H23" s="962">
        <f>+'[12]2025'!AL50</f>
        <v>91038.172000000006</v>
      </c>
    </row>
    <row r="24" spans="1:8" x14ac:dyDescent="0.25">
      <c r="A24" s="185"/>
      <c r="B24" s="954" t="s">
        <v>416</v>
      </c>
      <c r="C24" s="953"/>
      <c r="D24" s="960">
        <f>INDEX('[12]2025'!Z76:AK76,'[12]2025'!$AL$5)</f>
        <v>413.47199999999992</v>
      </c>
      <c r="E24" s="185"/>
      <c r="F24" s="960">
        <f>INDEX('[12]2025'!U76:X76,'[12]2025'!$Y$5)</f>
        <v>413.47199999999992</v>
      </c>
      <c r="G24" s="185"/>
      <c r="H24" s="957">
        <f>+'[12]2025'!AL76</f>
        <v>2203.52</v>
      </c>
    </row>
    <row r="25" spans="1:8" x14ac:dyDescent="0.25">
      <c r="A25" s="947"/>
      <c r="B25" s="956"/>
      <c r="C25" s="947"/>
      <c r="D25" s="947"/>
      <c r="E25" s="252"/>
      <c r="F25" s="947"/>
      <c r="G25" s="252"/>
      <c r="H25" s="252"/>
    </row>
    <row r="26" spans="1:8" x14ac:dyDescent="0.25">
      <c r="A26" s="947"/>
      <c r="B26" s="952" t="s">
        <v>417</v>
      </c>
      <c r="C26" s="947"/>
      <c r="D26" s="1404">
        <f>IFERROR(SUMPRODUCT(D22:D24,D27:D29)/D21,0)</f>
        <v>2.5323363039905962</v>
      </c>
      <c r="E26" s="252"/>
      <c r="F26" s="1404">
        <f>IFERROR(SUMPRODUCT(F22:F24,F27:F29)/F21,0)</f>
        <v>2.5323363039905962</v>
      </c>
      <c r="G26" s="252"/>
      <c r="H26" s="1404">
        <f>IFERROR(SUMPRODUCT(H22:H24,H27:H29)/H21,0)</f>
        <v>2.4140394668084739</v>
      </c>
    </row>
    <row r="27" spans="1:8" x14ac:dyDescent="0.25">
      <c r="A27" s="185"/>
      <c r="B27" s="1397" t="s">
        <v>412</v>
      </c>
      <c r="C27" s="953"/>
      <c r="D27" s="1405">
        <f>INDEX('[12]2025'!Z39:AK39,'[12]2025'!$AL$5)</f>
        <v>0</v>
      </c>
      <c r="E27" s="185"/>
      <c r="F27" s="1405">
        <f>INDEX('[12]2025'!U39:X39,'[12]2025'!$Y$5)</f>
        <v>0</v>
      </c>
      <c r="G27" s="185"/>
      <c r="H27" s="1406">
        <f>+'[12]2025'!AL39</f>
        <v>0</v>
      </c>
    </row>
    <row r="28" spans="1:8" x14ac:dyDescent="0.25">
      <c r="A28" s="185"/>
      <c r="B28" s="961" t="s">
        <v>415</v>
      </c>
      <c r="C28" s="953"/>
      <c r="D28" s="963">
        <f>INDEX('[12]2025'!Z55:AK55,'[12]2025'!$AL$5)</f>
        <v>2.5499999999999998</v>
      </c>
      <c r="E28" s="964"/>
      <c r="F28" s="963">
        <f>INDEX('[12]2025'!U55:X55,'[12]2025'!$Y$5)</f>
        <v>2.5499999999999998</v>
      </c>
      <c r="G28" s="964"/>
      <c r="H28" s="963">
        <f>+'[12]2025'!AL55</f>
        <v>2.4329992719976845</v>
      </c>
    </row>
    <row r="29" spans="1:8" x14ac:dyDescent="0.25">
      <c r="A29" s="185"/>
      <c r="B29" s="954" t="s">
        <v>416</v>
      </c>
      <c r="C29" s="953"/>
      <c r="D29" s="965">
        <f>INDEX('[12]2025'!Z81:AK81,'[12]2025'!$AL$5)</f>
        <v>1.51</v>
      </c>
      <c r="E29" s="964"/>
      <c r="F29" s="965">
        <f>INDEX('[12]2025'!U81:X81,'[12]2025'!$Y$5)</f>
        <v>1.51</v>
      </c>
      <c r="G29" s="964"/>
      <c r="H29" s="966">
        <f>+'[12]2025'!AL81</f>
        <v>1.6307173250072611</v>
      </c>
    </row>
    <row r="30" spans="1:8" x14ac:dyDescent="0.25">
      <c r="A30" s="947"/>
      <c r="B30" s="947"/>
      <c r="C30" s="947"/>
      <c r="D30" s="947"/>
      <c r="E30" s="947"/>
      <c r="F30" s="947"/>
      <c r="G30" s="947"/>
      <c r="H30" s="252"/>
    </row>
    <row r="31" spans="1:8" x14ac:dyDescent="0.25">
      <c r="A31" s="947"/>
      <c r="B31" s="952" t="s">
        <v>418</v>
      </c>
      <c r="C31" s="947"/>
      <c r="D31" s="1407">
        <f>SUM(D32:D34)</f>
        <v>61.648035720000003</v>
      </c>
      <c r="E31" s="252"/>
      <c r="F31" s="1407">
        <f>SUM(F32:F34)</f>
        <v>61.648035720000003</v>
      </c>
      <c r="G31" s="252"/>
      <c r="H31" s="1407">
        <f>SUM(H32:H34)</f>
        <v>225.08912444000001</v>
      </c>
    </row>
    <row r="32" spans="1:8" x14ac:dyDescent="0.25">
      <c r="A32" s="185"/>
      <c r="B32" s="1397" t="s">
        <v>412</v>
      </c>
      <c r="C32" s="953"/>
      <c r="D32" s="1408">
        <f>INDEX('[12]2025'!Z44:AK44,'[12]2025'!$AL$5)</f>
        <v>0</v>
      </c>
      <c r="E32" s="185"/>
      <c r="F32" s="1408">
        <f>INDEX('[12]2025'!U44:X44,'[12]2025'!$Y$5)</f>
        <v>0</v>
      </c>
      <c r="G32" s="185"/>
      <c r="H32" s="1409">
        <f>+'[12]2025'!AL44</f>
        <v>0</v>
      </c>
    </row>
    <row r="33" spans="1:8" x14ac:dyDescent="0.25">
      <c r="A33" s="185"/>
      <c r="B33" s="961" t="s">
        <v>415</v>
      </c>
      <c r="C33" s="953"/>
      <c r="D33" s="967">
        <f>INDEX('[12]2025'!Z60:AK60,'[12]2025'!$AL$5)</f>
        <v>61.023693000000002</v>
      </c>
      <c r="E33" s="968"/>
      <c r="F33" s="967">
        <f>INDEX('[12]2025'!U60:X60,'[12]2025'!$Y$5)</f>
        <v>61.023693000000002</v>
      </c>
      <c r="G33" s="968"/>
      <c r="H33" s="967">
        <f>+'[12]2025'!AL60</f>
        <v>221.4958062</v>
      </c>
    </row>
    <row r="34" spans="1:8" x14ac:dyDescent="0.25">
      <c r="A34" s="185"/>
      <c r="B34" s="954" t="s">
        <v>416</v>
      </c>
      <c r="C34" s="953"/>
      <c r="D34" s="969">
        <f>INDEX('[12]2025'!Z86:AK86,'[12]2025'!$AL$5)</f>
        <v>0.62434271999999991</v>
      </c>
      <c r="E34" s="968"/>
      <c r="F34" s="969">
        <f>INDEX('[12]2025'!U86:X86,'[12]2025'!$Y$5)</f>
        <v>0.62434271999999991</v>
      </c>
      <c r="G34" s="968"/>
      <c r="H34" s="970">
        <f>+'[12]2025'!AL86</f>
        <v>3.5933182399999999</v>
      </c>
    </row>
    <row r="35" spans="1:8" x14ac:dyDescent="0.25">
      <c r="A35" s="947"/>
      <c r="B35" s="947"/>
      <c r="C35" s="947"/>
      <c r="D35" s="947"/>
      <c r="E35" s="947"/>
      <c r="F35" s="947"/>
      <c r="G35" s="947"/>
      <c r="H35" s="252"/>
    </row>
    <row r="36" spans="1:8" x14ac:dyDescent="0.25">
      <c r="A36" s="947"/>
      <c r="B36" s="952" t="s">
        <v>419</v>
      </c>
      <c r="C36" s="947"/>
      <c r="D36" s="1396">
        <f>SUM(D37:D38)</f>
        <v>794.39999999999986</v>
      </c>
      <c r="E36" s="252"/>
      <c r="F36" s="1396">
        <f>SUM(F37:F38)</f>
        <v>794.39999999999986</v>
      </c>
      <c r="G36" s="252"/>
      <c r="H36" s="1396">
        <f>SUM(H37:H38)</f>
        <v>3064.6</v>
      </c>
    </row>
    <row r="37" spans="1:8" x14ac:dyDescent="0.25">
      <c r="A37" s="185"/>
      <c r="B37" s="1397" t="s">
        <v>420</v>
      </c>
      <c r="C37" s="953"/>
      <c r="D37" s="1398">
        <f>INDEX('[12]2025'!Z65:AK65,'[12]2025'!$AL$5)</f>
        <v>710.29999999999984</v>
      </c>
      <c r="E37" s="185"/>
      <c r="F37" s="1398">
        <f>INDEX('[12]2025'!U65:X65,'[12]2025'!$Y$5)</f>
        <v>710.29999999999984</v>
      </c>
      <c r="G37" s="185"/>
      <c r="H37" s="1398">
        <f>+'[12]2025'!AL65</f>
        <v>2905.6</v>
      </c>
    </row>
    <row r="38" spans="1:8" x14ac:dyDescent="0.25">
      <c r="A38" s="185"/>
      <c r="B38" s="954" t="s">
        <v>421</v>
      </c>
      <c r="C38" s="953"/>
      <c r="D38" s="960">
        <f>INDEX('[12]2025'!Z70:AK70,'[12]2025'!$AL$5)</f>
        <v>84.1</v>
      </c>
      <c r="E38" s="185"/>
      <c r="F38" s="960">
        <f>INDEX('[12]2025'!U70:X70,'[12]2025'!$Y$5)</f>
        <v>84.1</v>
      </c>
      <c r="G38" s="185"/>
      <c r="H38" s="955">
        <f>+'[12]2025'!AL70</f>
        <v>159</v>
      </c>
    </row>
    <row r="39" spans="1:8" x14ac:dyDescent="0.25">
      <c r="A39" s="947"/>
      <c r="B39" s="947"/>
      <c r="C39" s="947"/>
      <c r="D39" s="947"/>
      <c r="E39" s="947"/>
      <c r="F39" s="947"/>
      <c r="G39" s="947"/>
      <c r="H39" s="252"/>
    </row>
    <row r="40" spans="1:8" x14ac:dyDescent="0.25">
      <c r="A40" s="947"/>
      <c r="B40" s="951" t="s">
        <v>422</v>
      </c>
      <c r="C40" s="949"/>
      <c r="D40" s="947"/>
      <c r="E40" s="252"/>
      <c r="F40" s="947"/>
      <c r="G40" s="252"/>
      <c r="H40" s="252"/>
    </row>
    <row r="41" spans="1:8" x14ac:dyDescent="0.25">
      <c r="A41" s="947"/>
      <c r="B41" s="952" t="s">
        <v>423</v>
      </c>
      <c r="C41" s="947"/>
      <c r="D41" s="1396">
        <f>SUM(D44:D45)</f>
        <v>784</v>
      </c>
      <c r="E41" s="252"/>
      <c r="F41" s="1396">
        <f>SUM(F44:F45)</f>
        <v>784</v>
      </c>
      <c r="G41" s="252"/>
      <c r="H41" s="1396">
        <f>SUM(H44:H45)</f>
        <v>7800</v>
      </c>
    </row>
    <row r="42" spans="1:8" x14ac:dyDescent="0.25">
      <c r="A42" s="185"/>
      <c r="B42" s="1397" t="s">
        <v>424</v>
      </c>
      <c r="C42" s="953"/>
      <c r="D42" s="1398">
        <f>INDEX('[12]2025'!Z153:AK153,'[12]2025'!$AL$5)</f>
        <v>0</v>
      </c>
      <c r="E42" s="185"/>
      <c r="F42" s="1398">
        <f>INDEX('[12]2025'!U153:X153,'[12]2025'!$Y$5)</f>
        <v>0</v>
      </c>
      <c r="G42" s="185"/>
      <c r="H42" s="1398">
        <f>+'[12]2025'!AL153</f>
        <v>3979</v>
      </c>
    </row>
    <row r="43" spans="1:8" x14ac:dyDescent="0.25">
      <c r="A43" s="185"/>
      <c r="B43" s="961" t="s">
        <v>425</v>
      </c>
      <c r="C43" s="953"/>
      <c r="D43" s="962">
        <f>INDEX('[12]2025'!Z158:AK158,'[12]2025'!$AL$5)</f>
        <v>450</v>
      </c>
      <c r="E43" s="185"/>
      <c r="F43" s="962">
        <f>INDEX('[12]2025'!U158:X158,'[12]2025'!$Y$5)</f>
        <v>450</v>
      </c>
      <c r="G43" s="185"/>
      <c r="H43" s="962">
        <f>+'[12]2025'!AL158</f>
        <v>2170</v>
      </c>
    </row>
    <row r="44" spans="1:8" x14ac:dyDescent="0.25">
      <c r="A44" s="185"/>
      <c r="B44" s="971" t="s">
        <v>426</v>
      </c>
      <c r="C44" s="972"/>
      <c r="D44" s="973">
        <f>SUM(D42:D43)</f>
        <v>450</v>
      </c>
      <c r="E44" s="974"/>
      <c r="F44" s="973">
        <f>SUM(F42:F43)</f>
        <v>450</v>
      </c>
      <c r="G44" s="974"/>
      <c r="H44" s="973">
        <f>SUM(H42:H43)</f>
        <v>6149</v>
      </c>
    </row>
    <row r="45" spans="1:8" x14ac:dyDescent="0.25">
      <c r="A45" s="185"/>
      <c r="B45" s="954" t="s">
        <v>427</v>
      </c>
      <c r="C45" s="953"/>
      <c r="D45" s="960">
        <f>INDEX('[12]2025'!Z109:AK109,'[12]2025'!$AL$5)</f>
        <v>334</v>
      </c>
      <c r="E45" s="185"/>
      <c r="F45" s="960">
        <f>INDEX('[12]2025'!U109:X109,'[12]2025'!$Y$5)</f>
        <v>334</v>
      </c>
      <c r="G45" s="185"/>
      <c r="H45" s="955">
        <f>+'[12]2025'!AL109</f>
        <v>1651</v>
      </c>
    </row>
    <row r="46" spans="1:8" x14ac:dyDescent="0.25">
      <c r="A46" s="947"/>
      <c r="B46" s="947"/>
      <c r="C46" s="947"/>
      <c r="D46" s="947"/>
      <c r="E46" s="947"/>
      <c r="F46" s="947"/>
      <c r="G46" s="947"/>
      <c r="H46" s="252"/>
    </row>
    <row r="47" spans="1:8" x14ac:dyDescent="0.25">
      <c r="A47" s="947"/>
      <c r="B47" s="952" t="s">
        <v>428</v>
      </c>
      <c r="C47" s="947"/>
      <c r="D47" s="1396">
        <f>SUM(D50:D51)</f>
        <v>524</v>
      </c>
      <c r="E47" s="252"/>
      <c r="F47" s="1396">
        <f>SUM(F50:F51)</f>
        <v>524</v>
      </c>
      <c r="G47" s="252"/>
      <c r="H47" s="1396">
        <f>SUM(H50:H51)</f>
        <v>2436</v>
      </c>
    </row>
    <row r="48" spans="1:8" x14ac:dyDescent="0.25">
      <c r="A48" s="185"/>
      <c r="B48" s="1397" t="s">
        <v>429</v>
      </c>
      <c r="C48" s="953"/>
      <c r="D48" s="1398">
        <f>INDEX('[12]2025'!Z115:AK115,'[12]2025'!$AL$5)</f>
        <v>0</v>
      </c>
      <c r="E48" s="185"/>
      <c r="F48" s="1398">
        <f>INDEX('[12]2025'!U115:X115,'[12]2025'!$Y$5)</f>
        <v>0</v>
      </c>
      <c r="G48" s="185"/>
      <c r="H48" s="1398">
        <f>+'[12]2025'!AL115</f>
        <v>0</v>
      </c>
    </row>
    <row r="49" spans="1:8" x14ac:dyDescent="0.25">
      <c r="A49" s="185"/>
      <c r="B49" s="961" t="s">
        <v>430</v>
      </c>
      <c r="C49" s="953"/>
      <c r="D49" s="962">
        <f>INDEX('[12]2025'!Z120:AK120,'[12]2025'!$AL$5)</f>
        <v>190</v>
      </c>
      <c r="E49" s="185"/>
      <c r="F49" s="962">
        <f>INDEX('[12]2025'!U120:X120,'[12]2025'!$Y$5)</f>
        <v>190</v>
      </c>
      <c r="G49" s="185"/>
      <c r="H49" s="962">
        <f>+'[12]2025'!AL120</f>
        <v>785</v>
      </c>
    </row>
    <row r="50" spans="1:8" x14ac:dyDescent="0.25">
      <c r="A50" s="185"/>
      <c r="B50" s="971" t="s">
        <v>431</v>
      </c>
      <c r="C50" s="972"/>
      <c r="D50" s="973">
        <f>SUM(D48:D49)</f>
        <v>190</v>
      </c>
      <c r="E50" s="974"/>
      <c r="F50" s="973">
        <f>SUM(F48:F49)</f>
        <v>190</v>
      </c>
      <c r="G50" s="974"/>
      <c r="H50" s="973">
        <f>SUM(H48:H49)</f>
        <v>785</v>
      </c>
    </row>
    <row r="51" spans="1:8" x14ac:dyDescent="0.25">
      <c r="A51" s="185"/>
      <c r="B51" s="954" t="s">
        <v>432</v>
      </c>
      <c r="C51" s="953"/>
      <c r="D51" s="960">
        <f>INDEX('[12]2025'!Z109:AK109,'[12]2025'!$AL$5)</f>
        <v>334</v>
      </c>
      <c r="E51" s="185"/>
      <c r="F51" s="960">
        <f>INDEX('[12]2025'!U109:X109,'[12]2025'!$Y$5)</f>
        <v>334</v>
      </c>
      <c r="G51" s="185"/>
      <c r="H51" s="955">
        <f>+'[12]2025'!AL109</f>
        <v>1651</v>
      </c>
    </row>
    <row r="52" spans="1:8" x14ac:dyDescent="0.25">
      <c r="A52" s="947"/>
      <c r="B52" s="947"/>
      <c r="C52" s="947"/>
      <c r="D52" s="947"/>
      <c r="E52" s="947"/>
      <c r="F52" s="947"/>
      <c r="G52" s="947"/>
      <c r="H52" s="252"/>
    </row>
    <row r="53" spans="1:8" x14ac:dyDescent="0.25">
      <c r="A53" s="947"/>
      <c r="B53" s="952" t="s">
        <v>433</v>
      </c>
      <c r="C53" s="947"/>
      <c r="D53" s="1396">
        <f>SUM(D54:D55)</f>
        <v>260</v>
      </c>
      <c r="E53" s="252"/>
      <c r="F53" s="1396">
        <f>SUM(F54:F55)</f>
        <v>260</v>
      </c>
      <c r="G53" s="252"/>
      <c r="H53" s="1396">
        <f>SUM(H54:H55)</f>
        <v>5364</v>
      </c>
    </row>
    <row r="54" spans="1:8" x14ac:dyDescent="0.25">
      <c r="A54" s="185"/>
      <c r="B54" s="1397" t="s">
        <v>434</v>
      </c>
      <c r="C54" s="953"/>
      <c r="D54" s="1398">
        <f>INDEX('[12]2025'!Z137:AK137,'[12]2025'!$AL$5)</f>
        <v>0</v>
      </c>
      <c r="E54" s="185"/>
      <c r="F54" s="1398">
        <f>INDEX('[12]2025'!U137:X137,'[12]2025'!$Y$5)</f>
        <v>0</v>
      </c>
      <c r="G54" s="185"/>
      <c r="H54" s="1398">
        <f>+'[12]2025'!AL137</f>
        <v>3979</v>
      </c>
    </row>
    <row r="55" spans="1:8" x14ac:dyDescent="0.25">
      <c r="A55" s="185"/>
      <c r="B55" s="954" t="s">
        <v>435</v>
      </c>
      <c r="C55" s="953"/>
      <c r="D55" s="960">
        <f>INDEX('[12]2025'!Z142:AK142,'[12]2025'!$AL$5)</f>
        <v>260</v>
      </c>
      <c r="E55" s="185"/>
      <c r="F55" s="960">
        <f>INDEX('[12]2025'!U142:X142,'[12]2025'!$Y$5)</f>
        <v>260</v>
      </c>
      <c r="G55" s="185"/>
      <c r="H55" s="955">
        <f>+'[12]2025'!AL142</f>
        <v>1385</v>
      </c>
    </row>
    <row r="56" spans="1:8" x14ac:dyDescent="0.25">
      <c r="A56" s="947"/>
      <c r="B56" s="947"/>
      <c r="C56" s="947"/>
      <c r="D56" s="947"/>
      <c r="E56" s="947"/>
      <c r="F56" s="947"/>
      <c r="G56" s="947"/>
      <c r="H56" s="252"/>
    </row>
    <row r="57" spans="1:8" x14ac:dyDescent="0.25">
      <c r="A57" s="947"/>
      <c r="B57" s="951" t="s">
        <v>436</v>
      </c>
      <c r="C57" s="949"/>
      <c r="D57" s="947"/>
      <c r="E57" s="252"/>
      <c r="F57" s="947"/>
      <c r="G57" s="252"/>
      <c r="H57" s="252"/>
    </row>
    <row r="58" spans="1:8" x14ac:dyDescent="0.25">
      <c r="A58" s="947"/>
      <c r="B58" s="952" t="s">
        <v>437</v>
      </c>
      <c r="C58" s="947"/>
      <c r="D58" s="947"/>
      <c r="E58" s="947"/>
      <c r="F58" s="947"/>
      <c r="G58" s="947"/>
      <c r="H58" s="947"/>
    </row>
    <row r="59" spans="1:8" x14ac:dyDescent="0.25">
      <c r="A59" s="947"/>
      <c r="B59" s="1410" t="s">
        <v>1</v>
      </c>
      <c r="C59" s="947"/>
      <c r="D59" s="1411">
        <f>INDEX('[12]2025'!Z186:AK186,'[12]2025'!$AL$5)</f>
        <v>23089.683900000004</v>
      </c>
      <c r="E59" s="252"/>
      <c r="F59" s="1411">
        <f>INDEX('[12]2025'!U186:X186,'[12]2025'!$Y$5)</f>
        <v>23089.683900000004</v>
      </c>
      <c r="G59" s="252"/>
      <c r="H59" s="1411">
        <f>+'[12]2025'!AL186</f>
        <v>100933.230517</v>
      </c>
    </row>
    <row r="60" spans="1:8" x14ac:dyDescent="0.25">
      <c r="A60" s="947"/>
      <c r="B60" s="975" t="s">
        <v>438</v>
      </c>
      <c r="C60" s="947"/>
      <c r="D60" s="976">
        <f>INDEX('[12]2025'!Z191:AK191,'[12]2025'!$AL$5)</f>
        <v>2.5392950794427005</v>
      </c>
      <c r="E60" s="252"/>
      <c r="F60" s="977">
        <f>INDEX('[12]2025'!U191:X191,'[12]2025'!$Y$5)</f>
        <v>2.5392950794427005</v>
      </c>
      <c r="G60" s="252"/>
      <c r="H60" s="976">
        <f>+'[12]2025'!AL191</f>
        <v>2.1749503983296123</v>
      </c>
    </row>
    <row r="61" spans="1:8" x14ac:dyDescent="0.25">
      <c r="A61" s="947"/>
      <c r="B61" s="947"/>
      <c r="C61" s="947"/>
      <c r="D61" s="947"/>
      <c r="E61" s="947"/>
      <c r="F61" s="947"/>
      <c r="G61" s="947"/>
      <c r="H61" s="252"/>
    </row>
    <row r="62" spans="1:8" x14ac:dyDescent="0.25">
      <c r="A62" s="947"/>
      <c r="B62" s="952" t="s">
        <v>439</v>
      </c>
      <c r="C62" s="947"/>
      <c r="D62" s="1399">
        <f>INDEX('[12]2025'!Z201:AK201,'[12]2025'!$AL$5)</f>
        <v>24001.069800000001</v>
      </c>
      <c r="E62" s="252"/>
      <c r="F62" s="1399">
        <f>INDEX('[12]2025'!U201:X201,'[12]2025'!$Y$5)</f>
        <v>24001.069800000001</v>
      </c>
      <c r="G62" s="252"/>
      <c r="H62" s="1399">
        <f>+'[12]2025'!AL201</f>
        <v>107754.715817</v>
      </c>
    </row>
    <row r="63" spans="1:8" x14ac:dyDescent="0.25">
      <c r="A63" s="185"/>
      <c r="B63" s="1397" t="s">
        <v>440</v>
      </c>
      <c r="C63" s="953"/>
      <c r="D63" s="1398">
        <f>INDEX('[12]2025'!Z216:AK216,'[12]2025'!$AL$5)</f>
        <v>475</v>
      </c>
      <c r="E63" s="185"/>
      <c r="F63" s="1398">
        <f>INDEX('[12]2025'!U216:X216,'[12]2025'!$Y$5)</f>
        <v>475</v>
      </c>
      <c r="G63" s="185"/>
      <c r="H63" s="1401">
        <f>+'[12]2025'!AL216</f>
        <v>709</v>
      </c>
    </row>
    <row r="64" spans="1:8" x14ac:dyDescent="0.25">
      <c r="A64" s="185"/>
      <c r="B64" s="961" t="s">
        <v>415</v>
      </c>
      <c r="C64" s="953"/>
      <c r="D64" s="962">
        <f>INDEX('[12]2025'!Z231:AK231,'[12]2025'!$AL$5)</f>
        <v>23526</v>
      </c>
      <c r="E64" s="185"/>
      <c r="F64" s="962">
        <f>INDEX('[12]2025'!U231:X231,'[12]2025'!$Y$5)</f>
        <v>23526</v>
      </c>
      <c r="G64" s="185"/>
      <c r="H64" s="978">
        <f>+'[12]2025'!AL231</f>
        <v>89197.697</v>
      </c>
    </row>
    <row r="65" spans="1:8" x14ac:dyDescent="0.25">
      <c r="A65" s="185"/>
      <c r="B65" s="954" t="s">
        <v>441</v>
      </c>
      <c r="C65" s="953"/>
      <c r="D65" s="960">
        <f>INDEX('[12]2025'!Z246:AK246,'[12]2025'!$AL$5)</f>
        <v>0</v>
      </c>
      <c r="E65" s="185"/>
      <c r="F65" s="960">
        <f>INDEX('[12]2025'!U246:X246,'[12]2025'!$Y$5)</f>
        <v>0</v>
      </c>
      <c r="G65" s="185"/>
      <c r="H65" s="957">
        <f>+'[12]2025'!AL246</f>
        <v>17848</v>
      </c>
    </row>
    <row r="66" spans="1:8" x14ac:dyDescent="0.25">
      <c r="A66" s="947"/>
      <c r="B66" s="956"/>
      <c r="C66" s="947"/>
      <c r="D66" s="947"/>
      <c r="E66" s="252"/>
      <c r="F66" s="947"/>
      <c r="G66" s="252"/>
      <c r="H66" s="252"/>
    </row>
    <row r="67" spans="1:8" x14ac:dyDescent="0.25">
      <c r="A67" s="947"/>
      <c r="B67" s="952" t="s">
        <v>442</v>
      </c>
      <c r="C67" s="947"/>
      <c r="D67" s="1404">
        <f>INDEX('[12]2025'!Z206:AK206,'[12]2025'!$AL$5)</f>
        <v>2.5392950794427005</v>
      </c>
      <c r="E67" s="252"/>
      <c r="F67" s="1404">
        <f>INDEX('[12]2025'!U206:X206,'[12]2025'!$Y$5)</f>
        <v>2.5392950794427005</v>
      </c>
      <c r="G67" s="252"/>
      <c r="H67" s="1404">
        <f t="shared" ref="H67" si="1">IFERROR(SUMPRODUCT(H63:H65,H68:H70)/H62,0)</f>
        <v>2.1849162724426803</v>
      </c>
    </row>
    <row r="68" spans="1:8" x14ac:dyDescent="0.25">
      <c r="A68" s="185"/>
      <c r="B68" s="1397" t="s">
        <v>440</v>
      </c>
      <c r="C68" s="953"/>
      <c r="D68" s="1405">
        <f>INDEX('[12]2025'!Z221:AK221,'[12]2025'!$AL$5)</f>
        <v>2.0499999999999998</v>
      </c>
      <c r="E68" s="185"/>
      <c r="F68" s="1405">
        <f>INDEX('[12]2025'!U221:X221,'[12]2025'!$Y$5)</f>
        <v>2.0499999999999998</v>
      </c>
      <c r="G68" s="185"/>
      <c r="H68" s="1406">
        <f>+'[12]2025'!AL221</f>
        <v>1.7562623413258112</v>
      </c>
    </row>
    <row r="69" spans="1:8" x14ac:dyDescent="0.25">
      <c r="A69" s="185"/>
      <c r="B69" s="961" t="s">
        <v>415</v>
      </c>
      <c r="C69" s="953"/>
      <c r="D69" s="963">
        <f>INDEX('[12]2025'!Z236:AK236,'[12]2025'!$AL$5)</f>
        <v>2.5499999999999998</v>
      </c>
      <c r="E69" s="185"/>
      <c r="F69" s="963">
        <f>INDEX('[12]2025'!U236:X236,'[12]2025'!$Y$5)</f>
        <v>2.5499999999999998</v>
      </c>
      <c r="G69" s="185"/>
      <c r="H69" s="979">
        <f>+'[12]2025'!AL236</f>
        <v>2.4303672551209474</v>
      </c>
    </row>
    <row r="70" spans="1:8" x14ac:dyDescent="0.25">
      <c r="A70" s="185"/>
      <c r="B70" s="954" t="s">
        <v>441</v>
      </c>
      <c r="C70" s="953"/>
      <c r="D70" s="965">
        <f>INDEX('[12]2025'!Z251:AK251,'[12]2025'!$AL$5)</f>
        <v>0</v>
      </c>
      <c r="E70" s="185"/>
      <c r="F70" s="965">
        <f>INDEX('[12]2025'!U251:X251,'[12]2025'!$Y$5)</f>
        <v>0</v>
      </c>
      <c r="G70" s="185"/>
      <c r="H70" s="966">
        <f>+'[12]2025'!AL251</f>
        <v>0.97527341999103523</v>
      </c>
    </row>
    <row r="71" spans="1:8" x14ac:dyDescent="0.25">
      <c r="A71" s="947"/>
      <c r="B71" s="956"/>
      <c r="C71" s="947"/>
      <c r="D71" s="947"/>
      <c r="E71" s="252"/>
      <c r="F71" s="947"/>
      <c r="G71" s="252"/>
      <c r="H71" s="252"/>
    </row>
    <row r="72" spans="1:8" x14ac:dyDescent="0.25">
      <c r="A72" s="947"/>
      <c r="B72" s="952" t="s">
        <v>443</v>
      </c>
      <c r="C72" s="947"/>
      <c r="D72" s="1407">
        <f>SUM(D73:D75)</f>
        <v>60.965049999999998</v>
      </c>
      <c r="E72" s="980"/>
      <c r="F72" s="1407">
        <f>SUM(F73:F75)</f>
        <v>60.965049999999998</v>
      </c>
      <c r="G72" s="980"/>
      <c r="H72" s="1407">
        <f>SUM(H73:H74)</f>
        <v>218.02835202099999</v>
      </c>
    </row>
    <row r="73" spans="1:8" x14ac:dyDescent="0.25">
      <c r="A73" s="185"/>
      <c r="B73" s="1397" t="s">
        <v>440</v>
      </c>
      <c r="C73" s="953"/>
      <c r="D73" s="1412">
        <f>INDEX('[12]2025'!Z226:AK226,'[12]2025'!$AL$5)</f>
        <v>0.97374999999999989</v>
      </c>
      <c r="E73" s="968"/>
      <c r="F73" s="1412">
        <f>INDEX('[12]2025'!U226:X226,'[12]2025'!$Y$5)</f>
        <v>0.97374999999999989</v>
      </c>
      <c r="G73" s="968"/>
      <c r="H73" s="1409">
        <f>+'[12]2025'!AL226</f>
        <v>1.24519</v>
      </c>
    </row>
    <row r="74" spans="1:8" x14ac:dyDescent="0.25">
      <c r="A74" s="185"/>
      <c r="B74" s="961" t="s">
        <v>415</v>
      </c>
      <c r="C74" s="953"/>
      <c r="D74" s="981">
        <f>INDEX('[12]2025'!Z241:AK241,'[12]2025'!$AL$5)</f>
        <v>59.991299999999995</v>
      </c>
      <c r="E74" s="968"/>
      <c r="F74" s="981">
        <f>INDEX('[12]2025'!U241:X241,'[12]2025'!$Y$5)</f>
        <v>59.991299999999995</v>
      </c>
      <c r="G74" s="968"/>
      <c r="H74" s="982">
        <f>+'[12]2025'!AL241</f>
        <v>216.78316202099998</v>
      </c>
    </row>
    <row r="75" spans="1:8" x14ac:dyDescent="0.25">
      <c r="A75" s="185"/>
      <c r="B75" s="954" t="s">
        <v>441</v>
      </c>
      <c r="C75" s="953"/>
      <c r="D75" s="969">
        <f>INDEX('[12]2025'!Z256:AK256,'[12]2025'!$AL$5)</f>
        <v>0</v>
      </c>
      <c r="E75" s="968"/>
      <c r="F75" s="969">
        <f>INDEX('[12]2025'!U256:X256,'[12]2025'!$Y$5)</f>
        <v>0</v>
      </c>
      <c r="G75" s="968"/>
      <c r="H75" s="970">
        <f>+'[12]2025'!AL256</f>
        <v>17.406679999999998</v>
      </c>
    </row>
    <row r="76" spans="1:8" x14ac:dyDescent="0.25">
      <c r="A76" s="947"/>
      <c r="B76" s="956"/>
      <c r="C76" s="947"/>
      <c r="D76" s="983"/>
      <c r="E76" s="252"/>
      <c r="F76" s="983"/>
      <c r="G76" s="252"/>
      <c r="H76" s="252"/>
    </row>
    <row r="77" spans="1:8" x14ac:dyDescent="0.25">
      <c r="A77" s="947"/>
      <c r="B77" s="952" t="s">
        <v>444</v>
      </c>
      <c r="C77" s="947"/>
      <c r="D77" s="947"/>
      <c r="E77" s="252"/>
      <c r="F77" s="947"/>
      <c r="G77" s="252"/>
      <c r="H77" s="252"/>
    </row>
    <row r="78" spans="1:8" x14ac:dyDescent="0.25">
      <c r="A78" s="947"/>
      <c r="B78" s="1410" t="s">
        <v>445</v>
      </c>
      <c r="C78" s="947"/>
      <c r="D78" s="1413">
        <f>INDEX('[12]2025'!Z261:AK261,'[12]2025'!$AL$5)</f>
        <v>0.27611127209827852</v>
      </c>
      <c r="E78" s="984"/>
      <c r="F78" s="1413">
        <f>INDEX('[12]2025'!U261:X261,'[12]2025'!$Y$5)</f>
        <v>0.27613255997926422</v>
      </c>
      <c r="G78" s="984"/>
      <c r="H78" s="1414">
        <f>+'[12]2025'!AL261</f>
        <v>0.27807182628038468</v>
      </c>
    </row>
    <row r="79" spans="1:8" x14ac:dyDescent="0.25">
      <c r="A79" s="947"/>
      <c r="B79" s="975" t="s">
        <v>446</v>
      </c>
      <c r="C79" s="947"/>
      <c r="D79" s="985">
        <f>INDEX('[12]2025'!Z266:AK266,'[12]2025'!$AL$5)</f>
        <v>0.89125621428768054</v>
      </c>
      <c r="E79" s="252"/>
      <c r="F79" s="985">
        <f>INDEX('[12]2025'!U266:X266,'[12]2025'!$Y$5)</f>
        <v>0.89125621428768054</v>
      </c>
      <c r="G79" s="252"/>
      <c r="H79" s="986">
        <f>+'[12]2025'!AL266</f>
        <v>0.87279952543456196</v>
      </c>
    </row>
    <row r="80" spans="1:8" x14ac:dyDescent="0.25">
      <c r="A80" s="947"/>
      <c r="B80" s="947"/>
      <c r="C80" s="947"/>
      <c r="D80" s="947"/>
      <c r="E80" s="252"/>
      <c r="F80" s="947"/>
      <c r="G80" s="252"/>
      <c r="H80" s="252"/>
    </row>
    <row r="81" spans="1:8" x14ac:dyDescent="0.25">
      <c r="A81" s="947"/>
      <c r="B81" s="952" t="s">
        <v>447</v>
      </c>
      <c r="C81" s="947"/>
      <c r="D81" s="1415">
        <f>INDEX('[12]2025'!Z276:AK276,'[12]2025'!$AL$5)</f>
        <v>52.14756809</v>
      </c>
      <c r="E81" s="252"/>
      <c r="F81" s="1415">
        <f>INDEX('[12]2025'!U276:X276,'[12]2025'!$Y$5)</f>
        <v>52.14756809</v>
      </c>
      <c r="G81" s="252"/>
      <c r="H81" s="1416">
        <f>SUM(H82:H83)</f>
        <v>205.59807538991794</v>
      </c>
    </row>
    <row r="82" spans="1:8" x14ac:dyDescent="0.25">
      <c r="A82" s="947"/>
      <c r="B82" s="1397" t="s">
        <v>448</v>
      </c>
      <c r="C82" s="953"/>
      <c r="D82" s="1412">
        <f>INDEX('[12]2025'!Z271:AK271,'[12]2025'!$AL$5)</f>
        <v>54.318321598385793</v>
      </c>
      <c r="E82" s="968"/>
      <c r="F82" s="1412">
        <f>INDEX('[12]2025'!U271:X271,'[12]2025'!$Y$5)</f>
        <v>54.318321598385793</v>
      </c>
      <c r="G82" s="968"/>
      <c r="H82" s="1409">
        <f>+'[12]2025'!AL271</f>
        <v>205.59807538991794</v>
      </c>
    </row>
    <row r="83" spans="1:8" x14ac:dyDescent="0.25">
      <c r="A83" s="947"/>
      <c r="B83" s="961" t="s">
        <v>449</v>
      </c>
      <c r="C83" s="953"/>
      <c r="D83" s="981">
        <f>INDEX('[12]2025'!Z281:AK281,'[12]2025'!$AL$5)</f>
        <v>-2.1707535083857934</v>
      </c>
      <c r="E83" s="968"/>
      <c r="F83" s="981">
        <f>INDEX('[12]2025'!U281:X281,'[12]2025'!$Y$5)</f>
        <v>-2.1707535083857934</v>
      </c>
      <c r="G83" s="968"/>
      <c r="H83" s="982">
        <f>+'[12]2025'!AL281</f>
        <v>0</v>
      </c>
    </row>
    <row r="84" spans="1:8" x14ac:dyDescent="0.25">
      <c r="A84" s="947"/>
      <c r="B84" s="975" t="s">
        <v>450</v>
      </c>
      <c r="C84" s="947"/>
      <c r="D84" s="987">
        <f>INDEX('[12]2025'!Z282:AK282,'[12]2025'!$AL$5)</f>
        <v>6.1493939005503098</v>
      </c>
      <c r="E84" s="980"/>
      <c r="F84" s="987">
        <f>INDEX('[12]2025'!U282:X282,'[12]2025'!$Y$5)</f>
        <v>6.1493939005503098</v>
      </c>
      <c r="G84" s="980"/>
      <c r="H84" s="988">
        <f>+'[12]2025'!AL282</f>
        <v>8.5280000000000005</v>
      </c>
    </row>
    <row r="85" spans="1:8" x14ac:dyDescent="0.25">
      <c r="A85" s="947"/>
      <c r="B85" s="989"/>
      <c r="C85" s="947"/>
      <c r="D85" s="947"/>
      <c r="E85" s="252"/>
      <c r="F85" s="947"/>
      <c r="G85" s="252"/>
      <c r="H85" s="252"/>
    </row>
    <row r="86" spans="1:8" x14ac:dyDescent="0.25">
      <c r="A86" s="947"/>
      <c r="B86" s="951" t="s">
        <v>451</v>
      </c>
      <c r="C86" s="947"/>
      <c r="D86" s="947"/>
      <c r="E86" s="252"/>
      <c r="F86" s="947"/>
      <c r="G86" s="252"/>
      <c r="H86" s="252"/>
    </row>
    <row r="87" spans="1:8" x14ac:dyDescent="0.25">
      <c r="A87" s="947"/>
      <c r="B87" s="952" t="s">
        <v>452</v>
      </c>
      <c r="C87" s="947"/>
      <c r="D87" s="1396">
        <f>SUM(D88:D89)</f>
        <v>39736.205000000002</v>
      </c>
      <c r="E87" s="252"/>
      <c r="F87" s="1417">
        <f>SUM(F88:F89)</f>
        <v>39736.205000000002</v>
      </c>
      <c r="G87" s="252"/>
      <c r="H87" s="1417">
        <f>SUM(H88:H89)</f>
        <v>0</v>
      </c>
    </row>
    <row r="88" spans="1:8" x14ac:dyDescent="0.25">
      <c r="A88" s="185"/>
      <c r="B88" s="1397" t="s">
        <v>453</v>
      </c>
      <c r="C88" s="953"/>
      <c r="D88" s="1418">
        <f>INDEX('[12]2025'!Z291:AK291,'[12]2025'!$AL$5)</f>
        <v>39611.845000000001</v>
      </c>
      <c r="E88" s="185"/>
      <c r="F88" s="1418">
        <f>INDEX('[12]2025'!U291:X291,'[12]2025'!$Y$5)</f>
        <v>39611.845000000001</v>
      </c>
      <c r="G88" s="185"/>
      <c r="H88" s="1419">
        <f>+'[12]2025'!AL291</f>
        <v>0</v>
      </c>
    </row>
    <row r="89" spans="1:8" x14ac:dyDescent="0.25">
      <c r="A89" s="185"/>
      <c r="B89" s="954" t="s">
        <v>454</v>
      </c>
      <c r="C89" s="953"/>
      <c r="D89" s="990">
        <f>INDEX('[12]2025'!Z306:AK306,'[12]2025'!$AL$5)</f>
        <v>124.36000000000001</v>
      </c>
      <c r="E89" s="185"/>
      <c r="F89" s="990">
        <f>INDEX('[12]2025'!U306:X306,'[12]2025'!$Y$5)</f>
        <v>124.36000000000001</v>
      </c>
      <c r="G89" s="185"/>
      <c r="H89" s="991">
        <f>+'[12]2025'!AL306</f>
        <v>0</v>
      </c>
    </row>
    <row r="90" spans="1:8" x14ac:dyDescent="0.25">
      <c r="A90" s="947"/>
      <c r="B90" s="989"/>
      <c r="C90" s="947"/>
      <c r="D90" s="947"/>
      <c r="E90" s="252"/>
      <c r="F90" s="947"/>
      <c r="G90" s="252"/>
      <c r="H90" s="252"/>
    </row>
    <row r="91" spans="1:8" x14ac:dyDescent="0.25">
      <c r="A91" s="947"/>
      <c r="B91" s="952" t="s">
        <v>455</v>
      </c>
      <c r="C91" s="947"/>
      <c r="D91" s="1404">
        <f>IFERROR(SUMPRODUCT(D88:D89,D92:D93)/D87,0)</f>
        <v>0.75918278553299678</v>
      </c>
      <c r="E91" s="252"/>
      <c r="F91" s="1404">
        <f>IFERROR(SUMPRODUCT(F88:F89,F92:F93)/F87,0)</f>
        <v>0.75918278553299678</v>
      </c>
      <c r="G91" s="252"/>
      <c r="H91" s="1404">
        <f>IFERROR(SUMPRODUCT(H88:H89,H92:H93)/H87,0)</f>
        <v>0</v>
      </c>
    </row>
    <row r="92" spans="1:8" x14ac:dyDescent="0.25">
      <c r="A92" s="185"/>
      <c r="B92" s="1397" t="s">
        <v>453</v>
      </c>
      <c r="C92" s="953"/>
      <c r="D92" s="1420">
        <f>INDEX('[12]2025'!Z296:AK296,'[12]2025'!$AL$5)</f>
        <v>0.75507543257351928</v>
      </c>
      <c r="E92" s="964"/>
      <c r="F92" s="1420">
        <f>INDEX('[12]2025'!U296:X296,'[12]2025'!$Y$5)</f>
        <v>0.75507543257351928</v>
      </c>
      <c r="G92" s="964"/>
      <c r="H92" s="1421">
        <f>+'[12]2025'!AL296</f>
        <v>0</v>
      </c>
    </row>
    <row r="93" spans="1:8" x14ac:dyDescent="0.25">
      <c r="A93" s="185"/>
      <c r="B93" s="954" t="s">
        <v>454</v>
      </c>
      <c r="C93" s="953"/>
      <c r="D93" s="992">
        <f>INDEX('[12]2025'!Z311:AK311,'[12]2025'!$AL$5)</f>
        <v>2.0674798970730137</v>
      </c>
      <c r="E93" s="964"/>
      <c r="F93" s="992">
        <f>INDEX('[12]2025'!U311:X311,'[12]2025'!$Y$5)</f>
        <v>2.0674798970730137</v>
      </c>
      <c r="G93" s="964"/>
      <c r="H93" s="993">
        <f>+'[12]2025'!AL311</f>
        <v>0</v>
      </c>
    </row>
    <row r="94" spans="1:8" x14ac:dyDescent="0.25">
      <c r="A94" s="947"/>
      <c r="B94" s="989"/>
      <c r="C94" s="947"/>
      <c r="D94" s="947"/>
      <c r="E94" s="252"/>
      <c r="F94" s="947"/>
      <c r="G94" s="252"/>
      <c r="H94" s="252"/>
    </row>
    <row r="95" spans="1:8" x14ac:dyDescent="0.25">
      <c r="A95" s="947"/>
      <c r="B95" s="952" t="s">
        <v>456</v>
      </c>
      <c r="C95" s="947"/>
      <c r="D95" s="1416">
        <f>SUM(D96:D97)</f>
        <v>30.167042798410197</v>
      </c>
      <c r="E95" s="994"/>
      <c r="F95" s="1416">
        <f>SUM(F96:F97)</f>
        <v>30.167042798410197</v>
      </c>
      <c r="G95" s="994"/>
      <c r="H95" s="1416">
        <f>SUM(H96:H97)</f>
        <v>0</v>
      </c>
    </row>
    <row r="96" spans="1:8" x14ac:dyDescent="0.25">
      <c r="A96" s="185"/>
      <c r="B96" s="1397" t="s">
        <v>453</v>
      </c>
      <c r="C96" s="953"/>
      <c r="D96" s="1422">
        <f>INDEX('[12]2025'!Z301:AK301,'[12]2025'!$AL$5)</f>
        <v>29.909930998410196</v>
      </c>
      <c r="E96" s="995"/>
      <c r="F96" s="1422">
        <f>INDEX('[12]2025'!U301:X301,'[12]2025'!$Y$5)</f>
        <v>29.909930998410196</v>
      </c>
      <c r="G96" s="995"/>
      <c r="H96" s="1423">
        <f>+'[12]2025'!AL301</f>
        <v>0</v>
      </c>
    </row>
    <row r="97" spans="1:8" x14ac:dyDescent="0.25">
      <c r="A97" s="185"/>
      <c r="B97" s="954" t="s">
        <v>454</v>
      </c>
      <c r="C97" s="953"/>
      <c r="D97" s="996">
        <f>INDEX('[12]2025'!Z316:AK316,'[12]2025'!$AL$5)</f>
        <v>0.2571118</v>
      </c>
      <c r="E97" s="995"/>
      <c r="F97" s="996">
        <f>INDEX('[12]2025'!U316:X316,'[12]2025'!$Y$5)</f>
        <v>0.2571118</v>
      </c>
      <c r="G97" s="995"/>
      <c r="H97" s="997">
        <f>+'[12]2025'!AL316</f>
        <v>0</v>
      </c>
    </row>
    <row r="98" spans="1:8" x14ac:dyDescent="0.25">
      <c r="A98" s="947"/>
      <c r="B98" s="947"/>
      <c r="C98" s="947"/>
      <c r="D98" s="947"/>
      <c r="E98" s="252"/>
      <c r="F98" s="947"/>
      <c r="G98" s="252"/>
      <c r="H98" s="252"/>
    </row>
    <row r="99" spans="1:8" x14ac:dyDescent="0.25">
      <c r="A99" s="947"/>
      <c r="B99" s="951" t="s">
        <v>457</v>
      </c>
      <c r="C99" s="947"/>
      <c r="D99" s="947"/>
      <c r="E99" s="252"/>
      <c r="F99" s="947"/>
      <c r="G99" s="252"/>
      <c r="H99" s="252"/>
    </row>
    <row r="100" spans="1:8" x14ac:dyDescent="0.25">
      <c r="A100" s="947"/>
      <c r="B100" s="952" t="s">
        <v>458</v>
      </c>
      <c r="C100" s="947"/>
      <c r="D100" s="1424">
        <f>AVERAGE(D101:D106)</f>
        <v>0.95166666666666666</v>
      </c>
      <c r="E100" s="998"/>
      <c r="F100" s="1424">
        <f>AVERAGE(F101:F106)</f>
        <v>0.95166666666666666</v>
      </c>
      <c r="G100" s="998"/>
      <c r="H100" s="1424">
        <f>AVERAGE(H101:H106)</f>
        <v>0.96333333333333326</v>
      </c>
    </row>
    <row r="101" spans="1:8" x14ac:dyDescent="0.25">
      <c r="A101" s="185"/>
      <c r="B101" s="1397" t="s">
        <v>459</v>
      </c>
      <c r="C101" s="953"/>
      <c r="D101" s="1425">
        <f>INDEX('[12]2025'!Z327:AK327,'[12]2025'!$AL$5)</f>
        <v>0.97</v>
      </c>
      <c r="E101" s="999"/>
      <c r="F101" s="1425">
        <f>INDEX('[12]2025'!U327:X327,'[12]2025'!$Y$5)</f>
        <v>0.97</v>
      </c>
      <c r="G101" s="999"/>
      <c r="H101" s="1426">
        <f>+'[12]2025'!AL327</f>
        <v>0.9524999999999999</v>
      </c>
    </row>
    <row r="102" spans="1:8" x14ac:dyDescent="0.25">
      <c r="A102" s="185"/>
      <c r="B102" s="961" t="s">
        <v>460</v>
      </c>
      <c r="C102" s="953"/>
      <c r="D102" s="1000">
        <f>INDEX('[12]2025'!Z331:AK331,'[12]2025'!$AL$5)</f>
        <v>0.97</v>
      </c>
      <c r="E102" s="999"/>
      <c r="F102" s="1000">
        <f>INDEX('[12]2025'!U331:X331,'[12]2025'!$Y$5)</f>
        <v>0.97</v>
      </c>
      <c r="G102" s="999"/>
      <c r="H102" s="1001">
        <f>+'[12]2025'!AL331</f>
        <v>0.97249999999999992</v>
      </c>
    </row>
    <row r="103" spans="1:8" x14ac:dyDescent="0.25">
      <c r="A103" s="185"/>
      <c r="B103" s="961" t="s">
        <v>461</v>
      </c>
      <c r="C103" s="953"/>
      <c r="D103" s="1000">
        <f>INDEX('[12]2025'!Z335:AK335,'[12]2025'!$AL$5)</f>
        <v>0.95</v>
      </c>
      <c r="E103" s="999"/>
      <c r="F103" s="1000">
        <f>INDEX('[12]2025'!U335:X335,'[12]2025'!$Y$5)</f>
        <v>0.95</v>
      </c>
      <c r="G103" s="999"/>
      <c r="H103" s="1001">
        <f>+'[12]2025'!AL335</f>
        <v>0.98750000000000004</v>
      </c>
    </row>
    <row r="104" spans="1:8" x14ac:dyDescent="0.25">
      <c r="A104" s="185"/>
      <c r="B104" s="961" t="s">
        <v>462</v>
      </c>
      <c r="C104" s="953"/>
      <c r="D104" s="1000">
        <f>INDEX('[12]2025'!Z339:AK339,'[12]2025'!$AL$5)</f>
        <v>0.95</v>
      </c>
      <c r="E104" s="999"/>
      <c r="F104" s="1000">
        <f>INDEX('[12]2025'!U339:X339,'[12]2025'!$Y$5)</f>
        <v>0.95</v>
      </c>
      <c r="G104" s="999"/>
      <c r="H104" s="1001">
        <f>+'[12]2025'!AL339</f>
        <v>0.97</v>
      </c>
    </row>
    <row r="105" spans="1:8" x14ac:dyDescent="0.25">
      <c r="A105" s="185"/>
      <c r="B105" s="961" t="s">
        <v>463</v>
      </c>
      <c r="C105" s="953"/>
      <c r="D105" s="1000">
        <f>INDEX('[12]2025'!Z343:AK343,'[12]2025'!$AL$5)</f>
        <v>0.88</v>
      </c>
      <c r="E105" s="999"/>
      <c r="F105" s="1000">
        <f>INDEX('[12]2025'!U343:X343,'[12]2025'!$Y$5)</f>
        <v>0.88</v>
      </c>
      <c r="G105" s="999"/>
      <c r="H105" s="1001">
        <f>+'[12]2025'!AL343</f>
        <v>0.89999999999999991</v>
      </c>
    </row>
    <row r="106" spans="1:8" x14ac:dyDescent="0.25">
      <c r="A106" s="185"/>
      <c r="B106" s="954" t="s">
        <v>464</v>
      </c>
      <c r="C106" s="953"/>
      <c r="D106" s="1002">
        <f>INDEX('[12]2025'!Z347:AK347,'[12]2025'!$AL$5)</f>
        <v>0.99</v>
      </c>
      <c r="E106" s="999"/>
      <c r="F106" s="1002">
        <f>INDEX('[12]2025'!U347:X347,'[12]2025'!$Y$5)</f>
        <v>0.99</v>
      </c>
      <c r="G106" s="999"/>
      <c r="H106" s="1003">
        <f>+'[12]2025'!AL347</f>
        <v>0.99750000000000005</v>
      </c>
    </row>
    <row r="107" spans="1:8" x14ac:dyDescent="0.25">
      <c r="A107" s="947"/>
      <c r="B107" s="1004"/>
      <c r="C107" s="947"/>
      <c r="D107" s="947"/>
      <c r="E107" s="252"/>
      <c r="F107" s="947"/>
      <c r="G107" s="252"/>
      <c r="H107" s="252"/>
    </row>
    <row r="108" spans="1:8" x14ac:dyDescent="0.25">
      <c r="A108" s="947"/>
      <c r="B108" s="951" t="s">
        <v>465</v>
      </c>
      <c r="C108" s="947"/>
      <c r="D108" s="947"/>
      <c r="E108" s="252"/>
      <c r="F108" s="947"/>
      <c r="G108" s="252"/>
      <c r="H108" s="252"/>
    </row>
    <row r="109" spans="1:8" x14ac:dyDescent="0.25">
      <c r="A109" s="947"/>
      <c r="B109" s="952" t="s">
        <v>466</v>
      </c>
      <c r="C109" s="947"/>
      <c r="D109" s="1424">
        <f>AVERAGE(D110:D111)</f>
        <v>0.54</v>
      </c>
      <c r="E109" s="998"/>
      <c r="F109" s="1424">
        <f>AVERAGE(F110:F111)</f>
        <v>0.54</v>
      </c>
      <c r="G109" s="998"/>
      <c r="H109" s="1424">
        <f>AVERAGE(H110:H111)</f>
        <v>0.60441305079044738</v>
      </c>
    </row>
    <row r="110" spans="1:8" x14ac:dyDescent="0.25">
      <c r="A110" s="185"/>
      <c r="B110" s="1397" t="s">
        <v>459</v>
      </c>
      <c r="C110" s="953"/>
      <c r="D110" s="1425">
        <f>INDEX('[12]2025'!Z353:AK353,'[12]2025'!$AL$5)</f>
        <v>0.41</v>
      </c>
      <c r="E110" s="999"/>
      <c r="F110" s="1425">
        <f>INDEX('[12]2025'!U353:X353,'[12]2025'!$Y$5)</f>
        <v>0.41</v>
      </c>
      <c r="G110" s="999"/>
      <c r="H110" s="1426">
        <f>+'[12]2025'!AL353</f>
        <v>0.47632610158089478</v>
      </c>
    </row>
    <row r="111" spans="1:8" x14ac:dyDescent="0.25">
      <c r="A111" s="185"/>
      <c r="B111" s="954" t="s">
        <v>460</v>
      </c>
      <c r="C111" s="953"/>
      <c r="D111" s="1002">
        <f>INDEX('[12]2025'!Z357:AK357,'[12]2025'!$AL$5)</f>
        <v>0.67</v>
      </c>
      <c r="E111" s="999"/>
      <c r="F111" s="1002">
        <f>INDEX('[12]2025'!U357:X357,'[12]2025'!$Y$5)</f>
        <v>0.67</v>
      </c>
      <c r="G111" s="999"/>
      <c r="H111" s="1003">
        <f>+'[12]2025'!AL357</f>
        <v>0.73250000000000004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9D81F-C872-4912-9479-0FE0715DBDC6}">
  <dimension ref="A1:AO136"/>
  <sheetViews>
    <sheetView topLeftCell="A3" workbookViewId="0">
      <selection activeCell="E16" sqref="E16"/>
    </sheetView>
  </sheetViews>
  <sheetFormatPr defaultRowHeight="15" x14ac:dyDescent="0.25"/>
  <sheetData>
    <row r="1" spans="2:41" ht="15.75" thickBot="1" x14ac:dyDescent="0.3">
      <c r="C1" s="182"/>
      <c r="D1" s="182"/>
      <c r="E1" s="182"/>
      <c r="F1" s="239"/>
      <c r="G1" s="184"/>
      <c r="H1" s="240"/>
      <c r="I1" s="240"/>
      <c r="J1" s="182"/>
      <c r="K1" s="182"/>
      <c r="L1" s="182"/>
      <c r="M1" s="182"/>
      <c r="N1" s="182"/>
      <c r="O1" s="182"/>
      <c r="P1" s="182"/>
      <c r="Q1" s="182"/>
      <c r="R1" s="182"/>
      <c r="S1" s="182"/>
      <c r="T1" s="182"/>
      <c r="U1" s="182"/>
      <c r="V1" s="182"/>
      <c r="W1" s="182"/>
      <c r="X1" s="182"/>
      <c r="Y1" s="182"/>
      <c r="Z1" s="182"/>
      <c r="AA1" s="182"/>
      <c r="AB1" s="182"/>
      <c r="AC1" s="182"/>
      <c r="AD1" s="182"/>
      <c r="AE1" s="182"/>
      <c r="AF1" s="182"/>
      <c r="AG1" s="182"/>
      <c r="AH1" s="182"/>
      <c r="AI1" s="182"/>
      <c r="AJ1" s="182"/>
      <c r="AK1" s="182"/>
      <c r="AL1" s="182"/>
      <c r="AM1" s="182"/>
      <c r="AN1" s="182"/>
      <c r="AO1" s="182"/>
    </row>
    <row r="2" spans="2:41" ht="15.75" thickBot="1" x14ac:dyDescent="0.3">
      <c r="C2" s="182"/>
      <c r="D2" s="183" t="s">
        <v>221</v>
      </c>
      <c r="E2" s="182"/>
      <c r="F2" s="181"/>
      <c r="G2" s="182"/>
      <c r="H2" s="182"/>
      <c r="I2" s="182"/>
      <c r="J2" s="1647" t="s">
        <v>310</v>
      </c>
      <c r="K2" s="1648"/>
      <c r="L2" s="182"/>
      <c r="M2" s="1647" t="s">
        <v>311</v>
      </c>
      <c r="N2" s="1649"/>
      <c r="O2" s="1649"/>
      <c r="P2" s="1648"/>
      <c r="Q2" s="182"/>
      <c r="R2" s="241" t="s">
        <v>312</v>
      </c>
      <c r="S2" s="242"/>
      <c r="T2" s="243"/>
      <c r="U2" s="182"/>
      <c r="V2" s="182"/>
      <c r="W2" s="182"/>
      <c r="X2" s="182"/>
      <c r="Y2" s="182"/>
      <c r="Z2" s="182"/>
      <c r="AA2" s="182"/>
      <c r="AB2" s="182"/>
      <c r="AC2" s="182"/>
      <c r="AD2" s="182"/>
      <c r="AE2" s="182"/>
      <c r="AF2" s="182"/>
      <c r="AG2" s="182"/>
      <c r="AH2" s="182"/>
      <c r="AI2" s="182"/>
      <c r="AJ2" s="182"/>
      <c r="AK2" s="182"/>
      <c r="AL2" s="182"/>
      <c r="AM2" s="182"/>
      <c r="AN2" s="182"/>
      <c r="AO2" s="182"/>
    </row>
    <row r="3" spans="2:41" x14ac:dyDescent="0.25">
      <c r="C3" s="182"/>
      <c r="D3" s="244" t="s">
        <v>313</v>
      </c>
      <c r="E3" s="182"/>
      <c r="F3" s="239"/>
      <c r="G3" s="182"/>
      <c r="H3" s="182"/>
      <c r="I3" s="182"/>
      <c r="J3" s="1700" t="s">
        <v>314</v>
      </c>
      <c r="K3" s="1701"/>
      <c r="L3" s="182"/>
      <c r="M3" s="1652" t="s">
        <v>315</v>
      </c>
      <c r="N3" s="1653"/>
      <c r="O3" s="1653"/>
      <c r="P3" s="1654"/>
      <c r="Q3" s="182"/>
      <c r="R3" s="245" t="s">
        <v>316</v>
      </c>
      <c r="S3" s="246"/>
      <c r="T3" s="247"/>
      <c r="U3" s="182"/>
      <c r="V3" s="182"/>
      <c r="W3" s="182"/>
      <c r="X3" s="182"/>
      <c r="Y3" s="182"/>
      <c r="Z3" s="182"/>
      <c r="AA3" s="182"/>
      <c r="AB3" s="182"/>
      <c r="AC3" s="182"/>
      <c r="AD3" s="182"/>
      <c r="AE3" s="182"/>
      <c r="AF3" s="182"/>
      <c r="AG3" s="182"/>
      <c r="AH3" s="182"/>
      <c r="AI3" s="182"/>
      <c r="AJ3" s="182"/>
      <c r="AK3" s="182"/>
      <c r="AL3" s="182"/>
      <c r="AM3" s="182"/>
      <c r="AN3" s="182"/>
      <c r="AO3" s="182"/>
    </row>
    <row r="4" spans="2:41" ht="15.75" thickBot="1" x14ac:dyDescent="0.3">
      <c r="C4" s="182"/>
      <c r="D4" s="248" t="s">
        <v>317</v>
      </c>
      <c r="E4" s="182"/>
      <c r="F4" s="239"/>
      <c r="G4" s="182"/>
      <c r="H4" s="182"/>
      <c r="I4" s="182"/>
      <c r="J4" s="1702" t="s">
        <v>318</v>
      </c>
      <c r="K4" s="1703"/>
      <c r="L4" s="182"/>
      <c r="M4" s="1657" t="s">
        <v>319</v>
      </c>
      <c r="N4" s="1658"/>
      <c r="O4" s="1658"/>
      <c r="P4" s="1659"/>
      <c r="Q4" s="182"/>
      <c r="R4" s="249" t="s">
        <v>320</v>
      </c>
      <c r="S4" s="250"/>
      <c r="T4" s="251"/>
      <c r="U4" s="182"/>
      <c r="V4" s="182"/>
      <c r="W4" s="182"/>
      <c r="X4" s="182"/>
      <c r="Y4" s="182"/>
      <c r="Z4" s="182"/>
      <c r="AA4" s="182"/>
      <c r="AB4" s="182"/>
      <c r="AC4" s="182"/>
      <c r="AD4" s="182"/>
      <c r="AE4" s="182"/>
      <c r="AF4" s="182"/>
      <c r="AG4" s="182"/>
      <c r="AH4" s="182"/>
      <c r="AI4" s="182"/>
      <c r="AJ4" s="182"/>
      <c r="AK4" s="182"/>
      <c r="AL4" s="182"/>
      <c r="AM4" s="182"/>
      <c r="AN4" s="182"/>
      <c r="AO4" s="182"/>
    </row>
    <row r="5" spans="2:41" x14ac:dyDescent="0.25">
      <c r="C5" s="182"/>
      <c r="D5" s="252"/>
      <c r="E5" s="182"/>
      <c r="F5" s="239"/>
      <c r="G5" s="182"/>
      <c r="H5" s="182"/>
      <c r="I5" s="182"/>
      <c r="J5" s="182"/>
      <c r="K5" s="182"/>
      <c r="L5" s="182"/>
      <c r="M5" s="1640" t="s">
        <v>321</v>
      </c>
      <c r="N5" s="1641"/>
      <c r="O5" s="1641"/>
      <c r="P5" s="1642"/>
      <c r="Q5" s="182"/>
      <c r="R5" s="249" t="s">
        <v>322</v>
      </c>
      <c r="S5" s="250"/>
      <c r="T5" s="251"/>
      <c r="U5" s="182"/>
      <c r="V5" s="182"/>
      <c r="W5" s="182"/>
      <c r="X5" s="182"/>
      <c r="Y5" s="182"/>
      <c r="Z5" s="182"/>
      <c r="AA5" s="182"/>
      <c r="AB5" s="182"/>
      <c r="AC5" s="182"/>
      <c r="AD5" s="182"/>
      <c r="AE5" s="182"/>
      <c r="AF5" s="182"/>
      <c r="AG5" s="182"/>
      <c r="AH5" s="182"/>
      <c r="AI5" s="182"/>
      <c r="AJ5" s="182"/>
      <c r="AK5" s="182"/>
      <c r="AL5" s="182"/>
      <c r="AM5" s="182"/>
      <c r="AN5" s="182"/>
      <c r="AO5" s="182"/>
    </row>
    <row r="6" spans="2:41" ht="15.75" thickBot="1" x14ac:dyDescent="0.3">
      <c r="C6" s="182"/>
      <c r="D6" s="185" t="s">
        <v>323</v>
      </c>
      <c r="E6" s="253">
        <f>[13]SUMMARY!$C$6</f>
        <v>45748</v>
      </c>
      <c r="F6" s="239"/>
      <c r="G6" s="182"/>
      <c r="H6" s="182"/>
      <c r="I6" s="182"/>
      <c r="J6" s="182"/>
      <c r="K6" s="182"/>
      <c r="L6" s="182"/>
      <c r="M6" s="1643" t="s">
        <v>324</v>
      </c>
      <c r="N6" s="1644"/>
      <c r="O6" s="1644"/>
      <c r="P6" s="1645"/>
      <c r="Q6" s="182"/>
      <c r="R6" s="249" t="s">
        <v>325</v>
      </c>
      <c r="S6" s="250"/>
      <c r="T6" s="251"/>
      <c r="U6" s="182"/>
      <c r="V6" s="182"/>
      <c r="W6" s="182"/>
      <c r="X6" s="182"/>
      <c r="Y6" s="182"/>
      <c r="Z6" s="182"/>
      <c r="AA6" s="182"/>
      <c r="AB6" s="182"/>
      <c r="AC6" s="182"/>
      <c r="AD6" s="182"/>
      <c r="AE6" s="182"/>
      <c r="AF6" s="182"/>
      <c r="AG6" s="182"/>
      <c r="AH6" s="182"/>
      <c r="AI6" s="182"/>
      <c r="AJ6" s="182"/>
      <c r="AK6" s="182"/>
      <c r="AL6" s="182"/>
      <c r="AM6" s="182"/>
      <c r="AN6" s="182"/>
      <c r="AO6" s="182"/>
    </row>
    <row r="7" spans="2:41" ht="15.75" thickBot="1" x14ac:dyDescent="0.3">
      <c r="C7" s="182"/>
      <c r="D7" s="185" t="s">
        <v>326</v>
      </c>
      <c r="E7" s="254">
        <f>[13]SUMMARY!C7</f>
        <v>30</v>
      </c>
      <c r="F7" s="239"/>
      <c r="G7" s="184"/>
      <c r="H7" s="240"/>
      <c r="I7" s="240"/>
      <c r="J7" s="255"/>
      <c r="K7" s="181"/>
      <c r="L7" s="181"/>
      <c r="M7" s="182"/>
      <c r="N7" s="182"/>
      <c r="O7" s="182"/>
      <c r="P7" s="182"/>
      <c r="Q7" s="182"/>
      <c r="R7" s="256" t="s">
        <v>327</v>
      </c>
      <c r="S7" s="257"/>
      <c r="T7" s="258"/>
      <c r="U7" s="182"/>
      <c r="V7" s="182"/>
      <c r="W7" s="182"/>
      <c r="X7" s="182"/>
      <c r="Y7" s="182"/>
      <c r="Z7" s="182"/>
      <c r="AA7" s="182"/>
      <c r="AB7" s="182"/>
      <c r="AC7" s="182"/>
      <c r="AD7" s="182"/>
      <c r="AE7" s="182"/>
      <c r="AF7" s="182"/>
      <c r="AG7" s="182"/>
      <c r="AH7" s="182"/>
      <c r="AI7" s="182"/>
      <c r="AJ7" s="182"/>
      <c r="AK7" s="182"/>
      <c r="AL7" s="182"/>
      <c r="AM7" s="182"/>
      <c r="AN7" s="182"/>
      <c r="AO7" s="182"/>
    </row>
    <row r="8" spans="2:41" ht="15.75" thickBot="1" x14ac:dyDescent="0.3">
      <c r="C8" s="182"/>
      <c r="D8" s="259"/>
      <c r="E8" s="259"/>
      <c r="F8" s="260"/>
      <c r="G8" s="259"/>
      <c r="H8" s="259"/>
      <c r="I8" s="259"/>
      <c r="J8" s="259"/>
      <c r="K8" s="259"/>
      <c r="L8" s="259"/>
      <c r="M8" s="261"/>
      <c r="N8" s="182"/>
      <c r="O8" s="182"/>
      <c r="P8" s="182"/>
      <c r="Q8" s="182"/>
      <c r="R8" s="182"/>
      <c r="S8" s="182"/>
      <c r="T8" s="182"/>
      <c r="U8" s="182"/>
      <c r="V8" s="182"/>
      <c r="W8" s="182"/>
      <c r="X8" s="182"/>
      <c r="Y8" s="182"/>
      <c r="Z8" s="182"/>
      <c r="AA8" s="182"/>
      <c r="AB8" s="182"/>
      <c r="AC8" s="182"/>
      <c r="AD8" s="182"/>
      <c r="AE8" s="182"/>
      <c r="AF8" s="182"/>
      <c r="AG8" s="182"/>
      <c r="AH8" s="182"/>
      <c r="AI8" s="182"/>
      <c r="AJ8" s="182"/>
      <c r="AK8" s="182"/>
      <c r="AL8" s="182"/>
      <c r="AM8" s="182"/>
      <c r="AN8" s="182"/>
      <c r="AO8" s="182"/>
    </row>
    <row r="9" spans="2:41" ht="15.75" thickBot="1" x14ac:dyDescent="0.3">
      <c r="B9" s="186" t="s">
        <v>25</v>
      </c>
      <c r="C9" s="787" t="s">
        <v>269</v>
      </c>
      <c r="D9" s="262" t="s">
        <v>269</v>
      </c>
      <c r="E9" s="186" t="s">
        <v>303</v>
      </c>
      <c r="F9" s="187" t="s">
        <v>32</v>
      </c>
      <c r="G9" s="188" t="s">
        <v>262</v>
      </c>
      <c r="H9" s="181"/>
      <c r="I9" s="263" t="s">
        <v>328</v>
      </c>
      <c r="J9" s="264">
        <v>1</v>
      </c>
      <c r="K9" s="265">
        <v>2</v>
      </c>
      <c r="L9" s="265">
        <v>3</v>
      </c>
      <c r="M9" s="265">
        <v>4</v>
      </c>
      <c r="N9" s="265">
        <v>5</v>
      </c>
      <c r="O9" s="265">
        <v>6</v>
      </c>
      <c r="P9" s="265">
        <v>7</v>
      </c>
      <c r="Q9" s="265">
        <v>8</v>
      </c>
      <c r="R9" s="266">
        <v>9</v>
      </c>
      <c r="S9" s="265">
        <v>10</v>
      </c>
      <c r="T9" s="265">
        <v>11</v>
      </c>
      <c r="U9" s="266">
        <v>12</v>
      </c>
      <c r="V9" s="266">
        <v>13</v>
      </c>
      <c r="W9" s="265">
        <v>14</v>
      </c>
      <c r="X9" s="265">
        <v>15</v>
      </c>
      <c r="Y9" s="265">
        <v>16</v>
      </c>
      <c r="Z9" s="265">
        <v>17</v>
      </c>
      <c r="AA9" s="265">
        <v>18</v>
      </c>
      <c r="AB9" s="265">
        <v>19</v>
      </c>
      <c r="AC9" s="265">
        <v>20</v>
      </c>
      <c r="AD9" s="265">
        <v>21</v>
      </c>
      <c r="AE9" s="265">
        <v>22</v>
      </c>
      <c r="AF9" s="265">
        <v>23</v>
      </c>
      <c r="AG9" s="265">
        <v>24</v>
      </c>
      <c r="AH9" s="265">
        <v>25</v>
      </c>
      <c r="AI9" s="265">
        <v>26</v>
      </c>
      <c r="AJ9" s="265">
        <v>27</v>
      </c>
      <c r="AK9" s="265">
        <v>28</v>
      </c>
      <c r="AL9" s="265">
        <v>29</v>
      </c>
      <c r="AM9" s="265">
        <v>30</v>
      </c>
      <c r="AN9" s="267">
        <v>31</v>
      </c>
      <c r="AO9" s="181"/>
    </row>
    <row r="10" spans="2:41" x14ac:dyDescent="0.25">
      <c r="B10" s="790">
        <f>SUM(B19,B26,B33,B40,B47,B54,B61,B68,B75,B82,B89,B96,B103)</f>
        <v>51013060</v>
      </c>
      <c r="C10" s="788" t="s">
        <v>356</v>
      </c>
      <c r="D10" s="268" t="s">
        <v>329</v>
      </c>
      <c r="E10" s="269">
        <f>SUM(J10:AN10)</f>
        <v>28525</v>
      </c>
      <c r="F10" s="270">
        <f>SUM(J11:AN11)</f>
        <v>22414</v>
      </c>
      <c r="G10" s="271">
        <f>IFERROR((F10-E10)/E10,0)</f>
        <v>-0.21423312883435583</v>
      </c>
      <c r="H10" s="240"/>
      <c r="I10" s="272" t="s">
        <v>330</v>
      </c>
      <c r="J10" s="273">
        <f>IF(J$9&gt;$E$7,"",SUMIF($G$18:$G300,"Budget (t)",J$18:J300))</f>
        <v>980</v>
      </c>
      <c r="K10" s="275">
        <f>IF(K$9&gt;$E$7,"",SUMIF($G$18:$G300,"Budget (t)",K$18:K300))</f>
        <v>980</v>
      </c>
      <c r="L10" s="687">
        <f>IF(L$9&gt;$E$7,"",SUMIF($G$18:$G300,"Budget (t)",L$18:L300))</f>
        <v>980</v>
      </c>
      <c r="M10" s="274">
        <f>IF(M$9&gt;$E$7,"",SUMIF($G$18:$G300,"Budget (t)",M$18:M300))</f>
        <v>980</v>
      </c>
      <c r="N10" s="274">
        <f>IF(N$9&gt;$E$7,"",SUMIF($G$18:$G300,"Budget (t)",N$18:N300))</f>
        <v>980</v>
      </c>
      <c r="O10" s="274">
        <f>IF(O$9&gt;$E$7,"",SUMIF($G$18:$G300,"Budget (t)",O$18:O300))</f>
        <v>980</v>
      </c>
      <c r="P10" s="274">
        <f>IF(P$9&gt;$E$7,"",SUMIF($G$18:$G300,"Budget (t)",P$18:P300))</f>
        <v>980</v>
      </c>
      <c r="Q10" s="274">
        <f>IF(Q$9&gt;$E$7,"",SUMIF($G$18:$G300,"Budget (t)",Q$18:Q300))</f>
        <v>1050</v>
      </c>
      <c r="R10" s="274">
        <f>IF(R$9&gt;$E$7,"",SUMIF($G$18:$G300,"Budget (t)",R$18:R300))</f>
        <v>1050</v>
      </c>
      <c r="S10" s="275">
        <f>IF(S$9&gt;$E$7,"",SUMIF($G$18:$G300,"Budget (t)",S$18:S300))</f>
        <v>1050</v>
      </c>
      <c r="T10" s="275">
        <f>IF(T$9&gt;$E$7,"",SUMIF($G$18:$G300,"Budget (t)",T$18:T300))</f>
        <v>1050</v>
      </c>
      <c r="U10" s="274">
        <f>IF(U$9&gt;$E$7,"",SUMIF($G$18:$G300,"Budget (t)",U$18:U300))</f>
        <v>1050</v>
      </c>
      <c r="V10" s="274">
        <f>IF(V$9&gt;$E$7,"",SUMIF($G$18:$G300,"Budget (t)",V$18:V300))</f>
        <v>1050</v>
      </c>
      <c r="W10" s="274">
        <f>IF(W$9&gt;$E$7,"",SUMIF($G$18:$G300,"Budget (t)",W$18:W300))</f>
        <v>1050</v>
      </c>
      <c r="X10" s="274">
        <f>IF(X$9&gt;$E$7,"",SUMIF($G$18:$G300,"Budget (t)",X$18:X300))</f>
        <v>1050</v>
      </c>
      <c r="Y10" s="274">
        <f>IF(Y$9&gt;$E$7,"",SUMIF($G$18:$G300,"Budget (t)",Y$18:Y300))</f>
        <v>980</v>
      </c>
      <c r="Z10" s="274">
        <f>IF(Z$9&gt;$E$7,"",SUMIF($G$18:$G300,"Budget (t)",Z$18:Z300))</f>
        <v>980</v>
      </c>
      <c r="AA10" s="274">
        <f>IF(AA$9&gt;$E$7,"",SUMIF($G$18:$G300,"Budget (t)",AA$18:AA300))</f>
        <v>980</v>
      </c>
      <c r="AB10" s="274">
        <f>IF(AB$9&gt;$E$7,"",SUMIF($G$18:$G300,"Budget (t)",AB$18:AB300))</f>
        <v>980</v>
      </c>
      <c r="AC10" s="274">
        <f>IF(AC$9&gt;$E$7,"",SUMIF($G$18:$G300,"Budget (t)",AC$18:AC300))</f>
        <v>525</v>
      </c>
      <c r="AD10" s="274">
        <f>IF(AD$9&gt;$E$7,"",SUMIF($G$18:$G300,"Budget (t)",AD$18:AD300))</f>
        <v>0</v>
      </c>
      <c r="AE10" s="274">
        <f>IF(AE$9&gt;$E$7,"",SUMIF($G$18:$G300,"Budget (t)",AE$18:AE300))</f>
        <v>980</v>
      </c>
      <c r="AF10" s="274">
        <f>IF(AF$9&gt;$E$7,"",SUMIF($G$18:$G300,"Budget (t)",AF$18:AF300))</f>
        <v>980</v>
      </c>
      <c r="AG10" s="274">
        <f>IF(AG$9&gt;$E$7,"",SUMIF($G$18:$G300,"Budget (t)",AG$18:AG300))</f>
        <v>980</v>
      </c>
      <c r="AH10" s="274">
        <f>IF(AH$9&gt;$E$7,"",SUMIF($G$18:$G300,"Budget (t)",AH$18:AH300))</f>
        <v>980</v>
      </c>
      <c r="AI10" s="274">
        <f>IF(AI$9&gt;$E$7,"",SUMIF($G$18:$G300,"Budget (t)",AI$18:AI300))</f>
        <v>980</v>
      </c>
      <c r="AJ10" s="274">
        <f>IF(AJ$9&gt;$E$7,"",SUMIF($G$18:$G300,"Budget (t)",AJ$18:AJ300))</f>
        <v>980</v>
      </c>
      <c r="AK10" s="274">
        <f>IF(AK$9&gt;$E$7,"",SUMIF($G$18:$G300,"Budget (t)",AK$18:AK300))</f>
        <v>980</v>
      </c>
      <c r="AL10" s="274">
        <f>IF(AL$9&gt;$E$7,"",SUMIF($G$18:$G300,"Budget (t)",AL$18:AL300))</f>
        <v>980</v>
      </c>
      <c r="AM10" s="274">
        <f>IF(AM$9&gt;$E$7,"",SUMIF($G$18:$G300,"Budget (t)",AM$18:AM300))</f>
        <v>980</v>
      </c>
      <c r="AN10" s="276" t="str">
        <f>IF(AN$9&gt;$E$7,"",SUMIF($G$18:$G300,"Budget (t)",AN$18:AN300))</f>
        <v/>
      </c>
      <c r="AO10" s="182"/>
    </row>
    <row r="11" spans="2:41" ht="15.75" thickBot="1" x14ac:dyDescent="0.3">
      <c r="B11" s="1427" t="e">
        <f>(B19*B22+B26*B29+B40*B43+B47*B50+B54*B57+B61*B64+B68*B71+B75*B78+B82*B85+B89*B92+B96*B99+B103*B106)/B10</f>
        <v>#VALUE!</v>
      </c>
      <c r="C11" s="789" t="s">
        <v>2</v>
      </c>
      <c r="D11" s="1375" t="s">
        <v>2</v>
      </c>
      <c r="E11" s="1288">
        <f>IFERROR(E12*1000/E10,0)</f>
        <v>3.0546689694282607</v>
      </c>
      <c r="F11" s="786">
        <f>IFERROR(F12*1000/F10,0)</f>
        <v>3.5322423485321677</v>
      </c>
      <c r="G11" s="1548">
        <f t="shared" ref="G11:G12" si="0">IFERROR((F11-E11)/E11,0)</f>
        <v>0.15634210576777943</v>
      </c>
      <c r="H11" s="189"/>
      <c r="I11" s="263" t="s">
        <v>331</v>
      </c>
      <c r="J11" s="1289">
        <f>IF(J$9&gt;$E$7,"",SUMIF($G$18:$G300,"Actual (t)",J$18:J300))</f>
        <v>985</v>
      </c>
      <c r="K11" s="1290">
        <f>IF(K$9&gt;$E$7,"",SUMIF($G$18:$G300,"Actual (t)",K$18:K300))</f>
        <v>968</v>
      </c>
      <c r="L11" s="1290">
        <f>IF(L$9&gt;$E$7,"",SUMIF($G$18:$G300,"Actual (t)",L$18:L300))</f>
        <v>972</v>
      </c>
      <c r="M11" s="1290">
        <f>IF(M$9&gt;$E$7,"",SUMIF($G$18:$G300,"Actual (t)",M$18:M300))</f>
        <v>966</v>
      </c>
      <c r="N11" s="1290">
        <f>IF(N$9&gt;$E$7,"",SUMIF($G$18:$G300,"Actual (t)",N$18:N300))</f>
        <v>1008</v>
      </c>
      <c r="O11" s="1290">
        <f>IF(O$9&gt;$E$7,"",SUMIF($G$18:$G300,"Actual (t)",O$18:O300))</f>
        <v>985</v>
      </c>
      <c r="P11" s="1290">
        <f>IF(P$9&gt;$E$7,"",SUMIF($G$18:$G300,"Actual (t)",P$18:P300))</f>
        <v>991</v>
      </c>
      <c r="Q11" s="1290">
        <f>IF(Q$9&gt;$E$7,"",SUMIF($G$18:$G300,"Actual (t)",Q$18:Q300))</f>
        <v>935</v>
      </c>
      <c r="R11" s="1290">
        <f>IF(R$9&gt;$E$7,"",SUMIF($G$18:$G300,"Actual (t)",R$18:R300))</f>
        <v>1053</v>
      </c>
      <c r="S11" s="1290">
        <f>IF(S$9&gt;$E$7,"",SUMIF($G$18:$G300,"Actual (t)",S$18:S300))</f>
        <v>795</v>
      </c>
      <c r="T11" s="1290">
        <f>IF(T$9&gt;$E$7,"",SUMIF($G$18:$G300,"Actual (t)",T$18:T300))</f>
        <v>890</v>
      </c>
      <c r="U11" s="1290">
        <f>IF(U$9&gt;$E$7,"",SUMIF($G$18:$G300,"Actual (t)",U$18:U300))</f>
        <v>1076</v>
      </c>
      <c r="V11" s="1290">
        <f>IF(V$9&gt;$E$7,"",SUMIF($G$18:$G300,"Actual (t)",V$18:V300))</f>
        <v>1051</v>
      </c>
      <c r="W11" s="1290">
        <f>IF(W$9&gt;$E$7,"",SUMIF($G$18:$G300,"Actual (t)",W$18:W300))</f>
        <v>1056</v>
      </c>
      <c r="X11" s="1290">
        <f>IF(X$9&gt;$E$7,"",SUMIF($G$18:$G300,"Actual (t)",X$18:X300))</f>
        <v>1096</v>
      </c>
      <c r="Y11" s="1290">
        <f>IF(Y$9&gt;$E$7,"",SUMIF($G$18:$G300,"Actual (t)",Y$18:Y300))</f>
        <v>1037</v>
      </c>
      <c r="Z11" s="1290">
        <f>IF(Z$9&gt;$E$7,"",SUMIF($G$18:$G300,"Actual (t)",Z$18:Z300))</f>
        <v>1046</v>
      </c>
      <c r="AA11" s="1290">
        <f>IF(AA$9&gt;$E$7,"",SUMIF($G$18:$G300,"Actual (t)",AA$18:AA300))</f>
        <v>1058</v>
      </c>
      <c r="AB11" s="1290">
        <f>IF(AB$9&gt;$E$7,"",SUMIF($G$18:$G300,"Actual (t)",AB$18:AB300))</f>
        <v>1027</v>
      </c>
      <c r="AC11" s="1290">
        <f>IF(AC$9&gt;$E$7,"",SUMIF($G$18:$G300,"Actual (t)",AC$18:AC300))</f>
        <v>980</v>
      </c>
      <c r="AD11" s="1290">
        <f>IF(AD$9&gt;$E$7,"",SUMIF($G$18:$G300,"Actual (t)",AD$18:AD300))</f>
        <v>497</v>
      </c>
      <c r="AE11" s="1290">
        <f>IF(AE$9&gt;$E$7,"",SUMIF($G$18:$G300,"Actual (t)",AE$18:AE300))</f>
        <v>981</v>
      </c>
      <c r="AF11" s="1290">
        <f>IF(AF$9&gt;$E$7,"",SUMIF($G$18:$G300,"Actual (t)",AF$18:AF300))</f>
        <v>961</v>
      </c>
      <c r="AG11" s="1290">
        <f>IF(AG$9&gt;$E$7,"",SUMIF($G$18:$G300,"Actual (t)",AG$18:AG300))</f>
        <v>0</v>
      </c>
      <c r="AH11" s="1290">
        <f>IF(AH$9&gt;$E$7,"",SUMIF($G$18:$G300,"Actual (t)",AH$18:AH300))</f>
        <v>0</v>
      </c>
      <c r="AI11" s="1290">
        <f>IF(AI$9&gt;$E$7,"",SUMIF($G$18:$G300,"Actual (t)",AI$18:AI300))</f>
        <v>0</v>
      </c>
      <c r="AJ11" s="1290">
        <f>IF(AJ$9&gt;$E$7,"",SUMIF($G$18:$G300,"Actual (t)",AJ$18:AJ300))</f>
        <v>0</v>
      </c>
      <c r="AK11" s="1290">
        <f>IF(AK$9&gt;$E$7,"",SUMIF($G$18:$G300,"Actual (t)",AK$18:AK300))</f>
        <v>0</v>
      </c>
      <c r="AL11" s="1290">
        <f>IF(AL$9&gt;$E$7,"",SUMIF($G$18:$G300,"Actual (t)",AL$18:AL300))</f>
        <v>0</v>
      </c>
      <c r="AM11" s="1290">
        <f>IF(AM$9&gt;$E$7,"",SUMIF($G$18:$G300,"Actual (t)",AM$18:AM300))</f>
        <v>0</v>
      </c>
      <c r="AN11" s="1291" t="str">
        <f>IF(AN$9&gt;$E$7,"",SUMIF($G$18:$G300,"Actual (t)",AN$18:AN300))</f>
        <v/>
      </c>
      <c r="AO11" s="189"/>
    </row>
    <row r="12" spans="2:41" ht="15.75" thickBot="1" x14ac:dyDescent="0.3">
      <c r="B12" s="1428" t="e">
        <f>SUM(B24,B31,B45,B52,B59,B66,B73,B80,B87,B94,B101,B108)</f>
        <v>#VALUE!</v>
      </c>
      <c r="C12" s="1429" t="s">
        <v>3</v>
      </c>
      <c r="D12" s="1376" t="s">
        <v>3</v>
      </c>
      <c r="E12" s="1293">
        <f>SUM(J14:AN14)</f>
        <v>87.134432352941133</v>
      </c>
      <c r="F12" s="1294">
        <f>SUM(J15:AN15)</f>
        <v>79.171680000000009</v>
      </c>
      <c r="G12" s="1295">
        <f t="shared" si="0"/>
        <v>-9.1384681553759492E-2</v>
      </c>
      <c r="H12" s="190"/>
      <c r="I12" s="272" t="s">
        <v>332</v>
      </c>
      <c r="J12" s="277">
        <f t="shared" ref="J12:AN13" si="1">IFERROR(J14*1000/J10,"")</f>
        <v>2.9769579831932775</v>
      </c>
      <c r="K12" s="278">
        <f t="shared" si="1"/>
        <v>2.9769579831932775</v>
      </c>
      <c r="L12" s="278">
        <f t="shared" si="1"/>
        <v>2.9769579831932775</v>
      </c>
      <c r="M12" s="278">
        <f t="shared" si="1"/>
        <v>2.9769579831932775</v>
      </c>
      <c r="N12" s="278">
        <f t="shared" si="1"/>
        <v>2.9769579831932775</v>
      </c>
      <c r="O12" s="278">
        <f t="shared" si="1"/>
        <v>2.9769579831932775</v>
      </c>
      <c r="P12" s="278">
        <f t="shared" si="1"/>
        <v>2.9769579831932775</v>
      </c>
      <c r="Q12" s="278">
        <f t="shared" si="1"/>
        <v>2.9131607843137255</v>
      </c>
      <c r="R12" s="278">
        <f t="shared" si="1"/>
        <v>2.9131607843137255</v>
      </c>
      <c r="S12" s="279">
        <f t="shared" si="1"/>
        <v>2.9131607843137255</v>
      </c>
      <c r="T12" s="279">
        <f t="shared" si="1"/>
        <v>2.9131607843137255</v>
      </c>
      <c r="U12" s="278">
        <f t="shared" si="1"/>
        <v>2.7598274509803922</v>
      </c>
      <c r="V12" s="278">
        <f t="shared" si="1"/>
        <v>4.6810655462184867</v>
      </c>
      <c r="W12" s="278">
        <f t="shared" si="1"/>
        <v>2.9131607843137255</v>
      </c>
      <c r="X12" s="278">
        <f t="shared" si="1"/>
        <v>2.9131607843137255</v>
      </c>
      <c r="Y12" s="278">
        <f t="shared" si="1"/>
        <v>2.9692857142857143</v>
      </c>
      <c r="Z12" s="278">
        <f t="shared" si="1"/>
        <v>2.9692857142857143</v>
      </c>
      <c r="AA12" s="278">
        <f t="shared" si="1"/>
        <v>2.9692857142857143</v>
      </c>
      <c r="AB12" s="278">
        <f t="shared" si="1"/>
        <v>2.9692857142857143</v>
      </c>
      <c r="AC12" s="278">
        <f t="shared" si="1"/>
        <v>5.1770476190476193</v>
      </c>
      <c r="AD12" s="278" t="str">
        <f t="shared" si="1"/>
        <v/>
      </c>
      <c r="AE12" s="278">
        <f t="shared" si="1"/>
        <v>2.9692857142857143</v>
      </c>
      <c r="AF12" s="278">
        <f t="shared" si="1"/>
        <v>2.9692857142857143</v>
      </c>
      <c r="AG12" s="278">
        <f t="shared" si="1"/>
        <v>2.9692857142857143</v>
      </c>
      <c r="AH12" s="278">
        <f t="shared" si="1"/>
        <v>2.9692857142857143</v>
      </c>
      <c r="AI12" s="278">
        <f t="shared" si="1"/>
        <v>2.9692857142857143</v>
      </c>
      <c r="AJ12" s="278">
        <f t="shared" si="1"/>
        <v>2.9692857142857143</v>
      </c>
      <c r="AK12" s="278">
        <f t="shared" si="1"/>
        <v>2.9692857142857143</v>
      </c>
      <c r="AL12" s="278">
        <f t="shared" si="1"/>
        <v>2.9692857142857143</v>
      </c>
      <c r="AM12" s="278">
        <f t="shared" si="1"/>
        <v>2.9692857142857143</v>
      </c>
      <c r="AN12" s="280" t="str">
        <f t="shared" si="1"/>
        <v/>
      </c>
      <c r="AO12" s="190"/>
    </row>
    <row r="13" spans="2:41" ht="15.75" thickBot="1" x14ac:dyDescent="0.3">
      <c r="B13" s="191"/>
      <c r="C13" s="191"/>
      <c r="D13" s="191"/>
      <c r="E13" s="191"/>
      <c r="F13" s="191"/>
      <c r="G13" s="281"/>
      <c r="H13" s="191"/>
      <c r="I13" s="282" t="s">
        <v>333</v>
      </c>
      <c r="J13" s="1296">
        <f>IFERROR(J15*1000/J11,"")</f>
        <v>4.9740507614213207</v>
      </c>
      <c r="K13" s="1297">
        <f t="shared" si="1"/>
        <v>3.4893078512396691</v>
      </c>
      <c r="L13" s="1297">
        <f>IFERROR(L15*1000/L11,"")</f>
        <v>3.9845267489711929</v>
      </c>
      <c r="M13" s="1297">
        <f t="shared" si="1"/>
        <v>4.7785507246376815</v>
      </c>
      <c r="N13" s="1297">
        <f t="shared" si="1"/>
        <v>4.2065873015873017</v>
      </c>
      <c r="O13" s="1297">
        <f t="shared" si="1"/>
        <v>3.6225177664974622</v>
      </c>
      <c r="P13" s="1297">
        <f t="shared" si="1"/>
        <v>3.9570030272452072</v>
      </c>
      <c r="Q13" s="1297">
        <f t="shared" si="1"/>
        <v>2.8904385026737969</v>
      </c>
      <c r="R13" s="1297">
        <f t="shared" si="1"/>
        <v>2.7678252611585945</v>
      </c>
      <c r="S13" s="1297">
        <f t="shared" si="1"/>
        <v>3.4674088050314467</v>
      </c>
      <c r="T13" s="1297">
        <f t="shared" si="1"/>
        <v>3.2235056179775281</v>
      </c>
      <c r="U13" s="1297">
        <f t="shared" si="1"/>
        <v>3.2713940520446099</v>
      </c>
      <c r="V13" s="1297">
        <f t="shared" si="1"/>
        <v>3.2577735490009516</v>
      </c>
      <c r="W13" s="1297">
        <f t="shared" si="1"/>
        <v>2.8411174242424249</v>
      </c>
      <c r="X13" s="1297">
        <f t="shared" si="1"/>
        <v>3.194890510948905</v>
      </c>
      <c r="Y13" s="1297">
        <f t="shared" si="1"/>
        <v>2.9481870781099322</v>
      </c>
      <c r="Z13" s="1297">
        <f t="shared" si="1"/>
        <v>3.7806118546845124</v>
      </c>
      <c r="AA13" s="1297">
        <f t="shared" si="1"/>
        <v>3.3163137996219278</v>
      </c>
      <c r="AB13" s="1297">
        <f t="shared" si="1"/>
        <v>4.0226192794547222</v>
      </c>
      <c r="AC13" s="1297">
        <f t="shared" si="1"/>
        <v>3.5023979591836727</v>
      </c>
      <c r="AD13" s="1297">
        <f t="shared" si="1"/>
        <v>3.3795573440643869</v>
      </c>
      <c r="AE13" s="1297">
        <f t="shared" si="1"/>
        <v>3.2671865443425077</v>
      </c>
      <c r="AF13" s="1297">
        <f>IFERROR(AF15*1000/AF11,"")</f>
        <v>3.1411134235171696</v>
      </c>
      <c r="AG13" s="1297" t="str">
        <f t="shared" si="1"/>
        <v/>
      </c>
      <c r="AH13" s="1297" t="str">
        <f t="shared" si="1"/>
        <v/>
      </c>
      <c r="AI13" s="1297" t="str">
        <f t="shared" si="1"/>
        <v/>
      </c>
      <c r="AJ13" s="1297" t="str">
        <f t="shared" si="1"/>
        <v/>
      </c>
      <c r="AK13" s="1297" t="str">
        <f t="shared" si="1"/>
        <v/>
      </c>
      <c r="AL13" s="1297" t="str">
        <f t="shared" si="1"/>
        <v/>
      </c>
      <c r="AM13" s="1297" t="str">
        <f t="shared" si="1"/>
        <v/>
      </c>
      <c r="AN13" s="1298" t="str">
        <f t="shared" si="1"/>
        <v/>
      </c>
      <c r="AO13" s="191"/>
    </row>
    <row r="14" spans="2:41" x14ac:dyDescent="0.25">
      <c r="B14" s="192"/>
      <c r="C14" s="694"/>
      <c r="D14" s="192"/>
      <c r="E14" s="192"/>
      <c r="F14" s="192"/>
      <c r="G14" s="192"/>
      <c r="H14" s="192"/>
      <c r="I14" s="283" t="s">
        <v>334</v>
      </c>
      <c r="J14" s="284">
        <f>IF(J$9&gt;$E$7,"",SUMIF($G$18:$G300,"Budget (kg)",J$18:J300))</f>
        <v>2.9174188235294118</v>
      </c>
      <c r="K14" s="285">
        <f>IF(K$9&gt;$E$7,"",SUMIF($G$18:$G300,"Budget (kg)",K$18:K300))</f>
        <v>2.9174188235294118</v>
      </c>
      <c r="L14" s="285">
        <f>IF(L$9&gt;$E$7,"",SUMIF($G$18:$G300,"Budget (kg)",L$18:L300))</f>
        <v>2.9174188235294118</v>
      </c>
      <c r="M14" s="285">
        <f>IF(M$9&gt;$E$7,"",SUMIF($G$18:$G300,"Budget (kg)",M$18:M300))</f>
        <v>2.9174188235294118</v>
      </c>
      <c r="N14" s="285">
        <f>IF(N$9&gt;$E$7,"",SUMIF($G$18:$G300,"Budget (kg)",N$18:N300))</f>
        <v>2.9174188235294118</v>
      </c>
      <c r="O14" s="285">
        <f>IF(O$9&gt;$E$7,"",SUMIF($G$18:$G300,"Budget (kg)",O$18:O300))</f>
        <v>2.9174188235294118</v>
      </c>
      <c r="P14" s="285">
        <f>IF(P$9&gt;$E$7,"",SUMIF($G$18:$G300,"Budget (kg)",P$18:P300))</f>
        <v>2.9174188235294118</v>
      </c>
      <c r="Q14" s="285">
        <f>IF(Q$9&gt;$E$7,"",SUMIF($G$18:$G300,"Budget (kg)",Q$18:Q300))</f>
        <v>3.0588188235294118</v>
      </c>
      <c r="R14" s="285">
        <f>IF(R$9&gt;$E$7,"",SUMIF($G$18:$G300,"Budget (kg)",R$18:R300))</f>
        <v>3.0588188235294118</v>
      </c>
      <c r="S14" s="286">
        <f>IF(S$9&gt;$E$7,"",SUMIF($G$18:$G300,"Budget (kg)",S$18:S300))</f>
        <v>3.0588188235294118</v>
      </c>
      <c r="T14" s="286">
        <f>IF(T$9&gt;$E$7,"",SUMIF($G$18:$G300,"Budget (kg)",T$18:T300))</f>
        <v>3.0588188235294118</v>
      </c>
      <c r="U14" s="285">
        <f>IF(U$9&gt;$E$7,"",SUMIF($G$18:$G300,"Budget (kg)",U$18:U300))</f>
        <v>2.8978188235294118</v>
      </c>
      <c r="V14" s="285">
        <f>IF(V$9&gt;$E$7,"",SUMIF($G$18:$G300,"Budget (kg)",V$18:V300))</f>
        <v>4.9151188235294114</v>
      </c>
      <c r="W14" s="285">
        <f>IF(W$9&gt;$E$7,"",SUMIF($G$18:$G300,"Budget (kg)",W$18:W300))</f>
        <v>3.0588188235294118</v>
      </c>
      <c r="X14" s="285">
        <f>IF(X$9&gt;$E$7,"",SUMIF($G$18:$G300,"Budget (kg)",X$18:X300))</f>
        <v>3.0588188235294118</v>
      </c>
      <c r="Y14" s="285">
        <f>IF(Y$9&gt;$E$7,"",SUMIF($G$18:$G300,"Budget (kg)",Y$18:Y300))</f>
        <v>2.9098999999999999</v>
      </c>
      <c r="Z14" s="285">
        <f>IF(Z$9&gt;$E$7,"",SUMIF($G$18:$G300,"Budget (kg)",Z$18:Z300))</f>
        <v>2.9098999999999999</v>
      </c>
      <c r="AA14" s="285">
        <f>IF(AA$9&gt;$E$7,"",SUMIF($G$18:$G300,"Budget (kg)",AA$18:AA300))</f>
        <v>2.9098999999999999</v>
      </c>
      <c r="AB14" s="285">
        <f>IF(AB$9&gt;$E$7,"",SUMIF($G$18:$G300,"Budget (kg)",AB$18:AB300))</f>
        <v>2.9098999999999999</v>
      </c>
      <c r="AC14" s="285">
        <f>IF(AC$9&gt;$E$7,"",SUMIF($G$18:$G300,"Budget (kg)",AC$18:AC300))</f>
        <v>2.7179500000000001</v>
      </c>
      <c r="AD14" s="285">
        <f>IF(AD$9&gt;$E$7,"",SUMIF($G$18:$G300,"Budget (kg)",AD$18:AD300))</f>
        <v>0</v>
      </c>
      <c r="AE14" s="285">
        <f>IF(AE$9&gt;$E$7,"",SUMIF($G$18:$G300,"Budget (kg)",AE$18:AE300))</f>
        <v>2.9098999999999999</v>
      </c>
      <c r="AF14" s="285">
        <f>IF(AF$9&gt;$E$7,"",SUMIF($G$18:$G300,"Budget (kg)",AF$18:AF300))</f>
        <v>2.9098999999999999</v>
      </c>
      <c r="AG14" s="285">
        <f>IF(AG$9&gt;$E$7,"",SUMIF($G$18:$G300,"Budget (kg)",AG$18:AG300))</f>
        <v>2.9098999999999999</v>
      </c>
      <c r="AH14" s="285">
        <f>IF(AH$9&gt;$E$7,"",SUMIF($G$18:$G300,"Budget (kg)",AH$18:AH300))</f>
        <v>2.9098999999999999</v>
      </c>
      <c r="AI14" s="285">
        <f>IF(AI$9&gt;$E$7,"",SUMIF($G$18:$G300,"Budget (kg)",AI$18:AI300))</f>
        <v>2.9098999999999999</v>
      </c>
      <c r="AJ14" s="285">
        <f>IF(AJ$9&gt;$E$7,"",SUMIF($G$18:$G300,"Budget (kg)",AJ$18:AJ300))</f>
        <v>2.9098999999999999</v>
      </c>
      <c r="AK14" s="285">
        <f>IF(AK$9&gt;$E$7,"",SUMIF($G$18:$G300,"Budget (kg)",AK$18:AK300))</f>
        <v>2.9098999999999999</v>
      </c>
      <c r="AL14" s="285">
        <f>IF(AL$9&gt;$E$7,"",SUMIF($G$18:$G300,"Budget (kg)",AL$18:AL300))</f>
        <v>2.9098999999999999</v>
      </c>
      <c r="AM14" s="285">
        <f>IF(AM$9&gt;$E$7,"",SUMIF($G$18:$G300,"Budget (kg)",AM$18:AM300))</f>
        <v>2.9098999999999999</v>
      </c>
      <c r="AN14" s="287" t="str">
        <f>IF(AN$9&gt;$E$7,"",SUMIF($G$18:$G300,"Budget (kg)",AN$18:AN300))</f>
        <v/>
      </c>
      <c r="AO14" s="192"/>
    </row>
    <row r="15" spans="2:41" ht="15.75" thickBot="1" x14ac:dyDescent="0.3">
      <c r="B15" s="193"/>
      <c r="C15" s="193"/>
      <c r="D15" s="193"/>
      <c r="E15" s="193"/>
      <c r="F15" s="193"/>
      <c r="G15" s="193"/>
      <c r="H15" s="193"/>
      <c r="I15" s="288" t="s">
        <v>335</v>
      </c>
      <c r="J15" s="1377">
        <f>IF(J$9&gt;$E$7,"",SUMIF($G$18:$G300,"Actual (kg)",J$18:J300))</f>
        <v>4.8994400000000002</v>
      </c>
      <c r="K15" s="1346">
        <f>IF(K$9&gt;$E$7,"",SUMIF($G$18:$G300,"Actual (kg)",K$18:K300))</f>
        <v>3.3776499999999996</v>
      </c>
      <c r="L15" s="1346">
        <f>IF(L$9&gt;$E$7,"",SUMIF($G$18:$G300,"Actual (kg)",L$18:L300))</f>
        <v>3.8729599999999995</v>
      </c>
      <c r="M15" s="1346">
        <f>IF(M$9&gt;$E$7,"",SUMIF($G$18:$G300,"Actual (kg)",M$18:M300))</f>
        <v>4.6160800000000002</v>
      </c>
      <c r="N15" s="1346">
        <f>IF(N$9&gt;$E$7,"",SUMIF($G$18:$G300,"Actual (kg)",N$18:N300))</f>
        <v>4.24024</v>
      </c>
      <c r="O15" s="1346">
        <f>IF(O$9&gt;$E$7,"",SUMIF($G$18:$G300,"Actual (kg)",O$18:O300))</f>
        <v>3.5681800000000004</v>
      </c>
      <c r="P15" s="1346">
        <f>IF(P$9&gt;$E$7,"",SUMIF($G$18:$G300,"Actual (kg)",P$18:P300))</f>
        <v>3.9213900000000002</v>
      </c>
      <c r="Q15" s="1346">
        <f>IF(Q$9&gt;$E$7,"",SUMIF($G$18:$G300,"Actual (kg)",Q$18:Q300))</f>
        <v>2.7025600000000001</v>
      </c>
      <c r="R15" s="1346">
        <f>IF(R$9&gt;$E$7,"",SUMIF($G$18:$G300,"Actual (kg)",R$18:R300))</f>
        <v>2.91452</v>
      </c>
      <c r="S15" s="1346">
        <f>IF(S$9&gt;$E$7,"",SUMIF($G$18:$G300,"Actual (kg)",S$18:S300))</f>
        <v>2.7565900000000001</v>
      </c>
      <c r="T15" s="1346">
        <f>IF(T$9&gt;$E$7,"",SUMIF($G$18:$G300,"Actual (kg)",T$18:T300))</f>
        <v>2.8689200000000001</v>
      </c>
      <c r="U15" s="1346">
        <f>IF(U$9&gt;$E$7,"",SUMIF($G$18:$G300,"Actual (kg)",U$18:U300))</f>
        <v>3.5200200000000006</v>
      </c>
      <c r="V15" s="1346">
        <f>IF(V$9&gt;$E$7,"",SUMIF($G$18:$G300,"Actual (kg)",V$18:V300))</f>
        <v>3.4239200000000003</v>
      </c>
      <c r="W15" s="1346">
        <f>IF(W$9&gt;$E$7,"",SUMIF($G$18:$G300,"Actual (kg)",W$18:W300))</f>
        <v>3.0002200000000006</v>
      </c>
      <c r="X15" s="1346">
        <f>IF(X$9&gt;$E$7,"",SUMIF($G$18:$G300,"Actual (kg)",X$18:X300))</f>
        <v>3.5015999999999998</v>
      </c>
      <c r="Y15" s="1346">
        <f>IF(Y$9&gt;$E$7,"",SUMIF($G$18:$G300,"Actual (kg)",Y$18:Y300))</f>
        <v>3.0572699999999995</v>
      </c>
      <c r="Z15" s="1346">
        <f>IF(Z$9&gt;$E$7,"",SUMIF($G$18:$G300,"Actual (kg)",Z$18:Z300))</f>
        <v>3.95452</v>
      </c>
      <c r="AA15" s="1346">
        <f>IF(AA$9&gt;$E$7,"",SUMIF($G$18:$G300,"Actual (kg)",AA$18:AA300))</f>
        <v>3.5086599999999999</v>
      </c>
      <c r="AB15" s="1346">
        <f>IF(AB$9&gt;$E$7,"",SUMIF($G$18:$G300,"Actual (kg)",AB$18:AB300))</f>
        <v>4.1312299999999995</v>
      </c>
      <c r="AC15" s="1346">
        <f>IF(AC$9&gt;$E$7,"",SUMIF($G$18:$G300,"Actual (kg)",AC$18:AC300))</f>
        <v>3.4323499999999996</v>
      </c>
      <c r="AD15" s="1346">
        <f>IF(AD$9&gt;$E$7,"",SUMIF($G$18:$G300,"Actual (kg)",AD$18:AD300))</f>
        <v>1.6796400000000002</v>
      </c>
      <c r="AE15" s="1346">
        <f>IF(AE$9&gt;$E$7,"",SUMIF($G$18:$G300,"Actual (kg)",AE$18:AE300))</f>
        <v>3.2051100000000003</v>
      </c>
      <c r="AF15" s="1346">
        <f>IF(AF$9&gt;$E$7,"",SUMIF($G$18:$G300,"Actual (kg)",AF$18:AF300))</f>
        <v>3.0186100000000002</v>
      </c>
      <c r="AG15" s="1346">
        <f>IF(AG$9&gt;$E$7,"",SUMIF($G$18:$G300,"Actual (kg)",AG$18:AG300))</f>
        <v>0</v>
      </c>
      <c r="AH15" s="1346">
        <f>IF(AH$9&gt;$E$7,"",SUMIF($G$18:$G300,"Actual (kg)",AH$18:AH300))</f>
        <v>0</v>
      </c>
      <c r="AI15" s="1346">
        <f>IF(AI$9&gt;$E$7,"",SUMIF($G$18:$G300,"Actual (kg)",AI$18:AI300))</f>
        <v>0</v>
      </c>
      <c r="AJ15" s="1346">
        <f>IF(AJ$9&gt;$E$7,"",SUMIF($G$18:$G300,"Actual (kg)",AJ$18:AJ300))</f>
        <v>0</v>
      </c>
      <c r="AK15" s="1346">
        <f>IF(AK$9&gt;$E$7,"",SUMIF($G$18:$G300,"Actual (kg)",AK$18:AK300))</f>
        <v>0</v>
      </c>
      <c r="AL15" s="1346">
        <f>IF(AL$9&gt;$E$7,"",SUMIF($G$18:$G300,"Actual (kg)",AL$18:AL300))</f>
        <v>0</v>
      </c>
      <c r="AM15" s="1346">
        <f>IF(AM$9&gt;$E$7,"",SUMIF($G$18:$G300,"Actual (kg)",AM$18:AM300))</f>
        <v>0</v>
      </c>
      <c r="AN15" s="1378" t="str">
        <f>IF(AN$9&gt;$E$7,"",SUMIF($G$18:$G300,"Actual (kg)",AN$18:AN300))</f>
        <v/>
      </c>
      <c r="AO15" s="193"/>
    </row>
    <row r="16" spans="2:41" ht="15.75" thickBot="1" x14ac:dyDescent="0.3">
      <c r="B16" s="182"/>
      <c r="C16" s="182"/>
      <c r="D16" s="182"/>
      <c r="E16" s="182"/>
      <c r="F16" s="239"/>
      <c r="G16" s="184"/>
      <c r="H16" s="240"/>
      <c r="I16" s="240"/>
      <c r="J16" s="181"/>
      <c r="K16" s="181"/>
      <c r="L16" s="181"/>
      <c r="M16" s="182"/>
      <c r="N16" s="182"/>
      <c r="O16" s="182"/>
      <c r="P16" s="182"/>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row>
    <row r="17" spans="1:41" ht="15.75" thickBot="1" x14ac:dyDescent="0.3">
      <c r="A17" s="1709" t="s">
        <v>467</v>
      </c>
      <c r="B17" s="1710"/>
      <c r="C17" s="1711"/>
      <c r="D17" s="228" t="s">
        <v>336</v>
      </c>
      <c r="E17" s="229" t="s">
        <v>337</v>
      </c>
      <c r="F17" s="1699"/>
      <c r="G17" s="1699"/>
      <c r="H17" s="290" t="s">
        <v>269</v>
      </c>
      <c r="I17" s="291" t="s">
        <v>338</v>
      </c>
      <c r="J17" s="230">
        <f>[13]SUMMARY!I16</f>
        <v>45748</v>
      </c>
      <c r="K17" s="231">
        <f>[13]SUMMARY!J16</f>
        <v>45749</v>
      </c>
      <c r="L17" s="231">
        <f>[13]SUMMARY!K16</f>
        <v>45750</v>
      </c>
      <c r="M17" s="232">
        <f>[13]SUMMARY!L16</f>
        <v>45751</v>
      </c>
      <c r="N17" s="232">
        <f>[13]SUMMARY!M16</f>
        <v>45752</v>
      </c>
      <c r="O17" s="232">
        <f>[13]SUMMARY!N16</f>
        <v>45753</v>
      </c>
      <c r="P17" s="232">
        <f>[13]SUMMARY!O16</f>
        <v>45754</v>
      </c>
      <c r="Q17" s="232">
        <f>[13]SUMMARY!P16</f>
        <v>45755</v>
      </c>
      <c r="R17" s="232">
        <f>[13]SUMMARY!Q16</f>
        <v>45756</v>
      </c>
      <c r="S17" s="233">
        <f>[13]SUMMARY!R16</f>
        <v>45757</v>
      </c>
      <c r="T17" s="233">
        <f>[13]SUMMARY!S16</f>
        <v>45758</v>
      </c>
      <c r="U17" s="232">
        <f>[13]SUMMARY!T16</f>
        <v>45759</v>
      </c>
      <c r="V17" s="232">
        <f>[13]SUMMARY!U16</f>
        <v>45760</v>
      </c>
      <c r="W17" s="232">
        <f>[13]SUMMARY!V16</f>
        <v>45761</v>
      </c>
      <c r="X17" s="232">
        <f>[13]SUMMARY!W16</f>
        <v>45762</v>
      </c>
      <c r="Y17" s="232">
        <f>[13]SUMMARY!X16</f>
        <v>45763</v>
      </c>
      <c r="Z17" s="232">
        <f>[13]SUMMARY!Y16</f>
        <v>45764</v>
      </c>
      <c r="AA17" s="232">
        <f>[13]SUMMARY!Z16</f>
        <v>45765</v>
      </c>
      <c r="AB17" s="232">
        <f>[13]SUMMARY!AA16</f>
        <v>45766</v>
      </c>
      <c r="AC17" s="232">
        <f>[13]SUMMARY!AB16</f>
        <v>45767</v>
      </c>
      <c r="AD17" s="232">
        <f>[13]SUMMARY!AC16</f>
        <v>45768</v>
      </c>
      <c r="AE17" s="232">
        <f>[13]SUMMARY!AD16</f>
        <v>45769</v>
      </c>
      <c r="AF17" s="232">
        <f>[13]SUMMARY!AE16</f>
        <v>45770</v>
      </c>
      <c r="AG17" s="232">
        <f>[13]SUMMARY!AF16</f>
        <v>45771</v>
      </c>
      <c r="AH17" s="232">
        <f>[13]SUMMARY!AG16</f>
        <v>45772</v>
      </c>
      <c r="AI17" s="232">
        <f>[13]SUMMARY!AH16</f>
        <v>45773</v>
      </c>
      <c r="AJ17" s="232">
        <f>[13]SUMMARY!AI16</f>
        <v>45774</v>
      </c>
      <c r="AK17" s="232">
        <f>[13]SUMMARY!AJ16</f>
        <v>45775</v>
      </c>
      <c r="AL17" s="232">
        <f>[13]SUMMARY!AK16</f>
        <v>45776</v>
      </c>
      <c r="AM17" s="232">
        <f>[13]SUMMARY!AL16</f>
        <v>45777</v>
      </c>
      <c r="AN17" s="292">
        <f>[13]SUMMARY!AM16</f>
        <v>45778</v>
      </c>
      <c r="AO17" s="844" t="s">
        <v>339</v>
      </c>
    </row>
    <row r="18" spans="1:41" ht="15.75" thickBot="1" x14ac:dyDescent="0.3">
      <c r="A18" s="1688" t="s">
        <v>340</v>
      </c>
      <c r="B18" s="295">
        <f>SUM(I18:AL18)</f>
        <v>1960</v>
      </c>
      <c r="C18" s="296"/>
      <c r="D18" s="1608">
        <v>1</v>
      </c>
      <c r="E18" s="1692" t="str">
        <f>[13]Breaking.!A9</f>
        <v>1L W24 STOPE</v>
      </c>
      <c r="F18" s="1696" t="s">
        <v>340</v>
      </c>
      <c r="G18" s="293" t="s">
        <v>341</v>
      </c>
      <c r="H18" s="196">
        <f>SUMIF($J$9:$AN$9,"&lt;="&amp;$E$7,J18:AN18)</f>
        <v>2030</v>
      </c>
      <c r="I18" s="197"/>
      <c r="J18" s="198">
        <f>[13]Breaking.!D9</f>
        <v>70</v>
      </c>
      <c r="K18" s="198">
        <f>[13]Breaking.!E9</f>
        <v>70</v>
      </c>
      <c r="L18" s="198">
        <f>[13]Breaking.!F9</f>
        <v>70</v>
      </c>
      <c r="M18" s="198">
        <f>[13]Breaking.!G9</f>
        <v>70</v>
      </c>
      <c r="N18" s="198">
        <f>[13]Breaking.!H9</f>
        <v>70</v>
      </c>
      <c r="O18" s="198">
        <f>[13]Breaking.!I9</f>
        <v>70</v>
      </c>
      <c r="P18" s="198">
        <f>[13]Breaking.!J9</f>
        <v>70</v>
      </c>
      <c r="Q18" s="198">
        <f>[13]Breaking.!K9</f>
        <v>70</v>
      </c>
      <c r="R18" s="198">
        <f>[13]Breaking.!L9</f>
        <v>70</v>
      </c>
      <c r="S18" s="198">
        <f>[13]Breaking.!M9</f>
        <v>70</v>
      </c>
      <c r="T18" s="198">
        <f>[13]Breaking.!N9</f>
        <v>70</v>
      </c>
      <c r="U18" s="198">
        <f>[13]Breaking.!O9</f>
        <v>70</v>
      </c>
      <c r="V18" s="198">
        <f>[13]Breaking.!P9</f>
        <v>70</v>
      </c>
      <c r="W18" s="198">
        <f>[13]Breaking.!Q9</f>
        <v>70</v>
      </c>
      <c r="X18" s="198">
        <f>[13]Breaking.!R9</f>
        <v>70</v>
      </c>
      <c r="Y18" s="198">
        <f>[13]Breaking.!S9</f>
        <v>70</v>
      </c>
      <c r="Z18" s="198">
        <f>[13]Breaking.!T9</f>
        <v>70</v>
      </c>
      <c r="AA18" s="198">
        <f>[13]Breaking.!U9</f>
        <v>70</v>
      </c>
      <c r="AB18" s="198">
        <v>70</v>
      </c>
      <c r="AC18" s="198">
        <v>70</v>
      </c>
      <c r="AD18" s="198">
        <f>[13]Breaking.!X9</f>
        <v>0</v>
      </c>
      <c r="AE18" s="198">
        <f>[13]Breaking.!Y9</f>
        <v>70</v>
      </c>
      <c r="AF18" s="198">
        <f>[13]Breaking.!Z9</f>
        <v>70</v>
      </c>
      <c r="AG18" s="198">
        <f>[13]Breaking.!AA9</f>
        <v>70</v>
      </c>
      <c r="AH18" s="198">
        <f>[13]Breaking.!AB9</f>
        <v>70</v>
      </c>
      <c r="AI18" s="198">
        <f>[13]Breaking.!AC9</f>
        <v>70</v>
      </c>
      <c r="AJ18" s="198">
        <f>[13]Breaking.!AD9</f>
        <v>70</v>
      </c>
      <c r="AK18" s="198">
        <f>[13]Breaking.!AE9</f>
        <v>70</v>
      </c>
      <c r="AL18" s="198">
        <f>[13]Breaking.!AF9</f>
        <v>70</v>
      </c>
      <c r="AM18" s="198">
        <f>[13]Breaking.!AG9</f>
        <v>70</v>
      </c>
      <c r="AN18" s="198">
        <f>[13]Breaking.!AH9</f>
        <v>0</v>
      </c>
      <c r="AO18" s="845"/>
    </row>
    <row r="19" spans="1:41" ht="15.75" thickBot="1" x14ac:dyDescent="0.3">
      <c r="A19" s="1688"/>
      <c r="B19" s="1303">
        <f>(B18*H19)+B18</f>
        <v>2653840</v>
      </c>
      <c r="C19" s="1430">
        <f>B19-B18</f>
        <v>2651880</v>
      </c>
      <c r="D19" s="1608"/>
      <c r="E19" s="1693"/>
      <c r="F19" s="1697"/>
      <c r="G19" s="1379" t="s">
        <v>342</v>
      </c>
      <c r="H19" s="1303">
        <f>SUMIF($J$9:$AN$9,"&lt;="&amp;$E$7,J19:AN19)</f>
        <v>1353</v>
      </c>
      <c r="I19" s="1380">
        <f t="shared" ref="I19" si="2">IFERROR((H19-H18)/H18,0)</f>
        <v>-0.3334975369458128</v>
      </c>
      <c r="J19" s="1305">
        <v>72</v>
      </c>
      <c r="K19" s="1303">
        <v>44</v>
      </c>
      <c r="L19" s="1303">
        <v>47</v>
      </c>
      <c r="M19" s="1303">
        <v>39</v>
      </c>
      <c r="N19" s="1303">
        <v>38</v>
      </c>
      <c r="O19" s="1303">
        <v>39</v>
      </c>
      <c r="P19" s="1303">
        <v>57</v>
      </c>
      <c r="Q19" s="1303">
        <v>56</v>
      </c>
      <c r="R19" s="1303">
        <v>46</v>
      </c>
      <c r="S19" s="1303">
        <v>43</v>
      </c>
      <c r="T19" s="1303">
        <v>40</v>
      </c>
      <c r="U19" s="1303">
        <v>40</v>
      </c>
      <c r="V19" s="1303">
        <v>70</v>
      </c>
      <c r="W19" s="1303">
        <v>70</v>
      </c>
      <c r="X19" s="1303">
        <v>84</v>
      </c>
      <c r="Y19" s="1303">
        <f>37+34</f>
        <v>71</v>
      </c>
      <c r="Z19" s="1303">
        <v>70</v>
      </c>
      <c r="AA19" s="1303">
        <f>39+39</f>
        <v>78</v>
      </c>
      <c r="AB19" s="1303">
        <f>43+42</f>
        <v>85</v>
      </c>
      <c r="AC19" s="1303">
        <f>41+43</f>
        <v>84</v>
      </c>
      <c r="AD19" s="1303">
        <v>35</v>
      </c>
      <c r="AE19" s="1303">
        <v>73</v>
      </c>
      <c r="AF19" s="1303">
        <v>72</v>
      </c>
      <c r="AG19" s="1303"/>
      <c r="AH19" s="1303"/>
      <c r="AI19" s="1303"/>
      <c r="AJ19" s="1303"/>
      <c r="AK19" s="1303"/>
      <c r="AL19" s="1303"/>
      <c r="AM19" s="1303"/>
      <c r="AN19" s="1303"/>
      <c r="AO19" s="347"/>
    </row>
    <row r="20" spans="1:41" ht="15.75" thickBot="1" x14ac:dyDescent="0.3">
      <c r="A20" s="1688"/>
      <c r="B20" s="1382"/>
      <c r="C20" s="1383"/>
      <c r="D20" s="1608"/>
      <c r="E20" s="1693"/>
      <c r="F20" s="1697"/>
      <c r="G20" s="1381" t="s">
        <v>312</v>
      </c>
      <c r="H20" s="1382"/>
      <c r="I20" s="1383"/>
      <c r="J20" s="203"/>
      <c r="K20" s="203"/>
      <c r="L20" s="203"/>
      <c r="M20" s="203"/>
      <c r="N20" s="203"/>
      <c r="O20" s="203"/>
      <c r="P20" s="203"/>
      <c r="Q20" s="203"/>
      <c r="R20" s="204"/>
      <c r="S20" s="203"/>
      <c r="T20" s="203"/>
      <c r="U20" s="203"/>
      <c r="V20" s="203"/>
      <c r="W20" s="203"/>
      <c r="X20" s="203"/>
      <c r="Y20" s="203"/>
      <c r="Z20" s="203"/>
      <c r="AA20" s="203"/>
      <c r="AB20" s="203"/>
      <c r="AC20" s="203"/>
      <c r="AD20" s="203"/>
      <c r="AE20" s="203"/>
      <c r="AF20" s="203"/>
      <c r="AG20" s="203"/>
      <c r="AH20" s="203"/>
      <c r="AI20" s="203"/>
      <c r="AJ20" s="203"/>
      <c r="AK20" s="203"/>
      <c r="AL20" s="203"/>
      <c r="AM20" s="203"/>
      <c r="AN20" s="205"/>
      <c r="AO20" s="846"/>
    </row>
    <row r="21" spans="1:41" ht="15.75" thickBot="1" x14ac:dyDescent="0.3">
      <c r="A21" s="1685" t="s">
        <v>343</v>
      </c>
      <c r="B21" s="1310">
        <f>SUMPRODUCT(I18:AL18,I21:AL21)/B18</f>
        <v>2.2999999999999998</v>
      </c>
      <c r="C21" s="1385"/>
      <c r="D21" s="1608"/>
      <c r="E21" s="1693"/>
      <c r="F21" s="1686" t="s">
        <v>343</v>
      </c>
      <c r="G21" s="1384" t="s">
        <v>344</v>
      </c>
      <c r="H21" s="1310">
        <f>IFERROR(H23*1000/H18,0)</f>
        <v>2.2206896551724133</v>
      </c>
      <c r="I21" s="1385"/>
      <c r="J21" s="1312">
        <v>2.2999999999999998</v>
      </c>
      <c r="K21" s="1312">
        <v>2.2999999999999998</v>
      </c>
      <c r="L21" s="1312">
        <v>2.2999999999999998</v>
      </c>
      <c r="M21" s="1312">
        <v>2.2999999999999998</v>
      </c>
      <c r="N21" s="1312">
        <v>2.2999999999999998</v>
      </c>
      <c r="O21" s="1312">
        <v>2.2999999999999998</v>
      </c>
      <c r="P21" s="1312">
        <v>2.2999999999999998</v>
      </c>
      <c r="Q21" s="1312">
        <v>2.2999999999999998</v>
      </c>
      <c r="R21" s="1312">
        <v>2.2999999999999998</v>
      </c>
      <c r="S21" s="1312">
        <v>2.2999999999999998</v>
      </c>
      <c r="T21" s="1312">
        <v>2.2999999999999998</v>
      </c>
      <c r="U21" s="1312">
        <v>2.2999999999999998</v>
      </c>
      <c r="V21" s="1312">
        <v>2.2999999999999998</v>
      </c>
      <c r="W21" s="1312">
        <v>2.2999999999999998</v>
      </c>
      <c r="X21" s="1312">
        <v>2.2999999999999998</v>
      </c>
      <c r="Y21" s="1312">
        <v>2.2999999999999998</v>
      </c>
      <c r="Z21" s="1312">
        <v>2.2999999999999998</v>
      </c>
      <c r="AA21" s="1312">
        <v>2.2999999999999998</v>
      </c>
      <c r="AB21" s="1312">
        <v>2.2999999999999998</v>
      </c>
      <c r="AC21" s="1312">
        <v>2.2999999999999998</v>
      </c>
      <c r="AD21" s="1312">
        <v>2.2999999999999998</v>
      </c>
      <c r="AE21" s="1312">
        <v>2.2999999999999998</v>
      </c>
      <c r="AF21" s="1312">
        <v>2.2999999999999998</v>
      </c>
      <c r="AG21" s="1312">
        <v>2.2999999999999998</v>
      </c>
      <c r="AH21" s="1312">
        <v>2.2999999999999998</v>
      </c>
      <c r="AI21" s="1312">
        <v>2.2999999999999998</v>
      </c>
      <c r="AJ21" s="1312">
        <v>2.2999999999999998</v>
      </c>
      <c r="AK21" s="1312">
        <v>2.2999999999999998</v>
      </c>
      <c r="AL21" s="1312">
        <v>2.2999999999999998</v>
      </c>
      <c r="AM21" s="1312">
        <v>2.2999999999999998</v>
      </c>
      <c r="AN21" s="1312"/>
      <c r="AO21" s="347"/>
    </row>
    <row r="22" spans="1:41" ht="15.75" thickBot="1" x14ac:dyDescent="0.3">
      <c r="A22" s="1707"/>
      <c r="B22" s="1314" t="e">
        <f>B21*(G22/B21)</f>
        <v>#VALUE!</v>
      </c>
      <c r="C22" s="1431" t="e">
        <f>B22-B21</f>
        <v>#VALUE!</v>
      </c>
      <c r="D22" s="1608"/>
      <c r="E22" s="1693"/>
      <c r="F22" s="1686"/>
      <c r="G22" s="1386" t="s">
        <v>345</v>
      </c>
      <c r="H22" s="1314">
        <f>IFERROR(H24*1000/H19,0)</f>
        <v>2.6139985218034001</v>
      </c>
      <c r="I22" s="1380">
        <f t="shared" ref="I22" si="3">IFERROR((H22-H21)/H21,0)</f>
        <v>0.17711113559469904</v>
      </c>
      <c r="J22" s="1315">
        <v>2.06</v>
      </c>
      <c r="K22" s="1314">
        <v>2.13</v>
      </c>
      <c r="L22" s="1314">
        <v>1.99</v>
      </c>
      <c r="M22" s="1314">
        <v>2.2000000000000002</v>
      </c>
      <c r="N22" s="1314">
        <v>4.04</v>
      </c>
      <c r="O22" s="1314">
        <v>4.04</v>
      </c>
      <c r="P22" s="1314">
        <v>3.15</v>
      </c>
      <c r="Q22" s="1314">
        <v>2.2799999999999998</v>
      </c>
      <c r="R22" s="1314">
        <v>4.1500000000000004</v>
      </c>
      <c r="S22" s="1314">
        <v>3.09</v>
      </c>
      <c r="T22" s="1314">
        <v>3.09</v>
      </c>
      <c r="U22" s="1314">
        <v>2.67</v>
      </c>
      <c r="V22" s="1314">
        <v>2.67</v>
      </c>
      <c r="W22" s="1314">
        <v>2.3199999999999998</v>
      </c>
      <c r="X22" s="1314">
        <v>2.17</v>
      </c>
      <c r="Y22" s="1314">
        <v>3.58</v>
      </c>
      <c r="Z22" s="1314">
        <v>1.76</v>
      </c>
      <c r="AA22" s="1314">
        <v>3.89</v>
      </c>
      <c r="AB22" s="1314">
        <v>2.27</v>
      </c>
      <c r="AC22" s="1314">
        <v>2.27</v>
      </c>
      <c r="AD22" s="1314">
        <v>3.29</v>
      </c>
      <c r="AE22" s="1314">
        <v>1.33</v>
      </c>
      <c r="AF22" s="1314">
        <v>1.87</v>
      </c>
      <c r="AG22" s="1314"/>
      <c r="AH22" s="1314"/>
      <c r="AI22" s="1314"/>
      <c r="AJ22" s="1314"/>
      <c r="AK22" s="1314"/>
      <c r="AL22" s="1314"/>
      <c r="AM22" s="1314"/>
      <c r="AN22" s="1314"/>
      <c r="AO22" s="347"/>
    </row>
    <row r="23" spans="1:41" ht="15.75" thickBot="1" x14ac:dyDescent="0.3">
      <c r="A23" s="1685" t="s">
        <v>47</v>
      </c>
      <c r="B23" s="206">
        <f>+B21*B18/1000</f>
        <v>4.508</v>
      </c>
      <c r="C23" s="1385"/>
      <c r="D23" s="1608"/>
      <c r="E23" s="1693"/>
      <c r="F23" s="1686" t="s">
        <v>47</v>
      </c>
      <c r="G23" s="1384" t="s">
        <v>346</v>
      </c>
      <c r="H23" s="206">
        <f>SUMIF($J$9:$AN$9,"&lt;="&amp;$E$7,J23:AN23)</f>
        <v>4.5079999999999991</v>
      </c>
      <c r="I23" s="1385"/>
      <c r="J23" s="1316">
        <f t="shared" ref="J23:AN24" si="4">+J21*J18/1000</f>
        <v>0.161</v>
      </c>
      <c r="K23" s="1316">
        <f t="shared" si="4"/>
        <v>0.161</v>
      </c>
      <c r="L23" s="1316">
        <f t="shared" si="4"/>
        <v>0.161</v>
      </c>
      <c r="M23" s="1317">
        <f t="shared" si="4"/>
        <v>0.161</v>
      </c>
      <c r="N23" s="1317">
        <f t="shared" si="4"/>
        <v>0.161</v>
      </c>
      <c r="O23" s="1317">
        <f t="shared" si="4"/>
        <v>0.161</v>
      </c>
      <c r="P23" s="1317">
        <f t="shared" si="4"/>
        <v>0.161</v>
      </c>
      <c r="Q23" s="1317">
        <f t="shared" si="4"/>
        <v>0.161</v>
      </c>
      <c r="R23" s="1318">
        <f t="shared" si="4"/>
        <v>0.161</v>
      </c>
      <c r="S23" s="1317">
        <f t="shared" si="4"/>
        <v>0.161</v>
      </c>
      <c r="T23" s="1317">
        <f t="shared" si="4"/>
        <v>0.161</v>
      </c>
      <c r="U23" s="1317"/>
      <c r="V23" s="1317">
        <f t="shared" si="4"/>
        <v>0.161</v>
      </c>
      <c r="W23" s="1317">
        <f t="shared" si="4"/>
        <v>0.161</v>
      </c>
      <c r="X23" s="1317">
        <f t="shared" si="4"/>
        <v>0.161</v>
      </c>
      <c r="Y23" s="1317">
        <f>+Y21*Y18/1000</f>
        <v>0.161</v>
      </c>
      <c r="Z23" s="1317">
        <f t="shared" si="4"/>
        <v>0.161</v>
      </c>
      <c r="AA23" s="1317">
        <f t="shared" si="4"/>
        <v>0.161</v>
      </c>
      <c r="AB23" s="1317">
        <f t="shared" si="4"/>
        <v>0.161</v>
      </c>
      <c r="AC23" s="1317">
        <f t="shared" si="4"/>
        <v>0.161</v>
      </c>
      <c r="AD23" s="1317">
        <f t="shared" si="4"/>
        <v>0</v>
      </c>
      <c r="AE23" s="1317">
        <f t="shared" si="4"/>
        <v>0.161</v>
      </c>
      <c r="AF23" s="1317">
        <f t="shared" si="4"/>
        <v>0.161</v>
      </c>
      <c r="AG23" s="1317">
        <f t="shared" si="4"/>
        <v>0.161</v>
      </c>
      <c r="AH23" s="1317">
        <f t="shared" si="4"/>
        <v>0.161</v>
      </c>
      <c r="AI23" s="1317">
        <f t="shared" si="4"/>
        <v>0.161</v>
      </c>
      <c r="AJ23" s="1317">
        <f t="shared" si="4"/>
        <v>0.161</v>
      </c>
      <c r="AK23" s="1317">
        <f t="shared" si="4"/>
        <v>0.161</v>
      </c>
      <c r="AL23" s="1317">
        <f t="shared" si="4"/>
        <v>0.161</v>
      </c>
      <c r="AM23" s="1317">
        <f t="shared" si="4"/>
        <v>0.161</v>
      </c>
      <c r="AN23" s="1319">
        <f t="shared" si="4"/>
        <v>0</v>
      </c>
      <c r="AO23" s="705"/>
    </row>
    <row r="24" spans="1:41" ht="15.75" thickBot="1" x14ac:dyDescent="0.3">
      <c r="A24" s="1708"/>
      <c r="B24" s="1321" t="e">
        <f>+B22*B19/1000</f>
        <v>#VALUE!</v>
      </c>
      <c r="C24" s="1432" t="e">
        <f>B24-B23</f>
        <v>#VALUE!</v>
      </c>
      <c r="D24" s="1609"/>
      <c r="E24" s="1694"/>
      <c r="F24" s="1687"/>
      <c r="G24" s="1387" t="s">
        <v>347</v>
      </c>
      <c r="H24" s="1321">
        <f>SUMIF($J$9:$AN$9,"&lt;="&amp;$E$7,J24:AN24)</f>
        <v>3.5367400000000004</v>
      </c>
      <c r="I24" s="1388">
        <f t="shared" ref="I24" si="5">IFERROR((H24-H23)/H23,0)</f>
        <v>-0.21545252883762175</v>
      </c>
      <c r="J24" s="1323">
        <f t="shared" si="4"/>
        <v>0.14831999999999998</v>
      </c>
      <c r="K24" s="1321">
        <f t="shared" si="4"/>
        <v>9.3719999999999998E-2</v>
      </c>
      <c r="L24" s="1321">
        <f t="shared" si="4"/>
        <v>9.3530000000000002E-2</v>
      </c>
      <c r="M24" s="1321">
        <f t="shared" si="4"/>
        <v>8.5800000000000015E-2</v>
      </c>
      <c r="N24" s="1321">
        <f t="shared" si="4"/>
        <v>0.15352000000000002</v>
      </c>
      <c r="O24" s="1321">
        <f t="shared" si="4"/>
        <v>0.15756000000000001</v>
      </c>
      <c r="P24" s="1321">
        <f t="shared" si="4"/>
        <v>0.17954999999999999</v>
      </c>
      <c r="Q24" s="1321">
        <f t="shared" si="4"/>
        <v>0.12767999999999999</v>
      </c>
      <c r="R24" s="1321">
        <f t="shared" si="4"/>
        <v>0.19090000000000001</v>
      </c>
      <c r="S24" s="1321">
        <f t="shared" si="4"/>
        <v>0.13287000000000002</v>
      </c>
      <c r="T24" s="1321">
        <f t="shared" si="4"/>
        <v>0.12359999999999999</v>
      </c>
      <c r="U24" s="1321">
        <f t="shared" si="4"/>
        <v>0.10679999999999999</v>
      </c>
      <c r="V24" s="1321">
        <f t="shared" si="4"/>
        <v>0.18690000000000001</v>
      </c>
      <c r="W24" s="1321">
        <f t="shared" si="4"/>
        <v>0.16239999999999999</v>
      </c>
      <c r="X24" s="1321">
        <f>+X22*X19/1000</f>
        <v>0.18228</v>
      </c>
      <c r="Y24" s="1321">
        <f>+Y22*Y19/1000</f>
        <v>0.25418000000000002</v>
      </c>
      <c r="Z24" s="1321">
        <f>+Z22*Z19/1000</f>
        <v>0.1232</v>
      </c>
      <c r="AA24" s="1321">
        <f t="shared" si="4"/>
        <v>0.30342000000000002</v>
      </c>
      <c r="AB24" s="1321">
        <f t="shared" si="4"/>
        <v>0.19294999999999998</v>
      </c>
      <c r="AC24" s="1321">
        <f>+AC22*AC19/1000</f>
        <v>0.19068000000000002</v>
      </c>
      <c r="AD24" s="1321">
        <f>+AD22*AD19/1000</f>
        <v>0.11515</v>
      </c>
      <c r="AE24" s="1321">
        <f>+AE22*AE19/1000</f>
        <v>9.709000000000001E-2</v>
      </c>
      <c r="AF24" s="1321">
        <f t="shared" si="4"/>
        <v>0.13464000000000001</v>
      </c>
      <c r="AG24" s="1321">
        <f t="shared" si="4"/>
        <v>0</v>
      </c>
      <c r="AH24" s="1321">
        <f t="shared" si="4"/>
        <v>0</v>
      </c>
      <c r="AI24" s="1321">
        <f t="shared" si="4"/>
        <v>0</v>
      </c>
      <c r="AJ24" s="1321">
        <f t="shared" si="4"/>
        <v>0</v>
      </c>
      <c r="AK24" s="1321">
        <f t="shared" si="4"/>
        <v>0</v>
      </c>
      <c r="AL24" s="1321">
        <f t="shared" si="4"/>
        <v>0</v>
      </c>
      <c r="AM24" s="1321">
        <f t="shared" si="4"/>
        <v>0</v>
      </c>
      <c r="AN24" s="1321">
        <f t="shared" si="4"/>
        <v>0</v>
      </c>
      <c r="AO24" s="706"/>
    </row>
    <row r="25" spans="1:41" ht="15.75" thickBot="1" x14ac:dyDescent="0.3">
      <c r="A25" s="1684" t="s">
        <v>340</v>
      </c>
      <c r="B25" s="196">
        <f>SUM(I25:AL25)</f>
        <v>0</v>
      </c>
      <c r="C25" s="197"/>
      <c r="D25" s="1608"/>
      <c r="E25" s="1692"/>
      <c r="F25" s="1696" t="s">
        <v>340</v>
      </c>
      <c r="G25" s="293" t="s">
        <v>341</v>
      </c>
      <c r="H25" s="196">
        <f>SUMIF($J$9:$AN$9,"&lt;="&amp;$E$7,J25:AN25)</f>
        <v>0</v>
      </c>
      <c r="I25" s="197"/>
      <c r="J25" s="198"/>
      <c r="K25" s="198"/>
      <c r="L25" s="198"/>
      <c r="M25" s="198"/>
      <c r="N25" s="198"/>
      <c r="O25" s="198"/>
      <c r="P25" s="198"/>
      <c r="Q25" s="198"/>
      <c r="R25" s="198"/>
      <c r="S25" s="198"/>
      <c r="T25" s="198"/>
      <c r="U25" s="198"/>
      <c r="V25" s="198"/>
      <c r="W25" s="198"/>
      <c r="X25" s="198"/>
      <c r="Y25" s="198"/>
      <c r="Z25" s="198"/>
      <c r="AA25" s="198"/>
      <c r="AB25" s="198"/>
      <c r="AC25" s="198"/>
      <c r="AD25" s="198"/>
      <c r="AE25" s="198"/>
      <c r="AF25" s="198"/>
      <c r="AG25" s="198"/>
      <c r="AH25" s="198"/>
      <c r="AI25" s="198"/>
      <c r="AJ25" s="198"/>
      <c r="AK25" s="198"/>
      <c r="AL25" s="198"/>
      <c r="AM25" s="198"/>
      <c r="AN25" s="198"/>
      <c r="AO25" s="845"/>
    </row>
    <row r="26" spans="1:41" ht="15.75" thickBot="1" x14ac:dyDescent="0.3">
      <c r="A26" s="1688"/>
      <c r="B26" s="1303">
        <f t="shared" ref="B26:B89" si="6">(B25*H26)+B25</f>
        <v>0</v>
      </c>
      <c r="C26" s="1430">
        <f>B26-B25</f>
        <v>0</v>
      </c>
      <c r="D26" s="1608"/>
      <c r="E26" s="1693"/>
      <c r="F26" s="1697"/>
      <c r="G26" s="1379" t="s">
        <v>342</v>
      </c>
      <c r="H26" s="1303">
        <f>SUMIF($J$9:$AN$9,"&lt;="&amp;$E$7,J26:AN26)</f>
        <v>0</v>
      </c>
      <c r="I26" s="1380">
        <f>IFERROR((H26-H25)/H25,0)</f>
        <v>0</v>
      </c>
      <c r="J26" s="1305"/>
      <c r="K26" s="1303"/>
      <c r="L26" s="1303"/>
      <c r="M26" s="1303"/>
      <c r="N26" s="1303"/>
      <c r="O26" s="1303"/>
      <c r="P26" s="1303"/>
      <c r="Q26" s="1303"/>
      <c r="R26" s="1303"/>
      <c r="S26" s="1303"/>
      <c r="T26" s="1303"/>
      <c r="U26" s="1303"/>
      <c r="V26" s="1303"/>
      <c r="W26" s="1303"/>
      <c r="X26" s="1303"/>
      <c r="Y26" s="1303"/>
      <c r="Z26" s="1303"/>
      <c r="AA26" s="1303"/>
      <c r="AB26" s="1303"/>
      <c r="AC26" s="1303"/>
      <c r="AD26" s="1303"/>
      <c r="AE26" s="1303"/>
      <c r="AF26" s="1303"/>
      <c r="AG26" s="1303"/>
      <c r="AH26" s="1303"/>
      <c r="AI26" s="1303"/>
      <c r="AJ26" s="1303"/>
      <c r="AK26" s="1303"/>
      <c r="AL26" s="1303"/>
      <c r="AM26" s="1303"/>
      <c r="AN26" s="1303"/>
      <c r="AO26" s="347"/>
    </row>
    <row r="27" spans="1:41" ht="15.75" thickBot="1" x14ac:dyDescent="0.3">
      <c r="A27" s="1688"/>
      <c r="B27" s="1382"/>
      <c r="C27" s="1383"/>
      <c r="D27" s="1608"/>
      <c r="E27" s="1693"/>
      <c r="F27" s="1697"/>
      <c r="G27" s="1381" t="s">
        <v>312</v>
      </c>
      <c r="H27" s="1382"/>
      <c r="I27" s="1383"/>
      <c r="J27" s="203"/>
      <c r="K27" s="203"/>
      <c r="L27" s="203"/>
      <c r="M27" s="203"/>
      <c r="N27" s="203"/>
      <c r="O27" s="203"/>
      <c r="P27" s="203"/>
      <c r="Q27" s="203"/>
      <c r="R27" s="204"/>
      <c r="S27" s="203"/>
      <c r="T27" s="203"/>
      <c r="U27" s="203"/>
      <c r="V27" s="203"/>
      <c r="W27" s="203"/>
      <c r="X27" s="203"/>
      <c r="Y27" s="203"/>
      <c r="Z27" s="203"/>
      <c r="AA27" s="203"/>
      <c r="AB27" s="203"/>
      <c r="AC27" s="203"/>
      <c r="AD27" s="203"/>
      <c r="AE27" s="203"/>
      <c r="AF27" s="203"/>
      <c r="AG27" s="203"/>
      <c r="AH27" s="203"/>
      <c r="AI27" s="203"/>
      <c r="AJ27" s="203"/>
      <c r="AK27" s="203"/>
      <c r="AL27" s="203"/>
      <c r="AM27" s="203"/>
      <c r="AN27" s="205"/>
      <c r="AO27" s="846"/>
    </row>
    <row r="28" spans="1:41" ht="15.75" thickBot="1" x14ac:dyDescent="0.3">
      <c r="A28" s="1685" t="s">
        <v>343</v>
      </c>
      <c r="B28" s="1310" t="e">
        <f t="shared" ref="B28" si="7">SUMPRODUCT(I25:AL25,I28:AL28)/B25</f>
        <v>#DIV/0!</v>
      </c>
      <c r="C28" s="1385"/>
      <c r="D28" s="1608"/>
      <c r="E28" s="1693"/>
      <c r="F28" s="1686" t="s">
        <v>343</v>
      </c>
      <c r="G28" s="1384" t="s">
        <v>344</v>
      </c>
      <c r="H28" s="1310">
        <f>IFERROR(H30*1000/H25,0)</f>
        <v>0</v>
      </c>
      <c r="I28" s="1385"/>
      <c r="J28" s="1312"/>
      <c r="K28" s="1312"/>
      <c r="L28" s="1312"/>
      <c r="M28" s="1312"/>
      <c r="N28" s="1312"/>
      <c r="O28" s="1312"/>
      <c r="P28" s="1312"/>
      <c r="Q28" s="1312"/>
      <c r="R28" s="1312"/>
      <c r="S28" s="1312"/>
      <c r="T28" s="1312"/>
      <c r="U28" s="1312"/>
      <c r="V28" s="1312"/>
      <c r="W28" s="1312"/>
      <c r="X28" s="1312"/>
      <c r="Y28" s="1312"/>
      <c r="Z28" s="1312"/>
      <c r="AA28" s="1312"/>
      <c r="AB28" s="1312"/>
      <c r="AC28" s="1312"/>
      <c r="AD28" s="1312"/>
      <c r="AE28" s="1312"/>
      <c r="AF28" s="1312"/>
      <c r="AG28" s="1312"/>
      <c r="AH28" s="1312"/>
      <c r="AI28" s="1312"/>
      <c r="AJ28" s="1312"/>
      <c r="AK28" s="1312"/>
      <c r="AL28" s="1312"/>
      <c r="AM28" s="1312"/>
      <c r="AN28" s="1312"/>
      <c r="AO28" s="347"/>
    </row>
    <row r="29" spans="1:41" ht="15.75" thickBot="1" x14ac:dyDescent="0.3">
      <c r="A29" s="1707"/>
      <c r="B29" s="1314" t="e">
        <f>B28*(G29/B28)</f>
        <v>#DIV/0!</v>
      </c>
      <c r="C29" s="1431" t="e">
        <f>B29-B28</f>
        <v>#DIV/0!</v>
      </c>
      <c r="D29" s="1608"/>
      <c r="E29" s="1693"/>
      <c r="F29" s="1686"/>
      <c r="G29" s="1386" t="s">
        <v>345</v>
      </c>
      <c r="H29" s="1314">
        <f>IFERROR(H31*1000/H26,0)</f>
        <v>0</v>
      </c>
      <c r="I29" s="1380">
        <f>IFERROR((H29-H28)/H28,0)</f>
        <v>0</v>
      </c>
      <c r="J29" s="1315"/>
      <c r="K29" s="1314"/>
      <c r="L29" s="1314"/>
      <c r="M29" s="1314"/>
      <c r="N29" s="1314"/>
      <c r="O29" s="1314"/>
      <c r="P29" s="1314"/>
      <c r="Q29" s="1314"/>
      <c r="R29" s="1314"/>
      <c r="S29" s="1314"/>
      <c r="T29" s="1314"/>
      <c r="U29" s="1314"/>
      <c r="V29" s="1314"/>
      <c r="W29" s="1314"/>
      <c r="X29" s="1314"/>
      <c r="Y29" s="1314"/>
      <c r="Z29" s="1314"/>
      <c r="AA29" s="1314"/>
      <c r="AB29" s="1314"/>
      <c r="AC29" s="1314"/>
      <c r="AD29" s="1314"/>
      <c r="AE29" s="1314"/>
      <c r="AF29" s="1314"/>
      <c r="AG29" s="1314"/>
      <c r="AH29" s="1314"/>
      <c r="AI29" s="1314"/>
      <c r="AJ29" s="1314"/>
      <c r="AK29" s="1314"/>
      <c r="AL29" s="1314"/>
      <c r="AM29" s="1314"/>
      <c r="AN29" s="1314"/>
      <c r="AO29" s="347"/>
    </row>
    <row r="30" spans="1:41" ht="15.75" thickBot="1" x14ac:dyDescent="0.3">
      <c r="A30" s="1685" t="s">
        <v>47</v>
      </c>
      <c r="B30" s="206" t="e">
        <f t="shared" ref="B30:B31" si="8">+B28*B25/1000</f>
        <v>#DIV/0!</v>
      </c>
      <c r="C30" s="1385"/>
      <c r="D30" s="1608"/>
      <c r="E30" s="1693"/>
      <c r="F30" s="1686" t="s">
        <v>47</v>
      </c>
      <c r="G30" s="1384" t="s">
        <v>346</v>
      </c>
      <c r="H30" s="206">
        <f>SUMIF($J$9:$AN$9,"&lt;="&amp;$E$7,J30:AN30)</f>
        <v>0</v>
      </c>
      <c r="I30" s="1385"/>
      <c r="J30" s="1316">
        <f t="shared" ref="J30:AN31" si="9">+J28*J25/1000</f>
        <v>0</v>
      </c>
      <c r="K30" s="1316">
        <f t="shared" si="9"/>
        <v>0</v>
      </c>
      <c r="L30" s="1316">
        <f t="shared" si="9"/>
        <v>0</v>
      </c>
      <c r="M30" s="1317">
        <f t="shared" si="9"/>
        <v>0</v>
      </c>
      <c r="N30" s="1317">
        <f t="shared" si="9"/>
        <v>0</v>
      </c>
      <c r="O30" s="1317">
        <f t="shared" si="9"/>
        <v>0</v>
      </c>
      <c r="P30" s="1317">
        <f t="shared" si="9"/>
        <v>0</v>
      </c>
      <c r="Q30" s="1317">
        <f t="shared" si="9"/>
        <v>0</v>
      </c>
      <c r="R30" s="1318">
        <f t="shared" si="9"/>
        <v>0</v>
      </c>
      <c r="S30" s="1317">
        <f t="shared" si="9"/>
        <v>0</v>
      </c>
      <c r="T30" s="1317">
        <f t="shared" si="9"/>
        <v>0</v>
      </c>
      <c r="U30" s="1317">
        <f t="shared" si="9"/>
        <v>0</v>
      </c>
      <c r="V30" s="1317">
        <f t="shared" si="9"/>
        <v>0</v>
      </c>
      <c r="W30" s="1317">
        <f t="shared" si="9"/>
        <v>0</v>
      </c>
      <c r="X30" s="1317">
        <f t="shared" si="9"/>
        <v>0</v>
      </c>
      <c r="Y30" s="1317">
        <f>+Y28*Y25/1000</f>
        <v>0</v>
      </c>
      <c r="Z30" s="1317">
        <f t="shared" si="9"/>
        <v>0</v>
      </c>
      <c r="AA30" s="1317">
        <f t="shared" si="9"/>
        <v>0</v>
      </c>
      <c r="AB30" s="1317">
        <f t="shared" si="9"/>
        <v>0</v>
      </c>
      <c r="AC30" s="1317">
        <f t="shared" si="9"/>
        <v>0</v>
      </c>
      <c r="AD30" s="1317">
        <f t="shared" si="9"/>
        <v>0</v>
      </c>
      <c r="AE30" s="1317">
        <f t="shared" si="9"/>
        <v>0</v>
      </c>
      <c r="AF30" s="1317">
        <f t="shared" si="9"/>
        <v>0</v>
      </c>
      <c r="AG30" s="1317">
        <f t="shared" si="9"/>
        <v>0</v>
      </c>
      <c r="AH30" s="1317">
        <f t="shared" si="9"/>
        <v>0</v>
      </c>
      <c r="AI30" s="1317">
        <f t="shared" si="9"/>
        <v>0</v>
      </c>
      <c r="AJ30" s="1317">
        <f t="shared" si="9"/>
        <v>0</v>
      </c>
      <c r="AK30" s="1317">
        <f t="shared" si="9"/>
        <v>0</v>
      </c>
      <c r="AL30" s="1317">
        <f t="shared" si="9"/>
        <v>0</v>
      </c>
      <c r="AM30" s="1317">
        <f t="shared" si="9"/>
        <v>0</v>
      </c>
      <c r="AN30" s="1319">
        <f t="shared" si="9"/>
        <v>0</v>
      </c>
      <c r="AO30" s="705"/>
    </row>
    <row r="31" spans="1:41" ht="15.75" thickBot="1" x14ac:dyDescent="0.3">
      <c r="A31" s="1708"/>
      <c r="B31" s="1321" t="e">
        <f t="shared" si="8"/>
        <v>#DIV/0!</v>
      </c>
      <c r="C31" s="1432" t="e">
        <f>B31-B30</f>
        <v>#DIV/0!</v>
      </c>
      <c r="D31" s="1609"/>
      <c r="E31" s="1694"/>
      <c r="F31" s="1687"/>
      <c r="G31" s="1387" t="s">
        <v>347</v>
      </c>
      <c r="H31" s="1321">
        <f>SUMIF($J$9:$AN$9,"&lt;="&amp;$E$7,J31:AN31)</f>
        <v>0</v>
      </c>
      <c r="I31" s="1388">
        <f>IFERROR((H31-H30)/H30,0)</f>
        <v>0</v>
      </c>
      <c r="J31" s="1323">
        <f t="shared" si="9"/>
        <v>0</v>
      </c>
      <c r="K31" s="1321">
        <f t="shared" si="9"/>
        <v>0</v>
      </c>
      <c r="L31" s="1321">
        <f t="shared" si="9"/>
        <v>0</v>
      </c>
      <c r="M31" s="1321">
        <f t="shared" si="9"/>
        <v>0</v>
      </c>
      <c r="N31" s="1321">
        <f t="shared" si="9"/>
        <v>0</v>
      </c>
      <c r="O31" s="1321">
        <f t="shared" si="9"/>
        <v>0</v>
      </c>
      <c r="P31" s="1321">
        <f t="shared" si="9"/>
        <v>0</v>
      </c>
      <c r="Q31" s="1321">
        <f t="shared" si="9"/>
        <v>0</v>
      </c>
      <c r="R31" s="1321">
        <f t="shared" si="9"/>
        <v>0</v>
      </c>
      <c r="S31" s="1321">
        <f t="shared" si="9"/>
        <v>0</v>
      </c>
      <c r="T31" s="1321">
        <f t="shared" si="9"/>
        <v>0</v>
      </c>
      <c r="U31" s="1321">
        <f t="shared" si="9"/>
        <v>0</v>
      </c>
      <c r="V31" s="1321">
        <f t="shared" si="9"/>
        <v>0</v>
      </c>
      <c r="W31" s="1321">
        <f t="shared" si="9"/>
        <v>0</v>
      </c>
      <c r="X31" s="1321">
        <f t="shared" si="9"/>
        <v>0</v>
      </c>
      <c r="Y31" s="1321">
        <f>+Y29*Y26/1000</f>
        <v>0</v>
      </c>
      <c r="Z31" s="1321">
        <f t="shared" si="9"/>
        <v>0</v>
      </c>
      <c r="AA31" s="1321">
        <f t="shared" si="9"/>
        <v>0</v>
      </c>
      <c r="AB31" s="1321">
        <f t="shared" si="9"/>
        <v>0</v>
      </c>
      <c r="AC31" s="1321">
        <f t="shared" si="9"/>
        <v>0</v>
      </c>
      <c r="AD31" s="1321">
        <f t="shared" si="9"/>
        <v>0</v>
      </c>
      <c r="AE31" s="1321">
        <f t="shared" si="9"/>
        <v>0</v>
      </c>
      <c r="AF31" s="1321">
        <f t="shared" si="9"/>
        <v>0</v>
      </c>
      <c r="AG31" s="1321">
        <f t="shared" si="9"/>
        <v>0</v>
      </c>
      <c r="AH31" s="1321">
        <f t="shared" si="9"/>
        <v>0</v>
      </c>
      <c r="AI31" s="1321">
        <f t="shared" si="9"/>
        <v>0</v>
      </c>
      <c r="AJ31" s="1321">
        <f t="shared" si="9"/>
        <v>0</v>
      </c>
      <c r="AK31" s="1321">
        <f t="shared" si="9"/>
        <v>0</v>
      </c>
      <c r="AL31" s="1321">
        <f t="shared" si="9"/>
        <v>0</v>
      </c>
      <c r="AM31" s="1321">
        <f t="shared" si="9"/>
        <v>0</v>
      </c>
      <c r="AN31" s="1321">
        <f t="shared" si="9"/>
        <v>0</v>
      </c>
      <c r="AO31" s="706"/>
    </row>
    <row r="32" spans="1:41" ht="15.75" thickBot="1" x14ac:dyDescent="0.3">
      <c r="A32" s="1684" t="s">
        <v>340</v>
      </c>
      <c r="B32" s="196">
        <f t="shared" ref="B32" si="10">SUM(I32:AL32)</f>
        <v>2940</v>
      </c>
      <c r="C32" s="197"/>
      <c r="D32" s="1608">
        <v>1</v>
      </c>
      <c r="E32" s="1692" t="str">
        <f>[13]Breaking.!A21</f>
        <v>3L_W23A STOPE</v>
      </c>
      <c r="F32" s="1696" t="s">
        <v>340</v>
      </c>
      <c r="G32" s="293" t="s">
        <v>341</v>
      </c>
      <c r="H32" s="196">
        <f>SUMIF($J$9:$AN$9,"&lt;="&amp;$E$7,J32:AN32)</f>
        <v>3045</v>
      </c>
      <c r="I32" s="197"/>
      <c r="J32" s="198">
        <f>[13]Breaking.!D21</f>
        <v>105</v>
      </c>
      <c r="K32" s="198">
        <f>[13]Breaking.!E21</f>
        <v>105</v>
      </c>
      <c r="L32" s="198">
        <f>[13]Breaking.!F21</f>
        <v>105</v>
      </c>
      <c r="M32" s="198">
        <f>[13]Breaking.!G21</f>
        <v>105</v>
      </c>
      <c r="N32" s="198">
        <f>[13]Breaking.!H21</f>
        <v>105</v>
      </c>
      <c r="O32" s="198">
        <f>[13]Breaking.!I21</f>
        <v>105</v>
      </c>
      <c r="P32" s="198">
        <f>[13]Breaking.!J21</f>
        <v>105</v>
      </c>
      <c r="Q32" s="198">
        <f>[13]Breaking.!K21</f>
        <v>105</v>
      </c>
      <c r="R32" s="198">
        <f>[13]Breaking.!L21</f>
        <v>105</v>
      </c>
      <c r="S32" s="198">
        <f>[13]Breaking.!M21</f>
        <v>105</v>
      </c>
      <c r="T32" s="198">
        <f>[13]Breaking.!N21</f>
        <v>105</v>
      </c>
      <c r="U32" s="198">
        <f>[13]Breaking.!O21</f>
        <v>105</v>
      </c>
      <c r="V32" s="198">
        <f>[13]Breaking.!P21</f>
        <v>105</v>
      </c>
      <c r="W32" s="198">
        <f>[13]Breaking.!Q21</f>
        <v>105</v>
      </c>
      <c r="X32" s="198">
        <f>[13]Breaking.!R21</f>
        <v>105</v>
      </c>
      <c r="Y32" s="198">
        <f>[13]Breaking.!S21</f>
        <v>105</v>
      </c>
      <c r="Z32" s="198">
        <f>[13]Breaking.!T21</f>
        <v>105</v>
      </c>
      <c r="AA32" s="198">
        <f>[13]Breaking.!U21</f>
        <v>105</v>
      </c>
      <c r="AB32" s="198">
        <f>[13]Breaking.!V21</f>
        <v>105</v>
      </c>
      <c r="AC32" s="198">
        <v>105</v>
      </c>
      <c r="AD32" s="198">
        <f>[13]Breaking.!X21</f>
        <v>0</v>
      </c>
      <c r="AE32" s="198">
        <f>[13]Breaking.!Y21</f>
        <v>105</v>
      </c>
      <c r="AF32" s="198">
        <f>[13]Breaking.!Z21</f>
        <v>105</v>
      </c>
      <c r="AG32" s="198">
        <f>[13]Breaking.!AA21</f>
        <v>105</v>
      </c>
      <c r="AH32" s="198">
        <f>[13]Breaking.!AB21</f>
        <v>105</v>
      </c>
      <c r="AI32" s="198">
        <f>[13]Breaking.!AC21</f>
        <v>105</v>
      </c>
      <c r="AJ32" s="198">
        <f>[13]Breaking.!AD21</f>
        <v>105</v>
      </c>
      <c r="AK32" s="198">
        <f>[13]Breaking.!AE21</f>
        <v>105</v>
      </c>
      <c r="AL32" s="198">
        <f>[13]Breaking.!AF21</f>
        <v>105</v>
      </c>
      <c r="AM32" s="198">
        <f>[13]Breaking.!AG21</f>
        <v>105</v>
      </c>
      <c r="AN32" s="198">
        <f>[13]Breaking.!AH21</f>
        <v>0</v>
      </c>
      <c r="AO32" s="845"/>
    </row>
    <row r="33" spans="1:41" ht="15.75" thickBot="1" x14ac:dyDescent="0.3">
      <c r="A33" s="1688"/>
      <c r="B33" s="1303">
        <f t="shared" si="6"/>
        <v>7444080</v>
      </c>
      <c r="C33" s="1430" t="str">
        <f>IF(B33&lt;B32, "↓", "↑")</f>
        <v>↑</v>
      </c>
      <c r="D33" s="1608"/>
      <c r="E33" s="1693"/>
      <c r="F33" s="1696"/>
      <c r="G33" s="1379" t="s">
        <v>342</v>
      </c>
      <c r="H33" s="1303">
        <f>SUMIF($J$9:$AN$9,"&lt;="&amp;$E$7,J33:AN33)</f>
        <v>2531</v>
      </c>
      <c r="I33" s="1380">
        <f t="shared" ref="I33" si="11">IFERROR((H33-H32)/H32,0)</f>
        <v>-0.16880131362889983</v>
      </c>
      <c r="J33" s="1305">
        <f>37+36+36</f>
        <v>109</v>
      </c>
      <c r="K33" s="1303">
        <f>34+33+45</f>
        <v>112</v>
      </c>
      <c r="L33" s="1303">
        <f>38+38+36</f>
        <v>112</v>
      </c>
      <c r="M33" s="1303">
        <f>37+37+36</f>
        <v>110</v>
      </c>
      <c r="N33" s="1303">
        <f>40+36+37</f>
        <v>113</v>
      </c>
      <c r="O33" s="1303">
        <f>37+37+37</f>
        <v>111</v>
      </c>
      <c r="P33" s="1303">
        <f>41+41+42</f>
        <v>124</v>
      </c>
      <c r="Q33" s="1303">
        <f>44+34+34</f>
        <v>112</v>
      </c>
      <c r="R33" s="1303">
        <f>46+46+36</f>
        <v>128</v>
      </c>
      <c r="S33" s="1303">
        <f>44+47+45</f>
        <v>136</v>
      </c>
      <c r="T33" s="1303">
        <v>108</v>
      </c>
      <c r="U33" s="1303">
        <v>106</v>
      </c>
      <c r="V33" s="1303">
        <v>98</v>
      </c>
      <c r="W33" s="1303">
        <v>105</v>
      </c>
      <c r="X33" s="1303">
        <v>105</v>
      </c>
      <c r="Y33" s="1303">
        <f>37+35+39</f>
        <v>111</v>
      </c>
      <c r="Z33" s="1303">
        <v>105</v>
      </c>
      <c r="AA33" s="1303">
        <f>36+38+39</f>
        <v>113</v>
      </c>
      <c r="AB33" s="1303">
        <f>38+35+36</f>
        <v>109</v>
      </c>
      <c r="AC33" s="1303">
        <f>39+40+40</f>
        <v>119</v>
      </c>
      <c r="AD33" s="1303">
        <v>70</v>
      </c>
      <c r="AE33" s="1303">
        <v>109</v>
      </c>
      <c r="AF33" s="1303">
        <v>106</v>
      </c>
      <c r="AG33" s="1303"/>
      <c r="AH33" s="1303"/>
      <c r="AI33" s="1303"/>
      <c r="AJ33" s="1303"/>
      <c r="AK33" s="1303"/>
      <c r="AL33" s="1303"/>
      <c r="AM33" s="1303"/>
      <c r="AN33" s="1303"/>
      <c r="AO33" s="347"/>
    </row>
    <row r="34" spans="1:41" ht="15.75" thickBot="1" x14ac:dyDescent="0.3">
      <c r="A34" s="1688"/>
      <c r="B34" s="1382"/>
      <c r="C34" s="1383"/>
      <c r="D34" s="1608"/>
      <c r="E34" s="1693"/>
      <c r="F34" s="1696"/>
      <c r="G34" s="1389" t="s">
        <v>312</v>
      </c>
      <c r="H34" s="1390"/>
      <c r="I34" s="1391"/>
      <c r="J34" s="203"/>
      <c r="K34" s="203"/>
      <c r="L34" s="203"/>
      <c r="M34" s="203"/>
      <c r="N34" s="203"/>
      <c r="O34" s="203"/>
      <c r="P34" s="203"/>
      <c r="Q34" s="203"/>
      <c r="R34" s="204"/>
      <c r="S34" s="203"/>
      <c r="T34" s="203"/>
      <c r="U34" s="203"/>
      <c r="V34" s="203"/>
      <c r="W34" s="203"/>
      <c r="X34" s="203"/>
      <c r="Y34" s="203"/>
      <c r="Z34" s="203"/>
      <c r="AA34" s="203"/>
      <c r="AB34" s="203"/>
      <c r="AC34" s="203"/>
      <c r="AD34" s="203"/>
      <c r="AE34" s="203"/>
      <c r="AF34" s="203"/>
      <c r="AG34" s="203"/>
      <c r="AH34" s="203"/>
      <c r="AI34" s="203"/>
      <c r="AJ34" s="203"/>
      <c r="AK34" s="203"/>
      <c r="AL34" s="203"/>
      <c r="AM34" s="203"/>
      <c r="AN34" s="205"/>
      <c r="AO34" s="846"/>
    </row>
    <row r="35" spans="1:41" ht="15.75" thickBot="1" x14ac:dyDescent="0.3">
      <c r="A35" s="1685" t="s">
        <v>343</v>
      </c>
      <c r="B35" s="1310">
        <f t="shared" ref="B35:B98" si="12">SUMPRODUCT(I32:AL32,I35:AL35)/B32</f>
        <v>3.85</v>
      </c>
      <c r="C35" s="1385"/>
      <c r="D35" s="1608"/>
      <c r="E35" s="1693"/>
      <c r="F35" s="1686" t="s">
        <v>343</v>
      </c>
      <c r="G35" s="1384" t="s">
        <v>344</v>
      </c>
      <c r="H35" s="1310">
        <f t="shared" ref="H35" si="13">IFERROR(H37*1000/H32,0)</f>
        <v>3.8499999999999988</v>
      </c>
      <c r="I35" s="1385"/>
      <c r="J35" s="1312">
        <v>3.85</v>
      </c>
      <c r="K35" s="1312">
        <v>3.85</v>
      </c>
      <c r="L35" s="1312">
        <v>3.85</v>
      </c>
      <c r="M35" s="1312">
        <v>3.85</v>
      </c>
      <c r="N35" s="1312">
        <v>3.85</v>
      </c>
      <c r="O35" s="1312">
        <v>3.85</v>
      </c>
      <c r="P35" s="1312">
        <v>3.85</v>
      </c>
      <c r="Q35" s="1312">
        <v>3.85</v>
      </c>
      <c r="R35" s="1312">
        <v>3.85</v>
      </c>
      <c r="S35" s="1312">
        <v>3.85</v>
      </c>
      <c r="T35" s="1312">
        <v>3.85</v>
      </c>
      <c r="U35" s="1312">
        <v>3.85</v>
      </c>
      <c r="V35" s="1312">
        <v>3.85</v>
      </c>
      <c r="W35" s="1312">
        <v>3.85</v>
      </c>
      <c r="X35" s="1312">
        <v>3.85</v>
      </c>
      <c r="Y35" s="1312">
        <v>3.85</v>
      </c>
      <c r="Z35" s="1312">
        <v>3.85</v>
      </c>
      <c r="AA35" s="1312">
        <v>3.85</v>
      </c>
      <c r="AB35" s="1312">
        <v>3.85</v>
      </c>
      <c r="AC35" s="1312">
        <v>3.85</v>
      </c>
      <c r="AD35" s="1312">
        <v>3.85</v>
      </c>
      <c r="AE35" s="1312">
        <v>3.85</v>
      </c>
      <c r="AF35" s="1312">
        <v>3.85</v>
      </c>
      <c r="AG35" s="1312">
        <v>3.85</v>
      </c>
      <c r="AH35" s="1312">
        <v>3.85</v>
      </c>
      <c r="AI35" s="1312">
        <v>3.85</v>
      </c>
      <c r="AJ35" s="1312">
        <v>3.85</v>
      </c>
      <c r="AK35" s="1312">
        <v>3.85</v>
      </c>
      <c r="AL35" s="1312">
        <v>3.85</v>
      </c>
      <c r="AM35" s="1312">
        <v>3.85</v>
      </c>
      <c r="AN35" s="1312"/>
      <c r="AO35" s="347"/>
    </row>
    <row r="36" spans="1:41" ht="15.75" thickBot="1" x14ac:dyDescent="0.3">
      <c r="A36" s="1707"/>
      <c r="B36" s="1314" t="e">
        <f t="shared" ref="B36" si="14">B35*(G36/B35)</f>
        <v>#VALUE!</v>
      </c>
      <c r="C36" s="1431" t="e">
        <f t="shared" ref="C36:C38" si="15">IF(B36&lt;B35, "↓", "↑")</f>
        <v>#VALUE!</v>
      </c>
      <c r="D36" s="1608"/>
      <c r="E36" s="1693"/>
      <c r="F36" s="1686"/>
      <c r="G36" s="1386" t="s">
        <v>345</v>
      </c>
      <c r="H36" s="1314">
        <f>IFERROR(H38*1000/H33,0)</f>
        <v>3.4199446858949027</v>
      </c>
      <c r="I36" s="1380">
        <f t="shared" ref="I36" si="16">IFERROR((H36-H35)/H35,0)</f>
        <v>-0.11170267898833666</v>
      </c>
      <c r="J36" s="1315">
        <v>3.81</v>
      </c>
      <c r="K36" s="1314">
        <v>3.88</v>
      </c>
      <c r="L36" s="1314">
        <v>5.29</v>
      </c>
      <c r="M36" s="1314">
        <v>7</v>
      </c>
      <c r="N36" s="1314">
        <v>5.92</v>
      </c>
      <c r="O36" s="1314">
        <v>5.92</v>
      </c>
      <c r="P36" s="1314">
        <v>2.4500000000000002</v>
      </c>
      <c r="Q36" s="1314">
        <v>2.21</v>
      </c>
      <c r="R36" s="1314">
        <v>2.33</v>
      </c>
      <c r="S36" s="1314">
        <v>1.62</v>
      </c>
      <c r="T36" s="1314">
        <v>1.72</v>
      </c>
      <c r="U36" s="1314">
        <v>2.5299999999999998</v>
      </c>
      <c r="V36" s="1314">
        <v>2.5299999999999998</v>
      </c>
      <c r="W36" s="1314">
        <v>3.89</v>
      </c>
      <c r="X36" s="1314">
        <v>4.4400000000000004</v>
      </c>
      <c r="Y36" s="1314">
        <v>2.61</v>
      </c>
      <c r="Z36" s="1314">
        <v>1.88</v>
      </c>
      <c r="AA36" s="1314">
        <v>3.1</v>
      </c>
      <c r="AB36" s="1314">
        <v>4.28</v>
      </c>
      <c r="AC36" s="1314">
        <v>2.6</v>
      </c>
      <c r="AD36" s="1314">
        <v>4.01</v>
      </c>
      <c r="AE36" s="1314">
        <v>3.31</v>
      </c>
      <c r="AF36" s="1314">
        <v>2.04</v>
      </c>
      <c r="AG36" s="1314"/>
      <c r="AH36" s="1314"/>
      <c r="AI36" s="1314"/>
      <c r="AJ36" s="1314"/>
      <c r="AK36" s="1314"/>
      <c r="AL36" s="1314"/>
      <c r="AM36" s="1314"/>
      <c r="AN36" s="1314"/>
      <c r="AO36" s="347"/>
    </row>
    <row r="37" spans="1:41" ht="15.75" thickBot="1" x14ac:dyDescent="0.3">
      <c r="A37" s="1685" t="s">
        <v>47</v>
      </c>
      <c r="B37" s="206">
        <f t="shared" ref="B37:B100" si="17">+B35*B32/1000</f>
        <v>11.319000000000001</v>
      </c>
      <c r="C37" s="1385"/>
      <c r="D37" s="1608"/>
      <c r="E37" s="1693"/>
      <c r="F37" s="1686" t="s">
        <v>47</v>
      </c>
      <c r="G37" s="1384" t="s">
        <v>346</v>
      </c>
      <c r="H37" s="206">
        <f>SUMIF($J$9:$AN$9,"&lt;="&amp;$E$7,J37:AN37)</f>
        <v>11.723249999999997</v>
      </c>
      <c r="I37" s="1385"/>
      <c r="J37" s="1316">
        <f t="shared" ref="J37:AN38" si="18">+J35*J32/1000</f>
        <v>0.40425</v>
      </c>
      <c r="K37" s="1316">
        <f t="shared" si="18"/>
        <v>0.40425</v>
      </c>
      <c r="L37" s="1316">
        <f t="shared" si="18"/>
        <v>0.40425</v>
      </c>
      <c r="M37" s="1317">
        <f t="shared" si="18"/>
        <v>0.40425</v>
      </c>
      <c r="N37" s="1317">
        <f t="shared" si="18"/>
        <v>0.40425</v>
      </c>
      <c r="O37" s="1317">
        <f t="shared" si="18"/>
        <v>0.40425</v>
      </c>
      <c r="P37" s="1317">
        <f t="shared" si="18"/>
        <v>0.40425</v>
      </c>
      <c r="Q37" s="1317">
        <f t="shared" si="18"/>
        <v>0.40425</v>
      </c>
      <c r="R37" s="1318">
        <f t="shared" si="18"/>
        <v>0.40425</v>
      </c>
      <c r="S37" s="1317">
        <f t="shared" si="18"/>
        <v>0.40425</v>
      </c>
      <c r="T37" s="1317">
        <f t="shared" si="18"/>
        <v>0.40425</v>
      </c>
      <c r="U37" s="1317">
        <f t="shared" si="18"/>
        <v>0.40425</v>
      </c>
      <c r="V37" s="1317">
        <f t="shared" si="18"/>
        <v>0.40425</v>
      </c>
      <c r="W37" s="1317">
        <f t="shared" si="18"/>
        <v>0.40425</v>
      </c>
      <c r="X37" s="1317">
        <f t="shared" si="18"/>
        <v>0.40425</v>
      </c>
      <c r="Y37" s="1317">
        <f>+Y35*Y32/1000</f>
        <v>0.40425</v>
      </c>
      <c r="Z37" s="1317">
        <f t="shared" si="18"/>
        <v>0.40425</v>
      </c>
      <c r="AA37" s="1317">
        <f t="shared" si="18"/>
        <v>0.40425</v>
      </c>
      <c r="AB37" s="1317">
        <f t="shared" si="18"/>
        <v>0.40425</v>
      </c>
      <c r="AC37" s="1317">
        <f t="shared" si="18"/>
        <v>0.40425</v>
      </c>
      <c r="AD37" s="1317">
        <f>+AD35*AD32/1000</f>
        <v>0</v>
      </c>
      <c r="AE37" s="1317">
        <f t="shared" si="18"/>
        <v>0.40425</v>
      </c>
      <c r="AF37" s="1317">
        <f t="shared" si="18"/>
        <v>0.40425</v>
      </c>
      <c r="AG37" s="1317">
        <f t="shared" si="18"/>
        <v>0.40425</v>
      </c>
      <c r="AH37" s="1317">
        <f t="shared" si="18"/>
        <v>0.40425</v>
      </c>
      <c r="AI37" s="1317">
        <f t="shared" si="18"/>
        <v>0.40425</v>
      </c>
      <c r="AJ37" s="1317">
        <f t="shared" si="18"/>
        <v>0.40425</v>
      </c>
      <c r="AK37" s="1317">
        <f t="shared" si="18"/>
        <v>0.40425</v>
      </c>
      <c r="AL37" s="1317">
        <f t="shared" si="18"/>
        <v>0.40425</v>
      </c>
      <c r="AM37" s="1317">
        <f t="shared" si="18"/>
        <v>0.40425</v>
      </c>
      <c r="AN37" s="1319">
        <f t="shared" si="18"/>
        <v>0</v>
      </c>
      <c r="AO37" s="705"/>
    </row>
    <row r="38" spans="1:41" ht="15.75" thickBot="1" x14ac:dyDescent="0.3">
      <c r="A38" s="1708"/>
      <c r="B38" s="1321" t="e">
        <f t="shared" si="17"/>
        <v>#VALUE!</v>
      </c>
      <c r="C38" s="1432" t="e">
        <f t="shared" si="15"/>
        <v>#VALUE!</v>
      </c>
      <c r="D38" s="1609"/>
      <c r="E38" s="1694"/>
      <c r="F38" s="1687"/>
      <c r="G38" s="1387" t="s">
        <v>347</v>
      </c>
      <c r="H38" s="1321">
        <f>SUMIF($J$9:$AN$9,"&lt;="&amp;$E$7,J38:AN38)</f>
        <v>8.6558799999999998</v>
      </c>
      <c r="I38" s="1388">
        <f t="shared" ref="I38" si="19">IFERROR((H38-H37)/H37,0)</f>
        <v>-0.26164843366813789</v>
      </c>
      <c r="J38" s="1323">
        <f t="shared" si="18"/>
        <v>0.41529000000000005</v>
      </c>
      <c r="K38" s="1321">
        <f t="shared" si="18"/>
        <v>0.43456</v>
      </c>
      <c r="L38" s="1321">
        <f t="shared" si="18"/>
        <v>0.59248000000000001</v>
      </c>
      <c r="M38" s="1321">
        <f t="shared" si="18"/>
        <v>0.77</v>
      </c>
      <c r="N38" s="1321">
        <f t="shared" si="18"/>
        <v>0.66896</v>
      </c>
      <c r="O38" s="1321">
        <f t="shared" si="18"/>
        <v>0.65712000000000004</v>
      </c>
      <c r="P38" s="1321">
        <f t="shared" si="18"/>
        <v>0.30380000000000001</v>
      </c>
      <c r="Q38" s="1321">
        <f t="shared" si="18"/>
        <v>0.24751999999999999</v>
      </c>
      <c r="R38" s="1321">
        <f t="shared" si="18"/>
        <v>0.29824000000000001</v>
      </c>
      <c r="S38" s="1321">
        <f t="shared" si="18"/>
        <v>0.22032000000000002</v>
      </c>
      <c r="T38" s="1321">
        <f t="shared" si="18"/>
        <v>0.18575999999999998</v>
      </c>
      <c r="U38" s="1321">
        <f t="shared" si="18"/>
        <v>0.26818000000000003</v>
      </c>
      <c r="V38" s="1321">
        <f t="shared" si="18"/>
        <v>0.24793999999999997</v>
      </c>
      <c r="W38" s="1321">
        <f t="shared" si="18"/>
        <v>0.40844999999999998</v>
      </c>
      <c r="X38" s="1321">
        <f t="shared" si="18"/>
        <v>0.46620000000000006</v>
      </c>
      <c r="Y38" s="1321">
        <f>+Y36*Y33/1000</f>
        <v>0.28970999999999997</v>
      </c>
      <c r="Z38" s="1321">
        <f t="shared" si="18"/>
        <v>0.19739999999999996</v>
      </c>
      <c r="AA38" s="1321">
        <f t="shared" si="18"/>
        <v>0.3503</v>
      </c>
      <c r="AB38" s="1321">
        <f t="shared" si="18"/>
        <v>0.46652000000000005</v>
      </c>
      <c r="AC38" s="1321">
        <f t="shared" si="18"/>
        <v>0.30940000000000001</v>
      </c>
      <c r="AD38" s="1321">
        <f t="shared" si="18"/>
        <v>0.28070000000000001</v>
      </c>
      <c r="AE38" s="1321">
        <f t="shared" si="18"/>
        <v>0.36079</v>
      </c>
      <c r="AF38" s="1321">
        <f t="shared" si="18"/>
        <v>0.21624000000000002</v>
      </c>
      <c r="AG38" s="1321">
        <f t="shared" si="18"/>
        <v>0</v>
      </c>
      <c r="AH38" s="1321">
        <f t="shared" si="18"/>
        <v>0</v>
      </c>
      <c r="AI38" s="1321">
        <f t="shared" si="18"/>
        <v>0</v>
      </c>
      <c r="AJ38" s="1321">
        <f t="shared" si="18"/>
        <v>0</v>
      </c>
      <c r="AK38" s="1321">
        <f t="shared" si="18"/>
        <v>0</v>
      </c>
      <c r="AL38" s="1321">
        <f t="shared" si="18"/>
        <v>0</v>
      </c>
      <c r="AM38" s="1321">
        <f t="shared" si="18"/>
        <v>0</v>
      </c>
      <c r="AN38" s="1321">
        <f t="shared" si="18"/>
        <v>0</v>
      </c>
      <c r="AO38" s="706"/>
    </row>
    <row r="39" spans="1:41" ht="15.75" thickBot="1" x14ac:dyDescent="0.3">
      <c r="A39" s="1684" t="s">
        <v>340</v>
      </c>
      <c r="B39" s="196">
        <f t="shared" ref="B39" si="20">SUM(I39:AL39)</f>
        <v>0</v>
      </c>
      <c r="C39" s="197"/>
      <c r="D39" s="1608"/>
      <c r="E39" s="1698" t="str">
        <f>[13]Breaking.!A43</f>
        <v>4L_W23A STOPE</v>
      </c>
      <c r="F39" s="1696" t="s">
        <v>340</v>
      </c>
      <c r="G39" s="293" t="s">
        <v>341</v>
      </c>
      <c r="H39" s="196">
        <f>SUMIF($J$9:$AN$9,"&lt;="&amp;$E$7,J39:AN39)</f>
        <v>0</v>
      </c>
      <c r="I39" s="197"/>
      <c r="J39" s="198">
        <f>[13]Breaking.!D43</f>
        <v>0</v>
      </c>
      <c r="K39" s="198">
        <f>[13]Breaking.!E43</f>
        <v>0</v>
      </c>
      <c r="L39" s="198">
        <f>[13]Breaking.!F43</f>
        <v>0</v>
      </c>
      <c r="M39" s="198">
        <f>[13]Breaking.!G43</f>
        <v>0</v>
      </c>
      <c r="N39" s="198">
        <f>[13]Breaking.!H43</f>
        <v>0</v>
      </c>
      <c r="O39" s="198">
        <f>[13]Breaking.!I43</f>
        <v>0</v>
      </c>
      <c r="P39" s="198">
        <f>[13]Breaking.!J43</f>
        <v>0</v>
      </c>
      <c r="Q39" s="198">
        <f>[13]Breaking.!K43</f>
        <v>0</v>
      </c>
      <c r="R39" s="198">
        <f>[13]Breaking.!L43</f>
        <v>0</v>
      </c>
      <c r="S39" s="198">
        <f>[13]Breaking.!M43</f>
        <v>0</v>
      </c>
      <c r="T39" s="198">
        <f>[13]Breaking.!N43</f>
        <v>0</v>
      </c>
      <c r="U39" s="198">
        <f>[13]Breaking.!O43</f>
        <v>0</v>
      </c>
      <c r="V39" s="198">
        <f>[13]Breaking.!P43</f>
        <v>0</v>
      </c>
      <c r="W39" s="198">
        <f>[13]Breaking.!Q43</f>
        <v>0</v>
      </c>
      <c r="X39" s="198">
        <f>[13]Breaking.!R43</f>
        <v>0</v>
      </c>
      <c r="Y39" s="198">
        <f>[13]Breaking.!S43</f>
        <v>0</v>
      </c>
      <c r="Z39" s="198">
        <f>[13]Breaking.!T43</f>
        <v>0</v>
      </c>
      <c r="AA39" s="198">
        <f>[13]Breaking.!U43</f>
        <v>0</v>
      </c>
      <c r="AB39" s="198">
        <f>[13]Breaking.!V43</f>
        <v>0</v>
      </c>
      <c r="AC39" s="198">
        <f>[13]Breaking.!W43</f>
        <v>0</v>
      </c>
      <c r="AD39" s="198">
        <f>[13]Breaking.!X43</f>
        <v>0</v>
      </c>
      <c r="AE39" s="198">
        <f>[13]Breaking.!Y43</f>
        <v>0</v>
      </c>
      <c r="AF39" s="198">
        <f>[13]Breaking.!Z43</f>
        <v>0</v>
      </c>
      <c r="AG39" s="198">
        <f>[13]Breaking.!AA43</f>
        <v>0</v>
      </c>
      <c r="AH39" s="198">
        <f>[13]Breaking.!AB43</f>
        <v>0</v>
      </c>
      <c r="AI39" s="198">
        <f>[13]Breaking.!AC43</f>
        <v>0</v>
      </c>
      <c r="AJ39" s="198">
        <f>[13]Breaking.!AD43</f>
        <v>0</v>
      </c>
      <c r="AK39" s="198">
        <f>[13]Breaking.!AE43</f>
        <v>0</v>
      </c>
      <c r="AL39" s="198">
        <f>[13]Breaking.!AF43</f>
        <v>0</v>
      </c>
      <c r="AM39" s="198">
        <f>[13]Breaking.!AG43</f>
        <v>0</v>
      </c>
      <c r="AN39" s="198">
        <f>[13]Breaking.!AH43</f>
        <v>0</v>
      </c>
      <c r="AO39" s="845"/>
    </row>
    <row r="40" spans="1:41" ht="15.75" thickBot="1" x14ac:dyDescent="0.3">
      <c r="A40" s="1688"/>
      <c r="B40" s="1303">
        <f t="shared" si="6"/>
        <v>0</v>
      </c>
      <c r="C40" s="1430">
        <f>B40-B39</f>
        <v>0</v>
      </c>
      <c r="D40" s="1608"/>
      <c r="E40" s="1693"/>
      <c r="F40" s="1696"/>
      <c r="G40" s="1379" t="s">
        <v>342</v>
      </c>
      <c r="H40" s="1303">
        <f>SUMIF($J$9:$AN$9,"&lt;="&amp;$E$7,J40:AN40)</f>
        <v>0</v>
      </c>
      <c r="I40" s="1380">
        <f t="shared" ref="I40" si="21">IFERROR((H40-H39)/H39,0)</f>
        <v>0</v>
      </c>
      <c r="J40" s="1305"/>
      <c r="K40" s="1303"/>
      <c r="L40" s="1303"/>
      <c r="M40" s="1303"/>
      <c r="N40" s="1303"/>
      <c r="O40" s="1303"/>
      <c r="P40" s="1303"/>
      <c r="Q40" s="1303"/>
      <c r="R40" s="1303"/>
      <c r="S40" s="1303"/>
      <c r="T40" s="1303"/>
      <c r="U40" s="1303"/>
      <c r="V40" s="1303"/>
      <c r="W40" s="1303"/>
      <c r="X40" s="1303"/>
      <c r="Y40" s="1303"/>
      <c r="Z40" s="1303"/>
      <c r="AA40" s="1303"/>
      <c r="AB40" s="1303"/>
      <c r="AC40" s="1303"/>
      <c r="AD40" s="1303"/>
      <c r="AE40" s="1303"/>
      <c r="AF40" s="1303"/>
      <c r="AG40" s="1303"/>
      <c r="AH40" s="1303"/>
      <c r="AI40" s="1303"/>
      <c r="AJ40" s="1303"/>
      <c r="AK40" s="1303"/>
      <c r="AL40" s="1303"/>
      <c r="AM40" s="1303"/>
      <c r="AN40" s="1303"/>
      <c r="AO40" s="347"/>
    </row>
    <row r="41" spans="1:41" ht="15.75" thickBot="1" x14ac:dyDescent="0.3">
      <c r="A41" s="1688"/>
      <c r="B41" s="1382"/>
      <c r="C41" s="1383"/>
      <c r="D41" s="1608"/>
      <c r="E41" s="1693"/>
      <c r="F41" s="1696"/>
      <c r="G41" s="1389" t="s">
        <v>312</v>
      </c>
      <c r="H41" s="1390"/>
      <c r="I41" s="1391"/>
      <c r="J41" s="203"/>
      <c r="K41" s="203"/>
      <c r="L41" s="203"/>
      <c r="M41" s="203"/>
      <c r="N41" s="203"/>
      <c r="O41" s="203"/>
      <c r="P41" s="203"/>
      <c r="Q41" s="203"/>
      <c r="R41" s="204"/>
      <c r="S41" s="203"/>
      <c r="T41" s="203"/>
      <c r="U41" s="203"/>
      <c r="V41" s="203"/>
      <c r="W41" s="203"/>
      <c r="X41" s="203"/>
      <c r="Y41" s="203"/>
      <c r="Z41" s="203"/>
      <c r="AA41" s="203"/>
      <c r="AB41" s="203"/>
      <c r="AC41" s="203"/>
      <c r="AD41" s="203"/>
      <c r="AE41" s="203"/>
      <c r="AF41" s="203"/>
      <c r="AG41" s="203"/>
      <c r="AH41" s="203"/>
      <c r="AI41" s="203"/>
      <c r="AJ41" s="203"/>
      <c r="AK41" s="203"/>
      <c r="AL41" s="203"/>
      <c r="AM41" s="203"/>
      <c r="AN41" s="205"/>
      <c r="AO41" s="846"/>
    </row>
    <row r="42" spans="1:41" ht="15.75" thickBot="1" x14ac:dyDescent="0.3">
      <c r="A42" s="1685" t="s">
        <v>343</v>
      </c>
      <c r="B42" s="1310" t="e">
        <f t="shared" si="12"/>
        <v>#DIV/0!</v>
      </c>
      <c r="C42" s="1385"/>
      <c r="D42" s="1608"/>
      <c r="E42" s="1693"/>
      <c r="F42" s="1686" t="s">
        <v>343</v>
      </c>
      <c r="G42" s="1384" t="s">
        <v>344</v>
      </c>
      <c r="H42" s="1310">
        <f>IFERROR(H44*1000/H39,0)</f>
        <v>0</v>
      </c>
      <c r="I42" s="1385"/>
      <c r="J42" s="1312"/>
      <c r="K42" s="1312"/>
      <c r="L42" s="1312"/>
      <c r="M42" s="1312"/>
      <c r="N42" s="1312"/>
      <c r="O42" s="1312"/>
      <c r="P42" s="1312"/>
      <c r="Q42" s="1312"/>
      <c r="R42" s="1312"/>
      <c r="S42" s="1312"/>
      <c r="T42" s="1312"/>
      <c r="U42" s="1312"/>
      <c r="V42" s="1312"/>
      <c r="W42" s="1312"/>
      <c r="X42" s="1312"/>
      <c r="Y42" s="1312"/>
      <c r="Z42" s="1312"/>
      <c r="AA42" s="1312"/>
      <c r="AB42" s="1312"/>
      <c r="AC42" s="1312"/>
      <c r="AD42" s="1312"/>
      <c r="AE42" s="1312"/>
      <c r="AF42" s="1312"/>
      <c r="AG42" s="1312"/>
      <c r="AH42" s="1312"/>
      <c r="AI42" s="1312"/>
      <c r="AJ42" s="1312"/>
      <c r="AK42" s="1312"/>
      <c r="AL42" s="1312"/>
      <c r="AM42" s="1312"/>
      <c r="AN42" s="1312"/>
      <c r="AO42" s="347"/>
    </row>
    <row r="43" spans="1:41" ht="15.75" thickBot="1" x14ac:dyDescent="0.3">
      <c r="A43" s="1707"/>
      <c r="B43" s="1314" t="e">
        <f t="shared" ref="B43" si="22">B42*(G43/B42)</f>
        <v>#DIV/0!</v>
      </c>
      <c r="C43" s="1431" t="e">
        <f>B43-B42</f>
        <v>#DIV/0!</v>
      </c>
      <c r="D43" s="1608"/>
      <c r="E43" s="1693"/>
      <c r="F43" s="1686"/>
      <c r="G43" s="1386" t="s">
        <v>345</v>
      </c>
      <c r="H43" s="1314">
        <f>IFERROR(H45*1000/H40,0)</f>
        <v>0</v>
      </c>
      <c r="I43" s="1380">
        <f t="shared" ref="I43" si="23">IFERROR((H43-H42)/H42,0)</f>
        <v>0</v>
      </c>
      <c r="J43" s="1315"/>
      <c r="K43" s="1314"/>
      <c r="L43" s="1314"/>
      <c r="M43" s="1314"/>
      <c r="N43" s="1314"/>
      <c r="O43" s="1314"/>
      <c r="P43" s="1314"/>
      <c r="Q43" s="1314"/>
      <c r="R43" s="1314"/>
      <c r="S43" s="1314"/>
      <c r="T43" s="1314"/>
      <c r="U43" s="1314"/>
      <c r="V43" s="1314"/>
      <c r="W43" s="1314"/>
      <c r="X43" s="1314"/>
      <c r="Y43" s="1314"/>
      <c r="Z43" s="1314"/>
      <c r="AA43" s="1314"/>
      <c r="AB43" s="1314"/>
      <c r="AC43" s="1314"/>
      <c r="AD43" s="1314"/>
      <c r="AE43" s="1314"/>
      <c r="AF43" s="1314"/>
      <c r="AG43" s="1314"/>
      <c r="AH43" s="1314"/>
      <c r="AI43" s="1314"/>
      <c r="AJ43" s="1314"/>
      <c r="AK43" s="1314"/>
      <c r="AL43" s="1314"/>
      <c r="AM43" s="1314"/>
      <c r="AN43" s="1314"/>
      <c r="AO43" s="347"/>
    </row>
    <row r="44" spans="1:41" ht="15.75" thickBot="1" x14ac:dyDescent="0.3">
      <c r="A44" s="1685" t="s">
        <v>47</v>
      </c>
      <c r="B44" s="206" t="e">
        <f t="shared" si="17"/>
        <v>#DIV/0!</v>
      </c>
      <c r="C44" s="1385"/>
      <c r="D44" s="1608"/>
      <c r="E44" s="1693"/>
      <c r="F44" s="1686" t="s">
        <v>47</v>
      </c>
      <c r="G44" s="1384" t="s">
        <v>346</v>
      </c>
      <c r="H44" s="206">
        <f>SUMIF($J$9:$AN$9,"&lt;="&amp;$E$7,J44:AN44)</f>
        <v>0</v>
      </c>
      <c r="I44" s="1385"/>
      <c r="J44" s="1316">
        <f t="shared" ref="J44:AN45" si="24">+J42*J39/1000</f>
        <v>0</v>
      </c>
      <c r="K44" s="1316">
        <f t="shared" si="24"/>
        <v>0</v>
      </c>
      <c r="L44" s="1316">
        <f t="shared" si="24"/>
        <v>0</v>
      </c>
      <c r="M44" s="1317">
        <f t="shared" si="24"/>
        <v>0</v>
      </c>
      <c r="N44" s="1317">
        <f t="shared" si="24"/>
        <v>0</v>
      </c>
      <c r="O44" s="1317">
        <f t="shared" si="24"/>
        <v>0</v>
      </c>
      <c r="P44" s="1317">
        <f t="shared" si="24"/>
        <v>0</v>
      </c>
      <c r="Q44" s="1317">
        <f t="shared" si="24"/>
        <v>0</v>
      </c>
      <c r="R44" s="1318">
        <f t="shared" si="24"/>
        <v>0</v>
      </c>
      <c r="S44" s="1317">
        <f t="shared" si="24"/>
        <v>0</v>
      </c>
      <c r="T44" s="1317">
        <f t="shared" si="24"/>
        <v>0</v>
      </c>
      <c r="U44" s="1317">
        <f t="shared" si="24"/>
        <v>0</v>
      </c>
      <c r="V44" s="1317">
        <f t="shared" si="24"/>
        <v>0</v>
      </c>
      <c r="W44" s="1317">
        <f t="shared" si="24"/>
        <v>0</v>
      </c>
      <c r="X44" s="1317">
        <f t="shared" si="24"/>
        <v>0</v>
      </c>
      <c r="Y44" s="1317">
        <f t="shared" si="24"/>
        <v>0</v>
      </c>
      <c r="Z44" s="1317">
        <f t="shared" si="24"/>
        <v>0</v>
      </c>
      <c r="AA44" s="1317">
        <f t="shared" si="24"/>
        <v>0</v>
      </c>
      <c r="AB44" s="1317">
        <f t="shared" si="24"/>
        <v>0</v>
      </c>
      <c r="AC44" s="1317">
        <f t="shared" si="24"/>
        <v>0</v>
      </c>
      <c r="AD44" s="1317">
        <f t="shared" si="24"/>
        <v>0</v>
      </c>
      <c r="AE44" s="1317">
        <f t="shared" si="24"/>
        <v>0</v>
      </c>
      <c r="AF44" s="1317">
        <f t="shared" si="24"/>
        <v>0</v>
      </c>
      <c r="AG44" s="1317">
        <f t="shared" si="24"/>
        <v>0</v>
      </c>
      <c r="AH44" s="1317">
        <f t="shared" si="24"/>
        <v>0</v>
      </c>
      <c r="AI44" s="1317">
        <f t="shared" si="24"/>
        <v>0</v>
      </c>
      <c r="AJ44" s="1317">
        <f t="shared" si="24"/>
        <v>0</v>
      </c>
      <c r="AK44" s="1317"/>
      <c r="AL44" s="1317">
        <f t="shared" si="24"/>
        <v>0</v>
      </c>
      <c r="AM44" s="1317">
        <f t="shared" si="24"/>
        <v>0</v>
      </c>
      <c r="AN44" s="1319">
        <f t="shared" si="24"/>
        <v>0</v>
      </c>
      <c r="AO44" s="705"/>
    </row>
    <row r="45" spans="1:41" ht="15.75" thickBot="1" x14ac:dyDescent="0.3">
      <c r="A45" s="1708"/>
      <c r="B45" s="1321" t="e">
        <f t="shared" si="17"/>
        <v>#DIV/0!</v>
      </c>
      <c r="C45" s="1432" t="e">
        <f>B45-B44</f>
        <v>#DIV/0!</v>
      </c>
      <c r="D45" s="1609"/>
      <c r="E45" s="1694"/>
      <c r="F45" s="1687"/>
      <c r="G45" s="1387" t="s">
        <v>347</v>
      </c>
      <c r="H45" s="1321">
        <f>SUMIF($J$9:$AN$9,"&lt;="&amp;$E$7,J45:AN45)</f>
        <v>0</v>
      </c>
      <c r="I45" s="1388">
        <f t="shared" ref="I45" si="25">IFERROR((H45-H44)/H44,0)</f>
        <v>0</v>
      </c>
      <c r="J45" s="1323">
        <f t="shared" si="24"/>
        <v>0</v>
      </c>
      <c r="K45" s="1321">
        <f t="shared" si="24"/>
        <v>0</v>
      </c>
      <c r="L45" s="1321">
        <f t="shared" si="24"/>
        <v>0</v>
      </c>
      <c r="M45" s="1321">
        <f t="shared" si="24"/>
        <v>0</v>
      </c>
      <c r="N45" s="1321">
        <f t="shared" si="24"/>
        <v>0</v>
      </c>
      <c r="O45" s="1321">
        <f t="shared" si="24"/>
        <v>0</v>
      </c>
      <c r="P45" s="1321">
        <f t="shared" si="24"/>
        <v>0</v>
      </c>
      <c r="Q45" s="1321">
        <f t="shared" si="24"/>
        <v>0</v>
      </c>
      <c r="R45" s="1321">
        <f t="shared" si="24"/>
        <v>0</v>
      </c>
      <c r="S45" s="1321">
        <f t="shared" si="24"/>
        <v>0</v>
      </c>
      <c r="T45" s="1321">
        <f t="shared" si="24"/>
        <v>0</v>
      </c>
      <c r="U45" s="1321">
        <f t="shared" si="24"/>
        <v>0</v>
      </c>
      <c r="V45" s="1321">
        <f t="shared" si="24"/>
        <v>0</v>
      </c>
      <c r="W45" s="1321">
        <f t="shared" si="24"/>
        <v>0</v>
      </c>
      <c r="X45" s="1321">
        <f t="shared" si="24"/>
        <v>0</v>
      </c>
      <c r="Y45" s="1321">
        <f>+Y43*Y40/1000</f>
        <v>0</v>
      </c>
      <c r="Z45" s="1321">
        <f t="shared" si="24"/>
        <v>0</v>
      </c>
      <c r="AA45" s="1321">
        <f t="shared" si="24"/>
        <v>0</v>
      </c>
      <c r="AB45" s="1321">
        <f t="shared" si="24"/>
        <v>0</v>
      </c>
      <c r="AC45" s="1321">
        <f t="shared" si="24"/>
        <v>0</v>
      </c>
      <c r="AD45" s="1321">
        <f t="shared" si="24"/>
        <v>0</v>
      </c>
      <c r="AE45" s="1321">
        <f t="shared" si="24"/>
        <v>0</v>
      </c>
      <c r="AF45" s="1321">
        <f t="shared" si="24"/>
        <v>0</v>
      </c>
      <c r="AG45" s="1321">
        <f t="shared" si="24"/>
        <v>0</v>
      </c>
      <c r="AH45" s="1321">
        <f t="shared" si="24"/>
        <v>0</v>
      </c>
      <c r="AI45" s="1321">
        <f t="shared" si="24"/>
        <v>0</v>
      </c>
      <c r="AJ45" s="1321">
        <f t="shared" si="24"/>
        <v>0</v>
      </c>
      <c r="AK45" s="1321">
        <f t="shared" si="24"/>
        <v>0</v>
      </c>
      <c r="AL45" s="1321">
        <f t="shared" si="24"/>
        <v>0</v>
      </c>
      <c r="AM45" s="1321">
        <f t="shared" si="24"/>
        <v>0</v>
      </c>
      <c r="AN45" s="1321">
        <f t="shared" si="24"/>
        <v>0</v>
      </c>
      <c r="AO45" s="706"/>
    </row>
    <row r="46" spans="1:41" ht="15.75" thickBot="1" x14ac:dyDescent="0.3">
      <c r="A46" s="1684" t="s">
        <v>340</v>
      </c>
      <c r="B46" s="196">
        <f t="shared" ref="B46" si="26">SUM(I46:AL46)</f>
        <v>3920</v>
      </c>
      <c r="C46" s="197"/>
      <c r="D46" s="1608">
        <v>1</v>
      </c>
      <c r="E46" s="1692" t="str">
        <f>[13]Breaking.!A45</f>
        <v>4L_W23B_STOPE</v>
      </c>
      <c r="F46" s="1696" t="s">
        <v>340</v>
      </c>
      <c r="G46" s="293" t="s">
        <v>341</v>
      </c>
      <c r="H46" s="196">
        <f>SUMIF($J$9:$AN$9,"&lt;="&amp;$E$7,J46:AN46)</f>
        <v>4060</v>
      </c>
      <c r="I46" s="197"/>
      <c r="J46" s="198">
        <f>[13]Breaking.!D45</f>
        <v>140</v>
      </c>
      <c r="K46" s="198">
        <f>[13]Breaking.!E45</f>
        <v>140</v>
      </c>
      <c r="L46" s="198">
        <f>[13]Breaking.!F45</f>
        <v>140</v>
      </c>
      <c r="M46" s="198">
        <f>[13]Breaking.!G45</f>
        <v>140</v>
      </c>
      <c r="N46" s="198">
        <f>[13]Breaking.!H45</f>
        <v>140</v>
      </c>
      <c r="O46" s="198">
        <f>[13]Breaking.!I45</f>
        <v>140</v>
      </c>
      <c r="P46" s="198">
        <f>[13]Breaking.!J45</f>
        <v>140</v>
      </c>
      <c r="Q46" s="198">
        <f>[13]Breaking.!K45</f>
        <v>140</v>
      </c>
      <c r="R46" s="198">
        <f>[13]Breaking.!L45</f>
        <v>140</v>
      </c>
      <c r="S46" s="198">
        <f>[13]Breaking.!M45</f>
        <v>140</v>
      </c>
      <c r="T46" s="198">
        <f>[13]Breaking.!N45</f>
        <v>140</v>
      </c>
      <c r="U46" s="198">
        <f>[13]Breaking.!O45</f>
        <v>140</v>
      </c>
      <c r="V46" s="198">
        <f>[13]Breaking.!P45</f>
        <v>140</v>
      </c>
      <c r="W46" s="198">
        <f>[13]Breaking.!Q45</f>
        <v>140</v>
      </c>
      <c r="X46" s="198">
        <f>[13]Breaking.!R45</f>
        <v>140</v>
      </c>
      <c r="Y46" s="198">
        <f>[13]Breaking.!S45</f>
        <v>140</v>
      </c>
      <c r="Z46" s="198">
        <f>[13]Breaking.!T45</f>
        <v>140</v>
      </c>
      <c r="AA46" s="198">
        <f>[13]Breaking.!U45</f>
        <v>140</v>
      </c>
      <c r="AB46" s="198">
        <f>[13]Breaking.!V45</f>
        <v>140</v>
      </c>
      <c r="AC46" s="198">
        <v>140</v>
      </c>
      <c r="AD46" s="198">
        <f>[13]Breaking.!X45</f>
        <v>0</v>
      </c>
      <c r="AE46" s="198">
        <f>[13]Breaking.!Y45</f>
        <v>140</v>
      </c>
      <c r="AF46" s="198">
        <f>[13]Breaking.!Z45</f>
        <v>140</v>
      </c>
      <c r="AG46" s="198">
        <f>[13]Breaking.!AA45</f>
        <v>140</v>
      </c>
      <c r="AH46" s="198">
        <f>[13]Breaking.!AB45</f>
        <v>140</v>
      </c>
      <c r="AI46" s="198">
        <f>[13]Breaking.!AC45</f>
        <v>140</v>
      </c>
      <c r="AJ46" s="198">
        <f>[13]Breaking.!AD45</f>
        <v>140</v>
      </c>
      <c r="AK46" s="198">
        <f>[13]Breaking.!AE45</f>
        <v>140</v>
      </c>
      <c r="AL46" s="198">
        <f>[13]Breaking.!AF45</f>
        <v>140</v>
      </c>
      <c r="AM46" s="198">
        <f>[13]Breaking.!AG45</f>
        <v>140</v>
      </c>
      <c r="AN46" s="198">
        <f>[13]Breaking.!AH45</f>
        <v>0</v>
      </c>
      <c r="AO46" s="845"/>
    </row>
    <row r="47" spans="1:41" ht="15.75" thickBot="1" x14ac:dyDescent="0.3">
      <c r="A47" s="1688"/>
      <c r="B47" s="1303">
        <f t="shared" si="6"/>
        <v>13328000</v>
      </c>
      <c r="C47" s="1430">
        <f>B47-B46</f>
        <v>13324080</v>
      </c>
      <c r="D47" s="1608"/>
      <c r="E47" s="1693"/>
      <c r="F47" s="1696"/>
      <c r="G47" s="1379" t="s">
        <v>342</v>
      </c>
      <c r="H47" s="1303">
        <f>SUMIF($J$9:$AN$9,"&lt;="&amp;$E$7,J47:AN47)</f>
        <v>3399</v>
      </c>
      <c r="I47" s="1380">
        <f t="shared" ref="I47" si="27">IFERROR((H47-H46)/H46,0)</f>
        <v>-0.16280788177339903</v>
      </c>
      <c r="J47" s="1305">
        <f>34+34+43+43</f>
        <v>154</v>
      </c>
      <c r="K47" s="1303">
        <f>35+35+44+45</f>
        <v>159</v>
      </c>
      <c r="L47" s="1303">
        <v>144</v>
      </c>
      <c r="M47" s="1303">
        <f>37+36+45+48</f>
        <v>166</v>
      </c>
      <c r="N47" s="1303">
        <f>36+36+48+48</f>
        <v>168</v>
      </c>
      <c r="O47" s="1303">
        <v>162</v>
      </c>
      <c r="P47" s="1303">
        <f>55+47+40+46</f>
        <v>188</v>
      </c>
      <c r="Q47" s="1303">
        <f>34+44+55+48</f>
        <v>181</v>
      </c>
      <c r="R47" s="1303">
        <f>46+47+47</f>
        <v>140</v>
      </c>
      <c r="S47" s="1303">
        <v>149</v>
      </c>
      <c r="T47" s="1303">
        <v>144</v>
      </c>
      <c r="U47" s="1303">
        <v>140</v>
      </c>
      <c r="V47" s="1303">
        <v>142</v>
      </c>
      <c r="W47" s="1303">
        <f>37+43+38+14+14</f>
        <v>146</v>
      </c>
      <c r="X47" s="1303">
        <v>165</v>
      </c>
      <c r="Y47" s="1303">
        <f>40+38+35+40</f>
        <v>153</v>
      </c>
      <c r="Z47" s="1303">
        <v>145</v>
      </c>
      <c r="AA47" s="1303">
        <f>39+40+36+37</f>
        <v>152</v>
      </c>
      <c r="AB47" s="1303">
        <f>42+43+41+36</f>
        <v>162</v>
      </c>
      <c r="AC47" s="1303">
        <v>156</v>
      </c>
      <c r="AD47" s="1303">
        <v>35</v>
      </c>
      <c r="AE47" s="1303">
        <f>20+20+40+30+30</f>
        <v>140</v>
      </c>
      <c r="AF47" s="1303">
        <f>28+31+31+18</f>
        <v>108</v>
      </c>
      <c r="AG47" s="1303"/>
      <c r="AH47" s="1303"/>
      <c r="AI47" s="1303"/>
      <c r="AJ47" s="1303"/>
      <c r="AK47" s="1303"/>
      <c r="AL47" s="1303"/>
      <c r="AM47" s="1303"/>
      <c r="AN47" s="1303"/>
      <c r="AO47" s="347"/>
    </row>
    <row r="48" spans="1:41" ht="15.75" thickBot="1" x14ac:dyDescent="0.3">
      <c r="A48" s="1688"/>
      <c r="B48" s="1382"/>
      <c r="C48" s="1383"/>
      <c r="D48" s="1608"/>
      <c r="E48" s="1693"/>
      <c r="F48" s="1696"/>
      <c r="G48" s="1389" t="s">
        <v>312</v>
      </c>
      <c r="H48" s="1390"/>
      <c r="I48" s="1391"/>
      <c r="J48" s="203"/>
      <c r="K48" s="203"/>
      <c r="L48" s="203"/>
      <c r="M48" s="203"/>
      <c r="N48" s="203"/>
      <c r="O48" s="203"/>
      <c r="P48" s="203"/>
      <c r="Q48" s="203"/>
      <c r="R48" s="204"/>
      <c r="S48" s="203"/>
      <c r="T48" s="203"/>
      <c r="U48" s="203"/>
      <c r="V48" s="203"/>
      <c r="W48" s="203"/>
      <c r="X48" s="203"/>
      <c r="Y48" s="203"/>
      <c r="Z48" s="203"/>
      <c r="AA48" s="203"/>
      <c r="AB48" s="203"/>
      <c r="AC48" s="203"/>
      <c r="AD48" s="203"/>
      <c r="AE48" s="203"/>
      <c r="AF48" s="203"/>
      <c r="AG48" s="203"/>
      <c r="AH48" s="203"/>
      <c r="AI48" s="203"/>
      <c r="AJ48" s="203"/>
      <c r="AK48" s="203"/>
      <c r="AL48" s="203"/>
      <c r="AM48" s="203"/>
      <c r="AN48" s="205"/>
      <c r="AO48" s="846"/>
    </row>
    <row r="49" spans="1:41" ht="15.75" thickBot="1" x14ac:dyDescent="0.3">
      <c r="A49" s="1685" t="s">
        <v>343</v>
      </c>
      <c r="B49" s="1310">
        <f t="shared" si="12"/>
        <v>3.85</v>
      </c>
      <c r="C49" s="1385"/>
      <c r="D49" s="1608"/>
      <c r="E49" s="1693"/>
      <c r="F49" s="1686" t="s">
        <v>343</v>
      </c>
      <c r="G49" s="1384" t="s">
        <v>344</v>
      </c>
      <c r="H49" s="1310">
        <f t="shared" ref="H49" si="28">IFERROR(H51*1000/H46,0)</f>
        <v>3.8499999999999988</v>
      </c>
      <c r="I49" s="1385"/>
      <c r="J49" s="1312">
        <v>3.85</v>
      </c>
      <c r="K49" s="1312">
        <v>3.85</v>
      </c>
      <c r="L49" s="1312">
        <v>3.85</v>
      </c>
      <c r="M49" s="1312">
        <v>3.85</v>
      </c>
      <c r="N49" s="1312">
        <v>3.85</v>
      </c>
      <c r="O49" s="1312">
        <v>3.85</v>
      </c>
      <c r="P49" s="1312">
        <v>3.85</v>
      </c>
      <c r="Q49" s="1312">
        <v>3.85</v>
      </c>
      <c r="R49" s="1312">
        <v>3.85</v>
      </c>
      <c r="S49" s="1312">
        <v>3.85</v>
      </c>
      <c r="T49" s="1312">
        <v>3.85</v>
      </c>
      <c r="U49" s="1312">
        <v>3.85</v>
      </c>
      <c r="V49" s="1312">
        <v>3.85</v>
      </c>
      <c r="W49" s="1312">
        <v>3.85</v>
      </c>
      <c r="X49" s="1312">
        <v>3.85</v>
      </c>
      <c r="Y49" s="1312">
        <v>3.85</v>
      </c>
      <c r="Z49" s="1312">
        <v>3.85</v>
      </c>
      <c r="AA49" s="1312">
        <v>3.85</v>
      </c>
      <c r="AB49" s="1312">
        <v>3.85</v>
      </c>
      <c r="AC49" s="1312">
        <v>3.85</v>
      </c>
      <c r="AD49" s="1312">
        <v>3.85</v>
      </c>
      <c r="AE49" s="1312">
        <v>3.85</v>
      </c>
      <c r="AF49" s="1312">
        <v>3.85</v>
      </c>
      <c r="AG49" s="1312">
        <v>3.85</v>
      </c>
      <c r="AH49" s="1312">
        <v>3.85</v>
      </c>
      <c r="AI49" s="1312">
        <v>3.85</v>
      </c>
      <c r="AJ49" s="1312">
        <v>3.85</v>
      </c>
      <c r="AK49" s="1312">
        <v>3.85</v>
      </c>
      <c r="AL49" s="1312">
        <v>3.85</v>
      </c>
      <c r="AM49" s="1312">
        <v>3.85</v>
      </c>
      <c r="AN49" s="1312"/>
      <c r="AO49" s="347"/>
    </row>
    <row r="50" spans="1:41" ht="15.75" thickBot="1" x14ac:dyDescent="0.3">
      <c r="A50" s="1707"/>
      <c r="B50" s="1314" t="e">
        <f t="shared" ref="B50" si="29">B49*(G50/B49)</f>
        <v>#VALUE!</v>
      </c>
      <c r="C50" s="1431" t="e">
        <f>B50-B49</f>
        <v>#VALUE!</v>
      </c>
      <c r="D50" s="1608"/>
      <c r="E50" s="1693"/>
      <c r="F50" s="1686"/>
      <c r="G50" s="1386" t="s">
        <v>345</v>
      </c>
      <c r="H50" s="1314">
        <f>IFERROR(H52*1000/H47,0)</f>
        <v>3.7235745807590481</v>
      </c>
      <c r="I50" s="1380">
        <f t="shared" ref="I50" si="30">IFERROR((H50-H49)/H49,0)</f>
        <v>-3.2837771231415756E-2</v>
      </c>
      <c r="J50" s="1328">
        <v>6.95</v>
      </c>
      <c r="K50" s="1314">
        <v>2.75</v>
      </c>
      <c r="L50" s="1314">
        <v>5.96</v>
      </c>
      <c r="M50" s="1314">
        <v>7</v>
      </c>
      <c r="N50" s="1314">
        <v>4.7300000000000004</v>
      </c>
      <c r="O50" s="1314">
        <v>4.7300000000000004</v>
      </c>
      <c r="P50" s="1314">
        <v>2.2200000000000002</v>
      </c>
      <c r="Q50" s="1314">
        <v>2.1800000000000002</v>
      </c>
      <c r="R50" s="1314">
        <v>2.21</v>
      </c>
      <c r="S50" s="1314">
        <v>4.3899999999999997</v>
      </c>
      <c r="T50" s="1314">
        <v>2.89</v>
      </c>
      <c r="U50" s="1314">
        <v>3.75</v>
      </c>
      <c r="V50" s="1314">
        <v>3.75</v>
      </c>
      <c r="W50" s="1314">
        <v>3.03</v>
      </c>
      <c r="X50" s="1314">
        <v>1.91</v>
      </c>
      <c r="Y50" s="1314">
        <v>2.37</v>
      </c>
      <c r="Z50" s="1314">
        <v>4.2300000000000004</v>
      </c>
      <c r="AA50" s="1314">
        <v>2.4500000000000002</v>
      </c>
      <c r="AB50" s="1314">
        <v>6.11</v>
      </c>
      <c r="AC50" s="1314">
        <v>3.76</v>
      </c>
      <c r="AD50" s="1314">
        <v>1.76</v>
      </c>
      <c r="AE50" s="1314">
        <v>2.4700000000000002</v>
      </c>
      <c r="AF50" s="1314">
        <v>2.12</v>
      </c>
      <c r="AG50" s="1314"/>
      <c r="AH50" s="1314"/>
      <c r="AI50" s="1314"/>
      <c r="AJ50" s="1314"/>
      <c r="AK50" s="1314"/>
      <c r="AL50" s="1314"/>
      <c r="AM50" s="1314"/>
      <c r="AN50" s="1314"/>
      <c r="AO50" s="347"/>
    </row>
    <row r="51" spans="1:41" ht="15.75" thickBot="1" x14ac:dyDescent="0.3">
      <c r="A51" s="1685" t="s">
        <v>47</v>
      </c>
      <c r="B51" s="206">
        <f t="shared" si="17"/>
        <v>15.092000000000001</v>
      </c>
      <c r="C51" s="1385"/>
      <c r="D51" s="1608"/>
      <c r="E51" s="1693"/>
      <c r="F51" s="1686" t="s">
        <v>47</v>
      </c>
      <c r="G51" s="1384" t="s">
        <v>346</v>
      </c>
      <c r="H51" s="206">
        <f>SUMIF($J$9:$AN$9,"&lt;="&amp;$E$7,J51:AN51)</f>
        <v>15.630999999999995</v>
      </c>
      <c r="I51" s="1385"/>
      <c r="J51" s="1316">
        <f t="shared" ref="J51:AN52" si="31">+J49*J46/1000</f>
        <v>0.53900000000000003</v>
      </c>
      <c r="K51" s="1316">
        <f t="shared" si="31"/>
        <v>0.53900000000000003</v>
      </c>
      <c r="L51" s="1316">
        <f t="shared" si="31"/>
        <v>0.53900000000000003</v>
      </c>
      <c r="M51" s="1317">
        <f t="shared" si="31"/>
        <v>0.53900000000000003</v>
      </c>
      <c r="N51" s="1317">
        <f t="shared" si="31"/>
        <v>0.53900000000000003</v>
      </c>
      <c r="O51" s="1317">
        <f t="shared" si="31"/>
        <v>0.53900000000000003</v>
      </c>
      <c r="P51" s="1317">
        <f t="shared" si="31"/>
        <v>0.53900000000000003</v>
      </c>
      <c r="Q51" s="1317">
        <f t="shared" si="31"/>
        <v>0.53900000000000003</v>
      </c>
      <c r="R51" s="1318">
        <f t="shared" si="31"/>
        <v>0.53900000000000003</v>
      </c>
      <c r="S51" s="1317">
        <f t="shared" si="31"/>
        <v>0.53900000000000003</v>
      </c>
      <c r="T51" s="1317">
        <f t="shared" si="31"/>
        <v>0.53900000000000003</v>
      </c>
      <c r="U51" s="1317">
        <f t="shared" si="31"/>
        <v>0.53900000000000003</v>
      </c>
      <c r="V51" s="1317">
        <f t="shared" si="31"/>
        <v>0.53900000000000003</v>
      </c>
      <c r="W51" s="1317">
        <f t="shared" si="31"/>
        <v>0.53900000000000003</v>
      </c>
      <c r="X51" s="1317">
        <f>+X49*X46/1000</f>
        <v>0.53900000000000003</v>
      </c>
      <c r="Y51" s="1317">
        <f>+Y49*Y46/1000</f>
        <v>0.53900000000000003</v>
      </c>
      <c r="Z51" s="1317">
        <f t="shared" si="31"/>
        <v>0.53900000000000003</v>
      </c>
      <c r="AA51" s="1317">
        <f t="shared" si="31"/>
        <v>0.53900000000000003</v>
      </c>
      <c r="AB51" s="1317">
        <f t="shared" si="31"/>
        <v>0.53900000000000003</v>
      </c>
      <c r="AC51" s="1317">
        <f t="shared" si="31"/>
        <v>0.53900000000000003</v>
      </c>
      <c r="AD51" s="1317">
        <f t="shared" si="31"/>
        <v>0</v>
      </c>
      <c r="AE51" s="1317">
        <f t="shared" si="31"/>
        <v>0.53900000000000003</v>
      </c>
      <c r="AF51" s="1317">
        <f t="shared" si="31"/>
        <v>0.53900000000000003</v>
      </c>
      <c r="AG51" s="1317">
        <f t="shared" si="31"/>
        <v>0.53900000000000003</v>
      </c>
      <c r="AH51" s="1317">
        <f t="shared" si="31"/>
        <v>0.53900000000000003</v>
      </c>
      <c r="AI51" s="1317">
        <f t="shared" si="31"/>
        <v>0.53900000000000003</v>
      </c>
      <c r="AJ51" s="1317">
        <f t="shared" si="31"/>
        <v>0.53900000000000003</v>
      </c>
      <c r="AK51" s="1317">
        <f t="shared" si="31"/>
        <v>0.53900000000000003</v>
      </c>
      <c r="AL51" s="1317">
        <f t="shared" si="31"/>
        <v>0.53900000000000003</v>
      </c>
      <c r="AM51" s="1317">
        <f t="shared" si="31"/>
        <v>0.53900000000000003</v>
      </c>
      <c r="AN51" s="1319">
        <f t="shared" si="31"/>
        <v>0</v>
      </c>
      <c r="AO51" s="705"/>
    </row>
    <row r="52" spans="1:41" ht="15.75" thickBot="1" x14ac:dyDescent="0.3">
      <c r="A52" s="1708"/>
      <c r="B52" s="1321" t="e">
        <f t="shared" si="17"/>
        <v>#VALUE!</v>
      </c>
      <c r="C52" s="1432" t="e">
        <f>B52-B51</f>
        <v>#VALUE!</v>
      </c>
      <c r="D52" s="1609"/>
      <c r="E52" s="1694"/>
      <c r="F52" s="1687"/>
      <c r="G52" s="1387" t="s">
        <v>347</v>
      </c>
      <c r="H52" s="1321">
        <f>SUMIF($J$9:$AN$9,"&lt;="&amp;$E$7,J52:AN52)</f>
        <v>12.656430000000004</v>
      </c>
      <c r="I52" s="1388">
        <f t="shared" ref="I52" si="32">IFERROR((H52-H51)/H51,0)</f>
        <v>-0.19029940502846857</v>
      </c>
      <c r="J52" s="1323">
        <f t="shared" si="31"/>
        <v>1.0703</v>
      </c>
      <c r="K52" s="1321">
        <f t="shared" si="31"/>
        <v>0.43725000000000003</v>
      </c>
      <c r="L52" s="1321">
        <f t="shared" si="31"/>
        <v>0.85824</v>
      </c>
      <c r="M52" s="1321">
        <f t="shared" si="31"/>
        <v>1.1619999999999999</v>
      </c>
      <c r="N52" s="1321">
        <f t="shared" si="31"/>
        <v>0.79464000000000012</v>
      </c>
      <c r="O52" s="1321">
        <f t="shared" si="31"/>
        <v>0.76626000000000005</v>
      </c>
      <c r="P52" s="1321">
        <f t="shared" si="31"/>
        <v>0.41736000000000001</v>
      </c>
      <c r="Q52" s="1321">
        <f t="shared" si="31"/>
        <v>0.39458000000000004</v>
      </c>
      <c r="R52" s="1321">
        <f t="shared" si="31"/>
        <v>0.30939999999999995</v>
      </c>
      <c r="S52" s="1321">
        <f t="shared" si="31"/>
        <v>0.65410999999999986</v>
      </c>
      <c r="T52" s="1321">
        <f t="shared" si="31"/>
        <v>0.41616000000000003</v>
      </c>
      <c r="U52" s="1321">
        <f t="shared" si="31"/>
        <v>0.52500000000000002</v>
      </c>
      <c r="V52" s="1321">
        <f t="shared" si="31"/>
        <v>0.53249999999999997</v>
      </c>
      <c r="W52" s="1321">
        <f t="shared" si="31"/>
        <v>0.44238</v>
      </c>
      <c r="X52" s="1321">
        <f t="shared" si="31"/>
        <v>0.31514999999999999</v>
      </c>
      <c r="Y52" s="1321">
        <f>+Y50*Y47/1000</f>
        <v>0.36260999999999999</v>
      </c>
      <c r="Z52" s="1321">
        <f t="shared" si="31"/>
        <v>0.61335000000000006</v>
      </c>
      <c r="AA52" s="1321">
        <f t="shared" si="31"/>
        <v>0.37240000000000001</v>
      </c>
      <c r="AB52" s="1321">
        <f t="shared" si="31"/>
        <v>0.98982000000000003</v>
      </c>
      <c r="AC52" s="1321">
        <f t="shared" si="31"/>
        <v>0.58655999999999997</v>
      </c>
      <c r="AD52" s="1321">
        <f t="shared" si="31"/>
        <v>6.1600000000000002E-2</v>
      </c>
      <c r="AE52" s="1321">
        <f t="shared" si="31"/>
        <v>0.3458</v>
      </c>
      <c r="AF52" s="1321">
        <f t="shared" si="31"/>
        <v>0.22896</v>
      </c>
      <c r="AG52" s="1321">
        <f t="shared" si="31"/>
        <v>0</v>
      </c>
      <c r="AH52" s="1321">
        <f t="shared" si="31"/>
        <v>0</v>
      </c>
      <c r="AI52" s="1321">
        <f t="shared" si="31"/>
        <v>0</v>
      </c>
      <c r="AJ52" s="1321">
        <f t="shared" si="31"/>
        <v>0</v>
      </c>
      <c r="AK52" s="1321">
        <f t="shared" si="31"/>
        <v>0</v>
      </c>
      <c r="AL52" s="1321">
        <f t="shared" si="31"/>
        <v>0</v>
      </c>
      <c r="AM52" s="1321">
        <f t="shared" si="31"/>
        <v>0</v>
      </c>
      <c r="AN52" s="1321">
        <f t="shared" si="31"/>
        <v>0</v>
      </c>
      <c r="AO52" s="706"/>
    </row>
    <row r="53" spans="1:41" ht="15.75" thickBot="1" x14ac:dyDescent="0.3">
      <c r="A53" s="1684" t="s">
        <v>340</v>
      </c>
      <c r="B53" s="196">
        <f t="shared" ref="B53" si="33">SUM(I53:AL53)</f>
        <v>1960</v>
      </c>
      <c r="C53" s="197"/>
      <c r="D53" s="1608">
        <v>1</v>
      </c>
      <c r="E53" s="1692" t="str">
        <f>[13]Breaking.!A47</f>
        <v xml:space="preserve">4L_W26 STOPE </v>
      </c>
      <c r="F53" s="1696" t="s">
        <v>340</v>
      </c>
      <c r="G53" s="293" t="s">
        <v>341</v>
      </c>
      <c r="H53" s="196">
        <f>SUMIF($J$9:$AN$9,"&lt;="&amp;$E$7,J53:AN53)</f>
        <v>2030</v>
      </c>
      <c r="I53" s="197"/>
      <c r="J53" s="198">
        <f>[13]Breaking.!D47</f>
        <v>70</v>
      </c>
      <c r="K53" s="198">
        <f>[13]Breaking.!E47</f>
        <v>70</v>
      </c>
      <c r="L53" s="198">
        <f>[13]Breaking.!F47</f>
        <v>70</v>
      </c>
      <c r="M53" s="198">
        <f>[13]Breaking.!G47</f>
        <v>70</v>
      </c>
      <c r="N53" s="198">
        <f>[13]Breaking.!H47</f>
        <v>70</v>
      </c>
      <c r="O53" s="198">
        <f>[13]Breaking.!I47</f>
        <v>70</v>
      </c>
      <c r="P53" s="198">
        <f>[13]Breaking.!J47</f>
        <v>70</v>
      </c>
      <c r="Q53" s="198">
        <f>[13]Breaking.!K47</f>
        <v>70</v>
      </c>
      <c r="R53" s="198">
        <f>[13]Breaking.!L47</f>
        <v>70</v>
      </c>
      <c r="S53" s="198">
        <f>[13]Breaking.!M47</f>
        <v>70</v>
      </c>
      <c r="T53" s="198">
        <f>[13]Breaking.!N47</f>
        <v>70</v>
      </c>
      <c r="U53" s="198">
        <f>[13]Breaking.!O47</f>
        <v>70</v>
      </c>
      <c r="V53" s="198">
        <f>[13]Breaking.!P47</f>
        <v>70</v>
      </c>
      <c r="W53" s="198">
        <f>[13]Breaking.!Q47</f>
        <v>70</v>
      </c>
      <c r="X53" s="198">
        <f>[13]Breaking.!R47</f>
        <v>70</v>
      </c>
      <c r="Y53" s="198">
        <f>[13]Breaking.!S47</f>
        <v>70</v>
      </c>
      <c r="Z53" s="198">
        <f>[13]Breaking.!T47</f>
        <v>70</v>
      </c>
      <c r="AA53" s="198">
        <f>[13]Breaking.!U47</f>
        <v>70</v>
      </c>
      <c r="AB53" s="198">
        <f>[13]Breaking.!V47</f>
        <v>70</v>
      </c>
      <c r="AC53" s="198">
        <v>70</v>
      </c>
      <c r="AD53" s="198">
        <f>[13]Breaking.!X47</f>
        <v>0</v>
      </c>
      <c r="AE53" s="198">
        <f>[13]Breaking.!Y47</f>
        <v>70</v>
      </c>
      <c r="AF53" s="198">
        <f>[13]Breaking.!Z47</f>
        <v>70</v>
      </c>
      <c r="AG53" s="198">
        <f>[13]Breaking.!AA47</f>
        <v>70</v>
      </c>
      <c r="AH53" s="198">
        <f>[13]Breaking.!AB47</f>
        <v>70</v>
      </c>
      <c r="AI53" s="198">
        <f>[13]Breaking.!AC47</f>
        <v>70</v>
      </c>
      <c r="AJ53" s="198">
        <f>[13]Breaking.!AD47</f>
        <v>70</v>
      </c>
      <c r="AK53" s="198">
        <f>[13]Breaking.!AE47</f>
        <v>70</v>
      </c>
      <c r="AL53" s="198">
        <f>[13]Breaking.!AF47</f>
        <v>70</v>
      </c>
      <c r="AM53" s="198">
        <f>[13]Breaking.!AG47</f>
        <v>70</v>
      </c>
      <c r="AN53" s="198">
        <f>[13]Breaking.!AH47</f>
        <v>0</v>
      </c>
      <c r="AO53" s="845"/>
    </row>
    <row r="54" spans="1:41" ht="15.75" thickBot="1" x14ac:dyDescent="0.3">
      <c r="A54" s="1688"/>
      <c r="B54" s="1303">
        <f t="shared" si="6"/>
        <v>3026240</v>
      </c>
      <c r="C54" s="1430">
        <f>B54-B53</f>
        <v>3024280</v>
      </c>
      <c r="D54" s="1608"/>
      <c r="E54" s="1693"/>
      <c r="F54" s="1696"/>
      <c r="G54" s="1379" t="s">
        <v>342</v>
      </c>
      <c r="H54" s="1303">
        <f>SUMIF($J$9:$AN$9,"&lt;="&amp;$E$7,J54:AN54)</f>
        <v>1543</v>
      </c>
      <c r="I54" s="1380">
        <f t="shared" ref="I54" si="34">IFERROR((H54-H53)/H53,0)</f>
        <v>-0.23990147783251231</v>
      </c>
      <c r="J54" s="1305">
        <f>41+37</f>
        <v>78</v>
      </c>
      <c r="K54" s="1303">
        <f>44+36</f>
        <v>80</v>
      </c>
      <c r="L54" s="1303">
        <f>47+39</f>
        <v>86</v>
      </c>
      <c r="M54" s="1303">
        <f>35+38</f>
        <v>73</v>
      </c>
      <c r="N54" s="1303">
        <f>56+38</f>
        <v>94</v>
      </c>
      <c r="O54" s="1303">
        <f>47+39</f>
        <v>86</v>
      </c>
      <c r="P54" s="1303"/>
      <c r="Q54" s="1303"/>
      <c r="R54" s="1303">
        <v>70</v>
      </c>
      <c r="S54" s="1303">
        <f>39+32</f>
        <v>71</v>
      </c>
      <c r="T54" s="1303">
        <f>38+19+15</f>
        <v>72</v>
      </c>
      <c r="U54" s="1303">
        <v>71</v>
      </c>
      <c r="V54" s="1303">
        <v>70</v>
      </c>
      <c r="W54" s="1303">
        <f>40+36</f>
        <v>76</v>
      </c>
      <c r="X54" s="1303">
        <f>41+38</f>
        <v>79</v>
      </c>
      <c r="Y54" s="1303">
        <f>40+36</f>
        <v>76</v>
      </c>
      <c r="Z54" s="1303">
        <f>36+38</f>
        <v>74</v>
      </c>
      <c r="AA54" s="1303">
        <f>40+38</f>
        <v>78</v>
      </c>
      <c r="AB54" s="1303">
        <f>36+38</f>
        <v>74</v>
      </c>
      <c r="AC54" s="1303">
        <v>60</v>
      </c>
      <c r="AD54" s="1303">
        <v>35</v>
      </c>
      <c r="AE54" s="1303">
        <v>70</v>
      </c>
      <c r="AF54" s="1303">
        <f>34+36</f>
        <v>70</v>
      </c>
      <c r="AG54" s="1303"/>
      <c r="AH54" s="1303"/>
      <c r="AI54" s="1303"/>
      <c r="AJ54" s="1303"/>
      <c r="AK54" s="1303"/>
      <c r="AL54" s="1303"/>
      <c r="AM54" s="1303"/>
      <c r="AN54" s="1303"/>
      <c r="AO54" s="347"/>
    </row>
    <row r="55" spans="1:41" ht="15.75" thickBot="1" x14ac:dyDescent="0.3">
      <c r="A55" s="1688"/>
      <c r="B55" s="1382"/>
      <c r="C55" s="1383"/>
      <c r="D55" s="1608"/>
      <c r="E55" s="1693"/>
      <c r="F55" s="1696"/>
      <c r="G55" s="1389" t="s">
        <v>312</v>
      </c>
      <c r="H55" s="1390"/>
      <c r="I55" s="1391"/>
      <c r="J55" s="203"/>
      <c r="K55" s="203"/>
      <c r="L55" s="203"/>
      <c r="M55" s="203"/>
      <c r="N55" s="203"/>
      <c r="O55" s="203"/>
      <c r="P55" s="203"/>
      <c r="Q55" s="203"/>
      <c r="R55" s="204"/>
      <c r="S55" s="203"/>
      <c r="T55" s="203"/>
      <c r="U55" s="203"/>
      <c r="V55" s="203"/>
      <c r="W55" s="203"/>
      <c r="X55" s="203"/>
      <c r="Y55" s="203"/>
      <c r="Z55" s="203"/>
      <c r="AA55" s="203"/>
      <c r="AB55" s="203"/>
      <c r="AC55" s="203"/>
      <c r="AD55" s="203"/>
      <c r="AE55" s="203"/>
      <c r="AF55" s="203"/>
      <c r="AG55" s="203"/>
      <c r="AH55" s="203"/>
      <c r="AI55" s="203"/>
      <c r="AJ55" s="203"/>
      <c r="AK55" s="203"/>
      <c r="AL55" s="203"/>
      <c r="AM55" s="203"/>
      <c r="AN55" s="205"/>
      <c r="AO55" s="846"/>
    </row>
    <row r="56" spans="1:41" ht="15.75" thickBot="1" x14ac:dyDescent="0.3">
      <c r="A56" s="1685" t="s">
        <v>343</v>
      </c>
      <c r="B56" s="1310">
        <f t="shared" si="12"/>
        <v>2.120000000000001</v>
      </c>
      <c r="C56" s="1385"/>
      <c r="D56" s="1608"/>
      <c r="E56" s="1693"/>
      <c r="F56" s="1686" t="s">
        <v>343</v>
      </c>
      <c r="G56" s="1384" t="s">
        <v>344</v>
      </c>
      <c r="H56" s="1310">
        <f t="shared" ref="H56:H57" si="35">IFERROR(H58*1000/H53,0)</f>
        <v>2.0961576354679812</v>
      </c>
      <c r="I56" s="1385"/>
      <c r="J56" s="1312">
        <v>2.12</v>
      </c>
      <c r="K56" s="1312">
        <v>2.12</v>
      </c>
      <c r="L56" s="1312">
        <v>2.12</v>
      </c>
      <c r="M56" s="1312">
        <v>2.12</v>
      </c>
      <c r="N56" s="1312">
        <v>2.12</v>
      </c>
      <c r="O56" s="1312">
        <v>2.12</v>
      </c>
      <c r="P56" s="1312">
        <v>2.12</v>
      </c>
      <c r="Q56" s="1312">
        <v>2.12</v>
      </c>
      <c r="R56" s="1312">
        <v>2.12</v>
      </c>
      <c r="S56" s="1312">
        <v>2.12</v>
      </c>
      <c r="T56" s="1312">
        <v>2.12</v>
      </c>
      <c r="U56" s="1312">
        <v>2.12</v>
      </c>
      <c r="V56" s="1312">
        <v>2.12</v>
      </c>
      <c r="W56" s="1312">
        <v>2.12</v>
      </c>
      <c r="X56" s="1312">
        <v>2.12</v>
      </c>
      <c r="Y56" s="1312">
        <v>2.12</v>
      </c>
      <c r="Z56" s="1312">
        <v>2.12</v>
      </c>
      <c r="AA56" s="1312">
        <v>2.12</v>
      </c>
      <c r="AB56" s="1312">
        <v>2.12</v>
      </c>
      <c r="AC56" s="1312">
        <v>2.12</v>
      </c>
      <c r="AD56" s="1312">
        <v>2.12</v>
      </c>
      <c r="AE56" s="1312">
        <v>2.12</v>
      </c>
      <c r="AF56" s="1312">
        <v>2.12</v>
      </c>
      <c r="AG56" s="1312">
        <v>2.12</v>
      </c>
      <c r="AH56" s="1312">
        <v>2.12</v>
      </c>
      <c r="AI56" s="1312">
        <v>2.12</v>
      </c>
      <c r="AJ56" s="1312">
        <v>2.12</v>
      </c>
      <c r="AK56" s="1312">
        <v>2.12</v>
      </c>
      <c r="AL56" s="1312">
        <v>2.12</v>
      </c>
      <c r="AM56" s="1312">
        <v>2.12</v>
      </c>
      <c r="AN56" s="1312"/>
      <c r="AO56" s="347"/>
    </row>
    <row r="57" spans="1:41" ht="15.75" thickBot="1" x14ac:dyDescent="0.3">
      <c r="A57" s="1707"/>
      <c r="B57" s="1314" t="e">
        <f t="shared" ref="B57" si="36">B56*(G57/B56)</f>
        <v>#VALUE!</v>
      </c>
      <c r="C57" s="1431" t="e">
        <f>B57-B56</f>
        <v>#VALUE!</v>
      </c>
      <c r="D57" s="1608"/>
      <c r="E57" s="1693"/>
      <c r="F57" s="1686"/>
      <c r="G57" s="1386" t="s">
        <v>345</v>
      </c>
      <c r="H57" s="1314">
        <f t="shared" si="35"/>
        <v>4.2649902786779004</v>
      </c>
      <c r="I57" s="1380">
        <f t="shared" ref="I57" si="37">IFERROR((H57-H56)/H56,0)</f>
        <v>1.0346705832196217</v>
      </c>
      <c r="J57" s="1315">
        <v>7</v>
      </c>
      <c r="K57" s="1314">
        <v>2.69</v>
      </c>
      <c r="L57" s="1314">
        <v>5.36</v>
      </c>
      <c r="M57" s="1314">
        <v>7</v>
      </c>
      <c r="N57" s="1314">
        <v>5.43</v>
      </c>
      <c r="O57" s="1314">
        <v>5.43</v>
      </c>
      <c r="P57" s="1314"/>
      <c r="Q57" s="1314"/>
      <c r="R57" s="1314">
        <v>2.86</v>
      </c>
      <c r="S57" s="1314">
        <v>4.58</v>
      </c>
      <c r="T57" s="1314">
        <v>4.72</v>
      </c>
      <c r="U57" s="1314">
        <v>4.93</v>
      </c>
      <c r="V57" s="1314">
        <v>4.93</v>
      </c>
      <c r="W57" s="1314">
        <v>2.39</v>
      </c>
      <c r="X57" s="1314">
        <v>3.81</v>
      </c>
      <c r="Y57" s="1314">
        <v>4.1500000000000004</v>
      </c>
      <c r="Z57" s="1314">
        <v>2.95</v>
      </c>
      <c r="AA57" s="1314">
        <v>2.19</v>
      </c>
      <c r="AB57" s="1314">
        <v>5.33</v>
      </c>
      <c r="AC57" s="1314">
        <v>3.53</v>
      </c>
      <c r="AD57" s="1314">
        <v>3.02</v>
      </c>
      <c r="AE57" s="1314">
        <v>3.02</v>
      </c>
      <c r="AF57" s="1314">
        <v>2.85</v>
      </c>
      <c r="AG57" s="1314"/>
      <c r="AH57" s="1314"/>
      <c r="AI57" s="1314"/>
      <c r="AJ57" s="1314"/>
      <c r="AK57" s="1314"/>
      <c r="AL57" s="1314"/>
      <c r="AM57" s="1314"/>
      <c r="AN57" s="1314"/>
      <c r="AO57" s="347"/>
    </row>
    <row r="58" spans="1:41" ht="15.75" thickBot="1" x14ac:dyDescent="0.3">
      <c r="A58" s="1685" t="s">
        <v>47</v>
      </c>
      <c r="B58" s="206">
        <f t="shared" si="17"/>
        <v>4.1552000000000016</v>
      </c>
      <c r="C58" s="1385"/>
      <c r="D58" s="1608"/>
      <c r="E58" s="1693"/>
      <c r="F58" s="1686" t="s">
        <v>47</v>
      </c>
      <c r="G58" s="1384" t="s">
        <v>346</v>
      </c>
      <c r="H58" s="206">
        <f>SUMIF($J$9:$AN$9,"&lt;="&amp;$E$7,J58:AN58)</f>
        <v>4.2552000000000012</v>
      </c>
      <c r="I58" s="1385"/>
      <c r="J58" s="1316">
        <f t="shared" ref="J58:AN59" si="38">+J56*J53/1000</f>
        <v>0.1484</v>
      </c>
      <c r="K58" s="1316">
        <f t="shared" si="38"/>
        <v>0.1484</v>
      </c>
      <c r="L58" s="1316">
        <f t="shared" si="38"/>
        <v>0.1484</v>
      </c>
      <c r="M58" s="1317">
        <f t="shared" si="38"/>
        <v>0.1484</v>
      </c>
      <c r="N58" s="1317">
        <f t="shared" si="38"/>
        <v>0.1484</v>
      </c>
      <c r="O58" s="1317">
        <f t="shared" si="38"/>
        <v>0.1484</v>
      </c>
      <c r="P58" s="1317">
        <f t="shared" si="38"/>
        <v>0.1484</v>
      </c>
      <c r="Q58" s="1317">
        <f t="shared" si="38"/>
        <v>0.1484</v>
      </c>
      <c r="R58" s="1318">
        <f t="shared" si="38"/>
        <v>0.1484</v>
      </c>
      <c r="S58" s="1317">
        <f t="shared" si="38"/>
        <v>0.1484</v>
      </c>
      <c r="T58" s="1317">
        <f t="shared" si="38"/>
        <v>0.1484</v>
      </c>
      <c r="U58" s="1317">
        <f t="shared" si="38"/>
        <v>0.1484</v>
      </c>
      <c r="V58" s="1317">
        <f t="shared" si="38"/>
        <v>0.1484</v>
      </c>
      <c r="W58" s="1317">
        <f t="shared" si="38"/>
        <v>0.1484</v>
      </c>
      <c r="X58" s="1317">
        <f t="shared" si="38"/>
        <v>0.1484</v>
      </c>
      <c r="Y58" s="1317">
        <f>+Y56*Y53/1000</f>
        <v>0.1484</v>
      </c>
      <c r="Z58" s="1317">
        <f t="shared" si="38"/>
        <v>0.1484</v>
      </c>
      <c r="AA58" s="1317">
        <f t="shared" si="38"/>
        <v>0.1484</v>
      </c>
      <c r="AB58" s="1317">
        <f t="shared" si="38"/>
        <v>0.1484</v>
      </c>
      <c r="AC58" s="1317">
        <v>0.1</v>
      </c>
      <c r="AD58" s="1317">
        <f t="shared" si="38"/>
        <v>0</v>
      </c>
      <c r="AE58" s="1317">
        <f t="shared" si="38"/>
        <v>0.1484</v>
      </c>
      <c r="AF58" s="1317">
        <f t="shared" si="38"/>
        <v>0.1484</v>
      </c>
      <c r="AG58" s="1317">
        <f t="shared" si="38"/>
        <v>0.1484</v>
      </c>
      <c r="AH58" s="1317">
        <f t="shared" si="38"/>
        <v>0.1484</v>
      </c>
      <c r="AI58" s="1317">
        <f t="shared" si="38"/>
        <v>0.1484</v>
      </c>
      <c r="AJ58" s="1317">
        <f t="shared" si="38"/>
        <v>0.1484</v>
      </c>
      <c r="AK58" s="1317">
        <f t="shared" si="38"/>
        <v>0.1484</v>
      </c>
      <c r="AL58" s="1317">
        <f t="shared" si="38"/>
        <v>0.1484</v>
      </c>
      <c r="AM58" s="1317">
        <f t="shared" si="38"/>
        <v>0.1484</v>
      </c>
      <c r="AN58" s="1319">
        <f t="shared" si="38"/>
        <v>0</v>
      </c>
      <c r="AO58" s="705"/>
    </row>
    <row r="59" spans="1:41" ht="15.75" thickBot="1" x14ac:dyDescent="0.3">
      <c r="A59" s="1708"/>
      <c r="B59" s="1321" t="e">
        <f t="shared" si="17"/>
        <v>#VALUE!</v>
      </c>
      <c r="C59" s="1432" t="e">
        <f>B59-B58</f>
        <v>#VALUE!</v>
      </c>
      <c r="D59" s="1609"/>
      <c r="E59" s="1694"/>
      <c r="F59" s="1687"/>
      <c r="G59" s="1387" t="s">
        <v>347</v>
      </c>
      <c r="H59" s="1321">
        <f>SUMIF($J$9:$AN$9,"&lt;="&amp;$E$7,J59:AN59)</f>
        <v>6.5808800000000005</v>
      </c>
      <c r="I59" s="1388">
        <f t="shared" ref="I59" si="39">IFERROR((H59-H58)/H58,0)</f>
        <v>0.546550103402895</v>
      </c>
      <c r="J59" s="1323">
        <f t="shared" si="38"/>
        <v>0.54600000000000004</v>
      </c>
      <c r="K59" s="1321">
        <f t="shared" si="38"/>
        <v>0.2152</v>
      </c>
      <c r="L59" s="1321">
        <f t="shared" si="38"/>
        <v>0.46096000000000004</v>
      </c>
      <c r="M59" s="1321">
        <f t="shared" si="38"/>
        <v>0.51100000000000001</v>
      </c>
      <c r="N59" s="1321">
        <f t="shared" si="38"/>
        <v>0.51041999999999998</v>
      </c>
      <c r="O59" s="1321">
        <f t="shared" si="38"/>
        <v>0.46697999999999995</v>
      </c>
      <c r="P59" s="1321">
        <f t="shared" si="38"/>
        <v>0</v>
      </c>
      <c r="Q59" s="1321">
        <f t="shared" si="38"/>
        <v>0</v>
      </c>
      <c r="R59" s="1321">
        <f t="shared" si="38"/>
        <v>0.20019999999999999</v>
      </c>
      <c r="S59" s="1321">
        <f t="shared" si="38"/>
        <v>0.32518000000000002</v>
      </c>
      <c r="T59" s="1321">
        <f t="shared" si="38"/>
        <v>0.33983999999999998</v>
      </c>
      <c r="U59" s="1321">
        <f t="shared" si="38"/>
        <v>0.35002999999999995</v>
      </c>
      <c r="V59" s="1321">
        <f t="shared" si="38"/>
        <v>0.34509999999999996</v>
      </c>
      <c r="W59" s="1321">
        <f t="shared" si="38"/>
        <v>0.18164000000000002</v>
      </c>
      <c r="X59" s="1321">
        <f t="shared" si="38"/>
        <v>0.30099000000000004</v>
      </c>
      <c r="Y59" s="1321">
        <f>+Y57*Y54/1000</f>
        <v>0.31540000000000001</v>
      </c>
      <c r="Z59" s="1321">
        <f t="shared" si="38"/>
        <v>0.21830000000000002</v>
      </c>
      <c r="AA59" s="1321">
        <f t="shared" si="38"/>
        <v>0.17082</v>
      </c>
      <c r="AB59" s="1321">
        <f t="shared" si="38"/>
        <v>0.39441999999999999</v>
      </c>
      <c r="AC59" s="1321">
        <f t="shared" si="38"/>
        <v>0.21179999999999999</v>
      </c>
      <c r="AD59" s="1321">
        <f t="shared" si="38"/>
        <v>0.1057</v>
      </c>
      <c r="AE59" s="1321">
        <f t="shared" si="38"/>
        <v>0.2114</v>
      </c>
      <c r="AF59" s="1321">
        <f t="shared" si="38"/>
        <v>0.19950000000000001</v>
      </c>
      <c r="AG59" s="1321">
        <f t="shared" si="38"/>
        <v>0</v>
      </c>
      <c r="AH59" s="1321">
        <f t="shared" si="38"/>
        <v>0</v>
      </c>
      <c r="AI59" s="1321">
        <f t="shared" si="38"/>
        <v>0</v>
      </c>
      <c r="AJ59" s="1321">
        <f t="shared" si="38"/>
        <v>0</v>
      </c>
      <c r="AK59" s="1321">
        <f t="shared" si="38"/>
        <v>0</v>
      </c>
      <c r="AL59" s="1321">
        <f t="shared" si="38"/>
        <v>0</v>
      </c>
      <c r="AM59" s="1321">
        <f t="shared" si="38"/>
        <v>0</v>
      </c>
      <c r="AN59" s="1321">
        <f t="shared" si="38"/>
        <v>0</v>
      </c>
      <c r="AO59" s="706"/>
    </row>
    <row r="60" spans="1:41" ht="15.75" thickBot="1" x14ac:dyDescent="0.3">
      <c r="A60" s="1684" t="s">
        <v>340</v>
      </c>
      <c r="B60" s="196">
        <f t="shared" ref="B60" si="40">SUM(I60:AL60)</f>
        <v>1050</v>
      </c>
      <c r="C60" s="197"/>
      <c r="D60" s="1608">
        <v>1</v>
      </c>
      <c r="E60" s="1692" t="str">
        <f>[13]Breaking.!A53</f>
        <v>5L_W7 STOPE</v>
      </c>
      <c r="F60" s="1696" t="s">
        <v>340</v>
      </c>
      <c r="G60" s="293" t="s">
        <v>341</v>
      </c>
      <c r="H60" s="196">
        <f>SUMIF($J$9:$AN$9,"&lt;="&amp;$E$7,J60:AN60)</f>
        <v>1050</v>
      </c>
      <c r="I60" s="197"/>
      <c r="J60" s="198">
        <f>[13]Breaking.!D53</f>
        <v>70</v>
      </c>
      <c r="K60" s="198">
        <f>[13]Breaking.!E53</f>
        <v>70</v>
      </c>
      <c r="L60" s="198">
        <f>[13]Breaking.!F53</f>
        <v>70</v>
      </c>
      <c r="M60" s="198">
        <f>[13]Breaking.!G53</f>
        <v>70</v>
      </c>
      <c r="N60" s="198">
        <f>[13]Breaking.!H53</f>
        <v>70</v>
      </c>
      <c r="O60" s="198">
        <f>[13]Breaking.!I53</f>
        <v>70</v>
      </c>
      <c r="P60" s="198">
        <f>[13]Breaking.!J53</f>
        <v>70</v>
      </c>
      <c r="Q60" s="198">
        <f>[13]Breaking.!K53</f>
        <v>70</v>
      </c>
      <c r="R60" s="198">
        <f>[13]Breaking.!L53</f>
        <v>70</v>
      </c>
      <c r="S60" s="198">
        <f>[13]Breaking.!M53</f>
        <v>70</v>
      </c>
      <c r="T60" s="198">
        <f>[13]Breaking.!N53</f>
        <v>70</v>
      </c>
      <c r="U60" s="198">
        <f>[13]Breaking.!O53</f>
        <v>70</v>
      </c>
      <c r="V60" s="198">
        <f>[13]Breaking.!P53</f>
        <v>70</v>
      </c>
      <c r="W60" s="198">
        <f>[13]Breaking.!Q53</f>
        <v>70</v>
      </c>
      <c r="X60" s="198">
        <f>[13]Breaking.!R53</f>
        <v>70</v>
      </c>
      <c r="Y60" s="198"/>
      <c r="Z60" s="198"/>
      <c r="AA60" s="198"/>
      <c r="AB60" s="198"/>
      <c r="AC60" s="198"/>
      <c r="AD60" s="198">
        <f>[13]Breaking.!X53</f>
        <v>0</v>
      </c>
      <c r="AE60" s="198">
        <f>[13]Breaking.!Y53</f>
        <v>0</v>
      </c>
      <c r="AF60" s="198">
        <f>[13]Breaking.!Z53</f>
        <v>0</v>
      </c>
      <c r="AG60" s="198">
        <f>[13]Breaking.!AA53</f>
        <v>0</v>
      </c>
      <c r="AH60" s="198">
        <f>[13]Breaking.!AB53</f>
        <v>0</v>
      </c>
      <c r="AI60" s="198">
        <f>[13]Breaking.!AC53</f>
        <v>0</v>
      </c>
      <c r="AJ60" s="198">
        <f>[13]Breaking.!AD53</f>
        <v>0</v>
      </c>
      <c r="AK60" s="198">
        <f>[13]Breaking.!AE53</f>
        <v>0</v>
      </c>
      <c r="AL60" s="198">
        <f>[13]Breaking.!AF53</f>
        <v>0</v>
      </c>
      <c r="AM60" s="198">
        <f>[13]Breaking.!AG53</f>
        <v>0</v>
      </c>
      <c r="AN60" s="198">
        <f>[13]Breaking.!AH53</f>
        <v>0</v>
      </c>
      <c r="AO60" s="845"/>
    </row>
    <row r="61" spans="1:41" ht="15.75" thickBot="1" x14ac:dyDescent="0.3">
      <c r="A61" s="1688"/>
      <c r="B61" s="1303">
        <f t="shared" si="6"/>
        <v>1382850</v>
      </c>
      <c r="C61" s="1430">
        <f>B61-B60</f>
        <v>1381800</v>
      </c>
      <c r="D61" s="1608"/>
      <c r="E61" s="1693"/>
      <c r="F61" s="1696"/>
      <c r="G61" s="1379" t="s">
        <v>342</v>
      </c>
      <c r="H61" s="1303">
        <f>SUMIF($J$9:$AN$9,"&lt;="&amp;$E$7,J61:AN61)</f>
        <v>1316</v>
      </c>
      <c r="I61" s="1380">
        <f t="shared" ref="I61" si="41">IFERROR((H61-H60)/H60,0)</f>
        <v>0.25333333333333335</v>
      </c>
      <c r="J61" s="1305">
        <f>37+34</f>
        <v>71</v>
      </c>
      <c r="K61" s="1303">
        <f>38+36</f>
        <v>74</v>
      </c>
      <c r="L61" s="1303">
        <f>40+40</f>
        <v>80</v>
      </c>
      <c r="M61" s="1303">
        <f>41+38</f>
        <v>79</v>
      </c>
      <c r="N61" s="1303">
        <f>38+52</f>
        <v>90</v>
      </c>
      <c r="O61" s="1303">
        <f>37+38</f>
        <v>75</v>
      </c>
      <c r="P61" s="1303">
        <f>39+40+40</f>
        <v>119</v>
      </c>
      <c r="Q61" s="1303">
        <f>39+43</f>
        <v>82</v>
      </c>
      <c r="R61" s="1303">
        <f>30+43</f>
        <v>73</v>
      </c>
      <c r="S61" s="1303">
        <f>35+35</f>
        <v>70</v>
      </c>
      <c r="T61" s="1303">
        <v>72</v>
      </c>
      <c r="U61" s="1303">
        <v>70</v>
      </c>
      <c r="V61" s="1303">
        <v>70</v>
      </c>
      <c r="W61" s="1303">
        <f>42</f>
        <v>42</v>
      </c>
      <c r="X61" s="1303">
        <f>41</f>
        <v>41</v>
      </c>
      <c r="Y61" s="1303">
        <v>34</v>
      </c>
      <c r="Z61" s="1303">
        <v>38</v>
      </c>
      <c r="AA61" s="1303">
        <v>39</v>
      </c>
      <c r="AB61" s="1303">
        <v>38</v>
      </c>
      <c r="AC61" s="1303"/>
      <c r="AD61" s="1303">
        <v>35</v>
      </c>
      <c r="AE61" s="1303">
        <v>0</v>
      </c>
      <c r="AF61" s="1303">
        <v>24</v>
      </c>
      <c r="AG61" s="1303"/>
      <c r="AH61" s="1303"/>
      <c r="AI61" s="1303"/>
      <c r="AJ61" s="1303"/>
      <c r="AK61" s="1303"/>
      <c r="AL61" s="1303"/>
      <c r="AM61" s="1303"/>
      <c r="AN61" s="1303"/>
      <c r="AO61" s="347"/>
    </row>
    <row r="62" spans="1:41" ht="15.75" thickBot="1" x14ac:dyDescent="0.3">
      <c r="A62" s="1688"/>
      <c r="B62" s="1382"/>
      <c r="C62" s="1383"/>
      <c r="D62" s="1608"/>
      <c r="E62" s="1693"/>
      <c r="F62" s="1696"/>
      <c r="G62" s="1389" t="s">
        <v>312</v>
      </c>
      <c r="H62" s="1390"/>
      <c r="I62" s="1391"/>
      <c r="J62" s="203"/>
      <c r="K62" s="203"/>
      <c r="L62" s="203"/>
      <c r="M62" s="203"/>
      <c r="N62" s="203"/>
      <c r="O62" s="203"/>
      <c r="P62" s="203"/>
      <c r="Q62" s="203"/>
      <c r="R62" s="204"/>
      <c r="S62" s="203"/>
      <c r="T62" s="203"/>
      <c r="U62" s="203"/>
      <c r="V62" s="203"/>
      <c r="W62" s="203"/>
      <c r="X62" s="203"/>
      <c r="Y62" s="203"/>
      <c r="Z62" s="203"/>
      <c r="AA62" s="203"/>
      <c r="AB62" s="203"/>
      <c r="AC62" s="203"/>
      <c r="AD62" s="203"/>
      <c r="AE62" s="203"/>
      <c r="AF62" s="203"/>
      <c r="AG62" s="203"/>
      <c r="AH62" s="203"/>
      <c r="AI62" s="203"/>
      <c r="AJ62" s="203"/>
      <c r="AK62" s="203"/>
      <c r="AL62" s="203"/>
      <c r="AM62" s="203"/>
      <c r="AN62" s="205"/>
      <c r="AO62" s="846"/>
    </row>
    <row r="63" spans="1:41" ht="15.75" thickBot="1" x14ac:dyDescent="0.3">
      <c r="A63" s="1685" t="s">
        <v>343</v>
      </c>
      <c r="B63" s="1310">
        <f t="shared" si="12"/>
        <v>2.127411764705883</v>
      </c>
      <c r="C63" s="1385"/>
      <c r="D63" s="1608"/>
      <c r="E63" s="1693"/>
      <c r="F63" s="1686" t="s">
        <v>343</v>
      </c>
      <c r="G63" s="1384" t="s">
        <v>344</v>
      </c>
      <c r="H63" s="1310">
        <f t="shared" ref="H63:H64" si="42">IFERROR(H65*1000/H60,0)</f>
        <v>2.127411764705883</v>
      </c>
      <c r="I63" s="1385"/>
      <c r="J63" s="1312">
        <v>2.1274117647058826</v>
      </c>
      <c r="K63" s="1312">
        <v>2.1274117647058826</v>
      </c>
      <c r="L63" s="1312">
        <v>2.1274117647058826</v>
      </c>
      <c r="M63" s="1312">
        <v>2.1274117647058826</v>
      </c>
      <c r="N63" s="1312">
        <v>2.1274117647058826</v>
      </c>
      <c r="O63" s="1312">
        <v>2.1274117647058826</v>
      </c>
      <c r="P63" s="1312">
        <v>2.1274117647058826</v>
      </c>
      <c r="Q63" s="1312">
        <v>2.1274117647058826</v>
      </c>
      <c r="R63" s="1312">
        <v>2.1274117647058826</v>
      </c>
      <c r="S63" s="1312">
        <v>2.1274117647058826</v>
      </c>
      <c r="T63" s="1312">
        <v>2.1274117647058826</v>
      </c>
      <c r="U63" s="1312">
        <v>2.1274117647058826</v>
      </c>
      <c r="V63" s="1312">
        <v>2.1274117647058826</v>
      </c>
      <c r="W63" s="1312">
        <v>2.1274117647058826</v>
      </c>
      <c r="X63" s="1312">
        <v>2.1274117647058826</v>
      </c>
      <c r="Y63" s="1312">
        <v>2.1274117647058826</v>
      </c>
      <c r="Z63" s="1312">
        <v>2.1274117647058826</v>
      </c>
      <c r="AA63" s="1312">
        <v>2.1274117647058826</v>
      </c>
      <c r="AB63" s="1312">
        <v>2.1274117647058826</v>
      </c>
      <c r="AC63" s="1312">
        <v>2.13</v>
      </c>
      <c r="AD63" s="1312">
        <v>2.13</v>
      </c>
      <c r="AE63" s="1312">
        <v>2.1274117647058826</v>
      </c>
      <c r="AF63" s="1312">
        <v>2.1274117647058826</v>
      </c>
      <c r="AG63" s="1312">
        <v>2.1274117647058826</v>
      </c>
      <c r="AH63" s="1312">
        <v>2.1274117647058826</v>
      </c>
      <c r="AI63" s="1312">
        <v>2.1274117647058826</v>
      </c>
      <c r="AJ63" s="1312">
        <v>2.1274117647058826</v>
      </c>
      <c r="AK63" s="1312">
        <v>2.1274117647058826</v>
      </c>
      <c r="AL63" s="1312">
        <v>2.1274117647058826</v>
      </c>
      <c r="AM63" s="1312">
        <v>2.1274117647058826</v>
      </c>
      <c r="AN63" s="1312"/>
      <c r="AO63" s="347"/>
    </row>
    <row r="64" spans="1:41" ht="15.75" thickBot="1" x14ac:dyDescent="0.3">
      <c r="A64" s="1707"/>
      <c r="B64" s="1314" t="e">
        <f t="shared" ref="B64" si="43">B63*(G64/B63)</f>
        <v>#VALUE!</v>
      </c>
      <c r="C64" s="1431" t="e">
        <f>B64-B63</f>
        <v>#VALUE!</v>
      </c>
      <c r="D64" s="1608"/>
      <c r="E64" s="1693"/>
      <c r="F64" s="1686"/>
      <c r="G64" s="1386" t="s">
        <v>345</v>
      </c>
      <c r="H64" s="1314">
        <f t="shared" si="42"/>
        <v>2.5680547112462002</v>
      </c>
      <c r="I64" s="1380">
        <f t="shared" ref="I64" si="44">IFERROR((H64-H63)/H63,0)</f>
        <v>0.20712630899699691</v>
      </c>
      <c r="J64" s="1315">
        <v>3.92</v>
      </c>
      <c r="K64" s="1314">
        <v>2.1800000000000002</v>
      </c>
      <c r="L64" s="1314">
        <v>2</v>
      </c>
      <c r="M64" s="1314">
        <v>1.62</v>
      </c>
      <c r="N64" s="1314">
        <v>2.17</v>
      </c>
      <c r="O64" s="1314">
        <v>2.17</v>
      </c>
      <c r="P64" s="1314">
        <v>2.25</v>
      </c>
      <c r="Q64" s="1314">
        <v>2.54</v>
      </c>
      <c r="R64" s="1314">
        <v>2.54</v>
      </c>
      <c r="S64" s="1314">
        <v>3.5</v>
      </c>
      <c r="T64" s="1314">
        <v>3.2</v>
      </c>
      <c r="U64" s="1314">
        <v>2.88</v>
      </c>
      <c r="V64" s="1314">
        <v>2.88</v>
      </c>
      <c r="W64" s="1314">
        <v>2.23</v>
      </c>
      <c r="X64" s="1314"/>
      <c r="Y64" s="1314"/>
      <c r="Z64" s="1314">
        <v>3.81</v>
      </c>
      <c r="AA64" s="1314">
        <v>3.81</v>
      </c>
      <c r="AB64" s="1314">
        <v>2.0699999999999998</v>
      </c>
      <c r="AC64" s="1314"/>
      <c r="AD64" s="1314">
        <v>1.81</v>
      </c>
      <c r="AE64" s="1314"/>
      <c r="AF64" s="1314">
        <v>5.2</v>
      </c>
      <c r="AG64" s="1314"/>
      <c r="AH64" s="1314"/>
      <c r="AI64" s="1314"/>
      <c r="AJ64" s="1314"/>
      <c r="AK64" s="1314"/>
      <c r="AL64" s="1314"/>
      <c r="AM64" s="1314"/>
      <c r="AN64" s="1314"/>
      <c r="AO64" s="347"/>
    </row>
    <row r="65" spans="1:41" ht="15.75" thickBot="1" x14ac:dyDescent="0.3">
      <c r="A65" s="1685" t="s">
        <v>47</v>
      </c>
      <c r="B65" s="206">
        <f t="shared" si="17"/>
        <v>2.2337823529411773</v>
      </c>
      <c r="C65" s="1385"/>
      <c r="D65" s="1608"/>
      <c r="E65" s="1693"/>
      <c r="F65" s="1686" t="s">
        <v>47</v>
      </c>
      <c r="G65" s="1384" t="s">
        <v>346</v>
      </c>
      <c r="H65" s="206">
        <f>SUMIF($J$9:$AN$9,"&lt;="&amp;$E$7,J65:AN65)</f>
        <v>2.2337823529411773</v>
      </c>
      <c r="I65" s="1385"/>
      <c r="J65" s="1316">
        <f t="shared" ref="J65:AN66" si="45">+J63*J60/1000</f>
        <v>0.14891882352941177</v>
      </c>
      <c r="K65" s="1316">
        <f t="shared" si="45"/>
        <v>0.14891882352941177</v>
      </c>
      <c r="L65" s="1316">
        <f t="shared" si="45"/>
        <v>0.14891882352941177</v>
      </c>
      <c r="M65" s="1317">
        <f t="shared" si="45"/>
        <v>0.14891882352941177</v>
      </c>
      <c r="N65" s="1317">
        <f t="shared" si="45"/>
        <v>0.14891882352941177</v>
      </c>
      <c r="O65" s="1317">
        <f t="shared" si="45"/>
        <v>0.14891882352941177</v>
      </c>
      <c r="P65" s="1317">
        <f t="shared" si="45"/>
        <v>0.14891882352941177</v>
      </c>
      <c r="Q65" s="1317">
        <f t="shared" si="45"/>
        <v>0.14891882352941177</v>
      </c>
      <c r="R65" s="1318">
        <f t="shared" si="45"/>
        <v>0.14891882352941177</v>
      </c>
      <c r="S65" s="1317">
        <f t="shared" si="45"/>
        <v>0.14891882352941177</v>
      </c>
      <c r="T65" s="1317">
        <f t="shared" si="45"/>
        <v>0.14891882352941177</v>
      </c>
      <c r="U65" s="1317">
        <f t="shared" si="45"/>
        <v>0.14891882352941177</v>
      </c>
      <c r="V65" s="1317">
        <f t="shared" si="45"/>
        <v>0.14891882352941177</v>
      </c>
      <c r="W65" s="1317">
        <f t="shared" si="45"/>
        <v>0.14891882352941177</v>
      </c>
      <c r="X65" s="1317">
        <f t="shared" si="45"/>
        <v>0.14891882352941177</v>
      </c>
      <c r="Y65" s="1317">
        <f>+Y63*Y60/1000</f>
        <v>0</v>
      </c>
      <c r="Z65" s="1317">
        <f t="shared" si="45"/>
        <v>0</v>
      </c>
      <c r="AA65" s="1317">
        <f t="shared" si="45"/>
        <v>0</v>
      </c>
      <c r="AB65" s="1317">
        <f t="shared" si="45"/>
        <v>0</v>
      </c>
      <c r="AC65" s="1317">
        <f t="shared" si="45"/>
        <v>0</v>
      </c>
      <c r="AD65" s="1317">
        <f t="shared" si="45"/>
        <v>0</v>
      </c>
      <c r="AE65" s="1317">
        <f t="shared" si="45"/>
        <v>0</v>
      </c>
      <c r="AF65" s="1317">
        <f t="shared" si="45"/>
        <v>0</v>
      </c>
      <c r="AG65" s="1317">
        <f t="shared" si="45"/>
        <v>0</v>
      </c>
      <c r="AH65" s="1317">
        <f t="shared" si="45"/>
        <v>0</v>
      </c>
      <c r="AI65" s="1317">
        <f t="shared" si="45"/>
        <v>0</v>
      </c>
      <c r="AJ65" s="1317">
        <f t="shared" si="45"/>
        <v>0</v>
      </c>
      <c r="AK65" s="1317">
        <f t="shared" si="45"/>
        <v>0</v>
      </c>
      <c r="AL65" s="1317">
        <f t="shared" si="45"/>
        <v>0</v>
      </c>
      <c r="AM65" s="1317">
        <f t="shared" si="45"/>
        <v>0</v>
      </c>
      <c r="AN65" s="1319">
        <f t="shared" si="45"/>
        <v>0</v>
      </c>
      <c r="AO65" s="705"/>
    </row>
    <row r="66" spans="1:41" ht="15.75" thickBot="1" x14ac:dyDescent="0.3">
      <c r="A66" s="1708"/>
      <c r="B66" s="1321" t="e">
        <f t="shared" si="17"/>
        <v>#VALUE!</v>
      </c>
      <c r="C66" s="1432" t="e">
        <f>B66-B65</f>
        <v>#VALUE!</v>
      </c>
      <c r="D66" s="1609"/>
      <c r="E66" s="1694"/>
      <c r="F66" s="1687"/>
      <c r="G66" s="1387" t="s">
        <v>347</v>
      </c>
      <c r="H66" s="1321">
        <f>SUMIF($J$9:$AN$9,"&lt;="&amp;$E$7,J66:AN66)</f>
        <v>3.3795599999999997</v>
      </c>
      <c r="I66" s="1388">
        <f t="shared" ref="I66" si="46">IFERROR((H66-H65)/H65,0)</f>
        <v>0.51293164060956942</v>
      </c>
      <c r="J66" s="1323">
        <f t="shared" si="45"/>
        <v>0.27832000000000001</v>
      </c>
      <c r="K66" s="1321">
        <f t="shared" si="45"/>
        <v>0.16132000000000002</v>
      </c>
      <c r="L66" s="1321">
        <f t="shared" si="45"/>
        <v>0.16</v>
      </c>
      <c r="M66" s="1321">
        <f t="shared" si="45"/>
        <v>0.12798000000000001</v>
      </c>
      <c r="N66" s="1321">
        <f t="shared" si="45"/>
        <v>0.19529999999999997</v>
      </c>
      <c r="O66" s="1321">
        <f t="shared" si="45"/>
        <v>0.16275000000000001</v>
      </c>
      <c r="P66" s="1321">
        <f t="shared" si="45"/>
        <v>0.26774999999999999</v>
      </c>
      <c r="Q66" s="1321">
        <f t="shared" si="45"/>
        <v>0.20827999999999999</v>
      </c>
      <c r="R66" s="1321">
        <f t="shared" si="45"/>
        <v>0.18542000000000003</v>
      </c>
      <c r="S66" s="1321">
        <f t="shared" si="45"/>
        <v>0.245</v>
      </c>
      <c r="T66" s="1321">
        <f t="shared" si="45"/>
        <v>0.23039999999999999</v>
      </c>
      <c r="U66" s="1321">
        <f t="shared" si="45"/>
        <v>0.2016</v>
      </c>
      <c r="V66" s="1321">
        <f t="shared" si="45"/>
        <v>0.2016</v>
      </c>
      <c r="W66" s="1321">
        <f t="shared" si="45"/>
        <v>9.3659999999999993E-2</v>
      </c>
      <c r="X66" s="1321">
        <f t="shared" si="45"/>
        <v>0</v>
      </c>
      <c r="Y66" s="1321">
        <f>+Y64*Y61/1000</f>
        <v>0</v>
      </c>
      <c r="Z66" s="1321">
        <f t="shared" si="45"/>
        <v>0.14477999999999999</v>
      </c>
      <c r="AA66" s="1321">
        <f t="shared" si="45"/>
        <v>0.14859</v>
      </c>
      <c r="AB66" s="1321">
        <f t="shared" si="45"/>
        <v>7.8659999999999994E-2</v>
      </c>
      <c r="AC66" s="1321">
        <v>0.1</v>
      </c>
      <c r="AD66" s="1321">
        <f t="shared" si="45"/>
        <v>6.3350000000000004E-2</v>
      </c>
      <c r="AE66" s="1321">
        <f t="shared" si="45"/>
        <v>0</v>
      </c>
      <c r="AF66" s="1321">
        <f t="shared" si="45"/>
        <v>0.12480000000000001</v>
      </c>
      <c r="AG66" s="1321">
        <f t="shared" si="45"/>
        <v>0</v>
      </c>
      <c r="AH66" s="1321">
        <f t="shared" si="45"/>
        <v>0</v>
      </c>
      <c r="AI66" s="1321">
        <f t="shared" si="45"/>
        <v>0</v>
      </c>
      <c r="AJ66" s="1321">
        <f t="shared" si="45"/>
        <v>0</v>
      </c>
      <c r="AK66" s="1321">
        <f t="shared" si="45"/>
        <v>0</v>
      </c>
      <c r="AL66" s="1321">
        <f t="shared" si="45"/>
        <v>0</v>
      </c>
      <c r="AM66" s="1321">
        <f t="shared" si="45"/>
        <v>0</v>
      </c>
      <c r="AN66" s="1321">
        <f t="shared" si="45"/>
        <v>0</v>
      </c>
      <c r="AO66" s="706"/>
    </row>
    <row r="67" spans="1:41" ht="15.75" thickBot="1" x14ac:dyDescent="0.3">
      <c r="A67" s="1684" t="s">
        <v>340</v>
      </c>
      <c r="B67" s="196">
        <f t="shared" ref="B67" si="47">SUM(I67:AL67)</f>
        <v>1470</v>
      </c>
      <c r="C67" s="197"/>
      <c r="D67" s="1608">
        <v>1</v>
      </c>
      <c r="E67" s="1692" t="str">
        <f>[13]Breaking.!A55</f>
        <v>5L_W8 STOPE</v>
      </c>
      <c r="F67" s="1696" t="s">
        <v>340</v>
      </c>
      <c r="G67" s="293" t="s">
        <v>341</v>
      </c>
      <c r="H67" s="196">
        <f>SUMIF($J$9:$AN$9,"&lt;="&amp;$E$7,J67:AN67)</f>
        <v>1540</v>
      </c>
      <c r="I67" s="197"/>
      <c r="J67" s="198">
        <f>[13]Breaking.!D55</f>
        <v>0</v>
      </c>
      <c r="K67" s="198">
        <f>[13]Breaking.!E55</f>
        <v>0</v>
      </c>
      <c r="L67" s="198">
        <f>[13]Breaking.!F55</f>
        <v>0</v>
      </c>
      <c r="M67" s="198">
        <f>[13]Breaking.!G55</f>
        <v>0</v>
      </c>
      <c r="N67" s="198">
        <f>[13]Breaking.!H55</f>
        <v>0</v>
      </c>
      <c r="O67" s="198">
        <f>[13]Breaking.!I55</f>
        <v>0</v>
      </c>
      <c r="P67" s="198">
        <f>[13]Breaking.!J55</f>
        <v>0</v>
      </c>
      <c r="Q67" s="198">
        <f>[13]Breaking.!K55</f>
        <v>70</v>
      </c>
      <c r="R67" s="198">
        <f>[13]Breaking.!L55</f>
        <v>70</v>
      </c>
      <c r="S67" s="198">
        <f>[13]Breaking.!M55</f>
        <v>70</v>
      </c>
      <c r="T67" s="198">
        <f>[13]Breaking.!N55</f>
        <v>70</v>
      </c>
      <c r="U67" s="198">
        <f>[13]Breaking.!O55</f>
        <v>70</v>
      </c>
      <c r="V67" s="198">
        <f>[13]Breaking.!P55</f>
        <v>70</v>
      </c>
      <c r="W67" s="198">
        <f>[13]Breaking.!Q55</f>
        <v>70</v>
      </c>
      <c r="X67" s="198">
        <f>[13]Breaking.!R55</f>
        <v>70</v>
      </c>
      <c r="Y67" s="198">
        <f>[13]Breaking.!S55</f>
        <v>70</v>
      </c>
      <c r="Z67" s="198">
        <f>[13]Breaking.!T55</f>
        <v>70</v>
      </c>
      <c r="AA67" s="198">
        <f>[13]Breaking.!U55</f>
        <v>70</v>
      </c>
      <c r="AB67" s="198">
        <f>[13]Breaking.!V55</f>
        <v>70</v>
      </c>
      <c r="AC67" s="198">
        <v>70</v>
      </c>
      <c r="AD67" s="198">
        <f>[13]Breaking.!X55</f>
        <v>0</v>
      </c>
      <c r="AE67" s="198">
        <f>[13]Breaking.!Y55</f>
        <v>70</v>
      </c>
      <c r="AF67" s="198">
        <f>[13]Breaking.!Z55</f>
        <v>70</v>
      </c>
      <c r="AG67" s="198">
        <f>[13]Breaking.!AA55</f>
        <v>70</v>
      </c>
      <c r="AH67" s="198">
        <f>[13]Breaking.!AB55</f>
        <v>70</v>
      </c>
      <c r="AI67" s="198">
        <f>[13]Breaking.!AC55</f>
        <v>70</v>
      </c>
      <c r="AJ67" s="198">
        <f>[13]Breaking.!AD55</f>
        <v>70</v>
      </c>
      <c r="AK67" s="198">
        <f>[13]Breaking.!AE55</f>
        <v>70</v>
      </c>
      <c r="AL67" s="198">
        <f>[13]Breaking.!AF55</f>
        <v>70</v>
      </c>
      <c r="AM67" s="198">
        <f>[13]Breaking.!AG55</f>
        <v>70</v>
      </c>
      <c r="AN67" s="198">
        <f>[13]Breaking.!AH55</f>
        <v>0</v>
      </c>
      <c r="AO67" s="845"/>
    </row>
    <row r="68" spans="1:41" ht="15.75" thickBot="1" x14ac:dyDescent="0.3">
      <c r="A68" s="1688"/>
      <c r="B68" s="1303">
        <f t="shared" si="6"/>
        <v>1658160</v>
      </c>
      <c r="C68" s="1430">
        <f>B68-B67</f>
        <v>1656690</v>
      </c>
      <c r="D68" s="1608"/>
      <c r="E68" s="1693"/>
      <c r="F68" s="1696"/>
      <c r="G68" s="1379" t="s">
        <v>342</v>
      </c>
      <c r="H68" s="1303">
        <f>SUMIF($J$9:$AN$9,"&lt;="&amp;$E$7,J68:AN68)</f>
        <v>1127</v>
      </c>
      <c r="I68" s="1380">
        <f t="shared" ref="I68" si="48">IFERROR((H68-H67)/H67,0)</f>
        <v>-0.26818181818181819</v>
      </c>
      <c r="J68" s="1305"/>
      <c r="K68" s="1303"/>
      <c r="L68" s="1303"/>
      <c r="M68" s="1303"/>
      <c r="N68" s="1303"/>
      <c r="O68" s="1303"/>
      <c r="P68" s="1303"/>
      <c r="Q68" s="1303">
        <v>43</v>
      </c>
      <c r="R68" s="1303">
        <v>70</v>
      </c>
      <c r="S68" s="1303">
        <f>50+27</f>
        <v>77</v>
      </c>
      <c r="T68" s="1303">
        <v>52</v>
      </c>
      <c r="U68" s="1303">
        <v>74</v>
      </c>
      <c r="V68" s="1303">
        <v>72</v>
      </c>
      <c r="W68" s="1303">
        <f>41+41</f>
        <v>82</v>
      </c>
      <c r="X68" s="1303">
        <f>42+40</f>
        <v>82</v>
      </c>
      <c r="Y68" s="1303">
        <f>38+39</f>
        <v>77</v>
      </c>
      <c r="Z68" s="1303">
        <v>72</v>
      </c>
      <c r="AA68" s="1303">
        <v>80</v>
      </c>
      <c r="AB68" s="1303">
        <f>38+40</f>
        <v>78</v>
      </c>
      <c r="AC68" s="1303">
        <v>81</v>
      </c>
      <c r="AD68" s="1303">
        <v>35</v>
      </c>
      <c r="AE68" s="1303">
        <v>79</v>
      </c>
      <c r="AF68" s="1303">
        <f>39+34</f>
        <v>73</v>
      </c>
      <c r="AG68" s="1303"/>
      <c r="AH68" s="1303"/>
      <c r="AI68" s="1303"/>
      <c r="AJ68" s="1303"/>
      <c r="AK68" s="1303"/>
      <c r="AL68" s="1303"/>
      <c r="AM68" s="1303"/>
      <c r="AN68" s="1303"/>
      <c r="AO68" s="347"/>
    </row>
    <row r="69" spans="1:41" ht="15.75" thickBot="1" x14ac:dyDescent="0.3">
      <c r="A69" s="1688"/>
      <c r="B69" s="1382"/>
      <c r="C69" s="1383"/>
      <c r="D69" s="1608"/>
      <c r="E69" s="1693"/>
      <c r="F69" s="1696"/>
      <c r="G69" s="1389" t="s">
        <v>312</v>
      </c>
      <c r="H69" s="1390"/>
      <c r="I69" s="1391"/>
      <c r="J69" s="203"/>
      <c r="K69" s="203"/>
      <c r="L69" s="203"/>
      <c r="M69" s="203"/>
      <c r="N69" s="203"/>
      <c r="O69" s="203"/>
      <c r="P69" s="203"/>
      <c r="Q69" s="203"/>
      <c r="R69" s="204"/>
      <c r="S69" s="203"/>
      <c r="T69" s="203"/>
      <c r="U69" s="203"/>
      <c r="V69" s="203"/>
      <c r="W69" s="203"/>
      <c r="X69" s="203"/>
      <c r="Y69" s="203"/>
      <c r="Z69" s="203"/>
      <c r="AA69" s="203"/>
      <c r="AB69" s="203"/>
      <c r="AC69" s="203"/>
      <c r="AD69" s="203"/>
      <c r="AE69" s="203"/>
      <c r="AF69" s="203"/>
      <c r="AG69" s="203"/>
      <c r="AH69" s="203"/>
      <c r="AI69" s="203"/>
      <c r="AJ69" s="203"/>
      <c r="AK69" s="203"/>
      <c r="AL69" s="203"/>
      <c r="AM69" s="203"/>
      <c r="AN69" s="205"/>
      <c r="AO69" s="846"/>
    </row>
    <row r="70" spans="1:41" ht="15.75" thickBot="1" x14ac:dyDescent="0.3">
      <c r="A70" s="1685" t="s">
        <v>343</v>
      </c>
      <c r="B70" s="1310">
        <f t="shared" si="12"/>
        <v>2.0200000000000005</v>
      </c>
      <c r="C70" s="1385"/>
      <c r="D70" s="1608"/>
      <c r="E70" s="1693"/>
      <c r="F70" s="1686" t="s">
        <v>343</v>
      </c>
      <c r="G70" s="1384" t="s">
        <v>344</v>
      </c>
      <c r="H70" s="1310">
        <f t="shared" ref="H70" si="49">IFERROR(H72*1000/H67,0)</f>
        <v>2.02</v>
      </c>
      <c r="I70" s="1385"/>
      <c r="J70" s="1312">
        <f>[13]Breaking.!D56</f>
        <v>0</v>
      </c>
      <c r="K70" s="1312">
        <f>[13]Breaking.!E56</f>
        <v>0</v>
      </c>
      <c r="L70" s="1312">
        <f>[13]Breaking.!F56</f>
        <v>0</v>
      </c>
      <c r="M70" s="1312">
        <f>[13]Breaking.!G56</f>
        <v>0</v>
      </c>
      <c r="N70" s="1312">
        <f>[13]Breaking.!H56</f>
        <v>0</v>
      </c>
      <c r="O70" s="1312">
        <f>[13]Breaking.!I56</f>
        <v>0</v>
      </c>
      <c r="P70" s="1312">
        <f>[13]Breaking.!J56</f>
        <v>0</v>
      </c>
      <c r="Q70" s="1312">
        <v>2.02</v>
      </c>
      <c r="R70" s="1312">
        <v>2.02</v>
      </c>
      <c r="S70" s="1312">
        <v>2.02</v>
      </c>
      <c r="T70" s="1312">
        <v>2.02</v>
      </c>
      <c r="U70" s="1312">
        <v>2.02</v>
      </c>
      <c r="V70" s="1312">
        <v>2.02</v>
      </c>
      <c r="W70" s="1312">
        <v>2.02</v>
      </c>
      <c r="X70" s="1312">
        <v>2.02</v>
      </c>
      <c r="Y70" s="1312">
        <v>2.02</v>
      </c>
      <c r="Z70" s="1312">
        <v>2.02</v>
      </c>
      <c r="AA70" s="1312">
        <v>2.02</v>
      </c>
      <c r="AB70" s="1312">
        <v>2.02</v>
      </c>
      <c r="AC70" s="1312">
        <v>2.02</v>
      </c>
      <c r="AD70" s="1312"/>
      <c r="AE70" s="1312">
        <v>2.02</v>
      </c>
      <c r="AF70" s="1312">
        <v>2.02</v>
      </c>
      <c r="AG70" s="1312">
        <v>2.02</v>
      </c>
      <c r="AH70" s="1312">
        <v>2.02</v>
      </c>
      <c r="AI70" s="1312">
        <v>2.02</v>
      </c>
      <c r="AJ70" s="1312">
        <v>2.02</v>
      </c>
      <c r="AK70" s="1312">
        <v>2.02</v>
      </c>
      <c r="AL70" s="1312">
        <v>2.02</v>
      </c>
      <c r="AM70" s="1312">
        <v>2.02</v>
      </c>
      <c r="AN70" s="1312"/>
      <c r="AO70" s="347"/>
    </row>
    <row r="71" spans="1:41" ht="15.75" thickBot="1" x14ac:dyDescent="0.3">
      <c r="A71" s="1707"/>
      <c r="B71" s="1314" t="e">
        <f t="shared" ref="B71" si="50">B70*(G71/B70)</f>
        <v>#VALUE!</v>
      </c>
      <c r="C71" s="1431" t="e">
        <f>B71-B70</f>
        <v>#VALUE!</v>
      </c>
      <c r="D71" s="1608"/>
      <c r="E71" s="1693"/>
      <c r="F71" s="1686"/>
      <c r="G71" s="1386" t="s">
        <v>345</v>
      </c>
      <c r="H71" s="1314">
        <f>IFERROR(H73*1000/H68,0)</f>
        <v>2.4111180124223601</v>
      </c>
      <c r="I71" s="1380">
        <f t="shared" ref="I71" si="51">IFERROR((H71-H70)/H70,0)</f>
        <v>0.19362277842691095</v>
      </c>
      <c r="J71" s="1315"/>
      <c r="K71" s="1314"/>
      <c r="L71" s="1314"/>
      <c r="M71" s="1314"/>
      <c r="N71" s="1314"/>
      <c r="O71" s="1314"/>
      <c r="P71" s="1314"/>
      <c r="Q71" s="1314">
        <v>1.73</v>
      </c>
      <c r="R71" s="1314">
        <v>2.14</v>
      </c>
      <c r="S71" s="1314">
        <v>3.5</v>
      </c>
      <c r="T71" s="1314">
        <v>3.2</v>
      </c>
      <c r="U71" s="1314">
        <v>2.88</v>
      </c>
      <c r="V71" s="202">
        <v>2.88</v>
      </c>
      <c r="W71" s="1314">
        <v>2.23</v>
      </c>
      <c r="X71" s="1314"/>
      <c r="Y71" s="1314"/>
      <c r="Z71" s="1314">
        <v>3.81</v>
      </c>
      <c r="AA71" s="1314">
        <v>3.81</v>
      </c>
      <c r="AB71" s="1314">
        <v>2.0699999999999998</v>
      </c>
      <c r="AC71" s="1314">
        <v>2.0699999999999998</v>
      </c>
      <c r="AD71" s="1314">
        <v>1.81</v>
      </c>
      <c r="AE71" s="1314">
        <v>1.3</v>
      </c>
      <c r="AF71" s="1314">
        <v>5.2</v>
      </c>
      <c r="AG71" s="1314"/>
      <c r="AH71" s="1314"/>
      <c r="AI71" s="1314"/>
      <c r="AJ71" s="1314"/>
      <c r="AK71" s="1314"/>
      <c r="AL71" s="1314"/>
      <c r="AM71" s="1314"/>
      <c r="AN71" s="1314"/>
      <c r="AO71" s="347"/>
    </row>
    <row r="72" spans="1:41" ht="15.75" thickBot="1" x14ac:dyDescent="0.3">
      <c r="A72" s="1685" t="s">
        <v>47</v>
      </c>
      <c r="B72" s="206">
        <f t="shared" si="17"/>
        <v>2.9694000000000007</v>
      </c>
      <c r="C72" s="1385"/>
      <c r="D72" s="1608"/>
      <c r="E72" s="1693"/>
      <c r="F72" s="1686" t="s">
        <v>47</v>
      </c>
      <c r="G72" s="1384" t="s">
        <v>346</v>
      </c>
      <c r="H72" s="206">
        <f>SUMIF($J$9:$AN$9,"&lt;="&amp;$E$7,J72:AN72)</f>
        <v>3.1107999999999998</v>
      </c>
      <c r="I72" s="1385"/>
      <c r="J72" s="1316">
        <f t="shared" ref="J72:AN73" si="52">+J70*J67/1000</f>
        <v>0</v>
      </c>
      <c r="K72" s="1316">
        <f t="shared" si="52"/>
        <v>0</v>
      </c>
      <c r="L72" s="1316">
        <f t="shared" si="52"/>
        <v>0</v>
      </c>
      <c r="M72" s="1317">
        <f t="shared" si="52"/>
        <v>0</v>
      </c>
      <c r="N72" s="1317">
        <f t="shared" si="52"/>
        <v>0</v>
      </c>
      <c r="O72" s="1317">
        <f t="shared" si="52"/>
        <v>0</v>
      </c>
      <c r="P72" s="1317">
        <f t="shared" si="52"/>
        <v>0</v>
      </c>
      <c r="Q72" s="1317">
        <f t="shared" si="52"/>
        <v>0.1414</v>
      </c>
      <c r="R72" s="1318">
        <f t="shared" si="52"/>
        <v>0.1414</v>
      </c>
      <c r="S72" s="1317">
        <f t="shared" si="52"/>
        <v>0.1414</v>
      </c>
      <c r="T72" s="1317">
        <f t="shared" si="52"/>
        <v>0.1414</v>
      </c>
      <c r="U72" s="1317">
        <f t="shared" si="52"/>
        <v>0.1414</v>
      </c>
      <c r="V72" s="1317">
        <f t="shared" si="52"/>
        <v>0.1414</v>
      </c>
      <c r="W72" s="1317">
        <f t="shared" si="52"/>
        <v>0.1414</v>
      </c>
      <c r="X72" s="1317">
        <f t="shared" si="52"/>
        <v>0.1414</v>
      </c>
      <c r="Y72" s="1317">
        <f>+Y70*Y67/1000</f>
        <v>0.1414</v>
      </c>
      <c r="Z72" s="1317">
        <f t="shared" si="52"/>
        <v>0.1414</v>
      </c>
      <c r="AA72" s="1317">
        <f t="shared" si="52"/>
        <v>0.1414</v>
      </c>
      <c r="AB72" s="1317">
        <f t="shared" si="52"/>
        <v>0.1414</v>
      </c>
      <c r="AC72" s="1317">
        <f t="shared" si="52"/>
        <v>0.1414</v>
      </c>
      <c r="AD72" s="1317">
        <f t="shared" si="52"/>
        <v>0</v>
      </c>
      <c r="AE72" s="1317">
        <f t="shared" si="52"/>
        <v>0.1414</v>
      </c>
      <c r="AF72" s="1317">
        <f t="shared" si="52"/>
        <v>0.1414</v>
      </c>
      <c r="AG72" s="1317">
        <f t="shared" si="52"/>
        <v>0.1414</v>
      </c>
      <c r="AH72" s="1317">
        <f t="shared" si="52"/>
        <v>0.1414</v>
      </c>
      <c r="AI72" s="1317">
        <f t="shared" si="52"/>
        <v>0.1414</v>
      </c>
      <c r="AJ72" s="1317">
        <f t="shared" si="52"/>
        <v>0.1414</v>
      </c>
      <c r="AK72" s="1317">
        <f t="shared" si="52"/>
        <v>0.1414</v>
      </c>
      <c r="AL72" s="1317">
        <f t="shared" si="52"/>
        <v>0.1414</v>
      </c>
      <c r="AM72" s="1317">
        <f t="shared" si="52"/>
        <v>0.1414</v>
      </c>
      <c r="AN72" s="1319">
        <f t="shared" si="52"/>
        <v>0</v>
      </c>
      <c r="AO72" s="705"/>
    </row>
    <row r="73" spans="1:41" ht="15.75" thickBot="1" x14ac:dyDescent="0.3">
      <c r="A73" s="1708"/>
      <c r="B73" s="1321" t="e">
        <f t="shared" si="17"/>
        <v>#VALUE!</v>
      </c>
      <c r="C73" s="1432" t="e">
        <f>B73-B72</f>
        <v>#VALUE!</v>
      </c>
      <c r="D73" s="1609"/>
      <c r="E73" s="1694"/>
      <c r="F73" s="1687"/>
      <c r="G73" s="1387" t="s">
        <v>347</v>
      </c>
      <c r="H73" s="1321">
        <f>SUMIF($J$9:$AN$9,"&lt;="&amp;$E$7,J73:AN73)</f>
        <v>2.71733</v>
      </c>
      <c r="I73" s="1388">
        <f t="shared" ref="I73" si="53">IFERROR((H73-H72)/H72,0)</f>
        <v>-0.12648514851485143</v>
      </c>
      <c r="J73" s="1323">
        <f t="shared" si="52"/>
        <v>0</v>
      </c>
      <c r="K73" s="1321">
        <f t="shared" si="52"/>
        <v>0</v>
      </c>
      <c r="L73" s="1321">
        <f t="shared" si="52"/>
        <v>0</v>
      </c>
      <c r="M73" s="1321">
        <f t="shared" si="52"/>
        <v>0</v>
      </c>
      <c r="N73" s="1321">
        <f t="shared" si="52"/>
        <v>0</v>
      </c>
      <c r="O73" s="1321">
        <f t="shared" si="52"/>
        <v>0</v>
      </c>
      <c r="P73" s="1321">
        <f t="shared" si="52"/>
        <v>0</v>
      </c>
      <c r="Q73" s="1321">
        <f t="shared" si="52"/>
        <v>7.4389999999999998E-2</v>
      </c>
      <c r="R73" s="1321">
        <f t="shared" si="52"/>
        <v>0.14980000000000002</v>
      </c>
      <c r="S73" s="1321">
        <f t="shared" si="52"/>
        <v>0.26950000000000002</v>
      </c>
      <c r="T73" s="1321">
        <f>+T71*T68/1000</f>
        <v>0.16639999999999999</v>
      </c>
      <c r="U73" s="1321">
        <f>+U71*U68/1000</f>
        <v>0.21312</v>
      </c>
      <c r="V73" s="1321">
        <f>+V71*V68/1000</f>
        <v>0.20735999999999999</v>
      </c>
      <c r="W73" s="1321">
        <f>+W71*W68/1000</f>
        <v>0.18285999999999999</v>
      </c>
      <c r="X73" s="1321">
        <f t="shared" si="52"/>
        <v>0</v>
      </c>
      <c r="Y73" s="1321">
        <f>+Y71*Y68/1000</f>
        <v>0</v>
      </c>
      <c r="Z73" s="1321">
        <f t="shared" si="52"/>
        <v>0.27432000000000001</v>
      </c>
      <c r="AA73" s="1321">
        <f t="shared" si="52"/>
        <v>0.30480000000000002</v>
      </c>
      <c r="AB73" s="1321">
        <f t="shared" si="52"/>
        <v>0.16145999999999999</v>
      </c>
      <c r="AC73" s="1321">
        <f t="shared" si="52"/>
        <v>0.16766999999999999</v>
      </c>
      <c r="AD73" s="1321">
        <f t="shared" si="52"/>
        <v>6.3350000000000004E-2</v>
      </c>
      <c r="AE73" s="1321">
        <f t="shared" si="52"/>
        <v>0.1027</v>
      </c>
      <c r="AF73" s="1321">
        <f t="shared" si="52"/>
        <v>0.37960000000000005</v>
      </c>
      <c r="AG73" s="1321">
        <f t="shared" si="52"/>
        <v>0</v>
      </c>
      <c r="AH73" s="1321">
        <f t="shared" si="52"/>
        <v>0</v>
      </c>
      <c r="AI73" s="1321">
        <f t="shared" si="52"/>
        <v>0</v>
      </c>
      <c r="AJ73" s="1321">
        <f t="shared" si="52"/>
        <v>0</v>
      </c>
      <c r="AK73" s="1321">
        <f t="shared" si="52"/>
        <v>0</v>
      </c>
      <c r="AL73" s="1321">
        <f t="shared" si="52"/>
        <v>0</v>
      </c>
      <c r="AM73" s="1321">
        <f t="shared" si="52"/>
        <v>0</v>
      </c>
      <c r="AN73" s="1321">
        <f t="shared" si="52"/>
        <v>0</v>
      </c>
      <c r="AO73" s="706"/>
    </row>
    <row r="74" spans="1:41" ht="15.75" thickBot="1" x14ac:dyDescent="0.3">
      <c r="A74" s="1684" t="s">
        <v>340</v>
      </c>
      <c r="B74" s="196">
        <f t="shared" ref="B74" si="54">SUM(I74:AL74)</f>
        <v>1960</v>
      </c>
      <c r="C74" s="197"/>
      <c r="D74" s="1607">
        <v>1</v>
      </c>
      <c r="E74" s="1692" t="str">
        <f>[13]Breaking.!A63</f>
        <v>6L_E1 STOPE</v>
      </c>
      <c r="F74" s="1697" t="s">
        <v>340</v>
      </c>
      <c r="G74" s="195" t="s">
        <v>341</v>
      </c>
      <c r="H74" s="295">
        <f>SUMIF($J$9:$AN$9,"&lt;="&amp;$E$7,J74:AN74)</f>
        <v>2030</v>
      </c>
      <c r="I74" s="296"/>
      <c r="J74" s="198">
        <f>[13]Breaking.!D63</f>
        <v>70</v>
      </c>
      <c r="K74" s="198">
        <f>[13]Breaking.!E63</f>
        <v>70</v>
      </c>
      <c r="L74" s="198">
        <f>[13]Breaking.!F63</f>
        <v>70</v>
      </c>
      <c r="M74" s="198">
        <f>[13]Breaking.!G63</f>
        <v>70</v>
      </c>
      <c r="N74" s="198">
        <f>[13]Breaking.!H63</f>
        <v>70</v>
      </c>
      <c r="O74" s="198">
        <f>[13]Breaking.!I63</f>
        <v>70</v>
      </c>
      <c r="P74" s="198">
        <f>[13]Breaking.!J63</f>
        <v>70</v>
      </c>
      <c r="Q74" s="198">
        <f>[13]Breaking.!K63</f>
        <v>70</v>
      </c>
      <c r="R74" s="198">
        <f>[13]Breaking.!L63</f>
        <v>70</v>
      </c>
      <c r="S74" s="198">
        <f>[13]Breaking.!M63</f>
        <v>70</v>
      </c>
      <c r="T74" s="198">
        <f>[13]Breaking.!N63</f>
        <v>70</v>
      </c>
      <c r="U74" s="198">
        <f>[13]Breaking.!O63</f>
        <v>70</v>
      </c>
      <c r="V74" s="198">
        <f>[13]Breaking.!P63</f>
        <v>70</v>
      </c>
      <c r="W74" s="198">
        <f>[13]Breaking.!Q63</f>
        <v>70</v>
      </c>
      <c r="X74" s="198">
        <f>[13]Breaking.!R63</f>
        <v>70</v>
      </c>
      <c r="Y74" s="198">
        <f>[13]Breaking.!S63</f>
        <v>70</v>
      </c>
      <c r="Z74" s="198">
        <f>[13]Breaking.!T63</f>
        <v>70</v>
      </c>
      <c r="AA74" s="198">
        <f>[13]Breaking.!U63</f>
        <v>70</v>
      </c>
      <c r="AB74" s="198">
        <f>[13]Breaking.!V63</f>
        <v>70</v>
      </c>
      <c r="AC74" s="198">
        <v>70</v>
      </c>
      <c r="AD74" s="198">
        <f>[13]Breaking.!X63</f>
        <v>0</v>
      </c>
      <c r="AE74" s="198">
        <f>[13]Breaking.!Y63</f>
        <v>70</v>
      </c>
      <c r="AF74" s="198">
        <f>[13]Breaking.!Z63</f>
        <v>70</v>
      </c>
      <c r="AG74" s="198">
        <f>[13]Breaking.!AA63</f>
        <v>70</v>
      </c>
      <c r="AH74" s="198">
        <f>[13]Breaking.!AB63</f>
        <v>70</v>
      </c>
      <c r="AI74" s="198">
        <f>[13]Breaking.!AC63</f>
        <v>70</v>
      </c>
      <c r="AJ74" s="198">
        <f>[13]Breaking.!AD63</f>
        <v>70</v>
      </c>
      <c r="AK74" s="198">
        <f>[13]Breaking.!AE63</f>
        <v>70</v>
      </c>
      <c r="AL74" s="198">
        <f>[13]Breaking.!AF63</f>
        <v>70</v>
      </c>
      <c r="AM74" s="198">
        <f>[13]Breaking.!AG63</f>
        <v>70</v>
      </c>
      <c r="AN74" s="198">
        <f>[13]Breaking.!AH63</f>
        <v>0</v>
      </c>
      <c r="AO74" s="845"/>
    </row>
    <row r="75" spans="1:41" ht="15.75" thickBot="1" x14ac:dyDescent="0.3">
      <c r="A75" s="1688"/>
      <c r="B75" s="1303">
        <f t="shared" si="6"/>
        <v>2920400</v>
      </c>
      <c r="C75" s="1430">
        <f>B75-B74</f>
        <v>2918440</v>
      </c>
      <c r="D75" s="1608"/>
      <c r="E75" s="1693"/>
      <c r="F75" s="1696"/>
      <c r="G75" s="1379" t="s">
        <v>342</v>
      </c>
      <c r="H75" s="1303">
        <f>SUMIF($J$9:$AN$9,"&lt;="&amp;$E$7,J75:AN75)</f>
        <v>1489</v>
      </c>
      <c r="I75" s="1380">
        <f t="shared" ref="I75" si="55">IFERROR((H75-H74)/H74,0)</f>
        <v>-0.26650246305418718</v>
      </c>
      <c r="J75" s="1305">
        <v>71</v>
      </c>
      <c r="K75" s="1303">
        <v>74</v>
      </c>
      <c r="L75" s="1303">
        <v>72</v>
      </c>
      <c r="M75" s="1303">
        <v>74</v>
      </c>
      <c r="N75" s="1303">
        <v>74</v>
      </c>
      <c r="O75" s="1303">
        <v>72</v>
      </c>
      <c r="P75" s="1303">
        <v>72</v>
      </c>
      <c r="Q75" s="1303">
        <v>70</v>
      </c>
      <c r="R75" s="1303">
        <v>72</v>
      </c>
      <c r="S75" s="1303">
        <v>73</v>
      </c>
      <c r="T75" s="1303"/>
      <c r="U75" s="1303">
        <v>78</v>
      </c>
      <c r="V75" s="1303">
        <v>70</v>
      </c>
      <c r="W75" s="1303">
        <v>72</v>
      </c>
      <c r="X75" s="1303">
        <v>71</v>
      </c>
      <c r="Y75" s="1303">
        <v>70</v>
      </c>
      <c r="Z75" s="1303">
        <v>73</v>
      </c>
      <c r="AA75" s="1303">
        <v>69</v>
      </c>
      <c r="AB75" s="1303">
        <f>70</f>
        <v>70</v>
      </c>
      <c r="AC75" s="1303">
        <v>73</v>
      </c>
      <c r="AD75" s="1303">
        <v>48</v>
      </c>
      <c r="AE75" s="1303"/>
      <c r="AF75" s="1303">
        <v>71</v>
      </c>
      <c r="AG75" s="1303"/>
      <c r="AH75" s="1303"/>
      <c r="AI75" s="1303"/>
      <c r="AJ75" s="1303"/>
      <c r="AK75" s="1303"/>
      <c r="AL75" s="1303"/>
      <c r="AM75" s="1303"/>
      <c r="AN75" s="1303"/>
      <c r="AO75" s="347"/>
    </row>
    <row r="76" spans="1:41" ht="15.75" thickBot="1" x14ac:dyDescent="0.3">
      <c r="A76" s="1688"/>
      <c r="B76" s="1382"/>
      <c r="C76" s="1383"/>
      <c r="D76" s="1608"/>
      <c r="E76" s="1693"/>
      <c r="F76" s="1696"/>
      <c r="G76" s="1389" t="s">
        <v>312</v>
      </c>
      <c r="H76" s="1390"/>
      <c r="I76" s="1391"/>
      <c r="J76" s="203"/>
      <c r="K76" s="203"/>
      <c r="L76" s="203"/>
      <c r="M76" s="203"/>
      <c r="N76" s="203"/>
      <c r="O76" s="203"/>
      <c r="P76" s="203"/>
      <c r="Q76" s="203"/>
      <c r="R76" s="204"/>
      <c r="S76" s="203"/>
      <c r="T76" s="203"/>
      <c r="U76" s="203"/>
      <c r="V76" s="203"/>
      <c r="W76" s="203"/>
      <c r="X76" s="203"/>
      <c r="Y76" s="203"/>
      <c r="Z76" s="203"/>
      <c r="AA76" s="203"/>
      <c r="AB76" s="203"/>
      <c r="AC76" s="203"/>
      <c r="AD76" s="203"/>
      <c r="AE76" s="203"/>
      <c r="AF76" s="203"/>
      <c r="AG76" s="203"/>
      <c r="AH76" s="203"/>
      <c r="AI76" s="203"/>
      <c r="AJ76" s="203"/>
      <c r="AK76" s="203"/>
      <c r="AL76" s="203"/>
      <c r="AM76" s="203"/>
      <c r="AN76" s="205"/>
      <c r="AO76" s="846"/>
    </row>
    <row r="77" spans="1:41" ht="15.75" thickBot="1" x14ac:dyDescent="0.3">
      <c r="A77" s="1685" t="s">
        <v>343</v>
      </c>
      <c r="B77" s="1310">
        <f t="shared" si="12"/>
        <v>3.8900000000000015</v>
      </c>
      <c r="C77" s="1385"/>
      <c r="D77" s="1608"/>
      <c r="E77" s="1693"/>
      <c r="F77" s="1686" t="s">
        <v>343</v>
      </c>
      <c r="G77" s="1384" t="s">
        <v>344</v>
      </c>
      <c r="H77" s="1310">
        <f t="shared" ref="H77:H78" si="56">IFERROR(H79*1000/H74,0)</f>
        <v>3.8899999999999966</v>
      </c>
      <c r="I77" s="1385"/>
      <c r="J77" s="1312">
        <v>3.89</v>
      </c>
      <c r="K77" s="1312">
        <v>3.89</v>
      </c>
      <c r="L77" s="1312">
        <v>3.89</v>
      </c>
      <c r="M77" s="1312">
        <v>3.89</v>
      </c>
      <c r="N77" s="1312">
        <v>3.89</v>
      </c>
      <c r="O77" s="1312">
        <v>3.89</v>
      </c>
      <c r="P77" s="1312">
        <v>3.89</v>
      </c>
      <c r="Q77" s="1312">
        <v>3.89</v>
      </c>
      <c r="R77" s="1312">
        <v>3.89</v>
      </c>
      <c r="S77" s="1312">
        <v>3.89</v>
      </c>
      <c r="T77" s="1312">
        <v>3.89</v>
      </c>
      <c r="U77" s="1312">
        <v>3.89</v>
      </c>
      <c r="V77" s="1312">
        <v>3.89</v>
      </c>
      <c r="W77" s="1312">
        <v>3.89</v>
      </c>
      <c r="X77" s="1312">
        <v>3.89</v>
      </c>
      <c r="Y77" s="1312">
        <v>3.89</v>
      </c>
      <c r="Z77" s="1312">
        <v>3.89</v>
      </c>
      <c r="AA77" s="1312">
        <v>3.89</v>
      </c>
      <c r="AB77" s="1312">
        <v>3.89</v>
      </c>
      <c r="AC77" s="1312">
        <v>3.89</v>
      </c>
      <c r="AD77" s="1312"/>
      <c r="AE77" s="1312">
        <v>3.89</v>
      </c>
      <c r="AF77" s="1312">
        <v>3.89</v>
      </c>
      <c r="AG77" s="1312">
        <v>3.89</v>
      </c>
      <c r="AH77" s="1312">
        <v>3.89</v>
      </c>
      <c r="AI77" s="1312">
        <v>3.89</v>
      </c>
      <c r="AJ77" s="1312">
        <v>3.89</v>
      </c>
      <c r="AK77" s="1312">
        <v>3.89</v>
      </c>
      <c r="AL77" s="1312">
        <v>3.89</v>
      </c>
      <c r="AM77" s="1312">
        <v>3.89</v>
      </c>
      <c r="AN77" s="1312"/>
      <c r="AO77" s="347"/>
    </row>
    <row r="78" spans="1:41" ht="15.75" thickBot="1" x14ac:dyDescent="0.3">
      <c r="A78" s="1707"/>
      <c r="B78" s="1314" t="e">
        <f t="shared" ref="B78" si="57">B77*(G78/B77)</f>
        <v>#VALUE!</v>
      </c>
      <c r="C78" s="1431" t="e">
        <f>B78-B77</f>
        <v>#VALUE!</v>
      </c>
      <c r="D78" s="1608"/>
      <c r="E78" s="1693"/>
      <c r="F78" s="1686"/>
      <c r="G78" s="1386" t="s">
        <v>345</v>
      </c>
      <c r="H78" s="1314">
        <f t="shared" si="56"/>
        <v>4.6912558764271317</v>
      </c>
      <c r="I78" s="1380">
        <f t="shared" ref="I78" si="58">IFERROR((H78-H77)/H77,0)</f>
        <v>0.20597837440286268</v>
      </c>
      <c r="J78" s="1315">
        <v>4.6900000000000004</v>
      </c>
      <c r="K78" s="1314">
        <v>5.03</v>
      </c>
      <c r="L78" s="1314">
        <v>4.22</v>
      </c>
      <c r="M78" s="1314">
        <v>6.21</v>
      </c>
      <c r="N78" s="1314">
        <v>6.21</v>
      </c>
      <c r="O78" s="1314">
        <v>3.7</v>
      </c>
      <c r="P78" s="1314">
        <v>5.8</v>
      </c>
      <c r="Q78" s="1314">
        <v>3.95</v>
      </c>
      <c r="R78" s="1314">
        <v>6.81</v>
      </c>
      <c r="S78" s="1314">
        <v>4.57</v>
      </c>
      <c r="T78" s="1314">
        <v>3.29</v>
      </c>
      <c r="U78" s="1314">
        <v>4.88</v>
      </c>
      <c r="V78" s="1314">
        <v>4.88</v>
      </c>
      <c r="W78" s="1314">
        <v>3.66</v>
      </c>
      <c r="X78" s="1314">
        <v>4.5</v>
      </c>
      <c r="Y78" s="1314">
        <v>5.25</v>
      </c>
      <c r="Z78" s="1314">
        <v>2.38</v>
      </c>
      <c r="AA78" s="1314">
        <v>3.65</v>
      </c>
      <c r="AB78" s="1314">
        <v>4.9000000000000004</v>
      </c>
      <c r="AC78" s="1314">
        <v>4.9000000000000004</v>
      </c>
      <c r="AD78" s="1314">
        <v>3.7</v>
      </c>
      <c r="AE78" s="1314">
        <v>4.17</v>
      </c>
      <c r="AF78" s="1314">
        <v>4.17</v>
      </c>
      <c r="AG78" s="1314"/>
      <c r="AH78" s="1314"/>
      <c r="AI78" s="1314"/>
      <c r="AJ78" s="1314"/>
      <c r="AK78" s="1314"/>
      <c r="AL78" s="1314"/>
      <c r="AM78" s="1314"/>
      <c r="AN78" s="1314"/>
      <c r="AO78" s="347"/>
    </row>
    <row r="79" spans="1:41" ht="15.75" thickBot="1" x14ac:dyDescent="0.3">
      <c r="A79" s="1685" t="s">
        <v>47</v>
      </c>
      <c r="B79" s="206">
        <f t="shared" si="17"/>
        <v>7.6244000000000032</v>
      </c>
      <c r="C79" s="1385"/>
      <c r="D79" s="1608"/>
      <c r="E79" s="1693"/>
      <c r="F79" s="1686" t="s">
        <v>47</v>
      </c>
      <c r="G79" s="1384" t="s">
        <v>346</v>
      </c>
      <c r="H79" s="206">
        <f>SUMIF($J$9:$AN$9,"&lt;="&amp;$E$7,J79:AN79)</f>
        <v>7.8966999999999938</v>
      </c>
      <c r="I79" s="1385"/>
      <c r="J79" s="1316">
        <f t="shared" ref="J79:AN80" si="59">+J77*J74/1000</f>
        <v>0.27229999999999999</v>
      </c>
      <c r="K79" s="1316">
        <f t="shared" si="59"/>
        <v>0.27229999999999999</v>
      </c>
      <c r="L79" s="1316">
        <f t="shared" si="59"/>
        <v>0.27229999999999999</v>
      </c>
      <c r="M79" s="1317">
        <f t="shared" si="59"/>
        <v>0.27229999999999999</v>
      </c>
      <c r="N79" s="1317">
        <f t="shared" si="59"/>
        <v>0.27229999999999999</v>
      </c>
      <c r="O79" s="1317">
        <f t="shared" si="59"/>
        <v>0.27229999999999999</v>
      </c>
      <c r="P79" s="1317">
        <f t="shared" si="59"/>
        <v>0.27229999999999999</v>
      </c>
      <c r="Q79" s="1317">
        <f t="shared" si="59"/>
        <v>0.27229999999999999</v>
      </c>
      <c r="R79" s="1318">
        <f t="shared" si="59"/>
        <v>0.27229999999999999</v>
      </c>
      <c r="S79" s="1317">
        <f t="shared" si="59"/>
        <v>0.27229999999999999</v>
      </c>
      <c r="T79" s="1317">
        <f t="shared" si="59"/>
        <v>0.27229999999999999</v>
      </c>
      <c r="U79" s="1317">
        <f t="shared" si="59"/>
        <v>0.27229999999999999</v>
      </c>
      <c r="V79" s="1317">
        <f t="shared" si="59"/>
        <v>0.27229999999999999</v>
      </c>
      <c r="W79" s="1317">
        <f t="shared" si="59"/>
        <v>0.27229999999999999</v>
      </c>
      <c r="X79" s="1317">
        <f t="shared" si="59"/>
        <v>0.27229999999999999</v>
      </c>
      <c r="Y79" s="1317">
        <f>+Y77*Y74/1000</f>
        <v>0.27229999999999999</v>
      </c>
      <c r="Z79" s="1317">
        <f t="shared" si="59"/>
        <v>0.27229999999999999</v>
      </c>
      <c r="AA79" s="1317">
        <f t="shared" si="59"/>
        <v>0.27229999999999999</v>
      </c>
      <c r="AB79" s="1317">
        <f t="shared" si="59"/>
        <v>0.27229999999999999</v>
      </c>
      <c r="AC79" s="1317">
        <f t="shared" si="59"/>
        <v>0.27229999999999999</v>
      </c>
      <c r="AD79" s="1317">
        <f t="shared" si="59"/>
        <v>0</v>
      </c>
      <c r="AE79" s="1317">
        <f t="shared" si="59"/>
        <v>0.27229999999999999</v>
      </c>
      <c r="AF79" s="1317">
        <f t="shared" si="59"/>
        <v>0.27229999999999999</v>
      </c>
      <c r="AG79" s="1317">
        <f t="shared" si="59"/>
        <v>0.27229999999999999</v>
      </c>
      <c r="AH79" s="1317">
        <f t="shared" si="59"/>
        <v>0.27229999999999999</v>
      </c>
      <c r="AI79" s="1317">
        <f t="shared" si="59"/>
        <v>0.27229999999999999</v>
      </c>
      <c r="AJ79" s="1317">
        <f t="shared" si="59"/>
        <v>0.27229999999999999</v>
      </c>
      <c r="AK79" s="1317">
        <f t="shared" si="59"/>
        <v>0.27229999999999999</v>
      </c>
      <c r="AL79" s="1317">
        <f t="shared" si="59"/>
        <v>0.27229999999999999</v>
      </c>
      <c r="AM79" s="1317">
        <f t="shared" si="59"/>
        <v>0.27229999999999999</v>
      </c>
      <c r="AN79" s="1319">
        <f t="shared" si="59"/>
        <v>0</v>
      </c>
      <c r="AO79" s="705"/>
    </row>
    <row r="80" spans="1:41" ht="15.75" thickBot="1" x14ac:dyDescent="0.3">
      <c r="A80" s="1708"/>
      <c r="B80" s="1321" t="e">
        <f t="shared" si="17"/>
        <v>#VALUE!</v>
      </c>
      <c r="C80" s="1432" t="e">
        <f>B80-B79</f>
        <v>#VALUE!</v>
      </c>
      <c r="D80" s="1608"/>
      <c r="E80" s="1694"/>
      <c r="F80" s="1686"/>
      <c r="G80" s="1392" t="s">
        <v>347</v>
      </c>
      <c r="H80" s="1331">
        <f>SUMIF($J$9:$AN$9,"&lt;="&amp;$E$7,J80:AN80)</f>
        <v>6.9852799999999995</v>
      </c>
      <c r="I80" s="1552">
        <f t="shared" ref="I80" si="60">IFERROR((H80-H79)/H79,0)</f>
        <v>-0.115417832765585</v>
      </c>
      <c r="J80" s="1323">
        <f t="shared" si="59"/>
        <v>0.33299000000000001</v>
      </c>
      <c r="K80" s="1321">
        <f t="shared" si="59"/>
        <v>0.37222000000000005</v>
      </c>
      <c r="L80" s="1321">
        <f t="shared" si="59"/>
        <v>0.30384</v>
      </c>
      <c r="M80" s="1321">
        <f t="shared" si="59"/>
        <v>0.45954</v>
      </c>
      <c r="N80" s="1321">
        <f t="shared" si="59"/>
        <v>0.45954</v>
      </c>
      <c r="O80" s="1321">
        <f t="shared" si="59"/>
        <v>0.26640000000000003</v>
      </c>
      <c r="P80" s="1321">
        <f t="shared" si="59"/>
        <v>0.41759999999999997</v>
      </c>
      <c r="Q80" s="1321">
        <f t="shared" si="59"/>
        <v>0.27650000000000002</v>
      </c>
      <c r="R80" s="1321">
        <f t="shared" si="59"/>
        <v>0.49031999999999998</v>
      </c>
      <c r="S80" s="1321">
        <f t="shared" si="59"/>
        <v>0.33361000000000002</v>
      </c>
      <c r="T80" s="1321">
        <f t="shared" si="59"/>
        <v>0</v>
      </c>
      <c r="U80" s="1321">
        <f t="shared" si="59"/>
        <v>0.38063999999999998</v>
      </c>
      <c r="V80" s="1321">
        <f t="shared" si="59"/>
        <v>0.34159999999999996</v>
      </c>
      <c r="W80" s="1321">
        <f t="shared" si="59"/>
        <v>0.26351999999999998</v>
      </c>
      <c r="X80" s="1321">
        <f t="shared" si="59"/>
        <v>0.31950000000000001</v>
      </c>
      <c r="Y80" s="1321">
        <f>+Y78*Y75/1000</f>
        <v>0.36749999999999999</v>
      </c>
      <c r="Z80" s="1321">
        <f t="shared" si="59"/>
        <v>0.17373999999999998</v>
      </c>
      <c r="AA80" s="1321">
        <f t="shared" si="59"/>
        <v>0.25185000000000002</v>
      </c>
      <c r="AB80" s="1321">
        <f t="shared" si="59"/>
        <v>0.34300000000000003</v>
      </c>
      <c r="AC80" s="1321">
        <f t="shared" si="59"/>
        <v>0.35770000000000002</v>
      </c>
      <c r="AD80" s="1321">
        <f t="shared" si="59"/>
        <v>0.17760000000000004</v>
      </c>
      <c r="AE80" s="1321">
        <f t="shared" si="59"/>
        <v>0</v>
      </c>
      <c r="AF80" s="1321">
        <f t="shared" si="59"/>
        <v>0.29607</v>
      </c>
      <c r="AG80" s="1321">
        <f t="shared" si="59"/>
        <v>0</v>
      </c>
      <c r="AH80" s="1321">
        <f t="shared" si="59"/>
        <v>0</v>
      </c>
      <c r="AI80" s="1321">
        <f t="shared" si="59"/>
        <v>0</v>
      </c>
      <c r="AJ80" s="1321">
        <f t="shared" si="59"/>
        <v>0</v>
      </c>
      <c r="AK80" s="1321">
        <f t="shared" si="59"/>
        <v>0</v>
      </c>
      <c r="AL80" s="1321">
        <f t="shared" si="59"/>
        <v>0</v>
      </c>
      <c r="AM80" s="1321">
        <f t="shared" si="59"/>
        <v>0</v>
      </c>
      <c r="AN80" s="1321">
        <f t="shared" si="59"/>
        <v>0</v>
      </c>
      <c r="AO80" s="706"/>
    </row>
    <row r="81" spans="1:41" ht="15.75" thickBot="1" x14ac:dyDescent="0.3">
      <c r="A81" s="1684" t="s">
        <v>340</v>
      </c>
      <c r="B81" s="196">
        <f t="shared" ref="B81" si="61">SUM(I81:AL81)</f>
        <v>1890</v>
      </c>
      <c r="C81" s="197"/>
      <c r="D81" s="1608">
        <v>1</v>
      </c>
      <c r="E81" s="1692" t="str">
        <f>[13]Breaking.!A65</f>
        <v xml:space="preserve">6L_W1 STOPE </v>
      </c>
      <c r="F81" s="1696" t="s">
        <v>340</v>
      </c>
      <c r="G81" s="293" t="s">
        <v>341</v>
      </c>
      <c r="H81" s="196">
        <f>SUMIF($J$9:$AN$9,"&lt;="&amp;$E$7,J81:AN81)</f>
        <v>1960</v>
      </c>
      <c r="I81" s="197"/>
      <c r="J81" s="198">
        <f>[13]Breaking.!D65</f>
        <v>70</v>
      </c>
      <c r="K81" s="198">
        <f>[13]Breaking.!E65</f>
        <v>70</v>
      </c>
      <c r="L81" s="198">
        <f>[13]Breaking.!F65</f>
        <v>70</v>
      </c>
      <c r="M81" s="198">
        <f>[13]Breaking.!G65</f>
        <v>70</v>
      </c>
      <c r="N81" s="198">
        <f>[13]Breaking.!H65</f>
        <v>70</v>
      </c>
      <c r="O81" s="198">
        <f>[13]Breaking.!I65</f>
        <v>70</v>
      </c>
      <c r="P81" s="198">
        <f>[13]Breaking.!J65</f>
        <v>70</v>
      </c>
      <c r="Q81" s="198">
        <f>[13]Breaking.!K65</f>
        <v>70</v>
      </c>
      <c r="R81" s="198">
        <f>[13]Breaking.!L65</f>
        <v>70</v>
      </c>
      <c r="S81" s="198">
        <f>[13]Breaking.!M65</f>
        <v>70</v>
      </c>
      <c r="T81" s="198">
        <f>[13]Breaking.!N65</f>
        <v>70</v>
      </c>
      <c r="U81" s="198">
        <f>[13]Breaking.!O65</f>
        <v>70</v>
      </c>
      <c r="V81" s="198">
        <f>[13]Breaking.!P65</f>
        <v>70</v>
      </c>
      <c r="W81" s="198">
        <f>[13]Breaking.!Q65</f>
        <v>70</v>
      </c>
      <c r="X81" s="198">
        <f>[13]Breaking.!R65</f>
        <v>70</v>
      </c>
      <c r="Y81" s="198">
        <f>[13]Breaking.!S65</f>
        <v>70</v>
      </c>
      <c r="Z81" s="198">
        <f>[13]Breaking.!T65</f>
        <v>70</v>
      </c>
      <c r="AA81" s="198">
        <f>[13]Breaking.!U65</f>
        <v>70</v>
      </c>
      <c r="AB81" s="198">
        <f>[13]Breaking.!V65</f>
        <v>70</v>
      </c>
      <c r="AC81" s="198">
        <f>[13]Breaking.!W65</f>
        <v>0</v>
      </c>
      <c r="AD81" s="198">
        <f>[13]Breaking.!X65</f>
        <v>0</v>
      </c>
      <c r="AE81" s="198">
        <f>[13]Breaking.!Y65</f>
        <v>70</v>
      </c>
      <c r="AF81" s="198">
        <f>[13]Breaking.!Z65</f>
        <v>70</v>
      </c>
      <c r="AG81" s="198">
        <f>[13]Breaking.!AA65</f>
        <v>70</v>
      </c>
      <c r="AH81" s="198">
        <f>[13]Breaking.!AB65</f>
        <v>70</v>
      </c>
      <c r="AI81" s="198">
        <f>[13]Breaking.!AC65</f>
        <v>70</v>
      </c>
      <c r="AJ81" s="198">
        <f>[13]Breaking.!AD65</f>
        <v>70</v>
      </c>
      <c r="AK81" s="198">
        <f>[13]Breaking.!AE65</f>
        <v>70</v>
      </c>
      <c r="AL81" s="198">
        <f>[13]Breaking.!AF65</f>
        <v>70</v>
      </c>
      <c r="AM81" s="198">
        <f>[13]Breaking.!AG65</f>
        <v>70</v>
      </c>
      <c r="AN81" s="198">
        <f>[13]Breaking.!AH65</f>
        <v>0</v>
      </c>
      <c r="AO81" s="845"/>
    </row>
    <row r="82" spans="1:41" ht="15.75" thickBot="1" x14ac:dyDescent="0.3">
      <c r="A82" s="1688"/>
      <c r="B82" s="1303">
        <f t="shared" si="6"/>
        <v>2929500</v>
      </c>
      <c r="C82" s="1430">
        <f>B82-B81</f>
        <v>2927610</v>
      </c>
      <c r="D82" s="1608"/>
      <c r="E82" s="1693"/>
      <c r="F82" s="1696"/>
      <c r="G82" s="1379" t="s">
        <v>342</v>
      </c>
      <c r="H82" s="1303">
        <f>SUMIF($J$9:$AN$9,"&lt;="&amp;$E$7,J82:AN82)</f>
        <v>1549</v>
      </c>
      <c r="I82" s="1380">
        <f t="shared" ref="I82" si="62">IFERROR((H82-H81)/H81,0)</f>
        <v>-0.2096938775510204</v>
      </c>
      <c r="J82" s="1305">
        <v>73</v>
      </c>
      <c r="K82" s="1303">
        <v>74</v>
      </c>
      <c r="L82" s="1303">
        <v>71</v>
      </c>
      <c r="M82" s="1303">
        <v>70</v>
      </c>
      <c r="N82" s="1303">
        <v>70</v>
      </c>
      <c r="O82" s="1303">
        <v>72</v>
      </c>
      <c r="P82" s="1303">
        <v>70</v>
      </c>
      <c r="Q82" s="1303">
        <v>70</v>
      </c>
      <c r="R82" s="1303">
        <v>74</v>
      </c>
      <c r="S82" s="1303">
        <f>37+33</f>
        <v>70</v>
      </c>
      <c r="T82" s="1303"/>
      <c r="U82" s="1303">
        <v>74</v>
      </c>
      <c r="V82" s="1303">
        <v>70</v>
      </c>
      <c r="W82" s="1303">
        <v>74</v>
      </c>
      <c r="X82" s="1303">
        <v>70</v>
      </c>
      <c r="Y82" s="1303">
        <v>72</v>
      </c>
      <c r="Z82" s="1303">
        <v>71</v>
      </c>
      <c r="AA82" s="1303">
        <v>72</v>
      </c>
      <c r="AB82" s="1303">
        <v>76</v>
      </c>
      <c r="AC82" s="1303">
        <v>76</v>
      </c>
      <c r="AD82" s="1303">
        <v>28</v>
      </c>
      <c r="AE82" s="1303">
        <v>78</v>
      </c>
      <c r="AF82" s="1303">
        <v>74</v>
      </c>
      <c r="AG82" s="1303"/>
      <c r="AH82" s="1303"/>
      <c r="AI82" s="1303"/>
      <c r="AJ82" s="1303"/>
      <c r="AK82" s="1303"/>
      <c r="AL82" s="1303"/>
      <c r="AM82" s="1303"/>
      <c r="AN82" s="1303"/>
      <c r="AO82" s="347"/>
    </row>
    <row r="83" spans="1:41" ht="15.75" thickBot="1" x14ac:dyDescent="0.3">
      <c r="A83" s="1688"/>
      <c r="B83" s="1382"/>
      <c r="C83" s="1383"/>
      <c r="D83" s="1608"/>
      <c r="E83" s="1693"/>
      <c r="F83" s="1696"/>
      <c r="G83" s="1389" t="s">
        <v>312</v>
      </c>
      <c r="H83" s="1390"/>
      <c r="I83" s="1391"/>
      <c r="J83" s="203"/>
      <c r="K83" s="203"/>
      <c r="L83" s="203"/>
      <c r="M83" s="203"/>
      <c r="N83" s="203"/>
      <c r="O83" s="203"/>
      <c r="P83" s="203"/>
      <c r="Q83" s="203"/>
      <c r="R83" s="204"/>
      <c r="S83" s="203"/>
      <c r="T83" s="203"/>
      <c r="U83" s="203"/>
      <c r="V83" s="203"/>
      <c r="W83" s="203"/>
      <c r="X83" s="203"/>
      <c r="Y83" s="203"/>
      <c r="Z83" s="203"/>
      <c r="AA83" s="203"/>
      <c r="AB83" s="203"/>
      <c r="AC83" s="203"/>
      <c r="AD83" s="203"/>
      <c r="AE83" s="203"/>
      <c r="AF83" s="203"/>
      <c r="AG83" s="203"/>
      <c r="AH83" s="203"/>
      <c r="AI83" s="203"/>
      <c r="AJ83" s="203"/>
      <c r="AK83" s="203"/>
      <c r="AL83" s="203"/>
      <c r="AM83" s="203"/>
      <c r="AN83" s="205"/>
      <c r="AO83" s="846"/>
    </row>
    <row r="84" spans="1:41" ht="15.75" thickBot="1" x14ac:dyDescent="0.3">
      <c r="A84" s="1685" t="s">
        <v>343</v>
      </c>
      <c r="B84" s="1310">
        <f t="shared" si="12"/>
        <v>3.8900000000000015</v>
      </c>
      <c r="C84" s="1385"/>
      <c r="D84" s="1608"/>
      <c r="E84" s="1693"/>
      <c r="F84" s="1686" t="s">
        <v>343</v>
      </c>
      <c r="G84" s="1384" t="s">
        <v>344</v>
      </c>
      <c r="H84" s="1310">
        <f t="shared" ref="H84:H85" si="63">IFERROR(H86*1000/H81,0)</f>
        <v>3.889999999999997</v>
      </c>
      <c r="I84" s="1385"/>
      <c r="J84" s="1312">
        <v>3.89</v>
      </c>
      <c r="K84" s="1312">
        <v>3.89</v>
      </c>
      <c r="L84" s="1312">
        <v>3.89</v>
      </c>
      <c r="M84" s="1312">
        <v>3.89</v>
      </c>
      <c r="N84" s="1312">
        <v>3.89</v>
      </c>
      <c r="O84" s="1312">
        <v>3.89</v>
      </c>
      <c r="P84" s="1312">
        <v>3.89</v>
      </c>
      <c r="Q84" s="1312">
        <v>3.89</v>
      </c>
      <c r="R84" s="1312">
        <v>3.89</v>
      </c>
      <c r="S84" s="1312">
        <v>3.89</v>
      </c>
      <c r="T84" s="1312">
        <v>3.89</v>
      </c>
      <c r="U84" s="1312">
        <v>3.89</v>
      </c>
      <c r="V84" s="1312">
        <v>3.89</v>
      </c>
      <c r="W84" s="1312">
        <v>3.89</v>
      </c>
      <c r="X84" s="1312">
        <v>3.89</v>
      </c>
      <c r="Y84" s="1312">
        <v>3.89</v>
      </c>
      <c r="Z84" s="1312">
        <v>3.89</v>
      </c>
      <c r="AA84" s="1312">
        <v>3.89</v>
      </c>
      <c r="AB84" s="1312">
        <v>3.89</v>
      </c>
      <c r="AC84" s="1312">
        <v>3.89</v>
      </c>
      <c r="AD84" s="1312"/>
      <c r="AE84" s="1312">
        <v>3.89</v>
      </c>
      <c r="AF84" s="1312">
        <v>3.89</v>
      </c>
      <c r="AG84" s="1312">
        <v>3.89</v>
      </c>
      <c r="AH84" s="1312">
        <v>3.89</v>
      </c>
      <c r="AI84" s="1312">
        <v>3.89</v>
      </c>
      <c r="AJ84" s="1312">
        <v>3.89</v>
      </c>
      <c r="AK84" s="1312">
        <v>3.89</v>
      </c>
      <c r="AL84" s="1312">
        <v>3.89</v>
      </c>
      <c r="AM84" s="1312">
        <v>3.89</v>
      </c>
      <c r="AN84" s="1312"/>
      <c r="AO84" s="347"/>
    </row>
    <row r="85" spans="1:41" ht="15.75" thickBot="1" x14ac:dyDescent="0.3">
      <c r="A85" s="1707"/>
      <c r="B85" s="1314" t="e">
        <f t="shared" ref="B85" si="64">B84*(G85/B84)</f>
        <v>#VALUE!</v>
      </c>
      <c r="C85" s="1431" t="e">
        <f>B85-B84</f>
        <v>#VALUE!</v>
      </c>
      <c r="D85" s="1608"/>
      <c r="E85" s="1693"/>
      <c r="F85" s="1686"/>
      <c r="G85" s="1386" t="s">
        <v>345</v>
      </c>
      <c r="H85" s="1314">
        <f t="shared" si="63"/>
        <v>3.720477727566172</v>
      </c>
      <c r="I85" s="1380">
        <f t="shared" ref="I85" si="65">IFERROR((H85-H84)/H84,0)</f>
        <v>-4.3578990342885641E-2</v>
      </c>
      <c r="J85" s="1315">
        <v>4.22</v>
      </c>
      <c r="K85" s="1314">
        <v>3.6</v>
      </c>
      <c r="L85" s="1314">
        <v>4.55</v>
      </c>
      <c r="M85" s="1314">
        <v>7</v>
      </c>
      <c r="N85" s="1314">
        <v>7</v>
      </c>
      <c r="O85" s="1314">
        <v>2.5299999999999998</v>
      </c>
      <c r="P85" s="1314">
        <v>6.52</v>
      </c>
      <c r="Q85" s="1314">
        <v>1.41</v>
      </c>
      <c r="R85" s="1314">
        <v>2.25</v>
      </c>
      <c r="S85" s="1314">
        <v>2.02</v>
      </c>
      <c r="T85" s="1314">
        <v>2.4300000000000002</v>
      </c>
      <c r="U85" s="1314">
        <v>4.54</v>
      </c>
      <c r="V85" s="1314">
        <v>4.54</v>
      </c>
      <c r="W85" s="1314">
        <v>2.7</v>
      </c>
      <c r="X85" s="1314">
        <v>4.68</v>
      </c>
      <c r="Y85" s="1314">
        <v>0.93</v>
      </c>
      <c r="Z85" s="1314">
        <v>4.37</v>
      </c>
      <c r="AA85" s="1314">
        <v>2.93</v>
      </c>
      <c r="AB85" s="1314">
        <v>3.3</v>
      </c>
      <c r="AC85" s="1314">
        <v>3.3</v>
      </c>
      <c r="AD85" s="1314">
        <v>5.57</v>
      </c>
      <c r="AE85" s="1314">
        <v>2.72</v>
      </c>
      <c r="AF85" s="1314">
        <v>2.72</v>
      </c>
      <c r="AG85" s="1314"/>
      <c r="AH85" s="1314"/>
      <c r="AI85" s="1314"/>
      <c r="AJ85" s="1314"/>
      <c r="AK85" s="1314"/>
      <c r="AL85" s="1314"/>
      <c r="AM85" s="1314"/>
      <c r="AN85" s="1314"/>
      <c r="AO85" s="347"/>
    </row>
    <row r="86" spans="1:41" ht="15.75" thickBot="1" x14ac:dyDescent="0.3">
      <c r="A86" s="1685" t="s">
        <v>47</v>
      </c>
      <c r="B86" s="206">
        <f t="shared" si="17"/>
        <v>7.3521000000000027</v>
      </c>
      <c r="C86" s="1385"/>
      <c r="D86" s="1608"/>
      <c r="E86" s="1693"/>
      <c r="F86" s="1686" t="s">
        <v>47</v>
      </c>
      <c r="G86" s="1384" t="s">
        <v>346</v>
      </c>
      <c r="H86" s="206">
        <f>SUMIF($J$9:$AN$9,"&lt;="&amp;$E$7,J86:AN86)</f>
        <v>7.6243999999999943</v>
      </c>
      <c r="I86" s="1385"/>
      <c r="J86" s="1316">
        <f t="shared" ref="J86:AN87" si="66">+J84*J81/1000</f>
        <v>0.27229999999999999</v>
      </c>
      <c r="K86" s="1316">
        <f t="shared" si="66"/>
        <v>0.27229999999999999</v>
      </c>
      <c r="L86" s="1316">
        <f t="shared" si="66"/>
        <v>0.27229999999999999</v>
      </c>
      <c r="M86" s="1317">
        <f t="shared" si="66"/>
        <v>0.27229999999999999</v>
      </c>
      <c r="N86" s="1317">
        <f t="shared" si="66"/>
        <v>0.27229999999999999</v>
      </c>
      <c r="O86" s="1317">
        <f t="shared" si="66"/>
        <v>0.27229999999999999</v>
      </c>
      <c r="P86" s="1317">
        <f t="shared" si="66"/>
        <v>0.27229999999999999</v>
      </c>
      <c r="Q86" s="1317">
        <f t="shared" si="66"/>
        <v>0.27229999999999999</v>
      </c>
      <c r="R86" s="1318">
        <f t="shared" si="66"/>
        <v>0.27229999999999999</v>
      </c>
      <c r="S86" s="1317">
        <f t="shared" si="66"/>
        <v>0.27229999999999999</v>
      </c>
      <c r="T86" s="1317">
        <f t="shared" si="66"/>
        <v>0.27229999999999999</v>
      </c>
      <c r="U86" s="1317">
        <f t="shared" si="66"/>
        <v>0.27229999999999999</v>
      </c>
      <c r="V86" s="1317">
        <f t="shared" si="66"/>
        <v>0.27229999999999999</v>
      </c>
      <c r="W86" s="1317">
        <f t="shared" si="66"/>
        <v>0.27229999999999999</v>
      </c>
      <c r="X86" s="1317">
        <f t="shared" si="66"/>
        <v>0.27229999999999999</v>
      </c>
      <c r="Y86" s="1317">
        <f>+Y84*Y81/1000</f>
        <v>0.27229999999999999</v>
      </c>
      <c r="Z86" s="1317">
        <f t="shared" si="66"/>
        <v>0.27229999999999999</v>
      </c>
      <c r="AA86" s="1317">
        <f>+AA84*AA81/1000</f>
        <v>0.27229999999999999</v>
      </c>
      <c r="AB86" s="1317">
        <f t="shared" si="66"/>
        <v>0.27229999999999999</v>
      </c>
      <c r="AC86" s="1317">
        <f t="shared" si="66"/>
        <v>0</v>
      </c>
      <c r="AD86" s="1317">
        <f t="shared" si="66"/>
        <v>0</v>
      </c>
      <c r="AE86" s="1317">
        <f t="shared" si="66"/>
        <v>0.27229999999999999</v>
      </c>
      <c r="AF86" s="1317">
        <f t="shared" si="66"/>
        <v>0.27229999999999999</v>
      </c>
      <c r="AG86" s="1317">
        <f t="shared" si="66"/>
        <v>0.27229999999999999</v>
      </c>
      <c r="AH86" s="1317">
        <f t="shared" si="66"/>
        <v>0.27229999999999999</v>
      </c>
      <c r="AI86" s="1317">
        <f t="shared" si="66"/>
        <v>0.27229999999999999</v>
      </c>
      <c r="AJ86" s="1317">
        <f>+AJ84*AJ81/1000</f>
        <v>0.27229999999999999</v>
      </c>
      <c r="AK86" s="1317">
        <f t="shared" si="66"/>
        <v>0.27229999999999999</v>
      </c>
      <c r="AL86" s="1317">
        <f t="shared" si="66"/>
        <v>0.27229999999999999</v>
      </c>
      <c r="AM86" s="1317">
        <f t="shared" si="66"/>
        <v>0.27229999999999999</v>
      </c>
      <c r="AN86" s="1319">
        <f t="shared" si="66"/>
        <v>0</v>
      </c>
      <c r="AO86" s="705"/>
    </row>
    <row r="87" spans="1:41" ht="15.75" thickBot="1" x14ac:dyDescent="0.3">
      <c r="A87" s="1708"/>
      <c r="B87" s="1321" t="e">
        <f t="shared" si="17"/>
        <v>#VALUE!</v>
      </c>
      <c r="C87" s="1432" t="e">
        <f>B87-B86</f>
        <v>#VALUE!</v>
      </c>
      <c r="D87" s="1609"/>
      <c r="E87" s="1694"/>
      <c r="F87" s="1687"/>
      <c r="G87" s="1387" t="s">
        <v>347</v>
      </c>
      <c r="H87" s="1321">
        <f>SUMIF($J$9:$AN$9,"&lt;="&amp;$E$7,J87:AN87)</f>
        <v>5.76302</v>
      </c>
      <c r="I87" s="1388">
        <f t="shared" ref="I87" si="67">IFERROR((H87-H86)/H86,0)</f>
        <v>-0.24413462042914796</v>
      </c>
      <c r="J87" s="1323">
        <f t="shared" si="66"/>
        <v>0.30806</v>
      </c>
      <c r="K87" s="1321">
        <f t="shared" si="66"/>
        <v>0.26640000000000003</v>
      </c>
      <c r="L87" s="1321">
        <f t="shared" si="66"/>
        <v>0.32305</v>
      </c>
      <c r="M87" s="1321">
        <f t="shared" si="66"/>
        <v>0.49</v>
      </c>
      <c r="N87" s="1321">
        <f t="shared" si="66"/>
        <v>0.49</v>
      </c>
      <c r="O87" s="1321">
        <f t="shared" si="66"/>
        <v>0.18215999999999999</v>
      </c>
      <c r="P87" s="1321">
        <f t="shared" si="66"/>
        <v>0.45639999999999997</v>
      </c>
      <c r="Q87" s="1321">
        <f t="shared" si="66"/>
        <v>9.8699999999999982E-2</v>
      </c>
      <c r="R87" s="1321">
        <f t="shared" si="66"/>
        <v>0.16650000000000001</v>
      </c>
      <c r="S87" s="1321">
        <f t="shared" si="66"/>
        <v>0.1414</v>
      </c>
      <c r="T87" s="1321">
        <f t="shared" si="66"/>
        <v>0</v>
      </c>
      <c r="U87" s="1321">
        <f t="shared" si="66"/>
        <v>0.33595999999999998</v>
      </c>
      <c r="V87" s="1321">
        <f t="shared" si="66"/>
        <v>0.31780000000000003</v>
      </c>
      <c r="W87" s="1321">
        <f t="shared" si="66"/>
        <v>0.19980000000000001</v>
      </c>
      <c r="X87" s="1321">
        <f t="shared" si="66"/>
        <v>0.32759999999999995</v>
      </c>
      <c r="Y87" s="1321">
        <f>+Y85*Y82/1000</f>
        <v>6.6960000000000006E-2</v>
      </c>
      <c r="Z87" s="1321">
        <f t="shared" si="66"/>
        <v>0.31026999999999999</v>
      </c>
      <c r="AA87" s="1321">
        <f t="shared" si="66"/>
        <v>0.21096000000000001</v>
      </c>
      <c r="AB87" s="1321">
        <f t="shared" si="66"/>
        <v>0.25079999999999997</v>
      </c>
      <c r="AC87" s="1321">
        <f t="shared" si="66"/>
        <v>0.25079999999999997</v>
      </c>
      <c r="AD87" s="1321">
        <f t="shared" si="66"/>
        <v>0.15596000000000002</v>
      </c>
      <c r="AE87" s="1321">
        <f t="shared" si="66"/>
        <v>0.21216000000000002</v>
      </c>
      <c r="AF87" s="1321">
        <f t="shared" si="66"/>
        <v>0.20128000000000001</v>
      </c>
      <c r="AG87" s="1321">
        <f t="shared" si="66"/>
        <v>0</v>
      </c>
      <c r="AH87" s="1321">
        <f t="shared" si="66"/>
        <v>0</v>
      </c>
      <c r="AI87" s="1321">
        <f t="shared" si="66"/>
        <v>0</v>
      </c>
      <c r="AJ87" s="1321">
        <f t="shared" si="66"/>
        <v>0</v>
      </c>
      <c r="AK87" s="1321">
        <f t="shared" si="66"/>
        <v>0</v>
      </c>
      <c r="AL87" s="1321">
        <f t="shared" si="66"/>
        <v>0</v>
      </c>
      <c r="AM87" s="1321">
        <f t="shared" si="66"/>
        <v>0</v>
      </c>
      <c r="AN87" s="1321">
        <f t="shared" si="66"/>
        <v>0</v>
      </c>
      <c r="AO87" s="706"/>
    </row>
    <row r="88" spans="1:41" ht="15.75" thickBot="1" x14ac:dyDescent="0.3">
      <c r="A88" s="1684" t="s">
        <v>340</v>
      </c>
      <c r="B88" s="196">
        <f t="shared" ref="B88" si="68">SUM(I88:AL88)</f>
        <v>1890</v>
      </c>
      <c r="C88" s="197"/>
      <c r="D88" s="1608">
        <v>1</v>
      </c>
      <c r="E88" s="1692" t="str">
        <f>[13]Breaking.!A67</f>
        <v xml:space="preserve">6L_W2 STOPE </v>
      </c>
      <c r="F88" s="1696" t="s">
        <v>340</v>
      </c>
      <c r="G88" s="293" t="s">
        <v>341</v>
      </c>
      <c r="H88" s="196">
        <f>SUMIF($J$9:$AN$9,"&lt;="&amp;$E$7,J88:AN88)</f>
        <v>1960</v>
      </c>
      <c r="I88" s="197"/>
      <c r="J88" s="198">
        <f>[13]Breaking.!D67</f>
        <v>70</v>
      </c>
      <c r="K88" s="198">
        <f>[13]Breaking.!E67</f>
        <v>70</v>
      </c>
      <c r="L88" s="198">
        <f>[13]Breaking.!F67</f>
        <v>70</v>
      </c>
      <c r="M88" s="198">
        <f>[13]Breaking.!G67</f>
        <v>70</v>
      </c>
      <c r="N88" s="198">
        <f>[13]Breaking.!H67</f>
        <v>70</v>
      </c>
      <c r="O88" s="198">
        <f>[13]Breaking.!I67</f>
        <v>70</v>
      </c>
      <c r="P88" s="198">
        <f>[13]Breaking.!J67</f>
        <v>70</v>
      </c>
      <c r="Q88" s="198">
        <f>[13]Breaking.!K67</f>
        <v>70</v>
      </c>
      <c r="R88" s="198">
        <f>[13]Breaking.!L67</f>
        <v>70</v>
      </c>
      <c r="S88" s="198">
        <f>[13]Breaking.!M67</f>
        <v>70</v>
      </c>
      <c r="T88" s="198">
        <f>[13]Breaking.!N67</f>
        <v>70</v>
      </c>
      <c r="U88" s="198">
        <f>[13]Breaking.!O67</f>
        <v>70</v>
      </c>
      <c r="V88" s="198">
        <f>[13]Breaking.!P67</f>
        <v>70</v>
      </c>
      <c r="W88" s="198">
        <f>[13]Breaking.!Q67</f>
        <v>70</v>
      </c>
      <c r="X88" s="198">
        <f>[13]Breaking.!R67</f>
        <v>70</v>
      </c>
      <c r="Y88" s="198">
        <f>[13]Breaking.!S67</f>
        <v>70</v>
      </c>
      <c r="Z88" s="198">
        <f>[13]Breaking.!T67</f>
        <v>70</v>
      </c>
      <c r="AA88" s="198">
        <f>[13]Breaking.!U67</f>
        <v>70</v>
      </c>
      <c r="AB88" s="198">
        <f>[13]Breaking.!V67</f>
        <v>70</v>
      </c>
      <c r="AC88" s="198">
        <f>[13]Breaking.!W67</f>
        <v>0</v>
      </c>
      <c r="AD88" s="198">
        <f>[13]Breaking.!X67</f>
        <v>0</v>
      </c>
      <c r="AE88" s="198">
        <f>[13]Breaking.!Y67</f>
        <v>70</v>
      </c>
      <c r="AF88" s="198">
        <f>[13]Breaking.!Z67</f>
        <v>70</v>
      </c>
      <c r="AG88" s="198">
        <f>[13]Breaking.!AA67</f>
        <v>70</v>
      </c>
      <c r="AH88" s="198">
        <f>[13]Breaking.!AB67</f>
        <v>70</v>
      </c>
      <c r="AI88" s="198">
        <f>[13]Breaking.!AC67</f>
        <v>70</v>
      </c>
      <c r="AJ88" s="198">
        <f>[13]Breaking.!AD67</f>
        <v>70</v>
      </c>
      <c r="AK88" s="198">
        <f>[13]Breaking.!AE67</f>
        <v>70</v>
      </c>
      <c r="AL88" s="198">
        <f>[13]Breaking.!AF67</f>
        <v>70</v>
      </c>
      <c r="AM88" s="198">
        <f>[13]Breaking.!AG67</f>
        <v>70</v>
      </c>
      <c r="AN88" s="198">
        <f>[13]Breaking.!AH67</f>
        <v>0</v>
      </c>
      <c r="AO88" s="845"/>
    </row>
    <row r="89" spans="1:41" ht="15.75" thickBot="1" x14ac:dyDescent="0.3">
      <c r="A89" s="1688"/>
      <c r="B89" s="1303">
        <f t="shared" si="6"/>
        <v>3226230</v>
      </c>
      <c r="C89" s="1430">
        <f>B89-B88</f>
        <v>3224340</v>
      </c>
      <c r="D89" s="1608"/>
      <c r="E89" s="1693"/>
      <c r="F89" s="1696"/>
      <c r="G89" s="1379" t="s">
        <v>342</v>
      </c>
      <c r="H89" s="1303">
        <f>SUMIF($J$9:$AN$9,"&lt;="&amp;$E$7,J89:AN89)</f>
        <v>1706</v>
      </c>
      <c r="I89" s="1380">
        <f t="shared" ref="I89" si="69">IFERROR((H89-H88)/H88,0)</f>
        <v>-0.12959183673469388</v>
      </c>
      <c r="J89" s="1305">
        <v>70</v>
      </c>
      <c r="K89" s="847">
        <v>70</v>
      </c>
      <c r="L89" s="1303">
        <v>72</v>
      </c>
      <c r="M89" s="1303">
        <v>70</v>
      </c>
      <c r="N89" s="1303">
        <v>71</v>
      </c>
      <c r="O89" s="1303">
        <v>74</v>
      </c>
      <c r="P89" s="1303">
        <v>74</v>
      </c>
      <c r="Q89" s="1303">
        <v>72</v>
      </c>
      <c r="R89" s="1303">
        <v>80</v>
      </c>
      <c r="S89" s="1303">
        <v>106</v>
      </c>
      <c r="T89" s="1303">
        <v>106</v>
      </c>
      <c r="U89" s="1303">
        <v>76</v>
      </c>
      <c r="V89" s="1303">
        <v>70</v>
      </c>
      <c r="W89" s="1303">
        <v>72</v>
      </c>
      <c r="X89" s="1303">
        <v>72</v>
      </c>
      <c r="Y89" s="1303">
        <v>70</v>
      </c>
      <c r="Z89" s="1303">
        <v>76</v>
      </c>
      <c r="AA89" s="1303">
        <v>63</v>
      </c>
      <c r="AB89" s="1303">
        <v>78</v>
      </c>
      <c r="AC89" s="1303">
        <v>72</v>
      </c>
      <c r="AD89" s="1303">
        <v>36</v>
      </c>
      <c r="AE89" s="1303">
        <v>86</v>
      </c>
      <c r="AF89" s="1303">
        <v>70</v>
      </c>
      <c r="AG89" s="1303"/>
      <c r="AH89" s="1303"/>
      <c r="AI89" s="1303"/>
      <c r="AJ89" s="1303"/>
      <c r="AK89" s="1303"/>
      <c r="AL89" s="1303"/>
      <c r="AM89" s="1303"/>
      <c r="AN89" s="1303"/>
      <c r="AO89" s="347"/>
    </row>
    <row r="90" spans="1:41" ht="15.75" thickBot="1" x14ac:dyDescent="0.3">
      <c r="A90" s="1688"/>
      <c r="B90" s="1382"/>
      <c r="C90" s="1383"/>
      <c r="D90" s="1608"/>
      <c r="E90" s="1693"/>
      <c r="F90" s="1696"/>
      <c r="G90" s="1389" t="s">
        <v>312</v>
      </c>
      <c r="H90" s="1390"/>
      <c r="I90" s="1391"/>
      <c r="J90" s="203"/>
      <c r="K90" s="1303"/>
      <c r="L90" s="203"/>
      <c r="M90" s="203"/>
      <c r="N90" s="203"/>
      <c r="O90" s="203"/>
      <c r="P90" s="203"/>
      <c r="Q90" s="203"/>
      <c r="R90" s="204"/>
      <c r="S90" s="203"/>
      <c r="T90" s="203"/>
      <c r="U90" s="203"/>
      <c r="V90" s="203"/>
      <c r="W90" s="203"/>
      <c r="X90" s="203"/>
      <c r="Y90" s="203"/>
      <c r="Z90" s="203"/>
      <c r="AA90" s="203"/>
      <c r="AB90" s="203"/>
      <c r="AC90" s="203"/>
      <c r="AD90" s="203"/>
      <c r="AE90" s="203"/>
      <c r="AF90" s="203"/>
      <c r="AG90" s="203"/>
      <c r="AH90" s="203"/>
      <c r="AI90" s="203"/>
      <c r="AJ90" s="203"/>
      <c r="AK90" s="203"/>
      <c r="AL90" s="203"/>
      <c r="AM90" s="203"/>
      <c r="AN90" s="205"/>
      <c r="AO90" s="846"/>
    </row>
    <row r="91" spans="1:41" ht="15.75" thickBot="1" x14ac:dyDescent="0.3">
      <c r="A91" s="1685" t="s">
        <v>343</v>
      </c>
      <c r="B91" s="1310">
        <f t="shared" si="12"/>
        <v>2.9099999999999988</v>
      </c>
      <c r="C91" s="1385"/>
      <c r="D91" s="1608"/>
      <c r="E91" s="1693"/>
      <c r="F91" s="1686" t="s">
        <v>343</v>
      </c>
      <c r="G91" s="1384" t="s">
        <v>344</v>
      </c>
      <c r="H91" s="1310">
        <f t="shared" ref="H91:H92" si="70">IFERROR(H93*1000/H88,0)</f>
        <v>3.9591326530612281</v>
      </c>
      <c r="I91" s="1385"/>
      <c r="J91" s="1312">
        <v>2.91</v>
      </c>
      <c r="K91" s="1312">
        <v>2.91</v>
      </c>
      <c r="L91" s="1312">
        <v>2.91</v>
      </c>
      <c r="M91" s="1312">
        <v>2.91</v>
      </c>
      <c r="N91" s="1312">
        <v>2.91</v>
      </c>
      <c r="O91" s="1312">
        <v>2.91</v>
      </c>
      <c r="P91" s="1312">
        <v>2.91</v>
      </c>
      <c r="Q91" s="1312">
        <v>2.91</v>
      </c>
      <c r="R91" s="1312">
        <v>2.91</v>
      </c>
      <c r="S91" s="1312">
        <v>2.91</v>
      </c>
      <c r="T91" s="1312">
        <v>2.91</v>
      </c>
      <c r="U91" s="1312">
        <v>2.91</v>
      </c>
      <c r="V91" s="1312">
        <v>2.91</v>
      </c>
      <c r="W91" s="1312">
        <v>2.91</v>
      </c>
      <c r="X91" s="1312">
        <v>2.91</v>
      </c>
      <c r="Y91" s="1312">
        <v>2.91</v>
      </c>
      <c r="Z91" s="1312">
        <v>2.91</v>
      </c>
      <c r="AA91" s="1312">
        <v>2.91</v>
      </c>
      <c r="AB91" s="1312">
        <v>2.91</v>
      </c>
      <c r="AC91" s="1312">
        <v>2.91</v>
      </c>
      <c r="AD91" s="1312"/>
      <c r="AE91" s="1312">
        <v>2.91</v>
      </c>
      <c r="AF91" s="1312">
        <v>2.91</v>
      </c>
      <c r="AG91" s="1312">
        <v>2.91</v>
      </c>
      <c r="AH91" s="1312">
        <v>2.91</v>
      </c>
      <c r="AI91" s="1312">
        <v>2.91</v>
      </c>
      <c r="AJ91" s="1312">
        <v>2.91</v>
      </c>
      <c r="AK91" s="1312">
        <v>2.91</v>
      </c>
      <c r="AL91" s="1312">
        <v>2.91</v>
      </c>
      <c r="AM91" s="1312">
        <v>2.91</v>
      </c>
      <c r="AN91" s="1312"/>
      <c r="AO91" s="347"/>
    </row>
    <row r="92" spans="1:41" ht="15.75" thickBot="1" x14ac:dyDescent="0.3">
      <c r="A92" s="1707"/>
      <c r="B92" s="1314" t="e">
        <f t="shared" ref="B92" si="71">B91*(G92/B91)</f>
        <v>#VALUE!</v>
      </c>
      <c r="C92" s="1431" t="e">
        <f>B92-B91</f>
        <v>#VALUE!</v>
      </c>
      <c r="D92" s="1608"/>
      <c r="E92" s="1693"/>
      <c r="F92" s="1686"/>
      <c r="G92" s="1386" t="s">
        <v>345</v>
      </c>
      <c r="H92" s="1314">
        <f t="shared" si="70"/>
        <v>4.1280128956623683</v>
      </c>
      <c r="I92" s="1380">
        <f t="shared" ref="I92" si="72">IFERROR((H92-H91)/H91,0)</f>
        <v>4.2655868696534038E-2</v>
      </c>
      <c r="J92" s="1315">
        <v>7</v>
      </c>
      <c r="K92" s="1314">
        <v>4.22</v>
      </c>
      <c r="L92" s="1314">
        <v>2.5499999999999998</v>
      </c>
      <c r="M92" s="1314">
        <v>2.75</v>
      </c>
      <c r="N92" s="1314">
        <v>2.75</v>
      </c>
      <c r="O92" s="1314">
        <v>3.2</v>
      </c>
      <c r="P92" s="1314">
        <v>6.26</v>
      </c>
      <c r="Q92" s="1314">
        <v>4.7300000000000004</v>
      </c>
      <c r="R92" s="1314">
        <v>4.46</v>
      </c>
      <c r="S92" s="1314">
        <v>4.0999999999999996</v>
      </c>
      <c r="T92" s="1314">
        <v>2.25</v>
      </c>
      <c r="U92" s="1314">
        <v>2.06</v>
      </c>
      <c r="V92" s="1314">
        <v>2.06</v>
      </c>
      <c r="W92" s="1314">
        <v>3.76</v>
      </c>
      <c r="X92" s="1314">
        <v>3.15</v>
      </c>
      <c r="Y92" s="1314">
        <v>1.18</v>
      </c>
      <c r="Z92" s="1314">
        <v>5.0999999999999996</v>
      </c>
      <c r="AA92" s="1314">
        <v>5.16</v>
      </c>
      <c r="AB92" s="1314">
        <v>6.13</v>
      </c>
      <c r="AC92" s="1314">
        <v>6.13</v>
      </c>
      <c r="AD92" s="1314">
        <v>5.48</v>
      </c>
      <c r="AE92" s="1314">
        <v>5.8</v>
      </c>
      <c r="AF92" s="1314">
        <v>5.8</v>
      </c>
      <c r="AG92" s="1314"/>
      <c r="AH92" s="1314"/>
      <c r="AI92" s="1314"/>
      <c r="AJ92" s="1314"/>
      <c r="AK92" s="1314"/>
      <c r="AL92" s="1314"/>
      <c r="AM92" s="1314"/>
      <c r="AN92" s="1314"/>
      <c r="AO92" s="347"/>
    </row>
    <row r="93" spans="1:41" ht="15.75" thickBot="1" x14ac:dyDescent="0.3">
      <c r="A93" s="1685" t="s">
        <v>47</v>
      </c>
      <c r="B93" s="206">
        <f t="shared" si="17"/>
        <v>5.4998999999999976</v>
      </c>
      <c r="C93" s="1385"/>
      <c r="D93" s="1608"/>
      <c r="E93" s="1693"/>
      <c r="F93" s="1686" t="s">
        <v>47</v>
      </c>
      <c r="G93" s="1384" t="s">
        <v>346</v>
      </c>
      <c r="H93" s="206">
        <f>SUMIF($J$9:$AN$9,"&lt;="&amp;$E$7,J93:AN93)</f>
        <v>7.7599000000000071</v>
      </c>
      <c r="I93" s="1385"/>
      <c r="J93" s="1316">
        <f t="shared" ref="J93:AN94" si="73">+J91*J88/1000</f>
        <v>0.20370000000000002</v>
      </c>
      <c r="K93" s="1316">
        <f t="shared" si="73"/>
        <v>0.20370000000000002</v>
      </c>
      <c r="L93" s="1316">
        <f t="shared" si="73"/>
        <v>0.20370000000000002</v>
      </c>
      <c r="M93" s="1317">
        <f t="shared" si="73"/>
        <v>0.20370000000000002</v>
      </c>
      <c r="N93" s="1317">
        <f t="shared" si="73"/>
        <v>0.20370000000000002</v>
      </c>
      <c r="O93" s="1317">
        <f t="shared" si="73"/>
        <v>0.20370000000000002</v>
      </c>
      <c r="P93" s="1317">
        <f t="shared" si="73"/>
        <v>0.20370000000000002</v>
      </c>
      <c r="Q93" s="1317">
        <f t="shared" si="73"/>
        <v>0.20370000000000002</v>
      </c>
      <c r="R93" s="1318">
        <f t="shared" si="73"/>
        <v>0.20370000000000002</v>
      </c>
      <c r="S93" s="1317">
        <f t="shared" si="73"/>
        <v>0.20370000000000002</v>
      </c>
      <c r="T93" s="1317">
        <f t="shared" si="73"/>
        <v>0.20370000000000002</v>
      </c>
      <c r="U93" s="1317">
        <f t="shared" si="73"/>
        <v>0.20370000000000002</v>
      </c>
      <c r="V93" s="1317">
        <v>2.06</v>
      </c>
      <c r="W93" s="1317">
        <f t="shared" si="73"/>
        <v>0.20370000000000002</v>
      </c>
      <c r="X93" s="1317">
        <f t="shared" si="73"/>
        <v>0.20370000000000002</v>
      </c>
      <c r="Y93" s="1317">
        <f>+Y91*Y88/1000</f>
        <v>0.20370000000000002</v>
      </c>
      <c r="Z93" s="1317">
        <f t="shared" si="73"/>
        <v>0.20370000000000002</v>
      </c>
      <c r="AA93" s="1317">
        <f t="shared" si="73"/>
        <v>0.20370000000000002</v>
      </c>
      <c r="AB93" s="1317">
        <f t="shared" si="73"/>
        <v>0.20370000000000002</v>
      </c>
      <c r="AC93" s="1317">
        <v>0.2</v>
      </c>
      <c r="AD93" s="1317">
        <f t="shared" si="73"/>
        <v>0</v>
      </c>
      <c r="AE93" s="1317">
        <f t="shared" si="73"/>
        <v>0.20370000000000002</v>
      </c>
      <c r="AF93" s="1317">
        <f t="shared" si="73"/>
        <v>0.20370000000000002</v>
      </c>
      <c r="AG93" s="1317">
        <f t="shared" si="73"/>
        <v>0.20370000000000002</v>
      </c>
      <c r="AH93" s="1317">
        <f t="shared" si="73"/>
        <v>0.20370000000000002</v>
      </c>
      <c r="AI93" s="1317">
        <f t="shared" si="73"/>
        <v>0.20370000000000002</v>
      </c>
      <c r="AJ93" s="1317">
        <f t="shared" si="73"/>
        <v>0.20370000000000002</v>
      </c>
      <c r="AK93" s="1317">
        <f t="shared" si="73"/>
        <v>0.20370000000000002</v>
      </c>
      <c r="AL93" s="1317">
        <f t="shared" si="73"/>
        <v>0.20370000000000002</v>
      </c>
      <c r="AM93" s="1317">
        <f t="shared" si="73"/>
        <v>0.20370000000000002</v>
      </c>
      <c r="AN93" s="1319">
        <f t="shared" si="73"/>
        <v>0</v>
      </c>
      <c r="AO93" s="705"/>
    </row>
    <row r="94" spans="1:41" ht="15.75" thickBot="1" x14ac:dyDescent="0.3">
      <c r="A94" s="1708"/>
      <c r="B94" s="1321" t="e">
        <f t="shared" si="17"/>
        <v>#VALUE!</v>
      </c>
      <c r="C94" s="1432" t="e">
        <f>B94-B93</f>
        <v>#VALUE!</v>
      </c>
      <c r="D94" s="1609"/>
      <c r="E94" s="1694"/>
      <c r="F94" s="1687"/>
      <c r="G94" s="1387" t="s">
        <v>347</v>
      </c>
      <c r="H94" s="1321">
        <f>SUMIF($J$9:$AN$9,"&lt;="&amp;$E$7,J94:AN94)</f>
        <v>7.0423900000000001</v>
      </c>
      <c r="I94" s="1388">
        <f t="shared" ref="I94" si="74">IFERROR((H94-H93)/H93,0)</f>
        <v>-9.2463820410057643E-2</v>
      </c>
      <c r="J94" s="1323">
        <f t="shared" si="73"/>
        <v>0.49</v>
      </c>
      <c r="K94" s="1323">
        <f>+K92*K89/1000</f>
        <v>0.2954</v>
      </c>
      <c r="L94" s="1321">
        <f t="shared" si="73"/>
        <v>0.18359999999999999</v>
      </c>
      <c r="M94" s="1321">
        <f t="shared" si="73"/>
        <v>0.1925</v>
      </c>
      <c r="N94" s="1321">
        <f t="shared" si="73"/>
        <v>0.19525000000000001</v>
      </c>
      <c r="O94" s="1321">
        <f t="shared" si="73"/>
        <v>0.23680000000000001</v>
      </c>
      <c r="P94" s="1321">
        <f t="shared" si="73"/>
        <v>0.46323999999999999</v>
      </c>
      <c r="Q94" s="1321">
        <f t="shared" si="73"/>
        <v>0.34056000000000008</v>
      </c>
      <c r="R94" s="1321">
        <f t="shared" si="73"/>
        <v>0.35680000000000001</v>
      </c>
      <c r="S94" s="1321">
        <f t="shared" si="73"/>
        <v>0.43459999999999999</v>
      </c>
      <c r="T94" s="1321">
        <f t="shared" si="73"/>
        <v>0.23849999999999999</v>
      </c>
      <c r="U94" s="1321">
        <f t="shared" si="73"/>
        <v>0.15656</v>
      </c>
      <c r="V94" s="1321">
        <f t="shared" si="73"/>
        <v>0.14420000000000002</v>
      </c>
      <c r="W94" s="1321">
        <f t="shared" si="73"/>
        <v>0.27071999999999996</v>
      </c>
      <c r="X94" s="1321">
        <f t="shared" si="73"/>
        <v>0.22679999999999997</v>
      </c>
      <c r="Y94" s="1321">
        <f>+Y92*Y89/1000</f>
        <v>8.2599999999999993E-2</v>
      </c>
      <c r="Z94" s="1321">
        <f t="shared" si="73"/>
        <v>0.38759999999999994</v>
      </c>
      <c r="AA94" s="1321">
        <f t="shared" si="73"/>
        <v>0.32507999999999998</v>
      </c>
      <c r="AB94" s="1321">
        <f t="shared" si="73"/>
        <v>0.47814000000000001</v>
      </c>
      <c r="AC94" s="1321">
        <f t="shared" si="73"/>
        <v>0.44136000000000003</v>
      </c>
      <c r="AD94" s="1321">
        <f t="shared" si="73"/>
        <v>0.19728000000000004</v>
      </c>
      <c r="AE94" s="1321">
        <f t="shared" si="73"/>
        <v>0.49880000000000002</v>
      </c>
      <c r="AF94" s="1321">
        <f t="shared" si="73"/>
        <v>0.40600000000000003</v>
      </c>
      <c r="AG94" s="1321">
        <f t="shared" si="73"/>
        <v>0</v>
      </c>
      <c r="AH94" s="1321">
        <f t="shared" si="73"/>
        <v>0</v>
      </c>
      <c r="AI94" s="1321">
        <f t="shared" si="73"/>
        <v>0</v>
      </c>
      <c r="AJ94" s="1321">
        <f t="shared" si="73"/>
        <v>0</v>
      </c>
      <c r="AK94" s="1321">
        <f t="shared" si="73"/>
        <v>0</v>
      </c>
      <c r="AL94" s="1321">
        <f t="shared" si="73"/>
        <v>0</v>
      </c>
      <c r="AM94" s="1321">
        <f t="shared" si="73"/>
        <v>0</v>
      </c>
      <c r="AN94" s="1321">
        <f t="shared" si="73"/>
        <v>0</v>
      </c>
      <c r="AO94" s="706"/>
    </row>
    <row r="95" spans="1:41" ht="15.75" thickBot="1" x14ac:dyDescent="0.3">
      <c r="A95" s="1684" t="s">
        <v>340</v>
      </c>
      <c r="B95" s="196">
        <f t="shared" ref="B95" si="75">SUM(I95:AL95)</f>
        <v>1890</v>
      </c>
      <c r="C95" s="197"/>
      <c r="D95" s="1608">
        <v>1</v>
      </c>
      <c r="E95" s="1692" t="str">
        <f>[13]Breaking.!A69</f>
        <v>6L_W8 STOPE</v>
      </c>
      <c r="F95" s="1684" t="s">
        <v>340</v>
      </c>
      <c r="G95" s="293" t="s">
        <v>341</v>
      </c>
      <c r="H95" s="196">
        <f>SUMIF($J$9:$AN$9,"&lt;="&amp;$E$7,J95:AN95)</f>
        <v>1960</v>
      </c>
      <c r="I95" s="197"/>
      <c r="J95" s="198">
        <f>[13]Breaking.!D69</f>
        <v>70</v>
      </c>
      <c r="K95" s="198">
        <f>[13]Breaking.!E69</f>
        <v>70</v>
      </c>
      <c r="L95" s="198">
        <f>[13]Breaking.!F69</f>
        <v>70</v>
      </c>
      <c r="M95" s="198">
        <f>[13]Breaking.!G69</f>
        <v>70</v>
      </c>
      <c r="N95" s="198">
        <f>[13]Breaking.!H69</f>
        <v>70</v>
      </c>
      <c r="O95" s="198">
        <f>[13]Breaking.!I69</f>
        <v>70</v>
      </c>
      <c r="P95" s="198">
        <f>[13]Breaking.!J69</f>
        <v>70</v>
      </c>
      <c r="Q95" s="198">
        <f>[13]Breaking.!K69</f>
        <v>70</v>
      </c>
      <c r="R95" s="198">
        <f>[13]Breaking.!L69</f>
        <v>70</v>
      </c>
      <c r="S95" s="198">
        <f>[13]Breaking.!M69</f>
        <v>70</v>
      </c>
      <c r="T95" s="198">
        <f>[13]Breaking.!N69</f>
        <v>70</v>
      </c>
      <c r="U95" s="198">
        <f>[13]Breaking.!O69</f>
        <v>70</v>
      </c>
      <c r="V95" s="198">
        <f>[13]Breaking.!P69</f>
        <v>70</v>
      </c>
      <c r="W95" s="198">
        <f>[13]Breaking.!Q69</f>
        <v>70</v>
      </c>
      <c r="X95" s="198">
        <f>[13]Breaking.!R69</f>
        <v>70</v>
      </c>
      <c r="Y95" s="198">
        <f>[13]Breaking.!S69</f>
        <v>70</v>
      </c>
      <c r="Z95" s="198">
        <f>[13]Breaking.!T69</f>
        <v>70</v>
      </c>
      <c r="AA95" s="198">
        <f>[13]Breaking.!U69</f>
        <v>70</v>
      </c>
      <c r="AB95" s="198">
        <f>[13]Breaking.!V69</f>
        <v>70</v>
      </c>
      <c r="AC95" s="198">
        <f>[13]Breaking.!W69</f>
        <v>0</v>
      </c>
      <c r="AD95" s="198">
        <f>[13]Breaking.!X69</f>
        <v>0</v>
      </c>
      <c r="AE95" s="198">
        <f>[13]Breaking.!Y69</f>
        <v>70</v>
      </c>
      <c r="AF95" s="198">
        <f>[13]Breaking.!Z69</f>
        <v>70</v>
      </c>
      <c r="AG95" s="198">
        <f>[13]Breaking.!AA69</f>
        <v>70</v>
      </c>
      <c r="AH95" s="198">
        <f>[13]Breaking.!AB69</f>
        <v>70</v>
      </c>
      <c r="AI95" s="198">
        <f>[13]Breaking.!AC69</f>
        <v>70</v>
      </c>
      <c r="AJ95" s="198">
        <f>[13]Breaking.!AD69</f>
        <v>70</v>
      </c>
      <c r="AK95" s="198">
        <f>[13]Breaking.!AE69</f>
        <v>70</v>
      </c>
      <c r="AL95" s="198">
        <f>[13]Breaking.!AF69</f>
        <v>70</v>
      </c>
      <c r="AM95" s="198">
        <f>[13]Breaking.!AG69</f>
        <v>70</v>
      </c>
      <c r="AN95" s="198">
        <f>[13]Breaking.!AH69</f>
        <v>0</v>
      </c>
      <c r="AO95" s="845"/>
    </row>
    <row r="96" spans="1:41" ht="15.75" thickBot="1" x14ac:dyDescent="0.3">
      <c r="A96" s="1688"/>
      <c r="B96" s="1303">
        <f t="shared" ref="B96:B103" si="76">(B95*H96)+B95</f>
        <v>2215080</v>
      </c>
      <c r="C96" s="1430">
        <f>B96-B95</f>
        <v>2213190</v>
      </c>
      <c r="D96" s="1608"/>
      <c r="E96" s="1693"/>
      <c r="F96" s="1684"/>
      <c r="G96" s="1379" t="s">
        <v>342</v>
      </c>
      <c r="H96" s="1303">
        <f>SUMIF($J$9:$AN$9,"&lt;="&amp;$E$7,J96:AN96)</f>
        <v>1171</v>
      </c>
      <c r="I96" s="1380">
        <f t="shared" ref="I96" si="77">IFERROR((H96-H95)/H95,0)</f>
        <v>-0.40255102040816326</v>
      </c>
      <c r="J96" s="1305">
        <v>37</v>
      </c>
      <c r="K96" s="1303">
        <v>36</v>
      </c>
      <c r="L96" s="1303">
        <v>36</v>
      </c>
      <c r="M96" s="1303">
        <v>37</v>
      </c>
      <c r="N96" s="1303">
        <v>39</v>
      </c>
      <c r="O96" s="1303">
        <v>38</v>
      </c>
      <c r="P96" s="1303">
        <v>37</v>
      </c>
      <c r="Q96" s="1303">
        <v>36</v>
      </c>
      <c r="R96" s="1303">
        <v>80</v>
      </c>
      <c r="S96" s="1303"/>
      <c r="T96" s="1303">
        <v>38</v>
      </c>
      <c r="U96" s="1303">
        <v>74</v>
      </c>
      <c r="V96" s="1303">
        <v>71</v>
      </c>
      <c r="W96" s="1303">
        <v>70</v>
      </c>
      <c r="X96" s="1303">
        <v>76</v>
      </c>
      <c r="Y96" s="1303">
        <v>70</v>
      </c>
      <c r="Z96" s="1303">
        <v>76</v>
      </c>
      <c r="AA96" s="1303">
        <v>70</v>
      </c>
      <c r="AB96" s="1303">
        <v>33</v>
      </c>
      <c r="AC96" s="1303">
        <v>39</v>
      </c>
      <c r="AD96" s="1303">
        <v>28</v>
      </c>
      <c r="AE96" s="1303">
        <v>80</v>
      </c>
      <c r="AF96" s="1303">
        <v>70</v>
      </c>
      <c r="AG96" s="1303"/>
      <c r="AH96" s="1303"/>
      <c r="AI96" s="1303"/>
      <c r="AJ96" s="1303"/>
      <c r="AK96" s="1303"/>
      <c r="AL96" s="1303"/>
      <c r="AM96" s="1303"/>
      <c r="AN96" s="1303"/>
      <c r="AO96" s="347"/>
    </row>
    <row r="97" spans="1:41" ht="15.75" thickBot="1" x14ac:dyDescent="0.3">
      <c r="A97" s="1688"/>
      <c r="B97" s="1382"/>
      <c r="C97" s="1383"/>
      <c r="D97" s="1608"/>
      <c r="E97" s="1693"/>
      <c r="F97" s="1684"/>
      <c r="G97" s="1389" t="s">
        <v>312</v>
      </c>
      <c r="H97" s="1390"/>
      <c r="I97" s="1391"/>
      <c r="J97" s="203"/>
      <c r="K97" s="203"/>
      <c r="L97" s="203"/>
      <c r="M97" s="203"/>
      <c r="N97" s="203"/>
      <c r="O97" s="203"/>
      <c r="P97" s="203"/>
      <c r="Q97" s="203"/>
      <c r="R97" s="204"/>
      <c r="S97" s="203"/>
      <c r="T97" s="203"/>
      <c r="U97" s="203"/>
      <c r="V97" s="203"/>
      <c r="W97" s="203"/>
      <c r="X97" s="203"/>
      <c r="Y97" s="203"/>
      <c r="Z97" s="203"/>
      <c r="AA97" s="203"/>
      <c r="AB97" s="203"/>
      <c r="AC97" s="203"/>
      <c r="AD97" s="203"/>
      <c r="AE97" s="203"/>
      <c r="AF97" s="203"/>
      <c r="AG97" s="203"/>
      <c r="AH97" s="203"/>
      <c r="AI97" s="203"/>
      <c r="AJ97" s="203"/>
      <c r="AK97" s="203"/>
      <c r="AL97" s="203"/>
      <c r="AM97" s="203"/>
      <c r="AN97" s="205"/>
      <c r="AO97" s="846"/>
    </row>
    <row r="98" spans="1:41" ht="15.75" thickBot="1" x14ac:dyDescent="0.3">
      <c r="A98" s="1685" t="s">
        <v>343</v>
      </c>
      <c r="B98" s="1310">
        <f t="shared" si="12"/>
        <v>2.8400000000000012</v>
      </c>
      <c r="C98" s="1385"/>
      <c r="D98" s="1608"/>
      <c r="E98" s="1693"/>
      <c r="F98" s="1685" t="s">
        <v>343</v>
      </c>
      <c r="G98" s="1384" t="s">
        <v>344</v>
      </c>
      <c r="H98" s="1310">
        <f t="shared" ref="H98:H99" si="78">IFERROR(H100*1000/H95,0)</f>
        <v>2.9420408163265308</v>
      </c>
      <c r="I98" s="1385"/>
      <c r="J98" s="1312">
        <v>2.84</v>
      </c>
      <c r="K98" s="1312">
        <v>2.84</v>
      </c>
      <c r="L98" s="1312">
        <v>2.84</v>
      </c>
      <c r="M98" s="1312">
        <v>2.84</v>
      </c>
      <c r="N98" s="1312">
        <v>2.84</v>
      </c>
      <c r="O98" s="1312">
        <v>2.84</v>
      </c>
      <c r="P98" s="1312">
        <v>2.84</v>
      </c>
      <c r="Q98" s="1312">
        <v>2.84</v>
      </c>
      <c r="R98" s="1312">
        <v>2.84</v>
      </c>
      <c r="S98" s="1312">
        <v>2.84</v>
      </c>
      <c r="T98" s="1312">
        <v>2.84</v>
      </c>
      <c r="U98" s="1312">
        <v>2.84</v>
      </c>
      <c r="V98" s="1312">
        <v>2.84</v>
      </c>
      <c r="W98" s="1312">
        <v>2.84</v>
      </c>
      <c r="X98" s="1312">
        <v>2.84</v>
      </c>
      <c r="Y98" s="1312">
        <v>2.84</v>
      </c>
      <c r="Z98" s="1312">
        <v>2.84</v>
      </c>
      <c r="AA98" s="1312">
        <v>2.84</v>
      </c>
      <c r="AB98" s="1312">
        <v>2.84</v>
      </c>
      <c r="AC98" s="1312">
        <v>2.84</v>
      </c>
      <c r="AD98" s="1312"/>
      <c r="AE98" s="1312">
        <v>2.84</v>
      </c>
      <c r="AF98" s="1312">
        <v>2.84</v>
      </c>
      <c r="AG98" s="1312">
        <v>2.84</v>
      </c>
      <c r="AH98" s="1312">
        <v>2.84</v>
      </c>
      <c r="AI98" s="1312">
        <v>2.84</v>
      </c>
      <c r="AJ98" s="1312">
        <v>2.84</v>
      </c>
      <c r="AK98" s="1312">
        <v>2.84</v>
      </c>
      <c r="AL98" s="1312">
        <v>2.84</v>
      </c>
      <c r="AM98" s="1312">
        <v>2.84</v>
      </c>
      <c r="AN98" s="1312"/>
      <c r="AO98" s="347"/>
    </row>
    <row r="99" spans="1:41" ht="15.75" thickBot="1" x14ac:dyDescent="0.3">
      <c r="A99" s="1707"/>
      <c r="B99" s="1314" t="e">
        <f t="shared" ref="B99" si="79">B98*(G99/B98)</f>
        <v>#VALUE!</v>
      </c>
      <c r="C99" s="1431" t="e">
        <f>B99-B98</f>
        <v>#VALUE!</v>
      </c>
      <c r="D99" s="1608"/>
      <c r="E99" s="1693"/>
      <c r="F99" s="1685"/>
      <c r="G99" s="1386" t="s">
        <v>345</v>
      </c>
      <c r="H99" s="1314">
        <f t="shared" si="78"/>
        <v>3.4883176771989759</v>
      </c>
      <c r="I99" s="1380">
        <f t="shared" ref="I99" si="80">IFERROR((H99-H98)/H98,0)</f>
        <v>0.18567956564060634</v>
      </c>
      <c r="J99" s="1315">
        <v>5.78</v>
      </c>
      <c r="K99" s="1314">
        <v>3.98</v>
      </c>
      <c r="L99" s="1314">
        <v>4.2300000000000004</v>
      </c>
      <c r="M99" s="1314">
        <v>3.58</v>
      </c>
      <c r="N99" s="1314">
        <v>2.77</v>
      </c>
      <c r="O99" s="1314">
        <v>2.29</v>
      </c>
      <c r="P99" s="1314">
        <v>5.85</v>
      </c>
      <c r="Q99" s="1314">
        <v>5.85</v>
      </c>
      <c r="R99" s="1314">
        <v>3.22</v>
      </c>
      <c r="S99" s="1314">
        <v>4.59</v>
      </c>
      <c r="T99" s="1314">
        <v>4.59</v>
      </c>
      <c r="U99" s="1314">
        <v>2.14</v>
      </c>
      <c r="V99" s="1314">
        <v>2.14</v>
      </c>
      <c r="W99" s="1314">
        <v>3.53</v>
      </c>
      <c r="X99" s="1314">
        <v>3.93</v>
      </c>
      <c r="Y99" s="1314">
        <v>3.9</v>
      </c>
      <c r="Z99" s="1314">
        <v>7</v>
      </c>
      <c r="AA99" s="1314">
        <v>3.57</v>
      </c>
      <c r="AB99" s="1314">
        <v>1.7</v>
      </c>
      <c r="AC99" s="1314">
        <v>1.7</v>
      </c>
      <c r="AD99" s="1314">
        <v>3.23</v>
      </c>
      <c r="AE99" s="1314">
        <v>1.79</v>
      </c>
      <c r="AF99" s="1314">
        <v>1.74</v>
      </c>
      <c r="AG99" s="1314"/>
      <c r="AH99" s="1314"/>
      <c r="AI99" s="1314"/>
      <c r="AJ99" s="1314"/>
      <c r="AK99" s="1314"/>
      <c r="AL99" s="1314"/>
      <c r="AM99" s="1314"/>
      <c r="AN99" s="1314"/>
      <c r="AO99" s="347"/>
    </row>
    <row r="100" spans="1:41" ht="15.75" thickBot="1" x14ac:dyDescent="0.3">
      <c r="A100" s="1685" t="s">
        <v>47</v>
      </c>
      <c r="B100" s="206">
        <f t="shared" si="17"/>
        <v>5.3676000000000021</v>
      </c>
      <c r="C100" s="1385"/>
      <c r="D100" s="1608"/>
      <c r="E100" s="1693"/>
      <c r="F100" s="1685" t="s">
        <v>47</v>
      </c>
      <c r="G100" s="1384" t="s">
        <v>346</v>
      </c>
      <c r="H100" s="206">
        <f>SUMIF($J$9:$AN$9,"&lt;="&amp;$E$7,J100:AN100)</f>
        <v>5.7664000000000009</v>
      </c>
      <c r="I100" s="1385"/>
      <c r="J100" s="1316">
        <f t="shared" ref="J100:AN101" si="81">+J98*J95/1000</f>
        <v>0.19879999999999998</v>
      </c>
      <c r="K100" s="1316">
        <f t="shared" si="81"/>
        <v>0.19879999999999998</v>
      </c>
      <c r="L100" s="1316">
        <f t="shared" si="81"/>
        <v>0.19879999999999998</v>
      </c>
      <c r="M100" s="1317">
        <f t="shared" si="81"/>
        <v>0.19879999999999998</v>
      </c>
      <c r="N100" s="1317">
        <f t="shared" si="81"/>
        <v>0.19879999999999998</v>
      </c>
      <c r="O100" s="1317">
        <f t="shared" si="81"/>
        <v>0.19879999999999998</v>
      </c>
      <c r="P100" s="1317">
        <f t="shared" si="81"/>
        <v>0.19879999999999998</v>
      </c>
      <c r="Q100" s="1317">
        <f t="shared" si="81"/>
        <v>0.19879999999999998</v>
      </c>
      <c r="R100" s="1318">
        <f t="shared" si="81"/>
        <v>0.19879999999999998</v>
      </c>
      <c r="S100" s="1317">
        <f t="shared" si="81"/>
        <v>0.19879999999999998</v>
      </c>
      <c r="T100" s="1317">
        <f t="shared" si="81"/>
        <v>0.19879999999999998</v>
      </c>
      <c r="U100" s="1317">
        <f t="shared" si="81"/>
        <v>0.19879999999999998</v>
      </c>
      <c r="V100" s="1317">
        <f t="shared" si="81"/>
        <v>0.19879999999999998</v>
      </c>
      <c r="W100" s="1317">
        <f t="shared" si="81"/>
        <v>0.19879999999999998</v>
      </c>
      <c r="X100" s="1317">
        <f t="shared" si="81"/>
        <v>0.19879999999999998</v>
      </c>
      <c r="Y100" s="1317">
        <f>+Y98*Y95/1000</f>
        <v>0.19879999999999998</v>
      </c>
      <c r="Z100" s="1317">
        <f t="shared" si="81"/>
        <v>0.19879999999999998</v>
      </c>
      <c r="AA100" s="1317">
        <f t="shared" si="81"/>
        <v>0.19879999999999998</v>
      </c>
      <c r="AB100" s="1317">
        <f t="shared" si="81"/>
        <v>0.19879999999999998</v>
      </c>
      <c r="AC100" s="1317">
        <v>0.2</v>
      </c>
      <c r="AD100" s="1317">
        <f t="shared" si="81"/>
        <v>0</v>
      </c>
      <c r="AE100" s="1317">
        <f t="shared" si="81"/>
        <v>0.19879999999999998</v>
      </c>
      <c r="AF100" s="1317">
        <f t="shared" si="81"/>
        <v>0.19879999999999998</v>
      </c>
      <c r="AG100" s="1317">
        <f t="shared" si="81"/>
        <v>0.19879999999999998</v>
      </c>
      <c r="AH100" s="1317">
        <f t="shared" si="81"/>
        <v>0.19879999999999998</v>
      </c>
      <c r="AI100" s="1317">
        <f t="shared" si="81"/>
        <v>0.19879999999999998</v>
      </c>
      <c r="AJ100" s="1317">
        <f t="shared" si="81"/>
        <v>0.19879999999999998</v>
      </c>
      <c r="AK100" s="1317">
        <f t="shared" si="81"/>
        <v>0.19879999999999998</v>
      </c>
      <c r="AL100" s="1317">
        <f t="shared" si="81"/>
        <v>0.19879999999999998</v>
      </c>
      <c r="AM100" s="1317">
        <f t="shared" si="81"/>
        <v>0.19879999999999998</v>
      </c>
      <c r="AN100" s="1319">
        <f t="shared" si="81"/>
        <v>0</v>
      </c>
      <c r="AO100" s="705"/>
    </row>
    <row r="101" spans="1:41" ht="15.75" thickBot="1" x14ac:dyDescent="0.3">
      <c r="A101" s="1708"/>
      <c r="B101" s="1321" t="e">
        <f t="shared" ref="B101:B108" si="82">+B99*B96/1000</f>
        <v>#VALUE!</v>
      </c>
      <c r="C101" s="1432" t="e">
        <f>B101-B100</f>
        <v>#VALUE!</v>
      </c>
      <c r="D101" s="1609"/>
      <c r="E101" s="1694"/>
      <c r="F101" s="1695"/>
      <c r="G101" s="1387" t="s">
        <v>347</v>
      </c>
      <c r="H101" s="1321">
        <f>SUMIF($J$9:$AN$9,"&lt;="&amp;$E$7,J101:AN101)</f>
        <v>4.0848200000000006</v>
      </c>
      <c r="I101" s="1388">
        <f t="shared" ref="I101" si="83">IFERROR((H101-H100)/H100,0)</f>
        <v>-0.29161695338512766</v>
      </c>
      <c r="J101" s="1323">
        <f t="shared" si="81"/>
        <v>0.21386000000000002</v>
      </c>
      <c r="K101" s="1321">
        <f t="shared" si="81"/>
        <v>0.14327999999999999</v>
      </c>
      <c r="L101" s="1321">
        <f t="shared" si="81"/>
        <v>0.15228000000000003</v>
      </c>
      <c r="M101" s="1321">
        <f t="shared" si="81"/>
        <v>0.13245999999999999</v>
      </c>
      <c r="N101" s="1321">
        <f t="shared" si="81"/>
        <v>0.10803</v>
      </c>
      <c r="O101" s="1321">
        <f t="shared" si="81"/>
        <v>8.702E-2</v>
      </c>
      <c r="P101" s="1321">
        <f t="shared" si="81"/>
        <v>0.21644999999999998</v>
      </c>
      <c r="Q101" s="1321">
        <f t="shared" si="81"/>
        <v>0.21059999999999998</v>
      </c>
      <c r="R101" s="1321">
        <f t="shared" si="81"/>
        <v>0.2576</v>
      </c>
      <c r="S101" s="1321">
        <f t="shared" si="81"/>
        <v>0</v>
      </c>
      <c r="T101" s="1321">
        <f t="shared" si="81"/>
        <v>0.17441999999999999</v>
      </c>
      <c r="U101" s="1321">
        <f t="shared" si="81"/>
        <v>0.15836</v>
      </c>
      <c r="V101" s="1321">
        <f t="shared" si="81"/>
        <v>0.15193999999999999</v>
      </c>
      <c r="W101" s="1321">
        <f t="shared" si="81"/>
        <v>0.24709999999999999</v>
      </c>
      <c r="X101" s="1321">
        <f t="shared" si="81"/>
        <v>0.29868</v>
      </c>
      <c r="Y101" s="1321">
        <f>+Y99*Y96/1000</f>
        <v>0.27300000000000002</v>
      </c>
      <c r="Z101" s="1321">
        <f t="shared" si="81"/>
        <v>0.53200000000000003</v>
      </c>
      <c r="AA101" s="1321">
        <f t="shared" si="81"/>
        <v>0.24989999999999998</v>
      </c>
      <c r="AB101" s="1321">
        <f t="shared" si="81"/>
        <v>5.6100000000000004E-2</v>
      </c>
      <c r="AC101" s="1321">
        <f t="shared" si="81"/>
        <v>6.6299999999999998E-2</v>
      </c>
      <c r="AD101" s="1321">
        <f t="shared" si="81"/>
        <v>9.0439999999999993E-2</v>
      </c>
      <c r="AE101" s="1321">
        <f t="shared" si="81"/>
        <v>0.14319999999999999</v>
      </c>
      <c r="AF101" s="1321">
        <f>+AF99*AF96/1000</f>
        <v>0.12179999999999999</v>
      </c>
      <c r="AG101" s="1321">
        <f t="shared" si="81"/>
        <v>0</v>
      </c>
      <c r="AH101" s="1321">
        <f t="shared" si="81"/>
        <v>0</v>
      </c>
      <c r="AI101" s="1321">
        <f t="shared" si="81"/>
        <v>0</v>
      </c>
      <c r="AJ101" s="1321">
        <f t="shared" si="81"/>
        <v>0</v>
      </c>
      <c r="AK101" s="1321">
        <f t="shared" si="81"/>
        <v>0</v>
      </c>
      <c r="AL101" s="1321">
        <f t="shared" si="81"/>
        <v>0</v>
      </c>
      <c r="AM101" s="1321">
        <f t="shared" si="81"/>
        <v>0</v>
      </c>
      <c r="AN101" s="1321">
        <f t="shared" si="81"/>
        <v>0</v>
      </c>
      <c r="AO101" s="706"/>
    </row>
    <row r="102" spans="1:41" ht="15.75" thickBot="1" x14ac:dyDescent="0.3">
      <c r="A102" s="1684" t="s">
        <v>340</v>
      </c>
      <c r="B102" s="196">
        <f t="shared" ref="B102" si="84">SUM(I102:AL102)</f>
        <v>3780</v>
      </c>
      <c r="C102" s="197"/>
      <c r="D102" s="1608">
        <v>1</v>
      </c>
      <c r="E102" s="1689" t="str">
        <f>[13]Breaking.!A71</f>
        <v>6L_W9 STOPE</v>
      </c>
      <c r="F102" s="1684" t="s">
        <v>340</v>
      </c>
      <c r="G102" s="293" t="s">
        <v>341</v>
      </c>
      <c r="H102" s="196">
        <f>SUMIF($J$9:$AN$9,"&lt;="&amp;$E$7,J102:AN102)</f>
        <v>3920</v>
      </c>
      <c r="I102" s="197"/>
      <c r="J102" s="198">
        <f>[13]Breaking.!D71</f>
        <v>140</v>
      </c>
      <c r="K102" s="198">
        <f>[13]Breaking.!E71</f>
        <v>140</v>
      </c>
      <c r="L102" s="198">
        <f>[13]Breaking.!F71</f>
        <v>140</v>
      </c>
      <c r="M102" s="198">
        <f>[13]Breaking.!G71</f>
        <v>140</v>
      </c>
      <c r="N102" s="198">
        <f>[13]Breaking.!H71</f>
        <v>140</v>
      </c>
      <c r="O102" s="198">
        <f>[13]Breaking.!I71</f>
        <v>140</v>
      </c>
      <c r="P102" s="198">
        <f>[13]Breaking.!J71</f>
        <v>140</v>
      </c>
      <c r="Q102" s="198">
        <f>[13]Breaking.!K71</f>
        <v>140</v>
      </c>
      <c r="R102" s="198">
        <f>[13]Breaking.!L71</f>
        <v>140</v>
      </c>
      <c r="S102" s="198">
        <f>[13]Breaking.!M71</f>
        <v>140</v>
      </c>
      <c r="T102" s="198">
        <f>[13]Breaking.!N71</f>
        <v>140</v>
      </c>
      <c r="U102" s="198">
        <f>[13]Breaking.!O71</f>
        <v>140</v>
      </c>
      <c r="V102" s="198">
        <f>[13]Breaking.!P71</f>
        <v>140</v>
      </c>
      <c r="W102" s="198">
        <f>[13]Breaking.!Q71</f>
        <v>140</v>
      </c>
      <c r="X102" s="198">
        <f>[13]Breaking.!R71</f>
        <v>140</v>
      </c>
      <c r="Y102" s="198">
        <f>[13]Breaking.!S71</f>
        <v>140</v>
      </c>
      <c r="Z102" s="198">
        <f>[13]Breaking.!T71</f>
        <v>140</v>
      </c>
      <c r="AA102" s="198">
        <f>[13]Breaking.!U71</f>
        <v>140</v>
      </c>
      <c r="AB102" s="198">
        <f>[13]Breaking.!V71</f>
        <v>140</v>
      </c>
      <c r="AC102" s="198">
        <f>[13]Breaking.!W71</f>
        <v>0</v>
      </c>
      <c r="AD102" s="198">
        <f>[13]Breaking.!X71</f>
        <v>0</v>
      </c>
      <c r="AE102" s="198">
        <f>[13]Breaking.!Y71</f>
        <v>140</v>
      </c>
      <c r="AF102" s="198">
        <f>[13]Breaking.!Z71</f>
        <v>140</v>
      </c>
      <c r="AG102" s="198">
        <f>[13]Breaking.!AA71</f>
        <v>140</v>
      </c>
      <c r="AH102" s="198">
        <f>[13]Breaking.!AB71</f>
        <v>140</v>
      </c>
      <c r="AI102" s="198">
        <f>[13]Breaking.!AC71</f>
        <v>140</v>
      </c>
      <c r="AJ102" s="198">
        <f>[13]Breaking.!AD71</f>
        <v>140</v>
      </c>
      <c r="AK102" s="198">
        <f>[13]Breaking.!AE71</f>
        <v>140</v>
      </c>
      <c r="AL102" s="198">
        <f>[13]Breaking.!AF71</f>
        <v>140</v>
      </c>
      <c r="AM102" s="198">
        <f>[13]Breaking.!AG71</f>
        <v>140</v>
      </c>
      <c r="AN102" s="198">
        <f>[13]Breaking.!AH71</f>
        <v>0</v>
      </c>
      <c r="AO102" s="845"/>
    </row>
    <row r="103" spans="1:41" ht="15.75" thickBot="1" x14ac:dyDescent="0.3">
      <c r="A103" s="1688"/>
      <c r="B103" s="1303">
        <f t="shared" si="76"/>
        <v>10228680</v>
      </c>
      <c r="C103" s="1430">
        <f>B103-B102</f>
        <v>10224900</v>
      </c>
      <c r="D103" s="1608"/>
      <c r="E103" s="1690"/>
      <c r="F103" s="1684"/>
      <c r="G103" s="1379" t="s">
        <v>342</v>
      </c>
      <c r="H103" s="1303">
        <f>SUMIF($J$9:$AN$9,"&lt;="&amp;$E$7,J103:AN103)</f>
        <v>2705</v>
      </c>
      <c r="I103" s="1380">
        <f t="shared" ref="I103" si="85">IFERROR((H103-H102)/H102,0)</f>
        <v>-0.30994897959183676</v>
      </c>
      <c r="J103" s="1305">
        <v>145</v>
      </c>
      <c r="K103" s="1303">
        <v>140</v>
      </c>
      <c r="L103" s="1303">
        <v>146</v>
      </c>
      <c r="M103" s="1303">
        <v>141</v>
      </c>
      <c r="N103" s="1303">
        <v>144</v>
      </c>
      <c r="O103" s="1303">
        <v>147</v>
      </c>
      <c r="P103" s="1303">
        <v>140</v>
      </c>
      <c r="Q103" s="1303">
        <f>113+16+5+7</f>
        <v>141</v>
      </c>
      <c r="R103" s="1303">
        <v>146</v>
      </c>
      <c r="S103" s="1303"/>
      <c r="T103" s="1303">
        <v>144</v>
      </c>
      <c r="U103" s="1303">
        <v>157</v>
      </c>
      <c r="V103" s="1303">
        <v>141</v>
      </c>
      <c r="W103" s="1303">
        <v>142</v>
      </c>
      <c r="X103" s="1303">
        <v>140</v>
      </c>
      <c r="Y103" s="1303">
        <v>126</v>
      </c>
      <c r="Z103" s="1303">
        <f>69+36+35</f>
        <v>140</v>
      </c>
      <c r="AA103" s="1303">
        <f>104+32</f>
        <v>136</v>
      </c>
      <c r="AB103" s="1303">
        <v>77</v>
      </c>
      <c r="AC103" s="1303">
        <v>75</v>
      </c>
      <c r="AD103" s="1303">
        <v>25</v>
      </c>
      <c r="AE103" s="1303">
        <v>76</v>
      </c>
      <c r="AF103" s="1303">
        <v>36</v>
      </c>
      <c r="AG103" s="1303"/>
      <c r="AH103" s="1303"/>
      <c r="AI103" s="1303"/>
      <c r="AJ103" s="1303"/>
      <c r="AK103" s="1303"/>
      <c r="AL103" s="1303"/>
      <c r="AM103" s="1303"/>
      <c r="AN103" s="1303"/>
      <c r="AO103" s="347"/>
    </row>
    <row r="104" spans="1:41" ht="15.75" thickBot="1" x14ac:dyDescent="0.3">
      <c r="A104" s="1688"/>
      <c r="B104" s="1382"/>
      <c r="C104" s="1383"/>
      <c r="D104" s="1608"/>
      <c r="E104" s="1690"/>
      <c r="F104" s="1684"/>
      <c r="G104" s="1389" t="s">
        <v>312</v>
      </c>
      <c r="H104" s="1390"/>
      <c r="I104" s="1391"/>
      <c r="J104" s="203"/>
      <c r="K104" s="203"/>
      <c r="L104" s="203"/>
      <c r="M104" s="203"/>
      <c r="N104" s="203"/>
      <c r="O104" s="203"/>
      <c r="P104" s="203"/>
      <c r="Q104" s="203"/>
      <c r="R104" s="204"/>
      <c r="S104" s="203"/>
      <c r="T104" s="203"/>
      <c r="U104" s="203"/>
      <c r="V104" s="203"/>
      <c r="W104" s="203"/>
      <c r="X104" s="203"/>
      <c r="Y104" s="203"/>
      <c r="Z104" s="203"/>
      <c r="AA104" s="203"/>
      <c r="AB104" s="203"/>
      <c r="AC104" s="203"/>
      <c r="AD104" s="203"/>
      <c r="AE104" s="203"/>
      <c r="AF104" s="203"/>
      <c r="AG104" s="203"/>
      <c r="AH104" s="203"/>
      <c r="AI104" s="203"/>
      <c r="AJ104" s="203"/>
      <c r="AK104" s="203"/>
      <c r="AL104" s="203"/>
      <c r="AM104" s="203"/>
      <c r="AN104" s="205"/>
      <c r="AO104" s="846"/>
    </row>
    <row r="105" spans="1:41" ht="15.75" thickBot="1" x14ac:dyDescent="0.3">
      <c r="A105" s="1685" t="s">
        <v>343</v>
      </c>
      <c r="B105" s="1310">
        <f t="shared" ref="B105" si="86">SUMPRODUCT(I102:AL102,I105:AL105)/B102</f>
        <v>2.5299999999999998</v>
      </c>
      <c r="C105" s="1385"/>
      <c r="D105" s="1608"/>
      <c r="E105" s="1690"/>
      <c r="F105" s="1685" t="s">
        <v>343</v>
      </c>
      <c r="G105" s="1384" t="s">
        <v>344</v>
      </c>
      <c r="H105" s="1310">
        <f t="shared" ref="H105:H106" si="87">IFERROR(H107*1000/H102,0)</f>
        <v>2.6320408163265308</v>
      </c>
      <c r="I105" s="1385"/>
      <c r="J105" s="1312">
        <v>2.5299999999999998</v>
      </c>
      <c r="K105" s="1312">
        <v>2.5299999999999998</v>
      </c>
      <c r="L105" s="1312">
        <v>2.5299999999999998</v>
      </c>
      <c r="M105" s="1312">
        <v>2.5299999999999998</v>
      </c>
      <c r="N105" s="1312">
        <v>2.5299999999999998</v>
      </c>
      <c r="O105" s="1312">
        <v>2.5299999999999998</v>
      </c>
      <c r="P105" s="1312">
        <v>2.5299999999999998</v>
      </c>
      <c r="Q105" s="1312">
        <v>2.5299999999999998</v>
      </c>
      <c r="R105" s="1312">
        <v>2.5299999999999998</v>
      </c>
      <c r="S105" s="1312">
        <v>2.5299999999999998</v>
      </c>
      <c r="T105" s="1312">
        <v>2.5299999999999998</v>
      </c>
      <c r="U105" s="1312">
        <v>2.5299999999999998</v>
      </c>
      <c r="V105" s="1312">
        <v>2.5299999999999998</v>
      </c>
      <c r="W105" s="1312">
        <v>2.5299999999999998</v>
      </c>
      <c r="X105" s="1312">
        <v>2.5299999999999998</v>
      </c>
      <c r="Y105" s="1312">
        <v>2.5299999999999998</v>
      </c>
      <c r="Z105" s="1312">
        <v>2.5299999999999998</v>
      </c>
      <c r="AA105" s="1312">
        <v>2.5299999999999998</v>
      </c>
      <c r="AB105" s="1312">
        <v>2.5299999999999998</v>
      </c>
      <c r="AC105" s="1312">
        <v>2.5299999999999998</v>
      </c>
      <c r="AD105" s="1312"/>
      <c r="AE105" s="1312">
        <v>2.5299999999999998</v>
      </c>
      <c r="AF105" s="1312">
        <v>2.5299999999999998</v>
      </c>
      <c r="AG105" s="1312">
        <v>2.5299999999999998</v>
      </c>
      <c r="AH105" s="1312">
        <v>2.5299999999999998</v>
      </c>
      <c r="AI105" s="1312">
        <v>2.5299999999999998</v>
      </c>
      <c r="AJ105" s="1312">
        <v>2.5299999999999998</v>
      </c>
      <c r="AK105" s="1312">
        <v>2.5299999999999998</v>
      </c>
      <c r="AL105" s="1312">
        <v>2.5299999999999998</v>
      </c>
      <c r="AM105" s="1312">
        <v>2.5299999999999998</v>
      </c>
      <c r="AN105" s="1312"/>
      <c r="AO105" s="347"/>
    </row>
    <row r="106" spans="1:41" ht="15.75" thickBot="1" x14ac:dyDescent="0.3">
      <c r="A106" s="1707"/>
      <c r="B106" s="1314" t="e">
        <f t="shared" ref="B106" si="88">B105*(G106/B105)</f>
        <v>#VALUE!</v>
      </c>
      <c r="C106" s="1431" t="e">
        <f>B106-B105</f>
        <v>#VALUE!</v>
      </c>
      <c r="D106" s="1608"/>
      <c r="E106" s="1690"/>
      <c r="F106" s="1685"/>
      <c r="G106" s="1386" t="s">
        <v>345</v>
      </c>
      <c r="H106" s="1314">
        <f t="shared" si="87"/>
        <v>3.5621774491682072</v>
      </c>
      <c r="I106" s="1380">
        <f t="shared" ref="I106" si="89">IFERROR((H106-H105)/H105,0)</f>
        <v>0.35338989694690348</v>
      </c>
      <c r="J106" s="1315">
        <v>3.31</v>
      </c>
      <c r="K106" s="1314">
        <v>4.47</v>
      </c>
      <c r="L106" s="1314">
        <v>3.9</v>
      </c>
      <c r="M106" s="1314">
        <v>1.56</v>
      </c>
      <c r="N106" s="1314">
        <v>3.1</v>
      </c>
      <c r="O106" s="1314">
        <v>2.21</v>
      </c>
      <c r="P106" s="1314">
        <v>7</v>
      </c>
      <c r="Q106" s="1314">
        <v>3.79</v>
      </c>
      <c r="R106" s="1314">
        <v>1.1000000000000001</v>
      </c>
      <c r="S106" s="1314">
        <v>4.83</v>
      </c>
      <c r="T106" s="1314">
        <v>4.83</v>
      </c>
      <c r="U106" s="1314">
        <v>3.27</v>
      </c>
      <c r="V106" s="1314">
        <v>3.27</v>
      </c>
      <c r="W106" s="1314">
        <v>2.42</v>
      </c>
      <c r="X106" s="1314">
        <v>3.72</v>
      </c>
      <c r="Y106" s="1314">
        <v>5.92</v>
      </c>
      <c r="Z106" s="1314">
        <v>4.28</v>
      </c>
      <c r="AA106" s="1314">
        <v>2.61</v>
      </c>
      <c r="AB106" s="1314">
        <v>3.7</v>
      </c>
      <c r="AC106" s="1314">
        <v>3.7</v>
      </c>
      <c r="AD106" s="1314">
        <v>2.7</v>
      </c>
      <c r="AE106" s="1314">
        <v>4.5199999999999996</v>
      </c>
      <c r="AF106" s="1314">
        <v>2.4</v>
      </c>
      <c r="AG106" s="1314"/>
      <c r="AH106" s="1314"/>
      <c r="AI106" s="1314"/>
      <c r="AJ106" s="1314"/>
      <c r="AK106" s="1314"/>
      <c r="AL106" s="1314"/>
      <c r="AM106" s="1314"/>
      <c r="AN106" s="1314"/>
      <c r="AO106" s="347"/>
    </row>
    <row r="107" spans="1:41" ht="15.75" thickBot="1" x14ac:dyDescent="0.3">
      <c r="A107" s="1685" t="s">
        <v>47</v>
      </c>
      <c r="B107" s="206">
        <f t="shared" si="82"/>
        <v>9.5633999999999997</v>
      </c>
      <c r="C107" s="1385"/>
      <c r="D107" s="1608"/>
      <c r="E107" s="1690"/>
      <c r="F107" s="1686" t="s">
        <v>47</v>
      </c>
      <c r="G107" s="1384" t="s">
        <v>346</v>
      </c>
      <c r="H107" s="206">
        <f>SUMIF($J$9:$AN$9,"&lt;="&amp;$E$7,J107:AN107)</f>
        <v>10.317600000000001</v>
      </c>
      <c r="I107" s="1385"/>
      <c r="J107" s="1316">
        <f t="shared" ref="J107:AN108" si="90">+J105*J102/1000</f>
        <v>0.35420000000000001</v>
      </c>
      <c r="K107" s="1316">
        <f t="shared" si="90"/>
        <v>0.35420000000000001</v>
      </c>
      <c r="L107" s="1316">
        <f t="shared" si="90"/>
        <v>0.35420000000000001</v>
      </c>
      <c r="M107" s="1317">
        <f>+M105*M102/1000</f>
        <v>0.35420000000000001</v>
      </c>
      <c r="N107" s="1317">
        <f t="shared" si="90"/>
        <v>0.35420000000000001</v>
      </c>
      <c r="O107" s="1317">
        <f t="shared" si="90"/>
        <v>0.35420000000000001</v>
      </c>
      <c r="P107" s="1317">
        <f t="shared" si="90"/>
        <v>0.35420000000000001</v>
      </c>
      <c r="Q107" s="1317">
        <f t="shared" si="90"/>
        <v>0.35420000000000001</v>
      </c>
      <c r="R107" s="1318">
        <f t="shared" si="90"/>
        <v>0.35420000000000001</v>
      </c>
      <c r="S107" s="1317">
        <f t="shared" si="90"/>
        <v>0.35420000000000001</v>
      </c>
      <c r="T107" s="1317">
        <f t="shared" si="90"/>
        <v>0.35420000000000001</v>
      </c>
      <c r="U107" s="1317">
        <f t="shared" si="90"/>
        <v>0.35420000000000001</v>
      </c>
      <c r="V107" s="1317">
        <f t="shared" si="90"/>
        <v>0.35420000000000001</v>
      </c>
      <c r="W107" s="1317">
        <f t="shared" si="90"/>
        <v>0.35420000000000001</v>
      </c>
      <c r="X107" s="1317">
        <f t="shared" si="90"/>
        <v>0.35420000000000001</v>
      </c>
      <c r="Y107" s="1317">
        <f t="shared" si="90"/>
        <v>0.35420000000000001</v>
      </c>
      <c r="Z107" s="1317">
        <f>+Z105*Z102/1000</f>
        <v>0.35420000000000001</v>
      </c>
      <c r="AA107" s="1317">
        <f t="shared" si="90"/>
        <v>0.35420000000000001</v>
      </c>
      <c r="AB107" s="1317">
        <f t="shared" si="90"/>
        <v>0.35420000000000001</v>
      </c>
      <c r="AC107" s="1317">
        <v>0.4</v>
      </c>
      <c r="AD107" s="1317">
        <f t="shared" si="90"/>
        <v>0</v>
      </c>
      <c r="AE107" s="1317">
        <f t="shared" si="90"/>
        <v>0.35420000000000001</v>
      </c>
      <c r="AF107" s="1317">
        <f t="shared" si="90"/>
        <v>0.35420000000000001</v>
      </c>
      <c r="AG107" s="1317">
        <f t="shared" si="90"/>
        <v>0.35420000000000001</v>
      </c>
      <c r="AH107" s="1317">
        <f t="shared" si="90"/>
        <v>0.35420000000000001</v>
      </c>
      <c r="AI107" s="1317">
        <f t="shared" si="90"/>
        <v>0.35420000000000001</v>
      </c>
      <c r="AJ107" s="1317">
        <f t="shared" si="90"/>
        <v>0.35420000000000001</v>
      </c>
      <c r="AK107" s="1317">
        <f t="shared" si="90"/>
        <v>0.35420000000000001</v>
      </c>
      <c r="AL107" s="1317">
        <f t="shared" si="90"/>
        <v>0.35420000000000001</v>
      </c>
      <c r="AM107" s="1317">
        <f t="shared" si="90"/>
        <v>0.35420000000000001</v>
      </c>
      <c r="AN107" s="1319">
        <f t="shared" si="90"/>
        <v>0</v>
      </c>
      <c r="AO107" s="705"/>
    </row>
    <row r="108" spans="1:41" ht="15.75" thickBot="1" x14ac:dyDescent="0.3">
      <c r="A108" s="1708"/>
      <c r="B108" s="1321" t="e">
        <f t="shared" si="82"/>
        <v>#VALUE!</v>
      </c>
      <c r="C108" s="1432" t="e">
        <f>B108-B107</f>
        <v>#VALUE!</v>
      </c>
      <c r="D108" s="1609"/>
      <c r="E108" s="1691"/>
      <c r="F108" s="1687"/>
      <c r="G108" s="1387" t="s">
        <v>347</v>
      </c>
      <c r="H108" s="1321">
        <f>SUMIF($J$9:$AN$9,"&lt;="&amp;$E$7,J108:AN108)</f>
        <v>9.6356900000000003</v>
      </c>
      <c r="I108" s="1388">
        <f t="shared" ref="I108" si="91">IFERROR((H108-H107)/H107,0)</f>
        <v>-6.6091920601690335E-2</v>
      </c>
      <c r="J108" s="1323">
        <f t="shared" si="90"/>
        <v>0.47994999999999999</v>
      </c>
      <c r="K108" s="1321">
        <f t="shared" si="90"/>
        <v>0.62579999999999991</v>
      </c>
      <c r="L108" s="1321">
        <f t="shared" si="90"/>
        <v>0.56940000000000002</v>
      </c>
      <c r="M108" s="1321">
        <f t="shared" si="90"/>
        <v>0.21996000000000002</v>
      </c>
      <c r="N108" s="1321">
        <f t="shared" si="90"/>
        <v>0.44640000000000002</v>
      </c>
      <c r="O108" s="1321">
        <f t="shared" si="90"/>
        <v>0.32486999999999999</v>
      </c>
      <c r="P108" s="1321">
        <f t="shared" si="90"/>
        <v>0.98</v>
      </c>
      <c r="Q108" s="1321">
        <f t="shared" si="90"/>
        <v>0.53439000000000003</v>
      </c>
      <c r="R108" s="1321">
        <f t="shared" si="90"/>
        <v>0.16060000000000002</v>
      </c>
      <c r="S108" s="1321">
        <f t="shared" si="90"/>
        <v>0</v>
      </c>
      <c r="T108" s="1321">
        <f t="shared" si="90"/>
        <v>0.69552000000000003</v>
      </c>
      <c r="U108" s="1321">
        <f t="shared" si="90"/>
        <v>0.51339000000000001</v>
      </c>
      <c r="V108" s="1321">
        <f t="shared" si="90"/>
        <v>0.46106999999999998</v>
      </c>
      <c r="W108" s="1321">
        <f t="shared" si="90"/>
        <v>0.34364</v>
      </c>
      <c r="X108" s="1321">
        <f t="shared" si="90"/>
        <v>0.52080000000000004</v>
      </c>
      <c r="Y108" s="1321">
        <f t="shared" si="90"/>
        <v>0.74591999999999992</v>
      </c>
      <c r="Z108" s="1321">
        <f>+Z106*Z103/1000</f>
        <v>0.59920000000000007</v>
      </c>
      <c r="AA108" s="1321">
        <f t="shared" si="90"/>
        <v>0.35496</v>
      </c>
      <c r="AB108" s="1321">
        <f t="shared" si="90"/>
        <v>0.28490000000000004</v>
      </c>
      <c r="AC108" s="1321">
        <f t="shared" si="90"/>
        <v>0.27750000000000002</v>
      </c>
      <c r="AD108" s="1321">
        <f t="shared" si="90"/>
        <v>6.7500000000000004E-2</v>
      </c>
      <c r="AE108" s="1321">
        <f t="shared" si="90"/>
        <v>0.34351999999999999</v>
      </c>
      <c r="AF108" s="1321">
        <f t="shared" si="90"/>
        <v>8.6399999999999991E-2</v>
      </c>
      <c r="AG108" s="1321">
        <f t="shared" si="90"/>
        <v>0</v>
      </c>
      <c r="AH108" s="1321">
        <f t="shared" si="90"/>
        <v>0</v>
      </c>
      <c r="AI108" s="1321">
        <f t="shared" si="90"/>
        <v>0</v>
      </c>
      <c r="AJ108" s="1321">
        <f t="shared" si="90"/>
        <v>0</v>
      </c>
      <c r="AK108" s="1321">
        <f t="shared" si="90"/>
        <v>0</v>
      </c>
      <c r="AL108" s="1321">
        <f t="shared" si="90"/>
        <v>0</v>
      </c>
      <c r="AM108" s="1321">
        <f t="shared" si="90"/>
        <v>0</v>
      </c>
      <c r="AN108" s="1321">
        <f t="shared" si="90"/>
        <v>0</v>
      </c>
      <c r="AO108" s="706"/>
    </row>
    <row r="109" spans="1:41" ht="15.75" thickBot="1" x14ac:dyDescent="0.3">
      <c r="C109" s="202"/>
      <c r="D109" s="1607">
        <v>1</v>
      </c>
      <c r="E109" s="1689" t="str">
        <f>[13]Breaking.!A73</f>
        <v>6L_W10_STOPE</v>
      </c>
      <c r="F109" s="1688" t="s">
        <v>340</v>
      </c>
      <c r="G109" s="195" t="s">
        <v>341</v>
      </c>
      <c r="H109" s="295">
        <f>SUMIF($J$9:$AN$9,"&lt;="&amp;$E$7,J109:AN109)</f>
        <v>1960</v>
      </c>
      <c r="I109" s="296"/>
      <c r="J109" s="198">
        <f>[13]Breaking.!D73</f>
        <v>70</v>
      </c>
      <c r="K109" s="198">
        <f>[13]Breaking.!E73</f>
        <v>70</v>
      </c>
      <c r="L109" s="198">
        <f>[13]Breaking.!F73</f>
        <v>70</v>
      </c>
      <c r="M109" s="198">
        <f>[13]Breaking.!G73</f>
        <v>70</v>
      </c>
      <c r="N109" s="198">
        <f>[13]Breaking.!H73</f>
        <v>70</v>
      </c>
      <c r="O109" s="198">
        <f>[13]Breaking.!I73</f>
        <v>70</v>
      </c>
      <c r="P109" s="198">
        <f>[13]Breaking.!J73</f>
        <v>70</v>
      </c>
      <c r="Q109" s="198">
        <f>[13]Breaking.!K73</f>
        <v>70</v>
      </c>
      <c r="R109" s="198">
        <f>[13]Breaking.!L73</f>
        <v>70</v>
      </c>
      <c r="S109" s="198">
        <f>[13]Breaking.!M73</f>
        <v>70</v>
      </c>
      <c r="T109" s="198">
        <f>[13]Breaking.!N73</f>
        <v>70</v>
      </c>
      <c r="U109" s="198">
        <f>[13]Breaking.!O73</f>
        <v>70</v>
      </c>
      <c r="V109" s="198">
        <f>[13]Breaking.!P73</f>
        <v>70</v>
      </c>
      <c r="W109" s="198">
        <f>[13]Breaking.!Q73</f>
        <v>70</v>
      </c>
      <c r="X109" s="198">
        <f>[13]Breaking.!R73</f>
        <v>70</v>
      </c>
      <c r="Y109" s="198">
        <f>[13]Breaking.!S73</f>
        <v>70</v>
      </c>
      <c r="Z109" s="198">
        <f>[13]Breaking.!T73</f>
        <v>70</v>
      </c>
      <c r="AA109" s="198">
        <f>[13]Breaking.!U73</f>
        <v>70</v>
      </c>
      <c r="AB109" s="198">
        <f>[13]Breaking.!V73</f>
        <v>70</v>
      </c>
      <c r="AC109" s="198">
        <f>[13]Breaking.!W73</f>
        <v>0</v>
      </c>
      <c r="AD109" s="198">
        <f>[13]Breaking.!X73</f>
        <v>0</v>
      </c>
      <c r="AE109" s="198">
        <f>[13]Breaking.!Y73</f>
        <v>70</v>
      </c>
      <c r="AF109" s="198">
        <f>[13]Breaking.!Z73</f>
        <v>70</v>
      </c>
      <c r="AG109" s="198">
        <f>[13]Breaking.!AA73</f>
        <v>70</v>
      </c>
      <c r="AH109" s="198">
        <f>[13]Breaking.!AB73</f>
        <v>70</v>
      </c>
      <c r="AI109" s="198">
        <f>[13]Breaking.!AC73</f>
        <v>70</v>
      </c>
      <c r="AJ109" s="198">
        <f>[13]Breaking.!AD73</f>
        <v>70</v>
      </c>
      <c r="AK109" s="198">
        <f>[13]Breaking.!AE73</f>
        <v>70</v>
      </c>
      <c r="AL109" s="198">
        <f>[13]Breaking.!AF73</f>
        <v>70</v>
      </c>
      <c r="AM109" s="198">
        <f>[13]Breaking.!AG73</f>
        <v>70</v>
      </c>
      <c r="AN109" s="198">
        <f>[13]Breaking.!AH73</f>
        <v>0</v>
      </c>
      <c r="AO109" s="845"/>
    </row>
    <row r="110" spans="1:41" ht="15.75" thickBot="1" x14ac:dyDescent="0.3">
      <c r="C110" s="202"/>
      <c r="D110" s="1608"/>
      <c r="E110" s="1690"/>
      <c r="F110" s="1684"/>
      <c r="G110" s="1379" t="s">
        <v>342</v>
      </c>
      <c r="H110" s="1303">
        <f>SUMIF($J$9:$AN$9,"&lt;="&amp;$E$7,J110:AN110)</f>
        <v>1642</v>
      </c>
      <c r="I110" s="1380">
        <f t="shared" ref="I110" si="92">IFERROR((H110-H109)/H109,0)</f>
        <v>-0.16224489795918368</v>
      </c>
      <c r="J110" s="1305">
        <v>70</v>
      </c>
      <c r="K110" s="1303">
        <v>70</v>
      </c>
      <c r="L110" s="1303">
        <v>70</v>
      </c>
      <c r="M110" s="1303">
        <v>72</v>
      </c>
      <c r="N110" s="1303">
        <v>71</v>
      </c>
      <c r="O110" s="1303">
        <v>73</v>
      </c>
      <c r="P110" s="1303">
        <v>72</v>
      </c>
      <c r="Q110" s="1303">
        <v>72</v>
      </c>
      <c r="R110" s="1303"/>
      <c r="S110" s="1303"/>
      <c r="T110" s="1303">
        <v>75</v>
      </c>
      <c r="U110" s="1303">
        <v>78</v>
      </c>
      <c r="V110" s="1303">
        <v>71</v>
      </c>
      <c r="W110" s="1303">
        <v>70</v>
      </c>
      <c r="X110" s="1303">
        <v>72</v>
      </c>
      <c r="Y110" s="1303">
        <v>72</v>
      </c>
      <c r="Z110" s="1303">
        <v>70</v>
      </c>
      <c r="AA110" s="1303">
        <v>70</v>
      </c>
      <c r="AB110" s="1303">
        <v>109</v>
      </c>
      <c r="AC110" s="1303">
        <v>107</v>
      </c>
      <c r="AD110" s="1303">
        <v>64</v>
      </c>
      <c r="AE110" s="1303">
        <v>105</v>
      </c>
      <c r="AF110" s="1303">
        <v>109</v>
      </c>
      <c r="AG110" s="1303"/>
      <c r="AH110" s="1303"/>
      <c r="AI110" s="1303"/>
      <c r="AJ110" s="1303"/>
      <c r="AK110" s="1303"/>
      <c r="AL110" s="1303"/>
      <c r="AM110" s="1303"/>
      <c r="AN110" s="1303"/>
      <c r="AO110" s="347"/>
    </row>
    <row r="111" spans="1:41" ht="15.75" thickBot="1" x14ac:dyDescent="0.3">
      <c r="C111" s="202"/>
      <c r="D111" s="1608"/>
      <c r="E111" s="1690"/>
      <c r="F111" s="1684"/>
      <c r="G111" s="1389" t="s">
        <v>312</v>
      </c>
      <c r="H111" s="1390"/>
      <c r="I111" s="1391"/>
      <c r="J111" s="203"/>
      <c r="K111" s="203"/>
      <c r="L111" s="203"/>
      <c r="M111" s="203"/>
      <c r="N111" s="203"/>
      <c r="O111" s="203"/>
      <c r="P111" s="203"/>
      <c r="Q111" s="203"/>
      <c r="R111" s="204"/>
      <c r="S111" s="203"/>
      <c r="T111" s="203"/>
      <c r="U111" s="203"/>
      <c r="V111" s="203"/>
      <c r="W111" s="203"/>
      <c r="X111" s="203"/>
      <c r="Y111" s="203"/>
      <c r="Z111" s="203"/>
      <c r="AA111" s="203"/>
      <c r="AB111" s="203"/>
      <c r="AC111" s="203"/>
      <c r="AD111" s="203"/>
      <c r="AE111" s="203"/>
      <c r="AF111" s="203"/>
      <c r="AG111" s="203"/>
      <c r="AH111" s="203"/>
      <c r="AI111" s="203"/>
      <c r="AJ111" s="203"/>
      <c r="AK111" s="203"/>
      <c r="AL111" s="203"/>
      <c r="AM111" s="203"/>
      <c r="AN111" s="205"/>
      <c r="AO111" s="846"/>
    </row>
    <row r="112" spans="1:41" ht="15.75" thickBot="1" x14ac:dyDescent="0.3">
      <c r="C112" s="202"/>
      <c r="D112" s="1608"/>
      <c r="E112" s="1690"/>
      <c r="F112" s="1685" t="s">
        <v>343</v>
      </c>
      <c r="G112" s="1384" t="s">
        <v>344</v>
      </c>
      <c r="H112" s="1310">
        <f t="shared" ref="H112:H113" si="93">IFERROR(H114*1000/H109,0)</f>
        <v>2.2720408163265304</v>
      </c>
      <c r="I112" s="1385"/>
      <c r="J112" s="1312">
        <v>2.17</v>
      </c>
      <c r="K112" s="1312">
        <v>2.17</v>
      </c>
      <c r="L112" s="1312">
        <v>2.17</v>
      </c>
      <c r="M112" s="1312">
        <v>2.17</v>
      </c>
      <c r="N112" s="1312">
        <v>2.17</v>
      </c>
      <c r="O112" s="1312">
        <v>2.17</v>
      </c>
      <c r="P112" s="1312">
        <v>2.17</v>
      </c>
      <c r="Q112" s="1312">
        <v>2.17</v>
      </c>
      <c r="R112" s="1312">
        <v>2.17</v>
      </c>
      <c r="S112" s="1312">
        <v>2.17</v>
      </c>
      <c r="T112" s="1312">
        <v>2.17</v>
      </c>
      <c r="U112" s="1312">
        <v>2.17</v>
      </c>
      <c r="V112" s="1312">
        <v>2.17</v>
      </c>
      <c r="W112" s="1312">
        <v>2.17</v>
      </c>
      <c r="X112" s="1312">
        <v>2.17</v>
      </c>
      <c r="Y112" s="1312">
        <v>2.17</v>
      </c>
      <c r="Z112" s="1312">
        <v>2.17</v>
      </c>
      <c r="AA112" s="1312">
        <v>2.17</v>
      </c>
      <c r="AB112" s="1312">
        <v>2.17</v>
      </c>
      <c r="AC112" s="1312">
        <v>2.17</v>
      </c>
      <c r="AD112" s="1312"/>
      <c r="AE112" s="1312">
        <v>2.17</v>
      </c>
      <c r="AF112" s="1312">
        <v>2.17</v>
      </c>
      <c r="AG112" s="1312">
        <v>2.17</v>
      </c>
      <c r="AH112" s="1312">
        <v>2.17</v>
      </c>
      <c r="AI112" s="1312">
        <v>2.17</v>
      </c>
      <c r="AJ112" s="1312">
        <v>2.17</v>
      </c>
      <c r="AK112" s="1312">
        <v>2.17</v>
      </c>
      <c r="AL112" s="1312">
        <v>2.17</v>
      </c>
      <c r="AM112" s="1312">
        <v>2.17</v>
      </c>
      <c r="AN112" s="1312"/>
      <c r="AO112" s="347"/>
    </row>
    <row r="113" spans="3:41" ht="15.75" thickBot="1" x14ac:dyDescent="0.3">
      <c r="C113" s="202"/>
      <c r="D113" s="1608"/>
      <c r="E113" s="1690"/>
      <c r="F113" s="1685"/>
      <c r="G113" s="1386" t="s">
        <v>345</v>
      </c>
      <c r="H113" s="1314">
        <f t="shared" si="93"/>
        <v>3.6272594397076734</v>
      </c>
      <c r="I113" s="1380">
        <f t="shared" ref="I113" si="94">IFERROR((H113-H112)/H112,0)</f>
        <v>0.5964763544927334</v>
      </c>
      <c r="J113" s="1315">
        <v>5.8</v>
      </c>
      <c r="K113" s="1314">
        <v>2.5</v>
      </c>
      <c r="L113" s="1314">
        <v>1.67</v>
      </c>
      <c r="M113" s="1314">
        <v>5.97</v>
      </c>
      <c r="N113" s="1314">
        <v>2.5</v>
      </c>
      <c r="O113" s="1314">
        <v>2.5</v>
      </c>
      <c r="P113" s="1314">
        <v>2.38</v>
      </c>
      <c r="Q113" s="1314">
        <v>2.63</v>
      </c>
      <c r="R113" s="1314"/>
      <c r="S113" s="1314"/>
      <c r="T113" s="1314">
        <v>2.87</v>
      </c>
      <c r="U113" s="1314">
        <v>2.81</v>
      </c>
      <c r="V113" s="1314">
        <v>2.81</v>
      </c>
      <c r="W113" s="1314">
        <v>2.56</v>
      </c>
      <c r="X113" s="1314">
        <v>7.55</v>
      </c>
      <c r="Y113" s="1314">
        <v>3.57</v>
      </c>
      <c r="Z113" s="1314">
        <v>3.32</v>
      </c>
      <c r="AA113" s="1314">
        <v>4.42</v>
      </c>
      <c r="AB113" s="1314">
        <v>3.32</v>
      </c>
      <c r="AC113" s="1314">
        <v>3.32</v>
      </c>
      <c r="AD113" s="1314">
        <v>3.83</v>
      </c>
      <c r="AE113" s="1314">
        <v>4.66</v>
      </c>
      <c r="AF113" s="1314">
        <v>4.18</v>
      </c>
      <c r="AG113" s="1314"/>
      <c r="AH113" s="1314"/>
      <c r="AI113" s="1314"/>
      <c r="AJ113" s="1314"/>
      <c r="AK113" s="1314"/>
      <c r="AL113" s="1314"/>
      <c r="AM113" s="1314"/>
      <c r="AN113" s="1314"/>
      <c r="AO113" s="347"/>
    </row>
    <row r="114" spans="3:41" ht="15.75" thickBot="1" x14ac:dyDescent="0.3">
      <c r="C114" s="202"/>
      <c r="D114" s="1608"/>
      <c r="E114" s="1690"/>
      <c r="F114" s="1686" t="s">
        <v>47</v>
      </c>
      <c r="G114" s="1384" t="s">
        <v>346</v>
      </c>
      <c r="H114" s="206">
        <f>SUMIF($J$9:$AN$9,"&lt;="&amp;$E$7,J114:AN114)</f>
        <v>4.4531999999999998</v>
      </c>
      <c r="I114" s="1385"/>
      <c r="J114" s="1316">
        <f t="shared" ref="J114:AN115" si="95">+J112*J109/1000</f>
        <v>0.15190000000000001</v>
      </c>
      <c r="K114" s="1316">
        <f t="shared" si="95"/>
        <v>0.15190000000000001</v>
      </c>
      <c r="L114" s="1316">
        <f t="shared" si="95"/>
        <v>0.15190000000000001</v>
      </c>
      <c r="M114" s="1317">
        <f t="shared" si="95"/>
        <v>0.15190000000000001</v>
      </c>
      <c r="N114" s="1317">
        <f t="shared" si="95"/>
        <v>0.15190000000000001</v>
      </c>
      <c r="O114" s="1317">
        <f>+O112*O109/1000</f>
        <v>0.15190000000000001</v>
      </c>
      <c r="P114" s="1317">
        <f>+P112*P109/1000</f>
        <v>0.15190000000000001</v>
      </c>
      <c r="Q114" s="1317">
        <f>+Q112*Q109/1000</f>
        <v>0.15190000000000001</v>
      </c>
      <c r="R114" s="1318">
        <f>+R112*R109/1000</f>
        <v>0.15190000000000001</v>
      </c>
      <c r="S114" s="1317">
        <f>+S112*S109/1000</f>
        <v>0.15190000000000001</v>
      </c>
      <c r="T114" s="1317">
        <f t="shared" si="95"/>
        <v>0.15190000000000001</v>
      </c>
      <c r="U114" s="1317">
        <f t="shared" si="95"/>
        <v>0.15190000000000001</v>
      </c>
      <c r="V114" s="1317">
        <f t="shared" si="95"/>
        <v>0.15190000000000001</v>
      </c>
      <c r="W114" s="1317">
        <f t="shared" si="95"/>
        <v>0.15190000000000001</v>
      </c>
      <c r="X114" s="1317">
        <f t="shared" si="95"/>
        <v>0.15190000000000001</v>
      </c>
      <c r="Y114" s="1317">
        <f t="shared" si="95"/>
        <v>0.15190000000000001</v>
      </c>
      <c r="Z114" s="1317">
        <f t="shared" si="95"/>
        <v>0.15190000000000001</v>
      </c>
      <c r="AA114" s="1317">
        <f t="shared" si="95"/>
        <v>0.15190000000000001</v>
      </c>
      <c r="AB114" s="1317">
        <f t="shared" si="95"/>
        <v>0.15190000000000001</v>
      </c>
      <c r="AC114" s="1317">
        <v>0.2</v>
      </c>
      <c r="AD114" s="1317">
        <f t="shared" si="95"/>
        <v>0</v>
      </c>
      <c r="AE114" s="1317">
        <f t="shared" si="95"/>
        <v>0.15190000000000001</v>
      </c>
      <c r="AF114" s="1317">
        <f t="shared" si="95"/>
        <v>0.15190000000000001</v>
      </c>
      <c r="AG114" s="1317">
        <f t="shared" si="95"/>
        <v>0.15190000000000001</v>
      </c>
      <c r="AH114" s="1317">
        <f t="shared" si="95"/>
        <v>0.15190000000000001</v>
      </c>
      <c r="AI114" s="1317">
        <f t="shared" si="95"/>
        <v>0.15190000000000001</v>
      </c>
      <c r="AJ114" s="1317">
        <f t="shared" si="95"/>
        <v>0.15190000000000001</v>
      </c>
      <c r="AK114" s="1317">
        <f t="shared" si="95"/>
        <v>0.15190000000000001</v>
      </c>
      <c r="AL114" s="1317">
        <f t="shared" si="95"/>
        <v>0.15190000000000001</v>
      </c>
      <c r="AM114" s="1317">
        <f t="shared" si="95"/>
        <v>0.15190000000000001</v>
      </c>
      <c r="AN114" s="1319">
        <f t="shared" si="95"/>
        <v>0</v>
      </c>
      <c r="AO114" s="705"/>
    </row>
    <row r="115" spans="3:41" ht="15.75" thickBot="1" x14ac:dyDescent="0.3">
      <c r="C115" s="202"/>
      <c r="D115" s="1608"/>
      <c r="E115" s="1691"/>
      <c r="F115" s="1686"/>
      <c r="G115" s="1392" t="s">
        <v>347</v>
      </c>
      <c r="H115" s="1331">
        <f>SUMIF($J$9:$AN$9,"&lt;="&amp;$E$7,J115:AN115)</f>
        <v>5.9559600000000001</v>
      </c>
      <c r="I115" s="1552">
        <f t="shared" ref="I115" si="96">IFERROR((H115-H114)/H114,0)</f>
        <v>0.33745621126381037</v>
      </c>
      <c r="J115" s="1323">
        <f t="shared" si="95"/>
        <v>0.40600000000000003</v>
      </c>
      <c r="K115" s="1321">
        <f t="shared" si="95"/>
        <v>0.17499999999999999</v>
      </c>
      <c r="L115" s="1321">
        <f t="shared" si="95"/>
        <v>0.11689999999999999</v>
      </c>
      <c r="M115" s="1321">
        <f t="shared" si="95"/>
        <v>0.42984</v>
      </c>
      <c r="N115" s="1321">
        <f t="shared" si="95"/>
        <v>0.17749999999999999</v>
      </c>
      <c r="O115" s="1321">
        <f>+O113*O110/1000</f>
        <v>0.1825</v>
      </c>
      <c r="P115" s="1321">
        <f>+P113*P110/1000</f>
        <v>0.17135999999999998</v>
      </c>
      <c r="Q115" s="1321">
        <f>+Q113*Q110/1000</f>
        <v>0.18935999999999997</v>
      </c>
      <c r="R115" s="1321">
        <f>+R113*R110/1000</f>
        <v>0</v>
      </c>
      <c r="S115" s="1321"/>
      <c r="T115" s="1321">
        <f t="shared" si="95"/>
        <v>0.21525</v>
      </c>
      <c r="U115" s="1321">
        <f t="shared" si="95"/>
        <v>0.21918000000000001</v>
      </c>
      <c r="V115" s="1321">
        <f t="shared" si="95"/>
        <v>0.19950999999999999</v>
      </c>
      <c r="W115" s="1321">
        <f t="shared" si="95"/>
        <v>0.17920000000000003</v>
      </c>
      <c r="X115" s="1321">
        <f t="shared" si="95"/>
        <v>0.54359999999999997</v>
      </c>
      <c r="Y115" s="1321">
        <f t="shared" si="95"/>
        <v>0.25703999999999999</v>
      </c>
      <c r="Z115" s="1321">
        <f t="shared" si="95"/>
        <v>0.23239999999999997</v>
      </c>
      <c r="AA115" s="1321">
        <f t="shared" si="95"/>
        <v>0.30939999999999995</v>
      </c>
      <c r="AB115" s="1321">
        <f t="shared" si="95"/>
        <v>0.36187999999999998</v>
      </c>
      <c r="AC115" s="1321">
        <v>0.4</v>
      </c>
      <c r="AD115" s="1321">
        <f t="shared" si="95"/>
        <v>0.24512</v>
      </c>
      <c r="AE115" s="1321">
        <f t="shared" si="95"/>
        <v>0.48930000000000001</v>
      </c>
      <c r="AF115" s="1321">
        <f t="shared" si="95"/>
        <v>0.45561999999999997</v>
      </c>
      <c r="AG115" s="1321">
        <f t="shared" si="95"/>
        <v>0</v>
      </c>
      <c r="AH115" s="1321">
        <f t="shared" si="95"/>
        <v>0</v>
      </c>
      <c r="AI115" s="1321">
        <f t="shared" si="95"/>
        <v>0</v>
      </c>
      <c r="AJ115" s="1321">
        <f t="shared" si="95"/>
        <v>0</v>
      </c>
      <c r="AK115" s="1321">
        <f t="shared" si="95"/>
        <v>0</v>
      </c>
      <c r="AL115" s="1321">
        <f t="shared" si="95"/>
        <v>0</v>
      </c>
      <c r="AM115" s="1321">
        <f t="shared" si="95"/>
        <v>0</v>
      </c>
      <c r="AN115" s="1321">
        <f t="shared" si="95"/>
        <v>0</v>
      </c>
      <c r="AO115" s="706"/>
    </row>
    <row r="116" spans="3:41" ht="15.75" thickBot="1" x14ac:dyDescent="0.3">
      <c r="C116" s="202"/>
      <c r="D116" s="1608">
        <v>2</v>
      </c>
      <c r="E116" s="1689" t="s">
        <v>271</v>
      </c>
      <c r="F116" s="1684" t="s">
        <v>340</v>
      </c>
      <c r="G116" s="293" t="s">
        <v>341</v>
      </c>
      <c r="H116" s="196">
        <f>SUMIF($J$9:$AN$9,"&lt;="&amp;$E$7,J116:AN116)</f>
        <v>980</v>
      </c>
      <c r="I116" s="197"/>
      <c r="J116" s="198">
        <f>[13]Breaking.!D75</f>
        <v>35</v>
      </c>
      <c r="K116" s="198">
        <f>[13]Breaking.!E75</f>
        <v>35</v>
      </c>
      <c r="L116" s="198">
        <f>[13]Breaking.!F75</f>
        <v>35</v>
      </c>
      <c r="M116" s="198">
        <f>[13]Breaking.!G75</f>
        <v>35</v>
      </c>
      <c r="N116" s="198">
        <f>[13]Breaking.!H75</f>
        <v>35</v>
      </c>
      <c r="O116" s="198">
        <f>[13]Breaking.!I75</f>
        <v>35</v>
      </c>
      <c r="P116" s="198">
        <f>[13]Breaking.!J75</f>
        <v>35</v>
      </c>
      <c r="Q116" s="198">
        <f>[13]Breaking.!K75</f>
        <v>35</v>
      </c>
      <c r="R116" s="198">
        <f>[13]Breaking.!L75</f>
        <v>35</v>
      </c>
      <c r="S116" s="198">
        <f>[13]Breaking.!M75</f>
        <v>35</v>
      </c>
      <c r="T116" s="198">
        <f>[13]Breaking.!N75</f>
        <v>35</v>
      </c>
      <c r="U116" s="198">
        <f>[13]Breaking.!O75</f>
        <v>35</v>
      </c>
      <c r="V116" s="198">
        <f>[13]Breaking.!P75</f>
        <v>35</v>
      </c>
      <c r="W116" s="198">
        <f>[13]Breaking.!Q75</f>
        <v>35</v>
      </c>
      <c r="X116" s="198">
        <f>[13]Breaking.!R75</f>
        <v>35</v>
      </c>
      <c r="Y116" s="198">
        <f>[13]Breaking.!S75</f>
        <v>35</v>
      </c>
      <c r="Z116" s="198">
        <f>[13]Breaking.!T75</f>
        <v>35</v>
      </c>
      <c r="AA116" s="198">
        <f>[13]Breaking.!U75</f>
        <v>35</v>
      </c>
      <c r="AB116" s="198">
        <f>[13]Breaking.!V75</f>
        <v>35</v>
      </c>
      <c r="AC116" s="198">
        <f>[13]Breaking.!W75</f>
        <v>0</v>
      </c>
      <c r="AD116" s="198">
        <f>[13]Breaking.!X75</f>
        <v>0</v>
      </c>
      <c r="AE116" s="198">
        <f>[13]Breaking.!Y75</f>
        <v>35</v>
      </c>
      <c r="AF116" s="198">
        <f>[13]Breaking.!Z75</f>
        <v>35</v>
      </c>
      <c r="AG116" s="198">
        <f>[13]Breaking.!AA75</f>
        <v>35</v>
      </c>
      <c r="AH116" s="198">
        <f>[13]Breaking.!AB75</f>
        <v>35</v>
      </c>
      <c r="AI116" s="198">
        <f>[13]Breaking.!AC75</f>
        <v>35</v>
      </c>
      <c r="AJ116" s="198">
        <f>[13]Breaking.!AD75</f>
        <v>35</v>
      </c>
      <c r="AK116" s="198">
        <f>[13]Breaking.!AE75</f>
        <v>35</v>
      </c>
      <c r="AL116" s="198">
        <f>[13]Breaking.!AF75</f>
        <v>35</v>
      </c>
      <c r="AM116" s="198">
        <f>[13]Breaking.!AG75</f>
        <v>35</v>
      </c>
      <c r="AN116" s="201"/>
      <c r="AO116" s="845"/>
    </row>
    <row r="117" spans="3:41" ht="15.75" thickBot="1" x14ac:dyDescent="0.3">
      <c r="C117" s="202"/>
      <c r="D117" s="1608"/>
      <c r="E117" s="1690"/>
      <c r="F117" s="1684"/>
      <c r="G117" s="1379" t="s">
        <v>342</v>
      </c>
      <c r="H117" s="1303">
        <f>SUMIF($J$9:$AN$9,"&lt;="&amp;$E$7,J117:AN117)</f>
        <v>883</v>
      </c>
      <c r="I117" s="1380">
        <f t="shared" ref="I117" si="97">IFERROR((H117-H116)/H116,0)</f>
        <v>-9.8979591836734687E-2</v>
      </c>
      <c r="J117" s="1305">
        <v>35</v>
      </c>
      <c r="K117" s="1303">
        <v>35</v>
      </c>
      <c r="L117" s="1303">
        <v>36</v>
      </c>
      <c r="M117" s="1303">
        <v>35</v>
      </c>
      <c r="N117" s="1303">
        <v>36</v>
      </c>
      <c r="O117" s="1303">
        <v>36</v>
      </c>
      <c r="P117" s="1303">
        <v>38</v>
      </c>
      <c r="Q117" s="1303">
        <v>0</v>
      </c>
      <c r="R117" s="1303">
        <v>74</v>
      </c>
      <c r="S117" s="1303"/>
      <c r="T117" s="1303">
        <v>39</v>
      </c>
      <c r="U117" s="1303">
        <v>38</v>
      </c>
      <c r="V117" s="1303">
        <v>36</v>
      </c>
      <c r="W117" s="1303">
        <v>35</v>
      </c>
      <c r="X117" s="1303">
        <v>39</v>
      </c>
      <c r="Y117" s="1303">
        <v>35</v>
      </c>
      <c r="Z117" s="1303">
        <v>36</v>
      </c>
      <c r="AA117" s="1303">
        <v>38</v>
      </c>
      <c r="AB117" s="1303">
        <v>38</v>
      </c>
      <c r="AC117" s="1303">
        <v>38</v>
      </c>
      <c r="AD117" s="1303">
        <v>23</v>
      </c>
      <c r="AE117" s="1303">
        <v>85</v>
      </c>
      <c r="AF117" s="1303">
        <v>78</v>
      </c>
      <c r="AG117" s="1303"/>
      <c r="AH117" s="1303"/>
      <c r="AI117" s="1303"/>
      <c r="AJ117" s="1303"/>
      <c r="AK117" s="1303"/>
      <c r="AL117" s="1303"/>
      <c r="AM117" s="1303"/>
      <c r="AN117" s="1303"/>
      <c r="AO117" s="347"/>
    </row>
    <row r="118" spans="3:41" ht="15.75" thickBot="1" x14ac:dyDescent="0.3">
      <c r="C118" s="202"/>
      <c r="D118" s="1608"/>
      <c r="E118" s="1690"/>
      <c r="F118" s="1684"/>
      <c r="G118" s="1389" t="s">
        <v>312</v>
      </c>
      <c r="H118" s="1390"/>
      <c r="I118" s="1391"/>
      <c r="J118" s="203"/>
      <c r="K118" s="203"/>
      <c r="L118" s="203"/>
      <c r="M118" s="203"/>
      <c r="N118" s="203"/>
      <c r="O118" s="203"/>
      <c r="P118" s="203"/>
      <c r="Q118" s="203"/>
      <c r="R118" s="204"/>
      <c r="S118" s="203"/>
      <c r="T118" s="203"/>
      <c r="U118" s="203"/>
      <c r="V118" s="203"/>
      <c r="W118" s="203"/>
      <c r="X118" s="203"/>
      <c r="Y118" s="203"/>
      <c r="Z118" s="203"/>
      <c r="AA118" s="203"/>
      <c r="AB118" s="203"/>
      <c r="AC118" s="203"/>
      <c r="AD118" s="203"/>
      <c r="AE118" s="203"/>
      <c r="AF118" s="203"/>
      <c r="AG118" s="203"/>
      <c r="AH118" s="203"/>
      <c r="AI118" s="203"/>
      <c r="AJ118" s="203"/>
      <c r="AK118" s="203"/>
      <c r="AL118" s="203"/>
      <c r="AM118" s="203"/>
      <c r="AN118" s="205"/>
      <c r="AO118" s="846"/>
    </row>
    <row r="119" spans="3:41" ht="15.75" thickBot="1" x14ac:dyDescent="0.3">
      <c r="C119" s="202"/>
      <c r="D119" s="1608"/>
      <c r="E119" s="1690"/>
      <c r="F119" s="1685" t="s">
        <v>343</v>
      </c>
      <c r="G119" s="1384" t="s">
        <v>344</v>
      </c>
      <c r="H119" s="1310">
        <f>IFERROR(H121*1000/H116,0)</f>
        <v>1.8920408163265319</v>
      </c>
      <c r="I119" s="1385"/>
      <c r="J119" s="1312">
        <v>1.79</v>
      </c>
      <c r="K119" s="1312">
        <v>1.79</v>
      </c>
      <c r="L119" s="1312">
        <v>1.79</v>
      </c>
      <c r="M119" s="1312">
        <v>1.79</v>
      </c>
      <c r="N119" s="1312">
        <v>1.79</v>
      </c>
      <c r="O119" s="1312">
        <v>1.79</v>
      </c>
      <c r="P119" s="1312">
        <v>1.79</v>
      </c>
      <c r="Q119" s="1312">
        <v>1.79</v>
      </c>
      <c r="R119" s="1312">
        <v>1.79</v>
      </c>
      <c r="S119" s="1312">
        <v>1.79</v>
      </c>
      <c r="T119" s="1312">
        <v>1.79</v>
      </c>
      <c r="U119" s="1312">
        <v>1.79</v>
      </c>
      <c r="V119" s="1312">
        <v>1.79</v>
      </c>
      <c r="W119" s="1312">
        <v>1.79</v>
      </c>
      <c r="X119" s="1312">
        <v>1.79</v>
      </c>
      <c r="Y119" s="1312">
        <v>1.79</v>
      </c>
      <c r="Z119" s="1312">
        <v>1.79</v>
      </c>
      <c r="AA119" s="1312">
        <v>1.79</v>
      </c>
      <c r="AB119" s="1312">
        <v>1.79</v>
      </c>
      <c r="AC119" s="1312">
        <v>1.79</v>
      </c>
      <c r="AD119" s="1312">
        <v>1.79</v>
      </c>
      <c r="AE119" s="1312">
        <v>1.79</v>
      </c>
      <c r="AF119" s="1312">
        <v>1.79</v>
      </c>
      <c r="AG119" s="1312">
        <v>1.79</v>
      </c>
      <c r="AH119" s="1312">
        <v>1.79</v>
      </c>
      <c r="AI119" s="1312">
        <v>1.79</v>
      </c>
      <c r="AJ119" s="1312">
        <v>1.79</v>
      </c>
      <c r="AK119" s="1312">
        <v>1.79</v>
      </c>
      <c r="AL119" s="1312">
        <v>1.79</v>
      </c>
      <c r="AM119" s="1312">
        <v>1.79</v>
      </c>
      <c r="AN119" s="1335"/>
      <c r="AO119" s="347"/>
    </row>
    <row r="120" spans="3:41" ht="15.75" thickBot="1" x14ac:dyDescent="0.3">
      <c r="C120" s="202"/>
      <c r="D120" s="1608"/>
      <c r="E120" s="1690"/>
      <c r="F120" s="1685"/>
      <c r="G120" s="1386" t="s">
        <v>345</v>
      </c>
      <c r="H120" s="1314">
        <f t="shared" ref="H120" si="98">IFERROR(H122*1000/H117,0)</f>
        <v>2.4662514156285393</v>
      </c>
      <c r="I120" s="1380">
        <f t="shared" ref="I120" si="99">IFERROR((H120-H119)/H119,0)</f>
        <v>0.30348742709306814</v>
      </c>
      <c r="J120" s="1315">
        <v>6.01</v>
      </c>
      <c r="K120" s="1314">
        <v>4.5</v>
      </c>
      <c r="L120" s="1314">
        <v>1.63</v>
      </c>
      <c r="M120" s="1314">
        <v>1</v>
      </c>
      <c r="N120" s="1314">
        <v>1.1299999999999999</v>
      </c>
      <c r="O120" s="1314">
        <v>2.16</v>
      </c>
      <c r="P120" s="1314">
        <v>1.26</v>
      </c>
      <c r="Q120" s="1314"/>
      <c r="R120" s="1314">
        <v>2.0099999999999998</v>
      </c>
      <c r="S120" s="1314"/>
      <c r="T120" s="1314">
        <v>2.13</v>
      </c>
      <c r="U120" s="1314">
        <v>2.4</v>
      </c>
      <c r="V120" s="1314">
        <v>2.4</v>
      </c>
      <c r="W120" s="1314">
        <v>0.71</v>
      </c>
      <c r="X120" s="1314"/>
      <c r="Y120" s="1314">
        <v>1.21</v>
      </c>
      <c r="Z120" s="1314">
        <v>4.1100000000000003</v>
      </c>
      <c r="AA120" s="1314">
        <v>4.1100000000000003</v>
      </c>
      <c r="AB120" s="1314">
        <v>1.91</v>
      </c>
      <c r="AC120" s="1314">
        <v>1.91</v>
      </c>
      <c r="AD120" s="1314">
        <v>2.4300000000000002</v>
      </c>
      <c r="AE120" s="1314">
        <v>4.71</v>
      </c>
      <c r="AF120" s="1314">
        <v>2.15</v>
      </c>
      <c r="AG120" s="1314"/>
      <c r="AH120" s="1314"/>
      <c r="AI120" s="1314"/>
      <c r="AJ120" s="1314"/>
      <c r="AK120" s="1314"/>
      <c r="AL120" s="1314"/>
      <c r="AM120" s="1314"/>
      <c r="AN120" s="1314"/>
      <c r="AO120" s="347"/>
    </row>
    <row r="121" spans="3:41" ht="15.75" thickBot="1" x14ac:dyDescent="0.3">
      <c r="C121" s="202"/>
      <c r="D121" s="1608"/>
      <c r="E121" s="1690"/>
      <c r="F121" s="1686" t="s">
        <v>47</v>
      </c>
      <c r="G121" s="1384" t="s">
        <v>346</v>
      </c>
      <c r="H121" s="206">
        <f>SUMIF($J$9:$AN$9,"&lt;="&amp;$E$7,J121:AN121)</f>
        <v>1.8542000000000012</v>
      </c>
      <c r="I121" s="1385"/>
      <c r="J121" s="1316">
        <f t="shared" ref="J121:AM122" si="100">+J119*J116/1000</f>
        <v>6.2649999999999997E-2</v>
      </c>
      <c r="K121" s="1316">
        <f t="shared" si="100"/>
        <v>6.2649999999999997E-2</v>
      </c>
      <c r="L121" s="1316">
        <f t="shared" si="100"/>
        <v>6.2649999999999997E-2</v>
      </c>
      <c r="M121" s="1316">
        <f t="shared" si="100"/>
        <v>6.2649999999999997E-2</v>
      </c>
      <c r="N121" s="1316">
        <f t="shared" si="100"/>
        <v>6.2649999999999997E-2</v>
      </c>
      <c r="O121" s="1316">
        <f t="shared" si="100"/>
        <v>6.2649999999999997E-2</v>
      </c>
      <c r="P121" s="1316">
        <f t="shared" si="100"/>
        <v>6.2649999999999997E-2</v>
      </c>
      <c r="Q121" s="1316">
        <f t="shared" si="100"/>
        <v>6.2649999999999997E-2</v>
      </c>
      <c r="R121" s="1316">
        <f t="shared" si="100"/>
        <v>6.2649999999999997E-2</v>
      </c>
      <c r="S121" s="1316">
        <f t="shared" si="100"/>
        <v>6.2649999999999997E-2</v>
      </c>
      <c r="T121" s="1316">
        <f t="shared" si="100"/>
        <v>6.2649999999999997E-2</v>
      </c>
      <c r="U121" s="1316">
        <f t="shared" si="100"/>
        <v>6.2649999999999997E-2</v>
      </c>
      <c r="V121" s="1316">
        <f t="shared" si="100"/>
        <v>6.2649999999999997E-2</v>
      </c>
      <c r="W121" s="1316">
        <f t="shared" si="100"/>
        <v>6.2649999999999997E-2</v>
      </c>
      <c r="X121" s="1316">
        <f t="shared" si="100"/>
        <v>6.2649999999999997E-2</v>
      </c>
      <c r="Y121" s="1316">
        <f t="shared" si="100"/>
        <v>6.2649999999999997E-2</v>
      </c>
      <c r="Z121" s="1316">
        <f t="shared" si="100"/>
        <v>6.2649999999999997E-2</v>
      </c>
      <c r="AA121" s="1316">
        <f t="shared" si="100"/>
        <v>6.2649999999999997E-2</v>
      </c>
      <c r="AB121" s="1316">
        <f t="shared" si="100"/>
        <v>6.2649999999999997E-2</v>
      </c>
      <c r="AC121" s="1316">
        <v>0.1</v>
      </c>
      <c r="AD121" s="1316">
        <f t="shared" si="100"/>
        <v>0</v>
      </c>
      <c r="AE121" s="1316">
        <f t="shared" si="100"/>
        <v>6.2649999999999997E-2</v>
      </c>
      <c r="AF121" s="1316">
        <f t="shared" si="100"/>
        <v>6.2649999999999997E-2</v>
      </c>
      <c r="AG121" s="1316">
        <f t="shared" si="100"/>
        <v>6.2649999999999997E-2</v>
      </c>
      <c r="AH121" s="1316">
        <f t="shared" si="100"/>
        <v>6.2649999999999997E-2</v>
      </c>
      <c r="AI121" s="1316">
        <f t="shared" si="100"/>
        <v>6.2649999999999997E-2</v>
      </c>
      <c r="AJ121" s="1316">
        <f t="shared" si="100"/>
        <v>6.2649999999999997E-2</v>
      </c>
      <c r="AK121" s="1316">
        <f t="shared" si="100"/>
        <v>6.2649999999999997E-2</v>
      </c>
      <c r="AL121" s="1316">
        <f t="shared" si="100"/>
        <v>6.2649999999999997E-2</v>
      </c>
      <c r="AM121" s="1316">
        <f t="shared" si="100"/>
        <v>6.2649999999999997E-2</v>
      </c>
      <c r="AN121" s="1319"/>
      <c r="AO121" s="705"/>
    </row>
    <row r="122" spans="3:41" ht="15.75" thickBot="1" x14ac:dyDescent="0.3">
      <c r="C122" s="202"/>
      <c r="D122" s="1609"/>
      <c r="E122" s="1691"/>
      <c r="F122" s="1687"/>
      <c r="G122" s="1387" t="s">
        <v>347</v>
      </c>
      <c r="H122" s="1321">
        <f>SUMIF($J$9:$AN$9,"&lt;="&amp;$E$7,J122:AN122)</f>
        <v>2.1777000000000002</v>
      </c>
      <c r="I122" s="1388">
        <f t="shared" ref="I122" si="101">IFERROR((H122-H121)/H121,0)</f>
        <v>0.17446877359508078</v>
      </c>
      <c r="J122" s="1323">
        <f t="shared" si="100"/>
        <v>0.21034999999999998</v>
      </c>
      <c r="K122" s="1321">
        <f t="shared" si="100"/>
        <v>0.1575</v>
      </c>
      <c r="L122" s="1321">
        <f t="shared" si="100"/>
        <v>5.8679999999999996E-2</v>
      </c>
      <c r="M122" s="1321">
        <f t="shared" si="100"/>
        <v>3.5000000000000003E-2</v>
      </c>
      <c r="N122" s="1321">
        <f t="shared" si="100"/>
        <v>4.0679999999999994E-2</v>
      </c>
      <c r="O122" s="1321">
        <f t="shared" si="100"/>
        <v>7.776000000000001E-2</v>
      </c>
      <c r="P122" s="1321">
        <f t="shared" si="100"/>
        <v>4.7880000000000006E-2</v>
      </c>
      <c r="Q122" s="1321">
        <f t="shared" si="100"/>
        <v>0</v>
      </c>
      <c r="R122" s="1321">
        <f t="shared" si="100"/>
        <v>0.14873999999999998</v>
      </c>
      <c r="S122" s="1321">
        <f t="shared" si="100"/>
        <v>0</v>
      </c>
      <c r="T122" s="1321">
        <f t="shared" si="100"/>
        <v>8.3069999999999991E-2</v>
      </c>
      <c r="U122" s="1321">
        <f t="shared" si="100"/>
        <v>9.1200000000000003E-2</v>
      </c>
      <c r="V122" s="1321">
        <f t="shared" si="100"/>
        <v>8.6399999999999991E-2</v>
      </c>
      <c r="W122" s="1321">
        <f t="shared" si="100"/>
        <v>2.4849999999999997E-2</v>
      </c>
      <c r="X122" s="1321">
        <f t="shared" si="100"/>
        <v>0</v>
      </c>
      <c r="Y122" s="1321">
        <f t="shared" si="100"/>
        <v>4.2349999999999999E-2</v>
      </c>
      <c r="Z122" s="1321">
        <f t="shared" si="100"/>
        <v>0.14796000000000001</v>
      </c>
      <c r="AA122" s="1321">
        <f t="shared" si="100"/>
        <v>0.15618000000000001</v>
      </c>
      <c r="AB122" s="1321">
        <f t="shared" si="100"/>
        <v>7.2579999999999992E-2</v>
      </c>
      <c r="AC122" s="1321">
        <f t="shared" si="100"/>
        <v>7.2579999999999992E-2</v>
      </c>
      <c r="AD122" s="1321">
        <f t="shared" si="100"/>
        <v>5.5890000000000002E-2</v>
      </c>
      <c r="AE122" s="1321">
        <f t="shared" si="100"/>
        <v>0.40035000000000004</v>
      </c>
      <c r="AF122" s="1321">
        <f>+AF120*AF117/1000</f>
        <v>0.16769999999999999</v>
      </c>
      <c r="AG122" s="1321">
        <f t="shared" si="100"/>
        <v>0</v>
      </c>
      <c r="AH122" s="1321">
        <f t="shared" si="100"/>
        <v>0</v>
      </c>
      <c r="AI122" s="1321">
        <f t="shared" si="100"/>
        <v>0</v>
      </c>
      <c r="AJ122" s="1321">
        <f t="shared" si="100"/>
        <v>0</v>
      </c>
      <c r="AK122" s="1321">
        <f t="shared" si="100"/>
        <v>0</v>
      </c>
      <c r="AL122" s="1321">
        <f t="shared" si="100"/>
        <v>0</v>
      </c>
      <c r="AM122" s="1321">
        <f t="shared" si="100"/>
        <v>0</v>
      </c>
      <c r="AN122" s="1321">
        <f t="shared" ref="AN122" si="102">+AN120*AN117/1000</f>
        <v>0</v>
      </c>
      <c r="AO122" s="706"/>
    </row>
    <row r="123" spans="3:41" ht="15.75" thickBot="1" x14ac:dyDescent="0.3">
      <c r="C123" s="202"/>
      <c r="D123" s="1608"/>
      <c r="E123" s="848"/>
      <c r="F123" s="1684" t="s">
        <v>340</v>
      </c>
      <c r="G123" s="293" t="s">
        <v>341</v>
      </c>
      <c r="H123" s="196">
        <f>SUMIF($J$9:$AN$9,"&lt;="&amp;$E$7,J123:AN123)</f>
        <v>0</v>
      </c>
      <c r="I123" s="197"/>
      <c r="J123" s="198"/>
      <c r="K123" s="198"/>
      <c r="L123" s="198"/>
      <c r="M123" s="199"/>
      <c r="N123" s="199"/>
      <c r="O123" s="199"/>
      <c r="P123" s="199"/>
      <c r="Q123" s="199"/>
      <c r="R123" s="200"/>
      <c r="S123" s="199"/>
      <c r="T123" s="199"/>
      <c r="U123" s="199"/>
      <c r="V123" s="199"/>
      <c r="W123" s="199"/>
      <c r="X123" s="199"/>
      <c r="Y123" s="199"/>
      <c r="Z123" s="199"/>
      <c r="AA123" s="199"/>
      <c r="AB123" s="199"/>
      <c r="AC123" s="199"/>
      <c r="AD123" s="199"/>
      <c r="AE123" s="199"/>
      <c r="AF123" s="199"/>
      <c r="AG123" s="199"/>
      <c r="AH123" s="199"/>
      <c r="AI123" s="199"/>
      <c r="AJ123" s="199"/>
      <c r="AK123" s="199"/>
      <c r="AL123" s="199"/>
      <c r="AM123" s="199"/>
      <c r="AN123" s="201"/>
      <c r="AO123" s="845"/>
    </row>
    <row r="124" spans="3:41" ht="15.75" thickBot="1" x14ac:dyDescent="0.3">
      <c r="C124" s="202"/>
      <c r="D124" s="1608"/>
      <c r="E124" s="849"/>
      <c r="F124" s="1684"/>
      <c r="G124" s="1379" t="s">
        <v>342</v>
      </c>
      <c r="H124" s="1303">
        <f>SUMIF($J$9:$AN$9,"&lt;="&amp;$E$7,J124:AN124)</f>
        <v>0</v>
      </c>
      <c r="I124" s="1380">
        <f t="shared" ref="I124" si="103">IFERROR((H124-H123)/H123,0)</f>
        <v>0</v>
      </c>
      <c r="J124" s="1305"/>
      <c r="K124" s="1305"/>
      <c r="L124" s="1303"/>
      <c r="M124" s="1303"/>
      <c r="N124" s="1303"/>
      <c r="O124" s="1303"/>
      <c r="P124" s="1303"/>
      <c r="Q124" s="1303"/>
      <c r="R124" s="1303"/>
      <c r="S124" s="1303"/>
      <c r="T124" s="1303"/>
      <c r="U124" s="1303"/>
      <c r="V124" s="1303"/>
      <c r="W124" s="1303"/>
      <c r="X124" s="1303"/>
      <c r="Y124" s="1303"/>
      <c r="Z124" s="1303"/>
      <c r="AA124" s="1303"/>
      <c r="AB124" s="1303"/>
      <c r="AC124" s="1303"/>
      <c r="AD124" s="1303"/>
      <c r="AE124" s="1303"/>
      <c r="AF124" s="1303"/>
      <c r="AG124" s="1303"/>
      <c r="AH124" s="1303"/>
      <c r="AI124" s="1303"/>
      <c r="AJ124" s="1303"/>
      <c r="AK124" s="1303"/>
      <c r="AL124" s="1303"/>
      <c r="AM124" s="1303"/>
      <c r="AN124" s="1303"/>
      <c r="AO124" s="347"/>
    </row>
    <row r="125" spans="3:41" ht="15.75" thickBot="1" x14ac:dyDescent="0.3">
      <c r="C125" s="202"/>
      <c r="D125" s="1608"/>
      <c r="E125" s="849"/>
      <c r="F125" s="1684"/>
      <c r="G125" s="1389" t="s">
        <v>312</v>
      </c>
      <c r="H125" s="1390"/>
      <c r="I125" s="1391"/>
      <c r="J125" s="203"/>
      <c r="K125" s="203"/>
      <c r="L125" s="203"/>
      <c r="M125" s="203"/>
      <c r="N125" s="203"/>
      <c r="O125" s="203"/>
      <c r="P125" s="203"/>
      <c r="Q125" s="203"/>
      <c r="R125" s="204"/>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5"/>
      <c r="AO125" s="846"/>
    </row>
    <row r="126" spans="3:41" ht="15.75" thickBot="1" x14ac:dyDescent="0.3">
      <c r="C126" s="202"/>
      <c r="D126" s="1608"/>
      <c r="E126" s="849"/>
      <c r="F126" s="1685" t="s">
        <v>343</v>
      </c>
      <c r="G126" s="1384" t="s">
        <v>344</v>
      </c>
      <c r="H126" s="1310">
        <f t="shared" ref="H126:H127" si="104">IFERROR(H128*1000/H123,0)</f>
        <v>0</v>
      </c>
      <c r="I126" s="1385"/>
      <c r="J126" s="1312"/>
      <c r="K126" s="1312"/>
      <c r="L126" s="1312"/>
      <c r="M126" s="1333"/>
      <c r="N126" s="1333"/>
      <c r="O126" s="1333"/>
      <c r="P126" s="1333"/>
      <c r="Q126" s="1333"/>
      <c r="R126" s="1334"/>
      <c r="S126" s="1333"/>
      <c r="T126" s="1333"/>
      <c r="U126" s="1333"/>
      <c r="V126" s="1333"/>
      <c r="W126" s="1333"/>
      <c r="X126" s="1333"/>
      <c r="Y126" s="1333"/>
      <c r="Z126" s="1333"/>
      <c r="AA126" s="1333"/>
      <c r="AB126" s="1333"/>
      <c r="AC126" s="1333"/>
      <c r="AD126" s="1333"/>
      <c r="AE126" s="1333"/>
      <c r="AF126" s="1333"/>
      <c r="AG126" s="1333"/>
      <c r="AH126" s="1333"/>
      <c r="AI126" s="1333"/>
      <c r="AJ126" s="1333"/>
      <c r="AK126" s="1333"/>
      <c r="AL126" s="1333"/>
      <c r="AM126" s="1333"/>
      <c r="AN126" s="1335"/>
      <c r="AO126" s="347"/>
    </row>
    <row r="127" spans="3:41" ht="15.75" thickBot="1" x14ac:dyDescent="0.3">
      <c r="C127" s="202"/>
      <c r="D127" s="1608"/>
      <c r="E127" s="849"/>
      <c r="F127" s="1685"/>
      <c r="G127" s="1386" t="s">
        <v>345</v>
      </c>
      <c r="H127" s="1314">
        <f t="shared" si="104"/>
        <v>0</v>
      </c>
      <c r="I127" s="1380">
        <f t="shared" ref="I127" si="105">IFERROR((H127-H126)/H126,0)</f>
        <v>0</v>
      </c>
      <c r="J127" s="1315"/>
      <c r="K127" s="1315"/>
      <c r="L127" s="1314"/>
      <c r="M127" s="1314"/>
      <c r="N127" s="1314"/>
      <c r="O127" s="1314"/>
      <c r="P127" s="1314"/>
      <c r="Q127" s="1314"/>
      <c r="R127" s="1314"/>
      <c r="S127" s="1314"/>
      <c r="T127" s="1314"/>
      <c r="U127" s="1314"/>
      <c r="V127" s="1314"/>
      <c r="W127" s="1314"/>
      <c r="X127" s="1314"/>
      <c r="Y127" s="1314"/>
      <c r="Z127" s="1314"/>
      <c r="AA127" s="1314"/>
      <c r="AB127" s="1314"/>
      <c r="AC127" s="1314"/>
      <c r="AD127" s="1314"/>
      <c r="AE127" s="1314"/>
      <c r="AF127" s="1314"/>
      <c r="AG127" s="1314"/>
      <c r="AH127" s="1314"/>
      <c r="AI127" s="1314"/>
      <c r="AJ127" s="1314"/>
      <c r="AK127" s="1314"/>
      <c r="AL127" s="1314"/>
      <c r="AM127" s="1314"/>
      <c r="AN127" s="1314"/>
      <c r="AO127" s="347"/>
    </row>
    <row r="128" spans="3:41" ht="15.75" thickBot="1" x14ac:dyDescent="0.3">
      <c r="C128" s="202"/>
      <c r="D128" s="1608"/>
      <c r="E128" s="849"/>
      <c r="F128" s="1686" t="s">
        <v>47</v>
      </c>
      <c r="G128" s="1384" t="s">
        <v>346</v>
      </c>
      <c r="H128" s="206">
        <f>SUMIF($J$9:$AN$9,"&lt;="&amp;$E$7,J128:AN128)</f>
        <v>0</v>
      </c>
      <c r="I128" s="1385"/>
      <c r="J128" s="1316">
        <f t="shared" ref="J128:AN129" si="106">+J126*J123/1000</f>
        <v>0</v>
      </c>
      <c r="K128" s="1316">
        <f t="shared" si="106"/>
        <v>0</v>
      </c>
      <c r="L128" s="1316">
        <f t="shared" si="106"/>
        <v>0</v>
      </c>
      <c r="M128" s="1317">
        <f t="shared" si="106"/>
        <v>0</v>
      </c>
      <c r="N128" s="1317">
        <f t="shared" si="106"/>
        <v>0</v>
      </c>
      <c r="O128" s="1317">
        <f t="shared" si="106"/>
        <v>0</v>
      </c>
      <c r="P128" s="1317">
        <f t="shared" si="106"/>
        <v>0</v>
      </c>
      <c r="Q128" s="1317">
        <f t="shared" si="106"/>
        <v>0</v>
      </c>
      <c r="R128" s="1318">
        <f t="shared" si="106"/>
        <v>0</v>
      </c>
      <c r="S128" s="1317">
        <f t="shared" si="106"/>
        <v>0</v>
      </c>
      <c r="T128" s="1317">
        <f t="shared" si="106"/>
        <v>0</v>
      </c>
      <c r="U128" s="1317">
        <f t="shared" si="106"/>
        <v>0</v>
      </c>
      <c r="V128" s="1317">
        <f t="shared" si="106"/>
        <v>0</v>
      </c>
      <c r="W128" s="1317">
        <f t="shared" si="106"/>
        <v>0</v>
      </c>
      <c r="X128" s="1317">
        <f t="shared" si="106"/>
        <v>0</v>
      </c>
      <c r="Y128" s="1317">
        <f t="shared" si="106"/>
        <v>0</v>
      </c>
      <c r="Z128" s="1317">
        <f t="shared" si="106"/>
        <v>0</v>
      </c>
      <c r="AA128" s="1317">
        <f t="shared" si="106"/>
        <v>0</v>
      </c>
      <c r="AB128" s="1317">
        <f t="shared" si="106"/>
        <v>0</v>
      </c>
      <c r="AC128" s="1317">
        <f t="shared" si="106"/>
        <v>0</v>
      </c>
      <c r="AD128" s="1317">
        <f t="shared" si="106"/>
        <v>0</v>
      </c>
      <c r="AE128" s="1317">
        <f t="shared" si="106"/>
        <v>0</v>
      </c>
      <c r="AF128" s="1317">
        <f t="shared" si="106"/>
        <v>0</v>
      </c>
      <c r="AG128" s="1317">
        <f t="shared" si="106"/>
        <v>0</v>
      </c>
      <c r="AH128" s="1317">
        <f t="shared" si="106"/>
        <v>0</v>
      </c>
      <c r="AI128" s="1317">
        <f t="shared" si="106"/>
        <v>0</v>
      </c>
      <c r="AJ128" s="1317">
        <f t="shared" si="106"/>
        <v>0</v>
      </c>
      <c r="AK128" s="1317">
        <f t="shared" si="106"/>
        <v>0</v>
      </c>
      <c r="AL128" s="1317">
        <f t="shared" si="106"/>
        <v>0</v>
      </c>
      <c r="AM128" s="1317">
        <f t="shared" si="106"/>
        <v>0</v>
      </c>
      <c r="AN128" s="1319">
        <f t="shared" si="106"/>
        <v>0</v>
      </c>
      <c r="AO128" s="705"/>
    </row>
    <row r="129" spans="3:41" ht="15.75" thickBot="1" x14ac:dyDescent="0.3">
      <c r="C129" s="202"/>
      <c r="D129" s="1609"/>
      <c r="E129" s="850"/>
      <c r="F129" s="1687"/>
      <c r="G129" s="1387" t="s">
        <v>347</v>
      </c>
      <c r="H129" s="1321">
        <f>SUMIF($J$9:$AN$9,"&lt;="&amp;$E$7,J129:AN129)</f>
        <v>0</v>
      </c>
      <c r="I129" s="1388">
        <f t="shared" ref="I129" si="107">IFERROR((H129-H128)/H128,0)</f>
        <v>0</v>
      </c>
      <c r="J129" s="1323">
        <f t="shared" si="106"/>
        <v>0</v>
      </c>
      <c r="K129" s="1323">
        <f t="shared" si="106"/>
        <v>0</v>
      </c>
      <c r="L129" s="1321">
        <f t="shared" si="106"/>
        <v>0</v>
      </c>
      <c r="M129" s="1321">
        <f t="shared" si="106"/>
        <v>0</v>
      </c>
      <c r="N129" s="1321">
        <f t="shared" si="106"/>
        <v>0</v>
      </c>
      <c r="O129" s="1321">
        <f t="shared" si="106"/>
        <v>0</v>
      </c>
      <c r="P129" s="1321">
        <f t="shared" si="106"/>
        <v>0</v>
      </c>
      <c r="Q129" s="1321">
        <f t="shared" si="106"/>
        <v>0</v>
      </c>
      <c r="R129" s="1321">
        <f t="shared" si="106"/>
        <v>0</v>
      </c>
      <c r="S129" s="1321">
        <f t="shared" si="106"/>
        <v>0</v>
      </c>
      <c r="T129" s="1321">
        <f t="shared" si="106"/>
        <v>0</v>
      </c>
      <c r="U129" s="1321">
        <f t="shared" si="106"/>
        <v>0</v>
      </c>
      <c r="V129" s="1321">
        <f t="shared" si="106"/>
        <v>0</v>
      </c>
      <c r="W129" s="1321">
        <f t="shared" si="106"/>
        <v>0</v>
      </c>
      <c r="X129" s="1321">
        <f t="shared" si="106"/>
        <v>0</v>
      </c>
      <c r="Y129" s="1321">
        <f t="shared" si="106"/>
        <v>0</v>
      </c>
      <c r="Z129" s="1321">
        <f t="shared" si="106"/>
        <v>0</v>
      </c>
      <c r="AA129" s="1321">
        <f t="shared" si="106"/>
        <v>0</v>
      </c>
      <c r="AB129" s="1321">
        <f t="shared" si="106"/>
        <v>0</v>
      </c>
      <c r="AC129" s="1321">
        <f t="shared" si="106"/>
        <v>0</v>
      </c>
      <c r="AD129" s="1321">
        <f t="shared" si="106"/>
        <v>0</v>
      </c>
      <c r="AE129" s="1321">
        <f t="shared" si="106"/>
        <v>0</v>
      </c>
      <c r="AF129" s="1321">
        <f t="shared" si="106"/>
        <v>0</v>
      </c>
      <c r="AG129" s="1321">
        <f t="shared" si="106"/>
        <v>0</v>
      </c>
      <c r="AH129" s="1321">
        <f t="shared" si="106"/>
        <v>0</v>
      </c>
      <c r="AI129" s="1321">
        <f t="shared" si="106"/>
        <v>0</v>
      </c>
      <c r="AJ129" s="1321">
        <f t="shared" si="106"/>
        <v>0</v>
      </c>
      <c r="AK129" s="1321">
        <f t="shared" si="106"/>
        <v>0</v>
      </c>
      <c r="AL129" s="1321">
        <f t="shared" si="106"/>
        <v>0</v>
      </c>
      <c r="AM129" s="1321">
        <f t="shared" si="106"/>
        <v>0</v>
      </c>
      <c r="AN129" s="1321">
        <f t="shared" si="106"/>
        <v>0</v>
      </c>
      <c r="AO129" s="706"/>
    </row>
    <row r="130" spans="3:41" ht="15.75" thickBot="1" x14ac:dyDescent="0.3">
      <c r="C130" s="202"/>
      <c r="D130" s="1607"/>
      <c r="E130" s="849"/>
      <c r="F130" s="1688" t="s">
        <v>340</v>
      </c>
      <c r="G130" s="195" t="s">
        <v>341</v>
      </c>
      <c r="H130" s="295">
        <f>SUMIF($J$9:$AN$9,"&lt;="&amp;$E$7,J130:AN130)</f>
        <v>0</v>
      </c>
      <c r="I130" s="296"/>
      <c r="J130" s="851"/>
      <c r="K130" s="198"/>
      <c r="L130" s="198"/>
      <c r="M130" s="199"/>
      <c r="N130" s="199"/>
      <c r="O130" s="199"/>
      <c r="P130" s="199"/>
      <c r="Q130" s="199"/>
      <c r="R130" s="200"/>
      <c r="S130" s="199"/>
      <c r="T130" s="199"/>
      <c r="U130" s="199"/>
      <c r="V130" s="199"/>
      <c r="W130" s="199"/>
      <c r="X130" s="199"/>
      <c r="Y130" s="199"/>
      <c r="Z130" s="199"/>
      <c r="AA130" s="199"/>
      <c r="AB130" s="199"/>
      <c r="AC130" s="199"/>
      <c r="AD130" s="199"/>
      <c r="AE130" s="199"/>
      <c r="AF130" s="199"/>
      <c r="AG130" s="199"/>
      <c r="AH130" s="199"/>
      <c r="AI130" s="199"/>
      <c r="AJ130" s="199"/>
      <c r="AK130" s="199"/>
      <c r="AL130" s="199"/>
      <c r="AM130" s="199"/>
      <c r="AN130" s="201"/>
      <c r="AO130" s="845"/>
    </row>
    <row r="131" spans="3:41" ht="15.75" thickBot="1" x14ac:dyDescent="0.3">
      <c r="C131" s="202"/>
      <c r="D131" s="1608"/>
      <c r="E131" s="849"/>
      <c r="F131" s="1684"/>
      <c r="G131" s="1379" t="s">
        <v>342</v>
      </c>
      <c r="H131" s="1303">
        <f>SUMIF($J$9:$AN$9,"&lt;="&amp;$E$7,J131:AN131)</f>
        <v>0</v>
      </c>
      <c r="I131" s="1380">
        <f t="shared" ref="I131" si="108">IFERROR((H131-H130)/H130,0)</f>
        <v>0</v>
      </c>
      <c r="J131" s="1305"/>
      <c r="K131" s="1303"/>
      <c r="L131" s="1303"/>
      <c r="M131" s="1303"/>
      <c r="N131" s="1303"/>
      <c r="O131" s="1303"/>
      <c r="P131" s="1303"/>
      <c r="Q131" s="1303"/>
      <c r="R131" s="1303"/>
      <c r="S131" s="1303"/>
      <c r="T131" s="1303"/>
      <c r="U131" s="1303"/>
      <c r="V131" s="1303"/>
      <c r="W131" s="1303"/>
      <c r="X131" s="1303"/>
      <c r="Y131" s="1303"/>
      <c r="Z131" s="1303"/>
      <c r="AA131" s="1303"/>
      <c r="AB131" s="1303"/>
      <c r="AC131" s="1303"/>
      <c r="AD131" s="1303"/>
      <c r="AE131" s="1303"/>
      <c r="AF131" s="1303"/>
      <c r="AG131" s="1303"/>
      <c r="AH131" s="1303"/>
      <c r="AI131" s="1303"/>
      <c r="AJ131" s="1303"/>
      <c r="AK131" s="1303"/>
      <c r="AL131" s="1303"/>
      <c r="AM131" s="1303"/>
      <c r="AN131" s="1303"/>
      <c r="AO131" s="347"/>
    </row>
    <row r="132" spans="3:41" ht="15.75" thickBot="1" x14ac:dyDescent="0.3">
      <c r="C132" s="202"/>
      <c r="D132" s="1608"/>
      <c r="E132" s="849"/>
      <c r="F132" s="1684"/>
      <c r="G132" s="1389" t="s">
        <v>312</v>
      </c>
      <c r="H132" s="1390"/>
      <c r="I132" s="1391"/>
      <c r="J132" s="203"/>
      <c r="K132" s="203"/>
      <c r="L132" s="203"/>
      <c r="M132" s="203"/>
      <c r="N132" s="203"/>
      <c r="O132" s="203"/>
      <c r="P132" s="203"/>
      <c r="Q132" s="203"/>
      <c r="R132" s="204"/>
      <c r="S132" s="203"/>
      <c r="T132" s="203"/>
      <c r="U132" s="203"/>
      <c r="V132" s="203"/>
      <c r="W132" s="203"/>
      <c r="X132" s="203"/>
      <c r="Y132" s="203"/>
      <c r="Z132" s="203"/>
      <c r="AA132" s="203"/>
      <c r="AB132" s="203"/>
      <c r="AC132" s="203"/>
      <c r="AD132" s="203"/>
      <c r="AE132" s="203"/>
      <c r="AF132" s="203"/>
      <c r="AG132" s="203"/>
      <c r="AH132" s="203"/>
      <c r="AI132" s="203"/>
      <c r="AJ132" s="203"/>
      <c r="AK132" s="203"/>
      <c r="AL132" s="203"/>
      <c r="AM132" s="203"/>
      <c r="AN132" s="205"/>
      <c r="AO132" s="846"/>
    </row>
    <row r="133" spans="3:41" ht="15.75" thickBot="1" x14ac:dyDescent="0.3">
      <c r="C133" s="202"/>
      <c r="D133" s="1608"/>
      <c r="E133" s="849"/>
      <c r="F133" s="1685" t="s">
        <v>343</v>
      </c>
      <c r="G133" s="1384" t="s">
        <v>344</v>
      </c>
      <c r="H133" s="1310">
        <f t="shared" ref="H133:H134" si="109">IFERROR(H135*1000/H130,0)</f>
        <v>0</v>
      </c>
      <c r="I133" s="1385"/>
      <c r="J133" s="1312"/>
      <c r="K133" s="1312"/>
      <c r="L133" s="1312"/>
      <c r="M133" s="1333"/>
      <c r="N133" s="1333"/>
      <c r="O133" s="1333"/>
      <c r="P133" s="1333"/>
      <c r="Q133" s="1333"/>
      <c r="R133" s="1334"/>
      <c r="S133" s="1333"/>
      <c r="T133" s="1333"/>
      <c r="U133" s="1333"/>
      <c r="V133" s="1333"/>
      <c r="W133" s="1333"/>
      <c r="X133" s="1333"/>
      <c r="Y133" s="1333"/>
      <c r="Z133" s="1333"/>
      <c r="AA133" s="1333"/>
      <c r="AB133" s="1333"/>
      <c r="AC133" s="1333"/>
      <c r="AD133" s="1333"/>
      <c r="AE133" s="1333"/>
      <c r="AF133" s="1333"/>
      <c r="AG133" s="1333"/>
      <c r="AH133" s="1333"/>
      <c r="AI133" s="1333"/>
      <c r="AJ133" s="1333"/>
      <c r="AK133" s="1333"/>
      <c r="AL133" s="1333"/>
      <c r="AM133" s="1333"/>
      <c r="AN133" s="1335"/>
      <c r="AO133" s="347"/>
    </row>
    <row r="134" spans="3:41" ht="15.75" thickBot="1" x14ac:dyDescent="0.3">
      <c r="C134" s="202"/>
      <c r="D134" s="1608"/>
      <c r="E134" s="849"/>
      <c r="F134" s="1685"/>
      <c r="G134" s="1386" t="s">
        <v>345</v>
      </c>
      <c r="H134" s="1314">
        <f t="shared" si="109"/>
        <v>0</v>
      </c>
      <c r="I134" s="1380">
        <f t="shared" ref="I134" si="110">IFERROR((H134-H133)/H133,0)</f>
        <v>0</v>
      </c>
      <c r="J134" s="1315"/>
      <c r="K134" s="1314"/>
      <c r="L134" s="1314"/>
      <c r="M134" s="1314"/>
      <c r="N134" s="1314"/>
      <c r="O134" s="1314"/>
      <c r="P134" s="1314"/>
      <c r="Q134" s="1314"/>
      <c r="R134" s="1314"/>
      <c r="S134" s="1314"/>
      <c r="T134" s="1314"/>
      <c r="U134" s="1314"/>
      <c r="V134" s="1314"/>
      <c r="W134" s="1314"/>
      <c r="X134" s="1314"/>
      <c r="Y134" s="1314"/>
      <c r="Z134" s="1314"/>
      <c r="AA134" s="1314"/>
      <c r="AB134" s="1314"/>
      <c r="AC134" s="1314"/>
      <c r="AD134" s="1314"/>
      <c r="AE134" s="1314"/>
      <c r="AF134" s="1314"/>
      <c r="AG134" s="1314"/>
      <c r="AH134" s="1314"/>
      <c r="AI134" s="1314"/>
      <c r="AJ134" s="1314"/>
      <c r="AK134" s="1314"/>
      <c r="AL134" s="1314"/>
      <c r="AM134" s="1314"/>
      <c r="AN134" s="1314"/>
      <c r="AO134" s="347"/>
    </row>
    <row r="135" spans="3:41" ht="15.75" thickBot="1" x14ac:dyDescent="0.3">
      <c r="C135" s="202"/>
      <c r="D135" s="1608"/>
      <c r="E135" s="849"/>
      <c r="F135" s="1686" t="s">
        <v>47</v>
      </c>
      <c r="G135" s="1384" t="s">
        <v>346</v>
      </c>
      <c r="H135" s="206">
        <f>SUMIF($J$9:$AN$9,"&lt;="&amp;$E$7,J135:AN135)</f>
        <v>0</v>
      </c>
      <c r="I135" s="1385"/>
      <c r="J135" s="1316">
        <f t="shared" ref="J135:AN136" si="111">+J133*J130/1000</f>
        <v>0</v>
      </c>
      <c r="K135" s="1316">
        <f t="shared" si="111"/>
        <v>0</v>
      </c>
      <c r="L135" s="1316">
        <f t="shared" si="111"/>
        <v>0</v>
      </c>
      <c r="M135" s="1317">
        <f t="shared" si="111"/>
        <v>0</v>
      </c>
      <c r="N135" s="1317">
        <f t="shared" si="111"/>
        <v>0</v>
      </c>
      <c r="O135" s="1317">
        <f t="shared" si="111"/>
        <v>0</v>
      </c>
      <c r="P135" s="1317">
        <f t="shared" si="111"/>
        <v>0</v>
      </c>
      <c r="Q135" s="1317">
        <f t="shared" si="111"/>
        <v>0</v>
      </c>
      <c r="R135" s="1318">
        <f t="shared" si="111"/>
        <v>0</v>
      </c>
      <c r="S135" s="1317">
        <f t="shared" si="111"/>
        <v>0</v>
      </c>
      <c r="T135" s="1317">
        <f t="shared" si="111"/>
        <v>0</v>
      </c>
      <c r="U135" s="1317">
        <f t="shared" si="111"/>
        <v>0</v>
      </c>
      <c r="V135" s="1317">
        <f t="shared" si="111"/>
        <v>0</v>
      </c>
      <c r="W135" s="1317">
        <f t="shared" si="111"/>
        <v>0</v>
      </c>
      <c r="X135" s="1317">
        <f t="shared" si="111"/>
        <v>0</v>
      </c>
      <c r="Y135" s="1317">
        <f t="shared" si="111"/>
        <v>0</v>
      </c>
      <c r="Z135" s="1317">
        <f t="shared" si="111"/>
        <v>0</v>
      </c>
      <c r="AA135" s="1317">
        <f t="shared" si="111"/>
        <v>0</v>
      </c>
      <c r="AB135" s="1317">
        <f t="shared" si="111"/>
        <v>0</v>
      </c>
      <c r="AC135" s="1317">
        <f t="shared" si="111"/>
        <v>0</v>
      </c>
      <c r="AD135" s="1317">
        <f t="shared" si="111"/>
        <v>0</v>
      </c>
      <c r="AE135" s="1317">
        <f t="shared" si="111"/>
        <v>0</v>
      </c>
      <c r="AF135" s="1317">
        <f t="shared" si="111"/>
        <v>0</v>
      </c>
      <c r="AG135" s="1317">
        <f t="shared" si="111"/>
        <v>0</v>
      </c>
      <c r="AH135" s="1317">
        <f t="shared" si="111"/>
        <v>0</v>
      </c>
      <c r="AI135" s="1317">
        <f t="shared" si="111"/>
        <v>0</v>
      </c>
      <c r="AJ135" s="1317">
        <f t="shared" si="111"/>
        <v>0</v>
      </c>
      <c r="AK135" s="1317">
        <f t="shared" si="111"/>
        <v>0</v>
      </c>
      <c r="AL135" s="1317">
        <f t="shared" si="111"/>
        <v>0</v>
      </c>
      <c r="AM135" s="1317">
        <f t="shared" si="111"/>
        <v>0</v>
      </c>
      <c r="AN135" s="1319">
        <f t="shared" si="111"/>
        <v>0</v>
      </c>
      <c r="AO135" s="705"/>
    </row>
    <row r="136" spans="3:41" ht="15.75" thickBot="1" x14ac:dyDescent="0.3">
      <c r="C136" s="202"/>
      <c r="D136" s="1609"/>
      <c r="E136" s="850"/>
      <c r="F136" s="1687"/>
      <c r="G136" s="1387" t="s">
        <v>347</v>
      </c>
      <c r="H136" s="1321">
        <f>SUMIF($J$9:$AN$9,"&lt;="&amp;$E$7,J136:AN136)</f>
        <v>0</v>
      </c>
      <c r="I136" s="1388">
        <f t="shared" ref="I136" si="112">IFERROR((H136-H135)/H135,0)</f>
        <v>0</v>
      </c>
      <c r="J136" s="1323">
        <f t="shared" si="111"/>
        <v>0</v>
      </c>
      <c r="K136" s="1321">
        <f t="shared" si="111"/>
        <v>0</v>
      </c>
      <c r="L136" s="1321">
        <f t="shared" si="111"/>
        <v>0</v>
      </c>
      <c r="M136" s="1321">
        <f t="shared" si="111"/>
        <v>0</v>
      </c>
      <c r="N136" s="1321">
        <f t="shared" si="111"/>
        <v>0</v>
      </c>
      <c r="O136" s="1321">
        <f t="shared" si="111"/>
        <v>0</v>
      </c>
      <c r="P136" s="1321">
        <f t="shared" si="111"/>
        <v>0</v>
      </c>
      <c r="Q136" s="1321">
        <f t="shared" si="111"/>
        <v>0</v>
      </c>
      <c r="R136" s="1321">
        <f t="shared" si="111"/>
        <v>0</v>
      </c>
      <c r="S136" s="1321">
        <f t="shared" si="111"/>
        <v>0</v>
      </c>
      <c r="T136" s="1321">
        <f t="shared" si="111"/>
        <v>0</v>
      </c>
      <c r="U136" s="1321">
        <f t="shared" si="111"/>
        <v>0</v>
      </c>
      <c r="V136" s="1321">
        <f t="shared" si="111"/>
        <v>0</v>
      </c>
      <c r="W136" s="1321">
        <f t="shared" si="111"/>
        <v>0</v>
      </c>
      <c r="X136" s="1321">
        <f t="shared" si="111"/>
        <v>0</v>
      </c>
      <c r="Y136" s="1321">
        <f t="shared" si="111"/>
        <v>0</v>
      </c>
      <c r="Z136" s="1321">
        <f t="shared" si="111"/>
        <v>0</v>
      </c>
      <c r="AA136" s="1321">
        <f t="shared" si="111"/>
        <v>0</v>
      </c>
      <c r="AB136" s="1321">
        <f t="shared" si="111"/>
        <v>0</v>
      </c>
      <c r="AC136" s="1321">
        <f t="shared" si="111"/>
        <v>0</v>
      </c>
      <c r="AD136" s="1321">
        <f t="shared" si="111"/>
        <v>0</v>
      </c>
      <c r="AE136" s="1321">
        <f t="shared" si="111"/>
        <v>0</v>
      </c>
      <c r="AF136" s="1321">
        <f t="shared" si="111"/>
        <v>0</v>
      </c>
      <c r="AG136" s="1321">
        <f t="shared" si="111"/>
        <v>0</v>
      </c>
      <c r="AH136" s="1321">
        <f t="shared" si="111"/>
        <v>0</v>
      </c>
      <c r="AI136" s="1321">
        <f t="shared" si="111"/>
        <v>0</v>
      </c>
      <c r="AJ136" s="1321">
        <f t="shared" si="111"/>
        <v>0</v>
      </c>
      <c r="AK136" s="1321">
        <f t="shared" si="111"/>
        <v>0</v>
      </c>
      <c r="AL136" s="1321">
        <f t="shared" si="111"/>
        <v>0</v>
      </c>
      <c r="AM136" s="1321">
        <f t="shared" si="111"/>
        <v>0</v>
      </c>
      <c r="AN136" s="1321">
        <f t="shared" si="111"/>
        <v>0</v>
      </c>
      <c r="AO136" s="706"/>
    </row>
  </sheetData>
  <mergeCells count="132">
    <mergeCell ref="A100:A101"/>
    <mergeCell ref="A102:A104"/>
    <mergeCell ref="A105:A106"/>
    <mergeCell ref="A107:A108"/>
    <mergeCell ref="A86:A87"/>
    <mergeCell ref="A88:A90"/>
    <mergeCell ref="A91:A92"/>
    <mergeCell ref="A93:A94"/>
    <mergeCell ref="A95:A97"/>
    <mergeCell ref="A98:A99"/>
    <mergeCell ref="A72:A73"/>
    <mergeCell ref="A74:A76"/>
    <mergeCell ref="A77:A78"/>
    <mergeCell ref="A79:A80"/>
    <mergeCell ref="A81:A83"/>
    <mergeCell ref="A84:A85"/>
    <mergeCell ref="A58:A59"/>
    <mergeCell ref="A60:A62"/>
    <mergeCell ref="A63:A64"/>
    <mergeCell ref="A65:A66"/>
    <mergeCell ref="A67:A69"/>
    <mergeCell ref="A70:A71"/>
    <mergeCell ref="A44:A45"/>
    <mergeCell ref="A46:A48"/>
    <mergeCell ref="A49:A50"/>
    <mergeCell ref="A51:A52"/>
    <mergeCell ref="A53:A55"/>
    <mergeCell ref="A56:A57"/>
    <mergeCell ref="A30:A31"/>
    <mergeCell ref="A32:A34"/>
    <mergeCell ref="A35:A36"/>
    <mergeCell ref="A37:A38"/>
    <mergeCell ref="A39:A41"/>
    <mergeCell ref="A42:A43"/>
    <mergeCell ref="A17:C17"/>
    <mergeCell ref="A18:A20"/>
    <mergeCell ref="A21:A22"/>
    <mergeCell ref="A23:A24"/>
    <mergeCell ref="A25:A27"/>
    <mergeCell ref="A28:A29"/>
    <mergeCell ref="D123:D129"/>
    <mergeCell ref="F123:F125"/>
    <mergeCell ref="F126:F127"/>
    <mergeCell ref="F128:F129"/>
    <mergeCell ref="D95:D101"/>
    <mergeCell ref="E95:E101"/>
    <mergeCell ref="F95:F97"/>
    <mergeCell ref="F98:F99"/>
    <mergeCell ref="F100:F101"/>
    <mergeCell ref="D102:D108"/>
    <mergeCell ref="E102:E108"/>
    <mergeCell ref="F102:F104"/>
    <mergeCell ref="F105:F106"/>
    <mergeCell ref="F107:F108"/>
    <mergeCell ref="D81:D87"/>
    <mergeCell ref="E81:E87"/>
    <mergeCell ref="F81:F83"/>
    <mergeCell ref="F84:F85"/>
    <mergeCell ref="D130:D136"/>
    <mergeCell ref="F130:F132"/>
    <mergeCell ref="F133:F134"/>
    <mergeCell ref="F135:F136"/>
    <mergeCell ref="D109:D115"/>
    <mergeCell ref="E109:E115"/>
    <mergeCell ref="F109:F111"/>
    <mergeCell ref="F112:F113"/>
    <mergeCell ref="F114:F115"/>
    <mergeCell ref="D116:D122"/>
    <mergeCell ref="E116:E122"/>
    <mergeCell ref="F116:F118"/>
    <mergeCell ref="F119:F120"/>
    <mergeCell ref="F121:F122"/>
    <mergeCell ref="F86:F87"/>
    <mergeCell ref="D88:D94"/>
    <mergeCell ref="E88:E94"/>
    <mergeCell ref="F88:F90"/>
    <mergeCell ref="F91:F92"/>
    <mergeCell ref="F93:F94"/>
    <mergeCell ref="D67:D73"/>
    <mergeCell ref="E67:E73"/>
    <mergeCell ref="F67:F69"/>
    <mergeCell ref="F70:F71"/>
    <mergeCell ref="F72:F73"/>
    <mergeCell ref="D74:D80"/>
    <mergeCell ref="E74:E80"/>
    <mergeCell ref="F74:F76"/>
    <mergeCell ref="F77:F78"/>
    <mergeCell ref="F79:F80"/>
    <mergeCell ref="D53:D59"/>
    <mergeCell ref="E53:E59"/>
    <mergeCell ref="F53:F55"/>
    <mergeCell ref="F56:F57"/>
    <mergeCell ref="F58:F59"/>
    <mergeCell ref="D60:D66"/>
    <mergeCell ref="E60:E66"/>
    <mergeCell ref="F60:F62"/>
    <mergeCell ref="F63:F64"/>
    <mergeCell ref="F65:F66"/>
    <mergeCell ref="D39:D45"/>
    <mergeCell ref="E39:E45"/>
    <mergeCell ref="F39:F41"/>
    <mergeCell ref="F42:F43"/>
    <mergeCell ref="F44:F45"/>
    <mergeCell ref="D46:D52"/>
    <mergeCell ref="E46:E52"/>
    <mergeCell ref="F46:F48"/>
    <mergeCell ref="F49:F50"/>
    <mergeCell ref="F51:F52"/>
    <mergeCell ref="D25:D31"/>
    <mergeCell ref="E25:E31"/>
    <mergeCell ref="F25:F27"/>
    <mergeCell ref="F28:F29"/>
    <mergeCell ref="F30:F31"/>
    <mergeCell ref="D32:D38"/>
    <mergeCell ref="E32:E38"/>
    <mergeCell ref="F32:F34"/>
    <mergeCell ref="F35:F36"/>
    <mergeCell ref="F37:F38"/>
    <mergeCell ref="M5:P5"/>
    <mergeCell ref="M6:P6"/>
    <mergeCell ref="F17:G17"/>
    <mergeCell ref="D18:D24"/>
    <mergeCell ref="E18:E24"/>
    <mergeCell ref="F18:F20"/>
    <mergeCell ref="F21:F22"/>
    <mergeCell ref="F23:F24"/>
    <mergeCell ref="J2:K2"/>
    <mergeCell ref="M2:P2"/>
    <mergeCell ref="J3:K3"/>
    <mergeCell ref="M3:P3"/>
    <mergeCell ref="J4:K4"/>
    <mergeCell ref="M4:P4"/>
  </mergeCells>
  <conditionalFormatting sqref="B19 B26 B33 B40 B47 B54 B61 B68 B75 B82 B89 B96 B103">
    <cfRule type="cellIs" dxfId="778" priority="19" stopIfTrue="1" operator="lessThan">
      <formula>B18</formula>
    </cfRule>
    <cfRule type="cellIs" dxfId="777" priority="20" stopIfTrue="1" operator="greaterThanOrEqual">
      <formula>B18</formula>
    </cfRule>
  </conditionalFormatting>
  <conditionalFormatting sqref="B22 B24 B29 B31 B36 B38 B43 B45 B50 B52 B57 B59 B64 B66 B71 B73 B78 B80 B85 B87 B92 B94 B99 B101 B106 B108">
    <cfRule type="cellIs" dxfId="776" priority="15" stopIfTrue="1" operator="lessThan">
      <formula>B21</formula>
    </cfRule>
    <cfRule type="cellIs" dxfId="775" priority="16" stopIfTrue="1" operator="greaterThanOrEqual">
      <formula>B21</formula>
    </cfRule>
  </conditionalFormatting>
  <conditionalFormatting sqref="C19 C26 C33 C40 C47 C54 C61 C68 C75 C82 C89 C96 C103">
    <cfRule type="cellIs" dxfId="774" priority="17" operator="greaterThan">
      <formula>0</formula>
    </cfRule>
    <cfRule type="cellIs" dxfId="773" priority="18" operator="lessThan">
      <formula>0</formula>
    </cfRule>
  </conditionalFormatting>
  <conditionalFormatting sqref="C22">
    <cfRule type="cellIs" dxfId="772" priority="12" operator="greaterThan">
      <formula>0</formula>
    </cfRule>
    <cfRule type="cellIs" dxfId="771" priority="13" operator="lessThan">
      <formula>0</formula>
    </cfRule>
  </conditionalFormatting>
  <conditionalFormatting sqref="C24">
    <cfRule type="cellIs" dxfId="770" priority="9" operator="greaterThan">
      <formula>0</formula>
    </cfRule>
    <cfRule type="cellIs" dxfId="769" priority="10" operator="lessThan">
      <formula>0</formula>
    </cfRule>
  </conditionalFormatting>
  <conditionalFormatting sqref="C29 C36 C43 C50 C57 C64 C71 C78 C85 C92 C99 C106">
    <cfRule type="cellIs" dxfId="768" priority="5" operator="greaterThan">
      <formula>0</formula>
    </cfRule>
    <cfRule type="cellIs" dxfId="767" priority="6" operator="lessThan">
      <formula>0</formula>
    </cfRule>
  </conditionalFormatting>
  <conditionalFormatting sqref="C31 C38 C45 C52 C59 C66 C73 C80 C87 C94 C101 C108">
    <cfRule type="cellIs" dxfId="766" priority="2" operator="greaterThan">
      <formula>0</formula>
    </cfRule>
    <cfRule type="cellIs" dxfId="765" priority="3" operator="lessThan">
      <formula>0</formula>
    </cfRule>
  </conditionalFormatting>
  <conditionalFormatting sqref="D18">
    <cfRule type="cellIs" dxfId="764" priority="47" operator="equal">
      <formula>1</formula>
    </cfRule>
    <cfRule type="cellIs" dxfId="763" priority="46" operator="equal">
      <formula>3</formula>
    </cfRule>
    <cfRule type="cellIs" dxfId="762" priority="48" operator="equal">
      <formula>2</formula>
    </cfRule>
  </conditionalFormatting>
  <conditionalFormatting sqref="D25">
    <cfRule type="cellIs" dxfId="761" priority="54" operator="equal">
      <formula>2</formula>
    </cfRule>
    <cfRule type="cellIs" dxfId="760" priority="53" operator="equal">
      <formula>1</formula>
    </cfRule>
    <cfRule type="cellIs" dxfId="759" priority="52" operator="equal">
      <formula>3</formula>
    </cfRule>
  </conditionalFormatting>
  <conditionalFormatting sqref="D32 D39 D46 D53 D60 D67 D74 D81 D88 D95 D102 D109 D116 D123 D130">
    <cfRule type="cellIs" dxfId="758" priority="51" operator="equal">
      <formula>2</formula>
    </cfRule>
    <cfRule type="cellIs" dxfId="757" priority="50" operator="equal">
      <formula>1</formula>
    </cfRule>
    <cfRule type="cellIs" dxfId="756" priority="49" operator="equal">
      <formula>3</formula>
    </cfRule>
  </conditionalFormatting>
  <conditionalFormatting sqref="F10:F12">
    <cfRule type="cellIs" dxfId="755" priority="58" stopIfTrue="1" operator="greaterThanOrEqual">
      <formula>E10</formula>
    </cfRule>
    <cfRule type="cellIs" dxfId="754" priority="57" stopIfTrue="1" operator="lessThan">
      <formula>E10</formula>
    </cfRule>
  </conditionalFormatting>
  <conditionalFormatting sqref="G10:G12">
    <cfRule type="cellIs" dxfId="753" priority="56" stopIfTrue="1" operator="greaterThanOrEqual">
      <formula>0</formula>
    </cfRule>
    <cfRule type="cellIs" dxfId="752" priority="55" stopIfTrue="1" operator="lessThan">
      <formula>0</formula>
    </cfRule>
  </conditionalFormatting>
  <conditionalFormatting sqref="H19 H22 H24 H26 H29 H31 H33 H36 H38 H40 H43 H45 H47 H50 H52 H54 H57 H59 H61 H64 H66 H68 H71 H73 H75 H78 H80 H82 H85 H87 H89 H92 H94 H96 H99 H101 H103 H106 H108 H110 H113 H115 H117 H120 H122 H124 H127 H129 H131 H134 H136">
    <cfRule type="cellIs" dxfId="751" priority="66" stopIfTrue="1" operator="greaterThanOrEqual">
      <formula>H18</formula>
    </cfRule>
    <cfRule type="cellIs" dxfId="750" priority="65" stopIfTrue="1" operator="lessThan">
      <formula>H18</formula>
    </cfRule>
  </conditionalFormatting>
  <conditionalFormatting sqref="I19 I40 I61 I66:I73 I75 I82 I87 I89 I96 I103 I110 I117 I124 I131">
    <cfRule type="cellIs" dxfId="749" priority="63" operator="greaterThan">
      <formula>0</formula>
    </cfRule>
    <cfRule type="cellIs" dxfId="748" priority="64" operator="lessThan">
      <formula>0</formula>
    </cfRule>
  </conditionalFormatting>
  <conditionalFormatting sqref="I22 I43 I64 I78 I85 I92 I99 I106 I113 I120 I127 I134">
    <cfRule type="cellIs" dxfId="747" priority="62" operator="lessThan">
      <formula>0</formula>
    </cfRule>
    <cfRule type="cellIs" dxfId="746" priority="61" operator="greaterThan">
      <formula>0</formula>
    </cfRule>
  </conditionalFormatting>
  <conditionalFormatting sqref="I24:I38 I45:I59 I80 I94 I101 I108 I115 I122 I129 I136">
    <cfRule type="cellIs" dxfId="745" priority="60" operator="lessThan">
      <formula>0</formula>
    </cfRule>
    <cfRule type="cellIs" dxfId="744" priority="59" operator="greaterThan">
      <formula>0</formula>
    </cfRule>
  </conditionalFormatting>
  <conditionalFormatting sqref="J11:AN11 J24:AN24 J52:AN52 J66:AN66 J89 L89:AN89">
    <cfRule type="cellIs" dxfId="743" priority="26" operator="lessThan">
      <formula>J10</formula>
    </cfRule>
    <cfRule type="expression" dxfId="742" priority="25">
      <formula>J10=""</formula>
    </cfRule>
    <cfRule type="cellIs" dxfId="741" priority="33" operator="greaterThanOrEqual">
      <formula>J10</formula>
    </cfRule>
  </conditionalFormatting>
  <conditionalFormatting sqref="J13:AN13 J71:T71 W71:AN71">
    <cfRule type="cellIs" dxfId="740" priority="29" operator="greaterThanOrEqual">
      <formula>J12</formula>
    </cfRule>
    <cfRule type="expression" dxfId="739" priority="27">
      <formula>J12=""</formula>
    </cfRule>
    <cfRule type="cellIs" dxfId="738" priority="28" operator="lessThan">
      <formula>J12</formula>
    </cfRule>
  </conditionalFormatting>
  <conditionalFormatting sqref="J13:AN13 J71:U71 W71:AN71">
    <cfRule type="cellIs" dxfId="737" priority="31" operator="between">
      <formula>1.6</formula>
      <formula>2</formula>
    </cfRule>
    <cfRule type="cellIs" dxfId="736" priority="30" operator="greaterThanOrEqual">
      <formula>2</formula>
    </cfRule>
    <cfRule type="cellIs" dxfId="735" priority="32" operator="greaterThanOrEqual">
      <formula>0.6</formula>
    </cfRule>
  </conditionalFormatting>
  <conditionalFormatting sqref="J15:AN15 J11:AN11 J13:AN13 J19:AN19 J22:AN22 J24:AN31 J33:AN33 J36:AN36 J38:AN38 J40:AN40 J43:AN43 J45:AN45 J47:AN47 J50:AN50 J52:AN59 J61:AN61 J64:AN64 J66:AN70 J71:T71 W71:AN71 J72:AN73 J75:AN75 J78:AN78 J80:AN80 J82:AN82 J85:AN85 J87:AN87 J89 L89:AN89 K90 J92:AN92 J94:AN94 J96:AN96 J99:AN99 J101:AN101 J103:AN103 J106:AN106 J108:AN108 J110:AN110 J113:AN113 J115:AN115 J117:AN117 J120:AN120 J122:AN122 J124:AN124 J127:AN127 J129:AN129 J131:AN131 J134:AN134 J136:AN136">
    <cfRule type="expression" dxfId="734" priority="24">
      <formula>J$9&gt;$E$7</formula>
    </cfRule>
  </conditionalFormatting>
  <conditionalFormatting sqref="J15:AN15">
    <cfRule type="cellIs" dxfId="733" priority="22" operator="lessThan">
      <formula>J14</formula>
    </cfRule>
    <cfRule type="expression" dxfId="732" priority="21">
      <formula>J14=""</formula>
    </cfRule>
    <cfRule type="cellIs" dxfId="731" priority="23" operator="greaterThanOrEqual">
      <formula>J14</formula>
    </cfRule>
  </conditionalFormatting>
  <conditionalFormatting sqref="J19:AN19 J26:AN26 J33:AN33 J40:AN40 J47:AN47 J54:AN54 J61:AN61 J68:AN68 J75:AN75 J82:AN82 J96:AN96 J103:AN103 J110:AN110 J117:AN117 J124:AN124 J131:AN131">
    <cfRule type="cellIs" dxfId="730" priority="45" operator="greaterThanOrEqual">
      <formula>J18</formula>
    </cfRule>
    <cfRule type="cellIs" dxfId="729" priority="44" operator="lessThan">
      <formula>J18</formula>
    </cfRule>
    <cfRule type="expression" dxfId="728" priority="43">
      <formula>J18=""</formula>
    </cfRule>
  </conditionalFormatting>
  <conditionalFormatting sqref="J22:AN22 J29:AN29 J36:AN36 J43:AN43 J50:AN50 J57:AN57 J64:AN64 J78:AN78 J85:AN85 J92:AN92 J99:AN99 J106:AN106 J113:AN113 J120:AN120 J127:AN127 J134:AN134">
    <cfRule type="cellIs" dxfId="727" priority="39" operator="greaterThanOrEqual">
      <formula>J21</formula>
    </cfRule>
    <cfRule type="cellIs" dxfId="726" priority="40" operator="greaterThanOrEqual">
      <formula>2</formula>
    </cfRule>
    <cfRule type="cellIs" dxfId="725" priority="41" operator="between">
      <formula>1.6</formula>
      <formula>2</formula>
    </cfRule>
    <cfRule type="cellIs" dxfId="724" priority="42" operator="greaterThanOrEqual">
      <formula>0.6</formula>
    </cfRule>
    <cfRule type="expression" dxfId="723" priority="34">
      <formula>J21=""</formula>
    </cfRule>
    <cfRule type="cellIs" dxfId="722" priority="35" operator="lessThan">
      <formula>J21</formula>
    </cfRule>
  </conditionalFormatting>
  <conditionalFormatting sqref="J31:AN31 J38:AN38 J45:AN45 J59:AN59 J73:AN73 J80:AN80 J87:AN87 J94:AN94 J101:AN101 J108:AN108 J115:AN115 J122:AN122 J129:AN129 J136:AN136">
    <cfRule type="expression" dxfId="721" priority="36">
      <formula>J30=""</formula>
    </cfRule>
    <cfRule type="cellIs" dxfId="720" priority="37" operator="lessThan">
      <formula>J30</formula>
    </cfRule>
    <cfRule type="cellIs" dxfId="719" priority="38" operator="greaterThanOrEqual">
      <formula>J30</formula>
    </cfRule>
  </conditionalFormatting>
  <conditionalFormatting sqref="K90">
    <cfRule type="expression" dxfId="718" priority="67">
      <formula>K88=""</formula>
    </cfRule>
    <cfRule type="cellIs" dxfId="717" priority="68" operator="lessThan">
      <formula>K88</formula>
    </cfRule>
    <cfRule type="cellIs" dxfId="716" priority="69" operator="greaterThanOrEqual">
      <formula>K88</formula>
    </cfRule>
  </conditionalFormatting>
  <conditionalFormatting sqref="U71">
    <cfRule type="expression" dxfId="715" priority="70">
      <formula>V$9&gt;$E$7</formula>
    </cfRule>
    <cfRule type="expression" dxfId="714" priority="71">
      <formula>V70=""</formula>
    </cfRule>
    <cfRule type="cellIs" dxfId="713" priority="72" operator="lessThan">
      <formula>V70</formula>
    </cfRule>
    <cfRule type="cellIs" dxfId="712" priority="73" operator="greaterThanOrEqual">
      <formula>V70</formula>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iconSet" priority="14" id="{E230DBA1-3612-426B-99F2-06F70EB4259E}">
            <x14:iconSet iconSet="3Triangles">
              <x14:cfvo type="percent">
                <xm:f>0</xm:f>
              </x14:cfvo>
              <x14:cfvo type="num">
                <xm:f>0</xm:f>
              </x14:cfvo>
              <x14:cfvo type="num">
                <xm:f>0</xm:f>
              </x14:cfvo>
            </x14:iconSet>
          </x14:cfRule>
          <xm:sqref>C19</xm:sqref>
        </x14:conditionalFormatting>
        <x14:conditionalFormatting xmlns:xm="http://schemas.microsoft.com/office/excel/2006/main">
          <x14:cfRule type="iconSet" priority="11" id="{78C2B46B-A60F-4C86-8D0E-4E8296CC9ED5}">
            <x14:iconSet iconSet="3Triangles">
              <x14:cfvo type="percent">
                <xm:f>0</xm:f>
              </x14:cfvo>
              <x14:cfvo type="num">
                <xm:f>0</xm:f>
              </x14:cfvo>
              <x14:cfvo type="num">
                <xm:f>0</xm:f>
              </x14:cfvo>
            </x14:iconSet>
          </x14:cfRule>
          <xm:sqref>C22</xm:sqref>
        </x14:conditionalFormatting>
        <x14:conditionalFormatting xmlns:xm="http://schemas.microsoft.com/office/excel/2006/main">
          <x14:cfRule type="iconSet" priority="8" id="{4A94CC80-D949-49AC-B766-F07CB12D915D}">
            <x14:iconSet iconSet="3Triangles">
              <x14:cfvo type="percent">
                <xm:f>0</xm:f>
              </x14:cfvo>
              <x14:cfvo type="num">
                <xm:f>0</xm:f>
              </x14:cfvo>
              <x14:cfvo type="num">
                <xm:f>0</xm:f>
              </x14:cfvo>
            </x14:iconSet>
          </x14:cfRule>
          <xm:sqref>C24</xm:sqref>
        </x14:conditionalFormatting>
        <x14:conditionalFormatting xmlns:xm="http://schemas.microsoft.com/office/excel/2006/main">
          <x14:cfRule type="iconSet" priority="7" id="{DBC42D60-852D-467B-873A-593058294224}">
            <x14:iconSet iconSet="3Triangles">
              <x14:cfvo type="percent">
                <xm:f>0</xm:f>
              </x14:cfvo>
              <x14:cfvo type="num">
                <xm:f>0</xm:f>
              </x14:cfvo>
              <x14:cfvo type="num">
                <xm:f>0</xm:f>
              </x14:cfvo>
            </x14:iconSet>
          </x14:cfRule>
          <xm:sqref>C26 C33 C40 C47 C54 C61 C68 C75 C82 C89 C96 C103</xm:sqref>
        </x14:conditionalFormatting>
        <x14:conditionalFormatting xmlns:xm="http://schemas.microsoft.com/office/excel/2006/main">
          <x14:cfRule type="iconSet" priority="4" id="{0D8A8B4E-1D9B-4ED8-AC92-D6A1D3405C61}">
            <x14:iconSet iconSet="3Triangles">
              <x14:cfvo type="percent">
                <xm:f>0</xm:f>
              </x14:cfvo>
              <x14:cfvo type="num">
                <xm:f>0</xm:f>
              </x14:cfvo>
              <x14:cfvo type="num">
                <xm:f>0</xm:f>
              </x14:cfvo>
            </x14:iconSet>
          </x14:cfRule>
          <xm:sqref>C29 C36 C43 C50 C57 C64 C71 C78 C85 C92 C99 C106</xm:sqref>
        </x14:conditionalFormatting>
        <x14:conditionalFormatting xmlns:xm="http://schemas.microsoft.com/office/excel/2006/main">
          <x14:cfRule type="iconSet" priority="1" id="{0F701D96-C88E-4D77-9135-4688FC692B9C}">
            <x14:iconSet iconSet="3Triangles">
              <x14:cfvo type="percent">
                <xm:f>0</xm:f>
              </x14:cfvo>
              <x14:cfvo type="num">
                <xm:f>0</xm:f>
              </x14:cfvo>
              <x14:cfvo type="num">
                <xm:f>0</xm:f>
              </x14:cfvo>
            </x14:iconSet>
          </x14:cfRule>
          <xm:sqref>C31 C38 C45 C52 C59 C66 C73 C80 C87 C94 C101 C108</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5233F-6268-41E1-B2A1-61CF285D9B1E}">
  <dimension ref="A1:AN108"/>
  <sheetViews>
    <sheetView workbookViewId="0">
      <selection activeCell="F6" sqref="F6"/>
    </sheetView>
  </sheetViews>
  <sheetFormatPr defaultRowHeight="15" x14ac:dyDescent="0.25"/>
  <cols>
    <col min="2" max="2" width="9.5703125" bestFit="1" customWidth="1"/>
  </cols>
  <sheetData>
    <row r="1" spans="2:40" ht="15.75" thickBot="1" x14ac:dyDescent="0.3">
      <c r="B1" s="182"/>
      <c r="C1" s="181"/>
      <c r="D1" s="341"/>
      <c r="E1" s="341"/>
      <c r="F1" s="182"/>
      <c r="G1" s="182"/>
      <c r="H1" s="182"/>
      <c r="I1" s="675"/>
      <c r="J1" s="182"/>
      <c r="K1" s="341"/>
      <c r="L1" s="341"/>
      <c r="M1" s="341"/>
      <c r="N1" s="676"/>
      <c r="O1" s="677"/>
      <c r="P1" s="677"/>
      <c r="Q1" s="182"/>
      <c r="R1" s="182"/>
      <c r="S1" s="182"/>
      <c r="T1" s="182"/>
      <c r="U1" s="182"/>
      <c r="V1" s="182"/>
      <c r="W1" s="182"/>
      <c r="X1" s="182"/>
      <c r="Y1" s="182"/>
      <c r="Z1" s="182"/>
      <c r="AA1" s="182"/>
      <c r="AB1" s="182"/>
      <c r="AC1" s="182"/>
      <c r="AD1" s="182"/>
      <c r="AE1" s="182"/>
      <c r="AF1" s="182"/>
      <c r="AG1" s="182"/>
      <c r="AH1" s="182"/>
      <c r="AI1" s="182"/>
      <c r="AJ1" s="182"/>
      <c r="AK1" s="182"/>
      <c r="AL1" s="182"/>
      <c r="AM1" s="182"/>
      <c r="AN1" s="182"/>
    </row>
    <row r="2" spans="2:40" ht="15.75" thickBot="1" x14ac:dyDescent="0.3">
      <c r="B2" s="182"/>
      <c r="C2" s="183" t="s">
        <v>221</v>
      </c>
      <c r="D2" s="182"/>
      <c r="E2" s="181"/>
      <c r="F2" s="240"/>
      <c r="G2" s="240"/>
      <c r="H2" s="181"/>
      <c r="I2" s="1647" t="s">
        <v>310</v>
      </c>
      <c r="J2" s="1648"/>
      <c r="K2" s="182"/>
      <c r="L2" s="1647" t="s">
        <v>311</v>
      </c>
      <c r="M2" s="1649"/>
      <c r="N2" s="1649"/>
      <c r="O2" s="1648"/>
      <c r="P2" s="677"/>
      <c r="Q2" s="678" t="s">
        <v>312</v>
      </c>
      <c r="R2" s="679"/>
      <c r="S2" s="679"/>
      <c r="T2" s="679"/>
      <c r="U2" s="680"/>
      <c r="V2" s="182"/>
      <c r="W2" s="182"/>
      <c r="X2" s="182"/>
      <c r="Y2" s="182"/>
      <c r="Z2" s="182"/>
      <c r="AA2" s="182"/>
      <c r="AB2" s="182"/>
      <c r="AC2" s="182"/>
      <c r="AD2" s="182"/>
      <c r="AE2" s="182"/>
      <c r="AF2" s="182"/>
      <c r="AG2" s="182"/>
      <c r="AH2" s="182"/>
      <c r="AI2" s="182"/>
      <c r="AJ2" s="182"/>
      <c r="AK2" s="182"/>
      <c r="AL2" s="182"/>
      <c r="AM2" s="182"/>
      <c r="AN2" s="182"/>
    </row>
    <row r="3" spans="2:40" x14ac:dyDescent="0.25">
      <c r="B3" s="182"/>
      <c r="C3" s="244" t="s">
        <v>313</v>
      </c>
      <c r="D3" s="182"/>
      <c r="E3" s="342"/>
      <c r="F3" s="184"/>
      <c r="G3" s="240"/>
      <c r="H3" s="181"/>
      <c r="I3" s="1700" t="s">
        <v>314</v>
      </c>
      <c r="J3" s="1701"/>
      <c r="K3" s="182"/>
      <c r="L3" s="1673" t="s">
        <v>315</v>
      </c>
      <c r="M3" s="1674"/>
      <c r="N3" s="1674"/>
      <c r="O3" s="1675"/>
      <c r="P3" s="677"/>
      <c r="Q3" s="245" t="s">
        <v>350</v>
      </c>
      <c r="R3" s="246"/>
      <c r="S3" s="246"/>
      <c r="T3" s="246"/>
      <c r="U3" s="247"/>
      <c r="V3" s="182"/>
      <c r="W3" s="182"/>
      <c r="X3" s="182"/>
      <c r="Y3" s="182"/>
      <c r="Z3" s="182"/>
      <c r="AA3" s="182"/>
      <c r="AB3" s="182"/>
      <c r="AC3" s="182"/>
      <c r="AD3" s="182"/>
      <c r="AE3" s="182"/>
      <c r="AF3" s="182"/>
      <c r="AG3" s="182"/>
      <c r="AH3" s="182"/>
      <c r="AI3" s="182"/>
      <c r="AJ3" s="182"/>
      <c r="AK3" s="182"/>
      <c r="AL3" s="182"/>
      <c r="AM3" s="182"/>
      <c r="AN3" s="182"/>
    </row>
    <row r="4" spans="2:40" ht="15.75" thickBot="1" x14ac:dyDescent="0.3">
      <c r="B4" s="182"/>
      <c r="C4" s="248" t="s">
        <v>351</v>
      </c>
      <c r="D4" s="182"/>
      <c r="E4" s="239"/>
      <c r="F4" s="184"/>
      <c r="G4" s="240"/>
      <c r="H4" s="181"/>
      <c r="I4" s="1702" t="s">
        <v>318</v>
      </c>
      <c r="J4" s="1703"/>
      <c r="K4" s="182"/>
      <c r="L4" s="1657" t="s">
        <v>319</v>
      </c>
      <c r="M4" s="1658"/>
      <c r="N4" s="1658"/>
      <c r="O4" s="1659"/>
      <c r="P4" s="677"/>
      <c r="Q4" s="681" t="s">
        <v>352</v>
      </c>
      <c r="R4" s="182"/>
      <c r="S4" s="182"/>
      <c r="T4" s="182"/>
      <c r="U4" s="251"/>
      <c r="V4" s="182"/>
      <c r="W4" s="182"/>
      <c r="X4" s="182"/>
      <c r="Y4" s="182"/>
      <c r="Z4" s="182"/>
      <c r="AA4" s="182"/>
      <c r="AB4" s="182"/>
      <c r="AC4" s="182"/>
      <c r="AD4" s="182"/>
      <c r="AE4" s="182"/>
      <c r="AF4" s="182"/>
      <c r="AG4" s="182"/>
      <c r="AH4" s="182"/>
      <c r="AI4" s="182"/>
      <c r="AJ4" s="182"/>
      <c r="AK4" s="182"/>
      <c r="AL4" s="182"/>
      <c r="AM4" s="182"/>
      <c r="AN4" s="182"/>
    </row>
    <row r="5" spans="2:40" x14ac:dyDescent="0.25">
      <c r="B5" s="182"/>
      <c r="C5" s="252"/>
      <c r="D5" s="182"/>
      <c r="E5" s="239"/>
      <c r="F5" s="184"/>
      <c r="G5" s="240"/>
      <c r="H5" s="255"/>
      <c r="I5" s="182"/>
      <c r="J5" s="182"/>
      <c r="K5" s="182"/>
      <c r="L5" s="1640" t="s">
        <v>321</v>
      </c>
      <c r="M5" s="1641"/>
      <c r="N5" s="1641"/>
      <c r="O5" s="1642"/>
      <c r="P5" s="677"/>
      <c r="Q5" s="681" t="s">
        <v>353</v>
      </c>
      <c r="R5" s="182"/>
      <c r="S5" s="182"/>
      <c r="T5" s="182"/>
      <c r="U5" s="251"/>
      <c r="V5" s="182"/>
      <c r="W5" s="182"/>
      <c r="X5" s="182"/>
      <c r="Y5" s="182"/>
      <c r="Z5" s="182"/>
      <c r="AA5" s="182"/>
      <c r="AB5" s="182"/>
      <c r="AC5" s="182"/>
      <c r="AD5" s="182"/>
      <c r="AE5" s="182"/>
      <c r="AF5" s="182"/>
      <c r="AG5" s="182"/>
      <c r="AH5" s="182"/>
      <c r="AI5" s="182"/>
      <c r="AJ5" s="182"/>
      <c r="AK5" s="182"/>
      <c r="AL5" s="182"/>
      <c r="AM5" s="182"/>
      <c r="AN5" s="182"/>
    </row>
    <row r="6" spans="2:40" ht="15.75" thickBot="1" x14ac:dyDescent="0.3">
      <c r="B6" s="182"/>
      <c r="C6" s="185" t="s">
        <v>323</v>
      </c>
      <c r="D6" s="253">
        <f>[13]SUMMARY!$C$6</f>
        <v>45748</v>
      </c>
      <c r="E6" s="239"/>
      <c r="F6" s="184"/>
      <c r="G6" s="240"/>
      <c r="H6" s="255"/>
      <c r="I6" s="182"/>
      <c r="J6" s="182"/>
      <c r="K6" s="182"/>
      <c r="L6" s="1643" t="s">
        <v>324</v>
      </c>
      <c r="M6" s="1644"/>
      <c r="N6" s="1644"/>
      <c r="O6" s="1645"/>
      <c r="P6" s="677"/>
      <c r="Q6" s="682" t="s">
        <v>354</v>
      </c>
      <c r="R6" s="182"/>
      <c r="S6" s="182"/>
      <c r="T6" s="182"/>
      <c r="U6" s="251"/>
      <c r="V6" s="182"/>
      <c r="W6" s="182"/>
      <c r="X6" s="182"/>
      <c r="Y6" s="182"/>
      <c r="Z6" s="182"/>
      <c r="AA6" s="182"/>
      <c r="AB6" s="182"/>
      <c r="AC6" s="182"/>
      <c r="AD6" s="182"/>
      <c r="AE6" s="182"/>
      <c r="AF6" s="182"/>
      <c r="AG6" s="182"/>
      <c r="AH6" s="182"/>
      <c r="AI6" s="182"/>
      <c r="AJ6" s="182"/>
      <c r="AK6" s="182"/>
      <c r="AL6" s="182"/>
      <c r="AM6" s="182"/>
      <c r="AN6" s="182"/>
    </row>
    <row r="7" spans="2:40" ht="15.75" thickBot="1" x14ac:dyDescent="0.3">
      <c r="B7" s="182"/>
      <c r="C7" s="185" t="s">
        <v>326</v>
      </c>
      <c r="D7" s="254">
        <v>30</v>
      </c>
      <c r="E7" s="239"/>
      <c r="F7" s="184"/>
      <c r="G7" s="240"/>
      <c r="H7" s="255"/>
      <c r="I7" s="181"/>
      <c r="J7" s="181"/>
      <c r="K7" s="182"/>
      <c r="L7" s="182"/>
      <c r="M7" s="182"/>
      <c r="N7" s="182"/>
      <c r="O7" s="182"/>
      <c r="P7" s="182"/>
      <c r="Q7" s="683" t="s">
        <v>355</v>
      </c>
      <c r="R7" s="684"/>
      <c r="S7" s="684"/>
      <c r="T7" s="684"/>
      <c r="U7" s="258"/>
      <c r="V7" s="182"/>
      <c r="W7" s="182"/>
      <c r="X7" s="182"/>
      <c r="Y7" s="182"/>
      <c r="Z7" s="182"/>
      <c r="AA7" s="182"/>
      <c r="AB7" s="182"/>
      <c r="AC7" s="182"/>
      <c r="AD7" s="182"/>
      <c r="AE7" s="182"/>
      <c r="AF7" s="182"/>
      <c r="AG7" s="182"/>
      <c r="AH7" s="182"/>
      <c r="AI7" s="182"/>
      <c r="AJ7" s="182"/>
      <c r="AK7" s="182"/>
      <c r="AL7" s="182"/>
      <c r="AM7" s="182"/>
      <c r="AN7" s="182"/>
    </row>
    <row r="8" spans="2:40" ht="15.75" thickBot="1" x14ac:dyDescent="0.3">
      <c r="B8" s="182"/>
      <c r="C8" s="185"/>
      <c r="D8" s="185"/>
      <c r="E8" s="185"/>
      <c r="F8" s="184"/>
      <c r="G8" s="240"/>
      <c r="H8" s="255"/>
      <c r="I8" s="181"/>
      <c r="J8" s="181"/>
      <c r="K8" s="182"/>
      <c r="L8" s="182"/>
      <c r="M8" s="182"/>
      <c r="N8" s="182"/>
      <c r="O8" s="182"/>
      <c r="P8" s="182"/>
      <c r="Q8" s="182"/>
      <c r="R8" s="182"/>
      <c r="S8" s="182"/>
      <c r="T8" s="182"/>
      <c r="U8" s="182"/>
      <c r="V8" s="182"/>
      <c r="W8" s="182"/>
      <c r="X8" s="182"/>
      <c r="Y8" s="182"/>
      <c r="Z8" s="182"/>
      <c r="AA8" s="182"/>
      <c r="AB8" s="182"/>
      <c r="AC8" s="182"/>
      <c r="AD8" s="182"/>
      <c r="AE8" s="182"/>
      <c r="AF8" s="182"/>
      <c r="AG8" s="182"/>
      <c r="AH8" s="182"/>
      <c r="AI8" s="182"/>
      <c r="AJ8" s="182"/>
      <c r="AK8" s="182"/>
      <c r="AL8" s="182"/>
      <c r="AM8" s="182"/>
      <c r="AN8" s="182"/>
    </row>
    <row r="9" spans="2:40" ht="15.75" thickBot="1" x14ac:dyDescent="0.3">
      <c r="B9" s="186" t="s">
        <v>25</v>
      </c>
      <c r="C9" s="787" t="s">
        <v>269</v>
      </c>
      <c r="D9" s="186" t="s">
        <v>303</v>
      </c>
      <c r="E9" s="187" t="s">
        <v>32</v>
      </c>
      <c r="F9" s="188" t="s">
        <v>262</v>
      </c>
      <c r="G9" s="181"/>
      <c r="H9" s="263" t="s">
        <v>328</v>
      </c>
      <c r="I9" s="264">
        <v>1</v>
      </c>
      <c r="J9" s="265">
        <v>2</v>
      </c>
      <c r="K9" s="265">
        <v>3</v>
      </c>
      <c r="L9" s="265">
        <v>4</v>
      </c>
      <c r="M9" s="265">
        <v>5</v>
      </c>
      <c r="N9" s="265">
        <v>6</v>
      </c>
      <c r="O9" s="265">
        <v>7</v>
      </c>
      <c r="P9" s="265">
        <v>8</v>
      </c>
      <c r="Q9" s="265">
        <v>9</v>
      </c>
      <c r="R9" s="265">
        <v>10</v>
      </c>
      <c r="S9" s="265">
        <v>11</v>
      </c>
      <c r="T9" s="265">
        <v>12</v>
      </c>
      <c r="U9" s="265">
        <v>13</v>
      </c>
      <c r="V9" s="265">
        <v>14</v>
      </c>
      <c r="W9" s="265">
        <v>15</v>
      </c>
      <c r="X9" s="265">
        <v>16</v>
      </c>
      <c r="Y9" s="265">
        <v>17</v>
      </c>
      <c r="Z9" s="265">
        <v>18</v>
      </c>
      <c r="AA9" s="265">
        <v>19</v>
      </c>
      <c r="AB9" s="265">
        <v>20</v>
      </c>
      <c r="AC9" s="265">
        <v>21</v>
      </c>
      <c r="AD9" s="265">
        <v>22</v>
      </c>
      <c r="AE9" s="265">
        <v>23</v>
      </c>
      <c r="AF9" s="265">
        <v>24</v>
      </c>
      <c r="AG9" s="265">
        <v>25</v>
      </c>
      <c r="AH9" s="265">
        <v>26</v>
      </c>
      <c r="AI9" s="265">
        <v>27</v>
      </c>
      <c r="AJ9" s="265">
        <v>28</v>
      </c>
      <c r="AK9" s="265">
        <v>29</v>
      </c>
      <c r="AL9" s="265">
        <v>30</v>
      </c>
      <c r="AM9" s="267">
        <v>31</v>
      </c>
      <c r="AN9" s="181"/>
    </row>
    <row r="10" spans="2:40" x14ac:dyDescent="0.25">
      <c r="B10" s="790">
        <f>SUM(B19,B26,B33,B40,B47,B54,B61,B68,B75,B82,B89,B96,B103)</f>
        <v>26376.6</v>
      </c>
      <c r="C10" s="788" t="s">
        <v>356</v>
      </c>
      <c r="D10" s="269">
        <f>SUM(I10:AM10)</f>
        <v>27615</v>
      </c>
      <c r="E10" s="270">
        <f>SUM(I11:AM11)</f>
        <v>26376.6</v>
      </c>
      <c r="F10" s="271">
        <f>IFERROR((E10-D10)/D10,0)</f>
        <v>-4.4845192829983754E-2</v>
      </c>
      <c r="G10" s="685"/>
      <c r="H10" s="272" t="s">
        <v>330</v>
      </c>
      <c r="I10" s="273">
        <f>IF(I$9&gt;$D$7,"",SUMIF($F$18:$F286,"Budget (t)",I$18:I286))</f>
        <v>945</v>
      </c>
      <c r="J10" s="686">
        <f>IF(J$9&gt;$D$7,"",SUMIF($F$18:$F286,"Budget (t)",J$18:J286))</f>
        <v>945</v>
      </c>
      <c r="K10" s="274">
        <f>IF(K$9&gt;$D$7,"",SUMIF($F$18:$F286,"Budget (t)",K$18:K286))</f>
        <v>945</v>
      </c>
      <c r="L10" s="274">
        <f>IF(L$9&gt;$D$7,"",SUMIF($F$18:$F286,"Budget (t)",L$18:L286))</f>
        <v>945</v>
      </c>
      <c r="M10" s="274">
        <f>IF(M$9&gt;$D$7,"",SUMIF($F$18:$F286,"Budget (t)",M$18:M286))</f>
        <v>945</v>
      </c>
      <c r="N10" s="274">
        <f>IF(N$9&gt;$D$7,"",SUMIF($F$18:$F286,"Budget (t)",N$18:N286))</f>
        <v>945</v>
      </c>
      <c r="O10" s="274">
        <f>IF(O$9&gt;$D$7,"",SUMIF($F$18:$F286,"Budget (t)",O$18:O286))</f>
        <v>945</v>
      </c>
      <c r="P10" s="274">
        <f>IF(P$9&gt;$D$7,"",SUMIF($F$18:$F286,"Budget (t)",P$18:P286))</f>
        <v>1015</v>
      </c>
      <c r="Q10" s="274">
        <f>IF(Q$9&gt;$D$7,"",SUMIF($F$18:$F286,"Budget (t)",Q$18:Q286))</f>
        <v>1015</v>
      </c>
      <c r="R10" s="686">
        <f>IF(R$9&gt;$D$7,"",SUMIF($F$18:$F286,"Budget (t)",R$18:R286))</f>
        <v>1015</v>
      </c>
      <c r="S10" s="686">
        <f>IF(S$9&gt;$D$7,"",SUMIF($F$18:$F286,"Budget (t)",S$18:S286))</f>
        <v>1015</v>
      </c>
      <c r="T10" s="686">
        <f>IF(T$9&gt;$D$7,"",SUMIF($F$18:$F286,"Budget (t)",T$18:T286))</f>
        <v>1015</v>
      </c>
      <c r="U10" s="686">
        <f>IF(U$9&gt;$D$7,"",SUMIF($F$18:$F286,"Budget (t)",U$18:U286))</f>
        <v>1015</v>
      </c>
      <c r="V10" s="686">
        <f>IF(V$9&gt;$D$7,"",SUMIF($F$18:$F286,"Budget (t)",V$18:V286))</f>
        <v>1015</v>
      </c>
      <c r="W10" s="686">
        <f>IF(W$9&gt;$D$7,"",SUMIF($F$18:$F286,"Budget (t)",W$18:W286))</f>
        <v>1015</v>
      </c>
      <c r="X10" s="686">
        <f>IF(X$9&gt;$D$7,"",SUMIF($F$18:$F286,"Budget (t)",X$18:X286))</f>
        <v>945</v>
      </c>
      <c r="Y10" s="686">
        <f>IF(Y$9&gt;$D$7,"",SUMIF($F$18:$F286,"Budget (t)",Y$18:Y286))</f>
        <v>945</v>
      </c>
      <c r="Z10" s="686">
        <f>IF(Z$9&gt;$D$7,"",SUMIF($F$18:$F286,"Budget (t)",Z$18:Z286))</f>
        <v>945</v>
      </c>
      <c r="AA10" s="686">
        <f>IF(AA$9&gt;$D$7,"",SUMIF($F$18:$F286,"Budget (t)",AA$18:AA286))</f>
        <v>945</v>
      </c>
      <c r="AB10" s="686">
        <f>IF(AB$9&gt;$D$7,"",SUMIF($F$18:$F286,"Budget (t)",AB$18:AB286))</f>
        <v>525</v>
      </c>
      <c r="AC10" s="686">
        <f>IF(AC$9&gt;$D$7,"",SUMIF($F$18:$F286,"Budget (t)",AC$18:AC286))</f>
        <v>0</v>
      </c>
      <c r="AD10" s="686">
        <f>IF(AD$9&gt;$D$7,"",SUMIF($F$18:$F286,"Budget (t)",AD$18:AD286))</f>
        <v>945</v>
      </c>
      <c r="AE10" s="687">
        <f>IF(AE$9&gt;$D$7,"",SUMIF($F$18:$F286,"Budget (t)",AE$18:AE286))</f>
        <v>945</v>
      </c>
      <c r="AF10" s="687">
        <f>IF(AF$9&gt;$D$7,"",SUMIF($F$18:$F286,"Budget (t)",AF$18:AF286))</f>
        <v>945</v>
      </c>
      <c r="AG10" s="687">
        <f>IF(AG$9&gt;$D$7,"",SUMIF($F$18:$F286,"Budget (t)",AG$18:AG286))</f>
        <v>945</v>
      </c>
      <c r="AH10" s="687">
        <f>IF(AH$9&gt;$D$7,"",SUMIF($F$18:$F286,"Budget (t)",AH$18:AH286))</f>
        <v>945</v>
      </c>
      <c r="AI10" s="687">
        <f>IF(AI$9&gt;$D$7,"",SUMIF($F$18:$F286,"Budget (t)",AI$18:AI286))</f>
        <v>1015</v>
      </c>
      <c r="AJ10" s="687">
        <f>IF(AJ$9&gt;$D$7,"",SUMIF($F$18:$F286,"Budget (t)",AJ$18:AJ286))</f>
        <v>945</v>
      </c>
      <c r="AK10" s="687">
        <f>IF(AK$9&gt;$D$7,"",SUMIF($F$18:$F286,"Budget (t)",AK$18:AK286))</f>
        <v>945</v>
      </c>
      <c r="AL10" s="687">
        <f>IF(AL$9&gt;$D$7,"",SUMIF($F$18:$F286,"Budget (t)",AL$18:AL286))</f>
        <v>945</v>
      </c>
      <c r="AM10" s="688" t="str">
        <f>IF(AM$9&gt;$D$7,"",SUMIF($F$18:$F286,"Budget (t)",AM$18:AM286))</f>
        <v/>
      </c>
      <c r="AN10" s="182"/>
    </row>
    <row r="11" spans="2:40" ht="15.75" thickBot="1" x14ac:dyDescent="0.3">
      <c r="B11" s="1427">
        <f>(B19*B22+B26*B29+B40*B43+B47*B50+B54*B57+B61*B64+B68*B71+B75*B78+B82*B85+B89*B92+B96*B99+B103*B106)/B10</f>
        <v>2.3922719380056567</v>
      </c>
      <c r="C11" s="789" t="s">
        <v>2</v>
      </c>
      <c r="D11" s="1337">
        <f>IFERROR(D12*1000/D10,0)</f>
        <v>2.9766431287343846</v>
      </c>
      <c r="E11" s="786">
        <f>IFERROR(E12*1000/E10,0)</f>
        <v>2.3922719380056567</v>
      </c>
      <c r="F11" s="1548">
        <f t="shared" ref="F11" si="0">IFERROR((E11-D11)/D11,0)</f>
        <v>-0.19631886170284446</v>
      </c>
      <c r="G11" s="189"/>
      <c r="H11" s="263" t="s">
        <v>331</v>
      </c>
      <c r="I11" s="1289">
        <f>IF(I$9&gt;$D$7,"",SUMIF($F$18:$F286,"Actual (t)",I$18:I286))</f>
        <v>560</v>
      </c>
      <c r="J11" s="1338">
        <f>IF(J$9&gt;$D$7,"",SUMIF($F$18:$F286,"Actual (t)",J$18:J286))</f>
        <v>983</v>
      </c>
      <c r="K11" s="1339">
        <f>IF(K$9&gt;$D$7,"",SUMIF($F$18:$F286,"Actual (t)",K$18:K286))</f>
        <v>374</v>
      </c>
      <c r="L11" s="1339">
        <f>IF(L$9&gt;$D$7,"",SUMIF($F$18:$F286,"Actual (t)",L$18:L286))</f>
        <v>408</v>
      </c>
      <c r="M11" s="1339">
        <f>IF(M$9&gt;$D$7,"",SUMIF($F$18:$F286,"Actual (t)",M$18:M286))</f>
        <v>1023</v>
      </c>
      <c r="N11" s="1339">
        <f>IF(N$9&gt;$D$7,"",SUMIF($F$18:$F286,"Actual (t)",N$18:N286))</f>
        <v>955</v>
      </c>
      <c r="O11" s="1339">
        <f>IF(O$9&gt;$D$7,"",SUMIF($F$18:$F286,"Actual (t)",O$18:O286))</f>
        <v>806</v>
      </c>
      <c r="P11" s="1339">
        <f>IF(P$9&gt;$D$7,"",SUMIF($F$18:$F286,"Actual (t)",P$18:P286))</f>
        <v>989</v>
      </c>
      <c r="Q11" s="1339">
        <f>IF(Q$9&gt;$D$7,"",SUMIF($F$18:$F286,"Actual (t)",Q$18:Q286))</f>
        <v>975</v>
      </c>
      <c r="R11" s="1339">
        <f>IF(R$9&gt;$D$7,"",SUMIF($F$18:$F286,"Actual (t)",R$18:R286))</f>
        <v>1001</v>
      </c>
      <c r="S11" s="1339">
        <f>IF(S$9&gt;$D$7,"",SUMIF($F$18:$F286,"Actual (t)",S$18:S286))</f>
        <v>862</v>
      </c>
      <c r="T11" s="1339">
        <f>IF(T$9&gt;$D$7,"",SUMIF($F$18:$F286,"Actual (t)",T$18:T286))</f>
        <v>938</v>
      </c>
      <c r="U11" s="1339">
        <f>IF(U$9&gt;$D$7,"",SUMIF($F$18:$F286,"Actual (t)",U$18:U286))</f>
        <v>1016</v>
      </c>
      <c r="V11" s="1339">
        <f>IF(V$9&gt;$D$7,"",SUMIF($F$18:$F286,"Actual (t)",V$18:V286))</f>
        <v>864.6</v>
      </c>
      <c r="W11" s="1339">
        <f>IF(W$9&gt;$D$7,"",SUMIF($F$18:$F286,"Actual (t)",W$18:W286))</f>
        <v>919</v>
      </c>
      <c r="X11" s="1339">
        <f>IF(X$9&gt;$D$7,"",SUMIF($F$18:$F286,"Actual (t)",X$18:X286))</f>
        <v>1021</v>
      </c>
      <c r="Y11" s="1339">
        <f>IF(Y$9&gt;$D$7,"",SUMIF($F$18:$F286,"Actual (t)",Y$18:Y286))</f>
        <v>934</v>
      </c>
      <c r="Z11" s="1339">
        <f>IF(Z$9&gt;$D$7,"",SUMIF($F$18:$F286,"Actual (t)",Z$18:Z286))</f>
        <v>741</v>
      </c>
      <c r="AA11" s="1339">
        <f>IF(AA$9&gt;$D$7,"",SUMIF($F$18:$F286,"Actual (t)",AA$18:AA286))</f>
        <v>859</v>
      </c>
      <c r="AB11" s="1339">
        <f>IF(AB$9&gt;$D$7,"",SUMIF($F$18:$F286,"Actual (t)",AB$18:AB286))</f>
        <v>902</v>
      </c>
      <c r="AC11" s="1339">
        <f>IF(AC$9&gt;$D$7,"",SUMIF($F$18:$F286,"Actual (t)",AC$18:AC286))</f>
        <v>832</v>
      </c>
      <c r="AD11" s="1339">
        <f>IF(AD$9&gt;$D$7,"",SUMIF($F$18:$F286,"Actual (t)",AD$18:AD286))</f>
        <v>877</v>
      </c>
      <c r="AE11" s="1339">
        <f>IF(AE$9&gt;$D$7,"",SUMIF($F$18:$F286,"Actual (t)",AE$18:AE286))</f>
        <v>981</v>
      </c>
      <c r="AF11" s="1339">
        <f>IF(AF$9&gt;$D$7,"",SUMIF($F$18:$F286,"Actual (t)",AF$18:AF286))</f>
        <v>954</v>
      </c>
      <c r="AG11" s="1339">
        <f>IF(AG$9&gt;$D$7,"",SUMIF($F$18:$F286,"Actual (t)",AG$18:AG286))</f>
        <v>953</v>
      </c>
      <c r="AH11" s="1339">
        <f>IF(AH$9&gt;$D$7,"",SUMIF($F$18:$F286,"Actual (t)",AH$18:AH286))</f>
        <v>437</v>
      </c>
      <c r="AI11" s="1339">
        <f>IF(AI$9&gt;$D$7,"",SUMIF($F$18:$F286,"Actual (t)",AI$18:AI286))</f>
        <v>1100</v>
      </c>
      <c r="AJ11" s="1339">
        <f>IF(AJ$9&gt;$D$7,"",SUMIF($F$18:$F286,"Actual (t)",AJ$18:AJ286))</f>
        <v>1112</v>
      </c>
      <c r="AK11" s="1339">
        <f>IF(AK$9&gt;$D$7,"",SUMIF($F$18:$F286,"Actual (t)",AK$18:AK286))</f>
        <v>901</v>
      </c>
      <c r="AL11" s="1339">
        <f>IF(AL$9&gt;$D$7,"",SUMIF($F$18:$F286,"Actual (t)",AL$18:AL286))</f>
        <v>1099</v>
      </c>
      <c r="AM11" s="1340" t="str">
        <f>IF(AM$9&gt;$D$7,"",SUMIF($F$18:$F286,"Actual (t)",AM$18:AM286))</f>
        <v/>
      </c>
      <c r="AN11" s="189"/>
    </row>
    <row r="12" spans="2:40" ht="15.75" thickBot="1" x14ac:dyDescent="0.3">
      <c r="B12" s="1428">
        <f>SUM(B24,B31,B45,B52,B59,B66,B73,B80,B87,B94,B101,B108)</f>
        <v>63.099999999999987</v>
      </c>
      <c r="C12" s="1429" t="s">
        <v>3</v>
      </c>
      <c r="D12" s="1293">
        <f>SUM(I14:AM14)</f>
        <v>82.200000000000031</v>
      </c>
      <c r="E12" s="1294">
        <f>SUM(I15:AM15)</f>
        <v>63.1</v>
      </c>
      <c r="F12" s="1295">
        <f>IFERROR((E12-D12)/D12,0)</f>
        <v>-0.23236009732360124</v>
      </c>
      <c r="G12" s="190"/>
      <c r="H12" s="272" t="s">
        <v>332</v>
      </c>
      <c r="I12" s="689">
        <f t="shared" ref="I12:AM13" si="1">IFERROR(I14*1000/I10,"")</f>
        <v>1.6931216931216928</v>
      </c>
      <c r="J12" s="690">
        <f t="shared" si="1"/>
        <v>3.0687830687830697</v>
      </c>
      <c r="K12" s="690">
        <f t="shared" si="1"/>
        <v>3.0687830687830697</v>
      </c>
      <c r="L12" s="690">
        <f t="shared" si="1"/>
        <v>3.0687830687830697</v>
      </c>
      <c r="M12" s="690">
        <f t="shared" si="1"/>
        <v>3.0687830687830697</v>
      </c>
      <c r="N12" s="690">
        <f t="shared" si="1"/>
        <v>3.0687830687830697</v>
      </c>
      <c r="O12" s="691">
        <f t="shared" si="1"/>
        <v>3.0687830687830697</v>
      </c>
      <c r="P12" s="691">
        <f t="shared" si="1"/>
        <v>2.9556650246305427</v>
      </c>
      <c r="Q12" s="691">
        <f t="shared" si="1"/>
        <v>2.9556650246305427</v>
      </c>
      <c r="R12" s="690">
        <f t="shared" si="1"/>
        <v>2.9556650246305427</v>
      </c>
      <c r="S12" s="690">
        <f t="shared" si="1"/>
        <v>2.9556650246305427</v>
      </c>
      <c r="T12" s="690">
        <f t="shared" si="1"/>
        <v>2.9556650246305427</v>
      </c>
      <c r="U12" s="690">
        <f t="shared" si="1"/>
        <v>2.9556650246305427</v>
      </c>
      <c r="V12" s="690">
        <f t="shared" si="1"/>
        <v>2.9556650246305427</v>
      </c>
      <c r="W12" s="690">
        <f t="shared" si="1"/>
        <v>2.9556650246305427</v>
      </c>
      <c r="X12" s="690">
        <f t="shared" si="1"/>
        <v>3.0687830687830697</v>
      </c>
      <c r="Y12" s="690">
        <f>IFERROR(Y14*1000/Y10,"")</f>
        <v>3.0687830687830697</v>
      </c>
      <c r="Z12" s="690">
        <f t="shared" si="1"/>
        <v>3.0687830687830697</v>
      </c>
      <c r="AA12" s="690">
        <f t="shared" si="1"/>
        <v>2.9629629629629641</v>
      </c>
      <c r="AB12" s="690">
        <f t="shared" si="1"/>
        <v>3.0476190476190479</v>
      </c>
      <c r="AC12" s="690" t="str">
        <f t="shared" si="1"/>
        <v/>
      </c>
      <c r="AD12" s="690">
        <f t="shared" si="1"/>
        <v>3.0687830687830697</v>
      </c>
      <c r="AE12" s="692">
        <f t="shared" si="1"/>
        <v>3.0687830687830697</v>
      </c>
      <c r="AF12" s="692">
        <f t="shared" si="1"/>
        <v>3.0687830687830697</v>
      </c>
      <c r="AG12" s="692">
        <f t="shared" si="1"/>
        <v>3.0687830687830697</v>
      </c>
      <c r="AH12" s="692">
        <f t="shared" si="1"/>
        <v>3.0687830687830697</v>
      </c>
      <c r="AI12" s="692">
        <f t="shared" si="1"/>
        <v>2.8571428571428581</v>
      </c>
      <c r="AJ12" s="692">
        <f t="shared" si="1"/>
        <v>3.0687830687830697</v>
      </c>
      <c r="AK12" s="692">
        <f t="shared" si="1"/>
        <v>3.0687830687830697</v>
      </c>
      <c r="AL12" s="692">
        <f t="shared" si="1"/>
        <v>3.0687830687830697</v>
      </c>
      <c r="AM12" s="693" t="str">
        <f t="shared" si="1"/>
        <v/>
      </c>
      <c r="AN12" s="190"/>
    </row>
    <row r="13" spans="2:40" ht="15.75" thickBot="1" x14ac:dyDescent="0.3">
      <c r="B13" s="191"/>
      <c r="C13" s="191"/>
      <c r="D13" s="191"/>
      <c r="E13" s="191"/>
      <c r="F13" s="191"/>
      <c r="G13" s="191"/>
      <c r="H13" s="282" t="s">
        <v>333</v>
      </c>
      <c r="I13" s="1341">
        <f t="shared" si="1"/>
        <v>1.6071428571428572</v>
      </c>
      <c r="J13" s="1342">
        <f t="shared" si="1"/>
        <v>2.6449643947100712</v>
      </c>
      <c r="K13" s="1300">
        <f t="shared" si="1"/>
        <v>1.6042780748663101</v>
      </c>
      <c r="L13" s="1300">
        <f t="shared" si="1"/>
        <v>3.1862745098039214</v>
      </c>
      <c r="M13" s="1300">
        <f t="shared" si="1"/>
        <v>2.1505376344086016</v>
      </c>
      <c r="N13" s="1300">
        <f t="shared" si="1"/>
        <v>2.1989528795811517</v>
      </c>
      <c r="O13" s="1300">
        <f t="shared" si="1"/>
        <v>2.853598014888338</v>
      </c>
      <c r="P13" s="1300">
        <f t="shared" si="1"/>
        <v>1.5166835187057635</v>
      </c>
      <c r="Q13" s="1300">
        <f t="shared" si="1"/>
        <v>2.2564102564102564</v>
      </c>
      <c r="R13" s="1300">
        <f t="shared" si="1"/>
        <v>2.5974025974025974</v>
      </c>
      <c r="S13" s="1300">
        <f t="shared" si="1"/>
        <v>2.7842227378190256</v>
      </c>
      <c r="T13" s="1300">
        <f t="shared" si="1"/>
        <v>2.4520255863539449</v>
      </c>
      <c r="U13" s="1300">
        <f t="shared" si="1"/>
        <v>2.3622047244094491</v>
      </c>
      <c r="V13" s="1300">
        <f t="shared" si="1"/>
        <v>3.0071709461022436</v>
      </c>
      <c r="W13" s="1300">
        <f t="shared" si="1"/>
        <v>2.3939064200217635</v>
      </c>
      <c r="X13" s="1300">
        <f t="shared" si="1"/>
        <v>2.3506366307541624</v>
      </c>
      <c r="Y13" s="1300">
        <f>IFERROR(Y15*1000/Y11,"")</f>
        <v>2.3554603854389722</v>
      </c>
      <c r="Z13" s="1300">
        <f t="shared" si="1"/>
        <v>2.834008097165992</v>
      </c>
      <c r="AA13" s="1300">
        <f t="shared" si="1"/>
        <v>1.8626309662398137</v>
      </c>
      <c r="AB13" s="1300">
        <f t="shared" si="1"/>
        <v>2.6607538802660753</v>
      </c>
      <c r="AC13" s="1300">
        <f t="shared" si="1"/>
        <v>2.6442307692307692</v>
      </c>
      <c r="AD13" s="1300">
        <f t="shared" si="1"/>
        <v>2.1664766248574687</v>
      </c>
      <c r="AE13" s="1300">
        <f t="shared" si="1"/>
        <v>2.3445463812436289</v>
      </c>
      <c r="AF13" s="1300">
        <f t="shared" si="1"/>
        <v>2.5157232704402519</v>
      </c>
      <c r="AG13" s="1300">
        <f t="shared" si="1"/>
        <v>1.4690451206715638</v>
      </c>
      <c r="AH13" s="1300">
        <f t="shared" si="1"/>
        <v>2.5171624713958809</v>
      </c>
      <c r="AI13" s="1300">
        <f t="shared" si="1"/>
        <v>2.8181818181818183</v>
      </c>
      <c r="AJ13" s="1300">
        <f t="shared" si="1"/>
        <v>2.6978417266187051</v>
      </c>
      <c r="AK13" s="1300">
        <f t="shared" si="1"/>
        <v>2.7746947835738069</v>
      </c>
      <c r="AL13" s="1300">
        <f t="shared" si="1"/>
        <v>2.0928116469517741</v>
      </c>
      <c r="AM13" s="1343" t="str">
        <f t="shared" si="1"/>
        <v/>
      </c>
      <c r="AN13" s="191"/>
    </row>
    <row r="14" spans="2:40" x14ac:dyDescent="0.25">
      <c r="B14" s="192"/>
      <c r="C14" s="694"/>
      <c r="D14" s="192"/>
      <c r="E14" s="192"/>
      <c r="F14" s="192"/>
      <c r="G14" s="192"/>
      <c r="H14" s="283" t="s">
        <v>334</v>
      </c>
      <c r="I14" s="284">
        <f>IF(I$9&gt;$D$7,"",SUMIF($F$18:$F286,"Budget (kg)",I$18:I286))</f>
        <v>1.5999999999999999</v>
      </c>
      <c r="J14" s="695">
        <f>IF(J$9&gt;$D$7,"",SUMIF($F$18:$F286,"Budget (kg)",J$18:J286))</f>
        <v>2.9000000000000008</v>
      </c>
      <c r="K14" s="285">
        <f>IF(K$9&gt;$D$7,"",SUMIF($F$18:$F286,"Budget (kg)",K$18:K286))</f>
        <v>2.9000000000000008</v>
      </c>
      <c r="L14" s="285">
        <f>IF(L$9&gt;$D$7,"",SUMIF($F$18:$F286,"Budget (kg)",L$18:L286))</f>
        <v>2.9000000000000008</v>
      </c>
      <c r="M14" s="285">
        <f>IF(M$9&gt;$D$7,"",SUMIF($F$18:$F286,"Budget (kg)",M$18:M286))</f>
        <v>2.9000000000000008</v>
      </c>
      <c r="N14" s="285">
        <f>IF(N$9&gt;$D$7,"",SUMIF($F$18:$F286,"Budget (kg)",N$18:N286))</f>
        <v>2.9000000000000008</v>
      </c>
      <c r="O14" s="285">
        <f>IF(O$9&gt;$D$7,"",SUMIF($F$18:$F286,"Budget (kg)",O$18:O286))</f>
        <v>2.9000000000000008</v>
      </c>
      <c r="P14" s="285">
        <f>IF(P$9&gt;$D$7,"",SUMIF($F$18:$F286,"Budget (kg)",P$18:P286))</f>
        <v>3.0000000000000009</v>
      </c>
      <c r="Q14" s="285">
        <f>IF(Q$9&gt;$D$7,"",SUMIF($F$18:$F286,"Budget (kg)",Q$18:Q286))</f>
        <v>3.0000000000000009</v>
      </c>
      <c r="R14" s="695">
        <f>IF(R$9&gt;$D$7,"",SUMIF($F$18:$F286,"Budget (kg)",R$18:R286))</f>
        <v>3.0000000000000009</v>
      </c>
      <c r="S14" s="695">
        <f>IF(S$9&gt;$D$7,"",SUMIF($F$18:$F286,"Budget (kg)",S$18:S286))</f>
        <v>3.0000000000000009</v>
      </c>
      <c r="T14" s="695">
        <f>IF(T$9&gt;$D$7,"",SUMIF($F$18:$F286,"Budget (kg)",T$18:T286))</f>
        <v>3.0000000000000009</v>
      </c>
      <c r="U14" s="695">
        <f>IF(U$9&gt;$D$7,"",SUMIF($F$18:$F286,"Budget (kg)",U$18:U286))</f>
        <v>3.0000000000000009</v>
      </c>
      <c r="V14" s="695">
        <f>IF(V$9&gt;$D$7,"",SUMIF($F$18:$F286,"Budget (kg)",V$18:V286))</f>
        <v>3.0000000000000009</v>
      </c>
      <c r="W14" s="695">
        <f>IF(W$9&gt;$D$7,"",SUMIF($F$18:$F286,"Budget (kg)",W$18:W286))</f>
        <v>3.0000000000000009</v>
      </c>
      <c r="X14" s="695">
        <f>IF(X$9&gt;$D$7,"",SUMIF($F$18:$F286,"Budget (kg)",X$18:X286))</f>
        <v>2.9000000000000008</v>
      </c>
      <c r="Y14" s="695">
        <f>IF(Y$9&gt;$D$7,"",SUMIF($F$18:$F286,"Budget (kg)",Y$18:Y286))</f>
        <v>2.9000000000000008</v>
      </c>
      <c r="Z14" s="695">
        <f>IF(Z$9&gt;$D$7,"",SUMIF($F$18:$F286,"Budget (kg)",Z$18:Z286))</f>
        <v>2.9000000000000008</v>
      </c>
      <c r="AA14" s="695">
        <f>IF(AA$9&gt;$D$7,"",SUMIF($F$18:$F286,"Budget (kg)",AA$18:AA286))</f>
        <v>2.8000000000000007</v>
      </c>
      <c r="AB14" s="695">
        <f>IF(AB$9&gt;$D$7,"",SUMIF($F$18:$F286,"Budget (kg)",AB$18:AB286))</f>
        <v>1.6000000000000003</v>
      </c>
      <c r="AC14" s="695">
        <f>IF(AC$9&gt;$D$7,"",SUMIF($F$18:$F286,"Budget (kg)",AC$18:AC286))</f>
        <v>0</v>
      </c>
      <c r="AD14" s="695">
        <f>IF(AD$9&gt;$D$7,"",SUMIF($F$18:$F286,"Budget (kg)",AD$18:AD286))</f>
        <v>2.9000000000000008</v>
      </c>
      <c r="AE14" s="696">
        <f>IF(AE$9&gt;$D$7,"",SUMIF($F$18:$F286,"Budget (kg)",AE$18:AE286))</f>
        <v>2.9000000000000008</v>
      </c>
      <c r="AF14" s="696">
        <f>IF(AF$9&gt;$D$7,"",SUMIF($F$18:$F286,"Budget (kg)",AF$18:AF286))</f>
        <v>2.9000000000000008</v>
      </c>
      <c r="AG14" s="696">
        <f>IF(AG$9&gt;$D$7,"",SUMIF($F$18:$F286,"Budget (kg)",AG$18:AG286))</f>
        <v>2.9000000000000008</v>
      </c>
      <c r="AH14" s="696">
        <f>IF(AH$9&gt;$D$7,"",SUMIF($F$18:$F286,"Budget (kg)",AH$18:AH286))</f>
        <v>2.9000000000000008</v>
      </c>
      <c r="AI14" s="696">
        <f>IF(AI$9&gt;$D$7,"",SUMIF($F$18:$F286,"Budget (kg)",AI$18:AI286))</f>
        <v>2.9000000000000008</v>
      </c>
      <c r="AJ14" s="696">
        <f>IF(AJ$9&gt;$D$7,"",SUMIF($F$18:$F286,"Budget (kg)",AJ$18:AJ286))</f>
        <v>2.9000000000000008</v>
      </c>
      <c r="AK14" s="696">
        <f>IF(AK$9&gt;$D$7,"",SUMIF($F$18:$F286,"Budget (kg)",AK$18:AK286))</f>
        <v>2.9000000000000008</v>
      </c>
      <c r="AL14" s="696">
        <f>IF(AL$9&gt;$D$7,"",SUMIF($F$18:$F286,"Budget (kg)",AL$18:AL286))</f>
        <v>2.9000000000000008</v>
      </c>
      <c r="AM14" s="697" t="str">
        <f>IF(AM$9&gt;$D$7,"",SUMIF($F$18:$F286,"Budget (kg)",AM$18:AM286))</f>
        <v/>
      </c>
      <c r="AN14" s="192"/>
    </row>
    <row r="15" spans="2:40" ht="15.75" thickBot="1" x14ac:dyDescent="0.3">
      <c r="B15" s="193"/>
      <c r="C15" s="193"/>
      <c r="D15" s="193"/>
      <c r="E15" s="193"/>
      <c r="F15" s="193"/>
      <c r="G15" s="193"/>
      <c r="H15" s="288" t="s">
        <v>335</v>
      </c>
      <c r="I15" s="1344">
        <f>IF(I$9&gt;$D$7,"",SUMIF($F$18:$F286,"Actual (kg)",I$18:I286))</f>
        <v>0.9</v>
      </c>
      <c r="J15" s="1345">
        <f>IF(J$9&gt;$D$7,"",SUMIF($F$18:$F286,"Actual (kg)",J$18:J286))</f>
        <v>2.6</v>
      </c>
      <c r="K15" s="1346">
        <f>IF(K$9&gt;$D$7,"",SUMIF($F$18:$F286,"Actual (kg)",K$18:K286))</f>
        <v>0.6</v>
      </c>
      <c r="L15" s="1346">
        <f>IF(L$9&gt;$D$7,"",SUMIF($F$18:$F286,"Actual (kg)",L$18:L286))</f>
        <v>1.3</v>
      </c>
      <c r="M15" s="1346">
        <f>IF(M$9&gt;$D$7,"",SUMIF($F$18:$F286,"Actual (kg)",M$18:M286))</f>
        <v>2.1999999999999997</v>
      </c>
      <c r="N15" s="1346">
        <f>IF(N$9&gt;$D$7,"",SUMIF($F$18:$F286,"Actual (kg)",N$18:N286))</f>
        <v>2.1</v>
      </c>
      <c r="O15" s="1346">
        <f>IF(O$9&gt;$D$7,"",SUMIF($F$18:$F286,"Actual (kg)",O$18:O286))</f>
        <v>2.3000000000000003</v>
      </c>
      <c r="P15" s="1346">
        <f>IF(P$9&gt;$D$7,"",SUMIF($F$18:$F286,"Actual (kg)",P$18:P286))</f>
        <v>1.5</v>
      </c>
      <c r="Q15" s="1346">
        <f>IF(Q$9&gt;$D$7,"",SUMIF($F$18:$F286,"Actual (kg)",Q$18:Q286))</f>
        <v>2.2000000000000002</v>
      </c>
      <c r="R15" s="1346">
        <f>IF(R$9&gt;$D$7,"",SUMIF($F$18:$F286,"Actual (kg)",R$18:R286))</f>
        <v>2.6</v>
      </c>
      <c r="S15" s="1346">
        <f>IF(S$9&gt;$D$7,"",SUMIF($F$18:$F286,"Actual (kg)",S$18:S286))</f>
        <v>2.4</v>
      </c>
      <c r="T15" s="1346">
        <f>IF(T$9&gt;$D$7,"",SUMIF($F$18:$F286,"Actual (kg)",T$18:T286))</f>
        <v>2.3000000000000003</v>
      </c>
      <c r="U15" s="1346">
        <f>IF(U$9&gt;$D$7,"",SUMIF($F$18:$F286,"Actual (kg)",U$18:U286))</f>
        <v>2.4000000000000004</v>
      </c>
      <c r="V15" s="1346">
        <f>IF(V$9&gt;$D$7,"",SUMIF($F$18:$F286,"Actual (kg)",V$18:V286))</f>
        <v>2.6</v>
      </c>
      <c r="W15" s="1346">
        <f>IF(W$9&gt;$D$7,"",SUMIF($F$18:$F286,"Actual (kg)",W$18:W286))</f>
        <v>2.2000000000000006</v>
      </c>
      <c r="X15" s="1346">
        <f>IF(X$9&gt;$D$7,"",SUMIF($F$18:$F286,"Actual (kg)",X$18:X286))</f>
        <v>2.4</v>
      </c>
      <c r="Y15" s="1346">
        <f>IF(Y$9&gt;$D$7,"",SUMIF($F$18:$F286,"Actual (kg)",Y$18:Y286))</f>
        <v>2.2000000000000002</v>
      </c>
      <c r="Z15" s="1346">
        <f>IF(Z$9&gt;$D$7,"",SUMIF($F$18:$F286,"Actual (kg)",Z$18:Z286))</f>
        <v>2.1</v>
      </c>
      <c r="AA15" s="1346">
        <f>IF(AA$9&gt;$D$7,"",SUMIF($F$18:$F286,"Actual (kg)",AA$18:AA286))</f>
        <v>1.6</v>
      </c>
      <c r="AB15" s="1346">
        <f>IF(AB$9&gt;$D$7,"",SUMIF($F$18:$F286,"Actual (kg)",AB$18:AB286))</f>
        <v>2.4</v>
      </c>
      <c r="AC15" s="1346">
        <f>IF(AC$9&gt;$D$7,"",SUMIF($F$18:$F286,"Actual (kg)",AC$18:AC286))</f>
        <v>2.2000000000000002</v>
      </c>
      <c r="AD15" s="1346">
        <f>IF(AD$9&gt;$D$7,"",SUMIF($F$18:$F286,"Actual (kg)",AD$18:AD286))</f>
        <v>1.9000000000000001</v>
      </c>
      <c r="AE15" s="1346">
        <f>IF(AE$9&gt;$D$7,"",SUMIF($F$18:$F286,"Actual (kg)",AE$18:AE286))</f>
        <v>2.2999999999999998</v>
      </c>
      <c r="AF15" s="1346">
        <f>IF(AF$9&gt;$D$7,"",SUMIF($F$18:$F286,"Actual (kg)",AF$18:AF286))</f>
        <v>2.4000000000000004</v>
      </c>
      <c r="AG15" s="1346">
        <f>IF(AG$9&gt;$D$7,"",SUMIF($F$18:$F286,"Actual (kg)",AG$18:AG286))</f>
        <v>1.4000000000000001</v>
      </c>
      <c r="AH15" s="1346">
        <f>IF(AH$9&gt;$D$7,"",SUMIF($F$18:$F286,"Actual (kg)",AH$18:AH286))</f>
        <v>1.1000000000000001</v>
      </c>
      <c r="AI15" s="1346">
        <f>IF(AI$9&gt;$D$7,"",SUMIF($F$18:$F286,"Actual (kg)",AI$18:AI286))</f>
        <v>3.1</v>
      </c>
      <c r="AJ15" s="1346">
        <f>IF(AJ$9&gt;$D$7,"",SUMIF($F$18:$F286,"Actual (kg)",AJ$18:AJ286))</f>
        <v>3</v>
      </c>
      <c r="AK15" s="1346">
        <f>IF(AK$9&gt;$D$7,"",SUMIF($F$18:$F286,"Actual (kg)",AK$18:AK286))</f>
        <v>2.5</v>
      </c>
      <c r="AL15" s="1346">
        <f>IF(AL$9&gt;$D$7,"",SUMIF($F$18:$F286,"Actual (kg)",AL$18:AL286))</f>
        <v>2.2999999999999998</v>
      </c>
      <c r="AM15" s="1347" t="str">
        <f>IF(AM$9&gt;$D$7,"",SUMIF($F$18:$F286,"Actual (kg)",AM$18:AM286))</f>
        <v/>
      </c>
      <c r="AN15" s="193"/>
    </row>
    <row r="16" spans="2:40" ht="15.75" thickBot="1" x14ac:dyDescent="0.3">
      <c r="B16" s="182"/>
      <c r="C16" s="182"/>
      <c r="D16" s="182"/>
      <c r="E16" s="182"/>
      <c r="F16" s="182"/>
      <c r="G16" s="182"/>
      <c r="H16" s="182"/>
      <c r="I16" s="675"/>
      <c r="J16" s="182"/>
      <c r="K16" s="341"/>
      <c r="L16" s="341"/>
      <c r="M16" s="341"/>
      <c r="N16" s="676"/>
      <c r="O16" s="677"/>
      <c r="P16" s="677"/>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c r="AN16" s="182"/>
    </row>
    <row r="17" spans="1:40" ht="15.75" thickBot="1" x14ac:dyDescent="0.3">
      <c r="A17" s="1709" t="s">
        <v>467</v>
      </c>
      <c r="B17" s="1710"/>
      <c r="C17" s="1711"/>
      <c r="D17" s="344" t="s">
        <v>358</v>
      </c>
      <c r="E17" s="345"/>
      <c r="F17" s="346"/>
      <c r="G17" s="698" t="s">
        <v>269</v>
      </c>
      <c r="H17" s="699" t="s">
        <v>338</v>
      </c>
      <c r="I17" s="700">
        <f>[13]SUMMARY!I16</f>
        <v>45748</v>
      </c>
      <c r="J17" s="701">
        <f>[13]SUMMARY!J16</f>
        <v>45749</v>
      </c>
      <c r="K17" s="701">
        <f>[13]SUMMARY!K16</f>
        <v>45750</v>
      </c>
      <c r="L17" s="701">
        <f>[13]SUMMARY!L16</f>
        <v>45751</v>
      </c>
      <c r="M17" s="701">
        <f>[13]SUMMARY!M16</f>
        <v>45752</v>
      </c>
      <c r="N17" s="701">
        <f>[13]SUMMARY!N16</f>
        <v>45753</v>
      </c>
      <c r="O17" s="701">
        <f>[13]SUMMARY!O16</f>
        <v>45754</v>
      </c>
      <c r="P17" s="701">
        <f>[13]SUMMARY!P16</f>
        <v>45755</v>
      </c>
      <c r="Q17" s="701">
        <f>[13]SUMMARY!Q16</f>
        <v>45756</v>
      </c>
      <c r="R17" s="701">
        <f>[13]SUMMARY!R16</f>
        <v>45757</v>
      </c>
      <c r="S17" s="701">
        <f>[13]SUMMARY!S16</f>
        <v>45758</v>
      </c>
      <c r="T17" s="701">
        <f>[13]SUMMARY!T16</f>
        <v>45759</v>
      </c>
      <c r="U17" s="701">
        <f>[13]SUMMARY!U16</f>
        <v>45760</v>
      </c>
      <c r="V17" s="701">
        <f>[13]SUMMARY!V16</f>
        <v>45761</v>
      </c>
      <c r="W17" s="701">
        <f>[13]SUMMARY!W16</f>
        <v>45762</v>
      </c>
      <c r="X17" s="701">
        <f>[13]SUMMARY!X16</f>
        <v>45763</v>
      </c>
      <c r="Y17" s="701">
        <f>[13]SUMMARY!Y16</f>
        <v>45764</v>
      </c>
      <c r="Z17" s="701">
        <f>[13]SUMMARY!Z16</f>
        <v>45765</v>
      </c>
      <c r="AA17" s="701">
        <f>[13]SUMMARY!AA16</f>
        <v>45766</v>
      </c>
      <c r="AB17" s="701">
        <f>[13]SUMMARY!AB16</f>
        <v>45767</v>
      </c>
      <c r="AC17" s="701">
        <f>[13]SUMMARY!AC16</f>
        <v>45768</v>
      </c>
      <c r="AD17" s="701">
        <f>[13]SUMMARY!AD16</f>
        <v>45769</v>
      </c>
      <c r="AE17" s="701">
        <f>[13]SUMMARY!AE16</f>
        <v>45770</v>
      </c>
      <c r="AF17" s="701">
        <f>[13]SUMMARY!AF16</f>
        <v>45771</v>
      </c>
      <c r="AG17" s="701">
        <f>[13]SUMMARY!AG16</f>
        <v>45772</v>
      </c>
      <c r="AH17" s="701">
        <f>[13]SUMMARY!AH16</f>
        <v>45773</v>
      </c>
      <c r="AI17" s="701">
        <f>[13]SUMMARY!AI16</f>
        <v>45774</v>
      </c>
      <c r="AJ17" s="701">
        <f>[13]SUMMARY!AJ16</f>
        <v>45775</v>
      </c>
      <c r="AK17" s="701">
        <f>[13]SUMMARY!AK16</f>
        <v>45776</v>
      </c>
      <c r="AL17" s="701">
        <f>[13]SUMMARY!AL16</f>
        <v>45777</v>
      </c>
      <c r="AM17" s="702">
        <f>[13]SUMMARY!AM16</f>
        <v>45778</v>
      </c>
      <c r="AN17" s="703" t="s">
        <v>359</v>
      </c>
    </row>
    <row r="18" spans="1:40" ht="14.25" customHeight="1" x14ac:dyDescent="0.25">
      <c r="A18" s="1688" t="s">
        <v>340</v>
      </c>
      <c r="B18" s="295">
        <f>SUM(I18:AL18)</f>
        <v>2030</v>
      </c>
      <c r="C18" s="296"/>
      <c r="D18" s="1704" t="str">
        <f>[13]Breaking.!A9</f>
        <v>1L W24 STOPE</v>
      </c>
      <c r="E18" s="1684" t="s">
        <v>340</v>
      </c>
      <c r="F18" s="195" t="s">
        <v>341</v>
      </c>
      <c r="G18" s="196">
        <f>SUMIF($I$9:$AM$9,"&lt;="&amp;$D$7,I18:AM18)</f>
        <v>2030</v>
      </c>
      <c r="H18" s="197"/>
      <c r="I18" s="599">
        <v>70</v>
      </c>
      <c r="J18" s="599">
        <v>70</v>
      </c>
      <c r="K18" s="599">
        <v>70</v>
      </c>
      <c r="L18" s="600">
        <v>70</v>
      </c>
      <c r="M18" s="600">
        <v>70</v>
      </c>
      <c r="N18" s="600">
        <v>70</v>
      </c>
      <c r="O18" s="600">
        <v>70</v>
      </c>
      <c r="P18" s="600">
        <v>70</v>
      </c>
      <c r="Q18" s="601">
        <v>70</v>
      </c>
      <c r="R18" s="600">
        <v>70</v>
      </c>
      <c r="S18" s="600">
        <v>70</v>
      </c>
      <c r="T18" s="600">
        <v>70</v>
      </c>
      <c r="U18" s="600">
        <v>70</v>
      </c>
      <c r="V18" s="600">
        <v>70</v>
      </c>
      <c r="W18" s="600">
        <v>70</v>
      </c>
      <c r="X18" s="600">
        <v>70</v>
      </c>
      <c r="Y18" s="600">
        <v>70</v>
      </c>
      <c r="Z18" s="600">
        <v>70</v>
      </c>
      <c r="AA18" s="600">
        <v>70</v>
      </c>
      <c r="AB18" s="600">
        <v>70</v>
      </c>
      <c r="AC18" s="600" t="s">
        <v>468</v>
      </c>
      <c r="AD18" s="600">
        <v>70</v>
      </c>
      <c r="AE18" s="600">
        <v>70</v>
      </c>
      <c r="AF18" s="600">
        <v>70</v>
      </c>
      <c r="AG18" s="600">
        <v>70</v>
      </c>
      <c r="AH18" s="600">
        <v>70</v>
      </c>
      <c r="AI18" s="600">
        <v>70</v>
      </c>
      <c r="AJ18" s="600">
        <v>70</v>
      </c>
      <c r="AK18" s="600">
        <v>70</v>
      </c>
      <c r="AL18" s="600">
        <v>70</v>
      </c>
      <c r="AM18" s="602" t="s">
        <v>468</v>
      </c>
      <c r="AN18" s="634"/>
    </row>
    <row r="19" spans="1:40" x14ac:dyDescent="0.25">
      <c r="A19" s="1688"/>
      <c r="B19" s="1303">
        <f>(B18*H19)+B18</f>
        <v>2125</v>
      </c>
      <c r="C19" s="1430">
        <f>B19-B18</f>
        <v>95</v>
      </c>
      <c r="D19" s="1705"/>
      <c r="E19" s="1688"/>
      <c r="F19" s="1379" t="s">
        <v>342</v>
      </c>
      <c r="G19" s="1303">
        <f>SUMIF($I$9:$AM$9,"&lt;="&amp;$D$7,I19:AM19)</f>
        <v>2125</v>
      </c>
      <c r="H19" s="1380">
        <f>IFERROR((G19-G18)/G18,0)</f>
        <v>4.6798029556650245E-2</v>
      </c>
      <c r="I19" s="1433">
        <v>30</v>
      </c>
      <c r="J19" s="1434">
        <v>54</v>
      </c>
      <c r="K19" s="1434">
        <v>44</v>
      </c>
      <c r="L19" s="1434">
        <v>30</v>
      </c>
      <c r="M19" s="1434">
        <v>43</v>
      </c>
      <c r="N19" s="1434">
        <v>48</v>
      </c>
      <c r="O19" s="1434">
        <v>60</v>
      </c>
      <c r="P19" s="1434">
        <v>40</v>
      </c>
      <c r="Q19" s="1434">
        <v>48</v>
      </c>
      <c r="R19" s="1434">
        <v>60</v>
      </c>
      <c r="S19" s="1435">
        <v>72</v>
      </c>
      <c r="T19" s="1435">
        <v>84</v>
      </c>
      <c r="U19" s="1435">
        <v>72</v>
      </c>
      <c r="V19" s="1435">
        <v>72</v>
      </c>
      <c r="W19" s="1435">
        <v>84</v>
      </c>
      <c r="X19" s="1435">
        <v>72</v>
      </c>
      <c r="Y19" s="1435">
        <v>84</v>
      </c>
      <c r="Z19" s="1435">
        <v>72</v>
      </c>
      <c r="AA19" s="1435">
        <v>84</v>
      </c>
      <c r="AB19" s="1435">
        <v>84</v>
      </c>
      <c r="AC19" s="1435">
        <v>90</v>
      </c>
      <c r="AD19" s="1435">
        <v>90</v>
      </c>
      <c r="AE19" s="1435">
        <v>150</v>
      </c>
      <c r="AF19" s="1435">
        <v>90</v>
      </c>
      <c r="AG19" s="1435">
        <v>72</v>
      </c>
      <c r="AH19" s="1435">
        <v>90</v>
      </c>
      <c r="AI19" s="1435">
        <v>90</v>
      </c>
      <c r="AJ19" s="1435">
        <v>84</v>
      </c>
      <c r="AK19" s="1435">
        <v>72</v>
      </c>
      <c r="AL19" s="1434">
        <v>60</v>
      </c>
      <c r="AM19" s="1436"/>
      <c r="AN19" s="604"/>
    </row>
    <row r="20" spans="1:40" x14ac:dyDescent="0.25">
      <c r="A20" s="1688"/>
      <c r="B20" s="1382"/>
      <c r="C20" s="1383"/>
      <c r="D20" s="1705"/>
      <c r="E20" s="1688"/>
      <c r="F20" s="1389" t="s">
        <v>312</v>
      </c>
      <c r="G20" s="1382"/>
      <c r="H20" s="1383"/>
      <c r="I20" s="605"/>
      <c r="J20" s="605"/>
      <c r="K20" s="605"/>
      <c r="L20" s="605"/>
      <c r="M20" s="605"/>
      <c r="N20" s="605"/>
      <c r="O20" s="605"/>
      <c r="P20" s="605"/>
      <c r="Q20" s="606"/>
      <c r="R20" s="605"/>
      <c r="S20" s="605"/>
      <c r="T20" s="605"/>
      <c r="U20" s="605"/>
      <c r="V20" s="605"/>
      <c r="W20" s="605"/>
      <c r="X20" s="605"/>
      <c r="Y20" s="605"/>
      <c r="Z20" s="605"/>
      <c r="AA20" s="605"/>
      <c r="AB20" s="605"/>
      <c r="AC20" s="605"/>
      <c r="AD20" s="605"/>
      <c r="AE20" s="605"/>
      <c r="AF20" s="605"/>
      <c r="AG20" s="605"/>
      <c r="AH20" s="605"/>
      <c r="AI20" s="605"/>
      <c r="AJ20" s="605"/>
      <c r="AK20" s="605"/>
      <c r="AL20" s="605"/>
      <c r="AM20" s="607"/>
      <c r="AN20" s="604"/>
    </row>
    <row r="21" spans="1:40" x14ac:dyDescent="0.25">
      <c r="A21" s="1685" t="s">
        <v>343</v>
      </c>
      <c r="B21" s="1310">
        <f>SUMPRODUCT(I18:AL18,I21:AL21)/B18</f>
        <v>2.2999999999999998</v>
      </c>
      <c r="C21" s="1385"/>
      <c r="D21" s="1705"/>
      <c r="E21" s="1685" t="s">
        <v>343</v>
      </c>
      <c r="F21" s="1384" t="s">
        <v>344</v>
      </c>
      <c r="G21" s="1310">
        <f>IFERROR(G23*1000/G18,0)</f>
        <v>2.7586206896551739</v>
      </c>
      <c r="H21" s="1385"/>
      <c r="I21" s="1437">
        <v>2.2999999999999998</v>
      </c>
      <c r="J21" s="1437">
        <v>2.2999999999999998</v>
      </c>
      <c r="K21" s="1437">
        <v>2.2999999999999998</v>
      </c>
      <c r="L21" s="1437">
        <v>2.2999999999999998</v>
      </c>
      <c r="M21" s="1437">
        <v>2.2999999999999998</v>
      </c>
      <c r="N21" s="1437">
        <v>2.2999999999999998</v>
      </c>
      <c r="O21" s="1437">
        <v>2.2999999999999998</v>
      </c>
      <c r="P21" s="1437">
        <v>2.2999999999999998</v>
      </c>
      <c r="Q21" s="1438">
        <v>2.2999999999999998</v>
      </c>
      <c r="R21" s="1437">
        <v>2.2999999999999998</v>
      </c>
      <c r="S21" s="1437">
        <v>2.2999999999999998</v>
      </c>
      <c r="T21" s="1437">
        <v>2.2999999999999998</v>
      </c>
      <c r="U21" s="1437">
        <v>2.2999999999999998</v>
      </c>
      <c r="V21" s="1437">
        <v>2.2999999999999998</v>
      </c>
      <c r="W21" s="1437">
        <v>2.2999999999999998</v>
      </c>
      <c r="X21" s="1437">
        <v>2.2999999999999998</v>
      </c>
      <c r="Y21" s="1437">
        <v>2.2999999999999998</v>
      </c>
      <c r="Z21" s="1437">
        <v>2.2999999999999998</v>
      </c>
      <c r="AA21" s="1437">
        <v>2.2999999999999998</v>
      </c>
      <c r="AB21" s="1437">
        <v>2.2999999999999998</v>
      </c>
      <c r="AC21" s="1437">
        <v>2.2999999999999998</v>
      </c>
      <c r="AD21" s="1437">
        <v>2.2999999999999998</v>
      </c>
      <c r="AE21" s="1437">
        <v>2.2999999999999998</v>
      </c>
      <c r="AF21" s="1437">
        <v>2.2999999999999998</v>
      </c>
      <c r="AG21" s="1437">
        <v>2.2999999999999998</v>
      </c>
      <c r="AH21" s="1437">
        <v>2.2999999999999998</v>
      </c>
      <c r="AI21" s="1437">
        <v>2.2999999999999998</v>
      </c>
      <c r="AJ21" s="1437">
        <v>2.2999999999999998</v>
      </c>
      <c r="AK21" s="1437">
        <v>2.2999999999999998</v>
      </c>
      <c r="AL21" s="1437">
        <v>2.2999999999999998</v>
      </c>
      <c r="AM21" s="1439" t="s">
        <v>468</v>
      </c>
      <c r="AN21" s="604"/>
    </row>
    <row r="22" spans="1:40" x14ac:dyDescent="0.25">
      <c r="A22" s="1707"/>
      <c r="B22" s="1314">
        <f>B21*(G22/B21)</f>
        <v>1.882352941176471</v>
      </c>
      <c r="C22" s="1431">
        <f>B22-B21</f>
        <v>-0.41764705882352882</v>
      </c>
      <c r="D22" s="1705"/>
      <c r="E22" s="1707"/>
      <c r="F22" s="1386" t="s">
        <v>345</v>
      </c>
      <c r="G22" s="1314">
        <f>IFERROR(G24*1000/G19,0)</f>
        <v>1.882352941176471</v>
      </c>
      <c r="H22" s="1380">
        <f>IFERROR((G22-G21)/G21,0)</f>
        <v>-0.31764705882352962</v>
      </c>
      <c r="I22" s="1440">
        <v>1.49</v>
      </c>
      <c r="J22" s="1441">
        <v>1.79</v>
      </c>
      <c r="K22" s="1434"/>
      <c r="L22" s="1441">
        <v>1.88</v>
      </c>
      <c r="M22" s="1442">
        <v>2.69</v>
      </c>
      <c r="N22" s="1442">
        <v>2.77</v>
      </c>
      <c r="O22" s="1442">
        <v>2.57</v>
      </c>
      <c r="P22" s="1442">
        <v>2.4500000000000002</v>
      </c>
      <c r="Q22" s="1442">
        <v>2.4</v>
      </c>
      <c r="R22" s="1443">
        <v>1.56</v>
      </c>
      <c r="S22" s="1442">
        <v>2.67</v>
      </c>
      <c r="T22" s="1434"/>
      <c r="U22" s="1441">
        <v>1.68</v>
      </c>
      <c r="V22" s="1442">
        <v>3.57</v>
      </c>
      <c r="W22" s="1442">
        <v>3.28</v>
      </c>
      <c r="X22" s="1442">
        <v>2.96</v>
      </c>
      <c r="Y22" s="1434"/>
      <c r="Z22" s="1441">
        <v>1.61</v>
      </c>
      <c r="AA22" s="1441">
        <v>1.6</v>
      </c>
      <c r="AB22" s="1443">
        <v>1.36</v>
      </c>
      <c r="AC22" s="1443">
        <v>1.33</v>
      </c>
      <c r="AD22" s="1443">
        <v>1.3</v>
      </c>
      <c r="AE22" s="1444">
        <v>2.0699999999999998</v>
      </c>
      <c r="AF22" s="1443">
        <v>1.25</v>
      </c>
      <c r="AG22" s="1442">
        <v>3.69</v>
      </c>
      <c r="AH22" s="1442">
        <v>3.69</v>
      </c>
      <c r="AI22" s="1443">
        <v>1.57</v>
      </c>
      <c r="AJ22" s="1441">
        <v>1.99</v>
      </c>
      <c r="AK22" s="1443">
        <v>1.44</v>
      </c>
      <c r="AL22" s="1443">
        <v>1.02</v>
      </c>
      <c r="AM22" s="1436"/>
      <c r="AN22" s="604"/>
    </row>
    <row r="23" spans="1:40" x14ac:dyDescent="0.25">
      <c r="A23" s="1685" t="s">
        <v>47</v>
      </c>
      <c r="B23" s="206">
        <f>+B21*B18/1000</f>
        <v>4.6689999999999996</v>
      </c>
      <c r="C23" s="1385"/>
      <c r="D23" s="1705"/>
      <c r="E23" s="1685" t="s">
        <v>47</v>
      </c>
      <c r="F23" s="1384" t="s">
        <v>346</v>
      </c>
      <c r="G23" s="206">
        <f>SUMIF($I$9:$AM$9,"&lt;="&amp;$D$7,I23:AM23)</f>
        <v>5.6000000000000023</v>
      </c>
      <c r="H23" s="1385"/>
      <c r="I23" s="1445" t="s">
        <v>468</v>
      </c>
      <c r="J23" s="1445">
        <v>0.2</v>
      </c>
      <c r="K23" s="1445">
        <v>0.2</v>
      </c>
      <c r="L23" s="1445">
        <v>0.2</v>
      </c>
      <c r="M23" s="1445">
        <v>0.2</v>
      </c>
      <c r="N23" s="1445">
        <v>0.2</v>
      </c>
      <c r="O23" s="1445">
        <v>0.2</v>
      </c>
      <c r="P23" s="1445">
        <v>0.2</v>
      </c>
      <c r="Q23" s="1445">
        <v>0.2</v>
      </c>
      <c r="R23" s="1445">
        <v>0.2</v>
      </c>
      <c r="S23" s="1445">
        <v>0.2</v>
      </c>
      <c r="T23" s="1445">
        <v>0.2</v>
      </c>
      <c r="U23" s="1445">
        <v>0.2</v>
      </c>
      <c r="V23" s="1445">
        <v>0.2</v>
      </c>
      <c r="W23" s="1445">
        <v>0.2</v>
      </c>
      <c r="X23" s="1445">
        <v>0.2</v>
      </c>
      <c r="Y23" s="1445">
        <v>0.2</v>
      </c>
      <c r="Z23" s="1445">
        <v>0.2</v>
      </c>
      <c r="AA23" s="1445">
        <v>0.2</v>
      </c>
      <c r="AB23" s="1445">
        <v>0.2</v>
      </c>
      <c r="AC23" s="1445" t="s">
        <v>468</v>
      </c>
      <c r="AD23" s="1445">
        <v>0.2</v>
      </c>
      <c r="AE23" s="1445">
        <v>0.2</v>
      </c>
      <c r="AF23" s="1445">
        <v>0.2</v>
      </c>
      <c r="AG23" s="1445">
        <v>0.2</v>
      </c>
      <c r="AH23" s="1445">
        <v>0.2</v>
      </c>
      <c r="AI23" s="1445">
        <v>0.2</v>
      </c>
      <c r="AJ23" s="1445">
        <v>0.2</v>
      </c>
      <c r="AK23" s="1445">
        <v>0.2</v>
      </c>
      <c r="AL23" s="1445">
        <v>0.2</v>
      </c>
      <c r="AM23" s="1445" t="s">
        <v>468</v>
      </c>
      <c r="AN23" s="604"/>
    </row>
    <row r="24" spans="1:40" ht="15.75" thickBot="1" x14ac:dyDescent="0.3">
      <c r="A24" s="1708"/>
      <c r="B24" s="1321">
        <f>+B22*B19/1000</f>
        <v>4.0000000000000009</v>
      </c>
      <c r="C24" s="1432">
        <f>B24-B23</f>
        <v>-0.66899999999999871</v>
      </c>
      <c r="D24" s="1706"/>
      <c r="E24" s="1708"/>
      <c r="F24" s="1387" t="s">
        <v>347</v>
      </c>
      <c r="G24" s="1321">
        <f>SUMIF($I$9:$AM$9,"&lt;="&amp;$D$7,I24:AM24)</f>
        <v>4.0000000000000009</v>
      </c>
      <c r="H24" s="1388">
        <f>IFERROR((G24-G23)/G23,0)</f>
        <v>-0.28571428571428586</v>
      </c>
      <c r="I24" s="1446">
        <v>0</v>
      </c>
      <c r="J24" s="1447">
        <v>0.1</v>
      </c>
      <c r="K24" s="1447" t="s">
        <v>468</v>
      </c>
      <c r="L24" s="1447">
        <v>0.1</v>
      </c>
      <c r="M24" s="1447">
        <v>0.1</v>
      </c>
      <c r="N24" s="1447">
        <v>0.1</v>
      </c>
      <c r="O24" s="1447">
        <v>0.2</v>
      </c>
      <c r="P24" s="1447">
        <v>0.1</v>
      </c>
      <c r="Q24" s="1447">
        <v>0.1</v>
      </c>
      <c r="R24" s="1447">
        <v>0.1</v>
      </c>
      <c r="S24" s="1446">
        <v>0.2</v>
      </c>
      <c r="T24" s="1447" t="s">
        <v>468</v>
      </c>
      <c r="U24" s="1447">
        <v>0.1</v>
      </c>
      <c r="V24" s="1446">
        <v>0.3</v>
      </c>
      <c r="W24" s="1446">
        <v>0.3</v>
      </c>
      <c r="X24" s="1446">
        <v>0.2</v>
      </c>
      <c r="Y24" s="1447" t="s">
        <v>468</v>
      </c>
      <c r="Z24" s="1447">
        <v>0.1</v>
      </c>
      <c r="AA24" s="1447">
        <v>0.1</v>
      </c>
      <c r="AB24" s="1447">
        <v>0.1</v>
      </c>
      <c r="AC24" s="1446">
        <v>0.1</v>
      </c>
      <c r="AD24" s="1447">
        <v>0.1</v>
      </c>
      <c r="AE24" s="1446">
        <v>0.3</v>
      </c>
      <c r="AF24" s="1447">
        <v>0.1</v>
      </c>
      <c r="AG24" s="1446">
        <v>0.3</v>
      </c>
      <c r="AH24" s="1446">
        <v>0.3</v>
      </c>
      <c r="AI24" s="1447">
        <v>0.1</v>
      </c>
      <c r="AJ24" s="1446">
        <v>0.2</v>
      </c>
      <c r="AK24" s="1447">
        <v>0.1</v>
      </c>
      <c r="AL24" s="1447">
        <v>0.1</v>
      </c>
      <c r="AM24" s="1448" t="s">
        <v>468</v>
      </c>
      <c r="AN24" s="610"/>
    </row>
    <row r="25" spans="1:40" ht="14.25" customHeight="1" x14ac:dyDescent="0.25">
      <c r="A25" s="1684" t="s">
        <v>340</v>
      </c>
      <c r="B25" s="196">
        <f>SUM(I25:AL25)</f>
        <v>3045</v>
      </c>
      <c r="C25" s="197"/>
      <c r="D25" s="1704" t="s">
        <v>469</v>
      </c>
      <c r="E25" s="1684" t="s">
        <v>340</v>
      </c>
      <c r="F25" s="195" t="s">
        <v>341</v>
      </c>
      <c r="G25" s="196">
        <f t="shared" ref="G25:G26" si="2">SUMIF($I$9:$AM$9,"&lt;="&amp;$D$7,I25:AM25)</f>
        <v>3045</v>
      </c>
      <c r="H25" s="197"/>
      <c r="I25" s="599">
        <v>105</v>
      </c>
      <c r="J25" s="599">
        <v>105</v>
      </c>
      <c r="K25" s="599">
        <v>105</v>
      </c>
      <c r="L25" s="600">
        <v>105</v>
      </c>
      <c r="M25" s="600">
        <v>105</v>
      </c>
      <c r="N25" s="600">
        <v>105</v>
      </c>
      <c r="O25" s="600">
        <v>105</v>
      </c>
      <c r="P25" s="600">
        <v>105</v>
      </c>
      <c r="Q25" s="601">
        <v>105</v>
      </c>
      <c r="R25" s="600">
        <v>105</v>
      </c>
      <c r="S25" s="600">
        <v>105</v>
      </c>
      <c r="T25" s="600">
        <v>105</v>
      </c>
      <c r="U25" s="600">
        <v>105</v>
      </c>
      <c r="V25" s="600">
        <v>105</v>
      </c>
      <c r="W25" s="600">
        <v>105</v>
      </c>
      <c r="X25" s="600">
        <v>105</v>
      </c>
      <c r="Y25" s="600">
        <v>105</v>
      </c>
      <c r="Z25" s="600">
        <v>105</v>
      </c>
      <c r="AA25" s="600">
        <v>105</v>
      </c>
      <c r="AB25" s="600">
        <v>105</v>
      </c>
      <c r="AC25" s="600" t="s">
        <v>468</v>
      </c>
      <c r="AD25" s="600">
        <v>105</v>
      </c>
      <c r="AE25" s="600">
        <v>105</v>
      </c>
      <c r="AF25" s="600">
        <v>105</v>
      </c>
      <c r="AG25" s="600">
        <v>105</v>
      </c>
      <c r="AH25" s="600">
        <v>105</v>
      </c>
      <c r="AI25" s="600">
        <v>105</v>
      </c>
      <c r="AJ25" s="600">
        <v>105</v>
      </c>
      <c r="AK25" s="600">
        <v>105</v>
      </c>
      <c r="AL25" s="600">
        <v>105</v>
      </c>
      <c r="AM25" s="602" t="s">
        <v>468</v>
      </c>
      <c r="AN25" s="634"/>
    </row>
    <row r="26" spans="1:40" x14ac:dyDescent="0.25">
      <c r="A26" s="1688"/>
      <c r="B26" s="1303">
        <f t="shared" ref="B26:B89" si="3">(B25*H26)+B25</f>
        <v>2726</v>
      </c>
      <c r="C26" s="1430">
        <f>B26-B25</f>
        <v>-319</v>
      </c>
      <c r="D26" s="1705"/>
      <c r="E26" s="1688"/>
      <c r="F26" s="1379" t="s">
        <v>342</v>
      </c>
      <c r="G26" s="1303">
        <f t="shared" si="2"/>
        <v>2726</v>
      </c>
      <c r="H26" s="1380">
        <f t="shared" ref="H26" si="4">IFERROR((G26-G25)/G25,0)</f>
        <v>-0.10476190476190476</v>
      </c>
      <c r="I26" s="1449">
        <v>134</v>
      </c>
      <c r="J26" s="1435">
        <v>116</v>
      </c>
      <c r="K26" s="1434">
        <v>72</v>
      </c>
      <c r="L26" s="1434">
        <v>72</v>
      </c>
      <c r="M26" s="1434">
        <v>84</v>
      </c>
      <c r="N26" s="1435">
        <v>138</v>
      </c>
      <c r="O26" s="1435">
        <v>150</v>
      </c>
      <c r="P26" s="1435">
        <v>158</v>
      </c>
      <c r="Q26" s="1435">
        <v>166</v>
      </c>
      <c r="R26" s="1434">
        <v>102</v>
      </c>
      <c r="S26" s="1434">
        <v>100</v>
      </c>
      <c r="T26" s="1435">
        <v>132</v>
      </c>
      <c r="U26" s="1435">
        <v>126</v>
      </c>
      <c r="V26" s="1434">
        <v>80</v>
      </c>
      <c r="W26" s="1435">
        <v>172</v>
      </c>
      <c r="X26" s="1434">
        <v>78</v>
      </c>
      <c r="Y26" s="1434">
        <v>73</v>
      </c>
      <c r="Z26" s="1434" t="s">
        <v>468</v>
      </c>
      <c r="AA26" s="1434">
        <v>98</v>
      </c>
      <c r="AB26" s="1434">
        <v>102</v>
      </c>
      <c r="AC26" s="1435"/>
      <c r="AD26" s="1434"/>
      <c r="AE26" s="1434">
        <v>84</v>
      </c>
      <c r="AF26" s="1434">
        <v>44</v>
      </c>
      <c r="AG26" s="1434">
        <v>82</v>
      </c>
      <c r="AH26" s="1434"/>
      <c r="AI26" s="1434">
        <v>74</v>
      </c>
      <c r="AJ26" s="1434">
        <v>104</v>
      </c>
      <c r="AK26" s="1434">
        <v>80</v>
      </c>
      <c r="AL26" s="1435">
        <v>105</v>
      </c>
      <c r="AM26" s="1436"/>
      <c r="AN26" s="604"/>
    </row>
    <row r="27" spans="1:40" x14ac:dyDescent="0.25">
      <c r="A27" s="1688"/>
      <c r="B27" s="1382"/>
      <c r="C27" s="1383"/>
      <c r="D27" s="1705"/>
      <c r="E27" s="1688"/>
      <c r="F27" s="1389" t="s">
        <v>312</v>
      </c>
      <c r="G27" s="1382"/>
      <c r="H27" s="1383"/>
      <c r="I27" s="605"/>
      <c r="J27" s="605"/>
      <c r="K27" s="605"/>
      <c r="L27" s="605"/>
      <c r="M27" s="605"/>
      <c r="N27" s="605"/>
      <c r="O27" s="605"/>
      <c r="P27" s="605"/>
      <c r="Q27" s="606"/>
      <c r="R27" s="605"/>
      <c r="S27" s="605"/>
      <c r="T27" s="605"/>
      <c r="U27" s="605"/>
      <c r="V27" s="605"/>
      <c r="W27" s="605"/>
      <c r="X27" s="605"/>
      <c r="Y27" s="605"/>
      <c r="Z27" s="605"/>
      <c r="AA27" s="605"/>
      <c r="AB27" s="605"/>
      <c r="AC27" s="605"/>
      <c r="AD27" s="605"/>
      <c r="AE27" s="605"/>
      <c r="AF27" s="605"/>
      <c r="AG27" s="605"/>
      <c r="AH27" s="605"/>
      <c r="AI27" s="605"/>
      <c r="AJ27" s="605"/>
      <c r="AK27" s="605"/>
      <c r="AL27" s="605"/>
      <c r="AM27" s="607"/>
      <c r="AN27" s="604"/>
    </row>
    <row r="28" spans="1:40" x14ac:dyDescent="0.25">
      <c r="A28" s="1685" t="s">
        <v>343</v>
      </c>
      <c r="B28" s="1310">
        <f t="shared" ref="B28" si="5">SUMPRODUCT(I25:AL25,I28:AL28)/B25</f>
        <v>3.85</v>
      </c>
      <c r="C28" s="1385"/>
      <c r="D28" s="1705"/>
      <c r="E28" s="1685" t="s">
        <v>343</v>
      </c>
      <c r="F28" s="1384" t="s">
        <v>344</v>
      </c>
      <c r="G28" s="1310">
        <f t="shared" ref="G28:G29" si="6">IFERROR(G30*1000/G25,0)</f>
        <v>3.6781609195402316</v>
      </c>
      <c r="H28" s="1385"/>
      <c r="I28" s="1445">
        <v>3.85</v>
      </c>
      <c r="J28" s="1445">
        <v>3.85</v>
      </c>
      <c r="K28" s="1445">
        <v>3.85</v>
      </c>
      <c r="L28" s="1437">
        <v>3.85</v>
      </c>
      <c r="M28" s="1437">
        <v>3.85</v>
      </c>
      <c r="N28" s="1437">
        <v>3.85</v>
      </c>
      <c r="O28" s="1437">
        <v>3.85</v>
      </c>
      <c r="P28" s="1437">
        <v>3.85</v>
      </c>
      <c r="Q28" s="1438">
        <v>3.85</v>
      </c>
      <c r="R28" s="1437">
        <v>3.85</v>
      </c>
      <c r="S28" s="1437">
        <v>3.85</v>
      </c>
      <c r="T28" s="1437">
        <v>3.85</v>
      </c>
      <c r="U28" s="1437">
        <v>3.85</v>
      </c>
      <c r="V28" s="1437">
        <v>3.85</v>
      </c>
      <c r="W28" s="1437">
        <v>3.85</v>
      </c>
      <c r="X28" s="1437">
        <v>3.85</v>
      </c>
      <c r="Y28" s="1437">
        <v>3.85</v>
      </c>
      <c r="Z28" s="1437">
        <v>3.85</v>
      </c>
      <c r="AA28" s="1437">
        <v>3.85</v>
      </c>
      <c r="AB28" s="1437">
        <v>3.85</v>
      </c>
      <c r="AC28" s="1437">
        <v>3.85</v>
      </c>
      <c r="AD28" s="1437">
        <v>3.85</v>
      </c>
      <c r="AE28" s="1437">
        <v>3.85</v>
      </c>
      <c r="AF28" s="1437">
        <v>3.85</v>
      </c>
      <c r="AG28" s="1437">
        <v>3.85</v>
      </c>
      <c r="AH28" s="1437">
        <v>3.85</v>
      </c>
      <c r="AI28" s="1437">
        <v>3.85</v>
      </c>
      <c r="AJ28" s="1437">
        <v>3.85</v>
      </c>
      <c r="AK28" s="1437">
        <v>3.85</v>
      </c>
      <c r="AL28" s="1437">
        <v>3.85</v>
      </c>
      <c r="AM28" s="1439" t="s">
        <v>468</v>
      </c>
      <c r="AN28" s="604"/>
    </row>
    <row r="29" spans="1:40" x14ac:dyDescent="0.25">
      <c r="A29" s="1707"/>
      <c r="B29" s="1314">
        <f>B28*(G29/B28)</f>
        <v>2.0542920029347025</v>
      </c>
      <c r="C29" s="1431">
        <f>B29-B28</f>
        <v>-1.7957079970652976</v>
      </c>
      <c r="D29" s="1705"/>
      <c r="E29" s="1707"/>
      <c r="F29" s="1386" t="s">
        <v>345</v>
      </c>
      <c r="G29" s="1314">
        <f t="shared" si="6"/>
        <v>2.0542920029347025</v>
      </c>
      <c r="H29" s="1380">
        <f t="shared" ref="H29" si="7">IFERROR((G29-G28)/G28,0)</f>
        <v>-0.44148936170212805</v>
      </c>
      <c r="I29" s="1450">
        <v>2.56</v>
      </c>
      <c r="J29" s="1444">
        <v>2.95</v>
      </c>
      <c r="K29" s="1434"/>
      <c r="L29" s="1444">
        <v>2.12</v>
      </c>
      <c r="M29" s="1444">
        <v>2.13</v>
      </c>
      <c r="N29" s="1444">
        <v>2.94</v>
      </c>
      <c r="O29" s="1441">
        <v>1.72</v>
      </c>
      <c r="P29" s="1443">
        <v>1.51</v>
      </c>
      <c r="Q29" s="1444">
        <v>2.42</v>
      </c>
      <c r="R29" s="1444">
        <v>2.5499999999999998</v>
      </c>
      <c r="S29" s="1444">
        <v>2.83</v>
      </c>
      <c r="T29" s="1441">
        <v>1.65</v>
      </c>
      <c r="U29" s="1444">
        <v>3.18</v>
      </c>
      <c r="V29" s="1444">
        <v>2.77</v>
      </c>
      <c r="W29" s="1444">
        <v>2.0499999999999998</v>
      </c>
      <c r="X29" s="1444">
        <v>2.2999999999999998</v>
      </c>
      <c r="Y29" s="1444">
        <v>2.2599999999999998</v>
      </c>
      <c r="Z29" s="1434"/>
      <c r="AA29" s="1443">
        <v>1.3</v>
      </c>
      <c r="AB29" s="1443">
        <v>1.24</v>
      </c>
      <c r="AC29" s="1434"/>
      <c r="AD29" s="1434"/>
      <c r="AE29" s="1444">
        <v>2.9</v>
      </c>
      <c r="AF29" s="1443">
        <v>1.54</v>
      </c>
      <c r="AG29" s="1441">
        <v>1.82</v>
      </c>
      <c r="AH29" s="1441">
        <v>1.73</v>
      </c>
      <c r="AI29" s="1442">
        <v>4.95</v>
      </c>
      <c r="AJ29" s="1443">
        <v>1.27</v>
      </c>
      <c r="AK29" s="1443">
        <v>0.98</v>
      </c>
      <c r="AL29" s="1441">
        <v>1.99</v>
      </c>
      <c r="AM29" s="1436"/>
      <c r="AN29" s="604"/>
    </row>
    <row r="30" spans="1:40" x14ac:dyDescent="0.25">
      <c r="A30" s="1685" t="s">
        <v>47</v>
      </c>
      <c r="B30" s="206">
        <f t="shared" ref="B30:B31" si="8">+B28*B25/1000</f>
        <v>11.72325</v>
      </c>
      <c r="C30" s="1385"/>
      <c r="D30" s="1705"/>
      <c r="E30" s="1685" t="s">
        <v>47</v>
      </c>
      <c r="F30" s="1384" t="s">
        <v>346</v>
      </c>
      <c r="G30" s="206">
        <f t="shared" ref="G30:G33" si="9">SUMIF($I$9:$AM$9,"&lt;="&amp;$D$7,I30:AM30)</f>
        <v>11.200000000000005</v>
      </c>
      <c r="H30" s="1385"/>
      <c r="I30" s="1445" t="s">
        <v>468</v>
      </c>
      <c r="J30" s="1445">
        <v>0.4</v>
      </c>
      <c r="K30" s="1445">
        <v>0.4</v>
      </c>
      <c r="L30" s="1445">
        <v>0.4</v>
      </c>
      <c r="M30" s="1445">
        <v>0.4</v>
      </c>
      <c r="N30" s="1445">
        <v>0.4</v>
      </c>
      <c r="O30" s="1445">
        <v>0.4</v>
      </c>
      <c r="P30" s="1445">
        <v>0.4</v>
      </c>
      <c r="Q30" s="1445">
        <v>0.4</v>
      </c>
      <c r="R30" s="1445">
        <v>0.4</v>
      </c>
      <c r="S30" s="1445">
        <v>0.4</v>
      </c>
      <c r="T30" s="1445">
        <v>0.4</v>
      </c>
      <c r="U30" s="1445">
        <v>0.4</v>
      </c>
      <c r="V30" s="1445">
        <v>0.4</v>
      </c>
      <c r="W30" s="1445">
        <v>0.4</v>
      </c>
      <c r="X30" s="1445">
        <v>0.4</v>
      </c>
      <c r="Y30" s="1445">
        <v>0.4</v>
      </c>
      <c r="Z30" s="1445">
        <v>0.4</v>
      </c>
      <c r="AA30" s="1445">
        <v>0.4</v>
      </c>
      <c r="AB30" s="1445">
        <v>0.4</v>
      </c>
      <c r="AC30" s="1445" t="s">
        <v>468</v>
      </c>
      <c r="AD30" s="1445">
        <v>0.4</v>
      </c>
      <c r="AE30" s="1445">
        <v>0.4</v>
      </c>
      <c r="AF30" s="1445">
        <v>0.4</v>
      </c>
      <c r="AG30" s="1445">
        <v>0.4</v>
      </c>
      <c r="AH30" s="1445">
        <v>0.4</v>
      </c>
      <c r="AI30" s="1445">
        <v>0.4</v>
      </c>
      <c r="AJ30" s="1445">
        <v>0.4</v>
      </c>
      <c r="AK30" s="1445">
        <v>0.4</v>
      </c>
      <c r="AL30" s="1445">
        <v>0.4</v>
      </c>
      <c r="AM30" s="1445" t="s">
        <v>468</v>
      </c>
      <c r="AN30" s="604"/>
    </row>
    <row r="31" spans="1:40" ht="15.75" thickBot="1" x14ac:dyDescent="0.3">
      <c r="A31" s="1708"/>
      <c r="B31" s="1321">
        <f t="shared" si="8"/>
        <v>5.5999999999999988</v>
      </c>
      <c r="C31" s="1432">
        <f>B31-B30</f>
        <v>-6.1232500000000014</v>
      </c>
      <c r="D31" s="1706"/>
      <c r="E31" s="1708"/>
      <c r="F31" s="1387" t="s">
        <v>347</v>
      </c>
      <c r="G31" s="1321">
        <f t="shared" si="9"/>
        <v>5.5999999999999988</v>
      </c>
      <c r="H31" s="1388">
        <f t="shared" ref="H31" si="10">IFERROR((G31-G30)/G30,0)</f>
        <v>-0.50000000000000033</v>
      </c>
      <c r="I31" s="1446" t="s">
        <v>468</v>
      </c>
      <c r="J31" s="1447">
        <v>0.3</v>
      </c>
      <c r="K31" s="1447" t="s">
        <v>468</v>
      </c>
      <c r="L31" s="1447">
        <v>0.2</v>
      </c>
      <c r="M31" s="1447">
        <v>0.2</v>
      </c>
      <c r="N31" s="1446">
        <v>0.4</v>
      </c>
      <c r="O31" s="1447">
        <v>0.3</v>
      </c>
      <c r="P31" s="1447">
        <v>0.2</v>
      </c>
      <c r="Q31" s="1447">
        <v>0.4</v>
      </c>
      <c r="R31" s="1447">
        <v>0.3</v>
      </c>
      <c r="S31" s="1447">
        <v>0.3</v>
      </c>
      <c r="T31" s="1447">
        <v>0.2</v>
      </c>
      <c r="U31" s="1447">
        <v>0.4</v>
      </c>
      <c r="V31" s="1447">
        <v>0.2</v>
      </c>
      <c r="W31" s="1447">
        <v>0.4</v>
      </c>
      <c r="X31" s="1447">
        <v>0.2</v>
      </c>
      <c r="Y31" s="1447">
        <v>0.2</v>
      </c>
      <c r="Z31" s="1447" t="s">
        <v>468</v>
      </c>
      <c r="AA31" s="1447">
        <v>0.1</v>
      </c>
      <c r="AB31" s="1447">
        <v>0.1</v>
      </c>
      <c r="AC31" s="1446" t="s">
        <v>468</v>
      </c>
      <c r="AD31" s="1447" t="s">
        <v>468</v>
      </c>
      <c r="AE31" s="1447">
        <v>0.2</v>
      </c>
      <c r="AF31" s="1447">
        <v>0.1</v>
      </c>
      <c r="AG31" s="1447">
        <v>0.1</v>
      </c>
      <c r="AH31" s="1447" t="s">
        <v>468</v>
      </c>
      <c r="AI31" s="1447">
        <v>0.4</v>
      </c>
      <c r="AJ31" s="1447">
        <v>0.1</v>
      </c>
      <c r="AK31" s="1447">
        <v>0.1</v>
      </c>
      <c r="AL31" s="1447">
        <v>0.2</v>
      </c>
      <c r="AM31" s="1448" t="s">
        <v>468</v>
      </c>
      <c r="AN31" s="610"/>
    </row>
    <row r="32" spans="1:40" ht="14.25" hidden="1" customHeight="1" x14ac:dyDescent="0.25">
      <c r="A32" s="1684" t="s">
        <v>340</v>
      </c>
      <c r="B32" s="196">
        <f t="shared" ref="B32" si="11">SUM(I32:AL32)</f>
        <v>70</v>
      </c>
      <c r="C32" s="197"/>
      <c r="D32" s="1704" t="s">
        <v>470</v>
      </c>
      <c r="E32" s="1684" t="s">
        <v>340</v>
      </c>
      <c r="F32" s="195" t="s">
        <v>341</v>
      </c>
      <c r="G32" s="196">
        <f t="shared" si="9"/>
        <v>70</v>
      </c>
      <c r="H32" s="197"/>
      <c r="I32" s="599" t="s">
        <v>468</v>
      </c>
      <c r="J32" s="599" t="s">
        <v>468</v>
      </c>
      <c r="K32" s="599" t="s">
        <v>468</v>
      </c>
      <c r="L32" s="600" t="s">
        <v>468</v>
      </c>
      <c r="M32" s="600" t="s">
        <v>468</v>
      </c>
      <c r="N32" s="600" t="s">
        <v>468</v>
      </c>
      <c r="O32" s="600" t="s">
        <v>468</v>
      </c>
      <c r="P32" s="600" t="s">
        <v>468</v>
      </c>
      <c r="Q32" s="601" t="s">
        <v>468</v>
      </c>
      <c r="R32" s="600" t="s">
        <v>468</v>
      </c>
      <c r="S32" s="600" t="s">
        <v>468</v>
      </c>
      <c r="T32" s="600" t="s">
        <v>468</v>
      </c>
      <c r="U32" s="600" t="s">
        <v>468</v>
      </c>
      <c r="V32" s="600" t="s">
        <v>468</v>
      </c>
      <c r="W32" s="600" t="s">
        <v>468</v>
      </c>
      <c r="X32" s="600" t="s">
        <v>468</v>
      </c>
      <c r="Y32" s="600" t="s">
        <v>468</v>
      </c>
      <c r="Z32" s="600" t="s">
        <v>468</v>
      </c>
      <c r="AA32" s="600" t="s">
        <v>468</v>
      </c>
      <c r="AB32" s="600" t="s">
        <v>468</v>
      </c>
      <c r="AC32" s="600" t="s">
        <v>468</v>
      </c>
      <c r="AD32" s="600" t="s">
        <v>468</v>
      </c>
      <c r="AE32" s="600" t="s">
        <v>468</v>
      </c>
      <c r="AF32" s="600" t="s">
        <v>468</v>
      </c>
      <c r="AG32" s="600" t="s">
        <v>468</v>
      </c>
      <c r="AH32" s="600" t="s">
        <v>468</v>
      </c>
      <c r="AI32" s="600">
        <v>70</v>
      </c>
      <c r="AJ32" s="600" t="s">
        <v>468</v>
      </c>
      <c r="AK32" s="600" t="s">
        <v>468</v>
      </c>
      <c r="AL32" s="600" t="s">
        <v>468</v>
      </c>
      <c r="AM32" s="602" t="s">
        <v>468</v>
      </c>
      <c r="AN32" s="634"/>
    </row>
    <row r="33" spans="1:40" ht="14.65" hidden="1" customHeight="1" thickBot="1" x14ac:dyDescent="0.3">
      <c r="A33" s="1688"/>
      <c r="B33" s="1303">
        <f t="shared" si="3"/>
        <v>0</v>
      </c>
      <c r="C33" s="1430" t="str">
        <f>IF(B33&lt;B32, "↓", "↑")</f>
        <v>↓</v>
      </c>
      <c r="D33" s="1705"/>
      <c r="E33" s="1688"/>
      <c r="F33" s="1379" t="s">
        <v>342</v>
      </c>
      <c r="G33" s="1303">
        <f t="shared" si="9"/>
        <v>0</v>
      </c>
      <c r="H33" s="1380">
        <f t="shared" ref="H33" si="12">IFERROR((G33-G32)/G32,0)</f>
        <v>-1</v>
      </c>
      <c r="I33" s="1449"/>
      <c r="J33" s="1435"/>
      <c r="K33" s="1435"/>
      <c r="L33" s="1435"/>
      <c r="M33" s="1435"/>
      <c r="N33" s="1435"/>
      <c r="O33" s="1435"/>
      <c r="P33" s="1435"/>
      <c r="Q33" s="1435"/>
      <c r="R33" s="1435"/>
      <c r="S33" s="1435"/>
      <c r="T33" s="1435"/>
      <c r="U33" s="1435"/>
      <c r="V33" s="1435"/>
      <c r="W33" s="1435"/>
      <c r="X33" s="1435"/>
      <c r="Y33" s="1435"/>
      <c r="Z33" s="1435"/>
      <c r="AA33" s="1435"/>
      <c r="AB33" s="1435"/>
      <c r="AC33" s="1435"/>
      <c r="AD33" s="1435"/>
      <c r="AE33" s="1435"/>
      <c r="AF33" s="1435"/>
      <c r="AG33" s="1435"/>
      <c r="AH33" s="1435"/>
      <c r="AI33" s="1434"/>
      <c r="AJ33" s="1435"/>
      <c r="AK33" s="1435"/>
      <c r="AL33" s="1435"/>
      <c r="AM33" s="1436"/>
      <c r="AN33" s="604"/>
    </row>
    <row r="34" spans="1:40" ht="14.65" hidden="1" customHeight="1" thickBot="1" x14ac:dyDescent="0.3">
      <c r="A34" s="1688"/>
      <c r="B34" s="1382"/>
      <c r="C34" s="1383"/>
      <c r="D34" s="1705"/>
      <c r="E34" s="1688"/>
      <c r="F34" s="1389" t="s">
        <v>312</v>
      </c>
      <c r="G34" s="1382"/>
      <c r="H34" s="1383"/>
      <c r="I34" s="605"/>
      <c r="J34" s="605"/>
      <c r="K34" s="605"/>
      <c r="L34" s="605"/>
      <c r="M34" s="605"/>
      <c r="N34" s="605"/>
      <c r="O34" s="605"/>
      <c r="P34" s="605"/>
      <c r="Q34" s="606"/>
      <c r="R34" s="605"/>
      <c r="S34" s="605"/>
      <c r="T34" s="605"/>
      <c r="U34" s="605"/>
      <c r="V34" s="605"/>
      <c r="W34" s="605"/>
      <c r="X34" s="605"/>
      <c r="Y34" s="605"/>
      <c r="Z34" s="605"/>
      <c r="AA34" s="605"/>
      <c r="AB34" s="605"/>
      <c r="AC34" s="605"/>
      <c r="AD34" s="605"/>
      <c r="AE34" s="605"/>
      <c r="AF34" s="605"/>
      <c r="AG34" s="605"/>
      <c r="AH34" s="605"/>
      <c r="AI34" s="605"/>
      <c r="AJ34" s="605"/>
      <c r="AK34" s="605"/>
      <c r="AL34" s="605"/>
      <c r="AM34" s="607"/>
      <c r="AN34" s="604"/>
    </row>
    <row r="35" spans="1:40" ht="14.65" hidden="1" customHeight="1" thickBot="1" x14ac:dyDescent="0.3">
      <c r="A35" s="1685" t="s">
        <v>343</v>
      </c>
      <c r="B35" s="1310">
        <f t="shared" ref="B35:B98" si="13">SUMPRODUCT(I32:AL32,I35:AL35)/B32</f>
        <v>0</v>
      </c>
      <c r="C35" s="1385"/>
      <c r="D35" s="1705"/>
      <c r="E35" s="1685" t="s">
        <v>343</v>
      </c>
      <c r="F35" s="1384" t="s">
        <v>344</v>
      </c>
      <c r="G35" s="1310">
        <f t="shared" ref="G35:G36" si="14">IFERROR(G37*1000/G32,0)</f>
        <v>0</v>
      </c>
      <c r="H35" s="1385"/>
      <c r="I35" s="1445" t="s">
        <v>468</v>
      </c>
      <c r="J35" s="1445" t="s">
        <v>468</v>
      </c>
      <c r="K35" s="1445" t="s">
        <v>468</v>
      </c>
      <c r="L35" s="1437" t="s">
        <v>468</v>
      </c>
      <c r="M35" s="1437" t="s">
        <v>468</v>
      </c>
      <c r="N35" s="1437" t="s">
        <v>468</v>
      </c>
      <c r="O35" s="1437" t="s">
        <v>468</v>
      </c>
      <c r="P35" s="1437" t="s">
        <v>468</v>
      </c>
      <c r="Q35" s="1438" t="s">
        <v>468</v>
      </c>
      <c r="R35" s="1437" t="s">
        <v>468</v>
      </c>
      <c r="S35" s="1437" t="s">
        <v>468</v>
      </c>
      <c r="T35" s="1437" t="s">
        <v>468</v>
      </c>
      <c r="U35" s="1437" t="s">
        <v>468</v>
      </c>
      <c r="V35" s="1437" t="s">
        <v>468</v>
      </c>
      <c r="W35" s="1437" t="s">
        <v>468</v>
      </c>
      <c r="X35" s="1437" t="s">
        <v>468</v>
      </c>
      <c r="Y35" s="1437" t="s">
        <v>468</v>
      </c>
      <c r="Z35" s="1437" t="s">
        <v>468</v>
      </c>
      <c r="AA35" s="1437" t="s">
        <v>468</v>
      </c>
      <c r="AB35" s="1437" t="s">
        <v>468</v>
      </c>
      <c r="AC35" s="1437" t="s">
        <v>468</v>
      </c>
      <c r="AD35" s="1437" t="s">
        <v>468</v>
      </c>
      <c r="AE35" s="1437" t="s">
        <v>468</v>
      </c>
      <c r="AF35" s="1437" t="s">
        <v>468</v>
      </c>
      <c r="AG35" s="1437" t="s">
        <v>468</v>
      </c>
      <c r="AH35" s="1437" t="s">
        <v>468</v>
      </c>
      <c r="AI35" s="1437" t="s">
        <v>468</v>
      </c>
      <c r="AJ35" s="1437" t="s">
        <v>468</v>
      </c>
      <c r="AK35" s="1437" t="s">
        <v>468</v>
      </c>
      <c r="AL35" s="1437" t="s">
        <v>468</v>
      </c>
      <c r="AM35" s="1439" t="s">
        <v>468</v>
      </c>
      <c r="AN35" s="604"/>
    </row>
    <row r="36" spans="1:40" ht="14.65" hidden="1" customHeight="1" thickBot="1" x14ac:dyDescent="0.3">
      <c r="A36" s="1707"/>
      <c r="B36" s="1314" t="e">
        <f t="shared" ref="B36" si="15">B35*(G36/B35)</f>
        <v>#DIV/0!</v>
      </c>
      <c r="C36" s="1431" t="e">
        <f t="shared" ref="C36:C38" si="16">IF(B36&lt;B35, "↓", "↑")</f>
        <v>#DIV/0!</v>
      </c>
      <c r="D36" s="1705"/>
      <c r="E36" s="1707"/>
      <c r="F36" s="1386" t="s">
        <v>345</v>
      </c>
      <c r="G36" s="1314">
        <f t="shared" si="14"/>
        <v>0</v>
      </c>
      <c r="H36" s="1380">
        <f t="shared" ref="H36" si="17">IFERROR((G36-G35)/G35,0)</f>
        <v>0</v>
      </c>
      <c r="I36" s="1449"/>
      <c r="J36" s="1435"/>
      <c r="K36" s="1435"/>
      <c r="L36" s="1435"/>
      <c r="M36" s="1435"/>
      <c r="N36" s="1435"/>
      <c r="O36" s="1435"/>
      <c r="P36" s="1435"/>
      <c r="Q36" s="1435"/>
      <c r="R36" s="1435"/>
      <c r="S36" s="1435"/>
      <c r="T36" s="1435"/>
      <c r="U36" s="1435"/>
      <c r="V36" s="1435"/>
      <c r="W36" s="1435"/>
      <c r="X36" s="1435"/>
      <c r="Y36" s="1435"/>
      <c r="Z36" s="1435"/>
      <c r="AA36" s="1435"/>
      <c r="AB36" s="1435"/>
      <c r="AC36" s="1435"/>
      <c r="AD36" s="1435"/>
      <c r="AE36" s="1435"/>
      <c r="AF36" s="1435"/>
      <c r="AG36" s="1435"/>
      <c r="AH36" s="1435"/>
      <c r="AI36" s="1442">
        <v>2.61</v>
      </c>
      <c r="AJ36" s="1435"/>
      <c r="AK36" s="1435"/>
      <c r="AL36" s="1435"/>
      <c r="AM36" s="1436"/>
      <c r="AN36" s="604"/>
    </row>
    <row r="37" spans="1:40" ht="14.65" hidden="1" customHeight="1" thickBot="1" x14ac:dyDescent="0.3">
      <c r="A37" s="1685" t="s">
        <v>47</v>
      </c>
      <c r="B37" s="206">
        <f t="shared" ref="B37:B100" si="18">+B35*B32/1000</f>
        <v>0</v>
      </c>
      <c r="C37" s="1385"/>
      <c r="D37" s="1705"/>
      <c r="E37" s="1685" t="s">
        <v>47</v>
      </c>
      <c r="F37" s="1384" t="s">
        <v>346</v>
      </c>
      <c r="G37" s="206">
        <f t="shared" ref="G37:G40" si="19">SUMIF($I$9:$AM$9,"&lt;="&amp;$D$7,I37:AM37)</f>
        <v>0</v>
      </c>
      <c r="H37" s="1385"/>
      <c r="I37" s="1445" t="s">
        <v>468</v>
      </c>
      <c r="J37" s="1445" t="s">
        <v>468</v>
      </c>
      <c r="K37" s="1445" t="s">
        <v>468</v>
      </c>
      <c r="L37" s="1445" t="s">
        <v>468</v>
      </c>
      <c r="M37" s="1445" t="s">
        <v>468</v>
      </c>
      <c r="N37" s="1445" t="s">
        <v>468</v>
      </c>
      <c r="O37" s="1445" t="s">
        <v>468</v>
      </c>
      <c r="P37" s="1445" t="s">
        <v>468</v>
      </c>
      <c r="Q37" s="1445" t="s">
        <v>468</v>
      </c>
      <c r="R37" s="1445" t="s">
        <v>468</v>
      </c>
      <c r="S37" s="1445" t="s">
        <v>468</v>
      </c>
      <c r="T37" s="1445" t="s">
        <v>468</v>
      </c>
      <c r="U37" s="1445" t="s">
        <v>468</v>
      </c>
      <c r="V37" s="1445" t="s">
        <v>468</v>
      </c>
      <c r="W37" s="1445" t="s">
        <v>468</v>
      </c>
      <c r="X37" s="1445" t="s">
        <v>468</v>
      </c>
      <c r="Y37" s="1445" t="s">
        <v>468</v>
      </c>
      <c r="Z37" s="1445" t="s">
        <v>468</v>
      </c>
      <c r="AA37" s="1445" t="s">
        <v>468</v>
      </c>
      <c r="AB37" s="1445" t="s">
        <v>468</v>
      </c>
      <c r="AC37" s="1445" t="s">
        <v>468</v>
      </c>
      <c r="AD37" s="1445" t="s">
        <v>468</v>
      </c>
      <c r="AE37" s="1445" t="s">
        <v>468</v>
      </c>
      <c r="AF37" s="1445" t="s">
        <v>468</v>
      </c>
      <c r="AG37" s="1445" t="s">
        <v>468</v>
      </c>
      <c r="AH37" s="1445" t="s">
        <v>468</v>
      </c>
      <c r="AI37" s="1445" t="s">
        <v>468</v>
      </c>
      <c r="AJ37" s="1445" t="s">
        <v>468</v>
      </c>
      <c r="AK37" s="1445" t="s">
        <v>468</v>
      </c>
      <c r="AL37" s="1445" t="s">
        <v>468</v>
      </c>
      <c r="AM37" s="1445" t="s">
        <v>468</v>
      </c>
      <c r="AN37" s="604"/>
    </row>
    <row r="38" spans="1:40" ht="14.65" hidden="1" customHeight="1" thickBot="1" x14ac:dyDescent="0.3">
      <c r="A38" s="1708"/>
      <c r="B38" s="1321" t="e">
        <f t="shared" si="18"/>
        <v>#DIV/0!</v>
      </c>
      <c r="C38" s="1432" t="e">
        <f t="shared" si="16"/>
        <v>#DIV/0!</v>
      </c>
      <c r="D38" s="1706"/>
      <c r="E38" s="1708"/>
      <c r="F38" s="1387" t="s">
        <v>347</v>
      </c>
      <c r="G38" s="1321">
        <f t="shared" si="19"/>
        <v>0</v>
      </c>
      <c r="H38" s="1388">
        <f t="shared" ref="H38" si="20">IFERROR((G38-G37)/G37,0)</f>
        <v>0</v>
      </c>
      <c r="I38" s="1446" t="s">
        <v>468</v>
      </c>
      <c r="J38" s="1446" t="s">
        <v>468</v>
      </c>
      <c r="K38" s="1446" t="s">
        <v>468</v>
      </c>
      <c r="L38" s="1446" t="s">
        <v>468</v>
      </c>
      <c r="M38" s="1446" t="s">
        <v>468</v>
      </c>
      <c r="N38" s="1446" t="s">
        <v>468</v>
      </c>
      <c r="O38" s="1446" t="s">
        <v>468</v>
      </c>
      <c r="P38" s="1446" t="s">
        <v>468</v>
      </c>
      <c r="Q38" s="1446" t="s">
        <v>468</v>
      </c>
      <c r="R38" s="1446" t="s">
        <v>468</v>
      </c>
      <c r="S38" s="1446" t="s">
        <v>468</v>
      </c>
      <c r="T38" s="1446" t="s">
        <v>468</v>
      </c>
      <c r="U38" s="1446" t="s">
        <v>468</v>
      </c>
      <c r="V38" s="1446" t="s">
        <v>468</v>
      </c>
      <c r="W38" s="1446" t="s">
        <v>468</v>
      </c>
      <c r="X38" s="1446" t="s">
        <v>468</v>
      </c>
      <c r="Y38" s="1446" t="s">
        <v>468</v>
      </c>
      <c r="Z38" s="1446" t="s">
        <v>468</v>
      </c>
      <c r="AA38" s="1446" t="s">
        <v>468</v>
      </c>
      <c r="AB38" s="1446" t="s">
        <v>468</v>
      </c>
      <c r="AC38" s="1446" t="s">
        <v>468</v>
      </c>
      <c r="AD38" s="1446" t="s">
        <v>468</v>
      </c>
      <c r="AE38" s="1446" t="s">
        <v>468</v>
      </c>
      <c r="AF38" s="1446" t="s">
        <v>468</v>
      </c>
      <c r="AG38" s="1446" t="s">
        <v>468</v>
      </c>
      <c r="AH38" s="1446" t="s">
        <v>468</v>
      </c>
      <c r="AI38" s="1446" t="s">
        <v>468</v>
      </c>
      <c r="AJ38" s="1446" t="s">
        <v>468</v>
      </c>
      <c r="AK38" s="1446" t="s">
        <v>468</v>
      </c>
      <c r="AL38" s="1446" t="s">
        <v>468</v>
      </c>
      <c r="AM38" s="1448" t="s">
        <v>468</v>
      </c>
      <c r="AN38" s="610"/>
    </row>
    <row r="39" spans="1:40" ht="14.25" customHeight="1" x14ac:dyDescent="0.25">
      <c r="A39" s="1684" t="s">
        <v>340</v>
      </c>
      <c r="B39" s="196">
        <f t="shared" ref="B39" si="21">SUM(I39:AL39)</f>
        <v>4060</v>
      </c>
      <c r="C39" s="197"/>
      <c r="D39" s="1704" t="s">
        <v>126</v>
      </c>
      <c r="E39" s="1684" t="s">
        <v>340</v>
      </c>
      <c r="F39" s="195" t="s">
        <v>341</v>
      </c>
      <c r="G39" s="196">
        <f t="shared" si="19"/>
        <v>4060</v>
      </c>
      <c r="H39" s="197"/>
      <c r="I39" s="599">
        <v>140</v>
      </c>
      <c r="J39" s="599">
        <v>140</v>
      </c>
      <c r="K39" s="599">
        <v>140</v>
      </c>
      <c r="L39" s="600">
        <v>140</v>
      </c>
      <c r="M39" s="600">
        <v>140</v>
      </c>
      <c r="N39" s="600">
        <v>140</v>
      </c>
      <c r="O39" s="600">
        <v>140</v>
      </c>
      <c r="P39" s="600">
        <v>140</v>
      </c>
      <c r="Q39" s="601">
        <v>140</v>
      </c>
      <c r="R39" s="600">
        <v>140</v>
      </c>
      <c r="S39" s="600">
        <v>140</v>
      </c>
      <c r="T39" s="600">
        <v>140</v>
      </c>
      <c r="U39" s="600">
        <v>140</v>
      </c>
      <c r="V39" s="600">
        <v>140</v>
      </c>
      <c r="W39" s="600">
        <v>140</v>
      </c>
      <c r="X39" s="600">
        <v>140</v>
      </c>
      <c r="Y39" s="600">
        <v>140</v>
      </c>
      <c r="Z39" s="600">
        <v>140</v>
      </c>
      <c r="AA39" s="600">
        <v>140</v>
      </c>
      <c r="AB39" s="600">
        <v>140</v>
      </c>
      <c r="AC39" s="600" t="s">
        <v>468</v>
      </c>
      <c r="AD39" s="600">
        <v>140</v>
      </c>
      <c r="AE39" s="600">
        <v>140</v>
      </c>
      <c r="AF39" s="600">
        <v>140</v>
      </c>
      <c r="AG39" s="600">
        <v>140</v>
      </c>
      <c r="AH39" s="600">
        <v>140</v>
      </c>
      <c r="AI39" s="600">
        <v>140</v>
      </c>
      <c r="AJ39" s="600">
        <v>140</v>
      </c>
      <c r="AK39" s="600">
        <v>140</v>
      </c>
      <c r="AL39" s="600">
        <v>140</v>
      </c>
      <c r="AM39" s="602" t="s">
        <v>468</v>
      </c>
      <c r="AN39" s="634"/>
    </row>
    <row r="40" spans="1:40" x14ac:dyDescent="0.25">
      <c r="A40" s="1688"/>
      <c r="B40" s="1303">
        <f t="shared" si="3"/>
        <v>4161</v>
      </c>
      <c r="C40" s="1430">
        <f>B40-B39</f>
        <v>101</v>
      </c>
      <c r="D40" s="1705"/>
      <c r="E40" s="1688"/>
      <c r="F40" s="1379" t="s">
        <v>342</v>
      </c>
      <c r="G40" s="1303">
        <f t="shared" si="19"/>
        <v>4161</v>
      </c>
      <c r="H40" s="1380">
        <f t="shared" ref="H40" si="22">IFERROR((G40-G39)/G39,0)</f>
        <v>2.4876847290640394E-2</v>
      </c>
      <c r="I40" s="1449">
        <v>142</v>
      </c>
      <c r="J40" s="1435">
        <v>145</v>
      </c>
      <c r="K40" s="1434">
        <v>48</v>
      </c>
      <c r="L40" s="1434">
        <v>56</v>
      </c>
      <c r="M40" s="1435">
        <v>162</v>
      </c>
      <c r="N40" s="1435">
        <v>140</v>
      </c>
      <c r="O40" s="1435">
        <v>195</v>
      </c>
      <c r="P40" s="1435">
        <v>160</v>
      </c>
      <c r="Q40" s="1435">
        <v>190</v>
      </c>
      <c r="R40" s="1435">
        <v>198</v>
      </c>
      <c r="S40" s="1434">
        <v>78</v>
      </c>
      <c r="T40" s="1435">
        <v>190</v>
      </c>
      <c r="U40" s="1435">
        <v>166</v>
      </c>
      <c r="V40" s="1435">
        <v>160</v>
      </c>
      <c r="W40" s="1435">
        <v>194</v>
      </c>
      <c r="X40" s="1435">
        <v>160</v>
      </c>
      <c r="Y40" s="1434">
        <v>112</v>
      </c>
      <c r="Z40" s="1435">
        <v>185</v>
      </c>
      <c r="AA40" s="1435">
        <v>180</v>
      </c>
      <c r="AB40" s="1435">
        <v>155</v>
      </c>
      <c r="AC40" s="1435">
        <v>176</v>
      </c>
      <c r="AD40" s="1434">
        <v>133</v>
      </c>
      <c r="AE40" s="1434" t="s">
        <v>468</v>
      </c>
      <c r="AF40" s="1435">
        <v>140</v>
      </c>
      <c r="AG40" s="1435">
        <v>140</v>
      </c>
      <c r="AH40" s="1434">
        <v>36</v>
      </c>
      <c r="AI40" s="1435">
        <v>150</v>
      </c>
      <c r="AJ40" s="1434">
        <v>128</v>
      </c>
      <c r="AK40" s="1434">
        <v>100</v>
      </c>
      <c r="AL40" s="1435">
        <v>142</v>
      </c>
      <c r="AM40" s="1436"/>
      <c r="AN40" s="604"/>
    </row>
    <row r="41" spans="1:40" x14ac:dyDescent="0.25">
      <c r="A41" s="1688"/>
      <c r="B41" s="1382"/>
      <c r="C41" s="1383"/>
      <c r="D41" s="1705"/>
      <c r="E41" s="1688"/>
      <c r="F41" s="1389" t="s">
        <v>312</v>
      </c>
      <c r="G41" s="1382"/>
      <c r="H41" s="1383"/>
      <c r="I41" s="605"/>
      <c r="J41" s="605"/>
      <c r="K41" s="605"/>
      <c r="L41" s="605"/>
      <c r="M41" s="605"/>
      <c r="N41" s="605"/>
      <c r="O41" s="605"/>
      <c r="P41" s="605"/>
      <c r="Q41" s="606"/>
      <c r="R41" s="605"/>
      <c r="S41" s="605"/>
      <c r="T41" s="605"/>
      <c r="U41" s="605"/>
      <c r="V41" s="605"/>
      <c r="W41" s="605"/>
      <c r="X41" s="605"/>
      <c r="Y41" s="605"/>
      <c r="Z41" s="605"/>
      <c r="AA41" s="605"/>
      <c r="AB41" s="605"/>
      <c r="AC41" s="605"/>
      <c r="AD41" s="605"/>
      <c r="AE41" s="605"/>
      <c r="AF41" s="605"/>
      <c r="AG41" s="605"/>
      <c r="AH41" s="605"/>
      <c r="AI41" s="605"/>
      <c r="AJ41" s="605"/>
      <c r="AK41" s="605"/>
      <c r="AL41" s="605"/>
      <c r="AM41" s="607"/>
      <c r="AN41" s="604"/>
    </row>
    <row r="42" spans="1:40" x14ac:dyDescent="0.25">
      <c r="A42" s="1685" t="s">
        <v>343</v>
      </c>
      <c r="B42" s="1310">
        <f t="shared" si="13"/>
        <v>3.85</v>
      </c>
      <c r="C42" s="1385"/>
      <c r="D42" s="1705"/>
      <c r="E42" s="1685" t="s">
        <v>343</v>
      </c>
      <c r="F42" s="1384" t="s">
        <v>344</v>
      </c>
      <c r="G42" s="1310">
        <f t="shared" ref="G42:G43" si="23">IFERROR(G44*1000/G39,0)</f>
        <v>3.4482758620689653</v>
      </c>
      <c r="H42" s="1385"/>
      <c r="I42" s="1445">
        <v>3.85</v>
      </c>
      <c r="J42" s="1445">
        <v>3.85</v>
      </c>
      <c r="K42" s="1445">
        <v>3.85</v>
      </c>
      <c r="L42" s="1437">
        <v>3.85</v>
      </c>
      <c r="M42" s="1437">
        <v>3.85</v>
      </c>
      <c r="N42" s="1437">
        <v>3.85</v>
      </c>
      <c r="O42" s="1437">
        <v>3.85</v>
      </c>
      <c r="P42" s="1437">
        <v>3.85</v>
      </c>
      <c r="Q42" s="1438">
        <v>3.85</v>
      </c>
      <c r="R42" s="1437">
        <v>3.85</v>
      </c>
      <c r="S42" s="1437">
        <v>3.85</v>
      </c>
      <c r="T42" s="1437">
        <v>3.85</v>
      </c>
      <c r="U42" s="1437">
        <v>3.85</v>
      </c>
      <c r="V42" s="1437">
        <v>3.85</v>
      </c>
      <c r="W42" s="1437">
        <v>3.85</v>
      </c>
      <c r="X42" s="1437">
        <v>3.85</v>
      </c>
      <c r="Y42" s="1437">
        <v>3.85</v>
      </c>
      <c r="Z42" s="1437">
        <v>3.85</v>
      </c>
      <c r="AA42" s="1437">
        <v>3.85</v>
      </c>
      <c r="AB42" s="1437">
        <v>3.85</v>
      </c>
      <c r="AC42" s="1437">
        <v>3.85</v>
      </c>
      <c r="AD42" s="1437">
        <v>3.85</v>
      </c>
      <c r="AE42" s="1437">
        <v>3.85</v>
      </c>
      <c r="AF42" s="1437">
        <v>3.85</v>
      </c>
      <c r="AG42" s="1437">
        <v>3.85</v>
      </c>
      <c r="AH42" s="1437">
        <v>3.85</v>
      </c>
      <c r="AI42" s="1437">
        <v>3.85</v>
      </c>
      <c r="AJ42" s="1437">
        <v>3.85</v>
      </c>
      <c r="AK42" s="1437">
        <v>3.85</v>
      </c>
      <c r="AL42" s="1437">
        <v>3.85</v>
      </c>
      <c r="AM42" s="1439" t="s">
        <v>468</v>
      </c>
      <c r="AN42" s="604"/>
    </row>
    <row r="43" spans="1:40" x14ac:dyDescent="0.25">
      <c r="A43" s="1707"/>
      <c r="B43" s="1314">
        <f t="shared" ref="B43" si="24">B42*(G43/B42)</f>
        <v>2.2590723383801965</v>
      </c>
      <c r="C43" s="1431">
        <f>B43-B42</f>
        <v>-1.5909276616198036</v>
      </c>
      <c r="D43" s="1705"/>
      <c r="E43" s="1707"/>
      <c r="F43" s="1386" t="s">
        <v>345</v>
      </c>
      <c r="G43" s="1314">
        <f t="shared" si="23"/>
        <v>2.2590723383801965</v>
      </c>
      <c r="H43" s="1380">
        <f t="shared" ref="H43" si="25">IFERROR((G43-G42)/G42,0)</f>
        <v>-0.344869021869743</v>
      </c>
      <c r="I43" s="1450">
        <v>3.19</v>
      </c>
      <c r="J43" s="1441">
        <v>1.88</v>
      </c>
      <c r="K43" s="1443">
        <v>1.1200000000000001</v>
      </c>
      <c r="L43" s="1444">
        <v>2.12</v>
      </c>
      <c r="M43" s="1444">
        <v>2.21</v>
      </c>
      <c r="N43" s="1441">
        <v>1.94</v>
      </c>
      <c r="O43" s="1444">
        <v>2.98</v>
      </c>
      <c r="P43" s="1443">
        <v>1.27</v>
      </c>
      <c r="Q43" s="1444">
        <v>2</v>
      </c>
      <c r="R43" s="1444">
        <v>2.5499999999999998</v>
      </c>
      <c r="S43" s="1442">
        <v>4.83</v>
      </c>
      <c r="T43" s="1444">
        <v>2.98</v>
      </c>
      <c r="U43" s="1444">
        <v>3.03</v>
      </c>
      <c r="V43" s="1442">
        <v>4.22</v>
      </c>
      <c r="W43" s="1441">
        <v>1.95</v>
      </c>
      <c r="X43" s="1444">
        <v>2.12</v>
      </c>
      <c r="Y43" s="1444">
        <v>2.2599999999999998</v>
      </c>
      <c r="Z43" s="1443">
        <v>1.03</v>
      </c>
      <c r="AA43" s="1441">
        <v>1.81</v>
      </c>
      <c r="AB43" s="1444">
        <v>2.74</v>
      </c>
      <c r="AC43" s="1443">
        <v>1.1399999999999999</v>
      </c>
      <c r="AD43" s="1444">
        <v>2.0299999999999998</v>
      </c>
      <c r="AE43" s="1441">
        <v>1.74</v>
      </c>
      <c r="AF43" s="1441">
        <v>1.62</v>
      </c>
      <c r="AG43" s="1444">
        <v>2.14</v>
      </c>
      <c r="AH43" s="1444">
        <v>3.11</v>
      </c>
      <c r="AI43" s="1444">
        <v>2.61</v>
      </c>
      <c r="AJ43" s="1443">
        <v>1.1399999999999999</v>
      </c>
      <c r="AK43" s="1443">
        <v>0.73</v>
      </c>
      <c r="AL43" s="1443">
        <v>1.4</v>
      </c>
      <c r="AM43" s="1436"/>
      <c r="AN43" s="604"/>
    </row>
    <row r="44" spans="1:40" x14ac:dyDescent="0.25">
      <c r="A44" s="1685" t="s">
        <v>47</v>
      </c>
      <c r="B44" s="206">
        <f t="shared" si="18"/>
        <v>15.631</v>
      </c>
      <c r="C44" s="1385"/>
      <c r="D44" s="1705"/>
      <c r="E44" s="1685" t="s">
        <v>47</v>
      </c>
      <c r="F44" s="1384" t="s">
        <v>346</v>
      </c>
      <c r="G44" s="206">
        <f t="shared" ref="G44:G47" si="26">SUMIF($I$9:$AM$9,"&lt;="&amp;$D$7,I44:AM44)</f>
        <v>14</v>
      </c>
      <c r="H44" s="1385"/>
      <c r="I44" s="1445" t="s">
        <v>468</v>
      </c>
      <c r="J44" s="1445">
        <v>0.5</v>
      </c>
      <c r="K44" s="1445">
        <v>0.5</v>
      </c>
      <c r="L44" s="1445">
        <v>0.5</v>
      </c>
      <c r="M44" s="1445">
        <v>0.5</v>
      </c>
      <c r="N44" s="1445">
        <v>0.5</v>
      </c>
      <c r="O44" s="1445">
        <v>0.5</v>
      </c>
      <c r="P44" s="1445">
        <v>0.5</v>
      </c>
      <c r="Q44" s="1445">
        <v>0.5</v>
      </c>
      <c r="R44" s="1445">
        <v>0.5</v>
      </c>
      <c r="S44" s="1445">
        <v>0.5</v>
      </c>
      <c r="T44" s="1445">
        <v>0.5</v>
      </c>
      <c r="U44" s="1445">
        <v>0.5</v>
      </c>
      <c r="V44" s="1445">
        <v>0.5</v>
      </c>
      <c r="W44" s="1445">
        <v>0.5</v>
      </c>
      <c r="X44" s="1445">
        <v>0.5</v>
      </c>
      <c r="Y44" s="1445">
        <v>0.5</v>
      </c>
      <c r="Z44" s="1445">
        <v>0.5</v>
      </c>
      <c r="AA44" s="1445">
        <v>0.5</v>
      </c>
      <c r="AB44" s="1445">
        <v>0.5</v>
      </c>
      <c r="AC44" s="1445" t="s">
        <v>468</v>
      </c>
      <c r="AD44" s="1445">
        <v>0.5</v>
      </c>
      <c r="AE44" s="1445">
        <v>0.5</v>
      </c>
      <c r="AF44" s="1445">
        <v>0.5</v>
      </c>
      <c r="AG44" s="1445">
        <v>0.5</v>
      </c>
      <c r="AH44" s="1445">
        <v>0.5</v>
      </c>
      <c r="AI44" s="1445">
        <v>0.5</v>
      </c>
      <c r="AJ44" s="1445">
        <v>0.5</v>
      </c>
      <c r="AK44" s="1445">
        <v>0.5</v>
      </c>
      <c r="AL44" s="1445">
        <v>0.5</v>
      </c>
      <c r="AM44" s="1445" t="s">
        <v>468</v>
      </c>
      <c r="AN44" s="604"/>
    </row>
    <row r="45" spans="1:40" ht="15.75" thickBot="1" x14ac:dyDescent="0.3">
      <c r="A45" s="1708"/>
      <c r="B45" s="1321">
        <f t="shared" si="18"/>
        <v>9.3999999999999986</v>
      </c>
      <c r="C45" s="1432">
        <f>B45-B44</f>
        <v>-6.2310000000000016</v>
      </c>
      <c r="D45" s="1706"/>
      <c r="E45" s="1708"/>
      <c r="F45" s="1387" t="s">
        <v>347</v>
      </c>
      <c r="G45" s="1321">
        <f t="shared" si="26"/>
        <v>9.3999999999999986</v>
      </c>
      <c r="H45" s="1388">
        <f t="shared" ref="H45" si="27">IFERROR((G45-G44)/G44,0)</f>
        <v>-0.32857142857142868</v>
      </c>
      <c r="I45" s="1446">
        <v>0.5</v>
      </c>
      <c r="J45" s="1447">
        <v>0.3</v>
      </c>
      <c r="K45" s="1447">
        <v>0.1</v>
      </c>
      <c r="L45" s="1447">
        <v>0.1</v>
      </c>
      <c r="M45" s="1447">
        <v>0.4</v>
      </c>
      <c r="N45" s="1447">
        <v>0.3</v>
      </c>
      <c r="O45" s="1446">
        <v>0.6</v>
      </c>
      <c r="P45" s="1447">
        <v>0.2</v>
      </c>
      <c r="Q45" s="1447">
        <v>0.4</v>
      </c>
      <c r="R45" s="1447">
        <v>0.5</v>
      </c>
      <c r="S45" s="1447">
        <v>0.4</v>
      </c>
      <c r="T45" s="1446">
        <v>0.6</v>
      </c>
      <c r="U45" s="1447">
        <v>0.5</v>
      </c>
      <c r="V45" s="1446">
        <v>0.7</v>
      </c>
      <c r="W45" s="1447">
        <v>0.4</v>
      </c>
      <c r="X45" s="1447">
        <v>0.3</v>
      </c>
      <c r="Y45" s="1447">
        <v>0.3</v>
      </c>
      <c r="Z45" s="1447">
        <v>0.2</v>
      </c>
      <c r="AA45" s="1447">
        <v>0.3</v>
      </c>
      <c r="AB45" s="1447">
        <v>0.4</v>
      </c>
      <c r="AC45" s="1446">
        <v>0.2</v>
      </c>
      <c r="AD45" s="1447">
        <v>0.3</v>
      </c>
      <c r="AE45" s="1447" t="s">
        <v>468</v>
      </c>
      <c r="AF45" s="1447">
        <v>0.2</v>
      </c>
      <c r="AG45" s="1447">
        <v>0.3</v>
      </c>
      <c r="AH45" s="1447">
        <v>0.1</v>
      </c>
      <c r="AI45" s="1447">
        <v>0.4</v>
      </c>
      <c r="AJ45" s="1447">
        <v>0.1</v>
      </c>
      <c r="AK45" s="1447">
        <v>0.1</v>
      </c>
      <c r="AL45" s="1447">
        <v>0.2</v>
      </c>
      <c r="AM45" s="1448" t="s">
        <v>468</v>
      </c>
      <c r="AN45" s="610"/>
    </row>
    <row r="46" spans="1:40" ht="14.25" customHeight="1" x14ac:dyDescent="0.25">
      <c r="A46" s="1684" t="s">
        <v>340</v>
      </c>
      <c r="B46" s="196">
        <f t="shared" ref="B46" si="28">SUM(I46:AL46)</f>
        <v>2030</v>
      </c>
      <c r="C46" s="197"/>
      <c r="D46" s="1704" t="s">
        <v>471</v>
      </c>
      <c r="E46" s="1684" t="s">
        <v>340</v>
      </c>
      <c r="F46" s="195" t="s">
        <v>341</v>
      </c>
      <c r="G46" s="196">
        <f t="shared" si="26"/>
        <v>2030</v>
      </c>
      <c r="H46" s="197"/>
      <c r="I46" s="599">
        <v>70</v>
      </c>
      <c r="J46" s="599">
        <v>70</v>
      </c>
      <c r="K46" s="599">
        <v>70</v>
      </c>
      <c r="L46" s="600">
        <v>70</v>
      </c>
      <c r="M46" s="600">
        <v>70</v>
      </c>
      <c r="N46" s="600">
        <v>70</v>
      </c>
      <c r="O46" s="600">
        <v>70</v>
      </c>
      <c r="P46" s="600">
        <v>70</v>
      </c>
      <c r="Q46" s="601">
        <v>70</v>
      </c>
      <c r="R46" s="600">
        <v>70</v>
      </c>
      <c r="S46" s="600">
        <v>70</v>
      </c>
      <c r="T46" s="600">
        <v>70</v>
      </c>
      <c r="U46" s="600">
        <v>70</v>
      </c>
      <c r="V46" s="600">
        <v>70</v>
      </c>
      <c r="W46" s="600">
        <v>70</v>
      </c>
      <c r="X46" s="600">
        <v>70</v>
      </c>
      <c r="Y46" s="600">
        <v>70</v>
      </c>
      <c r="Z46" s="600">
        <v>70</v>
      </c>
      <c r="AA46" s="600">
        <v>70</v>
      </c>
      <c r="AB46" s="600">
        <v>70</v>
      </c>
      <c r="AC46" s="600" t="s">
        <v>468</v>
      </c>
      <c r="AD46" s="600">
        <v>70</v>
      </c>
      <c r="AE46" s="600">
        <v>70</v>
      </c>
      <c r="AF46" s="600">
        <v>70</v>
      </c>
      <c r="AG46" s="600">
        <v>70</v>
      </c>
      <c r="AH46" s="600">
        <v>70</v>
      </c>
      <c r="AI46" s="600">
        <v>70</v>
      </c>
      <c r="AJ46" s="600">
        <v>70</v>
      </c>
      <c r="AK46" s="600">
        <v>70</v>
      </c>
      <c r="AL46" s="600">
        <v>70</v>
      </c>
      <c r="AM46" s="602" t="s">
        <v>468</v>
      </c>
      <c r="AN46" s="634"/>
    </row>
    <row r="47" spans="1:40" x14ac:dyDescent="0.25">
      <c r="A47" s="1688"/>
      <c r="B47" s="1303">
        <f t="shared" si="3"/>
        <v>1695</v>
      </c>
      <c r="C47" s="1430">
        <f>B47-B46</f>
        <v>-335</v>
      </c>
      <c r="D47" s="1705"/>
      <c r="E47" s="1688"/>
      <c r="F47" s="1379" t="s">
        <v>342</v>
      </c>
      <c r="G47" s="1303">
        <f t="shared" si="26"/>
        <v>1695</v>
      </c>
      <c r="H47" s="1380">
        <f t="shared" ref="H47" si="29">IFERROR((G47-G46)/G46,0)</f>
        <v>-0.16502463054187191</v>
      </c>
      <c r="I47" s="1433">
        <v>36</v>
      </c>
      <c r="J47" s="1434">
        <v>52</v>
      </c>
      <c r="K47" s="1435">
        <v>120</v>
      </c>
      <c r="L47" s="1434">
        <v>52</v>
      </c>
      <c r="M47" s="1434">
        <v>48</v>
      </c>
      <c r="N47" s="1434">
        <v>48</v>
      </c>
      <c r="O47" s="1434">
        <v>26</v>
      </c>
      <c r="P47" s="1434">
        <v>60</v>
      </c>
      <c r="Q47" s="1434">
        <v>40</v>
      </c>
      <c r="R47" s="1434">
        <v>24</v>
      </c>
      <c r="S47" s="1434">
        <v>31</v>
      </c>
      <c r="T47" s="1434">
        <v>50</v>
      </c>
      <c r="U47" s="1434">
        <v>48</v>
      </c>
      <c r="V47" s="1434">
        <v>36</v>
      </c>
      <c r="W47" s="1434">
        <v>36</v>
      </c>
      <c r="X47" s="1435">
        <v>91</v>
      </c>
      <c r="Y47" s="1435">
        <v>127</v>
      </c>
      <c r="Z47" s="1435">
        <v>90</v>
      </c>
      <c r="AA47" s="1434">
        <v>36</v>
      </c>
      <c r="AB47" s="1434">
        <v>36</v>
      </c>
      <c r="AC47" s="1435">
        <v>96</v>
      </c>
      <c r="AD47" s="1435">
        <v>113</v>
      </c>
      <c r="AE47" s="1435">
        <v>84</v>
      </c>
      <c r="AF47" s="1434">
        <v>27</v>
      </c>
      <c r="AG47" s="1434">
        <v>48</v>
      </c>
      <c r="AH47" s="1434">
        <v>36</v>
      </c>
      <c r="AI47" s="1434">
        <v>64</v>
      </c>
      <c r="AJ47" s="1434">
        <v>32</v>
      </c>
      <c r="AK47" s="1434">
        <v>60</v>
      </c>
      <c r="AL47" s="1434">
        <v>48</v>
      </c>
      <c r="AM47" s="1436"/>
      <c r="AN47" s="604"/>
    </row>
    <row r="48" spans="1:40" x14ac:dyDescent="0.25">
      <c r="A48" s="1688"/>
      <c r="B48" s="1382"/>
      <c r="C48" s="1383"/>
      <c r="D48" s="1705"/>
      <c r="E48" s="1688"/>
      <c r="F48" s="1389" t="s">
        <v>312</v>
      </c>
      <c r="G48" s="1382"/>
      <c r="H48" s="1383"/>
      <c r="I48" s="605"/>
      <c r="J48" s="605"/>
      <c r="K48" s="605"/>
      <c r="L48" s="605"/>
      <c r="M48" s="605"/>
      <c r="N48" s="605"/>
      <c r="O48" s="605"/>
      <c r="P48" s="605"/>
      <c r="Q48" s="606"/>
      <c r="R48" s="605"/>
      <c r="S48" s="605"/>
      <c r="T48" s="605"/>
      <c r="U48" s="605"/>
      <c r="V48" s="605"/>
      <c r="W48" s="605"/>
      <c r="X48" s="605"/>
      <c r="Y48" s="605"/>
      <c r="Z48" s="605" t="s">
        <v>361</v>
      </c>
      <c r="AA48" s="605"/>
      <c r="AB48" s="605"/>
      <c r="AC48" s="605"/>
      <c r="AD48" s="605"/>
      <c r="AE48" s="605"/>
      <c r="AF48" s="605"/>
      <c r="AG48" s="605"/>
      <c r="AH48" s="605"/>
      <c r="AI48" s="605"/>
      <c r="AJ48" s="605"/>
      <c r="AK48" s="605"/>
      <c r="AL48" s="605"/>
      <c r="AM48" s="607"/>
      <c r="AN48" s="604"/>
    </row>
    <row r="49" spans="1:40" x14ac:dyDescent="0.25">
      <c r="A49" s="1685" t="s">
        <v>343</v>
      </c>
      <c r="B49" s="1310">
        <f t="shared" si="13"/>
        <v>2.1200000000000006</v>
      </c>
      <c r="C49" s="1385"/>
      <c r="D49" s="1705"/>
      <c r="E49" s="1685" t="s">
        <v>343</v>
      </c>
      <c r="F49" s="1384" t="s">
        <v>344</v>
      </c>
      <c r="G49" s="1310">
        <f t="shared" ref="G49:G50" si="30">IFERROR(G51*1000/G46,0)</f>
        <v>1.379310344827587</v>
      </c>
      <c r="H49" s="1385"/>
      <c r="I49" s="1445">
        <v>2.12</v>
      </c>
      <c r="J49" s="1445">
        <v>2.12</v>
      </c>
      <c r="K49" s="1445">
        <v>2.12</v>
      </c>
      <c r="L49" s="1437">
        <v>2.12</v>
      </c>
      <c r="M49" s="1437">
        <v>2.12</v>
      </c>
      <c r="N49" s="1437">
        <v>2.12</v>
      </c>
      <c r="O49" s="1437">
        <v>2.12</v>
      </c>
      <c r="P49" s="1437">
        <v>2.12</v>
      </c>
      <c r="Q49" s="1438">
        <v>2.12</v>
      </c>
      <c r="R49" s="1437">
        <v>2.12</v>
      </c>
      <c r="S49" s="1437">
        <v>2.12</v>
      </c>
      <c r="T49" s="1437">
        <v>2.12</v>
      </c>
      <c r="U49" s="1437">
        <v>2.12</v>
      </c>
      <c r="V49" s="1437">
        <v>2.12</v>
      </c>
      <c r="W49" s="1437">
        <v>2.12</v>
      </c>
      <c r="X49" s="1437">
        <v>2.12</v>
      </c>
      <c r="Y49" s="1437">
        <v>2.12</v>
      </c>
      <c r="Z49" s="1437">
        <v>2.12</v>
      </c>
      <c r="AA49" s="1437">
        <v>2.12</v>
      </c>
      <c r="AB49" s="1437">
        <v>2.12</v>
      </c>
      <c r="AC49" s="1437">
        <v>2.12</v>
      </c>
      <c r="AD49" s="1437">
        <v>2.12</v>
      </c>
      <c r="AE49" s="1437">
        <v>2.12</v>
      </c>
      <c r="AF49" s="1437">
        <v>2.12</v>
      </c>
      <c r="AG49" s="1437">
        <v>2.12</v>
      </c>
      <c r="AH49" s="1437">
        <v>2.12</v>
      </c>
      <c r="AI49" s="1437">
        <v>2.12</v>
      </c>
      <c r="AJ49" s="1437">
        <v>2.12</v>
      </c>
      <c r="AK49" s="1437">
        <v>2.12</v>
      </c>
      <c r="AL49" s="1437">
        <v>2.12</v>
      </c>
      <c r="AM49" s="1439" t="s">
        <v>468</v>
      </c>
      <c r="AN49" s="604"/>
    </row>
    <row r="50" spans="1:40" x14ac:dyDescent="0.25">
      <c r="A50" s="1707"/>
      <c r="B50" s="1314">
        <f t="shared" ref="B50" si="31">B49*(G50/B49)</f>
        <v>2.3598820058997054</v>
      </c>
      <c r="C50" s="1431">
        <f>B50-B49</f>
        <v>0.23988200589970488</v>
      </c>
      <c r="D50" s="1705"/>
      <c r="E50" s="1707"/>
      <c r="F50" s="1386" t="s">
        <v>345</v>
      </c>
      <c r="G50" s="1314">
        <f t="shared" si="30"/>
        <v>2.3598820058997054</v>
      </c>
      <c r="H50" s="1380">
        <f t="shared" ref="H50" si="32">IFERROR((G50-G49)/G49,0)</f>
        <v>0.7109144542772855</v>
      </c>
      <c r="I50" s="1451">
        <v>2.69</v>
      </c>
      <c r="J50" s="1442">
        <v>2.83</v>
      </c>
      <c r="K50" s="1442">
        <v>3.3</v>
      </c>
      <c r="L50" s="1442">
        <v>2.62</v>
      </c>
      <c r="M50" s="1442">
        <v>2.62</v>
      </c>
      <c r="N50" s="1442">
        <v>2.86</v>
      </c>
      <c r="O50" s="1442">
        <v>2.39</v>
      </c>
      <c r="P50" s="1443">
        <v>1.06</v>
      </c>
      <c r="Q50" s="1442">
        <v>2.42</v>
      </c>
      <c r="R50" s="1442">
        <v>3.77</v>
      </c>
      <c r="S50" s="1442">
        <v>2.35</v>
      </c>
      <c r="T50" s="1442">
        <v>3.13</v>
      </c>
      <c r="U50" s="1442">
        <v>4.38</v>
      </c>
      <c r="V50" s="1434">
        <v>0.35</v>
      </c>
      <c r="W50" s="1442">
        <v>3.81</v>
      </c>
      <c r="X50" s="1434">
        <v>0.45</v>
      </c>
      <c r="Y50" s="1434"/>
      <c r="Z50" s="1443">
        <v>0.85</v>
      </c>
      <c r="AA50" s="1442">
        <v>2.91</v>
      </c>
      <c r="AB50" s="1442">
        <v>3.83</v>
      </c>
      <c r="AC50" s="1442">
        <v>4.0199999999999996</v>
      </c>
      <c r="AD50" s="1442">
        <v>3.54</v>
      </c>
      <c r="AE50" s="1443">
        <v>1.51</v>
      </c>
      <c r="AF50" s="1442">
        <v>3.02</v>
      </c>
      <c r="AG50" s="1444">
        <v>2.0099999999999998</v>
      </c>
      <c r="AH50" s="1442">
        <v>3.23</v>
      </c>
      <c r="AI50" s="1442">
        <v>2.88</v>
      </c>
      <c r="AJ50" s="1443">
        <v>1.58</v>
      </c>
      <c r="AK50" s="1442">
        <v>2.54</v>
      </c>
      <c r="AL50" s="1442">
        <v>2.37</v>
      </c>
      <c r="AM50" s="1436"/>
      <c r="AN50" s="604"/>
    </row>
    <row r="51" spans="1:40" x14ac:dyDescent="0.25">
      <c r="A51" s="1685" t="s">
        <v>47</v>
      </c>
      <c r="B51" s="206">
        <f t="shared" si="18"/>
        <v>4.3036000000000012</v>
      </c>
      <c r="C51" s="1385"/>
      <c r="D51" s="1705"/>
      <c r="E51" s="1685" t="s">
        <v>47</v>
      </c>
      <c r="F51" s="1384" t="s">
        <v>346</v>
      </c>
      <c r="G51" s="206">
        <f t="shared" ref="G51:G54" si="33">SUMIF($I$9:$AM$9,"&lt;="&amp;$D$7,I51:AM51)</f>
        <v>2.8000000000000012</v>
      </c>
      <c r="H51" s="1385"/>
      <c r="I51" s="1445" t="s">
        <v>468</v>
      </c>
      <c r="J51" s="1445">
        <v>0.1</v>
      </c>
      <c r="K51" s="1445">
        <v>0.1</v>
      </c>
      <c r="L51" s="1445">
        <v>0.1</v>
      </c>
      <c r="M51" s="1445">
        <v>0.1</v>
      </c>
      <c r="N51" s="1445">
        <v>0.1</v>
      </c>
      <c r="O51" s="1445">
        <v>0.1</v>
      </c>
      <c r="P51" s="1445">
        <v>0.1</v>
      </c>
      <c r="Q51" s="1445">
        <v>0.1</v>
      </c>
      <c r="R51" s="1445">
        <v>0.1</v>
      </c>
      <c r="S51" s="1445">
        <v>0.1</v>
      </c>
      <c r="T51" s="1445">
        <v>0.1</v>
      </c>
      <c r="U51" s="1445">
        <v>0.1</v>
      </c>
      <c r="V51" s="1445">
        <v>0.1</v>
      </c>
      <c r="W51" s="1445">
        <v>0.1</v>
      </c>
      <c r="X51" s="1445">
        <v>0.1</v>
      </c>
      <c r="Y51" s="1445">
        <v>0.1</v>
      </c>
      <c r="Z51" s="1445">
        <v>0.1</v>
      </c>
      <c r="AA51" s="1445">
        <v>0.1</v>
      </c>
      <c r="AB51" s="1445">
        <v>0.1</v>
      </c>
      <c r="AC51" s="1445" t="s">
        <v>468</v>
      </c>
      <c r="AD51" s="1445">
        <v>0.1</v>
      </c>
      <c r="AE51" s="1445">
        <v>0.1</v>
      </c>
      <c r="AF51" s="1445">
        <v>0.1</v>
      </c>
      <c r="AG51" s="1445">
        <v>0.1</v>
      </c>
      <c r="AH51" s="1445">
        <v>0.1</v>
      </c>
      <c r="AI51" s="1445">
        <v>0.1</v>
      </c>
      <c r="AJ51" s="1445">
        <v>0.1</v>
      </c>
      <c r="AK51" s="1445">
        <v>0.1</v>
      </c>
      <c r="AL51" s="1445">
        <v>0.1</v>
      </c>
      <c r="AM51" s="1445" t="s">
        <v>468</v>
      </c>
      <c r="AN51" s="604"/>
    </row>
    <row r="52" spans="1:40" ht="15.75" thickBot="1" x14ac:dyDescent="0.3">
      <c r="A52" s="1708"/>
      <c r="B52" s="1321">
        <f t="shared" si="18"/>
        <v>4.0000000000000009</v>
      </c>
      <c r="C52" s="1432">
        <f>B52-B51</f>
        <v>-0.30360000000000031</v>
      </c>
      <c r="D52" s="1706"/>
      <c r="E52" s="1708"/>
      <c r="F52" s="1387" t="s">
        <v>347</v>
      </c>
      <c r="G52" s="1321">
        <f t="shared" si="33"/>
        <v>4.0000000000000009</v>
      </c>
      <c r="H52" s="1388">
        <f t="shared" ref="H52" si="34">IFERROR((G52-G51)/G51,0)</f>
        <v>0.42857142857142833</v>
      </c>
      <c r="I52" s="1446">
        <v>0.1</v>
      </c>
      <c r="J52" s="1447">
        <v>0.1</v>
      </c>
      <c r="K52" s="1446">
        <v>0.4</v>
      </c>
      <c r="L52" s="1447">
        <v>0.1</v>
      </c>
      <c r="M52" s="1447">
        <v>0.1</v>
      </c>
      <c r="N52" s="1447">
        <v>0.1</v>
      </c>
      <c r="O52" s="1447">
        <v>0.1</v>
      </c>
      <c r="P52" s="1447">
        <v>0.1</v>
      </c>
      <c r="Q52" s="1447">
        <v>0.1</v>
      </c>
      <c r="R52" s="1447">
        <v>0.1</v>
      </c>
      <c r="S52" s="1447">
        <v>0.1</v>
      </c>
      <c r="T52" s="1446">
        <v>0.2</v>
      </c>
      <c r="U52" s="1446">
        <v>0.2</v>
      </c>
      <c r="V52" s="1447">
        <v>0</v>
      </c>
      <c r="W52" s="1447">
        <v>0.1</v>
      </c>
      <c r="X52" s="1447">
        <v>0</v>
      </c>
      <c r="Y52" s="1447" t="s">
        <v>468</v>
      </c>
      <c r="Z52" s="1447">
        <v>0.1</v>
      </c>
      <c r="AA52" s="1447">
        <v>0.1</v>
      </c>
      <c r="AB52" s="1447">
        <v>0.1</v>
      </c>
      <c r="AC52" s="1446">
        <v>0.4</v>
      </c>
      <c r="AD52" s="1446">
        <v>0.4</v>
      </c>
      <c r="AE52" s="1447">
        <v>0.1</v>
      </c>
      <c r="AF52" s="1447">
        <v>0.1</v>
      </c>
      <c r="AG52" s="1447">
        <v>0.1</v>
      </c>
      <c r="AH52" s="1447">
        <v>0.1</v>
      </c>
      <c r="AI52" s="1446">
        <v>0.2</v>
      </c>
      <c r="AJ52" s="1447">
        <v>0.1</v>
      </c>
      <c r="AK52" s="1446">
        <v>0.2</v>
      </c>
      <c r="AL52" s="1447">
        <v>0.1</v>
      </c>
      <c r="AM52" s="1448" t="s">
        <v>468</v>
      </c>
      <c r="AN52" s="610"/>
    </row>
    <row r="53" spans="1:40" ht="14.25" customHeight="1" x14ac:dyDescent="0.25">
      <c r="A53" s="1684" t="s">
        <v>340</v>
      </c>
      <c r="B53" s="196">
        <f t="shared" ref="B53" si="35">SUM(I53:AL53)</f>
        <v>1050</v>
      </c>
      <c r="C53" s="197"/>
      <c r="D53" s="1704" t="s">
        <v>472</v>
      </c>
      <c r="E53" s="1684" t="s">
        <v>340</v>
      </c>
      <c r="F53" s="195" t="s">
        <v>341</v>
      </c>
      <c r="G53" s="196">
        <f t="shared" si="33"/>
        <v>1050</v>
      </c>
      <c r="H53" s="197"/>
      <c r="I53" s="599">
        <v>70</v>
      </c>
      <c r="J53" s="599">
        <v>70</v>
      </c>
      <c r="K53" s="599">
        <v>70</v>
      </c>
      <c r="L53" s="600">
        <v>70</v>
      </c>
      <c r="M53" s="600">
        <v>70</v>
      </c>
      <c r="N53" s="600">
        <v>70</v>
      </c>
      <c r="O53" s="600">
        <v>70</v>
      </c>
      <c r="P53" s="600">
        <v>70</v>
      </c>
      <c r="Q53" s="601">
        <v>70</v>
      </c>
      <c r="R53" s="600">
        <v>70</v>
      </c>
      <c r="S53" s="600">
        <v>70</v>
      </c>
      <c r="T53" s="600">
        <v>70</v>
      </c>
      <c r="U53" s="600">
        <v>70</v>
      </c>
      <c r="V53" s="600">
        <v>70</v>
      </c>
      <c r="W53" s="600">
        <v>70</v>
      </c>
      <c r="X53" s="600" t="s">
        <v>468</v>
      </c>
      <c r="Y53" s="600" t="s">
        <v>468</v>
      </c>
      <c r="Z53" s="600" t="s">
        <v>468</v>
      </c>
      <c r="AA53" s="600" t="s">
        <v>468</v>
      </c>
      <c r="AB53" s="600" t="s">
        <v>468</v>
      </c>
      <c r="AC53" s="600" t="s">
        <v>468</v>
      </c>
      <c r="AD53" s="600" t="s">
        <v>468</v>
      </c>
      <c r="AE53" s="600" t="s">
        <v>468</v>
      </c>
      <c r="AF53" s="600" t="s">
        <v>468</v>
      </c>
      <c r="AG53" s="600" t="s">
        <v>468</v>
      </c>
      <c r="AH53" s="600" t="s">
        <v>468</v>
      </c>
      <c r="AI53" s="600" t="s">
        <v>468</v>
      </c>
      <c r="AJ53" s="600" t="s">
        <v>468</v>
      </c>
      <c r="AK53" s="600" t="s">
        <v>468</v>
      </c>
      <c r="AL53" s="600" t="s">
        <v>468</v>
      </c>
      <c r="AM53" s="602" t="s">
        <v>468</v>
      </c>
      <c r="AN53" s="634"/>
    </row>
    <row r="54" spans="1:40" x14ac:dyDescent="0.25">
      <c r="A54" s="1688"/>
      <c r="B54" s="1303">
        <f t="shared" si="3"/>
        <v>1481</v>
      </c>
      <c r="C54" s="1430">
        <f>B54-B53</f>
        <v>431</v>
      </c>
      <c r="D54" s="1705"/>
      <c r="E54" s="1688"/>
      <c r="F54" s="1379" t="s">
        <v>342</v>
      </c>
      <c r="G54" s="1303">
        <f t="shared" si="33"/>
        <v>1481</v>
      </c>
      <c r="H54" s="1380">
        <f t="shared" ref="H54" si="36">IFERROR((G54-G53)/G53,0)</f>
        <v>0.41047619047619049</v>
      </c>
      <c r="I54" s="1449">
        <v>113</v>
      </c>
      <c r="J54" s="1435">
        <v>158</v>
      </c>
      <c r="K54" s="1435">
        <v>90</v>
      </c>
      <c r="L54" s="1435">
        <v>72</v>
      </c>
      <c r="M54" s="1435">
        <v>150</v>
      </c>
      <c r="N54" s="1435">
        <v>137</v>
      </c>
      <c r="O54" s="1434"/>
      <c r="P54" s="1435">
        <v>76</v>
      </c>
      <c r="Q54" s="1434">
        <v>28</v>
      </c>
      <c r="R54" s="1434">
        <v>50</v>
      </c>
      <c r="S54" s="1434">
        <v>46</v>
      </c>
      <c r="T54" s="1434">
        <v>50</v>
      </c>
      <c r="U54" s="1434">
        <v>66</v>
      </c>
      <c r="V54" s="1434">
        <v>60</v>
      </c>
      <c r="W54" s="1434"/>
      <c r="X54" s="1435"/>
      <c r="Y54" s="1435"/>
      <c r="Z54" s="1435"/>
      <c r="AA54" s="1435"/>
      <c r="AB54" s="1435"/>
      <c r="AC54" s="1435">
        <v>24</v>
      </c>
      <c r="AD54" s="1435"/>
      <c r="AE54" s="1435"/>
      <c r="AF54" s="1435"/>
      <c r="AG54" s="1435"/>
      <c r="AH54" s="1435"/>
      <c r="AI54" s="1435"/>
      <c r="AJ54" s="1435">
        <v>104</v>
      </c>
      <c r="AK54" s="1435">
        <v>113</v>
      </c>
      <c r="AL54" s="1435">
        <v>144</v>
      </c>
      <c r="AM54" s="1436"/>
      <c r="AN54" s="604"/>
    </row>
    <row r="55" spans="1:40" x14ac:dyDescent="0.25">
      <c r="A55" s="1688"/>
      <c r="B55" s="1382"/>
      <c r="C55" s="1383"/>
      <c r="D55" s="1705"/>
      <c r="E55" s="1688"/>
      <c r="F55" s="1389" t="s">
        <v>312</v>
      </c>
      <c r="G55" s="1382"/>
      <c r="H55" s="1383"/>
      <c r="I55" s="605"/>
      <c r="J55" s="605"/>
      <c r="K55" s="605"/>
      <c r="L55" s="605"/>
      <c r="M55" s="605"/>
      <c r="N55" s="605"/>
      <c r="O55" s="605"/>
      <c r="P55" s="605"/>
      <c r="Q55" s="606"/>
      <c r="R55" s="605"/>
      <c r="S55" s="605"/>
      <c r="T55" s="605"/>
      <c r="U55" s="605"/>
      <c r="V55" s="605"/>
      <c r="W55" s="605"/>
      <c r="X55" s="605"/>
      <c r="Y55" s="605"/>
      <c r="Z55" s="605"/>
      <c r="AA55" s="605"/>
      <c r="AB55" s="605"/>
      <c r="AC55" s="605"/>
      <c r="AD55" s="605"/>
      <c r="AE55" s="605"/>
      <c r="AF55" s="605"/>
      <c r="AG55" s="605"/>
      <c r="AH55" s="605"/>
      <c r="AI55" s="605"/>
      <c r="AJ55" s="605"/>
      <c r="AK55" s="605"/>
      <c r="AL55" s="605"/>
      <c r="AM55" s="607"/>
      <c r="AN55" s="604"/>
    </row>
    <row r="56" spans="1:40" x14ac:dyDescent="0.25">
      <c r="A56" s="1685" t="s">
        <v>343</v>
      </c>
      <c r="B56" s="1310">
        <f t="shared" si="13"/>
        <v>2.1299999999999994</v>
      </c>
      <c r="C56" s="1385"/>
      <c r="D56" s="1705"/>
      <c r="E56" s="1685" t="s">
        <v>343</v>
      </c>
      <c r="F56" s="1384" t="s">
        <v>344</v>
      </c>
      <c r="G56" s="1310">
        <f t="shared" ref="G56:G57" si="37">IFERROR(G58*1000/G53,0)</f>
        <v>1.3333333333333335</v>
      </c>
      <c r="H56" s="1385"/>
      <c r="I56" s="1445">
        <v>2.13</v>
      </c>
      <c r="J56" s="1445">
        <v>2.13</v>
      </c>
      <c r="K56" s="1445">
        <v>2.13</v>
      </c>
      <c r="L56" s="1437">
        <v>2.13</v>
      </c>
      <c r="M56" s="1437">
        <v>2.13</v>
      </c>
      <c r="N56" s="1437">
        <v>2.13</v>
      </c>
      <c r="O56" s="1437">
        <v>2.13</v>
      </c>
      <c r="P56" s="1437">
        <v>2.13</v>
      </c>
      <c r="Q56" s="1438">
        <v>2.13</v>
      </c>
      <c r="R56" s="1437">
        <v>2.13</v>
      </c>
      <c r="S56" s="1437">
        <v>2.13</v>
      </c>
      <c r="T56" s="1437">
        <v>2.13</v>
      </c>
      <c r="U56" s="1437">
        <v>2.13</v>
      </c>
      <c r="V56" s="1437">
        <v>2.13</v>
      </c>
      <c r="W56" s="1437">
        <v>2.13</v>
      </c>
      <c r="X56" s="1437">
        <v>2.13</v>
      </c>
      <c r="Y56" s="1437">
        <v>2.13</v>
      </c>
      <c r="Z56" s="1437">
        <v>2.13</v>
      </c>
      <c r="AA56" s="1437">
        <v>2.13</v>
      </c>
      <c r="AB56" s="1437">
        <v>2.13</v>
      </c>
      <c r="AC56" s="1437">
        <v>2.13</v>
      </c>
      <c r="AD56" s="1437">
        <v>2.13</v>
      </c>
      <c r="AE56" s="1437">
        <v>2.13</v>
      </c>
      <c r="AF56" s="1437">
        <v>2.13</v>
      </c>
      <c r="AG56" s="1437">
        <v>2.13</v>
      </c>
      <c r="AH56" s="1437">
        <v>2.13</v>
      </c>
      <c r="AI56" s="1437">
        <v>2.13</v>
      </c>
      <c r="AJ56" s="1437">
        <v>2.13</v>
      </c>
      <c r="AK56" s="1437">
        <v>2.13</v>
      </c>
      <c r="AL56" s="1437">
        <v>2.13</v>
      </c>
      <c r="AM56" s="1439" t="s">
        <v>468</v>
      </c>
      <c r="AN56" s="604"/>
    </row>
    <row r="57" spans="1:40" x14ac:dyDescent="0.25">
      <c r="A57" s="1707"/>
      <c r="B57" s="1314">
        <f t="shared" ref="B57" si="38">B56*(G57/B56)</f>
        <v>2.160702228224173</v>
      </c>
      <c r="C57" s="1431">
        <f>B57-B56</f>
        <v>3.0702228224173567E-2</v>
      </c>
      <c r="D57" s="1705"/>
      <c r="E57" s="1707"/>
      <c r="F57" s="1386" t="s">
        <v>345</v>
      </c>
      <c r="G57" s="1314">
        <f t="shared" si="37"/>
        <v>2.160702228224173</v>
      </c>
      <c r="H57" s="1380">
        <f t="shared" ref="H57" si="39">IFERROR((G57-G56)/G56,0)</f>
        <v>0.62052667116812954</v>
      </c>
      <c r="I57" s="1451">
        <v>2.1800000000000002</v>
      </c>
      <c r="J57" s="1443">
        <v>1.55</v>
      </c>
      <c r="K57" s="1441">
        <v>1.62</v>
      </c>
      <c r="L57" s="1442">
        <v>7</v>
      </c>
      <c r="M57" s="1443">
        <v>1.4</v>
      </c>
      <c r="N57" s="1441">
        <v>1.92</v>
      </c>
      <c r="O57" s="1434"/>
      <c r="P57" s="1443">
        <v>1.28</v>
      </c>
      <c r="Q57" s="1434"/>
      <c r="R57" s="1442">
        <v>3.77</v>
      </c>
      <c r="S57" s="1442">
        <v>2.79</v>
      </c>
      <c r="T57" s="1442">
        <v>2.65</v>
      </c>
      <c r="U57" s="1443">
        <v>1.27</v>
      </c>
      <c r="V57" s="1434">
        <v>0.57999999999999996</v>
      </c>
      <c r="W57" s="1434"/>
      <c r="X57" s="1434"/>
      <c r="Y57" s="1442">
        <v>6.88</v>
      </c>
      <c r="Z57" s="1434"/>
      <c r="AA57" s="1434"/>
      <c r="AB57" s="1434"/>
      <c r="AC57" s="1442">
        <v>2.64</v>
      </c>
      <c r="AD57" s="1434"/>
      <c r="AE57" s="1434"/>
      <c r="AF57" s="1434"/>
      <c r="AG57" s="1434"/>
      <c r="AH57" s="1434"/>
      <c r="AI57" s="1434"/>
      <c r="AJ57" s="1442">
        <v>4.84</v>
      </c>
      <c r="AK57" s="1441">
        <v>1.69</v>
      </c>
      <c r="AL57" s="1442">
        <v>2.19</v>
      </c>
      <c r="AM57" s="1436"/>
      <c r="AN57" s="604"/>
    </row>
    <row r="58" spans="1:40" x14ac:dyDescent="0.25">
      <c r="A58" s="1685" t="s">
        <v>47</v>
      </c>
      <c r="B58" s="206">
        <f t="shared" si="18"/>
        <v>2.2364999999999995</v>
      </c>
      <c r="C58" s="1385"/>
      <c r="D58" s="1705"/>
      <c r="E58" s="1685" t="s">
        <v>47</v>
      </c>
      <c r="F58" s="1384" t="s">
        <v>346</v>
      </c>
      <c r="G58" s="206">
        <f t="shared" ref="G58:G61" si="40">SUMIF($I$9:$AM$9,"&lt;="&amp;$D$7,I58:AM58)</f>
        <v>1.4000000000000001</v>
      </c>
      <c r="H58" s="1385"/>
      <c r="I58" s="1445" t="s">
        <v>468</v>
      </c>
      <c r="J58" s="1445">
        <v>0.1</v>
      </c>
      <c r="K58" s="1445">
        <v>0.1</v>
      </c>
      <c r="L58" s="1445">
        <v>0.1</v>
      </c>
      <c r="M58" s="1445">
        <v>0.1</v>
      </c>
      <c r="N58" s="1445">
        <v>0.1</v>
      </c>
      <c r="O58" s="1445">
        <v>0.1</v>
      </c>
      <c r="P58" s="1445">
        <v>0.1</v>
      </c>
      <c r="Q58" s="1445">
        <v>0.1</v>
      </c>
      <c r="R58" s="1445">
        <v>0.1</v>
      </c>
      <c r="S58" s="1445">
        <v>0.1</v>
      </c>
      <c r="T58" s="1445">
        <v>0.1</v>
      </c>
      <c r="U58" s="1445">
        <v>0.1</v>
      </c>
      <c r="V58" s="1445">
        <v>0.1</v>
      </c>
      <c r="W58" s="1445">
        <v>0.1</v>
      </c>
      <c r="X58" s="1445" t="s">
        <v>468</v>
      </c>
      <c r="Y58" s="1445" t="s">
        <v>468</v>
      </c>
      <c r="Z58" s="1445" t="s">
        <v>468</v>
      </c>
      <c r="AA58" s="1445" t="s">
        <v>468</v>
      </c>
      <c r="AB58" s="1445" t="s">
        <v>468</v>
      </c>
      <c r="AC58" s="1445" t="s">
        <v>468</v>
      </c>
      <c r="AD58" s="1445" t="s">
        <v>468</v>
      </c>
      <c r="AE58" s="1445" t="s">
        <v>468</v>
      </c>
      <c r="AF58" s="1445" t="s">
        <v>468</v>
      </c>
      <c r="AG58" s="1445" t="s">
        <v>468</v>
      </c>
      <c r="AH58" s="1445" t="s">
        <v>362</v>
      </c>
      <c r="AI58" s="1445" t="s">
        <v>473</v>
      </c>
      <c r="AJ58" s="1445" t="s">
        <v>468</v>
      </c>
      <c r="AK58" s="1445" t="s">
        <v>468</v>
      </c>
      <c r="AL58" s="1445" t="s">
        <v>468</v>
      </c>
      <c r="AM58" s="1445" t="s">
        <v>468</v>
      </c>
      <c r="AN58" s="604"/>
    </row>
    <row r="59" spans="1:40" ht="15.75" thickBot="1" x14ac:dyDescent="0.3">
      <c r="A59" s="1708"/>
      <c r="B59" s="1321">
        <f t="shared" si="18"/>
        <v>3.2000000000000006</v>
      </c>
      <c r="C59" s="1432">
        <f>B59-B58</f>
        <v>0.96350000000000113</v>
      </c>
      <c r="D59" s="1706"/>
      <c r="E59" s="1708"/>
      <c r="F59" s="1387" t="s">
        <v>347</v>
      </c>
      <c r="G59" s="1321">
        <f t="shared" si="40"/>
        <v>3.2</v>
      </c>
      <c r="H59" s="1388">
        <f t="shared" ref="H59" si="41">IFERROR((G59-G58)/G58,0)</f>
        <v>1.2857142857142856</v>
      </c>
      <c r="I59" s="1446">
        <v>0.2</v>
      </c>
      <c r="J59" s="1446">
        <v>0.2</v>
      </c>
      <c r="K59" s="1447">
        <v>0.1</v>
      </c>
      <c r="L59" s="1446">
        <v>0.5</v>
      </c>
      <c r="M59" s="1446">
        <v>0.2</v>
      </c>
      <c r="N59" s="1446">
        <v>0.3</v>
      </c>
      <c r="O59" s="1447" t="s">
        <v>468</v>
      </c>
      <c r="P59" s="1447">
        <v>0.1</v>
      </c>
      <c r="Q59" s="1447" t="s">
        <v>468</v>
      </c>
      <c r="R59" s="1446">
        <v>0.2</v>
      </c>
      <c r="S59" s="1447">
        <v>0.1</v>
      </c>
      <c r="T59" s="1447">
        <v>0.1</v>
      </c>
      <c r="U59" s="1447">
        <v>0.1</v>
      </c>
      <c r="V59" s="1447">
        <v>0</v>
      </c>
      <c r="W59" s="1447" t="s">
        <v>468</v>
      </c>
      <c r="X59" s="1446" t="s">
        <v>468</v>
      </c>
      <c r="Y59" s="1446" t="s">
        <v>468</v>
      </c>
      <c r="Z59" s="1446" t="s">
        <v>468</v>
      </c>
      <c r="AA59" s="1446" t="s">
        <v>468</v>
      </c>
      <c r="AB59" s="1446" t="s">
        <v>468</v>
      </c>
      <c r="AC59" s="1446">
        <v>0.1</v>
      </c>
      <c r="AD59" s="1446" t="s">
        <v>468</v>
      </c>
      <c r="AE59" s="1446" t="s">
        <v>468</v>
      </c>
      <c r="AF59" s="1446" t="s">
        <v>468</v>
      </c>
      <c r="AG59" s="1446" t="s">
        <v>468</v>
      </c>
      <c r="AH59" s="1447" t="s">
        <v>468</v>
      </c>
      <c r="AI59" s="1446" t="s">
        <v>468</v>
      </c>
      <c r="AJ59" s="1446">
        <v>0.5</v>
      </c>
      <c r="AK59" s="1446">
        <v>0.2</v>
      </c>
      <c r="AL59" s="1446">
        <v>0.3</v>
      </c>
      <c r="AM59" s="1448" t="s">
        <v>468</v>
      </c>
      <c r="AN59" s="610"/>
    </row>
    <row r="60" spans="1:40" ht="14.25" customHeight="1" x14ac:dyDescent="0.25">
      <c r="A60" s="1684" t="s">
        <v>340</v>
      </c>
      <c r="B60" s="196">
        <f t="shared" ref="B60" si="42">SUM(I60:AL60)</f>
        <v>1540</v>
      </c>
      <c r="C60" s="197"/>
      <c r="D60" s="1704" t="s">
        <v>366</v>
      </c>
      <c r="E60" s="1684" t="s">
        <v>340</v>
      </c>
      <c r="F60" s="195" t="s">
        <v>341</v>
      </c>
      <c r="G60" s="196">
        <f t="shared" si="40"/>
        <v>1540</v>
      </c>
      <c r="H60" s="197"/>
      <c r="I60" s="599" t="s">
        <v>468</v>
      </c>
      <c r="J60" s="599" t="s">
        <v>468</v>
      </c>
      <c r="K60" s="599" t="s">
        <v>468</v>
      </c>
      <c r="L60" s="600" t="s">
        <v>468</v>
      </c>
      <c r="M60" s="600" t="s">
        <v>468</v>
      </c>
      <c r="N60" s="600" t="s">
        <v>468</v>
      </c>
      <c r="O60" s="600" t="s">
        <v>468</v>
      </c>
      <c r="P60" s="600">
        <v>70</v>
      </c>
      <c r="Q60" s="601">
        <v>70</v>
      </c>
      <c r="R60" s="600">
        <v>70</v>
      </c>
      <c r="S60" s="600">
        <v>70</v>
      </c>
      <c r="T60" s="600">
        <v>70</v>
      </c>
      <c r="U60" s="600">
        <v>70</v>
      </c>
      <c r="V60" s="600">
        <v>70</v>
      </c>
      <c r="W60" s="600">
        <v>70</v>
      </c>
      <c r="X60" s="600">
        <v>70</v>
      </c>
      <c r="Y60" s="600">
        <v>70</v>
      </c>
      <c r="Z60" s="600">
        <v>70</v>
      </c>
      <c r="AA60" s="600">
        <v>70</v>
      </c>
      <c r="AB60" s="600">
        <v>70</v>
      </c>
      <c r="AC60" s="600" t="s">
        <v>468</v>
      </c>
      <c r="AD60" s="600">
        <v>70</v>
      </c>
      <c r="AE60" s="600">
        <v>70</v>
      </c>
      <c r="AF60" s="600">
        <v>70</v>
      </c>
      <c r="AG60" s="600">
        <v>70</v>
      </c>
      <c r="AH60" s="600">
        <v>70</v>
      </c>
      <c r="AI60" s="600">
        <v>70</v>
      </c>
      <c r="AJ60" s="600">
        <v>70</v>
      </c>
      <c r="AK60" s="600">
        <v>70</v>
      </c>
      <c r="AL60" s="600">
        <v>70</v>
      </c>
      <c r="AM60" s="602" t="s">
        <v>468</v>
      </c>
      <c r="AN60" s="634"/>
    </row>
    <row r="61" spans="1:40" x14ac:dyDescent="0.25">
      <c r="A61" s="1688"/>
      <c r="B61" s="1303">
        <f t="shared" si="3"/>
        <v>1881</v>
      </c>
      <c r="C61" s="1430">
        <f>B61-B60</f>
        <v>341</v>
      </c>
      <c r="D61" s="1705"/>
      <c r="E61" s="1688"/>
      <c r="F61" s="1379" t="s">
        <v>342</v>
      </c>
      <c r="G61" s="1303">
        <f t="shared" si="40"/>
        <v>1881</v>
      </c>
      <c r="H61" s="1380">
        <f t="shared" ref="H61" si="43">IFERROR((G61-G60)/G60,0)</f>
        <v>0.22142857142857142</v>
      </c>
      <c r="I61" s="1449">
        <v>40</v>
      </c>
      <c r="J61" s="1435"/>
      <c r="K61" s="1435"/>
      <c r="L61" s="1435"/>
      <c r="M61" s="1435"/>
      <c r="N61" s="1435"/>
      <c r="O61" s="1435"/>
      <c r="P61" s="1434"/>
      <c r="Q61" s="1434"/>
      <c r="R61" s="1434">
        <v>56</v>
      </c>
      <c r="S61" s="1435">
        <v>74</v>
      </c>
      <c r="T61" s="1434">
        <v>66</v>
      </c>
      <c r="U61" s="1434">
        <v>45</v>
      </c>
      <c r="V61" s="1434"/>
      <c r="W61" s="1434"/>
      <c r="X61" s="1435">
        <v>90</v>
      </c>
      <c r="Y61" s="1434">
        <v>63</v>
      </c>
      <c r="Z61" s="1435">
        <v>182</v>
      </c>
      <c r="AA61" s="1435">
        <v>99</v>
      </c>
      <c r="AB61" s="1434">
        <v>45</v>
      </c>
      <c r="AC61" s="1435">
        <v>102</v>
      </c>
      <c r="AD61" s="1434">
        <v>54</v>
      </c>
      <c r="AE61" s="1435">
        <v>111</v>
      </c>
      <c r="AF61" s="1435">
        <v>115</v>
      </c>
      <c r="AG61" s="1435">
        <v>180</v>
      </c>
      <c r="AH61" s="1435">
        <v>113</v>
      </c>
      <c r="AI61" s="1435">
        <v>160</v>
      </c>
      <c r="AJ61" s="1435">
        <v>100</v>
      </c>
      <c r="AK61" s="1435">
        <v>96</v>
      </c>
      <c r="AL61" s="1435">
        <v>90</v>
      </c>
      <c r="AM61" s="1436"/>
      <c r="AN61" s="604"/>
    </row>
    <row r="62" spans="1:40" x14ac:dyDescent="0.25">
      <c r="A62" s="1688"/>
      <c r="B62" s="1382"/>
      <c r="C62" s="1383"/>
      <c r="D62" s="1705"/>
      <c r="E62" s="1688"/>
      <c r="F62" s="1389" t="s">
        <v>312</v>
      </c>
      <c r="G62" s="1382"/>
      <c r="H62" s="1383"/>
      <c r="I62" s="605"/>
      <c r="J62" s="605"/>
      <c r="K62" s="605"/>
      <c r="L62" s="605"/>
      <c r="M62" s="605"/>
      <c r="N62" s="605"/>
      <c r="O62" s="605"/>
      <c r="P62" s="605"/>
      <c r="Q62" s="606"/>
      <c r="R62" s="605"/>
      <c r="S62" s="605"/>
      <c r="T62" s="605"/>
      <c r="U62" s="605"/>
      <c r="V62" s="605"/>
      <c r="W62" s="605"/>
      <c r="X62" s="605"/>
      <c r="Y62" s="605"/>
      <c r="Z62" s="605"/>
      <c r="AA62" s="605"/>
      <c r="AB62" s="605"/>
      <c r="AC62" s="605"/>
      <c r="AD62" s="605"/>
      <c r="AE62" s="605"/>
      <c r="AF62" s="605"/>
      <c r="AG62" s="605"/>
      <c r="AH62" s="605"/>
      <c r="AI62" s="605"/>
      <c r="AJ62" s="605"/>
      <c r="AK62" s="605"/>
      <c r="AL62" s="605"/>
      <c r="AM62" s="607"/>
      <c r="AN62" s="604"/>
    </row>
    <row r="63" spans="1:40" x14ac:dyDescent="0.25">
      <c r="A63" s="1685" t="s">
        <v>343</v>
      </c>
      <c r="B63" s="1310">
        <f t="shared" si="13"/>
        <v>2.0200000000000009</v>
      </c>
      <c r="C63" s="1385"/>
      <c r="D63" s="1705"/>
      <c r="E63" s="1685" t="s">
        <v>343</v>
      </c>
      <c r="F63" s="1384" t="s">
        <v>344</v>
      </c>
      <c r="G63" s="1310">
        <f t="shared" ref="G63:G64" si="44">IFERROR(G65*1000/G60,0)</f>
        <v>1.363636363636364</v>
      </c>
      <c r="H63" s="1385"/>
      <c r="I63" s="1445" t="s">
        <v>468</v>
      </c>
      <c r="J63" s="1445" t="s">
        <v>468</v>
      </c>
      <c r="K63" s="1445" t="s">
        <v>468</v>
      </c>
      <c r="L63" s="1437" t="s">
        <v>468</v>
      </c>
      <c r="M63" s="1437" t="s">
        <v>468</v>
      </c>
      <c r="N63" s="1437" t="s">
        <v>468</v>
      </c>
      <c r="O63" s="1437" t="s">
        <v>468</v>
      </c>
      <c r="P63" s="1437">
        <v>2.02</v>
      </c>
      <c r="Q63" s="1438">
        <v>2.02</v>
      </c>
      <c r="R63" s="1437">
        <v>2.02</v>
      </c>
      <c r="S63" s="1437">
        <v>2.02</v>
      </c>
      <c r="T63" s="1437">
        <v>2.02</v>
      </c>
      <c r="U63" s="1437">
        <v>2.02</v>
      </c>
      <c r="V63" s="1437">
        <v>2.02</v>
      </c>
      <c r="W63" s="1437">
        <v>2.02</v>
      </c>
      <c r="X63" s="1437">
        <v>2.02</v>
      </c>
      <c r="Y63" s="1437">
        <v>2.02</v>
      </c>
      <c r="Z63" s="1437">
        <v>2.02</v>
      </c>
      <c r="AA63" s="1437">
        <v>2.02</v>
      </c>
      <c r="AB63" s="1437">
        <v>2.02</v>
      </c>
      <c r="AC63" s="1437" t="s">
        <v>468</v>
      </c>
      <c r="AD63" s="1437">
        <v>2.02</v>
      </c>
      <c r="AE63" s="1437">
        <v>2.02</v>
      </c>
      <c r="AF63" s="1437">
        <v>2.02</v>
      </c>
      <c r="AG63" s="1437">
        <v>2.02</v>
      </c>
      <c r="AH63" s="1437">
        <v>2.02</v>
      </c>
      <c r="AI63" s="1437">
        <v>2.02</v>
      </c>
      <c r="AJ63" s="1437">
        <v>2.02</v>
      </c>
      <c r="AK63" s="1437">
        <v>2.02</v>
      </c>
      <c r="AL63" s="1437">
        <v>2.02</v>
      </c>
      <c r="AM63" s="1439" t="s">
        <v>468</v>
      </c>
      <c r="AN63" s="604"/>
    </row>
    <row r="64" spans="1:40" x14ac:dyDescent="0.25">
      <c r="A64" s="1707"/>
      <c r="B64" s="1314">
        <f t="shared" ref="B64" si="45">B63*(G64/B63)</f>
        <v>3.0834662413609788</v>
      </c>
      <c r="C64" s="1431">
        <f>B64-B63</f>
        <v>1.0634662413609779</v>
      </c>
      <c r="D64" s="1705"/>
      <c r="E64" s="1707"/>
      <c r="F64" s="1386" t="s">
        <v>345</v>
      </c>
      <c r="G64" s="1314">
        <f t="shared" si="44"/>
        <v>3.0834662413609788</v>
      </c>
      <c r="H64" s="1380">
        <f t="shared" ref="H64" si="46">IFERROR((G64-G63)/G63,0)</f>
        <v>1.2612085769980506</v>
      </c>
      <c r="I64" s="1452">
        <v>1.07</v>
      </c>
      <c r="J64" s="1435"/>
      <c r="K64" s="1435"/>
      <c r="L64" s="1435"/>
      <c r="M64" s="1435"/>
      <c r="N64" s="1435"/>
      <c r="O64" s="1435"/>
      <c r="P64" s="1434"/>
      <c r="Q64" s="1434"/>
      <c r="R64" s="1442">
        <v>3.77</v>
      </c>
      <c r="S64" s="1442">
        <v>2.79</v>
      </c>
      <c r="T64" s="1442">
        <v>2.65</v>
      </c>
      <c r="U64" s="1443">
        <v>1.27</v>
      </c>
      <c r="V64" s="1434"/>
      <c r="W64" s="1434"/>
      <c r="X64" s="1442">
        <v>3.11</v>
      </c>
      <c r="Y64" s="1442">
        <v>6.88</v>
      </c>
      <c r="Z64" s="1442">
        <v>7</v>
      </c>
      <c r="AA64" s="1442">
        <v>2.15</v>
      </c>
      <c r="AB64" s="1443">
        <v>0.97</v>
      </c>
      <c r="AC64" s="1442">
        <v>2.64</v>
      </c>
      <c r="AD64" s="1442">
        <v>3.2</v>
      </c>
      <c r="AE64" s="1442">
        <v>2.68</v>
      </c>
      <c r="AF64" s="1442">
        <v>4.4000000000000004</v>
      </c>
      <c r="AG64" s="1434">
        <v>0.5</v>
      </c>
      <c r="AH64" s="1442">
        <v>2.82</v>
      </c>
      <c r="AI64" s="1442">
        <v>2.73</v>
      </c>
      <c r="AJ64" s="1441">
        <v>1.73</v>
      </c>
      <c r="AK64" s="1441">
        <v>1.6</v>
      </c>
      <c r="AL64" s="1442">
        <v>3.98</v>
      </c>
      <c r="AM64" s="1436"/>
      <c r="AN64" s="604"/>
    </row>
    <row r="65" spans="1:40" x14ac:dyDescent="0.25">
      <c r="A65" s="1685" t="s">
        <v>47</v>
      </c>
      <c r="B65" s="206">
        <f t="shared" si="18"/>
        <v>3.1108000000000016</v>
      </c>
      <c r="C65" s="1385"/>
      <c r="D65" s="1705"/>
      <c r="E65" s="1685" t="s">
        <v>47</v>
      </c>
      <c r="F65" s="1384" t="s">
        <v>346</v>
      </c>
      <c r="G65" s="206">
        <f t="shared" ref="G65:G68" si="47">SUMIF($I$9:$AM$9,"&lt;="&amp;$D$7,I65:AM65)</f>
        <v>2.1000000000000005</v>
      </c>
      <c r="H65" s="1385"/>
      <c r="I65" s="1445" t="s">
        <v>468</v>
      </c>
      <c r="J65" s="1445" t="s">
        <v>468</v>
      </c>
      <c r="K65" s="1445" t="s">
        <v>468</v>
      </c>
      <c r="L65" s="1445" t="s">
        <v>468</v>
      </c>
      <c r="M65" s="1445" t="s">
        <v>468</v>
      </c>
      <c r="N65" s="1445" t="s">
        <v>468</v>
      </c>
      <c r="O65" s="1445" t="s">
        <v>468</v>
      </c>
      <c r="P65" s="1445">
        <v>0.1</v>
      </c>
      <c r="Q65" s="1445">
        <v>0.1</v>
      </c>
      <c r="R65" s="1445">
        <v>0.1</v>
      </c>
      <c r="S65" s="1445">
        <v>0.1</v>
      </c>
      <c r="T65" s="1445">
        <v>0.1</v>
      </c>
      <c r="U65" s="1445">
        <v>0.1</v>
      </c>
      <c r="V65" s="1445">
        <v>0.1</v>
      </c>
      <c r="W65" s="1445">
        <v>0.1</v>
      </c>
      <c r="X65" s="1445">
        <v>0.1</v>
      </c>
      <c r="Y65" s="1445">
        <v>0.1</v>
      </c>
      <c r="Z65" s="1445">
        <v>0.1</v>
      </c>
      <c r="AA65" s="1445"/>
      <c r="AB65" s="1445">
        <v>0.1</v>
      </c>
      <c r="AC65" s="1445" t="s">
        <v>468</v>
      </c>
      <c r="AD65" s="1445">
        <v>0.1</v>
      </c>
      <c r="AE65" s="1445">
        <v>0.1</v>
      </c>
      <c r="AF65" s="1445">
        <v>0.1</v>
      </c>
      <c r="AG65" s="1445">
        <v>0.1</v>
      </c>
      <c r="AH65" s="1445">
        <v>0.1</v>
      </c>
      <c r="AI65" s="1445">
        <v>0.1</v>
      </c>
      <c r="AJ65" s="1445">
        <v>0.1</v>
      </c>
      <c r="AK65" s="1445">
        <v>0.1</v>
      </c>
      <c r="AL65" s="1445">
        <v>0.1</v>
      </c>
      <c r="AM65" s="1445" t="s">
        <v>468</v>
      </c>
      <c r="AN65" s="604"/>
    </row>
    <row r="66" spans="1:40" ht="15.75" thickBot="1" x14ac:dyDescent="0.3">
      <c r="A66" s="1708"/>
      <c r="B66" s="1321">
        <f t="shared" si="18"/>
        <v>5.8000000000000007</v>
      </c>
      <c r="C66" s="1432">
        <f>B66-B65</f>
        <v>2.6891999999999991</v>
      </c>
      <c r="D66" s="1706"/>
      <c r="E66" s="1708"/>
      <c r="F66" s="1387" t="s">
        <v>347</v>
      </c>
      <c r="G66" s="1321">
        <f t="shared" si="47"/>
        <v>5.8000000000000007</v>
      </c>
      <c r="H66" s="1388">
        <f t="shared" ref="H66" si="48">IFERROR((G66-G65)/G65,0)</f>
        <v>1.7619047619047616</v>
      </c>
      <c r="I66" s="1446">
        <v>0</v>
      </c>
      <c r="J66" s="1446" t="s">
        <v>468</v>
      </c>
      <c r="K66" s="1446" t="s">
        <v>468</v>
      </c>
      <c r="L66" s="1446" t="s">
        <v>468</v>
      </c>
      <c r="M66" s="1446" t="s">
        <v>468</v>
      </c>
      <c r="N66" s="1446" t="s">
        <v>468</v>
      </c>
      <c r="O66" s="1446" t="s">
        <v>468</v>
      </c>
      <c r="P66" s="1447" t="s">
        <v>468</v>
      </c>
      <c r="Q66" s="1447" t="s">
        <v>468</v>
      </c>
      <c r="R66" s="1446">
        <v>0.2</v>
      </c>
      <c r="S66" s="1446">
        <v>0.2</v>
      </c>
      <c r="T66" s="1446">
        <v>0.2</v>
      </c>
      <c r="U66" s="1447">
        <v>0.1</v>
      </c>
      <c r="V66" s="1447" t="s">
        <v>468</v>
      </c>
      <c r="W66" s="1447" t="s">
        <v>468</v>
      </c>
      <c r="X66" s="1446">
        <v>0.3</v>
      </c>
      <c r="Y66" s="1446">
        <v>0.4</v>
      </c>
      <c r="Z66" s="1446">
        <v>1.3</v>
      </c>
      <c r="AA66" s="1448">
        <v>0.2</v>
      </c>
      <c r="AB66" s="1447">
        <v>0</v>
      </c>
      <c r="AC66" s="1446">
        <v>0.3</v>
      </c>
      <c r="AD66" s="1446">
        <v>0.2</v>
      </c>
      <c r="AE66" s="1446">
        <v>0.3</v>
      </c>
      <c r="AF66" s="1446">
        <v>0.5</v>
      </c>
      <c r="AG66" s="1447">
        <v>0.1</v>
      </c>
      <c r="AH66" s="1446">
        <v>0.3</v>
      </c>
      <c r="AI66" s="1446">
        <v>0.4</v>
      </c>
      <c r="AJ66" s="1446">
        <v>0.2</v>
      </c>
      <c r="AK66" s="1446">
        <v>0.2</v>
      </c>
      <c r="AL66" s="1446">
        <v>0.4</v>
      </c>
      <c r="AM66" s="1448" t="s">
        <v>468</v>
      </c>
      <c r="AN66" s="610"/>
    </row>
    <row r="67" spans="1:40" ht="14.25" customHeight="1" x14ac:dyDescent="0.25">
      <c r="A67" s="1684" t="s">
        <v>340</v>
      </c>
      <c r="B67" s="196">
        <f t="shared" ref="B67" si="49">SUM(I67:AL67)</f>
        <v>2030</v>
      </c>
      <c r="C67" s="197"/>
      <c r="D67" s="1704" t="s">
        <v>474</v>
      </c>
      <c r="E67" s="1684" t="s">
        <v>340</v>
      </c>
      <c r="F67" s="195" t="s">
        <v>341</v>
      </c>
      <c r="G67" s="196">
        <f t="shared" si="47"/>
        <v>2030</v>
      </c>
      <c r="H67" s="197"/>
      <c r="I67" s="599">
        <v>70</v>
      </c>
      <c r="J67" s="599">
        <v>70</v>
      </c>
      <c r="K67" s="599">
        <v>70</v>
      </c>
      <c r="L67" s="600">
        <v>70</v>
      </c>
      <c r="M67" s="600">
        <v>70</v>
      </c>
      <c r="N67" s="600">
        <v>70</v>
      </c>
      <c r="O67" s="600">
        <v>70</v>
      </c>
      <c r="P67" s="600">
        <v>70</v>
      </c>
      <c r="Q67" s="601">
        <v>70</v>
      </c>
      <c r="R67" s="600">
        <v>70</v>
      </c>
      <c r="S67" s="600">
        <v>70</v>
      </c>
      <c r="T67" s="600">
        <v>70</v>
      </c>
      <c r="U67" s="600">
        <v>70</v>
      </c>
      <c r="V67" s="600">
        <v>70</v>
      </c>
      <c r="W67" s="600">
        <v>70</v>
      </c>
      <c r="X67" s="600">
        <v>70</v>
      </c>
      <c r="Y67" s="600">
        <v>70</v>
      </c>
      <c r="Z67" s="600">
        <v>70</v>
      </c>
      <c r="AA67" s="600">
        <v>70</v>
      </c>
      <c r="AB67" s="600">
        <v>70</v>
      </c>
      <c r="AC67" s="600" t="s">
        <v>468</v>
      </c>
      <c r="AD67" s="600">
        <v>70</v>
      </c>
      <c r="AE67" s="600">
        <v>70</v>
      </c>
      <c r="AF67" s="600">
        <v>70</v>
      </c>
      <c r="AG67" s="600">
        <v>70</v>
      </c>
      <c r="AH67" s="600">
        <v>70</v>
      </c>
      <c r="AI67" s="600">
        <v>70</v>
      </c>
      <c r="AJ67" s="600">
        <v>70</v>
      </c>
      <c r="AK67" s="600">
        <v>70</v>
      </c>
      <c r="AL67" s="600">
        <v>70</v>
      </c>
      <c r="AM67" s="602" t="s">
        <v>468</v>
      </c>
      <c r="AN67" s="634"/>
    </row>
    <row r="68" spans="1:40" x14ac:dyDescent="0.25">
      <c r="A68" s="1688"/>
      <c r="B68" s="1303">
        <f t="shared" si="3"/>
        <v>1723</v>
      </c>
      <c r="C68" s="1430">
        <f>B68-B67</f>
        <v>-307</v>
      </c>
      <c r="D68" s="1705"/>
      <c r="E68" s="1688"/>
      <c r="F68" s="1379" t="s">
        <v>342</v>
      </c>
      <c r="G68" s="1303">
        <f t="shared" si="47"/>
        <v>1723</v>
      </c>
      <c r="H68" s="1380">
        <f t="shared" ref="H68" si="50">IFERROR((G68-G67)/G67,0)</f>
        <v>-0.15123152709359605</v>
      </c>
      <c r="I68" s="1433">
        <v>20</v>
      </c>
      <c r="J68" s="1434">
        <v>68</v>
      </c>
      <c r="K68" s="1434"/>
      <c r="L68" s="1434">
        <v>4</v>
      </c>
      <c r="M68" s="1434">
        <v>62</v>
      </c>
      <c r="N68" s="1434"/>
      <c r="O68" s="1434">
        <v>45</v>
      </c>
      <c r="P68" s="1435">
        <v>106</v>
      </c>
      <c r="Q68" s="1435">
        <v>85</v>
      </c>
      <c r="R68" s="1435">
        <v>120</v>
      </c>
      <c r="S68" s="1435">
        <v>93</v>
      </c>
      <c r="T68" s="1434">
        <v>64</v>
      </c>
      <c r="U68" s="1435">
        <v>73</v>
      </c>
      <c r="V68" s="1435">
        <v>84</v>
      </c>
      <c r="W68" s="1435">
        <v>83</v>
      </c>
      <c r="X68" s="1435">
        <v>72</v>
      </c>
      <c r="Y68" s="1434">
        <v>54</v>
      </c>
      <c r="Z68" s="1434"/>
      <c r="AA68" s="1434">
        <v>43</v>
      </c>
      <c r="AB68" s="1434">
        <v>46</v>
      </c>
      <c r="AC68" s="1435">
        <v>24</v>
      </c>
      <c r="AD68" s="1434">
        <v>46</v>
      </c>
      <c r="AE68" s="1435">
        <v>96</v>
      </c>
      <c r="AF68" s="1435">
        <v>93</v>
      </c>
      <c r="AG68" s="1434">
        <v>45</v>
      </c>
      <c r="AH68" s="1434"/>
      <c r="AI68" s="1434">
        <v>47</v>
      </c>
      <c r="AJ68" s="1435">
        <v>78</v>
      </c>
      <c r="AK68" s="1435">
        <v>80</v>
      </c>
      <c r="AL68" s="1435">
        <v>92</v>
      </c>
      <c r="AM68" s="1436"/>
      <c r="AN68" s="604"/>
    </row>
    <row r="69" spans="1:40" x14ac:dyDescent="0.25">
      <c r="A69" s="1688"/>
      <c r="B69" s="1382"/>
      <c r="C69" s="1383"/>
      <c r="D69" s="1705"/>
      <c r="E69" s="1688"/>
      <c r="F69" s="1389" t="s">
        <v>312</v>
      </c>
      <c r="G69" s="1382"/>
      <c r="H69" s="1383"/>
      <c r="I69" s="605"/>
      <c r="J69" s="605"/>
      <c r="K69" s="605"/>
      <c r="L69" s="605"/>
      <c r="M69" s="605"/>
      <c r="N69" s="605"/>
      <c r="O69" s="605"/>
      <c r="P69" s="605"/>
      <c r="Q69" s="606"/>
      <c r="R69" s="605"/>
      <c r="S69" s="605"/>
      <c r="T69" s="605"/>
      <c r="U69" s="605"/>
      <c r="V69" s="605"/>
      <c r="W69" s="605"/>
      <c r="X69" s="605"/>
      <c r="Y69" s="605"/>
      <c r="Z69" s="605"/>
      <c r="AA69" s="605"/>
      <c r="AB69" s="605"/>
      <c r="AC69" s="605"/>
      <c r="AD69" s="605"/>
      <c r="AE69" s="605"/>
      <c r="AF69" s="605"/>
      <c r="AG69" s="605"/>
      <c r="AH69" s="605"/>
      <c r="AI69" s="605"/>
      <c r="AJ69" s="605"/>
      <c r="AK69" s="605"/>
      <c r="AL69" s="605"/>
      <c r="AM69" s="607"/>
      <c r="AN69" s="604"/>
    </row>
    <row r="70" spans="1:40" x14ac:dyDescent="0.25">
      <c r="A70" s="1685" t="s">
        <v>343</v>
      </c>
      <c r="B70" s="1310">
        <f t="shared" si="13"/>
        <v>3.8900000000000019</v>
      </c>
      <c r="C70" s="1385"/>
      <c r="D70" s="1705"/>
      <c r="E70" s="1685" t="s">
        <v>343</v>
      </c>
      <c r="F70" s="1384" t="s">
        <v>344</v>
      </c>
      <c r="G70" s="1310">
        <f t="shared" ref="G70:G71" si="51">IFERROR(G72*1000/G67,0)</f>
        <v>4.2857142857142856</v>
      </c>
      <c r="H70" s="1385"/>
      <c r="I70" s="1445">
        <v>3.89</v>
      </c>
      <c r="J70" s="1445">
        <v>3.89</v>
      </c>
      <c r="K70" s="1445">
        <v>3.89</v>
      </c>
      <c r="L70" s="1437">
        <v>3.89</v>
      </c>
      <c r="M70" s="1437">
        <v>3.89</v>
      </c>
      <c r="N70" s="1437">
        <v>3.89</v>
      </c>
      <c r="O70" s="1437">
        <v>3.89</v>
      </c>
      <c r="P70" s="1437">
        <v>3.89</v>
      </c>
      <c r="Q70" s="1438">
        <v>3.89</v>
      </c>
      <c r="R70" s="1437">
        <v>3.89</v>
      </c>
      <c r="S70" s="1437">
        <v>3.89</v>
      </c>
      <c r="T70" s="1437">
        <v>3.89</v>
      </c>
      <c r="U70" s="1437">
        <v>3.89</v>
      </c>
      <c r="V70" s="1437">
        <v>3.89</v>
      </c>
      <c r="W70" s="1437">
        <v>3.89</v>
      </c>
      <c r="X70" s="1437">
        <v>3.89</v>
      </c>
      <c r="Y70" s="1437">
        <v>3.89</v>
      </c>
      <c r="Z70" s="1437">
        <v>3.89</v>
      </c>
      <c r="AA70" s="1437">
        <v>3.89</v>
      </c>
      <c r="AB70" s="1437">
        <v>3.89</v>
      </c>
      <c r="AC70" s="1437" t="s">
        <v>468</v>
      </c>
      <c r="AD70" s="1437">
        <v>3.89</v>
      </c>
      <c r="AE70" s="1437">
        <v>3.89</v>
      </c>
      <c r="AF70" s="1437">
        <v>3.89</v>
      </c>
      <c r="AG70" s="1437">
        <v>3.89</v>
      </c>
      <c r="AH70" s="1437">
        <v>3.89</v>
      </c>
      <c r="AI70" s="1437">
        <v>3.89</v>
      </c>
      <c r="AJ70" s="1437">
        <v>3.89</v>
      </c>
      <c r="AK70" s="1437">
        <v>3.89</v>
      </c>
      <c r="AL70" s="1437">
        <v>3.89</v>
      </c>
      <c r="AM70" s="1439" t="s">
        <v>468</v>
      </c>
      <c r="AN70" s="604"/>
    </row>
    <row r="71" spans="1:40" x14ac:dyDescent="0.25">
      <c r="A71" s="1707"/>
      <c r="B71" s="1314">
        <f t="shared" ref="B71" si="52">B70*(G71/B70)</f>
        <v>3.1921067904817186</v>
      </c>
      <c r="C71" s="1431">
        <f>B71-B70</f>
        <v>-0.69789320951828326</v>
      </c>
      <c r="D71" s="1705"/>
      <c r="E71" s="1707"/>
      <c r="F71" s="1386" t="s">
        <v>345</v>
      </c>
      <c r="G71" s="1314">
        <f t="shared" si="51"/>
        <v>3.1921067904817186</v>
      </c>
      <c r="H71" s="1380">
        <f t="shared" ref="H71" si="53">IFERROR((G71-G70)/G70,0)</f>
        <v>-0.25517508222093227</v>
      </c>
      <c r="I71" s="1440">
        <v>1.32</v>
      </c>
      <c r="J71" s="1442">
        <v>5.56</v>
      </c>
      <c r="K71" s="1444">
        <v>3</v>
      </c>
      <c r="L71" s="1444">
        <v>2.96</v>
      </c>
      <c r="M71" s="1444">
        <v>2.91</v>
      </c>
      <c r="N71" s="1434"/>
      <c r="O71" s="1444">
        <v>2.56</v>
      </c>
      <c r="P71" s="1444">
        <v>2.13</v>
      </c>
      <c r="Q71" s="1441">
        <v>1.82</v>
      </c>
      <c r="R71" s="1444">
        <v>3.53</v>
      </c>
      <c r="S71" s="1444">
        <v>2.11</v>
      </c>
      <c r="T71" s="1444">
        <v>2.54</v>
      </c>
      <c r="U71" s="1444">
        <v>2.95</v>
      </c>
      <c r="V71" s="1442">
        <v>4.97</v>
      </c>
      <c r="W71" s="1444">
        <v>2.77</v>
      </c>
      <c r="X71" s="1444">
        <v>3.36</v>
      </c>
      <c r="Y71" s="1442">
        <v>7</v>
      </c>
      <c r="Z71" s="1434"/>
      <c r="AA71" s="1444">
        <v>2</v>
      </c>
      <c r="AB71" s="1444">
        <v>3.22</v>
      </c>
      <c r="AC71" s="1442">
        <v>3.13</v>
      </c>
      <c r="AD71" s="1443">
        <v>1.02</v>
      </c>
      <c r="AE71" s="1441">
        <v>1.6</v>
      </c>
      <c r="AF71" s="1442">
        <v>7</v>
      </c>
      <c r="AG71" s="1444">
        <v>3.17</v>
      </c>
      <c r="AH71" s="1434"/>
      <c r="AI71" s="1444">
        <v>2.2000000000000002</v>
      </c>
      <c r="AJ71" s="1444">
        <v>3.02</v>
      </c>
      <c r="AK71" s="1442">
        <v>5.22</v>
      </c>
      <c r="AL71" s="1444">
        <v>2.17</v>
      </c>
      <c r="AM71" s="1436"/>
      <c r="AN71" s="604"/>
    </row>
    <row r="72" spans="1:40" x14ac:dyDescent="0.25">
      <c r="A72" s="1685" t="s">
        <v>47</v>
      </c>
      <c r="B72" s="206">
        <f t="shared" si="18"/>
        <v>7.8967000000000036</v>
      </c>
      <c r="C72" s="1385"/>
      <c r="D72" s="1705"/>
      <c r="E72" s="1685" t="s">
        <v>47</v>
      </c>
      <c r="F72" s="1384" t="s">
        <v>346</v>
      </c>
      <c r="G72" s="206">
        <f t="shared" ref="G72:G75" si="54">SUMIF($I$9:$AM$9,"&lt;="&amp;$D$7,I72:AM72)</f>
        <v>8.6999999999999993</v>
      </c>
      <c r="H72" s="1385"/>
      <c r="I72" s="1445">
        <v>0.3</v>
      </c>
      <c r="J72" s="1445">
        <v>0.3</v>
      </c>
      <c r="K72" s="1445">
        <v>0.3</v>
      </c>
      <c r="L72" s="1445">
        <v>0.3</v>
      </c>
      <c r="M72" s="1445">
        <v>0.3</v>
      </c>
      <c r="N72" s="1445">
        <v>0.3</v>
      </c>
      <c r="O72" s="1445">
        <v>0.3</v>
      </c>
      <c r="P72" s="1445">
        <v>0.3</v>
      </c>
      <c r="Q72" s="1445">
        <v>0.3</v>
      </c>
      <c r="R72" s="1445">
        <v>0.3</v>
      </c>
      <c r="S72" s="1445">
        <v>0.3</v>
      </c>
      <c r="T72" s="1445">
        <v>0.3</v>
      </c>
      <c r="U72" s="1445">
        <v>0.3</v>
      </c>
      <c r="V72" s="1445">
        <v>0.3</v>
      </c>
      <c r="W72" s="1445">
        <v>0.3</v>
      </c>
      <c r="X72" s="1445">
        <v>0.3</v>
      </c>
      <c r="Y72" s="1445">
        <v>0.3</v>
      </c>
      <c r="Z72" s="1445">
        <v>0.3</v>
      </c>
      <c r="AA72" s="1445">
        <v>0.3</v>
      </c>
      <c r="AB72" s="1445">
        <v>0.3</v>
      </c>
      <c r="AC72" s="1445" t="s">
        <v>468</v>
      </c>
      <c r="AD72" s="1445">
        <v>0.3</v>
      </c>
      <c r="AE72" s="1445">
        <v>0.3</v>
      </c>
      <c r="AF72" s="1445">
        <v>0.3</v>
      </c>
      <c r="AG72" s="1445">
        <v>0.3</v>
      </c>
      <c r="AH72" s="1445">
        <v>0.3</v>
      </c>
      <c r="AI72" s="1445">
        <v>0.3</v>
      </c>
      <c r="AJ72" s="1445">
        <v>0.3</v>
      </c>
      <c r="AK72" s="1445">
        <v>0.3</v>
      </c>
      <c r="AL72" s="1445">
        <v>0.3</v>
      </c>
      <c r="AM72" s="1445" t="s">
        <v>468</v>
      </c>
      <c r="AN72" s="604"/>
    </row>
    <row r="73" spans="1:40" ht="15.75" thickBot="1" x14ac:dyDescent="0.3">
      <c r="A73" s="1708"/>
      <c r="B73" s="1321">
        <f t="shared" si="18"/>
        <v>5.5000000000000009</v>
      </c>
      <c r="C73" s="1432">
        <f>B73-B72</f>
        <v>-2.3967000000000027</v>
      </c>
      <c r="D73" s="1706"/>
      <c r="E73" s="1708"/>
      <c r="F73" s="1387" t="s">
        <v>347</v>
      </c>
      <c r="G73" s="1321">
        <f t="shared" si="54"/>
        <v>5.5000000000000009</v>
      </c>
      <c r="H73" s="1388">
        <f t="shared" ref="H73" si="55">IFERROR((G73-G72)/G72,0)</f>
        <v>-0.36781609195402282</v>
      </c>
      <c r="I73" s="1447">
        <v>0</v>
      </c>
      <c r="J73" s="1446">
        <v>0.4</v>
      </c>
      <c r="K73" s="1447" t="s">
        <v>468</v>
      </c>
      <c r="L73" s="1447">
        <v>0</v>
      </c>
      <c r="M73" s="1447">
        <v>0.2</v>
      </c>
      <c r="N73" s="1447" t="s">
        <v>468</v>
      </c>
      <c r="O73" s="1447">
        <v>0.1</v>
      </c>
      <c r="P73" s="1447">
        <v>0.2</v>
      </c>
      <c r="Q73" s="1447">
        <v>0.2</v>
      </c>
      <c r="R73" s="1446">
        <v>0.4</v>
      </c>
      <c r="S73" s="1447">
        <v>0.2</v>
      </c>
      <c r="T73" s="1447">
        <v>0.2</v>
      </c>
      <c r="U73" s="1447">
        <v>0.2</v>
      </c>
      <c r="V73" s="1446">
        <v>0.4</v>
      </c>
      <c r="W73" s="1447">
        <v>0.2</v>
      </c>
      <c r="X73" s="1447">
        <v>0.2</v>
      </c>
      <c r="Y73" s="1446">
        <v>0.4</v>
      </c>
      <c r="Z73" s="1447" t="s">
        <v>468</v>
      </c>
      <c r="AA73" s="1447">
        <v>0.1</v>
      </c>
      <c r="AB73" s="1447">
        <v>0.1</v>
      </c>
      <c r="AC73" s="1446">
        <v>0.1</v>
      </c>
      <c r="AD73" s="1447">
        <v>0</v>
      </c>
      <c r="AE73" s="1447">
        <v>0.2</v>
      </c>
      <c r="AF73" s="1446">
        <v>0.7</v>
      </c>
      <c r="AG73" s="1447">
        <v>0.1</v>
      </c>
      <c r="AH73" s="1447" t="s">
        <v>468</v>
      </c>
      <c r="AI73" s="1447">
        <v>0.1</v>
      </c>
      <c r="AJ73" s="1447">
        <v>0.2</v>
      </c>
      <c r="AK73" s="1446">
        <v>0.4</v>
      </c>
      <c r="AL73" s="1447">
        <v>0.2</v>
      </c>
      <c r="AM73" s="1448" t="s">
        <v>468</v>
      </c>
      <c r="AN73" s="610"/>
    </row>
    <row r="74" spans="1:40" ht="14.25" customHeight="1" x14ac:dyDescent="0.25">
      <c r="A74" s="1684" t="s">
        <v>340</v>
      </c>
      <c r="B74" s="196">
        <f t="shared" ref="B74" si="56">SUM(I74:AL74)</f>
        <v>1960</v>
      </c>
      <c r="C74" s="197"/>
      <c r="D74" s="1704" t="s">
        <v>475</v>
      </c>
      <c r="E74" s="1684" t="s">
        <v>340</v>
      </c>
      <c r="F74" s="195" t="s">
        <v>341</v>
      </c>
      <c r="G74" s="196">
        <f t="shared" si="54"/>
        <v>1960</v>
      </c>
      <c r="H74" s="197"/>
      <c r="I74" s="599">
        <v>70</v>
      </c>
      <c r="J74" s="599">
        <v>70</v>
      </c>
      <c r="K74" s="599">
        <v>70</v>
      </c>
      <c r="L74" s="600">
        <v>70</v>
      </c>
      <c r="M74" s="600">
        <v>70</v>
      </c>
      <c r="N74" s="600">
        <v>70</v>
      </c>
      <c r="O74" s="600">
        <v>70</v>
      </c>
      <c r="P74" s="600">
        <v>70</v>
      </c>
      <c r="Q74" s="601">
        <v>70</v>
      </c>
      <c r="R74" s="600">
        <v>70</v>
      </c>
      <c r="S74" s="600">
        <v>70</v>
      </c>
      <c r="T74" s="600">
        <v>70</v>
      </c>
      <c r="U74" s="600">
        <v>70</v>
      </c>
      <c r="V74" s="600">
        <v>70</v>
      </c>
      <c r="W74" s="600">
        <v>70</v>
      </c>
      <c r="X74" s="600">
        <v>70</v>
      </c>
      <c r="Y74" s="600">
        <v>70</v>
      </c>
      <c r="Z74" s="600">
        <v>70</v>
      </c>
      <c r="AA74" s="600">
        <v>70</v>
      </c>
      <c r="AB74" s="600" t="s">
        <v>468</v>
      </c>
      <c r="AC74" s="600" t="s">
        <v>468</v>
      </c>
      <c r="AD74" s="600">
        <v>70</v>
      </c>
      <c r="AE74" s="600">
        <v>70</v>
      </c>
      <c r="AF74" s="600">
        <v>70</v>
      </c>
      <c r="AG74" s="600">
        <v>70</v>
      </c>
      <c r="AH74" s="600">
        <v>70</v>
      </c>
      <c r="AI74" s="600">
        <v>70</v>
      </c>
      <c r="AJ74" s="600">
        <v>70</v>
      </c>
      <c r="AK74" s="600">
        <v>70</v>
      </c>
      <c r="AL74" s="600">
        <v>70</v>
      </c>
      <c r="AM74" s="602" t="s">
        <v>468</v>
      </c>
      <c r="AN74" s="634"/>
    </row>
    <row r="75" spans="1:40" x14ac:dyDescent="0.25">
      <c r="A75" s="1688"/>
      <c r="B75" s="1303">
        <f t="shared" si="3"/>
        <v>2443</v>
      </c>
      <c r="C75" s="1430">
        <f>B75-B74</f>
        <v>483</v>
      </c>
      <c r="D75" s="1705"/>
      <c r="E75" s="1688"/>
      <c r="F75" s="1379" t="s">
        <v>342</v>
      </c>
      <c r="G75" s="1303">
        <f t="shared" si="54"/>
        <v>2443</v>
      </c>
      <c r="H75" s="1380">
        <f t="shared" ref="H75" si="57">IFERROR((G75-G74)/G74,0)</f>
        <v>0.24642857142857144</v>
      </c>
      <c r="I75" s="1433"/>
      <c r="J75" s="1434">
        <v>57</v>
      </c>
      <c r="K75" s="1434"/>
      <c r="L75" s="1434">
        <v>16</v>
      </c>
      <c r="M75" s="1435">
        <v>90</v>
      </c>
      <c r="N75" s="1434">
        <v>34</v>
      </c>
      <c r="O75" s="1435">
        <v>75</v>
      </c>
      <c r="P75" s="1434">
        <v>60</v>
      </c>
      <c r="Q75" s="1435">
        <v>76</v>
      </c>
      <c r="R75" s="1435">
        <v>86</v>
      </c>
      <c r="S75" s="1435">
        <v>102</v>
      </c>
      <c r="T75" s="1435">
        <v>74</v>
      </c>
      <c r="U75" s="1435">
        <v>122</v>
      </c>
      <c r="V75" s="1435">
        <v>70</v>
      </c>
      <c r="W75" s="1435">
        <v>86</v>
      </c>
      <c r="X75" s="1435">
        <v>100</v>
      </c>
      <c r="Y75" s="1435">
        <v>136</v>
      </c>
      <c r="Z75" s="1435">
        <v>132</v>
      </c>
      <c r="AA75" s="1435">
        <v>171</v>
      </c>
      <c r="AB75" s="1435">
        <v>128</v>
      </c>
      <c r="AC75" s="1435">
        <v>89</v>
      </c>
      <c r="AD75" s="1435">
        <v>86</v>
      </c>
      <c r="AE75" s="1435">
        <v>108</v>
      </c>
      <c r="AF75" s="1435">
        <v>101</v>
      </c>
      <c r="AG75" s="1435">
        <v>81</v>
      </c>
      <c r="AH75" s="1434">
        <v>40</v>
      </c>
      <c r="AI75" s="1435">
        <v>129</v>
      </c>
      <c r="AJ75" s="1435">
        <v>88</v>
      </c>
      <c r="AK75" s="1434">
        <v>30</v>
      </c>
      <c r="AL75" s="1435">
        <v>76</v>
      </c>
      <c r="AM75" s="1436"/>
      <c r="AN75" s="604"/>
    </row>
    <row r="76" spans="1:40" x14ac:dyDescent="0.25">
      <c r="A76" s="1688"/>
      <c r="B76" s="1382"/>
      <c r="C76" s="1383"/>
      <c r="D76" s="1705"/>
      <c r="E76" s="1688"/>
      <c r="F76" s="1389" t="s">
        <v>312</v>
      </c>
      <c r="G76" s="1382"/>
      <c r="H76" s="1383"/>
      <c r="I76" s="605"/>
      <c r="J76" s="605"/>
      <c r="K76" s="605"/>
      <c r="L76" s="605"/>
      <c r="M76" s="605"/>
      <c r="N76" s="605"/>
      <c r="O76" s="605"/>
      <c r="P76" s="605"/>
      <c r="Q76" s="606"/>
      <c r="R76" s="605"/>
      <c r="S76" s="605"/>
      <c r="T76" s="605"/>
      <c r="U76" s="605"/>
      <c r="V76" s="605"/>
      <c r="W76" s="605"/>
      <c r="X76" s="605"/>
      <c r="Y76" s="605"/>
      <c r="Z76" s="605"/>
      <c r="AA76" s="605"/>
      <c r="AB76" s="605"/>
      <c r="AC76" s="605"/>
      <c r="AD76" s="605"/>
      <c r="AE76" s="605"/>
      <c r="AF76" s="605"/>
      <c r="AG76" s="605"/>
      <c r="AH76" s="605"/>
      <c r="AI76" s="605"/>
      <c r="AJ76" s="605"/>
      <c r="AK76" s="605"/>
      <c r="AL76" s="605"/>
      <c r="AM76" s="607"/>
      <c r="AN76" s="604"/>
    </row>
    <row r="77" spans="1:40" x14ac:dyDescent="0.25">
      <c r="A77" s="1685" t="s">
        <v>343</v>
      </c>
      <c r="B77" s="1310">
        <f t="shared" si="13"/>
        <v>3.8900000000000015</v>
      </c>
      <c r="C77" s="1385"/>
      <c r="D77" s="1705"/>
      <c r="E77" s="1685" t="s">
        <v>343</v>
      </c>
      <c r="F77" s="1384" t="s">
        <v>344</v>
      </c>
      <c r="G77" s="1310">
        <f t="shared" ref="G77:G78" si="58">IFERROR(G79*1000/G74,0)</f>
        <v>4.2857142857142847</v>
      </c>
      <c r="H77" s="1385"/>
      <c r="I77" s="1445">
        <v>3.89</v>
      </c>
      <c r="J77" s="1445">
        <v>3.89</v>
      </c>
      <c r="K77" s="1445">
        <v>3.89</v>
      </c>
      <c r="L77" s="1437">
        <v>3.89</v>
      </c>
      <c r="M77" s="1437">
        <v>3.89</v>
      </c>
      <c r="N77" s="1437">
        <v>3.89</v>
      </c>
      <c r="O77" s="1437">
        <v>3.89</v>
      </c>
      <c r="P77" s="1437">
        <v>3.89</v>
      </c>
      <c r="Q77" s="1438">
        <v>3.89</v>
      </c>
      <c r="R77" s="1437">
        <v>3.89</v>
      </c>
      <c r="S77" s="1437">
        <v>3.89</v>
      </c>
      <c r="T77" s="1437">
        <v>3.89</v>
      </c>
      <c r="U77" s="1437">
        <v>3.89</v>
      </c>
      <c r="V77" s="1437">
        <v>3.89</v>
      </c>
      <c r="W77" s="1437">
        <v>3.89</v>
      </c>
      <c r="X77" s="1437">
        <v>3.89</v>
      </c>
      <c r="Y77" s="1437">
        <v>3.89</v>
      </c>
      <c r="Z77" s="1437">
        <v>3.89</v>
      </c>
      <c r="AA77" s="1437">
        <v>3.89</v>
      </c>
      <c r="AB77" s="1437"/>
      <c r="AC77" s="1437" t="s">
        <v>468</v>
      </c>
      <c r="AD77" s="1437">
        <v>3.89</v>
      </c>
      <c r="AE77" s="1437">
        <v>3.89</v>
      </c>
      <c r="AF77" s="1437">
        <v>3.89</v>
      </c>
      <c r="AG77" s="1437">
        <v>3.89</v>
      </c>
      <c r="AH77" s="1437">
        <v>3.89</v>
      </c>
      <c r="AI77" s="1437">
        <v>3.89</v>
      </c>
      <c r="AJ77" s="1437">
        <v>3.89</v>
      </c>
      <c r="AK77" s="1437">
        <v>3.89</v>
      </c>
      <c r="AL77" s="1437">
        <v>3.89</v>
      </c>
      <c r="AM77" s="1439" t="s">
        <v>468</v>
      </c>
      <c r="AN77" s="604"/>
    </row>
    <row r="78" spans="1:40" x14ac:dyDescent="0.25">
      <c r="A78" s="1707"/>
      <c r="B78" s="1314">
        <f t="shared" ref="B78" si="59">B77*(G78/B77)</f>
        <v>1.7601309864920185</v>
      </c>
      <c r="C78" s="1431">
        <f>B78-B77</f>
        <v>-2.129869013507983</v>
      </c>
      <c r="D78" s="1705"/>
      <c r="E78" s="1707"/>
      <c r="F78" s="1386" t="s">
        <v>345</v>
      </c>
      <c r="G78" s="1314">
        <f t="shared" si="58"/>
        <v>1.7601309864920185</v>
      </c>
      <c r="H78" s="1380">
        <f t="shared" ref="H78" si="60">IFERROR((G78-G77)/G77,0)</f>
        <v>-0.58930276981852892</v>
      </c>
      <c r="I78" s="1433"/>
      <c r="J78" s="1441">
        <v>1.88</v>
      </c>
      <c r="K78" s="1434"/>
      <c r="L78" s="1441">
        <v>1.88</v>
      </c>
      <c r="M78" s="1444">
        <v>2.71</v>
      </c>
      <c r="N78" s="1444">
        <v>2.02</v>
      </c>
      <c r="O78" s="1444">
        <v>2.94</v>
      </c>
      <c r="P78" s="1443">
        <v>1.49</v>
      </c>
      <c r="Q78" s="1443">
        <v>1.21</v>
      </c>
      <c r="R78" s="1441">
        <v>1.65</v>
      </c>
      <c r="S78" s="1441">
        <v>1.68</v>
      </c>
      <c r="T78" s="1444">
        <v>3.13</v>
      </c>
      <c r="U78" s="1441">
        <v>1.84</v>
      </c>
      <c r="V78" s="1443">
        <v>1.02</v>
      </c>
      <c r="W78" s="1441">
        <v>1.72</v>
      </c>
      <c r="X78" s="1444">
        <v>3.51</v>
      </c>
      <c r="Y78" s="1434"/>
      <c r="Z78" s="1443">
        <v>1.5</v>
      </c>
      <c r="AA78" s="1441">
        <v>1.81</v>
      </c>
      <c r="AB78" s="1453">
        <v>1.28</v>
      </c>
      <c r="AC78" s="1442">
        <v>2.75</v>
      </c>
      <c r="AD78" s="1441">
        <v>1.88</v>
      </c>
      <c r="AE78" s="1444">
        <v>2.23</v>
      </c>
      <c r="AF78" s="1443">
        <v>1.29</v>
      </c>
      <c r="AG78" s="1443">
        <v>0.71</v>
      </c>
      <c r="AH78" s="1444">
        <v>2.5</v>
      </c>
      <c r="AI78" s="1444">
        <v>3.09</v>
      </c>
      <c r="AJ78" s="1443">
        <v>1.27</v>
      </c>
      <c r="AK78" s="1443">
        <v>0.72</v>
      </c>
      <c r="AL78" s="1444">
        <v>2.2999999999999998</v>
      </c>
      <c r="AM78" s="1436"/>
      <c r="AN78" s="604"/>
    </row>
    <row r="79" spans="1:40" x14ac:dyDescent="0.25">
      <c r="A79" s="1685" t="s">
        <v>47</v>
      </c>
      <c r="B79" s="206">
        <f t="shared" si="18"/>
        <v>7.6244000000000032</v>
      </c>
      <c r="C79" s="1385"/>
      <c r="D79" s="1705"/>
      <c r="E79" s="1685" t="s">
        <v>47</v>
      </c>
      <c r="F79" s="1384" t="s">
        <v>346</v>
      </c>
      <c r="G79" s="206">
        <f t="shared" ref="G79:G82" si="61">SUMIF($I$9:$AM$9,"&lt;="&amp;$D$7,I79:AM79)</f>
        <v>8.3999999999999986</v>
      </c>
      <c r="H79" s="1385"/>
      <c r="I79" s="1445">
        <v>0.3</v>
      </c>
      <c r="J79" s="1445">
        <v>0.3</v>
      </c>
      <c r="K79" s="1445">
        <v>0.3</v>
      </c>
      <c r="L79" s="1445">
        <v>0.3</v>
      </c>
      <c r="M79" s="1445">
        <v>0.3</v>
      </c>
      <c r="N79" s="1445">
        <v>0.3</v>
      </c>
      <c r="O79" s="1445">
        <v>0.3</v>
      </c>
      <c r="P79" s="1445">
        <v>0.3</v>
      </c>
      <c r="Q79" s="1445">
        <v>0.3</v>
      </c>
      <c r="R79" s="1445">
        <v>0.3</v>
      </c>
      <c r="S79" s="1445">
        <v>0.3</v>
      </c>
      <c r="T79" s="1445">
        <v>0.3</v>
      </c>
      <c r="U79" s="1445">
        <v>0.3</v>
      </c>
      <c r="V79" s="1445">
        <v>0.3</v>
      </c>
      <c r="W79" s="1445">
        <v>0.3</v>
      </c>
      <c r="X79" s="1445">
        <v>0.3</v>
      </c>
      <c r="Y79" s="1445">
        <v>0.3</v>
      </c>
      <c r="Z79" s="1445">
        <v>0.3</v>
      </c>
      <c r="AA79" s="1445">
        <v>0.3</v>
      </c>
      <c r="AB79" s="1445" t="s">
        <v>468</v>
      </c>
      <c r="AC79" s="1445" t="s">
        <v>468</v>
      </c>
      <c r="AD79" s="1445">
        <v>0.3</v>
      </c>
      <c r="AE79" s="1445">
        <v>0.3</v>
      </c>
      <c r="AF79" s="1445">
        <v>0.3</v>
      </c>
      <c r="AG79" s="1445">
        <v>0.3</v>
      </c>
      <c r="AH79" s="1445">
        <v>0.3</v>
      </c>
      <c r="AI79" s="1445">
        <v>0.3</v>
      </c>
      <c r="AJ79" s="1445">
        <v>0.3</v>
      </c>
      <c r="AK79" s="1445">
        <v>0.3</v>
      </c>
      <c r="AL79" s="1445">
        <v>0.3</v>
      </c>
      <c r="AM79" s="1445" t="s">
        <v>468</v>
      </c>
      <c r="AN79" s="604"/>
    </row>
    <row r="80" spans="1:40" ht="15.75" thickBot="1" x14ac:dyDescent="0.3">
      <c r="A80" s="1708"/>
      <c r="B80" s="1321">
        <f t="shared" si="18"/>
        <v>4.3000000000000007</v>
      </c>
      <c r="C80" s="1432">
        <f>B80-B79</f>
        <v>-3.3244000000000025</v>
      </c>
      <c r="D80" s="1706"/>
      <c r="E80" s="1708"/>
      <c r="F80" s="1387" t="s">
        <v>347</v>
      </c>
      <c r="G80" s="1321">
        <f t="shared" si="61"/>
        <v>4.3000000000000007</v>
      </c>
      <c r="H80" s="1388">
        <f t="shared" ref="H80" si="62">IFERROR((G80-G79)/G79,0)</f>
        <v>-0.48809523809523792</v>
      </c>
      <c r="I80" s="1447" t="s">
        <v>468</v>
      </c>
      <c r="J80" s="1447">
        <v>0.1</v>
      </c>
      <c r="K80" s="1447" t="s">
        <v>468</v>
      </c>
      <c r="L80" s="1447">
        <v>0</v>
      </c>
      <c r="M80" s="1447">
        <v>0.2</v>
      </c>
      <c r="N80" s="1447"/>
      <c r="O80" s="1447">
        <v>0.2</v>
      </c>
      <c r="P80" s="1447">
        <v>0.1</v>
      </c>
      <c r="Q80" s="1447">
        <v>0.1</v>
      </c>
      <c r="R80" s="1447">
        <v>0.1</v>
      </c>
      <c r="S80" s="1447">
        <v>0.2</v>
      </c>
      <c r="T80" s="1447">
        <v>0.2</v>
      </c>
      <c r="U80" s="1447">
        <v>0.2</v>
      </c>
      <c r="V80" s="1447">
        <v>0.1</v>
      </c>
      <c r="W80" s="1447">
        <v>0.1</v>
      </c>
      <c r="X80" s="1446">
        <v>0.4</v>
      </c>
      <c r="Y80" s="1447" t="s">
        <v>468</v>
      </c>
      <c r="Z80" s="1447">
        <v>0.2</v>
      </c>
      <c r="AA80" s="1446">
        <v>0.3</v>
      </c>
      <c r="AB80" s="1446">
        <v>0.2</v>
      </c>
      <c r="AC80" s="1446">
        <v>0.2</v>
      </c>
      <c r="AD80" s="1447">
        <v>0.2</v>
      </c>
      <c r="AE80" s="1447">
        <v>0.2</v>
      </c>
      <c r="AF80" s="1447">
        <v>0.1</v>
      </c>
      <c r="AG80" s="1447">
        <v>0.1</v>
      </c>
      <c r="AH80" s="1447">
        <v>0.1</v>
      </c>
      <c r="AI80" s="1446">
        <v>0.4</v>
      </c>
      <c r="AJ80" s="1447">
        <v>0.1</v>
      </c>
      <c r="AK80" s="1447">
        <v>0</v>
      </c>
      <c r="AL80" s="1447">
        <v>0.2</v>
      </c>
      <c r="AM80" s="1448" t="s">
        <v>468</v>
      </c>
      <c r="AN80" s="610"/>
    </row>
    <row r="81" spans="1:40" ht="14.25" customHeight="1" x14ac:dyDescent="0.25">
      <c r="A81" s="1684" t="s">
        <v>340</v>
      </c>
      <c r="B81" s="196">
        <f t="shared" ref="B81" si="63">SUM(I81:AL81)</f>
        <v>1960</v>
      </c>
      <c r="C81" s="197"/>
      <c r="D81" s="1704" t="s">
        <v>476</v>
      </c>
      <c r="E81" s="1684" t="s">
        <v>340</v>
      </c>
      <c r="F81" s="195" t="s">
        <v>341</v>
      </c>
      <c r="G81" s="196">
        <f t="shared" si="61"/>
        <v>1960</v>
      </c>
      <c r="H81" s="197"/>
      <c r="I81" s="599">
        <v>70</v>
      </c>
      <c r="J81" s="599">
        <v>70</v>
      </c>
      <c r="K81" s="599">
        <v>70</v>
      </c>
      <c r="L81" s="599">
        <v>70</v>
      </c>
      <c r="M81" s="599">
        <v>70</v>
      </c>
      <c r="N81" s="599">
        <v>70</v>
      </c>
      <c r="O81" s="599">
        <v>70</v>
      </c>
      <c r="P81" s="599">
        <v>70</v>
      </c>
      <c r="Q81" s="599">
        <v>70</v>
      </c>
      <c r="R81" s="599">
        <v>70</v>
      </c>
      <c r="S81" s="599">
        <v>70</v>
      </c>
      <c r="T81" s="599">
        <v>70</v>
      </c>
      <c r="U81" s="599">
        <v>70</v>
      </c>
      <c r="V81" s="599">
        <v>70</v>
      </c>
      <c r="W81" s="599">
        <v>70</v>
      </c>
      <c r="X81" s="599">
        <v>70</v>
      </c>
      <c r="Y81" s="599">
        <v>70</v>
      </c>
      <c r="Z81" s="599">
        <v>70</v>
      </c>
      <c r="AA81" s="599">
        <v>70</v>
      </c>
      <c r="AB81" s="599" t="s">
        <v>468</v>
      </c>
      <c r="AC81" s="599" t="s">
        <v>468</v>
      </c>
      <c r="AD81" s="599">
        <v>70</v>
      </c>
      <c r="AE81" s="599">
        <v>70</v>
      </c>
      <c r="AF81" s="599">
        <v>70</v>
      </c>
      <c r="AG81" s="599">
        <v>70</v>
      </c>
      <c r="AH81" s="599">
        <v>70</v>
      </c>
      <c r="AI81" s="599">
        <v>70</v>
      </c>
      <c r="AJ81" s="599">
        <v>70</v>
      </c>
      <c r="AK81" s="599">
        <v>70</v>
      </c>
      <c r="AL81" s="599">
        <v>70</v>
      </c>
      <c r="AM81" s="599" t="s">
        <v>468</v>
      </c>
      <c r="AN81" s="634"/>
    </row>
    <row r="82" spans="1:40" x14ac:dyDescent="0.25">
      <c r="A82" s="1688"/>
      <c r="B82" s="1303">
        <f t="shared" si="3"/>
        <v>2199</v>
      </c>
      <c r="C82" s="1430">
        <f>B82-B81</f>
        <v>239</v>
      </c>
      <c r="D82" s="1705"/>
      <c r="E82" s="1688"/>
      <c r="F82" s="1379" t="s">
        <v>342</v>
      </c>
      <c r="G82" s="1303">
        <f t="shared" si="61"/>
        <v>2199</v>
      </c>
      <c r="H82" s="1380">
        <f t="shared" ref="H82" si="64">IFERROR((G82-G81)/G81,0)</f>
        <v>0.12193877551020409</v>
      </c>
      <c r="I82" s="1433"/>
      <c r="J82" s="1435">
        <v>85</v>
      </c>
      <c r="K82" s="1434"/>
      <c r="L82" s="1434">
        <v>34</v>
      </c>
      <c r="M82" s="1435">
        <v>100</v>
      </c>
      <c r="N82" s="1435">
        <v>138</v>
      </c>
      <c r="O82" s="1434">
        <v>51</v>
      </c>
      <c r="P82" s="1435">
        <v>70</v>
      </c>
      <c r="Q82" s="1434">
        <v>62</v>
      </c>
      <c r="R82" s="1435">
        <v>104</v>
      </c>
      <c r="S82" s="1435">
        <v>99</v>
      </c>
      <c r="T82" s="1434">
        <v>60</v>
      </c>
      <c r="U82" s="1435">
        <v>125</v>
      </c>
      <c r="V82" s="1434">
        <v>60</v>
      </c>
      <c r="W82" s="1435">
        <v>100</v>
      </c>
      <c r="X82" s="1435">
        <v>80</v>
      </c>
      <c r="Y82" s="1435">
        <v>86</v>
      </c>
      <c r="Z82" s="1434">
        <v>12</v>
      </c>
      <c r="AA82" s="1434" t="s">
        <v>468</v>
      </c>
      <c r="AB82" s="1435">
        <v>94</v>
      </c>
      <c r="AC82" s="1435">
        <v>70</v>
      </c>
      <c r="AD82" s="1435">
        <v>90</v>
      </c>
      <c r="AE82" s="1435">
        <v>132</v>
      </c>
      <c r="AF82" s="1435">
        <v>110</v>
      </c>
      <c r="AG82" s="1435">
        <v>74</v>
      </c>
      <c r="AH82" s="1434">
        <v>20</v>
      </c>
      <c r="AI82" s="1435">
        <v>101</v>
      </c>
      <c r="AJ82" s="1435">
        <v>98</v>
      </c>
      <c r="AK82" s="1434">
        <v>65</v>
      </c>
      <c r="AL82" s="1435">
        <v>79</v>
      </c>
      <c r="AM82" s="1436"/>
      <c r="AN82" s="604"/>
    </row>
    <row r="83" spans="1:40" x14ac:dyDescent="0.25">
      <c r="A83" s="1688"/>
      <c r="B83" s="1382"/>
      <c r="C83" s="1383"/>
      <c r="D83" s="1705"/>
      <c r="E83" s="1688"/>
      <c r="F83" s="1389" t="s">
        <v>312</v>
      </c>
      <c r="G83" s="1382"/>
      <c r="H83" s="1383"/>
      <c r="I83" s="605"/>
      <c r="J83" s="605"/>
      <c r="K83" s="605"/>
      <c r="L83" s="605"/>
      <c r="M83" s="605"/>
      <c r="N83" s="605"/>
      <c r="O83" s="605"/>
      <c r="P83" s="605"/>
      <c r="Q83" s="606"/>
      <c r="R83" s="605"/>
      <c r="S83" s="605"/>
      <c r="T83" s="605"/>
      <c r="U83" s="605"/>
      <c r="V83" s="605"/>
      <c r="W83" s="605"/>
      <c r="X83" s="605"/>
      <c r="Y83" s="605"/>
      <c r="Z83" s="605"/>
      <c r="AA83" s="605"/>
      <c r="AB83" s="605"/>
      <c r="AC83" s="605"/>
      <c r="AD83" s="605"/>
      <c r="AE83" s="605"/>
      <c r="AF83" s="605"/>
      <c r="AG83" s="605"/>
      <c r="AH83" s="605"/>
      <c r="AI83" s="605"/>
      <c r="AJ83" s="605"/>
      <c r="AK83" s="605"/>
      <c r="AL83" s="605"/>
      <c r="AM83" s="607"/>
      <c r="AN83" s="604"/>
    </row>
    <row r="84" spans="1:40" x14ac:dyDescent="0.25">
      <c r="A84" s="1685" t="s">
        <v>343</v>
      </c>
      <c r="B84" s="1310">
        <f t="shared" si="13"/>
        <v>2.9099999999999988</v>
      </c>
      <c r="C84" s="1385"/>
      <c r="D84" s="1705"/>
      <c r="E84" s="1685" t="s">
        <v>343</v>
      </c>
      <c r="F84" s="1384" t="s">
        <v>344</v>
      </c>
      <c r="G84" s="1310">
        <f t="shared" ref="G84:G85" si="65">IFERROR(G86*1000/G81,0)</f>
        <v>2.8571428571428585</v>
      </c>
      <c r="H84" s="1385"/>
      <c r="I84" s="1445">
        <v>2.91</v>
      </c>
      <c r="J84" s="1445">
        <v>2.91</v>
      </c>
      <c r="K84" s="1445">
        <v>2.91</v>
      </c>
      <c r="L84" s="1445">
        <v>2.91</v>
      </c>
      <c r="M84" s="1445">
        <v>2.91</v>
      </c>
      <c r="N84" s="1445">
        <v>2.91</v>
      </c>
      <c r="O84" s="1445">
        <v>2.91</v>
      </c>
      <c r="P84" s="1445">
        <v>2.91</v>
      </c>
      <c r="Q84" s="1445">
        <v>2.91</v>
      </c>
      <c r="R84" s="1445">
        <v>2.91</v>
      </c>
      <c r="S84" s="1445">
        <v>2.91</v>
      </c>
      <c r="T84" s="1445">
        <v>2.91</v>
      </c>
      <c r="U84" s="1445">
        <v>2.91</v>
      </c>
      <c r="V84" s="1445">
        <v>2.91</v>
      </c>
      <c r="W84" s="1445">
        <v>2.91</v>
      </c>
      <c r="X84" s="1445">
        <v>2.91</v>
      </c>
      <c r="Y84" s="1445">
        <v>2.91</v>
      </c>
      <c r="Z84" s="1445">
        <v>2.91</v>
      </c>
      <c r="AA84" s="1445">
        <v>2.91</v>
      </c>
      <c r="AB84" s="1445">
        <v>2.91</v>
      </c>
      <c r="AC84" s="1445" t="s">
        <v>468</v>
      </c>
      <c r="AD84" s="1445">
        <v>2.91</v>
      </c>
      <c r="AE84" s="1445">
        <v>2.91</v>
      </c>
      <c r="AF84" s="1445">
        <v>2.91</v>
      </c>
      <c r="AG84" s="1445">
        <v>2.91</v>
      </c>
      <c r="AH84" s="1445">
        <v>2.91</v>
      </c>
      <c r="AI84" s="1445">
        <v>2.91</v>
      </c>
      <c r="AJ84" s="1445">
        <v>2.91</v>
      </c>
      <c r="AK84" s="1445">
        <v>2.91</v>
      </c>
      <c r="AL84" s="1445">
        <v>2.91</v>
      </c>
      <c r="AM84" s="1445" t="s">
        <v>468</v>
      </c>
      <c r="AN84" s="604"/>
    </row>
    <row r="85" spans="1:40" x14ac:dyDescent="0.25">
      <c r="A85" s="1707"/>
      <c r="B85" s="1314">
        <f t="shared" ref="B85" si="66">B84*(G85/B84)</f>
        <v>2.4556616643929057</v>
      </c>
      <c r="C85" s="1431">
        <f>B85-B84</f>
        <v>-0.45433833560709314</v>
      </c>
      <c r="D85" s="1705"/>
      <c r="E85" s="1707"/>
      <c r="F85" s="1386" t="s">
        <v>345</v>
      </c>
      <c r="G85" s="1314">
        <f t="shared" si="65"/>
        <v>2.4556616643929057</v>
      </c>
      <c r="H85" s="1380">
        <f t="shared" ref="H85" si="67">IFERROR((G85-G84)/G84,0)</f>
        <v>-0.14051841746248345</v>
      </c>
      <c r="I85" s="1433"/>
      <c r="J85" s="1441">
        <v>1.88</v>
      </c>
      <c r="K85" s="1434"/>
      <c r="L85" s="1441">
        <v>1.88</v>
      </c>
      <c r="M85" s="1444">
        <v>2.35</v>
      </c>
      <c r="N85" s="1444">
        <v>2</v>
      </c>
      <c r="O85" s="1441">
        <v>1.95</v>
      </c>
      <c r="P85" s="1441">
        <v>1.94</v>
      </c>
      <c r="Q85" s="1443">
        <v>1.5</v>
      </c>
      <c r="R85" s="1441">
        <v>1.69</v>
      </c>
      <c r="S85" s="1443">
        <v>1.57</v>
      </c>
      <c r="T85" s="1444">
        <v>2.84</v>
      </c>
      <c r="U85" s="1441">
        <v>1.62</v>
      </c>
      <c r="V85" s="1443">
        <v>0.79</v>
      </c>
      <c r="W85" s="1442">
        <v>3.1</v>
      </c>
      <c r="X85" s="1442">
        <v>3.51</v>
      </c>
      <c r="Y85" s="1434"/>
      <c r="Z85" s="1443">
        <v>1.5</v>
      </c>
      <c r="AA85" s="1434"/>
      <c r="AB85" s="1442">
        <v>6.56</v>
      </c>
      <c r="AC85" s="1442">
        <v>2.64</v>
      </c>
      <c r="AD85" s="1444">
        <v>2.64</v>
      </c>
      <c r="AE85" s="1442">
        <v>3.14</v>
      </c>
      <c r="AF85" s="1444">
        <v>2.84</v>
      </c>
      <c r="AG85" s="1434">
        <v>0.5</v>
      </c>
      <c r="AH85" s="1443">
        <v>1.23</v>
      </c>
      <c r="AI85" s="1442">
        <v>4.63</v>
      </c>
      <c r="AJ85" s="1442">
        <v>3.99</v>
      </c>
      <c r="AK85" s="1444">
        <v>2.5</v>
      </c>
      <c r="AL85" s="1443">
        <v>1.41</v>
      </c>
      <c r="AM85" s="1436"/>
      <c r="AN85" s="604"/>
    </row>
    <row r="86" spans="1:40" x14ac:dyDescent="0.25">
      <c r="A86" s="1685" t="s">
        <v>47</v>
      </c>
      <c r="B86" s="206">
        <f t="shared" si="18"/>
        <v>5.703599999999998</v>
      </c>
      <c r="C86" s="1385"/>
      <c r="D86" s="1705"/>
      <c r="E86" s="1685" t="s">
        <v>47</v>
      </c>
      <c r="F86" s="1384" t="s">
        <v>346</v>
      </c>
      <c r="G86" s="206">
        <f t="shared" ref="G86:G89" si="68">SUMIF($I$9:$AM$9,"&lt;="&amp;$D$7,I86:AM86)</f>
        <v>5.6000000000000023</v>
      </c>
      <c r="H86" s="1385"/>
      <c r="I86" s="1445">
        <v>0.2</v>
      </c>
      <c r="J86" s="1445">
        <v>0.2</v>
      </c>
      <c r="K86" s="1445">
        <v>0.2</v>
      </c>
      <c r="L86" s="1445">
        <v>0.2</v>
      </c>
      <c r="M86" s="1445">
        <v>0.2</v>
      </c>
      <c r="N86" s="1445">
        <v>0.2</v>
      </c>
      <c r="O86" s="1445">
        <v>0.2</v>
      </c>
      <c r="P86" s="1445">
        <v>0.2</v>
      </c>
      <c r="Q86" s="1445">
        <v>0.2</v>
      </c>
      <c r="R86" s="1445">
        <v>0.2</v>
      </c>
      <c r="S86" s="1445">
        <v>0.2</v>
      </c>
      <c r="T86" s="1445">
        <v>0.2</v>
      </c>
      <c r="U86" s="1445">
        <v>0.2</v>
      </c>
      <c r="V86" s="1445">
        <v>0.2</v>
      </c>
      <c r="W86" s="1445">
        <v>0.2</v>
      </c>
      <c r="X86" s="1445">
        <v>0.2</v>
      </c>
      <c r="Y86" s="1445">
        <v>0.2</v>
      </c>
      <c r="Z86" s="1445">
        <v>0.2</v>
      </c>
      <c r="AA86" s="1445">
        <v>0.2</v>
      </c>
      <c r="AB86" s="1445" t="s">
        <v>468</v>
      </c>
      <c r="AC86" s="1445" t="s">
        <v>468</v>
      </c>
      <c r="AD86" s="1445">
        <v>0.2</v>
      </c>
      <c r="AE86" s="1445">
        <v>0.2</v>
      </c>
      <c r="AF86" s="1445">
        <v>0.2</v>
      </c>
      <c r="AG86" s="1445">
        <v>0.2</v>
      </c>
      <c r="AH86" s="1445">
        <v>0.2</v>
      </c>
      <c r="AI86" s="1445">
        <v>0.2</v>
      </c>
      <c r="AJ86" s="1445">
        <v>0.2</v>
      </c>
      <c r="AK86" s="1445">
        <v>0.2</v>
      </c>
      <c r="AL86" s="1445">
        <v>0.2</v>
      </c>
      <c r="AM86" s="1445" t="s">
        <v>468</v>
      </c>
      <c r="AN86" s="604"/>
    </row>
    <row r="87" spans="1:40" ht="15.75" thickBot="1" x14ac:dyDescent="0.3">
      <c r="A87" s="1708"/>
      <c r="B87" s="1321">
        <f t="shared" si="18"/>
        <v>5.4</v>
      </c>
      <c r="C87" s="1432">
        <f>B87-B86</f>
        <v>-0.30359999999999765</v>
      </c>
      <c r="D87" s="1706"/>
      <c r="E87" s="1708"/>
      <c r="F87" s="1387" t="s">
        <v>347</v>
      </c>
      <c r="G87" s="1321">
        <f t="shared" si="68"/>
        <v>5.4</v>
      </c>
      <c r="H87" s="1388">
        <f t="shared" ref="H87" si="69">IFERROR((G87-G86)/G86,0)</f>
        <v>-3.5714285714286045E-2</v>
      </c>
      <c r="I87" s="1447" t="s">
        <v>468</v>
      </c>
      <c r="J87" s="1447">
        <v>0.2</v>
      </c>
      <c r="K87" s="1447" t="s">
        <v>468</v>
      </c>
      <c r="L87" s="1447">
        <v>0.1</v>
      </c>
      <c r="M87" s="1446">
        <v>0.2</v>
      </c>
      <c r="N87" s="1446">
        <v>0.3</v>
      </c>
      <c r="O87" s="1447">
        <v>0.1</v>
      </c>
      <c r="P87" s="1447">
        <v>0.1</v>
      </c>
      <c r="Q87" s="1447">
        <v>0.1</v>
      </c>
      <c r="R87" s="1447">
        <v>0.2</v>
      </c>
      <c r="S87" s="1447">
        <v>0.2</v>
      </c>
      <c r="T87" s="1447">
        <v>0.2</v>
      </c>
      <c r="U87" s="1447">
        <v>0.2</v>
      </c>
      <c r="V87" s="1447">
        <v>0</v>
      </c>
      <c r="W87" s="1446">
        <v>0.3</v>
      </c>
      <c r="X87" s="1446">
        <v>0.3</v>
      </c>
      <c r="Y87" s="1447" t="s">
        <v>468</v>
      </c>
      <c r="Z87" s="1447">
        <v>0</v>
      </c>
      <c r="AA87" s="1447" t="s">
        <v>468</v>
      </c>
      <c r="AB87" s="1446">
        <v>0.6</v>
      </c>
      <c r="AC87" s="1446">
        <v>0.2</v>
      </c>
      <c r="AD87" s="1446">
        <v>0.2</v>
      </c>
      <c r="AE87" s="1446">
        <v>0.4</v>
      </c>
      <c r="AF87" s="1446">
        <v>0.3</v>
      </c>
      <c r="AG87" s="1447">
        <v>0</v>
      </c>
      <c r="AH87" s="1447">
        <v>0</v>
      </c>
      <c r="AI87" s="1446">
        <v>0.5</v>
      </c>
      <c r="AJ87" s="1446">
        <v>0.4</v>
      </c>
      <c r="AK87" s="1447">
        <v>0.2</v>
      </c>
      <c r="AL87" s="1447">
        <v>0.1</v>
      </c>
      <c r="AM87" s="1448" t="s">
        <v>468</v>
      </c>
      <c r="AN87" s="610"/>
    </row>
    <row r="88" spans="1:40" ht="14.25" customHeight="1" x14ac:dyDescent="0.25">
      <c r="A88" s="1684" t="s">
        <v>340</v>
      </c>
      <c r="B88" s="196">
        <f t="shared" ref="B88" si="70">SUM(I88:AL88)</f>
        <v>1960</v>
      </c>
      <c r="C88" s="197"/>
      <c r="D88" s="1704" t="s">
        <v>477</v>
      </c>
      <c r="E88" s="1684" t="s">
        <v>340</v>
      </c>
      <c r="F88" s="195" t="s">
        <v>341</v>
      </c>
      <c r="G88" s="196">
        <f t="shared" si="68"/>
        <v>1960</v>
      </c>
      <c r="H88" s="197"/>
      <c r="I88" s="599">
        <v>70</v>
      </c>
      <c r="J88" s="599">
        <v>70</v>
      </c>
      <c r="K88" s="599">
        <v>70</v>
      </c>
      <c r="L88" s="599">
        <v>70</v>
      </c>
      <c r="M88" s="599">
        <v>70</v>
      </c>
      <c r="N88" s="599">
        <v>70</v>
      </c>
      <c r="O88" s="599">
        <v>70</v>
      </c>
      <c r="P88" s="599">
        <v>70</v>
      </c>
      <c r="Q88" s="599">
        <v>70</v>
      </c>
      <c r="R88" s="599">
        <v>70</v>
      </c>
      <c r="S88" s="599">
        <v>70</v>
      </c>
      <c r="T88" s="599">
        <v>70</v>
      </c>
      <c r="U88" s="599">
        <v>70</v>
      </c>
      <c r="V88" s="599">
        <v>70</v>
      </c>
      <c r="W88" s="599">
        <v>70</v>
      </c>
      <c r="X88" s="599">
        <v>70</v>
      </c>
      <c r="Y88" s="599">
        <v>70</v>
      </c>
      <c r="Z88" s="599">
        <v>70</v>
      </c>
      <c r="AA88" s="599">
        <v>70</v>
      </c>
      <c r="AB88" s="599" t="s">
        <v>468</v>
      </c>
      <c r="AC88" s="599" t="s">
        <v>468</v>
      </c>
      <c r="AD88" s="599">
        <v>70</v>
      </c>
      <c r="AE88" s="599">
        <v>70</v>
      </c>
      <c r="AF88" s="599">
        <v>70</v>
      </c>
      <c r="AG88" s="599">
        <v>70</v>
      </c>
      <c r="AH88" s="599">
        <v>70</v>
      </c>
      <c r="AI88" s="599">
        <v>70</v>
      </c>
      <c r="AJ88" s="599">
        <v>70</v>
      </c>
      <c r="AK88" s="599">
        <v>70</v>
      </c>
      <c r="AL88" s="599">
        <v>70</v>
      </c>
      <c r="AM88" s="599" t="s">
        <v>468</v>
      </c>
      <c r="AN88" s="634"/>
    </row>
    <row r="89" spans="1:40" x14ac:dyDescent="0.25">
      <c r="A89" s="1688"/>
      <c r="B89" s="1303">
        <f t="shared" si="3"/>
        <v>1134</v>
      </c>
      <c r="C89" s="1430">
        <f>B89-B88</f>
        <v>-826</v>
      </c>
      <c r="D89" s="1705"/>
      <c r="E89" s="1688"/>
      <c r="F89" s="1379" t="s">
        <v>342</v>
      </c>
      <c r="G89" s="1303">
        <f t="shared" si="68"/>
        <v>1134</v>
      </c>
      <c r="H89" s="1380">
        <f t="shared" ref="H89" si="71">IFERROR((G89-G88)/G88,0)</f>
        <v>-0.42142857142857143</v>
      </c>
      <c r="I89" s="1433"/>
      <c r="J89" s="1434"/>
      <c r="K89" s="1434"/>
      <c r="L89" s="1434"/>
      <c r="M89" s="1435">
        <v>78</v>
      </c>
      <c r="N89" s="1434"/>
      <c r="O89" s="1434"/>
      <c r="P89" s="1434">
        <v>65</v>
      </c>
      <c r="Q89" s="1434">
        <v>30</v>
      </c>
      <c r="R89" s="1434">
        <v>39</v>
      </c>
      <c r="S89" s="1434">
        <v>43</v>
      </c>
      <c r="T89" s="1434">
        <v>55</v>
      </c>
      <c r="U89" s="1434">
        <v>33</v>
      </c>
      <c r="V89" s="1434">
        <v>52</v>
      </c>
      <c r="W89" s="1434">
        <v>36</v>
      </c>
      <c r="X89" s="1434">
        <v>48</v>
      </c>
      <c r="Y89" s="1434">
        <v>24</v>
      </c>
      <c r="Z89" s="1434" t="s">
        <v>468</v>
      </c>
      <c r="AA89" s="1434" t="s">
        <v>468</v>
      </c>
      <c r="AB89" s="1435">
        <v>40</v>
      </c>
      <c r="AC89" s="1435"/>
      <c r="AD89" s="1435">
        <v>78</v>
      </c>
      <c r="AE89" s="1435">
        <v>97</v>
      </c>
      <c r="AF89" s="1435">
        <v>89</v>
      </c>
      <c r="AG89" s="1434">
        <v>62</v>
      </c>
      <c r="AH89" s="1434">
        <v>41</v>
      </c>
      <c r="AI89" s="1434">
        <v>68</v>
      </c>
      <c r="AJ89" s="1434">
        <v>56</v>
      </c>
      <c r="AK89" s="1434">
        <v>26</v>
      </c>
      <c r="AL89" s="1435">
        <v>74</v>
      </c>
      <c r="AM89" s="1436"/>
      <c r="AN89" s="604"/>
    </row>
    <row r="90" spans="1:40" x14ac:dyDescent="0.25">
      <c r="A90" s="1688"/>
      <c r="B90" s="1382"/>
      <c r="C90" s="1383"/>
      <c r="D90" s="1705"/>
      <c r="E90" s="1688"/>
      <c r="F90" s="1389" t="s">
        <v>312</v>
      </c>
      <c r="G90" s="1382"/>
      <c r="H90" s="1383"/>
      <c r="I90" s="605"/>
      <c r="J90" s="605"/>
      <c r="K90" s="605"/>
      <c r="L90" s="605"/>
      <c r="M90" s="605"/>
      <c r="N90" s="605"/>
      <c r="O90" s="605"/>
      <c r="P90" s="605"/>
      <c r="Q90" s="606"/>
      <c r="R90" s="605"/>
      <c r="S90" s="605"/>
      <c r="T90" s="605"/>
      <c r="U90" s="605"/>
      <c r="V90" s="605"/>
      <c r="W90" s="605"/>
      <c r="X90" s="605"/>
      <c r="Y90" s="605"/>
      <c r="Z90" s="605"/>
      <c r="AA90" s="605"/>
      <c r="AB90" s="605"/>
      <c r="AC90" s="605"/>
      <c r="AD90" s="605"/>
      <c r="AE90" s="605"/>
      <c r="AF90" s="605"/>
      <c r="AG90" s="605"/>
      <c r="AH90" s="605"/>
      <c r="AI90" s="605"/>
      <c r="AJ90" s="605"/>
      <c r="AK90" s="605"/>
      <c r="AL90" s="605"/>
      <c r="AM90" s="607"/>
      <c r="AN90" s="604"/>
    </row>
    <row r="91" spans="1:40" x14ac:dyDescent="0.25">
      <c r="A91" s="1685" t="s">
        <v>343</v>
      </c>
      <c r="B91" s="1310">
        <f t="shared" si="13"/>
        <v>2.8400000000000012</v>
      </c>
      <c r="C91" s="1385"/>
      <c r="D91" s="1705"/>
      <c r="E91" s="1685" t="s">
        <v>343</v>
      </c>
      <c r="F91" s="1384" t="s">
        <v>344</v>
      </c>
      <c r="G91" s="1310">
        <f t="shared" ref="G91:G92" si="72">IFERROR(G93*1000/G88,0)</f>
        <v>2.8571428571428585</v>
      </c>
      <c r="H91" s="1385"/>
      <c r="I91" s="1445">
        <v>2.84</v>
      </c>
      <c r="J91" s="1445">
        <v>2.84</v>
      </c>
      <c r="K91" s="1445">
        <v>2.84</v>
      </c>
      <c r="L91" s="1437">
        <v>2.84</v>
      </c>
      <c r="M91" s="1437">
        <v>2.84</v>
      </c>
      <c r="N91" s="1437">
        <v>2.84</v>
      </c>
      <c r="O91" s="1437">
        <v>2.84</v>
      </c>
      <c r="P91" s="1437">
        <v>2.84</v>
      </c>
      <c r="Q91" s="1438">
        <v>2.84</v>
      </c>
      <c r="R91" s="1437">
        <v>2.84</v>
      </c>
      <c r="S91" s="1437">
        <v>2.84</v>
      </c>
      <c r="T91" s="1437">
        <v>2.84</v>
      </c>
      <c r="U91" s="1437">
        <v>2.84</v>
      </c>
      <c r="V91" s="1437">
        <v>2.84</v>
      </c>
      <c r="W91" s="1437">
        <v>2.84</v>
      </c>
      <c r="X91" s="1437">
        <v>2.84</v>
      </c>
      <c r="Y91" s="1437">
        <v>2.84</v>
      </c>
      <c r="Z91" s="1437">
        <v>2.84</v>
      </c>
      <c r="AA91" s="1437">
        <v>2.84</v>
      </c>
      <c r="AB91" s="1437">
        <v>2.84</v>
      </c>
      <c r="AC91" s="1437" t="s">
        <v>468</v>
      </c>
      <c r="AD91" s="1437">
        <v>2.84</v>
      </c>
      <c r="AE91" s="1437">
        <v>2.84</v>
      </c>
      <c r="AF91" s="1437">
        <v>2.84</v>
      </c>
      <c r="AG91" s="1437">
        <v>2.84</v>
      </c>
      <c r="AH91" s="1437">
        <v>2.84</v>
      </c>
      <c r="AI91" s="1437">
        <v>2.84</v>
      </c>
      <c r="AJ91" s="1437">
        <v>2.84</v>
      </c>
      <c r="AK91" s="1437">
        <v>2.84</v>
      </c>
      <c r="AL91" s="1437">
        <v>2.84</v>
      </c>
      <c r="AM91" s="1439" t="s">
        <v>468</v>
      </c>
      <c r="AN91" s="604"/>
    </row>
    <row r="92" spans="1:40" x14ac:dyDescent="0.25">
      <c r="A92" s="1707"/>
      <c r="B92" s="1314">
        <f t="shared" ref="B92" si="73">B91*(G92/B91)</f>
        <v>1.5873015873015877</v>
      </c>
      <c r="C92" s="1431">
        <f>B92-B91</f>
        <v>-1.2526984126984135</v>
      </c>
      <c r="D92" s="1705"/>
      <c r="E92" s="1707"/>
      <c r="F92" s="1386" t="s">
        <v>345</v>
      </c>
      <c r="G92" s="1314">
        <f t="shared" si="72"/>
        <v>1.5873015873015877</v>
      </c>
      <c r="H92" s="1380">
        <f t="shared" ref="H92" si="74">IFERROR((G92-G91)/G91,0)</f>
        <v>-0.44444444444444459</v>
      </c>
      <c r="I92" s="1433"/>
      <c r="J92" s="1434"/>
      <c r="K92" s="1434"/>
      <c r="L92" s="1434"/>
      <c r="M92" s="1441">
        <v>1.87</v>
      </c>
      <c r="N92" s="1434"/>
      <c r="O92" s="1434"/>
      <c r="P92" s="1442">
        <v>3.22</v>
      </c>
      <c r="Q92" s="1444">
        <v>2.25</v>
      </c>
      <c r="R92" s="1443">
        <v>1.17</v>
      </c>
      <c r="S92" s="1441">
        <v>1.99</v>
      </c>
      <c r="T92" s="1443">
        <v>1.33</v>
      </c>
      <c r="U92" s="1444">
        <v>2.0299999999999998</v>
      </c>
      <c r="V92" s="1443">
        <v>1.23</v>
      </c>
      <c r="W92" s="1442">
        <v>5.93</v>
      </c>
      <c r="X92" s="1443">
        <v>1</v>
      </c>
      <c r="Y92" s="1442">
        <v>3.38</v>
      </c>
      <c r="Z92" s="1434"/>
      <c r="AA92" s="1434"/>
      <c r="AB92" s="1434"/>
      <c r="AC92" s="1435"/>
      <c r="AD92" s="1441">
        <v>1.68</v>
      </c>
      <c r="AE92" s="1444">
        <v>2.48</v>
      </c>
      <c r="AF92" s="1443">
        <v>1.3</v>
      </c>
      <c r="AG92" s="1443">
        <v>0.87</v>
      </c>
      <c r="AH92" s="1443">
        <v>0.87</v>
      </c>
      <c r="AI92" s="1441">
        <v>1.9</v>
      </c>
      <c r="AJ92" s="1443">
        <v>1.59</v>
      </c>
      <c r="AK92" s="1444">
        <v>2.16</v>
      </c>
      <c r="AL92" s="1441">
        <v>1.9</v>
      </c>
      <c r="AM92" s="1436"/>
      <c r="AN92" s="604"/>
    </row>
    <row r="93" spans="1:40" x14ac:dyDescent="0.25">
      <c r="A93" s="1685" t="s">
        <v>47</v>
      </c>
      <c r="B93" s="206">
        <f t="shared" si="18"/>
        <v>5.5664000000000025</v>
      </c>
      <c r="C93" s="1385"/>
      <c r="D93" s="1705"/>
      <c r="E93" s="1685" t="s">
        <v>47</v>
      </c>
      <c r="F93" s="1384" t="s">
        <v>346</v>
      </c>
      <c r="G93" s="206">
        <f t="shared" ref="G93:G96" si="75">SUMIF($I$9:$AM$9,"&lt;="&amp;$D$7,I93:AM93)</f>
        <v>5.6000000000000023</v>
      </c>
      <c r="H93" s="1385"/>
      <c r="I93" s="1445">
        <v>0.2</v>
      </c>
      <c r="J93" s="1445">
        <v>0.2</v>
      </c>
      <c r="K93" s="1445">
        <v>0.2</v>
      </c>
      <c r="L93" s="1445">
        <v>0.2</v>
      </c>
      <c r="M93" s="1445">
        <v>0.2</v>
      </c>
      <c r="N93" s="1445">
        <v>0.2</v>
      </c>
      <c r="O93" s="1445">
        <v>0.2</v>
      </c>
      <c r="P93" s="1445">
        <v>0.2</v>
      </c>
      <c r="Q93" s="1445">
        <v>0.2</v>
      </c>
      <c r="R93" s="1445">
        <v>0.2</v>
      </c>
      <c r="S93" s="1445">
        <v>0.2</v>
      </c>
      <c r="T93" s="1445">
        <v>0.2</v>
      </c>
      <c r="U93" s="1445">
        <v>0.2</v>
      </c>
      <c r="V93" s="1445">
        <v>0.2</v>
      </c>
      <c r="W93" s="1445">
        <v>0.2</v>
      </c>
      <c r="X93" s="1445">
        <v>0.2</v>
      </c>
      <c r="Y93" s="1445">
        <v>0.2</v>
      </c>
      <c r="Z93" s="1445">
        <v>0.2</v>
      </c>
      <c r="AA93" s="1445">
        <v>0.2</v>
      </c>
      <c r="AB93" s="1445" t="s">
        <v>468</v>
      </c>
      <c r="AC93" s="1445" t="s">
        <v>468</v>
      </c>
      <c r="AD93" s="1445">
        <v>0.2</v>
      </c>
      <c r="AE93" s="1445">
        <v>0.2</v>
      </c>
      <c r="AF93" s="1445">
        <v>0.2</v>
      </c>
      <c r="AG93" s="1445">
        <v>0.2</v>
      </c>
      <c r="AH93" s="1445">
        <v>0.2</v>
      </c>
      <c r="AI93" s="1445">
        <v>0.2</v>
      </c>
      <c r="AJ93" s="1445">
        <v>0.2</v>
      </c>
      <c r="AK93" s="1445">
        <v>0.2</v>
      </c>
      <c r="AL93" s="1445">
        <v>0.2</v>
      </c>
      <c r="AM93" s="1445" t="s">
        <v>468</v>
      </c>
      <c r="AN93" s="604"/>
    </row>
    <row r="94" spans="1:40" ht="15.75" thickBot="1" x14ac:dyDescent="0.3">
      <c r="A94" s="1708"/>
      <c r="B94" s="1321">
        <f t="shared" si="18"/>
        <v>1.8000000000000005</v>
      </c>
      <c r="C94" s="1432">
        <f>B94-B93</f>
        <v>-3.7664000000000017</v>
      </c>
      <c r="D94" s="1706"/>
      <c r="E94" s="1708"/>
      <c r="F94" s="1387" t="s">
        <v>347</v>
      </c>
      <c r="G94" s="1321">
        <f t="shared" si="75"/>
        <v>1.8000000000000005</v>
      </c>
      <c r="H94" s="1388">
        <f t="shared" ref="H94" si="76">IFERROR((G94-G93)/G93,0)</f>
        <v>-0.6785714285714286</v>
      </c>
      <c r="I94" s="1447" t="s">
        <v>468</v>
      </c>
      <c r="J94" s="1447" t="s">
        <v>468</v>
      </c>
      <c r="K94" s="1447" t="s">
        <v>468</v>
      </c>
      <c r="L94" s="1447" t="s">
        <v>468</v>
      </c>
      <c r="M94" s="1447">
        <v>0.1</v>
      </c>
      <c r="N94" s="1447" t="s">
        <v>468</v>
      </c>
      <c r="O94" s="1447" t="s">
        <v>468</v>
      </c>
      <c r="P94" s="1447"/>
      <c r="Q94" s="1447">
        <v>0.1</v>
      </c>
      <c r="R94" s="1447">
        <v>0</v>
      </c>
      <c r="S94" s="1447">
        <v>0.1</v>
      </c>
      <c r="T94" s="1447">
        <v>0.1</v>
      </c>
      <c r="U94" s="1447">
        <v>0.1</v>
      </c>
      <c r="V94" s="1447">
        <v>0.1</v>
      </c>
      <c r="W94" s="1446">
        <v>0.2</v>
      </c>
      <c r="X94" s="1447">
        <v>0</v>
      </c>
      <c r="Y94" s="1447">
        <v>0.1</v>
      </c>
      <c r="Z94" s="1447" t="s">
        <v>468</v>
      </c>
      <c r="AA94" s="1447" t="s">
        <v>468</v>
      </c>
      <c r="AB94" s="1446" t="s">
        <v>468</v>
      </c>
      <c r="AC94" s="1446" t="s">
        <v>468</v>
      </c>
      <c r="AD94" s="1447">
        <v>0.1</v>
      </c>
      <c r="AE94" s="1446">
        <v>0.2</v>
      </c>
      <c r="AF94" s="1447">
        <v>0.1</v>
      </c>
      <c r="AG94" s="1447">
        <v>0.1</v>
      </c>
      <c r="AH94" s="1447">
        <v>0</v>
      </c>
      <c r="AI94" s="1447">
        <v>0.1</v>
      </c>
      <c r="AJ94" s="1447">
        <v>0.1</v>
      </c>
      <c r="AK94" s="1447">
        <v>0.1</v>
      </c>
      <c r="AL94" s="1447">
        <v>0.1</v>
      </c>
      <c r="AM94" s="1448" t="s">
        <v>468</v>
      </c>
      <c r="AN94" s="610"/>
    </row>
    <row r="95" spans="1:40" ht="14.25" customHeight="1" x14ac:dyDescent="0.25">
      <c r="A95" s="1684" t="s">
        <v>340</v>
      </c>
      <c r="B95" s="196">
        <f t="shared" ref="B95" si="77">SUM(I95:AL95)</f>
        <v>3920</v>
      </c>
      <c r="C95" s="197"/>
      <c r="D95" s="1704" t="s">
        <v>478</v>
      </c>
      <c r="E95" s="1684" t="s">
        <v>340</v>
      </c>
      <c r="F95" s="195" t="s">
        <v>341</v>
      </c>
      <c r="G95" s="196">
        <f t="shared" si="75"/>
        <v>3920</v>
      </c>
      <c r="H95" s="197"/>
      <c r="I95" s="599">
        <v>140</v>
      </c>
      <c r="J95" s="599">
        <v>140</v>
      </c>
      <c r="K95" s="599">
        <v>140</v>
      </c>
      <c r="L95" s="600">
        <v>140</v>
      </c>
      <c r="M95" s="600">
        <v>140</v>
      </c>
      <c r="N95" s="600">
        <v>140</v>
      </c>
      <c r="O95" s="600">
        <v>140</v>
      </c>
      <c r="P95" s="600">
        <v>140</v>
      </c>
      <c r="Q95" s="601">
        <v>140</v>
      </c>
      <c r="R95" s="600">
        <v>140</v>
      </c>
      <c r="S95" s="600">
        <v>140</v>
      </c>
      <c r="T95" s="600">
        <v>140</v>
      </c>
      <c r="U95" s="600">
        <v>140</v>
      </c>
      <c r="V95" s="600">
        <v>140</v>
      </c>
      <c r="W95" s="600">
        <v>140</v>
      </c>
      <c r="X95" s="600">
        <v>140</v>
      </c>
      <c r="Y95" s="600">
        <v>140</v>
      </c>
      <c r="Z95" s="600">
        <v>140</v>
      </c>
      <c r="AA95" s="600">
        <v>140</v>
      </c>
      <c r="AB95" s="600" t="s">
        <v>468</v>
      </c>
      <c r="AC95" s="600" t="s">
        <v>468</v>
      </c>
      <c r="AD95" s="600">
        <v>140</v>
      </c>
      <c r="AE95" s="600">
        <v>140</v>
      </c>
      <c r="AF95" s="600">
        <v>140</v>
      </c>
      <c r="AG95" s="600">
        <v>140</v>
      </c>
      <c r="AH95" s="600">
        <v>140</v>
      </c>
      <c r="AI95" s="600">
        <v>140</v>
      </c>
      <c r="AJ95" s="600">
        <v>140</v>
      </c>
      <c r="AK95" s="600">
        <v>140</v>
      </c>
      <c r="AL95" s="600">
        <v>140</v>
      </c>
      <c r="AM95" s="602" t="s">
        <v>468</v>
      </c>
      <c r="AN95" s="634"/>
    </row>
    <row r="96" spans="1:40" x14ac:dyDescent="0.25">
      <c r="A96" s="1688"/>
      <c r="B96" s="1303">
        <f t="shared" ref="B96:B103" si="78">(B95*H96)+B95</f>
        <v>2858.6</v>
      </c>
      <c r="C96" s="1430">
        <f>B96-B95</f>
        <v>-1061.4000000000001</v>
      </c>
      <c r="D96" s="1705"/>
      <c r="E96" s="1688"/>
      <c r="F96" s="1379" t="s">
        <v>342</v>
      </c>
      <c r="G96" s="1303">
        <f t="shared" si="75"/>
        <v>2858.6</v>
      </c>
      <c r="H96" s="1380">
        <f t="shared" ref="H96" si="79">IFERROR((G96-G95)/G95,0)</f>
        <v>-0.27076530612244898</v>
      </c>
      <c r="I96" s="1433">
        <v>45</v>
      </c>
      <c r="J96" s="1435">
        <v>203</v>
      </c>
      <c r="K96" s="1434"/>
      <c r="L96" s="1434">
        <v>72</v>
      </c>
      <c r="M96" s="1434">
        <v>96</v>
      </c>
      <c r="N96" s="1434">
        <v>139</v>
      </c>
      <c r="O96" s="1434">
        <v>103</v>
      </c>
      <c r="P96" s="1434">
        <v>119</v>
      </c>
      <c r="Q96" s="1435">
        <v>150</v>
      </c>
      <c r="R96" s="1434">
        <v>82</v>
      </c>
      <c r="S96" s="1434">
        <v>100</v>
      </c>
      <c r="T96" s="1434">
        <v>65</v>
      </c>
      <c r="U96" s="1434">
        <v>109</v>
      </c>
      <c r="V96" s="794">
        <v>99.6</v>
      </c>
      <c r="W96" s="1434">
        <v>92</v>
      </c>
      <c r="X96" s="1434">
        <v>103</v>
      </c>
      <c r="Y96" s="1434">
        <v>76</v>
      </c>
      <c r="Z96" s="1434">
        <v>37</v>
      </c>
      <c r="AA96" s="1434">
        <v>103</v>
      </c>
      <c r="AB96" s="1435">
        <v>75</v>
      </c>
      <c r="AC96" s="1435">
        <v>86</v>
      </c>
      <c r="AD96" s="1434">
        <v>83</v>
      </c>
      <c r="AE96" s="1434">
        <v>23</v>
      </c>
      <c r="AF96" s="1434">
        <v>71</v>
      </c>
      <c r="AG96" s="1434">
        <v>66</v>
      </c>
      <c r="AH96" s="1434">
        <v>42</v>
      </c>
      <c r="AI96" s="1435">
        <v>180</v>
      </c>
      <c r="AJ96" s="1435">
        <v>163</v>
      </c>
      <c r="AK96" s="1434">
        <v>101</v>
      </c>
      <c r="AL96" s="1435">
        <v>175</v>
      </c>
      <c r="AM96" s="1436"/>
      <c r="AN96" s="604"/>
    </row>
    <row r="97" spans="1:40" x14ac:dyDescent="0.25">
      <c r="A97" s="1688"/>
      <c r="B97" s="1382"/>
      <c r="C97" s="1383"/>
      <c r="D97" s="1705"/>
      <c r="E97" s="1688"/>
      <c r="F97" s="1389" t="s">
        <v>312</v>
      </c>
      <c r="G97" s="1382"/>
      <c r="H97" s="1383"/>
      <c r="I97" s="605"/>
      <c r="J97" s="605"/>
      <c r="K97" s="605"/>
      <c r="L97" s="605"/>
      <c r="M97" s="605"/>
      <c r="N97" s="605"/>
      <c r="O97" s="605"/>
      <c r="P97" s="605"/>
      <c r="Q97" s="606"/>
      <c r="R97" s="605"/>
      <c r="S97" s="605"/>
      <c r="T97" s="605"/>
      <c r="U97" s="605"/>
      <c r="V97" s="605"/>
      <c r="W97" s="605"/>
      <c r="X97" s="605"/>
      <c r="Y97" s="605"/>
      <c r="Z97" s="605"/>
      <c r="AA97" s="605"/>
      <c r="AB97" s="605"/>
      <c r="AC97" s="605"/>
      <c r="AD97" s="605"/>
      <c r="AE97" s="605"/>
      <c r="AF97" s="605"/>
      <c r="AG97" s="605"/>
      <c r="AH97" s="605"/>
      <c r="AI97" s="605"/>
      <c r="AJ97" s="605"/>
      <c r="AK97" s="605"/>
      <c r="AL97" s="605"/>
      <c r="AM97" s="607"/>
      <c r="AN97" s="604"/>
    </row>
    <row r="98" spans="1:40" x14ac:dyDescent="0.25">
      <c r="A98" s="1685" t="s">
        <v>343</v>
      </c>
      <c r="B98" s="1310">
        <f t="shared" si="13"/>
        <v>2.5300000000000002</v>
      </c>
      <c r="C98" s="1385"/>
      <c r="D98" s="1705"/>
      <c r="E98" s="1685" t="s">
        <v>343</v>
      </c>
      <c r="F98" s="1384" t="s">
        <v>344</v>
      </c>
      <c r="G98" s="1310">
        <f t="shared" ref="G98:G99" si="80">IFERROR(G100*1000/G95,0)</f>
        <v>2.8571428571428585</v>
      </c>
      <c r="H98" s="1385"/>
      <c r="I98" s="1445">
        <v>2.5299999999999998</v>
      </c>
      <c r="J98" s="1445">
        <v>2.5299999999999998</v>
      </c>
      <c r="K98" s="1445">
        <v>2.5299999999999998</v>
      </c>
      <c r="L98" s="1437">
        <v>2.5299999999999998</v>
      </c>
      <c r="M98" s="1437">
        <v>2.5299999999999998</v>
      </c>
      <c r="N98" s="1437">
        <v>2.5299999999999998</v>
      </c>
      <c r="O98" s="1437">
        <v>2.5299999999999998</v>
      </c>
      <c r="P98" s="1437">
        <v>2.5299999999999998</v>
      </c>
      <c r="Q98" s="1438">
        <v>2.5299999999999998</v>
      </c>
      <c r="R98" s="1437">
        <v>2.5299999999999998</v>
      </c>
      <c r="S98" s="1437">
        <v>2.5299999999999998</v>
      </c>
      <c r="T98" s="1437">
        <v>2.5299999999999998</v>
      </c>
      <c r="U98" s="1437">
        <v>2.5299999999999998</v>
      </c>
      <c r="V98" s="1437">
        <v>2.5299999999999998</v>
      </c>
      <c r="W98" s="1437">
        <v>2.5299999999999998</v>
      </c>
      <c r="X98" s="1437">
        <v>2.5299999999999998</v>
      </c>
      <c r="Y98" s="1437">
        <v>2.5299999999999998</v>
      </c>
      <c r="Z98" s="1437">
        <v>2.5299999999999998</v>
      </c>
      <c r="AA98" s="1437">
        <v>2.5299999999999998</v>
      </c>
      <c r="AB98" s="1437">
        <v>2.5299999999999998</v>
      </c>
      <c r="AC98" s="1437" t="s">
        <v>468</v>
      </c>
      <c r="AD98" s="1437">
        <v>2.5299999999999998</v>
      </c>
      <c r="AE98" s="1437">
        <v>2.5299999999999998</v>
      </c>
      <c r="AF98" s="1437">
        <v>2.5299999999999998</v>
      </c>
      <c r="AG98" s="1437">
        <v>2.5299999999999998</v>
      </c>
      <c r="AH98" s="1437">
        <v>2.5299999999999998</v>
      </c>
      <c r="AI98" s="1437">
        <v>2.5299999999999998</v>
      </c>
      <c r="AJ98" s="1437">
        <v>2.5299999999999998</v>
      </c>
      <c r="AK98" s="1437">
        <v>2.5299999999999998</v>
      </c>
      <c r="AL98" s="1437">
        <v>2.5299999999999998</v>
      </c>
      <c r="AM98" s="1439" t="s">
        <v>468</v>
      </c>
      <c r="AN98" s="604"/>
    </row>
    <row r="99" spans="1:40" x14ac:dyDescent="0.25">
      <c r="A99" s="1707"/>
      <c r="B99" s="1314">
        <f t="shared" ref="B99" si="81">B98*(G99/B98)</f>
        <v>2.5536976142167487</v>
      </c>
      <c r="C99" s="1431">
        <f>B99-B98</f>
        <v>2.369761421674843E-2</v>
      </c>
      <c r="D99" s="1705"/>
      <c r="E99" s="1707"/>
      <c r="F99" s="1386" t="s">
        <v>345</v>
      </c>
      <c r="G99" s="1314">
        <f t="shared" si="80"/>
        <v>2.5536976142167491</v>
      </c>
      <c r="H99" s="1380">
        <f t="shared" ref="H99" si="82">IFERROR((G99-G98)/G98,0)</f>
        <v>-0.10620583502413825</v>
      </c>
      <c r="I99" s="1440">
        <v>1.37</v>
      </c>
      <c r="J99" s="1442">
        <v>4</v>
      </c>
      <c r="K99" s="1444">
        <v>2.46</v>
      </c>
      <c r="L99" s="1442">
        <v>3.29</v>
      </c>
      <c r="M99" s="1444">
        <v>2.4900000000000002</v>
      </c>
      <c r="N99" s="1444">
        <v>2.09</v>
      </c>
      <c r="O99" s="1442">
        <v>4.22</v>
      </c>
      <c r="P99" s="1444">
        <v>2.44</v>
      </c>
      <c r="Q99" s="1442">
        <v>2.5299999999999998</v>
      </c>
      <c r="R99" s="1442">
        <v>2.73</v>
      </c>
      <c r="S99" s="1442">
        <v>3.15</v>
      </c>
      <c r="T99" s="1442">
        <v>2.85</v>
      </c>
      <c r="U99" s="1443">
        <v>1.49</v>
      </c>
      <c r="V99" s="1442">
        <v>3.46</v>
      </c>
      <c r="W99" s="1443">
        <v>1.57</v>
      </c>
      <c r="X99" s="1443">
        <v>1</v>
      </c>
      <c r="Y99" s="1443">
        <v>1.08</v>
      </c>
      <c r="Z99" s="1444">
        <v>2.19</v>
      </c>
      <c r="AA99" s="1442">
        <v>3.05</v>
      </c>
      <c r="AB99" s="1442">
        <v>2.61</v>
      </c>
      <c r="AC99" s="1442">
        <v>2.69</v>
      </c>
      <c r="AD99" s="1443">
        <v>1.42</v>
      </c>
      <c r="AE99" s="1442">
        <v>2.73</v>
      </c>
      <c r="AF99" s="1443">
        <v>1.18</v>
      </c>
      <c r="AG99" s="1443">
        <v>1.25</v>
      </c>
      <c r="AH99" s="1444">
        <v>2.36</v>
      </c>
      <c r="AI99" s="1442">
        <v>2.65</v>
      </c>
      <c r="AJ99" s="1442">
        <v>2.81</v>
      </c>
      <c r="AK99" s="1442">
        <v>4.32</v>
      </c>
      <c r="AL99" s="1444">
        <v>2.29</v>
      </c>
      <c r="AM99" s="1436"/>
      <c r="AN99" s="604"/>
    </row>
    <row r="100" spans="1:40" x14ac:dyDescent="0.25">
      <c r="A100" s="1685" t="s">
        <v>47</v>
      </c>
      <c r="B100" s="206">
        <f t="shared" si="18"/>
        <v>9.9176000000000002</v>
      </c>
      <c r="C100" s="1385"/>
      <c r="D100" s="1705"/>
      <c r="E100" s="1685" t="s">
        <v>47</v>
      </c>
      <c r="F100" s="1384" t="s">
        <v>346</v>
      </c>
      <c r="G100" s="206">
        <f t="shared" ref="G100:G103" si="83">SUMIF($I$9:$AM$9,"&lt;="&amp;$D$7,I100:AM100)</f>
        <v>11.200000000000005</v>
      </c>
      <c r="H100" s="1385"/>
      <c r="I100" s="1445">
        <v>0.4</v>
      </c>
      <c r="J100" s="1445">
        <v>0.4</v>
      </c>
      <c r="K100" s="1445">
        <v>0.4</v>
      </c>
      <c r="L100" s="1445">
        <v>0.4</v>
      </c>
      <c r="M100" s="1445">
        <v>0.4</v>
      </c>
      <c r="N100" s="1445">
        <v>0.4</v>
      </c>
      <c r="O100" s="1445">
        <v>0.4</v>
      </c>
      <c r="P100" s="1445">
        <v>0.4</v>
      </c>
      <c r="Q100" s="1445">
        <v>0.4</v>
      </c>
      <c r="R100" s="1445">
        <v>0.4</v>
      </c>
      <c r="S100" s="1445">
        <v>0.4</v>
      </c>
      <c r="T100" s="1445">
        <v>0.4</v>
      </c>
      <c r="U100" s="1445">
        <v>0.4</v>
      </c>
      <c r="V100" s="1445">
        <v>0.4</v>
      </c>
      <c r="W100" s="1445">
        <v>0.4</v>
      </c>
      <c r="X100" s="1445">
        <v>0.4</v>
      </c>
      <c r="Y100" s="1445">
        <v>0.4</v>
      </c>
      <c r="Z100" s="1445">
        <v>0.4</v>
      </c>
      <c r="AA100" s="1445">
        <v>0.4</v>
      </c>
      <c r="AB100" s="1445" t="s">
        <v>468</v>
      </c>
      <c r="AC100" s="1445" t="s">
        <v>468</v>
      </c>
      <c r="AD100" s="1445">
        <v>0.4</v>
      </c>
      <c r="AE100" s="1445">
        <v>0.4</v>
      </c>
      <c r="AF100" s="1445">
        <v>0.4</v>
      </c>
      <c r="AG100" s="1445">
        <v>0.4</v>
      </c>
      <c r="AH100" s="1445">
        <v>0.4</v>
      </c>
      <c r="AI100" s="1445">
        <v>0.4</v>
      </c>
      <c r="AJ100" s="1445">
        <v>0.4</v>
      </c>
      <c r="AK100" s="1445">
        <v>0.4</v>
      </c>
      <c r="AL100" s="1445">
        <v>0.4</v>
      </c>
      <c r="AM100" s="1445" t="s">
        <v>468</v>
      </c>
      <c r="AN100" s="604"/>
    </row>
    <row r="101" spans="1:40" ht="15.75" thickBot="1" x14ac:dyDescent="0.3">
      <c r="A101" s="1708"/>
      <c r="B101" s="1321">
        <f t="shared" ref="B101:B108" si="84">+B99*B96/1000</f>
        <v>7.2999999999999972</v>
      </c>
      <c r="C101" s="1432">
        <f>B101-B100</f>
        <v>-2.617600000000003</v>
      </c>
      <c r="D101" s="1706"/>
      <c r="E101" s="1708"/>
      <c r="F101" s="1387" t="s">
        <v>347</v>
      </c>
      <c r="G101" s="1321">
        <f t="shared" si="83"/>
        <v>7.299999999999998</v>
      </c>
      <c r="H101" s="1388">
        <f t="shared" ref="H101" si="85">IFERROR((G101-G100)/G100,0)</f>
        <v>-0.34821428571428614</v>
      </c>
      <c r="I101" s="1447">
        <v>0.1</v>
      </c>
      <c r="J101" s="1446">
        <v>0.8</v>
      </c>
      <c r="K101" s="1447" t="s">
        <v>468</v>
      </c>
      <c r="L101" s="1447">
        <v>0.2</v>
      </c>
      <c r="M101" s="1447">
        <v>0.2</v>
      </c>
      <c r="N101" s="1447">
        <v>0.3</v>
      </c>
      <c r="O101" s="1446">
        <v>0.4</v>
      </c>
      <c r="P101" s="1447">
        <v>0.3</v>
      </c>
      <c r="Q101" s="1446">
        <v>0.4</v>
      </c>
      <c r="R101" s="1447">
        <v>0.2</v>
      </c>
      <c r="S101" s="1447">
        <v>0.3</v>
      </c>
      <c r="T101" s="1447">
        <v>0.2</v>
      </c>
      <c r="U101" s="1447">
        <v>0.2</v>
      </c>
      <c r="V101" s="1447">
        <v>0.3</v>
      </c>
      <c r="W101" s="1447">
        <v>0.1</v>
      </c>
      <c r="X101" s="1447">
        <v>0.1</v>
      </c>
      <c r="Y101" s="1447">
        <v>0.1</v>
      </c>
      <c r="Z101" s="1447">
        <v>0.1</v>
      </c>
      <c r="AA101" s="1447">
        <v>0.3</v>
      </c>
      <c r="AB101" s="1446">
        <v>0.2</v>
      </c>
      <c r="AC101" s="1446">
        <v>0.2</v>
      </c>
      <c r="AD101" s="1447">
        <v>0.1</v>
      </c>
      <c r="AE101" s="1447">
        <v>0.1</v>
      </c>
      <c r="AF101" s="1447">
        <v>0.1</v>
      </c>
      <c r="AG101" s="1447">
        <v>0.1</v>
      </c>
      <c r="AH101" s="1447">
        <v>0.1</v>
      </c>
      <c r="AI101" s="1446">
        <v>0.5</v>
      </c>
      <c r="AJ101" s="1446">
        <v>0.5</v>
      </c>
      <c r="AK101" s="1446">
        <v>0.4</v>
      </c>
      <c r="AL101" s="1446">
        <v>0.4</v>
      </c>
      <c r="AM101" s="1448" t="s">
        <v>468</v>
      </c>
      <c r="AN101" s="610"/>
    </row>
    <row r="102" spans="1:40" ht="14.25" customHeight="1" x14ac:dyDescent="0.25">
      <c r="A102" s="1684" t="s">
        <v>340</v>
      </c>
      <c r="B102" s="196">
        <f t="shared" ref="B102" si="86">SUM(I102:AL102)</f>
        <v>1960</v>
      </c>
      <c r="C102" s="197"/>
      <c r="D102" s="1704" t="s">
        <v>479</v>
      </c>
      <c r="E102" s="1684" t="s">
        <v>340</v>
      </c>
      <c r="F102" s="195" t="s">
        <v>341</v>
      </c>
      <c r="G102" s="196">
        <f t="shared" si="83"/>
        <v>1960</v>
      </c>
      <c r="H102" s="197"/>
      <c r="I102" s="599">
        <v>70</v>
      </c>
      <c r="J102" s="599">
        <v>70</v>
      </c>
      <c r="K102" s="599">
        <v>70</v>
      </c>
      <c r="L102" s="600">
        <v>70</v>
      </c>
      <c r="M102" s="600">
        <v>70</v>
      </c>
      <c r="N102" s="600">
        <v>70</v>
      </c>
      <c r="O102" s="600">
        <v>70</v>
      </c>
      <c r="P102" s="600">
        <v>70</v>
      </c>
      <c r="Q102" s="601">
        <v>70</v>
      </c>
      <c r="R102" s="600">
        <v>70</v>
      </c>
      <c r="S102" s="600">
        <v>70</v>
      </c>
      <c r="T102" s="600">
        <v>70</v>
      </c>
      <c r="U102" s="600">
        <v>70</v>
      </c>
      <c r="V102" s="600">
        <v>70</v>
      </c>
      <c r="W102" s="600">
        <v>70</v>
      </c>
      <c r="X102" s="600">
        <v>70</v>
      </c>
      <c r="Y102" s="600">
        <v>70</v>
      </c>
      <c r="Z102" s="600">
        <v>70</v>
      </c>
      <c r="AA102" s="600">
        <v>70</v>
      </c>
      <c r="AB102" s="600" t="s">
        <v>468</v>
      </c>
      <c r="AC102" s="600" t="s">
        <v>468</v>
      </c>
      <c r="AD102" s="600">
        <v>70</v>
      </c>
      <c r="AE102" s="600">
        <v>70</v>
      </c>
      <c r="AF102" s="600">
        <v>70</v>
      </c>
      <c r="AG102" s="600">
        <v>70</v>
      </c>
      <c r="AH102" s="600">
        <v>70</v>
      </c>
      <c r="AI102" s="600">
        <v>70</v>
      </c>
      <c r="AJ102" s="600">
        <v>70</v>
      </c>
      <c r="AK102" s="600">
        <v>70</v>
      </c>
      <c r="AL102" s="600">
        <v>70</v>
      </c>
      <c r="AM102" s="602" t="s">
        <v>468</v>
      </c>
      <c r="AN102" s="634"/>
    </row>
    <row r="103" spans="1:40" x14ac:dyDescent="0.25">
      <c r="A103" s="1688"/>
      <c r="B103" s="1303">
        <f t="shared" si="78"/>
        <v>1950</v>
      </c>
      <c r="C103" s="1430">
        <f>B103-B102</f>
        <v>-10</v>
      </c>
      <c r="D103" s="1705"/>
      <c r="E103" s="1688"/>
      <c r="F103" s="1379" t="s">
        <v>342</v>
      </c>
      <c r="G103" s="1303">
        <f t="shared" si="83"/>
        <v>1950</v>
      </c>
      <c r="H103" s="1380">
        <f t="shared" ref="H103" si="87">IFERROR((G103-G102)/G102,0)</f>
        <v>-5.1020408163265302E-3</v>
      </c>
      <c r="I103" s="1433"/>
      <c r="J103" s="1434">
        <v>45</v>
      </c>
      <c r="K103" s="1434"/>
      <c r="L103" s="1434"/>
      <c r="M103" s="1435">
        <v>110</v>
      </c>
      <c r="N103" s="1435">
        <v>133</v>
      </c>
      <c r="O103" s="1435">
        <v>101</v>
      </c>
      <c r="P103" s="1435">
        <v>75</v>
      </c>
      <c r="Q103" s="1435">
        <v>100</v>
      </c>
      <c r="R103" s="1435">
        <v>80</v>
      </c>
      <c r="S103" s="1434">
        <v>24</v>
      </c>
      <c r="T103" s="1434">
        <v>48</v>
      </c>
      <c r="U103" s="1434">
        <v>31</v>
      </c>
      <c r="V103" s="1435">
        <v>91</v>
      </c>
      <c r="W103" s="1434">
        <v>36</v>
      </c>
      <c r="X103" s="1435">
        <v>127</v>
      </c>
      <c r="Y103" s="1435">
        <v>99</v>
      </c>
      <c r="Z103" s="1434">
        <v>31</v>
      </c>
      <c r="AA103" s="1434">
        <v>45</v>
      </c>
      <c r="AB103" s="1435">
        <v>97</v>
      </c>
      <c r="AC103" s="1435">
        <v>75</v>
      </c>
      <c r="AD103" s="1435">
        <v>104</v>
      </c>
      <c r="AE103" s="1435">
        <v>96</v>
      </c>
      <c r="AF103" s="1435">
        <v>74</v>
      </c>
      <c r="AG103" s="1435">
        <v>103</v>
      </c>
      <c r="AH103" s="1434">
        <v>19</v>
      </c>
      <c r="AI103" s="1434">
        <v>37</v>
      </c>
      <c r="AJ103" s="1435">
        <v>77</v>
      </c>
      <c r="AK103" s="1435">
        <v>78</v>
      </c>
      <c r="AL103" s="1434">
        <v>14</v>
      </c>
      <c r="AM103" s="1436"/>
      <c r="AN103" s="604"/>
    </row>
    <row r="104" spans="1:40" x14ac:dyDescent="0.25">
      <c r="A104" s="1688"/>
      <c r="B104" s="1382"/>
      <c r="C104" s="1383"/>
      <c r="D104" s="1705"/>
      <c r="E104" s="1688"/>
      <c r="F104" s="1389" t="s">
        <v>312</v>
      </c>
      <c r="G104" s="1382"/>
      <c r="H104" s="1383"/>
      <c r="I104" s="605"/>
      <c r="J104" s="605"/>
      <c r="K104" s="605"/>
      <c r="L104" s="605"/>
      <c r="M104" s="605"/>
      <c r="N104" s="605"/>
      <c r="O104" s="605"/>
      <c r="P104" s="605"/>
      <c r="Q104" s="606"/>
      <c r="R104" s="605"/>
      <c r="S104" s="605"/>
      <c r="T104" s="605"/>
      <c r="U104" s="605"/>
      <c r="V104" s="605"/>
      <c r="W104" s="605"/>
      <c r="X104" s="605"/>
      <c r="Y104" s="605"/>
      <c r="Z104" s="605"/>
      <c r="AA104" s="605"/>
      <c r="AB104" s="605"/>
      <c r="AC104" s="605"/>
      <c r="AD104" s="605"/>
      <c r="AE104" s="605"/>
      <c r="AF104" s="605"/>
      <c r="AG104" s="605"/>
      <c r="AH104" s="605"/>
      <c r="AI104" s="605"/>
      <c r="AJ104" s="605"/>
      <c r="AK104" s="605"/>
      <c r="AL104" s="605"/>
      <c r="AM104" s="607"/>
      <c r="AN104" s="604"/>
    </row>
    <row r="105" spans="1:40" x14ac:dyDescent="0.25">
      <c r="A105" s="1685" t="s">
        <v>343</v>
      </c>
      <c r="B105" s="1310">
        <f t="shared" ref="B105" si="88">SUMPRODUCT(I102:AL102,I105:AL105)/B102</f>
        <v>2.1700000000000004</v>
      </c>
      <c r="C105" s="1385"/>
      <c r="D105" s="1705"/>
      <c r="E105" s="1685" t="s">
        <v>343</v>
      </c>
      <c r="F105" s="1384" t="s">
        <v>344</v>
      </c>
      <c r="G105" s="1310">
        <f t="shared" ref="G105:G106" si="89">IFERROR(G107*1000/G102,0)</f>
        <v>2.8571428571428585</v>
      </c>
      <c r="H105" s="1385"/>
      <c r="I105" s="1445">
        <v>2.17</v>
      </c>
      <c r="J105" s="1445">
        <v>2.17</v>
      </c>
      <c r="K105" s="1445">
        <v>2.17</v>
      </c>
      <c r="L105" s="1437">
        <v>2.17</v>
      </c>
      <c r="M105" s="1437">
        <v>2.17</v>
      </c>
      <c r="N105" s="1437">
        <v>2.17</v>
      </c>
      <c r="O105" s="1437">
        <v>2.17</v>
      </c>
      <c r="P105" s="1437">
        <v>2.17</v>
      </c>
      <c r="Q105" s="1438">
        <v>2.17</v>
      </c>
      <c r="R105" s="1437">
        <v>2.17</v>
      </c>
      <c r="S105" s="1437">
        <v>2.17</v>
      </c>
      <c r="T105" s="1437">
        <v>2.17</v>
      </c>
      <c r="U105" s="1437">
        <v>2.17</v>
      </c>
      <c r="V105" s="1437">
        <v>2.17</v>
      </c>
      <c r="W105" s="1437">
        <v>2.17</v>
      </c>
      <c r="X105" s="1437">
        <v>2.17</v>
      </c>
      <c r="Y105" s="1437">
        <v>2.17</v>
      </c>
      <c r="Z105" s="1437">
        <v>2.17</v>
      </c>
      <c r="AA105" s="1437">
        <v>2.17</v>
      </c>
      <c r="AB105" s="1437">
        <v>2.17</v>
      </c>
      <c r="AC105" s="1437" t="s">
        <v>468</v>
      </c>
      <c r="AD105" s="1437">
        <v>2.17</v>
      </c>
      <c r="AE105" s="1437">
        <v>2.17</v>
      </c>
      <c r="AF105" s="1437">
        <v>2.17</v>
      </c>
      <c r="AG105" s="1437">
        <v>2.17</v>
      </c>
      <c r="AH105" s="1437">
        <v>2.17</v>
      </c>
      <c r="AI105" s="1437">
        <v>2.17</v>
      </c>
      <c r="AJ105" s="1437">
        <v>2.17</v>
      </c>
      <c r="AK105" s="1437">
        <v>2.17</v>
      </c>
      <c r="AL105" s="1437">
        <v>2.17</v>
      </c>
      <c r="AM105" s="1439" t="s">
        <v>468</v>
      </c>
      <c r="AN105" s="604"/>
    </row>
    <row r="106" spans="1:40" x14ac:dyDescent="0.25">
      <c r="A106" s="1707"/>
      <c r="B106" s="1314">
        <f t="shared" ref="B106" si="90">B105*(G106/B105)</f>
        <v>3.4871794871794868</v>
      </c>
      <c r="C106" s="1431">
        <f>B106-B105</f>
        <v>1.3171794871794864</v>
      </c>
      <c r="D106" s="1705"/>
      <c r="E106" s="1707"/>
      <c r="F106" s="1386" t="s">
        <v>345</v>
      </c>
      <c r="G106" s="1314">
        <f t="shared" si="89"/>
        <v>3.4871794871794868</v>
      </c>
      <c r="H106" s="1380">
        <f t="shared" ref="H106" si="91">IFERROR((G106-G105)/G105,0)</f>
        <v>0.22051282051281978</v>
      </c>
      <c r="I106" s="1433"/>
      <c r="J106" s="1443">
        <v>1.51</v>
      </c>
      <c r="K106" s="1442">
        <v>7</v>
      </c>
      <c r="L106" s="1434"/>
      <c r="M106" s="1442">
        <v>2.72</v>
      </c>
      <c r="N106" s="1442">
        <v>2.38</v>
      </c>
      <c r="O106" s="1442">
        <v>3.45</v>
      </c>
      <c r="P106" s="1443">
        <v>1.32</v>
      </c>
      <c r="Q106" s="1442">
        <v>2.72</v>
      </c>
      <c r="R106" s="1442">
        <v>3.66</v>
      </c>
      <c r="S106" s="1442">
        <v>3.81</v>
      </c>
      <c r="T106" s="1441">
        <v>1.96</v>
      </c>
      <c r="U106" s="1442">
        <v>2.2000000000000002</v>
      </c>
      <c r="V106" s="1442">
        <v>5</v>
      </c>
      <c r="W106" s="1442">
        <v>2.9</v>
      </c>
      <c r="X106" s="1442">
        <v>2.97</v>
      </c>
      <c r="Y106" s="1442">
        <v>7</v>
      </c>
      <c r="Z106" s="1442">
        <v>2.63</v>
      </c>
      <c r="AA106" s="1442">
        <v>3.23</v>
      </c>
      <c r="AB106" s="1442">
        <v>6.16</v>
      </c>
      <c r="AC106" s="1442">
        <v>4.83</v>
      </c>
      <c r="AD106" s="1442">
        <v>2.67</v>
      </c>
      <c r="AE106" s="1442">
        <v>2.73</v>
      </c>
      <c r="AF106" s="1443">
        <v>1.3</v>
      </c>
      <c r="AG106" s="1443">
        <v>0.79</v>
      </c>
      <c r="AH106" s="1442">
        <v>2.76</v>
      </c>
      <c r="AI106" s="1443">
        <v>1.1299999999999999</v>
      </c>
      <c r="AJ106" s="1442">
        <v>7</v>
      </c>
      <c r="AK106" s="1442">
        <v>5.92</v>
      </c>
      <c r="AL106" s="1442">
        <v>3.33</v>
      </c>
      <c r="AM106" s="1436"/>
      <c r="AN106" s="604"/>
    </row>
    <row r="107" spans="1:40" x14ac:dyDescent="0.25">
      <c r="A107" s="1685" t="s">
        <v>47</v>
      </c>
      <c r="B107" s="206">
        <f t="shared" si="84"/>
        <v>4.2532000000000005</v>
      </c>
      <c r="C107" s="1385"/>
      <c r="D107" s="1705"/>
      <c r="E107" s="1685" t="s">
        <v>47</v>
      </c>
      <c r="F107" s="1384" t="s">
        <v>346</v>
      </c>
      <c r="G107" s="206">
        <f t="shared" ref="G107:G108" si="92">SUMIF($I$9:$AM$9,"&lt;="&amp;$D$7,I107:AM107)</f>
        <v>5.6000000000000023</v>
      </c>
      <c r="H107" s="1385"/>
      <c r="I107" s="1445">
        <v>0.2</v>
      </c>
      <c r="J107" s="1445">
        <v>0.2</v>
      </c>
      <c r="K107" s="1445">
        <v>0.2</v>
      </c>
      <c r="L107" s="1445">
        <v>0.2</v>
      </c>
      <c r="M107" s="1445">
        <v>0.2</v>
      </c>
      <c r="N107" s="1445">
        <v>0.2</v>
      </c>
      <c r="O107" s="1445">
        <v>0.2</v>
      </c>
      <c r="P107" s="1445">
        <v>0.2</v>
      </c>
      <c r="Q107" s="1445">
        <v>0.2</v>
      </c>
      <c r="R107" s="1445">
        <v>0.2</v>
      </c>
      <c r="S107" s="1445">
        <v>0.2</v>
      </c>
      <c r="T107" s="1445">
        <v>0.2</v>
      </c>
      <c r="U107" s="1445">
        <v>0.2</v>
      </c>
      <c r="V107" s="1445">
        <v>0.2</v>
      </c>
      <c r="W107" s="1445">
        <v>0.2</v>
      </c>
      <c r="X107" s="1445">
        <v>0.2</v>
      </c>
      <c r="Y107" s="1445">
        <v>0.2</v>
      </c>
      <c r="Z107" s="1445">
        <v>0.2</v>
      </c>
      <c r="AA107" s="1445">
        <v>0.2</v>
      </c>
      <c r="AB107" s="1445" t="s">
        <v>468</v>
      </c>
      <c r="AC107" s="1445" t="s">
        <v>468</v>
      </c>
      <c r="AD107" s="1445">
        <v>0.2</v>
      </c>
      <c r="AE107" s="1445">
        <v>0.2</v>
      </c>
      <c r="AF107" s="1445">
        <v>0.2</v>
      </c>
      <c r="AG107" s="1445">
        <v>0.2</v>
      </c>
      <c r="AH107" s="1445">
        <v>0.2</v>
      </c>
      <c r="AI107" s="1445">
        <v>0.2</v>
      </c>
      <c r="AJ107" s="1445">
        <v>0.2</v>
      </c>
      <c r="AK107" s="1445">
        <v>0.2</v>
      </c>
      <c r="AL107" s="1445">
        <v>0.2</v>
      </c>
      <c r="AM107" s="1445" t="s">
        <v>468</v>
      </c>
      <c r="AN107" s="604"/>
    </row>
    <row r="108" spans="1:40" ht="15.75" thickBot="1" x14ac:dyDescent="0.3">
      <c r="A108" s="1708"/>
      <c r="B108" s="1321">
        <f t="shared" si="84"/>
        <v>6.7999999999999989</v>
      </c>
      <c r="C108" s="1432">
        <f>B108-B107</f>
        <v>2.5467999999999984</v>
      </c>
      <c r="D108" s="1706"/>
      <c r="E108" s="1708"/>
      <c r="F108" s="1387" t="s">
        <v>347</v>
      </c>
      <c r="G108" s="1321">
        <f t="shared" si="92"/>
        <v>6.7999999999999989</v>
      </c>
      <c r="H108" s="1388">
        <f t="shared" ref="H108" si="93">IFERROR((G108-G107)/G107,0)</f>
        <v>0.21428571428571361</v>
      </c>
      <c r="I108" s="1447" t="s">
        <v>468</v>
      </c>
      <c r="J108" s="1447">
        <v>0.1</v>
      </c>
      <c r="K108" s="1447" t="s">
        <v>468</v>
      </c>
      <c r="L108" s="1447" t="s">
        <v>468</v>
      </c>
      <c r="M108" s="1446">
        <v>0.3</v>
      </c>
      <c r="N108" s="1446">
        <v>0.3</v>
      </c>
      <c r="O108" s="1446">
        <v>0.3</v>
      </c>
      <c r="P108" s="1447">
        <v>0.1</v>
      </c>
      <c r="Q108" s="1446">
        <v>0.3</v>
      </c>
      <c r="R108" s="1446">
        <v>0.3</v>
      </c>
      <c r="S108" s="1447">
        <v>0.1</v>
      </c>
      <c r="T108" s="1447">
        <v>0.1</v>
      </c>
      <c r="U108" s="1447">
        <v>0.1</v>
      </c>
      <c r="V108" s="1446">
        <v>0.5</v>
      </c>
      <c r="W108" s="1447">
        <v>0.1</v>
      </c>
      <c r="X108" s="1446">
        <v>0.4</v>
      </c>
      <c r="Y108" s="1446">
        <v>0.7</v>
      </c>
      <c r="Z108" s="1447">
        <v>0.1</v>
      </c>
      <c r="AA108" s="1447">
        <v>0.1</v>
      </c>
      <c r="AB108" s="1446">
        <v>0.6</v>
      </c>
      <c r="AC108" s="1446">
        <v>0.4</v>
      </c>
      <c r="AD108" s="1446">
        <v>0.3</v>
      </c>
      <c r="AE108" s="1446">
        <v>0.3</v>
      </c>
      <c r="AF108" s="1447">
        <v>0.1</v>
      </c>
      <c r="AG108" s="1447">
        <v>0.1</v>
      </c>
      <c r="AH108" s="1447">
        <v>0.1</v>
      </c>
      <c r="AI108" s="1447">
        <v>0</v>
      </c>
      <c r="AJ108" s="1446">
        <v>0.5</v>
      </c>
      <c r="AK108" s="1446">
        <v>0.5</v>
      </c>
      <c r="AL108" s="1447">
        <v>0</v>
      </c>
      <c r="AM108" s="1448" t="s">
        <v>468</v>
      </c>
      <c r="AN108" s="610"/>
    </row>
  </sheetData>
  <mergeCells count="100">
    <mergeCell ref="A17:C17"/>
    <mergeCell ref="A100:A101"/>
    <mergeCell ref="A102:A104"/>
    <mergeCell ref="A105:A106"/>
    <mergeCell ref="A107:A108"/>
    <mergeCell ref="A88:A90"/>
    <mergeCell ref="A91:A92"/>
    <mergeCell ref="A93:A94"/>
    <mergeCell ref="A95:A97"/>
    <mergeCell ref="A98:A99"/>
    <mergeCell ref="A77:A78"/>
    <mergeCell ref="A79:A80"/>
    <mergeCell ref="A81:A83"/>
    <mergeCell ref="A84:A85"/>
    <mergeCell ref="A86:A87"/>
    <mergeCell ref="A65:A66"/>
    <mergeCell ref="A67:A69"/>
    <mergeCell ref="A70:A71"/>
    <mergeCell ref="A72:A73"/>
    <mergeCell ref="A74:A76"/>
    <mergeCell ref="A53:A55"/>
    <mergeCell ref="A56:A57"/>
    <mergeCell ref="A58:A59"/>
    <mergeCell ref="A60:A62"/>
    <mergeCell ref="A63:A64"/>
    <mergeCell ref="A42:A43"/>
    <mergeCell ref="A44:A45"/>
    <mergeCell ref="A46:A48"/>
    <mergeCell ref="A49:A50"/>
    <mergeCell ref="A51:A52"/>
    <mergeCell ref="A30:A31"/>
    <mergeCell ref="A32:A34"/>
    <mergeCell ref="A35:A36"/>
    <mergeCell ref="A37:A38"/>
    <mergeCell ref="A39:A41"/>
    <mergeCell ref="A18:A20"/>
    <mergeCell ref="A21:A22"/>
    <mergeCell ref="A23:A24"/>
    <mergeCell ref="A25:A27"/>
    <mergeCell ref="A28:A29"/>
    <mergeCell ref="D32:D38"/>
    <mergeCell ref="D39:D45"/>
    <mergeCell ref="D53:D59"/>
    <mergeCell ref="E53:E55"/>
    <mergeCell ref="E56:E57"/>
    <mergeCell ref="E58:E59"/>
    <mergeCell ref="D46:D52"/>
    <mergeCell ref="E46:E48"/>
    <mergeCell ref="E49:E50"/>
    <mergeCell ref="E21:E22"/>
    <mergeCell ref="E23:E24"/>
    <mergeCell ref="E18:E20"/>
    <mergeCell ref="D18:D24"/>
    <mergeCell ref="D25:D31"/>
    <mergeCell ref="I2:J2"/>
    <mergeCell ref="I3:J3"/>
    <mergeCell ref="I4:J4"/>
    <mergeCell ref="L2:O2"/>
    <mergeCell ref="L3:O3"/>
    <mergeCell ref="L4:O4"/>
    <mergeCell ref="L5:O5"/>
    <mergeCell ref="L6:O6"/>
    <mergeCell ref="D60:D66"/>
    <mergeCell ref="E60:E62"/>
    <mergeCell ref="E63:E64"/>
    <mergeCell ref="E65:E66"/>
    <mergeCell ref="E51:E52"/>
    <mergeCell ref="E35:E36"/>
    <mergeCell ref="E37:E38"/>
    <mergeCell ref="E39:E41"/>
    <mergeCell ref="E42:E43"/>
    <mergeCell ref="E44:E45"/>
    <mergeCell ref="E25:E27"/>
    <mergeCell ref="E28:E29"/>
    <mergeCell ref="E30:E31"/>
    <mergeCell ref="E32:E34"/>
    <mergeCell ref="D74:D80"/>
    <mergeCell ref="E74:E76"/>
    <mergeCell ref="E77:E78"/>
    <mergeCell ref="E79:E80"/>
    <mergeCell ref="D67:D73"/>
    <mergeCell ref="E67:E69"/>
    <mergeCell ref="E70:E71"/>
    <mergeCell ref="E72:E73"/>
    <mergeCell ref="D95:D101"/>
    <mergeCell ref="E95:E97"/>
    <mergeCell ref="E98:E99"/>
    <mergeCell ref="E100:E101"/>
    <mergeCell ref="D102:D108"/>
    <mergeCell ref="E102:E104"/>
    <mergeCell ref="E105:E106"/>
    <mergeCell ref="E107:E108"/>
    <mergeCell ref="D81:D87"/>
    <mergeCell ref="D88:D94"/>
    <mergeCell ref="E88:E90"/>
    <mergeCell ref="E91:E92"/>
    <mergeCell ref="E93:E94"/>
    <mergeCell ref="E81:E83"/>
    <mergeCell ref="E84:E85"/>
    <mergeCell ref="E86:E87"/>
  </mergeCells>
  <conditionalFormatting sqref="B19 B26 B33 B40 B47 B54 B61 B68 B75 B82 B89 B96 B103">
    <cfRule type="cellIs" dxfId="711" priority="192" stopIfTrue="1" operator="lessThan">
      <formula>B18</formula>
    </cfRule>
    <cfRule type="cellIs" dxfId="710" priority="193" stopIfTrue="1" operator="greaterThanOrEqual">
      <formula>B18</formula>
    </cfRule>
  </conditionalFormatting>
  <conditionalFormatting sqref="B22 B24 B29 B31 B36 B38 B43 B45 B50 B52 B57 B59 B64 B66 B71 B73 B78 B80 B85 B87 B92 B94 B99 B101 B106 B108">
    <cfRule type="cellIs" dxfId="709" priority="189" stopIfTrue="1" operator="greaterThanOrEqual">
      <formula>B21</formula>
    </cfRule>
    <cfRule type="cellIs" dxfId="708" priority="188" stopIfTrue="1" operator="lessThan">
      <formula>B21</formula>
    </cfRule>
  </conditionalFormatting>
  <conditionalFormatting sqref="C19 C26 C33 C40 C47 C54 C61 C68 C75 C82 C89 C96 C103">
    <cfRule type="cellIs" dxfId="707" priority="190" operator="greaterThan">
      <formula>0</formula>
    </cfRule>
    <cfRule type="cellIs" dxfId="706" priority="191" operator="lessThan">
      <formula>0</formula>
    </cfRule>
  </conditionalFormatting>
  <conditionalFormatting sqref="C22">
    <cfRule type="cellIs" dxfId="705" priority="181" operator="greaterThan">
      <formula>0</formula>
    </cfRule>
    <cfRule type="cellIs" dxfId="704" priority="182" operator="lessThan">
      <formula>0</formula>
    </cfRule>
  </conditionalFormatting>
  <conditionalFormatting sqref="C24">
    <cfRule type="cellIs" dxfId="703" priority="178" operator="greaterThan">
      <formula>0</formula>
    </cfRule>
    <cfRule type="cellIs" dxfId="702" priority="179" operator="lessThan">
      <formula>0</formula>
    </cfRule>
  </conditionalFormatting>
  <conditionalFormatting sqref="C29 C36 C43 C50 C57 C64 C71 C78 C85 C92 C99 C106">
    <cfRule type="cellIs" dxfId="701" priority="97" operator="greaterThan">
      <formula>0</formula>
    </cfRule>
    <cfRule type="cellIs" dxfId="700" priority="98" operator="lessThan">
      <formula>0</formula>
    </cfRule>
  </conditionalFormatting>
  <conditionalFormatting sqref="C31 C38 C45 C52 C59 C66 C73 C80 C87 C94 C101 C108">
    <cfRule type="cellIs" dxfId="699" priority="94" operator="greaterThan">
      <formula>0</formula>
    </cfRule>
    <cfRule type="cellIs" dxfId="698" priority="95" operator="lessThan">
      <formula>0</formula>
    </cfRule>
  </conditionalFormatting>
  <conditionalFormatting sqref="E10:E12">
    <cfRule type="cellIs" dxfId="697" priority="455" stopIfTrue="1" operator="lessThan">
      <formula>D10</formula>
    </cfRule>
    <cfRule type="cellIs" dxfId="696" priority="456" stopIfTrue="1" operator="greaterThanOrEqual">
      <formula>D10</formula>
    </cfRule>
  </conditionalFormatting>
  <conditionalFormatting sqref="F10:F12">
    <cfRule type="cellIs" dxfId="695" priority="454" stopIfTrue="1" operator="greaterThanOrEqual">
      <formula>0</formula>
    </cfRule>
    <cfRule type="cellIs" dxfId="694" priority="453" stopIfTrue="1" operator="lessThan">
      <formula>0</formula>
    </cfRule>
  </conditionalFormatting>
  <conditionalFormatting sqref="G19">
    <cfRule type="cellIs" dxfId="693" priority="476" stopIfTrue="1" operator="greaterThanOrEqual">
      <formula>G18</formula>
    </cfRule>
    <cfRule type="cellIs" dxfId="692" priority="475" stopIfTrue="1" operator="lessThan">
      <formula>G18</formula>
    </cfRule>
  </conditionalFormatting>
  <conditionalFormatting sqref="G22 G24">
    <cfRule type="cellIs" dxfId="691" priority="472" stopIfTrue="1" operator="greaterThanOrEqual">
      <formula>G21</formula>
    </cfRule>
    <cfRule type="cellIs" dxfId="690" priority="471" stopIfTrue="1" operator="lessThan">
      <formula>G21</formula>
    </cfRule>
  </conditionalFormatting>
  <conditionalFormatting sqref="G26 G33 G40 G47 G54 G61">
    <cfRule type="cellIs" dxfId="689" priority="466" stopIfTrue="1" operator="greaterThanOrEqual">
      <formula>G25</formula>
    </cfRule>
    <cfRule type="cellIs" dxfId="688" priority="465" stopIfTrue="1" operator="lessThan">
      <formula>G25</formula>
    </cfRule>
  </conditionalFormatting>
  <conditionalFormatting sqref="G29 G31 G36 G38 G43 G45 G50 G52 G57 G59 G64 G66">
    <cfRule type="cellIs" dxfId="687" priority="462" stopIfTrue="1" operator="greaterThanOrEqual">
      <formula>G28</formula>
    </cfRule>
    <cfRule type="cellIs" dxfId="686" priority="461" stopIfTrue="1" operator="lessThan">
      <formula>G28</formula>
    </cfRule>
  </conditionalFormatting>
  <conditionalFormatting sqref="G68">
    <cfRule type="cellIs" dxfId="685" priority="435" stopIfTrue="1" operator="lessThan">
      <formula>G67</formula>
    </cfRule>
    <cfRule type="cellIs" dxfId="684" priority="436" stopIfTrue="1" operator="greaterThanOrEqual">
      <formula>G67</formula>
    </cfRule>
  </conditionalFormatting>
  <conditionalFormatting sqref="G71 G73">
    <cfRule type="cellIs" dxfId="683" priority="432" stopIfTrue="1" operator="greaterThanOrEqual">
      <formula>G70</formula>
    </cfRule>
    <cfRule type="cellIs" dxfId="682" priority="431" stopIfTrue="1" operator="lessThan">
      <formula>G70</formula>
    </cfRule>
  </conditionalFormatting>
  <conditionalFormatting sqref="G75">
    <cfRule type="cellIs" dxfId="681" priority="410" stopIfTrue="1" operator="greaterThanOrEqual">
      <formula>G74</formula>
    </cfRule>
    <cfRule type="cellIs" dxfId="680" priority="409" stopIfTrue="1" operator="lessThan">
      <formula>G74</formula>
    </cfRule>
  </conditionalFormatting>
  <conditionalFormatting sqref="G78 G80">
    <cfRule type="cellIs" dxfId="679" priority="405" stopIfTrue="1" operator="lessThan">
      <formula>G77</formula>
    </cfRule>
    <cfRule type="cellIs" dxfId="678" priority="406" stopIfTrue="1" operator="greaterThanOrEqual">
      <formula>G77</formula>
    </cfRule>
  </conditionalFormatting>
  <conditionalFormatting sqref="G82">
    <cfRule type="cellIs" dxfId="677" priority="384" stopIfTrue="1" operator="greaterThanOrEqual">
      <formula>G81</formula>
    </cfRule>
    <cfRule type="cellIs" dxfId="676" priority="383" stopIfTrue="1" operator="lessThan">
      <formula>G81</formula>
    </cfRule>
  </conditionalFormatting>
  <conditionalFormatting sqref="G85 G87">
    <cfRule type="cellIs" dxfId="675" priority="379" stopIfTrue="1" operator="lessThan">
      <formula>G84</formula>
    </cfRule>
    <cfRule type="cellIs" dxfId="674" priority="380" stopIfTrue="1" operator="greaterThanOrEqual">
      <formula>G84</formula>
    </cfRule>
  </conditionalFormatting>
  <conditionalFormatting sqref="G89">
    <cfRule type="cellIs" dxfId="673" priority="363" stopIfTrue="1" operator="lessThan">
      <formula>G88</formula>
    </cfRule>
    <cfRule type="cellIs" dxfId="672" priority="364" stopIfTrue="1" operator="greaterThanOrEqual">
      <formula>G88</formula>
    </cfRule>
  </conditionalFormatting>
  <conditionalFormatting sqref="G92 G94">
    <cfRule type="cellIs" dxfId="671" priority="359" stopIfTrue="1" operator="lessThan">
      <formula>G91</formula>
    </cfRule>
    <cfRule type="cellIs" dxfId="670" priority="360" stopIfTrue="1" operator="greaterThanOrEqual">
      <formula>G91</formula>
    </cfRule>
  </conditionalFormatting>
  <conditionalFormatting sqref="G96">
    <cfRule type="cellIs" dxfId="669" priority="337" stopIfTrue="1" operator="lessThan">
      <formula>G95</formula>
    </cfRule>
    <cfRule type="cellIs" dxfId="668" priority="338" stopIfTrue="1" operator="greaterThanOrEqual">
      <formula>G95</formula>
    </cfRule>
  </conditionalFormatting>
  <conditionalFormatting sqref="G99 G101">
    <cfRule type="cellIs" dxfId="667" priority="333" stopIfTrue="1" operator="lessThan">
      <formula>G98</formula>
    </cfRule>
    <cfRule type="cellIs" dxfId="666" priority="334" stopIfTrue="1" operator="greaterThanOrEqual">
      <formula>G98</formula>
    </cfRule>
  </conditionalFormatting>
  <conditionalFormatting sqref="G103">
    <cfRule type="cellIs" dxfId="665" priority="312" stopIfTrue="1" operator="greaterThanOrEqual">
      <formula>G102</formula>
    </cfRule>
    <cfRule type="cellIs" dxfId="664" priority="311" stopIfTrue="1" operator="lessThan">
      <formula>G102</formula>
    </cfRule>
  </conditionalFormatting>
  <conditionalFormatting sqref="G106 G108">
    <cfRule type="cellIs" dxfId="663" priority="307" stopIfTrue="1" operator="lessThan">
      <formula>G105</formula>
    </cfRule>
    <cfRule type="cellIs" dxfId="662" priority="308" stopIfTrue="1" operator="greaterThanOrEqual">
      <formula>G105</formula>
    </cfRule>
  </conditionalFormatting>
  <conditionalFormatting sqref="H19">
    <cfRule type="cellIs" dxfId="661" priority="474" operator="lessThan">
      <formula>0</formula>
    </cfRule>
    <cfRule type="cellIs" dxfId="660" priority="473" operator="greaterThan">
      <formula>0</formula>
    </cfRule>
  </conditionalFormatting>
  <conditionalFormatting sqref="H22">
    <cfRule type="cellIs" dxfId="659" priority="470" operator="lessThan">
      <formula>0</formula>
    </cfRule>
    <cfRule type="cellIs" dxfId="658" priority="469" operator="greaterThan">
      <formula>0</formula>
    </cfRule>
  </conditionalFormatting>
  <conditionalFormatting sqref="H24">
    <cfRule type="cellIs" dxfId="657" priority="468" operator="lessThan">
      <formula>0</formula>
    </cfRule>
    <cfRule type="cellIs" dxfId="656" priority="467" operator="greaterThan">
      <formula>0</formula>
    </cfRule>
  </conditionalFormatting>
  <conditionalFormatting sqref="H26 H33 H40 H47 H54 H61">
    <cfRule type="cellIs" dxfId="655" priority="464" operator="lessThan">
      <formula>0</formula>
    </cfRule>
    <cfRule type="cellIs" dxfId="654" priority="463" operator="greaterThan">
      <formula>0</formula>
    </cfRule>
  </conditionalFormatting>
  <conditionalFormatting sqref="H29 H36 H43 H50 H57 H64">
    <cfRule type="cellIs" dxfId="653" priority="460" operator="lessThan">
      <formula>0</formula>
    </cfRule>
    <cfRule type="cellIs" dxfId="652" priority="459" operator="greaterThan">
      <formula>0</formula>
    </cfRule>
  </conditionalFormatting>
  <conditionalFormatting sqref="H31 H38 H45 H52 H59 H66">
    <cfRule type="cellIs" dxfId="651" priority="457" operator="greaterThan">
      <formula>0</formula>
    </cfRule>
    <cfRule type="cellIs" dxfId="650" priority="458" operator="lessThan">
      <formula>0</formula>
    </cfRule>
  </conditionalFormatting>
  <conditionalFormatting sqref="H68">
    <cfRule type="cellIs" dxfId="649" priority="433" operator="greaterThan">
      <formula>0</formula>
    </cfRule>
    <cfRule type="cellIs" dxfId="648" priority="434" operator="lessThan">
      <formula>0</formula>
    </cfRule>
  </conditionalFormatting>
  <conditionalFormatting sqref="H71">
    <cfRule type="cellIs" dxfId="647" priority="429" operator="greaterThan">
      <formula>0</formula>
    </cfRule>
    <cfRule type="cellIs" dxfId="646" priority="430" operator="lessThan">
      <formula>0</formula>
    </cfRule>
  </conditionalFormatting>
  <conditionalFormatting sqref="H73">
    <cfRule type="cellIs" dxfId="645" priority="428" operator="lessThan">
      <formula>0</formula>
    </cfRule>
    <cfRule type="cellIs" dxfId="644" priority="427" operator="greaterThan">
      <formula>0</formula>
    </cfRule>
  </conditionalFormatting>
  <conditionalFormatting sqref="H75">
    <cfRule type="cellIs" dxfId="643" priority="407" operator="greaterThan">
      <formula>0</formula>
    </cfRule>
    <cfRule type="cellIs" dxfId="642" priority="408" operator="lessThan">
      <formula>0</formula>
    </cfRule>
  </conditionalFormatting>
  <conditionalFormatting sqref="H78">
    <cfRule type="cellIs" dxfId="641" priority="403" operator="greaterThan">
      <formula>0</formula>
    </cfRule>
    <cfRule type="cellIs" dxfId="640" priority="404" operator="lessThan">
      <formula>0</formula>
    </cfRule>
  </conditionalFormatting>
  <conditionalFormatting sqref="H80">
    <cfRule type="cellIs" dxfId="639" priority="401" operator="greaterThan">
      <formula>0</formula>
    </cfRule>
    <cfRule type="cellIs" dxfId="638" priority="402" operator="lessThan">
      <formula>0</formula>
    </cfRule>
  </conditionalFormatting>
  <conditionalFormatting sqref="H82">
    <cfRule type="cellIs" dxfId="637" priority="382" operator="lessThan">
      <formula>0</formula>
    </cfRule>
    <cfRule type="cellIs" dxfId="636" priority="381" operator="greaterThan">
      <formula>0</formula>
    </cfRule>
  </conditionalFormatting>
  <conditionalFormatting sqref="H85">
    <cfRule type="cellIs" dxfId="635" priority="378" operator="lessThan">
      <formula>0</formula>
    </cfRule>
    <cfRule type="cellIs" dxfId="634" priority="377" operator="greaterThan">
      <formula>0</formula>
    </cfRule>
  </conditionalFormatting>
  <conditionalFormatting sqref="H87">
    <cfRule type="cellIs" dxfId="633" priority="375" operator="greaterThan">
      <formula>0</formula>
    </cfRule>
    <cfRule type="cellIs" dxfId="632" priority="376" operator="lessThan">
      <formula>0</formula>
    </cfRule>
  </conditionalFormatting>
  <conditionalFormatting sqref="H89">
    <cfRule type="cellIs" dxfId="631" priority="362" operator="lessThan">
      <formula>0</formula>
    </cfRule>
    <cfRule type="cellIs" dxfId="630" priority="361" operator="greaterThan">
      <formula>0</formula>
    </cfRule>
  </conditionalFormatting>
  <conditionalFormatting sqref="H92">
    <cfRule type="cellIs" dxfId="629" priority="358" operator="lessThan">
      <formula>0</formula>
    </cfRule>
    <cfRule type="cellIs" dxfId="628" priority="357" operator="greaterThan">
      <formula>0</formula>
    </cfRule>
  </conditionalFormatting>
  <conditionalFormatting sqref="H94">
    <cfRule type="cellIs" dxfId="627" priority="356" operator="lessThan">
      <formula>0</formula>
    </cfRule>
    <cfRule type="cellIs" dxfId="626" priority="355" operator="greaterThan">
      <formula>0</formula>
    </cfRule>
  </conditionalFormatting>
  <conditionalFormatting sqref="H96">
    <cfRule type="cellIs" dxfId="625" priority="335" operator="greaterThan">
      <formula>0</formula>
    </cfRule>
    <cfRule type="cellIs" dxfId="624" priority="336" operator="lessThan">
      <formula>0</formula>
    </cfRule>
  </conditionalFormatting>
  <conditionalFormatting sqref="H99">
    <cfRule type="cellIs" dxfId="623" priority="331" operator="greaterThan">
      <formula>0</formula>
    </cfRule>
    <cfRule type="cellIs" dxfId="622" priority="332" operator="lessThan">
      <formula>0</formula>
    </cfRule>
  </conditionalFormatting>
  <conditionalFormatting sqref="H101">
    <cfRule type="cellIs" dxfId="621" priority="329" operator="greaterThan">
      <formula>0</formula>
    </cfRule>
    <cfRule type="cellIs" dxfId="620" priority="330" operator="lessThan">
      <formula>0</formula>
    </cfRule>
  </conditionalFormatting>
  <conditionalFormatting sqref="H103">
    <cfRule type="cellIs" dxfId="619" priority="310" operator="lessThan">
      <formula>0</formula>
    </cfRule>
    <cfRule type="cellIs" dxfId="618" priority="309" operator="greaterThan">
      <formula>0</formula>
    </cfRule>
  </conditionalFormatting>
  <conditionalFormatting sqref="H106">
    <cfRule type="cellIs" dxfId="617" priority="306" operator="lessThan">
      <formula>0</formula>
    </cfRule>
    <cfRule type="cellIs" dxfId="616" priority="305" operator="greaterThan">
      <formula>0</formula>
    </cfRule>
  </conditionalFormatting>
  <conditionalFormatting sqref="H108">
    <cfRule type="cellIs" dxfId="615" priority="304" operator="lessThan">
      <formula>0</formula>
    </cfRule>
    <cfRule type="cellIs" dxfId="614" priority="303" operator="greaterThan">
      <formula>0</formula>
    </cfRule>
  </conditionalFormatting>
  <conditionalFormatting sqref="I13">
    <cfRule type="cellIs" dxfId="613" priority="294" operator="greaterThanOrEqual">
      <formula>0.6</formula>
    </cfRule>
  </conditionalFormatting>
  <conditionalFormatting sqref="I15">
    <cfRule type="cellIs" dxfId="612" priority="287" operator="greaterThanOrEqual">
      <formula>I14</formula>
    </cfRule>
    <cfRule type="cellIs" dxfId="611" priority="286" operator="lessThan">
      <formula>I14</formula>
    </cfRule>
  </conditionalFormatting>
  <conditionalFormatting sqref="I11:AM11 I13:AM13">
    <cfRule type="expression" dxfId="610" priority="339">
      <formula>I$9&gt;$D$7</formula>
    </cfRule>
  </conditionalFormatting>
  <conditionalFormatting sqref="I11:AM11">
    <cfRule type="cellIs" dxfId="609" priority="295" operator="greaterThanOrEqual">
      <formula>I10</formula>
    </cfRule>
    <cfRule type="cellIs" dxfId="608" priority="293" operator="lessThan">
      <formula>I10</formula>
    </cfRule>
    <cfRule type="expression" dxfId="607" priority="497">
      <formula>I10=""</formula>
    </cfRule>
  </conditionalFormatting>
  <conditionalFormatting sqref="I13:AM13">
    <cfRule type="cellIs" dxfId="606" priority="292" operator="greaterThanOrEqual">
      <formula>2</formula>
    </cfRule>
    <cfRule type="cellIs" dxfId="605" priority="291" operator="greaterThanOrEqual">
      <formula>I12</formula>
    </cfRule>
    <cfRule type="cellIs" dxfId="604" priority="290" operator="lessThan">
      <formula>I12</formula>
    </cfRule>
    <cfRule type="expression" dxfId="603" priority="289">
      <formula>I12=""</formula>
    </cfRule>
    <cfRule type="cellIs" dxfId="602" priority="492" operator="between">
      <formula>1.6</formula>
      <formula>2</formula>
    </cfRule>
  </conditionalFormatting>
  <conditionalFormatting sqref="I15:AM15">
    <cfRule type="expression" dxfId="601" priority="288">
      <formula>I$9&gt;$D$7</formula>
    </cfRule>
    <cfRule type="expression" dxfId="600" priority="285">
      <formula>I14=""</formula>
    </cfRule>
  </conditionalFormatting>
  <conditionalFormatting sqref="J13:AM13">
    <cfRule type="cellIs" dxfId="599" priority="493" operator="greaterThanOrEqual">
      <formula>0.6</formula>
    </cfRule>
  </conditionalFormatting>
  <conditionalFormatting sqref="J15:AM15">
    <cfRule type="cellIs" dxfId="598" priority="490" operator="lessThan">
      <formula>J14</formula>
    </cfRule>
    <cfRule type="cellIs" dxfId="597" priority="491" operator="greaterThanOrEqual">
      <formula>J14</formula>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iconSet" priority="183" id="{557A27D6-9961-4536-8420-AFAC11B6BB93}">
            <x14:iconSet iconSet="3Triangles">
              <x14:cfvo type="percent">
                <xm:f>0</xm:f>
              </x14:cfvo>
              <x14:cfvo type="num">
                <xm:f>0</xm:f>
              </x14:cfvo>
              <x14:cfvo type="num">
                <xm:f>0</xm:f>
              </x14:cfvo>
            </x14:iconSet>
          </x14:cfRule>
          <xm:sqref>C19</xm:sqref>
        </x14:conditionalFormatting>
        <x14:conditionalFormatting xmlns:xm="http://schemas.microsoft.com/office/excel/2006/main">
          <x14:cfRule type="iconSet" priority="180" id="{B05A461C-1E7D-4324-B74D-B1F8198057D0}">
            <x14:iconSet iconSet="3Triangles">
              <x14:cfvo type="percent">
                <xm:f>0</xm:f>
              </x14:cfvo>
              <x14:cfvo type="num">
                <xm:f>0</xm:f>
              </x14:cfvo>
              <x14:cfvo type="num">
                <xm:f>0</xm:f>
              </x14:cfvo>
            </x14:iconSet>
          </x14:cfRule>
          <xm:sqref>C22</xm:sqref>
        </x14:conditionalFormatting>
        <x14:conditionalFormatting xmlns:xm="http://schemas.microsoft.com/office/excel/2006/main">
          <x14:cfRule type="iconSet" priority="177" id="{8C3B4A99-B1ED-4800-9569-4328631BE7A3}">
            <x14:iconSet iconSet="3Triangles">
              <x14:cfvo type="percent">
                <xm:f>0</xm:f>
              </x14:cfvo>
              <x14:cfvo type="num">
                <xm:f>0</xm:f>
              </x14:cfvo>
              <x14:cfvo type="num">
                <xm:f>0</xm:f>
              </x14:cfvo>
            </x14:iconSet>
          </x14:cfRule>
          <xm:sqref>C24</xm:sqref>
        </x14:conditionalFormatting>
        <x14:conditionalFormatting xmlns:xm="http://schemas.microsoft.com/office/excel/2006/main">
          <x14:cfRule type="iconSet" priority="99" id="{898C33FA-DE7C-473F-AB5E-E2E75DE99054}">
            <x14:iconSet iconSet="3Triangles">
              <x14:cfvo type="percent">
                <xm:f>0</xm:f>
              </x14:cfvo>
              <x14:cfvo type="num">
                <xm:f>0</xm:f>
              </x14:cfvo>
              <x14:cfvo type="num">
                <xm:f>0</xm:f>
              </x14:cfvo>
            </x14:iconSet>
          </x14:cfRule>
          <xm:sqref>C26 C33 C40 C47 C54 C61 C68 C75 C82 C89 C96 C103</xm:sqref>
        </x14:conditionalFormatting>
        <x14:conditionalFormatting xmlns:xm="http://schemas.microsoft.com/office/excel/2006/main">
          <x14:cfRule type="iconSet" priority="96" id="{8167C221-5FB7-45E8-94CE-DFE8C1670265}">
            <x14:iconSet iconSet="3Triangles">
              <x14:cfvo type="percent">
                <xm:f>0</xm:f>
              </x14:cfvo>
              <x14:cfvo type="num">
                <xm:f>0</xm:f>
              </x14:cfvo>
              <x14:cfvo type="num">
                <xm:f>0</xm:f>
              </x14:cfvo>
            </x14:iconSet>
          </x14:cfRule>
          <xm:sqref>C29 C36 C43 C50 C57 C64 C71 C78 C85 C92 C99 C106</xm:sqref>
        </x14:conditionalFormatting>
        <x14:conditionalFormatting xmlns:xm="http://schemas.microsoft.com/office/excel/2006/main">
          <x14:cfRule type="iconSet" priority="93" id="{B2CCC4F1-3857-4479-8627-AB784D997AEB}">
            <x14:iconSet iconSet="3Triangles">
              <x14:cfvo type="percent">
                <xm:f>0</xm:f>
              </x14:cfvo>
              <x14:cfvo type="num">
                <xm:f>0</xm:f>
              </x14:cfvo>
              <x14:cfvo type="num">
                <xm:f>0</xm:f>
              </x14:cfvo>
            </x14:iconSet>
          </x14:cfRule>
          <xm:sqref>C31 C38 C45 C52 C59 C66 C73 C80 C87 C94 C101 C108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9B1CB-158E-4B4F-B460-1F17E89F789F}">
  <dimension ref="A1:AM108"/>
  <sheetViews>
    <sheetView topLeftCell="A3" workbookViewId="0">
      <selection activeCell="D14" sqref="D14"/>
    </sheetView>
  </sheetViews>
  <sheetFormatPr defaultRowHeight="15" x14ac:dyDescent="0.25"/>
  <sheetData>
    <row r="1" spans="1:39" ht="15.75" thickBot="1" x14ac:dyDescent="0.3">
      <c r="A1" s="182"/>
      <c r="B1" s="181"/>
      <c r="C1" s="341"/>
      <c r="D1" s="341"/>
      <c r="E1" s="182"/>
      <c r="F1" s="182"/>
      <c r="G1" s="182"/>
      <c r="H1" s="675"/>
      <c r="I1" s="182"/>
      <c r="J1" s="341"/>
      <c r="K1" s="341"/>
      <c r="L1" s="341"/>
      <c r="M1" s="676"/>
      <c r="N1" s="677"/>
      <c r="O1" s="677"/>
      <c r="P1" s="182"/>
      <c r="Q1" s="182"/>
      <c r="R1" s="182"/>
      <c r="S1" s="182"/>
      <c r="T1" s="182"/>
      <c r="U1" s="182"/>
      <c r="V1" s="182"/>
      <c r="W1" s="182"/>
      <c r="X1" s="182"/>
      <c r="Y1" s="182"/>
      <c r="Z1" s="182"/>
      <c r="AA1" s="182"/>
      <c r="AB1" s="182"/>
      <c r="AC1" s="182"/>
      <c r="AD1" s="182"/>
      <c r="AE1" s="182"/>
      <c r="AF1" s="182"/>
      <c r="AG1" s="182"/>
      <c r="AH1" s="182"/>
      <c r="AI1" s="182"/>
      <c r="AJ1" s="182"/>
      <c r="AK1" s="182"/>
      <c r="AL1" s="182"/>
      <c r="AM1" s="182"/>
    </row>
    <row r="2" spans="1:39" ht="15.75" thickBot="1" x14ac:dyDescent="0.3">
      <c r="A2" s="182"/>
      <c r="B2" s="183" t="s">
        <v>221</v>
      </c>
      <c r="C2" s="182"/>
      <c r="D2" s="181"/>
      <c r="E2" s="240"/>
      <c r="F2" s="240"/>
      <c r="G2" s="181"/>
      <c r="H2" s="1647" t="s">
        <v>310</v>
      </c>
      <c r="I2" s="1648"/>
      <c r="J2" s="182"/>
      <c r="K2" s="1647" t="s">
        <v>311</v>
      </c>
      <c r="L2" s="1649"/>
      <c r="M2" s="1649"/>
      <c r="N2" s="1648"/>
      <c r="O2" s="677"/>
      <c r="P2" s="678" t="s">
        <v>312</v>
      </c>
      <c r="Q2" s="679"/>
      <c r="R2" s="679"/>
      <c r="S2" s="679"/>
      <c r="T2" s="680"/>
      <c r="U2" s="182"/>
      <c r="V2" s="182"/>
      <c r="W2" s="182"/>
      <c r="X2" s="182"/>
      <c r="Y2" s="182"/>
      <c r="Z2" s="182"/>
      <c r="AA2" s="182"/>
      <c r="AB2" s="182"/>
      <c r="AC2" s="182"/>
      <c r="AD2" s="182"/>
      <c r="AE2" s="182"/>
      <c r="AF2" s="182"/>
      <c r="AG2" s="182"/>
      <c r="AH2" s="182"/>
      <c r="AI2" s="182"/>
      <c r="AJ2" s="182"/>
      <c r="AK2" s="182"/>
      <c r="AL2" s="182"/>
      <c r="AM2" s="182"/>
    </row>
    <row r="3" spans="1:39" x14ac:dyDescent="0.25">
      <c r="A3" s="182"/>
      <c r="B3" s="244" t="s">
        <v>313</v>
      </c>
      <c r="C3" s="182"/>
      <c r="D3" s="342"/>
      <c r="E3" s="184"/>
      <c r="F3" s="240"/>
      <c r="G3" s="181"/>
      <c r="H3" s="1700" t="s">
        <v>314</v>
      </c>
      <c r="I3" s="1701"/>
      <c r="J3" s="182"/>
      <c r="K3" s="1673" t="s">
        <v>315</v>
      </c>
      <c r="L3" s="1674"/>
      <c r="M3" s="1674"/>
      <c r="N3" s="1675"/>
      <c r="O3" s="677"/>
      <c r="P3" s="245" t="s">
        <v>350</v>
      </c>
      <c r="Q3" s="246"/>
      <c r="R3" s="246"/>
      <c r="S3" s="246"/>
      <c r="T3" s="247"/>
      <c r="U3" s="182"/>
      <c r="V3" s="182"/>
      <c r="W3" s="182"/>
      <c r="X3" s="182"/>
      <c r="Y3" s="182"/>
      <c r="Z3" s="182"/>
      <c r="AA3" s="182"/>
      <c r="AB3" s="182"/>
      <c r="AC3" s="182"/>
      <c r="AD3" s="182"/>
      <c r="AE3" s="182"/>
      <c r="AF3" s="182"/>
      <c r="AG3" s="182"/>
      <c r="AH3" s="182"/>
      <c r="AI3" s="182"/>
      <c r="AJ3" s="182"/>
      <c r="AK3" s="182"/>
      <c r="AL3" s="182"/>
      <c r="AM3" s="182"/>
    </row>
    <row r="4" spans="1:39" ht="15.75" thickBot="1" x14ac:dyDescent="0.3">
      <c r="A4" s="182"/>
      <c r="B4" s="248" t="s">
        <v>351</v>
      </c>
      <c r="C4" s="182"/>
      <c r="D4" s="239"/>
      <c r="E4" s="184"/>
      <c r="F4" s="240"/>
      <c r="G4" s="181"/>
      <c r="H4" s="1702" t="s">
        <v>318</v>
      </c>
      <c r="I4" s="1703"/>
      <c r="J4" s="182"/>
      <c r="K4" s="1657" t="s">
        <v>319</v>
      </c>
      <c r="L4" s="1658"/>
      <c r="M4" s="1658"/>
      <c r="N4" s="1659"/>
      <c r="O4" s="677"/>
      <c r="P4" s="681" t="s">
        <v>352</v>
      </c>
      <c r="Q4" s="182"/>
      <c r="R4" s="182"/>
      <c r="S4" s="182"/>
      <c r="T4" s="251"/>
      <c r="U4" s="182"/>
      <c r="V4" s="182"/>
      <c r="W4" s="182"/>
      <c r="X4" s="182"/>
      <c r="Y4" s="182"/>
      <c r="Z4" s="182"/>
      <c r="AA4" s="182"/>
      <c r="AB4" s="182"/>
      <c r="AC4" s="182"/>
      <c r="AD4" s="182"/>
      <c r="AE4" s="182"/>
      <c r="AF4" s="182"/>
      <c r="AG4" s="182"/>
      <c r="AH4" s="182"/>
      <c r="AI4" s="182"/>
      <c r="AJ4" s="182"/>
      <c r="AK4" s="182"/>
      <c r="AL4" s="182"/>
      <c r="AM4" s="182"/>
    </row>
    <row r="5" spans="1:39" x14ac:dyDescent="0.25">
      <c r="A5" s="182"/>
      <c r="B5" s="252"/>
      <c r="C5" s="182"/>
      <c r="D5" s="239"/>
      <c r="E5" s="184"/>
      <c r="F5" s="240"/>
      <c r="G5" s="255"/>
      <c r="H5" s="182"/>
      <c r="I5" s="182"/>
      <c r="J5" s="182"/>
      <c r="K5" s="1640" t="s">
        <v>321</v>
      </c>
      <c r="L5" s="1641"/>
      <c r="M5" s="1641"/>
      <c r="N5" s="1642"/>
      <c r="O5" s="677"/>
      <c r="P5" s="681" t="s">
        <v>353</v>
      </c>
      <c r="Q5" s="182"/>
      <c r="R5" s="182"/>
      <c r="S5" s="182"/>
      <c r="T5" s="251"/>
      <c r="U5" s="182"/>
      <c r="V5" s="182"/>
      <c r="W5" s="182"/>
      <c r="X5" s="182"/>
      <c r="Y5" s="182"/>
      <c r="Z5" s="182"/>
      <c r="AA5" s="182"/>
      <c r="AB5" s="182"/>
      <c r="AC5" s="182"/>
      <c r="AD5" s="182"/>
      <c r="AE5" s="182"/>
      <c r="AF5" s="182"/>
      <c r="AG5" s="182"/>
      <c r="AH5" s="182"/>
      <c r="AI5" s="182"/>
      <c r="AJ5" s="182"/>
      <c r="AK5" s="182"/>
      <c r="AL5" s="182"/>
      <c r="AM5" s="182"/>
    </row>
    <row r="6" spans="1:39" ht="15.75" thickBot="1" x14ac:dyDescent="0.3">
      <c r="A6" s="182"/>
      <c r="B6" s="185" t="s">
        <v>323</v>
      </c>
      <c r="C6" s="253">
        <v>45748</v>
      </c>
      <c r="D6" s="239"/>
      <c r="E6" s="184"/>
      <c r="F6" s="240"/>
      <c r="G6" s="255"/>
      <c r="H6" s="182"/>
      <c r="I6" s="182"/>
      <c r="J6" s="182"/>
      <c r="K6" s="1643" t="s">
        <v>324</v>
      </c>
      <c r="L6" s="1644"/>
      <c r="M6" s="1644"/>
      <c r="N6" s="1645"/>
      <c r="O6" s="677"/>
      <c r="P6" s="682" t="s">
        <v>354</v>
      </c>
      <c r="Q6" s="182"/>
      <c r="R6" s="182"/>
      <c r="S6" s="182"/>
      <c r="T6" s="251"/>
      <c r="U6" s="182"/>
      <c r="V6" s="182"/>
      <c r="W6" s="182"/>
      <c r="X6" s="182"/>
      <c r="Y6" s="182"/>
      <c r="Z6" s="182"/>
      <c r="AA6" s="182"/>
      <c r="AB6" s="182"/>
      <c r="AC6" s="182"/>
      <c r="AD6" s="182"/>
      <c r="AE6" s="182"/>
      <c r="AF6" s="182"/>
      <c r="AG6" s="182"/>
      <c r="AH6" s="182"/>
      <c r="AI6" s="182"/>
      <c r="AJ6" s="182"/>
      <c r="AK6" s="182"/>
      <c r="AL6" s="182"/>
      <c r="AM6" s="182"/>
    </row>
    <row r="7" spans="1:39" ht="15.75" thickBot="1" x14ac:dyDescent="0.3">
      <c r="A7" s="182"/>
      <c r="B7" s="185" t="s">
        <v>326</v>
      </c>
      <c r="C7" s="254">
        <v>30</v>
      </c>
      <c r="D7" s="239"/>
      <c r="E7" s="184"/>
      <c r="F7" s="240"/>
      <c r="G7" s="255"/>
      <c r="H7" s="181"/>
      <c r="I7" s="181"/>
      <c r="J7" s="182"/>
      <c r="K7" s="182"/>
      <c r="L7" s="182"/>
      <c r="M7" s="182"/>
      <c r="N7" s="182"/>
      <c r="O7" s="182"/>
      <c r="P7" s="683" t="s">
        <v>355</v>
      </c>
      <c r="Q7" s="684"/>
      <c r="R7" s="684"/>
      <c r="S7" s="684"/>
      <c r="T7" s="258"/>
      <c r="U7" s="182"/>
      <c r="V7" s="182"/>
      <c r="W7" s="182"/>
      <c r="X7" s="182"/>
      <c r="Y7" s="182"/>
      <c r="Z7" s="182"/>
      <c r="AA7" s="182"/>
      <c r="AB7" s="182"/>
      <c r="AC7" s="182"/>
      <c r="AD7" s="182"/>
      <c r="AE7" s="182"/>
      <c r="AF7" s="182"/>
      <c r="AG7" s="182"/>
      <c r="AH7" s="182"/>
      <c r="AI7" s="182"/>
      <c r="AJ7" s="182"/>
      <c r="AK7" s="182"/>
      <c r="AL7" s="182"/>
      <c r="AM7" s="182"/>
    </row>
    <row r="8" spans="1:39" ht="15.75" thickBot="1" x14ac:dyDescent="0.3">
      <c r="A8" s="182"/>
      <c r="B8" s="185"/>
      <c r="C8" s="185"/>
      <c r="D8" s="185"/>
      <c r="E8" s="184"/>
      <c r="F8" s="240"/>
      <c r="G8" s="255"/>
      <c r="H8" s="181"/>
      <c r="I8" s="181"/>
      <c r="J8" s="182"/>
      <c r="K8" s="182"/>
      <c r="L8" s="182"/>
      <c r="M8" s="182"/>
      <c r="N8" s="182"/>
      <c r="O8" s="182"/>
      <c r="P8" s="182"/>
      <c r="Q8" s="182"/>
      <c r="R8" s="182"/>
      <c r="S8" s="182"/>
      <c r="T8" s="182"/>
      <c r="U8" s="182"/>
      <c r="V8" s="182"/>
      <c r="W8" s="182"/>
      <c r="X8" s="182"/>
      <c r="Y8" s="182"/>
      <c r="Z8" s="182"/>
      <c r="AA8" s="182"/>
      <c r="AB8" s="182"/>
      <c r="AC8" s="182"/>
      <c r="AD8" s="182"/>
      <c r="AE8" s="182"/>
      <c r="AF8" s="182"/>
      <c r="AG8" s="182"/>
      <c r="AH8" s="182"/>
      <c r="AI8" s="182"/>
      <c r="AJ8" s="182"/>
      <c r="AK8" s="182"/>
      <c r="AL8" s="182"/>
      <c r="AM8" s="182"/>
    </row>
    <row r="9" spans="1:39" ht="15.75" thickBot="1" x14ac:dyDescent="0.3">
      <c r="A9" s="181"/>
      <c r="B9" s="262" t="s">
        <v>269</v>
      </c>
      <c r="C9" s="186" t="s">
        <v>303</v>
      </c>
      <c r="D9" s="187" t="s">
        <v>32</v>
      </c>
      <c r="E9" s="188" t="s">
        <v>262</v>
      </c>
      <c r="F9" s="181"/>
      <c r="G9" s="263" t="s">
        <v>328</v>
      </c>
      <c r="H9" s="264">
        <v>1</v>
      </c>
      <c r="I9" s="265">
        <v>2</v>
      </c>
      <c r="J9" s="265">
        <v>3</v>
      </c>
      <c r="K9" s="265">
        <v>4</v>
      </c>
      <c r="L9" s="265">
        <v>5</v>
      </c>
      <c r="M9" s="265">
        <v>6</v>
      </c>
      <c r="N9" s="265">
        <v>7</v>
      </c>
      <c r="O9" s="265">
        <v>8</v>
      </c>
      <c r="P9" s="265">
        <v>9</v>
      </c>
      <c r="Q9" s="265">
        <v>10</v>
      </c>
      <c r="R9" s="265">
        <v>11</v>
      </c>
      <c r="S9" s="265">
        <v>12</v>
      </c>
      <c r="T9" s="265">
        <v>13</v>
      </c>
      <c r="U9" s="265">
        <v>14</v>
      </c>
      <c r="V9" s="265">
        <v>15</v>
      </c>
      <c r="W9" s="265">
        <v>16</v>
      </c>
      <c r="X9" s="265">
        <v>17</v>
      </c>
      <c r="Y9" s="265">
        <v>18</v>
      </c>
      <c r="Z9" s="265">
        <v>19</v>
      </c>
      <c r="AA9" s="265">
        <v>20</v>
      </c>
      <c r="AB9" s="265">
        <v>21</v>
      </c>
      <c r="AC9" s="265">
        <v>22</v>
      </c>
      <c r="AD9" s="265">
        <v>23</v>
      </c>
      <c r="AE9" s="265">
        <v>24</v>
      </c>
      <c r="AF9" s="265">
        <v>25</v>
      </c>
      <c r="AG9" s="265">
        <v>26</v>
      </c>
      <c r="AH9" s="265">
        <v>27</v>
      </c>
      <c r="AI9" s="265">
        <v>28</v>
      </c>
      <c r="AJ9" s="265">
        <v>29</v>
      </c>
      <c r="AK9" s="265">
        <v>30</v>
      </c>
      <c r="AL9" s="267">
        <v>31</v>
      </c>
      <c r="AM9" s="181"/>
    </row>
    <row r="10" spans="1:39" x14ac:dyDescent="0.25">
      <c r="A10" s="182"/>
      <c r="B10" s="268" t="s">
        <v>356</v>
      </c>
      <c r="C10" s="269">
        <f>SUM(H10:AL10)</f>
        <v>27020</v>
      </c>
      <c r="D10" s="270">
        <f>SUM(H11:AL11)</f>
        <v>1416.8000000000002</v>
      </c>
      <c r="E10" s="271">
        <f>IFERROR((D10-C10)/C10,0)</f>
        <v>-0.94756476683937829</v>
      </c>
      <c r="F10" s="685"/>
      <c r="G10" s="272" t="s">
        <v>330</v>
      </c>
      <c r="H10" s="273">
        <f>IF(H$9&gt;$C$7,"",SUMIF($E$18:$E300,"Budget (t)",H$18:H300))</f>
        <v>945</v>
      </c>
      <c r="I10" s="686">
        <f>IF(I$9&gt;$C$7,"",SUMIF($E$18:$E300,"Budget (t)",I$18:I300))</f>
        <v>945</v>
      </c>
      <c r="J10" s="274">
        <f>IF(J$9&gt;$C$7,"",SUMIF($E$18:$E300,"Budget (t)",J$18:J300))</f>
        <v>945</v>
      </c>
      <c r="K10" s="274">
        <f>IF(K$9&gt;$C$7,"",SUMIF($E$18:$E300,"Budget (t)",K$18:K300))</f>
        <v>945</v>
      </c>
      <c r="L10" s="274">
        <f>IF(L$9&gt;$C$7,"",SUMIF($E$18:$E300,"Budget (t)",L$18:L300))</f>
        <v>945</v>
      </c>
      <c r="M10" s="274">
        <f>IF(M$9&gt;$C$7,"",SUMIF($E$18:$E300,"Budget (t)",M$18:M300))</f>
        <v>945</v>
      </c>
      <c r="N10" s="274">
        <f>IF(N$9&gt;$C$7,"",SUMIF($E$18:$E300,"Budget (t)",N$18:N300))</f>
        <v>945</v>
      </c>
      <c r="O10" s="274">
        <f>IF(O$9&gt;$C$7,"",SUMIF($E$18:$E300,"Budget (t)",O$18:O300))</f>
        <v>1015</v>
      </c>
      <c r="P10" s="274">
        <f>IF(P$9&gt;$C$7,"",SUMIF($E$18:$E300,"Budget (t)",P$18:P300))</f>
        <v>1015</v>
      </c>
      <c r="Q10" s="686">
        <f>IF(Q$9&gt;$C$7,"",SUMIF($E$18:$E300,"Budget (t)",Q$18:Q300))</f>
        <v>1015</v>
      </c>
      <c r="R10" s="686">
        <f>IF(R$9&gt;$C$7,"",SUMIF($E$18:$E300,"Budget (t)",R$18:R300))</f>
        <v>1015</v>
      </c>
      <c r="S10" s="686">
        <f>IF(S$9&gt;$C$7,"",SUMIF($E$18:$E300,"Budget (t)",S$18:S300))</f>
        <v>1015</v>
      </c>
      <c r="T10" s="686">
        <f>IF(T$9&gt;$C$7,"",SUMIF($E$18:$E300,"Budget (t)",T$18:T300))</f>
        <v>1015</v>
      </c>
      <c r="U10" s="686">
        <f>IF(U$9&gt;$C$7,"",SUMIF($E$18:$E300,"Budget (t)",U$18:U300))</f>
        <v>1015</v>
      </c>
      <c r="V10" s="686">
        <f>IF(V$9&gt;$C$7,"",SUMIF($E$18:$E300,"Budget (t)",V$18:V300))</f>
        <v>1015</v>
      </c>
      <c r="W10" s="686">
        <f>IF(W$9&gt;$C$7,"",SUMIF($E$18:$E300,"Budget (t)",W$18:W300))</f>
        <v>945</v>
      </c>
      <c r="X10" s="686">
        <f>IF(X$9&gt;$C$7,"",SUMIF($E$18:$E300,"Budget (t)",X$18:X300))</f>
        <v>945</v>
      </c>
      <c r="Y10" s="686">
        <f>IF(Y$9&gt;$C$7,"",SUMIF($E$18:$E300,"Budget (t)",Y$18:Y300))</f>
        <v>945</v>
      </c>
      <c r="Z10" s="686">
        <f>IF(Z$9&gt;$C$7,"",SUMIF($E$18:$E300,"Budget (t)",Z$18:Z300))</f>
        <v>875</v>
      </c>
      <c r="AA10" s="686">
        <f>IF(AA$9&gt;$C$7,"",SUMIF($E$18:$E300,"Budget (t)",AA$18:AA300))</f>
        <v>0</v>
      </c>
      <c r="AB10" s="686">
        <f>IF(AB$9&gt;$C$7,"",SUMIF($E$18:$E300,"Budget (t)",AB$18:AB300))</f>
        <v>0</v>
      </c>
      <c r="AC10" s="686">
        <f>IF(AC$9&gt;$C$7,"",SUMIF($E$18:$E300,"Budget (t)",AC$18:AC300))</f>
        <v>945</v>
      </c>
      <c r="AD10" s="687">
        <f>IF(AD$9&gt;$C$7,"",SUMIF($E$18:$E300,"Budget (t)",AD$18:AD300))</f>
        <v>945</v>
      </c>
      <c r="AE10" s="687">
        <f>IF(AE$9&gt;$C$7,"",SUMIF($E$18:$E300,"Budget (t)",AE$18:AE300))</f>
        <v>945</v>
      </c>
      <c r="AF10" s="687">
        <f>IF(AF$9&gt;$C$7,"",SUMIF($E$18:$E300,"Budget (t)",AF$18:AF300))</f>
        <v>945</v>
      </c>
      <c r="AG10" s="687">
        <f>IF(AG$9&gt;$C$7,"",SUMIF($E$18:$E300,"Budget (t)",AG$18:AG300))</f>
        <v>945</v>
      </c>
      <c r="AH10" s="687">
        <f>IF(AH$9&gt;$C$7,"",SUMIF($E$18:$E300,"Budget (t)",AH$18:AH300))</f>
        <v>1015</v>
      </c>
      <c r="AI10" s="687">
        <f>IF(AI$9&gt;$C$7,"",SUMIF($E$18:$E300,"Budget (t)",AI$18:AI300))</f>
        <v>945</v>
      </c>
      <c r="AJ10" s="687">
        <f>IF(AJ$9&gt;$C$7,"",SUMIF($E$18:$E300,"Budget (t)",AJ$18:AJ300))</f>
        <v>945</v>
      </c>
      <c r="AK10" s="687">
        <f>IF(AK$9&gt;$C$7,"",SUMIF($E$18:$E300,"Budget (t)",AK$18:AK300))</f>
        <v>945</v>
      </c>
      <c r="AL10" s="688" t="str">
        <f>IF(AL$9&gt;$C$7,"",SUMIF($E$18:$E300,"Budget (t)",AL$18:AL300))</f>
        <v/>
      </c>
      <c r="AM10" s="182"/>
    </row>
    <row r="11" spans="1:39" ht="15.75" thickBot="1" x14ac:dyDescent="0.3">
      <c r="A11" s="189"/>
      <c r="B11" s="1393" t="s">
        <v>2</v>
      </c>
      <c r="C11" s="1337">
        <f>IFERROR(C12*1000/C10,0)</f>
        <v>2.9334942090825975</v>
      </c>
      <c r="D11" s="786">
        <f>IFERROR(D12*1000/D10,0)</f>
        <v>0.68538255223037825</v>
      </c>
      <c r="E11" s="1548">
        <f t="shared" ref="E11" si="0">IFERROR((D11-C11)/C11,0)</f>
        <v>-0.76635967096566371</v>
      </c>
      <c r="F11" s="189"/>
      <c r="G11" s="263" t="s">
        <v>331</v>
      </c>
      <c r="H11" s="1289">
        <f>IF(H$9&gt;$C$7,"",SUMIF($E$18:$E300,"Actual (t)",H$18:H300))</f>
        <v>559.5</v>
      </c>
      <c r="I11" s="1338">
        <f>IF(I$9&gt;$C$7,"",SUMIF($E$18:$E300,"Actual (t)",I$18:I300))</f>
        <v>857.30000000000007</v>
      </c>
      <c r="J11" s="1339">
        <f>IF(J$9&gt;$C$7,"",SUMIF($E$18:$E300,"Actual (t)",J$18:J300))</f>
        <v>0</v>
      </c>
      <c r="K11" s="1339">
        <f>IF(K$9&gt;$C$7,"",SUMIF($E$18:$E300,"Actual (t)",K$18:K300))</f>
        <v>0</v>
      </c>
      <c r="L11" s="1339">
        <f>IF(L$9&gt;$C$7,"",SUMIF($E$18:$E300,"Actual (t)",L$18:L300))</f>
        <v>0</v>
      </c>
      <c r="M11" s="1339">
        <f>IF(M$9&gt;$C$7,"",SUMIF($E$18:$E300,"Actual (t)",M$18:M300))</f>
        <v>0</v>
      </c>
      <c r="N11" s="1339">
        <f>IF(N$9&gt;$C$7,"",SUMIF($E$18:$E300,"Actual (t)",N$18:N300))</f>
        <v>0</v>
      </c>
      <c r="O11" s="1339">
        <f>IF(O$9&gt;$C$7,"",SUMIF($E$18:$E300,"Actual (t)",O$18:O300))</f>
        <v>0</v>
      </c>
      <c r="P11" s="1339">
        <f>IF(P$9&gt;$C$7,"",SUMIF($E$18:$E300,"Actual (t)",P$18:P300))</f>
        <v>0</v>
      </c>
      <c r="Q11" s="1339">
        <f>IF(Q$9&gt;$C$7,"",SUMIF($E$18:$E300,"Actual (t)",Q$18:Q300))</f>
        <v>0</v>
      </c>
      <c r="R11" s="1339">
        <f>IF(R$9&gt;$C$7,"",SUMIF($E$18:$E300,"Actual (t)",R$18:R300))</f>
        <v>0</v>
      </c>
      <c r="S11" s="1339">
        <f>IF(S$9&gt;$C$7,"",SUMIF($E$18:$E300,"Actual (t)",S$18:S300))</f>
        <v>0</v>
      </c>
      <c r="T11" s="1339">
        <f>IF(T$9&gt;$C$7,"",SUMIF($E$18:$E300,"Actual (t)",T$18:T300))</f>
        <v>0</v>
      </c>
      <c r="U11" s="1339">
        <f>IF(U$9&gt;$C$7,"",SUMIF($E$18:$E300,"Actual (t)",U$18:U300))</f>
        <v>0</v>
      </c>
      <c r="V11" s="1339">
        <f>IF(V$9&gt;$C$7,"",SUMIF($E$18:$E300,"Actual (t)",V$18:V300))</f>
        <v>0</v>
      </c>
      <c r="W11" s="1339">
        <f>IF(W$9&gt;$C$7,"",SUMIF($E$18:$E300,"Actual (t)",W$18:W300))</f>
        <v>0</v>
      </c>
      <c r="X11" s="1339">
        <f>IF(X$9&gt;$C$7,"",SUMIF($E$18:$E300,"Actual (t)",X$18:X300))</f>
        <v>0</v>
      </c>
      <c r="Y11" s="1339">
        <f>IF(Y$9&gt;$C$7,"",SUMIF($E$18:$E300,"Actual (t)",Y$18:Y300))</f>
        <v>0</v>
      </c>
      <c r="Z11" s="1339">
        <f>IF(Z$9&gt;$C$7,"",SUMIF($E$18:$E300,"Actual (t)",Z$18:Z300))</f>
        <v>0</v>
      </c>
      <c r="AA11" s="1339">
        <f>IF(AA$9&gt;$C$7,"",SUMIF($E$18:$E300,"Actual (t)",AA$18:AA300))</f>
        <v>0</v>
      </c>
      <c r="AB11" s="1339">
        <f>IF(AB$9&gt;$C$7,"",SUMIF($E$18:$E300,"Actual (t)",AB$18:AB300))</f>
        <v>0</v>
      </c>
      <c r="AC11" s="1339">
        <f>IF(AC$9&gt;$C$7,"",SUMIF($E$18:$E300,"Actual (t)",AC$18:AC300))</f>
        <v>0</v>
      </c>
      <c r="AD11" s="1339">
        <f>IF(AD$9&gt;$C$7,"",SUMIF($E$18:$E300,"Actual (t)",AD$18:AD300))</f>
        <v>0</v>
      </c>
      <c r="AE11" s="1339">
        <f>IF(AE$9&gt;$C$7,"",SUMIF($E$18:$E300,"Actual (t)",AE$18:AE300))</f>
        <v>0</v>
      </c>
      <c r="AF11" s="1339">
        <f>IF(AF$9&gt;$C$7,"",SUMIF($E$18:$E300,"Actual (t)",AF$18:AF300))</f>
        <v>0</v>
      </c>
      <c r="AG11" s="1339">
        <f>IF(AG$9&gt;$C$7,"",SUMIF($E$18:$E300,"Actual (t)",AG$18:AG300))</f>
        <v>0</v>
      </c>
      <c r="AH11" s="1339">
        <f>IF(AH$9&gt;$C$7,"",SUMIF($E$18:$E300,"Actual (t)",AH$18:AH300))</f>
        <v>0</v>
      </c>
      <c r="AI11" s="1339">
        <f>IF(AI$9&gt;$C$7,"",SUMIF($E$18:$E300,"Actual (t)",AI$18:AI300))</f>
        <v>0</v>
      </c>
      <c r="AJ11" s="1339">
        <f>IF(AJ$9&gt;$C$7,"",SUMIF($E$18:$E300,"Actual (t)",AJ$18:AJ300))</f>
        <v>0</v>
      </c>
      <c r="AK11" s="1339">
        <f>IF(AK$9&gt;$C$7,"",SUMIF($E$18:$E300,"Actual (t)",AK$18:AK300))</f>
        <v>0</v>
      </c>
      <c r="AL11" s="1340" t="str">
        <f>IF(AL$9&gt;$C$7,"",SUMIF($E$18:$E300,"Actual (t)",AL$18:AL300))</f>
        <v/>
      </c>
      <c r="AM11" s="189"/>
    </row>
    <row r="12" spans="1:39" ht="15.75" thickBot="1" x14ac:dyDescent="0.3">
      <c r="A12" s="190"/>
      <c r="B12" s="1376" t="s">
        <v>3</v>
      </c>
      <c r="C12" s="1293">
        <f>SUM(H14:AL14)</f>
        <v>79.263013529411779</v>
      </c>
      <c r="D12" s="1294">
        <f>SUM(H15:AL15)</f>
        <v>0.97105000000000008</v>
      </c>
      <c r="E12" s="1295">
        <f>IFERROR((D12-C12)/C12,0)</f>
        <v>-0.98774901487136013</v>
      </c>
      <c r="F12" s="190"/>
      <c r="G12" s="272" t="s">
        <v>332</v>
      </c>
      <c r="H12" s="689">
        <f t="shared" ref="H12:AL13" si="1">IFERROR(H14*1000/H10,"")</f>
        <v>1.5377777777777777</v>
      </c>
      <c r="I12" s="690">
        <f t="shared" si="1"/>
        <v>3.0209193899782134</v>
      </c>
      <c r="J12" s="690">
        <f t="shared" si="1"/>
        <v>3.0209193899782134</v>
      </c>
      <c r="K12" s="690">
        <f t="shared" si="1"/>
        <v>3.0209193899782134</v>
      </c>
      <c r="L12" s="690">
        <f t="shared" si="1"/>
        <v>3.0209193899782134</v>
      </c>
      <c r="M12" s="690">
        <f t="shared" si="1"/>
        <v>3.0209193899782134</v>
      </c>
      <c r="N12" s="691">
        <f t="shared" si="1"/>
        <v>3.0209193899782134</v>
      </c>
      <c r="O12" s="691">
        <f t="shared" si="1"/>
        <v>2.9518904665314403</v>
      </c>
      <c r="P12" s="691">
        <f t="shared" si="1"/>
        <v>2.9518904665314403</v>
      </c>
      <c r="Q12" s="690">
        <f t="shared" si="1"/>
        <v>2.9518904665314403</v>
      </c>
      <c r="R12" s="690">
        <f t="shared" si="1"/>
        <v>2.9518904665314403</v>
      </c>
      <c r="S12" s="690">
        <f t="shared" si="1"/>
        <v>2.9518904665314403</v>
      </c>
      <c r="T12" s="690">
        <f t="shared" si="1"/>
        <v>2.9518904665314403</v>
      </c>
      <c r="U12" s="690">
        <f t="shared" si="1"/>
        <v>2.9518904665314403</v>
      </c>
      <c r="V12" s="690">
        <f t="shared" si="1"/>
        <v>2.9518904665314403</v>
      </c>
      <c r="W12" s="690">
        <f t="shared" si="1"/>
        <v>3.0129629629629631</v>
      </c>
      <c r="X12" s="690">
        <f>IFERROR(X14*1000/X10,"")</f>
        <v>3.0129629629629631</v>
      </c>
      <c r="Y12" s="690">
        <f t="shared" si="1"/>
        <v>3.0129629629629631</v>
      </c>
      <c r="Z12" s="690">
        <f t="shared" si="1"/>
        <v>2.9083999999999999</v>
      </c>
      <c r="AA12" s="690" t="str">
        <f t="shared" si="1"/>
        <v/>
      </c>
      <c r="AB12" s="690" t="str">
        <f t="shared" si="1"/>
        <v/>
      </c>
      <c r="AC12" s="690">
        <f t="shared" si="1"/>
        <v>3.0129629629629631</v>
      </c>
      <c r="AD12" s="692">
        <f t="shared" si="1"/>
        <v>3.0129629629629631</v>
      </c>
      <c r="AE12" s="692">
        <f t="shared" si="1"/>
        <v>3.0129629629629631</v>
      </c>
      <c r="AF12" s="692">
        <f t="shared" si="1"/>
        <v>3.0129629629629631</v>
      </c>
      <c r="AG12" s="692">
        <f t="shared" si="1"/>
        <v>3.0129629629629631</v>
      </c>
      <c r="AH12" s="692">
        <f t="shared" si="1"/>
        <v>2.8051724137931036</v>
      </c>
      <c r="AI12" s="692">
        <f t="shared" si="1"/>
        <v>3.0129629629629631</v>
      </c>
      <c r="AJ12" s="692">
        <f t="shared" si="1"/>
        <v>3.0129629629629631</v>
      </c>
      <c r="AK12" s="692">
        <f t="shared" si="1"/>
        <v>3.0129629629629631</v>
      </c>
      <c r="AL12" s="693" t="str">
        <f t="shared" si="1"/>
        <v/>
      </c>
      <c r="AM12" s="190"/>
    </row>
    <row r="13" spans="1:39" ht="15.75" thickBot="1" x14ac:dyDescent="0.3">
      <c r="A13" s="191"/>
      <c r="B13" s="191"/>
      <c r="C13" s="191"/>
      <c r="D13" s="191"/>
      <c r="E13" s="191"/>
      <c r="F13" s="191"/>
      <c r="G13" s="282" t="s">
        <v>333</v>
      </c>
      <c r="H13" s="1341">
        <f t="shared" si="1"/>
        <v>1.735567470956211</v>
      </c>
      <c r="I13" s="1342">
        <f t="shared" si="1"/>
        <v>0</v>
      </c>
      <c r="J13" s="1300" t="str">
        <f t="shared" si="1"/>
        <v/>
      </c>
      <c r="K13" s="1300" t="str">
        <f t="shared" si="1"/>
        <v/>
      </c>
      <c r="L13" s="1300" t="str">
        <f t="shared" si="1"/>
        <v/>
      </c>
      <c r="M13" s="1300" t="str">
        <f t="shared" si="1"/>
        <v/>
      </c>
      <c r="N13" s="1300" t="str">
        <f t="shared" si="1"/>
        <v/>
      </c>
      <c r="O13" s="1300" t="str">
        <f t="shared" si="1"/>
        <v/>
      </c>
      <c r="P13" s="1300" t="str">
        <f t="shared" si="1"/>
        <v/>
      </c>
      <c r="Q13" s="1300" t="str">
        <f t="shared" si="1"/>
        <v/>
      </c>
      <c r="R13" s="1300" t="str">
        <f t="shared" si="1"/>
        <v/>
      </c>
      <c r="S13" s="1300" t="str">
        <f t="shared" si="1"/>
        <v/>
      </c>
      <c r="T13" s="1300" t="str">
        <f t="shared" si="1"/>
        <v/>
      </c>
      <c r="U13" s="1300" t="str">
        <f t="shared" si="1"/>
        <v/>
      </c>
      <c r="V13" s="1300" t="str">
        <f t="shared" si="1"/>
        <v/>
      </c>
      <c r="W13" s="1300" t="str">
        <f t="shared" si="1"/>
        <v/>
      </c>
      <c r="X13" s="1300" t="str">
        <f>IFERROR(X15*1000/X11,"")</f>
        <v/>
      </c>
      <c r="Y13" s="1300" t="str">
        <f t="shared" si="1"/>
        <v/>
      </c>
      <c r="Z13" s="1300" t="str">
        <f t="shared" si="1"/>
        <v/>
      </c>
      <c r="AA13" s="1300" t="str">
        <f t="shared" si="1"/>
        <v/>
      </c>
      <c r="AB13" s="1300" t="str">
        <f t="shared" si="1"/>
        <v/>
      </c>
      <c r="AC13" s="1300" t="str">
        <f t="shared" si="1"/>
        <v/>
      </c>
      <c r="AD13" s="1300" t="str">
        <f t="shared" si="1"/>
        <v/>
      </c>
      <c r="AE13" s="1300" t="str">
        <f t="shared" si="1"/>
        <v/>
      </c>
      <c r="AF13" s="1300" t="str">
        <f t="shared" si="1"/>
        <v/>
      </c>
      <c r="AG13" s="1300" t="str">
        <f t="shared" si="1"/>
        <v/>
      </c>
      <c r="AH13" s="1300" t="str">
        <f t="shared" si="1"/>
        <v/>
      </c>
      <c r="AI13" s="1300" t="str">
        <f t="shared" si="1"/>
        <v/>
      </c>
      <c r="AJ13" s="1300" t="str">
        <f t="shared" si="1"/>
        <v/>
      </c>
      <c r="AK13" s="1300" t="str">
        <f t="shared" si="1"/>
        <v/>
      </c>
      <c r="AL13" s="1343" t="str">
        <f t="shared" si="1"/>
        <v/>
      </c>
      <c r="AM13" s="191"/>
    </row>
    <row r="14" spans="1:39" x14ac:dyDescent="0.25">
      <c r="A14" s="192"/>
      <c r="B14" s="694"/>
      <c r="C14" s="192"/>
      <c r="D14" s="192"/>
      <c r="E14" s="192"/>
      <c r="F14" s="192"/>
      <c r="G14" s="283" t="s">
        <v>334</v>
      </c>
      <c r="H14" s="284">
        <f>IF(H$9&gt;$C$7,"",SUMIF($E$18:$E300,"Budget (kg)",H$18:H300))</f>
        <v>1.4531999999999998</v>
      </c>
      <c r="I14" s="695">
        <f>IF(I$9&gt;$C$7,"",SUMIF($E$18:$E300,"Budget (kg)",I$18:I300))</f>
        <v>2.8547688235294117</v>
      </c>
      <c r="J14" s="285">
        <f>IF(J$9&gt;$C$7,"",SUMIF($E$18:$E300,"Budget (kg)",J$18:J300))</f>
        <v>2.8547688235294117</v>
      </c>
      <c r="K14" s="285">
        <f>IF(K$9&gt;$C$7,"",SUMIF($E$18:$E300,"Budget (kg)",K$18:K300))</f>
        <v>2.8547688235294117</v>
      </c>
      <c r="L14" s="285">
        <f>IF(L$9&gt;$C$7,"",SUMIF($E$18:$E300,"Budget (kg)",L$18:L300))</f>
        <v>2.8547688235294117</v>
      </c>
      <c r="M14" s="285">
        <f>IF(M$9&gt;$C$7,"",SUMIF($E$18:$E300,"Budget (kg)",M$18:M300))</f>
        <v>2.8547688235294117</v>
      </c>
      <c r="N14" s="285">
        <f>IF(N$9&gt;$C$7,"",SUMIF($E$18:$E300,"Budget (kg)",N$18:N300))</f>
        <v>2.8547688235294117</v>
      </c>
      <c r="O14" s="285">
        <f>IF(O$9&gt;$C$7,"",SUMIF($E$18:$E300,"Budget (kg)",O$18:O300))</f>
        <v>2.9961688235294117</v>
      </c>
      <c r="P14" s="285">
        <f>IF(P$9&gt;$C$7,"",SUMIF($E$18:$E300,"Budget (kg)",P$18:P300))</f>
        <v>2.9961688235294117</v>
      </c>
      <c r="Q14" s="695">
        <f>IF(Q$9&gt;$C$7,"",SUMIF($E$18:$E300,"Budget (kg)",Q$18:Q300))</f>
        <v>2.9961688235294117</v>
      </c>
      <c r="R14" s="695">
        <f>IF(R$9&gt;$C$7,"",SUMIF($E$18:$E300,"Budget (kg)",R$18:R300))</f>
        <v>2.9961688235294117</v>
      </c>
      <c r="S14" s="695">
        <f>IF(S$9&gt;$C$7,"",SUMIF($E$18:$E300,"Budget (kg)",S$18:S300))</f>
        <v>2.9961688235294117</v>
      </c>
      <c r="T14" s="695">
        <f>IF(T$9&gt;$C$7,"",SUMIF($E$18:$E300,"Budget (kg)",T$18:T300))</f>
        <v>2.9961688235294117</v>
      </c>
      <c r="U14" s="695">
        <f>IF(U$9&gt;$C$7,"",SUMIF($E$18:$E300,"Budget (kg)",U$18:U300))</f>
        <v>2.9961688235294117</v>
      </c>
      <c r="V14" s="695">
        <f>IF(V$9&gt;$C$7,"",SUMIF($E$18:$E300,"Budget (kg)",V$18:V300))</f>
        <v>2.9961688235294117</v>
      </c>
      <c r="W14" s="695">
        <f>IF(W$9&gt;$C$7,"",SUMIF($E$18:$E300,"Budget (kg)",W$18:W300))</f>
        <v>2.8472499999999998</v>
      </c>
      <c r="X14" s="695">
        <f>IF(X$9&gt;$C$7,"",SUMIF($E$18:$E300,"Budget (kg)",X$18:X300))</f>
        <v>2.8472499999999998</v>
      </c>
      <c r="Y14" s="695">
        <f>IF(Y$9&gt;$C$7,"",SUMIF($E$18:$E300,"Budget (kg)",Y$18:Y300))</f>
        <v>2.8472499999999998</v>
      </c>
      <c r="Z14" s="695">
        <f>IF(Z$9&gt;$C$7,"",SUMIF($E$18:$E300,"Budget (kg)",Z$18:Z300))</f>
        <v>2.5448499999999998</v>
      </c>
      <c r="AA14" s="695">
        <f>IF(AA$9&gt;$C$7,"",SUMIF($E$18:$E300,"Budget (kg)",AA$18:AA300))</f>
        <v>0</v>
      </c>
      <c r="AB14" s="695">
        <f>IF(AB$9&gt;$C$7,"",SUMIF($E$18:$E300,"Budget (kg)",AB$18:AB300))</f>
        <v>0</v>
      </c>
      <c r="AC14" s="695">
        <f>IF(AC$9&gt;$C$7,"",SUMIF($E$18:$E300,"Budget (kg)",AC$18:AC300))</f>
        <v>2.8472499999999998</v>
      </c>
      <c r="AD14" s="696">
        <f>IF(AD$9&gt;$C$7,"",SUMIF($E$18:$E300,"Budget (kg)",AD$18:AD300))</f>
        <v>2.8472499999999998</v>
      </c>
      <c r="AE14" s="696">
        <f>IF(AE$9&gt;$C$7,"",SUMIF($E$18:$E300,"Budget (kg)",AE$18:AE300))</f>
        <v>2.8472499999999998</v>
      </c>
      <c r="AF14" s="696">
        <f>IF(AF$9&gt;$C$7,"",SUMIF($E$18:$E300,"Budget (kg)",AF$18:AF300))</f>
        <v>2.8472499999999998</v>
      </c>
      <c r="AG14" s="696">
        <f>IF(AG$9&gt;$C$7,"",SUMIF($E$18:$E300,"Budget (kg)",AG$18:AG300))</f>
        <v>2.8472499999999998</v>
      </c>
      <c r="AH14" s="696">
        <f>IF(AH$9&gt;$C$7,"",SUMIF($E$18:$E300,"Budget (kg)",AH$18:AH300))</f>
        <v>2.8472499999999998</v>
      </c>
      <c r="AI14" s="696">
        <f>IF(AI$9&gt;$C$7,"",SUMIF($E$18:$E300,"Budget (kg)",AI$18:AI300))</f>
        <v>2.8472499999999998</v>
      </c>
      <c r="AJ14" s="696">
        <f>IF(AJ$9&gt;$C$7,"",SUMIF($E$18:$E300,"Budget (kg)",AJ$18:AJ300))</f>
        <v>2.8472499999999998</v>
      </c>
      <c r="AK14" s="696">
        <f>IF(AK$9&gt;$C$7,"",SUMIF($E$18:$E300,"Budget (kg)",AK$18:AK300))</f>
        <v>2.8472499999999998</v>
      </c>
      <c r="AL14" s="697" t="str">
        <f>IF(AL$9&gt;$C$7,"",SUMIF($E$18:$E300,"Budget (kg)",AL$18:AL300))</f>
        <v/>
      </c>
      <c r="AM14" s="192"/>
    </row>
    <row r="15" spans="1:39" ht="15.75" thickBot="1" x14ac:dyDescent="0.3">
      <c r="A15" s="193"/>
      <c r="B15" s="193"/>
      <c r="C15" s="193"/>
      <c r="D15" s="193"/>
      <c r="E15" s="193"/>
      <c r="F15" s="193"/>
      <c r="G15" s="288" t="s">
        <v>335</v>
      </c>
      <c r="H15" s="1344">
        <f>IF(H$9&gt;$C$7,"",SUMIF($E$18:$E300,"Actual (kg)",H$18:H300))</f>
        <v>0.97105000000000008</v>
      </c>
      <c r="I15" s="1345">
        <f>IF(I$9&gt;$C$7,"",SUMIF($E$18:$E300,"Actual (kg)",I$18:I300))</f>
        <v>0</v>
      </c>
      <c r="J15" s="1346">
        <f>IF(J$9&gt;$C$7,"",SUMIF($E$18:$E300,"Actual (kg)",J$18:J300))</f>
        <v>0</v>
      </c>
      <c r="K15" s="1346">
        <f>IF(K$9&gt;$C$7,"",SUMIF($E$18:$E300,"Actual (kg)",K$18:K300))</f>
        <v>0</v>
      </c>
      <c r="L15" s="1346">
        <f>IF(L$9&gt;$C$7,"",SUMIF($E$18:$E300,"Actual (kg)",L$18:L300))</f>
        <v>0</v>
      </c>
      <c r="M15" s="1346">
        <f>IF(M$9&gt;$C$7,"",SUMIF($E$18:$E300,"Actual (kg)",M$18:M300))</f>
        <v>0</v>
      </c>
      <c r="N15" s="1346">
        <f>IF(N$9&gt;$C$7,"",SUMIF($E$18:$E300,"Actual (kg)",N$18:N300))</f>
        <v>0</v>
      </c>
      <c r="O15" s="1346">
        <f>IF(O$9&gt;$C$7,"",SUMIF($E$18:$E300,"Actual (kg)",O$18:O300))</f>
        <v>0</v>
      </c>
      <c r="P15" s="1346">
        <f>IF(P$9&gt;$C$7,"",SUMIF($E$18:$E300,"Actual (kg)",P$18:P300))</f>
        <v>0</v>
      </c>
      <c r="Q15" s="1346">
        <f>IF(Q$9&gt;$C$7,"",SUMIF($E$18:$E300,"Actual (kg)",Q$18:Q300))</f>
        <v>0</v>
      </c>
      <c r="R15" s="1346">
        <f>IF(R$9&gt;$C$7,"",SUMIF($E$18:$E300,"Actual (kg)",R$18:R300))</f>
        <v>0</v>
      </c>
      <c r="S15" s="1346">
        <f>IF(S$9&gt;$C$7,"",SUMIF($E$18:$E300,"Actual (kg)",S$18:S300))</f>
        <v>0</v>
      </c>
      <c r="T15" s="1346">
        <f>IF(T$9&gt;$C$7,"",SUMIF($E$18:$E300,"Actual (kg)",T$18:T300))</f>
        <v>0</v>
      </c>
      <c r="U15" s="1346">
        <f>IF(U$9&gt;$C$7,"",SUMIF($E$18:$E300,"Actual (kg)",U$18:U300))</f>
        <v>0</v>
      </c>
      <c r="V15" s="1346">
        <f>IF(V$9&gt;$C$7,"",SUMIF($E$18:$E300,"Actual (kg)",V$18:V300))</f>
        <v>0</v>
      </c>
      <c r="W15" s="1346">
        <f>IF(W$9&gt;$C$7,"",SUMIF($E$18:$E300,"Actual (kg)",W$18:W300))</f>
        <v>0</v>
      </c>
      <c r="X15" s="1346">
        <f>IF(X$9&gt;$C$7,"",SUMIF($E$18:$E300,"Actual (kg)",X$18:X300))</f>
        <v>0</v>
      </c>
      <c r="Y15" s="1346">
        <f>IF(Y$9&gt;$C$7,"",SUMIF($E$18:$E300,"Actual (kg)",Y$18:Y300))</f>
        <v>0</v>
      </c>
      <c r="Z15" s="1346">
        <f>IF(Z$9&gt;$C$7,"",SUMIF($E$18:$E300,"Actual (kg)",Z$18:Z300))</f>
        <v>0</v>
      </c>
      <c r="AA15" s="1346">
        <f>IF(AA$9&gt;$C$7,"",SUMIF($E$18:$E300,"Actual (kg)",AA$18:AA300))</f>
        <v>0</v>
      </c>
      <c r="AB15" s="1346">
        <f>IF(AB$9&gt;$C$7,"",SUMIF($E$18:$E300,"Actual (kg)",AB$18:AB300))</f>
        <v>0</v>
      </c>
      <c r="AC15" s="1346">
        <f>IF(AC$9&gt;$C$7,"",SUMIF($E$18:$E300,"Actual (kg)",AC$18:AC300))</f>
        <v>0</v>
      </c>
      <c r="AD15" s="1346">
        <f>IF(AD$9&gt;$C$7,"",SUMIF($E$18:$E300,"Actual (kg)",AD$18:AD300))</f>
        <v>0</v>
      </c>
      <c r="AE15" s="1346">
        <f>IF(AE$9&gt;$C$7,"",SUMIF($E$18:$E300,"Actual (kg)",AE$18:AE300))</f>
        <v>0</v>
      </c>
      <c r="AF15" s="1346">
        <f>IF(AF$9&gt;$C$7,"",SUMIF($E$18:$E300,"Actual (kg)",AF$18:AF300))</f>
        <v>0</v>
      </c>
      <c r="AG15" s="1346">
        <f>IF(AG$9&gt;$C$7,"",SUMIF($E$18:$E300,"Actual (kg)",AG$18:AG300))</f>
        <v>0</v>
      </c>
      <c r="AH15" s="1346">
        <f>IF(AH$9&gt;$C$7,"",SUMIF($E$18:$E300,"Actual (kg)",AH$18:AH300))</f>
        <v>0</v>
      </c>
      <c r="AI15" s="1346">
        <f>IF(AI$9&gt;$C$7,"",SUMIF($E$18:$E300,"Actual (kg)",AI$18:AI300))</f>
        <v>0</v>
      </c>
      <c r="AJ15" s="1346">
        <f>IF(AJ$9&gt;$C$7,"",SUMIF($E$18:$E300,"Actual (kg)",AJ$18:AJ300))</f>
        <v>0</v>
      </c>
      <c r="AK15" s="1346">
        <f>IF(AK$9&gt;$C$7,"",SUMIF($E$18:$E300,"Actual (kg)",AK$18:AK300))</f>
        <v>0</v>
      </c>
      <c r="AL15" s="1347" t="str">
        <f>IF(AL$9&gt;$C$7,"",SUMIF($E$18:$E300,"Actual (kg)",AL$18:AL300))</f>
        <v/>
      </c>
      <c r="AM15" s="193"/>
    </row>
    <row r="16" spans="1:39" ht="15.75" thickBot="1" x14ac:dyDescent="0.3">
      <c r="A16" s="182"/>
      <c r="B16" s="182"/>
      <c r="C16" s="182"/>
      <c r="D16" s="182"/>
      <c r="E16" s="182"/>
      <c r="F16" s="182"/>
      <c r="G16" s="182"/>
      <c r="H16" s="675"/>
      <c r="I16" s="182"/>
      <c r="J16" s="341"/>
      <c r="K16" s="341"/>
      <c r="L16" s="341"/>
      <c r="M16" s="676"/>
      <c r="N16" s="677"/>
      <c r="O16" s="677"/>
      <c r="P16" s="182"/>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row>
    <row r="17" spans="1:39" ht="15.75" thickBot="1" x14ac:dyDescent="0.3">
      <c r="A17" s="289">
        <f>COUNTA(C18:C300)</f>
        <v>13</v>
      </c>
      <c r="B17" s="343" t="s">
        <v>357</v>
      </c>
      <c r="C17" s="344" t="s">
        <v>358</v>
      </c>
      <c r="D17" s="345"/>
      <c r="E17" s="346"/>
      <c r="F17" s="698" t="s">
        <v>269</v>
      </c>
      <c r="G17" s="699" t="s">
        <v>338</v>
      </c>
      <c r="H17" s="700">
        <v>45748</v>
      </c>
      <c r="I17" s="701">
        <v>45749</v>
      </c>
      <c r="J17" s="701">
        <v>45750</v>
      </c>
      <c r="K17" s="701">
        <v>45751</v>
      </c>
      <c r="L17" s="701">
        <v>45752</v>
      </c>
      <c r="M17" s="701">
        <v>45753</v>
      </c>
      <c r="N17" s="701">
        <v>45754</v>
      </c>
      <c r="O17" s="701">
        <v>45755</v>
      </c>
      <c r="P17" s="701">
        <v>45756</v>
      </c>
      <c r="Q17" s="701">
        <v>45757</v>
      </c>
      <c r="R17" s="701">
        <v>45758</v>
      </c>
      <c r="S17" s="701">
        <v>45759</v>
      </c>
      <c r="T17" s="701">
        <v>45760</v>
      </c>
      <c r="U17" s="701">
        <v>45761</v>
      </c>
      <c r="V17" s="701">
        <v>45762</v>
      </c>
      <c r="W17" s="701">
        <v>45763</v>
      </c>
      <c r="X17" s="701">
        <v>45764</v>
      </c>
      <c r="Y17" s="701">
        <v>45765</v>
      </c>
      <c r="Z17" s="701">
        <v>45766</v>
      </c>
      <c r="AA17" s="701">
        <v>45767</v>
      </c>
      <c r="AB17" s="701">
        <v>45768</v>
      </c>
      <c r="AC17" s="701">
        <v>45769</v>
      </c>
      <c r="AD17" s="701">
        <v>45770</v>
      </c>
      <c r="AE17" s="701">
        <v>45771</v>
      </c>
      <c r="AF17" s="701">
        <v>45772</v>
      </c>
      <c r="AG17" s="701">
        <v>45773</v>
      </c>
      <c r="AH17" s="701">
        <v>45774</v>
      </c>
      <c r="AI17" s="701">
        <v>45775</v>
      </c>
      <c r="AJ17" s="701">
        <v>45776</v>
      </c>
      <c r="AK17" s="701">
        <v>45777</v>
      </c>
      <c r="AL17" s="702">
        <v>45778</v>
      </c>
      <c r="AM17" s="703" t="s">
        <v>359</v>
      </c>
    </row>
    <row r="18" spans="1:39" x14ac:dyDescent="0.25">
      <c r="A18" s="194"/>
      <c r="B18" s="1608"/>
      <c r="C18" s="1704" t="s">
        <v>480</v>
      </c>
      <c r="D18" s="1684" t="s">
        <v>340</v>
      </c>
      <c r="E18" s="195" t="s">
        <v>341</v>
      </c>
      <c r="F18" s="196">
        <f>SUMIF($H$9:$AL$9,"&lt;="&amp;$C$7,H18:AL18)</f>
        <v>1890</v>
      </c>
      <c r="G18" s="197"/>
      <c r="H18" s="198">
        <v>70</v>
      </c>
      <c r="I18" s="198">
        <v>70</v>
      </c>
      <c r="J18" s="198">
        <v>70</v>
      </c>
      <c r="K18" s="199">
        <v>70</v>
      </c>
      <c r="L18" s="199">
        <v>70</v>
      </c>
      <c r="M18" s="199">
        <v>70</v>
      </c>
      <c r="N18" s="199">
        <v>70</v>
      </c>
      <c r="O18" s="199">
        <v>70</v>
      </c>
      <c r="P18" s="200">
        <v>70</v>
      </c>
      <c r="Q18" s="199">
        <v>70</v>
      </c>
      <c r="R18" s="199">
        <v>70</v>
      </c>
      <c r="S18" s="199">
        <v>70</v>
      </c>
      <c r="T18" s="199">
        <v>70</v>
      </c>
      <c r="U18" s="199">
        <v>70</v>
      </c>
      <c r="V18" s="199">
        <v>70</v>
      </c>
      <c r="W18" s="199">
        <v>70</v>
      </c>
      <c r="X18" s="199">
        <v>70</v>
      </c>
      <c r="Y18" s="199">
        <v>70</v>
      </c>
      <c r="Z18" s="199">
        <v>0</v>
      </c>
      <c r="AA18" s="199">
        <v>0</v>
      </c>
      <c r="AB18" s="199">
        <v>0</v>
      </c>
      <c r="AC18" s="199">
        <v>70</v>
      </c>
      <c r="AD18" s="199">
        <v>70</v>
      </c>
      <c r="AE18" s="199">
        <v>70</v>
      </c>
      <c r="AF18" s="199">
        <v>70</v>
      </c>
      <c r="AG18" s="199">
        <v>70</v>
      </c>
      <c r="AH18" s="199">
        <v>70</v>
      </c>
      <c r="AI18" s="199">
        <v>70</v>
      </c>
      <c r="AJ18" s="199">
        <v>70</v>
      </c>
      <c r="AK18" s="199">
        <v>70</v>
      </c>
      <c r="AL18" s="201">
        <v>0</v>
      </c>
      <c r="AM18" s="704"/>
    </row>
    <row r="19" spans="1:39" x14ac:dyDescent="0.25">
      <c r="A19" s="202"/>
      <c r="B19" s="1607"/>
      <c r="C19" s="1705"/>
      <c r="D19" s="1688"/>
      <c r="E19" s="1379" t="s">
        <v>342</v>
      </c>
      <c r="F19" s="1303">
        <f>SUMIF($H$9:$AL$9,"&lt;="&amp;$C$7,H19:AL19)</f>
        <v>84</v>
      </c>
      <c r="G19" s="1380">
        <f>IFERROR((F19-F18)/F18,0)</f>
        <v>-0.9555555555555556</v>
      </c>
      <c r="H19" s="1305">
        <v>30</v>
      </c>
      <c r="I19" s="1303">
        <v>54</v>
      </c>
      <c r="J19" s="1303"/>
      <c r="K19" s="1303"/>
      <c r="L19" s="1303"/>
      <c r="M19" s="1303"/>
      <c r="N19" s="1303"/>
      <c r="O19" s="1303"/>
      <c r="P19" s="1303"/>
      <c r="Q19" s="1303"/>
      <c r="R19" s="1303"/>
      <c r="S19" s="1303"/>
      <c r="T19" s="1303"/>
      <c r="U19" s="1303"/>
      <c r="V19" s="1303"/>
      <c r="W19" s="1303"/>
      <c r="X19" s="1303"/>
      <c r="Y19" s="1303"/>
      <c r="Z19" s="1303"/>
      <c r="AA19" s="1303"/>
      <c r="AB19" s="1303"/>
      <c r="AC19" s="1303"/>
      <c r="AD19" s="1303"/>
      <c r="AE19" s="1303"/>
      <c r="AF19" s="1303"/>
      <c r="AG19" s="1303"/>
      <c r="AH19" s="1303"/>
      <c r="AI19" s="1303"/>
      <c r="AJ19" s="1303"/>
      <c r="AK19" s="1303"/>
      <c r="AL19" s="1303"/>
      <c r="AM19" s="347"/>
    </row>
    <row r="20" spans="1:39" x14ac:dyDescent="0.25">
      <c r="A20" s="202"/>
      <c r="B20" s="1607"/>
      <c r="C20" s="1705"/>
      <c r="D20" s="1688"/>
      <c r="E20" s="1389" t="s">
        <v>312</v>
      </c>
      <c r="F20" s="1382"/>
      <c r="G20" s="1383"/>
      <c r="H20" s="203"/>
      <c r="I20" s="203"/>
      <c r="J20" s="203"/>
      <c r="K20" s="203"/>
      <c r="L20" s="203"/>
      <c r="M20" s="203"/>
      <c r="N20" s="203"/>
      <c r="O20" s="203"/>
      <c r="P20" s="204"/>
      <c r="Q20" s="203"/>
      <c r="R20" s="203"/>
      <c r="S20" s="203"/>
      <c r="T20" s="203"/>
      <c r="U20" s="203"/>
      <c r="V20" s="203"/>
      <c r="W20" s="203"/>
      <c r="X20" s="203"/>
      <c r="Y20" s="203"/>
      <c r="Z20" s="203"/>
      <c r="AA20" s="203"/>
      <c r="AB20" s="203"/>
      <c r="AC20" s="203"/>
      <c r="AD20" s="203"/>
      <c r="AE20" s="203"/>
      <c r="AF20" s="203"/>
      <c r="AG20" s="203"/>
      <c r="AH20" s="203"/>
      <c r="AI20" s="203"/>
      <c r="AJ20" s="203"/>
      <c r="AK20" s="203"/>
      <c r="AL20" s="205"/>
      <c r="AM20" s="347"/>
    </row>
    <row r="21" spans="1:39" x14ac:dyDescent="0.25">
      <c r="A21" s="202"/>
      <c r="B21" s="1607"/>
      <c r="C21" s="1705"/>
      <c r="D21" s="1685" t="s">
        <v>343</v>
      </c>
      <c r="E21" s="1384" t="s">
        <v>344</v>
      </c>
      <c r="F21" s="1310">
        <f>IFERROR(F23*1000/F18,0)</f>
        <v>2.2148148148148148</v>
      </c>
      <c r="G21" s="1385"/>
      <c r="H21" s="1333">
        <v>2.2999999999999998</v>
      </c>
      <c r="I21" s="1333">
        <v>2.2999999999999998</v>
      </c>
      <c r="J21" s="1333">
        <v>2.2999999999999998</v>
      </c>
      <c r="K21" s="1333">
        <v>2.2999999999999998</v>
      </c>
      <c r="L21" s="1333">
        <v>2.2999999999999998</v>
      </c>
      <c r="M21" s="1333">
        <v>2.2999999999999998</v>
      </c>
      <c r="N21" s="1333">
        <v>2.2999999999999998</v>
      </c>
      <c r="O21" s="1333">
        <v>2.2999999999999998</v>
      </c>
      <c r="P21" s="1334">
        <v>2.2999999999999998</v>
      </c>
      <c r="Q21" s="1333">
        <v>2.2999999999999998</v>
      </c>
      <c r="R21" s="1333">
        <v>2.2999999999999998</v>
      </c>
      <c r="S21" s="1333">
        <v>2.2999999999999998</v>
      </c>
      <c r="T21" s="1333">
        <v>2.2999999999999998</v>
      </c>
      <c r="U21" s="1333">
        <v>2.2999999999999998</v>
      </c>
      <c r="V21" s="1333">
        <v>2.2999999999999998</v>
      </c>
      <c r="W21" s="1333">
        <v>2.2999999999999998</v>
      </c>
      <c r="X21" s="1333">
        <v>2.2999999999999998</v>
      </c>
      <c r="Y21" s="1333">
        <v>2.2999999999999998</v>
      </c>
      <c r="Z21" s="1333">
        <v>2.2999999999999998</v>
      </c>
      <c r="AA21" s="1333">
        <v>0</v>
      </c>
      <c r="AB21" s="1333">
        <v>0</v>
      </c>
      <c r="AC21" s="1333">
        <v>2.2999999999999998</v>
      </c>
      <c r="AD21" s="1333">
        <v>2.2999999999999998</v>
      </c>
      <c r="AE21" s="1333">
        <v>2.2999999999999998</v>
      </c>
      <c r="AF21" s="1333">
        <v>2.2999999999999998</v>
      </c>
      <c r="AG21" s="1333">
        <v>2.2999999999999998</v>
      </c>
      <c r="AH21" s="1333">
        <v>2.2999999999999998</v>
      </c>
      <c r="AI21" s="1333">
        <v>2.2999999999999998</v>
      </c>
      <c r="AJ21" s="1333">
        <v>2.2999999999999998</v>
      </c>
      <c r="AK21" s="1333">
        <v>2.2999999999999998</v>
      </c>
      <c r="AL21" s="1335">
        <v>0</v>
      </c>
      <c r="AM21" s="347"/>
    </row>
    <row r="22" spans="1:39" x14ac:dyDescent="0.25">
      <c r="A22" s="202"/>
      <c r="B22" s="1607"/>
      <c r="C22" s="1705"/>
      <c r="D22" s="1707"/>
      <c r="E22" s="1386" t="s">
        <v>345</v>
      </c>
      <c r="F22" s="1314">
        <f>IFERROR(F24*1000/F19,0)</f>
        <v>0.53214285714285714</v>
      </c>
      <c r="G22" s="1380">
        <f>IFERROR((F22-F21)/F21,0)</f>
        <v>-0.7597348303870044</v>
      </c>
      <c r="H22" s="1315">
        <v>1.49</v>
      </c>
      <c r="I22" s="1314"/>
      <c r="J22" s="1314"/>
      <c r="K22" s="1314"/>
      <c r="L22" s="1314"/>
      <c r="M22" s="1314"/>
      <c r="N22" s="1314"/>
      <c r="O22" s="1314"/>
      <c r="P22" s="1314"/>
      <c r="Q22" s="1314"/>
      <c r="R22" s="1314"/>
      <c r="S22" s="1314"/>
      <c r="T22" s="1314"/>
      <c r="U22" s="1314"/>
      <c r="V22" s="1314"/>
      <c r="W22" s="1314"/>
      <c r="X22" s="1314"/>
      <c r="Y22" s="1314"/>
      <c r="Z22" s="1314"/>
      <c r="AA22" s="1314"/>
      <c r="AB22" s="1314"/>
      <c r="AC22" s="1314"/>
      <c r="AD22" s="1314"/>
      <c r="AE22" s="1314"/>
      <c r="AF22" s="1314"/>
      <c r="AG22" s="1314"/>
      <c r="AH22" s="1314"/>
      <c r="AI22" s="1314"/>
      <c r="AJ22" s="1314"/>
      <c r="AK22" s="1314"/>
      <c r="AL22" s="1314"/>
      <c r="AM22" s="347"/>
    </row>
    <row r="23" spans="1:39" x14ac:dyDescent="0.25">
      <c r="A23" s="202"/>
      <c r="B23" s="1607"/>
      <c r="C23" s="1705"/>
      <c r="D23" s="1685" t="s">
        <v>47</v>
      </c>
      <c r="E23" s="1384" t="s">
        <v>346</v>
      </c>
      <c r="F23" s="206">
        <f>SUMIF($H$9:$AL$9,"&lt;="&amp;$C$7,H23:AL23)</f>
        <v>4.1859999999999999</v>
      </c>
      <c r="G23" s="1385"/>
      <c r="H23" s="1316">
        <v>0</v>
      </c>
      <c r="I23" s="1316">
        <f t="shared" ref="I23:AL24" si="2">+I21*I18/1000</f>
        <v>0.161</v>
      </c>
      <c r="J23" s="1316">
        <f t="shared" si="2"/>
        <v>0.161</v>
      </c>
      <c r="K23" s="1316">
        <f t="shared" si="2"/>
        <v>0.161</v>
      </c>
      <c r="L23" s="1316">
        <f t="shared" si="2"/>
        <v>0.161</v>
      </c>
      <c r="M23" s="1316">
        <f t="shared" si="2"/>
        <v>0.161</v>
      </c>
      <c r="N23" s="1316">
        <f t="shared" si="2"/>
        <v>0.161</v>
      </c>
      <c r="O23" s="1316">
        <f t="shared" si="2"/>
        <v>0.161</v>
      </c>
      <c r="P23" s="1316">
        <f t="shared" si="2"/>
        <v>0.161</v>
      </c>
      <c r="Q23" s="1316">
        <f t="shared" si="2"/>
        <v>0.161</v>
      </c>
      <c r="R23" s="1316">
        <f t="shared" si="2"/>
        <v>0.161</v>
      </c>
      <c r="S23" s="1316">
        <f t="shared" si="2"/>
        <v>0.161</v>
      </c>
      <c r="T23" s="1316">
        <f t="shared" si="2"/>
        <v>0.161</v>
      </c>
      <c r="U23" s="1316">
        <f t="shared" si="2"/>
        <v>0.161</v>
      </c>
      <c r="V23" s="1316">
        <f t="shared" si="2"/>
        <v>0.161</v>
      </c>
      <c r="W23" s="1316">
        <f t="shared" si="2"/>
        <v>0.161</v>
      </c>
      <c r="X23" s="1316">
        <f t="shared" si="2"/>
        <v>0.161</v>
      </c>
      <c r="Y23" s="1316">
        <f t="shared" si="2"/>
        <v>0.161</v>
      </c>
      <c r="Z23" s="1316">
        <f t="shared" si="2"/>
        <v>0</v>
      </c>
      <c r="AA23" s="1316">
        <f t="shared" si="2"/>
        <v>0</v>
      </c>
      <c r="AB23" s="1316">
        <f t="shared" si="2"/>
        <v>0</v>
      </c>
      <c r="AC23" s="1316">
        <f t="shared" si="2"/>
        <v>0.161</v>
      </c>
      <c r="AD23" s="1316">
        <f t="shared" si="2"/>
        <v>0.161</v>
      </c>
      <c r="AE23" s="1316">
        <f t="shared" si="2"/>
        <v>0.161</v>
      </c>
      <c r="AF23" s="1316">
        <f t="shared" si="2"/>
        <v>0.161</v>
      </c>
      <c r="AG23" s="1316">
        <f t="shared" si="2"/>
        <v>0.161</v>
      </c>
      <c r="AH23" s="1316">
        <f t="shared" si="2"/>
        <v>0.161</v>
      </c>
      <c r="AI23" s="1316">
        <f t="shared" si="2"/>
        <v>0.161</v>
      </c>
      <c r="AJ23" s="1316">
        <f t="shared" si="2"/>
        <v>0.161</v>
      </c>
      <c r="AK23" s="1316">
        <f t="shared" si="2"/>
        <v>0.161</v>
      </c>
      <c r="AL23" s="1316">
        <f t="shared" si="2"/>
        <v>0</v>
      </c>
      <c r="AM23" s="705"/>
    </row>
    <row r="24" spans="1:39" ht="15.75" thickBot="1" x14ac:dyDescent="0.3">
      <c r="A24" s="202"/>
      <c r="B24" s="1660"/>
      <c r="C24" s="1706"/>
      <c r="D24" s="1708"/>
      <c r="E24" s="1387" t="s">
        <v>347</v>
      </c>
      <c r="F24" s="1321">
        <f>SUMIF($H$9:$AL$9,"&lt;="&amp;$C$7,H24:AL24)</f>
        <v>4.4700000000000004E-2</v>
      </c>
      <c r="G24" s="1388">
        <f>IFERROR((F24-F23)/F23,0)</f>
        <v>-0.98932154801720029</v>
      </c>
      <c r="H24" s="1323">
        <f>+H22*H19/1000</f>
        <v>4.4700000000000004E-2</v>
      </c>
      <c r="I24" s="1323">
        <f t="shared" si="2"/>
        <v>0</v>
      </c>
      <c r="J24" s="1323">
        <f t="shared" si="2"/>
        <v>0</v>
      </c>
      <c r="K24" s="1323">
        <f t="shared" si="2"/>
        <v>0</v>
      </c>
      <c r="L24" s="1323">
        <f t="shared" si="2"/>
        <v>0</v>
      </c>
      <c r="M24" s="1323">
        <f t="shared" si="2"/>
        <v>0</v>
      </c>
      <c r="N24" s="1323">
        <f t="shared" si="2"/>
        <v>0</v>
      </c>
      <c r="O24" s="1323">
        <f t="shared" si="2"/>
        <v>0</v>
      </c>
      <c r="P24" s="1323">
        <f t="shared" si="2"/>
        <v>0</v>
      </c>
      <c r="Q24" s="1323">
        <f t="shared" si="2"/>
        <v>0</v>
      </c>
      <c r="R24" s="1323">
        <f t="shared" si="2"/>
        <v>0</v>
      </c>
      <c r="S24" s="1323">
        <f t="shared" si="2"/>
        <v>0</v>
      </c>
      <c r="T24" s="1323">
        <f t="shared" si="2"/>
        <v>0</v>
      </c>
      <c r="U24" s="1323">
        <f t="shared" si="2"/>
        <v>0</v>
      </c>
      <c r="V24" s="1323">
        <f t="shared" si="2"/>
        <v>0</v>
      </c>
      <c r="W24" s="1323">
        <f t="shared" si="2"/>
        <v>0</v>
      </c>
      <c r="X24" s="1323">
        <f t="shared" si="2"/>
        <v>0</v>
      </c>
      <c r="Y24" s="1323">
        <f t="shared" si="2"/>
        <v>0</v>
      </c>
      <c r="Z24" s="1323">
        <f t="shared" si="2"/>
        <v>0</v>
      </c>
      <c r="AA24" s="1323">
        <f t="shared" si="2"/>
        <v>0</v>
      </c>
      <c r="AB24" s="1323">
        <f t="shared" si="2"/>
        <v>0</v>
      </c>
      <c r="AC24" s="1323">
        <f t="shared" si="2"/>
        <v>0</v>
      </c>
      <c r="AD24" s="1323">
        <f t="shared" si="2"/>
        <v>0</v>
      </c>
      <c r="AE24" s="1323">
        <f t="shared" si="2"/>
        <v>0</v>
      </c>
      <c r="AF24" s="1323">
        <f t="shared" si="2"/>
        <v>0</v>
      </c>
      <c r="AG24" s="1323">
        <f t="shared" si="2"/>
        <v>0</v>
      </c>
      <c r="AH24" s="1323">
        <f t="shared" si="2"/>
        <v>0</v>
      </c>
      <c r="AI24" s="1323">
        <f t="shared" si="2"/>
        <v>0</v>
      </c>
      <c r="AJ24" s="1323">
        <f t="shared" si="2"/>
        <v>0</v>
      </c>
      <c r="AK24" s="1323">
        <f t="shared" si="2"/>
        <v>0</v>
      </c>
      <c r="AL24" s="1323">
        <f t="shared" si="2"/>
        <v>0</v>
      </c>
      <c r="AM24" s="706"/>
    </row>
    <row r="25" spans="1:39" x14ac:dyDescent="0.25">
      <c r="A25" s="194"/>
      <c r="B25" s="1608"/>
      <c r="C25" s="1704" t="s">
        <v>469</v>
      </c>
      <c r="D25" s="1684" t="s">
        <v>340</v>
      </c>
      <c r="E25" s="195" t="s">
        <v>341</v>
      </c>
      <c r="F25" s="196">
        <f t="shared" ref="F25:F26" si="3">SUMIF($H$9:$AL$9,"&lt;="&amp;$C$7,H25:AL25)</f>
        <v>2940</v>
      </c>
      <c r="G25" s="197"/>
      <c r="H25" s="198">
        <v>105</v>
      </c>
      <c r="I25" s="198">
        <v>105</v>
      </c>
      <c r="J25" s="198">
        <v>105</v>
      </c>
      <c r="K25" s="199">
        <v>105</v>
      </c>
      <c r="L25" s="199">
        <v>105</v>
      </c>
      <c r="M25" s="199">
        <v>105</v>
      </c>
      <c r="N25" s="199">
        <v>105</v>
      </c>
      <c r="O25" s="199">
        <v>105</v>
      </c>
      <c r="P25" s="200">
        <v>105</v>
      </c>
      <c r="Q25" s="199">
        <v>105</v>
      </c>
      <c r="R25" s="199">
        <v>105</v>
      </c>
      <c r="S25" s="199">
        <v>105</v>
      </c>
      <c r="T25" s="199">
        <v>105</v>
      </c>
      <c r="U25" s="199">
        <v>105</v>
      </c>
      <c r="V25" s="199">
        <v>105</v>
      </c>
      <c r="W25" s="199">
        <v>105</v>
      </c>
      <c r="X25" s="199">
        <v>105</v>
      </c>
      <c r="Y25" s="199">
        <v>105</v>
      </c>
      <c r="Z25" s="199">
        <v>105</v>
      </c>
      <c r="AA25" s="199">
        <v>0</v>
      </c>
      <c r="AB25" s="199">
        <v>0</v>
      </c>
      <c r="AC25" s="199">
        <v>105</v>
      </c>
      <c r="AD25" s="199">
        <v>105</v>
      </c>
      <c r="AE25" s="199">
        <v>105</v>
      </c>
      <c r="AF25" s="199">
        <v>105</v>
      </c>
      <c r="AG25" s="199">
        <v>105</v>
      </c>
      <c r="AH25" s="199">
        <v>105</v>
      </c>
      <c r="AI25" s="199">
        <v>105</v>
      </c>
      <c r="AJ25" s="199">
        <v>105</v>
      </c>
      <c r="AK25" s="199">
        <v>105</v>
      </c>
      <c r="AL25" s="201">
        <v>0</v>
      </c>
      <c r="AM25" s="704"/>
    </row>
    <row r="26" spans="1:39" x14ac:dyDescent="0.25">
      <c r="A26" s="202"/>
      <c r="B26" s="1607"/>
      <c r="C26" s="1705"/>
      <c r="D26" s="1688"/>
      <c r="E26" s="1379" t="s">
        <v>342</v>
      </c>
      <c r="F26" s="1303">
        <f t="shared" si="3"/>
        <v>250</v>
      </c>
      <c r="G26" s="1380">
        <f t="shared" ref="G26" si="4">IFERROR((F26-F25)/F25,0)</f>
        <v>-0.91496598639455784</v>
      </c>
      <c r="H26" s="1305">
        <v>134</v>
      </c>
      <c r="I26" s="1303">
        <f>116</f>
        <v>116</v>
      </c>
      <c r="J26" s="1303"/>
      <c r="K26" s="1303"/>
      <c r="L26" s="1303"/>
      <c r="M26" s="1303"/>
      <c r="N26" s="1303"/>
      <c r="O26" s="1303"/>
      <c r="P26" s="1303"/>
      <c r="Q26" s="1303"/>
      <c r="R26" s="1303"/>
      <c r="S26" s="1303"/>
      <c r="T26" s="1303"/>
      <c r="U26" s="1303"/>
      <c r="V26" s="1303"/>
      <c r="W26" s="1303"/>
      <c r="X26" s="1303"/>
      <c r="Y26" s="1303"/>
      <c r="Z26" s="1303"/>
      <c r="AA26" s="1303"/>
      <c r="AB26" s="1303"/>
      <c r="AC26" s="1303"/>
      <c r="AD26" s="1303"/>
      <c r="AE26" s="1303"/>
      <c r="AF26" s="1303"/>
      <c r="AG26" s="1303"/>
      <c r="AH26" s="1303"/>
      <c r="AI26" s="1303"/>
      <c r="AJ26" s="1303"/>
      <c r="AK26" s="1303"/>
      <c r="AL26" s="1303"/>
      <c r="AM26" s="347"/>
    </row>
    <row r="27" spans="1:39" x14ac:dyDescent="0.25">
      <c r="A27" s="202"/>
      <c r="B27" s="1607"/>
      <c r="C27" s="1705"/>
      <c r="D27" s="1688"/>
      <c r="E27" s="1389" t="s">
        <v>312</v>
      </c>
      <c r="F27" s="1382"/>
      <c r="G27" s="1383"/>
      <c r="H27" s="203"/>
      <c r="I27" s="203"/>
      <c r="J27" s="203"/>
      <c r="K27" s="203"/>
      <c r="L27" s="203"/>
      <c r="M27" s="203"/>
      <c r="N27" s="203"/>
      <c r="O27" s="203"/>
      <c r="P27" s="204"/>
      <c r="Q27" s="203"/>
      <c r="R27" s="203"/>
      <c r="S27" s="203"/>
      <c r="T27" s="203"/>
      <c r="U27" s="203"/>
      <c r="V27" s="203"/>
      <c r="W27" s="203"/>
      <c r="X27" s="203"/>
      <c r="Y27" s="203"/>
      <c r="Z27" s="203"/>
      <c r="AA27" s="203"/>
      <c r="AB27" s="203"/>
      <c r="AC27" s="203"/>
      <c r="AD27" s="203"/>
      <c r="AE27" s="203"/>
      <c r="AF27" s="203"/>
      <c r="AG27" s="203"/>
      <c r="AH27" s="203"/>
      <c r="AI27" s="203"/>
      <c r="AJ27" s="203"/>
      <c r="AK27" s="203"/>
      <c r="AL27" s="205"/>
      <c r="AM27" s="347"/>
    </row>
    <row r="28" spans="1:39" x14ac:dyDescent="0.25">
      <c r="A28" s="202"/>
      <c r="B28" s="1607"/>
      <c r="C28" s="1705"/>
      <c r="D28" s="1685" t="s">
        <v>343</v>
      </c>
      <c r="E28" s="1384" t="s">
        <v>344</v>
      </c>
      <c r="F28" s="1310">
        <f t="shared" ref="F28:F29" si="5">IFERROR(F30*1000/F25,0)</f>
        <v>3.7124999999999995</v>
      </c>
      <c r="G28" s="1385"/>
      <c r="H28" s="1312">
        <v>3.85</v>
      </c>
      <c r="I28" s="1312">
        <v>3.85</v>
      </c>
      <c r="J28" s="1312">
        <v>3.85</v>
      </c>
      <c r="K28" s="1333">
        <v>3.85</v>
      </c>
      <c r="L28" s="1333">
        <v>3.85</v>
      </c>
      <c r="M28" s="1333">
        <v>3.85</v>
      </c>
      <c r="N28" s="1333">
        <v>3.85</v>
      </c>
      <c r="O28" s="1333">
        <v>3.85</v>
      </c>
      <c r="P28" s="1334">
        <v>3.85</v>
      </c>
      <c r="Q28" s="1333">
        <v>3.85</v>
      </c>
      <c r="R28" s="1333">
        <v>3.85</v>
      </c>
      <c r="S28" s="1333">
        <v>3.85</v>
      </c>
      <c r="T28" s="1333">
        <v>3.85</v>
      </c>
      <c r="U28" s="1333">
        <v>3.85</v>
      </c>
      <c r="V28" s="1333">
        <v>3.85</v>
      </c>
      <c r="W28" s="1333">
        <v>3.85</v>
      </c>
      <c r="X28" s="1333">
        <v>3.85</v>
      </c>
      <c r="Y28" s="1333">
        <v>3.85</v>
      </c>
      <c r="Z28" s="1333">
        <v>3.85</v>
      </c>
      <c r="AA28" s="1333">
        <v>0</v>
      </c>
      <c r="AB28" s="1333">
        <v>0</v>
      </c>
      <c r="AC28" s="1333">
        <v>3.85</v>
      </c>
      <c r="AD28" s="1333">
        <v>3.85</v>
      </c>
      <c r="AE28" s="1333">
        <v>3.85</v>
      </c>
      <c r="AF28" s="1333">
        <v>3.85</v>
      </c>
      <c r="AG28" s="1333">
        <v>3.85</v>
      </c>
      <c r="AH28" s="1333">
        <v>3.85</v>
      </c>
      <c r="AI28" s="1333">
        <v>3.85</v>
      </c>
      <c r="AJ28" s="1333">
        <v>3.85</v>
      </c>
      <c r="AK28" s="1333">
        <v>3.85</v>
      </c>
      <c r="AL28" s="1335">
        <v>0</v>
      </c>
      <c r="AM28" s="347"/>
    </row>
    <row r="29" spans="1:39" x14ac:dyDescent="0.25">
      <c r="A29" s="202"/>
      <c r="B29" s="1607"/>
      <c r="C29" s="1705"/>
      <c r="D29" s="1707"/>
      <c r="E29" s="1386" t="s">
        <v>345</v>
      </c>
      <c r="F29" s="1314">
        <f t="shared" si="5"/>
        <v>0</v>
      </c>
      <c r="G29" s="1380">
        <f t="shared" ref="G29" si="6">IFERROR((F29-F28)/F28,0)</f>
        <v>-1</v>
      </c>
      <c r="H29" s="1315">
        <v>2.56</v>
      </c>
      <c r="I29" s="1314"/>
      <c r="J29" s="1314"/>
      <c r="K29" s="1314"/>
      <c r="L29" s="1314"/>
      <c r="M29" s="1314"/>
      <c r="N29" s="1314"/>
      <c r="O29" s="1314"/>
      <c r="P29" s="1314"/>
      <c r="Q29" s="1314"/>
      <c r="R29" s="1314"/>
      <c r="S29" s="1314"/>
      <c r="T29" s="1314"/>
      <c r="U29" s="1314"/>
      <c r="V29" s="1314"/>
      <c r="W29" s="1314"/>
      <c r="X29" s="1314"/>
      <c r="Y29" s="1314"/>
      <c r="Z29" s="1314"/>
      <c r="AA29" s="1314"/>
      <c r="AB29" s="1314"/>
      <c r="AC29" s="1314"/>
      <c r="AD29" s="1314"/>
      <c r="AE29" s="1314"/>
      <c r="AF29" s="1314"/>
      <c r="AG29" s="1314"/>
      <c r="AH29" s="1314"/>
      <c r="AI29" s="1314"/>
      <c r="AJ29" s="1314"/>
      <c r="AK29" s="1314"/>
      <c r="AL29" s="1314"/>
      <c r="AM29" s="347"/>
    </row>
    <row r="30" spans="1:39" x14ac:dyDescent="0.25">
      <c r="A30" s="202"/>
      <c r="B30" s="1607"/>
      <c r="C30" s="1705"/>
      <c r="D30" s="1685" t="s">
        <v>47</v>
      </c>
      <c r="E30" s="1384" t="s">
        <v>346</v>
      </c>
      <c r="F30" s="206">
        <f t="shared" ref="F30:F33" si="7">SUMIF($H$9:$AL$9,"&lt;="&amp;$C$7,H30:AL30)</f>
        <v>10.914749999999998</v>
      </c>
      <c r="G30" s="1385"/>
      <c r="H30" s="1316">
        <v>0</v>
      </c>
      <c r="I30" s="1316">
        <f t="shared" ref="I30:AL31" si="8">+I28*I25/1000</f>
        <v>0.40425</v>
      </c>
      <c r="J30" s="1316">
        <f t="shared" si="8"/>
        <v>0.40425</v>
      </c>
      <c r="K30" s="1316">
        <f t="shared" si="8"/>
        <v>0.40425</v>
      </c>
      <c r="L30" s="1316">
        <f t="shared" si="8"/>
        <v>0.40425</v>
      </c>
      <c r="M30" s="1316">
        <f t="shared" si="8"/>
        <v>0.40425</v>
      </c>
      <c r="N30" s="1316">
        <f t="shared" si="8"/>
        <v>0.40425</v>
      </c>
      <c r="O30" s="1316">
        <f t="shared" si="8"/>
        <v>0.40425</v>
      </c>
      <c r="P30" s="1316">
        <f t="shared" si="8"/>
        <v>0.40425</v>
      </c>
      <c r="Q30" s="1316">
        <f t="shared" si="8"/>
        <v>0.40425</v>
      </c>
      <c r="R30" s="1316">
        <f t="shared" si="8"/>
        <v>0.40425</v>
      </c>
      <c r="S30" s="1316">
        <f t="shared" si="8"/>
        <v>0.40425</v>
      </c>
      <c r="T30" s="1316">
        <f t="shared" si="8"/>
        <v>0.40425</v>
      </c>
      <c r="U30" s="1316">
        <f t="shared" si="8"/>
        <v>0.40425</v>
      </c>
      <c r="V30" s="1316">
        <f t="shared" si="8"/>
        <v>0.40425</v>
      </c>
      <c r="W30" s="1316">
        <f t="shared" si="8"/>
        <v>0.40425</v>
      </c>
      <c r="X30" s="1316">
        <f t="shared" si="8"/>
        <v>0.40425</v>
      </c>
      <c r="Y30" s="1316">
        <f t="shared" si="8"/>
        <v>0.40425</v>
      </c>
      <c r="Z30" s="1316">
        <f t="shared" si="8"/>
        <v>0.40425</v>
      </c>
      <c r="AA30" s="1316">
        <f t="shared" si="8"/>
        <v>0</v>
      </c>
      <c r="AB30" s="1316">
        <f t="shared" si="8"/>
        <v>0</v>
      </c>
      <c r="AC30" s="1316">
        <f t="shared" si="8"/>
        <v>0.40425</v>
      </c>
      <c r="AD30" s="1316">
        <f t="shared" si="8"/>
        <v>0.40425</v>
      </c>
      <c r="AE30" s="1316">
        <f t="shared" si="8"/>
        <v>0.40425</v>
      </c>
      <c r="AF30" s="1316">
        <f t="shared" si="8"/>
        <v>0.40425</v>
      </c>
      <c r="AG30" s="1316">
        <f t="shared" si="8"/>
        <v>0.40425</v>
      </c>
      <c r="AH30" s="1316">
        <f t="shared" si="8"/>
        <v>0.40425</v>
      </c>
      <c r="AI30" s="1316">
        <f t="shared" si="8"/>
        <v>0.40425</v>
      </c>
      <c r="AJ30" s="1316">
        <f t="shared" si="8"/>
        <v>0.40425</v>
      </c>
      <c r="AK30" s="1316">
        <f t="shared" si="8"/>
        <v>0.40425</v>
      </c>
      <c r="AL30" s="1316">
        <f t="shared" si="8"/>
        <v>0</v>
      </c>
      <c r="AM30" s="705"/>
    </row>
    <row r="31" spans="1:39" ht="15.75" thickBot="1" x14ac:dyDescent="0.3">
      <c r="A31" s="202"/>
      <c r="B31" s="1660"/>
      <c r="C31" s="1706"/>
      <c r="D31" s="1708"/>
      <c r="E31" s="1387" t="s">
        <v>347</v>
      </c>
      <c r="F31" s="1321">
        <f t="shared" si="7"/>
        <v>0</v>
      </c>
      <c r="G31" s="1388">
        <f t="shared" ref="G31" si="9">IFERROR((F31-F30)/F30,0)</f>
        <v>-1</v>
      </c>
      <c r="H31" s="1323">
        <v>0</v>
      </c>
      <c r="I31" s="1323">
        <f t="shared" si="8"/>
        <v>0</v>
      </c>
      <c r="J31" s="1323">
        <f t="shared" si="8"/>
        <v>0</v>
      </c>
      <c r="K31" s="1323">
        <f t="shared" si="8"/>
        <v>0</v>
      </c>
      <c r="L31" s="1323">
        <f t="shared" si="8"/>
        <v>0</v>
      </c>
      <c r="M31" s="1323">
        <f t="shared" si="8"/>
        <v>0</v>
      </c>
      <c r="N31" s="1323">
        <f t="shared" si="8"/>
        <v>0</v>
      </c>
      <c r="O31" s="1323">
        <f t="shared" si="8"/>
        <v>0</v>
      </c>
      <c r="P31" s="1323">
        <f t="shared" si="8"/>
        <v>0</v>
      </c>
      <c r="Q31" s="1323">
        <f t="shared" si="8"/>
        <v>0</v>
      </c>
      <c r="R31" s="1323">
        <f t="shared" si="8"/>
        <v>0</v>
      </c>
      <c r="S31" s="1323">
        <f t="shared" si="8"/>
        <v>0</v>
      </c>
      <c r="T31" s="1323">
        <f t="shared" si="8"/>
        <v>0</v>
      </c>
      <c r="U31" s="1323">
        <f t="shared" si="8"/>
        <v>0</v>
      </c>
      <c r="V31" s="1323">
        <f t="shared" si="8"/>
        <v>0</v>
      </c>
      <c r="W31" s="1323">
        <f t="shared" si="8"/>
        <v>0</v>
      </c>
      <c r="X31" s="1323">
        <f t="shared" si="8"/>
        <v>0</v>
      </c>
      <c r="Y31" s="1323">
        <f t="shared" si="8"/>
        <v>0</v>
      </c>
      <c r="Z31" s="1323">
        <f t="shared" si="8"/>
        <v>0</v>
      </c>
      <c r="AA31" s="1323">
        <f t="shared" si="8"/>
        <v>0</v>
      </c>
      <c r="AB31" s="1323">
        <f t="shared" si="8"/>
        <v>0</v>
      </c>
      <c r="AC31" s="1323">
        <f t="shared" si="8"/>
        <v>0</v>
      </c>
      <c r="AD31" s="1323">
        <f t="shared" si="8"/>
        <v>0</v>
      </c>
      <c r="AE31" s="1323">
        <f t="shared" si="8"/>
        <v>0</v>
      </c>
      <c r="AF31" s="1323">
        <f t="shared" si="8"/>
        <v>0</v>
      </c>
      <c r="AG31" s="1323">
        <f t="shared" si="8"/>
        <v>0</v>
      </c>
      <c r="AH31" s="1323">
        <f t="shared" si="8"/>
        <v>0</v>
      </c>
      <c r="AI31" s="1323">
        <f t="shared" si="8"/>
        <v>0</v>
      </c>
      <c r="AJ31" s="1323">
        <f t="shared" si="8"/>
        <v>0</v>
      </c>
      <c r="AK31" s="1323">
        <f t="shared" si="8"/>
        <v>0</v>
      </c>
      <c r="AL31" s="1323">
        <f t="shared" si="8"/>
        <v>0</v>
      </c>
      <c r="AM31" s="706"/>
    </row>
    <row r="32" spans="1:39" x14ac:dyDescent="0.25">
      <c r="A32" s="194"/>
      <c r="B32" s="1608"/>
      <c r="C32" s="1704" t="s">
        <v>470</v>
      </c>
      <c r="D32" s="1684" t="s">
        <v>340</v>
      </c>
      <c r="E32" s="195" t="s">
        <v>341</v>
      </c>
      <c r="F32" s="196">
        <f t="shared" si="7"/>
        <v>70</v>
      </c>
      <c r="G32" s="197"/>
      <c r="H32" s="198">
        <v>0</v>
      </c>
      <c r="I32" s="198">
        <v>0</v>
      </c>
      <c r="J32" s="198">
        <v>0</v>
      </c>
      <c r="K32" s="199">
        <v>0</v>
      </c>
      <c r="L32" s="199">
        <v>0</v>
      </c>
      <c r="M32" s="199">
        <v>0</v>
      </c>
      <c r="N32" s="199">
        <v>0</v>
      </c>
      <c r="O32" s="199">
        <v>0</v>
      </c>
      <c r="P32" s="200">
        <v>0</v>
      </c>
      <c r="Q32" s="199">
        <v>0</v>
      </c>
      <c r="R32" s="199">
        <v>0</v>
      </c>
      <c r="S32" s="199">
        <v>0</v>
      </c>
      <c r="T32" s="199">
        <v>0</v>
      </c>
      <c r="U32" s="199">
        <v>0</v>
      </c>
      <c r="V32" s="199">
        <v>0</v>
      </c>
      <c r="W32" s="199">
        <v>0</v>
      </c>
      <c r="X32" s="199">
        <v>0</v>
      </c>
      <c r="Y32" s="199">
        <v>0</v>
      </c>
      <c r="Z32" s="199">
        <v>0</v>
      </c>
      <c r="AA32" s="199">
        <v>0</v>
      </c>
      <c r="AB32" s="199">
        <v>0</v>
      </c>
      <c r="AC32" s="199">
        <v>0</v>
      </c>
      <c r="AD32" s="199">
        <v>0</v>
      </c>
      <c r="AE32" s="199">
        <v>0</v>
      </c>
      <c r="AF32" s="199">
        <v>0</v>
      </c>
      <c r="AG32" s="199">
        <v>0</v>
      </c>
      <c r="AH32" s="199">
        <v>70</v>
      </c>
      <c r="AI32" s="199">
        <v>0</v>
      </c>
      <c r="AJ32" s="199">
        <v>0</v>
      </c>
      <c r="AK32" s="199">
        <v>0</v>
      </c>
      <c r="AL32" s="201">
        <v>0</v>
      </c>
      <c r="AM32" s="704"/>
    </row>
    <row r="33" spans="1:39" x14ac:dyDescent="0.25">
      <c r="A33" s="202"/>
      <c r="B33" s="1607"/>
      <c r="C33" s="1705"/>
      <c r="D33" s="1688"/>
      <c r="E33" s="1379" t="s">
        <v>342</v>
      </c>
      <c r="F33" s="1303">
        <f t="shared" si="7"/>
        <v>0</v>
      </c>
      <c r="G33" s="1380">
        <f t="shared" ref="G33" si="10">IFERROR((F33-F32)/F32,0)</f>
        <v>-1</v>
      </c>
      <c r="H33" s="1305"/>
      <c r="I33" s="1303"/>
      <c r="J33" s="1303"/>
      <c r="K33" s="1303"/>
      <c r="L33" s="1303"/>
      <c r="M33" s="1303"/>
      <c r="N33" s="1303"/>
      <c r="O33" s="1303"/>
      <c r="P33" s="1303"/>
      <c r="Q33" s="1303"/>
      <c r="R33" s="1303"/>
      <c r="S33" s="1303"/>
      <c r="T33" s="1303"/>
      <c r="U33" s="1303"/>
      <c r="V33" s="1303"/>
      <c r="W33" s="1303"/>
      <c r="X33" s="1303"/>
      <c r="Y33" s="1303"/>
      <c r="Z33" s="1303"/>
      <c r="AA33" s="1303"/>
      <c r="AB33" s="1303"/>
      <c r="AC33" s="1303"/>
      <c r="AD33" s="1303"/>
      <c r="AE33" s="1303"/>
      <c r="AF33" s="1303"/>
      <c r="AG33" s="1303"/>
      <c r="AH33" s="1303"/>
      <c r="AI33" s="1303"/>
      <c r="AJ33" s="1303"/>
      <c r="AK33" s="1303"/>
      <c r="AL33" s="1303"/>
      <c r="AM33" s="347"/>
    </row>
    <row r="34" spans="1:39" x14ac:dyDescent="0.25">
      <c r="A34" s="202"/>
      <c r="B34" s="1607"/>
      <c r="C34" s="1705"/>
      <c r="D34" s="1688"/>
      <c r="E34" s="1389" t="s">
        <v>312</v>
      </c>
      <c r="F34" s="1382"/>
      <c r="G34" s="1383"/>
      <c r="H34" s="203"/>
      <c r="I34" s="203"/>
      <c r="J34" s="203"/>
      <c r="K34" s="203"/>
      <c r="L34" s="203"/>
      <c r="M34" s="203"/>
      <c r="N34" s="203"/>
      <c r="O34" s="203"/>
      <c r="P34" s="204"/>
      <c r="Q34" s="203"/>
      <c r="R34" s="203"/>
      <c r="S34" s="203"/>
      <c r="T34" s="203"/>
      <c r="U34" s="203"/>
      <c r="V34" s="203"/>
      <c r="W34" s="203"/>
      <c r="X34" s="203"/>
      <c r="Y34" s="203"/>
      <c r="Z34" s="203"/>
      <c r="AA34" s="203"/>
      <c r="AB34" s="203"/>
      <c r="AC34" s="203"/>
      <c r="AD34" s="203"/>
      <c r="AE34" s="203"/>
      <c r="AF34" s="203"/>
      <c r="AG34" s="203"/>
      <c r="AH34" s="203"/>
      <c r="AI34" s="203"/>
      <c r="AJ34" s="203"/>
      <c r="AK34" s="203"/>
      <c r="AL34" s="205"/>
      <c r="AM34" s="347"/>
    </row>
    <row r="35" spans="1:39" x14ac:dyDescent="0.25">
      <c r="A35" s="202"/>
      <c r="B35" s="1607"/>
      <c r="C35" s="1705"/>
      <c r="D35" s="1685" t="s">
        <v>343</v>
      </c>
      <c r="E35" s="1384" t="s">
        <v>344</v>
      </c>
      <c r="F35" s="1310">
        <f t="shared" ref="F35:F36" si="11">IFERROR(F37*1000/F32,0)</f>
        <v>0</v>
      </c>
      <c r="G35" s="1385"/>
      <c r="H35" s="1312">
        <v>0</v>
      </c>
      <c r="I35" s="1312">
        <v>0</v>
      </c>
      <c r="J35" s="1312">
        <v>0</v>
      </c>
      <c r="K35" s="1333">
        <v>0</v>
      </c>
      <c r="L35" s="1333">
        <v>0</v>
      </c>
      <c r="M35" s="1333">
        <v>0</v>
      </c>
      <c r="N35" s="1333">
        <v>0</v>
      </c>
      <c r="O35" s="1333">
        <v>0</v>
      </c>
      <c r="P35" s="1334">
        <v>0</v>
      </c>
      <c r="Q35" s="1333">
        <v>0</v>
      </c>
      <c r="R35" s="1333">
        <v>0</v>
      </c>
      <c r="S35" s="1333">
        <v>0</v>
      </c>
      <c r="T35" s="1333">
        <v>0</v>
      </c>
      <c r="U35" s="1333">
        <v>0</v>
      </c>
      <c r="V35" s="1333">
        <v>0</v>
      </c>
      <c r="W35" s="1333">
        <v>0</v>
      </c>
      <c r="X35" s="1333">
        <v>0</v>
      </c>
      <c r="Y35" s="1333">
        <v>0</v>
      </c>
      <c r="Z35" s="1333">
        <v>0</v>
      </c>
      <c r="AA35" s="1333">
        <v>0</v>
      </c>
      <c r="AB35" s="1333">
        <v>0</v>
      </c>
      <c r="AC35" s="1333">
        <v>0</v>
      </c>
      <c r="AD35" s="1333">
        <v>0</v>
      </c>
      <c r="AE35" s="1333">
        <v>0</v>
      </c>
      <c r="AF35" s="1333">
        <v>0</v>
      </c>
      <c r="AG35" s="1333">
        <v>0</v>
      </c>
      <c r="AH35" s="1333">
        <v>0</v>
      </c>
      <c r="AI35" s="1333">
        <v>0</v>
      </c>
      <c r="AJ35" s="1333">
        <v>0</v>
      </c>
      <c r="AK35" s="1333">
        <v>0</v>
      </c>
      <c r="AL35" s="1335">
        <v>0</v>
      </c>
      <c r="AM35" s="347"/>
    </row>
    <row r="36" spans="1:39" x14ac:dyDescent="0.25">
      <c r="A36" s="202"/>
      <c r="B36" s="1607"/>
      <c r="C36" s="1705"/>
      <c r="D36" s="1707"/>
      <c r="E36" s="1386" t="s">
        <v>345</v>
      </c>
      <c r="F36" s="1314">
        <f t="shared" si="11"/>
        <v>0</v>
      </c>
      <c r="G36" s="1380">
        <f t="shared" ref="G36" si="12">IFERROR((F36-F35)/F35,0)</f>
        <v>0</v>
      </c>
      <c r="H36" s="1315"/>
      <c r="I36" s="1314"/>
      <c r="J36" s="1314"/>
      <c r="K36" s="1314"/>
      <c r="L36" s="1314"/>
      <c r="M36" s="1314"/>
      <c r="N36" s="1314"/>
      <c r="O36" s="1314"/>
      <c r="P36" s="1314"/>
      <c r="Q36" s="1314"/>
      <c r="R36" s="1314"/>
      <c r="S36" s="1314"/>
      <c r="T36" s="1314"/>
      <c r="U36" s="1314"/>
      <c r="V36" s="1314"/>
      <c r="W36" s="1314"/>
      <c r="X36" s="1314"/>
      <c r="Y36" s="1314"/>
      <c r="Z36" s="1314"/>
      <c r="AA36" s="1314"/>
      <c r="AB36" s="1314"/>
      <c r="AC36" s="1314"/>
      <c r="AD36" s="1314"/>
      <c r="AE36" s="1314"/>
      <c r="AF36" s="1314"/>
      <c r="AG36" s="1314"/>
      <c r="AH36" s="1314"/>
      <c r="AI36" s="1314"/>
      <c r="AJ36" s="1314"/>
      <c r="AK36" s="1314"/>
      <c r="AL36" s="1314"/>
      <c r="AM36" s="347"/>
    </row>
    <row r="37" spans="1:39" x14ac:dyDescent="0.25">
      <c r="A37" s="202"/>
      <c r="B37" s="1607"/>
      <c r="C37" s="1705"/>
      <c r="D37" s="1685" t="s">
        <v>47</v>
      </c>
      <c r="E37" s="1384" t="s">
        <v>346</v>
      </c>
      <c r="F37" s="206">
        <f t="shared" ref="F37:F40" si="13">SUMIF($H$9:$AL$9,"&lt;="&amp;$C$7,H37:AL37)</f>
        <v>0</v>
      </c>
      <c r="G37" s="1385"/>
      <c r="H37" s="1316">
        <v>0</v>
      </c>
      <c r="I37" s="1316">
        <f t="shared" ref="I37:AL38" si="14">+I35*I32/1000</f>
        <v>0</v>
      </c>
      <c r="J37" s="1316">
        <f t="shared" si="14"/>
        <v>0</v>
      </c>
      <c r="K37" s="1316">
        <f t="shared" si="14"/>
        <v>0</v>
      </c>
      <c r="L37" s="1316">
        <f t="shared" si="14"/>
        <v>0</v>
      </c>
      <c r="M37" s="1316">
        <f t="shared" si="14"/>
        <v>0</v>
      </c>
      <c r="N37" s="1316">
        <f t="shared" si="14"/>
        <v>0</v>
      </c>
      <c r="O37" s="1316">
        <f t="shared" si="14"/>
        <v>0</v>
      </c>
      <c r="P37" s="1316">
        <f t="shared" si="14"/>
        <v>0</v>
      </c>
      <c r="Q37" s="1316">
        <f t="shared" si="14"/>
        <v>0</v>
      </c>
      <c r="R37" s="1316">
        <f t="shared" si="14"/>
        <v>0</v>
      </c>
      <c r="S37" s="1316">
        <f t="shared" si="14"/>
        <v>0</v>
      </c>
      <c r="T37" s="1316">
        <f t="shared" si="14"/>
        <v>0</v>
      </c>
      <c r="U37" s="1316">
        <f t="shared" si="14"/>
        <v>0</v>
      </c>
      <c r="V37" s="1316">
        <f t="shared" si="14"/>
        <v>0</v>
      </c>
      <c r="W37" s="1316">
        <f t="shared" si="14"/>
        <v>0</v>
      </c>
      <c r="X37" s="1316">
        <f t="shared" si="14"/>
        <v>0</v>
      </c>
      <c r="Y37" s="1316">
        <f t="shared" si="14"/>
        <v>0</v>
      </c>
      <c r="Z37" s="1316">
        <f t="shared" si="14"/>
        <v>0</v>
      </c>
      <c r="AA37" s="1316">
        <f t="shared" si="14"/>
        <v>0</v>
      </c>
      <c r="AB37" s="1316">
        <f t="shared" si="14"/>
        <v>0</v>
      </c>
      <c r="AC37" s="1316">
        <f t="shared" si="14"/>
        <v>0</v>
      </c>
      <c r="AD37" s="1316">
        <f t="shared" si="14"/>
        <v>0</v>
      </c>
      <c r="AE37" s="1316">
        <f t="shared" si="14"/>
        <v>0</v>
      </c>
      <c r="AF37" s="1316">
        <f t="shared" si="14"/>
        <v>0</v>
      </c>
      <c r="AG37" s="1316">
        <f t="shared" si="14"/>
        <v>0</v>
      </c>
      <c r="AH37" s="1316">
        <f t="shared" si="14"/>
        <v>0</v>
      </c>
      <c r="AI37" s="1316">
        <f t="shared" si="14"/>
        <v>0</v>
      </c>
      <c r="AJ37" s="1316">
        <f t="shared" si="14"/>
        <v>0</v>
      </c>
      <c r="AK37" s="1316">
        <f t="shared" si="14"/>
        <v>0</v>
      </c>
      <c r="AL37" s="1316">
        <f t="shared" si="14"/>
        <v>0</v>
      </c>
      <c r="AM37" s="705"/>
    </row>
    <row r="38" spans="1:39" ht="15.75" thickBot="1" x14ac:dyDescent="0.3">
      <c r="A38" s="202"/>
      <c r="B38" s="1660"/>
      <c r="C38" s="1706"/>
      <c r="D38" s="1708"/>
      <c r="E38" s="1387" t="s">
        <v>347</v>
      </c>
      <c r="F38" s="1321">
        <f t="shared" si="13"/>
        <v>0</v>
      </c>
      <c r="G38" s="1388">
        <f t="shared" ref="G38" si="15">IFERROR((F38-F37)/F37,0)</f>
        <v>0</v>
      </c>
      <c r="H38" s="1323">
        <f t="shared" ref="H38" si="16">+H36*H33/1000</f>
        <v>0</v>
      </c>
      <c r="I38" s="1323">
        <f t="shared" si="14"/>
        <v>0</v>
      </c>
      <c r="J38" s="1323">
        <f t="shared" si="14"/>
        <v>0</v>
      </c>
      <c r="K38" s="1323">
        <f t="shared" si="14"/>
        <v>0</v>
      </c>
      <c r="L38" s="1323">
        <f t="shared" si="14"/>
        <v>0</v>
      </c>
      <c r="M38" s="1323">
        <f t="shared" si="14"/>
        <v>0</v>
      </c>
      <c r="N38" s="1323">
        <f t="shared" si="14"/>
        <v>0</v>
      </c>
      <c r="O38" s="1323">
        <f t="shared" si="14"/>
        <v>0</v>
      </c>
      <c r="P38" s="1323">
        <f t="shared" si="14"/>
        <v>0</v>
      </c>
      <c r="Q38" s="1323">
        <f t="shared" si="14"/>
        <v>0</v>
      </c>
      <c r="R38" s="1323">
        <f t="shared" si="14"/>
        <v>0</v>
      </c>
      <c r="S38" s="1323">
        <f t="shared" si="14"/>
        <v>0</v>
      </c>
      <c r="T38" s="1323">
        <f t="shared" si="14"/>
        <v>0</v>
      </c>
      <c r="U38" s="1323">
        <f t="shared" si="14"/>
        <v>0</v>
      </c>
      <c r="V38" s="1323">
        <f t="shared" si="14"/>
        <v>0</v>
      </c>
      <c r="W38" s="1323">
        <f t="shared" si="14"/>
        <v>0</v>
      </c>
      <c r="X38" s="1323">
        <f t="shared" si="14"/>
        <v>0</v>
      </c>
      <c r="Y38" s="1323">
        <f t="shared" si="14"/>
        <v>0</v>
      </c>
      <c r="Z38" s="1323">
        <f t="shared" si="14"/>
        <v>0</v>
      </c>
      <c r="AA38" s="1323">
        <f t="shared" si="14"/>
        <v>0</v>
      </c>
      <c r="AB38" s="1323">
        <f t="shared" si="14"/>
        <v>0</v>
      </c>
      <c r="AC38" s="1323">
        <f t="shared" si="14"/>
        <v>0</v>
      </c>
      <c r="AD38" s="1323">
        <f t="shared" si="14"/>
        <v>0</v>
      </c>
      <c r="AE38" s="1323">
        <f t="shared" si="14"/>
        <v>0</v>
      </c>
      <c r="AF38" s="1323">
        <f t="shared" si="14"/>
        <v>0</v>
      </c>
      <c r="AG38" s="1323">
        <f t="shared" si="14"/>
        <v>0</v>
      </c>
      <c r="AH38" s="1323">
        <f t="shared" si="14"/>
        <v>0</v>
      </c>
      <c r="AI38" s="1323">
        <f t="shared" si="14"/>
        <v>0</v>
      </c>
      <c r="AJ38" s="1323">
        <f t="shared" si="14"/>
        <v>0</v>
      </c>
      <c r="AK38" s="1323">
        <f t="shared" si="14"/>
        <v>0</v>
      </c>
      <c r="AL38" s="1323">
        <f t="shared" si="14"/>
        <v>0</v>
      </c>
      <c r="AM38" s="706"/>
    </row>
    <row r="39" spans="1:39" x14ac:dyDescent="0.25">
      <c r="A39" s="194"/>
      <c r="B39" s="1608"/>
      <c r="C39" s="1704" t="s">
        <v>126</v>
      </c>
      <c r="D39" s="1684" t="s">
        <v>340</v>
      </c>
      <c r="E39" s="195" t="s">
        <v>341</v>
      </c>
      <c r="F39" s="196">
        <f t="shared" si="13"/>
        <v>3920</v>
      </c>
      <c r="G39" s="197"/>
      <c r="H39" s="198">
        <v>140</v>
      </c>
      <c r="I39" s="198">
        <v>140</v>
      </c>
      <c r="J39" s="198">
        <v>140</v>
      </c>
      <c r="K39" s="199">
        <v>140</v>
      </c>
      <c r="L39" s="199">
        <v>140</v>
      </c>
      <c r="M39" s="199">
        <v>140</v>
      </c>
      <c r="N39" s="199">
        <v>140</v>
      </c>
      <c r="O39" s="199">
        <v>140</v>
      </c>
      <c r="P39" s="200">
        <v>140</v>
      </c>
      <c r="Q39" s="199">
        <v>140</v>
      </c>
      <c r="R39" s="199">
        <v>140</v>
      </c>
      <c r="S39" s="199">
        <v>140</v>
      </c>
      <c r="T39" s="199">
        <v>140</v>
      </c>
      <c r="U39" s="199">
        <v>140</v>
      </c>
      <c r="V39" s="199">
        <v>140</v>
      </c>
      <c r="W39" s="199">
        <v>140</v>
      </c>
      <c r="X39" s="199">
        <v>140</v>
      </c>
      <c r="Y39" s="199">
        <v>140</v>
      </c>
      <c r="Z39" s="199">
        <v>140</v>
      </c>
      <c r="AA39" s="199">
        <v>0</v>
      </c>
      <c r="AB39" s="199">
        <v>0</v>
      </c>
      <c r="AC39" s="199">
        <v>140</v>
      </c>
      <c r="AD39" s="199">
        <v>140</v>
      </c>
      <c r="AE39" s="199">
        <v>140</v>
      </c>
      <c r="AF39" s="199">
        <v>140</v>
      </c>
      <c r="AG39" s="199">
        <v>140</v>
      </c>
      <c r="AH39" s="199">
        <v>140</v>
      </c>
      <c r="AI39" s="199">
        <v>140</v>
      </c>
      <c r="AJ39" s="199">
        <v>140</v>
      </c>
      <c r="AK39" s="199">
        <v>140</v>
      </c>
      <c r="AL39" s="201">
        <v>0</v>
      </c>
      <c r="AM39" s="704"/>
    </row>
    <row r="40" spans="1:39" x14ac:dyDescent="0.25">
      <c r="A40" s="202"/>
      <c r="B40" s="1607"/>
      <c r="C40" s="1705"/>
      <c r="D40" s="1688"/>
      <c r="E40" s="1379" t="s">
        <v>342</v>
      </c>
      <c r="F40" s="1303">
        <f t="shared" si="13"/>
        <v>287</v>
      </c>
      <c r="G40" s="1380">
        <f t="shared" ref="G40" si="17">IFERROR((F40-F39)/F39,0)</f>
        <v>-0.92678571428571432</v>
      </c>
      <c r="H40" s="1305">
        <v>142</v>
      </c>
      <c r="I40" s="1303">
        <v>145</v>
      </c>
      <c r="J40" s="1303"/>
      <c r="K40" s="1303"/>
      <c r="L40" s="1303"/>
      <c r="M40" s="1303"/>
      <c r="N40" s="1303"/>
      <c r="O40" s="1303"/>
      <c r="P40" s="1303"/>
      <c r="Q40" s="1303"/>
      <c r="R40" s="1303"/>
      <c r="S40" s="1303"/>
      <c r="T40" s="1303"/>
      <c r="U40" s="1303"/>
      <c r="V40" s="1303"/>
      <c r="W40" s="1303"/>
      <c r="X40" s="1303"/>
      <c r="Y40" s="1303"/>
      <c r="Z40" s="1303"/>
      <c r="AA40" s="1303"/>
      <c r="AB40" s="1303"/>
      <c r="AC40" s="1303"/>
      <c r="AD40" s="1303"/>
      <c r="AE40" s="1303"/>
      <c r="AF40" s="1303"/>
      <c r="AG40" s="1303"/>
      <c r="AH40" s="1303"/>
      <c r="AI40" s="1303"/>
      <c r="AJ40" s="1303"/>
      <c r="AK40" s="1303"/>
      <c r="AL40" s="1303"/>
      <c r="AM40" s="347"/>
    </row>
    <row r="41" spans="1:39" x14ac:dyDescent="0.25">
      <c r="A41" s="202"/>
      <c r="B41" s="1607"/>
      <c r="C41" s="1705"/>
      <c r="D41" s="1688"/>
      <c r="E41" s="1389" t="s">
        <v>312</v>
      </c>
      <c r="F41" s="1382"/>
      <c r="G41" s="1383"/>
      <c r="H41" s="203"/>
      <c r="I41" s="203"/>
      <c r="J41" s="203"/>
      <c r="K41" s="203"/>
      <c r="L41" s="203"/>
      <c r="M41" s="203"/>
      <c r="N41" s="203"/>
      <c r="O41" s="203"/>
      <c r="P41" s="204"/>
      <c r="Q41" s="203"/>
      <c r="R41" s="203"/>
      <c r="S41" s="203"/>
      <c r="T41" s="203"/>
      <c r="U41" s="203"/>
      <c r="V41" s="203"/>
      <c r="W41" s="203"/>
      <c r="X41" s="203"/>
      <c r="Y41" s="203"/>
      <c r="Z41" s="203"/>
      <c r="AA41" s="203"/>
      <c r="AB41" s="203"/>
      <c r="AC41" s="203"/>
      <c r="AD41" s="203"/>
      <c r="AE41" s="203"/>
      <c r="AF41" s="203"/>
      <c r="AG41" s="203"/>
      <c r="AH41" s="203"/>
      <c r="AI41" s="203"/>
      <c r="AJ41" s="203"/>
      <c r="AK41" s="203"/>
      <c r="AL41" s="205"/>
      <c r="AM41" s="347"/>
    </row>
    <row r="42" spans="1:39" x14ac:dyDescent="0.25">
      <c r="A42" s="202"/>
      <c r="B42" s="1607"/>
      <c r="C42" s="1705"/>
      <c r="D42" s="1685" t="s">
        <v>343</v>
      </c>
      <c r="E42" s="1384" t="s">
        <v>344</v>
      </c>
      <c r="F42" s="1310">
        <f t="shared" ref="F42:F43" si="18">IFERROR(F44*1000/F39,0)</f>
        <v>3.712499999999999</v>
      </c>
      <c r="G42" s="1385"/>
      <c r="H42" s="1312">
        <v>3.85</v>
      </c>
      <c r="I42" s="1312">
        <v>3.85</v>
      </c>
      <c r="J42" s="1312">
        <v>3.85</v>
      </c>
      <c r="K42" s="1333">
        <v>3.85</v>
      </c>
      <c r="L42" s="1333">
        <v>3.85</v>
      </c>
      <c r="M42" s="1333">
        <v>3.85</v>
      </c>
      <c r="N42" s="1333">
        <v>3.85</v>
      </c>
      <c r="O42" s="1333">
        <v>3.85</v>
      </c>
      <c r="P42" s="1334">
        <v>3.85</v>
      </c>
      <c r="Q42" s="1333">
        <v>3.85</v>
      </c>
      <c r="R42" s="1333">
        <v>3.85</v>
      </c>
      <c r="S42" s="1333">
        <v>3.85</v>
      </c>
      <c r="T42" s="1333">
        <v>3.85</v>
      </c>
      <c r="U42" s="1333">
        <v>3.85</v>
      </c>
      <c r="V42" s="1333">
        <v>3.85</v>
      </c>
      <c r="W42" s="1333">
        <v>3.85</v>
      </c>
      <c r="X42" s="1333">
        <v>3.85</v>
      </c>
      <c r="Y42" s="1333">
        <v>3.85</v>
      </c>
      <c r="Z42" s="1333">
        <v>3.85</v>
      </c>
      <c r="AA42" s="1333">
        <v>0</v>
      </c>
      <c r="AB42" s="1333">
        <v>0</v>
      </c>
      <c r="AC42" s="1333">
        <v>3.85</v>
      </c>
      <c r="AD42" s="1333">
        <v>3.85</v>
      </c>
      <c r="AE42" s="1333">
        <v>3.85</v>
      </c>
      <c r="AF42" s="1333">
        <v>3.85</v>
      </c>
      <c r="AG42" s="1333">
        <v>3.85</v>
      </c>
      <c r="AH42" s="1333">
        <v>3.85</v>
      </c>
      <c r="AI42" s="1333">
        <v>3.85</v>
      </c>
      <c r="AJ42" s="1333">
        <v>3.85</v>
      </c>
      <c r="AK42" s="1333">
        <v>3.85</v>
      </c>
      <c r="AL42" s="1335">
        <v>0</v>
      </c>
      <c r="AM42" s="347"/>
    </row>
    <row r="43" spans="1:39" x14ac:dyDescent="0.25">
      <c r="A43" s="202"/>
      <c r="B43" s="1607"/>
      <c r="C43" s="1705"/>
      <c r="D43" s="1707"/>
      <c r="E43" s="1386" t="s">
        <v>345</v>
      </c>
      <c r="F43" s="1314">
        <f t="shared" si="18"/>
        <v>1.5783275261324043</v>
      </c>
      <c r="G43" s="1380">
        <f t="shared" ref="G43" si="19">IFERROR((F43-F42)/F42,0)</f>
        <v>-0.57486127242224783</v>
      </c>
      <c r="H43" s="1315">
        <v>3.19</v>
      </c>
      <c r="I43" s="1314"/>
      <c r="J43" s="1314"/>
      <c r="K43" s="1314"/>
      <c r="L43" s="1314"/>
      <c r="M43" s="1314"/>
      <c r="N43" s="1314"/>
      <c r="O43" s="1314"/>
      <c r="P43" s="1314"/>
      <c r="Q43" s="1314"/>
      <c r="R43" s="1314"/>
      <c r="S43" s="1314"/>
      <c r="T43" s="1314"/>
      <c r="U43" s="1314"/>
      <c r="V43" s="1314"/>
      <c r="W43" s="1314"/>
      <c r="X43" s="1314"/>
      <c r="Y43" s="1314"/>
      <c r="Z43" s="1314"/>
      <c r="AA43" s="1314"/>
      <c r="AB43" s="1314"/>
      <c r="AC43" s="1314"/>
      <c r="AD43" s="1314"/>
      <c r="AE43" s="1314"/>
      <c r="AF43" s="1314"/>
      <c r="AG43" s="1314"/>
      <c r="AH43" s="1314"/>
      <c r="AI43" s="1314"/>
      <c r="AJ43" s="1314"/>
      <c r="AK43" s="1314"/>
      <c r="AL43" s="1314"/>
      <c r="AM43" s="347"/>
    </row>
    <row r="44" spans="1:39" x14ac:dyDescent="0.25">
      <c r="A44" s="202"/>
      <c r="B44" s="1607"/>
      <c r="C44" s="1705"/>
      <c r="D44" s="1685" t="s">
        <v>47</v>
      </c>
      <c r="E44" s="1384" t="s">
        <v>346</v>
      </c>
      <c r="F44" s="206">
        <f t="shared" ref="F44:F47" si="20">SUMIF($H$9:$AL$9,"&lt;="&amp;$C$7,H44:AL44)</f>
        <v>14.552999999999995</v>
      </c>
      <c r="G44" s="1385"/>
      <c r="H44" s="1316">
        <v>0</v>
      </c>
      <c r="I44" s="1316">
        <f t="shared" ref="I44:AL45" si="21">+I42*I39/1000</f>
        <v>0.53900000000000003</v>
      </c>
      <c r="J44" s="1316">
        <f t="shared" si="21"/>
        <v>0.53900000000000003</v>
      </c>
      <c r="K44" s="1316">
        <f t="shared" si="21"/>
        <v>0.53900000000000003</v>
      </c>
      <c r="L44" s="1316">
        <f t="shared" si="21"/>
        <v>0.53900000000000003</v>
      </c>
      <c r="M44" s="1316">
        <f t="shared" si="21"/>
        <v>0.53900000000000003</v>
      </c>
      <c r="N44" s="1316">
        <f t="shared" si="21"/>
        <v>0.53900000000000003</v>
      </c>
      <c r="O44" s="1316">
        <f t="shared" si="21"/>
        <v>0.53900000000000003</v>
      </c>
      <c r="P44" s="1316">
        <f t="shared" si="21"/>
        <v>0.53900000000000003</v>
      </c>
      <c r="Q44" s="1316">
        <f t="shared" si="21"/>
        <v>0.53900000000000003</v>
      </c>
      <c r="R44" s="1316">
        <f t="shared" si="21"/>
        <v>0.53900000000000003</v>
      </c>
      <c r="S44" s="1316">
        <f t="shared" si="21"/>
        <v>0.53900000000000003</v>
      </c>
      <c r="T44" s="1316">
        <f t="shared" si="21"/>
        <v>0.53900000000000003</v>
      </c>
      <c r="U44" s="1316">
        <f t="shared" si="21"/>
        <v>0.53900000000000003</v>
      </c>
      <c r="V44" s="1316">
        <f t="shared" si="21"/>
        <v>0.53900000000000003</v>
      </c>
      <c r="W44" s="1316">
        <f t="shared" si="21"/>
        <v>0.53900000000000003</v>
      </c>
      <c r="X44" s="1316">
        <f t="shared" si="21"/>
        <v>0.53900000000000003</v>
      </c>
      <c r="Y44" s="1316">
        <f t="shared" si="21"/>
        <v>0.53900000000000003</v>
      </c>
      <c r="Z44" s="1316">
        <f t="shared" si="21"/>
        <v>0.53900000000000003</v>
      </c>
      <c r="AA44" s="1316">
        <f t="shared" si="21"/>
        <v>0</v>
      </c>
      <c r="AB44" s="1316">
        <f t="shared" si="21"/>
        <v>0</v>
      </c>
      <c r="AC44" s="1316">
        <f t="shared" si="21"/>
        <v>0.53900000000000003</v>
      </c>
      <c r="AD44" s="1316">
        <f t="shared" si="21"/>
        <v>0.53900000000000003</v>
      </c>
      <c r="AE44" s="1316">
        <f t="shared" si="21"/>
        <v>0.53900000000000003</v>
      </c>
      <c r="AF44" s="1316">
        <f t="shared" si="21"/>
        <v>0.53900000000000003</v>
      </c>
      <c r="AG44" s="1316">
        <f t="shared" si="21"/>
        <v>0.53900000000000003</v>
      </c>
      <c r="AH44" s="1316">
        <f t="shared" si="21"/>
        <v>0.53900000000000003</v>
      </c>
      <c r="AI44" s="1316">
        <f t="shared" si="21"/>
        <v>0.53900000000000003</v>
      </c>
      <c r="AJ44" s="1316">
        <f t="shared" si="21"/>
        <v>0.53900000000000003</v>
      </c>
      <c r="AK44" s="1316">
        <f t="shared" si="21"/>
        <v>0.53900000000000003</v>
      </c>
      <c r="AL44" s="1316">
        <f t="shared" si="21"/>
        <v>0</v>
      </c>
      <c r="AM44" s="705"/>
    </row>
    <row r="45" spans="1:39" ht="15.75" thickBot="1" x14ac:dyDescent="0.3">
      <c r="A45" s="202"/>
      <c r="B45" s="1660"/>
      <c r="C45" s="1706"/>
      <c r="D45" s="1708"/>
      <c r="E45" s="1387" t="s">
        <v>347</v>
      </c>
      <c r="F45" s="1321">
        <f t="shared" si="20"/>
        <v>0.45297999999999999</v>
      </c>
      <c r="G45" s="1388">
        <f t="shared" ref="G45" si="22">IFERROR((F45-F44)/F44,0)</f>
        <v>-0.9688737717309146</v>
      </c>
      <c r="H45" s="1323">
        <f t="shared" ref="H45" si="23">+H43*H40/1000</f>
        <v>0.45297999999999999</v>
      </c>
      <c r="I45" s="1323">
        <f t="shared" si="21"/>
        <v>0</v>
      </c>
      <c r="J45" s="1323">
        <f t="shared" si="21"/>
        <v>0</v>
      </c>
      <c r="K45" s="1323">
        <f t="shared" si="21"/>
        <v>0</v>
      </c>
      <c r="L45" s="1323">
        <f t="shared" si="21"/>
        <v>0</v>
      </c>
      <c r="M45" s="1323">
        <f t="shared" si="21"/>
        <v>0</v>
      </c>
      <c r="N45" s="1323">
        <f t="shared" si="21"/>
        <v>0</v>
      </c>
      <c r="O45" s="1323">
        <f t="shared" si="21"/>
        <v>0</v>
      </c>
      <c r="P45" s="1323">
        <f t="shared" si="21"/>
        <v>0</v>
      </c>
      <c r="Q45" s="1323">
        <f t="shared" si="21"/>
        <v>0</v>
      </c>
      <c r="R45" s="1323">
        <f t="shared" si="21"/>
        <v>0</v>
      </c>
      <c r="S45" s="1323">
        <f t="shared" si="21"/>
        <v>0</v>
      </c>
      <c r="T45" s="1323">
        <f t="shared" si="21"/>
        <v>0</v>
      </c>
      <c r="U45" s="1323">
        <f t="shared" si="21"/>
        <v>0</v>
      </c>
      <c r="V45" s="1323">
        <f t="shared" si="21"/>
        <v>0</v>
      </c>
      <c r="W45" s="1323">
        <f t="shared" si="21"/>
        <v>0</v>
      </c>
      <c r="X45" s="1323">
        <f t="shared" si="21"/>
        <v>0</v>
      </c>
      <c r="Y45" s="1323">
        <f t="shared" si="21"/>
        <v>0</v>
      </c>
      <c r="Z45" s="1323">
        <f t="shared" si="21"/>
        <v>0</v>
      </c>
      <c r="AA45" s="1323">
        <f t="shared" si="21"/>
        <v>0</v>
      </c>
      <c r="AB45" s="1323">
        <f t="shared" si="21"/>
        <v>0</v>
      </c>
      <c r="AC45" s="1323">
        <f t="shared" si="21"/>
        <v>0</v>
      </c>
      <c r="AD45" s="1323">
        <f t="shared" si="21"/>
        <v>0</v>
      </c>
      <c r="AE45" s="1323">
        <f t="shared" si="21"/>
        <v>0</v>
      </c>
      <c r="AF45" s="1323">
        <f t="shared" si="21"/>
        <v>0</v>
      </c>
      <c r="AG45" s="1323">
        <f t="shared" si="21"/>
        <v>0</v>
      </c>
      <c r="AH45" s="1323">
        <f t="shared" si="21"/>
        <v>0</v>
      </c>
      <c r="AI45" s="1323">
        <f t="shared" si="21"/>
        <v>0</v>
      </c>
      <c r="AJ45" s="1323">
        <f t="shared" si="21"/>
        <v>0</v>
      </c>
      <c r="AK45" s="1323">
        <f t="shared" si="21"/>
        <v>0</v>
      </c>
      <c r="AL45" s="1323">
        <f t="shared" si="21"/>
        <v>0</v>
      </c>
      <c r="AM45" s="706"/>
    </row>
    <row r="46" spans="1:39" x14ac:dyDescent="0.25">
      <c r="A46" s="194"/>
      <c r="B46" s="1608"/>
      <c r="C46" s="1704" t="s">
        <v>471</v>
      </c>
      <c r="D46" s="1684" t="s">
        <v>340</v>
      </c>
      <c r="E46" s="195" t="s">
        <v>341</v>
      </c>
      <c r="F46" s="196">
        <f t="shared" si="20"/>
        <v>1960</v>
      </c>
      <c r="G46" s="197"/>
      <c r="H46" s="198">
        <v>70</v>
      </c>
      <c r="I46" s="198">
        <v>70</v>
      </c>
      <c r="J46" s="198">
        <v>70</v>
      </c>
      <c r="K46" s="199">
        <v>70</v>
      </c>
      <c r="L46" s="199">
        <v>70</v>
      </c>
      <c r="M46" s="199">
        <v>70</v>
      </c>
      <c r="N46" s="199">
        <v>70</v>
      </c>
      <c r="O46" s="199">
        <v>70</v>
      </c>
      <c r="P46" s="200">
        <v>70</v>
      </c>
      <c r="Q46" s="199">
        <v>70</v>
      </c>
      <c r="R46" s="199">
        <v>70</v>
      </c>
      <c r="S46" s="199">
        <v>70</v>
      </c>
      <c r="T46" s="199">
        <v>70</v>
      </c>
      <c r="U46" s="199">
        <v>70</v>
      </c>
      <c r="V46" s="199">
        <v>70</v>
      </c>
      <c r="W46" s="199">
        <v>70</v>
      </c>
      <c r="X46" s="199">
        <v>70</v>
      </c>
      <c r="Y46" s="199">
        <v>70</v>
      </c>
      <c r="Z46" s="199">
        <v>70</v>
      </c>
      <c r="AA46" s="199">
        <v>0</v>
      </c>
      <c r="AB46" s="199">
        <v>0</v>
      </c>
      <c r="AC46" s="199">
        <v>70</v>
      </c>
      <c r="AD46" s="199">
        <v>70</v>
      </c>
      <c r="AE46" s="199">
        <v>70</v>
      </c>
      <c r="AF46" s="199">
        <v>70</v>
      </c>
      <c r="AG46" s="199">
        <v>70</v>
      </c>
      <c r="AH46" s="199">
        <v>70</v>
      </c>
      <c r="AI46" s="199">
        <v>70</v>
      </c>
      <c r="AJ46" s="199">
        <v>70</v>
      </c>
      <c r="AK46" s="199">
        <v>70</v>
      </c>
      <c r="AL46" s="201">
        <v>0</v>
      </c>
      <c r="AM46" s="704"/>
    </row>
    <row r="47" spans="1:39" x14ac:dyDescent="0.25">
      <c r="A47" s="202"/>
      <c r="B47" s="1607"/>
      <c r="C47" s="1705"/>
      <c r="D47" s="1688"/>
      <c r="E47" s="1379" t="s">
        <v>342</v>
      </c>
      <c r="F47" s="1303">
        <f t="shared" si="20"/>
        <v>88</v>
      </c>
      <c r="G47" s="1380">
        <f t="shared" ref="G47" si="24">IFERROR((F47-F46)/F46,0)</f>
        <v>-0.95510204081632655</v>
      </c>
      <c r="H47" s="1305">
        <v>36</v>
      </c>
      <c r="I47" s="1303">
        <v>52</v>
      </c>
      <c r="J47" s="1303"/>
      <c r="K47" s="1303"/>
      <c r="L47" s="1303"/>
      <c r="M47" s="1303"/>
      <c r="N47" s="1303"/>
      <c r="O47" s="1303"/>
      <c r="P47" s="1303"/>
      <c r="Q47" s="1303"/>
      <c r="R47" s="1303"/>
      <c r="S47" s="1303"/>
      <c r="T47" s="1303"/>
      <c r="U47" s="1303"/>
      <c r="V47" s="1303"/>
      <c r="W47" s="1303"/>
      <c r="X47" s="1303"/>
      <c r="Y47" s="1303"/>
      <c r="Z47" s="1303"/>
      <c r="AA47" s="1303"/>
      <c r="AB47" s="1303"/>
      <c r="AC47" s="1303"/>
      <c r="AD47" s="1303"/>
      <c r="AE47" s="1303"/>
      <c r="AF47" s="1303"/>
      <c r="AG47" s="1303"/>
      <c r="AH47" s="1303"/>
      <c r="AI47" s="1303"/>
      <c r="AJ47" s="1303"/>
      <c r="AK47" s="1303"/>
      <c r="AL47" s="1303"/>
      <c r="AM47" s="347"/>
    </row>
    <row r="48" spans="1:39" x14ac:dyDescent="0.25">
      <c r="A48" s="202"/>
      <c r="B48" s="1607"/>
      <c r="C48" s="1705"/>
      <c r="D48" s="1688"/>
      <c r="E48" s="1389" t="s">
        <v>312</v>
      </c>
      <c r="F48" s="1382"/>
      <c r="G48" s="1383"/>
      <c r="H48" s="203"/>
      <c r="I48" s="203"/>
      <c r="J48" s="203"/>
      <c r="K48" s="203"/>
      <c r="L48" s="203"/>
      <c r="M48" s="203"/>
      <c r="N48" s="203"/>
      <c r="O48" s="203"/>
      <c r="P48" s="204"/>
      <c r="Q48" s="203"/>
      <c r="R48" s="203"/>
      <c r="S48" s="203"/>
      <c r="T48" s="203"/>
      <c r="U48" s="203"/>
      <c r="V48" s="203"/>
      <c r="W48" s="203"/>
      <c r="X48" s="203"/>
      <c r="Y48" s="203" t="s">
        <v>361</v>
      </c>
      <c r="Z48" s="203"/>
      <c r="AA48" s="203"/>
      <c r="AB48" s="203"/>
      <c r="AC48" s="203"/>
      <c r="AD48" s="203"/>
      <c r="AE48" s="203"/>
      <c r="AF48" s="203"/>
      <c r="AG48" s="203"/>
      <c r="AH48" s="203"/>
      <c r="AI48" s="203"/>
      <c r="AJ48" s="203"/>
      <c r="AK48" s="203"/>
      <c r="AL48" s="205"/>
      <c r="AM48" s="347"/>
    </row>
    <row r="49" spans="1:39" x14ac:dyDescent="0.25">
      <c r="A49" s="202"/>
      <c r="B49" s="1607"/>
      <c r="C49" s="1705"/>
      <c r="D49" s="1685" t="s">
        <v>343</v>
      </c>
      <c r="E49" s="1384" t="s">
        <v>344</v>
      </c>
      <c r="F49" s="1310">
        <f t="shared" ref="F49:F50" si="25">IFERROR(F51*1000/F46,0)</f>
        <v>2.0442857142857149</v>
      </c>
      <c r="G49" s="1385"/>
      <c r="H49" s="1312">
        <v>2.12</v>
      </c>
      <c r="I49" s="1312">
        <v>2.12</v>
      </c>
      <c r="J49" s="1312">
        <v>2.12</v>
      </c>
      <c r="K49" s="1333">
        <v>2.12</v>
      </c>
      <c r="L49" s="1333">
        <v>2.12</v>
      </c>
      <c r="M49" s="1333">
        <v>2.12</v>
      </c>
      <c r="N49" s="1333">
        <v>2.12</v>
      </c>
      <c r="O49" s="1333">
        <v>2.12</v>
      </c>
      <c r="P49" s="1334">
        <v>2.12</v>
      </c>
      <c r="Q49" s="1333">
        <v>2.12</v>
      </c>
      <c r="R49" s="1333">
        <v>2.12</v>
      </c>
      <c r="S49" s="1333">
        <v>2.12</v>
      </c>
      <c r="T49" s="1333">
        <v>2.12</v>
      </c>
      <c r="U49" s="1333">
        <v>2.12</v>
      </c>
      <c r="V49" s="1333">
        <v>2.12</v>
      </c>
      <c r="W49" s="1333">
        <v>2.12</v>
      </c>
      <c r="X49" s="1333">
        <v>2.12</v>
      </c>
      <c r="Y49" s="1333">
        <v>2.12</v>
      </c>
      <c r="Z49" s="1333">
        <v>2.12</v>
      </c>
      <c r="AA49" s="1333">
        <v>0</v>
      </c>
      <c r="AB49" s="1333">
        <v>0</v>
      </c>
      <c r="AC49" s="1333">
        <v>2.12</v>
      </c>
      <c r="AD49" s="1333">
        <v>2.12</v>
      </c>
      <c r="AE49" s="1333">
        <v>2.12</v>
      </c>
      <c r="AF49" s="1333">
        <v>2.12</v>
      </c>
      <c r="AG49" s="1333">
        <v>2.12</v>
      </c>
      <c r="AH49" s="1333">
        <v>2.12</v>
      </c>
      <c r="AI49" s="1333">
        <v>2.12</v>
      </c>
      <c r="AJ49" s="1333">
        <v>2.12</v>
      </c>
      <c r="AK49" s="1333">
        <v>2.12</v>
      </c>
      <c r="AL49" s="1335">
        <v>0</v>
      </c>
      <c r="AM49" s="347"/>
    </row>
    <row r="50" spans="1:39" x14ac:dyDescent="0.25">
      <c r="A50" s="202"/>
      <c r="B50" s="1607"/>
      <c r="C50" s="1705"/>
      <c r="D50" s="1707"/>
      <c r="E50" s="1386" t="s">
        <v>345</v>
      </c>
      <c r="F50" s="1314">
        <f t="shared" si="25"/>
        <v>1.1004545454545456</v>
      </c>
      <c r="G50" s="1380">
        <f t="shared" ref="G50" si="26">IFERROR((F50-F49)/F49,0)</f>
        <v>-0.46169239565465992</v>
      </c>
      <c r="H50" s="1315">
        <v>2.69</v>
      </c>
      <c r="I50" s="1314"/>
      <c r="J50" s="1314"/>
      <c r="K50" s="1314"/>
      <c r="L50" s="1314"/>
      <c r="M50" s="1314"/>
      <c r="N50" s="1314"/>
      <c r="O50" s="1314"/>
      <c r="P50" s="1314"/>
      <c r="Q50" s="1314"/>
      <c r="R50" s="1314"/>
      <c r="S50" s="1314"/>
      <c r="T50" s="1314"/>
      <c r="U50" s="1314"/>
      <c r="V50" s="1314"/>
      <c r="W50" s="1314"/>
      <c r="X50" s="1314"/>
      <c r="Y50" s="1314"/>
      <c r="Z50" s="1314"/>
      <c r="AA50" s="1314"/>
      <c r="AB50" s="1314"/>
      <c r="AC50" s="1314"/>
      <c r="AD50" s="1314"/>
      <c r="AE50" s="1314"/>
      <c r="AF50" s="1314"/>
      <c r="AG50" s="1314"/>
      <c r="AH50" s="1314"/>
      <c r="AI50" s="1314"/>
      <c r="AJ50" s="1314"/>
      <c r="AK50" s="1314"/>
      <c r="AL50" s="1314"/>
      <c r="AM50" s="347"/>
    </row>
    <row r="51" spans="1:39" x14ac:dyDescent="0.25">
      <c r="A51" s="202"/>
      <c r="B51" s="1607"/>
      <c r="C51" s="1705"/>
      <c r="D51" s="1685" t="s">
        <v>47</v>
      </c>
      <c r="E51" s="1384" t="s">
        <v>346</v>
      </c>
      <c r="F51" s="206">
        <f t="shared" ref="F51:F54" si="27">SUMIF($H$9:$AL$9,"&lt;="&amp;$C$7,H51:AL51)</f>
        <v>4.006800000000001</v>
      </c>
      <c r="G51" s="1385"/>
      <c r="H51" s="1316">
        <v>0</v>
      </c>
      <c r="I51" s="1316">
        <f t="shared" ref="I51:AL51" si="28">+I49*I46/1000</f>
        <v>0.1484</v>
      </c>
      <c r="J51" s="1316">
        <f t="shared" si="28"/>
        <v>0.1484</v>
      </c>
      <c r="K51" s="1316">
        <f t="shared" si="28"/>
        <v>0.1484</v>
      </c>
      <c r="L51" s="1316">
        <f t="shared" si="28"/>
        <v>0.1484</v>
      </c>
      <c r="M51" s="1316">
        <f t="shared" si="28"/>
        <v>0.1484</v>
      </c>
      <c r="N51" s="1316">
        <f t="shared" si="28"/>
        <v>0.1484</v>
      </c>
      <c r="O51" s="1316">
        <f t="shared" si="28"/>
        <v>0.1484</v>
      </c>
      <c r="P51" s="1316">
        <f t="shared" si="28"/>
        <v>0.1484</v>
      </c>
      <c r="Q51" s="1316">
        <f t="shared" si="28"/>
        <v>0.1484</v>
      </c>
      <c r="R51" s="1316">
        <f t="shared" si="28"/>
        <v>0.1484</v>
      </c>
      <c r="S51" s="1316">
        <f t="shared" si="28"/>
        <v>0.1484</v>
      </c>
      <c r="T51" s="1316">
        <f t="shared" si="28"/>
        <v>0.1484</v>
      </c>
      <c r="U51" s="1316">
        <f t="shared" si="28"/>
        <v>0.1484</v>
      </c>
      <c r="V51" s="1316">
        <f t="shared" si="28"/>
        <v>0.1484</v>
      </c>
      <c r="W51" s="1316">
        <f t="shared" si="28"/>
        <v>0.1484</v>
      </c>
      <c r="X51" s="1316">
        <f t="shared" si="28"/>
        <v>0.1484</v>
      </c>
      <c r="Y51" s="1316">
        <f t="shared" si="28"/>
        <v>0.1484</v>
      </c>
      <c r="Z51" s="1316">
        <f t="shared" si="28"/>
        <v>0.1484</v>
      </c>
      <c r="AA51" s="1316">
        <f t="shared" si="28"/>
        <v>0</v>
      </c>
      <c r="AB51" s="1316">
        <f t="shared" si="28"/>
        <v>0</v>
      </c>
      <c r="AC51" s="1316">
        <f t="shared" si="28"/>
        <v>0.1484</v>
      </c>
      <c r="AD51" s="1316">
        <f t="shared" si="28"/>
        <v>0.1484</v>
      </c>
      <c r="AE51" s="1316">
        <f t="shared" si="28"/>
        <v>0.1484</v>
      </c>
      <c r="AF51" s="1316">
        <f>+AF49*AF46/1000</f>
        <v>0.1484</v>
      </c>
      <c r="AG51" s="1316">
        <f t="shared" si="28"/>
        <v>0.1484</v>
      </c>
      <c r="AH51" s="1316">
        <f t="shared" si="28"/>
        <v>0.1484</v>
      </c>
      <c r="AI51" s="1316">
        <f t="shared" si="28"/>
        <v>0.1484</v>
      </c>
      <c r="AJ51" s="1316">
        <f t="shared" si="28"/>
        <v>0.1484</v>
      </c>
      <c r="AK51" s="1316">
        <f t="shared" si="28"/>
        <v>0.1484</v>
      </c>
      <c r="AL51" s="1316">
        <f t="shared" si="28"/>
        <v>0</v>
      </c>
      <c r="AM51" s="705"/>
    </row>
    <row r="52" spans="1:39" ht="15.75" thickBot="1" x14ac:dyDescent="0.3">
      <c r="A52" s="202"/>
      <c r="B52" s="1660"/>
      <c r="C52" s="1706"/>
      <c r="D52" s="1708"/>
      <c r="E52" s="1387" t="s">
        <v>347</v>
      </c>
      <c r="F52" s="1321">
        <f t="shared" si="27"/>
        <v>9.6840000000000009E-2</v>
      </c>
      <c r="G52" s="1388">
        <f t="shared" ref="G52" si="29">IFERROR((F52-F51)/F51,0)</f>
        <v>-0.97583108715184197</v>
      </c>
      <c r="H52" s="1323">
        <f t="shared" ref="H52:AL52" si="30">+H50*H47/1000</f>
        <v>9.6840000000000009E-2</v>
      </c>
      <c r="I52" s="1323">
        <f t="shared" si="30"/>
        <v>0</v>
      </c>
      <c r="J52" s="1323">
        <f t="shared" si="30"/>
        <v>0</v>
      </c>
      <c r="K52" s="1323">
        <f t="shared" si="30"/>
        <v>0</v>
      </c>
      <c r="L52" s="1323">
        <f t="shared" si="30"/>
        <v>0</v>
      </c>
      <c r="M52" s="1323">
        <f t="shared" si="30"/>
        <v>0</v>
      </c>
      <c r="N52" s="1323">
        <f t="shared" si="30"/>
        <v>0</v>
      </c>
      <c r="O52" s="1323">
        <f t="shared" si="30"/>
        <v>0</v>
      </c>
      <c r="P52" s="1323">
        <f t="shared" si="30"/>
        <v>0</v>
      </c>
      <c r="Q52" s="1323">
        <f t="shared" si="30"/>
        <v>0</v>
      </c>
      <c r="R52" s="1323">
        <f t="shared" si="30"/>
        <v>0</v>
      </c>
      <c r="S52" s="1323">
        <f t="shared" si="30"/>
        <v>0</v>
      </c>
      <c r="T52" s="1323">
        <f t="shared" si="30"/>
        <v>0</v>
      </c>
      <c r="U52" s="1323">
        <f t="shared" si="30"/>
        <v>0</v>
      </c>
      <c r="V52" s="1323">
        <f t="shared" si="30"/>
        <v>0</v>
      </c>
      <c r="W52" s="1323">
        <f t="shared" si="30"/>
        <v>0</v>
      </c>
      <c r="X52" s="1323">
        <f t="shared" si="30"/>
        <v>0</v>
      </c>
      <c r="Y52" s="1323">
        <f t="shared" si="30"/>
        <v>0</v>
      </c>
      <c r="Z52" s="1323">
        <f t="shared" si="30"/>
        <v>0</v>
      </c>
      <c r="AA52" s="1323">
        <f t="shared" si="30"/>
        <v>0</v>
      </c>
      <c r="AB52" s="1323">
        <f t="shared" si="30"/>
        <v>0</v>
      </c>
      <c r="AC52" s="1323">
        <f t="shared" si="30"/>
        <v>0</v>
      </c>
      <c r="AD52" s="1323">
        <f t="shared" si="30"/>
        <v>0</v>
      </c>
      <c r="AE52" s="1323">
        <f t="shared" si="30"/>
        <v>0</v>
      </c>
      <c r="AF52" s="1323">
        <f t="shared" si="30"/>
        <v>0</v>
      </c>
      <c r="AG52" s="1323">
        <f t="shared" si="30"/>
        <v>0</v>
      </c>
      <c r="AH52" s="1323">
        <f t="shared" si="30"/>
        <v>0</v>
      </c>
      <c r="AI52" s="1323">
        <f t="shared" si="30"/>
        <v>0</v>
      </c>
      <c r="AJ52" s="1323">
        <f t="shared" si="30"/>
        <v>0</v>
      </c>
      <c r="AK52" s="1323">
        <f t="shared" si="30"/>
        <v>0</v>
      </c>
      <c r="AL52" s="1323">
        <f t="shared" si="30"/>
        <v>0</v>
      </c>
      <c r="AM52" s="706"/>
    </row>
    <row r="53" spans="1:39" x14ac:dyDescent="0.25">
      <c r="A53" s="194"/>
      <c r="B53" s="1608"/>
      <c r="C53" s="1704" t="s">
        <v>472</v>
      </c>
      <c r="D53" s="1684" t="s">
        <v>340</v>
      </c>
      <c r="E53" s="195" t="s">
        <v>341</v>
      </c>
      <c r="F53" s="196">
        <f t="shared" si="27"/>
        <v>1050</v>
      </c>
      <c r="G53" s="197"/>
      <c r="H53" s="198">
        <v>70</v>
      </c>
      <c r="I53" s="198">
        <v>70</v>
      </c>
      <c r="J53" s="198">
        <v>70</v>
      </c>
      <c r="K53" s="199">
        <v>70</v>
      </c>
      <c r="L53" s="199">
        <v>70</v>
      </c>
      <c r="M53" s="199">
        <v>70</v>
      </c>
      <c r="N53" s="199">
        <v>70</v>
      </c>
      <c r="O53" s="199">
        <v>70</v>
      </c>
      <c r="P53" s="200">
        <v>70</v>
      </c>
      <c r="Q53" s="199">
        <v>70</v>
      </c>
      <c r="R53" s="199">
        <v>70</v>
      </c>
      <c r="S53" s="199">
        <v>70</v>
      </c>
      <c r="T53" s="199">
        <v>70</v>
      </c>
      <c r="U53" s="199">
        <v>70</v>
      </c>
      <c r="V53" s="199">
        <v>70</v>
      </c>
      <c r="W53" s="199">
        <v>0</v>
      </c>
      <c r="X53" s="199">
        <v>0</v>
      </c>
      <c r="Y53" s="199">
        <v>0</v>
      </c>
      <c r="Z53" s="199">
        <v>0</v>
      </c>
      <c r="AA53" s="199">
        <v>0</v>
      </c>
      <c r="AB53" s="199">
        <v>0</v>
      </c>
      <c r="AC53" s="199">
        <v>0</v>
      </c>
      <c r="AD53" s="199">
        <v>0</v>
      </c>
      <c r="AE53" s="199">
        <v>0</v>
      </c>
      <c r="AF53" s="199">
        <v>0</v>
      </c>
      <c r="AG53" s="199">
        <v>0</v>
      </c>
      <c r="AH53" s="199">
        <v>0</v>
      </c>
      <c r="AI53" s="199">
        <v>0</v>
      </c>
      <c r="AJ53" s="199">
        <v>0</v>
      </c>
      <c r="AK53" s="199">
        <v>0</v>
      </c>
      <c r="AL53" s="201">
        <v>0</v>
      </c>
      <c r="AM53" s="704"/>
    </row>
    <row r="54" spans="1:39" x14ac:dyDescent="0.25">
      <c r="A54" s="202"/>
      <c r="B54" s="1607"/>
      <c r="C54" s="1705"/>
      <c r="D54" s="1688"/>
      <c r="E54" s="1379" t="s">
        <v>342</v>
      </c>
      <c r="F54" s="1303">
        <f t="shared" si="27"/>
        <v>271</v>
      </c>
      <c r="G54" s="1380">
        <f t="shared" ref="G54" si="31">IFERROR((F54-F53)/F53,0)</f>
        <v>-0.74190476190476196</v>
      </c>
      <c r="H54" s="1305">
        <v>113</v>
      </c>
      <c r="I54" s="1303">
        <f>116+42</f>
        <v>158</v>
      </c>
      <c r="J54" s="1303"/>
      <c r="K54" s="1303"/>
      <c r="L54" s="1303"/>
      <c r="M54" s="1303"/>
      <c r="N54" s="1303"/>
      <c r="O54" s="1303"/>
      <c r="P54" s="1303"/>
      <c r="Q54" s="1303"/>
      <c r="R54" s="1303"/>
      <c r="S54" s="1303"/>
      <c r="T54" s="1303"/>
      <c r="U54" s="1303"/>
      <c r="V54" s="1303"/>
      <c r="W54" s="1303"/>
      <c r="X54" s="1303"/>
      <c r="Y54" s="1303"/>
      <c r="Z54" s="1303"/>
      <c r="AA54" s="1303"/>
      <c r="AB54" s="1303"/>
      <c r="AC54" s="1303"/>
      <c r="AD54" s="1303"/>
      <c r="AE54" s="1303"/>
      <c r="AF54" s="1303"/>
      <c r="AG54" s="1303"/>
      <c r="AH54" s="1303"/>
      <c r="AI54" s="1303"/>
      <c r="AJ54" s="1303"/>
      <c r="AK54" s="1303"/>
      <c r="AL54" s="1303"/>
      <c r="AM54" s="347"/>
    </row>
    <row r="55" spans="1:39" x14ac:dyDescent="0.25">
      <c r="A55" s="202"/>
      <c r="B55" s="1607"/>
      <c r="C55" s="1705"/>
      <c r="D55" s="1688"/>
      <c r="E55" s="1389" t="s">
        <v>312</v>
      </c>
      <c r="F55" s="1382"/>
      <c r="G55" s="1383"/>
      <c r="H55" s="203"/>
      <c r="I55" s="203"/>
      <c r="J55" s="203"/>
      <c r="K55" s="203"/>
      <c r="L55" s="203"/>
      <c r="M55" s="203"/>
      <c r="N55" s="203"/>
      <c r="O55" s="203"/>
      <c r="P55" s="204"/>
      <c r="Q55" s="203"/>
      <c r="R55" s="203"/>
      <c r="S55" s="203"/>
      <c r="T55" s="203"/>
      <c r="U55" s="203"/>
      <c r="V55" s="203"/>
      <c r="W55" s="203"/>
      <c r="X55" s="203"/>
      <c r="Y55" s="203"/>
      <c r="Z55" s="203"/>
      <c r="AA55" s="203"/>
      <c r="AB55" s="203"/>
      <c r="AC55" s="203"/>
      <c r="AD55" s="203"/>
      <c r="AE55" s="203"/>
      <c r="AF55" s="203"/>
      <c r="AG55" s="203"/>
      <c r="AH55" s="203"/>
      <c r="AI55" s="203"/>
      <c r="AJ55" s="203"/>
      <c r="AK55" s="203"/>
      <c r="AL55" s="205"/>
      <c r="AM55" s="347"/>
    </row>
    <row r="56" spans="1:39" x14ac:dyDescent="0.25">
      <c r="A56" s="202"/>
      <c r="B56" s="1607"/>
      <c r="C56" s="1705"/>
      <c r="D56" s="1685" t="s">
        <v>343</v>
      </c>
      <c r="E56" s="1384" t="s">
        <v>344</v>
      </c>
      <c r="F56" s="1310">
        <f t="shared" ref="F56:F57" si="32">IFERROR(F58*1000/F53,0)</f>
        <v>1.9855843137254907</v>
      </c>
      <c r="G56" s="1385"/>
      <c r="H56" s="1312">
        <v>2.1274117647058826</v>
      </c>
      <c r="I56" s="1312">
        <v>2.1274117647058826</v>
      </c>
      <c r="J56" s="1312">
        <v>2.1274117647058826</v>
      </c>
      <c r="K56" s="1333">
        <v>2.1274117647058826</v>
      </c>
      <c r="L56" s="1333">
        <v>2.1274117647058826</v>
      </c>
      <c r="M56" s="1333">
        <v>2.1274117647058826</v>
      </c>
      <c r="N56" s="1333">
        <v>2.1274117647058826</v>
      </c>
      <c r="O56" s="1333">
        <v>2.1274117647058826</v>
      </c>
      <c r="P56" s="1334">
        <v>2.1274117647058826</v>
      </c>
      <c r="Q56" s="1333">
        <v>2.1274117647058826</v>
      </c>
      <c r="R56" s="1333">
        <v>2.1274117647058826</v>
      </c>
      <c r="S56" s="1333">
        <v>2.1274117647058826</v>
      </c>
      <c r="T56" s="1333">
        <v>2.1274117647058826</v>
      </c>
      <c r="U56" s="1333">
        <v>2.1274117647058826</v>
      </c>
      <c r="V56" s="1333">
        <v>2.1274117647058826</v>
      </c>
      <c r="W56" s="1333">
        <v>2.1274117647058826</v>
      </c>
      <c r="X56" s="1333">
        <v>2.1274117647058826</v>
      </c>
      <c r="Y56" s="1333">
        <v>2.1274117647058826</v>
      </c>
      <c r="Z56" s="1333">
        <v>2.1274117647058826</v>
      </c>
      <c r="AA56" s="1333">
        <v>0</v>
      </c>
      <c r="AB56" s="1333">
        <v>0</v>
      </c>
      <c r="AC56" s="1333">
        <v>2.1274117647058826</v>
      </c>
      <c r="AD56" s="1333">
        <v>2.1274117647058826</v>
      </c>
      <c r="AE56" s="1333">
        <v>2.1274117647058826</v>
      </c>
      <c r="AF56" s="1333">
        <v>2.1274117647058826</v>
      </c>
      <c r="AG56" s="1333">
        <v>2.1274117647058826</v>
      </c>
      <c r="AH56" s="1333">
        <v>2.1274117647058826</v>
      </c>
      <c r="AI56" s="1333">
        <v>2.1274117647058826</v>
      </c>
      <c r="AJ56" s="1333">
        <v>2.1274117647058826</v>
      </c>
      <c r="AK56" s="1333">
        <v>2.1274117647058826</v>
      </c>
      <c r="AL56" s="1335">
        <v>0</v>
      </c>
      <c r="AM56" s="347"/>
    </row>
    <row r="57" spans="1:39" x14ac:dyDescent="0.25">
      <c r="A57" s="202"/>
      <c r="B57" s="1607"/>
      <c r="C57" s="1705"/>
      <c r="D57" s="1707"/>
      <c r="E57" s="1386" t="s">
        <v>345</v>
      </c>
      <c r="F57" s="1314">
        <f t="shared" si="32"/>
        <v>0.90900369003690051</v>
      </c>
      <c r="G57" s="1380">
        <f t="shared" ref="G57" si="33">IFERROR((F57-F56)/F56,0)</f>
        <v>-0.54219839280893345</v>
      </c>
      <c r="H57" s="1315">
        <v>2.1800000000000002</v>
      </c>
      <c r="I57" s="1314"/>
      <c r="J57" s="1314"/>
      <c r="K57" s="1314"/>
      <c r="L57" s="1314"/>
      <c r="M57" s="1314"/>
      <c r="N57" s="1314"/>
      <c r="O57" s="1314"/>
      <c r="P57" s="1314"/>
      <c r="Q57" s="1314"/>
      <c r="R57" s="1314"/>
      <c r="S57" s="1314"/>
      <c r="T57" s="1314"/>
      <c r="U57" s="1314"/>
      <c r="V57" s="1314"/>
      <c r="W57" s="1314"/>
      <c r="X57" s="1314"/>
      <c r="Y57" s="1314"/>
      <c r="Z57" s="1314"/>
      <c r="AA57" s="1314"/>
      <c r="AB57" s="1314"/>
      <c r="AC57" s="1314"/>
      <c r="AD57" s="1314"/>
      <c r="AE57" s="1314"/>
      <c r="AF57" s="1314"/>
      <c r="AG57" s="1314"/>
      <c r="AH57" s="1314"/>
      <c r="AI57" s="1314"/>
      <c r="AJ57" s="1314"/>
      <c r="AK57" s="1314"/>
      <c r="AL57" s="1314"/>
      <c r="AM57" s="347"/>
    </row>
    <row r="58" spans="1:39" x14ac:dyDescent="0.25">
      <c r="A58" s="202"/>
      <c r="B58" s="1607"/>
      <c r="C58" s="1705"/>
      <c r="D58" s="1685" t="s">
        <v>47</v>
      </c>
      <c r="E58" s="1384" t="s">
        <v>346</v>
      </c>
      <c r="F58" s="206">
        <f t="shared" ref="F58:F61" si="34">SUMIF($H$9:$AL$9,"&lt;="&amp;$C$7,H58:AL58)</f>
        <v>2.0848635294117654</v>
      </c>
      <c r="G58" s="1385"/>
      <c r="H58" s="1316">
        <v>0</v>
      </c>
      <c r="I58" s="1316">
        <f t="shared" ref="I58:AL59" si="35">+I56*I53/1000</f>
        <v>0.14891882352941177</v>
      </c>
      <c r="J58" s="1316">
        <f t="shared" si="35"/>
        <v>0.14891882352941177</v>
      </c>
      <c r="K58" s="1316">
        <f t="shared" si="35"/>
        <v>0.14891882352941177</v>
      </c>
      <c r="L58" s="1316">
        <f t="shared" si="35"/>
        <v>0.14891882352941177</v>
      </c>
      <c r="M58" s="1316">
        <f t="shared" si="35"/>
        <v>0.14891882352941177</v>
      </c>
      <c r="N58" s="1316">
        <f t="shared" si="35"/>
        <v>0.14891882352941177</v>
      </c>
      <c r="O58" s="1316">
        <f t="shared" si="35"/>
        <v>0.14891882352941177</v>
      </c>
      <c r="P58" s="1316">
        <f t="shared" si="35"/>
        <v>0.14891882352941177</v>
      </c>
      <c r="Q58" s="1316">
        <f t="shared" si="35"/>
        <v>0.14891882352941177</v>
      </c>
      <c r="R58" s="1316">
        <f t="shared" si="35"/>
        <v>0.14891882352941177</v>
      </c>
      <c r="S58" s="1316">
        <f t="shared" si="35"/>
        <v>0.14891882352941177</v>
      </c>
      <c r="T58" s="1316">
        <f t="shared" si="35"/>
        <v>0.14891882352941177</v>
      </c>
      <c r="U58" s="1316">
        <f t="shared" si="35"/>
        <v>0.14891882352941177</v>
      </c>
      <c r="V58" s="1316">
        <f t="shared" si="35"/>
        <v>0.14891882352941177</v>
      </c>
      <c r="W58" s="1316">
        <f t="shared" si="35"/>
        <v>0</v>
      </c>
      <c r="X58" s="1316">
        <f t="shared" si="35"/>
        <v>0</v>
      </c>
      <c r="Y58" s="1316">
        <f t="shared" si="35"/>
        <v>0</v>
      </c>
      <c r="Z58" s="1316">
        <f t="shared" si="35"/>
        <v>0</v>
      </c>
      <c r="AA58" s="1316">
        <f t="shared" si="35"/>
        <v>0</v>
      </c>
      <c r="AB58" s="1316">
        <f t="shared" si="35"/>
        <v>0</v>
      </c>
      <c r="AC58" s="1316">
        <f t="shared" si="35"/>
        <v>0</v>
      </c>
      <c r="AD58" s="1316">
        <f t="shared" si="35"/>
        <v>0</v>
      </c>
      <c r="AE58" s="1316">
        <f t="shared" si="35"/>
        <v>0</v>
      </c>
      <c r="AF58" s="1316">
        <f t="shared" si="35"/>
        <v>0</v>
      </c>
      <c r="AG58" s="1316" t="s">
        <v>362</v>
      </c>
      <c r="AH58" s="1316">
        <f t="shared" si="35"/>
        <v>0</v>
      </c>
      <c r="AI58" s="1316">
        <f t="shared" si="35"/>
        <v>0</v>
      </c>
      <c r="AJ58" s="1316">
        <f t="shared" si="35"/>
        <v>0</v>
      </c>
      <c r="AK58" s="1316">
        <f t="shared" si="35"/>
        <v>0</v>
      </c>
      <c r="AL58" s="1316">
        <f t="shared" si="35"/>
        <v>0</v>
      </c>
      <c r="AM58" s="705"/>
    </row>
    <row r="59" spans="1:39" ht="15.75" thickBot="1" x14ac:dyDescent="0.3">
      <c r="A59" s="202"/>
      <c r="B59" s="1660"/>
      <c r="C59" s="1706"/>
      <c r="D59" s="1708"/>
      <c r="E59" s="1387" t="s">
        <v>347</v>
      </c>
      <c r="F59" s="1321">
        <f t="shared" si="34"/>
        <v>0.24634000000000003</v>
      </c>
      <c r="G59" s="1388">
        <f t="shared" ref="G59" si="36">IFERROR((F59-F58)/F58,0)</f>
        <v>-0.88184358519163908</v>
      </c>
      <c r="H59" s="1323">
        <f t="shared" ref="H59" si="37">+H57*H54/1000</f>
        <v>0.24634000000000003</v>
      </c>
      <c r="I59" s="1323">
        <f t="shared" si="35"/>
        <v>0</v>
      </c>
      <c r="J59" s="1323">
        <f t="shared" si="35"/>
        <v>0</v>
      </c>
      <c r="K59" s="1323">
        <f t="shared" si="35"/>
        <v>0</v>
      </c>
      <c r="L59" s="1323">
        <f t="shared" si="35"/>
        <v>0</v>
      </c>
      <c r="M59" s="1323">
        <f t="shared" si="35"/>
        <v>0</v>
      </c>
      <c r="N59" s="1323">
        <f t="shared" si="35"/>
        <v>0</v>
      </c>
      <c r="O59" s="1323">
        <f t="shared" si="35"/>
        <v>0</v>
      </c>
      <c r="P59" s="1323">
        <f t="shared" si="35"/>
        <v>0</v>
      </c>
      <c r="Q59" s="1323">
        <f t="shared" si="35"/>
        <v>0</v>
      </c>
      <c r="R59" s="1323">
        <f t="shared" si="35"/>
        <v>0</v>
      </c>
      <c r="S59" s="1323">
        <f t="shared" si="35"/>
        <v>0</v>
      </c>
      <c r="T59" s="1323">
        <f t="shared" si="35"/>
        <v>0</v>
      </c>
      <c r="U59" s="1323">
        <f t="shared" si="35"/>
        <v>0</v>
      </c>
      <c r="V59" s="1323">
        <f t="shared" si="35"/>
        <v>0</v>
      </c>
      <c r="W59" s="1323">
        <f t="shared" si="35"/>
        <v>0</v>
      </c>
      <c r="X59" s="1323">
        <f t="shared" si="35"/>
        <v>0</v>
      </c>
      <c r="Y59" s="1323">
        <f t="shared" si="35"/>
        <v>0</v>
      </c>
      <c r="Z59" s="1323">
        <f t="shared" si="35"/>
        <v>0</v>
      </c>
      <c r="AA59" s="1323">
        <f t="shared" si="35"/>
        <v>0</v>
      </c>
      <c r="AB59" s="1323">
        <f t="shared" si="35"/>
        <v>0</v>
      </c>
      <c r="AC59" s="1323">
        <f t="shared" si="35"/>
        <v>0</v>
      </c>
      <c r="AD59" s="1323">
        <f t="shared" si="35"/>
        <v>0</v>
      </c>
      <c r="AE59" s="1323">
        <f t="shared" si="35"/>
        <v>0</v>
      </c>
      <c r="AF59" s="1323">
        <f t="shared" si="35"/>
        <v>0</v>
      </c>
      <c r="AG59" s="1323">
        <f t="shared" si="35"/>
        <v>0</v>
      </c>
      <c r="AH59" s="1323">
        <f t="shared" si="35"/>
        <v>0</v>
      </c>
      <c r="AI59" s="1323">
        <f t="shared" si="35"/>
        <v>0</v>
      </c>
      <c r="AJ59" s="1323">
        <f t="shared" si="35"/>
        <v>0</v>
      </c>
      <c r="AK59" s="1323">
        <f t="shared" si="35"/>
        <v>0</v>
      </c>
      <c r="AL59" s="1323">
        <f t="shared" si="35"/>
        <v>0</v>
      </c>
      <c r="AM59" s="706"/>
    </row>
    <row r="60" spans="1:39" x14ac:dyDescent="0.25">
      <c r="A60" s="194"/>
      <c r="B60" s="1608"/>
      <c r="C60" s="1704" t="s">
        <v>366</v>
      </c>
      <c r="D60" s="1684" t="s">
        <v>340</v>
      </c>
      <c r="E60" s="195" t="s">
        <v>341</v>
      </c>
      <c r="F60" s="196">
        <f t="shared" si="34"/>
        <v>1470</v>
      </c>
      <c r="G60" s="197"/>
      <c r="H60" s="198">
        <v>0</v>
      </c>
      <c r="I60" s="198">
        <v>0</v>
      </c>
      <c r="J60" s="198">
        <v>0</v>
      </c>
      <c r="K60" s="199">
        <v>0</v>
      </c>
      <c r="L60" s="199">
        <v>0</v>
      </c>
      <c r="M60" s="199">
        <v>0</v>
      </c>
      <c r="N60" s="199">
        <v>0</v>
      </c>
      <c r="O60" s="199">
        <v>70</v>
      </c>
      <c r="P60" s="200">
        <v>70</v>
      </c>
      <c r="Q60" s="199">
        <v>70</v>
      </c>
      <c r="R60" s="199">
        <v>70</v>
      </c>
      <c r="S60" s="199">
        <v>70</v>
      </c>
      <c r="T60" s="199">
        <v>70</v>
      </c>
      <c r="U60" s="199">
        <v>70</v>
      </c>
      <c r="V60" s="199">
        <v>70</v>
      </c>
      <c r="W60" s="199">
        <v>70</v>
      </c>
      <c r="X60" s="199">
        <v>70</v>
      </c>
      <c r="Y60" s="199">
        <v>70</v>
      </c>
      <c r="Z60" s="199">
        <v>70</v>
      </c>
      <c r="AA60" s="199">
        <v>0</v>
      </c>
      <c r="AB60" s="199">
        <v>0</v>
      </c>
      <c r="AC60" s="199">
        <v>70</v>
      </c>
      <c r="AD60" s="199">
        <v>70</v>
      </c>
      <c r="AE60" s="199">
        <v>70</v>
      </c>
      <c r="AF60" s="199">
        <v>70</v>
      </c>
      <c r="AG60" s="199">
        <v>70</v>
      </c>
      <c r="AH60" s="199">
        <v>70</v>
      </c>
      <c r="AI60" s="199">
        <v>70</v>
      </c>
      <c r="AJ60" s="199">
        <v>70</v>
      </c>
      <c r="AK60" s="199">
        <v>70</v>
      </c>
      <c r="AL60" s="201">
        <v>0</v>
      </c>
      <c r="AM60" s="704"/>
    </row>
    <row r="61" spans="1:39" x14ac:dyDescent="0.25">
      <c r="A61" s="202"/>
      <c r="B61" s="1607"/>
      <c r="C61" s="1705"/>
      <c r="D61" s="1688"/>
      <c r="E61" s="1379" t="s">
        <v>342</v>
      </c>
      <c r="F61" s="1303">
        <f t="shared" si="34"/>
        <v>40</v>
      </c>
      <c r="G61" s="1380">
        <f t="shared" ref="G61" si="38">IFERROR((F61-F60)/F60,0)</f>
        <v>-0.97278911564625847</v>
      </c>
      <c r="H61" s="1305">
        <v>40</v>
      </c>
      <c r="I61" s="1303"/>
      <c r="J61" s="1303"/>
      <c r="K61" s="1303"/>
      <c r="L61" s="1303"/>
      <c r="M61" s="1303"/>
      <c r="N61" s="1303"/>
      <c r="O61" s="1303"/>
      <c r="P61" s="1303"/>
      <c r="Q61" s="1303"/>
      <c r="R61" s="1303"/>
      <c r="S61" s="1303"/>
      <c r="T61" s="1303"/>
      <c r="U61" s="1303"/>
      <c r="V61" s="1303"/>
      <c r="W61" s="1303"/>
      <c r="X61" s="1303"/>
      <c r="Y61" s="1303"/>
      <c r="Z61" s="1303"/>
      <c r="AA61" s="1303"/>
      <c r="AB61" s="1303"/>
      <c r="AC61" s="1303"/>
      <c r="AD61" s="1303"/>
      <c r="AE61" s="1303"/>
      <c r="AF61" s="1303"/>
      <c r="AG61" s="1303"/>
      <c r="AH61" s="1303"/>
      <c r="AI61" s="1303"/>
      <c r="AJ61" s="1303"/>
      <c r="AK61" s="1303"/>
      <c r="AL61" s="1303"/>
      <c r="AM61" s="347"/>
    </row>
    <row r="62" spans="1:39" x14ac:dyDescent="0.25">
      <c r="A62" s="202"/>
      <c r="B62" s="1607"/>
      <c r="C62" s="1705"/>
      <c r="D62" s="1688"/>
      <c r="E62" s="1389" t="s">
        <v>312</v>
      </c>
      <c r="F62" s="1382"/>
      <c r="G62" s="1383"/>
      <c r="H62" s="203"/>
      <c r="I62" s="203"/>
      <c r="J62" s="203"/>
      <c r="K62" s="203"/>
      <c r="L62" s="203"/>
      <c r="M62" s="203"/>
      <c r="N62" s="203"/>
      <c r="O62" s="203"/>
      <c r="P62" s="204"/>
      <c r="Q62" s="203"/>
      <c r="R62" s="203"/>
      <c r="S62" s="203"/>
      <c r="T62" s="203"/>
      <c r="U62" s="203"/>
      <c r="V62" s="203"/>
      <c r="W62" s="203"/>
      <c r="X62" s="203"/>
      <c r="Y62" s="203"/>
      <c r="Z62" s="203"/>
      <c r="AA62" s="203"/>
      <c r="AB62" s="203"/>
      <c r="AC62" s="203"/>
      <c r="AD62" s="203"/>
      <c r="AE62" s="203"/>
      <c r="AF62" s="203"/>
      <c r="AG62" s="203"/>
      <c r="AH62" s="203"/>
      <c r="AI62" s="203"/>
      <c r="AJ62" s="203"/>
      <c r="AK62" s="203"/>
      <c r="AL62" s="205"/>
      <c r="AM62" s="347"/>
    </row>
    <row r="63" spans="1:39" x14ac:dyDescent="0.25">
      <c r="A63" s="202"/>
      <c r="B63" s="1607"/>
      <c r="C63" s="1705"/>
      <c r="D63" s="1685" t="s">
        <v>343</v>
      </c>
      <c r="E63" s="1384" t="s">
        <v>344</v>
      </c>
      <c r="F63" s="1310">
        <f t="shared" ref="F63:F64" si="39">IFERROR(F65*1000/F60,0)</f>
        <v>1.9238095238095239</v>
      </c>
      <c r="G63" s="1385"/>
      <c r="H63" s="1312">
        <v>0</v>
      </c>
      <c r="I63" s="1312">
        <v>0</v>
      </c>
      <c r="J63" s="1312">
        <v>0</v>
      </c>
      <c r="K63" s="1333">
        <v>0</v>
      </c>
      <c r="L63" s="1333">
        <v>0</v>
      </c>
      <c r="M63" s="1333">
        <v>0</v>
      </c>
      <c r="N63" s="1333">
        <v>0</v>
      </c>
      <c r="O63" s="1333">
        <v>2.02</v>
      </c>
      <c r="P63" s="1334">
        <v>2.02</v>
      </c>
      <c r="Q63" s="1333">
        <v>2.02</v>
      </c>
      <c r="R63" s="1333">
        <v>2.02</v>
      </c>
      <c r="S63" s="1333">
        <v>2.02</v>
      </c>
      <c r="T63" s="1333">
        <v>2.02</v>
      </c>
      <c r="U63" s="1333">
        <v>2.02</v>
      </c>
      <c r="V63" s="1333">
        <v>2.02</v>
      </c>
      <c r="W63" s="1333">
        <v>2.02</v>
      </c>
      <c r="X63" s="1333">
        <v>2.02</v>
      </c>
      <c r="Y63" s="1333">
        <v>2.02</v>
      </c>
      <c r="Z63" s="1333">
        <v>2.02</v>
      </c>
      <c r="AA63" s="1333">
        <v>0</v>
      </c>
      <c r="AB63" s="1333">
        <v>0</v>
      </c>
      <c r="AC63" s="1333">
        <v>2.02</v>
      </c>
      <c r="AD63" s="1333">
        <v>2.02</v>
      </c>
      <c r="AE63" s="1333">
        <v>2.02</v>
      </c>
      <c r="AF63" s="1333">
        <v>2.02</v>
      </c>
      <c r="AG63" s="1333">
        <v>2.02</v>
      </c>
      <c r="AH63" s="1333">
        <v>2.02</v>
      </c>
      <c r="AI63" s="1333">
        <v>2.02</v>
      </c>
      <c r="AJ63" s="1333">
        <v>2.02</v>
      </c>
      <c r="AK63" s="1333">
        <v>2.02</v>
      </c>
      <c r="AL63" s="1335">
        <v>0</v>
      </c>
      <c r="AM63" s="347"/>
    </row>
    <row r="64" spans="1:39" x14ac:dyDescent="0.25">
      <c r="A64" s="202"/>
      <c r="B64" s="1607"/>
      <c r="C64" s="1705"/>
      <c r="D64" s="1707"/>
      <c r="E64" s="1386" t="s">
        <v>345</v>
      </c>
      <c r="F64" s="1314">
        <f t="shared" si="39"/>
        <v>1.07</v>
      </c>
      <c r="G64" s="1380">
        <f t="shared" ref="G64" si="40">IFERROR((F64-F63)/F63,0)</f>
        <v>-0.44381188118811882</v>
      </c>
      <c r="H64" s="1315">
        <v>1.07</v>
      </c>
      <c r="I64" s="1314"/>
      <c r="J64" s="1314"/>
      <c r="K64" s="1314"/>
      <c r="L64" s="1314"/>
      <c r="M64" s="1314"/>
      <c r="N64" s="1314"/>
      <c r="O64" s="1314"/>
      <c r="P64" s="1314"/>
      <c r="Q64" s="1314"/>
      <c r="R64" s="1314"/>
      <c r="S64" s="1314"/>
      <c r="T64" s="1314"/>
      <c r="U64" s="1314"/>
      <c r="V64" s="1314"/>
      <c r="W64" s="1314"/>
      <c r="X64" s="1314"/>
      <c r="Y64" s="1314"/>
      <c r="Z64" s="1314"/>
      <c r="AA64" s="1314"/>
      <c r="AB64" s="1314"/>
      <c r="AC64" s="1314"/>
      <c r="AD64" s="1314"/>
      <c r="AE64" s="1314"/>
      <c r="AF64" s="1314"/>
      <c r="AG64" s="1314"/>
      <c r="AH64" s="1314"/>
      <c r="AI64" s="1314"/>
      <c r="AJ64" s="1314"/>
      <c r="AK64" s="1314"/>
      <c r="AL64" s="1314"/>
      <c r="AM64" s="347"/>
    </row>
    <row r="65" spans="1:39" x14ac:dyDescent="0.25">
      <c r="A65" s="202"/>
      <c r="B65" s="1607"/>
      <c r="C65" s="1705"/>
      <c r="D65" s="1685" t="s">
        <v>47</v>
      </c>
      <c r="E65" s="1384" t="s">
        <v>346</v>
      </c>
      <c r="F65" s="206">
        <f t="shared" ref="F65:F68" si="41">SUMIF($H$9:$AL$9,"&lt;="&amp;$C$7,H65:AL65)</f>
        <v>2.8279999999999998</v>
      </c>
      <c r="G65" s="1385"/>
      <c r="H65" s="1316">
        <f>+H63*H60/1000</f>
        <v>0</v>
      </c>
      <c r="I65" s="1316">
        <f t="shared" ref="I65:AL66" si="42">+I63*I60/1000</f>
        <v>0</v>
      </c>
      <c r="J65" s="1316">
        <f t="shared" si="42"/>
        <v>0</v>
      </c>
      <c r="K65" s="1316">
        <f t="shared" si="42"/>
        <v>0</v>
      </c>
      <c r="L65" s="1316">
        <f t="shared" si="42"/>
        <v>0</v>
      </c>
      <c r="M65" s="1316">
        <f t="shared" si="42"/>
        <v>0</v>
      </c>
      <c r="N65" s="1316">
        <f t="shared" si="42"/>
        <v>0</v>
      </c>
      <c r="O65" s="1316">
        <f t="shared" si="42"/>
        <v>0.1414</v>
      </c>
      <c r="P65" s="1316">
        <f t="shared" si="42"/>
        <v>0.1414</v>
      </c>
      <c r="Q65" s="1316">
        <f t="shared" si="42"/>
        <v>0.1414</v>
      </c>
      <c r="R65" s="1316">
        <f t="shared" si="42"/>
        <v>0.1414</v>
      </c>
      <c r="S65" s="1316">
        <f t="shared" si="42"/>
        <v>0.1414</v>
      </c>
      <c r="T65" s="1316">
        <f t="shared" si="42"/>
        <v>0.1414</v>
      </c>
      <c r="U65" s="1316">
        <f t="shared" si="42"/>
        <v>0.1414</v>
      </c>
      <c r="V65" s="1316">
        <f t="shared" si="42"/>
        <v>0.1414</v>
      </c>
      <c r="W65" s="1316">
        <f t="shared" si="42"/>
        <v>0.1414</v>
      </c>
      <c r="X65" s="1316">
        <f t="shared" si="42"/>
        <v>0.1414</v>
      </c>
      <c r="Y65" s="1316">
        <f t="shared" si="42"/>
        <v>0.1414</v>
      </c>
      <c r="Z65" s="1316"/>
      <c r="AA65" s="1316">
        <f t="shared" si="42"/>
        <v>0</v>
      </c>
      <c r="AB65" s="1316">
        <f t="shared" si="42"/>
        <v>0</v>
      </c>
      <c r="AC65" s="1316">
        <f t="shared" si="42"/>
        <v>0.1414</v>
      </c>
      <c r="AD65" s="1316">
        <f t="shared" si="42"/>
        <v>0.1414</v>
      </c>
      <c r="AE65" s="1316">
        <f t="shared" si="42"/>
        <v>0.1414</v>
      </c>
      <c r="AF65" s="1316">
        <f t="shared" si="42"/>
        <v>0.1414</v>
      </c>
      <c r="AG65" s="1316">
        <f t="shared" si="42"/>
        <v>0.1414</v>
      </c>
      <c r="AH65" s="1316">
        <f t="shared" si="42"/>
        <v>0.1414</v>
      </c>
      <c r="AI65" s="1316">
        <f t="shared" si="42"/>
        <v>0.1414</v>
      </c>
      <c r="AJ65" s="1316">
        <f t="shared" si="42"/>
        <v>0.1414</v>
      </c>
      <c r="AK65" s="1316">
        <f t="shared" si="42"/>
        <v>0.1414</v>
      </c>
      <c r="AL65" s="1316">
        <f t="shared" si="42"/>
        <v>0</v>
      </c>
      <c r="AM65" s="705"/>
    </row>
    <row r="66" spans="1:39" ht="15.75" thickBot="1" x14ac:dyDescent="0.3">
      <c r="A66" s="202"/>
      <c r="B66" s="1660"/>
      <c r="C66" s="1706"/>
      <c r="D66" s="1708"/>
      <c r="E66" s="1387" t="s">
        <v>347</v>
      </c>
      <c r="F66" s="1321">
        <f t="shared" si="41"/>
        <v>4.2800000000000005E-2</v>
      </c>
      <c r="G66" s="1388">
        <f t="shared" ref="G66" si="43">IFERROR((F66-F65)/F65,0)</f>
        <v>-0.98486562942008482</v>
      </c>
      <c r="H66" s="1323">
        <f>+H64*H61/1000</f>
        <v>4.2800000000000005E-2</v>
      </c>
      <c r="I66" s="1323">
        <f t="shared" si="42"/>
        <v>0</v>
      </c>
      <c r="J66" s="1323">
        <f t="shared" si="42"/>
        <v>0</v>
      </c>
      <c r="K66" s="1323">
        <f t="shared" si="42"/>
        <v>0</v>
      </c>
      <c r="L66" s="1323">
        <f t="shared" si="42"/>
        <v>0</v>
      </c>
      <c r="M66" s="1323">
        <f t="shared" si="42"/>
        <v>0</v>
      </c>
      <c r="N66" s="1323">
        <f t="shared" si="42"/>
        <v>0</v>
      </c>
      <c r="O66" s="1323">
        <f t="shared" si="42"/>
        <v>0</v>
      </c>
      <c r="P66" s="1323">
        <f t="shared" si="42"/>
        <v>0</v>
      </c>
      <c r="Q66" s="1323">
        <f t="shared" si="42"/>
        <v>0</v>
      </c>
      <c r="R66" s="1323">
        <f t="shared" si="42"/>
        <v>0</v>
      </c>
      <c r="S66" s="1323">
        <f t="shared" si="42"/>
        <v>0</v>
      </c>
      <c r="T66" s="1323">
        <f t="shared" si="42"/>
        <v>0</v>
      </c>
      <c r="U66" s="1323">
        <f t="shared" si="42"/>
        <v>0</v>
      </c>
      <c r="V66" s="1323">
        <f t="shared" si="42"/>
        <v>0</v>
      </c>
      <c r="W66" s="1323">
        <f t="shared" si="42"/>
        <v>0</v>
      </c>
      <c r="X66" s="1323">
        <f t="shared" si="42"/>
        <v>0</v>
      </c>
      <c r="Y66" s="1323">
        <f t="shared" si="42"/>
        <v>0</v>
      </c>
      <c r="Z66" s="1323">
        <f t="shared" si="42"/>
        <v>0</v>
      </c>
      <c r="AA66" s="1323">
        <f t="shared" si="42"/>
        <v>0</v>
      </c>
      <c r="AB66" s="1323">
        <f t="shared" si="42"/>
        <v>0</v>
      </c>
      <c r="AC66" s="1323">
        <f t="shared" si="42"/>
        <v>0</v>
      </c>
      <c r="AD66" s="1323">
        <f t="shared" si="42"/>
        <v>0</v>
      </c>
      <c r="AE66" s="1323">
        <f t="shared" si="42"/>
        <v>0</v>
      </c>
      <c r="AF66" s="1323">
        <f t="shared" si="42"/>
        <v>0</v>
      </c>
      <c r="AG66" s="1323">
        <f t="shared" si="42"/>
        <v>0</v>
      </c>
      <c r="AH66" s="1323">
        <f t="shared" si="42"/>
        <v>0</v>
      </c>
      <c r="AI66" s="1323">
        <f t="shared" si="42"/>
        <v>0</v>
      </c>
      <c r="AJ66" s="1323">
        <f t="shared" si="42"/>
        <v>0</v>
      </c>
      <c r="AK66" s="1323">
        <f t="shared" si="42"/>
        <v>0</v>
      </c>
      <c r="AL66" s="1323">
        <f t="shared" si="42"/>
        <v>0</v>
      </c>
      <c r="AM66" s="706"/>
    </row>
    <row r="67" spans="1:39" x14ac:dyDescent="0.25">
      <c r="A67" s="194"/>
      <c r="B67" s="1608"/>
      <c r="C67" s="1704" t="s">
        <v>474</v>
      </c>
      <c r="D67" s="1684" t="s">
        <v>340</v>
      </c>
      <c r="E67" s="195" t="s">
        <v>341</v>
      </c>
      <c r="F67" s="196">
        <f t="shared" si="41"/>
        <v>1960</v>
      </c>
      <c r="G67" s="197"/>
      <c r="H67" s="198">
        <v>70</v>
      </c>
      <c r="I67" s="198">
        <v>70</v>
      </c>
      <c r="J67" s="198">
        <v>70</v>
      </c>
      <c r="K67" s="199">
        <v>70</v>
      </c>
      <c r="L67" s="199">
        <v>70</v>
      </c>
      <c r="M67" s="199">
        <v>70</v>
      </c>
      <c r="N67" s="199">
        <v>70</v>
      </c>
      <c r="O67" s="199">
        <v>70</v>
      </c>
      <c r="P67" s="200">
        <v>70</v>
      </c>
      <c r="Q67" s="199">
        <v>70</v>
      </c>
      <c r="R67" s="199">
        <v>70</v>
      </c>
      <c r="S67" s="199">
        <v>70</v>
      </c>
      <c r="T67" s="199">
        <v>70</v>
      </c>
      <c r="U67" s="199">
        <v>70</v>
      </c>
      <c r="V67" s="199">
        <v>70</v>
      </c>
      <c r="W67" s="199">
        <v>70</v>
      </c>
      <c r="X67" s="199">
        <v>70</v>
      </c>
      <c r="Y67" s="199">
        <v>70</v>
      </c>
      <c r="Z67" s="199">
        <v>70</v>
      </c>
      <c r="AA67" s="199">
        <v>0</v>
      </c>
      <c r="AB67" s="199">
        <v>0</v>
      </c>
      <c r="AC67" s="199">
        <v>70</v>
      </c>
      <c r="AD67" s="199">
        <v>70</v>
      </c>
      <c r="AE67" s="199">
        <v>70</v>
      </c>
      <c r="AF67" s="199">
        <v>70</v>
      </c>
      <c r="AG67" s="199">
        <v>70</v>
      </c>
      <c r="AH67" s="199">
        <v>70</v>
      </c>
      <c r="AI67" s="199">
        <v>70</v>
      </c>
      <c r="AJ67" s="199">
        <v>70</v>
      </c>
      <c r="AK67" s="199">
        <v>70</v>
      </c>
      <c r="AL67" s="201">
        <v>0</v>
      </c>
      <c r="AM67" s="704"/>
    </row>
    <row r="68" spans="1:39" x14ac:dyDescent="0.25">
      <c r="A68" s="202"/>
      <c r="B68" s="1607"/>
      <c r="C68" s="1705"/>
      <c r="D68" s="1688"/>
      <c r="E68" s="1379" t="s">
        <v>342</v>
      </c>
      <c r="F68" s="1303">
        <f t="shared" si="41"/>
        <v>87</v>
      </c>
      <c r="G68" s="1380">
        <f t="shared" ref="G68" si="44">IFERROR((F68-F67)/F67,0)</f>
        <v>-0.95561224489795915</v>
      </c>
      <c r="H68" s="1305">
        <v>19.5</v>
      </c>
      <c r="I68" s="1303">
        <v>67.5</v>
      </c>
      <c r="J68" s="1303"/>
      <c r="K68" s="1303"/>
      <c r="L68" s="1303"/>
      <c r="M68" s="1303"/>
      <c r="N68" s="1303"/>
      <c r="O68" s="1303"/>
      <c r="P68" s="1303"/>
      <c r="Q68" s="1303"/>
      <c r="R68" s="1303"/>
      <c r="S68" s="1303"/>
      <c r="T68" s="1303"/>
      <c r="U68" s="1303"/>
      <c r="V68" s="1303"/>
      <c r="W68" s="1303"/>
      <c r="X68" s="1303"/>
      <c r="Y68" s="1303"/>
      <c r="Z68" s="1303"/>
      <c r="AA68" s="1303"/>
      <c r="AB68" s="1303"/>
      <c r="AC68" s="1303"/>
      <c r="AD68" s="1303"/>
      <c r="AE68" s="1303"/>
      <c r="AF68" s="1303"/>
      <c r="AG68" s="1303"/>
      <c r="AH68" s="1303"/>
      <c r="AI68" s="1303"/>
      <c r="AJ68" s="1303"/>
      <c r="AK68" s="1303"/>
      <c r="AL68" s="1303"/>
      <c r="AM68" s="347"/>
    </row>
    <row r="69" spans="1:39" x14ac:dyDescent="0.25">
      <c r="A69" s="202"/>
      <c r="B69" s="1607"/>
      <c r="C69" s="1705"/>
      <c r="D69" s="1688"/>
      <c r="E69" s="1389" t="s">
        <v>312</v>
      </c>
      <c r="F69" s="1382"/>
      <c r="G69" s="1383"/>
      <c r="H69" s="203"/>
      <c r="I69" s="203"/>
      <c r="J69" s="203"/>
      <c r="K69" s="203"/>
      <c r="L69" s="203"/>
      <c r="M69" s="203"/>
      <c r="N69" s="203"/>
      <c r="O69" s="203"/>
      <c r="P69" s="204"/>
      <c r="Q69" s="203"/>
      <c r="R69" s="203"/>
      <c r="S69" s="203"/>
      <c r="T69" s="203"/>
      <c r="U69" s="203"/>
      <c r="V69" s="203"/>
      <c r="W69" s="203"/>
      <c r="X69" s="203"/>
      <c r="Y69" s="203"/>
      <c r="Z69" s="203"/>
      <c r="AA69" s="203"/>
      <c r="AB69" s="203"/>
      <c r="AC69" s="203"/>
      <c r="AD69" s="203"/>
      <c r="AE69" s="203"/>
      <c r="AF69" s="203"/>
      <c r="AG69" s="203"/>
      <c r="AH69" s="203"/>
      <c r="AI69" s="203"/>
      <c r="AJ69" s="203"/>
      <c r="AK69" s="203"/>
      <c r="AL69" s="205"/>
      <c r="AM69" s="347"/>
    </row>
    <row r="70" spans="1:39" x14ac:dyDescent="0.25">
      <c r="A70" s="202"/>
      <c r="B70" s="1607"/>
      <c r="C70" s="1705"/>
      <c r="D70" s="1685" t="s">
        <v>343</v>
      </c>
      <c r="E70" s="1384" t="s">
        <v>344</v>
      </c>
      <c r="F70" s="1310">
        <f t="shared" ref="F70:F71" si="45">IFERROR(F72*1000/F67,0)</f>
        <v>3.889999999999997</v>
      </c>
      <c r="G70" s="1385"/>
      <c r="H70" s="1312">
        <v>3.89</v>
      </c>
      <c r="I70" s="1312">
        <v>3.89</v>
      </c>
      <c r="J70" s="1312">
        <v>3.89</v>
      </c>
      <c r="K70" s="1333">
        <v>3.89</v>
      </c>
      <c r="L70" s="1333">
        <v>3.89</v>
      </c>
      <c r="M70" s="1333">
        <v>3.89</v>
      </c>
      <c r="N70" s="1333">
        <v>3.89</v>
      </c>
      <c r="O70" s="1333">
        <v>3.89</v>
      </c>
      <c r="P70" s="1334">
        <v>3.89</v>
      </c>
      <c r="Q70" s="1333">
        <v>3.89</v>
      </c>
      <c r="R70" s="1333">
        <v>3.89</v>
      </c>
      <c r="S70" s="1333">
        <v>3.89</v>
      </c>
      <c r="T70" s="1333">
        <v>3.89</v>
      </c>
      <c r="U70" s="1333">
        <v>3.89</v>
      </c>
      <c r="V70" s="1333">
        <v>3.89</v>
      </c>
      <c r="W70" s="1333">
        <v>3.89</v>
      </c>
      <c r="X70" s="1333">
        <v>3.89</v>
      </c>
      <c r="Y70" s="1333">
        <v>3.89</v>
      </c>
      <c r="Z70" s="1333">
        <v>3.89</v>
      </c>
      <c r="AA70" s="1333">
        <v>0</v>
      </c>
      <c r="AB70" s="1333">
        <v>0</v>
      </c>
      <c r="AC70" s="1333">
        <v>3.89</v>
      </c>
      <c r="AD70" s="1333">
        <v>3.89</v>
      </c>
      <c r="AE70" s="1333">
        <v>3.89</v>
      </c>
      <c r="AF70" s="1333">
        <v>3.89</v>
      </c>
      <c r="AG70" s="1333">
        <v>3.89</v>
      </c>
      <c r="AH70" s="1333">
        <v>3.89</v>
      </c>
      <c r="AI70" s="1333">
        <v>3.89</v>
      </c>
      <c r="AJ70" s="1333">
        <v>3.89</v>
      </c>
      <c r="AK70" s="1333">
        <v>3.89</v>
      </c>
      <c r="AL70" s="1335">
        <v>0</v>
      </c>
      <c r="AM70" s="347"/>
    </row>
    <row r="71" spans="1:39" x14ac:dyDescent="0.25">
      <c r="A71" s="202"/>
      <c r="B71" s="1607"/>
      <c r="C71" s="1705"/>
      <c r="D71" s="1707"/>
      <c r="E71" s="1386" t="s">
        <v>345</v>
      </c>
      <c r="F71" s="1314">
        <f t="shared" si="45"/>
        <v>0.29586206896551726</v>
      </c>
      <c r="G71" s="1380">
        <f t="shared" ref="G71" si="46">IFERROR((F71-F70)/F70,0)</f>
        <v>-0.92394291286233476</v>
      </c>
      <c r="H71" s="1315">
        <v>1.32</v>
      </c>
      <c r="I71" s="1314"/>
      <c r="J71" s="1314"/>
      <c r="K71" s="1314"/>
      <c r="L71" s="1314"/>
      <c r="M71" s="1314"/>
      <c r="N71" s="1314"/>
      <c r="O71" s="1314"/>
      <c r="P71" s="1314"/>
      <c r="Q71" s="1314"/>
      <c r="R71" s="1314"/>
      <c r="S71" s="1314"/>
      <c r="T71" s="1314"/>
      <c r="U71" s="1314"/>
      <c r="V71" s="1314"/>
      <c r="W71" s="1314"/>
      <c r="X71" s="1314"/>
      <c r="Y71" s="1314"/>
      <c r="Z71" s="1314"/>
      <c r="AA71" s="1314"/>
      <c r="AB71" s="1314"/>
      <c r="AC71" s="1314"/>
      <c r="AD71" s="1314"/>
      <c r="AE71" s="1314"/>
      <c r="AF71" s="1314"/>
      <c r="AG71" s="1314"/>
      <c r="AH71" s="1314"/>
      <c r="AI71" s="1314"/>
      <c r="AJ71" s="1314"/>
      <c r="AK71" s="1314"/>
      <c r="AL71" s="1314"/>
      <c r="AM71" s="347"/>
    </row>
    <row r="72" spans="1:39" x14ac:dyDescent="0.25">
      <c r="A72" s="202"/>
      <c r="B72" s="1607"/>
      <c r="C72" s="1705"/>
      <c r="D72" s="1685" t="s">
        <v>47</v>
      </c>
      <c r="E72" s="1384" t="s">
        <v>346</v>
      </c>
      <c r="F72" s="206">
        <f t="shared" ref="F72:F75" si="47">SUMIF($H$9:$AL$9,"&lt;="&amp;$C$7,H72:AL72)</f>
        <v>7.6243999999999943</v>
      </c>
      <c r="G72" s="1385"/>
      <c r="H72" s="1316">
        <f>+H70*H67/1000</f>
        <v>0.27229999999999999</v>
      </c>
      <c r="I72" s="1316">
        <f t="shared" ref="I72:AL73" si="48">+I70*I67/1000</f>
        <v>0.27229999999999999</v>
      </c>
      <c r="J72" s="1316">
        <f t="shared" si="48"/>
        <v>0.27229999999999999</v>
      </c>
      <c r="K72" s="1316">
        <f t="shared" si="48"/>
        <v>0.27229999999999999</v>
      </c>
      <c r="L72" s="1316">
        <f t="shared" si="48"/>
        <v>0.27229999999999999</v>
      </c>
      <c r="M72" s="1316">
        <f t="shared" si="48"/>
        <v>0.27229999999999999</v>
      </c>
      <c r="N72" s="1316">
        <f t="shared" si="48"/>
        <v>0.27229999999999999</v>
      </c>
      <c r="O72" s="1316">
        <f t="shared" si="48"/>
        <v>0.27229999999999999</v>
      </c>
      <c r="P72" s="1316">
        <f t="shared" si="48"/>
        <v>0.27229999999999999</v>
      </c>
      <c r="Q72" s="1316">
        <f t="shared" si="48"/>
        <v>0.27229999999999999</v>
      </c>
      <c r="R72" s="1316">
        <f t="shared" si="48"/>
        <v>0.27229999999999999</v>
      </c>
      <c r="S72" s="1316">
        <f t="shared" si="48"/>
        <v>0.27229999999999999</v>
      </c>
      <c r="T72" s="1316">
        <f t="shared" si="48"/>
        <v>0.27229999999999999</v>
      </c>
      <c r="U72" s="1316">
        <f t="shared" si="48"/>
        <v>0.27229999999999999</v>
      </c>
      <c r="V72" s="1316">
        <f t="shared" si="48"/>
        <v>0.27229999999999999</v>
      </c>
      <c r="W72" s="1316">
        <f t="shared" si="48"/>
        <v>0.27229999999999999</v>
      </c>
      <c r="X72" s="1316">
        <f t="shared" si="48"/>
        <v>0.27229999999999999</v>
      </c>
      <c r="Y72" s="1316">
        <f t="shared" si="48"/>
        <v>0.27229999999999999</v>
      </c>
      <c r="Z72" s="1316">
        <f t="shared" si="48"/>
        <v>0.27229999999999999</v>
      </c>
      <c r="AA72" s="1316">
        <f t="shared" si="48"/>
        <v>0</v>
      </c>
      <c r="AB72" s="1316">
        <f t="shared" si="48"/>
        <v>0</v>
      </c>
      <c r="AC72" s="1316">
        <f t="shared" si="48"/>
        <v>0.27229999999999999</v>
      </c>
      <c r="AD72" s="1316">
        <f t="shared" si="48"/>
        <v>0.27229999999999999</v>
      </c>
      <c r="AE72" s="1316">
        <f t="shared" si="48"/>
        <v>0.27229999999999999</v>
      </c>
      <c r="AF72" s="1316">
        <f t="shared" si="48"/>
        <v>0.27229999999999999</v>
      </c>
      <c r="AG72" s="1316">
        <f t="shared" si="48"/>
        <v>0.27229999999999999</v>
      </c>
      <c r="AH72" s="1316">
        <f t="shared" si="48"/>
        <v>0.27229999999999999</v>
      </c>
      <c r="AI72" s="1316">
        <f t="shared" si="48"/>
        <v>0.27229999999999999</v>
      </c>
      <c r="AJ72" s="1316">
        <f t="shared" si="48"/>
        <v>0.27229999999999999</v>
      </c>
      <c r="AK72" s="1316">
        <f t="shared" si="48"/>
        <v>0.27229999999999999</v>
      </c>
      <c r="AL72" s="1316">
        <f t="shared" si="48"/>
        <v>0</v>
      </c>
      <c r="AM72" s="705"/>
    </row>
    <row r="73" spans="1:39" ht="15.75" thickBot="1" x14ac:dyDescent="0.3">
      <c r="A73" s="202"/>
      <c r="B73" s="1660"/>
      <c r="C73" s="1706"/>
      <c r="D73" s="1708"/>
      <c r="E73" s="1387" t="s">
        <v>347</v>
      </c>
      <c r="F73" s="1321">
        <f t="shared" si="47"/>
        <v>2.5740000000000002E-2</v>
      </c>
      <c r="G73" s="1388">
        <f t="shared" ref="G73" si="49">IFERROR((F73-F72)/F72,0)</f>
        <v>-0.99662399664235879</v>
      </c>
      <c r="H73" s="1323">
        <f>+H71*H68/1000</f>
        <v>2.5740000000000002E-2</v>
      </c>
      <c r="I73" s="1323">
        <f t="shared" si="48"/>
        <v>0</v>
      </c>
      <c r="J73" s="1323">
        <f t="shared" si="48"/>
        <v>0</v>
      </c>
      <c r="K73" s="1323">
        <f t="shared" si="48"/>
        <v>0</v>
      </c>
      <c r="L73" s="1323">
        <f t="shared" si="48"/>
        <v>0</v>
      </c>
      <c r="M73" s="1323">
        <f t="shared" si="48"/>
        <v>0</v>
      </c>
      <c r="N73" s="1323">
        <f t="shared" si="48"/>
        <v>0</v>
      </c>
      <c r="O73" s="1323">
        <f t="shared" si="48"/>
        <v>0</v>
      </c>
      <c r="P73" s="1323">
        <f t="shared" si="48"/>
        <v>0</v>
      </c>
      <c r="Q73" s="1323">
        <f t="shared" si="48"/>
        <v>0</v>
      </c>
      <c r="R73" s="1323">
        <f t="shared" si="48"/>
        <v>0</v>
      </c>
      <c r="S73" s="1323">
        <f t="shared" si="48"/>
        <v>0</v>
      </c>
      <c r="T73" s="1323">
        <f t="shared" si="48"/>
        <v>0</v>
      </c>
      <c r="U73" s="1323">
        <f t="shared" si="48"/>
        <v>0</v>
      </c>
      <c r="V73" s="1323">
        <f t="shared" si="48"/>
        <v>0</v>
      </c>
      <c r="W73" s="1323">
        <f t="shared" si="48"/>
        <v>0</v>
      </c>
      <c r="X73" s="1323">
        <f t="shared" si="48"/>
        <v>0</v>
      </c>
      <c r="Y73" s="1323">
        <f t="shared" si="48"/>
        <v>0</v>
      </c>
      <c r="Z73" s="1323">
        <f t="shared" si="48"/>
        <v>0</v>
      </c>
      <c r="AA73" s="1323">
        <f t="shared" si="48"/>
        <v>0</v>
      </c>
      <c r="AB73" s="1323">
        <f t="shared" si="48"/>
        <v>0</v>
      </c>
      <c r="AC73" s="1323">
        <f t="shared" si="48"/>
        <v>0</v>
      </c>
      <c r="AD73" s="1323">
        <f t="shared" si="48"/>
        <v>0</v>
      </c>
      <c r="AE73" s="1323">
        <f t="shared" si="48"/>
        <v>0</v>
      </c>
      <c r="AF73" s="1323">
        <f t="shared" si="48"/>
        <v>0</v>
      </c>
      <c r="AG73" s="1323">
        <f t="shared" si="48"/>
        <v>0</v>
      </c>
      <c r="AH73" s="1323">
        <f t="shared" si="48"/>
        <v>0</v>
      </c>
      <c r="AI73" s="1323">
        <f t="shared" si="48"/>
        <v>0</v>
      </c>
      <c r="AJ73" s="1323">
        <f t="shared" si="48"/>
        <v>0</v>
      </c>
      <c r="AK73" s="1323">
        <f t="shared" si="48"/>
        <v>0</v>
      </c>
      <c r="AL73" s="1323">
        <f t="shared" si="48"/>
        <v>0</v>
      </c>
      <c r="AM73" s="706"/>
    </row>
    <row r="74" spans="1:39" x14ac:dyDescent="0.25">
      <c r="A74" s="194"/>
      <c r="B74" s="1608"/>
      <c r="C74" s="1704" t="s">
        <v>475</v>
      </c>
      <c r="D74" s="1684" t="s">
        <v>340</v>
      </c>
      <c r="E74" s="195" t="s">
        <v>341</v>
      </c>
      <c r="F74" s="196">
        <f t="shared" si="47"/>
        <v>1960</v>
      </c>
      <c r="G74" s="197"/>
      <c r="H74" s="198">
        <v>70</v>
      </c>
      <c r="I74" s="198">
        <v>70</v>
      </c>
      <c r="J74" s="198">
        <v>70</v>
      </c>
      <c r="K74" s="199">
        <v>70</v>
      </c>
      <c r="L74" s="199">
        <v>70</v>
      </c>
      <c r="M74" s="199">
        <v>70</v>
      </c>
      <c r="N74" s="199">
        <v>70</v>
      </c>
      <c r="O74" s="199">
        <v>70</v>
      </c>
      <c r="P74" s="200">
        <v>70</v>
      </c>
      <c r="Q74" s="199">
        <v>70</v>
      </c>
      <c r="R74" s="199">
        <v>70</v>
      </c>
      <c r="S74" s="199">
        <v>70</v>
      </c>
      <c r="T74" s="199">
        <v>70</v>
      </c>
      <c r="U74" s="199">
        <v>70</v>
      </c>
      <c r="V74" s="199">
        <v>70</v>
      </c>
      <c r="W74" s="199">
        <v>70</v>
      </c>
      <c r="X74" s="199">
        <v>70</v>
      </c>
      <c r="Y74" s="199">
        <v>70</v>
      </c>
      <c r="Z74" s="199">
        <v>70</v>
      </c>
      <c r="AA74" s="199">
        <v>0</v>
      </c>
      <c r="AB74" s="199">
        <v>0</v>
      </c>
      <c r="AC74" s="199">
        <v>70</v>
      </c>
      <c r="AD74" s="199">
        <v>70</v>
      </c>
      <c r="AE74" s="199">
        <v>70</v>
      </c>
      <c r="AF74" s="199">
        <v>70</v>
      </c>
      <c r="AG74" s="199">
        <v>70</v>
      </c>
      <c r="AH74" s="199">
        <v>70</v>
      </c>
      <c r="AI74" s="199">
        <v>70</v>
      </c>
      <c r="AJ74" s="199">
        <v>70</v>
      </c>
      <c r="AK74" s="199">
        <v>70</v>
      </c>
      <c r="AL74" s="201">
        <v>0</v>
      </c>
      <c r="AM74" s="704"/>
    </row>
    <row r="75" spans="1:39" x14ac:dyDescent="0.25">
      <c r="A75" s="202"/>
      <c r="B75" s="1607"/>
      <c r="C75" s="1705"/>
      <c r="D75" s="1688"/>
      <c r="E75" s="1379" t="s">
        <v>342</v>
      </c>
      <c r="F75" s="1303">
        <f t="shared" si="47"/>
        <v>56.6</v>
      </c>
      <c r="G75" s="1380">
        <f t="shared" ref="G75" si="50">IFERROR((F75-F74)/F74,0)</f>
        <v>-0.97112244897959188</v>
      </c>
      <c r="H75" s="1305"/>
      <c r="I75" s="1303">
        <f>56.6</f>
        <v>56.6</v>
      </c>
      <c r="J75" s="1303"/>
      <c r="K75" s="1303"/>
      <c r="L75" s="1303"/>
      <c r="M75" s="1303"/>
      <c r="N75" s="1303"/>
      <c r="O75" s="1303"/>
      <c r="P75" s="1303"/>
      <c r="Q75" s="1303"/>
      <c r="R75" s="1303"/>
      <c r="S75" s="1303"/>
      <c r="T75" s="1303"/>
      <c r="U75" s="1303"/>
      <c r="V75" s="1303"/>
      <c r="W75" s="1303"/>
      <c r="X75" s="1303"/>
      <c r="Y75" s="1303"/>
      <c r="Z75" s="1303"/>
      <c r="AA75" s="1303"/>
      <c r="AB75" s="1303"/>
      <c r="AC75" s="1303"/>
      <c r="AD75" s="1303"/>
      <c r="AE75" s="1303"/>
      <c r="AF75" s="1303"/>
      <c r="AG75" s="1303"/>
      <c r="AH75" s="1303"/>
      <c r="AI75" s="1303"/>
      <c r="AJ75" s="1303"/>
      <c r="AK75" s="1303"/>
      <c r="AL75" s="1303"/>
      <c r="AM75" s="347"/>
    </row>
    <row r="76" spans="1:39" x14ac:dyDescent="0.25">
      <c r="A76" s="202"/>
      <c r="B76" s="1607"/>
      <c r="C76" s="1705"/>
      <c r="D76" s="1688"/>
      <c r="E76" s="1389" t="s">
        <v>312</v>
      </c>
      <c r="F76" s="1382"/>
      <c r="G76" s="1383"/>
      <c r="H76" s="203"/>
      <c r="I76" s="203"/>
      <c r="J76" s="203"/>
      <c r="K76" s="203"/>
      <c r="L76" s="203"/>
      <c r="M76" s="203"/>
      <c r="N76" s="203"/>
      <c r="O76" s="203"/>
      <c r="P76" s="204"/>
      <c r="Q76" s="203"/>
      <c r="R76" s="203"/>
      <c r="S76" s="203"/>
      <c r="T76" s="203"/>
      <c r="U76" s="203"/>
      <c r="V76" s="203"/>
      <c r="W76" s="203"/>
      <c r="X76" s="203"/>
      <c r="Y76" s="203"/>
      <c r="Z76" s="203"/>
      <c r="AA76" s="203"/>
      <c r="AB76" s="203"/>
      <c r="AC76" s="203"/>
      <c r="AD76" s="203"/>
      <c r="AE76" s="203"/>
      <c r="AF76" s="203"/>
      <c r="AG76" s="203"/>
      <c r="AH76" s="203"/>
      <c r="AI76" s="203"/>
      <c r="AJ76" s="203"/>
      <c r="AK76" s="203"/>
      <c r="AL76" s="205"/>
      <c r="AM76" s="347"/>
    </row>
    <row r="77" spans="1:39" x14ac:dyDescent="0.25">
      <c r="A77" s="202"/>
      <c r="B77" s="1607"/>
      <c r="C77" s="1705"/>
      <c r="D77" s="1685" t="s">
        <v>343</v>
      </c>
      <c r="E77" s="1384" t="s">
        <v>344</v>
      </c>
      <c r="F77" s="1310">
        <f t="shared" ref="F77:F78" si="51">IFERROR(F79*1000/F74,0)</f>
        <v>3.889999999999997</v>
      </c>
      <c r="G77" s="1385"/>
      <c r="H77" s="1312">
        <v>3.89</v>
      </c>
      <c r="I77" s="1312">
        <v>3.89</v>
      </c>
      <c r="J77" s="1312">
        <v>3.89</v>
      </c>
      <c r="K77" s="1333">
        <v>3.89</v>
      </c>
      <c r="L77" s="1333">
        <v>3.89</v>
      </c>
      <c r="M77" s="1333">
        <v>3.89</v>
      </c>
      <c r="N77" s="1333">
        <v>3.89</v>
      </c>
      <c r="O77" s="1333">
        <v>3.89</v>
      </c>
      <c r="P77" s="1334">
        <v>3.89</v>
      </c>
      <c r="Q77" s="1333">
        <v>3.89</v>
      </c>
      <c r="R77" s="1333">
        <v>3.89</v>
      </c>
      <c r="S77" s="1333">
        <v>3.89</v>
      </c>
      <c r="T77" s="1333">
        <v>3.89</v>
      </c>
      <c r="U77" s="1333">
        <v>3.89</v>
      </c>
      <c r="V77" s="1333">
        <v>3.89</v>
      </c>
      <c r="W77" s="1333">
        <v>3.89</v>
      </c>
      <c r="X77" s="1333">
        <v>3.89</v>
      </c>
      <c r="Y77" s="1333">
        <v>3.89</v>
      </c>
      <c r="Z77" s="1333">
        <v>3.89</v>
      </c>
      <c r="AA77" s="1333">
        <v>0</v>
      </c>
      <c r="AB77" s="1333">
        <v>0</v>
      </c>
      <c r="AC77" s="1333">
        <v>3.89</v>
      </c>
      <c r="AD77" s="1333">
        <v>3.89</v>
      </c>
      <c r="AE77" s="1333">
        <v>3.89</v>
      </c>
      <c r="AF77" s="1333">
        <v>3.89</v>
      </c>
      <c r="AG77" s="1333">
        <v>3.89</v>
      </c>
      <c r="AH77" s="1333">
        <v>3.89</v>
      </c>
      <c r="AI77" s="1333">
        <v>3.89</v>
      </c>
      <c r="AJ77" s="1333">
        <v>3.89</v>
      </c>
      <c r="AK77" s="1333">
        <v>3.89</v>
      </c>
      <c r="AL77" s="1335">
        <v>0</v>
      </c>
      <c r="AM77" s="347"/>
    </row>
    <row r="78" spans="1:39" x14ac:dyDescent="0.25">
      <c r="A78" s="202"/>
      <c r="B78" s="1607"/>
      <c r="C78" s="1705"/>
      <c r="D78" s="1707"/>
      <c r="E78" s="1386" t="s">
        <v>345</v>
      </c>
      <c r="F78" s="1314">
        <f t="shared" si="51"/>
        <v>0</v>
      </c>
      <c r="G78" s="1380">
        <f t="shared" ref="G78" si="52">IFERROR((F78-F77)/F77,0)</f>
        <v>-1</v>
      </c>
      <c r="H78" s="1315"/>
      <c r="I78" s="1314"/>
      <c r="J78" s="1314"/>
      <c r="K78" s="1314"/>
      <c r="L78" s="1314"/>
      <c r="M78" s="1314"/>
      <c r="N78" s="1314"/>
      <c r="O78" s="1314"/>
      <c r="P78" s="1314"/>
      <c r="Q78" s="1314"/>
      <c r="R78" s="1314"/>
      <c r="S78" s="1314"/>
      <c r="T78" s="1314"/>
      <c r="U78" s="1314"/>
      <c r="V78" s="1314"/>
      <c r="W78" s="1314"/>
      <c r="X78" s="1314"/>
      <c r="Y78" s="1314"/>
      <c r="Z78" s="1314"/>
      <c r="AA78" s="1314"/>
      <c r="AB78" s="1314"/>
      <c r="AC78" s="1314"/>
      <c r="AD78" s="1314"/>
      <c r="AE78" s="1314"/>
      <c r="AF78" s="1314"/>
      <c r="AG78" s="1314"/>
      <c r="AH78" s="1314"/>
      <c r="AI78" s="1314"/>
      <c r="AJ78" s="1314"/>
      <c r="AK78" s="1314"/>
      <c r="AL78" s="1314"/>
      <c r="AM78" s="347"/>
    </row>
    <row r="79" spans="1:39" x14ac:dyDescent="0.25">
      <c r="A79" s="202"/>
      <c r="B79" s="1607"/>
      <c r="C79" s="1705"/>
      <c r="D79" s="1685" t="s">
        <v>47</v>
      </c>
      <c r="E79" s="1384" t="s">
        <v>346</v>
      </c>
      <c r="F79" s="206">
        <f t="shared" ref="F79:F82" si="53">SUMIF($H$9:$AL$9,"&lt;="&amp;$C$7,H79:AL79)</f>
        <v>7.6243999999999943</v>
      </c>
      <c r="G79" s="1385"/>
      <c r="H79" s="1316">
        <f>+H77*H74/1000</f>
        <v>0.27229999999999999</v>
      </c>
      <c r="I79" s="1316">
        <f t="shared" ref="I79:AL80" si="54">+I77*I74/1000</f>
        <v>0.27229999999999999</v>
      </c>
      <c r="J79" s="1316">
        <f t="shared" si="54"/>
        <v>0.27229999999999999</v>
      </c>
      <c r="K79" s="1316">
        <f t="shared" si="54"/>
        <v>0.27229999999999999</v>
      </c>
      <c r="L79" s="1316">
        <f t="shared" si="54"/>
        <v>0.27229999999999999</v>
      </c>
      <c r="M79" s="1316">
        <f t="shared" si="54"/>
        <v>0.27229999999999999</v>
      </c>
      <c r="N79" s="1316">
        <f t="shared" si="54"/>
        <v>0.27229999999999999</v>
      </c>
      <c r="O79" s="1316">
        <f t="shared" si="54"/>
        <v>0.27229999999999999</v>
      </c>
      <c r="P79" s="1316">
        <f t="shared" si="54"/>
        <v>0.27229999999999999</v>
      </c>
      <c r="Q79" s="1316">
        <f t="shared" si="54"/>
        <v>0.27229999999999999</v>
      </c>
      <c r="R79" s="1316">
        <f t="shared" si="54"/>
        <v>0.27229999999999999</v>
      </c>
      <c r="S79" s="1316">
        <f t="shared" si="54"/>
        <v>0.27229999999999999</v>
      </c>
      <c r="T79" s="1316">
        <f t="shared" si="54"/>
        <v>0.27229999999999999</v>
      </c>
      <c r="U79" s="1316">
        <f t="shared" si="54"/>
        <v>0.27229999999999999</v>
      </c>
      <c r="V79" s="1316">
        <f t="shared" si="54"/>
        <v>0.27229999999999999</v>
      </c>
      <c r="W79" s="1316">
        <f t="shared" si="54"/>
        <v>0.27229999999999999</v>
      </c>
      <c r="X79" s="1316">
        <f t="shared" si="54"/>
        <v>0.27229999999999999</v>
      </c>
      <c r="Y79" s="1316">
        <f t="shared" si="54"/>
        <v>0.27229999999999999</v>
      </c>
      <c r="Z79" s="1316">
        <f t="shared" si="54"/>
        <v>0.27229999999999999</v>
      </c>
      <c r="AA79" s="1316">
        <f t="shared" si="54"/>
        <v>0</v>
      </c>
      <c r="AB79" s="1316">
        <f t="shared" si="54"/>
        <v>0</v>
      </c>
      <c r="AC79" s="1316">
        <f t="shared" si="54"/>
        <v>0.27229999999999999</v>
      </c>
      <c r="AD79" s="1316">
        <f t="shared" si="54"/>
        <v>0.27229999999999999</v>
      </c>
      <c r="AE79" s="1316">
        <f t="shared" si="54"/>
        <v>0.27229999999999999</v>
      </c>
      <c r="AF79" s="1316">
        <f t="shared" si="54"/>
        <v>0.27229999999999999</v>
      </c>
      <c r="AG79" s="1316">
        <f t="shared" si="54"/>
        <v>0.27229999999999999</v>
      </c>
      <c r="AH79" s="1316">
        <f t="shared" si="54"/>
        <v>0.27229999999999999</v>
      </c>
      <c r="AI79" s="1316">
        <f t="shared" si="54"/>
        <v>0.27229999999999999</v>
      </c>
      <c r="AJ79" s="1316">
        <f t="shared" si="54"/>
        <v>0.27229999999999999</v>
      </c>
      <c r="AK79" s="1316">
        <f t="shared" si="54"/>
        <v>0.27229999999999999</v>
      </c>
      <c r="AL79" s="1316">
        <f t="shared" si="54"/>
        <v>0</v>
      </c>
      <c r="AM79" s="705"/>
    </row>
    <row r="80" spans="1:39" ht="15.75" thickBot="1" x14ac:dyDescent="0.3">
      <c r="A80" s="202"/>
      <c r="B80" s="1660"/>
      <c r="C80" s="1706"/>
      <c r="D80" s="1708"/>
      <c r="E80" s="1387" t="s">
        <v>347</v>
      </c>
      <c r="F80" s="1321">
        <f t="shared" si="53"/>
        <v>0</v>
      </c>
      <c r="G80" s="1388">
        <f t="shared" ref="G80" si="55">IFERROR((F80-F79)/F79,0)</f>
        <v>-1</v>
      </c>
      <c r="H80" s="1323">
        <f>+H78*H75/1000</f>
        <v>0</v>
      </c>
      <c r="I80" s="1323">
        <f t="shared" si="54"/>
        <v>0</v>
      </c>
      <c r="J80" s="1323">
        <f t="shared" si="54"/>
        <v>0</v>
      </c>
      <c r="K80" s="1323">
        <f t="shared" si="54"/>
        <v>0</v>
      </c>
      <c r="L80" s="1323">
        <f t="shared" si="54"/>
        <v>0</v>
      </c>
      <c r="M80" s="1323">
        <f t="shared" si="54"/>
        <v>0</v>
      </c>
      <c r="N80" s="1323">
        <f t="shared" si="54"/>
        <v>0</v>
      </c>
      <c r="O80" s="1323">
        <f t="shared" si="54"/>
        <v>0</v>
      </c>
      <c r="P80" s="1323">
        <f t="shared" si="54"/>
        <v>0</v>
      </c>
      <c r="Q80" s="1323">
        <f t="shared" si="54"/>
        <v>0</v>
      </c>
      <c r="R80" s="1323">
        <f t="shared" si="54"/>
        <v>0</v>
      </c>
      <c r="S80" s="1323">
        <f t="shared" si="54"/>
        <v>0</v>
      </c>
      <c r="T80" s="1323">
        <f t="shared" si="54"/>
        <v>0</v>
      </c>
      <c r="U80" s="1323">
        <f t="shared" si="54"/>
        <v>0</v>
      </c>
      <c r="V80" s="1323">
        <f t="shared" si="54"/>
        <v>0</v>
      </c>
      <c r="W80" s="1323">
        <f t="shared" si="54"/>
        <v>0</v>
      </c>
      <c r="X80" s="1323">
        <f t="shared" si="54"/>
        <v>0</v>
      </c>
      <c r="Y80" s="1323">
        <f t="shared" si="54"/>
        <v>0</v>
      </c>
      <c r="Z80" s="1323">
        <f t="shared" si="54"/>
        <v>0</v>
      </c>
      <c r="AA80" s="1323">
        <f t="shared" si="54"/>
        <v>0</v>
      </c>
      <c r="AB80" s="1323">
        <f t="shared" si="54"/>
        <v>0</v>
      </c>
      <c r="AC80" s="1323">
        <f t="shared" si="54"/>
        <v>0</v>
      </c>
      <c r="AD80" s="1323">
        <f t="shared" si="54"/>
        <v>0</v>
      </c>
      <c r="AE80" s="1323">
        <f t="shared" si="54"/>
        <v>0</v>
      </c>
      <c r="AF80" s="1323">
        <f t="shared" si="54"/>
        <v>0</v>
      </c>
      <c r="AG80" s="1323">
        <f t="shared" si="54"/>
        <v>0</v>
      </c>
      <c r="AH80" s="1323">
        <f t="shared" si="54"/>
        <v>0</v>
      </c>
      <c r="AI80" s="1323">
        <f t="shared" si="54"/>
        <v>0</v>
      </c>
      <c r="AJ80" s="1323">
        <f t="shared" si="54"/>
        <v>0</v>
      </c>
      <c r="AK80" s="1323">
        <f t="shared" si="54"/>
        <v>0</v>
      </c>
      <c r="AL80" s="1323">
        <f t="shared" si="54"/>
        <v>0</v>
      </c>
      <c r="AM80" s="706"/>
    </row>
    <row r="81" spans="1:39" x14ac:dyDescent="0.25">
      <c r="A81" s="194"/>
      <c r="B81" s="1608"/>
      <c r="C81" s="1704" t="s">
        <v>476</v>
      </c>
      <c r="D81" s="1684" t="s">
        <v>340</v>
      </c>
      <c r="E81" s="195" t="s">
        <v>341</v>
      </c>
      <c r="F81" s="196">
        <f t="shared" si="53"/>
        <v>1960</v>
      </c>
      <c r="G81" s="197"/>
      <c r="H81" s="198">
        <v>70</v>
      </c>
      <c r="I81" s="198">
        <v>70</v>
      </c>
      <c r="J81" s="198">
        <v>70</v>
      </c>
      <c r="K81" s="198">
        <v>70</v>
      </c>
      <c r="L81" s="198">
        <v>70</v>
      </c>
      <c r="M81" s="198">
        <v>70</v>
      </c>
      <c r="N81" s="198">
        <v>70</v>
      </c>
      <c r="O81" s="198">
        <v>70</v>
      </c>
      <c r="P81" s="198">
        <v>70</v>
      </c>
      <c r="Q81" s="198">
        <v>70</v>
      </c>
      <c r="R81" s="198">
        <v>70</v>
      </c>
      <c r="S81" s="198">
        <v>70</v>
      </c>
      <c r="T81" s="198">
        <v>70</v>
      </c>
      <c r="U81" s="198">
        <v>70</v>
      </c>
      <c r="V81" s="198">
        <v>70</v>
      </c>
      <c r="W81" s="198">
        <v>70</v>
      </c>
      <c r="X81" s="198">
        <v>70</v>
      </c>
      <c r="Y81" s="198">
        <v>70</v>
      </c>
      <c r="Z81" s="198">
        <v>70</v>
      </c>
      <c r="AA81" s="198">
        <v>0</v>
      </c>
      <c r="AB81" s="198">
        <v>0</v>
      </c>
      <c r="AC81" s="198">
        <v>70</v>
      </c>
      <c r="AD81" s="198">
        <v>70</v>
      </c>
      <c r="AE81" s="198">
        <v>70</v>
      </c>
      <c r="AF81" s="198">
        <v>70</v>
      </c>
      <c r="AG81" s="198">
        <v>70</v>
      </c>
      <c r="AH81" s="198">
        <v>70</v>
      </c>
      <c r="AI81" s="198">
        <v>70</v>
      </c>
      <c r="AJ81" s="198">
        <v>70</v>
      </c>
      <c r="AK81" s="198">
        <v>70</v>
      </c>
      <c r="AL81" s="198">
        <v>0</v>
      </c>
      <c r="AM81" s="704"/>
    </row>
    <row r="82" spans="1:39" x14ac:dyDescent="0.25">
      <c r="A82" s="202"/>
      <c r="B82" s="1607"/>
      <c r="C82" s="1705"/>
      <c r="D82" s="1688"/>
      <c r="E82" s="1379" t="s">
        <v>342</v>
      </c>
      <c r="F82" s="1303">
        <f t="shared" si="53"/>
        <v>15.6</v>
      </c>
      <c r="G82" s="1380">
        <f t="shared" ref="G82" si="56">IFERROR((F82-F81)/F81,0)</f>
        <v>-0.99204081632653063</v>
      </c>
      <c r="H82" s="1305"/>
      <c r="I82" s="1303">
        <v>15.6</v>
      </c>
      <c r="J82" s="1303"/>
      <c r="K82" s="1303"/>
      <c r="L82" s="1303"/>
      <c r="M82" s="1303"/>
      <c r="N82" s="1303"/>
      <c r="O82" s="1303"/>
      <c r="P82" s="1303"/>
      <c r="Q82" s="1303"/>
      <c r="R82" s="1303"/>
      <c r="S82" s="1303"/>
      <c r="T82" s="1303"/>
      <c r="U82" s="1303"/>
      <c r="V82" s="1303"/>
      <c r="W82" s="1303"/>
      <c r="X82" s="1303"/>
      <c r="Y82" s="1303"/>
      <c r="Z82" s="1303"/>
      <c r="AA82" s="1303"/>
      <c r="AB82" s="1303"/>
      <c r="AC82" s="1303"/>
      <c r="AD82" s="1303"/>
      <c r="AE82" s="1303"/>
      <c r="AF82" s="1303"/>
      <c r="AG82" s="1303"/>
      <c r="AH82" s="1303"/>
      <c r="AI82" s="1303"/>
      <c r="AJ82" s="1303"/>
      <c r="AK82" s="1303"/>
      <c r="AL82" s="1303"/>
      <c r="AM82" s="347"/>
    </row>
    <row r="83" spans="1:39" x14ac:dyDescent="0.25">
      <c r="A83" s="202"/>
      <c r="B83" s="1607"/>
      <c r="C83" s="1705"/>
      <c r="D83" s="1688"/>
      <c r="E83" s="1389" t="s">
        <v>312</v>
      </c>
      <c r="F83" s="1382"/>
      <c r="G83" s="1383"/>
      <c r="H83" s="203"/>
      <c r="I83" s="203"/>
      <c r="J83" s="203"/>
      <c r="K83" s="203"/>
      <c r="L83" s="203"/>
      <c r="M83" s="203"/>
      <c r="N83" s="203"/>
      <c r="O83" s="203"/>
      <c r="P83" s="204"/>
      <c r="Q83" s="203"/>
      <c r="R83" s="203"/>
      <c r="S83" s="203"/>
      <c r="T83" s="203"/>
      <c r="U83" s="203"/>
      <c r="V83" s="203"/>
      <c r="W83" s="203"/>
      <c r="X83" s="203"/>
      <c r="Y83" s="203"/>
      <c r="Z83" s="203"/>
      <c r="AA83" s="203"/>
      <c r="AB83" s="203"/>
      <c r="AC83" s="203"/>
      <c r="AD83" s="203"/>
      <c r="AE83" s="203"/>
      <c r="AF83" s="203"/>
      <c r="AG83" s="203"/>
      <c r="AH83" s="203"/>
      <c r="AI83" s="203"/>
      <c r="AJ83" s="203"/>
      <c r="AK83" s="203"/>
      <c r="AL83" s="205"/>
      <c r="AM83" s="347"/>
    </row>
    <row r="84" spans="1:39" x14ac:dyDescent="0.25">
      <c r="A84" s="202"/>
      <c r="B84" s="1607"/>
      <c r="C84" s="1705"/>
      <c r="D84" s="1685" t="s">
        <v>343</v>
      </c>
      <c r="E84" s="1384" t="s">
        <v>344</v>
      </c>
      <c r="F84" s="1310">
        <f t="shared" ref="F84:F85" si="57">IFERROR(F86*1000/F81,0)</f>
        <v>2.9100000000000019</v>
      </c>
      <c r="G84" s="1385"/>
      <c r="H84" s="1312">
        <v>2.91</v>
      </c>
      <c r="I84" s="1312">
        <v>2.91</v>
      </c>
      <c r="J84" s="1312">
        <v>2.91</v>
      </c>
      <c r="K84" s="1312">
        <v>2.91</v>
      </c>
      <c r="L84" s="1312">
        <v>2.91</v>
      </c>
      <c r="M84" s="1312">
        <v>2.91</v>
      </c>
      <c r="N84" s="1312">
        <v>2.91</v>
      </c>
      <c r="O84" s="1312">
        <v>2.91</v>
      </c>
      <c r="P84" s="1312">
        <v>2.91</v>
      </c>
      <c r="Q84" s="1312">
        <v>2.91</v>
      </c>
      <c r="R84" s="1312">
        <v>2.91</v>
      </c>
      <c r="S84" s="1312">
        <v>2.91</v>
      </c>
      <c r="T84" s="1312">
        <v>2.91</v>
      </c>
      <c r="U84" s="1312">
        <v>2.91</v>
      </c>
      <c r="V84" s="1312">
        <v>2.91</v>
      </c>
      <c r="W84" s="1312">
        <v>2.91</v>
      </c>
      <c r="X84" s="1312">
        <v>2.91</v>
      </c>
      <c r="Y84" s="1312">
        <v>2.91</v>
      </c>
      <c r="Z84" s="1312">
        <v>2.91</v>
      </c>
      <c r="AA84" s="1312">
        <v>0</v>
      </c>
      <c r="AB84" s="1312">
        <v>0</v>
      </c>
      <c r="AC84" s="1312">
        <v>2.91</v>
      </c>
      <c r="AD84" s="1312">
        <v>2.91</v>
      </c>
      <c r="AE84" s="1312">
        <v>2.91</v>
      </c>
      <c r="AF84" s="1312">
        <v>2.91</v>
      </c>
      <c r="AG84" s="1312">
        <v>2.91</v>
      </c>
      <c r="AH84" s="1312">
        <v>2.91</v>
      </c>
      <c r="AI84" s="1312">
        <v>2.91</v>
      </c>
      <c r="AJ84" s="1312">
        <v>2.91</v>
      </c>
      <c r="AK84" s="1312">
        <v>2.91</v>
      </c>
      <c r="AL84" s="1312">
        <v>0</v>
      </c>
      <c r="AM84" s="347"/>
    </row>
    <row r="85" spans="1:39" x14ac:dyDescent="0.25">
      <c r="A85" s="202"/>
      <c r="B85" s="1607"/>
      <c r="C85" s="1705"/>
      <c r="D85" s="1707"/>
      <c r="E85" s="1386" t="s">
        <v>345</v>
      </c>
      <c r="F85" s="1314">
        <f t="shared" si="57"/>
        <v>0</v>
      </c>
      <c r="G85" s="1380">
        <f t="shared" ref="G85" si="58">IFERROR((F85-F84)/F84,0)</f>
        <v>-1</v>
      </c>
      <c r="H85" s="1315"/>
      <c r="I85" s="1314"/>
      <c r="J85" s="1314"/>
      <c r="K85" s="1314"/>
      <c r="L85" s="1314"/>
      <c r="M85" s="1314"/>
      <c r="N85" s="1314"/>
      <c r="O85" s="1314"/>
      <c r="P85" s="1314"/>
      <c r="Q85" s="1314"/>
      <c r="R85" s="1314"/>
      <c r="S85" s="1314"/>
      <c r="T85" s="1314"/>
      <c r="U85" s="1314"/>
      <c r="V85" s="1314"/>
      <c r="W85" s="1314"/>
      <c r="X85" s="1314"/>
      <c r="Y85" s="1314"/>
      <c r="Z85" s="1314"/>
      <c r="AA85" s="1314"/>
      <c r="AB85" s="1314"/>
      <c r="AC85" s="1314"/>
      <c r="AD85" s="1314"/>
      <c r="AE85" s="1314"/>
      <c r="AF85" s="1314"/>
      <c r="AG85" s="1314"/>
      <c r="AH85" s="1314"/>
      <c r="AI85" s="1314"/>
      <c r="AJ85" s="1314"/>
      <c r="AK85" s="1314"/>
      <c r="AL85" s="1314"/>
      <c r="AM85" s="347"/>
    </row>
    <row r="86" spans="1:39" x14ac:dyDescent="0.25">
      <c r="A86" s="202"/>
      <c r="B86" s="1607"/>
      <c r="C86" s="1705"/>
      <c r="D86" s="1685" t="s">
        <v>47</v>
      </c>
      <c r="E86" s="1384" t="s">
        <v>346</v>
      </c>
      <c r="F86" s="206">
        <f t="shared" ref="F86:F89" si="59">SUMIF($H$9:$AL$9,"&lt;="&amp;$C$7,H86:AL86)</f>
        <v>5.7036000000000042</v>
      </c>
      <c r="G86" s="1385"/>
      <c r="H86" s="1316">
        <f>+H84*H81/1000</f>
        <v>0.20370000000000002</v>
      </c>
      <c r="I86" s="1316">
        <f t="shared" ref="I86:AL87" si="60">+I84*I81/1000</f>
        <v>0.20370000000000002</v>
      </c>
      <c r="J86" s="1316">
        <f t="shared" si="60"/>
        <v>0.20370000000000002</v>
      </c>
      <c r="K86" s="1316">
        <f t="shared" si="60"/>
        <v>0.20370000000000002</v>
      </c>
      <c r="L86" s="1316">
        <f t="shared" si="60"/>
        <v>0.20370000000000002</v>
      </c>
      <c r="M86" s="1316">
        <f t="shared" si="60"/>
        <v>0.20370000000000002</v>
      </c>
      <c r="N86" s="1316">
        <f t="shared" si="60"/>
        <v>0.20370000000000002</v>
      </c>
      <c r="O86" s="1316">
        <f t="shared" si="60"/>
        <v>0.20370000000000002</v>
      </c>
      <c r="P86" s="1316">
        <f t="shared" si="60"/>
        <v>0.20370000000000002</v>
      </c>
      <c r="Q86" s="1316">
        <f t="shared" si="60"/>
        <v>0.20370000000000002</v>
      </c>
      <c r="R86" s="1316">
        <f t="shared" si="60"/>
        <v>0.20370000000000002</v>
      </c>
      <c r="S86" s="1316">
        <f t="shared" si="60"/>
        <v>0.20370000000000002</v>
      </c>
      <c r="T86" s="1316">
        <f t="shared" si="60"/>
        <v>0.20370000000000002</v>
      </c>
      <c r="U86" s="1316">
        <f t="shared" si="60"/>
        <v>0.20370000000000002</v>
      </c>
      <c r="V86" s="1316">
        <f t="shared" si="60"/>
        <v>0.20370000000000002</v>
      </c>
      <c r="W86" s="1316">
        <f t="shared" si="60"/>
        <v>0.20370000000000002</v>
      </c>
      <c r="X86" s="1316">
        <f t="shared" si="60"/>
        <v>0.20370000000000002</v>
      </c>
      <c r="Y86" s="1316">
        <f t="shared" si="60"/>
        <v>0.20370000000000002</v>
      </c>
      <c r="Z86" s="1316">
        <f t="shared" si="60"/>
        <v>0.20370000000000002</v>
      </c>
      <c r="AA86" s="1316">
        <f t="shared" si="60"/>
        <v>0</v>
      </c>
      <c r="AB86" s="1316">
        <f t="shared" si="60"/>
        <v>0</v>
      </c>
      <c r="AC86" s="1316">
        <f t="shared" si="60"/>
        <v>0.20370000000000002</v>
      </c>
      <c r="AD86" s="1316">
        <f t="shared" si="60"/>
        <v>0.20370000000000002</v>
      </c>
      <c r="AE86" s="1316">
        <f t="shared" si="60"/>
        <v>0.20370000000000002</v>
      </c>
      <c r="AF86" s="1316">
        <f t="shared" si="60"/>
        <v>0.20370000000000002</v>
      </c>
      <c r="AG86" s="1316">
        <f t="shared" si="60"/>
        <v>0.20370000000000002</v>
      </c>
      <c r="AH86" s="1316">
        <f t="shared" si="60"/>
        <v>0.20370000000000002</v>
      </c>
      <c r="AI86" s="1316">
        <f t="shared" si="60"/>
        <v>0.20370000000000002</v>
      </c>
      <c r="AJ86" s="1316">
        <f t="shared" si="60"/>
        <v>0.20370000000000002</v>
      </c>
      <c r="AK86" s="1316">
        <f t="shared" si="60"/>
        <v>0.20370000000000002</v>
      </c>
      <c r="AL86" s="1316">
        <f t="shared" si="60"/>
        <v>0</v>
      </c>
      <c r="AM86" s="705"/>
    </row>
    <row r="87" spans="1:39" ht="15.75" thickBot="1" x14ac:dyDescent="0.3">
      <c r="A87" s="202"/>
      <c r="B87" s="1660"/>
      <c r="C87" s="1706"/>
      <c r="D87" s="1708"/>
      <c r="E87" s="1387" t="s">
        <v>347</v>
      </c>
      <c r="F87" s="1321">
        <f t="shared" si="59"/>
        <v>0</v>
      </c>
      <c r="G87" s="1388">
        <f t="shared" ref="G87" si="61">IFERROR((F87-F86)/F86,0)</f>
        <v>-1</v>
      </c>
      <c r="H87" s="1323">
        <f>+H85*H82/1000</f>
        <v>0</v>
      </c>
      <c r="I87" s="1323">
        <f t="shared" si="60"/>
        <v>0</v>
      </c>
      <c r="J87" s="1323">
        <f t="shared" si="60"/>
        <v>0</v>
      </c>
      <c r="K87" s="1323">
        <f t="shared" si="60"/>
        <v>0</v>
      </c>
      <c r="L87" s="1323">
        <f t="shared" si="60"/>
        <v>0</v>
      </c>
      <c r="M87" s="1323">
        <f t="shared" si="60"/>
        <v>0</v>
      </c>
      <c r="N87" s="1323">
        <f t="shared" si="60"/>
        <v>0</v>
      </c>
      <c r="O87" s="1323">
        <f t="shared" si="60"/>
        <v>0</v>
      </c>
      <c r="P87" s="1323">
        <f t="shared" si="60"/>
        <v>0</v>
      </c>
      <c r="Q87" s="1323">
        <f t="shared" si="60"/>
        <v>0</v>
      </c>
      <c r="R87" s="1323">
        <f t="shared" si="60"/>
        <v>0</v>
      </c>
      <c r="S87" s="1323">
        <f t="shared" si="60"/>
        <v>0</v>
      </c>
      <c r="T87" s="1323">
        <f t="shared" si="60"/>
        <v>0</v>
      </c>
      <c r="U87" s="1323">
        <f t="shared" si="60"/>
        <v>0</v>
      </c>
      <c r="V87" s="1323">
        <f t="shared" si="60"/>
        <v>0</v>
      </c>
      <c r="W87" s="1323">
        <f t="shared" si="60"/>
        <v>0</v>
      </c>
      <c r="X87" s="1323">
        <f t="shared" si="60"/>
        <v>0</v>
      </c>
      <c r="Y87" s="1323">
        <f t="shared" si="60"/>
        <v>0</v>
      </c>
      <c r="Z87" s="1323">
        <f t="shared" si="60"/>
        <v>0</v>
      </c>
      <c r="AA87" s="1323">
        <f t="shared" si="60"/>
        <v>0</v>
      </c>
      <c r="AB87" s="1323">
        <f t="shared" si="60"/>
        <v>0</v>
      </c>
      <c r="AC87" s="1323">
        <f t="shared" si="60"/>
        <v>0</v>
      </c>
      <c r="AD87" s="1323">
        <f t="shared" si="60"/>
        <v>0</v>
      </c>
      <c r="AE87" s="1323">
        <f t="shared" si="60"/>
        <v>0</v>
      </c>
      <c r="AF87" s="1323">
        <f t="shared" si="60"/>
        <v>0</v>
      </c>
      <c r="AG87" s="1323">
        <f t="shared" si="60"/>
        <v>0</v>
      </c>
      <c r="AH87" s="1323">
        <f t="shared" si="60"/>
        <v>0</v>
      </c>
      <c r="AI87" s="1323">
        <f t="shared" si="60"/>
        <v>0</v>
      </c>
      <c r="AJ87" s="1323">
        <f t="shared" si="60"/>
        <v>0</v>
      </c>
      <c r="AK87" s="1323">
        <f t="shared" si="60"/>
        <v>0</v>
      </c>
      <c r="AL87" s="1323">
        <f t="shared" si="60"/>
        <v>0</v>
      </c>
      <c r="AM87" s="706"/>
    </row>
    <row r="88" spans="1:39" x14ac:dyDescent="0.25">
      <c r="A88" s="194"/>
      <c r="B88" s="1608"/>
      <c r="C88" s="1704" t="s">
        <v>477</v>
      </c>
      <c r="D88" s="1684" t="s">
        <v>340</v>
      </c>
      <c r="E88" s="195" t="s">
        <v>341</v>
      </c>
      <c r="F88" s="196">
        <f t="shared" si="59"/>
        <v>1960</v>
      </c>
      <c r="G88" s="197"/>
      <c r="H88" s="198">
        <v>70</v>
      </c>
      <c r="I88" s="198">
        <v>70</v>
      </c>
      <c r="J88" s="198">
        <v>70</v>
      </c>
      <c r="K88" s="198">
        <v>70</v>
      </c>
      <c r="L88" s="198">
        <v>70</v>
      </c>
      <c r="M88" s="198">
        <v>70</v>
      </c>
      <c r="N88" s="198">
        <v>70</v>
      </c>
      <c r="O88" s="198">
        <v>70</v>
      </c>
      <c r="P88" s="198">
        <v>70</v>
      </c>
      <c r="Q88" s="198">
        <v>70</v>
      </c>
      <c r="R88" s="198">
        <v>70</v>
      </c>
      <c r="S88" s="198">
        <v>70</v>
      </c>
      <c r="T88" s="198">
        <v>70</v>
      </c>
      <c r="U88" s="198">
        <v>70</v>
      </c>
      <c r="V88" s="198">
        <v>70</v>
      </c>
      <c r="W88" s="198">
        <v>70</v>
      </c>
      <c r="X88" s="198">
        <v>70</v>
      </c>
      <c r="Y88" s="198">
        <v>70</v>
      </c>
      <c r="Z88" s="198">
        <v>70</v>
      </c>
      <c r="AA88" s="198">
        <v>0</v>
      </c>
      <c r="AB88" s="198">
        <v>0</v>
      </c>
      <c r="AC88" s="198">
        <v>70</v>
      </c>
      <c r="AD88" s="198">
        <v>70</v>
      </c>
      <c r="AE88" s="198">
        <v>70</v>
      </c>
      <c r="AF88" s="198">
        <v>70</v>
      </c>
      <c r="AG88" s="198">
        <v>70</v>
      </c>
      <c r="AH88" s="198">
        <v>70</v>
      </c>
      <c r="AI88" s="198">
        <v>70</v>
      </c>
      <c r="AJ88" s="198">
        <v>70</v>
      </c>
      <c r="AK88" s="198">
        <v>70</v>
      </c>
      <c r="AL88" s="198">
        <v>0</v>
      </c>
      <c r="AM88" s="704"/>
    </row>
    <row r="89" spans="1:39" x14ac:dyDescent="0.25">
      <c r="A89" s="202"/>
      <c r="B89" s="1607"/>
      <c r="C89" s="1705"/>
      <c r="D89" s="1688"/>
      <c r="E89" s="1379" t="s">
        <v>342</v>
      </c>
      <c r="F89" s="1303">
        <f t="shared" si="59"/>
        <v>0</v>
      </c>
      <c r="G89" s="1380">
        <f t="shared" ref="G89" si="62">IFERROR((F89-F88)/F88,0)</f>
        <v>-1</v>
      </c>
      <c r="H89" s="1305"/>
      <c r="I89" s="1303"/>
      <c r="J89" s="1303"/>
      <c r="K89" s="1303"/>
      <c r="L89" s="1303"/>
      <c r="M89" s="1303"/>
      <c r="N89" s="1303"/>
      <c r="O89" s="1303"/>
      <c r="P89" s="1303"/>
      <c r="Q89" s="1303"/>
      <c r="R89" s="1303"/>
      <c r="S89" s="1303"/>
      <c r="T89" s="1303"/>
      <c r="U89" s="1303"/>
      <c r="V89" s="1303"/>
      <c r="W89" s="1303"/>
      <c r="X89" s="1303"/>
      <c r="Y89" s="1303"/>
      <c r="Z89" s="1303"/>
      <c r="AA89" s="1303"/>
      <c r="AB89" s="1303"/>
      <c r="AC89" s="1303"/>
      <c r="AD89" s="1303"/>
      <c r="AE89" s="1303"/>
      <c r="AF89" s="1303"/>
      <c r="AG89" s="1303"/>
      <c r="AH89" s="1303"/>
      <c r="AI89" s="1303"/>
      <c r="AJ89" s="1303"/>
      <c r="AK89" s="1303"/>
      <c r="AL89" s="1303"/>
      <c r="AM89" s="347"/>
    </row>
    <row r="90" spans="1:39" x14ac:dyDescent="0.25">
      <c r="A90" s="202"/>
      <c r="B90" s="1607"/>
      <c r="C90" s="1705"/>
      <c r="D90" s="1688"/>
      <c r="E90" s="1389" t="s">
        <v>312</v>
      </c>
      <c r="F90" s="1382"/>
      <c r="G90" s="1383"/>
      <c r="H90" s="203"/>
      <c r="I90" s="203"/>
      <c r="J90" s="203"/>
      <c r="K90" s="203"/>
      <c r="L90" s="203"/>
      <c r="M90" s="203"/>
      <c r="N90" s="203"/>
      <c r="O90" s="203"/>
      <c r="P90" s="204"/>
      <c r="Q90" s="203"/>
      <c r="R90" s="203"/>
      <c r="S90" s="203"/>
      <c r="T90" s="203"/>
      <c r="U90" s="203"/>
      <c r="V90" s="203"/>
      <c r="W90" s="203"/>
      <c r="X90" s="203"/>
      <c r="Y90" s="203"/>
      <c r="Z90" s="203"/>
      <c r="AA90" s="203"/>
      <c r="AB90" s="203"/>
      <c r="AC90" s="203"/>
      <c r="AD90" s="203"/>
      <c r="AE90" s="203"/>
      <c r="AF90" s="203"/>
      <c r="AG90" s="203"/>
      <c r="AH90" s="203"/>
      <c r="AI90" s="203"/>
      <c r="AJ90" s="203"/>
      <c r="AK90" s="203"/>
      <c r="AL90" s="205"/>
      <c r="AM90" s="347"/>
    </row>
    <row r="91" spans="1:39" x14ac:dyDescent="0.25">
      <c r="A91" s="202"/>
      <c r="B91" s="1607"/>
      <c r="C91" s="1705"/>
      <c r="D91" s="1685" t="s">
        <v>343</v>
      </c>
      <c r="E91" s="1384" t="s">
        <v>344</v>
      </c>
      <c r="F91" s="1310">
        <f t="shared" ref="F91:F92" si="63">IFERROR(F93*1000/F88,0)</f>
        <v>2.8400000000000003</v>
      </c>
      <c r="G91" s="1385"/>
      <c r="H91" s="1312">
        <v>2.84</v>
      </c>
      <c r="I91" s="1312">
        <v>2.84</v>
      </c>
      <c r="J91" s="1312">
        <v>2.84</v>
      </c>
      <c r="K91" s="1333">
        <v>2.84</v>
      </c>
      <c r="L91" s="1333">
        <v>2.84</v>
      </c>
      <c r="M91" s="1333">
        <v>2.84</v>
      </c>
      <c r="N91" s="1333">
        <v>2.84</v>
      </c>
      <c r="O91" s="1333">
        <v>2.84</v>
      </c>
      <c r="P91" s="1334">
        <v>2.84</v>
      </c>
      <c r="Q91" s="1333">
        <v>2.84</v>
      </c>
      <c r="R91" s="1333">
        <v>2.84</v>
      </c>
      <c r="S91" s="1333">
        <v>2.84</v>
      </c>
      <c r="T91" s="1333">
        <v>2.84</v>
      </c>
      <c r="U91" s="1333">
        <v>2.84</v>
      </c>
      <c r="V91" s="1333">
        <v>2.84</v>
      </c>
      <c r="W91" s="1333">
        <v>2.84</v>
      </c>
      <c r="X91" s="1333">
        <v>2.84</v>
      </c>
      <c r="Y91" s="1333">
        <v>2.84</v>
      </c>
      <c r="Z91" s="1333">
        <v>2.84</v>
      </c>
      <c r="AA91" s="1333">
        <v>0</v>
      </c>
      <c r="AB91" s="1333">
        <v>0</v>
      </c>
      <c r="AC91" s="1333">
        <v>2.84</v>
      </c>
      <c r="AD91" s="1333">
        <v>2.84</v>
      </c>
      <c r="AE91" s="1333">
        <v>2.84</v>
      </c>
      <c r="AF91" s="1333">
        <v>2.84</v>
      </c>
      <c r="AG91" s="1333">
        <v>2.84</v>
      </c>
      <c r="AH91" s="1333">
        <v>2.84</v>
      </c>
      <c r="AI91" s="1333">
        <v>2.84</v>
      </c>
      <c r="AJ91" s="1333">
        <v>2.84</v>
      </c>
      <c r="AK91" s="1333">
        <v>2.84</v>
      </c>
      <c r="AL91" s="1335">
        <v>0</v>
      </c>
      <c r="AM91" s="347"/>
    </row>
    <row r="92" spans="1:39" x14ac:dyDescent="0.25">
      <c r="A92" s="202"/>
      <c r="B92" s="1607"/>
      <c r="C92" s="1705"/>
      <c r="D92" s="1707"/>
      <c r="E92" s="1386" t="s">
        <v>345</v>
      </c>
      <c r="F92" s="1314">
        <f t="shared" si="63"/>
        <v>0</v>
      </c>
      <c r="G92" s="1380">
        <f t="shared" ref="G92" si="64">IFERROR((F92-F91)/F91,0)</f>
        <v>-1</v>
      </c>
      <c r="H92" s="1315"/>
      <c r="I92" s="1314"/>
      <c r="J92" s="1314"/>
      <c r="K92" s="1314"/>
      <c r="L92" s="1314"/>
      <c r="M92" s="1314"/>
      <c r="N92" s="1314"/>
      <c r="O92" s="1314"/>
      <c r="P92" s="1314"/>
      <c r="Q92" s="1314"/>
      <c r="R92" s="1314"/>
      <c r="S92" s="1314"/>
      <c r="T92" s="1314"/>
      <c r="U92" s="1314"/>
      <c r="V92" s="1314"/>
      <c r="W92" s="1314"/>
      <c r="X92" s="1314"/>
      <c r="Y92" s="1314"/>
      <c r="Z92" s="1314"/>
      <c r="AA92" s="1314"/>
      <c r="AB92" s="1314"/>
      <c r="AC92" s="1314"/>
      <c r="AD92" s="1314"/>
      <c r="AE92" s="1314"/>
      <c r="AF92" s="1314"/>
      <c r="AG92" s="1314"/>
      <c r="AH92" s="1314"/>
      <c r="AI92" s="1314"/>
      <c r="AJ92" s="1314"/>
      <c r="AK92" s="1314"/>
      <c r="AL92" s="1314"/>
      <c r="AM92" s="347"/>
    </row>
    <row r="93" spans="1:39" x14ac:dyDescent="0.25">
      <c r="A93" s="202"/>
      <c r="B93" s="1607"/>
      <c r="C93" s="1705"/>
      <c r="D93" s="1685" t="s">
        <v>47</v>
      </c>
      <c r="E93" s="1384" t="s">
        <v>346</v>
      </c>
      <c r="F93" s="206">
        <f t="shared" ref="F93:F96" si="65">SUMIF($H$9:$AL$9,"&lt;="&amp;$C$7,H93:AL93)</f>
        <v>5.5664000000000007</v>
      </c>
      <c r="G93" s="1385"/>
      <c r="H93" s="1316">
        <f>+H91*H88/1000</f>
        <v>0.19879999999999998</v>
      </c>
      <c r="I93" s="1316">
        <f t="shared" ref="I93:AL94" si="66">+I91*I88/1000</f>
        <v>0.19879999999999998</v>
      </c>
      <c r="J93" s="1316">
        <f t="shared" si="66"/>
        <v>0.19879999999999998</v>
      </c>
      <c r="K93" s="1316">
        <f t="shared" si="66"/>
        <v>0.19879999999999998</v>
      </c>
      <c r="L93" s="1316">
        <f t="shared" si="66"/>
        <v>0.19879999999999998</v>
      </c>
      <c r="M93" s="1316">
        <f t="shared" si="66"/>
        <v>0.19879999999999998</v>
      </c>
      <c r="N93" s="1316">
        <f t="shared" si="66"/>
        <v>0.19879999999999998</v>
      </c>
      <c r="O93" s="1316">
        <f t="shared" si="66"/>
        <v>0.19879999999999998</v>
      </c>
      <c r="P93" s="1316">
        <f t="shared" si="66"/>
        <v>0.19879999999999998</v>
      </c>
      <c r="Q93" s="1316">
        <f t="shared" si="66"/>
        <v>0.19879999999999998</v>
      </c>
      <c r="R93" s="1316">
        <f t="shared" si="66"/>
        <v>0.19879999999999998</v>
      </c>
      <c r="S93" s="1316">
        <f t="shared" si="66"/>
        <v>0.19879999999999998</v>
      </c>
      <c r="T93" s="1316">
        <f t="shared" si="66"/>
        <v>0.19879999999999998</v>
      </c>
      <c r="U93" s="1316">
        <f t="shared" si="66"/>
        <v>0.19879999999999998</v>
      </c>
      <c r="V93" s="1316">
        <f t="shared" si="66"/>
        <v>0.19879999999999998</v>
      </c>
      <c r="W93" s="1316">
        <f t="shared" si="66"/>
        <v>0.19879999999999998</v>
      </c>
      <c r="X93" s="1316">
        <f t="shared" si="66"/>
        <v>0.19879999999999998</v>
      </c>
      <c r="Y93" s="1316">
        <f t="shared" si="66"/>
        <v>0.19879999999999998</v>
      </c>
      <c r="Z93" s="1316">
        <f t="shared" si="66"/>
        <v>0.19879999999999998</v>
      </c>
      <c r="AA93" s="1316">
        <f t="shared" si="66"/>
        <v>0</v>
      </c>
      <c r="AB93" s="1316">
        <f t="shared" si="66"/>
        <v>0</v>
      </c>
      <c r="AC93" s="1316">
        <f t="shared" si="66"/>
        <v>0.19879999999999998</v>
      </c>
      <c r="AD93" s="1316">
        <f t="shared" si="66"/>
        <v>0.19879999999999998</v>
      </c>
      <c r="AE93" s="1316">
        <f t="shared" si="66"/>
        <v>0.19879999999999998</v>
      </c>
      <c r="AF93" s="1316">
        <f t="shared" si="66"/>
        <v>0.19879999999999998</v>
      </c>
      <c r="AG93" s="1316">
        <f t="shared" si="66"/>
        <v>0.19879999999999998</v>
      </c>
      <c r="AH93" s="1316">
        <f t="shared" si="66"/>
        <v>0.19879999999999998</v>
      </c>
      <c r="AI93" s="1316">
        <f t="shared" si="66"/>
        <v>0.19879999999999998</v>
      </c>
      <c r="AJ93" s="1316">
        <f t="shared" si="66"/>
        <v>0.19879999999999998</v>
      </c>
      <c r="AK93" s="1316">
        <f t="shared" si="66"/>
        <v>0.19879999999999998</v>
      </c>
      <c r="AL93" s="1316">
        <f t="shared" si="66"/>
        <v>0</v>
      </c>
      <c r="AM93" s="705"/>
    </row>
    <row r="94" spans="1:39" ht="15.75" thickBot="1" x14ac:dyDescent="0.3">
      <c r="A94" s="202"/>
      <c r="B94" s="1660"/>
      <c r="C94" s="1706"/>
      <c r="D94" s="1708"/>
      <c r="E94" s="1387" t="s">
        <v>347</v>
      </c>
      <c r="F94" s="1321">
        <f t="shared" si="65"/>
        <v>0</v>
      </c>
      <c r="G94" s="1388">
        <f t="shared" ref="G94" si="67">IFERROR((F94-F93)/F93,0)</f>
        <v>-1</v>
      </c>
      <c r="H94" s="1323">
        <f>+H92*H89/1000</f>
        <v>0</v>
      </c>
      <c r="I94" s="1323">
        <f t="shared" si="66"/>
        <v>0</v>
      </c>
      <c r="J94" s="1323">
        <f t="shared" si="66"/>
        <v>0</v>
      </c>
      <c r="K94" s="1323">
        <f t="shared" si="66"/>
        <v>0</v>
      </c>
      <c r="L94" s="1323">
        <f t="shared" si="66"/>
        <v>0</v>
      </c>
      <c r="M94" s="1323">
        <f t="shared" si="66"/>
        <v>0</v>
      </c>
      <c r="N94" s="1323">
        <f t="shared" si="66"/>
        <v>0</v>
      </c>
      <c r="O94" s="1323">
        <f t="shared" si="66"/>
        <v>0</v>
      </c>
      <c r="P94" s="1323">
        <f t="shared" si="66"/>
        <v>0</v>
      </c>
      <c r="Q94" s="1323">
        <f t="shared" si="66"/>
        <v>0</v>
      </c>
      <c r="R94" s="1323">
        <f t="shared" si="66"/>
        <v>0</v>
      </c>
      <c r="S94" s="1323">
        <f t="shared" si="66"/>
        <v>0</v>
      </c>
      <c r="T94" s="1323">
        <f t="shared" si="66"/>
        <v>0</v>
      </c>
      <c r="U94" s="1323">
        <f t="shared" si="66"/>
        <v>0</v>
      </c>
      <c r="V94" s="1323">
        <f t="shared" si="66"/>
        <v>0</v>
      </c>
      <c r="W94" s="1323">
        <f t="shared" si="66"/>
        <v>0</v>
      </c>
      <c r="X94" s="1323">
        <f t="shared" si="66"/>
        <v>0</v>
      </c>
      <c r="Y94" s="1323">
        <f t="shared" si="66"/>
        <v>0</v>
      </c>
      <c r="Z94" s="1323">
        <f t="shared" si="66"/>
        <v>0</v>
      </c>
      <c r="AA94" s="1323">
        <f t="shared" si="66"/>
        <v>0</v>
      </c>
      <c r="AB94" s="1323">
        <f t="shared" si="66"/>
        <v>0</v>
      </c>
      <c r="AC94" s="1323">
        <f t="shared" si="66"/>
        <v>0</v>
      </c>
      <c r="AD94" s="1323">
        <f t="shared" si="66"/>
        <v>0</v>
      </c>
      <c r="AE94" s="1323">
        <f t="shared" si="66"/>
        <v>0</v>
      </c>
      <c r="AF94" s="1323">
        <f t="shared" si="66"/>
        <v>0</v>
      </c>
      <c r="AG94" s="1323">
        <f t="shared" si="66"/>
        <v>0</v>
      </c>
      <c r="AH94" s="1323">
        <f t="shared" si="66"/>
        <v>0</v>
      </c>
      <c r="AI94" s="1323">
        <f t="shared" si="66"/>
        <v>0</v>
      </c>
      <c r="AJ94" s="1323">
        <f t="shared" si="66"/>
        <v>0</v>
      </c>
      <c r="AK94" s="1323">
        <f t="shared" si="66"/>
        <v>0</v>
      </c>
      <c r="AL94" s="1323">
        <f t="shared" si="66"/>
        <v>0</v>
      </c>
      <c r="AM94" s="706"/>
    </row>
    <row r="95" spans="1:39" x14ac:dyDescent="0.25">
      <c r="A95" s="194"/>
      <c r="B95" s="1608"/>
      <c r="C95" s="1704" t="s">
        <v>478</v>
      </c>
      <c r="D95" s="1684" t="s">
        <v>340</v>
      </c>
      <c r="E95" s="195" t="s">
        <v>341</v>
      </c>
      <c r="F95" s="196">
        <f t="shared" si="65"/>
        <v>3920</v>
      </c>
      <c r="G95" s="197"/>
      <c r="H95" s="198">
        <v>140</v>
      </c>
      <c r="I95" s="198">
        <v>140</v>
      </c>
      <c r="J95" s="198">
        <v>140</v>
      </c>
      <c r="K95" s="199">
        <v>140</v>
      </c>
      <c r="L95" s="199">
        <v>140</v>
      </c>
      <c r="M95" s="199">
        <v>140</v>
      </c>
      <c r="N95" s="199">
        <v>140</v>
      </c>
      <c r="O95" s="199">
        <v>140</v>
      </c>
      <c r="P95" s="200">
        <v>140</v>
      </c>
      <c r="Q95" s="199">
        <v>140</v>
      </c>
      <c r="R95" s="199">
        <v>140</v>
      </c>
      <c r="S95" s="199">
        <v>140</v>
      </c>
      <c r="T95" s="199">
        <v>140</v>
      </c>
      <c r="U95" s="199">
        <v>140</v>
      </c>
      <c r="V95" s="199">
        <v>140</v>
      </c>
      <c r="W95" s="199">
        <v>140</v>
      </c>
      <c r="X95" s="199">
        <v>140</v>
      </c>
      <c r="Y95" s="199">
        <v>140</v>
      </c>
      <c r="Z95" s="199">
        <v>140</v>
      </c>
      <c r="AA95" s="199">
        <v>0</v>
      </c>
      <c r="AB95" s="199">
        <v>0</v>
      </c>
      <c r="AC95" s="199">
        <v>140</v>
      </c>
      <c r="AD95" s="199">
        <v>140</v>
      </c>
      <c r="AE95" s="199">
        <v>140</v>
      </c>
      <c r="AF95" s="199">
        <v>140</v>
      </c>
      <c r="AG95" s="199">
        <v>140</v>
      </c>
      <c r="AH95" s="199">
        <v>140</v>
      </c>
      <c r="AI95" s="199">
        <v>140</v>
      </c>
      <c r="AJ95" s="199">
        <v>140</v>
      </c>
      <c r="AK95" s="199">
        <v>140</v>
      </c>
      <c r="AL95" s="201">
        <v>0</v>
      </c>
      <c r="AM95" s="704"/>
    </row>
    <row r="96" spans="1:39" x14ac:dyDescent="0.25">
      <c r="A96" s="202"/>
      <c r="B96" s="1607"/>
      <c r="C96" s="1705"/>
      <c r="D96" s="1688"/>
      <c r="E96" s="1379" t="s">
        <v>342</v>
      </c>
      <c r="F96" s="1303">
        <f t="shared" si="65"/>
        <v>192.6</v>
      </c>
      <c r="G96" s="1380">
        <f t="shared" ref="G96" si="68">IFERROR((F96-F95)/F95,0)</f>
        <v>-0.9508673469387755</v>
      </c>
      <c r="H96" s="1305">
        <v>45</v>
      </c>
      <c r="I96" s="1303">
        <f>133.2+14.4</f>
        <v>147.6</v>
      </c>
      <c r="J96" s="1303"/>
      <c r="K96" s="1303"/>
      <c r="L96" s="1303"/>
      <c r="M96" s="1303"/>
      <c r="N96" s="1303"/>
      <c r="O96" s="1303"/>
      <c r="P96" s="1303"/>
      <c r="Q96" s="1303"/>
      <c r="R96" s="1303"/>
      <c r="S96" s="1303"/>
      <c r="T96" s="1303"/>
      <c r="U96" s="707"/>
      <c r="V96" s="1303"/>
      <c r="W96" s="1303"/>
      <c r="X96" s="1303"/>
      <c r="Y96" s="1303"/>
      <c r="Z96" s="1303"/>
      <c r="AA96" s="1303"/>
      <c r="AB96" s="1303"/>
      <c r="AC96" s="1303"/>
      <c r="AD96" s="1303"/>
      <c r="AE96" s="1303"/>
      <c r="AF96" s="1303"/>
      <c r="AG96" s="1303"/>
      <c r="AH96" s="1303"/>
      <c r="AI96" s="1303"/>
      <c r="AJ96" s="1303"/>
      <c r="AK96" s="1303"/>
      <c r="AL96" s="1303"/>
      <c r="AM96" s="347"/>
    </row>
    <row r="97" spans="1:39" x14ac:dyDescent="0.25">
      <c r="A97" s="202"/>
      <c r="B97" s="1607"/>
      <c r="C97" s="1705"/>
      <c r="D97" s="1688"/>
      <c r="E97" s="1389" t="s">
        <v>312</v>
      </c>
      <c r="F97" s="1382"/>
      <c r="G97" s="1383"/>
      <c r="H97" s="203"/>
      <c r="I97" s="203"/>
      <c r="J97" s="203"/>
      <c r="K97" s="203"/>
      <c r="L97" s="203"/>
      <c r="M97" s="203"/>
      <c r="N97" s="203"/>
      <c r="O97" s="203"/>
      <c r="P97" s="204"/>
      <c r="Q97" s="203"/>
      <c r="R97" s="203"/>
      <c r="S97" s="203"/>
      <c r="T97" s="203"/>
      <c r="U97" s="203"/>
      <c r="V97" s="203"/>
      <c r="W97" s="203"/>
      <c r="X97" s="203"/>
      <c r="Y97" s="203"/>
      <c r="Z97" s="203"/>
      <c r="AA97" s="203"/>
      <c r="AB97" s="203"/>
      <c r="AC97" s="203"/>
      <c r="AD97" s="203"/>
      <c r="AE97" s="203"/>
      <c r="AF97" s="203"/>
      <c r="AG97" s="203"/>
      <c r="AH97" s="203"/>
      <c r="AI97" s="203"/>
      <c r="AJ97" s="203"/>
      <c r="AK97" s="203"/>
      <c r="AL97" s="205"/>
      <c r="AM97" s="347"/>
    </row>
    <row r="98" spans="1:39" x14ac:dyDescent="0.25">
      <c r="A98" s="202"/>
      <c r="B98" s="1607"/>
      <c r="C98" s="1705"/>
      <c r="D98" s="1685" t="s">
        <v>343</v>
      </c>
      <c r="E98" s="1384" t="s">
        <v>344</v>
      </c>
      <c r="F98" s="1310">
        <f t="shared" ref="F98:F99" si="69">IFERROR(F100*1000/F95,0)</f>
        <v>2.5299999999999998</v>
      </c>
      <c r="G98" s="1385"/>
      <c r="H98" s="1312">
        <v>2.5299999999999998</v>
      </c>
      <c r="I98" s="1312">
        <v>2.5299999999999998</v>
      </c>
      <c r="J98" s="1312">
        <v>2.5299999999999998</v>
      </c>
      <c r="K98" s="1333">
        <v>2.5299999999999998</v>
      </c>
      <c r="L98" s="1333">
        <v>2.5299999999999998</v>
      </c>
      <c r="M98" s="1333">
        <v>2.5299999999999998</v>
      </c>
      <c r="N98" s="1333">
        <v>2.5299999999999998</v>
      </c>
      <c r="O98" s="1333">
        <v>2.5299999999999998</v>
      </c>
      <c r="P98" s="1334">
        <v>2.5299999999999998</v>
      </c>
      <c r="Q98" s="1333">
        <v>2.5299999999999998</v>
      </c>
      <c r="R98" s="1333">
        <v>2.5299999999999998</v>
      </c>
      <c r="S98" s="1333">
        <v>2.5299999999999998</v>
      </c>
      <c r="T98" s="1333">
        <v>2.5299999999999998</v>
      </c>
      <c r="U98" s="1333">
        <v>2.5299999999999998</v>
      </c>
      <c r="V98" s="1333">
        <v>2.5299999999999998</v>
      </c>
      <c r="W98" s="1333">
        <v>2.5299999999999998</v>
      </c>
      <c r="X98" s="1333">
        <v>2.5299999999999998</v>
      </c>
      <c r="Y98" s="1333">
        <v>2.5299999999999998</v>
      </c>
      <c r="Z98" s="1333">
        <v>2.5299999999999998</v>
      </c>
      <c r="AA98" s="1333">
        <v>0</v>
      </c>
      <c r="AB98" s="1333">
        <v>0</v>
      </c>
      <c r="AC98" s="1333">
        <v>2.5299999999999998</v>
      </c>
      <c r="AD98" s="1333">
        <v>2.5299999999999998</v>
      </c>
      <c r="AE98" s="1333">
        <v>2.5299999999999998</v>
      </c>
      <c r="AF98" s="1333">
        <v>2.5299999999999998</v>
      </c>
      <c r="AG98" s="1333">
        <v>2.5299999999999998</v>
      </c>
      <c r="AH98" s="1333">
        <v>2.5299999999999998</v>
      </c>
      <c r="AI98" s="1333">
        <v>2.5299999999999998</v>
      </c>
      <c r="AJ98" s="1333">
        <v>2.5299999999999998</v>
      </c>
      <c r="AK98" s="1333">
        <v>2.5299999999999998</v>
      </c>
      <c r="AL98" s="1335">
        <v>0</v>
      </c>
      <c r="AM98" s="347"/>
    </row>
    <row r="99" spans="1:39" x14ac:dyDescent="0.25">
      <c r="A99" s="202"/>
      <c r="B99" s="1607"/>
      <c r="C99" s="1705"/>
      <c r="D99" s="1707"/>
      <c r="E99" s="1386" t="s">
        <v>345</v>
      </c>
      <c r="F99" s="1314">
        <f t="shared" si="69"/>
        <v>0.3200934579439253</v>
      </c>
      <c r="G99" s="1380">
        <f t="shared" ref="G99" si="70">IFERROR((F99-F98)/F98,0)</f>
        <v>-0.87348084666248005</v>
      </c>
      <c r="H99" s="1315">
        <v>1.37</v>
      </c>
      <c r="I99" s="1314"/>
      <c r="J99" s="1314"/>
      <c r="K99" s="1314"/>
      <c r="L99" s="1314"/>
      <c r="M99" s="1314"/>
      <c r="N99" s="1314"/>
      <c r="O99" s="1314"/>
      <c r="P99" s="1314"/>
      <c r="Q99" s="1314"/>
      <c r="R99" s="1314"/>
      <c r="S99" s="1314"/>
      <c r="T99" s="1314"/>
      <c r="U99" s="1314"/>
      <c r="V99" s="1314"/>
      <c r="W99" s="1314"/>
      <c r="X99" s="1314"/>
      <c r="Y99" s="1314"/>
      <c r="Z99" s="1314"/>
      <c r="AA99" s="1314"/>
      <c r="AB99" s="1314"/>
      <c r="AC99" s="1314"/>
      <c r="AD99" s="1314"/>
      <c r="AE99" s="1314"/>
      <c r="AF99" s="1314"/>
      <c r="AG99" s="1314"/>
      <c r="AH99" s="1314"/>
      <c r="AI99" s="1314"/>
      <c r="AJ99" s="1314"/>
      <c r="AK99" s="1314"/>
      <c r="AL99" s="1314"/>
      <c r="AM99" s="347"/>
    </row>
    <row r="100" spans="1:39" x14ac:dyDescent="0.25">
      <c r="A100" s="202"/>
      <c r="B100" s="1607"/>
      <c r="C100" s="1705"/>
      <c r="D100" s="1685" t="s">
        <v>47</v>
      </c>
      <c r="E100" s="1384" t="s">
        <v>346</v>
      </c>
      <c r="F100" s="206">
        <f t="shared" ref="F100:F103" si="71">SUMIF($H$9:$AL$9,"&lt;="&amp;$C$7,H100:AL100)</f>
        <v>9.9175999999999984</v>
      </c>
      <c r="G100" s="1385"/>
      <c r="H100" s="1316">
        <f>+H98*H95/1000</f>
        <v>0.35420000000000001</v>
      </c>
      <c r="I100" s="1316">
        <f t="shared" ref="I100:AL101" si="72">+I98*I95/1000</f>
        <v>0.35420000000000001</v>
      </c>
      <c r="J100" s="1316">
        <f t="shared" si="72"/>
        <v>0.35420000000000001</v>
      </c>
      <c r="K100" s="1316">
        <f t="shared" si="72"/>
        <v>0.35420000000000001</v>
      </c>
      <c r="L100" s="1316">
        <f t="shared" si="72"/>
        <v>0.35420000000000001</v>
      </c>
      <c r="M100" s="1316">
        <f t="shared" si="72"/>
        <v>0.35420000000000001</v>
      </c>
      <c r="N100" s="1316">
        <f t="shared" si="72"/>
        <v>0.35420000000000001</v>
      </c>
      <c r="O100" s="1316">
        <f t="shared" si="72"/>
        <v>0.35420000000000001</v>
      </c>
      <c r="P100" s="1316">
        <f t="shared" si="72"/>
        <v>0.35420000000000001</v>
      </c>
      <c r="Q100" s="1316">
        <f t="shared" si="72"/>
        <v>0.35420000000000001</v>
      </c>
      <c r="R100" s="1316">
        <f t="shared" si="72"/>
        <v>0.35420000000000001</v>
      </c>
      <c r="S100" s="1316">
        <f t="shared" si="72"/>
        <v>0.35420000000000001</v>
      </c>
      <c r="T100" s="1316">
        <f t="shared" si="72"/>
        <v>0.35420000000000001</v>
      </c>
      <c r="U100" s="1316">
        <f t="shared" si="72"/>
        <v>0.35420000000000001</v>
      </c>
      <c r="V100" s="1316">
        <f t="shared" si="72"/>
        <v>0.35420000000000001</v>
      </c>
      <c r="W100" s="1316">
        <f t="shared" si="72"/>
        <v>0.35420000000000001</v>
      </c>
      <c r="X100" s="1316">
        <f t="shared" si="72"/>
        <v>0.35420000000000001</v>
      </c>
      <c r="Y100" s="1316">
        <f t="shared" si="72"/>
        <v>0.35420000000000001</v>
      </c>
      <c r="Z100" s="1316">
        <f t="shared" si="72"/>
        <v>0.35420000000000001</v>
      </c>
      <c r="AA100" s="1316">
        <f t="shared" si="72"/>
        <v>0</v>
      </c>
      <c r="AB100" s="1316">
        <f t="shared" si="72"/>
        <v>0</v>
      </c>
      <c r="AC100" s="1316">
        <f t="shared" si="72"/>
        <v>0.35420000000000001</v>
      </c>
      <c r="AD100" s="1316">
        <f t="shared" si="72"/>
        <v>0.35420000000000001</v>
      </c>
      <c r="AE100" s="1316">
        <f t="shared" si="72"/>
        <v>0.35420000000000001</v>
      </c>
      <c r="AF100" s="1316">
        <f t="shared" si="72"/>
        <v>0.35420000000000001</v>
      </c>
      <c r="AG100" s="1316">
        <f t="shared" si="72"/>
        <v>0.35420000000000001</v>
      </c>
      <c r="AH100" s="1316">
        <f>+AH98*AH95/1000</f>
        <v>0.35420000000000001</v>
      </c>
      <c r="AI100" s="1316">
        <f t="shared" si="72"/>
        <v>0.35420000000000001</v>
      </c>
      <c r="AJ100" s="1316">
        <f t="shared" si="72"/>
        <v>0.35420000000000001</v>
      </c>
      <c r="AK100" s="1316">
        <f t="shared" si="72"/>
        <v>0.35420000000000001</v>
      </c>
      <c r="AL100" s="1316">
        <f t="shared" si="72"/>
        <v>0</v>
      </c>
      <c r="AM100" s="705"/>
    </row>
    <row r="101" spans="1:39" ht="15.75" thickBot="1" x14ac:dyDescent="0.3">
      <c r="A101" s="202"/>
      <c r="B101" s="1660"/>
      <c r="C101" s="1706"/>
      <c r="D101" s="1708"/>
      <c r="E101" s="1387" t="s">
        <v>347</v>
      </c>
      <c r="F101" s="1321">
        <f t="shared" si="71"/>
        <v>6.1650000000000003E-2</v>
      </c>
      <c r="G101" s="1388">
        <f t="shared" ref="G101" si="73">IFERROR((F101-F100)/F100,0)</f>
        <v>-0.99378377833346776</v>
      </c>
      <c r="H101" s="1323">
        <f>+H99*H96/1000</f>
        <v>6.1650000000000003E-2</v>
      </c>
      <c r="I101" s="1323">
        <f t="shared" si="72"/>
        <v>0</v>
      </c>
      <c r="J101" s="1323">
        <f t="shared" si="72"/>
        <v>0</v>
      </c>
      <c r="K101" s="1323">
        <f t="shared" si="72"/>
        <v>0</v>
      </c>
      <c r="L101" s="1323">
        <f t="shared" si="72"/>
        <v>0</v>
      </c>
      <c r="M101" s="1323">
        <f t="shared" si="72"/>
        <v>0</v>
      </c>
      <c r="N101" s="1323">
        <f t="shared" si="72"/>
        <v>0</v>
      </c>
      <c r="O101" s="1323">
        <f t="shared" si="72"/>
        <v>0</v>
      </c>
      <c r="P101" s="1323">
        <f t="shared" si="72"/>
        <v>0</v>
      </c>
      <c r="Q101" s="1323">
        <f t="shared" si="72"/>
        <v>0</v>
      </c>
      <c r="R101" s="1323">
        <f t="shared" si="72"/>
        <v>0</v>
      </c>
      <c r="S101" s="1323">
        <f t="shared" si="72"/>
        <v>0</v>
      </c>
      <c r="T101" s="1323">
        <f t="shared" si="72"/>
        <v>0</v>
      </c>
      <c r="U101" s="1323">
        <f t="shared" si="72"/>
        <v>0</v>
      </c>
      <c r="V101" s="1323">
        <f t="shared" si="72"/>
        <v>0</v>
      </c>
      <c r="W101" s="1323">
        <f t="shared" si="72"/>
        <v>0</v>
      </c>
      <c r="X101" s="1323">
        <f t="shared" si="72"/>
        <v>0</v>
      </c>
      <c r="Y101" s="1323">
        <f t="shared" si="72"/>
        <v>0</v>
      </c>
      <c r="Z101" s="1323">
        <f t="shared" si="72"/>
        <v>0</v>
      </c>
      <c r="AA101" s="1323">
        <f t="shared" si="72"/>
        <v>0</v>
      </c>
      <c r="AB101" s="1323">
        <f t="shared" si="72"/>
        <v>0</v>
      </c>
      <c r="AC101" s="1323">
        <f t="shared" si="72"/>
        <v>0</v>
      </c>
      <c r="AD101" s="1323">
        <f t="shared" si="72"/>
        <v>0</v>
      </c>
      <c r="AE101" s="1323">
        <f t="shared" si="72"/>
        <v>0</v>
      </c>
      <c r="AF101" s="1323">
        <f t="shared" si="72"/>
        <v>0</v>
      </c>
      <c r="AG101" s="1323">
        <f t="shared" si="72"/>
        <v>0</v>
      </c>
      <c r="AH101" s="1323">
        <f t="shared" si="72"/>
        <v>0</v>
      </c>
      <c r="AI101" s="1323">
        <f t="shared" si="72"/>
        <v>0</v>
      </c>
      <c r="AJ101" s="1323">
        <f t="shared" si="72"/>
        <v>0</v>
      </c>
      <c r="AK101" s="1323">
        <f t="shared" si="72"/>
        <v>0</v>
      </c>
      <c r="AL101" s="1323">
        <f t="shared" si="72"/>
        <v>0</v>
      </c>
      <c r="AM101" s="706"/>
    </row>
    <row r="102" spans="1:39" x14ac:dyDescent="0.25">
      <c r="A102" s="194"/>
      <c r="B102" s="1608"/>
      <c r="C102" s="1704" t="s">
        <v>479</v>
      </c>
      <c r="D102" s="1684" t="s">
        <v>340</v>
      </c>
      <c r="E102" s="195" t="s">
        <v>341</v>
      </c>
      <c r="F102" s="196">
        <f t="shared" si="71"/>
        <v>1960</v>
      </c>
      <c r="G102" s="197"/>
      <c r="H102" s="198">
        <v>70</v>
      </c>
      <c r="I102" s="198">
        <v>70</v>
      </c>
      <c r="J102" s="198">
        <v>70</v>
      </c>
      <c r="K102" s="199">
        <v>70</v>
      </c>
      <c r="L102" s="199">
        <v>70</v>
      </c>
      <c r="M102" s="199">
        <v>70</v>
      </c>
      <c r="N102" s="199">
        <v>70</v>
      </c>
      <c r="O102" s="199">
        <v>70</v>
      </c>
      <c r="P102" s="200">
        <v>70</v>
      </c>
      <c r="Q102" s="199">
        <v>70</v>
      </c>
      <c r="R102" s="199">
        <v>70</v>
      </c>
      <c r="S102" s="199">
        <v>70</v>
      </c>
      <c r="T102" s="199">
        <v>70</v>
      </c>
      <c r="U102" s="199">
        <v>70</v>
      </c>
      <c r="V102" s="199">
        <v>70</v>
      </c>
      <c r="W102" s="199">
        <v>70</v>
      </c>
      <c r="X102" s="199">
        <v>70</v>
      </c>
      <c r="Y102" s="199">
        <v>70</v>
      </c>
      <c r="Z102" s="199">
        <v>70</v>
      </c>
      <c r="AA102" s="199">
        <v>0</v>
      </c>
      <c r="AB102" s="199">
        <v>0</v>
      </c>
      <c r="AC102" s="199">
        <v>70</v>
      </c>
      <c r="AD102" s="199">
        <v>70</v>
      </c>
      <c r="AE102" s="199">
        <v>70</v>
      </c>
      <c r="AF102" s="199">
        <v>70</v>
      </c>
      <c r="AG102" s="199">
        <v>70</v>
      </c>
      <c r="AH102" s="199">
        <v>70</v>
      </c>
      <c r="AI102" s="199">
        <v>70</v>
      </c>
      <c r="AJ102" s="199">
        <v>70</v>
      </c>
      <c r="AK102" s="199">
        <v>70</v>
      </c>
      <c r="AL102" s="201">
        <v>0</v>
      </c>
      <c r="AM102" s="704"/>
    </row>
    <row r="103" spans="1:39" x14ac:dyDescent="0.25">
      <c r="A103" s="202"/>
      <c r="B103" s="1607"/>
      <c r="C103" s="1705"/>
      <c r="D103" s="1688"/>
      <c r="E103" s="1379" t="s">
        <v>342</v>
      </c>
      <c r="F103" s="1303">
        <f t="shared" si="71"/>
        <v>45</v>
      </c>
      <c r="G103" s="1380">
        <f t="shared" ref="G103" si="74">IFERROR((F103-F102)/F102,0)</f>
        <v>-0.97704081632653061</v>
      </c>
      <c r="H103" s="1305"/>
      <c r="I103" s="1303">
        <v>45</v>
      </c>
      <c r="J103" s="1303"/>
      <c r="K103" s="1303"/>
      <c r="L103" s="1303"/>
      <c r="M103" s="1303"/>
      <c r="N103" s="1303"/>
      <c r="O103" s="1303"/>
      <c r="P103" s="1303"/>
      <c r="Q103" s="1303"/>
      <c r="R103" s="1303"/>
      <c r="S103" s="1303"/>
      <c r="T103" s="1303"/>
      <c r="U103" s="1303"/>
      <c r="V103" s="1303"/>
      <c r="W103" s="1303"/>
      <c r="X103" s="1303"/>
      <c r="Y103" s="1303"/>
      <c r="Z103" s="1303"/>
      <c r="AA103" s="1303"/>
      <c r="AB103" s="1303"/>
      <c r="AC103" s="1303"/>
      <c r="AD103" s="1303"/>
      <c r="AE103" s="1303"/>
      <c r="AF103" s="1303"/>
      <c r="AG103" s="1303"/>
      <c r="AH103" s="1303"/>
      <c r="AI103" s="1303"/>
      <c r="AJ103" s="1303"/>
      <c r="AK103" s="1303"/>
      <c r="AL103" s="1303"/>
      <c r="AM103" s="347"/>
    </row>
    <row r="104" spans="1:39" x14ac:dyDescent="0.25">
      <c r="A104" s="202"/>
      <c r="B104" s="1607"/>
      <c r="C104" s="1705"/>
      <c r="D104" s="1688"/>
      <c r="E104" s="1389" t="s">
        <v>312</v>
      </c>
      <c r="F104" s="1382"/>
      <c r="G104" s="1383"/>
      <c r="H104" s="203"/>
      <c r="I104" s="203"/>
      <c r="J104" s="203"/>
      <c r="K104" s="203"/>
      <c r="L104" s="203"/>
      <c r="M104" s="203"/>
      <c r="N104" s="203"/>
      <c r="O104" s="203"/>
      <c r="P104" s="204"/>
      <c r="Q104" s="203"/>
      <c r="R104" s="203"/>
      <c r="S104" s="203"/>
      <c r="T104" s="203"/>
      <c r="U104" s="203"/>
      <c r="V104" s="203"/>
      <c r="W104" s="203"/>
      <c r="X104" s="203"/>
      <c r="Y104" s="203"/>
      <c r="Z104" s="203"/>
      <c r="AA104" s="203"/>
      <c r="AB104" s="203"/>
      <c r="AC104" s="203"/>
      <c r="AD104" s="203"/>
      <c r="AE104" s="203"/>
      <c r="AF104" s="203"/>
      <c r="AG104" s="203"/>
      <c r="AH104" s="203"/>
      <c r="AI104" s="203"/>
      <c r="AJ104" s="203"/>
      <c r="AK104" s="203"/>
      <c r="AL104" s="205"/>
      <c r="AM104" s="347"/>
    </row>
    <row r="105" spans="1:39" x14ac:dyDescent="0.25">
      <c r="A105" s="202"/>
      <c r="B105" s="1607"/>
      <c r="C105" s="1705"/>
      <c r="D105" s="1685" t="s">
        <v>343</v>
      </c>
      <c r="E105" s="1384" t="s">
        <v>344</v>
      </c>
      <c r="F105" s="1310">
        <f t="shared" ref="F105:F106" si="75">IFERROR(F107*1000/F102,0)</f>
        <v>2.17</v>
      </c>
      <c r="G105" s="1385"/>
      <c r="H105" s="1312">
        <v>2.17</v>
      </c>
      <c r="I105" s="1312">
        <v>2.17</v>
      </c>
      <c r="J105" s="1312">
        <v>2.17</v>
      </c>
      <c r="K105" s="1333">
        <v>2.17</v>
      </c>
      <c r="L105" s="1333">
        <v>2.17</v>
      </c>
      <c r="M105" s="1333">
        <v>2.17</v>
      </c>
      <c r="N105" s="1333">
        <v>2.17</v>
      </c>
      <c r="O105" s="1333">
        <v>2.17</v>
      </c>
      <c r="P105" s="1334">
        <v>2.17</v>
      </c>
      <c r="Q105" s="1333">
        <v>2.17</v>
      </c>
      <c r="R105" s="1333">
        <v>2.17</v>
      </c>
      <c r="S105" s="1333">
        <v>2.17</v>
      </c>
      <c r="T105" s="1333">
        <v>2.17</v>
      </c>
      <c r="U105" s="1333">
        <v>2.17</v>
      </c>
      <c r="V105" s="1333">
        <v>2.17</v>
      </c>
      <c r="W105" s="1333">
        <v>2.17</v>
      </c>
      <c r="X105" s="1333">
        <v>2.17</v>
      </c>
      <c r="Y105" s="1333">
        <v>2.17</v>
      </c>
      <c r="Z105" s="1333">
        <v>2.17</v>
      </c>
      <c r="AA105" s="1333">
        <v>0</v>
      </c>
      <c r="AB105" s="1333">
        <v>0</v>
      </c>
      <c r="AC105" s="1333">
        <v>2.17</v>
      </c>
      <c r="AD105" s="1333">
        <v>2.17</v>
      </c>
      <c r="AE105" s="1333">
        <v>2.17</v>
      </c>
      <c r="AF105" s="1333">
        <v>2.17</v>
      </c>
      <c r="AG105" s="1333">
        <v>2.17</v>
      </c>
      <c r="AH105" s="1333">
        <v>2.17</v>
      </c>
      <c r="AI105" s="1333">
        <v>2.17</v>
      </c>
      <c r="AJ105" s="1333">
        <v>2.17</v>
      </c>
      <c r="AK105" s="1333">
        <v>2.17</v>
      </c>
      <c r="AL105" s="1335">
        <v>0</v>
      </c>
      <c r="AM105" s="347"/>
    </row>
    <row r="106" spans="1:39" x14ac:dyDescent="0.25">
      <c r="A106" s="202"/>
      <c r="B106" s="1607"/>
      <c r="C106" s="1705"/>
      <c r="D106" s="1707"/>
      <c r="E106" s="1386" t="s">
        <v>345</v>
      </c>
      <c r="F106" s="1314">
        <f t="shared" si="75"/>
        <v>0</v>
      </c>
      <c r="G106" s="1380">
        <f t="shared" ref="G106" si="76">IFERROR((F106-F105)/F105,0)</f>
        <v>-1</v>
      </c>
      <c r="H106" s="1315"/>
      <c r="I106" s="1314"/>
      <c r="J106" s="1314"/>
      <c r="K106" s="1314"/>
      <c r="L106" s="1314"/>
      <c r="M106" s="1314"/>
      <c r="N106" s="1314"/>
      <c r="O106" s="1314"/>
      <c r="P106" s="1314"/>
      <c r="Q106" s="1314"/>
      <c r="R106" s="1314"/>
      <c r="S106" s="1314"/>
      <c r="T106" s="1314"/>
      <c r="U106" s="1314"/>
      <c r="V106" s="1314"/>
      <c r="W106" s="1314"/>
      <c r="X106" s="1314"/>
      <c r="Y106" s="1314"/>
      <c r="Z106" s="1314"/>
      <c r="AA106" s="1314"/>
      <c r="AB106" s="1314"/>
      <c r="AC106" s="1314"/>
      <c r="AD106" s="1314"/>
      <c r="AE106" s="1314"/>
      <c r="AF106" s="1314"/>
      <c r="AG106" s="1314"/>
      <c r="AH106" s="1314"/>
      <c r="AI106" s="1314"/>
      <c r="AJ106" s="1314"/>
      <c r="AK106" s="1314"/>
      <c r="AL106" s="1314"/>
      <c r="AM106" s="347"/>
    </row>
    <row r="107" spans="1:39" x14ac:dyDescent="0.25">
      <c r="A107" s="202"/>
      <c r="B107" s="1607"/>
      <c r="C107" s="1705"/>
      <c r="D107" s="1685" t="s">
        <v>47</v>
      </c>
      <c r="E107" s="1384" t="s">
        <v>346</v>
      </c>
      <c r="F107" s="206">
        <f t="shared" ref="F107:F108" si="77">SUMIF($H$9:$AL$9,"&lt;="&amp;$C$7,H107:AL107)</f>
        <v>4.2531999999999996</v>
      </c>
      <c r="G107" s="1385"/>
      <c r="H107" s="1316">
        <f>+H105*H102/1000</f>
        <v>0.15190000000000001</v>
      </c>
      <c r="I107" s="1316">
        <f t="shared" ref="I107:AL108" si="78">+I105*I102/1000</f>
        <v>0.15190000000000001</v>
      </c>
      <c r="J107" s="1316">
        <f t="shared" si="78"/>
        <v>0.15190000000000001</v>
      </c>
      <c r="K107" s="1316">
        <f t="shared" si="78"/>
        <v>0.15190000000000001</v>
      </c>
      <c r="L107" s="1316">
        <f t="shared" si="78"/>
        <v>0.15190000000000001</v>
      </c>
      <c r="M107" s="1316">
        <f t="shared" si="78"/>
        <v>0.15190000000000001</v>
      </c>
      <c r="N107" s="1316">
        <f t="shared" si="78"/>
        <v>0.15190000000000001</v>
      </c>
      <c r="O107" s="1316">
        <f t="shared" si="78"/>
        <v>0.15190000000000001</v>
      </c>
      <c r="P107" s="1316">
        <f t="shared" si="78"/>
        <v>0.15190000000000001</v>
      </c>
      <c r="Q107" s="1316">
        <f t="shared" si="78"/>
        <v>0.15190000000000001</v>
      </c>
      <c r="R107" s="1316">
        <f t="shared" si="78"/>
        <v>0.15190000000000001</v>
      </c>
      <c r="S107" s="1316">
        <f t="shared" si="78"/>
        <v>0.15190000000000001</v>
      </c>
      <c r="T107" s="1316">
        <f t="shared" si="78"/>
        <v>0.15190000000000001</v>
      </c>
      <c r="U107" s="1316">
        <f t="shared" si="78"/>
        <v>0.15190000000000001</v>
      </c>
      <c r="V107" s="1316">
        <f t="shared" si="78"/>
        <v>0.15190000000000001</v>
      </c>
      <c r="W107" s="1316">
        <f t="shared" si="78"/>
        <v>0.15190000000000001</v>
      </c>
      <c r="X107" s="1316">
        <f t="shared" si="78"/>
        <v>0.15190000000000001</v>
      </c>
      <c r="Y107" s="1316">
        <f t="shared" si="78"/>
        <v>0.15190000000000001</v>
      </c>
      <c r="Z107" s="1316">
        <f t="shared" si="78"/>
        <v>0.15190000000000001</v>
      </c>
      <c r="AA107" s="1316">
        <f t="shared" si="78"/>
        <v>0</v>
      </c>
      <c r="AB107" s="1316">
        <f t="shared" si="78"/>
        <v>0</v>
      </c>
      <c r="AC107" s="1316">
        <f t="shared" si="78"/>
        <v>0.15190000000000001</v>
      </c>
      <c r="AD107" s="1316">
        <f t="shared" si="78"/>
        <v>0.15190000000000001</v>
      </c>
      <c r="AE107" s="1316">
        <f t="shared" si="78"/>
        <v>0.15190000000000001</v>
      </c>
      <c r="AF107" s="1316">
        <f t="shared" si="78"/>
        <v>0.15190000000000001</v>
      </c>
      <c r="AG107" s="1316">
        <f t="shared" si="78"/>
        <v>0.15190000000000001</v>
      </c>
      <c r="AH107" s="1316">
        <f t="shared" si="78"/>
        <v>0.15190000000000001</v>
      </c>
      <c r="AI107" s="1316">
        <f t="shared" si="78"/>
        <v>0.15190000000000001</v>
      </c>
      <c r="AJ107" s="1316">
        <f t="shared" si="78"/>
        <v>0.15190000000000001</v>
      </c>
      <c r="AK107" s="1316">
        <f t="shared" si="78"/>
        <v>0.15190000000000001</v>
      </c>
      <c r="AL107" s="1316">
        <f t="shared" si="78"/>
        <v>0</v>
      </c>
      <c r="AM107" s="705"/>
    </row>
    <row r="108" spans="1:39" ht="15.75" thickBot="1" x14ac:dyDescent="0.3">
      <c r="A108" s="202"/>
      <c r="B108" s="1660"/>
      <c r="C108" s="1706"/>
      <c r="D108" s="1708"/>
      <c r="E108" s="1387" t="s">
        <v>347</v>
      </c>
      <c r="F108" s="1321">
        <f t="shared" si="77"/>
        <v>0</v>
      </c>
      <c r="G108" s="1388">
        <f t="shared" ref="G108" si="79">IFERROR((F108-F107)/F107,0)</f>
        <v>-1</v>
      </c>
      <c r="H108" s="1323">
        <f>+H106*H103/1000</f>
        <v>0</v>
      </c>
      <c r="I108" s="1323">
        <f t="shared" si="78"/>
        <v>0</v>
      </c>
      <c r="J108" s="1323">
        <f t="shared" si="78"/>
        <v>0</v>
      </c>
      <c r="K108" s="1323">
        <f t="shared" si="78"/>
        <v>0</v>
      </c>
      <c r="L108" s="1323">
        <f t="shared" si="78"/>
        <v>0</v>
      </c>
      <c r="M108" s="1323">
        <f t="shared" si="78"/>
        <v>0</v>
      </c>
      <c r="N108" s="1323">
        <f t="shared" si="78"/>
        <v>0</v>
      </c>
      <c r="O108" s="1323">
        <f t="shared" si="78"/>
        <v>0</v>
      </c>
      <c r="P108" s="1323">
        <f t="shared" si="78"/>
        <v>0</v>
      </c>
      <c r="Q108" s="1323">
        <f t="shared" si="78"/>
        <v>0</v>
      </c>
      <c r="R108" s="1323">
        <f t="shared" si="78"/>
        <v>0</v>
      </c>
      <c r="S108" s="1323">
        <f t="shared" si="78"/>
        <v>0</v>
      </c>
      <c r="T108" s="1323">
        <f t="shared" si="78"/>
        <v>0</v>
      </c>
      <c r="U108" s="1323">
        <f t="shared" si="78"/>
        <v>0</v>
      </c>
      <c r="V108" s="1323">
        <f t="shared" si="78"/>
        <v>0</v>
      </c>
      <c r="W108" s="1323">
        <f t="shared" si="78"/>
        <v>0</v>
      </c>
      <c r="X108" s="1323">
        <f t="shared" si="78"/>
        <v>0</v>
      </c>
      <c r="Y108" s="1323">
        <f t="shared" si="78"/>
        <v>0</v>
      </c>
      <c r="Z108" s="1323">
        <f t="shared" si="78"/>
        <v>0</v>
      </c>
      <c r="AA108" s="1323">
        <f t="shared" si="78"/>
        <v>0</v>
      </c>
      <c r="AB108" s="1323">
        <f t="shared" si="78"/>
        <v>0</v>
      </c>
      <c r="AC108" s="1323">
        <f t="shared" si="78"/>
        <v>0</v>
      </c>
      <c r="AD108" s="1323">
        <f t="shared" si="78"/>
        <v>0</v>
      </c>
      <c r="AE108" s="1323">
        <f t="shared" si="78"/>
        <v>0</v>
      </c>
      <c r="AF108" s="1323">
        <f t="shared" si="78"/>
        <v>0</v>
      </c>
      <c r="AG108" s="1323">
        <f t="shared" si="78"/>
        <v>0</v>
      </c>
      <c r="AH108" s="1323">
        <f t="shared" si="78"/>
        <v>0</v>
      </c>
      <c r="AI108" s="1323">
        <f t="shared" si="78"/>
        <v>0</v>
      </c>
      <c r="AJ108" s="1323">
        <f t="shared" si="78"/>
        <v>0</v>
      </c>
      <c r="AK108" s="1323">
        <f t="shared" si="78"/>
        <v>0</v>
      </c>
      <c r="AL108" s="1323">
        <f t="shared" si="78"/>
        <v>0</v>
      </c>
      <c r="AM108" s="706"/>
    </row>
  </sheetData>
  <mergeCells count="73">
    <mergeCell ref="H2:I2"/>
    <mergeCell ref="K2:N2"/>
    <mergeCell ref="H3:I3"/>
    <mergeCell ref="K3:N3"/>
    <mergeCell ref="H4:I4"/>
    <mergeCell ref="K4:N4"/>
    <mergeCell ref="K5:N5"/>
    <mergeCell ref="K6:N6"/>
    <mergeCell ref="B18:B24"/>
    <mergeCell ref="C18:C24"/>
    <mergeCell ref="D18:D20"/>
    <mergeCell ref="D21:D22"/>
    <mergeCell ref="D23:D24"/>
    <mergeCell ref="B32:B38"/>
    <mergeCell ref="C32:C38"/>
    <mergeCell ref="D32:D34"/>
    <mergeCell ref="D35:D36"/>
    <mergeCell ref="D37:D38"/>
    <mergeCell ref="B25:B31"/>
    <mergeCell ref="C25:C31"/>
    <mergeCell ref="D25:D27"/>
    <mergeCell ref="D28:D29"/>
    <mergeCell ref="D30:D31"/>
    <mergeCell ref="B46:B52"/>
    <mergeCell ref="C46:C52"/>
    <mergeCell ref="D46:D48"/>
    <mergeCell ref="D49:D50"/>
    <mergeCell ref="D51:D52"/>
    <mergeCell ref="B39:B45"/>
    <mergeCell ref="C39:C45"/>
    <mergeCell ref="D39:D41"/>
    <mergeCell ref="D42:D43"/>
    <mergeCell ref="D44:D45"/>
    <mergeCell ref="B60:B66"/>
    <mergeCell ref="C60:C66"/>
    <mergeCell ref="D60:D62"/>
    <mergeCell ref="D63:D64"/>
    <mergeCell ref="D65:D66"/>
    <mergeCell ref="B53:B59"/>
    <mergeCell ref="C53:C59"/>
    <mergeCell ref="D53:D55"/>
    <mergeCell ref="D56:D57"/>
    <mergeCell ref="D58:D59"/>
    <mergeCell ref="B74:B80"/>
    <mergeCell ref="C74:C80"/>
    <mergeCell ref="D74:D76"/>
    <mergeCell ref="D77:D78"/>
    <mergeCell ref="D79:D80"/>
    <mergeCell ref="B67:B73"/>
    <mergeCell ref="C67:C73"/>
    <mergeCell ref="D67:D69"/>
    <mergeCell ref="D70:D71"/>
    <mergeCell ref="D72:D73"/>
    <mergeCell ref="B88:B94"/>
    <mergeCell ref="C88:C94"/>
    <mergeCell ref="D88:D90"/>
    <mergeCell ref="D91:D92"/>
    <mergeCell ref="D93:D94"/>
    <mergeCell ref="B81:B87"/>
    <mergeCell ref="C81:C87"/>
    <mergeCell ref="D81:D83"/>
    <mergeCell ref="D84:D85"/>
    <mergeCell ref="D86:D87"/>
    <mergeCell ref="B102:B108"/>
    <mergeCell ref="C102:C108"/>
    <mergeCell ref="D102:D104"/>
    <mergeCell ref="D105:D106"/>
    <mergeCell ref="D107:D108"/>
    <mergeCell ref="B95:B101"/>
    <mergeCell ref="C95:C101"/>
    <mergeCell ref="D95:D97"/>
    <mergeCell ref="D98:D99"/>
    <mergeCell ref="D100:D101"/>
  </mergeCells>
  <conditionalFormatting sqref="B18 B25 B32 B39 B46 B53 B60">
    <cfRule type="cellIs" dxfId="596" priority="210" operator="equal">
      <formula>3</formula>
    </cfRule>
    <cfRule type="cellIs" dxfId="595" priority="212" operator="equal">
      <formula>2</formula>
    </cfRule>
    <cfRule type="cellIs" dxfId="594" priority="211" operator="equal">
      <formula>1</formula>
    </cfRule>
  </conditionalFormatting>
  <conditionalFormatting sqref="B67">
    <cfRule type="cellIs" dxfId="593" priority="166" operator="equal">
      <formula>3</formula>
    </cfRule>
    <cfRule type="cellIs" dxfId="592" priority="167" operator="equal">
      <formula>1</formula>
    </cfRule>
    <cfRule type="cellIs" dxfId="591" priority="168" operator="equal">
      <formula>2</formula>
    </cfRule>
  </conditionalFormatting>
  <conditionalFormatting sqref="B74">
    <cfRule type="cellIs" dxfId="590" priority="140" operator="equal">
      <formula>3</formula>
    </cfRule>
    <cfRule type="cellIs" dxfId="589" priority="141" operator="equal">
      <formula>1</formula>
    </cfRule>
    <cfRule type="cellIs" dxfId="588" priority="142" operator="equal">
      <formula>2</formula>
    </cfRule>
  </conditionalFormatting>
  <conditionalFormatting sqref="B81">
    <cfRule type="cellIs" dxfId="587" priority="116" operator="equal">
      <formula>2</formula>
    </cfRule>
    <cfRule type="cellIs" dxfId="586" priority="115" operator="equal">
      <formula>1</formula>
    </cfRule>
    <cfRule type="cellIs" dxfId="585" priority="114" operator="equal">
      <formula>3</formula>
    </cfRule>
  </conditionalFormatting>
  <conditionalFormatting sqref="B88">
    <cfRule type="cellIs" dxfId="584" priority="89" operator="equal">
      <formula>1</formula>
    </cfRule>
    <cfRule type="cellIs" dxfId="583" priority="88" operator="equal">
      <formula>3</formula>
    </cfRule>
    <cfRule type="cellIs" dxfId="582" priority="90" operator="equal">
      <formula>2</formula>
    </cfRule>
  </conditionalFormatting>
  <conditionalFormatting sqref="B95">
    <cfRule type="cellIs" dxfId="581" priority="69" operator="equal">
      <formula>1</formula>
    </cfRule>
    <cfRule type="cellIs" dxfId="580" priority="68" operator="equal">
      <formula>3</formula>
    </cfRule>
    <cfRule type="cellIs" dxfId="579" priority="70" operator="equal">
      <formula>2</formula>
    </cfRule>
  </conditionalFormatting>
  <conditionalFormatting sqref="B102">
    <cfRule type="cellIs" dxfId="578" priority="42" operator="equal">
      <formula>3</formula>
    </cfRule>
    <cfRule type="cellIs" dxfId="577" priority="44" operator="equal">
      <formula>2</formula>
    </cfRule>
    <cfRule type="cellIs" dxfId="576" priority="43" operator="equal">
      <formula>1</formula>
    </cfRule>
  </conditionalFormatting>
  <conditionalFormatting sqref="D10:D12">
    <cfRule type="cellIs" dxfId="575" priority="172" stopIfTrue="1" operator="greaterThanOrEqual">
      <formula>C10</formula>
    </cfRule>
    <cfRule type="cellIs" dxfId="574" priority="171" stopIfTrue="1" operator="lessThan">
      <formula>C10</formula>
    </cfRule>
  </conditionalFormatting>
  <conditionalFormatting sqref="E10:E12">
    <cfRule type="cellIs" dxfId="573" priority="169" stopIfTrue="1" operator="lessThan">
      <formula>0</formula>
    </cfRule>
    <cfRule type="cellIs" dxfId="572" priority="170" stopIfTrue="1" operator="greaterThanOrEqual">
      <formula>0</formula>
    </cfRule>
  </conditionalFormatting>
  <conditionalFormatting sqref="F19">
    <cfRule type="cellIs" dxfId="571" priority="192" stopIfTrue="1" operator="greaterThanOrEqual">
      <formula>F18</formula>
    </cfRule>
    <cfRule type="cellIs" dxfId="570" priority="191" stopIfTrue="1" operator="lessThan">
      <formula>F18</formula>
    </cfRule>
  </conditionalFormatting>
  <conditionalFormatting sqref="F22 F24">
    <cfRule type="cellIs" dxfId="569" priority="188" stopIfTrue="1" operator="greaterThanOrEqual">
      <formula>F21</formula>
    </cfRule>
    <cfRule type="cellIs" dxfId="568" priority="187" stopIfTrue="1" operator="lessThan">
      <formula>F21</formula>
    </cfRule>
  </conditionalFormatting>
  <conditionalFormatting sqref="F26 F33 F40 F47 F54 F61">
    <cfRule type="cellIs" dxfId="567" priority="182" stopIfTrue="1" operator="greaterThanOrEqual">
      <formula>F25</formula>
    </cfRule>
    <cfRule type="cellIs" dxfId="566" priority="181" stopIfTrue="1" operator="lessThan">
      <formula>F25</formula>
    </cfRule>
  </conditionalFormatting>
  <conditionalFormatting sqref="F29 F31 F36 F38 F43 F45 F50 F52 F57 F59 F64 F66">
    <cfRule type="cellIs" dxfId="565" priority="178" stopIfTrue="1" operator="greaterThanOrEqual">
      <formula>F28</formula>
    </cfRule>
    <cfRule type="cellIs" dxfId="564" priority="177" stopIfTrue="1" operator="lessThan">
      <formula>F28</formula>
    </cfRule>
  </conditionalFormatting>
  <conditionalFormatting sqref="F68">
    <cfRule type="cellIs" dxfId="563" priority="152" stopIfTrue="1" operator="greaterThanOrEqual">
      <formula>F67</formula>
    </cfRule>
    <cfRule type="cellIs" dxfId="562" priority="151" stopIfTrue="1" operator="lessThan">
      <formula>F67</formula>
    </cfRule>
  </conditionalFormatting>
  <conditionalFormatting sqref="F71 F73">
    <cfRule type="cellIs" dxfId="561" priority="148" stopIfTrue="1" operator="greaterThanOrEqual">
      <formula>F70</formula>
    </cfRule>
    <cfRule type="cellIs" dxfId="560" priority="147" stopIfTrue="1" operator="lessThan">
      <formula>F70</formula>
    </cfRule>
  </conditionalFormatting>
  <conditionalFormatting sqref="F75">
    <cfRule type="cellIs" dxfId="559" priority="125" stopIfTrue="1" operator="lessThan">
      <formula>F74</formula>
    </cfRule>
    <cfRule type="cellIs" dxfId="558" priority="126" stopIfTrue="1" operator="greaterThanOrEqual">
      <formula>F74</formula>
    </cfRule>
  </conditionalFormatting>
  <conditionalFormatting sqref="F78 F80">
    <cfRule type="cellIs" dxfId="557" priority="121" stopIfTrue="1" operator="lessThan">
      <formula>F77</formula>
    </cfRule>
    <cfRule type="cellIs" dxfId="556" priority="122" stopIfTrue="1" operator="greaterThanOrEqual">
      <formula>F77</formula>
    </cfRule>
  </conditionalFormatting>
  <conditionalFormatting sqref="F82">
    <cfRule type="cellIs" dxfId="555" priority="99" stopIfTrue="1" operator="lessThan">
      <formula>F81</formula>
    </cfRule>
    <cfRule type="cellIs" dxfId="554" priority="100" stopIfTrue="1" operator="greaterThanOrEqual">
      <formula>F81</formula>
    </cfRule>
  </conditionalFormatting>
  <conditionalFormatting sqref="F85 F87">
    <cfRule type="cellIs" dxfId="553" priority="95" stopIfTrue="1" operator="lessThan">
      <formula>F84</formula>
    </cfRule>
    <cfRule type="cellIs" dxfId="552" priority="96" stopIfTrue="1" operator="greaterThanOrEqual">
      <formula>F84</formula>
    </cfRule>
  </conditionalFormatting>
  <conditionalFormatting sqref="F89">
    <cfRule type="cellIs" dxfId="551" priority="80" stopIfTrue="1" operator="greaterThanOrEqual">
      <formula>F88</formula>
    </cfRule>
    <cfRule type="cellIs" dxfId="550" priority="79" stopIfTrue="1" operator="lessThan">
      <formula>F88</formula>
    </cfRule>
  </conditionalFormatting>
  <conditionalFormatting sqref="F92 F94">
    <cfRule type="cellIs" dxfId="549" priority="76" stopIfTrue="1" operator="greaterThanOrEqual">
      <formula>F91</formula>
    </cfRule>
    <cfRule type="cellIs" dxfId="548" priority="75" stopIfTrue="1" operator="lessThan">
      <formula>F91</formula>
    </cfRule>
  </conditionalFormatting>
  <conditionalFormatting sqref="F96">
    <cfRule type="cellIs" dxfId="547" priority="54" stopIfTrue="1" operator="greaterThanOrEqual">
      <formula>F95</formula>
    </cfRule>
    <cfRule type="cellIs" dxfId="546" priority="53" stopIfTrue="1" operator="lessThan">
      <formula>F95</formula>
    </cfRule>
  </conditionalFormatting>
  <conditionalFormatting sqref="F99 F101">
    <cfRule type="cellIs" dxfId="545" priority="50" stopIfTrue="1" operator="greaterThanOrEqual">
      <formula>F98</formula>
    </cfRule>
    <cfRule type="cellIs" dxfId="544" priority="49" stopIfTrue="1" operator="lessThan">
      <formula>F98</formula>
    </cfRule>
  </conditionalFormatting>
  <conditionalFormatting sqref="F103">
    <cfRule type="cellIs" dxfId="543" priority="27" stopIfTrue="1" operator="lessThan">
      <formula>F102</formula>
    </cfRule>
    <cfRule type="cellIs" dxfId="542" priority="28" stopIfTrue="1" operator="greaterThanOrEqual">
      <formula>F102</formula>
    </cfRule>
  </conditionalFormatting>
  <conditionalFormatting sqref="F106 F108">
    <cfRule type="cellIs" dxfId="541" priority="24" stopIfTrue="1" operator="greaterThanOrEqual">
      <formula>F105</formula>
    </cfRule>
    <cfRule type="cellIs" dxfId="540" priority="23" stopIfTrue="1" operator="lessThan">
      <formula>F105</formula>
    </cfRule>
  </conditionalFormatting>
  <conditionalFormatting sqref="G19">
    <cfRule type="cellIs" dxfId="539" priority="190" operator="lessThan">
      <formula>0</formula>
    </cfRule>
    <cfRule type="cellIs" dxfId="538" priority="189" operator="greaterThan">
      <formula>0</formula>
    </cfRule>
  </conditionalFormatting>
  <conditionalFormatting sqref="G22">
    <cfRule type="cellIs" dxfId="537" priority="186" operator="lessThan">
      <formula>0</formula>
    </cfRule>
    <cfRule type="cellIs" dxfId="536" priority="185" operator="greaterThan">
      <formula>0</formula>
    </cfRule>
  </conditionalFormatting>
  <conditionalFormatting sqref="G24">
    <cfRule type="cellIs" dxfId="535" priority="184" operator="lessThan">
      <formula>0</formula>
    </cfRule>
    <cfRule type="cellIs" dxfId="534" priority="183" operator="greaterThan">
      <formula>0</formula>
    </cfRule>
  </conditionalFormatting>
  <conditionalFormatting sqref="G26 G33 G40 G47 G54 G61">
    <cfRule type="cellIs" dxfId="533" priority="180" operator="lessThan">
      <formula>0</formula>
    </cfRule>
    <cfRule type="cellIs" dxfId="532" priority="179" operator="greaterThan">
      <formula>0</formula>
    </cfRule>
  </conditionalFormatting>
  <conditionalFormatting sqref="G29 G36 G43 G50 G57 G64">
    <cfRule type="cellIs" dxfId="531" priority="175" operator="greaterThan">
      <formula>0</formula>
    </cfRule>
    <cfRule type="cellIs" dxfId="530" priority="176" operator="lessThan">
      <formula>0</formula>
    </cfRule>
  </conditionalFormatting>
  <conditionalFormatting sqref="G31 G38 G45 G52 G59 G66">
    <cfRule type="cellIs" dxfId="529" priority="174" operator="lessThan">
      <formula>0</formula>
    </cfRule>
    <cfRule type="cellIs" dxfId="528" priority="173" operator="greaterThan">
      <formula>0</formula>
    </cfRule>
  </conditionalFormatting>
  <conditionalFormatting sqref="G68">
    <cfRule type="cellIs" dxfId="527" priority="150" operator="lessThan">
      <formula>0</formula>
    </cfRule>
    <cfRule type="cellIs" dxfId="526" priority="149" operator="greaterThan">
      <formula>0</formula>
    </cfRule>
  </conditionalFormatting>
  <conditionalFormatting sqref="G71">
    <cfRule type="cellIs" dxfId="525" priority="146" operator="lessThan">
      <formula>0</formula>
    </cfRule>
    <cfRule type="cellIs" dxfId="524" priority="145" operator="greaterThan">
      <formula>0</formula>
    </cfRule>
  </conditionalFormatting>
  <conditionalFormatting sqref="G73">
    <cfRule type="cellIs" dxfId="523" priority="144" operator="lessThan">
      <formula>0</formula>
    </cfRule>
    <cfRule type="cellIs" dxfId="522" priority="143" operator="greaterThan">
      <formula>0</formula>
    </cfRule>
  </conditionalFormatting>
  <conditionalFormatting sqref="G75">
    <cfRule type="cellIs" dxfId="521" priority="123" operator="greaterThan">
      <formula>0</formula>
    </cfRule>
    <cfRule type="cellIs" dxfId="520" priority="124" operator="lessThan">
      <formula>0</formula>
    </cfRule>
  </conditionalFormatting>
  <conditionalFormatting sqref="G78">
    <cfRule type="cellIs" dxfId="519" priority="119" operator="greaterThan">
      <formula>0</formula>
    </cfRule>
    <cfRule type="cellIs" dxfId="518" priority="120" operator="lessThan">
      <formula>0</formula>
    </cfRule>
  </conditionalFormatting>
  <conditionalFormatting sqref="G80">
    <cfRule type="cellIs" dxfId="517" priority="118" operator="lessThan">
      <formula>0</formula>
    </cfRule>
    <cfRule type="cellIs" dxfId="516" priority="117" operator="greaterThan">
      <formula>0</formula>
    </cfRule>
  </conditionalFormatting>
  <conditionalFormatting sqref="G82">
    <cfRule type="cellIs" dxfId="515" priority="97" operator="greaterThan">
      <formula>0</formula>
    </cfRule>
    <cfRule type="cellIs" dxfId="514" priority="98" operator="lessThan">
      <formula>0</formula>
    </cfRule>
  </conditionalFormatting>
  <conditionalFormatting sqref="G85">
    <cfRule type="cellIs" dxfId="513" priority="93" operator="greaterThan">
      <formula>0</formula>
    </cfRule>
    <cfRule type="cellIs" dxfId="512" priority="94" operator="lessThan">
      <formula>0</formula>
    </cfRule>
  </conditionalFormatting>
  <conditionalFormatting sqref="G87">
    <cfRule type="cellIs" dxfId="511" priority="91" operator="greaterThan">
      <formula>0</formula>
    </cfRule>
    <cfRule type="cellIs" dxfId="510" priority="92" operator="lessThan">
      <formula>0</formula>
    </cfRule>
  </conditionalFormatting>
  <conditionalFormatting sqref="G89">
    <cfRule type="cellIs" dxfId="509" priority="77" operator="greaterThan">
      <formula>0</formula>
    </cfRule>
    <cfRule type="cellIs" dxfId="508" priority="78" operator="lessThan">
      <formula>0</formula>
    </cfRule>
  </conditionalFormatting>
  <conditionalFormatting sqref="G92">
    <cfRule type="cellIs" dxfId="507" priority="74" operator="lessThan">
      <formula>0</formula>
    </cfRule>
    <cfRule type="cellIs" dxfId="506" priority="73" operator="greaterThan">
      <formula>0</formula>
    </cfRule>
  </conditionalFormatting>
  <conditionalFormatting sqref="G94">
    <cfRule type="cellIs" dxfId="505" priority="72" operator="lessThan">
      <formula>0</formula>
    </cfRule>
    <cfRule type="cellIs" dxfId="504" priority="71" operator="greaterThan">
      <formula>0</formula>
    </cfRule>
  </conditionalFormatting>
  <conditionalFormatting sqref="G96">
    <cfRule type="cellIs" dxfId="503" priority="51" operator="greaterThan">
      <formula>0</formula>
    </cfRule>
    <cfRule type="cellIs" dxfId="502" priority="52" operator="lessThan">
      <formula>0</formula>
    </cfRule>
  </conditionalFormatting>
  <conditionalFormatting sqref="G99">
    <cfRule type="cellIs" dxfId="501" priority="48" operator="lessThan">
      <formula>0</formula>
    </cfRule>
    <cfRule type="cellIs" dxfId="500" priority="47" operator="greaterThan">
      <formula>0</formula>
    </cfRule>
  </conditionalFormatting>
  <conditionalFormatting sqref="G101">
    <cfRule type="cellIs" dxfId="499" priority="45" operator="greaterThan">
      <formula>0</formula>
    </cfRule>
    <cfRule type="cellIs" dxfId="498" priority="46" operator="lessThan">
      <formula>0</formula>
    </cfRule>
  </conditionalFormatting>
  <conditionalFormatting sqref="G103">
    <cfRule type="cellIs" dxfId="497" priority="26" operator="lessThan">
      <formula>0</formula>
    </cfRule>
    <cfRule type="cellIs" dxfId="496" priority="25" operator="greaterThan">
      <formula>0</formula>
    </cfRule>
  </conditionalFormatting>
  <conditionalFormatting sqref="G106">
    <cfRule type="cellIs" dxfId="495" priority="21" operator="greaterThan">
      <formula>0</formula>
    </cfRule>
    <cfRule type="cellIs" dxfId="494" priority="22" operator="lessThan">
      <formula>0</formula>
    </cfRule>
  </conditionalFormatting>
  <conditionalFormatting sqref="G108">
    <cfRule type="cellIs" dxfId="493" priority="20" operator="lessThan">
      <formula>0</formula>
    </cfRule>
    <cfRule type="cellIs" dxfId="492" priority="19" operator="greaterThan">
      <formula>0</formula>
    </cfRule>
  </conditionalFormatting>
  <conditionalFormatting sqref="H13">
    <cfRule type="cellIs" dxfId="491" priority="10" operator="greaterThanOrEqual">
      <formula>0.6</formula>
    </cfRule>
  </conditionalFormatting>
  <conditionalFormatting sqref="H15">
    <cfRule type="cellIs" dxfId="490" priority="3" operator="greaterThanOrEqual">
      <formula>H14</formula>
    </cfRule>
    <cfRule type="cellIs" dxfId="489" priority="2" operator="lessThan">
      <formula>H14</formula>
    </cfRule>
  </conditionalFormatting>
  <conditionalFormatting sqref="H96:T96 V96:AL96 H99:AL99 H101:AL101">
    <cfRule type="expression" dxfId="488" priority="55">
      <formula>H$9&gt;$C$7</formula>
    </cfRule>
  </conditionalFormatting>
  <conditionalFormatting sqref="H96:T96 V96:AL96">
    <cfRule type="cellIs" dxfId="487" priority="67" operator="greaterThanOrEqual">
      <formula>H95</formula>
    </cfRule>
    <cfRule type="cellIs" dxfId="486" priority="66" operator="lessThan">
      <formula>H95</formula>
    </cfRule>
    <cfRule type="expression" dxfId="485" priority="65">
      <formula>H95=""</formula>
    </cfRule>
  </conditionalFormatting>
  <conditionalFormatting sqref="H11:AL11">
    <cfRule type="expression" dxfId="484" priority="213">
      <formula>H10=""</formula>
    </cfRule>
    <cfRule type="cellIs" dxfId="483" priority="9" operator="lessThan">
      <formula>H10</formula>
    </cfRule>
    <cfRule type="cellIs" dxfId="482" priority="11" operator="greaterThanOrEqual">
      <formula>H10</formula>
    </cfRule>
  </conditionalFormatting>
  <conditionalFormatting sqref="H13:AL13">
    <cfRule type="expression" dxfId="481" priority="5">
      <formula>H12=""</formula>
    </cfRule>
    <cfRule type="cellIs" dxfId="480" priority="6" operator="lessThan">
      <formula>H12</formula>
    </cfRule>
    <cfRule type="cellIs" dxfId="479" priority="7" operator="greaterThanOrEqual">
      <formula>H12</formula>
    </cfRule>
    <cfRule type="cellIs" dxfId="478" priority="8" operator="greaterThanOrEqual">
      <formula>2</formula>
    </cfRule>
    <cfRule type="cellIs" dxfId="477" priority="208" operator="between">
      <formula>1.6</formula>
      <formula>2</formula>
    </cfRule>
  </conditionalFormatting>
  <conditionalFormatting sqref="H15:AL15 H11:AL11 H13:AL13">
    <cfRule type="expression" dxfId="476" priority="4">
      <formula>H$9&gt;$C$7</formula>
    </cfRule>
  </conditionalFormatting>
  <conditionalFormatting sqref="H15:AL15">
    <cfRule type="expression" dxfId="475" priority="1">
      <formula>H14=""</formula>
    </cfRule>
  </conditionalFormatting>
  <conditionalFormatting sqref="H19:AL19 H22:AL22 H24:AL24 H26:AL26 H29:AL29 H31:AL31 H33:AL33 H36:AL36 H38:AL38 H40:AL40 H43:AL43 H45:AL45 H47:AL47 H50:AL50 H52:AL52 H54:AL54 H57:AL57 H59:AL59 H61:AL61 H64:AL64 H66:AL66">
    <cfRule type="expression" dxfId="474" priority="193">
      <formula>H$9&gt;$C$7</formula>
    </cfRule>
  </conditionalFormatting>
  <conditionalFormatting sqref="H19:AL19 H26:AL26 H33:AL33 H40:AL40 H47:AL47 H54:AL54 H61:AL61">
    <cfRule type="expression" dxfId="473" priority="203">
      <formula>H18=""</formula>
    </cfRule>
    <cfRule type="cellIs" dxfId="472" priority="205" operator="greaterThanOrEqual">
      <formula>H18</formula>
    </cfRule>
    <cfRule type="cellIs" dxfId="471" priority="204" operator="lessThan">
      <formula>H18</formula>
    </cfRule>
  </conditionalFormatting>
  <conditionalFormatting sqref="H22:AL22 H29:AL29 H36:AL36 H43:AL43 H50:AL50 H57:AL57 H64:AL64">
    <cfRule type="cellIs" dxfId="470" priority="202" operator="greaterThanOrEqual">
      <formula>0.6</formula>
    </cfRule>
    <cfRule type="cellIs" dxfId="469" priority="200" operator="greaterThanOrEqual">
      <formula>2</formula>
    </cfRule>
    <cfRule type="cellIs" dxfId="468" priority="199" operator="greaterThanOrEqual">
      <formula>H21</formula>
    </cfRule>
    <cfRule type="cellIs" dxfId="467" priority="198" operator="lessThan">
      <formula>H21</formula>
    </cfRule>
    <cfRule type="expression" dxfId="466" priority="194">
      <formula>H21=""</formula>
    </cfRule>
    <cfRule type="cellIs" dxfId="465" priority="201" operator="between">
      <formula>1.6</formula>
      <formula>2</formula>
    </cfRule>
  </conditionalFormatting>
  <conditionalFormatting sqref="H24:AL24 H31:AL31 H38:AL38 H45:AL45 H52:AL52 H59:AL59 H66:AL66">
    <cfRule type="cellIs" dxfId="464" priority="197" operator="greaterThanOrEqual">
      <formula>H23</formula>
    </cfRule>
    <cfRule type="cellIs" dxfId="463" priority="196" operator="lessThan">
      <formula>H23</formula>
    </cfRule>
    <cfRule type="expression" dxfId="462" priority="195">
      <formula>H23=""</formula>
    </cfRule>
  </conditionalFormatting>
  <conditionalFormatting sqref="H68:AL68 H71:AL71 H73:AL73">
    <cfRule type="expression" dxfId="461" priority="153">
      <formula>H$9&gt;$C$7</formula>
    </cfRule>
  </conditionalFormatting>
  <conditionalFormatting sqref="H68:AL68">
    <cfRule type="cellIs" dxfId="460" priority="165" operator="greaterThanOrEqual">
      <formula>H67</formula>
    </cfRule>
    <cfRule type="expression" dxfId="459" priority="163">
      <formula>H67=""</formula>
    </cfRule>
    <cfRule type="cellIs" dxfId="458" priority="164" operator="lessThan">
      <formula>H67</formula>
    </cfRule>
  </conditionalFormatting>
  <conditionalFormatting sqref="H71:AL71">
    <cfRule type="cellIs" dxfId="457" priority="162" operator="greaterThanOrEqual">
      <formula>0.6</formula>
    </cfRule>
    <cfRule type="cellIs" dxfId="456" priority="161" operator="between">
      <formula>1.6</formula>
      <formula>2</formula>
    </cfRule>
    <cfRule type="expression" dxfId="455" priority="154">
      <formula>H70=""</formula>
    </cfRule>
    <cfRule type="cellIs" dxfId="454" priority="158" operator="lessThan">
      <formula>H70</formula>
    </cfRule>
    <cfRule type="cellIs" dxfId="453" priority="159" operator="greaterThanOrEqual">
      <formula>H70</formula>
    </cfRule>
    <cfRule type="cellIs" dxfId="452" priority="160" operator="greaterThanOrEqual">
      <formula>2</formula>
    </cfRule>
  </conditionalFormatting>
  <conditionalFormatting sqref="H73:AL73">
    <cfRule type="expression" dxfId="451" priority="155">
      <formula>H72=""</formula>
    </cfRule>
    <cfRule type="cellIs" dxfId="450" priority="156" operator="lessThan">
      <formula>H72</formula>
    </cfRule>
    <cfRule type="cellIs" dxfId="449" priority="157" operator="greaterThanOrEqual">
      <formula>H72</formula>
    </cfRule>
  </conditionalFormatting>
  <conditionalFormatting sqref="H75:AL75 H78:AL78 H80:AL80">
    <cfRule type="expression" dxfId="448" priority="127">
      <formula>H$9&gt;$C$7</formula>
    </cfRule>
  </conditionalFormatting>
  <conditionalFormatting sqref="H75:AL75">
    <cfRule type="expression" dxfId="447" priority="137">
      <formula>H74=""</formula>
    </cfRule>
    <cfRule type="cellIs" dxfId="446" priority="139" operator="greaterThanOrEqual">
      <formula>H74</formula>
    </cfRule>
    <cfRule type="cellIs" dxfId="445" priority="138" operator="lessThan">
      <formula>H74</formula>
    </cfRule>
  </conditionalFormatting>
  <conditionalFormatting sqref="H78:AL78">
    <cfRule type="expression" dxfId="444" priority="128">
      <formula>H77=""</formula>
    </cfRule>
    <cfRule type="cellIs" dxfId="443" priority="133" operator="greaterThanOrEqual">
      <formula>H77</formula>
    </cfRule>
    <cfRule type="cellIs" dxfId="442" priority="132" operator="lessThan">
      <formula>H77</formula>
    </cfRule>
    <cfRule type="cellIs" dxfId="441" priority="134" operator="greaterThanOrEqual">
      <formula>2</formula>
    </cfRule>
    <cfRule type="cellIs" dxfId="440" priority="135" operator="between">
      <formula>1.6</formula>
      <formula>2</formula>
    </cfRule>
    <cfRule type="cellIs" dxfId="439" priority="136" operator="greaterThanOrEqual">
      <formula>0.6</formula>
    </cfRule>
  </conditionalFormatting>
  <conditionalFormatting sqref="H80:AL80">
    <cfRule type="expression" dxfId="438" priority="129">
      <formula>H79=""</formula>
    </cfRule>
    <cfRule type="cellIs" dxfId="437" priority="130" operator="lessThan">
      <formula>H79</formula>
    </cfRule>
    <cfRule type="cellIs" dxfId="436" priority="131" operator="greaterThanOrEqual">
      <formula>H79</formula>
    </cfRule>
  </conditionalFormatting>
  <conditionalFormatting sqref="H82:AL82 H85:AL85 H87:AL87">
    <cfRule type="expression" dxfId="435" priority="101">
      <formula>H$9&gt;$C$7</formula>
    </cfRule>
  </conditionalFormatting>
  <conditionalFormatting sqref="H82:AL82">
    <cfRule type="cellIs" dxfId="434" priority="113" operator="greaterThanOrEqual">
      <formula>H81</formula>
    </cfRule>
    <cfRule type="cellIs" dxfId="433" priority="112" operator="lessThan">
      <formula>H81</formula>
    </cfRule>
    <cfRule type="expression" dxfId="432" priority="111">
      <formula>H81=""</formula>
    </cfRule>
  </conditionalFormatting>
  <conditionalFormatting sqref="H85:AL85">
    <cfRule type="expression" dxfId="431" priority="102">
      <formula>H84=""</formula>
    </cfRule>
    <cfRule type="cellIs" dxfId="430" priority="110" operator="greaterThanOrEqual">
      <formula>0.6</formula>
    </cfRule>
    <cfRule type="cellIs" dxfId="429" priority="107" operator="greaterThanOrEqual">
      <formula>H84</formula>
    </cfRule>
    <cfRule type="cellIs" dxfId="428" priority="109" operator="between">
      <formula>1.6</formula>
      <formula>2</formula>
    </cfRule>
    <cfRule type="cellIs" dxfId="427" priority="106" operator="lessThan">
      <formula>H84</formula>
    </cfRule>
    <cfRule type="cellIs" dxfId="426" priority="108" operator="greaterThanOrEqual">
      <formula>2</formula>
    </cfRule>
  </conditionalFormatting>
  <conditionalFormatting sqref="H87:AL87">
    <cfRule type="expression" dxfId="425" priority="103">
      <formula>H86=""</formula>
    </cfRule>
    <cfRule type="cellIs" dxfId="424" priority="105" operator="greaterThanOrEqual">
      <formula>H86</formula>
    </cfRule>
    <cfRule type="cellIs" dxfId="423" priority="104" operator="lessThan">
      <formula>H86</formula>
    </cfRule>
  </conditionalFormatting>
  <conditionalFormatting sqref="H89:AL89 H94:AL94">
    <cfRule type="expression" dxfId="422" priority="81">
      <formula>H$9&gt;$C$7</formula>
    </cfRule>
  </conditionalFormatting>
  <conditionalFormatting sqref="H89:AL89">
    <cfRule type="cellIs" dxfId="421" priority="87" operator="greaterThanOrEqual">
      <formula>H88</formula>
    </cfRule>
    <cfRule type="cellIs" dxfId="420" priority="86" operator="lessThan">
      <formula>H88</formula>
    </cfRule>
    <cfRule type="expression" dxfId="419" priority="85">
      <formula>H88=""</formula>
    </cfRule>
  </conditionalFormatting>
  <conditionalFormatting sqref="H92:AL92">
    <cfRule type="expression" dxfId="418" priority="12">
      <formula>H$9&gt;$C$7</formula>
    </cfRule>
    <cfRule type="cellIs" dxfId="417" priority="14" operator="lessThan">
      <formula>H91</formula>
    </cfRule>
    <cfRule type="cellIs" dxfId="416" priority="15" operator="greaterThanOrEqual">
      <formula>H91</formula>
    </cfRule>
    <cfRule type="cellIs" dxfId="415" priority="16" operator="greaterThanOrEqual">
      <formula>2</formula>
    </cfRule>
    <cfRule type="expression" dxfId="414" priority="13">
      <formula>H91=""</formula>
    </cfRule>
    <cfRule type="cellIs" dxfId="413" priority="17" operator="between">
      <formula>1.6</formula>
      <formula>2</formula>
    </cfRule>
    <cfRule type="cellIs" dxfId="412" priority="18" operator="greaterThanOrEqual">
      <formula>0.6</formula>
    </cfRule>
  </conditionalFormatting>
  <conditionalFormatting sqref="H94:AL94">
    <cfRule type="cellIs" dxfId="411" priority="84" operator="greaterThanOrEqual">
      <formula>H93</formula>
    </cfRule>
    <cfRule type="expression" dxfId="410" priority="82">
      <formula>H93=""</formula>
    </cfRule>
    <cfRule type="cellIs" dxfId="409" priority="83" operator="lessThan">
      <formula>H93</formula>
    </cfRule>
  </conditionalFormatting>
  <conditionalFormatting sqref="H99:AL99">
    <cfRule type="cellIs" dxfId="408" priority="64" operator="greaterThanOrEqual">
      <formula>0.6</formula>
    </cfRule>
    <cfRule type="cellIs" dxfId="407" priority="63" operator="between">
      <formula>1.6</formula>
      <formula>2</formula>
    </cfRule>
    <cfRule type="cellIs" dxfId="406" priority="62" operator="greaterThanOrEqual">
      <formula>2</formula>
    </cfRule>
    <cfRule type="cellIs" dxfId="405" priority="61" operator="greaterThanOrEqual">
      <formula>H98</formula>
    </cfRule>
    <cfRule type="cellIs" dxfId="404" priority="60" operator="lessThan">
      <formula>H98</formula>
    </cfRule>
    <cfRule type="expression" dxfId="403" priority="56">
      <formula>H98=""</formula>
    </cfRule>
  </conditionalFormatting>
  <conditionalFormatting sqref="H101:AL101">
    <cfRule type="expression" dxfId="402" priority="57">
      <formula>H100=""</formula>
    </cfRule>
    <cfRule type="cellIs" dxfId="401" priority="58" operator="lessThan">
      <formula>H100</formula>
    </cfRule>
    <cfRule type="cellIs" dxfId="400" priority="59" operator="greaterThanOrEqual">
      <formula>H100</formula>
    </cfRule>
  </conditionalFormatting>
  <conditionalFormatting sqref="H103:AL103 H106:AL106 H108:AL108">
    <cfRule type="expression" dxfId="399" priority="29">
      <formula>H$9&gt;$C$7</formula>
    </cfRule>
  </conditionalFormatting>
  <conditionalFormatting sqref="H103:AL103">
    <cfRule type="cellIs" dxfId="398" priority="41" operator="greaterThanOrEqual">
      <formula>H102</formula>
    </cfRule>
    <cfRule type="cellIs" dxfId="397" priority="40" operator="lessThan">
      <formula>H102</formula>
    </cfRule>
    <cfRule type="expression" dxfId="396" priority="39">
      <formula>H102=""</formula>
    </cfRule>
  </conditionalFormatting>
  <conditionalFormatting sqref="H106:AL106">
    <cfRule type="expression" dxfId="395" priority="30">
      <formula>H105=""</formula>
    </cfRule>
    <cfRule type="cellIs" dxfId="394" priority="34" operator="lessThan">
      <formula>H105</formula>
    </cfRule>
    <cfRule type="cellIs" dxfId="393" priority="35" operator="greaterThanOrEqual">
      <formula>H105</formula>
    </cfRule>
    <cfRule type="cellIs" dxfId="392" priority="36" operator="greaterThanOrEqual">
      <formula>2</formula>
    </cfRule>
    <cfRule type="cellIs" dxfId="391" priority="37" operator="between">
      <formula>1.6</formula>
      <formula>2</formula>
    </cfRule>
    <cfRule type="cellIs" dxfId="390" priority="38" operator="greaterThanOrEqual">
      <formula>0.6</formula>
    </cfRule>
  </conditionalFormatting>
  <conditionalFormatting sqref="H108:AL108">
    <cfRule type="cellIs" dxfId="389" priority="33" operator="greaterThanOrEqual">
      <formula>H107</formula>
    </cfRule>
    <cfRule type="expression" dxfId="388" priority="31">
      <formula>H107=""</formula>
    </cfRule>
    <cfRule type="cellIs" dxfId="387" priority="32" operator="lessThan">
      <formula>H107</formula>
    </cfRule>
  </conditionalFormatting>
  <conditionalFormatting sqref="I13:AL13">
    <cfRule type="cellIs" dxfId="386" priority="209" operator="greaterThanOrEqual">
      <formula>0.6</formula>
    </cfRule>
  </conditionalFormatting>
  <conditionalFormatting sqref="I15:AL15">
    <cfRule type="cellIs" dxfId="385" priority="206" operator="lessThan">
      <formula>I14</formula>
    </cfRule>
    <cfRule type="cellIs" dxfId="384" priority="207" operator="greaterThanOrEqual">
      <formula>I14</formula>
    </cfRule>
  </conditionalFormatting>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9A067-ACDC-44FE-9B39-04724D2E9134}">
  <dimension ref="A1:AN108"/>
  <sheetViews>
    <sheetView zoomScale="70" zoomScaleNormal="70" workbookViewId="0">
      <selection activeCell="S13" sqref="S13"/>
    </sheetView>
  </sheetViews>
  <sheetFormatPr defaultRowHeight="15" x14ac:dyDescent="0.25"/>
  <sheetData>
    <row r="1" spans="1:39" ht="15.75" thickBot="1" x14ac:dyDescent="0.3">
      <c r="A1" s="182"/>
      <c r="B1" s="181"/>
      <c r="C1" s="341"/>
      <c r="D1" s="341"/>
      <c r="E1" s="182"/>
      <c r="F1" s="182"/>
      <c r="G1" s="182"/>
      <c r="H1" s="675"/>
      <c r="I1" s="182"/>
      <c r="J1" s="341"/>
      <c r="K1" s="341"/>
      <c r="L1" s="341"/>
      <c r="M1" s="676"/>
      <c r="N1" s="677"/>
      <c r="O1" s="677"/>
      <c r="P1" s="182"/>
      <c r="Q1" s="182"/>
      <c r="R1" s="182"/>
      <c r="S1" s="182"/>
      <c r="T1" s="182"/>
      <c r="U1" s="182"/>
      <c r="V1" s="182"/>
      <c r="W1" s="182"/>
      <c r="X1" s="182"/>
      <c r="Y1" s="182"/>
      <c r="Z1" s="182"/>
      <c r="AA1" s="182"/>
      <c r="AB1" s="182"/>
      <c r="AC1" s="182"/>
      <c r="AD1" s="182"/>
      <c r="AE1" s="182"/>
      <c r="AF1" s="182"/>
      <c r="AG1" s="182"/>
      <c r="AH1" s="182"/>
      <c r="AI1" s="182"/>
      <c r="AJ1" s="182"/>
      <c r="AK1" s="182"/>
      <c r="AL1" s="182"/>
      <c r="AM1" s="182"/>
    </row>
    <row r="2" spans="1:39" ht="15.75" thickBot="1" x14ac:dyDescent="0.3">
      <c r="A2" s="182"/>
      <c r="B2" s="183" t="s">
        <v>221</v>
      </c>
      <c r="C2" s="182"/>
      <c r="D2" s="181"/>
      <c r="E2" s="240"/>
      <c r="F2" s="240"/>
      <c r="G2" s="181"/>
      <c r="H2" s="1647" t="s">
        <v>310</v>
      </c>
      <c r="I2" s="1648"/>
      <c r="J2" s="182"/>
      <c r="K2" s="1647" t="s">
        <v>311</v>
      </c>
      <c r="L2" s="1649"/>
      <c r="M2" s="1649"/>
      <c r="N2" s="1648"/>
      <c r="O2" s="677"/>
      <c r="P2" s="678" t="s">
        <v>312</v>
      </c>
      <c r="Q2" s="679"/>
      <c r="R2" s="679"/>
      <c r="S2" s="679"/>
      <c r="T2" s="680"/>
      <c r="U2" s="182"/>
      <c r="V2" s="182"/>
      <c r="W2" s="182"/>
      <c r="X2" s="182"/>
      <c r="Y2" s="182"/>
      <c r="Z2" s="182"/>
      <c r="AA2" s="182"/>
      <c r="AB2" s="182"/>
      <c r="AC2" s="182"/>
      <c r="AD2" s="182"/>
      <c r="AE2" s="182"/>
      <c r="AF2" s="182"/>
      <c r="AG2" s="182"/>
      <c r="AH2" s="182"/>
      <c r="AI2" s="182"/>
      <c r="AJ2" s="182"/>
      <c r="AK2" s="182"/>
      <c r="AL2" s="182"/>
      <c r="AM2" s="182"/>
    </row>
    <row r="3" spans="1:39" x14ac:dyDescent="0.25">
      <c r="A3" s="182"/>
      <c r="B3" s="244" t="s">
        <v>313</v>
      </c>
      <c r="C3" s="182"/>
      <c r="D3" s="342"/>
      <c r="E3" s="184"/>
      <c r="F3" s="240"/>
      <c r="G3" s="181"/>
      <c r="H3" s="1700" t="s">
        <v>314</v>
      </c>
      <c r="I3" s="1701"/>
      <c r="J3" s="182"/>
      <c r="K3" s="1673" t="s">
        <v>315</v>
      </c>
      <c r="L3" s="1674"/>
      <c r="M3" s="1674"/>
      <c r="N3" s="1675"/>
      <c r="O3" s="677"/>
      <c r="P3" s="245" t="s">
        <v>350</v>
      </c>
      <c r="Q3" s="246"/>
      <c r="R3" s="246"/>
      <c r="S3" s="246"/>
      <c r="T3" s="247"/>
      <c r="U3" s="182"/>
      <c r="V3" s="182"/>
      <c r="W3" s="182"/>
      <c r="X3" s="182"/>
      <c r="Y3" s="182"/>
      <c r="Z3" s="182"/>
      <c r="AA3" s="182"/>
      <c r="AB3" s="182"/>
      <c r="AC3" s="182"/>
      <c r="AD3" s="182"/>
      <c r="AE3" s="182"/>
      <c r="AF3" s="182"/>
      <c r="AG3" s="182"/>
      <c r="AH3" s="182"/>
      <c r="AI3" s="182"/>
      <c r="AJ3" s="182"/>
      <c r="AK3" s="182"/>
      <c r="AL3" s="182"/>
      <c r="AM3" s="182"/>
    </row>
    <row r="4" spans="1:39" ht="15.75" thickBot="1" x14ac:dyDescent="0.3">
      <c r="A4" s="182"/>
      <c r="B4" s="248" t="s">
        <v>351</v>
      </c>
      <c r="C4" s="182"/>
      <c r="D4" s="239"/>
      <c r="E4" s="184"/>
      <c r="F4" s="240"/>
      <c r="G4" s="181"/>
      <c r="H4" s="1702" t="s">
        <v>318</v>
      </c>
      <c r="I4" s="1703"/>
      <c r="J4" s="182"/>
      <c r="K4" s="1657" t="s">
        <v>319</v>
      </c>
      <c r="L4" s="1658"/>
      <c r="M4" s="1658"/>
      <c r="N4" s="1659"/>
      <c r="O4" s="677"/>
      <c r="P4" s="681" t="s">
        <v>352</v>
      </c>
      <c r="Q4" s="182"/>
      <c r="R4" s="182"/>
      <c r="S4" s="182"/>
      <c r="T4" s="251"/>
      <c r="U4" s="182"/>
      <c r="V4" s="182"/>
      <c r="W4" s="182"/>
      <c r="X4" s="182"/>
      <c r="Y4" s="182"/>
      <c r="Z4" s="182"/>
      <c r="AA4" s="182"/>
      <c r="AB4" s="182"/>
      <c r="AC4" s="182"/>
      <c r="AD4" s="182"/>
      <c r="AE4" s="182"/>
      <c r="AF4" s="182"/>
      <c r="AG4" s="182"/>
      <c r="AH4" s="182"/>
      <c r="AI4" s="182"/>
      <c r="AJ4" s="182"/>
      <c r="AK4" s="182"/>
      <c r="AL4" s="182"/>
      <c r="AM4" s="182"/>
    </row>
    <row r="5" spans="1:39" x14ac:dyDescent="0.25">
      <c r="A5" s="182"/>
      <c r="B5" s="252"/>
      <c r="C5" s="182"/>
      <c r="D5" s="239"/>
      <c r="E5" s="184"/>
      <c r="F5" s="240"/>
      <c r="G5" s="255"/>
      <c r="H5" s="182"/>
      <c r="I5" s="182"/>
      <c r="J5" s="182"/>
      <c r="K5" s="1640" t="s">
        <v>321</v>
      </c>
      <c r="L5" s="1641"/>
      <c r="M5" s="1641"/>
      <c r="N5" s="1642"/>
      <c r="O5" s="677"/>
      <c r="P5" s="681" t="s">
        <v>353</v>
      </c>
      <c r="Q5" s="182"/>
      <c r="R5" s="182"/>
      <c r="S5" s="182"/>
      <c r="T5" s="251"/>
      <c r="U5" s="182"/>
      <c r="V5" s="182"/>
      <c r="W5" s="182"/>
      <c r="X5" s="182"/>
      <c r="Y5" s="182"/>
      <c r="Z5" s="182"/>
      <c r="AA5" s="182"/>
      <c r="AB5" s="182"/>
      <c r="AC5" s="182"/>
      <c r="AD5" s="182"/>
      <c r="AE5" s="182"/>
      <c r="AF5" s="182"/>
      <c r="AG5" s="182"/>
      <c r="AH5" s="182"/>
      <c r="AI5" s="182"/>
      <c r="AJ5" s="182"/>
      <c r="AK5" s="182"/>
      <c r="AL5" s="182"/>
      <c r="AM5" s="182"/>
    </row>
    <row r="6" spans="1:39" ht="15.75" thickBot="1" x14ac:dyDescent="0.3">
      <c r="A6" s="182"/>
      <c r="B6" s="185" t="s">
        <v>323</v>
      </c>
      <c r="C6" s="253">
        <v>45717</v>
      </c>
      <c r="D6" s="239"/>
      <c r="E6" s="184"/>
      <c r="F6" s="240"/>
      <c r="G6" s="255"/>
      <c r="H6" s="182"/>
      <c r="I6" s="182"/>
      <c r="J6" s="182"/>
      <c r="K6" s="1643" t="s">
        <v>324</v>
      </c>
      <c r="L6" s="1644"/>
      <c r="M6" s="1644"/>
      <c r="N6" s="1645"/>
      <c r="O6" s="677"/>
      <c r="P6" s="682" t="s">
        <v>354</v>
      </c>
      <c r="Q6" s="182"/>
      <c r="R6" s="182"/>
      <c r="S6" s="182"/>
      <c r="T6" s="251"/>
      <c r="U6" s="182"/>
      <c r="V6" s="182"/>
      <c r="W6" s="182"/>
      <c r="X6" s="182"/>
      <c r="Y6" s="182"/>
      <c r="Z6" s="182"/>
      <c r="AA6" s="182"/>
      <c r="AB6" s="182"/>
      <c r="AC6" s="182"/>
      <c r="AD6" s="182"/>
      <c r="AE6" s="182"/>
      <c r="AF6" s="182"/>
      <c r="AG6" s="182"/>
      <c r="AH6" s="182"/>
      <c r="AI6" s="182"/>
      <c r="AJ6" s="182"/>
      <c r="AK6" s="182"/>
      <c r="AL6" s="182"/>
      <c r="AM6" s="182"/>
    </row>
    <row r="7" spans="1:39" ht="15.75" thickBot="1" x14ac:dyDescent="0.3">
      <c r="A7" s="182"/>
      <c r="B7" s="185" t="s">
        <v>326</v>
      </c>
      <c r="C7" s="254">
        <v>31</v>
      </c>
      <c r="D7" s="239"/>
      <c r="E7" s="184"/>
      <c r="F7" s="240"/>
      <c r="G7" s="255"/>
      <c r="H7" s="181"/>
      <c r="I7" s="181"/>
      <c r="J7" s="182"/>
      <c r="K7" s="182"/>
      <c r="L7" s="182"/>
      <c r="M7" s="182"/>
      <c r="N7" s="182"/>
      <c r="O7" s="182"/>
      <c r="P7" s="683" t="s">
        <v>355</v>
      </c>
      <c r="Q7" s="684"/>
      <c r="R7" s="684"/>
      <c r="S7" s="684"/>
      <c r="T7" s="258"/>
      <c r="U7" s="182"/>
      <c r="V7" s="182"/>
      <c r="W7" s="182"/>
      <c r="X7" s="182"/>
      <c r="Y7" s="182"/>
      <c r="Z7" s="182"/>
      <c r="AA7" s="182"/>
      <c r="AB7" s="182"/>
      <c r="AC7" s="182"/>
      <c r="AD7" s="182"/>
      <c r="AE7" s="182"/>
      <c r="AF7" s="182"/>
      <c r="AG7" s="182"/>
      <c r="AH7" s="182"/>
      <c r="AI7" s="182"/>
      <c r="AJ7" s="182"/>
      <c r="AK7" s="182"/>
      <c r="AL7" s="182"/>
      <c r="AM7" s="182"/>
    </row>
    <row r="8" spans="1:39" ht="15.75" thickBot="1" x14ac:dyDescent="0.3">
      <c r="A8" s="182"/>
      <c r="B8" s="185"/>
      <c r="C8" s="185"/>
      <c r="D8" s="185"/>
      <c r="E8" s="184"/>
      <c r="F8" s="240"/>
      <c r="G8" s="255"/>
      <c r="H8" s="181"/>
      <c r="I8" s="181"/>
      <c r="J8" s="182"/>
      <c r="K8" s="182"/>
      <c r="L8" s="182"/>
      <c r="M8" s="182"/>
      <c r="N8" s="182"/>
      <c r="O8" s="182"/>
      <c r="P8" s="182"/>
      <c r="Q8" s="182"/>
      <c r="R8" s="182"/>
      <c r="S8" s="182"/>
      <c r="T8" s="182"/>
      <c r="U8" s="182"/>
      <c r="V8" s="182"/>
      <c r="W8" s="182"/>
      <c r="X8" s="182"/>
      <c r="Y8" s="182"/>
      <c r="Z8" s="182"/>
      <c r="AA8" s="182"/>
      <c r="AB8" s="182"/>
      <c r="AC8" s="182"/>
      <c r="AD8" s="182"/>
      <c r="AE8" s="182"/>
      <c r="AF8" s="182"/>
      <c r="AG8" s="182"/>
      <c r="AH8" s="182"/>
      <c r="AI8" s="182"/>
      <c r="AJ8" s="182"/>
      <c r="AK8" s="182"/>
      <c r="AL8" s="182"/>
      <c r="AM8" s="182"/>
    </row>
    <row r="9" spans="1:39" ht="15.75" thickBot="1" x14ac:dyDescent="0.3">
      <c r="A9" s="181"/>
      <c r="B9" s="262" t="s">
        <v>269</v>
      </c>
      <c r="C9" s="186" t="s">
        <v>303</v>
      </c>
      <c r="D9" s="187" t="s">
        <v>32</v>
      </c>
      <c r="E9" s="188" t="s">
        <v>262</v>
      </c>
      <c r="F9" s="181"/>
      <c r="G9" s="263" t="s">
        <v>328</v>
      </c>
      <c r="H9" s="264">
        <v>1</v>
      </c>
      <c r="I9" s="265">
        <v>2</v>
      </c>
      <c r="J9" s="265">
        <v>3</v>
      </c>
      <c r="K9" s="265">
        <v>4</v>
      </c>
      <c r="L9" s="265">
        <v>5</v>
      </c>
      <c r="M9" s="265">
        <v>6</v>
      </c>
      <c r="N9" s="265">
        <v>7</v>
      </c>
      <c r="O9" s="265">
        <v>8</v>
      </c>
      <c r="P9" s="265">
        <v>9</v>
      </c>
      <c r="Q9" s="265">
        <v>10</v>
      </c>
      <c r="R9" s="265">
        <v>11</v>
      </c>
      <c r="S9" s="265">
        <v>12</v>
      </c>
      <c r="T9" s="265">
        <v>13</v>
      </c>
      <c r="U9" s="265">
        <v>14</v>
      </c>
      <c r="V9" s="265">
        <v>15</v>
      </c>
      <c r="W9" s="265">
        <v>16</v>
      </c>
      <c r="X9" s="265">
        <v>17</v>
      </c>
      <c r="Y9" s="265">
        <v>18</v>
      </c>
      <c r="Z9" s="265">
        <v>19</v>
      </c>
      <c r="AA9" s="265">
        <v>20</v>
      </c>
      <c r="AB9" s="265">
        <v>21</v>
      </c>
      <c r="AC9" s="265">
        <v>22</v>
      </c>
      <c r="AD9" s="265">
        <v>23</v>
      </c>
      <c r="AE9" s="265">
        <v>24</v>
      </c>
      <c r="AF9" s="265">
        <v>25</v>
      </c>
      <c r="AG9" s="265">
        <v>26</v>
      </c>
      <c r="AH9" s="265">
        <v>27</v>
      </c>
      <c r="AI9" s="265">
        <v>28</v>
      </c>
      <c r="AJ9" s="265">
        <v>29</v>
      </c>
      <c r="AK9" s="265">
        <v>30</v>
      </c>
      <c r="AL9" s="267">
        <v>31</v>
      </c>
      <c r="AM9" s="181"/>
    </row>
    <row r="10" spans="1:39" x14ac:dyDescent="0.25">
      <c r="A10" s="182"/>
      <c r="B10" s="268" t="s">
        <v>356</v>
      </c>
      <c r="C10" s="269">
        <f>SUM(H10:AL10)</f>
        <v>28910</v>
      </c>
      <c r="D10" s="270">
        <f>SUM(H11:AL11)</f>
        <v>26484.799999999996</v>
      </c>
      <c r="E10" s="271">
        <f>IFERROR((D10-C10)/C10,0)</f>
        <v>-8.388792805257711E-2</v>
      </c>
      <c r="F10" s="685"/>
      <c r="G10" s="272" t="s">
        <v>330</v>
      </c>
      <c r="H10" s="273">
        <f>IF(H$9&gt;$C$7,"",SUMIF($E$18:$E300,"Budget (t)",H$18:H300))</f>
        <v>875</v>
      </c>
      <c r="I10" s="686">
        <f>IF(I$9&gt;$C$7,"",SUMIF($E$18:$E300,"Budget (t)",I$18:I300))</f>
        <v>875</v>
      </c>
      <c r="J10" s="274">
        <f>IF(J$9&gt;$C$7,"",SUMIF($E$18:$E300,"Budget (t)",J$18:J300))</f>
        <v>875</v>
      </c>
      <c r="K10" s="274">
        <f>IF(K$9&gt;$C$7,"",SUMIF($E$18:$E300,"Budget (t)",K$18:K300))</f>
        <v>875</v>
      </c>
      <c r="L10" s="274">
        <f>IF(L$9&gt;$C$7,"",SUMIF($E$18:$E300,"Budget (t)",L$18:L300))</f>
        <v>875</v>
      </c>
      <c r="M10" s="274">
        <f>IF(M$9&gt;$C$7,"",SUMIF($E$18:$E300,"Budget (t)",M$18:M300))</f>
        <v>875</v>
      </c>
      <c r="N10" s="274">
        <f>IF(N$9&gt;$C$7,"",SUMIF($E$18:$E300,"Budget (t)",N$18:N300))</f>
        <v>875</v>
      </c>
      <c r="O10" s="274">
        <f>IF(O$9&gt;$C$7,"",SUMIF($E$18:$E300,"Budget (t)",O$18:O300))</f>
        <v>875</v>
      </c>
      <c r="P10" s="274">
        <f>IF(P$9&gt;$C$7,"",SUMIF($E$18:$E300,"Budget (t)",P$18:P300))</f>
        <v>875</v>
      </c>
      <c r="Q10" s="686">
        <f>IF(Q$9&gt;$C$7,"",SUMIF($E$18:$E300,"Budget (t)",Q$18:Q300))</f>
        <v>875</v>
      </c>
      <c r="R10" s="686">
        <f>IF(R$9&gt;$C$7,"",SUMIF($E$18:$E300,"Budget (t)",R$18:R300))</f>
        <v>875</v>
      </c>
      <c r="S10" s="686">
        <f>IF(S$9&gt;$C$7,"",SUMIF($E$18:$E300,"Budget (t)",S$18:S300))</f>
        <v>875</v>
      </c>
      <c r="T10" s="686">
        <f>IF(T$9&gt;$C$7,"",SUMIF($E$18:$E300,"Budget (t)",T$18:T300))</f>
        <v>875</v>
      </c>
      <c r="U10" s="686">
        <f>IF(U$9&gt;$C$7,"",SUMIF($E$18:$E300,"Budget (t)",U$18:U300))</f>
        <v>945</v>
      </c>
      <c r="V10" s="686">
        <f>IF(V$9&gt;$C$7,"",SUMIF($E$18:$E300,"Budget (t)",V$18:V300))</f>
        <v>910</v>
      </c>
      <c r="W10" s="686">
        <f>IF(W$9&gt;$C$7,"",SUMIF($E$18:$E300,"Budget (t)",W$18:W300))</f>
        <v>980</v>
      </c>
      <c r="X10" s="686">
        <f>IF(X$9&gt;$C$7,"",SUMIF($E$18:$E300,"Budget (t)",X$18:X300))</f>
        <v>980</v>
      </c>
      <c r="Y10" s="686">
        <f>IF(Y$9&gt;$C$7,"",SUMIF($E$18:$E300,"Budget (t)",Y$18:Y300))</f>
        <v>980</v>
      </c>
      <c r="Z10" s="686">
        <f>IF(Z$9&gt;$C$7,"",SUMIF($E$18:$E300,"Budget (t)",Z$18:Z300))</f>
        <v>980</v>
      </c>
      <c r="AA10" s="686">
        <f>IF(AA$9&gt;$C$7,"",SUMIF($E$18:$E300,"Budget (t)",AA$18:AA300))</f>
        <v>980</v>
      </c>
      <c r="AB10" s="686">
        <f>IF(AB$9&gt;$C$7,"",SUMIF($E$18:$E300,"Budget (t)",AB$18:AB300))</f>
        <v>980</v>
      </c>
      <c r="AC10" s="686">
        <f>IF(AC$9&gt;$C$7,"",SUMIF($E$18:$E300,"Budget (t)",AC$18:AC300))</f>
        <v>980</v>
      </c>
      <c r="AD10" s="687">
        <f>IF(AD$9&gt;$C$7,"",SUMIF($E$18:$E300,"Budget (t)",AD$18:AD300))</f>
        <v>980</v>
      </c>
      <c r="AE10" s="687">
        <f>IF(AE$9&gt;$C$7,"",SUMIF($E$18:$E300,"Budget (t)",AE$18:AE300))</f>
        <v>980</v>
      </c>
      <c r="AF10" s="687">
        <f>IF(AF$9&gt;$C$7,"",SUMIF($E$18:$E300,"Budget (t)",AF$18:AF300))</f>
        <v>980</v>
      </c>
      <c r="AG10" s="687">
        <f>IF(AG$9&gt;$C$7,"",SUMIF($E$18:$E300,"Budget (t)",AG$18:AG300))</f>
        <v>980</v>
      </c>
      <c r="AH10" s="687">
        <f>IF(AH$9&gt;$C$7,"",SUMIF($E$18:$E300,"Budget (t)",AH$18:AH300))</f>
        <v>980</v>
      </c>
      <c r="AI10" s="687">
        <f>IF(AI$9&gt;$C$7,"",SUMIF($E$18:$E300,"Budget (t)",AI$18:AI300))</f>
        <v>980</v>
      </c>
      <c r="AJ10" s="687">
        <f>IF(AJ$9&gt;$C$7,"",SUMIF($E$18:$E300,"Budget (t)",AJ$18:AJ300))</f>
        <v>980</v>
      </c>
      <c r="AK10" s="687">
        <f>IF(AK$9&gt;$C$7,"",SUMIF($E$18:$E300,"Budget (t)",AK$18:AK300))</f>
        <v>980</v>
      </c>
      <c r="AL10" s="688">
        <f>IF(AL$9&gt;$C$7,"",SUMIF($E$18:$E300,"Budget (t)",AL$18:AL300))</f>
        <v>980</v>
      </c>
      <c r="AM10" s="182"/>
    </row>
    <row r="11" spans="1:39" ht="15.75" thickBot="1" x14ac:dyDescent="0.3">
      <c r="A11" s="189"/>
      <c r="B11" s="1393" t="s">
        <v>2</v>
      </c>
      <c r="C11" s="1337">
        <f>IFERROR(C12*1000/C10,0)</f>
        <v>3.0460652328728086</v>
      </c>
      <c r="D11" s="786">
        <f>IFERROR(D12*1000/D10,0)</f>
        <v>2.4516100178215434</v>
      </c>
      <c r="E11" s="1548">
        <f t="shared" ref="E11" si="0">IFERROR((D11-C11)/C11,0)</f>
        <v>-0.19515511638948779</v>
      </c>
      <c r="F11" s="189"/>
      <c r="G11" s="263" t="s">
        <v>331</v>
      </c>
      <c r="H11" s="1289">
        <f>IF(H$9&gt;$C$7,"",SUMIF($E$18:$E300,"Actual (t)",H$18:H300))</f>
        <v>782</v>
      </c>
      <c r="I11" s="1338">
        <f>IF(I$9&gt;$C$7,"",SUMIF($E$18:$E300,"Actual (t)",I$18:I300))</f>
        <v>735</v>
      </c>
      <c r="J11" s="1339">
        <f>IF(J$9&gt;$C$7,"",SUMIF($E$18:$E300,"Actual (t)",J$18:J300))</f>
        <v>885.5</v>
      </c>
      <c r="K11" s="1339">
        <f>IF(K$9&gt;$C$7,"",SUMIF($E$18:$E300,"Actual (t)",K$18:K300))</f>
        <v>950</v>
      </c>
      <c r="L11" s="1339">
        <f>IF(L$9&gt;$C$7,"",SUMIF($E$18:$E300,"Actual (t)",L$18:L300))</f>
        <v>793</v>
      </c>
      <c r="M11" s="1339">
        <f>IF(M$9&gt;$C$7,"",SUMIF($E$18:$E300,"Actual (t)",M$18:M300))</f>
        <v>897.6</v>
      </c>
      <c r="N11" s="1339">
        <f>IF(N$9&gt;$C$7,"",SUMIF($E$18:$E300,"Actual (t)",N$18:N300))</f>
        <v>600.20000000000005</v>
      </c>
      <c r="O11" s="1339">
        <f>IF(O$9&gt;$C$7,"",SUMIF($E$18:$E300,"Actual (t)",O$18:O300))</f>
        <v>716</v>
      </c>
      <c r="P11" s="1339">
        <f>IF(P$9&gt;$C$7,"",SUMIF($E$18:$E300,"Actual (t)",P$18:P300))</f>
        <v>828</v>
      </c>
      <c r="Q11" s="1339">
        <f>IF(Q$9&gt;$C$7,"",SUMIF($E$18:$E300,"Actual (t)",Q$18:Q300))</f>
        <v>891</v>
      </c>
      <c r="R11" s="1339">
        <f>IF(R$9&gt;$C$7,"",SUMIF($E$18:$E300,"Actual (t)",R$18:R300))</f>
        <v>817.7</v>
      </c>
      <c r="S11" s="1339">
        <f>IF(S$9&gt;$C$7,"",SUMIF($E$18:$E300,"Actual (t)",S$18:S300))</f>
        <v>853.5</v>
      </c>
      <c r="T11" s="1339">
        <f>IF(T$9&gt;$C$7,"",SUMIF($E$18:$E300,"Actual (t)",T$18:T300))</f>
        <v>849</v>
      </c>
      <c r="U11" s="1339">
        <f>IF(U$9&gt;$C$7,"",SUMIF($E$18:$E300,"Actual (t)",U$18:U300))</f>
        <v>923</v>
      </c>
      <c r="V11" s="1339">
        <f>IF(V$9&gt;$C$7,"",SUMIF($E$18:$E300,"Actual (t)",V$18:V300))</f>
        <v>807</v>
      </c>
      <c r="W11" s="1339">
        <f>IF(W$9&gt;$C$7,"",SUMIF($E$18:$E300,"Actual (t)",W$18:W300))</f>
        <v>833</v>
      </c>
      <c r="X11" s="1339">
        <f>IF(X$9&gt;$C$7,"",SUMIF($E$18:$E300,"Actual (t)",X$18:X300))</f>
        <v>934</v>
      </c>
      <c r="Y11" s="1339">
        <f>IF(Y$9&gt;$C$7,"",SUMIF($E$18:$E300,"Actual (t)",Y$18:Y300))</f>
        <v>836</v>
      </c>
      <c r="Z11" s="1339">
        <f>IF(Z$9&gt;$C$7,"",SUMIF($E$18:$E300,"Actual (t)",Z$18:Z300))</f>
        <v>887.8</v>
      </c>
      <c r="AA11" s="1339">
        <f>IF(AA$9&gt;$C$7,"",SUMIF($E$18:$E300,"Actual (t)",AA$18:AA300))</f>
        <v>1041.0999999999999</v>
      </c>
      <c r="AB11" s="1339">
        <f>IF(AB$9&gt;$C$7,"",SUMIF($E$18:$E300,"Actual (t)",AB$18:AB300))</f>
        <v>1005</v>
      </c>
      <c r="AC11" s="1339">
        <f>IF(AC$9&gt;$C$7,"",SUMIF($E$18:$E300,"Actual (t)",AC$18:AC300))</f>
        <v>1017.8</v>
      </c>
      <c r="AD11" s="1339">
        <f>IF(AD$9&gt;$C$7,"",SUMIF($E$18:$E300,"Actual (t)",AD$18:AD300))</f>
        <v>927</v>
      </c>
      <c r="AE11" s="1339">
        <f>IF(AE$9&gt;$C$7,"",SUMIF($E$18:$E300,"Actual (t)",AE$18:AE300))</f>
        <v>722.19999999999993</v>
      </c>
      <c r="AF11" s="1339">
        <f>IF(AF$9&gt;$C$7,"",SUMIF($E$18:$E300,"Actual (t)",AF$18:AF300))</f>
        <v>927</v>
      </c>
      <c r="AG11" s="1339">
        <f>IF(AG$9&gt;$C$7,"",SUMIF($E$18:$E300,"Actual (t)",AG$18:AG300))</f>
        <v>857.6</v>
      </c>
      <c r="AH11" s="1339">
        <f>IF(AH$9&gt;$C$7,"",SUMIF($E$18:$E300,"Actual (t)",AH$18:AH300))</f>
        <v>974.2</v>
      </c>
      <c r="AI11" s="1339">
        <f>IF(AI$9&gt;$C$7,"",SUMIF($E$18:$E300,"Actual (t)",AI$18:AI300))</f>
        <v>793.8</v>
      </c>
      <c r="AJ11" s="1339">
        <f>IF(AJ$9&gt;$C$7,"",SUMIF($E$18:$E300,"Actual (t)",AJ$18:AJ300))</f>
        <v>795</v>
      </c>
      <c r="AK11" s="1339">
        <f>IF(AK$9&gt;$C$7,"",SUMIF($E$18:$E300,"Actual (t)",AK$18:AK300))</f>
        <v>880.8</v>
      </c>
      <c r="AL11" s="1340">
        <f>IF(AL$9&gt;$C$7,"",SUMIF($E$18:$E300,"Actual (t)",AL$18:AL300))</f>
        <v>724</v>
      </c>
      <c r="AM11" s="189"/>
    </row>
    <row r="12" spans="1:39" ht="15.75" thickBot="1" x14ac:dyDescent="0.3">
      <c r="A12" s="190"/>
      <c r="B12" s="1376" t="s">
        <v>3</v>
      </c>
      <c r="C12" s="1293">
        <f>SUM(H14:AL14)</f>
        <v>88.061745882352895</v>
      </c>
      <c r="D12" s="1294">
        <f>SUM(H15:AL15)</f>
        <v>64.930401000000003</v>
      </c>
      <c r="E12" s="1295">
        <f>IFERROR((D12-C12)/C12,0)</f>
        <v>-0.26267188607929121</v>
      </c>
      <c r="F12" s="190"/>
      <c r="G12" s="272" t="s">
        <v>332</v>
      </c>
      <c r="H12" s="689">
        <f t="shared" ref="H12:AL13" si="1">IFERROR(H14*1000/H10,"")</f>
        <v>1.7296</v>
      </c>
      <c r="I12" s="690">
        <f t="shared" si="1"/>
        <v>3.1173929411764707</v>
      </c>
      <c r="J12" s="690">
        <f t="shared" si="1"/>
        <v>3.1173929411764707</v>
      </c>
      <c r="K12" s="690">
        <f t="shared" si="1"/>
        <v>3.1173929411764707</v>
      </c>
      <c r="L12" s="690">
        <f t="shared" si="1"/>
        <v>3.1173929411764707</v>
      </c>
      <c r="M12" s="690">
        <f t="shared" si="1"/>
        <v>3.1173929411764707</v>
      </c>
      <c r="N12" s="691">
        <f t="shared" si="1"/>
        <v>3.1173929411764707</v>
      </c>
      <c r="O12" s="691">
        <f t="shared" si="1"/>
        <v>3.1173929411764707</v>
      </c>
      <c r="P12" s="691">
        <f t="shared" si="1"/>
        <v>3.1173929411764707</v>
      </c>
      <c r="Q12" s="690">
        <f t="shared" si="1"/>
        <v>3.1173929411764707</v>
      </c>
      <c r="R12" s="690">
        <f t="shared" si="1"/>
        <v>3.1173929411764707</v>
      </c>
      <c r="S12" s="690">
        <f t="shared" si="1"/>
        <v>3.1173929411764707</v>
      </c>
      <c r="T12" s="690">
        <f t="shared" si="1"/>
        <v>3.1173929411764707</v>
      </c>
      <c r="U12" s="690">
        <f t="shared" si="1"/>
        <v>3.1716601307189545</v>
      </c>
      <c r="V12" s="690">
        <f t="shared" si="1"/>
        <v>3.1574932126696833</v>
      </c>
      <c r="W12" s="690">
        <f t="shared" si="1"/>
        <v>3.0762436974789917</v>
      </c>
      <c r="X12" s="690">
        <f>IFERROR(X14*1000/X10,"")</f>
        <v>3.0762436974789917</v>
      </c>
      <c r="Y12" s="690">
        <f t="shared" si="1"/>
        <v>3.0762436974789917</v>
      </c>
      <c r="Z12" s="690">
        <f t="shared" si="1"/>
        <v>2.9319579831932776</v>
      </c>
      <c r="AA12" s="690">
        <f t="shared" si="1"/>
        <v>3.0762436974789917</v>
      </c>
      <c r="AB12" s="690">
        <f t="shared" si="1"/>
        <v>3.0762436974789917</v>
      </c>
      <c r="AC12" s="690">
        <f t="shared" si="1"/>
        <v>3.0762436974789917</v>
      </c>
      <c r="AD12" s="692">
        <f t="shared" si="1"/>
        <v>3.0762436974789917</v>
      </c>
      <c r="AE12" s="692">
        <f t="shared" si="1"/>
        <v>3.0762436974789917</v>
      </c>
      <c r="AF12" s="692">
        <f t="shared" si="1"/>
        <v>3.0762436974789917</v>
      </c>
      <c r="AG12" s="692">
        <f t="shared" si="1"/>
        <v>2.9242857142857144</v>
      </c>
      <c r="AH12" s="692">
        <f t="shared" si="1"/>
        <v>3.0762436974789917</v>
      </c>
      <c r="AI12" s="692">
        <f t="shared" si="1"/>
        <v>3.0762436974789917</v>
      </c>
      <c r="AJ12" s="692">
        <f t="shared" si="1"/>
        <v>3.0762436974789917</v>
      </c>
      <c r="AK12" s="692">
        <f t="shared" si="1"/>
        <v>3.0762436974789917</v>
      </c>
      <c r="AL12" s="693">
        <f t="shared" si="1"/>
        <v>3.0762436974789917</v>
      </c>
      <c r="AM12" s="190"/>
    </row>
    <row r="13" spans="1:39" ht="15.75" thickBot="1" x14ac:dyDescent="0.3">
      <c r="A13" s="191"/>
      <c r="B13" s="191"/>
      <c r="C13" s="191"/>
      <c r="D13" s="191"/>
      <c r="E13" s="191"/>
      <c r="F13" s="191"/>
      <c r="G13" s="282" t="s">
        <v>333</v>
      </c>
      <c r="H13" s="1341">
        <f t="shared" si="1"/>
        <v>2.0643887468030693</v>
      </c>
      <c r="I13" s="1342">
        <f t="shared" si="1"/>
        <v>2.1078775510204082</v>
      </c>
      <c r="J13" s="1300">
        <f t="shared" si="1"/>
        <v>2.3528063241106723</v>
      </c>
      <c r="K13" s="1300">
        <f t="shared" si="1"/>
        <v>2.2686210526315786</v>
      </c>
      <c r="L13" s="1300">
        <f t="shared" si="1"/>
        <v>1.9642244640605295</v>
      </c>
      <c r="M13" s="1300">
        <f t="shared" si="1"/>
        <v>1.7373573975044561</v>
      </c>
      <c r="N13" s="1300">
        <f t="shared" si="1"/>
        <v>2.0119926691102967</v>
      </c>
      <c r="O13" s="1300">
        <f t="shared" si="1"/>
        <v>1.5777374301675975</v>
      </c>
      <c r="P13" s="1300">
        <f t="shared" si="1"/>
        <v>2.1455615942028983</v>
      </c>
      <c r="Q13" s="1300">
        <f t="shared" si="1"/>
        <v>2.0297755331088667</v>
      </c>
      <c r="R13" s="1300">
        <f t="shared" si="1"/>
        <v>3.1084346337287516</v>
      </c>
      <c r="S13" s="1300">
        <f t="shared" si="1"/>
        <v>1.9642296426479204</v>
      </c>
      <c r="T13" s="1300">
        <f t="shared" si="1"/>
        <v>2.366866902237927</v>
      </c>
      <c r="U13" s="1300">
        <f t="shared" si="1"/>
        <v>2.8839219934994578</v>
      </c>
      <c r="V13" s="1300">
        <f t="shared" si="1"/>
        <v>3.3350061957868649</v>
      </c>
      <c r="W13" s="1300">
        <f t="shared" si="1"/>
        <v>2.5581032412965192</v>
      </c>
      <c r="X13" s="1300">
        <f>IFERROR(X15*1000/X11,"")</f>
        <v>2.5588222698072802</v>
      </c>
      <c r="Y13" s="1300">
        <f t="shared" si="1"/>
        <v>3.5612440191387558</v>
      </c>
      <c r="Z13" s="1300">
        <f t="shared" si="1"/>
        <v>3.4410250056318987</v>
      </c>
      <c r="AA13" s="1300">
        <f t="shared" si="1"/>
        <v>2.5984295456728463</v>
      </c>
      <c r="AB13" s="1300">
        <f t="shared" si="1"/>
        <v>2.8817034825870649</v>
      </c>
      <c r="AC13" s="1300">
        <f t="shared" si="1"/>
        <v>2.5250009825112989</v>
      </c>
      <c r="AD13" s="1300">
        <f t="shared" si="1"/>
        <v>2.9486947141316078</v>
      </c>
      <c r="AE13" s="1300">
        <f t="shared" si="1"/>
        <v>1.6676183882581004</v>
      </c>
      <c r="AF13" s="1300">
        <f t="shared" si="1"/>
        <v>1.7615426105717369</v>
      </c>
      <c r="AG13" s="1300">
        <f t="shared" si="1"/>
        <v>2.6197551305970146</v>
      </c>
      <c r="AH13" s="1300">
        <f t="shared" si="1"/>
        <v>2.7137384520632315</v>
      </c>
      <c r="AI13" s="1300">
        <f t="shared" si="1"/>
        <v>2.2289266817838245</v>
      </c>
      <c r="AJ13" s="1300">
        <f t="shared" si="1"/>
        <v>2.433617610062893</v>
      </c>
      <c r="AK13" s="1300">
        <f t="shared" si="1"/>
        <v>2.6543869209809259</v>
      </c>
      <c r="AL13" s="1343">
        <f t="shared" si="1"/>
        <v>2.3209668508287296</v>
      </c>
      <c r="AM13" s="191"/>
    </row>
    <row r="14" spans="1:39" x14ac:dyDescent="0.25">
      <c r="A14" s="192"/>
      <c r="B14" s="694"/>
      <c r="C14" s="192"/>
      <c r="D14" s="192"/>
      <c r="E14" s="192"/>
      <c r="F14" s="192"/>
      <c r="G14" s="283" t="s">
        <v>334</v>
      </c>
      <c r="H14" s="284">
        <f>IF(H$9&gt;$C$7,"",SUMIF($E$18:$E300,"Budget (kg)",H$18:H300))</f>
        <v>1.5134000000000001</v>
      </c>
      <c r="I14" s="695">
        <f>IF(I$9&gt;$C$7,"",SUMIF($E$18:$E300,"Budget (kg)",I$18:I300))</f>
        <v>2.7277188235294121</v>
      </c>
      <c r="J14" s="285">
        <f>IF(J$9&gt;$C$7,"",SUMIF($E$18:$E300,"Budget (kg)",J$18:J300))</f>
        <v>2.7277188235294121</v>
      </c>
      <c r="K14" s="285">
        <f>IF(K$9&gt;$C$7,"",SUMIF($E$18:$E300,"Budget (kg)",K$18:K300))</f>
        <v>2.7277188235294121</v>
      </c>
      <c r="L14" s="285">
        <f>IF(L$9&gt;$C$7,"",SUMIF($E$18:$E300,"Budget (kg)",L$18:L300))</f>
        <v>2.7277188235294121</v>
      </c>
      <c r="M14" s="285">
        <f>IF(M$9&gt;$C$7,"",SUMIF($E$18:$E300,"Budget (kg)",M$18:M300))</f>
        <v>2.7277188235294121</v>
      </c>
      <c r="N14" s="285">
        <f>IF(N$9&gt;$C$7,"",SUMIF($E$18:$E300,"Budget (kg)",N$18:N300))</f>
        <v>2.7277188235294121</v>
      </c>
      <c r="O14" s="285">
        <f>IF(O$9&gt;$C$7,"",SUMIF($E$18:$E300,"Budget (kg)",O$18:O300))</f>
        <v>2.7277188235294121</v>
      </c>
      <c r="P14" s="285">
        <f>IF(P$9&gt;$C$7,"",SUMIF($E$18:$E300,"Budget (kg)",P$18:P300))</f>
        <v>2.7277188235294121</v>
      </c>
      <c r="Q14" s="695">
        <f>IF(Q$9&gt;$C$7,"",SUMIF($E$18:$E300,"Budget (kg)",Q$18:Q300))</f>
        <v>2.7277188235294121</v>
      </c>
      <c r="R14" s="695">
        <f>IF(R$9&gt;$C$7,"",SUMIF($E$18:$E300,"Budget (kg)",R$18:R300))</f>
        <v>2.7277188235294121</v>
      </c>
      <c r="S14" s="695">
        <f>IF(S$9&gt;$C$7,"",SUMIF($E$18:$E300,"Budget (kg)",S$18:S300))</f>
        <v>2.7277188235294121</v>
      </c>
      <c r="T14" s="695">
        <f>IF(T$9&gt;$C$7,"",SUMIF($E$18:$E300,"Budget (kg)",T$18:T300))</f>
        <v>2.7277188235294121</v>
      </c>
      <c r="U14" s="695">
        <f>IF(U$9&gt;$C$7,"",SUMIF($E$18:$E300,"Budget (kg)",U$18:U300))</f>
        <v>2.9972188235294119</v>
      </c>
      <c r="V14" s="695">
        <f>IF(V$9&gt;$C$7,"",SUMIF($E$18:$E300,"Budget (kg)",V$18:V300))</f>
        <v>2.873318823529412</v>
      </c>
      <c r="W14" s="695">
        <f>IF(W$9&gt;$C$7,"",SUMIF($E$18:$E300,"Budget (kg)",W$18:W300))</f>
        <v>3.014718823529412</v>
      </c>
      <c r="X14" s="695">
        <f>IF(X$9&gt;$C$7,"",SUMIF($E$18:$E300,"Budget (kg)",X$18:X300))</f>
        <v>3.014718823529412</v>
      </c>
      <c r="Y14" s="695">
        <f>IF(Y$9&gt;$C$7,"",SUMIF($E$18:$E300,"Budget (kg)",Y$18:Y300))</f>
        <v>3.014718823529412</v>
      </c>
      <c r="Z14" s="695">
        <f>IF(Z$9&gt;$C$7,"",SUMIF($E$18:$E300,"Budget (kg)",Z$18:Z300))</f>
        <v>2.873318823529412</v>
      </c>
      <c r="AA14" s="695">
        <f>IF(AA$9&gt;$C$7,"",SUMIF($E$18:$E300,"Budget (kg)",AA$18:AA300))</f>
        <v>3.014718823529412</v>
      </c>
      <c r="AB14" s="695">
        <f>IF(AB$9&gt;$C$7,"",SUMIF($E$18:$E300,"Budget (kg)",AB$18:AB300))</f>
        <v>3.014718823529412</v>
      </c>
      <c r="AC14" s="695">
        <f>IF(AC$9&gt;$C$7,"",SUMIF($E$18:$E300,"Budget (kg)",AC$18:AC300))</f>
        <v>3.014718823529412</v>
      </c>
      <c r="AD14" s="696">
        <f>IF(AD$9&gt;$C$7,"",SUMIF($E$18:$E300,"Budget (kg)",AD$18:AD300))</f>
        <v>3.014718823529412</v>
      </c>
      <c r="AE14" s="696">
        <f>IF(AE$9&gt;$C$7,"",SUMIF($E$18:$E300,"Budget (kg)",AE$18:AE300))</f>
        <v>3.014718823529412</v>
      </c>
      <c r="AF14" s="696">
        <f>IF(AF$9&gt;$C$7,"",SUMIF($E$18:$E300,"Budget (kg)",AF$18:AF300))</f>
        <v>3.014718823529412</v>
      </c>
      <c r="AG14" s="696">
        <f>IF(AG$9&gt;$C$7,"",SUMIF($E$18:$E300,"Budget (kg)",AG$18:AG300))</f>
        <v>2.8658000000000001</v>
      </c>
      <c r="AH14" s="696">
        <f>IF(AH$9&gt;$C$7,"",SUMIF($E$18:$E300,"Budget (kg)",AH$18:AH300))</f>
        <v>3.014718823529412</v>
      </c>
      <c r="AI14" s="696">
        <f>IF(AI$9&gt;$C$7,"",SUMIF($E$18:$E300,"Budget (kg)",AI$18:AI300))</f>
        <v>3.014718823529412</v>
      </c>
      <c r="AJ14" s="696">
        <f>IF(AJ$9&gt;$C$7,"",SUMIF($E$18:$E300,"Budget (kg)",AJ$18:AJ300))</f>
        <v>3.014718823529412</v>
      </c>
      <c r="AK14" s="696">
        <f>IF(AK$9&gt;$C$7,"",SUMIF($E$18:$E300,"Budget (kg)",AK$18:AK300))</f>
        <v>3.014718823529412</v>
      </c>
      <c r="AL14" s="697">
        <f>IF(AL$9&gt;$C$7,"",SUMIF($E$18:$E300,"Budget (kg)",AL$18:AL300))</f>
        <v>3.014718823529412</v>
      </c>
      <c r="AM14" s="192"/>
    </row>
    <row r="15" spans="1:39" ht="15.75" thickBot="1" x14ac:dyDescent="0.3">
      <c r="A15" s="193"/>
      <c r="B15" s="193"/>
      <c r="C15" s="193"/>
      <c r="D15" s="193"/>
      <c r="E15" s="193"/>
      <c r="F15" s="193"/>
      <c r="G15" s="288" t="s">
        <v>335</v>
      </c>
      <c r="H15" s="1344">
        <f>IF(H$9&gt;$C$7,"",SUMIF($E$18:$E300,"Actual (kg)",H$18:H300))</f>
        <v>1.614352</v>
      </c>
      <c r="I15" s="1345">
        <f>IF(I$9&gt;$C$7,"",SUMIF($E$18:$E300,"Actual (kg)",I$18:I300))</f>
        <v>1.5492900000000001</v>
      </c>
      <c r="J15" s="1346">
        <f>IF(J$9&gt;$C$7,"",SUMIF($E$18:$E300,"Actual (kg)",J$18:J300))</f>
        <v>2.0834100000000002</v>
      </c>
      <c r="K15" s="1346">
        <f>IF(K$9&gt;$C$7,"",SUMIF($E$18:$E300,"Actual (kg)",K$18:K300))</f>
        <v>2.1551899999999997</v>
      </c>
      <c r="L15" s="1346">
        <f>IF(L$9&gt;$C$7,"",SUMIF($E$18:$E300,"Actual (kg)",L$18:L300))</f>
        <v>1.5576299999999998</v>
      </c>
      <c r="M15" s="1346">
        <f>IF(M$9&gt;$C$7,"",SUMIF($E$18:$E300,"Actual (kg)",M$18:M300))</f>
        <v>1.5594519999999998</v>
      </c>
      <c r="N15" s="1346">
        <f>IF(N$9&gt;$C$7,"",SUMIF($E$18:$E300,"Actual (kg)",N$18:N300))</f>
        <v>1.2075980000000002</v>
      </c>
      <c r="O15" s="1346">
        <f>IF(O$9&gt;$C$7,"",SUMIF($E$18:$E300,"Actual (kg)",O$18:O300))</f>
        <v>1.1296599999999999</v>
      </c>
      <c r="P15" s="1346">
        <f>IF(P$9&gt;$C$7,"",SUMIF($E$18:$E300,"Actual (kg)",P$18:P300))</f>
        <v>1.7765249999999999</v>
      </c>
      <c r="Q15" s="1346">
        <f>IF(Q$9&gt;$C$7,"",SUMIF($E$18:$E300,"Actual (kg)",Q$18:Q300))</f>
        <v>1.8085300000000002</v>
      </c>
      <c r="R15" s="1346">
        <f>IF(R$9&gt;$C$7,"",SUMIF($E$18:$E300,"Actual (kg)",R$18:R300))</f>
        <v>2.5417670000000001</v>
      </c>
      <c r="S15" s="1346">
        <f>IF(S$9&gt;$C$7,"",SUMIF($E$18:$E300,"Actual (kg)",S$18:S300))</f>
        <v>1.6764700000000001</v>
      </c>
      <c r="T15" s="1346">
        <f>IF(T$9&gt;$C$7,"",SUMIF($E$18:$E300,"Actual (kg)",T$18:T300))</f>
        <v>2.0094699999999999</v>
      </c>
      <c r="U15" s="1346">
        <f>IF(U$9&gt;$C$7,"",SUMIF($E$18:$E300,"Actual (kg)",U$18:U300))</f>
        <v>2.6618599999999999</v>
      </c>
      <c r="V15" s="1346">
        <f>IF(V$9&gt;$C$7,"",SUMIF($E$18:$E300,"Actual (kg)",V$18:V300))</f>
        <v>2.6913499999999999</v>
      </c>
      <c r="W15" s="1346">
        <f>IF(W$9&gt;$C$7,"",SUMIF($E$18:$E300,"Actual (kg)",W$18:W300))</f>
        <v>2.1309000000000005</v>
      </c>
      <c r="X15" s="1346">
        <f>IF(X$9&gt;$C$7,"",SUMIF($E$18:$E300,"Actual (kg)",X$18:X300))</f>
        <v>2.3899399999999997</v>
      </c>
      <c r="Y15" s="1346">
        <f>IF(Y$9&gt;$C$7,"",SUMIF($E$18:$E300,"Actual (kg)",Y$18:Y300))</f>
        <v>2.9771999999999998</v>
      </c>
      <c r="Z15" s="1346">
        <f>IF(Z$9&gt;$C$7,"",SUMIF($E$18:$E300,"Actual (kg)",Z$18:Z300))</f>
        <v>3.0549419999999996</v>
      </c>
      <c r="AA15" s="1346">
        <f>IF(AA$9&gt;$C$7,"",SUMIF($E$18:$E300,"Actual (kg)",AA$18:AA300))</f>
        <v>2.705225</v>
      </c>
      <c r="AB15" s="1346">
        <f>IF(AB$9&gt;$C$7,"",SUMIF($E$18:$E300,"Actual (kg)",AB$18:AB300))</f>
        <v>2.896112</v>
      </c>
      <c r="AC15" s="1346">
        <f>IF(AC$9&gt;$C$7,"",SUMIF($E$18:$E300,"Actual (kg)",AC$18:AC300))</f>
        <v>2.5699459999999998</v>
      </c>
      <c r="AD15" s="1346">
        <f>IF(AD$9&gt;$C$7,"",SUMIF($E$18:$E300,"Actual (kg)",AD$18:AD300))</f>
        <v>2.7334400000000003</v>
      </c>
      <c r="AE15" s="1346">
        <f>IF(AE$9&gt;$C$7,"",SUMIF($E$18:$E300,"Actual (kg)",AE$18:AE300))</f>
        <v>1.2043540000000001</v>
      </c>
      <c r="AF15" s="1346">
        <f>IF(AF$9&gt;$C$7,"",SUMIF($E$18:$E300,"Actual (kg)",AF$18:AF300))</f>
        <v>1.6329500000000001</v>
      </c>
      <c r="AG15" s="1346">
        <f>IF(AG$9&gt;$C$7,"",SUMIF($E$18:$E300,"Actual (kg)",AG$18:AG300))</f>
        <v>2.246702</v>
      </c>
      <c r="AH15" s="1346">
        <f>IF(AH$9&gt;$C$7,"",SUMIF($E$18:$E300,"Actual (kg)",AH$18:AH300))</f>
        <v>2.6437240000000002</v>
      </c>
      <c r="AI15" s="1346">
        <f>IF(AI$9&gt;$C$7,"",SUMIF($E$18:$E300,"Actual (kg)",AI$18:AI300))</f>
        <v>1.7693219999999998</v>
      </c>
      <c r="AJ15" s="1346">
        <f>IF(AJ$9&gt;$C$7,"",SUMIF($E$18:$E300,"Actual (kg)",AJ$18:AJ300))</f>
        <v>1.9347259999999999</v>
      </c>
      <c r="AK15" s="1346">
        <f>IF(AK$9&gt;$C$7,"",SUMIF($E$18:$E300,"Actual (kg)",AK$18:AK300))</f>
        <v>2.3379839999999996</v>
      </c>
      <c r="AL15" s="1347">
        <f>IF(AL$9&gt;$C$7,"",SUMIF($E$18:$E300,"Actual (kg)",AL$18:AL300))</f>
        <v>1.6803800000000002</v>
      </c>
      <c r="AM15" s="193"/>
    </row>
    <row r="16" spans="1:39" ht="15.75" thickBot="1" x14ac:dyDescent="0.3">
      <c r="A16" s="182"/>
      <c r="B16" s="182"/>
      <c r="C16" s="182"/>
      <c r="D16" s="182"/>
      <c r="E16" s="182"/>
      <c r="F16" s="182"/>
      <c r="G16" s="182"/>
      <c r="H16" s="675"/>
      <c r="I16" s="182"/>
      <c r="J16" s="341"/>
      <c r="K16" s="341"/>
      <c r="L16" s="341"/>
      <c r="M16" s="676"/>
      <c r="N16" s="677"/>
      <c r="O16" s="677"/>
      <c r="P16" s="182"/>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row>
    <row r="17" spans="1:40" ht="15.75" thickBot="1" x14ac:dyDescent="0.3">
      <c r="A17" s="289">
        <f>COUNTA(C18:C300)</f>
        <v>13</v>
      </c>
      <c r="B17" s="343" t="s">
        <v>357</v>
      </c>
      <c r="C17" s="344" t="s">
        <v>358</v>
      </c>
      <c r="D17" s="345"/>
      <c r="E17" s="346"/>
      <c r="F17" s="698" t="s">
        <v>269</v>
      </c>
      <c r="G17" s="699" t="s">
        <v>338</v>
      </c>
      <c r="H17" s="700">
        <v>45717</v>
      </c>
      <c r="I17" s="701">
        <v>45718</v>
      </c>
      <c r="J17" s="701">
        <v>45719</v>
      </c>
      <c r="K17" s="701">
        <v>45720</v>
      </c>
      <c r="L17" s="701">
        <v>45721</v>
      </c>
      <c r="M17" s="701">
        <v>45722</v>
      </c>
      <c r="N17" s="701">
        <v>45723</v>
      </c>
      <c r="O17" s="701">
        <v>45724</v>
      </c>
      <c r="P17" s="701">
        <v>45725</v>
      </c>
      <c r="Q17" s="701">
        <v>45726</v>
      </c>
      <c r="R17" s="701">
        <v>45727</v>
      </c>
      <c r="S17" s="701">
        <v>45728</v>
      </c>
      <c r="T17" s="701">
        <v>45729</v>
      </c>
      <c r="U17" s="701">
        <v>45730</v>
      </c>
      <c r="V17" s="701">
        <v>45731</v>
      </c>
      <c r="W17" s="701">
        <v>45732</v>
      </c>
      <c r="X17" s="701">
        <v>45733</v>
      </c>
      <c r="Y17" s="701">
        <v>45734</v>
      </c>
      <c r="Z17" s="701">
        <v>45735</v>
      </c>
      <c r="AA17" s="701">
        <v>45736</v>
      </c>
      <c r="AB17" s="701">
        <v>45737</v>
      </c>
      <c r="AC17" s="701">
        <v>45738</v>
      </c>
      <c r="AD17" s="701">
        <v>45739</v>
      </c>
      <c r="AE17" s="701">
        <v>45740</v>
      </c>
      <c r="AF17" s="701">
        <v>45741</v>
      </c>
      <c r="AG17" s="701">
        <v>45742</v>
      </c>
      <c r="AH17" s="701">
        <v>45743</v>
      </c>
      <c r="AI17" s="701">
        <v>45744</v>
      </c>
      <c r="AJ17" s="701">
        <v>45745</v>
      </c>
      <c r="AK17" s="701">
        <v>45746</v>
      </c>
      <c r="AL17" s="702">
        <v>45747</v>
      </c>
      <c r="AM17" s="703" t="s">
        <v>359</v>
      </c>
    </row>
    <row r="18" spans="1:40" ht="14.25" customHeight="1" x14ac:dyDescent="0.25">
      <c r="A18" s="194"/>
      <c r="B18" s="1608"/>
      <c r="C18" s="1704" t="s">
        <v>480</v>
      </c>
      <c r="D18" s="1684" t="s">
        <v>340</v>
      </c>
      <c r="E18" s="195" t="s">
        <v>341</v>
      </c>
      <c r="F18" s="196">
        <f>SUMIF($H$9:$AL$9,"&lt;="&amp;$C$7,H18:AL18)</f>
        <v>1085</v>
      </c>
      <c r="G18" s="197"/>
      <c r="H18" s="198">
        <v>35</v>
      </c>
      <c r="I18" s="198">
        <v>35</v>
      </c>
      <c r="J18" s="198">
        <v>35</v>
      </c>
      <c r="K18" s="199">
        <v>35</v>
      </c>
      <c r="L18" s="199">
        <v>35</v>
      </c>
      <c r="M18" s="199">
        <v>35</v>
      </c>
      <c r="N18" s="199">
        <v>35</v>
      </c>
      <c r="O18" s="199">
        <v>35</v>
      </c>
      <c r="P18" s="200">
        <v>35</v>
      </c>
      <c r="Q18" s="199">
        <v>35</v>
      </c>
      <c r="R18" s="199">
        <v>35</v>
      </c>
      <c r="S18" s="199">
        <v>35</v>
      </c>
      <c r="T18" s="199">
        <v>35</v>
      </c>
      <c r="U18" s="199">
        <v>35</v>
      </c>
      <c r="V18" s="199">
        <v>35</v>
      </c>
      <c r="W18" s="199">
        <v>35</v>
      </c>
      <c r="X18" s="199">
        <v>35</v>
      </c>
      <c r="Y18" s="199">
        <v>35</v>
      </c>
      <c r="Z18" s="199">
        <v>35</v>
      </c>
      <c r="AA18" s="199">
        <v>35</v>
      </c>
      <c r="AB18" s="199">
        <v>35</v>
      </c>
      <c r="AC18" s="199">
        <v>35</v>
      </c>
      <c r="AD18" s="199">
        <v>35</v>
      </c>
      <c r="AE18" s="199">
        <v>35</v>
      </c>
      <c r="AF18" s="199">
        <v>35</v>
      </c>
      <c r="AG18" s="199">
        <v>35</v>
      </c>
      <c r="AH18" s="199">
        <v>35</v>
      </c>
      <c r="AI18" s="199">
        <v>35</v>
      </c>
      <c r="AJ18" s="199">
        <v>35</v>
      </c>
      <c r="AK18" s="199">
        <v>35</v>
      </c>
      <c r="AL18" s="201">
        <v>35</v>
      </c>
      <c r="AM18" s="704"/>
      <c r="AN18" s="52">
        <f>SUM(H18:AL18)</f>
        <v>1085</v>
      </c>
    </row>
    <row r="19" spans="1:40" x14ac:dyDescent="0.25">
      <c r="A19" s="202"/>
      <c r="B19" s="1607"/>
      <c r="C19" s="1705"/>
      <c r="D19" s="1688"/>
      <c r="E19" s="1379" t="s">
        <v>342</v>
      </c>
      <c r="F19" s="1303">
        <f>SUMIF($H$9:$AL$9,"&lt;="&amp;$C$7,H19:AL19)</f>
        <v>1058</v>
      </c>
      <c r="G19" s="1380">
        <f>IFERROR((F19-F18)/F18,0)</f>
        <v>-2.488479262672811E-2</v>
      </c>
      <c r="H19" s="1305">
        <v>30</v>
      </c>
      <c r="I19" s="1303">
        <v>30</v>
      </c>
      <c r="J19" s="1303">
        <v>66</v>
      </c>
      <c r="K19" s="1303">
        <v>66</v>
      </c>
      <c r="L19" s="1303">
        <v>89</v>
      </c>
      <c r="M19" s="1303">
        <v>50</v>
      </c>
      <c r="N19" s="1303">
        <v>37</v>
      </c>
      <c r="O19" s="1303">
        <v>40</v>
      </c>
      <c r="P19" s="1303">
        <v>37</v>
      </c>
      <c r="Q19" s="1303">
        <v>36</v>
      </c>
      <c r="R19" s="1303">
        <v>37</v>
      </c>
      <c r="S19" s="1303">
        <v>35</v>
      </c>
      <c r="T19" s="1303">
        <v>34</v>
      </c>
      <c r="U19" s="1303">
        <v>36</v>
      </c>
      <c r="V19" s="1303">
        <v>36</v>
      </c>
      <c r="W19" s="1303"/>
      <c r="X19" s="1303"/>
      <c r="Y19" s="1303">
        <v>52</v>
      </c>
      <c r="Z19" s="1303">
        <v>38</v>
      </c>
      <c r="AA19" s="1303">
        <v>38</v>
      </c>
      <c r="AB19" s="1303">
        <v>40</v>
      </c>
      <c r="AC19" s="1303">
        <v>24</v>
      </c>
      <c r="AD19" s="1303">
        <v>0</v>
      </c>
      <c r="AE19" s="1303">
        <v>0</v>
      </c>
      <c r="AF19" s="1303"/>
      <c r="AG19" s="1303">
        <v>24</v>
      </c>
      <c r="AH19" s="1303">
        <v>21</v>
      </c>
      <c r="AI19" s="1303">
        <v>36</v>
      </c>
      <c r="AJ19" s="1303">
        <v>48</v>
      </c>
      <c r="AK19" s="1303">
        <v>36</v>
      </c>
      <c r="AL19" s="1303">
        <v>42</v>
      </c>
      <c r="AM19" s="347"/>
      <c r="AN19" s="52">
        <f>SUM(H19:AL19)</f>
        <v>1058</v>
      </c>
    </row>
    <row r="20" spans="1:40" x14ac:dyDescent="0.25">
      <c r="A20" s="202"/>
      <c r="B20" s="1607"/>
      <c r="C20" s="1705"/>
      <c r="D20" s="1688"/>
      <c r="E20" s="1389" t="s">
        <v>312</v>
      </c>
      <c r="F20" s="1382"/>
      <c r="G20" s="1383"/>
      <c r="H20" s="203"/>
      <c r="I20" s="203"/>
      <c r="J20" s="203"/>
      <c r="K20" s="203"/>
      <c r="L20" s="203"/>
      <c r="M20" s="203"/>
      <c r="N20" s="203"/>
      <c r="O20" s="203"/>
      <c r="P20" s="204"/>
      <c r="Q20" s="203"/>
      <c r="R20" s="203"/>
      <c r="S20" s="203"/>
      <c r="T20" s="203"/>
      <c r="U20" s="203"/>
      <c r="V20" s="203"/>
      <c r="W20" s="203"/>
      <c r="X20" s="203"/>
      <c r="Y20" s="203"/>
      <c r="Z20" s="203"/>
      <c r="AA20" s="203"/>
      <c r="AB20" s="203"/>
      <c r="AC20" s="203"/>
      <c r="AD20" s="203"/>
      <c r="AE20" s="203"/>
      <c r="AF20" s="203"/>
      <c r="AG20" s="203"/>
      <c r="AH20" s="203"/>
      <c r="AI20" s="203"/>
      <c r="AJ20" s="203"/>
      <c r="AK20" s="203"/>
      <c r="AL20" s="205"/>
      <c r="AM20" s="347"/>
    </row>
    <row r="21" spans="1:40" x14ac:dyDescent="0.25">
      <c r="A21" s="202"/>
      <c r="B21" s="1607"/>
      <c r="C21" s="1705"/>
      <c r="D21" s="1685" t="s">
        <v>343</v>
      </c>
      <c r="E21" s="1384" t="s">
        <v>344</v>
      </c>
      <c r="F21" s="1310">
        <f>IFERROR(F23*1000/F18,0)</f>
        <v>2.2258064516129026</v>
      </c>
      <c r="G21" s="1385"/>
      <c r="H21" s="1333">
        <v>2.2999999999999998</v>
      </c>
      <c r="I21" s="1333">
        <v>2.2999999999999998</v>
      </c>
      <c r="J21" s="1333">
        <v>2.2999999999999998</v>
      </c>
      <c r="K21" s="1333">
        <v>2.2999999999999998</v>
      </c>
      <c r="L21" s="1333">
        <v>2.2999999999999998</v>
      </c>
      <c r="M21" s="1333">
        <v>2.2999999999999998</v>
      </c>
      <c r="N21" s="1333">
        <v>2.2999999999999998</v>
      </c>
      <c r="O21" s="1333">
        <v>2.2999999999999998</v>
      </c>
      <c r="P21" s="1334">
        <v>2.2999999999999998</v>
      </c>
      <c r="Q21" s="1333">
        <v>2.2999999999999998</v>
      </c>
      <c r="R21" s="1333">
        <v>2.2999999999999998</v>
      </c>
      <c r="S21" s="1333">
        <v>2.2999999999999998</v>
      </c>
      <c r="T21" s="1333">
        <v>2.2999999999999998</v>
      </c>
      <c r="U21" s="1333">
        <v>2.2999999999999998</v>
      </c>
      <c r="V21" s="1333">
        <v>2.2999999999999998</v>
      </c>
      <c r="W21" s="1333">
        <v>2.2999999999999998</v>
      </c>
      <c r="X21" s="1333">
        <v>2.2999999999999998</v>
      </c>
      <c r="Y21" s="1333">
        <v>2.2999999999999998</v>
      </c>
      <c r="Z21" s="1333">
        <v>2.2999999999999998</v>
      </c>
      <c r="AA21" s="1333">
        <v>2.2999999999999998</v>
      </c>
      <c r="AB21" s="1333">
        <v>2.2999999999999998</v>
      </c>
      <c r="AC21" s="1333">
        <v>2.2999999999999998</v>
      </c>
      <c r="AD21" s="1333">
        <v>2.2999999999999998</v>
      </c>
      <c r="AE21" s="1333">
        <v>2.2999999999999998</v>
      </c>
      <c r="AF21" s="1333">
        <v>2.2999999999999998</v>
      </c>
      <c r="AG21" s="1333">
        <v>2.2999999999999998</v>
      </c>
      <c r="AH21" s="1333">
        <v>2.2999999999999998</v>
      </c>
      <c r="AI21" s="1333">
        <v>2.2999999999999998</v>
      </c>
      <c r="AJ21" s="1333">
        <v>2.2999999999999998</v>
      </c>
      <c r="AK21" s="1333">
        <v>2.2999999999999998</v>
      </c>
      <c r="AL21" s="1335">
        <v>2.2999999999999998</v>
      </c>
      <c r="AM21" s="347"/>
      <c r="AN21" s="63">
        <f>SUMPRODUCT(H18:AL18,H21:AL21)/AN18</f>
        <v>2.2999999999999998</v>
      </c>
    </row>
    <row r="22" spans="1:40" x14ac:dyDescent="0.25">
      <c r="A22" s="202"/>
      <c r="B22" s="1607"/>
      <c r="C22" s="1705"/>
      <c r="D22" s="1707"/>
      <c r="E22" s="1386" t="s">
        <v>345</v>
      </c>
      <c r="F22" s="1314">
        <f>IFERROR(F24*1000/F19,0)</f>
        <v>0.8672967863894141</v>
      </c>
      <c r="G22" s="1380">
        <f>IFERROR((F22-F21)/F21,0)</f>
        <v>-0.61034492205692981</v>
      </c>
      <c r="H22" s="1315">
        <v>1.6</v>
      </c>
      <c r="I22" s="1314">
        <v>1.6</v>
      </c>
      <c r="J22" s="1314">
        <v>0.51</v>
      </c>
      <c r="K22" s="1314">
        <v>2</v>
      </c>
      <c r="L22" s="1314">
        <v>1.43</v>
      </c>
      <c r="M22" s="1314">
        <v>0.38</v>
      </c>
      <c r="N22" s="1314">
        <v>1.7</v>
      </c>
      <c r="O22" s="1314">
        <v>1.6</v>
      </c>
      <c r="P22" s="1314">
        <v>1.52</v>
      </c>
      <c r="Q22" s="1314">
        <v>0.97</v>
      </c>
      <c r="R22" s="1314">
        <v>0.82</v>
      </c>
      <c r="S22" s="1314">
        <v>0.35</v>
      </c>
      <c r="T22" s="1314">
        <v>0.22</v>
      </c>
      <c r="U22" s="1314">
        <v>0.49</v>
      </c>
      <c r="V22" s="1314">
        <v>0.36</v>
      </c>
      <c r="W22" s="1314"/>
      <c r="X22" s="1314"/>
      <c r="Y22" s="1314">
        <v>0.91</v>
      </c>
      <c r="Z22" s="1314">
        <v>0.12</v>
      </c>
      <c r="AA22" s="1314">
        <v>1.51</v>
      </c>
      <c r="AB22" s="1314">
        <v>0.34</v>
      </c>
      <c r="AC22" s="1314">
        <v>0.97</v>
      </c>
      <c r="AD22" s="1314"/>
      <c r="AE22" s="1314"/>
      <c r="AF22" s="1314"/>
      <c r="AG22" s="1314">
        <v>0.14000000000000001</v>
      </c>
      <c r="AH22" s="1314">
        <v>0.14000000000000001</v>
      </c>
      <c r="AI22" s="1314">
        <v>0.2</v>
      </c>
      <c r="AJ22" s="1314">
        <v>0.16</v>
      </c>
      <c r="AK22" s="1314">
        <v>0.15</v>
      </c>
      <c r="AL22" s="1314">
        <v>0.91</v>
      </c>
      <c r="AM22" s="347"/>
      <c r="AN22" s="708">
        <f>SUMPRODUCT(H19:AL19,H22:AL22)/AN19</f>
        <v>0.86729678638941399</v>
      </c>
    </row>
    <row r="23" spans="1:40" x14ac:dyDescent="0.25">
      <c r="A23" s="202"/>
      <c r="B23" s="1607"/>
      <c r="C23" s="1705"/>
      <c r="D23" s="1685" t="s">
        <v>47</v>
      </c>
      <c r="E23" s="1384" t="s">
        <v>346</v>
      </c>
      <c r="F23" s="206">
        <f>SUMIF($H$9:$AL$9,"&lt;="&amp;$C$7,H23:AL23)</f>
        <v>2.4149999999999991</v>
      </c>
      <c r="G23" s="1385"/>
      <c r="H23" s="1316">
        <v>0</v>
      </c>
      <c r="I23" s="1316">
        <f t="shared" ref="I23:AL24" si="2">+I21*I18/1000</f>
        <v>8.0500000000000002E-2</v>
      </c>
      <c r="J23" s="1316">
        <f t="shared" si="2"/>
        <v>8.0500000000000002E-2</v>
      </c>
      <c r="K23" s="1316">
        <f t="shared" si="2"/>
        <v>8.0500000000000002E-2</v>
      </c>
      <c r="L23" s="1316">
        <f t="shared" si="2"/>
        <v>8.0500000000000002E-2</v>
      </c>
      <c r="M23" s="1316">
        <f t="shared" si="2"/>
        <v>8.0500000000000002E-2</v>
      </c>
      <c r="N23" s="1316">
        <f t="shared" si="2"/>
        <v>8.0500000000000002E-2</v>
      </c>
      <c r="O23" s="1316">
        <f t="shared" si="2"/>
        <v>8.0500000000000002E-2</v>
      </c>
      <c r="P23" s="1316">
        <f t="shared" si="2"/>
        <v>8.0500000000000002E-2</v>
      </c>
      <c r="Q23" s="1316">
        <f t="shared" si="2"/>
        <v>8.0500000000000002E-2</v>
      </c>
      <c r="R23" s="1316">
        <f t="shared" si="2"/>
        <v>8.0500000000000002E-2</v>
      </c>
      <c r="S23" s="1316">
        <f t="shared" si="2"/>
        <v>8.0500000000000002E-2</v>
      </c>
      <c r="T23" s="1316">
        <f t="shared" si="2"/>
        <v>8.0500000000000002E-2</v>
      </c>
      <c r="U23" s="1316">
        <f t="shared" si="2"/>
        <v>8.0500000000000002E-2</v>
      </c>
      <c r="V23" s="1316">
        <f t="shared" si="2"/>
        <v>8.0500000000000002E-2</v>
      </c>
      <c r="W23" s="1316">
        <f t="shared" si="2"/>
        <v>8.0500000000000002E-2</v>
      </c>
      <c r="X23" s="1316">
        <f t="shared" si="2"/>
        <v>8.0500000000000002E-2</v>
      </c>
      <c r="Y23" s="1316">
        <f t="shared" si="2"/>
        <v>8.0500000000000002E-2</v>
      </c>
      <c r="Z23" s="1316">
        <f t="shared" si="2"/>
        <v>8.0500000000000002E-2</v>
      </c>
      <c r="AA23" s="1316">
        <f t="shared" si="2"/>
        <v>8.0500000000000002E-2</v>
      </c>
      <c r="AB23" s="1316">
        <f t="shared" si="2"/>
        <v>8.0500000000000002E-2</v>
      </c>
      <c r="AC23" s="1316">
        <f t="shared" si="2"/>
        <v>8.0500000000000002E-2</v>
      </c>
      <c r="AD23" s="1316">
        <f t="shared" si="2"/>
        <v>8.0500000000000002E-2</v>
      </c>
      <c r="AE23" s="1316">
        <f t="shared" si="2"/>
        <v>8.0500000000000002E-2</v>
      </c>
      <c r="AF23" s="1316">
        <f t="shared" si="2"/>
        <v>8.0500000000000002E-2</v>
      </c>
      <c r="AG23" s="1316">
        <f t="shared" si="2"/>
        <v>8.0500000000000002E-2</v>
      </c>
      <c r="AH23" s="1316">
        <f t="shared" si="2"/>
        <v>8.0500000000000002E-2</v>
      </c>
      <c r="AI23" s="1316">
        <f t="shared" si="2"/>
        <v>8.0500000000000002E-2</v>
      </c>
      <c r="AJ23" s="1316">
        <f t="shared" si="2"/>
        <v>8.0500000000000002E-2</v>
      </c>
      <c r="AK23" s="1316">
        <f t="shared" si="2"/>
        <v>8.0500000000000002E-2</v>
      </c>
      <c r="AL23" s="1316">
        <f t="shared" si="2"/>
        <v>8.0500000000000002E-2</v>
      </c>
      <c r="AM23" s="705"/>
      <c r="AN23" s="709">
        <f>SUM(H23:AL23)</f>
        <v>2.4149999999999991</v>
      </c>
    </row>
    <row r="24" spans="1:40" ht="15.75" thickBot="1" x14ac:dyDescent="0.3">
      <c r="A24" s="202"/>
      <c r="B24" s="1660"/>
      <c r="C24" s="1706"/>
      <c r="D24" s="1708"/>
      <c r="E24" s="1387" t="s">
        <v>347</v>
      </c>
      <c r="F24" s="1321">
        <f>SUMIF($H$9:$AL$9,"&lt;="&amp;$C$7,H24:AL24)</f>
        <v>0.91760000000000008</v>
      </c>
      <c r="G24" s="1388">
        <f>IFERROR((F24-F23)/F23,0)</f>
        <v>-0.62004140786749462</v>
      </c>
      <c r="H24" s="1323">
        <f>+H22*H19/1000</f>
        <v>4.8000000000000001E-2</v>
      </c>
      <c r="I24" s="1323">
        <f t="shared" si="2"/>
        <v>4.8000000000000001E-2</v>
      </c>
      <c r="J24" s="1323">
        <f t="shared" si="2"/>
        <v>3.3660000000000002E-2</v>
      </c>
      <c r="K24" s="1323">
        <f t="shared" si="2"/>
        <v>0.13200000000000001</v>
      </c>
      <c r="L24" s="1323">
        <f t="shared" si="2"/>
        <v>0.12726999999999999</v>
      </c>
      <c r="M24" s="1323">
        <f t="shared" si="2"/>
        <v>1.9E-2</v>
      </c>
      <c r="N24" s="1323">
        <f t="shared" si="2"/>
        <v>6.2899999999999998E-2</v>
      </c>
      <c r="O24" s="1323">
        <f t="shared" si="2"/>
        <v>6.4000000000000001E-2</v>
      </c>
      <c r="P24" s="1323">
        <f t="shared" si="2"/>
        <v>5.6240000000000005E-2</v>
      </c>
      <c r="Q24" s="1323">
        <f t="shared" si="2"/>
        <v>3.492E-2</v>
      </c>
      <c r="R24" s="1323">
        <f t="shared" si="2"/>
        <v>3.0339999999999999E-2</v>
      </c>
      <c r="S24" s="1323">
        <f t="shared" si="2"/>
        <v>1.225E-2</v>
      </c>
      <c r="T24" s="1323">
        <f t="shared" si="2"/>
        <v>7.4800000000000005E-3</v>
      </c>
      <c r="U24" s="1323">
        <f t="shared" si="2"/>
        <v>1.7639999999999999E-2</v>
      </c>
      <c r="V24" s="1323">
        <f t="shared" si="2"/>
        <v>1.2959999999999999E-2</v>
      </c>
      <c r="W24" s="1323">
        <f t="shared" si="2"/>
        <v>0</v>
      </c>
      <c r="X24" s="1323">
        <f t="shared" si="2"/>
        <v>0</v>
      </c>
      <c r="Y24" s="1323">
        <f t="shared" si="2"/>
        <v>4.7320000000000001E-2</v>
      </c>
      <c r="Z24" s="1323">
        <f t="shared" si="2"/>
        <v>4.5599999999999998E-3</v>
      </c>
      <c r="AA24" s="1323">
        <f t="shared" si="2"/>
        <v>5.738E-2</v>
      </c>
      <c r="AB24" s="1323">
        <f t="shared" si="2"/>
        <v>1.3600000000000001E-2</v>
      </c>
      <c r="AC24" s="1323">
        <f t="shared" si="2"/>
        <v>2.3280000000000002E-2</v>
      </c>
      <c r="AD24" s="1323">
        <f t="shared" si="2"/>
        <v>0</v>
      </c>
      <c r="AE24" s="1323">
        <f t="shared" si="2"/>
        <v>0</v>
      </c>
      <c r="AF24" s="1323">
        <f t="shared" si="2"/>
        <v>0</v>
      </c>
      <c r="AG24" s="1323">
        <f t="shared" si="2"/>
        <v>3.3600000000000001E-3</v>
      </c>
      <c r="AH24" s="1323">
        <f t="shared" si="2"/>
        <v>2.9400000000000003E-3</v>
      </c>
      <c r="AI24" s="1323">
        <f t="shared" si="2"/>
        <v>7.1999999999999998E-3</v>
      </c>
      <c r="AJ24" s="1323">
        <f t="shared" si="2"/>
        <v>7.6799999999999993E-3</v>
      </c>
      <c r="AK24" s="1323">
        <f t="shared" si="2"/>
        <v>5.3999999999999994E-3</v>
      </c>
      <c r="AL24" s="1323">
        <f t="shared" si="2"/>
        <v>3.8219999999999997E-2</v>
      </c>
      <c r="AM24" s="706"/>
      <c r="AN24" s="709">
        <f>SUM(H24:AL24)</f>
        <v>0.91760000000000008</v>
      </c>
    </row>
    <row r="25" spans="1:40" ht="14.25" customHeight="1" x14ac:dyDescent="0.25">
      <c r="A25" s="194"/>
      <c r="B25" s="1608"/>
      <c r="C25" s="1704" t="s">
        <v>469</v>
      </c>
      <c r="D25" s="1684" t="s">
        <v>340</v>
      </c>
      <c r="E25" s="195" t="s">
        <v>341</v>
      </c>
      <c r="F25" s="196">
        <f t="shared" ref="F25:F26" si="3">SUMIF($H$9:$AL$9,"&lt;="&amp;$C$7,H25:AL25)</f>
        <v>1260</v>
      </c>
      <c r="G25" s="197"/>
      <c r="H25" s="198">
        <v>0</v>
      </c>
      <c r="I25" s="198">
        <v>0</v>
      </c>
      <c r="J25" s="198">
        <v>0</v>
      </c>
      <c r="K25" s="199">
        <v>0</v>
      </c>
      <c r="L25" s="199">
        <v>0</v>
      </c>
      <c r="M25" s="199">
        <v>0</v>
      </c>
      <c r="N25" s="199">
        <v>0</v>
      </c>
      <c r="O25" s="199">
        <v>0</v>
      </c>
      <c r="P25" s="200">
        <v>0</v>
      </c>
      <c r="Q25" s="199">
        <v>0</v>
      </c>
      <c r="R25" s="199">
        <v>0</v>
      </c>
      <c r="S25" s="199">
        <v>0</v>
      </c>
      <c r="T25" s="199">
        <v>0</v>
      </c>
      <c r="U25" s="199">
        <v>70</v>
      </c>
      <c r="V25" s="199">
        <v>70</v>
      </c>
      <c r="W25" s="199">
        <v>70</v>
      </c>
      <c r="X25" s="199">
        <v>70</v>
      </c>
      <c r="Y25" s="199">
        <v>70</v>
      </c>
      <c r="Z25" s="199">
        <v>70</v>
      </c>
      <c r="AA25" s="199">
        <v>70</v>
      </c>
      <c r="AB25" s="199">
        <v>70</v>
      </c>
      <c r="AC25" s="199">
        <v>70</v>
      </c>
      <c r="AD25" s="199">
        <v>70</v>
      </c>
      <c r="AE25" s="199">
        <v>70</v>
      </c>
      <c r="AF25" s="199">
        <v>70</v>
      </c>
      <c r="AG25" s="199">
        <v>70</v>
      </c>
      <c r="AH25" s="199">
        <v>70</v>
      </c>
      <c r="AI25" s="199">
        <v>70</v>
      </c>
      <c r="AJ25" s="199">
        <v>70</v>
      </c>
      <c r="AK25" s="199">
        <v>70</v>
      </c>
      <c r="AL25" s="201">
        <v>70</v>
      </c>
      <c r="AM25" s="704"/>
    </row>
    <row r="26" spans="1:40" x14ac:dyDescent="0.25">
      <c r="A26" s="202"/>
      <c r="B26" s="1607"/>
      <c r="C26" s="1705"/>
      <c r="D26" s="1688"/>
      <c r="E26" s="1379" t="s">
        <v>342</v>
      </c>
      <c r="F26" s="1303">
        <f t="shared" si="3"/>
        <v>86</v>
      </c>
      <c r="G26" s="1380">
        <f t="shared" ref="G26" si="4">IFERROR((F26-F25)/F25,0)</f>
        <v>-0.93174603174603177</v>
      </c>
      <c r="H26" s="1305"/>
      <c r="I26" s="1303"/>
      <c r="J26" s="1303"/>
      <c r="K26" s="1303"/>
      <c r="L26" s="1303"/>
      <c r="M26" s="1303"/>
      <c r="N26" s="1303"/>
      <c r="O26" s="1303"/>
      <c r="P26" s="1303"/>
      <c r="Q26" s="1303"/>
      <c r="R26" s="1303"/>
      <c r="S26" s="1303"/>
      <c r="T26" s="1303"/>
      <c r="U26" s="1303"/>
      <c r="V26" s="1303"/>
      <c r="W26" s="1303"/>
      <c r="X26" s="1303"/>
      <c r="Y26" s="1303"/>
      <c r="Z26" s="1303"/>
      <c r="AA26" s="1303"/>
      <c r="AB26" s="1303"/>
      <c r="AC26" s="1303"/>
      <c r="AD26" s="1303"/>
      <c r="AE26" s="1303"/>
      <c r="AF26" s="1303"/>
      <c r="AG26" s="1303"/>
      <c r="AH26" s="1303">
        <v>86</v>
      </c>
      <c r="AI26" s="1303"/>
      <c r="AJ26" s="1303"/>
      <c r="AK26" s="1303"/>
      <c r="AL26" s="1303"/>
      <c r="AM26" s="347"/>
    </row>
    <row r="27" spans="1:40" x14ac:dyDescent="0.25">
      <c r="A27" s="202"/>
      <c r="B27" s="1607"/>
      <c r="C27" s="1705"/>
      <c r="D27" s="1688"/>
      <c r="E27" s="1389" t="s">
        <v>312</v>
      </c>
      <c r="F27" s="1382"/>
      <c r="G27" s="1383"/>
      <c r="H27" s="203"/>
      <c r="I27" s="203"/>
      <c r="J27" s="203"/>
      <c r="K27" s="203"/>
      <c r="L27" s="203"/>
      <c r="M27" s="203"/>
      <c r="N27" s="203"/>
      <c r="O27" s="203"/>
      <c r="P27" s="204"/>
      <c r="Q27" s="203"/>
      <c r="R27" s="203"/>
      <c r="S27" s="203"/>
      <c r="T27" s="203"/>
      <c r="U27" s="203"/>
      <c r="V27" s="203"/>
      <c r="W27" s="203"/>
      <c r="X27" s="203"/>
      <c r="Y27" s="203"/>
      <c r="Z27" s="203"/>
      <c r="AA27" s="203"/>
      <c r="AB27" s="203"/>
      <c r="AC27" s="203"/>
      <c r="AD27" s="203"/>
      <c r="AE27" s="203"/>
      <c r="AF27" s="203"/>
      <c r="AG27" s="203"/>
      <c r="AH27" s="203"/>
      <c r="AI27" s="203"/>
      <c r="AJ27" s="203"/>
      <c r="AK27" s="203"/>
      <c r="AL27" s="205"/>
      <c r="AM27" s="347"/>
    </row>
    <row r="28" spans="1:40" x14ac:dyDescent="0.25">
      <c r="A28" s="202"/>
      <c r="B28" s="1607"/>
      <c r="C28" s="1705"/>
      <c r="D28" s="1685" t="s">
        <v>343</v>
      </c>
      <c r="E28" s="1384" t="s">
        <v>344</v>
      </c>
      <c r="F28" s="1310">
        <f t="shared" ref="F28:F29" si="5">IFERROR(F30*1000/F25,0)</f>
        <v>3.8499999999999992</v>
      </c>
      <c r="G28" s="1385"/>
      <c r="H28" s="1312">
        <v>0</v>
      </c>
      <c r="I28" s="1312">
        <v>0</v>
      </c>
      <c r="J28" s="1312">
        <v>0</v>
      </c>
      <c r="K28" s="1333">
        <v>0</v>
      </c>
      <c r="L28" s="1333">
        <v>0</v>
      </c>
      <c r="M28" s="1333">
        <v>0</v>
      </c>
      <c r="N28" s="1333">
        <v>0</v>
      </c>
      <c r="O28" s="1333">
        <v>0</v>
      </c>
      <c r="P28" s="1334">
        <v>0</v>
      </c>
      <c r="Q28" s="1333">
        <v>0</v>
      </c>
      <c r="R28" s="1333">
        <v>0</v>
      </c>
      <c r="S28" s="1333">
        <v>0</v>
      </c>
      <c r="T28" s="1333">
        <v>0</v>
      </c>
      <c r="U28" s="1333">
        <v>3.85</v>
      </c>
      <c r="V28" s="1333">
        <v>3.85</v>
      </c>
      <c r="W28" s="1333">
        <v>3.85</v>
      </c>
      <c r="X28" s="1333">
        <v>3.85</v>
      </c>
      <c r="Y28" s="1333">
        <v>3.85</v>
      </c>
      <c r="Z28" s="1333">
        <v>3.85</v>
      </c>
      <c r="AA28" s="1333">
        <v>3.85</v>
      </c>
      <c r="AB28" s="1333">
        <v>3.85</v>
      </c>
      <c r="AC28" s="1333">
        <v>3.85</v>
      </c>
      <c r="AD28" s="1333">
        <v>3.85</v>
      </c>
      <c r="AE28" s="1333">
        <v>3.85</v>
      </c>
      <c r="AF28" s="1333">
        <v>3.85</v>
      </c>
      <c r="AG28" s="1333">
        <v>3.85</v>
      </c>
      <c r="AH28" s="1333">
        <v>3.85</v>
      </c>
      <c r="AI28" s="1333">
        <v>3.85</v>
      </c>
      <c r="AJ28" s="1333">
        <v>3.85</v>
      </c>
      <c r="AK28" s="1333">
        <v>3.85</v>
      </c>
      <c r="AL28" s="1335">
        <v>3.85</v>
      </c>
      <c r="AM28" s="347"/>
    </row>
    <row r="29" spans="1:40" x14ac:dyDescent="0.25">
      <c r="A29" s="202"/>
      <c r="B29" s="1607"/>
      <c r="C29" s="1705"/>
      <c r="D29" s="1707"/>
      <c r="E29" s="1386" t="s">
        <v>345</v>
      </c>
      <c r="F29" s="1314">
        <f t="shared" si="5"/>
        <v>2.81</v>
      </c>
      <c r="G29" s="1380">
        <f t="shared" ref="G29" si="6">IFERROR((F29-F28)/F28,0)</f>
        <v>-0.27012987012986994</v>
      </c>
      <c r="H29" s="1315"/>
      <c r="I29" s="1314"/>
      <c r="J29" s="1314"/>
      <c r="K29" s="1314"/>
      <c r="L29" s="1314"/>
      <c r="M29" s="1314"/>
      <c r="N29" s="1314"/>
      <c r="O29" s="1314"/>
      <c r="P29" s="1314"/>
      <c r="Q29" s="1314"/>
      <c r="R29" s="1314"/>
      <c r="S29" s="1314"/>
      <c r="T29" s="1314"/>
      <c r="U29" s="1314"/>
      <c r="V29" s="1314"/>
      <c r="W29" s="1314"/>
      <c r="X29" s="1314"/>
      <c r="Y29" s="1314"/>
      <c r="Z29" s="1314"/>
      <c r="AA29" s="1314"/>
      <c r="AB29" s="1314"/>
      <c r="AC29" s="1314"/>
      <c r="AD29" s="1314"/>
      <c r="AE29" s="1314"/>
      <c r="AF29" s="1314"/>
      <c r="AG29" s="1314"/>
      <c r="AH29" s="1314">
        <v>2.81</v>
      </c>
      <c r="AI29" s="1314"/>
      <c r="AJ29" s="1314"/>
      <c r="AK29" s="1314"/>
      <c r="AL29" s="1314"/>
      <c r="AM29" s="347"/>
    </row>
    <row r="30" spans="1:40" x14ac:dyDescent="0.25">
      <c r="A30" s="202"/>
      <c r="B30" s="1607"/>
      <c r="C30" s="1705"/>
      <c r="D30" s="1685" t="s">
        <v>47</v>
      </c>
      <c r="E30" s="1384" t="s">
        <v>346</v>
      </c>
      <c r="F30" s="206">
        <f t="shared" ref="F30:F33" si="7">SUMIF($H$9:$AL$9,"&lt;="&amp;$C$7,H30:AL30)</f>
        <v>4.8509999999999991</v>
      </c>
      <c r="G30" s="1385"/>
      <c r="H30" s="1316">
        <v>0</v>
      </c>
      <c r="I30" s="1316">
        <f t="shared" ref="I30:AL31" si="8">+I28*I25/1000</f>
        <v>0</v>
      </c>
      <c r="J30" s="1316">
        <f t="shared" si="8"/>
        <v>0</v>
      </c>
      <c r="K30" s="1316">
        <f t="shared" si="8"/>
        <v>0</v>
      </c>
      <c r="L30" s="1316">
        <f t="shared" si="8"/>
        <v>0</v>
      </c>
      <c r="M30" s="1316">
        <f t="shared" si="8"/>
        <v>0</v>
      </c>
      <c r="N30" s="1316">
        <f t="shared" si="8"/>
        <v>0</v>
      </c>
      <c r="O30" s="1316">
        <f t="shared" si="8"/>
        <v>0</v>
      </c>
      <c r="P30" s="1316">
        <f t="shared" si="8"/>
        <v>0</v>
      </c>
      <c r="Q30" s="1316">
        <f t="shared" si="8"/>
        <v>0</v>
      </c>
      <c r="R30" s="1316">
        <f t="shared" si="8"/>
        <v>0</v>
      </c>
      <c r="S30" s="1316">
        <f t="shared" si="8"/>
        <v>0</v>
      </c>
      <c r="T30" s="1316">
        <f t="shared" si="8"/>
        <v>0</v>
      </c>
      <c r="U30" s="1316">
        <f t="shared" si="8"/>
        <v>0.26950000000000002</v>
      </c>
      <c r="V30" s="1316">
        <f t="shared" si="8"/>
        <v>0.26950000000000002</v>
      </c>
      <c r="W30" s="1316">
        <f t="shared" si="8"/>
        <v>0.26950000000000002</v>
      </c>
      <c r="X30" s="1316">
        <f t="shared" si="8"/>
        <v>0.26950000000000002</v>
      </c>
      <c r="Y30" s="1316">
        <f t="shared" si="8"/>
        <v>0.26950000000000002</v>
      </c>
      <c r="Z30" s="1316">
        <f t="shared" si="8"/>
        <v>0.26950000000000002</v>
      </c>
      <c r="AA30" s="1316">
        <f t="shared" si="8"/>
        <v>0.26950000000000002</v>
      </c>
      <c r="AB30" s="1316">
        <f t="shared" si="8"/>
        <v>0.26950000000000002</v>
      </c>
      <c r="AC30" s="1316">
        <f t="shared" si="8"/>
        <v>0.26950000000000002</v>
      </c>
      <c r="AD30" s="1316">
        <f t="shared" si="8"/>
        <v>0.26950000000000002</v>
      </c>
      <c r="AE30" s="1316">
        <f t="shared" si="8"/>
        <v>0.26950000000000002</v>
      </c>
      <c r="AF30" s="1316">
        <f t="shared" si="8"/>
        <v>0.26950000000000002</v>
      </c>
      <c r="AG30" s="1316">
        <f t="shared" si="8"/>
        <v>0.26950000000000002</v>
      </c>
      <c r="AH30" s="1316">
        <f t="shared" si="8"/>
        <v>0.26950000000000002</v>
      </c>
      <c r="AI30" s="1316">
        <f t="shared" si="8"/>
        <v>0.26950000000000002</v>
      </c>
      <c r="AJ30" s="1316">
        <f t="shared" si="8"/>
        <v>0.26950000000000002</v>
      </c>
      <c r="AK30" s="1316">
        <f t="shared" si="8"/>
        <v>0.26950000000000002</v>
      </c>
      <c r="AL30" s="1316">
        <f t="shared" si="8"/>
        <v>0.26950000000000002</v>
      </c>
      <c r="AM30" s="705"/>
    </row>
    <row r="31" spans="1:40" ht="15.75" thickBot="1" x14ac:dyDescent="0.3">
      <c r="A31" s="202"/>
      <c r="B31" s="1660"/>
      <c r="C31" s="1706"/>
      <c r="D31" s="1708"/>
      <c r="E31" s="1387" t="s">
        <v>347</v>
      </c>
      <c r="F31" s="1321">
        <f t="shared" si="7"/>
        <v>0.24165999999999999</v>
      </c>
      <c r="G31" s="1388">
        <f t="shared" ref="G31" si="9">IFERROR((F31-F30)/F30,0)</f>
        <v>-0.95018346732632453</v>
      </c>
      <c r="H31" s="1323">
        <v>0</v>
      </c>
      <c r="I31" s="1323">
        <f t="shared" si="8"/>
        <v>0</v>
      </c>
      <c r="J31" s="1323">
        <f t="shared" si="8"/>
        <v>0</v>
      </c>
      <c r="K31" s="1323">
        <f t="shared" si="8"/>
        <v>0</v>
      </c>
      <c r="L31" s="1323">
        <f t="shared" si="8"/>
        <v>0</v>
      </c>
      <c r="M31" s="1323">
        <f t="shared" si="8"/>
        <v>0</v>
      </c>
      <c r="N31" s="1323">
        <f t="shared" si="8"/>
        <v>0</v>
      </c>
      <c r="O31" s="1323">
        <f t="shared" si="8"/>
        <v>0</v>
      </c>
      <c r="P31" s="1323">
        <f t="shared" si="8"/>
        <v>0</v>
      </c>
      <c r="Q31" s="1323">
        <f t="shared" si="8"/>
        <v>0</v>
      </c>
      <c r="R31" s="1323">
        <f t="shared" si="8"/>
        <v>0</v>
      </c>
      <c r="S31" s="1323">
        <f t="shared" si="8"/>
        <v>0</v>
      </c>
      <c r="T31" s="1323">
        <f t="shared" si="8"/>
        <v>0</v>
      </c>
      <c r="U31" s="1323">
        <f t="shared" si="8"/>
        <v>0</v>
      </c>
      <c r="V31" s="1323">
        <f t="shared" si="8"/>
        <v>0</v>
      </c>
      <c r="W31" s="1323">
        <f t="shared" si="8"/>
        <v>0</v>
      </c>
      <c r="X31" s="1323">
        <f t="shared" si="8"/>
        <v>0</v>
      </c>
      <c r="Y31" s="1323">
        <f t="shared" si="8"/>
        <v>0</v>
      </c>
      <c r="Z31" s="1323">
        <f t="shared" si="8"/>
        <v>0</v>
      </c>
      <c r="AA31" s="1323">
        <f t="shared" si="8"/>
        <v>0</v>
      </c>
      <c r="AB31" s="1323">
        <f t="shared" si="8"/>
        <v>0</v>
      </c>
      <c r="AC31" s="1323">
        <f t="shared" si="8"/>
        <v>0</v>
      </c>
      <c r="AD31" s="1323">
        <f t="shared" si="8"/>
        <v>0</v>
      </c>
      <c r="AE31" s="1323">
        <f t="shared" si="8"/>
        <v>0</v>
      </c>
      <c r="AF31" s="1323">
        <f t="shared" si="8"/>
        <v>0</v>
      </c>
      <c r="AG31" s="1323">
        <f t="shared" si="8"/>
        <v>0</v>
      </c>
      <c r="AH31" s="1323">
        <f t="shared" si="8"/>
        <v>0.24165999999999999</v>
      </c>
      <c r="AI31" s="1323">
        <f t="shared" si="8"/>
        <v>0</v>
      </c>
      <c r="AJ31" s="1323">
        <f t="shared" si="8"/>
        <v>0</v>
      </c>
      <c r="AK31" s="1323">
        <f t="shared" si="8"/>
        <v>0</v>
      </c>
      <c r="AL31" s="1323">
        <f t="shared" si="8"/>
        <v>0</v>
      </c>
      <c r="AM31" s="706"/>
    </row>
    <row r="32" spans="1:40" ht="14.25" customHeight="1" x14ac:dyDescent="0.25">
      <c r="A32" s="194"/>
      <c r="B32" s="1608"/>
      <c r="C32" s="1704" t="s">
        <v>470</v>
      </c>
      <c r="D32" s="1684" t="s">
        <v>340</v>
      </c>
      <c r="E32" s="195" t="s">
        <v>341</v>
      </c>
      <c r="F32" s="196">
        <f t="shared" si="7"/>
        <v>2660</v>
      </c>
      <c r="G32" s="197"/>
      <c r="H32" s="198">
        <v>105</v>
      </c>
      <c r="I32" s="198">
        <v>105</v>
      </c>
      <c r="J32" s="198">
        <v>105</v>
      </c>
      <c r="K32" s="199">
        <v>105</v>
      </c>
      <c r="L32" s="199">
        <v>105</v>
      </c>
      <c r="M32" s="199">
        <v>105</v>
      </c>
      <c r="N32" s="199">
        <v>105</v>
      </c>
      <c r="O32" s="199">
        <v>105</v>
      </c>
      <c r="P32" s="200">
        <v>105</v>
      </c>
      <c r="Q32" s="199">
        <v>105</v>
      </c>
      <c r="R32" s="199">
        <v>105</v>
      </c>
      <c r="S32" s="199">
        <v>105</v>
      </c>
      <c r="T32" s="199">
        <v>105</v>
      </c>
      <c r="U32" s="199">
        <v>105</v>
      </c>
      <c r="V32" s="199">
        <v>70</v>
      </c>
      <c r="W32" s="199">
        <v>70</v>
      </c>
      <c r="X32" s="199">
        <v>70</v>
      </c>
      <c r="Y32" s="199">
        <v>70</v>
      </c>
      <c r="Z32" s="199">
        <v>70</v>
      </c>
      <c r="AA32" s="199">
        <v>70</v>
      </c>
      <c r="AB32" s="199">
        <v>70</v>
      </c>
      <c r="AC32" s="199">
        <v>70</v>
      </c>
      <c r="AD32" s="199">
        <v>70</v>
      </c>
      <c r="AE32" s="199">
        <v>70</v>
      </c>
      <c r="AF32" s="199">
        <v>70</v>
      </c>
      <c r="AG32" s="199">
        <v>70</v>
      </c>
      <c r="AH32" s="199">
        <v>70</v>
      </c>
      <c r="AI32" s="199">
        <v>70</v>
      </c>
      <c r="AJ32" s="199">
        <v>70</v>
      </c>
      <c r="AK32" s="199">
        <v>70</v>
      </c>
      <c r="AL32" s="201">
        <v>70</v>
      </c>
      <c r="AM32" s="704"/>
      <c r="AN32" s="52">
        <f>SUM(H32:AL32)</f>
        <v>2660</v>
      </c>
    </row>
    <row r="33" spans="1:40" x14ac:dyDescent="0.25">
      <c r="A33" s="202"/>
      <c r="B33" s="1607"/>
      <c r="C33" s="1705"/>
      <c r="D33" s="1688"/>
      <c r="E33" s="1379" t="s">
        <v>342</v>
      </c>
      <c r="F33" s="1303">
        <f t="shared" si="7"/>
        <v>2732</v>
      </c>
      <c r="G33" s="1380">
        <f t="shared" ref="G33" si="10">IFERROR((F33-F32)/F32,0)</f>
        <v>2.7067669172932331E-2</v>
      </c>
      <c r="H33" s="1305">
        <v>36</v>
      </c>
      <c r="I33" s="1303">
        <v>42</v>
      </c>
      <c r="J33" s="1303">
        <f>98+12</f>
        <v>110</v>
      </c>
      <c r="K33" s="1303">
        <v>92</v>
      </c>
      <c r="L33" s="1303">
        <v>102</v>
      </c>
      <c r="M33" s="1303">
        <v>96</v>
      </c>
      <c r="N33" s="1303">
        <v>78</v>
      </c>
      <c r="O33" s="1303">
        <v>71</v>
      </c>
      <c r="P33" s="1303">
        <v>106</v>
      </c>
      <c r="Q33" s="1303">
        <v>82</v>
      </c>
      <c r="R33" s="1303">
        <v>71</v>
      </c>
      <c r="S33" s="1303">
        <v>95</v>
      </c>
      <c r="T33" s="1303">
        <v>106</v>
      </c>
      <c r="U33" s="1303">
        <v>110</v>
      </c>
      <c r="V33" s="1303">
        <v>111</v>
      </c>
      <c r="W33" s="1303">
        <v>102</v>
      </c>
      <c r="X33" s="1303">
        <v>72</v>
      </c>
      <c r="Y33" s="1303">
        <v>70</v>
      </c>
      <c r="Z33" s="1303">
        <v>78</v>
      </c>
      <c r="AA33" s="1303">
        <v>80</v>
      </c>
      <c r="AB33" s="1303">
        <v>66</v>
      </c>
      <c r="AC33" s="1303">
        <v>108</v>
      </c>
      <c r="AD33" s="1303">
        <v>162</v>
      </c>
      <c r="AE33" s="1303">
        <v>88</v>
      </c>
      <c r="AF33" s="1303">
        <v>72</v>
      </c>
      <c r="AG33" s="1303">
        <v>90</v>
      </c>
      <c r="AH33" s="1303">
        <v>90</v>
      </c>
      <c r="AI33" s="1303">
        <v>104</v>
      </c>
      <c r="AJ33" s="1303">
        <v>102</v>
      </c>
      <c r="AK33" s="1303">
        <v>92</v>
      </c>
      <c r="AL33" s="1303">
        <v>48</v>
      </c>
      <c r="AM33" s="347"/>
      <c r="AN33" s="52">
        <f>SUM(H33:AL33)</f>
        <v>2732</v>
      </c>
    </row>
    <row r="34" spans="1:40" x14ac:dyDescent="0.25">
      <c r="A34" s="202"/>
      <c r="B34" s="1607"/>
      <c r="C34" s="1705"/>
      <c r="D34" s="1688"/>
      <c r="E34" s="1389" t="s">
        <v>312</v>
      </c>
      <c r="F34" s="1382"/>
      <c r="G34" s="1383"/>
      <c r="H34" s="203"/>
      <c r="I34" s="203"/>
      <c r="J34" s="203"/>
      <c r="K34" s="203"/>
      <c r="L34" s="203"/>
      <c r="M34" s="203"/>
      <c r="N34" s="203"/>
      <c r="O34" s="203"/>
      <c r="P34" s="204"/>
      <c r="Q34" s="203"/>
      <c r="R34" s="203"/>
      <c r="S34" s="203"/>
      <c r="T34" s="203"/>
      <c r="U34" s="203"/>
      <c r="V34" s="203"/>
      <c r="W34" s="203"/>
      <c r="X34" s="203"/>
      <c r="Y34" s="203"/>
      <c r="Z34" s="203"/>
      <c r="AA34" s="203"/>
      <c r="AB34" s="203"/>
      <c r="AC34" s="203"/>
      <c r="AD34" s="203"/>
      <c r="AE34" s="203"/>
      <c r="AF34" s="203"/>
      <c r="AG34" s="203"/>
      <c r="AH34" s="203"/>
      <c r="AI34" s="203"/>
      <c r="AJ34" s="203"/>
      <c r="AK34" s="203"/>
      <c r="AL34" s="205"/>
      <c r="AM34" s="347"/>
    </row>
    <row r="35" spans="1:40" x14ac:dyDescent="0.25">
      <c r="A35" s="202"/>
      <c r="B35" s="1607"/>
      <c r="C35" s="1705"/>
      <c r="D35" s="1685" t="s">
        <v>343</v>
      </c>
      <c r="E35" s="1384" t="s">
        <v>344</v>
      </c>
      <c r="F35" s="1310">
        <f t="shared" ref="F35:F36" si="11">IFERROR(F37*1000/F32,0)</f>
        <v>3.4002631578947358</v>
      </c>
      <c r="G35" s="1385"/>
      <c r="H35" s="1312">
        <v>3.54</v>
      </c>
      <c r="I35" s="1312">
        <v>3.54</v>
      </c>
      <c r="J35" s="1312">
        <v>3.54</v>
      </c>
      <c r="K35" s="1333">
        <v>3.54</v>
      </c>
      <c r="L35" s="1333">
        <v>3.54</v>
      </c>
      <c r="M35" s="1333">
        <v>3.54</v>
      </c>
      <c r="N35" s="1333">
        <v>3.54</v>
      </c>
      <c r="O35" s="1333">
        <v>3.54</v>
      </c>
      <c r="P35" s="1334">
        <v>3.54</v>
      </c>
      <c r="Q35" s="1333">
        <v>3.54</v>
      </c>
      <c r="R35" s="1333">
        <v>3.54</v>
      </c>
      <c r="S35" s="1333">
        <v>3.54</v>
      </c>
      <c r="T35" s="1333">
        <v>3.54</v>
      </c>
      <c r="U35" s="1333">
        <v>3.54</v>
      </c>
      <c r="V35" s="1333">
        <v>3.54</v>
      </c>
      <c r="W35" s="1333">
        <v>3.54</v>
      </c>
      <c r="X35" s="1333">
        <v>3.54</v>
      </c>
      <c r="Y35" s="1333">
        <v>3.54</v>
      </c>
      <c r="Z35" s="1333">
        <v>3.54</v>
      </c>
      <c r="AA35" s="1333">
        <v>3.54</v>
      </c>
      <c r="AB35" s="1333">
        <v>3.54</v>
      </c>
      <c r="AC35" s="1333">
        <v>3.54</v>
      </c>
      <c r="AD35" s="1333">
        <v>3.54</v>
      </c>
      <c r="AE35" s="1333">
        <v>3.54</v>
      </c>
      <c r="AF35" s="1333">
        <v>3.54</v>
      </c>
      <c r="AG35" s="1333">
        <v>3.54</v>
      </c>
      <c r="AH35" s="1333">
        <v>3.54</v>
      </c>
      <c r="AI35" s="1333">
        <v>3.54</v>
      </c>
      <c r="AJ35" s="1333">
        <v>3.54</v>
      </c>
      <c r="AK35" s="1333">
        <v>3.54</v>
      </c>
      <c r="AL35" s="1335">
        <v>3.54</v>
      </c>
      <c r="AM35" s="347"/>
      <c r="AN35" s="63">
        <f>SUMPRODUCT(H32:AL32,H35:AL35)/AN32</f>
        <v>3.5399999999999991</v>
      </c>
    </row>
    <row r="36" spans="1:40" x14ac:dyDescent="0.25">
      <c r="A36" s="202"/>
      <c r="B36" s="1607"/>
      <c r="C36" s="1705"/>
      <c r="D36" s="1707"/>
      <c r="E36" s="1386" t="s">
        <v>345</v>
      </c>
      <c r="F36" s="1314">
        <f t="shared" si="11"/>
        <v>2.3308821376281115</v>
      </c>
      <c r="G36" s="1380">
        <f t="shared" ref="G36" si="12">IFERROR((F36-F35)/F35,0)</f>
        <v>-0.31449948742459355</v>
      </c>
      <c r="H36" s="1315">
        <v>2.52</v>
      </c>
      <c r="I36" s="1314">
        <v>2.63</v>
      </c>
      <c r="J36" s="1314">
        <v>1.2</v>
      </c>
      <c r="K36" s="1314">
        <v>2.73</v>
      </c>
      <c r="L36" s="1314">
        <v>1.91</v>
      </c>
      <c r="M36" s="1314">
        <v>2.35</v>
      </c>
      <c r="N36" s="1314">
        <v>2.17</v>
      </c>
      <c r="O36" s="1314">
        <v>1.66</v>
      </c>
      <c r="P36" s="1314">
        <v>2.35</v>
      </c>
      <c r="Q36" s="1314">
        <v>2.25</v>
      </c>
      <c r="R36" s="1314">
        <v>2.36</v>
      </c>
      <c r="S36" s="1314">
        <v>1.9</v>
      </c>
      <c r="T36" s="1314">
        <v>2.4700000000000002</v>
      </c>
      <c r="U36" s="1314">
        <v>2.94</v>
      </c>
      <c r="V36" s="1314">
        <v>1.77</v>
      </c>
      <c r="W36" s="1314">
        <v>1.81</v>
      </c>
      <c r="X36" s="1314">
        <v>1.1100000000000001</v>
      </c>
      <c r="Y36" s="1314">
        <v>1.87</v>
      </c>
      <c r="Z36" s="1314">
        <v>5.19</v>
      </c>
      <c r="AA36" s="1314">
        <v>3.86</v>
      </c>
      <c r="AB36" s="1314">
        <v>3.87</v>
      </c>
      <c r="AC36" s="1314">
        <v>2.48</v>
      </c>
      <c r="AD36" s="1314">
        <v>2.7</v>
      </c>
      <c r="AE36" s="1314">
        <v>1.71</v>
      </c>
      <c r="AF36" s="1314">
        <v>1.95</v>
      </c>
      <c r="AG36" s="1314">
        <v>2.5099999999999998</v>
      </c>
      <c r="AH36" s="1314">
        <v>1.41</v>
      </c>
      <c r="AI36" s="1314">
        <v>1.63</v>
      </c>
      <c r="AJ36" s="1314">
        <v>2.33</v>
      </c>
      <c r="AK36" s="1314">
        <v>3.36</v>
      </c>
      <c r="AL36" s="1314">
        <v>1.73</v>
      </c>
      <c r="AM36" s="347"/>
      <c r="AN36" s="708">
        <f>SUMPRODUCT(H33:AL33,H36:AL36)/AN33</f>
        <v>2.3308821376281106</v>
      </c>
    </row>
    <row r="37" spans="1:40" x14ac:dyDescent="0.25">
      <c r="A37" s="202"/>
      <c r="B37" s="1607"/>
      <c r="C37" s="1705"/>
      <c r="D37" s="1685" t="s">
        <v>47</v>
      </c>
      <c r="E37" s="1384" t="s">
        <v>346</v>
      </c>
      <c r="F37" s="206">
        <f t="shared" ref="F37:F40" si="13">SUMIF($H$9:$AL$9,"&lt;="&amp;$C$7,H37:AL37)</f>
        <v>9.0446999999999971</v>
      </c>
      <c r="G37" s="1385"/>
      <c r="H37" s="1316">
        <v>0</v>
      </c>
      <c r="I37" s="1316">
        <f t="shared" ref="I37:AL38" si="14">+I35*I32/1000</f>
        <v>0.37169999999999997</v>
      </c>
      <c r="J37" s="1316">
        <f t="shared" si="14"/>
        <v>0.37169999999999997</v>
      </c>
      <c r="K37" s="1316">
        <f t="shared" si="14"/>
        <v>0.37169999999999997</v>
      </c>
      <c r="L37" s="1316">
        <f t="shared" si="14"/>
        <v>0.37169999999999997</v>
      </c>
      <c r="M37" s="1316">
        <f t="shared" si="14"/>
        <v>0.37169999999999997</v>
      </c>
      <c r="N37" s="1316">
        <f t="shared" si="14"/>
        <v>0.37169999999999997</v>
      </c>
      <c r="O37" s="1316">
        <f t="shared" si="14"/>
        <v>0.37169999999999997</v>
      </c>
      <c r="P37" s="1316">
        <f t="shared" si="14"/>
        <v>0.37169999999999997</v>
      </c>
      <c r="Q37" s="1316">
        <f t="shared" si="14"/>
        <v>0.37169999999999997</v>
      </c>
      <c r="R37" s="1316">
        <f t="shared" si="14"/>
        <v>0.37169999999999997</v>
      </c>
      <c r="S37" s="1316">
        <f t="shared" si="14"/>
        <v>0.37169999999999997</v>
      </c>
      <c r="T37" s="1316">
        <f t="shared" si="14"/>
        <v>0.37169999999999997</v>
      </c>
      <c r="U37" s="1316">
        <f t="shared" si="14"/>
        <v>0.37169999999999997</v>
      </c>
      <c r="V37" s="1316">
        <f t="shared" si="14"/>
        <v>0.24780000000000002</v>
      </c>
      <c r="W37" s="1316">
        <f t="shared" si="14"/>
        <v>0.24780000000000002</v>
      </c>
      <c r="X37" s="1316">
        <f t="shared" si="14"/>
        <v>0.24780000000000002</v>
      </c>
      <c r="Y37" s="1316">
        <f t="shared" si="14"/>
        <v>0.24780000000000002</v>
      </c>
      <c r="Z37" s="1316">
        <f t="shared" si="14"/>
        <v>0.24780000000000002</v>
      </c>
      <c r="AA37" s="1316">
        <f t="shared" si="14"/>
        <v>0.24780000000000002</v>
      </c>
      <c r="AB37" s="1316">
        <f t="shared" si="14"/>
        <v>0.24780000000000002</v>
      </c>
      <c r="AC37" s="1316">
        <f t="shared" si="14"/>
        <v>0.24780000000000002</v>
      </c>
      <c r="AD37" s="1316">
        <f t="shared" si="14"/>
        <v>0.24780000000000002</v>
      </c>
      <c r="AE37" s="1316">
        <f t="shared" si="14"/>
        <v>0.24780000000000002</v>
      </c>
      <c r="AF37" s="1316">
        <f t="shared" si="14"/>
        <v>0.24780000000000002</v>
      </c>
      <c r="AG37" s="1316">
        <f t="shared" si="14"/>
        <v>0.24780000000000002</v>
      </c>
      <c r="AH37" s="1316">
        <f t="shared" si="14"/>
        <v>0.24780000000000002</v>
      </c>
      <c r="AI37" s="1316">
        <f t="shared" si="14"/>
        <v>0.24780000000000002</v>
      </c>
      <c r="AJ37" s="1316">
        <f t="shared" si="14"/>
        <v>0.24780000000000002</v>
      </c>
      <c r="AK37" s="1316">
        <f t="shared" si="14"/>
        <v>0.24780000000000002</v>
      </c>
      <c r="AL37" s="1316">
        <f t="shared" si="14"/>
        <v>0.24780000000000002</v>
      </c>
      <c r="AM37" s="705"/>
      <c r="AN37" s="709">
        <f>SUM(H37:AL37)</f>
        <v>9.0446999999999971</v>
      </c>
    </row>
    <row r="38" spans="1:40" ht="15.75" thickBot="1" x14ac:dyDescent="0.3">
      <c r="A38" s="202"/>
      <c r="B38" s="1660"/>
      <c r="C38" s="1706"/>
      <c r="D38" s="1708"/>
      <c r="E38" s="1387" t="s">
        <v>347</v>
      </c>
      <c r="F38" s="1321">
        <f t="shared" si="13"/>
        <v>6.3679700000000006</v>
      </c>
      <c r="G38" s="1388">
        <f t="shared" ref="G38" si="15">IFERROR((F38-F37)/F37,0)</f>
        <v>-0.29594458633232695</v>
      </c>
      <c r="H38" s="1323">
        <f t="shared" ref="H38" si="16">+H36*H33/1000</f>
        <v>9.0719999999999995E-2</v>
      </c>
      <c r="I38" s="1323">
        <f t="shared" si="14"/>
        <v>0.11045999999999999</v>
      </c>
      <c r="J38" s="1323">
        <f t="shared" si="14"/>
        <v>0.13200000000000001</v>
      </c>
      <c r="K38" s="1323">
        <f t="shared" si="14"/>
        <v>0.25115999999999999</v>
      </c>
      <c r="L38" s="1323">
        <f t="shared" si="14"/>
        <v>0.19481999999999999</v>
      </c>
      <c r="M38" s="1323">
        <f t="shared" si="14"/>
        <v>0.22560000000000002</v>
      </c>
      <c r="N38" s="1323">
        <f t="shared" si="14"/>
        <v>0.16925999999999999</v>
      </c>
      <c r="O38" s="1323">
        <f t="shared" si="14"/>
        <v>0.11785999999999999</v>
      </c>
      <c r="P38" s="1323">
        <f t="shared" si="14"/>
        <v>0.24910000000000002</v>
      </c>
      <c r="Q38" s="1323">
        <f t="shared" si="14"/>
        <v>0.1845</v>
      </c>
      <c r="R38" s="1323">
        <f t="shared" si="14"/>
        <v>0.16756000000000001</v>
      </c>
      <c r="S38" s="1323">
        <f t="shared" si="14"/>
        <v>0.18049999999999999</v>
      </c>
      <c r="T38" s="1323">
        <f t="shared" si="14"/>
        <v>0.26182</v>
      </c>
      <c r="U38" s="1323">
        <f t="shared" si="14"/>
        <v>0.32339999999999997</v>
      </c>
      <c r="V38" s="1323">
        <f t="shared" si="14"/>
        <v>0.19647000000000001</v>
      </c>
      <c r="W38" s="1323">
        <f t="shared" si="14"/>
        <v>0.18462000000000001</v>
      </c>
      <c r="X38" s="1323">
        <f t="shared" si="14"/>
        <v>7.9920000000000005E-2</v>
      </c>
      <c r="Y38" s="1323">
        <f t="shared" si="14"/>
        <v>0.13090000000000002</v>
      </c>
      <c r="Z38" s="1323">
        <f t="shared" si="14"/>
        <v>0.40482000000000007</v>
      </c>
      <c r="AA38" s="1323">
        <f t="shared" si="14"/>
        <v>0.30880000000000002</v>
      </c>
      <c r="AB38" s="1323">
        <f t="shared" si="14"/>
        <v>0.25542000000000004</v>
      </c>
      <c r="AC38" s="1323">
        <f t="shared" si="14"/>
        <v>0.26783999999999997</v>
      </c>
      <c r="AD38" s="1323">
        <f t="shared" si="14"/>
        <v>0.43740000000000001</v>
      </c>
      <c r="AE38" s="1323">
        <f t="shared" si="14"/>
        <v>0.15048</v>
      </c>
      <c r="AF38" s="1323">
        <f t="shared" si="14"/>
        <v>0.1404</v>
      </c>
      <c r="AG38" s="1323">
        <f t="shared" si="14"/>
        <v>0.22589999999999999</v>
      </c>
      <c r="AH38" s="1323">
        <f t="shared" si="14"/>
        <v>0.12689999999999999</v>
      </c>
      <c r="AI38" s="1323">
        <f t="shared" si="14"/>
        <v>0.16951999999999998</v>
      </c>
      <c r="AJ38" s="1323">
        <f t="shared" si="14"/>
        <v>0.23766000000000001</v>
      </c>
      <c r="AK38" s="1323">
        <f t="shared" si="14"/>
        <v>0.30912000000000001</v>
      </c>
      <c r="AL38" s="1323">
        <f t="shared" si="14"/>
        <v>8.3039999999999989E-2</v>
      </c>
      <c r="AM38" s="706"/>
      <c r="AN38" s="709">
        <f>SUM(H38:AL38)</f>
        <v>6.3679700000000006</v>
      </c>
    </row>
    <row r="39" spans="1:40" ht="14.25" customHeight="1" x14ac:dyDescent="0.25">
      <c r="A39" s="194"/>
      <c r="B39" s="1608"/>
      <c r="C39" s="1704" t="s">
        <v>126</v>
      </c>
      <c r="D39" s="1684" t="s">
        <v>340</v>
      </c>
      <c r="E39" s="195" t="s">
        <v>341</v>
      </c>
      <c r="F39" s="196">
        <f t="shared" si="13"/>
        <v>4340</v>
      </c>
      <c r="G39" s="197"/>
      <c r="H39" s="198">
        <v>140</v>
      </c>
      <c r="I39" s="198">
        <v>140</v>
      </c>
      <c r="J39" s="198">
        <v>140</v>
      </c>
      <c r="K39" s="199">
        <v>140</v>
      </c>
      <c r="L39" s="199">
        <v>140</v>
      </c>
      <c r="M39" s="199">
        <v>140</v>
      </c>
      <c r="N39" s="199">
        <v>140</v>
      </c>
      <c r="O39" s="199">
        <v>140</v>
      </c>
      <c r="P39" s="200">
        <v>140</v>
      </c>
      <c r="Q39" s="199">
        <v>140</v>
      </c>
      <c r="R39" s="199">
        <v>140</v>
      </c>
      <c r="S39" s="199">
        <v>140</v>
      </c>
      <c r="T39" s="199">
        <v>140</v>
      </c>
      <c r="U39" s="199">
        <v>140</v>
      </c>
      <c r="V39" s="199">
        <v>140</v>
      </c>
      <c r="W39" s="199">
        <v>140</v>
      </c>
      <c r="X39" s="199">
        <v>140</v>
      </c>
      <c r="Y39" s="199">
        <v>140</v>
      </c>
      <c r="Z39" s="199">
        <v>140</v>
      </c>
      <c r="AA39" s="199">
        <v>140</v>
      </c>
      <c r="AB39" s="199">
        <v>140</v>
      </c>
      <c r="AC39" s="199">
        <v>140</v>
      </c>
      <c r="AD39" s="199">
        <v>140</v>
      </c>
      <c r="AE39" s="199">
        <v>140</v>
      </c>
      <c r="AF39" s="199">
        <v>140</v>
      </c>
      <c r="AG39" s="199">
        <v>140</v>
      </c>
      <c r="AH39" s="199">
        <v>140</v>
      </c>
      <c r="AI39" s="199">
        <v>140</v>
      </c>
      <c r="AJ39" s="199">
        <v>140</v>
      </c>
      <c r="AK39" s="199">
        <v>140</v>
      </c>
      <c r="AL39" s="201">
        <v>140</v>
      </c>
      <c r="AM39" s="704"/>
      <c r="AN39" s="52">
        <f t="shared" ref="AN39:AN40" si="17">SUM(H39:AL39)</f>
        <v>4340</v>
      </c>
    </row>
    <row r="40" spans="1:40" x14ac:dyDescent="0.25">
      <c r="A40" s="202"/>
      <c r="B40" s="1607"/>
      <c r="C40" s="1705"/>
      <c r="D40" s="1688"/>
      <c r="E40" s="1379" t="s">
        <v>342</v>
      </c>
      <c r="F40" s="1303">
        <f t="shared" si="13"/>
        <v>4581</v>
      </c>
      <c r="G40" s="1380">
        <f t="shared" ref="G40" si="18">IFERROR((F40-F39)/F39,0)</f>
        <v>5.5529953917050692E-2</v>
      </c>
      <c r="H40" s="1305">
        <v>154</v>
      </c>
      <c r="I40" s="1303">
        <v>152</v>
      </c>
      <c r="J40" s="1303">
        <v>106</v>
      </c>
      <c r="K40" s="1303">
        <v>121</v>
      </c>
      <c r="L40" s="1303">
        <v>117</v>
      </c>
      <c r="M40" s="1303">
        <v>147</v>
      </c>
      <c r="N40" s="1303">
        <v>151</v>
      </c>
      <c r="O40" s="1303">
        <v>141</v>
      </c>
      <c r="P40" s="1303">
        <v>140</v>
      </c>
      <c r="Q40" s="1303">
        <v>137</v>
      </c>
      <c r="R40" s="1303">
        <v>104</v>
      </c>
      <c r="S40" s="1303">
        <v>145</v>
      </c>
      <c r="T40" s="1303">
        <v>146</v>
      </c>
      <c r="U40" s="1303">
        <v>154</v>
      </c>
      <c r="V40" s="1303">
        <v>153</v>
      </c>
      <c r="W40" s="1303">
        <v>150</v>
      </c>
      <c r="X40" s="1303">
        <v>180</v>
      </c>
      <c r="Y40" s="1303">
        <v>176</v>
      </c>
      <c r="Z40" s="1303">
        <v>178</v>
      </c>
      <c r="AA40" s="1303">
        <v>136</v>
      </c>
      <c r="AB40" s="1303">
        <v>180</v>
      </c>
      <c r="AC40" s="1303">
        <v>198</v>
      </c>
      <c r="AD40" s="1303">
        <v>157</v>
      </c>
      <c r="AE40" s="1303">
        <v>152</v>
      </c>
      <c r="AF40" s="1303">
        <v>170</v>
      </c>
      <c r="AG40" s="1303">
        <v>126</v>
      </c>
      <c r="AH40" s="1303">
        <v>140</v>
      </c>
      <c r="AI40" s="1303">
        <v>162</v>
      </c>
      <c r="AJ40" s="1303">
        <v>148</v>
      </c>
      <c r="AK40" s="1303">
        <v>128</v>
      </c>
      <c r="AL40" s="1303">
        <v>132</v>
      </c>
      <c r="AM40" s="347"/>
      <c r="AN40" s="52">
        <f t="shared" si="17"/>
        <v>4581</v>
      </c>
    </row>
    <row r="41" spans="1:40" x14ac:dyDescent="0.25">
      <c r="A41" s="202"/>
      <c r="B41" s="1607"/>
      <c r="C41" s="1705"/>
      <c r="D41" s="1688"/>
      <c r="E41" s="1389" t="s">
        <v>312</v>
      </c>
      <c r="F41" s="1382"/>
      <c r="G41" s="1383"/>
      <c r="H41" s="203"/>
      <c r="I41" s="203"/>
      <c r="J41" s="203"/>
      <c r="K41" s="203"/>
      <c r="L41" s="203"/>
      <c r="M41" s="203"/>
      <c r="N41" s="203"/>
      <c r="O41" s="203"/>
      <c r="P41" s="204"/>
      <c r="Q41" s="203"/>
      <c r="R41" s="203"/>
      <c r="S41" s="203"/>
      <c r="T41" s="203"/>
      <c r="U41" s="203"/>
      <c r="V41" s="203"/>
      <c r="W41" s="203"/>
      <c r="X41" s="203"/>
      <c r="Y41" s="203"/>
      <c r="Z41" s="203"/>
      <c r="AA41" s="203"/>
      <c r="AB41" s="203"/>
      <c r="AC41" s="203"/>
      <c r="AD41" s="203"/>
      <c r="AE41" s="203"/>
      <c r="AF41" s="203"/>
      <c r="AG41" s="203"/>
      <c r="AH41" s="203"/>
      <c r="AI41" s="203"/>
      <c r="AJ41" s="203"/>
      <c r="AK41" s="203"/>
      <c r="AL41" s="205"/>
      <c r="AM41" s="347"/>
    </row>
    <row r="42" spans="1:40" x14ac:dyDescent="0.25">
      <c r="A42" s="202"/>
      <c r="B42" s="1607"/>
      <c r="C42" s="1705"/>
      <c r="D42" s="1685" t="s">
        <v>343</v>
      </c>
      <c r="E42" s="1384" t="s">
        <v>344</v>
      </c>
      <c r="F42" s="1310">
        <f t="shared" ref="F42:F43" si="19">IFERROR(F44*1000/F39,0)</f>
        <v>3.7258064516129021</v>
      </c>
      <c r="G42" s="1385"/>
      <c r="H42" s="1312">
        <v>3.85</v>
      </c>
      <c r="I42" s="1312">
        <v>3.85</v>
      </c>
      <c r="J42" s="1312">
        <v>3.85</v>
      </c>
      <c r="K42" s="1333">
        <v>3.85</v>
      </c>
      <c r="L42" s="1333">
        <v>3.85</v>
      </c>
      <c r="M42" s="1333">
        <v>3.85</v>
      </c>
      <c r="N42" s="1333">
        <v>3.85</v>
      </c>
      <c r="O42" s="1333">
        <v>3.85</v>
      </c>
      <c r="P42" s="1334">
        <v>3.85</v>
      </c>
      <c r="Q42" s="1333">
        <v>3.85</v>
      </c>
      <c r="R42" s="1333">
        <v>3.85</v>
      </c>
      <c r="S42" s="1333">
        <v>3.85</v>
      </c>
      <c r="T42" s="1333">
        <v>3.85</v>
      </c>
      <c r="U42" s="1333">
        <v>3.85</v>
      </c>
      <c r="V42" s="1333">
        <v>3.85</v>
      </c>
      <c r="W42" s="1333">
        <v>3.85</v>
      </c>
      <c r="X42" s="1333">
        <v>3.85</v>
      </c>
      <c r="Y42" s="1333">
        <v>3.85</v>
      </c>
      <c r="Z42" s="1333">
        <v>3.85</v>
      </c>
      <c r="AA42" s="1333">
        <v>3.85</v>
      </c>
      <c r="AB42" s="1333">
        <v>3.85</v>
      </c>
      <c r="AC42" s="1333">
        <v>3.85</v>
      </c>
      <c r="AD42" s="1333">
        <v>3.85</v>
      </c>
      <c r="AE42" s="1333">
        <v>3.85</v>
      </c>
      <c r="AF42" s="1333">
        <v>3.85</v>
      </c>
      <c r="AG42" s="1333">
        <v>3.85</v>
      </c>
      <c r="AH42" s="1333">
        <v>3.85</v>
      </c>
      <c r="AI42" s="1333">
        <v>3.85</v>
      </c>
      <c r="AJ42" s="1333">
        <v>3.85</v>
      </c>
      <c r="AK42" s="1333">
        <v>3.85</v>
      </c>
      <c r="AL42" s="1335">
        <v>3.85</v>
      </c>
      <c r="AM42" s="347"/>
      <c r="AN42" s="63">
        <f t="shared" ref="AN42:AN43" si="20">SUMPRODUCT(H39:AL39,H42:AL42)/AN39</f>
        <v>3.85</v>
      </c>
    </row>
    <row r="43" spans="1:40" x14ac:dyDescent="0.25">
      <c r="A43" s="202"/>
      <c r="B43" s="1607"/>
      <c r="C43" s="1705"/>
      <c r="D43" s="1707"/>
      <c r="E43" s="1386" t="s">
        <v>345</v>
      </c>
      <c r="F43" s="1314">
        <f t="shared" si="19"/>
        <v>2.7069286182056325</v>
      </c>
      <c r="G43" s="1380">
        <f t="shared" ref="G43" si="21">IFERROR((F43-F42)/F42,0)</f>
        <v>-0.27346504619589063</v>
      </c>
      <c r="H43" s="1315">
        <v>2.64</v>
      </c>
      <c r="I43" s="1314">
        <v>2.63</v>
      </c>
      <c r="J43" s="1314">
        <v>1.2</v>
      </c>
      <c r="K43" s="1314">
        <v>2.73</v>
      </c>
      <c r="L43" s="1314">
        <v>1.91</v>
      </c>
      <c r="M43" s="1314">
        <v>2.35</v>
      </c>
      <c r="N43" s="1314">
        <v>2.17</v>
      </c>
      <c r="O43" s="1314">
        <v>1.65</v>
      </c>
      <c r="P43" s="1314">
        <v>1.1599999999999999</v>
      </c>
      <c r="Q43" s="1314">
        <v>2.31</v>
      </c>
      <c r="R43" s="1314">
        <v>1.98</v>
      </c>
      <c r="S43" s="1314">
        <v>1.89</v>
      </c>
      <c r="T43" s="1314">
        <v>3.82</v>
      </c>
      <c r="U43" s="1314">
        <v>4.2699999999999996</v>
      </c>
      <c r="V43" s="1314">
        <v>4.92</v>
      </c>
      <c r="W43" s="1314">
        <v>1.61</v>
      </c>
      <c r="X43" s="1314">
        <v>1.89</v>
      </c>
      <c r="Y43" s="1314">
        <v>3.14</v>
      </c>
      <c r="Z43" s="1314">
        <v>2.7</v>
      </c>
      <c r="AA43" s="1314">
        <v>3.86</v>
      </c>
      <c r="AB43" s="1314">
        <v>3.87</v>
      </c>
      <c r="AC43" s="1314">
        <v>2.48</v>
      </c>
      <c r="AD43" s="1314">
        <v>3.11</v>
      </c>
      <c r="AE43" s="1314">
        <v>1.1200000000000001</v>
      </c>
      <c r="AF43" s="1314">
        <v>1.69</v>
      </c>
      <c r="AG43" s="1314">
        <v>3.71</v>
      </c>
      <c r="AH43" s="1314">
        <v>5.34</v>
      </c>
      <c r="AI43" s="1314">
        <v>2</v>
      </c>
      <c r="AJ43" s="1314">
        <v>4.3</v>
      </c>
      <c r="AK43" s="1314">
        <v>1.81</v>
      </c>
      <c r="AL43" s="1314">
        <v>3.03</v>
      </c>
      <c r="AM43" s="347"/>
      <c r="AN43" s="708">
        <f t="shared" si="20"/>
        <v>2.706928618205632</v>
      </c>
    </row>
    <row r="44" spans="1:40" x14ac:dyDescent="0.25">
      <c r="A44" s="202"/>
      <c r="B44" s="1607"/>
      <c r="C44" s="1705"/>
      <c r="D44" s="1685" t="s">
        <v>47</v>
      </c>
      <c r="E44" s="1384" t="s">
        <v>346</v>
      </c>
      <c r="F44" s="206">
        <f t="shared" ref="F44:F47" si="22">SUMIF($H$9:$AL$9,"&lt;="&amp;$C$7,H44:AL44)</f>
        <v>16.169999999999995</v>
      </c>
      <c r="G44" s="1385"/>
      <c r="H44" s="1316">
        <v>0</v>
      </c>
      <c r="I44" s="1316">
        <f t="shared" ref="I44:AL45" si="23">+I42*I39/1000</f>
        <v>0.53900000000000003</v>
      </c>
      <c r="J44" s="1316">
        <f t="shared" si="23"/>
        <v>0.53900000000000003</v>
      </c>
      <c r="K44" s="1316">
        <f t="shared" si="23"/>
        <v>0.53900000000000003</v>
      </c>
      <c r="L44" s="1316">
        <f t="shared" si="23"/>
        <v>0.53900000000000003</v>
      </c>
      <c r="M44" s="1316">
        <f t="shared" si="23"/>
        <v>0.53900000000000003</v>
      </c>
      <c r="N44" s="1316">
        <f t="shared" si="23"/>
        <v>0.53900000000000003</v>
      </c>
      <c r="O44" s="1316">
        <f t="shared" si="23"/>
        <v>0.53900000000000003</v>
      </c>
      <c r="P44" s="1316">
        <f t="shared" si="23"/>
        <v>0.53900000000000003</v>
      </c>
      <c r="Q44" s="1316">
        <f t="shared" si="23"/>
        <v>0.53900000000000003</v>
      </c>
      <c r="R44" s="1316">
        <f t="shared" si="23"/>
        <v>0.53900000000000003</v>
      </c>
      <c r="S44" s="1316">
        <f t="shared" si="23"/>
        <v>0.53900000000000003</v>
      </c>
      <c r="T44" s="1316">
        <f t="shared" si="23"/>
        <v>0.53900000000000003</v>
      </c>
      <c r="U44" s="1316">
        <f t="shared" si="23"/>
        <v>0.53900000000000003</v>
      </c>
      <c r="V44" s="1316">
        <f t="shared" si="23"/>
        <v>0.53900000000000003</v>
      </c>
      <c r="W44" s="1316">
        <f t="shared" si="23"/>
        <v>0.53900000000000003</v>
      </c>
      <c r="X44" s="1316">
        <f t="shared" si="23"/>
        <v>0.53900000000000003</v>
      </c>
      <c r="Y44" s="1316">
        <f t="shared" si="23"/>
        <v>0.53900000000000003</v>
      </c>
      <c r="Z44" s="1316">
        <f t="shared" si="23"/>
        <v>0.53900000000000003</v>
      </c>
      <c r="AA44" s="1316">
        <f t="shared" si="23"/>
        <v>0.53900000000000003</v>
      </c>
      <c r="AB44" s="1316">
        <f t="shared" si="23"/>
        <v>0.53900000000000003</v>
      </c>
      <c r="AC44" s="1316">
        <f t="shared" si="23"/>
        <v>0.53900000000000003</v>
      </c>
      <c r="AD44" s="1316">
        <f t="shared" si="23"/>
        <v>0.53900000000000003</v>
      </c>
      <c r="AE44" s="1316">
        <f t="shared" si="23"/>
        <v>0.53900000000000003</v>
      </c>
      <c r="AF44" s="1316">
        <f t="shared" si="23"/>
        <v>0.53900000000000003</v>
      </c>
      <c r="AG44" s="1316">
        <f t="shared" si="23"/>
        <v>0.53900000000000003</v>
      </c>
      <c r="AH44" s="1316">
        <f t="shared" si="23"/>
        <v>0.53900000000000003</v>
      </c>
      <c r="AI44" s="1316">
        <f t="shared" si="23"/>
        <v>0.53900000000000003</v>
      </c>
      <c r="AJ44" s="1316">
        <f t="shared" si="23"/>
        <v>0.53900000000000003</v>
      </c>
      <c r="AK44" s="1316">
        <f t="shared" si="23"/>
        <v>0.53900000000000003</v>
      </c>
      <c r="AL44" s="1316">
        <f t="shared" si="23"/>
        <v>0.53900000000000003</v>
      </c>
      <c r="AM44" s="705"/>
      <c r="AN44" s="709">
        <f t="shared" ref="AN44:AN47" si="24">SUM(H44:AL44)</f>
        <v>16.169999999999995</v>
      </c>
    </row>
    <row r="45" spans="1:40" ht="15.75" thickBot="1" x14ac:dyDescent="0.3">
      <c r="A45" s="202"/>
      <c r="B45" s="1660"/>
      <c r="C45" s="1706"/>
      <c r="D45" s="1708"/>
      <c r="E45" s="1387" t="s">
        <v>347</v>
      </c>
      <c r="F45" s="1321">
        <f t="shared" si="22"/>
        <v>12.400440000000001</v>
      </c>
      <c r="G45" s="1388">
        <f t="shared" ref="G45" si="25">IFERROR((F45-F44)/F44,0)</f>
        <v>-0.23312059369202193</v>
      </c>
      <c r="H45" s="1323">
        <f t="shared" ref="H45" si="26">+H43*H40/1000</f>
        <v>0.40655999999999998</v>
      </c>
      <c r="I45" s="1323">
        <f t="shared" si="23"/>
        <v>0.39976</v>
      </c>
      <c r="J45" s="1323">
        <f t="shared" si="23"/>
        <v>0.12719999999999998</v>
      </c>
      <c r="K45" s="1323">
        <f t="shared" si="23"/>
        <v>0.33032999999999996</v>
      </c>
      <c r="L45" s="1323">
        <f t="shared" si="23"/>
        <v>0.22347</v>
      </c>
      <c r="M45" s="1323">
        <f t="shared" si="23"/>
        <v>0.34544999999999998</v>
      </c>
      <c r="N45" s="1323">
        <f t="shared" si="23"/>
        <v>0.32767000000000002</v>
      </c>
      <c r="O45" s="1323">
        <f t="shared" si="23"/>
        <v>0.23264999999999997</v>
      </c>
      <c r="P45" s="1323">
        <f t="shared" si="23"/>
        <v>0.16239999999999999</v>
      </c>
      <c r="Q45" s="1323">
        <f t="shared" si="23"/>
        <v>0.31647000000000003</v>
      </c>
      <c r="R45" s="1323">
        <f t="shared" si="23"/>
        <v>0.20591999999999999</v>
      </c>
      <c r="S45" s="1323">
        <f t="shared" si="23"/>
        <v>0.27405000000000002</v>
      </c>
      <c r="T45" s="1323">
        <f t="shared" si="23"/>
        <v>0.55771999999999999</v>
      </c>
      <c r="U45" s="1323">
        <f t="shared" si="23"/>
        <v>0.65757999999999994</v>
      </c>
      <c r="V45" s="1323">
        <f t="shared" si="23"/>
        <v>0.75275999999999998</v>
      </c>
      <c r="W45" s="1323">
        <f t="shared" si="23"/>
        <v>0.24150000000000002</v>
      </c>
      <c r="X45" s="1323">
        <f t="shared" si="23"/>
        <v>0.3402</v>
      </c>
      <c r="Y45" s="1323">
        <f t="shared" si="23"/>
        <v>0.55264000000000002</v>
      </c>
      <c r="Z45" s="1323">
        <f t="shared" si="23"/>
        <v>0.48060000000000003</v>
      </c>
      <c r="AA45" s="1323">
        <f t="shared" si="23"/>
        <v>0.52495999999999998</v>
      </c>
      <c r="AB45" s="1323">
        <f t="shared" si="23"/>
        <v>0.6966</v>
      </c>
      <c r="AC45" s="1323">
        <f t="shared" si="23"/>
        <v>0.49104000000000003</v>
      </c>
      <c r="AD45" s="1323">
        <f t="shared" si="23"/>
        <v>0.48826999999999998</v>
      </c>
      <c r="AE45" s="1323">
        <f t="shared" si="23"/>
        <v>0.17024</v>
      </c>
      <c r="AF45" s="1323">
        <f t="shared" si="23"/>
        <v>0.2873</v>
      </c>
      <c r="AG45" s="1323">
        <f t="shared" si="23"/>
        <v>0.46745999999999999</v>
      </c>
      <c r="AH45" s="1323">
        <f t="shared" si="23"/>
        <v>0.74760000000000004</v>
      </c>
      <c r="AI45" s="1323">
        <f t="shared" si="23"/>
        <v>0.32400000000000001</v>
      </c>
      <c r="AJ45" s="1323">
        <f t="shared" si="23"/>
        <v>0.63639999999999997</v>
      </c>
      <c r="AK45" s="1323">
        <f t="shared" si="23"/>
        <v>0.23168</v>
      </c>
      <c r="AL45" s="1323">
        <f t="shared" si="23"/>
        <v>0.39995999999999998</v>
      </c>
      <c r="AM45" s="706"/>
      <c r="AN45" s="709">
        <f t="shared" si="24"/>
        <v>12.400440000000001</v>
      </c>
    </row>
    <row r="46" spans="1:40" ht="14.25" customHeight="1" x14ac:dyDescent="0.25">
      <c r="A46" s="194"/>
      <c r="B46" s="1608"/>
      <c r="C46" s="1704" t="s">
        <v>471</v>
      </c>
      <c r="D46" s="1684" t="s">
        <v>340</v>
      </c>
      <c r="E46" s="195" t="s">
        <v>341</v>
      </c>
      <c r="F46" s="196">
        <f t="shared" si="22"/>
        <v>1085</v>
      </c>
      <c r="G46" s="197"/>
      <c r="H46" s="198">
        <v>35</v>
      </c>
      <c r="I46" s="198">
        <v>35</v>
      </c>
      <c r="J46" s="198">
        <v>35</v>
      </c>
      <c r="K46" s="199">
        <v>35</v>
      </c>
      <c r="L46" s="199">
        <v>35</v>
      </c>
      <c r="M46" s="199">
        <v>35</v>
      </c>
      <c r="N46" s="199">
        <v>35</v>
      </c>
      <c r="O46" s="199">
        <v>35</v>
      </c>
      <c r="P46" s="200">
        <v>35</v>
      </c>
      <c r="Q46" s="199">
        <v>35</v>
      </c>
      <c r="R46" s="199">
        <v>35</v>
      </c>
      <c r="S46" s="199">
        <v>35</v>
      </c>
      <c r="T46" s="199">
        <v>35</v>
      </c>
      <c r="U46" s="199">
        <v>35</v>
      </c>
      <c r="V46" s="199">
        <v>35</v>
      </c>
      <c r="W46" s="199">
        <v>35</v>
      </c>
      <c r="X46" s="199">
        <v>35</v>
      </c>
      <c r="Y46" s="199">
        <v>35</v>
      </c>
      <c r="Z46" s="199">
        <v>35</v>
      </c>
      <c r="AA46" s="199">
        <v>35</v>
      </c>
      <c r="AB46" s="199">
        <v>35</v>
      </c>
      <c r="AC46" s="199">
        <v>35</v>
      </c>
      <c r="AD46" s="199">
        <v>35</v>
      </c>
      <c r="AE46" s="199">
        <v>35</v>
      </c>
      <c r="AF46" s="199">
        <v>35</v>
      </c>
      <c r="AG46" s="199">
        <v>35</v>
      </c>
      <c r="AH46" s="199">
        <v>35</v>
      </c>
      <c r="AI46" s="199">
        <v>35</v>
      </c>
      <c r="AJ46" s="199">
        <v>35</v>
      </c>
      <c r="AK46" s="199">
        <v>35</v>
      </c>
      <c r="AL46" s="201">
        <v>35</v>
      </c>
      <c r="AM46" s="704"/>
      <c r="AN46" s="52">
        <f>SUM(H46:AL46)</f>
        <v>1085</v>
      </c>
    </row>
    <row r="47" spans="1:40" x14ac:dyDescent="0.25">
      <c r="A47" s="202"/>
      <c r="B47" s="1607"/>
      <c r="C47" s="1705"/>
      <c r="D47" s="1688"/>
      <c r="E47" s="1379" t="s">
        <v>342</v>
      </c>
      <c r="F47" s="1303">
        <f t="shared" si="22"/>
        <v>1258</v>
      </c>
      <c r="G47" s="1380">
        <f t="shared" ref="G47" si="27">IFERROR((F47-F46)/F46,0)</f>
        <v>0.15944700460829492</v>
      </c>
      <c r="H47" s="1305">
        <v>50</v>
      </c>
      <c r="I47" s="1303">
        <v>41</v>
      </c>
      <c r="J47" s="1303">
        <v>36</v>
      </c>
      <c r="K47" s="1303">
        <v>62</v>
      </c>
      <c r="L47" s="1303">
        <v>42</v>
      </c>
      <c r="M47" s="1303">
        <v>36</v>
      </c>
      <c r="N47" s="1303">
        <v>0</v>
      </c>
      <c r="O47" s="1303">
        <v>30</v>
      </c>
      <c r="P47" s="1303"/>
      <c r="Q47" s="1303">
        <v>18</v>
      </c>
      <c r="R47" s="1303">
        <v>53</v>
      </c>
      <c r="S47" s="1303">
        <v>42</v>
      </c>
      <c r="T47" s="1303">
        <v>24</v>
      </c>
      <c r="U47" s="1303">
        <v>24</v>
      </c>
      <c r="V47" s="1303">
        <v>24</v>
      </c>
      <c r="W47" s="1303">
        <v>36</v>
      </c>
      <c r="X47" s="1303">
        <v>24</v>
      </c>
      <c r="Y47" s="1303">
        <v>38</v>
      </c>
      <c r="Z47" s="1303">
        <v>47</v>
      </c>
      <c r="AA47" s="1303">
        <v>60</v>
      </c>
      <c r="AB47" s="1303">
        <v>42</v>
      </c>
      <c r="AC47" s="1303">
        <v>36</v>
      </c>
      <c r="AD47" s="1303">
        <v>32</v>
      </c>
      <c r="AE47" s="1303">
        <v>36</v>
      </c>
      <c r="AF47" s="1303">
        <v>71</v>
      </c>
      <c r="AG47" s="1303">
        <v>48</v>
      </c>
      <c r="AH47" s="1303">
        <v>48</v>
      </c>
      <c r="AI47" s="1303">
        <v>72</v>
      </c>
      <c r="AJ47" s="1303">
        <v>36</v>
      </c>
      <c r="AK47" s="1303">
        <v>72</v>
      </c>
      <c r="AL47" s="1303">
        <v>78</v>
      </c>
      <c r="AM47" s="347"/>
      <c r="AN47" s="52">
        <f t="shared" si="24"/>
        <v>1258</v>
      </c>
    </row>
    <row r="48" spans="1:40" x14ac:dyDescent="0.25">
      <c r="A48" s="202"/>
      <c r="B48" s="1607"/>
      <c r="C48" s="1705"/>
      <c r="D48" s="1688"/>
      <c r="E48" s="1389" t="s">
        <v>312</v>
      </c>
      <c r="F48" s="1382"/>
      <c r="G48" s="1383"/>
      <c r="H48" s="203"/>
      <c r="I48" s="203"/>
      <c r="J48" s="203"/>
      <c r="K48" s="203"/>
      <c r="L48" s="203"/>
      <c r="M48" s="203"/>
      <c r="N48" s="203"/>
      <c r="O48" s="203"/>
      <c r="P48" s="204"/>
      <c r="Q48" s="203"/>
      <c r="R48" s="203"/>
      <c r="S48" s="203"/>
      <c r="T48" s="203"/>
      <c r="U48" s="203"/>
      <c r="V48" s="203"/>
      <c r="W48" s="203"/>
      <c r="X48" s="203"/>
      <c r="Y48" s="203" t="s">
        <v>361</v>
      </c>
      <c r="Z48" s="203"/>
      <c r="AA48" s="203"/>
      <c r="AB48" s="203"/>
      <c r="AC48" s="203"/>
      <c r="AD48" s="203"/>
      <c r="AE48" s="203"/>
      <c r="AF48" s="203"/>
      <c r="AG48" s="203"/>
      <c r="AH48" s="203"/>
      <c r="AI48" s="203"/>
      <c r="AJ48" s="203"/>
      <c r="AK48" s="203"/>
      <c r="AL48" s="205"/>
      <c r="AM48" s="347"/>
    </row>
    <row r="49" spans="1:40" x14ac:dyDescent="0.25">
      <c r="A49" s="202"/>
      <c r="B49" s="1607"/>
      <c r="C49" s="1705"/>
      <c r="D49" s="1685" t="s">
        <v>343</v>
      </c>
      <c r="E49" s="1384" t="s">
        <v>344</v>
      </c>
      <c r="F49" s="1310">
        <f t="shared" ref="F49:F50" si="28">IFERROR(F51*1000/F46,0)</f>
        <v>2.0516129032258066</v>
      </c>
      <c r="G49" s="1385"/>
      <c r="H49" s="1312">
        <v>2.12</v>
      </c>
      <c r="I49" s="1312">
        <v>2.12</v>
      </c>
      <c r="J49" s="1312">
        <v>2.12</v>
      </c>
      <c r="K49" s="1333">
        <v>2.12</v>
      </c>
      <c r="L49" s="1333">
        <v>2.12</v>
      </c>
      <c r="M49" s="1333">
        <v>2.12</v>
      </c>
      <c r="N49" s="1333">
        <v>2.12</v>
      </c>
      <c r="O49" s="1333">
        <v>2.12</v>
      </c>
      <c r="P49" s="1334">
        <v>2.12</v>
      </c>
      <c r="Q49" s="1333">
        <v>2.12</v>
      </c>
      <c r="R49" s="1333">
        <v>2.12</v>
      </c>
      <c r="S49" s="1333">
        <v>2.12</v>
      </c>
      <c r="T49" s="1333">
        <v>2.12</v>
      </c>
      <c r="U49" s="1333">
        <v>2.12</v>
      </c>
      <c r="V49" s="1333">
        <v>2.12</v>
      </c>
      <c r="W49" s="1333">
        <v>2.12</v>
      </c>
      <c r="X49" s="1333">
        <v>2.12</v>
      </c>
      <c r="Y49" s="1333">
        <v>2.12</v>
      </c>
      <c r="Z49" s="1333">
        <v>2.12</v>
      </c>
      <c r="AA49" s="1333">
        <v>2.12</v>
      </c>
      <c r="AB49" s="1333">
        <v>2.12</v>
      </c>
      <c r="AC49" s="1333">
        <v>2.12</v>
      </c>
      <c r="AD49" s="1333">
        <v>2.12</v>
      </c>
      <c r="AE49" s="1333">
        <v>2.12</v>
      </c>
      <c r="AF49" s="1333">
        <v>2.12</v>
      </c>
      <c r="AG49" s="1333">
        <v>2.12</v>
      </c>
      <c r="AH49" s="1333">
        <v>2.12</v>
      </c>
      <c r="AI49" s="1333">
        <v>2.12</v>
      </c>
      <c r="AJ49" s="1333">
        <v>2.12</v>
      </c>
      <c r="AK49" s="1333">
        <v>2.12</v>
      </c>
      <c r="AL49" s="1335">
        <v>2.12</v>
      </c>
      <c r="AM49" s="347"/>
      <c r="AN49" s="63">
        <f t="shared" ref="AN49:AN50" si="29">SUMPRODUCT(H46:AL46,H49:AL49)/AN46</f>
        <v>2.12</v>
      </c>
    </row>
    <row r="50" spans="1:40" x14ac:dyDescent="0.25">
      <c r="A50" s="202"/>
      <c r="B50" s="1607"/>
      <c r="C50" s="1705"/>
      <c r="D50" s="1707"/>
      <c r="E50" s="1386" t="s">
        <v>345</v>
      </c>
      <c r="F50" s="1314">
        <f t="shared" si="28"/>
        <v>1.9284737678855326</v>
      </c>
      <c r="G50" s="1380">
        <f t="shared" ref="G50" si="30">IFERROR((F50-F49)/F49,0)</f>
        <v>-6.0020647728749897E-2</v>
      </c>
      <c r="H50" s="1315">
        <v>0.82</v>
      </c>
      <c r="I50" s="1314">
        <v>0.78</v>
      </c>
      <c r="J50" s="1314">
        <v>1.53</v>
      </c>
      <c r="K50" s="1314">
        <v>3.58</v>
      </c>
      <c r="L50" s="1314">
        <v>1.1299999999999999</v>
      </c>
      <c r="M50" s="1314">
        <v>0.18</v>
      </c>
      <c r="N50" s="1314"/>
      <c r="O50" s="1314">
        <v>2.08</v>
      </c>
      <c r="P50" s="1314">
        <v>1.1399999999999999</v>
      </c>
      <c r="Q50" s="1314">
        <v>1.48</v>
      </c>
      <c r="R50" s="1314">
        <v>0.79</v>
      </c>
      <c r="S50" s="1314">
        <v>0.92</v>
      </c>
      <c r="T50" s="1314">
        <v>1.32</v>
      </c>
      <c r="U50" s="1314">
        <v>1.1200000000000001</v>
      </c>
      <c r="V50" s="1314">
        <v>1.34</v>
      </c>
      <c r="W50" s="1314">
        <v>1.08</v>
      </c>
      <c r="X50" s="1314">
        <v>0.79</v>
      </c>
      <c r="Y50" s="1314">
        <v>0.88</v>
      </c>
      <c r="Z50" s="1314">
        <v>1.21</v>
      </c>
      <c r="AA50" s="1314">
        <v>2.21</v>
      </c>
      <c r="AB50" s="1314">
        <v>1.36</v>
      </c>
      <c r="AC50" s="1314">
        <v>2.67</v>
      </c>
      <c r="AD50" s="1314">
        <v>2.06</v>
      </c>
      <c r="AE50" s="1314">
        <v>2.69</v>
      </c>
      <c r="AF50" s="1314">
        <v>2.02</v>
      </c>
      <c r="AG50" s="1314">
        <v>2.83</v>
      </c>
      <c r="AH50" s="1314">
        <v>2.2200000000000002</v>
      </c>
      <c r="AI50" s="1314">
        <v>1.85</v>
      </c>
      <c r="AJ50" s="1314">
        <v>0.95</v>
      </c>
      <c r="AK50" s="1314">
        <v>6.58</v>
      </c>
      <c r="AL50" s="1314">
        <v>1.77</v>
      </c>
      <c r="AM50" s="347"/>
      <c r="AN50" s="708">
        <f t="shared" si="29"/>
        <v>1.9284737678855326</v>
      </c>
    </row>
    <row r="51" spans="1:40" x14ac:dyDescent="0.25">
      <c r="A51" s="202"/>
      <c r="B51" s="1607"/>
      <c r="C51" s="1705"/>
      <c r="D51" s="1685" t="s">
        <v>47</v>
      </c>
      <c r="E51" s="1384" t="s">
        <v>346</v>
      </c>
      <c r="F51" s="206">
        <f t="shared" ref="F51:F54" si="31">SUMIF($H$9:$AL$9,"&lt;="&amp;$C$7,H51:AL51)</f>
        <v>2.226</v>
      </c>
      <c r="G51" s="1385"/>
      <c r="H51" s="1316">
        <v>0</v>
      </c>
      <c r="I51" s="1316">
        <f t="shared" ref="I51:AL51" si="32">+I49*I46/1000</f>
        <v>7.4200000000000002E-2</v>
      </c>
      <c r="J51" s="1316">
        <f t="shared" si="32"/>
        <v>7.4200000000000002E-2</v>
      </c>
      <c r="K51" s="1316">
        <f t="shared" si="32"/>
        <v>7.4200000000000002E-2</v>
      </c>
      <c r="L51" s="1316">
        <f t="shared" si="32"/>
        <v>7.4200000000000002E-2</v>
      </c>
      <c r="M51" s="1316">
        <f t="shared" si="32"/>
        <v>7.4200000000000002E-2</v>
      </c>
      <c r="N51" s="1316">
        <f t="shared" si="32"/>
        <v>7.4200000000000002E-2</v>
      </c>
      <c r="O51" s="1316">
        <f t="shared" si="32"/>
        <v>7.4200000000000002E-2</v>
      </c>
      <c r="P51" s="1316">
        <f t="shared" si="32"/>
        <v>7.4200000000000002E-2</v>
      </c>
      <c r="Q51" s="1316">
        <f t="shared" si="32"/>
        <v>7.4200000000000002E-2</v>
      </c>
      <c r="R51" s="1316">
        <f t="shared" si="32"/>
        <v>7.4200000000000002E-2</v>
      </c>
      <c r="S51" s="1316">
        <f t="shared" si="32"/>
        <v>7.4200000000000002E-2</v>
      </c>
      <c r="T51" s="1316">
        <f t="shared" si="32"/>
        <v>7.4200000000000002E-2</v>
      </c>
      <c r="U51" s="1316">
        <f t="shared" si="32"/>
        <v>7.4200000000000002E-2</v>
      </c>
      <c r="V51" s="1316">
        <f t="shared" si="32"/>
        <v>7.4200000000000002E-2</v>
      </c>
      <c r="W51" s="1316">
        <f t="shared" si="32"/>
        <v>7.4200000000000002E-2</v>
      </c>
      <c r="X51" s="1316">
        <f t="shared" si="32"/>
        <v>7.4200000000000002E-2</v>
      </c>
      <c r="Y51" s="1316">
        <f t="shared" si="32"/>
        <v>7.4200000000000002E-2</v>
      </c>
      <c r="Z51" s="1316">
        <f t="shared" si="32"/>
        <v>7.4200000000000002E-2</v>
      </c>
      <c r="AA51" s="1316">
        <f t="shared" si="32"/>
        <v>7.4200000000000002E-2</v>
      </c>
      <c r="AB51" s="1316">
        <f t="shared" si="32"/>
        <v>7.4200000000000002E-2</v>
      </c>
      <c r="AC51" s="1316">
        <f t="shared" si="32"/>
        <v>7.4200000000000002E-2</v>
      </c>
      <c r="AD51" s="1316">
        <f t="shared" si="32"/>
        <v>7.4200000000000002E-2</v>
      </c>
      <c r="AE51" s="1316">
        <f t="shared" si="32"/>
        <v>7.4200000000000002E-2</v>
      </c>
      <c r="AF51" s="1316">
        <f>+AF49*AF46/1000</f>
        <v>7.4200000000000002E-2</v>
      </c>
      <c r="AG51" s="1316">
        <f t="shared" si="32"/>
        <v>7.4200000000000002E-2</v>
      </c>
      <c r="AH51" s="1316">
        <f t="shared" si="32"/>
        <v>7.4200000000000002E-2</v>
      </c>
      <c r="AI51" s="1316">
        <f t="shared" si="32"/>
        <v>7.4200000000000002E-2</v>
      </c>
      <c r="AJ51" s="1316">
        <f t="shared" si="32"/>
        <v>7.4200000000000002E-2</v>
      </c>
      <c r="AK51" s="1316">
        <f t="shared" si="32"/>
        <v>7.4200000000000002E-2</v>
      </c>
      <c r="AL51" s="1316">
        <f t="shared" si="32"/>
        <v>7.4200000000000002E-2</v>
      </c>
      <c r="AM51" s="705"/>
      <c r="AN51" s="709">
        <f t="shared" ref="AN51:AN54" si="33">SUM(H51:AL51)</f>
        <v>2.226</v>
      </c>
    </row>
    <row r="52" spans="1:40" ht="15.75" thickBot="1" x14ac:dyDescent="0.3">
      <c r="A52" s="202"/>
      <c r="B52" s="1660"/>
      <c r="C52" s="1706"/>
      <c r="D52" s="1708"/>
      <c r="E52" s="1387" t="s">
        <v>347</v>
      </c>
      <c r="F52" s="1321">
        <f t="shared" si="31"/>
        <v>2.4260199999999998</v>
      </c>
      <c r="G52" s="1388">
        <f t="shared" ref="G52" si="34">IFERROR((F52-F51)/F51,0)</f>
        <v>8.9856244384546216E-2</v>
      </c>
      <c r="H52" s="1323">
        <f t="shared" ref="H52:AL52" si="35">+H50*H47/1000</f>
        <v>4.1000000000000002E-2</v>
      </c>
      <c r="I52" s="1323">
        <f t="shared" si="35"/>
        <v>3.1980000000000001E-2</v>
      </c>
      <c r="J52" s="1323">
        <f t="shared" si="35"/>
        <v>5.5079999999999997E-2</v>
      </c>
      <c r="K52" s="1323">
        <f t="shared" si="35"/>
        <v>0.22196000000000002</v>
      </c>
      <c r="L52" s="1323">
        <f t="shared" si="35"/>
        <v>4.7459999999999995E-2</v>
      </c>
      <c r="M52" s="1323">
        <f t="shared" si="35"/>
        <v>6.4799999999999996E-3</v>
      </c>
      <c r="N52" s="1323">
        <f t="shared" si="35"/>
        <v>0</v>
      </c>
      <c r="O52" s="1323">
        <f t="shared" si="35"/>
        <v>6.2400000000000004E-2</v>
      </c>
      <c r="P52" s="1323">
        <f t="shared" si="35"/>
        <v>0</v>
      </c>
      <c r="Q52" s="1323">
        <f t="shared" si="35"/>
        <v>2.664E-2</v>
      </c>
      <c r="R52" s="1323">
        <f t="shared" si="35"/>
        <v>4.1870000000000004E-2</v>
      </c>
      <c r="S52" s="1323">
        <f t="shared" si="35"/>
        <v>3.8640000000000001E-2</v>
      </c>
      <c r="T52" s="1323">
        <f t="shared" si="35"/>
        <v>3.168E-2</v>
      </c>
      <c r="U52" s="1323">
        <f t="shared" si="35"/>
        <v>2.6880000000000001E-2</v>
      </c>
      <c r="V52" s="1323">
        <f t="shared" si="35"/>
        <v>3.2160000000000001E-2</v>
      </c>
      <c r="W52" s="1323">
        <f t="shared" si="35"/>
        <v>3.8880000000000005E-2</v>
      </c>
      <c r="X52" s="1323">
        <f t="shared" si="35"/>
        <v>1.8960000000000001E-2</v>
      </c>
      <c r="Y52" s="1323">
        <f t="shared" si="35"/>
        <v>3.3439999999999998E-2</v>
      </c>
      <c r="Z52" s="1323">
        <f t="shared" si="35"/>
        <v>5.6869999999999997E-2</v>
      </c>
      <c r="AA52" s="1323">
        <f t="shared" si="35"/>
        <v>0.1326</v>
      </c>
      <c r="AB52" s="1323">
        <f t="shared" si="35"/>
        <v>5.7120000000000004E-2</v>
      </c>
      <c r="AC52" s="1323">
        <f t="shared" si="35"/>
        <v>9.6120000000000011E-2</v>
      </c>
      <c r="AD52" s="1323">
        <f t="shared" si="35"/>
        <v>6.5920000000000006E-2</v>
      </c>
      <c r="AE52" s="1323">
        <f t="shared" si="35"/>
        <v>9.6840000000000009E-2</v>
      </c>
      <c r="AF52" s="1323">
        <f t="shared" si="35"/>
        <v>0.14341999999999999</v>
      </c>
      <c r="AG52" s="1323">
        <f t="shared" si="35"/>
        <v>0.13584000000000002</v>
      </c>
      <c r="AH52" s="1323">
        <f t="shared" si="35"/>
        <v>0.10656</v>
      </c>
      <c r="AI52" s="1323">
        <f t="shared" si="35"/>
        <v>0.13320000000000001</v>
      </c>
      <c r="AJ52" s="1323">
        <f t="shared" si="35"/>
        <v>3.4199999999999994E-2</v>
      </c>
      <c r="AK52" s="1323">
        <f t="shared" si="35"/>
        <v>0.47376000000000001</v>
      </c>
      <c r="AL52" s="1323">
        <f t="shared" si="35"/>
        <v>0.13806000000000002</v>
      </c>
      <c r="AM52" s="706"/>
      <c r="AN52" s="709">
        <f t="shared" si="33"/>
        <v>2.4260199999999998</v>
      </c>
    </row>
    <row r="53" spans="1:40" ht="14.25" customHeight="1" x14ac:dyDescent="0.25">
      <c r="A53" s="194"/>
      <c r="B53" s="1608"/>
      <c r="C53" s="1704" t="s">
        <v>472</v>
      </c>
      <c r="D53" s="1684" t="s">
        <v>340</v>
      </c>
      <c r="E53" s="195" t="s">
        <v>341</v>
      </c>
      <c r="F53" s="196">
        <f t="shared" si="31"/>
        <v>2170</v>
      </c>
      <c r="G53" s="197"/>
      <c r="H53" s="198">
        <v>70</v>
      </c>
      <c r="I53" s="198">
        <v>70</v>
      </c>
      <c r="J53" s="198">
        <v>70</v>
      </c>
      <c r="K53" s="199">
        <v>70</v>
      </c>
      <c r="L53" s="199">
        <v>70</v>
      </c>
      <c r="M53" s="199">
        <v>70</v>
      </c>
      <c r="N53" s="199">
        <v>70</v>
      </c>
      <c r="O53" s="199">
        <v>70</v>
      </c>
      <c r="P53" s="200">
        <v>70</v>
      </c>
      <c r="Q53" s="199">
        <v>70</v>
      </c>
      <c r="R53" s="199">
        <v>70</v>
      </c>
      <c r="S53" s="199">
        <v>70</v>
      </c>
      <c r="T53" s="199">
        <v>70</v>
      </c>
      <c r="U53" s="199">
        <v>70</v>
      </c>
      <c r="V53" s="199">
        <v>70</v>
      </c>
      <c r="W53" s="199">
        <v>70</v>
      </c>
      <c r="X53" s="199">
        <v>70</v>
      </c>
      <c r="Y53" s="199">
        <v>70</v>
      </c>
      <c r="Z53" s="199">
        <v>70</v>
      </c>
      <c r="AA53" s="199">
        <v>70</v>
      </c>
      <c r="AB53" s="199">
        <v>70</v>
      </c>
      <c r="AC53" s="199">
        <v>70</v>
      </c>
      <c r="AD53" s="199">
        <v>70</v>
      </c>
      <c r="AE53" s="199">
        <v>70</v>
      </c>
      <c r="AF53" s="199">
        <v>70</v>
      </c>
      <c r="AG53" s="199">
        <v>70</v>
      </c>
      <c r="AH53" s="199">
        <v>70</v>
      </c>
      <c r="AI53" s="199">
        <v>70</v>
      </c>
      <c r="AJ53" s="199">
        <v>70</v>
      </c>
      <c r="AK53" s="199">
        <v>70</v>
      </c>
      <c r="AL53" s="201">
        <v>70</v>
      </c>
      <c r="AM53" s="704"/>
      <c r="AN53" s="52">
        <f t="shared" si="33"/>
        <v>2170</v>
      </c>
    </row>
    <row r="54" spans="1:40" x14ac:dyDescent="0.25">
      <c r="A54" s="202"/>
      <c r="B54" s="1607"/>
      <c r="C54" s="1705"/>
      <c r="D54" s="1688"/>
      <c r="E54" s="1379" t="s">
        <v>342</v>
      </c>
      <c r="F54" s="1303">
        <f t="shared" si="31"/>
        <v>2587</v>
      </c>
      <c r="G54" s="1380">
        <f t="shared" ref="G54" si="36">IFERROR((F54-F53)/F53,0)</f>
        <v>0.19216589861751152</v>
      </c>
      <c r="H54" s="1305">
        <v>138</v>
      </c>
      <c r="I54" s="1303">
        <v>170</v>
      </c>
      <c r="J54" s="1303">
        <v>86</v>
      </c>
      <c r="K54" s="1303">
        <v>48</v>
      </c>
      <c r="L54" s="1303">
        <v>42</v>
      </c>
      <c r="M54" s="1303">
        <v>89</v>
      </c>
      <c r="N54" s="1303">
        <v>74</v>
      </c>
      <c r="O54" s="1303">
        <v>105</v>
      </c>
      <c r="P54" s="1303">
        <v>79</v>
      </c>
      <c r="Q54" s="1303">
        <v>92</v>
      </c>
      <c r="R54" s="1303">
        <v>88</v>
      </c>
      <c r="S54" s="1303">
        <v>91</v>
      </c>
      <c r="T54" s="1303">
        <v>85</v>
      </c>
      <c r="U54" s="1303">
        <v>130</v>
      </c>
      <c r="V54" s="1303">
        <v>90</v>
      </c>
      <c r="W54" s="1303">
        <v>123</v>
      </c>
      <c r="X54" s="1303">
        <v>93</v>
      </c>
      <c r="Y54" s="1303">
        <v>54</v>
      </c>
      <c r="Z54" s="1303">
        <v>64</v>
      </c>
      <c r="AA54" s="1303">
        <v>27</v>
      </c>
      <c r="AB54" s="1303">
        <v>54</v>
      </c>
      <c r="AC54" s="1303">
        <v>42</v>
      </c>
      <c r="AD54" s="1303">
        <v>72</v>
      </c>
      <c r="AE54" s="1303">
        <v>147</v>
      </c>
      <c r="AF54" s="1303">
        <v>30</v>
      </c>
      <c r="AG54" s="1303">
        <v>45</v>
      </c>
      <c r="AH54" s="1303">
        <v>80</v>
      </c>
      <c r="AI54" s="1303">
        <v>92</v>
      </c>
      <c r="AJ54" s="1303">
        <f>37+40</f>
        <v>77</v>
      </c>
      <c r="AK54" s="1303">
        <v>80</v>
      </c>
      <c r="AL54" s="1303">
        <v>100</v>
      </c>
      <c r="AM54" s="347"/>
      <c r="AN54" s="52">
        <f t="shared" si="33"/>
        <v>2587</v>
      </c>
    </row>
    <row r="55" spans="1:40" x14ac:dyDescent="0.25">
      <c r="A55" s="202"/>
      <c r="B55" s="1607"/>
      <c r="C55" s="1705"/>
      <c r="D55" s="1688"/>
      <c r="E55" s="1389" t="s">
        <v>312</v>
      </c>
      <c r="F55" s="1382"/>
      <c r="G55" s="1383"/>
      <c r="H55" s="203"/>
      <c r="I55" s="203"/>
      <c r="J55" s="203"/>
      <c r="K55" s="203"/>
      <c r="L55" s="203"/>
      <c r="M55" s="203"/>
      <c r="N55" s="203"/>
      <c r="O55" s="203"/>
      <c r="P55" s="204"/>
      <c r="Q55" s="203"/>
      <c r="R55" s="203"/>
      <c r="S55" s="203"/>
      <c r="T55" s="203"/>
      <c r="U55" s="203"/>
      <c r="V55" s="203"/>
      <c r="W55" s="203"/>
      <c r="X55" s="203"/>
      <c r="Y55" s="203"/>
      <c r="Z55" s="203"/>
      <c r="AA55" s="203"/>
      <c r="AB55" s="203"/>
      <c r="AC55" s="203"/>
      <c r="AD55" s="203"/>
      <c r="AE55" s="203"/>
      <c r="AF55" s="203"/>
      <c r="AG55" s="203"/>
      <c r="AH55" s="203"/>
      <c r="AI55" s="203"/>
      <c r="AJ55" s="203"/>
      <c r="AK55" s="203"/>
      <c r="AL55" s="205"/>
      <c r="AM55" s="347"/>
    </row>
    <row r="56" spans="1:40" x14ac:dyDescent="0.25">
      <c r="A56" s="202"/>
      <c r="B56" s="1607"/>
      <c r="C56" s="1705"/>
      <c r="D56" s="1685" t="s">
        <v>343</v>
      </c>
      <c r="E56" s="1384" t="s">
        <v>344</v>
      </c>
      <c r="F56" s="1310">
        <f t="shared" ref="F56:F57" si="37">IFERROR(F58*1000/F53,0)</f>
        <v>1.990159392789375</v>
      </c>
      <c r="G56" s="1385"/>
      <c r="H56" s="1312">
        <v>2.1274117647058826</v>
      </c>
      <c r="I56" s="1312">
        <v>2.1274117647058826</v>
      </c>
      <c r="J56" s="1312">
        <v>2.1274117647058826</v>
      </c>
      <c r="K56" s="1333">
        <v>2.1274117647058826</v>
      </c>
      <c r="L56" s="1333">
        <v>2.1274117647058826</v>
      </c>
      <c r="M56" s="1333">
        <v>2.1274117647058826</v>
      </c>
      <c r="N56" s="1333">
        <v>2.1274117647058826</v>
      </c>
      <c r="O56" s="1333">
        <v>2.1274117647058826</v>
      </c>
      <c r="P56" s="1334">
        <v>2.1274117647058826</v>
      </c>
      <c r="Q56" s="1333">
        <v>2.1274117647058826</v>
      </c>
      <c r="R56" s="1333">
        <v>2.1274117647058826</v>
      </c>
      <c r="S56" s="1333">
        <v>2.1274117647058826</v>
      </c>
      <c r="T56" s="1333">
        <v>2.1274117647058826</v>
      </c>
      <c r="U56" s="1333">
        <v>2.1274117647058826</v>
      </c>
      <c r="V56" s="1333">
        <v>2.1274117647058826</v>
      </c>
      <c r="W56" s="1333">
        <v>2.1274117647058826</v>
      </c>
      <c r="X56" s="1333">
        <v>2.1274117647058826</v>
      </c>
      <c r="Y56" s="1333">
        <v>2.1274117647058826</v>
      </c>
      <c r="Z56" s="1333">
        <v>2.1274117647058826</v>
      </c>
      <c r="AA56" s="1333">
        <v>2.1274117647058826</v>
      </c>
      <c r="AB56" s="1333">
        <v>2.1274117647058826</v>
      </c>
      <c r="AC56" s="1333">
        <v>2.1274117647058826</v>
      </c>
      <c r="AD56" s="1333">
        <v>2.1274117647058826</v>
      </c>
      <c r="AE56" s="1333">
        <v>2.1274117647058826</v>
      </c>
      <c r="AF56" s="1333">
        <v>2.1274117647058826</v>
      </c>
      <c r="AG56" s="1333">
        <v>2.1274117647058826</v>
      </c>
      <c r="AH56" s="1333">
        <v>2.1274117647058826</v>
      </c>
      <c r="AI56" s="1333">
        <v>2.1274117647058826</v>
      </c>
      <c r="AJ56" s="1333">
        <v>2.1274117647058826</v>
      </c>
      <c r="AK56" s="1333">
        <v>2.1274117647058826</v>
      </c>
      <c r="AL56" s="1335">
        <v>2.1274117647058826</v>
      </c>
      <c r="AM56" s="347"/>
      <c r="AN56" s="63">
        <f t="shared" ref="AN56:AN57" si="38">SUMPRODUCT(H53:AL53,H56:AL56)/AN53</f>
        <v>2.1274117647058826</v>
      </c>
    </row>
    <row r="57" spans="1:40" x14ac:dyDescent="0.25">
      <c r="A57" s="202"/>
      <c r="B57" s="1607"/>
      <c r="C57" s="1705"/>
      <c r="D57" s="1707"/>
      <c r="E57" s="1386" t="s">
        <v>345</v>
      </c>
      <c r="F57" s="1314">
        <f t="shared" si="37"/>
        <v>2.1497680711248552</v>
      </c>
      <c r="G57" s="1380">
        <f t="shared" ref="G57" si="39">IFERROR((F57-F56)/F56,0)</f>
        <v>8.0198942312743743E-2</v>
      </c>
      <c r="H57" s="1315">
        <v>0.52</v>
      </c>
      <c r="I57" s="1314">
        <v>1.68</v>
      </c>
      <c r="J57" s="1314">
        <v>2.14</v>
      </c>
      <c r="K57" s="1314">
        <v>2.4700000000000002</v>
      </c>
      <c r="L57" s="1314">
        <v>1.7</v>
      </c>
      <c r="M57" s="1314">
        <v>1.29</v>
      </c>
      <c r="N57" s="1314">
        <v>1.79</v>
      </c>
      <c r="O57" s="1314">
        <v>1.1499999999999999</v>
      </c>
      <c r="P57" s="1314">
        <v>1.42</v>
      </c>
      <c r="Q57" s="1314">
        <v>1.23</v>
      </c>
      <c r="R57" s="1314">
        <v>3.27</v>
      </c>
      <c r="S57" s="1314">
        <v>0.72</v>
      </c>
      <c r="T57" s="1314">
        <v>1.97</v>
      </c>
      <c r="U57" s="1314">
        <v>0.7</v>
      </c>
      <c r="V57" s="1314">
        <v>2.56</v>
      </c>
      <c r="W57" s="1314">
        <v>2.42</v>
      </c>
      <c r="X57" s="1314">
        <v>3.81</v>
      </c>
      <c r="Y57" s="1314">
        <v>5.8</v>
      </c>
      <c r="Z57" s="1314">
        <v>5.8</v>
      </c>
      <c r="AA57" s="1314">
        <v>2.31</v>
      </c>
      <c r="AB57" s="1314">
        <v>1.44</v>
      </c>
      <c r="AC57" s="1314">
        <v>1.31</v>
      </c>
      <c r="AD57" s="1314">
        <v>3.17</v>
      </c>
      <c r="AE57" s="1314">
        <v>1.1100000000000001</v>
      </c>
      <c r="AF57" s="1314">
        <v>1.1000000000000001</v>
      </c>
      <c r="AG57" s="1314">
        <v>2.62</v>
      </c>
      <c r="AH57" s="1314">
        <v>2.34</v>
      </c>
      <c r="AI57" s="1314">
        <v>4.4400000000000004</v>
      </c>
      <c r="AJ57" s="1314">
        <v>0.91</v>
      </c>
      <c r="AK57" s="1314">
        <v>5.65</v>
      </c>
      <c r="AL57" s="1314">
        <v>2.0299999999999998</v>
      </c>
      <c r="AM57" s="347"/>
      <c r="AN57" s="708">
        <f t="shared" si="38"/>
        <v>2.1497680711248548</v>
      </c>
    </row>
    <row r="58" spans="1:40" x14ac:dyDescent="0.25">
      <c r="A58" s="202"/>
      <c r="B58" s="1607"/>
      <c r="C58" s="1705"/>
      <c r="D58" s="1685" t="s">
        <v>47</v>
      </c>
      <c r="E58" s="1384" t="s">
        <v>346</v>
      </c>
      <c r="F58" s="206">
        <f t="shared" ref="F58:F61" si="40">SUMIF($H$9:$AL$9,"&lt;="&amp;$C$7,H58:AL58)</f>
        <v>4.3186458823529437</v>
      </c>
      <c r="G58" s="1385"/>
      <c r="H58" s="1316">
        <v>0</v>
      </c>
      <c r="I58" s="1316">
        <f t="shared" ref="I58:AL59" si="41">+I56*I53/1000</f>
        <v>0.14891882352941177</v>
      </c>
      <c r="J58" s="1316">
        <f t="shared" si="41"/>
        <v>0.14891882352941177</v>
      </c>
      <c r="K58" s="1316">
        <f t="shared" si="41"/>
        <v>0.14891882352941177</v>
      </c>
      <c r="L58" s="1316">
        <f t="shared" si="41"/>
        <v>0.14891882352941177</v>
      </c>
      <c r="M58" s="1316">
        <f t="shared" si="41"/>
        <v>0.14891882352941177</v>
      </c>
      <c r="N58" s="1316">
        <f t="shared" si="41"/>
        <v>0.14891882352941177</v>
      </c>
      <c r="O58" s="1316">
        <f t="shared" si="41"/>
        <v>0.14891882352941177</v>
      </c>
      <c r="P58" s="1316">
        <f t="shared" si="41"/>
        <v>0.14891882352941177</v>
      </c>
      <c r="Q58" s="1316">
        <f t="shared" si="41"/>
        <v>0.14891882352941177</v>
      </c>
      <c r="R58" s="1316">
        <f t="shared" si="41"/>
        <v>0.14891882352941177</v>
      </c>
      <c r="S58" s="1316">
        <f t="shared" si="41"/>
        <v>0.14891882352941177</v>
      </c>
      <c r="T58" s="1316">
        <f t="shared" si="41"/>
        <v>0.14891882352941177</v>
      </c>
      <c r="U58" s="1316">
        <f t="shared" si="41"/>
        <v>0.14891882352941177</v>
      </c>
      <c r="V58" s="1316">
        <f t="shared" si="41"/>
        <v>0.14891882352941177</v>
      </c>
      <c r="W58" s="1316">
        <f t="shared" si="41"/>
        <v>0.14891882352941177</v>
      </c>
      <c r="X58" s="1316">
        <f t="shared" si="41"/>
        <v>0.14891882352941177</v>
      </c>
      <c r="Y58" s="1316">
        <f t="shared" si="41"/>
        <v>0.14891882352941177</v>
      </c>
      <c r="Z58" s="1316">
        <f t="shared" si="41"/>
        <v>0.14891882352941177</v>
      </c>
      <c r="AA58" s="1316">
        <f t="shared" si="41"/>
        <v>0.14891882352941177</v>
      </c>
      <c r="AB58" s="1316">
        <f t="shared" si="41"/>
        <v>0.14891882352941177</v>
      </c>
      <c r="AC58" s="1316">
        <f t="shared" si="41"/>
        <v>0.14891882352941177</v>
      </c>
      <c r="AD58" s="1316">
        <f t="shared" si="41"/>
        <v>0.14891882352941177</v>
      </c>
      <c r="AE58" s="1316">
        <f t="shared" si="41"/>
        <v>0.14891882352941177</v>
      </c>
      <c r="AF58" s="1316">
        <f t="shared" si="41"/>
        <v>0.14891882352941177</v>
      </c>
      <c r="AG58" s="1316" t="s">
        <v>362</v>
      </c>
      <c r="AH58" s="1316">
        <f t="shared" si="41"/>
        <v>0.14891882352941177</v>
      </c>
      <c r="AI58" s="1316">
        <f t="shared" si="41"/>
        <v>0.14891882352941177</v>
      </c>
      <c r="AJ58" s="1316">
        <f t="shared" si="41"/>
        <v>0.14891882352941177</v>
      </c>
      <c r="AK58" s="1316">
        <f t="shared" si="41"/>
        <v>0.14891882352941177</v>
      </c>
      <c r="AL58" s="1316">
        <f t="shared" si="41"/>
        <v>0.14891882352941177</v>
      </c>
      <c r="AM58" s="705"/>
      <c r="AN58" s="709">
        <f t="shared" ref="AN58:AN61" si="42">SUM(H58:AL58)</f>
        <v>4.3186458823529437</v>
      </c>
    </row>
    <row r="59" spans="1:40" ht="15.75" thickBot="1" x14ac:dyDescent="0.3">
      <c r="A59" s="202"/>
      <c r="B59" s="1660"/>
      <c r="C59" s="1706"/>
      <c r="D59" s="1708"/>
      <c r="E59" s="1387" t="s">
        <v>347</v>
      </c>
      <c r="F59" s="1321">
        <f t="shared" si="40"/>
        <v>5.5614500000000007</v>
      </c>
      <c r="G59" s="1388">
        <f t="shared" ref="G59" si="43">IFERROR((F59-F58)/F58,0)</f>
        <v>0.28777634274795771</v>
      </c>
      <c r="H59" s="1323">
        <f t="shared" ref="H59" si="44">+H57*H54/1000</f>
        <v>7.1760000000000004E-2</v>
      </c>
      <c r="I59" s="1323">
        <f t="shared" si="41"/>
        <v>0.28559999999999997</v>
      </c>
      <c r="J59" s="1323">
        <f t="shared" si="41"/>
        <v>0.18404000000000001</v>
      </c>
      <c r="K59" s="1323">
        <f t="shared" si="41"/>
        <v>0.11856</v>
      </c>
      <c r="L59" s="1323">
        <f t="shared" si="41"/>
        <v>7.1399999999999991E-2</v>
      </c>
      <c r="M59" s="1323">
        <f t="shared" si="41"/>
        <v>0.11481</v>
      </c>
      <c r="N59" s="1323">
        <f t="shared" si="41"/>
        <v>0.13245999999999999</v>
      </c>
      <c r="O59" s="1323">
        <f t="shared" si="41"/>
        <v>0.12074999999999998</v>
      </c>
      <c r="P59" s="1323">
        <f t="shared" si="41"/>
        <v>0.11217999999999999</v>
      </c>
      <c r="Q59" s="1323">
        <f t="shared" si="41"/>
        <v>0.11316</v>
      </c>
      <c r="R59" s="1323">
        <f t="shared" si="41"/>
        <v>0.28776000000000002</v>
      </c>
      <c r="S59" s="1323">
        <f t="shared" si="41"/>
        <v>6.5519999999999995E-2</v>
      </c>
      <c r="T59" s="1323">
        <f t="shared" si="41"/>
        <v>0.16744999999999999</v>
      </c>
      <c r="U59" s="1323">
        <f t="shared" si="41"/>
        <v>9.0999999999999998E-2</v>
      </c>
      <c r="V59" s="1323">
        <f t="shared" si="41"/>
        <v>0.23039999999999999</v>
      </c>
      <c r="W59" s="1323">
        <f t="shared" si="41"/>
        <v>0.29765999999999998</v>
      </c>
      <c r="X59" s="1323">
        <f t="shared" si="41"/>
        <v>0.35432999999999998</v>
      </c>
      <c r="Y59" s="1323">
        <f t="shared" si="41"/>
        <v>0.31319999999999998</v>
      </c>
      <c r="Z59" s="1323">
        <f t="shared" si="41"/>
        <v>0.37119999999999997</v>
      </c>
      <c r="AA59" s="1323">
        <f t="shared" si="41"/>
        <v>6.2370000000000002E-2</v>
      </c>
      <c r="AB59" s="1323">
        <f t="shared" si="41"/>
        <v>7.7759999999999996E-2</v>
      </c>
      <c r="AC59" s="1323">
        <f t="shared" si="41"/>
        <v>5.5020000000000006E-2</v>
      </c>
      <c r="AD59" s="1323">
        <f t="shared" si="41"/>
        <v>0.22824</v>
      </c>
      <c r="AE59" s="1323">
        <f t="shared" si="41"/>
        <v>0.16317000000000001</v>
      </c>
      <c r="AF59" s="1323">
        <f t="shared" si="41"/>
        <v>3.3000000000000002E-2</v>
      </c>
      <c r="AG59" s="1323">
        <f t="shared" si="41"/>
        <v>0.1179</v>
      </c>
      <c r="AH59" s="1323">
        <f t="shared" si="41"/>
        <v>0.18719999999999998</v>
      </c>
      <c r="AI59" s="1323">
        <f t="shared" si="41"/>
        <v>0.40848000000000001</v>
      </c>
      <c r="AJ59" s="1323">
        <f t="shared" si="41"/>
        <v>7.0070000000000007E-2</v>
      </c>
      <c r="AK59" s="1323">
        <f t="shared" si="41"/>
        <v>0.45200000000000001</v>
      </c>
      <c r="AL59" s="1323">
        <f t="shared" si="41"/>
        <v>0.20299999999999996</v>
      </c>
      <c r="AM59" s="706"/>
      <c r="AN59" s="709">
        <f t="shared" si="42"/>
        <v>5.5614500000000007</v>
      </c>
    </row>
    <row r="60" spans="1:40" ht="14.25" customHeight="1" x14ac:dyDescent="0.25">
      <c r="A60" s="194"/>
      <c r="B60" s="1608"/>
      <c r="C60" s="1704" t="s">
        <v>366</v>
      </c>
      <c r="D60" s="1684" t="s">
        <v>340</v>
      </c>
      <c r="E60" s="195" t="s">
        <v>341</v>
      </c>
      <c r="F60" s="196">
        <f t="shared" si="40"/>
        <v>1120</v>
      </c>
      <c r="G60" s="197"/>
      <c r="H60" s="198">
        <v>0</v>
      </c>
      <c r="I60" s="198">
        <v>0</v>
      </c>
      <c r="J60" s="198">
        <v>0</v>
      </c>
      <c r="K60" s="199">
        <v>0</v>
      </c>
      <c r="L60" s="199">
        <v>0</v>
      </c>
      <c r="M60" s="199">
        <v>0</v>
      </c>
      <c r="N60" s="199">
        <v>0</v>
      </c>
      <c r="O60" s="199">
        <v>0</v>
      </c>
      <c r="P60" s="200">
        <v>0</v>
      </c>
      <c r="Q60" s="199">
        <v>0</v>
      </c>
      <c r="R60" s="199">
        <v>0</v>
      </c>
      <c r="S60" s="199">
        <v>0</v>
      </c>
      <c r="T60" s="199">
        <v>0</v>
      </c>
      <c r="U60" s="199">
        <v>0</v>
      </c>
      <c r="V60" s="199">
        <v>0</v>
      </c>
      <c r="W60" s="199">
        <v>70</v>
      </c>
      <c r="X60" s="199">
        <v>70</v>
      </c>
      <c r="Y60" s="199">
        <v>70</v>
      </c>
      <c r="Z60" s="199">
        <v>70</v>
      </c>
      <c r="AA60" s="199">
        <v>70</v>
      </c>
      <c r="AB60" s="199">
        <v>70</v>
      </c>
      <c r="AC60" s="199">
        <v>70</v>
      </c>
      <c r="AD60" s="199">
        <v>70</v>
      </c>
      <c r="AE60" s="199">
        <v>70</v>
      </c>
      <c r="AF60" s="199">
        <v>70</v>
      </c>
      <c r="AG60" s="199">
        <v>70</v>
      </c>
      <c r="AH60" s="199">
        <v>70</v>
      </c>
      <c r="AI60" s="199">
        <v>70</v>
      </c>
      <c r="AJ60" s="199">
        <v>70</v>
      </c>
      <c r="AK60" s="199">
        <v>70</v>
      </c>
      <c r="AL60" s="201">
        <v>70</v>
      </c>
      <c r="AM60" s="704"/>
      <c r="AN60" s="52">
        <f t="shared" si="42"/>
        <v>1120</v>
      </c>
    </row>
    <row r="61" spans="1:40" x14ac:dyDescent="0.25">
      <c r="A61" s="202"/>
      <c r="B61" s="1607"/>
      <c r="C61" s="1705"/>
      <c r="D61" s="1688"/>
      <c r="E61" s="1379" t="s">
        <v>342</v>
      </c>
      <c r="F61" s="1303">
        <f t="shared" si="40"/>
        <v>778</v>
      </c>
      <c r="G61" s="1380">
        <f t="shared" ref="G61" si="45">IFERROR((F61-F60)/F60,0)</f>
        <v>-0.30535714285714288</v>
      </c>
      <c r="H61" s="1305">
        <v>24</v>
      </c>
      <c r="I61" s="1303">
        <v>25</v>
      </c>
      <c r="J61" s="1303"/>
      <c r="K61" s="1303">
        <v>80</v>
      </c>
      <c r="L61" s="1303">
        <v>72</v>
      </c>
      <c r="M61" s="1303"/>
      <c r="N61" s="1303"/>
      <c r="O61" s="1303"/>
      <c r="P61" s="1303"/>
      <c r="Q61" s="1303"/>
      <c r="R61" s="1303"/>
      <c r="S61" s="1303"/>
      <c r="T61" s="1303"/>
      <c r="U61" s="1303"/>
      <c r="V61" s="1303"/>
      <c r="W61" s="1303"/>
      <c r="X61" s="1303"/>
      <c r="Y61" s="1303"/>
      <c r="Z61" s="1303">
        <v>35</v>
      </c>
      <c r="AA61" s="1303">
        <v>108</v>
      </c>
      <c r="AB61" s="1303">
        <v>90</v>
      </c>
      <c r="AC61" s="1303">
        <v>90</v>
      </c>
      <c r="AD61" s="1303">
        <v>0</v>
      </c>
      <c r="AE61" s="1303">
        <v>0</v>
      </c>
      <c r="AF61" s="1303">
        <v>82</v>
      </c>
      <c r="AG61" s="1303">
        <v>78</v>
      </c>
      <c r="AH61" s="1303">
        <v>52</v>
      </c>
      <c r="AI61" s="1303"/>
      <c r="AJ61" s="1303"/>
      <c r="AK61" s="1303">
        <v>22</v>
      </c>
      <c r="AL61" s="1303">
        <v>20</v>
      </c>
      <c r="AM61" s="347"/>
      <c r="AN61" s="52">
        <f t="shared" si="42"/>
        <v>778</v>
      </c>
    </row>
    <row r="62" spans="1:40" x14ac:dyDescent="0.25">
      <c r="A62" s="202"/>
      <c r="B62" s="1607"/>
      <c r="C62" s="1705"/>
      <c r="D62" s="1688"/>
      <c r="E62" s="1389" t="s">
        <v>312</v>
      </c>
      <c r="F62" s="1382"/>
      <c r="G62" s="1383"/>
      <c r="H62" s="203"/>
      <c r="I62" s="203"/>
      <c r="J62" s="203"/>
      <c r="K62" s="203"/>
      <c r="L62" s="203"/>
      <c r="M62" s="203"/>
      <c r="N62" s="203"/>
      <c r="O62" s="203"/>
      <c r="P62" s="204"/>
      <c r="Q62" s="203"/>
      <c r="R62" s="203"/>
      <c r="S62" s="203"/>
      <c r="T62" s="203"/>
      <c r="U62" s="203"/>
      <c r="V62" s="203"/>
      <c r="W62" s="203"/>
      <c r="X62" s="203"/>
      <c r="Y62" s="203"/>
      <c r="Z62" s="203"/>
      <c r="AA62" s="203"/>
      <c r="AB62" s="203"/>
      <c r="AC62" s="203"/>
      <c r="AD62" s="203"/>
      <c r="AE62" s="203"/>
      <c r="AF62" s="203"/>
      <c r="AG62" s="203"/>
      <c r="AH62" s="203"/>
      <c r="AI62" s="203"/>
      <c r="AJ62" s="203"/>
      <c r="AK62" s="203"/>
      <c r="AL62" s="205"/>
      <c r="AM62" s="347"/>
    </row>
    <row r="63" spans="1:40" x14ac:dyDescent="0.25">
      <c r="A63" s="202"/>
      <c r="B63" s="1607"/>
      <c r="C63" s="1705"/>
      <c r="D63" s="1685" t="s">
        <v>343</v>
      </c>
      <c r="E63" s="1384" t="s">
        <v>344</v>
      </c>
      <c r="F63" s="1310">
        <f t="shared" ref="F63:F64" si="46">IFERROR(F65*1000/F60,0)</f>
        <v>1.89375</v>
      </c>
      <c r="G63" s="1385"/>
      <c r="H63" s="1312">
        <v>0</v>
      </c>
      <c r="I63" s="1312">
        <v>0</v>
      </c>
      <c r="J63" s="1312">
        <v>0</v>
      </c>
      <c r="K63" s="1333">
        <v>0</v>
      </c>
      <c r="L63" s="1333">
        <v>0</v>
      </c>
      <c r="M63" s="1333">
        <v>0</v>
      </c>
      <c r="N63" s="1333">
        <v>0</v>
      </c>
      <c r="O63" s="1333">
        <v>0</v>
      </c>
      <c r="P63" s="1334">
        <v>0</v>
      </c>
      <c r="Q63" s="1333">
        <v>0</v>
      </c>
      <c r="R63" s="1333">
        <v>0</v>
      </c>
      <c r="S63" s="1333">
        <v>0</v>
      </c>
      <c r="T63" s="1333">
        <v>0</v>
      </c>
      <c r="U63" s="1333">
        <v>0</v>
      </c>
      <c r="V63" s="1333">
        <v>0</v>
      </c>
      <c r="W63" s="1333">
        <v>2.02</v>
      </c>
      <c r="X63" s="1333">
        <v>2.02</v>
      </c>
      <c r="Y63" s="1333">
        <v>2.02</v>
      </c>
      <c r="Z63" s="1333">
        <v>2.02</v>
      </c>
      <c r="AA63" s="1333">
        <v>2.02</v>
      </c>
      <c r="AB63" s="1333">
        <v>2.02</v>
      </c>
      <c r="AC63" s="1333">
        <v>2.02</v>
      </c>
      <c r="AD63" s="1333">
        <v>2.02</v>
      </c>
      <c r="AE63" s="1333">
        <v>2.02</v>
      </c>
      <c r="AF63" s="1333">
        <v>2.02</v>
      </c>
      <c r="AG63" s="1333">
        <v>2.02</v>
      </c>
      <c r="AH63" s="1333">
        <v>2.02</v>
      </c>
      <c r="AI63" s="1333">
        <v>2.02</v>
      </c>
      <c r="AJ63" s="1333">
        <v>2.02</v>
      </c>
      <c r="AK63" s="1333">
        <v>2.02</v>
      </c>
      <c r="AL63" s="1335">
        <v>2.02</v>
      </c>
      <c r="AM63" s="347"/>
      <c r="AN63" s="63">
        <f t="shared" ref="AN63:AN64" si="47">SUMPRODUCT(H60:AL60,H63:AL63)/AN60</f>
        <v>2.0200000000000005</v>
      </c>
    </row>
    <row r="64" spans="1:40" x14ac:dyDescent="0.25">
      <c r="A64" s="202"/>
      <c r="B64" s="1607"/>
      <c r="C64" s="1705"/>
      <c r="D64" s="1707"/>
      <c r="E64" s="1386" t="s">
        <v>345</v>
      </c>
      <c r="F64" s="1314">
        <f t="shared" si="46"/>
        <v>1.5569922879177376</v>
      </c>
      <c r="G64" s="1380">
        <f t="shared" ref="G64" si="48">IFERROR((F64-F63)/F63,0)</f>
        <v>-0.17782585456489106</v>
      </c>
      <c r="H64" s="1315">
        <v>1.06</v>
      </c>
      <c r="I64" s="1314">
        <v>2.98</v>
      </c>
      <c r="J64" s="1314"/>
      <c r="K64" s="1314">
        <v>1.22</v>
      </c>
      <c r="L64" s="1314">
        <v>0.56000000000000005</v>
      </c>
      <c r="M64" s="1314"/>
      <c r="N64" s="1314"/>
      <c r="O64" s="1314"/>
      <c r="P64" s="1314"/>
      <c r="Q64" s="1314"/>
      <c r="R64" s="1314"/>
      <c r="S64" s="1314"/>
      <c r="T64" s="1314"/>
      <c r="U64" s="1314"/>
      <c r="V64" s="1314"/>
      <c r="W64" s="1314"/>
      <c r="X64" s="1314"/>
      <c r="Y64" s="1314"/>
      <c r="Z64" s="1314"/>
      <c r="AA64" s="1314">
        <v>2.31</v>
      </c>
      <c r="AB64" s="1314">
        <v>1.44</v>
      </c>
      <c r="AC64" s="1314">
        <v>1.31</v>
      </c>
      <c r="AD64" s="1314"/>
      <c r="AE64" s="1314"/>
      <c r="AF64" s="1314">
        <v>1.08</v>
      </c>
      <c r="AG64" s="1314">
        <v>3.17</v>
      </c>
      <c r="AH64" s="1314">
        <v>2.34</v>
      </c>
      <c r="AI64" s="1314"/>
      <c r="AJ64" s="1314"/>
      <c r="AK64" s="1314"/>
      <c r="AL64" s="1314">
        <v>0.95</v>
      </c>
      <c r="AM64" s="347"/>
      <c r="AN64" s="708">
        <f t="shared" si="47"/>
        <v>1.556992287917738</v>
      </c>
    </row>
    <row r="65" spans="1:40" x14ac:dyDescent="0.25">
      <c r="A65" s="202"/>
      <c r="B65" s="1607"/>
      <c r="C65" s="1705"/>
      <c r="D65" s="1685" t="s">
        <v>47</v>
      </c>
      <c r="E65" s="1384" t="s">
        <v>346</v>
      </c>
      <c r="F65" s="206">
        <f t="shared" ref="F65:F68" si="49">SUMIF($H$9:$AL$9,"&lt;="&amp;$C$7,H65:AL65)</f>
        <v>2.121</v>
      </c>
      <c r="G65" s="1385"/>
      <c r="H65" s="1316">
        <f>+H63*H60/1000</f>
        <v>0</v>
      </c>
      <c r="I65" s="1316">
        <f t="shared" ref="I65:AL66" si="50">+I63*I60/1000</f>
        <v>0</v>
      </c>
      <c r="J65" s="1316">
        <f t="shared" si="50"/>
        <v>0</v>
      </c>
      <c r="K65" s="1316">
        <f t="shared" si="50"/>
        <v>0</v>
      </c>
      <c r="L65" s="1316">
        <f t="shared" si="50"/>
        <v>0</v>
      </c>
      <c r="M65" s="1316">
        <f t="shared" si="50"/>
        <v>0</v>
      </c>
      <c r="N65" s="1316">
        <f t="shared" si="50"/>
        <v>0</v>
      </c>
      <c r="O65" s="1316">
        <f t="shared" si="50"/>
        <v>0</v>
      </c>
      <c r="P65" s="1316">
        <f t="shared" si="50"/>
        <v>0</v>
      </c>
      <c r="Q65" s="1316">
        <f t="shared" si="50"/>
        <v>0</v>
      </c>
      <c r="R65" s="1316">
        <f t="shared" si="50"/>
        <v>0</v>
      </c>
      <c r="S65" s="1316">
        <f t="shared" si="50"/>
        <v>0</v>
      </c>
      <c r="T65" s="1316">
        <f t="shared" si="50"/>
        <v>0</v>
      </c>
      <c r="U65" s="1316">
        <f t="shared" si="50"/>
        <v>0</v>
      </c>
      <c r="V65" s="1316">
        <f t="shared" si="50"/>
        <v>0</v>
      </c>
      <c r="W65" s="1316">
        <f t="shared" si="50"/>
        <v>0.1414</v>
      </c>
      <c r="X65" s="1316">
        <f t="shared" si="50"/>
        <v>0.1414</v>
      </c>
      <c r="Y65" s="1316">
        <f t="shared" si="50"/>
        <v>0.1414</v>
      </c>
      <c r="Z65" s="1316"/>
      <c r="AA65" s="1316">
        <f t="shared" si="50"/>
        <v>0.1414</v>
      </c>
      <c r="AB65" s="1316">
        <f t="shared" si="50"/>
        <v>0.1414</v>
      </c>
      <c r="AC65" s="1316">
        <f t="shared" si="50"/>
        <v>0.1414</v>
      </c>
      <c r="AD65" s="1316">
        <f t="shared" si="50"/>
        <v>0.1414</v>
      </c>
      <c r="AE65" s="1316">
        <f t="shared" si="50"/>
        <v>0.1414</v>
      </c>
      <c r="AF65" s="1316">
        <f t="shared" si="50"/>
        <v>0.1414</v>
      </c>
      <c r="AG65" s="1316">
        <f t="shared" si="50"/>
        <v>0.1414</v>
      </c>
      <c r="AH65" s="1316">
        <f t="shared" si="50"/>
        <v>0.1414</v>
      </c>
      <c r="AI65" s="1316">
        <f t="shared" si="50"/>
        <v>0.1414</v>
      </c>
      <c r="AJ65" s="1316">
        <f t="shared" si="50"/>
        <v>0.1414</v>
      </c>
      <c r="AK65" s="1316">
        <f t="shared" si="50"/>
        <v>0.1414</v>
      </c>
      <c r="AL65" s="1316">
        <f t="shared" si="50"/>
        <v>0.1414</v>
      </c>
      <c r="AM65" s="705"/>
      <c r="AN65" s="709">
        <f t="shared" ref="AN65:AN68" si="51">SUM(H65:AL65)</f>
        <v>2.121</v>
      </c>
    </row>
    <row r="66" spans="1:40" ht="15.75" thickBot="1" x14ac:dyDescent="0.3">
      <c r="A66" s="202"/>
      <c r="B66" s="1660"/>
      <c r="C66" s="1706"/>
      <c r="D66" s="1708"/>
      <c r="E66" s="1387" t="s">
        <v>347</v>
      </c>
      <c r="F66" s="1321">
        <f t="shared" si="49"/>
        <v>1.2113399999999999</v>
      </c>
      <c r="G66" s="1388">
        <f t="shared" ref="G66" si="52">IFERROR((F66-F65)/F65,0)</f>
        <v>-0.42888260254596894</v>
      </c>
      <c r="H66" s="1323">
        <f>+H64*H61/1000</f>
        <v>2.5440000000000001E-2</v>
      </c>
      <c r="I66" s="1323">
        <f t="shared" si="50"/>
        <v>7.4499999999999997E-2</v>
      </c>
      <c r="J66" s="1323">
        <f t="shared" si="50"/>
        <v>0</v>
      </c>
      <c r="K66" s="1323">
        <f t="shared" si="50"/>
        <v>9.7599999999999992E-2</v>
      </c>
      <c r="L66" s="1323">
        <f t="shared" si="50"/>
        <v>4.0320000000000009E-2</v>
      </c>
      <c r="M66" s="1323">
        <f t="shared" si="50"/>
        <v>0</v>
      </c>
      <c r="N66" s="1323">
        <f t="shared" si="50"/>
        <v>0</v>
      </c>
      <c r="O66" s="1323">
        <f t="shared" si="50"/>
        <v>0</v>
      </c>
      <c r="P66" s="1323">
        <f t="shared" si="50"/>
        <v>0</v>
      </c>
      <c r="Q66" s="1323">
        <f t="shared" si="50"/>
        <v>0</v>
      </c>
      <c r="R66" s="1323">
        <f t="shared" si="50"/>
        <v>0</v>
      </c>
      <c r="S66" s="1323">
        <f t="shared" si="50"/>
        <v>0</v>
      </c>
      <c r="T66" s="1323">
        <f t="shared" si="50"/>
        <v>0</v>
      </c>
      <c r="U66" s="1323">
        <f t="shared" si="50"/>
        <v>0</v>
      </c>
      <c r="V66" s="1323">
        <f t="shared" si="50"/>
        <v>0</v>
      </c>
      <c r="W66" s="1323">
        <f t="shared" si="50"/>
        <v>0</v>
      </c>
      <c r="X66" s="1323">
        <f t="shared" si="50"/>
        <v>0</v>
      </c>
      <c r="Y66" s="1323">
        <f t="shared" si="50"/>
        <v>0</v>
      </c>
      <c r="Z66" s="1323">
        <f t="shared" si="50"/>
        <v>0</v>
      </c>
      <c r="AA66" s="1323">
        <f t="shared" si="50"/>
        <v>0.24948000000000001</v>
      </c>
      <c r="AB66" s="1323">
        <f t="shared" si="50"/>
        <v>0.12959999999999999</v>
      </c>
      <c r="AC66" s="1323">
        <f t="shared" si="50"/>
        <v>0.1179</v>
      </c>
      <c r="AD66" s="1323">
        <f t="shared" si="50"/>
        <v>0</v>
      </c>
      <c r="AE66" s="1323">
        <f t="shared" si="50"/>
        <v>0</v>
      </c>
      <c r="AF66" s="1323">
        <f t="shared" si="50"/>
        <v>8.856E-2</v>
      </c>
      <c r="AG66" s="1323">
        <f t="shared" si="50"/>
        <v>0.24725999999999998</v>
      </c>
      <c r="AH66" s="1323">
        <f t="shared" si="50"/>
        <v>0.12168</v>
      </c>
      <c r="AI66" s="1323">
        <f t="shared" si="50"/>
        <v>0</v>
      </c>
      <c r="AJ66" s="1323">
        <f t="shared" si="50"/>
        <v>0</v>
      </c>
      <c r="AK66" s="1323">
        <f t="shared" si="50"/>
        <v>0</v>
      </c>
      <c r="AL66" s="1323">
        <f t="shared" si="50"/>
        <v>1.9E-2</v>
      </c>
      <c r="AM66" s="706"/>
      <c r="AN66" s="709">
        <f t="shared" si="51"/>
        <v>1.2113399999999999</v>
      </c>
    </row>
    <row r="67" spans="1:40" ht="14.25" customHeight="1" x14ac:dyDescent="0.25">
      <c r="A67" s="194"/>
      <c r="B67" s="1608"/>
      <c r="C67" s="1704" t="s">
        <v>474</v>
      </c>
      <c r="D67" s="1684" t="s">
        <v>340</v>
      </c>
      <c r="E67" s="195" t="s">
        <v>341</v>
      </c>
      <c r="F67" s="196">
        <f t="shared" si="49"/>
        <v>2170</v>
      </c>
      <c r="G67" s="197"/>
      <c r="H67" s="198">
        <v>70</v>
      </c>
      <c r="I67" s="198">
        <v>70</v>
      </c>
      <c r="J67" s="198">
        <v>70</v>
      </c>
      <c r="K67" s="199">
        <v>70</v>
      </c>
      <c r="L67" s="199">
        <v>70</v>
      </c>
      <c r="M67" s="199">
        <v>70</v>
      </c>
      <c r="N67" s="199">
        <v>70</v>
      </c>
      <c r="O67" s="199">
        <v>70</v>
      </c>
      <c r="P67" s="200">
        <v>70</v>
      </c>
      <c r="Q67" s="199">
        <v>70</v>
      </c>
      <c r="R67" s="199">
        <v>70</v>
      </c>
      <c r="S67" s="199">
        <v>70</v>
      </c>
      <c r="T67" s="199">
        <v>70</v>
      </c>
      <c r="U67" s="199">
        <v>70</v>
      </c>
      <c r="V67" s="199">
        <v>70</v>
      </c>
      <c r="W67" s="199">
        <v>70</v>
      </c>
      <c r="X67" s="199">
        <v>70</v>
      </c>
      <c r="Y67" s="199">
        <v>70</v>
      </c>
      <c r="Z67" s="199">
        <v>70</v>
      </c>
      <c r="AA67" s="199">
        <v>70</v>
      </c>
      <c r="AB67" s="199">
        <v>70</v>
      </c>
      <c r="AC67" s="199">
        <v>70</v>
      </c>
      <c r="AD67" s="199">
        <v>70</v>
      </c>
      <c r="AE67" s="199">
        <v>70</v>
      </c>
      <c r="AF67" s="199">
        <v>70</v>
      </c>
      <c r="AG67" s="199">
        <v>70</v>
      </c>
      <c r="AH67" s="199">
        <v>70</v>
      </c>
      <c r="AI67" s="199">
        <v>70</v>
      </c>
      <c r="AJ67" s="199">
        <v>70</v>
      </c>
      <c r="AK67" s="199">
        <v>70</v>
      </c>
      <c r="AL67" s="201">
        <v>70</v>
      </c>
      <c r="AM67" s="704"/>
      <c r="AN67" s="52">
        <f t="shared" si="51"/>
        <v>2170</v>
      </c>
    </row>
    <row r="68" spans="1:40" x14ac:dyDescent="0.25">
      <c r="A68" s="202"/>
      <c r="B68" s="1607"/>
      <c r="C68" s="1705"/>
      <c r="D68" s="1688"/>
      <c r="E68" s="1379" t="s">
        <v>342</v>
      </c>
      <c r="F68" s="1303">
        <f t="shared" si="49"/>
        <v>2738.2</v>
      </c>
      <c r="G68" s="1380">
        <f t="shared" ref="G68" si="53">IFERROR((F68-F67)/F67,0)</f>
        <v>0.26184331797235016</v>
      </c>
      <c r="H68" s="1305">
        <v>136.80000000000001</v>
      </c>
      <c r="I68" s="1303">
        <v>69</v>
      </c>
      <c r="J68" s="1303">
        <v>114</v>
      </c>
      <c r="K68" s="1303">
        <v>132</v>
      </c>
      <c r="L68" s="1303">
        <v>114</v>
      </c>
      <c r="M68" s="1303">
        <v>143</v>
      </c>
      <c r="N68" s="1303">
        <v>69.400000000000006</v>
      </c>
      <c r="O68" s="1303">
        <v>153</v>
      </c>
      <c r="P68" s="1303">
        <v>112</v>
      </c>
      <c r="Q68" s="1303">
        <v>92</v>
      </c>
      <c r="R68" s="1303">
        <v>107.7</v>
      </c>
      <c r="S68" s="1303">
        <v>77.5</v>
      </c>
      <c r="T68" s="1303">
        <v>78</v>
      </c>
      <c r="U68" s="1303">
        <v>73</v>
      </c>
      <c r="V68" s="1303">
        <v>88</v>
      </c>
      <c r="W68" s="1303">
        <v>104</v>
      </c>
      <c r="X68" s="1303">
        <v>104</v>
      </c>
      <c r="Y68" s="1303">
        <v>103</v>
      </c>
      <c r="Z68" s="1303">
        <v>108.8</v>
      </c>
      <c r="AA68" s="1303">
        <v>121.6</v>
      </c>
      <c r="AB68" s="1303">
        <f>23+28+29</f>
        <v>80</v>
      </c>
      <c r="AC68" s="1303">
        <v>102</v>
      </c>
      <c r="AD68" s="1303">
        <v>55</v>
      </c>
      <c r="AE68" s="1303">
        <v>36</v>
      </c>
      <c r="AF68" s="1303">
        <v>76</v>
      </c>
      <c r="AG68" s="1303">
        <v>45.6</v>
      </c>
      <c r="AH68" s="1303">
        <v>62</v>
      </c>
      <c r="AI68" s="1303">
        <v>28.8</v>
      </c>
      <c r="AJ68" s="1303">
        <f>51.6</f>
        <v>51.6</v>
      </c>
      <c r="AK68" s="1303">
        <v>58.4</v>
      </c>
      <c r="AL68" s="1303">
        <v>42</v>
      </c>
      <c r="AM68" s="347"/>
      <c r="AN68" s="52">
        <f t="shared" si="51"/>
        <v>2738.2</v>
      </c>
    </row>
    <row r="69" spans="1:40" x14ac:dyDescent="0.25">
      <c r="A69" s="202"/>
      <c r="B69" s="1607"/>
      <c r="C69" s="1705"/>
      <c r="D69" s="1688"/>
      <c r="E69" s="1389" t="s">
        <v>312</v>
      </c>
      <c r="F69" s="1382"/>
      <c r="G69" s="1383"/>
      <c r="H69" s="203"/>
      <c r="I69" s="203"/>
      <c r="J69" s="203"/>
      <c r="K69" s="203"/>
      <c r="L69" s="203"/>
      <c r="M69" s="203"/>
      <c r="N69" s="203"/>
      <c r="O69" s="203"/>
      <c r="P69" s="204"/>
      <c r="Q69" s="203"/>
      <c r="R69" s="203"/>
      <c r="S69" s="203"/>
      <c r="T69" s="203"/>
      <c r="U69" s="203"/>
      <c r="V69" s="203"/>
      <c r="W69" s="203"/>
      <c r="X69" s="203"/>
      <c r="Y69" s="203"/>
      <c r="Z69" s="203"/>
      <c r="AA69" s="203"/>
      <c r="AB69" s="203"/>
      <c r="AC69" s="203"/>
      <c r="AD69" s="203"/>
      <c r="AE69" s="203"/>
      <c r="AF69" s="203"/>
      <c r="AG69" s="203"/>
      <c r="AH69" s="203"/>
      <c r="AI69" s="203"/>
      <c r="AJ69" s="203"/>
      <c r="AK69" s="203"/>
      <c r="AL69" s="205"/>
      <c r="AM69" s="347"/>
    </row>
    <row r="70" spans="1:40" x14ac:dyDescent="0.25">
      <c r="A70" s="202"/>
      <c r="B70" s="1607"/>
      <c r="C70" s="1705"/>
      <c r="D70" s="1685" t="s">
        <v>343</v>
      </c>
      <c r="E70" s="1384" t="s">
        <v>344</v>
      </c>
      <c r="F70" s="1310">
        <f t="shared" ref="F70:F71" si="54">IFERROR(F72*1000/F67,0)</f>
        <v>3.889999999999997</v>
      </c>
      <c r="G70" s="1385"/>
      <c r="H70" s="1312">
        <v>3.89</v>
      </c>
      <c r="I70" s="1312">
        <v>3.89</v>
      </c>
      <c r="J70" s="1312">
        <v>3.89</v>
      </c>
      <c r="K70" s="1333">
        <v>3.89</v>
      </c>
      <c r="L70" s="1333">
        <v>3.89</v>
      </c>
      <c r="M70" s="1333">
        <v>3.89</v>
      </c>
      <c r="N70" s="1333">
        <v>3.89</v>
      </c>
      <c r="O70" s="1333">
        <v>3.89</v>
      </c>
      <c r="P70" s="1334">
        <v>3.89</v>
      </c>
      <c r="Q70" s="1333">
        <v>3.89</v>
      </c>
      <c r="R70" s="1333">
        <v>3.89</v>
      </c>
      <c r="S70" s="1333">
        <v>3.89</v>
      </c>
      <c r="T70" s="1333">
        <v>3.89</v>
      </c>
      <c r="U70" s="1333">
        <v>3.89</v>
      </c>
      <c r="V70" s="1333">
        <v>3.89</v>
      </c>
      <c r="W70" s="1333">
        <v>3.89</v>
      </c>
      <c r="X70" s="1333">
        <v>3.89</v>
      </c>
      <c r="Y70" s="1333">
        <v>3.89</v>
      </c>
      <c r="Z70" s="1333">
        <v>3.89</v>
      </c>
      <c r="AA70" s="1333">
        <v>3.89</v>
      </c>
      <c r="AB70" s="1333">
        <v>3.89</v>
      </c>
      <c r="AC70" s="1333">
        <v>3.89</v>
      </c>
      <c r="AD70" s="1333">
        <v>3.89</v>
      </c>
      <c r="AE70" s="1333">
        <v>3.89</v>
      </c>
      <c r="AF70" s="1333">
        <v>3.89</v>
      </c>
      <c r="AG70" s="1333">
        <v>3.89</v>
      </c>
      <c r="AH70" s="1333">
        <v>3.89</v>
      </c>
      <c r="AI70" s="1333">
        <v>3.89</v>
      </c>
      <c r="AJ70" s="1333">
        <v>3.89</v>
      </c>
      <c r="AK70" s="1333">
        <v>3.89</v>
      </c>
      <c r="AL70" s="1335">
        <v>3.89</v>
      </c>
      <c r="AM70" s="347"/>
      <c r="AN70" s="63">
        <f t="shared" ref="AN70" si="55">SUMPRODUCT(H67:AL67,H70:AL70)/AN67</f>
        <v>3.8900000000000015</v>
      </c>
    </row>
    <row r="71" spans="1:40" x14ac:dyDescent="0.25">
      <c r="A71" s="202"/>
      <c r="B71" s="1607"/>
      <c r="C71" s="1705"/>
      <c r="D71" s="1707"/>
      <c r="E71" s="1386" t="s">
        <v>345</v>
      </c>
      <c r="F71" s="1314">
        <f t="shared" si="54"/>
        <v>3.2370144620553654</v>
      </c>
      <c r="G71" s="1380">
        <f t="shared" ref="G71" si="56">IFERROR((F71-F70)/F70,0)</f>
        <v>-0.16786260615543244</v>
      </c>
      <c r="H71" s="1315">
        <v>3.88</v>
      </c>
      <c r="I71" s="1314">
        <v>1.68</v>
      </c>
      <c r="J71" s="1314">
        <v>2.82</v>
      </c>
      <c r="K71" s="1314">
        <v>3.97</v>
      </c>
      <c r="L71" s="1314">
        <v>3.03</v>
      </c>
      <c r="M71" s="1314">
        <v>2.2400000000000002</v>
      </c>
      <c r="N71" s="1314">
        <v>2.9</v>
      </c>
      <c r="O71" s="1314">
        <v>1.96</v>
      </c>
      <c r="P71" s="1314">
        <v>2.56</v>
      </c>
      <c r="Q71" s="1314">
        <v>1.17</v>
      </c>
      <c r="R71" s="1314">
        <v>4.21</v>
      </c>
      <c r="S71" s="1314">
        <v>1.54</v>
      </c>
      <c r="T71" s="1314">
        <v>2.1800000000000002</v>
      </c>
      <c r="U71" s="1314">
        <v>7</v>
      </c>
      <c r="V71" s="1314">
        <v>5.51</v>
      </c>
      <c r="W71" s="1314">
        <v>5.08</v>
      </c>
      <c r="X71" s="1314">
        <v>5.05</v>
      </c>
      <c r="Y71" s="1314">
        <v>3.96</v>
      </c>
      <c r="Z71" s="1314">
        <v>4.1399999999999997</v>
      </c>
      <c r="AA71" s="1314">
        <v>1.95</v>
      </c>
      <c r="AB71" s="1314">
        <v>4.67</v>
      </c>
      <c r="AC71" s="1314">
        <v>4.12</v>
      </c>
      <c r="AD71" s="1314">
        <v>6.89</v>
      </c>
      <c r="AE71" s="1314">
        <v>1.2</v>
      </c>
      <c r="AF71" s="1314">
        <v>1.81</v>
      </c>
      <c r="AG71" s="1314">
        <v>2.2200000000000002</v>
      </c>
      <c r="AH71" s="1314">
        <v>1.75</v>
      </c>
      <c r="AI71" s="1314">
        <v>1.1399999999999999</v>
      </c>
      <c r="AJ71" s="1314">
        <v>3.37</v>
      </c>
      <c r="AK71" s="1314">
        <v>1.41</v>
      </c>
      <c r="AL71" s="1314">
        <v>1.67</v>
      </c>
      <c r="AM71" s="347"/>
      <c r="AN71" s="708">
        <f>SUMPRODUCT(H68:AL68,H71:AL71)/AN68</f>
        <v>3.2370144620553645</v>
      </c>
    </row>
    <row r="72" spans="1:40" x14ac:dyDescent="0.25">
      <c r="A72" s="202"/>
      <c r="B72" s="1607"/>
      <c r="C72" s="1705"/>
      <c r="D72" s="1685" t="s">
        <v>47</v>
      </c>
      <c r="E72" s="1384" t="s">
        <v>346</v>
      </c>
      <c r="F72" s="206">
        <f t="shared" ref="F72:F75" si="57">SUMIF($H$9:$AL$9,"&lt;="&amp;$C$7,H72:AL72)</f>
        <v>8.4412999999999929</v>
      </c>
      <c r="G72" s="1385"/>
      <c r="H72" s="1316">
        <f>+H70*H67/1000</f>
        <v>0.27229999999999999</v>
      </c>
      <c r="I72" s="1316">
        <f t="shared" ref="I72:AL73" si="58">+I70*I67/1000</f>
        <v>0.27229999999999999</v>
      </c>
      <c r="J72" s="1316">
        <f t="shared" si="58"/>
        <v>0.27229999999999999</v>
      </c>
      <c r="K72" s="1316">
        <f t="shared" si="58"/>
        <v>0.27229999999999999</v>
      </c>
      <c r="L72" s="1316">
        <f t="shared" si="58"/>
        <v>0.27229999999999999</v>
      </c>
      <c r="M72" s="1316">
        <f t="shared" si="58"/>
        <v>0.27229999999999999</v>
      </c>
      <c r="N72" s="1316">
        <f t="shared" si="58"/>
        <v>0.27229999999999999</v>
      </c>
      <c r="O72" s="1316">
        <f t="shared" si="58"/>
        <v>0.27229999999999999</v>
      </c>
      <c r="P72" s="1316">
        <f t="shared" si="58"/>
        <v>0.27229999999999999</v>
      </c>
      <c r="Q72" s="1316">
        <f t="shared" si="58"/>
        <v>0.27229999999999999</v>
      </c>
      <c r="R72" s="1316">
        <f t="shared" si="58"/>
        <v>0.27229999999999999</v>
      </c>
      <c r="S72" s="1316">
        <f t="shared" si="58"/>
        <v>0.27229999999999999</v>
      </c>
      <c r="T72" s="1316">
        <f t="shared" si="58"/>
        <v>0.27229999999999999</v>
      </c>
      <c r="U72" s="1316">
        <f t="shared" si="58"/>
        <v>0.27229999999999999</v>
      </c>
      <c r="V72" s="1316">
        <f t="shared" si="58"/>
        <v>0.27229999999999999</v>
      </c>
      <c r="W72" s="1316">
        <f t="shared" si="58"/>
        <v>0.27229999999999999</v>
      </c>
      <c r="X72" s="1316">
        <f t="shared" si="58"/>
        <v>0.27229999999999999</v>
      </c>
      <c r="Y72" s="1316">
        <f t="shared" si="58"/>
        <v>0.27229999999999999</v>
      </c>
      <c r="Z72" s="1316">
        <f t="shared" si="58"/>
        <v>0.27229999999999999</v>
      </c>
      <c r="AA72" s="1316">
        <f t="shared" si="58"/>
        <v>0.27229999999999999</v>
      </c>
      <c r="AB72" s="1316">
        <f t="shared" si="58"/>
        <v>0.27229999999999999</v>
      </c>
      <c r="AC72" s="1316">
        <f t="shared" si="58"/>
        <v>0.27229999999999999</v>
      </c>
      <c r="AD72" s="1316">
        <f t="shared" si="58"/>
        <v>0.27229999999999999</v>
      </c>
      <c r="AE72" s="1316">
        <f t="shared" si="58"/>
        <v>0.27229999999999999</v>
      </c>
      <c r="AF72" s="1316">
        <f t="shared" si="58"/>
        <v>0.27229999999999999</v>
      </c>
      <c r="AG72" s="1316">
        <f t="shared" si="58"/>
        <v>0.27229999999999999</v>
      </c>
      <c r="AH72" s="1316">
        <f t="shared" si="58"/>
        <v>0.27229999999999999</v>
      </c>
      <c r="AI72" s="1316">
        <f t="shared" si="58"/>
        <v>0.27229999999999999</v>
      </c>
      <c r="AJ72" s="1316">
        <f t="shared" si="58"/>
        <v>0.27229999999999999</v>
      </c>
      <c r="AK72" s="1316">
        <f t="shared" si="58"/>
        <v>0.27229999999999999</v>
      </c>
      <c r="AL72" s="1316">
        <f t="shared" si="58"/>
        <v>0.27229999999999999</v>
      </c>
      <c r="AM72" s="705"/>
      <c r="AN72" s="709">
        <f t="shared" ref="AN72:AN75" si="59">SUM(H72:AL72)</f>
        <v>8.4412999999999929</v>
      </c>
    </row>
    <row r="73" spans="1:40" ht="15.75" thickBot="1" x14ac:dyDescent="0.3">
      <c r="A73" s="202"/>
      <c r="B73" s="1660"/>
      <c r="C73" s="1706"/>
      <c r="D73" s="1708"/>
      <c r="E73" s="1387" t="s">
        <v>347</v>
      </c>
      <c r="F73" s="1321">
        <f t="shared" si="57"/>
        <v>8.8635930000000016</v>
      </c>
      <c r="G73" s="1388">
        <f t="shared" ref="G73" si="60">IFERROR((F73-F72)/F72,0)</f>
        <v>5.0027010057693604E-2</v>
      </c>
      <c r="H73" s="1323">
        <f>+H71*H68/1000</f>
        <v>0.53078400000000003</v>
      </c>
      <c r="I73" s="1323">
        <f t="shared" si="58"/>
        <v>0.11592</v>
      </c>
      <c r="J73" s="1323">
        <f t="shared" si="58"/>
        <v>0.32147999999999999</v>
      </c>
      <c r="K73" s="1323">
        <f t="shared" si="58"/>
        <v>0.52404000000000006</v>
      </c>
      <c r="L73" s="1323">
        <f t="shared" si="58"/>
        <v>0.34541999999999995</v>
      </c>
      <c r="M73" s="1323">
        <f t="shared" si="58"/>
        <v>0.32032000000000005</v>
      </c>
      <c r="N73" s="1323">
        <f t="shared" si="58"/>
        <v>0.20126000000000002</v>
      </c>
      <c r="O73" s="1323">
        <f t="shared" si="58"/>
        <v>0.29987999999999998</v>
      </c>
      <c r="P73" s="1323">
        <f t="shared" si="58"/>
        <v>0.28672000000000003</v>
      </c>
      <c r="Q73" s="1323">
        <f t="shared" si="58"/>
        <v>0.10763999999999999</v>
      </c>
      <c r="R73" s="1323">
        <f t="shared" si="58"/>
        <v>0.45341700000000001</v>
      </c>
      <c r="S73" s="1323">
        <f t="shared" si="58"/>
        <v>0.11935000000000001</v>
      </c>
      <c r="T73" s="1323">
        <f t="shared" si="58"/>
        <v>0.17004000000000002</v>
      </c>
      <c r="U73" s="1323">
        <f t="shared" si="58"/>
        <v>0.51100000000000001</v>
      </c>
      <c r="V73" s="1323">
        <f t="shared" si="58"/>
        <v>0.48487999999999998</v>
      </c>
      <c r="W73" s="1323">
        <f t="shared" si="58"/>
        <v>0.52832000000000001</v>
      </c>
      <c r="X73" s="1323">
        <f t="shared" si="58"/>
        <v>0.52519999999999989</v>
      </c>
      <c r="Y73" s="1323">
        <f t="shared" si="58"/>
        <v>0.40788000000000002</v>
      </c>
      <c r="Z73" s="1323">
        <f t="shared" si="58"/>
        <v>0.45043199999999994</v>
      </c>
      <c r="AA73" s="1323">
        <f t="shared" si="58"/>
        <v>0.23711999999999997</v>
      </c>
      <c r="AB73" s="1323">
        <f t="shared" si="58"/>
        <v>0.37360000000000004</v>
      </c>
      <c r="AC73" s="1323">
        <f t="shared" si="58"/>
        <v>0.42024</v>
      </c>
      <c r="AD73" s="1323">
        <f t="shared" si="58"/>
        <v>0.37895000000000001</v>
      </c>
      <c r="AE73" s="1323">
        <f t="shared" si="58"/>
        <v>4.3199999999999995E-2</v>
      </c>
      <c r="AF73" s="1323">
        <f t="shared" si="58"/>
        <v>0.13756000000000002</v>
      </c>
      <c r="AG73" s="1323">
        <f t="shared" si="58"/>
        <v>0.10123200000000002</v>
      </c>
      <c r="AH73" s="1323">
        <f t="shared" si="58"/>
        <v>0.1085</v>
      </c>
      <c r="AI73" s="1323">
        <f t="shared" si="58"/>
        <v>3.2832E-2</v>
      </c>
      <c r="AJ73" s="1323">
        <f t="shared" si="58"/>
        <v>0.17389200000000002</v>
      </c>
      <c r="AK73" s="1323">
        <f t="shared" si="58"/>
        <v>8.2344000000000001E-2</v>
      </c>
      <c r="AL73" s="1323">
        <f t="shared" si="58"/>
        <v>7.0139999999999994E-2</v>
      </c>
      <c r="AM73" s="706"/>
      <c r="AN73" s="709">
        <f t="shared" si="59"/>
        <v>8.8635930000000016</v>
      </c>
    </row>
    <row r="74" spans="1:40" ht="14.25" customHeight="1" x14ac:dyDescent="0.25">
      <c r="A74" s="194"/>
      <c r="B74" s="1608"/>
      <c r="C74" s="1704" t="s">
        <v>475</v>
      </c>
      <c r="D74" s="1684" t="s">
        <v>340</v>
      </c>
      <c r="E74" s="195" t="s">
        <v>341</v>
      </c>
      <c r="F74" s="196">
        <f t="shared" si="57"/>
        <v>3255</v>
      </c>
      <c r="G74" s="197"/>
      <c r="H74" s="198">
        <v>105</v>
      </c>
      <c r="I74" s="198">
        <v>105</v>
      </c>
      <c r="J74" s="198">
        <v>105</v>
      </c>
      <c r="K74" s="199">
        <v>105</v>
      </c>
      <c r="L74" s="199">
        <v>105</v>
      </c>
      <c r="M74" s="199">
        <v>105</v>
      </c>
      <c r="N74" s="199">
        <v>105</v>
      </c>
      <c r="O74" s="199">
        <v>105</v>
      </c>
      <c r="P74" s="200">
        <v>105</v>
      </c>
      <c r="Q74" s="199">
        <v>105</v>
      </c>
      <c r="R74" s="199">
        <v>105</v>
      </c>
      <c r="S74" s="199">
        <v>105</v>
      </c>
      <c r="T74" s="199">
        <v>105</v>
      </c>
      <c r="U74" s="199">
        <v>105</v>
      </c>
      <c r="V74" s="199">
        <v>105</v>
      </c>
      <c r="W74" s="199">
        <v>105</v>
      </c>
      <c r="X74" s="199">
        <v>105</v>
      </c>
      <c r="Y74" s="199">
        <v>105</v>
      </c>
      <c r="Z74" s="199">
        <v>105</v>
      </c>
      <c r="AA74" s="199">
        <v>105</v>
      </c>
      <c r="AB74" s="199">
        <v>105</v>
      </c>
      <c r="AC74" s="199">
        <v>105</v>
      </c>
      <c r="AD74" s="199">
        <v>105</v>
      </c>
      <c r="AE74" s="199">
        <v>105</v>
      </c>
      <c r="AF74" s="199">
        <v>105</v>
      </c>
      <c r="AG74" s="199">
        <v>105</v>
      </c>
      <c r="AH74" s="199">
        <v>105</v>
      </c>
      <c r="AI74" s="199">
        <v>105</v>
      </c>
      <c r="AJ74" s="199">
        <v>105</v>
      </c>
      <c r="AK74" s="199">
        <v>105</v>
      </c>
      <c r="AL74" s="201">
        <v>105</v>
      </c>
      <c r="AM74" s="704"/>
      <c r="AN74" s="52">
        <f t="shared" si="59"/>
        <v>3255</v>
      </c>
    </row>
    <row r="75" spans="1:40" x14ac:dyDescent="0.25">
      <c r="A75" s="202"/>
      <c r="B75" s="1607"/>
      <c r="C75" s="1705"/>
      <c r="D75" s="1688"/>
      <c r="E75" s="1379" t="s">
        <v>342</v>
      </c>
      <c r="F75" s="1303">
        <f t="shared" si="57"/>
        <v>2814.1</v>
      </c>
      <c r="G75" s="1380">
        <f t="shared" ref="G75" si="61">IFERROR((F75-F74)/F74,0)</f>
        <v>-0.13545314900153613</v>
      </c>
      <c r="H75" s="1305">
        <v>108</v>
      </c>
      <c r="I75" s="1303">
        <v>65</v>
      </c>
      <c r="J75" s="1303">
        <v>127</v>
      </c>
      <c r="K75" s="1303">
        <v>96</v>
      </c>
      <c r="L75" s="1303">
        <v>56</v>
      </c>
      <c r="M75" s="1303">
        <v>62.6</v>
      </c>
      <c r="N75" s="1303">
        <v>14</v>
      </c>
      <c r="O75" s="1303">
        <v>7</v>
      </c>
      <c r="P75" s="1303">
        <v>118.5</v>
      </c>
      <c r="Q75" s="1303">
        <f>60+121</f>
        <v>181</v>
      </c>
      <c r="R75" s="1303">
        <v>114</v>
      </c>
      <c r="S75" s="1303">
        <v>107</v>
      </c>
      <c r="T75" s="1303">
        <f>25+50</f>
        <v>75</v>
      </c>
      <c r="U75" s="1303">
        <f>85+25</f>
        <v>110</v>
      </c>
      <c r="V75" s="1303">
        <f>30+71</f>
        <v>101</v>
      </c>
      <c r="W75" s="1303">
        <f>51+46</f>
        <v>97</v>
      </c>
      <c r="X75" s="1303">
        <v>126</v>
      </c>
      <c r="Y75" s="1303">
        <v>83</v>
      </c>
      <c r="Z75" s="1303">
        <v>82</v>
      </c>
      <c r="AA75" s="1303">
        <v>119</v>
      </c>
      <c r="AB75" s="1303">
        <f>72+39</f>
        <v>111</v>
      </c>
      <c r="AC75" s="1303">
        <f>20+32+29</f>
        <v>81</v>
      </c>
      <c r="AD75" s="1303">
        <v>52</v>
      </c>
      <c r="AE75" s="1303">
        <v>100.4</v>
      </c>
      <c r="AF75" s="1303">
        <v>112</v>
      </c>
      <c r="AG75" s="1303">
        <v>109</v>
      </c>
      <c r="AH75" s="1303">
        <v>124</v>
      </c>
      <c r="AI75" s="1303">
        <f>34+13.2</f>
        <v>47.2</v>
      </c>
      <c r="AJ75" s="1303">
        <f>36+42</f>
        <v>78</v>
      </c>
      <c r="AK75" s="1303">
        <f>74.4+40</f>
        <v>114.4</v>
      </c>
      <c r="AL75" s="1303">
        <v>36</v>
      </c>
      <c r="AM75" s="347"/>
      <c r="AN75" s="52">
        <f t="shared" si="59"/>
        <v>2814.1</v>
      </c>
    </row>
    <row r="76" spans="1:40" x14ac:dyDescent="0.25">
      <c r="A76" s="202"/>
      <c r="B76" s="1607"/>
      <c r="C76" s="1705"/>
      <c r="D76" s="1688"/>
      <c r="E76" s="1389" t="s">
        <v>312</v>
      </c>
      <c r="F76" s="1382"/>
      <c r="G76" s="1383"/>
      <c r="H76" s="203"/>
      <c r="I76" s="203"/>
      <c r="J76" s="203"/>
      <c r="K76" s="203"/>
      <c r="L76" s="203"/>
      <c r="M76" s="203"/>
      <c r="N76" s="203"/>
      <c r="O76" s="203"/>
      <c r="P76" s="204"/>
      <c r="Q76" s="203"/>
      <c r="R76" s="203"/>
      <c r="S76" s="203"/>
      <c r="T76" s="203"/>
      <c r="U76" s="203"/>
      <c r="V76" s="203"/>
      <c r="W76" s="203"/>
      <c r="X76" s="203"/>
      <c r="Y76" s="203"/>
      <c r="Z76" s="203"/>
      <c r="AA76" s="203"/>
      <c r="AB76" s="203"/>
      <c r="AC76" s="203"/>
      <c r="AD76" s="203"/>
      <c r="AE76" s="203"/>
      <c r="AF76" s="203"/>
      <c r="AG76" s="203"/>
      <c r="AH76" s="203"/>
      <c r="AI76" s="203"/>
      <c r="AJ76" s="203"/>
      <c r="AK76" s="203"/>
      <c r="AL76" s="205"/>
      <c r="AM76" s="347"/>
    </row>
    <row r="77" spans="1:40" x14ac:dyDescent="0.25">
      <c r="A77" s="202"/>
      <c r="B77" s="1607"/>
      <c r="C77" s="1705"/>
      <c r="D77" s="1685" t="s">
        <v>343</v>
      </c>
      <c r="E77" s="1384" t="s">
        <v>344</v>
      </c>
      <c r="F77" s="1310">
        <f t="shared" ref="F77:F78" si="62">IFERROR(F79*1000/F74,0)</f>
        <v>3.8900000000000015</v>
      </c>
      <c r="G77" s="1385"/>
      <c r="H77" s="1312">
        <v>3.89</v>
      </c>
      <c r="I77" s="1312">
        <v>3.89</v>
      </c>
      <c r="J77" s="1312">
        <v>3.89</v>
      </c>
      <c r="K77" s="1333">
        <v>3.89</v>
      </c>
      <c r="L77" s="1333">
        <v>3.89</v>
      </c>
      <c r="M77" s="1333">
        <v>3.89</v>
      </c>
      <c r="N77" s="1333">
        <v>3.89</v>
      </c>
      <c r="O77" s="1333">
        <v>3.89</v>
      </c>
      <c r="P77" s="1334">
        <v>3.89</v>
      </c>
      <c r="Q77" s="1333">
        <v>3.89</v>
      </c>
      <c r="R77" s="1333">
        <v>3.89</v>
      </c>
      <c r="S77" s="1333">
        <v>3.89</v>
      </c>
      <c r="T77" s="1333">
        <v>3.89</v>
      </c>
      <c r="U77" s="1333">
        <v>3.89</v>
      </c>
      <c r="V77" s="1333">
        <v>3.89</v>
      </c>
      <c r="W77" s="1333">
        <v>3.89</v>
      </c>
      <c r="X77" s="1333">
        <v>3.89</v>
      </c>
      <c r="Y77" s="1333">
        <v>3.89</v>
      </c>
      <c r="Z77" s="1333">
        <v>3.89</v>
      </c>
      <c r="AA77" s="1333">
        <v>3.89</v>
      </c>
      <c r="AB77" s="1333">
        <v>3.89</v>
      </c>
      <c r="AC77" s="1333">
        <v>3.89</v>
      </c>
      <c r="AD77" s="1333">
        <v>3.89</v>
      </c>
      <c r="AE77" s="1333">
        <v>3.89</v>
      </c>
      <c r="AF77" s="1333">
        <v>3.89</v>
      </c>
      <c r="AG77" s="1333">
        <v>3.89</v>
      </c>
      <c r="AH77" s="1333">
        <v>3.89</v>
      </c>
      <c r="AI77" s="1333">
        <v>3.89</v>
      </c>
      <c r="AJ77" s="1333">
        <v>3.89</v>
      </c>
      <c r="AK77" s="1333">
        <v>3.89</v>
      </c>
      <c r="AL77" s="1335">
        <v>3.89</v>
      </c>
      <c r="AM77" s="347"/>
      <c r="AN77" s="63">
        <f t="shared" ref="AN77:AN78" si="63">SUMPRODUCT(H74:AL74,H77:AL77)/AN74</f>
        <v>3.8900000000000015</v>
      </c>
    </row>
    <row r="78" spans="1:40" x14ac:dyDescent="0.25">
      <c r="A78" s="202"/>
      <c r="B78" s="1607"/>
      <c r="C78" s="1705"/>
      <c r="D78" s="1707"/>
      <c r="E78" s="1386" t="s">
        <v>345</v>
      </c>
      <c r="F78" s="1314">
        <f t="shared" si="62"/>
        <v>2.6445158309939236</v>
      </c>
      <c r="G78" s="1380">
        <f t="shared" ref="G78" si="64">IFERROR((F78-F77)/F77,0)</f>
        <v>-0.32017587892187077</v>
      </c>
      <c r="H78" s="1315">
        <v>1.63</v>
      </c>
      <c r="I78" s="1314">
        <v>1.79</v>
      </c>
      <c r="J78" s="1314">
        <v>1.97</v>
      </c>
      <c r="K78" s="1314">
        <v>0.99</v>
      </c>
      <c r="L78" s="1314">
        <v>2.56</v>
      </c>
      <c r="M78" s="1314">
        <v>0.32</v>
      </c>
      <c r="N78" s="1314">
        <v>2.46</v>
      </c>
      <c r="O78" s="1314">
        <v>0.73</v>
      </c>
      <c r="P78" s="1314">
        <v>3</v>
      </c>
      <c r="Q78" s="1314">
        <v>3.12</v>
      </c>
      <c r="R78" s="1314">
        <v>1.58</v>
      </c>
      <c r="S78" s="1314">
        <v>2.4</v>
      </c>
      <c r="T78" s="1314">
        <v>3.46</v>
      </c>
      <c r="U78" s="1314">
        <v>1.71</v>
      </c>
      <c r="V78" s="1314">
        <v>3.24</v>
      </c>
      <c r="W78" s="1314">
        <v>2.23</v>
      </c>
      <c r="X78" s="1314">
        <v>3.12</v>
      </c>
      <c r="Y78" s="1314">
        <v>5.04</v>
      </c>
      <c r="Z78" s="1314">
        <v>4.7699999999999996</v>
      </c>
      <c r="AA78" s="1314">
        <v>2.64</v>
      </c>
      <c r="AB78" s="1314">
        <v>4.38</v>
      </c>
      <c r="AC78" s="1314">
        <v>1.81</v>
      </c>
      <c r="AD78" s="1314">
        <v>7</v>
      </c>
      <c r="AE78" s="1314">
        <v>1.9</v>
      </c>
      <c r="AF78" s="1314">
        <v>2.4300000000000002</v>
      </c>
      <c r="AG78" s="1314">
        <v>2.79</v>
      </c>
      <c r="AH78" s="1314">
        <v>2.71</v>
      </c>
      <c r="AI78" s="1314">
        <v>3.89</v>
      </c>
      <c r="AJ78" s="1314">
        <v>1.4</v>
      </c>
      <c r="AK78" s="1314">
        <v>2.23</v>
      </c>
      <c r="AL78" s="1314">
        <v>2.46</v>
      </c>
      <c r="AM78" s="347"/>
      <c r="AN78" s="708">
        <f t="shared" si="63"/>
        <v>2.6445158309939236</v>
      </c>
    </row>
    <row r="79" spans="1:40" x14ac:dyDescent="0.25">
      <c r="A79" s="202"/>
      <c r="B79" s="1607"/>
      <c r="C79" s="1705"/>
      <c r="D79" s="1685" t="s">
        <v>47</v>
      </c>
      <c r="E79" s="1384" t="s">
        <v>346</v>
      </c>
      <c r="F79" s="206">
        <f t="shared" ref="F79:F82" si="65">SUMIF($H$9:$AL$9,"&lt;="&amp;$C$7,H79:AL79)</f>
        <v>12.661950000000004</v>
      </c>
      <c r="G79" s="1385"/>
      <c r="H79" s="1316">
        <f>+H77*H74/1000</f>
        <v>0.40844999999999998</v>
      </c>
      <c r="I79" s="1316">
        <f t="shared" ref="I79:AL80" si="66">+I77*I74/1000</f>
        <v>0.40844999999999998</v>
      </c>
      <c r="J79" s="1316">
        <f t="shared" si="66"/>
        <v>0.40844999999999998</v>
      </c>
      <c r="K79" s="1316">
        <f t="shared" si="66"/>
        <v>0.40844999999999998</v>
      </c>
      <c r="L79" s="1316">
        <f t="shared" si="66"/>
        <v>0.40844999999999998</v>
      </c>
      <c r="M79" s="1316">
        <f t="shared" si="66"/>
        <v>0.40844999999999998</v>
      </c>
      <c r="N79" s="1316">
        <f t="shared" si="66"/>
        <v>0.40844999999999998</v>
      </c>
      <c r="O79" s="1316">
        <f t="shared" si="66"/>
        <v>0.40844999999999998</v>
      </c>
      <c r="P79" s="1316">
        <f t="shared" si="66"/>
        <v>0.40844999999999998</v>
      </c>
      <c r="Q79" s="1316">
        <f t="shared" si="66"/>
        <v>0.40844999999999998</v>
      </c>
      <c r="R79" s="1316">
        <f t="shared" si="66"/>
        <v>0.40844999999999998</v>
      </c>
      <c r="S79" s="1316">
        <f t="shared" si="66"/>
        <v>0.40844999999999998</v>
      </c>
      <c r="T79" s="1316">
        <f t="shared" si="66"/>
        <v>0.40844999999999998</v>
      </c>
      <c r="U79" s="1316">
        <f t="shared" si="66"/>
        <v>0.40844999999999998</v>
      </c>
      <c r="V79" s="1316">
        <f t="shared" si="66"/>
        <v>0.40844999999999998</v>
      </c>
      <c r="W79" s="1316">
        <f t="shared" si="66"/>
        <v>0.40844999999999998</v>
      </c>
      <c r="X79" s="1316">
        <f t="shared" si="66"/>
        <v>0.40844999999999998</v>
      </c>
      <c r="Y79" s="1316">
        <f t="shared" si="66"/>
        <v>0.40844999999999998</v>
      </c>
      <c r="Z79" s="1316">
        <f t="shared" si="66"/>
        <v>0.40844999999999998</v>
      </c>
      <c r="AA79" s="1316">
        <f t="shared" si="66"/>
        <v>0.40844999999999998</v>
      </c>
      <c r="AB79" s="1316">
        <f t="shared" si="66"/>
        <v>0.40844999999999998</v>
      </c>
      <c r="AC79" s="1316">
        <f t="shared" si="66"/>
        <v>0.40844999999999998</v>
      </c>
      <c r="AD79" s="1316">
        <f t="shared" si="66"/>
        <v>0.40844999999999998</v>
      </c>
      <c r="AE79" s="1316">
        <f t="shared" si="66"/>
        <v>0.40844999999999998</v>
      </c>
      <c r="AF79" s="1316">
        <f t="shared" si="66"/>
        <v>0.40844999999999998</v>
      </c>
      <c r="AG79" s="1316">
        <f t="shared" si="66"/>
        <v>0.40844999999999998</v>
      </c>
      <c r="AH79" s="1316">
        <f t="shared" si="66"/>
        <v>0.40844999999999998</v>
      </c>
      <c r="AI79" s="1316">
        <f t="shared" si="66"/>
        <v>0.40844999999999998</v>
      </c>
      <c r="AJ79" s="1316">
        <f t="shared" si="66"/>
        <v>0.40844999999999998</v>
      </c>
      <c r="AK79" s="1316">
        <f t="shared" si="66"/>
        <v>0.40844999999999998</v>
      </c>
      <c r="AL79" s="1316">
        <f t="shared" si="66"/>
        <v>0.40844999999999998</v>
      </c>
      <c r="AM79" s="705"/>
      <c r="AN79" s="709">
        <f t="shared" ref="AN79:AN82" si="67">SUM(H79:AL79)</f>
        <v>12.661950000000004</v>
      </c>
    </row>
    <row r="80" spans="1:40" ht="15.75" thickBot="1" x14ac:dyDescent="0.3">
      <c r="A80" s="202"/>
      <c r="B80" s="1660"/>
      <c r="C80" s="1706"/>
      <c r="D80" s="1708"/>
      <c r="E80" s="1387" t="s">
        <v>347</v>
      </c>
      <c r="F80" s="1321">
        <f t="shared" si="65"/>
        <v>7.4419320000000004</v>
      </c>
      <c r="G80" s="1388">
        <f t="shared" ref="G80" si="68">IFERROR((F80-F79)/F79,0)</f>
        <v>-0.41226019688910492</v>
      </c>
      <c r="H80" s="1323">
        <f>+H78*H75/1000</f>
        <v>0.17604</v>
      </c>
      <c r="I80" s="1323">
        <f t="shared" si="66"/>
        <v>0.11635000000000001</v>
      </c>
      <c r="J80" s="1323">
        <f t="shared" si="66"/>
        <v>0.25019000000000002</v>
      </c>
      <c r="K80" s="1323">
        <f t="shared" si="66"/>
        <v>9.5039999999999986E-2</v>
      </c>
      <c r="L80" s="1323">
        <f t="shared" si="66"/>
        <v>0.14336000000000002</v>
      </c>
      <c r="M80" s="1323">
        <f t="shared" si="66"/>
        <v>2.0032000000000001E-2</v>
      </c>
      <c r="N80" s="1323">
        <f t="shared" si="66"/>
        <v>3.4439999999999998E-2</v>
      </c>
      <c r="O80" s="1323">
        <f t="shared" si="66"/>
        <v>5.1099999999999991E-3</v>
      </c>
      <c r="P80" s="1323">
        <f t="shared" si="66"/>
        <v>0.35549999999999998</v>
      </c>
      <c r="Q80" s="1323">
        <f t="shared" si="66"/>
        <v>0.56472</v>
      </c>
      <c r="R80" s="1323">
        <f t="shared" si="66"/>
        <v>0.18012</v>
      </c>
      <c r="S80" s="1323">
        <f t="shared" si="66"/>
        <v>0.25680000000000003</v>
      </c>
      <c r="T80" s="1323">
        <f t="shared" si="66"/>
        <v>0.25950000000000001</v>
      </c>
      <c r="U80" s="1323">
        <f t="shared" si="66"/>
        <v>0.18809999999999999</v>
      </c>
      <c r="V80" s="1323">
        <f t="shared" si="66"/>
        <v>0.32724000000000003</v>
      </c>
      <c r="W80" s="1323">
        <f t="shared" si="66"/>
        <v>0.21631</v>
      </c>
      <c r="X80" s="1323">
        <f t="shared" si="66"/>
        <v>0.39312000000000002</v>
      </c>
      <c r="Y80" s="1323">
        <f t="shared" si="66"/>
        <v>0.41831999999999997</v>
      </c>
      <c r="Z80" s="1323">
        <f t="shared" si="66"/>
        <v>0.39113999999999999</v>
      </c>
      <c r="AA80" s="1323">
        <f t="shared" si="66"/>
        <v>0.31416000000000005</v>
      </c>
      <c r="AB80" s="1323">
        <f t="shared" si="66"/>
        <v>0.48618</v>
      </c>
      <c r="AC80" s="1323">
        <f t="shared" si="66"/>
        <v>0.14661000000000002</v>
      </c>
      <c r="AD80" s="1323">
        <f t="shared" si="66"/>
        <v>0.36399999999999999</v>
      </c>
      <c r="AE80" s="1323">
        <f t="shared" si="66"/>
        <v>0.19075999999999999</v>
      </c>
      <c r="AF80" s="1323">
        <f t="shared" si="66"/>
        <v>0.27216000000000001</v>
      </c>
      <c r="AG80" s="1323">
        <f t="shared" si="66"/>
        <v>0.30410999999999999</v>
      </c>
      <c r="AH80" s="1323">
        <f t="shared" si="66"/>
        <v>0.33604000000000001</v>
      </c>
      <c r="AI80" s="1323">
        <f t="shared" si="66"/>
        <v>0.18360799999999999</v>
      </c>
      <c r="AJ80" s="1323">
        <f t="shared" si="66"/>
        <v>0.10919999999999999</v>
      </c>
      <c r="AK80" s="1323">
        <f t="shared" si="66"/>
        <v>0.25511200000000001</v>
      </c>
      <c r="AL80" s="1323">
        <f t="shared" si="66"/>
        <v>8.856E-2</v>
      </c>
      <c r="AM80" s="706"/>
      <c r="AN80" s="709">
        <f t="shared" si="67"/>
        <v>7.4419320000000004</v>
      </c>
    </row>
    <row r="81" spans="1:40" ht="14.25" customHeight="1" x14ac:dyDescent="0.25">
      <c r="A81" s="194"/>
      <c r="B81" s="1608"/>
      <c r="C81" s="1704" t="s">
        <v>476</v>
      </c>
      <c r="D81" s="1684" t="s">
        <v>340</v>
      </c>
      <c r="E81" s="195" t="s">
        <v>341</v>
      </c>
      <c r="F81" s="196">
        <f t="shared" si="65"/>
        <v>2170</v>
      </c>
      <c r="G81" s="197"/>
      <c r="H81" s="198">
        <v>70</v>
      </c>
      <c r="I81" s="198">
        <v>70</v>
      </c>
      <c r="J81" s="198">
        <v>70</v>
      </c>
      <c r="K81" s="198">
        <v>70</v>
      </c>
      <c r="L81" s="198">
        <v>70</v>
      </c>
      <c r="M81" s="198">
        <v>70</v>
      </c>
      <c r="N81" s="198">
        <v>70</v>
      </c>
      <c r="O81" s="198">
        <v>70</v>
      </c>
      <c r="P81" s="198">
        <v>70</v>
      </c>
      <c r="Q81" s="198">
        <v>70</v>
      </c>
      <c r="R81" s="198">
        <v>70</v>
      </c>
      <c r="S81" s="198">
        <v>70</v>
      </c>
      <c r="T81" s="198">
        <v>70</v>
      </c>
      <c r="U81" s="198">
        <v>70</v>
      </c>
      <c r="V81" s="198">
        <v>70</v>
      </c>
      <c r="W81" s="198">
        <v>70</v>
      </c>
      <c r="X81" s="198">
        <v>70</v>
      </c>
      <c r="Y81" s="198">
        <v>70</v>
      </c>
      <c r="Z81" s="198">
        <v>70</v>
      </c>
      <c r="AA81" s="198">
        <v>70</v>
      </c>
      <c r="AB81" s="198">
        <v>70</v>
      </c>
      <c r="AC81" s="198">
        <v>70</v>
      </c>
      <c r="AD81" s="198">
        <v>70</v>
      </c>
      <c r="AE81" s="198">
        <v>70</v>
      </c>
      <c r="AF81" s="198">
        <v>70</v>
      </c>
      <c r="AG81" s="198">
        <v>70</v>
      </c>
      <c r="AH81" s="198">
        <v>70</v>
      </c>
      <c r="AI81" s="198">
        <v>70</v>
      </c>
      <c r="AJ81" s="198">
        <v>70</v>
      </c>
      <c r="AK81" s="198">
        <v>70</v>
      </c>
      <c r="AL81" s="198">
        <v>70</v>
      </c>
      <c r="AM81" s="704"/>
      <c r="AN81" s="52">
        <f t="shared" si="67"/>
        <v>2170</v>
      </c>
    </row>
    <row r="82" spans="1:40" x14ac:dyDescent="0.25">
      <c r="A82" s="202"/>
      <c r="B82" s="1607"/>
      <c r="C82" s="1705"/>
      <c r="D82" s="1688"/>
      <c r="E82" s="1379" t="s">
        <v>342</v>
      </c>
      <c r="F82" s="1303">
        <f t="shared" si="65"/>
        <v>2103.1</v>
      </c>
      <c r="G82" s="1380">
        <f t="shared" ref="G82" si="69">IFERROR((F82-F81)/F81,0)</f>
        <v>-3.0829493087557645E-2</v>
      </c>
      <c r="H82" s="1305">
        <v>31.2</v>
      </c>
      <c r="I82" s="1303">
        <v>96</v>
      </c>
      <c r="J82" s="1303">
        <v>102.5</v>
      </c>
      <c r="K82" s="1303">
        <v>91</v>
      </c>
      <c r="L82" s="1303"/>
      <c r="M82" s="1303">
        <v>98</v>
      </c>
      <c r="N82" s="1303">
        <v>36</v>
      </c>
      <c r="O82" s="1303">
        <v>6</v>
      </c>
      <c r="P82" s="1303">
        <v>77.5</v>
      </c>
      <c r="Q82" s="1303">
        <v>106</v>
      </c>
      <c r="R82" s="1303">
        <v>77</v>
      </c>
      <c r="S82" s="1303">
        <v>108</v>
      </c>
      <c r="T82" s="1303">
        <v>53</v>
      </c>
      <c r="U82" s="1303">
        <v>45</v>
      </c>
      <c r="V82" s="1303">
        <v>28</v>
      </c>
      <c r="W82" s="1303">
        <v>24</v>
      </c>
      <c r="X82" s="1303">
        <v>69</v>
      </c>
      <c r="Y82" s="1303">
        <v>93</v>
      </c>
      <c r="Z82" s="1303">
        <v>90</v>
      </c>
      <c r="AA82" s="1303">
        <v>76.5</v>
      </c>
      <c r="AB82" s="1303">
        <v>102</v>
      </c>
      <c r="AC82" s="1303"/>
      <c r="AD82" s="1303">
        <f>11+64</f>
        <v>75</v>
      </c>
      <c r="AE82" s="1303">
        <v>66.8</v>
      </c>
      <c r="AF82" s="1303">
        <v>85</v>
      </c>
      <c r="AG82" s="1303">
        <f>12+40</f>
        <v>52</v>
      </c>
      <c r="AH82" s="1303">
        <f>66+24</f>
        <v>90</v>
      </c>
      <c r="AI82" s="1303">
        <f>24+59</f>
        <v>83</v>
      </c>
      <c r="AJ82" s="1303">
        <v>70</v>
      </c>
      <c r="AK82" s="1303">
        <f>50.8+50.8</f>
        <v>101.6</v>
      </c>
      <c r="AL82" s="1303">
        <v>70</v>
      </c>
      <c r="AM82" s="347"/>
      <c r="AN82" s="52">
        <f t="shared" si="67"/>
        <v>2103.1</v>
      </c>
    </row>
    <row r="83" spans="1:40" x14ac:dyDescent="0.25">
      <c r="A83" s="202"/>
      <c r="B83" s="1607"/>
      <c r="C83" s="1705"/>
      <c r="D83" s="1688"/>
      <c r="E83" s="1389" t="s">
        <v>312</v>
      </c>
      <c r="F83" s="1382"/>
      <c r="G83" s="1383"/>
      <c r="H83" s="203"/>
      <c r="I83" s="203"/>
      <c r="J83" s="203"/>
      <c r="K83" s="203"/>
      <c r="L83" s="203"/>
      <c r="M83" s="203"/>
      <c r="N83" s="203"/>
      <c r="O83" s="203"/>
      <c r="P83" s="204"/>
      <c r="Q83" s="203"/>
      <c r="R83" s="203"/>
      <c r="S83" s="203"/>
      <c r="T83" s="203"/>
      <c r="U83" s="203"/>
      <c r="V83" s="203"/>
      <c r="W83" s="203"/>
      <c r="X83" s="203"/>
      <c r="Y83" s="203"/>
      <c r="Z83" s="203"/>
      <c r="AA83" s="203"/>
      <c r="AB83" s="203"/>
      <c r="AC83" s="203"/>
      <c r="AD83" s="203"/>
      <c r="AE83" s="203"/>
      <c r="AF83" s="203"/>
      <c r="AG83" s="203"/>
      <c r="AH83" s="203"/>
      <c r="AI83" s="203"/>
      <c r="AJ83" s="203"/>
      <c r="AK83" s="203"/>
      <c r="AL83" s="205"/>
      <c r="AM83" s="347"/>
    </row>
    <row r="84" spans="1:40" x14ac:dyDescent="0.25">
      <c r="A84" s="202"/>
      <c r="B84" s="1607"/>
      <c r="C84" s="1705"/>
      <c r="D84" s="1685" t="s">
        <v>343</v>
      </c>
      <c r="E84" s="1384" t="s">
        <v>344</v>
      </c>
      <c r="F84" s="1310">
        <f t="shared" ref="F84:F85" si="70">IFERROR(F86*1000/F81,0)</f>
        <v>2.9100000000000024</v>
      </c>
      <c r="G84" s="1385"/>
      <c r="H84" s="1312">
        <v>2.91</v>
      </c>
      <c r="I84" s="1312">
        <v>2.91</v>
      </c>
      <c r="J84" s="1312">
        <v>2.91</v>
      </c>
      <c r="K84" s="1312">
        <v>2.91</v>
      </c>
      <c r="L84" s="1312">
        <v>2.91</v>
      </c>
      <c r="M84" s="1312">
        <v>2.91</v>
      </c>
      <c r="N84" s="1312">
        <v>2.91</v>
      </c>
      <c r="O84" s="1312">
        <v>2.91</v>
      </c>
      <c r="P84" s="1312">
        <v>2.91</v>
      </c>
      <c r="Q84" s="1312">
        <v>2.91</v>
      </c>
      <c r="R84" s="1312">
        <v>2.91</v>
      </c>
      <c r="S84" s="1312">
        <v>2.91</v>
      </c>
      <c r="T84" s="1312">
        <v>2.91</v>
      </c>
      <c r="U84" s="1312">
        <v>2.91</v>
      </c>
      <c r="V84" s="1312">
        <v>2.91</v>
      </c>
      <c r="W84" s="1312">
        <v>2.91</v>
      </c>
      <c r="X84" s="1312">
        <v>2.91</v>
      </c>
      <c r="Y84" s="1312">
        <v>2.91</v>
      </c>
      <c r="Z84" s="1312">
        <v>2.91</v>
      </c>
      <c r="AA84" s="1312">
        <v>2.91</v>
      </c>
      <c r="AB84" s="1312">
        <v>2.91</v>
      </c>
      <c r="AC84" s="1312">
        <v>2.91</v>
      </c>
      <c r="AD84" s="1312">
        <v>2.91</v>
      </c>
      <c r="AE84" s="1312">
        <v>2.91</v>
      </c>
      <c r="AF84" s="1312">
        <v>2.91</v>
      </c>
      <c r="AG84" s="1312">
        <v>2.91</v>
      </c>
      <c r="AH84" s="1312">
        <v>2.91</v>
      </c>
      <c r="AI84" s="1312">
        <v>2.91</v>
      </c>
      <c r="AJ84" s="1312">
        <v>2.91</v>
      </c>
      <c r="AK84" s="1312">
        <v>2.91</v>
      </c>
      <c r="AL84" s="1312">
        <v>2.91</v>
      </c>
      <c r="AM84" s="347"/>
      <c r="AN84" s="63">
        <f t="shared" ref="AN84:AN85" si="71">SUMPRODUCT(H81:AL81,H84:AL84)/AN81</f>
        <v>2.9099999999999988</v>
      </c>
    </row>
    <row r="85" spans="1:40" x14ac:dyDescent="0.25">
      <c r="A85" s="202"/>
      <c r="B85" s="1607"/>
      <c r="C85" s="1705"/>
      <c r="D85" s="1707"/>
      <c r="E85" s="1386" t="s">
        <v>345</v>
      </c>
      <c r="F85" s="1314">
        <f t="shared" si="70"/>
        <v>2.5423327468974373</v>
      </c>
      <c r="G85" s="1380">
        <f t="shared" ref="G85" si="72">IFERROR((F85-F84)/F84,0)</f>
        <v>-0.12634613508679202</v>
      </c>
      <c r="H85" s="1315">
        <v>0.54</v>
      </c>
      <c r="I85" s="1314">
        <v>3.22</v>
      </c>
      <c r="J85" s="1314">
        <v>5.56</v>
      </c>
      <c r="K85" s="1314">
        <v>2</v>
      </c>
      <c r="L85" s="1314"/>
      <c r="M85" s="1314">
        <v>1.32</v>
      </c>
      <c r="N85" s="1314">
        <v>1.47</v>
      </c>
      <c r="O85" s="1314">
        <v>2.79</v>
      </c>
      <c r="P85" s="1314">
        <v>1.71</v>
      </c>
      <c r="Q85" s="1314">
        <v>2.68</v>
      </c>
      <c r="R85" s="1314">
        <v>7</v>
      </c>
      <c r="S85" s="1314">
        <v>3.92</v>
      </c>
      <c r="T85" s="1314">
        <v>2.63</v>
      </c>
      <c r="U85" s="1314">
        <v>2.15</v>
      </c>
      <c r="V85" s="1314">
        <v>1.78</v>
      </c>
      <c r="W85" s="1314">
        <v>4.0599999999999996</v>
      </c>
      <c r="X85" s="1314">
        <v>3.23</v>
      </c>
      <c r="Y85" s="1314">
        <v>1.75</v>
      </c>
      <c r="Z85" s="1314">
        <v>0.93</v>
      </c>
      <c r="AA85" s="1314">
        <v>1.1299999999999999</v>
      </c>
      <c r="AB85" s="1314">
        <v>3.14</v>
      </c>
      <c r="AC85" s="1314"/>
      <c r="AD85" s="1314">
        <v>2.25</v>
      </c>
      <c r="AE85" s="1314">
        <v>1.68</v>
      </c>
      <c r="AF85" s="1314">
        <v>1.65</v>
      </c>
      <c r="AG85" s="1314">
        <v>2.87</v>
      </c>
      <c r="AH85" s="1314">
        <v>2.11</v>
      </c>
      <c r="AI85" s="1314">
        <v>2.5099999999999998</v>
      </c>
      <c r="AJ85" s="1314">
        <v>2.37</v>
      </c>
      <c r="AK85" s="1314">
        <v>1.73</v>
      </c>
      <c r="AL85" s="1314">
        <v>1.73</v>
      </c>
      <c r="AM85" s="347"/>
      <c r="AN85" s="708">
        <f t="shared" si="71"/>
        <v>2.5423327468974373</v>
      </c>
    </row>
    <row r="86" spans="1:40" x14ac:dyDescent="0.25">
      <c r="A86" s="202"/>
      <c r="B86" s="1607"/>
      <c r="C86" s="1705"/>
      <c r="D86" s="1685" t="s">
        <v>47</v>
      </c>
      <c r="E86" s="1384" t="s">
        <v>346</v>
      </c>
      <c r="F86" s="206">
        <f t="shared" ref="F86:F89" si="73">SUMIF($H$9:$AL$9,"&lt;="&amp;$C$7,H86:AL86)</f>
        <v>6.3147000000000055</v>
      </c>
      <c r="G86" s="1385"/>
      <c r="H86" s="1316">
        <f>+H84*H81/1000</f>
        <v>0.20370000000000002</v>
      </c>
      <c r="I86" s="1316">
        <f t="shared" ref="I86:AL87" si="74">+I84*I81/1000</f>
        <v>0.20370000000000002</v>
      </c>
      <c r="J86" s="1316">
        <f t="shared" si="74"/>
        <v>0.20370000000000002</v>
      </c>
      <c r="K86" s="1316">
        <f t="shared" si="74"/>
        <v>0.20370000000000002</v>
      </c>
      <c r="L86" s="1316">
        <f t="shared" si="74"/>
        <v>0.20370000000000002</v>
      </c>
      <c r="M86" s="1316">
        <f t="shared" si="74"/>
        <v>0.20370000000000002</v>
      </c>
      <c r="N86" s="1316">
        <f t="shared" si="74"/>
        <v>0.20370000000000002</v>
      </c>
      <c r="O86" s="1316">
        <f t="shared" si="74"/>
        <v>0.20370000000000002</v>
      </c>
      <c r="P86" s="1316">
        <f t="shared" si="74"/>
        <v>0.20370000000000002</v>
      </c>
      <c r="Q86" s="1316">
        <f t="shared" si="74"/>
        <v>0.20370000000000002</v>
      </c>
      <c r="R86" s="1316">
        <f t="shared" si="74"/>
        <v>0.20370000000000002</v>
      </c>
      <c r="S86" s="1316">
        <f t="shared" si="74"/>
        <v>0.20370000000000002</v>
      </c>
      <c r="T86" s="1316">
        <f t="shared" si="74"/>
        <v>0.20370000000000002</v>
      </c>
      <c r="U86" s="1316">
        <f t="shared" si="74"/>
        <v>0.20370000000000002</v>
      </c>
      <c r="V86" s="1316">
        <f t="shared" si="74"/>
        <v>0.20370000000000002</v>
      </c>
      <c r="W86" s="1316">
        <f t="shared" si="74"/>
        <v>0.20370000000000002</v>
      </c>
      <c r="X86" s="1316">
        <f t="shared" si="74"/>
        <v>0.20370000000000002</v>
      </c>
      <c r="Y86" s="1316">
        <f t="shared" si="74"/>
        <v>0.20370000000000002</v>
      </c>
      <c r="Z86" s="1316">
        <f t="shared" si="74"/>
        <v>0.20370000000000002</v>
      </c>
      <c r="AA86" s="1316">
        <f t="shared" si="74"/>
        <v>0.20370000000000002</v>
      </c>
      <c r="AB86" s="1316">
        <f t="shared" si="74"/>
        <v>0.20370000000000002</v>
      </c>
      <c r="AC86" s="1316">
        <f t="shared" si="74"/>
        <v>0.20370000000000002</v>
      </c>
      <c r="AD86" s="1316">
        <f t="shared" si="74"/>
        <v>0.20370000000000002</v>
      </c>
      <c r="AE86" s="1316">
        <f t="shared" si="74"/>
        <v>0.20370000000000002</v>
      </c>
      <c r="AF86" s="1316">
        <f t="shared" si="74"/>
        <v>0.20370000000000002</v>
      </c>
      <c r="AG86" s="1316">
        <f t="shared" si="74"/>
        <v>0.20370000000000002</v>
      </c>
      <c r="AH86" s="1316">
        <f t="shared" si="74"/>
        <v>0.20370000000000002</v>
      </c>
      <c r="AI86" s="1316">
        <f t="shared" si="74"/>
        <v>0.20370000000000002</v>
      </c>
      <c r="AJ86" s="1316">
        <f t="shared" si="74"/>
        <v>0.20370000000000002</v>
      </c>
      <c r="AK86" s="1316">
        <f t="shared" si="74"/>
        <v>0.20370000000000002</v>
      </c>
      <c r="AL86" s="1316">
        <f t="shared" si="74"/>
        <v>0.20370000000000002</v>
      </c>
      <c r="AM86" s="705"/>
      <c r="AN86" s="709">
        <f t="shared" ref="AN86:AN89" si="75">SUM(H86:AL86)</f>
        <v>6.3147000000000055</v>
      </c>
    </row>
    <row r="87" spans="1:40" ht="15.75" thickBot="1" x14ac:dyDescent="0.3">
      <c r="A87" s="202"/>
      <c r="B87" s="1660"/>
      <c r="C87" s="1706"/>
      <c r="D87" s="1708"/>
      <c r="E87" s="1387" t="s">
        <v>347</v>
      </c>
      <c r="F87" s="1321">
        <f t="shared" si="73"/>
        <v>5.3467799999999999</v>
      </c>
      <c r="G87" s="1388">
        <f t="shared" ref="G87" si="76">IFERROR((F87-F86)/F86,0)</f>
        <v>-0.15328044087605189</v>
      </c>
      <c r="H87" s="1323">
        <f>+H85*H82/1000</f>
        <v>1.6847999999999998E-2</v>
      </c>
      <c r="I87" s="1323">
        <f t="shared" si="74"/>
        <v>0.30912000000000001</v>
      </c>
      <c r="J87" s="1323">
        <f t="shared" si="74"/>
        <v>0.56989999999999996</v>
      </c>
      <c r="K87" s="1323">
        <f t="shared" si="74"/>
        <v>0.182</v>
      </c>
      <c r="L87" s="1323">
        <f t="shared" si="74"/>
        <v>0</v>
      </c>
      <c r="M87" s="1323">
        <f t="shared" si="74"/>
        <v>0.12936</v>
      </c>
      <c r="N87" s="1323">
        <f t="shared" si="74"/>
        <v>5.2920000000000002E-2</v>
      </c>
      <c r="O87" s="1323">
        <f t="shared" si="74"/>
        <v>1.6740000000000001E-2</v>
      </c>
      <c r="P87" s="1323">
        <f t="shared" si="74"/>
        <v>0.132525</v>
      </c>
      <c r="Q87" s="1323">
        <f t="shared" si="74"/>
        <v>0.28408000000000005</v>
      </c>
      <c r="R87" s="1323">
        <f t="shared" si="74"/>
        <v>0.53900000000000003</v>
      </c>
      <c r="S87" s="1323">
        <f t="shared" si="74"/>
        <v>0.42336000000000001</v>
      </c>
      <c r="T87" s="1323">
        <f t="shared" si="74"/>
        <v>0.13938999999999999</v>
      </c>
      <c r="U87" s="1323">
        <f t="shared" si="74"/>
        <v>9.6750000000000003E-2</v>
      </c>
      <c r="V87" s="1323">
        <f t="shared" si="74"/>
        <v>4.9840000000000002E-2</v>
      </c>
      <c r="W87" s="1323">
        <f t="shared" si="74"/>
        <v>9.7439999999999999E-2</v>
      </c>
      <c r="X87" s="1323">
        <f t="shared" si="74"/>
        <v>0.22287000000000001</v>
      </c>
      <c r="Y87" s="1323">
        <f t="shared" si="74"/>
        <v>0.16275000000000001</v>
      </c>
      <c r="Z87" s="1323">
        <f t="shared" si="74"/>
        <v>8.3699999999999997E-2</v>
      </c>
      <c r="AA87" s="1323">
        <f t="shared" si="74"/>
        <v>8.6444999999999994E-2</v>
      </c>
      <c r="AB87" s="1323">
        <f t="shared" si="74"/>
        <v>0.32028000000000001</v>
      </c>
      <c r="AC87" s="1323">
        <f t="shared" si="74"/>
        <v>0</v>
      </c>
      <c r="AD87" s="1323">
        <f t="shared" si="74"/>
        <v>0.16875000000000001</v>
      </c>
      <c r="AE87" s="1323">
        <f t="shared" si="74"/>
        <v>0.11222399999999999</v>
      </c>
      <c r="AF87" s="1323">
        <f t="shared" si="74"/>
        <v>0.14025000000000001</v>
      </c>
      <c r="AG87" s="1323">
        <f t="shared" si="74"/>
        <v>0.14924000000000001</v>
      </c>
      <c r="AH87" s="1323">
        <f t="shared" si="74"/>
        <v>0.18989999999999999</v>
      </c>
      <c r="AI87" s="1323">
        <f t="shared" si="74"/>
        <v>0.20832999999999999</v>
      </c>
      <c r="AJ87" s="1323">
        <f t="shared" si="74"/>
        <v>0.16589999999999999</v>
      </c>
      <c r="AK87" s="1323">
        <f t="shared" si="74"/>
        <v>0.17576800000000001</v>
      </c>
      <c r="AL87" s="1323">
        <f t="shared" si="74"/>
        <v>0.1211</v>
      </c>
      <c r="AM87" s="706"/>
      <c r="AN87" s="709">
        <f t="shared" si="75"/>
        <v>5.3467799999999999</v>
      </c>
    </row>
    <row r="88" spans="1:40" ht="14.25" customHeight="1" x14ac:dyDescent="0.25">
      <c r="A88" s="194"/>
      <c r="B88" s="1608"/>
      <c r="C88" s="1704" t="s">
        <v>477</v>
      </c>
      <c r="D88" s="1684" t="s">
        <v>340</v>
      </c>
      <c r="E88" s="195" t="s">
        <v>341</v>
      </c>
      <c r="F88" s="196">
        <f t="shared" si="73"/>
        <v>2170</v>
      </c>
      <c r="G88" s="197"/>
      <c r="H88" s="198">
        <v>70</v>
      </c>
      <c r="I88" s="198">
        <v>70</v>
      </c>
      <c r="J88" s="198">
        <v>70</v>
      </c>
      <c r="K88" s="198">
        <v>70</v>
      </c>
      <c r="L88" s="198">
        <v>70</v>
      </c>
      <c r="M88" s="198">
        <v>70</v>
      </c>
      <c r="N88" s="198">
        <v>70</v>
      </c>
      <c r="O88" s="198">
        <v>70</v>
      </c>
      <c r="P88" s="198">
        <v>70</v>
      </c>
      <c r="Q88" s="198">
        <v>70</v>
      </c>
      <c r="R88" s="198">
        <v>70</v>
      </c>
      <c r="S88" s="198">
        <v>70</v>
      </c>
      <c r="T88" s="198">
        <v>70</v>
      </c>
      <c r="U88" s="198">
        <v>70</v>
      </c>
      <c r="V88" s="198">
        <v>70</v>
      </c>
      <c r="W88" s="198">
        <v>70</v>
      </c>
      <c r="X88" s="198">
        <v>70</v>
      </c>
      <c r="Y88" s="198">
        <v>70</v>
      </c>
      <c r="Z88" s="198">
        <v>70</v>
      </c>
      <c r="AA88" s="198">
        <v>70</v>
      </c>
      <c r="AB88" s="198">
        <v>70</v>
      </c>
      <c r="AC88" s="198">
        <v>70</v>
      </c>
      <c r="AD88" s="198">
        <v>70</v>
      </c>
      <c r="AE88" s="198">
        <v>70</v>
      </c>
      <c r="AF88" s="198">
        <v>70</v>
      </c>
      <c r="AG88" s="198">
        <v>70</v>
      </c>
      <c r="AH88" s="198">
        <v>70</v>
      </c>
      <c r="AI88" s="198">
        <v>70</v>
      </c>
      <c r="AJ88" s="198">
        <v>70</v>
      </c>
      <c r="AK88" s="198">
        <v>70</v>
      </c>
      <c r="AL88" s="198">
        <v>70</v>
      </c>
      <c r="AM88" s="704"/>
      <c r="AN88" s="52">
        <f t="shared" si="75"/>
        <v>2170</v>
      </c>
    </row>
    <row r="89" spans="1:40" x14ac:dyDescent="0.25">
      <c r="A89" s="202"/>
      <c r="B89" s="1607"/>
      <c r="C89" s="1705"/>
      <c r="D89" s="1688"/>
      <c r="E89" s="1379" t="s">
        <v>342</v>
      </c>
      <c r="F89" s="1303">
        <f t="shared" si="73"/>
        <v>530.79999999999995</v>
      </c>
      <c r="G89" s="1380">
        <f t="shared" ref="G89" si="77">IFERROR((F89-F88)/F88,0)</f>
        <v>-0.75539170506912445</v>
      </c>
      <c r="H89" s="1305"/>
      <c r="I89" s="1303"/>
      <c r="J89" s="1303"/>
      <c r="K89" s="1303"/>
      <c r="L89" s="1303"/>
      <c r="M89" s="1303"/>
      <c r="N89" s="1303"/>
      <c r="O89" s="1303"/>
      <c r="P89" s="1303"/>
      <c r="Q89" s="1303"/>
      <c r="R89" s="1303"/>
      <c r="S89" s="1303"/>
      <c r="T89" s="1303">
        <v>23</v>
      </c>
      <c r="U89" s="1303"/>
      <c r="V89" s="1303">
        <v>20</v>
      </c>
      <c r="W89" s="1303">
        <v>47</v>
      </c>
      <c r="X89" s="1303">
        <f>10+90</f>
        <v>100</v>
      </c>
      <c r="Y89" s="1303">
        <v>10</v>
      </c>
      <c r="Z89" s="1303"/>
      <c r="AA89" s="1303">
        <v>71</v>
      </c>
      <c r="AB89" s="1303">
        <v>52.8</v>
      </c>
      <c r="AC89" s="1303">
        <f>24+44</f>
        <v>68</v>
      </c>
      <c r="AD89" s="1303">
        <v>115</v>
      </c>
      <c r="AE89" s="1303"/>
      <c r="AF89" s="1303">
        <v>24</v>
      </c>
      <c r="AG89" s="1303"/>
      <c r="AH89" s="1303"/>
      <c r="AI89" s="1303"/>
      <c r="AJ89" s="1303"/>
      <c r="AK89" s="1303"/>
      <c r="AL89" s="1303"/>
      <c r="AM89" s="347"/>
      <c r="AN89" s="52">
        <f t="shared" si="75"/>
        <v>530.79999999999995</v>
      </c>
    </row>
    <row r="90" spans="1:40" x14ac:dyDescent="0.25">
      <c r="A90" s="202"/>
      <c r="B90" s="1607"/>
      <c r="C90" s="1705"/>
      <c r="D90" s="1688"/>
      <c r="E90" s="1389" t="s">
        <v>312</v>
      </c>
      <c r="F90" s="1382"/>
      <c r="G90" s="1383"/>
      <c r="H90" s="203"/>
      <c r="I90" s="203"/>
      <c r="J90" s="203"/>
      <c r="K90" s="203"/>
      <c r="L90" s="203"/>
      <c r="M90" s="203"/>
      <c r="N90" s="203"/>
      <c r="O90" s="203"/>
      <c r="P90" s="204"/>
      <c r="Q90" s="203"/>
      <c r="R90" s="203"/>
      <c r="S90" s="203"/>
      <c r="T90" s="203"/>
      <c r="U90" s="203"/>
      <c r="V90" s="203"/>
      <c r="W90" s="203"/>
      <c r="X90" s="203"/>
      <c r="Y90" s="203"/>
      <c r="Z90" s="203"/>
      <c r="AA90" s="203"/>
      <c r="AB90" s="203"/>
      <c r="AC90" s="203"/>
      <c r="AD90" s="203"/>
      <c r="AE90" s="203"/>
      <c r="AF90" s="203"/>
      <c r="AG90" s="203"/>
      <c r="AH90" s="203"/>
      <c r="AI90" s="203"/>
      <c r="AJ90" s="203"/>
      <c r="AK90" s="203"/>
      <c r="AL90" s="205"/>
      <c r="AM90" s="347"/>
    </row>
    <row r="91" spans="1:40" x14ac:dyDescent="0.25">
      <c r="A91" s="202"/>
      <c r="B91" s="1607"/>
      <c r="C91" s="1705"/>
      <c r="D91" s="1685" t="s">
        <v>343</v>
      </c>
      <c r="E91" s="1384" t="s">
        <v>344</v>
      </c>
      <c r="F91" s="1310">
        <f t="shared" ref="F91:F92" si="78">IFERROR(F93*1000/F88,0)</f>
        <v>2.8400000000000007</v>
      </c>
      <c r="G91" s="1385"/>
      <c r="H91" s="1312">
        <v>2.84</v>
      </c>
      <c r="I91" s="1312">
        <v>2.84</v>
      </c>
      <c r="J91" s="1312">
        <v>2.84</v>
      </c>
      <c r="K91" s="1333">
        <v>2.84</v>
      </c>
      <c r="L91" s="1333">
        <v>2.84</v>
      </c>
      <c r="M91" s="1333">
        <v>2.84</v>
      </c>
      <c r="N91" s="1333">
        <v>2.84</v>
      </c>
      <c r="O91" s="1333">
        <v>2.84</v>
      </c>
      <c r="P91" s="1334">
        <v>2.84</v>
      </c>
      <c r="Q91" s="1333">
        <v>2.84</v>
      </c>
      <c r="R91" s="1333">
        <v>2.84</v>
      </c>
      <c r="S91" s="1333">
        <v>2.84</v>
      </c>
      <c r="T91" s="1333">
        <v>2.84</v>
      </c>
      <c r="U91" s="1333">
        <v>2.84</v>
      </c>
      <c r="V91" s="1333">
        <v>2.84</v>
      </c>
      <c r="W91" s="1333">
        <v>2.84</v>
      </c>
      <c r="X91" s="1333">
        <v>2.84</v>
      </c>
      <c r="Y91" s="1333">
        <v>2.84</v>
      </c>
      <c r="Z91" s="1333">
        <v>2.84</v>
      </c>
      <c r="AA91" s="1333">
        <v>2.84</v>
      </c>
      <c r="AB91" s="1333">
        <v>2.84</v>
      </c>
      <c r="AC91" s="1333">
        <v>2.84</v>
      </c>
      <c r="AD91" s="1333">
        <v>2.84</v>
      </c>
      <c r="AE91" s="1333">
        <v>2.84</v>
      </c>
      <c r="AF91" s="1333">
        <v>2.84</v>
      </c>
      <c r="AG91" s="1333">
        <v>2.84</v>
      </c>
      <c r="AH91" s="1333">
        <v>2.84</v>
      </c>
      <c r="AI91" s="1333">
        <v>2.84</v>
      </c>
      <c r="AJ91" s="1333">
        <v>2.84</v>
      </c>
      <c r="AK91" s="1333">
        <v>2.84</v>
      </c>
      <c r="AL91" s="1335">
        <v>2.84</v>
      </c>
      <c r="AM91" s="347"/>
      <c r="AN91" s="63">
        <f t="shared" ref="AN91:AN92" si="79">SUMPRODUCT(H88:AL88,H91:AL91)/AN88</f>
        <v>2.8400000000000012</v>
      </c>
    </row>
    <row r="92" spans="1:40" x14ac:dyDescent="0.25">
      <c r="A92" s="202"/>
      <c r="B92" s="1607"/>
      <c r="C92" s="1705"/>
      <c r="D92" s="1707"/>
      <c r="E92" s="1386" t="s">
        <v>345</v>
      </c>
      <c r="F92" s="1314">
        <f t="shared" si="78"/>
        <v>1.9271590052750567</v>
      </c>
      <c r="G92" s="1380">
        <f t="shared" ref="G92" si="80">IFERROR((F92-F91)/F91,0)</f>
        <v>-0.32142288546652953</v>
      </c>
      <c r="H92" s="1315"/>
      <c r="I92" s="1314"/>
      <c r="J92" s="1314"/>
      <c r="K92" s="1314"/>
      <c r="L92" s="1314"/>
      <c r="M92" s="1314"/>
      <c r="N92" s="1314"/>
      <c r="O92" s="1314"/>
      <c r="P92" s="1314"/>
      <c r="Q92" s="1314"/>
      <c r="R92" s="1314"/>
      <c r="S92" s="1314"/>
      <c r="T92" s="1314">
        <v>1.68</v>
      </c>
      <c r="U92" s="1314"/>
      <c r="V92" s="1314">
        <v>2.23</v>
      </c>
      <c r="W92" s="1314">
        <v>2.61</v>
      </c>
      <c r="X92" s="1314">
        <v>1.25</v>
      </c>
      <c r="Y92" s="1314">
        <v>2.37</v>
      </c>
      <c r="Z92" s="1314"/>
      <c r="AA92" s="1314">
        <v>3.93</v>
      </c>
      <c r="AB92" s="1314">
        <v>1.1200000000000001</v>
      </c>
      <c r="AC92" s="1314">
        <v>1.27</v>
      </c>
      <c r="AD92" s="1314">
        <v>1.4</v>
      </c>
      <c r="AE92" s="1314"/>
      <c r="AF92" s="1314">
        <v>3.45</v>
      </c>
      <c r="AG92" s="1314"/>
      <c r="AH92" s="1314"/>
      <c r="AI92" s="1314"/>
      <c r="AJ92" s="1314"/>
      <c r="AK92" s="1314"/>
      <c r="AL92" s="1314"/>
      <c r="AM92" s="347"/>
      <c r="AN92" s="708">
        <f t="shared" si="79"/>
        <v>1.9271590052750565</v>
      </c>
    </row>
    <row r="93" spans="1:40" x14ac:dyDescent="0.25">
      <c r="A93" s="202"/>
      <c r="B93" s="1607"/>
      <c r="C93" s="1705"/>
      <c r="D93" s="1685" t="s">
        <v>47</v>
      </c>
      <c r="E93" s="1384" t="s">
        <v>346</v>
      </c>
      <c r="F93" s="206">
        <f t="shared" ref="F93:F96" si="81">SUMIF($H$9:$AL$9,"&lt;="&amp;$C$7,H93:AL93)</f>
        <v>6.1628000000000016</v>
      </c>
      <c r="G93" s="1385"/>
      <c r="H93" s="1316">
        <f>+H91*H88/1000</f>
        <v>0.19879999999999998</v>
      </c>
      <c r="I93" s="1316">
        <f t="shared" ref="I93:AL94" si="82">+I91*I88/1000</f>
        <v>0.19879999999999998</v>
      </c>
      <c r="J93" s="1316">
        <f t="shared" si="82"/>
        <v>0.19879999999999998</v>
      </c>
      <c r="K93" s="1316">
        <f t="shared" si="82"/>
        <v>0.19879999999999998</v>
      </c>
      <c r="L93" s="1316">
        <f t="shared" si="82"/>
        <v>0.19879999999999998</v>
      </c>
      <c r="M93" s="1316">
        <f t="shared" si="82"/>
        <v>0.19879999999999998</v>
      </c>
      <c r="N93" s="1316">
        <f t="shared" si="82"/>
        <v>0.19879999999999998</v>
      </c>
      <c r="O93" s="1316">
        <f t="shared" si="82"/>
        <v>0.19879999999999998</v>
      </c>
      <c r="P93" s="1316">
        <f t="shared" si="82"/>
        <v>0.19879999999999998</v>
      </c>
      <c r="Q93" s="1316">
        <f t="shared" si="82"/>
        <v>0.19879999999999998</v>
      </c>
      <c r="R93" s="1316">
        <f t="shared" si="82"/>
        <v>0.19879999999999998</v>
      </c>
      <c r="S93" s="1316">
        <f t="shared" si="82"/>
        <v>0.19879999999999998</v>
      </c>
      <c r="T93" s="1316">
        <f t="shared" si="82"/>
        <v>0.19879999999999998</v>
      </c>
      <c r="U93" s="1316">
        <f t="shared" si="82"/>
        <v>0.19879999999999998</v>
      </c>
      <c r="V93" s="1316">
        <f t="shared" si="82"/>
        <v>0.19879999999999998</v>
      </c>
      <c r="W93" s="1316">
        <f t="shared" si="82"/>
        <v>0.19879999999999998</v>
      </c>
      <c r="X93" s="1316">
        <f t="shared" si="82"/>
        <v>0.19879999999999998</v>
      </c>
      <c r="Y93" s="1316">
        <f t="shared" si="82"/>
        <v>0.19879999999999998</v>
      </c>
      <c r="Z93" s="1316">
        <f t="shared" si="82"/>
        <v>0.19879999999999998</v>
      </c>
      <c r="AA93" s="1316">
        <f t="shared" si="82"/>
        <v>0.19879999999999998</v>
      </c>
      <c r="AB93" s="1316">
        <f t="shared" si="82"/>
        <v>0.19879999999999998</v>
      </c>
      <c r="AC93" s="1316">
        <f t="shared" si="82"/>
        <v>0.19879999999999998</v>
      </c>
      <c r="AD93" s="1316">
        <f t="shared" si="82"/>
        <v>0.19879999999999998</v>
      </c>
      <c r="AE93" s="1316">
        <f t="shared" si="82"/>
        <v>0.19879999999999998</v>
      </c>
      <c r="AF93" s="1316">
        <f t="shared" si="82"/>
        <v>0.19879999999999998</v>
      </c>
      <c r="AG93" s="1316">
        <f t="shared" si="82"/>
        <v>0.19879999999999998</v>
      </c>
      <c r="AH93" s="1316">
        <f t="shared" si="82"/>
        <v>0.19879999999999998</v>
      </c>
      <c r="AI93" s="1316">
        <f t="shared" si="82"/>
        <v>0.19879999999999998</v>
      </c>
      <c r="AJ93" s="1316">
        <f t="shared" si="82"/>
        <v>0.19879999999999998</v>
      </c>
      <c r="AK93" s="1316">
        <f t="shared" si="82"/>
        <v>0.19879999999999998</v>
      </c>
      <c r="AL93" s="1316">
        <f t="shared" si="82"/>
        <v>0.19879999999999998</v>
      </c>
      <c r="AM93" s="705"/>
      <c r="AN93" s="709">
        <f t="shared" ref="AN93:AN96" si="83">SUM(H93:AL93)</f>
        <v>6.1628000000000016</v>
      </c>
    </row>
    <row r="94" spans="1:40" ht="15.75" thickBot="1" x14ac:dyDescent="0.3">
      <c r="A94" s="202"/>
      <c r="B94" s="1660"/>
      <c r="C94" s="1706"/>
      <c r="D94" s="1708"/>
      <c r="E94" s="1387" t="s">
        <v>347</v>
      </c>
      <c r="F94" s="1321">
        <f t="shared" si="81"/>
        <v>1.0229360000000001</v>
      </c>
      <c r="G94" s="1388">
        <f t="shared" ref="G94" si="84">IFERROR((F94-F93)/F93,0)</f>
        <v>-0.83401440903485424</v>
      </c>
      <c r="H94" s="1323">
        <f>+H92*H89/1000</f>
        <v>0</v>
      </c>
      <c r="I94" s="1323">
        <f t="shared" si="82"/>
        <v>0</v>
      </c>
      <c r="J94" s="1323">
        <f t="shared" si="82"/>
        <v>0</v>
      </c>
      <c r="K94" s="1323">
        <f t="shared" si="82"/>
        <v>0</v>
      </c>
      <c r="L94" s="1323">
        <f t="shared" si="82"/>
        <v>0</v>
      </c>
      <c r="M94" s="1323">
        <f t="shared" si="82"/>
        <v>0</v>
      </c>
      <c r="N94" s="1323">
        <f t="shared" si="82"/>
        <v>0</v>
      </c>
      <c r="O94" s="1323">
        <f t="shared" si="82"/>
        <v>0</v>
      </c>
      <c r="P94" s="1323">
        <f t="shared" si="82"/>
        <v>0</v>
      </c>
      <c r="Q94" s="1323">
        <f t="shared" si="82"/>
        <v>0</v>
      </c>
      <c r="R94" s="1323">
        <f t="shared" si="82"/>
        <v>0</v>
      </c>
      <c r="S94" s="1323">
        <f t="shared" si="82"/>
        <v>0</v>
      </c>
      <c r="T94" s="1323">
        <f t="shared" si="82"/>
        <v>3.8640000000000001E-2</v>
      </c>
      <c r="U94" s="1323">
        <f t="shared" si="82"/>
        <v>0</v>
      </c>
      <c r="V94" s="1323">
        <f t="shared" si="82"/>
        <v>4.4600000000000001E-2</v>
      </c>
      <c r="W94" s="1323">
        <f t="shared" si="82"/>
        <v>0.12266999999999999</v>
      </c>
      <c r="X94" s="1323">
        <f t="shared" si="82"/>
        <v>0.125</v>
      </c>
      <c r="Y94" s="1323">
        <f t="shared" si="82"/>
        <v>2.3700000000000002E-2</v>
      </c>
      <c r="Z94" s="1323">
        <f t="shared" si="82"/>
        <v>0</v>
      </c>
      <c r="AA94" s="1323">
        <f t="shared" si="82"/>
        <v>0.27903000000000006</v>
      </c>
      <c r="AB94" s="1323">
        <f t="shared" si="82"/>
        <v>5.9136000000000001E-2</v>
      </c>
      <c r="AC94" s="1323">
        <f t="shared" si="82"/>
        <v>8.6360000000000006E-2</v>
      </c>
      <c r="AD94" s="1323">
        <f t="shared" si="82"/>
        <v>0.161</v>
      </c>
      <c r="AE94" s="1323">
        <f t="shared" si="82"/>
        <v>0</v>
      </c>
      <c r="AF94" s="1323">
        <f t="shared" si="82"/>
        <v>8.2800000000000012E-2</v>
      </c>
      <c r="AG94" s="1323">
        <f t="shared" si="82"/>
        <v>0</v>
      </c>
      <c r="AH94" s="1323">
        <f t="shared" si="82"/>
        <v>0</v>
      </c>
      <c r="AI94" s="1323">
        <f t="shared" si="82"/>
        <v>0</v>
      </c>
      <c r="AJ94" s="1323">
        <f t="shared" si="82"/>
        <v>0</v>
      </c>
      <c r="AK94" s="1323">
        <f t="shared" si="82"/>
        <v>0</v>
      </c>
      <c r="AL94" s="1323">
        <f t="shared" si="82"/>
        <v>0</v>
      </c>
      <c r="AM94" s="706"/>
      <c r="AN94" s="709">
        <f t="shared" si="83"/>
        <v>1.0229360000000001</v>
      </c>
    </row>
    <row r="95" spans="1:40" ht="14.25" customHeight="1" x14ac:dyDescent="0.25">
      <c r="A95" s="194"/>
      <c r="B95" s="1608"/>
      <c r="C95" s="1704" t="s">
        <v>478</v>
      </c>
      <c r="D95" s="1684" t="s">
        <v>340</v>
      </c>
      <c r="E95" s="195" t="s">
        <v>341</v>
      </c>
      <c r="F95" s="196">
        <f t="shared" si="81"/>
        <v>4340</v>
      </c>
      <c r="G95" s="197"/>
      <c r="H95" s="198">
        <v>140</v>
      </c>
      <c r="I95" s="198">
        <v>140</v>
      </c>
      <c r="J95" s="198">
        <v>140</v>
      </c>
      <c r="K95" s="199">
        <v>140</v>
      </c>
      <c r="L95" s="199">
        <v>140</v>
      </c>
      <c r="M95" s="199">
        <v>140</v>
      </c>
      <c r="N95" s="199">
        <v>140</v>
      </c>
      <c r="O95" s="199">
        <v>140</v>
      </c>
      <c r="P95" s="200">
        <v>140</v>
      </c>
      <c r="Q95" s="199">
        <v>140</v>
      </c>
      <c r="R95" s="199">
        <v>140</v>
      </c>
      <c r="S95" s="199">
        <v>140</v>
      </c>
      <c r="T95" s="199">
        <v>140</v>
      </c>
      <c r="U95" s="199">
        <v>140</v>
      </c>
      <c r="V95" s="199">
        <v>140</v>
      </c>
      <c r="W95" s="199">
        <v>140</v>
      </c>
      <c r="X95" s="199">
        <v>140</v>
      </c>
      <c r="Y95" s="199">
        <v>140</v>
      </c>
      <c r="Z95" s="199">
        <v>140</v>
      </c>
      <c r="AA95" s="199">
        <v>140</v>
      </c>
      <c r="AB95" s="199">
        <v>140</v>
      </c>
      <c r="AC95" s="199">
        <v>140</v>
      </c>
      <c r="AD95" s="199">
        <v>140</v>
      </c>
      <c r="AE95" s="199">
        <v>140</v>
      </c>
      <c r="AF95" s="199">
        <v>140</v>
      </c>
      <c r="AG95" s="199">
        <v>140</v>
      </c>
      <c r="AH95" s="199">
        <v>140</v>
      </c>
      <c r="AI95" s="199">
        <v>140</v>
      </c>
      <c r="AJ95" s="199">
        <v>140</v>
      </c>
      <c r="AK95" s="199">
        <v>140</v>
      </c>
      <c r="AL95" s="201">
        <v>140</v>
      </c>
      <c r="AM95" s="704"/>
      <c r="AN95" s="52">
        <f t="shared" si="83"/>
        <v>4340</v>
      </c>
    </row>
    <row r="96" spans="1:40" x14ac:dyDescent="0.25">
      <c r="A96" s="202"/>
      <c r="B96" s="1607"/>
      <c r="C96" s="1705"/>
      <c r="D96" s="1688"/>
      <c r="E96" s="1379" t="s">
        <v>342</v>
      </c>
      <c r="F96" s="1303">
        <f t="shared" si="81"/>
        <v>5164.5999999999995</v>
      </c>
      <c r="G96" s="1380">
        <f t="shared" ref="G96" si="85">IFERROR((F96-F95)/F95,0)</f>
        <v>0.18999999999999986</v>
      </c>
      <c r="H96" s="1305">
        <v>74</v>
      </c>
      <c r="I96" s="1303">
        <v>45</v>
      </c>
      <c r="J96" s="1303">
        <v>138</v>
      </c>
      <c r="K96" s="1303">
        <v>162</v>
      </c>
      <c r="L96" s="1303">
        <v>159</v>
      </c>
      <c r="M96" s="1303">
        <v>176</v>
      </c>
      <c r="N96" s="1303">
        <v>140.80000000000001</v>
      </c>
      <c r="O96" s="1303">
        <v>163</v>
      </c>
      <c r="P96" s="1303">
        <v>158</v>
      </c>
      <c r="Q96" s="1303">
        <v>147</v>
      </c>
      <c r="R96" s="1303">
        <v>166</v>
      </c>
      <c r="S96" s="1303">
        <v>153</v>
      </c>
      <c r="T96" s="1303">
        <f>180+45</f>
        <v>225</v>
      </c>
      <c r="U96" s="707">
        <v>241</v>
      </c>
      <c r="V96" s="1303">
        <v>156</v>
      </c>
      <c r="W96" s="1303">
        <f>63+87</f>
        <v>150</v>
      </c>
      <c r="X96" s="1303">
        <f>100+66</f>
        <v>166</v>
      </c>
      <c r="Y96" s="1303">
        <v>157</v>
      </c>
      <c r="Z96" s="1303">
        <f>74+42+51</f>
        <v>167</v>
      </c>
      <c r="AA96" s="1303">
        <v>204</v>
      </c>
      <c r="AB96" s="1303">
        <f>72+14.4+100.8</f>
        <v>187.2</v>
      </c>
      <c r="AC96" s="1303">
        <f>100.8+72+96</f>
        <v>268.8</v>
      </c>
      <c r="AD96" s="1303">
        <f>183+24</f>
        <v>207</v>
      </c>
      <c r="AE96" s="1303">
        <v>96</v>
      </c>
      <c r="AF96" s="1303">
        <f>42+64.8+98.2</f>
        <v>205</v>
      </c>
      <c r="AG96" s="1303">
        <v>240</v>
      </c>
      <c r="AH96" s="1303">
        <f>151.6+29.6</f>
        <v>181.2</v>
      </c>
      <c r="AI96" s="1303">
        <f>82.8+72+14</f>
        <v>168.8</v>
      </c>
      <c r="AJ96" s="1303">
        <v>184.4</v>
      </c>
      <c r="AK96" s="1303">
        <f>152.4+24</f>
        <v>176.4</v>
      </c>
      <c r="AL96" s="1303">
        <f>55.5+36+10.5</f>
        <v>102</v>
      </c>
      <c r="AM96" s="347"/>
      <c r="AN96" s="52">
        <f t="shared" si="83"/>
        <v>5164.5999999999995</v>
      </c>
    </row>
    <row r="97" spans="1:40" x14ac:dyDescent="0.25">
      <c r="A97" s="202"/>
      <c r="B97" s="1607"/>
      <c r="C97" s="1705"/>
      <c r="D97" s="1688"/>
      <c r="E97" s="1389" t="s">
        <v>312</v>
      </c>
      <c r="F97" s="1382"/>
      <c r="G97" s="1383"/>
      <c r="H97" s="203"/>
      <c r="I97" s="203"/>
      <c r="J97" s="203"/>
      <c r="K97" s="203"/>
      <c r="L97" s="203"/>
      <c r="M97" s="203"/>
      <c r="N97" s="203"/>
      <c r="O97" s="203"/>
      <c r="P97" s="204"/>
      <c r="Q97" s="203"/>
      <c r="R97" s="203"/>
      <c r="S97" s="203"/>
      <c r="T97" s="203"/>
      <c r="U97" s="203"/>
      <c r="V97" s="203"/>
      <c r="W97" s="203"/>
      <c r="X97" s="203"/>
      <c r="Y97" s="203"/>
      <c r="Z97" s="203"/>
      <c r="AA97" s="203"/>
      <c r="AB97" s="203"/>
      <c r="AC97" s="203"/>
      <c r="AD97" s="203"/>
      <c r="AE97" s="203"/>
      <c r="AF97" s="203"/>
      <c r="AG97" s="203"/>
      <c r="AH97" s="203"/>
      <c r="AI97" s="203"/>
      <c r="AJ97" s="203"/>
      <c r="AK97" s="203"/>
      <c r="AL97" s="205"/>
      <c r="AM97" s="347"/>
    </row>
    <row r="98" spans="1:40" x14ac:dyDescent="0.25">
      <c r="A98" s="202"/>
      <c r="B98" s="1607"/>
      <c r="C98" s="1705"/>
      <c r="D98" s="1685" t="s">
        <v>343</v>
      </c>
      <c r="E98" s="1384" t="s">
        <v>344</v>
      </c>
      <c r="F98" s="1310">
        <f t="shared" ref="F98:F99" si="86">IFERROR(F100*1000/F95,0)</f>
        <v>2.5300000000000002</v>
      </c>
      <c r="G98" s="1385"/>
      <c r="H98" s="1312">
        <v>2.5299999999999998</v>
      </c>
      <c r="I98" s="1312">
        <v>2.5299999999999998</v>
      </c>
      <c r="J98" s="1312">
        <v>2.5299999999999998</v>
      </c>
      <c r="K98" s="1333">
        <v>2.5299999999999998</v>
      </c>
      <c r="L98" s="1333">
        <v>2.5299999999999998</v>
      </c>
      <c r="M98" s="1333">
        <v>2.5299999999999998</v>
      </c>
      <c r="N98" s="1333">
        <v>2.5299999999999998</v>
      </c>
      <c r="O98" s="1333">
        <v>2.5299999999999998</v>
      </c>
      <c r="P98" s="1334">
        <v>2.5299999999999998</v>
      </c>
      <c r="Q98" s="1333">
        <v>2.5299999999999998</v>
      </c>
      <c r="R98" s="1333">
        <v>2.5299999999999998</v>
      </c>
      <c r="S98" s="1333">
        <v>2.5299999999999998</v>
      </c>
      <c r="T98" s="1333">
        <v>2.5299999999999998</v>
      </c>
      <c r="U98" s="1333">
        <v>2.5299999999999998</v>
      </c>
      <c r="V98" s="1333">
        <v>2.5299999999999998</v>
      </c>
      <c r="W98" s="1333">
        <v>2.5299999999999998</v>
      </c>
      <c r="X98" s="1333">
        <v>2.5299999999999998</v>
      </c>
      <c r="Y98" s="1333">
        <v>2.5299999999999998</v>
      </c>
      <c r="Z98" s="1333">
        <v>2.5299999999999998</v>
      </c>
      <c r="AA98" s="1333">
        <v>2.5299999999999998</v>
      </c>
      <c r="AB98" s="1333">
        <v>2.5299999999999998</v>
      </c>
      <c r="AC98" s="1333">
        <v>2.5299999999999998</v>
      </c>
      <c r="AD98" s="1333">
        <v>2.5299999999999998</v>
      </c>
      <c r="AE98" s="1333">
        <v>2.5299999999999998</v>
      </c>
      <c r="AF98" s="1333">
        <v>2.5299999999999998</v>
      </c>
      <c r="AG98" s="1333">
        <v>2.5299999999999998</v>
      </c>
      <c r="AH98" s="1333">
        <v>2.5299999999999998</v>
      </c>
      <c r="AI98" s="1333">
        <v>2.5299999999999998</v>
      </c>
      <c r="AJ98" s="1333">
        <v>2.5299999999999998</v>
      </c>
      <c r="AK98" s="1333">
        <v>2.5299999999999998</v>
      </c>
      <c r="AL98" s="1335">
        <v>2.5299999999999998</v>
      </c>
      <c r="AM98" s="347"/>
      <c r="AN98" s="63">
        <f t="shared" ref="AN98:AN99" si="87">SUMPRODUCT(H95:AL95,H98:AL98)/AN95</f>
        <v>2.5300000000000007</v>
      </c>
    </row>
    <row r="99" spans="1:40" x14ac:dyDescent="0.25">
      <c r="A99" s="202"/>
      <c r="B99" s="1607"/>
      <c r="C99" s="1705"/>
      <c r="D99" s="1707"/>
      <c r="E99" s="1386" t="s">
        <v>345</v>
      </c>
      <c r="F99" s="1314">
        <f t="shared" si="86"/>
        <v>2.4794214459977546</v>
      </c>
      <c r="G99" s="1380">
        <f t="shared" ref="G99" si="88">IFERROR((F99-F98)/F98,0)</f>
        <v>-1.9991523321045708E-2</v>
      </c>
      <c r="H99" s="1315">
        <v>2.8</v>
      </c>
      <c r="I99" s="1314">
        <v>1.28</v>
      </c>
      <c r="J99" s="1314">
        <v>2.97</v>
      </c>
      <c r="K99" s="1314">
        <v>1.25</v>
      </c>
      <c r="L99" s="1314">
        <v>2.29</v>
      </c>
      <c r="M99" s="1314">
        <v>2.15</v>
      </c>
      <c r="N99" s="1314">
        <v>1.61</v>
      </c>
      <c r="O99" s="1314">
        <v>1.29</v>
      </c>
      <c r="P99" s="1314">
        <v>2.67</v>
      </c>
      <c r="Q99" s="1314">
        <v>1.2</v>
      </c>
      <c r="R99" s="1314">
        <v>3.83</v>
      </c>
      <c r="S99" s="1314">
        <v>2</v>
      </c>
      <c r="T99" s="1314">
        <v>1.67</v>
      </c>
      <c r="U99" s="1314">
        <v>3.11</v>
      </c>
      <c r="V99" s="1314">
        <v>3.59</v>
      </c>
      <c r="W99" s="1314">
        <v>2.69</v>
      </c>
      <c r="X99" s="1314">
        <v>1.99</v>
      </c>
      <c r="Y99" s="1314">
        <v>5.65</v>
      </c>
      <c r="Z99" s="1314">
        <v>4.8600000000000003</v>
      </c>
      <c r="AA99" s="1314">
        <v>2.2200000000000002</v>
      </c>
      <c r="AB99" s="1314">
        <v>2.2799999999999998</v>
      </c>
      <c r="AC99" s="1314">
        <v>3.22</v>
      </c>
      <c r="AD99" s="1314">
        <v>2.13</v>
      </c>
      <c r="AE99" s="1314">
        <v>2.89</v>
      </c>
      <c r="AF99" s="1314">
        <v>1.5</v>
      </c>
      <c r="AG99" s="1314">
        <v>2.06</v>
      </c>
      <c r="AH99" s="1314">
        <v>2.62</v>
      </c>
      <c r="AI99" s="1314">
        <v>1.79</v>
      </c>
      <c r="AJ99" s="1314">
        <v>2.71</v>
      </c>
      <c r="AK99" s="1314">
        <v>2</v>
      </c>
      <c r="AL99" s="1314">
        <v>1.92</v>
      </c>
      <c r="AM99" s="347"/>
      <c r="AN99" s="708">
        <f t="shared" si="87"/>
        <v>2.4794214459977546</v>
      </c>
    </row>
    <row r="100" spans="1:40" x14ac:dyDescent="0.25">
      <c r="A100" s="202"/>
      <c r="B100" s="1607"/>
      <c r="C100" s="1705"/>
      <c r="D100" s="1685" t="s">
        <v>47</v>
      </c>
      <c r="E100" s="1384" t="s">
        <v>346</v>
      </c>
      <c r="F100" s="206">
        <f t="shared" ref="F100:F103" si="89">SUMIF($H$9:$AL$9,"&lt;="&amp;$C$7,H100:AL100)</f>
        <v>10.9802</v>
      </c>
      <c r="G100" s="1385"/>
      <c r="H100" s="1316">
        <f>+H98*H95/1000</f>
        <v>0.35420000000000001</v>
      </c>
      <c r="I100" s="1316">
        <f t="shared" ref="I100:AL101" si="90">+I98*I95/1000</f>
        <v>0.35420000000000001</v>
      </c>
      <c r="J100" s="1316">
        <f t="shared" si="90"/>
        <v>0.35420000000000001</v>
      </c>
      <c r="K100" s="1316">
        <f t="shared" si="90"/>
        <v>0.35420000000000001</v>
      </c>
      <c r="L100" s="1316">
        <f t="shared" si="90"/>
        <v>0.35420000000000001</v>
      </c>
      <c r="M100" s="1316">
        <f t="shared" si="90"/>
        <v>0.35420000000000001</v>
      </c>
      <c r="N100" s="1316">
        <f t="shared" si="90"/>
        <v>0.35420000000000001</v>
      </c>
      <c r="O100" s="1316">
        <f t="shared" si="90"/>
        <v>0.35420000000000001</v>
      </c>
      <c r="P100" s="1316">
        <f t="shared" si="90"/>
        <v>0.35420000000000001</v>
      </c>
      <c r="Q100" s="1316">
        <f t="shared" si="90"/>
        <v>0.35420000000000001</v>
      </c>
      <c r="R100" s="1316">
        <f t="shared" si="90"/>
        <v>0.35420000000000001</v>
      </c>
      <c r="S100" s="1316">
        <f t="shared" si="90"/>
        <v>0.35420000000000001</v>
      </c>
      <c r="T100" s="1316">
        <f t="shared" si="90"/>
        <v>0.35420000000000001</v>
      </c>
      <c r="U100" s="1316">
        <f t="shared" si="90"/>
        <v>0.35420000000000001</v>
      </c>
      <c r="V100" s="1316">
        <f t="shared" si="90"/>
        <v>0.35420000000000001</v>
      </c>
      <c r="W100" s="1316">
        <f t="shared" si="90"/>
        <v>0.35420000000000001</v>
      </c>
      <c r="X100" s="1316">
        <f t="shared" si="90"/>
        <v>0.35420000000000001</v>
      </c>
      <c r="Y100" s="1316">
        <f t="shared" si="90"/>
        <v>0.35420000000000001</v>
      </c>
      <c r="Z100" s="1316">
        <f t="shared" si="90"/>
        <v>0.35420000000000001</v>
      </c>
      <c r="AA100" s="1316">
        <f t="shared" si="90"/>
        <v>0.35420000000000001</v>
      </c>
      <c r="AB100" s="1316">
        <f t="shared" si="90"/>
        <v>0.35420000000000001</v>
      </c>
      <c r="AC100" s="1316">
        <f t="shared" si="90"/>
        <v>0.35420000000000001</v>
      </c>
      <c r="AD100" s="1316">
        <f t="shared" si="90"/>
        <v>0.35420000000000001</v>
      </c>
      <c r="AE100" s="1316">
        <f t="shared" si="90"/>
        <v>0.35420000000000001</v>
      </c>
      <c r="AF100" s="1316">
        <f t="shared" si="90"/>
        <v>0.35420000000000001</v>
      </c>
      <c r="AG100" s="1316">
        <f t="shared" si="90"/>
        <v>0.35420000000000001</v>
      </c>
      <c r="AH100" s="1316">
        <f>+AH98*AH95/1000</f>
        <v>0.35420000000000001</v>
      </c>
      <c r="AI100" s="1316">
        <f t="shared" si="90"/>
        <v>0.35420000000000001</v>
      </c>
      <c r="AJ100" s="1316">
        <f t="shared" si="90"/>
        <v>0.35420000000000001</v>
      </c>
      <c r="AK100" s="1316">
        <f t="shared" si="90"/>
        <v>0.35420000000000001</v>
      </c>
      <c r="AL100" s="1316">
        <f t="shared" si="90"/>
        <v>0.35420000000000001</v>
      </c>
      <c r="AM100" s="705"/>
      <c r="AN100" s="709">
        <f t="shared" ref="AN100:AN103" si="91">SUM(H100:AL100)</f>
        <v>10.9802</v>
      </c>
    </row>
    <row r="101" spans="1:40" ht="15.75" thickBot="1" x14ac:dyDescent="0.3">
      <c r="A101" s="202"/>
      <c r="B101" s="1660"/>
      <c r="C101" s="1706"/>
      <c r="D101" s="1708"/>
      <c r="E101" s="1387" t="s">
        <v>347</v>
      </c>
      <c r="F101" s="1321">
        <f t="shared" si="89"/>
        <v>12.805220000000004</v>
      </c>
      <c r="G101" s="1388">
        <f t="shared" ref="G101" si="92">IFERROR((F101-F100)/F100,0)</f>
        <v>0.16621008724795577</v>
      </c>
      <c r="H101" s="1323">
        <f>+H99*H96/1000</f>
        <v>0.2072</v>
      </c>
      <c r="I101" s="1323">
        <f t="shared" si="90"/>
        <v>5.7599999999999998E-2</v>
      </c>
      <c r="J101" s="1323">
        <f t="shared" si="90"/>
        <v>0.40986</v>
      </c>
      <c r="K101" s="1323">
        <f t="shared" si="90"/>
        <v>0.20250000000000001</v>
      </c>
      <c r="L101" s="1323">
        <f t="shared" si="90"/>
        <v>0.36410999999999999</v>
      </c>
      <c r="M101" s="1323">
        <f t="shared" si="90"/>
        <v>0.37839999999999996</v>
      </c>
      <c r="N101" s="1323">
        <f t="shared" si="90"/>
        <v>0.22668800000000006</v>
      </c>
      <c r="O101" s="1323">
        <f t="shared" si="90"/>
        <v>0.21027000000000001</v>
      </c>
      <c r="P101" s="1323">
        <f t="shared" si="90"/>
        <v>0.42186000000000001</v>
      </c>
      <c r="Q101" s="1323">
        <f t="shared" si="90"/>
        <v>0.1764</v>
      </c>
      <c r="R101" s="1323">
        <f t="shared" si="90"/>
        <v>0.63578000000000001</v>
      </c>
      <c r="S101" s="1323">
        <f t="shared" si="90"/>
        <v>0.30599999999999999</v>
      </c>
      <c r="T101" s="1323">
        <f t="shared" si="90"/>
        <v>0.37574999999999997</v>
      </c>
      <c r="U101" s="1323">
        <f t="shared" si="90"/>
        <v>0.74951000000000001</v>
      </c>
      <c r="V101" s="1323">
        <f t="shared" si="90"/>
        <v>0.56003999999999998</v>
      </c>
      <c r="W101" s="1323">
        <f t="shared" si="90"/>
        <v>0.40350000000000003</v>
      </c>
      <c r="X101" s="1323">
        <f t="shared" si="90"/>
        <v>0.33033999999999997</v>
      </c>
      <c r="Y101" s="1323">
        <f t="shared" si="90"/>
        <v>0.88705000000000012</v>
      </c>
      <c r="Z101" s="1323">
        <f t="shared" si="90"/>
        <v>0.81162000000000001</v>
      </c>
      <c r="AA101" s="1323">
        <f t="shared" si="90"/>
        <v>0.45288000000000006</v>
      </c>
      <c r="AB101" s="1323">
        <f t="shared" si="90"/>
        <v>0.42681599999999992</v>
      </c>
      <c r="AC101" s="1323">
        <f t="shared" si="90"/>
        <v>0.86553600000000008</v>
      </c>
      <c r="AD101" s="1323">
        <f t="shared" si="90"/>
        <v>0.44090999999999997</v>
      </c>
      <c r="AE101" s="1323">
        <f t="shared" si="90"/>
        <v>0.27744000000000002</v>
      </c>
      <c r="AF101" s="1323">
        <f t="shared" si="90"/>
        <v>0.3075</v>
      </c>
      <c r="AG101" s="1323">
        <f t="shared" si="90"/>
        <v>0.49440000000000006</v>
      </c>
      <c r="AH101" s="1323">
        <f t="shared" si="90"/>
        <v>0.47474399999999994</v>
      </c>
      <c r="AI101" s="1323">
        <f t="shared" si="90"/>
        <v>0.30215200000000003</v>
      </c>
      <c r="AJ101" s="1323">
        <f t="shared" si="90"/>
        <v>0.499724</v>
      </c>
      <c r="AK101" s="1323">
        <f t="shared" si="90"/>
        <v>0.3528</v>
      </c>
      <c r="AL101" s="1323">
        <f t="shared" si="90"/>
        <v>0.19584000000000001</v>
      </c>
      <c r="AM101" s="706"/>
      <c r="AN101" s="709">
        <f t="shared" si="91"/>
        <v>12.805220000000004</v>
      </c>
    </row>
    <row r="102" spans="1:40" ht="14.25" customHeight="1" x14ac:dyDescent="0.25">
      <c r="A102" s="194"/>
      <c r="B102" s="1608"/>
      <c r="C102" s="1704" t="s">
        <v>479</v>
      </c>
      <c r="D102" s="1684" t="s">
        <v>340</v>
      </c>
      <c r="E102" s="195" t="s">
        <v>341</v>
      </c>
      <c r="F102" s="196">
        <f t="shared" si="89"/>
        <v>1085</v>
      </c>
      <c r="G102" s="197"/>
      <c r="H102" s="198">
        <v>35</v>
      </c>
      <c r="I102" s="198">
        <v>35</v>
      </c>
      <c r="J102" s="198">
        <v>35</v>
      </c>
      <c r="K102" s="199">
        <v>35</v>
      </c>
      <c r="L102" s="199">
        <v>35</v>
      </c>
      <c r="M102" s="199">
        <v>35</v>
      </c>
      <c r="N102" s="199">
        <v>35</v>
      </c>
      <c r="O102" s="199">
        <v>35</v>
      </c>
      <c r="P102" s="200">
        <v>35</v>
      </c>
      <c r="Q102" s="199">
        <v>35</v>
      </c>
      <c r="R102" s="199">
        <v>35</v>
      </c>
      <c r="S102" s="199">
        <v>35</v>
      </c>
      <c r="T102" s="199">
        <v>35</v>
      </c>
      <c r="U102" s="199">
        <v>35</v>
      </c>
      <c r="V102" s="199">
        <v>35</v>
      </c>
      <c r="W102" s="199">
        <v>35</v>
      </c>
      <c r="X102" s="199">
        <v>35</v>
      </c>
      <c r="Y102" s="199">
        <v>35</v>
      </c>
      <c r="Z102" s="199">
        <v>35</v>
      </c>
      <c r="AA102" s="199">
        <v>35</v>
      </c>
      <c r="AB102" s="199">
        <v>35</v>
      </c>
      <c r="AC102" s="199">
        <v>35</v>
      </c>
      <c r="AD102" s="199">
        <v>35</v>
      </c>
      <c r="AE102" s="199">
        <v>35</v>
      </c>
      <c r="AF102" s="199">
        <v>35</v>
      </c>
      <c r="AG102" s="199">
        <v>35</v>
      </c>
      <c r="AH102" s="199">
        <v>35</v>
      </c>
      <c r="AI102" s="199">
        <v>35</v>
      </c>
      <c r="AJ102" s="199">
        <v>35</v>
      </c>
      <c r="AK102" s="199">
        <v>35</v>
      </c>
      <c r="AL102" s="201">
        <v>35</v>
      </c>
      <c r="AM102" s="704"/>
      <c r="AN102" s="52">
        <f t="shared" si="91"/>
        <v>1085</v>
      </c>
    </row>
    <row r="103" spans="1:40" x14ac:dyDescent="0.25">
      <c r="A103" s="202"/>
      <c r="B103" s="1607"/>
      <c r="C103" s="1705"/>
      <c r="D103" s="1688"/>
      <c r="E103" s="1379" t="s">
        <v>342</v>
      </c>
      <c r="F103" s="1303">
        <f t="shared" si="89"/>
        <v>54</v>
      </c>
      <c r="G103" s="1380">
        <f t="shared" ref="G103" si="93">IFERROR((F103-F102)/F102,0)</f>
        <v>-0.95023041474654379</v>
      </c>
      <c r="H103" s="1305"/>
      <c r="I103" s="1303"/>
      <c r="J103" s="1303"/>
      <c r="K103" s="1303"/>
      <c r="L103" s="1303"/>
      <c r="M103" s="1303"/>
      <c r="N103" s="1303"/>
      <c r="O103" s="1303"/>
      <c r="P103" s="1303"/>
      <c r="Q103" s="1303"/>
      <c r="R103" s="1303"/>
      <c r="S103" s="1303"/>
      <c r="T103" s="1303"/>
      <c r="U103" s="1303"/>
      <c r="V103" s="1303"/>
      <c r="W103" s="1303"/>
      <c r="X103" s="1303"/>
      <c r="Y103" s="1303"/>
      <c r="Z103" s="1303"/>
      <c r="AA103" s="1303"/>
      <c r="AB103" s="1303"/>
      <c r="AC103" s="1303"/>
      <c r="AD103" s="1303"/>
      <c r="AE103" s="1303"/>
      <c r="AF103" s="1303"/>
      <c r="AG103" s="1303"/>
      <c r="AH103" s="1303"/>
      <c r="AI103" s="1303"/>
      <c r="AJ103" s="1303"/>
      <c r="AK103" s="1303"/>
      <c r="AL103" s="1303">
        <v>54</v>
      </c>
      <c r="AM103" s="347"/>
      <c r="AN103" s="52">
        <f t="shared" si="91"/>
        <v>54</v>
      </c>
    </row>
    <row r="104" spans="1:40" x14ac:dyDescent="0.25">
      <c r="A104" s="202"/>
      <c r="B104" s="1607"/>
      <c r="C104" s="1705"/>
      <c r="D104" s="1688"/>
      <c r="E104" s="1389" t="s">
        <v>312</v>
      </c>
      <c r="F104" s="1382"/>
      <c r="G104" s="1383"/>
      <c r="H104" s="203"/>
      <c r="I104" s="203"/>
      <c r="J104" s="203"/>
      <c r="K104" s="203"/>
      <c r="L104" s="203"/>
      <c r="M104" s="203"/>
      <c r="N104" s="203"/>
      <c r="O104" s="203"/>
      <c r="P104" s="204"/>
      <c r="Q104" s="203"/>
      <c r="R104" s="203"/>
      <c r="S104" s="203"/>
      <c r="T104" s="203"/>
      <c r="U104" s="203"/>
      <c r="V104" s="203"/>
      <c r="W104" s="203"/>
      <c r="X104" s="203"/>
      <c r="Y104" s="203"/>
      <c r="Z104" s="203"/>
      <c r="AA104" s="203"/>
      <c r="AB104" s="203"/>
      <c r="AC104" s="203"/>
      <c r="AD104" s="203"/>
      <c r="AE104" s="203"/>
      <c r="AF104" s="203"/>
      <c r="AG104" s="203"/>
      <c r="AH104" s="203"/>
      <c r="AI104" s="203"/>
      <c r="AJ104" s="203"/>
      <c r="AK104" s="203"/>
      <c r="AL104" s="205"/>
      <c r="AM104" s="347"/>
    </row>
    <row r="105" spans="1:40" x14ac:dyDescent="0.25">
      <c r="A105" s="202"/>
      <c r="B105" s="1607"/>
      <c r="C105" s="1705"/>
      <c r="D105" s="1685" t="s">
        <v>343</v>
      </c>
      <c r="E105" s="1384" t="s">
        <v>344</v>
      </c>
      <c r="F105" s="1310">
        <f t="shared" ref="F105:F106" si="94">IFERROR(F107*1000/F102,0)</f>
        <v>2.1700000000000004</v>
      </c>
      <c r="G105" s="1385"/>
      <c r="H105" s="1312">
        <v>2.17</v>
      </c>
      <c r="I105" s="1312">
        <v>2.17</v>
      </c>
      <c r="J105" s="1312">
        <v>2.17</v>
      </c>
      <c r="K105" s="1333">
        <v>2.17</v>
      </c>
      <c r="L105" s="1333">
        <v>2.17</v>
      </c>
      <c r="M105" s="1333">
        <v>2.17</v>
      </c>
      <c r="N105" s="1333">
        <v>2.17</v>
      </c>
      <c r="O105" s="1333">
        <v>2.17</v>
      </c>
      <c r="P105" s="1334">
        <v>2.17</v>
      </c>
      <c r="Q105" s="1333">
        <v>2.17</v>
      </c>
      <c r="R105" s="1333">
        <v>2.17</v>
      </c>
      <c r="S105" s="1333">
        <v>2.17</v>
      </c>
      <c r="T105" s="1333">
        <v>2.17</v>
      </c>
      <c r="U105" s="1333">
        <v>2.17</v>
      </c>
      <c r="V105" s="1333">
        <v>2.17</v>
      </c>
      <c r="W105" s="1333">
        <v>2.17</v>
      </c>
      <c r="X105" s="1333">
        <v>2.17</v>
      </c>
      <c r="Y105" s="1333">
        <v>2.17</v>
      </c>
      <c r="Z105" s="1333">
        <v>2.17</v>
      </c>
      <c r="AA105" s="1333">
        <v>2.17</v>
      </c>
      <c r="AB105" s="1333">
        <v>2.17</v>
      </c>
      <c r="AC105" s="1333">
        <v>2.17</v>
      </c>
      <c r="AD105" s="1333">
        <v>2.17</v>
      </c>
      <c r="AE105" s="1333">
        <v>2.17</v>
      </c>
      <c r="AF105" s="1333">
        <v>2.17</v>
      </c>
      <c r="AG105" s="1333">
        <v>2.17</v>
      </c>
      <c r="AH105" s="1333">
        <v>2.17</v>
      </c>
      <c r="AI105" s="1333">
        <v>2.17</v>
      </c>
      <c r="AJ105" s="1333">
        <v>2.17</v>
      </c>
      <c r="AK105" s="1333">
        <v>2.17</v>
      </c>
      <c r="AL105" s="1335">
        <v>2.17</v>
      </c>
      <c r="AM105" s="347"/>
      <c r="AN105" s="63">
        <f t="shared" ref="AN105:AN106" si="95">SUMPRODUCT(H102:AL102,H105:AL105)/AN102</f>
        <v>2.17</v>
      </c>
    </row>
    <row r="106" spans="1:40" x14ac:dyDescent="0.25">
      <c r="A106" s="202"/>
      <c r="B106" s="1607"/>
      <c r="C106" s="1705"/>
      <c r="D106" s="1707"/>
      <c r="E106" s="1386" t="s">
        <v>345</v>
      </c>
      <c r="F106" s="1314">
        <f t="shared" si="94"/>
        <v>5.9900000000000011</v>
      </c>
      <c r="G106" s="1380">
        <f t="shared" ref="G106" si="96">IFERROR((F106-F105)/F105,0)</f>
        <v>1.76036866359447</v>
      </c>
      <c r="H106" s="1315"/>
      <c r="I106" s="1314"/>
      <c r="J106" s="1314"/>
      <c r="K106" s="1314"/>
      <c r="L106" s="1314"/>
      <c r="M106" s="1314"/>
      <c r="N106" s="1314"/>
      <c r="O106" s="1314"/>
      <c r="P106" s="1314"/>
      <c r="Q106" s="1314"/>
      <c r="R106" s="1314"/>
      <c r="S106" s="1314"/>
      <c r="T106" s="1314"/>
      <c r="U106" s="1314"/>
      <c r="V106" s="1314"/>
      <c r="W106" s="1314"/>
      <c r="X106" s="1314"/>
      <c r="Y106" s="1314"/>
      <c r="Z106" s="1314"/>
      <c r="AA106" s="1314"/>
      <c r="AB106" s="1314"/>
      <c r="AC106" s="1314"/>
      <c r="AD106" s="1314"/>
      <c r="AE106" s="1314"/>
      <c r="AF106" s="1314"/>
      <c r="AG106" s="1314"/>
      <c r="AH106" s="1314"/>
      <c r="AI106" s="1314"/>
      <c r="AJ106" s="1314"/>
      <c r="AK106" s="1314"/>
      <c r="AL106" s="1314">
        <v>5.99</v>
      </c>
      <c r="AM106" s="347"/>
      <c r="AN106" s="708">
        <f t="shared" si="95"/>
        <v>5.9900000000000011</v>
      </c>
    </row>
    <row r="107" spans="1:40" x14ac:dyDescent="0.25">
      <c r="A107" s="202"/>
      <c r="B107" s="1607"/>
      <c r="C107" s="1705"/>
      <c r="D107" s="1685" t="s">
        <v>47</v>
      </c>
      <c r="E107" s="1384" t="s">
        <v>346</v>
      </c>
      <c r="F107" s="206">
        <f t="shared" ref="F107:F108" si="97">SUMIF($H$9:$AL$9,"&lt;="&amp;$C$7,H107:AL107)</f>
        <v>2.3544500000000004</v>
      </c>
      <c r="G107" s="1385"/>
      <c r="H107" s="1316">
        <f>+H105*H102/1000</f>
        <v>7.5950000000000004E-2</v>
      </c>
      <c r="I107" s="1316">
        <f t="shared" ref="I107:AL108" si="98">+I105*I102/1000</f>
        <v>7.5950000000000004E-2</v>
      </c>
      <c r="J107" s="1316">
        <f t="shared" si="98"/>
        <v>7.5950000000000004E-2</v>
      </c>
      <c r="K107" s="1316">
        <f t="shared" si="98"/>
        <v>7.5950000000000004E-2</v>
      </c>
      <c r="L107" s="1316">
        <f t="shared" si="98"/>
        <v>7.5950000000000004E-2</v>
      </c>
      <c r="M107" s="1316">
        <f t="shared" si="98"/>
        <v>7.5950000000000004E-2</v>
      </c>
      <c r="N107" s="1316">
        <f t="shared" si="98"/>
        <v>7.5950000000000004E-2</v>
      </c>
      <c r="O107" s="1316">
        <f t="shared" si="98"/>
        <v>7.5950000000000004E-2</v>
      </c>
      <c r="P107" s="1316">
        <f t="shared" si="98"/>
        <v>7.5950000000000004E-2</v>
      </c>
      <c r="Q107" s="1316">
        <f t="shared" si="98"/>
        <v>7.5950000000000004E-2</v>
      </c>
      <c r="R107" s="1316">
        <f t="shared" si="98"/>
        <v>7.5950000000000004E-2</v>
      </c>
      <c r="S107" s="1316">
        <f t="shared" si="98"/>
        <v>7.5950000000000004E-2</v>
      </c>
      <c r="T107" s="1316">
        <f t="shared" si="98"/>
        <v>7.5950000000000004E-2</v>
      </c>
      <c r="U107" s="1316">
        <f t="shared" si="98"/>
        <v>7.5950000000000004E-2</v>
      </c>
      <c r="V107" s="1316">
        <f t="shared" si="98"/>
        <v>7.5950000000000004E-2</v>
      </c>
      <c r="W107" s="1316">
        <f t="shared" si="98"/>
        <v>7.5950000000000004E-2</v>
      </c>
      <c r="X107" s="1316">
        <f t="shared" si="98"/>
        <v>7.5950000000000004E-2</v>
      </c>
      <c r="Y107" s="1316">
        <f t="shared" si="98"/>
        <v>7.5950000000000004E-2</v>
      </c>
      <c r="Z107" s="1316">
        <f t="shared" si="98"/>
        <v>7.5950000000000004E-2</v>
      </c>
      <c r="AA107" s="1316">
        <f t="shared" si="98"/>
        <v>7.5950000000000004E-2</v>
      </c>
      <c r="AB107" s="1316">
        <f t="shared" si="98"/>
        <v>7.5950000000000004E-2</v>
      </c>
      <c r="AC107" s="1316">
        <f t="shared" si="98"/>
        <v>7.5950000000000004E-2</v>
      </c>
      <c r="AD107" s="1316">
        <f t="shared" si="98"/>
        <v>7.5950000000000004E-2</v>
      </c>
      <c r="AE107" s="1316">
        <f t="shared" si="98"/>
        <v>7.5950000000000004E-2</v>
      </c>
      <c r="AF107" s="1316">
        <f t="shared" si="98"/>
        <v>7.5950000000000004E-2</v>
      </c>
      <c r="AG107" s="1316">
        <f t="shared" si="98"/>
        <v>7.5950000000000004E-2</v>
      </c>
      <c r="AH107" s="1316">
        <f t="shared" si="98"/>
        <v>7.5950000000000004E-2</v>
      </c>
      <c r="AI107" s="1316">
        <f t="shared" si="98"/>
        <v>7.5950000000000004E-2</v>
      </c>
      <c r="AJ107" s="1316">
        <f t="shared" si="98"/>
        <v>7.5950000000000004E-2</v>
      </c>
      <c r="AK107" s="1316">
        <f t="shared" si="98"/>
        <v>7.5950000000000004E-2</v>
      </c>
      <c r="AL107" s="1316">
        <f t="shared" si="98"/>
        <v>7.5950000000000004E-2</v>
      </c>
      <c r="AM107" s="705"/>
      <c r="AN107" s="709">
        <f t="shared" ref="AN107:AN108" si="99">SUM(H107:AL107)</f>
        <v>2.3544500000000004</v>
      </c>
    </row>
    <row r="108" spans="1:40" ht="15.75" thickBot="1" x14ac:dyDescent="0.3">
      <c r="A108" s="202"/>
      <c r="B108" s="1660"/>
      <c r="C108" s="1706"/>
      <c r="D108" s="1708"/>
      <c r="E108" s="1387" t="s">
        <v>347</v>
      </c>
      <c r="F108" s="1321">
        <f t="shared" si="97"/>
        <v>0.32346000000000003</v>
      </c>
      <c r="G108" s="1388">
        <f t="shared" ref="G108" si="100">IFERROR((F108-F107)/F107,0)</f>
        <v>-0.86261759646626612</v>
      </c>
      <c r="H108" s="1323">
        <f>+H106*H103/1000</f>
        <v>0</v>
      </c>
      <c r="I108" s="1323">
        <f t="shared" si="98"/>
        <v>0</v>
      </c>
      <c r="J108" s="1323">
        <f t="shared" si="98"/>
        <v>0</v>
      </c>
      <c r="K108" s="1323">
        <f t="shared" si="98"/>
        <v>0</v>
      </c>
      <c r="L108" s="1323">
        <f t="shared" si="98"/>
        <v>0</v>
      </c>
      <c r="M108" s="1323">
        <f t="shared" si="98"/>
        <v>0</v>
      </c>
      <c r="N108" s="1323">
        <f t="shared" si="98"/>
        <v>0</v>
      </c>
      <c r="O108" s="1323">
        <f t="shared" si="98"/>
        <v>0</v>
      </c>
      <c r="P108" s="1323">
        <f t="shared" si="98"/>
        <v>0</v>
      </c>
      <c r="Q108" s="1323">
        <f t="shared" si="98"/>
        <v>0</v>
      </c>
      <c r="R108" s="1323">
        <f t="shared" si="98"/>
        <v>0</v>
      </c>
      <c r="S108" s="1323">
        <f t="shared" si="98"/>
        <v>0</v>
      </c>
      <c r="T108" s="1323">
        <f t="shared" si="98"/>
        <v>0</v>
      </c>
      <c r="U108" s="1323">
        <f t="shared" si="98"/>
        <v>0</v>
      </c>
      <c r="V108" s="1323">
        <f t="shared" si="98"/>
        <v>0</v>
      </c>
      <c r="W108" s="1323">
        <f t="shared" si="98"/>
        <v>0</v>
      </c>
      <c r="X108" s="1323">
        <f t="shared" si="98"/>
        <v>0</v>
      </c>
      <c r="Y108" s="1323">
        <f t="shared" si="98"/>
        <v>0</v>
      </c>
      <c r="Z108" s="1323">
        <f t="shared" si="98"/>
        <v>0</v>
      </c>
      <c r="AA108" s="1323">
        <f t="shared" si="98"/>
        <v>0</v>
      </c>
      <c r="AB108" s="1323">
        <f t="shared" si="98"/>
        <v>0</v>
      </c>
      <c r="AC108" s="1323">
        <f t="shared" si="98"/>
        <v>0</v>
      </c>
      <c r="AD108" s="1323">
        <f t="shared" si="98"/>
        <v>0</v>
      </c>
      <c r="AE108" s="1323">
        <f t="shared" si="98"/>
        <v>0</v>
      </c>
      <c r="AF108" s="1323">
        <f t="shared" si="98"/>
        <v>0</v>
      </c>
      <c r="AG108" s="1323">
        <f t="shared" si="98"/>
        <v>0</v>
      </c>
      <c r="AH108" s="1323">
        <f t="shared" si="98"/>
        <v>0</v>
      </c>
      <c r="AI108" s="1323">
        <f t="shared" si="98"/>
        <v>0</v>
      </c>
      <c r="AJ108" s="1323">
        <f t="shared" si="98"/>
        <v>0</v>
      </c>
      <c r="AK108" s="1323">
        <f t="shared" si="98"/>
        <v>0</v>
      </c>
      <c r="AL108" s="1323">
        <f t="shared" si="98"/>
        <v>0.32346000000000003</v>
      </c>
      <c r="AM108" s="706"/>
      <c r="AN108" s="709">
        <f t="shared" si="99"/>
        <v>0.32346000000000003</v>
      </c>
    </row>
  </sheetData>
  <mergeCells count="73">
    <mergeCell ref="B95:B101"/>
    <mergeCell ref="C95:C101"/>
    <mergeCell ref="D95:D97"/>
    <mergeCell ref="D98:D99"/>
    <mergeCell ref="D100:D101"/>
    <mergeCell ref="B102:B108"/>
    <mergeCell ref="C102:C108"/>
    <mergeCell ref="D102:D104"/>
    <mergeCell ref="D105:D106"/>
    <mergeCell ref="D107:D108"/>
    <mergeCell ref="B81:B87"/>
    <mergeCell ref="C81:C87"/>
    <mergeCell ref="D81:D83"/>
    <mergeCell ref="D84:D85"/>
    <mergeCell ref="D86:D87"/>
    <mergeCell ref="B88:B94"/>
    <mergeCell ref="C88:C94"/>
    <mergeCell ref="D88:D90"/>
    <mergeCell ref="D91:D92"/>
    <mergeCell ref="D93:D94"/>
    <mergeCell ref="B67:B73"/>
    <mergeCell ref="C67:C73"/>
    <mergeCell ref="D67:D69"/>
    <mergeCell ref="D70:D71"/>
    <mergeCell ref="D72:D73"/>
    <mergeCell ref="B74:B80"/>
    <mergeCell ref="C74:C80"/>
    <mergeCell ref="D74:D76"/>
    <mergeCell ref="D77:D78"/>
    <mergeCell ref="D79:D80"/>
    <mergeCell ref="B53:B59"/>
    <mergeCell ref="C53:C59"/>
    <mergeCell ref="D53:D55"/>
    <mergeCell ref="D56:D57"/>
    <mergeCell ref="D58:D59"/>
    <mergeCell ref="B60:B66"/>
    <mergeCell ref="C60:C66"/>
    <mergeCell ref="D60:D62"/>
    <mergeCell ref="D63:D64"/>
    <mergeCell ref="D65:D66"/>
    <mergeCell ref="B39:B45"/>
    <mergeCell ref="C39:C45"/>
    <mergeCell ref="D39:D41"/>
    <mergeCell ref="D42:D43"/>
    <mergeCell ref="D44:D45"/>
    <mergeCell ref="B46:B52"/>
    <mergeCell ref="C46:C52"/>
    <mergeCell ref="D46:D48"/>
    <mergeCell ref="D49:D50"/>
    <mergeCell ref="D51:D52"/>
    <mergeCell ref="B25:B31"/>
    <mergeCell ref="C25:C31"/>
    <mergeCell ref="D25:D27"/>
    <mergeCell ref="D28:D29"/>
    <mergeCell ref="D30:D31"/>
    <mergeCell ref="B32:B38"/>
    <mergeCell ref="C32:C38"/>
    <mergeCell ref="D32:D34"/>
    <mergeCell ref="D35:D36"/>
    <mergeCell ref="D37:D38"/>
    <mergeCell ref="K5:N5"/>
    <mergeCell ref="K6:N6"/>
    <mergeCell ref="B18:B24"/>
    <mergeCell ref="C18:C24"/>
    <mergeCell ref="D18:D20"/>
    <mergeCell ref="D21:D22"/>
    <mergeCell ref="D23:D24"/>
    <mergeCell ref="H2:I2"/>
    <mergeCell ref="K2:N2"/>
    <mergeCell ref="H3:I3"/>
    <mergeCell ref="K3:N3"/>
    <mergeCell ref="H4:I4"/>
    <mergeCell ref="K4:N4"/>
  </mergeCells>
  <conditionalFormatting sqref="B18 B25 B32 B39 B46 B53 B60">
    <cfRule type="cellIs" dxfId="383" priority="210" operator="equal">
      <formula>3</formula>
    </cfRule>
    <cfRule type="cellIs" dxfId="382" priority="211" operator="equal">
      <formula>1</formula>
    </cfRule>
    <cfRule type="cellIs" dxfId="381" priority="212" operator="equal">
      <formula>2</formula>
    </cfRule>
  </conditionalFormatting>
  <conditionalFormatting sqref="B67">
    <cfRule type="cellIs" dxfId="380" priority="166" operator="equal">
      <formula>3</formula>
    </cfRule>
    <cfRule type="cellIs" dxfId="379" priority="167" operator="equal">
      <formula>1</formula>
    </cfRule>
    <cfRule type="cellIs" dxfId="378" priority="168" operator="equal">
      <formula>2</formula>
    </cfRule>
  </conditionalFormatting>
  <conditionalFormatting sqref="B74">
    <cfRule type="cellIs" dxfId="377" priority="141" operator="equal">
      <formula>1</formula>
    </cfRule>
    <cfRule type="cellIs" dxfId="376" priority="142" operator="equal">
      <formula>2</formula>
    </cfRule>
    <cfRule type="cellIs" dxfId="375" priority="140" operator="equal">
      <formula>3</formula>
    </cfRule>
  </conditionalFormatting>
  <conditionalFormatting sqref="B81">
    <cfRule type="cellIs" dxfId="374" priority="114" operator="equal">
      <formula>3</formula>
    </cfRule>
    <cfRule type="cellIs" dxfId="373" priority="115" operator="equal">
      <formula>1</formula>
    </cfRule>
    <cfRule type="cellIs" dxfId="372" priority="116" operator="equal">
      <formula>2</formula>
    </cfRule>
  </conditionalFormatting>
  <conditionalFormatting sqref="B88">
    <cfRule type="cellIs" dxfId="371" priority="90" operator="equal">
      <formula>2</formula>
    </cfRule>
    <cfRule type="cellIs" dxfId="370" priority="89" operator="equal">
      <formula>1</formula>
    </cfRule>
    <cfRule type="cellIs" dxfId="369" priority="88" operator="equal">
      <formula>3</formula>
    </cfRule>
  </conditionalFormatting>
  <conditionalFormatting sqref="B95">
    <cfRule type="cellIs" dxfId="368" priority="70" operator="equal">
      <formula>2</formula>
    </cfRule>
    <cfRule type="cellIs" dxfId="367" priority="68" operator="equal">
      <formula>3</formula>
    </cfRule>
    <cfRule type="cellIs" dxfId="366" priority="69" operator="equal">
      <formula>1</formula>
    </cfRule>
  </conditionalFormatting>
  <conditionalFormatting sqref="B102">
    <cfRule type="cellIs" dxfId="365" priority="44" operator="equal">
      <formula>2</formula>
    </cfRule>
    <cfRule type="cellIs" dxfId="364" priority="42" operator="equal">
      <formula>3</formula>
    </cfRule>
    <cfRule type="cellIs" dxfId="363" priority="43" operator="equal">
      <formula>1</formula>
    </cfRule>
  </conditionalFormatting>
  <conditionalFormatting sqref="D10:D12">
    <cfRule type="cellIs" dxfId="362" priority="172" stopIfTrue="1" operator="greaterThanOrEqual">
      <formula>C10</formula>
    </cfRule>
    <cfRule type="cellIs" dxfId="361" priority="171" stopIfTrue="1" operator="lessThan">
      <formula>C10</formula>
    </cfRule>
  </conditionalFormatting>
  <conditionalFormatting sqref="E10:E12">
    <cfRule type="cellIs" dxfId="360" priority="170" stopIfTrue="1" operator="greaterThanOrEqual">
      <formula>0</formula>
    </cfRule>
    <cfRule type="cellIs" dxfId="359" priority="169" stopIfTrue="1" operator="lessThan">
      <formula>0</formula>
    </cfRule>
  </conditionalFormatting>
  <conditionalFormatting sqref="F19">
    <cfRule type="cellIs" dxfId="358" priority="191" stopIfTrue="1" operator="lessThan">
      <formula>F18</formula>
    </cfRule>
    <cfRule type="cellIs" dxfId="357" priority="192" stopIfTrue="1" operator="greaterThanOrEqual">
      <formula>F18</formula>
    </cfRule>
  </conditionalFormatting>
  <conditionalFormatting sqref="F22 F24">
    <cfRule type="cellIs" dxfId="356" priority="188" stopIfTrue="1" operator="greaterThanOrEqual">
      <formula>F21</formula>
    </cfRule>
    <cfRule type="cellIs" dxfId="355" priority="187" stopIfTrue="1" operator="lessThan">
      <formula>F21</formula>
    </cfRule>
  </conditionalFormatting>
  <conditionalFormatting sqref="F26 F33 F40 F47 F54 F61">
    <cfRule type="cellIs" dxfId="354" priority="181" stopIfTrue="1" operator="lessThan">
      <formula>F25</formula>
    </cfRule>
    <cfRule type="cellIs" dxfId="353" priority="182" stopIfTrue="1" operator="greaterThanOrEqual">
      <formula>F25</formula>
    </cfRule>
  </conditionalFormatting>
  <conditionalFormatting sqref="F29 F31 F36 F38 F43 F45 F50 F52 F57 F59 F64 F66">
    <cfRule type="cellIs" dxfId="352" priority="177" stopIfTrue="1" operator="lessThan">
      <formula>F28</formula>
    </cfRule>
    <cfRule type="cellIs" dxfId="351" priority="178" stopIfTrue="1" operator="greaterThanOrEqual">
      <formula>F28</formula>
    </cfRule>
  </conditionalFormatting>
  <conditionalFormatting sqref="F68">
    <cfRule type="cellIs" dxfId="350" priority="151" stopIfTrue="1" operator="lessThan">
      <formula>F67</formula>
    </cfRule>
    <cfRule type="cellIs" dxfId="349" priority="152" stopIfTrue="1" operator="greaterThanOrEqual">
      <formula>F67</formula>
    </cfRule>
  </conditionalFormatting>
  <conditionalFormatting sqref="F71 F73">
    <cfRule type="cellIs" dxfId="348" priority="148" stopIfTrue="1" operator="greaterThanOrEqual">
      <formula>F70</formula>
    </cfRule>
    <cfRule type="cellIs" dxfId="347" priority="147" stopIfTrue="1" operator="lessThan">
      <formula>F70</formula>
    </cfRule>
  </conditionalFormatting>
  <conditionalFormatting sqref="F75">
    <cfRule type="cellIs" dxfId="346" priority="125" stopIfTrue="1" operator="lessThan">
      <formula>F74</formula>
    </cfRule>
    <cfRule type="cellIs" dxfId="345" priority="126" stopIfTrue="1" operator="greaterThanOrEqual">
      <formula>F74</formula>
    </cfRule>
  </conditionalFormatting>
  <conditionalFormatting sqref="F78 F80">
    <cfRule type="cellIs" dxfId="344" priority="122" stopIfTrue="1" operator="greaterThanOrEqual">
      <formula>F77</formula>
    </cfRule>
    <cfRule type="cellIs" dxfId="343" priority="121" stopIfTrue="1" operator="lessThan">
      <formula>F77</formula>
    </cfRule>
  </conditionalFormatting>
  <conditionalFormatting sqref="F82">
    <cfRule type="cellIs" dxfId="342" priority="99" stopIfTrue="1" operator="lessThan">
      <formula>F81</formula>
    </cfRule>
    <cfRule type="cellIs" dxfId="341" priority="100" stopIfTrue="1" operator="greaterThanOrEqual">
      <formula>F81</formula>
    </cfRule>
  </conditionalFormatting>
  <conditionalFormatting sqref="F85 F87">
    <cfRule type="cellIs" dxfId="340" priority="95" stopIfTrue="1" operator="lessThan">
      <formula>F84</formula>
    </cfRule>
    <cfRule type="cellIs" dxfId="339" priority="96" stopIfTrue="1" operator="greaterThanOrEqual">
      <formula>F84</formula>
    </cfRule>
  </conditionalFormatting>
  <conditionalFormatting sqref="F89">
    <cfRule type="cellIs" dxfId="338" priority="80" stopIfTrue="1" operator="greaterThanOrEqual">
      <formula>F88</formula>
    </cfRule>
    <cfRule type="cellIs" dxfId="337" priority="79" stopIfTrue="1" operator="lessThan">
      <formula>F88</formula>
    </cfRule>
  </conditionalFormatting>
  <conditionalFormatting sqref="F92 F94">
    <cfRule type="cellIs" dxfId="336" priority="75" stopIfTrue="1" operator="lessThan">
      <formula>F91</formula>
    </cfRule>
    <cfRule type="cellIs" dxfId="335" priority="76" stopIfTrue="1" operator="greaterThanOrEqual">
      <formula>F91</formula>
    </cfRule>
  </conditionalFormatting>
  <conditionalFormatting sqref="F96">
    <cfRule type="cellIs" dxfId="334" priority="53" stopIfTrue="1" operator="lessThan">
      <formula>F95</formula>
    </cfRule>
    <cfRule type="cellIs" dxfId="333" priority="54" stopIfTrue="1" operator="greaterThanOrEqual">
      <formula>F95</formula>
    </cfRule>
  </conditionalFormatting>
  <conditionalFormatting sqref="F99 F101">
    <cfRule type="cellIs" dxfId="332" priority="50" stopIfTrue="1" operator="greaterThanOrEqual">
      <formula>F98</formula>
    </cfRule>
    <cfRule type="cellIs" dxfId="331" priority="49" stopIfTrue="1" operator="lessThan">
      <formula>F98</formula>
    </cfRule>
  </conditionalFormatting>
  <conditionalFormatting sqref="F103">
    <cfRule type="cellIs" dxfId="330" priority="28" stopIfTrue="1" operator="greaterThanOrEqual">
      <formula>F102</formula>
    </cfRule>
    <cfRule type="cellIs" dxfId="329" priority="27" stopIfTrue="1" operator="lessThan">
      <formula>F102</formula>
    </cfRule>
  </conditionalFormatting>
  <conditionalFormatting sqref="F106 F108">
    <cfRule type="cellIs" dxfId="328" priority="24" stopIfTrue="1" operator="greaterThanOrEqual">
      <formula>F105</formula>
    </cfRule>
    <cfRule type="cellIs" dxfId="327" priority="23" stopIfTrue="1" operator="lessThan">
      <formula>F105</formula>
    </cfRule>
  </conditionalFormatting>
  <conditionalFormatting sqref="G19">
    <cfRule type="cellIs" dxfId="326" priority="190" operator="lessThan">
      <formula>0</formula>
    </cfRule>
    <cfRule type="cellIs" dxfId="325" priority="189" operator="greaterThan">
      <formula>0</formula>
    </cfRule>
  </conditionalFormatting>
  <conditionalFormatting sqref="G22">
    <cfRule type="cellIs" dxfId="324" priority="185" operator="greaterThan">
      <formula>0</formula>
    </cfRule>
    <cfRule type="cellIs" dxfId="323" priority="186" operator="lessThan">
      <formula>0</formula>
    </cfRule>
  </conditionalFormatting>
  <conditionalFormatting sqref="G24">
    <cfRule type="cellIs" dxfId="322" priority="184" operator="lessThan">
      <formula>0</formula>
    </cfRule>
    <cfRule type="cellIs" dxfId="321" priority="183" operator="greaterThan">
      <formula>0</formula>
    </cfRule>
  </conditionalFormatting>
  <conditionalFormatting sqref="G26 G33 G40 G47 G54 G61">
    <cfRule type="cellIs" dxfId="320" priority="180" operator="lessThan">
      <formula>0</formula>
    </cfRule>
    <cfRule type="cellIs" dxfId="319" priority="179" operator="greaterThan">
      <formula>0</formula>
    </cfRule>
  </conditionalFormatting>
  <conditionalFormatting sqref="G29 G36 G43 G50 G57 G64">
    <cfRule type="cellIs" dxfId="318" priority="175" operator="greaterThan">
      <formula>0</formula>
    </cfRule>
    <cfRule type="cellIs" dxfId="317" priority="176" operator="lessThan">
      <formula>0</formula>
    </cfRule>
  </conditionalFormatting>
  <conditionalFormatting sqref="G31 G38 G45 G52 G59 G66">
    <cfRule type="cellIs" dxfId="316" priority="173" operator="greaterThan">
      <formula>0</formula>
    </cfRule>
    <cfRule type="cellIs" dxfId="315" priority="174" operator="lessThan">
      <formula>0</formula>
    </cfRule>
  </conditionalFormatting>
  <conditionalFormatting sqref="G68">
    <cfRule type="cellIs" dxfId="314" priority="150" operator="lessThan">
      <formula>0</formula>
    </cfRule>
    <cfRule type="cellIs" dxfId="313" priority="149" operator="greaterThan">
      <formula>0</formula>
    </cfRule>
  </conditionalFormatting>
  <conditionalFormatting sqref="G71">
    <cfRule type="cellIs" dxfId="312" priority="145" operator="greaterThan">
      <formula>0</formula>
    </cfRule>
    <cfRule type="cellIs" dxfId="311" priority="146" operator="lessThan">
      <formula>0</formula>
    </cfRule>
  </conditionalFormatting>
  <conditionalFormatting sqref="G73">
    <cfRule type="cellIs" dxfId="310" priority="144" operator="lessThan">
      <formula>0</formula>
    </cfRule>
    <cfRule type="cellIs" dxfId="309" priority="143" operator="greaterThan">
      <formula>0</formula>
    </cfRule>
  </conditionalFormatting>
  <conditionalFormatting sqref="G75">
    <cfRule type="cellIs" dxfId="308" priority="123" operator="greaterThan">
      <formula>0</formula>
    </cfRule>
    <cfRule type="cellIs" dxfId="307" priority="124" operator="lessThan">
      <formula>0</formula>
    </cfRule>
  </conditionalFormatting>
  <conditionalFormatting sqref="G78">
    <cfRule type="cellIs" dxfId="306" priority="119" operator="greaterThan">
      <formula>0</formula>
    </cfRule>
    <cfRule type="cellIs" dxfId="305" priority="120" operator="lessThan">
      <formula>0</formula>
    </cfRule>
  </conditionalFormatting>
  <conditionalFormatting sqref="G80">
    <cfRule type="cellIs" dxfId="304" priority="118" operator="lessThan">
      <formula>0</formula>
    </cfRule>
    <cfRule type="cellIs" dxfId="303" priority="117" operator="greaterThan">
      <formula>0</formula>
    </cfRule>
  </conditionalFormatting>
  <conditionalFormatting sqref="G82">
    <cfRule type="cellIs" dxfId="302" priority="98" operator="lessThan">
      <formula>0</formula>
    </cfRule>
    <cfRule type="cellIs" dxfId="301" priority="97" operator="greaterThan">
      <formula>0</formula>
    </cfRule>
  </conditionalFormatting>
  <conditionalFormatting sqref="G85">
    <cfRule type="cellIs" dxfId="300" priority="94" operator="lessThan">
      <formula>0</formula>
    </cfRule>
    <cfRule type="cellIs" dxfId="299" priority="93" operator="greaterThan">
      <formula>0</formula>
    </cfRule>
  </conditionalFormatting>
  <conditionalFormatting sqref="G87">
    <cfRule type="cellIs" dxfId="298" priority="92" operator="lessThan">
      <formula>0</formula>
    </cfRule>
    <cfRule type="cellIs" dxfId="297" priority="91" operator="greaterThan">
      <formula>0</formula>
    </cfRule>
  </conditionalFormatting>
  <conditionalFormatting sqref="G89">
    <cfRule type="cellIs" dxfId="296" priority="78" operator="lessThan">
      <formula>0</formula>
    </cfRule>
    <cfRule type="cellIs" dxfId="295" priority="77" operator="greaterThan">
      <formula>0</formula>
    </cfRule>
  </conditionalFormatting>
  <conditionalFormatting sqref="G92">
    <cfRule type="cellIs" dxfId="294" priority="73" operator="greaterThan">
      <formula>0</formula>
    </cfRule>
    <cfRule type="cellIs" dxfId="293" priority="74" operator="lessThan">
      <formula>0</formula>
    </cfRule>
  </conditionalFormatting>
  <conditionalFormatting sqref="G94">
    <cfRule type="cellIs" dxfId="292" priority="72" operator="lessThan">
      <formula>0</formula>
    </cfRule>
    <cfRule type="cellIs" dxfId="291" priority="71" operator="greaterThan">
      <formula>0</formula>
    </cfRule>
  </conditionalFormatting>
  <conditionalFormatting sqref="G96">
    <cfRule type="cellIs" dxfId="290" priority="52" operator="lessThan">
      <formula>0</formula>
    </cfRule>
    <cfRule type="cellIs" dxfId="289" priority="51" operator="greaterThan">
      <formula>0</formula>
    </cfRule>
  </conditionalFormatting>
  <conditionalFormatting sqref="G99">
    <cfRule type="cellIs" dxfId="288" priority="47" operator="greaterThan">
      <formula>0</formula>
    </cfRule>
    <cfRule type="cellIs" dxfId="287" priority="48" operator="lessThan">
      <formula>0</formula>
    </cfRule>
  </conditionalFormatting>
  <conditionalFormatting sqref="G101">
    <cfRule type="cellIs" dxfId="286" priority="45" operator="greaterThan">
      <formula>0</formula>
    </cfRule>
    <cfRule type="cellIs" dxfId="285" priority="46" operator="lessThan">
      <formula>0</formula>
    </cfRule>
  </conditionalFormatting>
  <conditionalFormatting sqref="G103">
    <cfRule type="cellIs" dxfId="284" priority="25" operator="greaterThan">
      <formula>0</formula>
    </cfRule>
    <cfRule type="cellIs" dxfId="283" priority="26" operator="lessThan">
      <formula>0</formula>
    </cfRule>
  </conditionalFormatting>
  <conditionalFormatting sqref="G106">
    <cfRule type="cellIs" dxfId="282" priority="21" operator="greaterThan">
      <formula>0</formula>
    </cfRule>
    <cfRule type="cellIs" dxfId="281" priority="22" operator="lessThan">
      <formula>0</formula>
    </cfRule>
  </conditionalFormatting>
  <conditionalFormatting sqref="G108">
    <cfRule type="cellIs" dxfId="280" priority="19" operator="greaterThan">
      <formula>0</formula>
    </cfRule>
    <cfRule type="cellIs" dxfId="279" priority="20" operator="lessThan">
      <formula>0</formula>
    </cfRule>
  </conditionalFormatting>
  <conditionalFormatting sqref="H13">
    <cfRule type="cellIs" dxfId="278" priority="10" operator="greaterThanOrEqual">
      <formula>0.6</formula>
    </cfRule>
  </conditionalFormatting>
  <conditionalFormatting sqref="H15">
    <cfRule type="cellIs" dxfId="277" priority="3" operator="greaterThanOrEqual">
      <formula>H14</formula>
    </cfRule>
    <cfRule type="cellIs" dxfId="276" priority="2" operator="lessThan">
      <formula>H14</formula>
    </cfRule>
  </conditionalFormatting>
  <conditionalFormatting sqref="H96:T96 V96:AL96 H99:AL99 H101:AL101">
    <cfRule type="expression" dxfId="275" priority="55">
      <formula>H$9&gt;$C$7</formula>
    </cfRule>
  </conditionalFormatting>
  <conditionalFormatting sqref="H96:T96 V96:AL96">
    <cfRule type="expression" dxfId="274" priority="65">
      <formula>H95=""</formula>
    </cfRule>
    <cfRule type="cellIs" dxfId="273" priority="66" operator="lessThan">
      <formula>H95</formula>
    </cfRule>
    <cfRule type="cellIs" dxfId="272" priority="67" operator="greaterThanOrEqual">
      <formula>H95</formula>
    </cfRule>
  </conditionalFormatting>
  <conditionalFormatting sqref="H11:AL11">
    <cfRule type="cellIs" dxfId="271" priority="9" operator="lessThan">
      <formula>H10</formula>
    </cfRule>
    <cfRule type="cellIs" dxfId="270" priority="11" operator="greaterThanOrEqual">
      <formula>H10</formula>
    </cfRule>
    <cfRule type="expression" dxfId="269" priority="213">
      <formula>H10=""</formula>
    </cfRule>
  </conditionalFormatting>
  <conditionalFormatting sqref="H13:AL13">
    <cfRule type="expression" dxfId="268" priority="5">
      <formula>H12=""</formula>
    </cfRule>
    <cfRule type="cellIs" dxfId="267" priority="6" operator="lessThan">
      <formula>H12</formula>
    </cfRule>
    <cfRule type="cellIs" dxfId="266" priority="7" operator="greaterThanOrEqual">
      <formula>H12</formula>
    </cfRule>
    <cfRule type="cellIs" dxfId="265" priority="8" operator="greaterThanOrEqual">
      <formula>2</formula>
    </cfRule>
    <cfRule type="cellIs" dxfId="264" priority="208" operator="between">
      <formula>1.6</formula>
      <formula>2</formula>
    </cfRule>
  </conditionalFormatting>
  <conditionalFormatting sqref="H15:AL15 H11:AL11 H13:AL13">
    <cfRule type="expression" dxfId="263" priority="4">
      <formula>H$9&gt;$C$7</formula>
    </cfRule>
  </conditionalFormatting>
  <conditionalFormatting sqref="H15:AL15">
    <cfRule type="expression" dxfId="262" priority="1">
      <formula>H14=""</formula>
    </cfRule>
  </conditionalFormatting>
  <conditionalFormatting sqref="H19:AL19 H22:AL22 H24:AL24 H26:AL26 H29:AL29 H31:AL31 H33:AL33 H36:AL36 H38:AL38 H40:AL40 H43:AL43 H45:AL45 H47:AL47 H50:AL50 H52:AL52 H54:AL54 H57:AL57 H59:AL59 H61:AL61 H64:AL64 H66:AL66">
    <cfRule type="expression" dxfId="261" priority="193">
      <formula>H$9&gt;$C$7</formula>
    </cfRule>
  </conditionalFormatting>
  <conditionalFormatting sqref="H19:AL19 H26:AL26 H33:AL33 H40:AL40 H47:AL47 H54:AL54 H61:AL61">
    <cfRule type="expression" dxfId="260" priority="203">
      <formula>H18=""</formula>
    </cfRule>
    <cfRule type="cellIs" dxfId="259" priority="204" operator="lessThan">
      <formula>H18</formula>
    </cfRule>
    <cfRule type="cellIs" dxfId="258" priority="205" operator="greaterThanOrEqual">
      <formula>H18</formula>
    </cfRule>
  </conditionalFormatting>
  <conditionalFormatting sqref="H22:AL22 H29:AL29 H36:AL36 H43:AL43 H50:AL50 H57:AL57 H64:AL64">
    <cfRule type="cellIs" dxfId="257" priority="198" operator="lessThan">
      <formula>H21</formula>
    </cfRule>
    <cfRule type="expression" dxfId="256" priority="194">
      <formula>H21=""</formula>
    </cfRule>
    <cfRule type="cellIs" dxfId="255" priority="202" operator="greaterThanOrEqual">
      <formula>0.6</formula>
    </cfRule>
    <cfRule type="cellIs" dxfId="254" priority="201" operator="between">
      <formula>1.6</formula>
      <formula>2</formula>
    </cfRule>
    <cfRule type="cellIs" dxfId="253" priority="200" operator="greaterThanOrEqual">
      <formula>2</formula>
    </cfRule>
    <cfRule type="cellIs" dxfId="252" priority="199" operator="greaterThanOrEqual">
      <formula>H21</formula>
    </cfRule>
  </conditionalFormatting>
  <conditionalFormatting sqref="H24:AL24 H31:AL31 H38:AL38 H45:AL45 H52:AL52 H59:AL59 H66:AL66">
    <cfRule type="cellIs" dxfId="251" priority="196" operator="lessThan">
      <formula>H23</formula>
    </cfRule>
    <cfRule type="cellIs" dxfId="250" priority="197" operator="greaterThanOrEqual">
      <formula>H23</formula>
    </cfRule>
    <cfRule type="expression" dxfId="249" priority="195">
      <formula>H23=""</formula>
    </cfRule>
  </conditionalFormatting>
  <conditionalFormatting sqref="H68:AL68 H71:AL71 H73:AL73">
    <cfRule type="expression" dxfId="248" priority="153">
      <formula>H$9&gt;$C$7</formula>
    </cfRule>
  </conditionalFormatting>
  <conditionalFormatting sqref="H68:AL68">
    <cfRule type="cellIs" dxfId="247" priority="164" operator="lessThan">
      <formula>H67</formula>
    </cfRule>
    <cfRule type="cellIs" dxfId="246" priority="165" operator="greaterThanOrEqual">
      <formula>H67</formula>
    </cfRule>
    <cfRule type="expression" dxfId="245" priority="163">
      <formula>H67=""</formula>
    </cfRule>
  </conditionalFormatting>
  <conditionalFormatting sqref="H71:AL71">
    <cfRule type="expression" dxfId="244" priority="154">
      <formula>H70=""</formula>
    </cfRule>
    <cfRule type="cellIs" dxfId="243" priority="158" operator="lessThan">
      <formula>H70</formula>
    </cfRule>
    <cfRule type="cellIs" dxfId="242" priority="162" operator="greaterThanOrEqual">
      <formula>0.6</formula>
    </cfRule>
    <cfRule type="cellIs" dxfId="241" priority="161" operator="between">
      <formula>1.6</formula>
      <formula>2</formula>
    </cfRule>
    <cfRule type="cellIs" dxfId="240" priority="160" operator="greaterThanOrEqual">
      <formula>2</formula>
    </cfRule>
    <cfRule type="cellIs" dxfId="239" priority="159" operator="greaterThanOrEqual">
      <formula>H70</formula>
    </cfRule>
  </conditionalFormatting>
  <conditionalFormatting sqref="H73:AL73">
    <cfRule type="expression" dxfId="238" priority="155">
      <formula>H72=""</formula>
    </cfRule>
    <cfRule type="cellIs" dxfId="237" priority="156" operator="lessThan">
      <formula>H72</formula>
    </cfRule>
    <cfRule type="cellIs" dxfId="236" priority="157" operator="greaterThanOrEqual">
      <formula>H72</formula>
    </cfRule>
  </conditionalFormatting>
  <conditionalFormatting sqref="H75:AL75 H78:AL78 H80:AL80">
    <cfRule type="expression" dxfId="235" priority="127">
      <formula>H$9&gt;$C$7</formula>
    </cfRule>
  </conditionalFormatting>
  <conditionalFormatting sqref="H75:AL75">
    <cfRule type="expression" dxfId="234" priority="137">
      <formula>H74=""</formula>
    </cfRule>
    <cfRule type="cellIs" dxfId="233" priority="138" operator="lessThan">
      <formula>H74</formula>
    </cfRule>
    <cfRule type="cellIs" dxfId="232" priority="139" operator="greaterThanOrEqual">
      <formula>H74</formula>
    </cfRule>
  </conditionalFormatting>
  <conditionalFormatting sqref="H78:AL78">
    <cfRule type="cellIs" dxfId="231" priority="135" operator="between">
      <formula>1.6</formula>
      <formula>2</formula>
    </cfRule>
    <cfRule type="cellIs" dxfId="230" priority="136" operator="greaterThanOrEqual">
      <formula>0.6</formula>
    </cfRule>
    <cfRule type="cellIs" dxfId="229" priority="132" operator="lessThan">
      <formula>H77</formula>
    </cfRule>
    <cfRule type="cellIs" dxfId="228" priority="133" operator="greaterThanOrEqual">
      <formula>H77</formula>
    </cfRule>
    <cfRule type="cellIs" dxfId="227" priority="134" operator="greaterThanOrEqual">
      <formula>2</formula>
    </cfRule>
    <cfRule type="expression" dxfId="226" priority="128">
      <formula>H77=""</formula>
    </cfRule>
  </conditionalFormatting>
  <conditionalFormatting sqref="H80:AL80">
    <cfRule type="expression" dxfId="225" priority="129">
      <formula>H79=""</formula>
    </cfRule>
    <cfRule type="cellIs" dxfId="224" priority="130" operator="lessThan">
      <formula>H79</formula>
    </cfRule>
    <cfRule type="cellIs" dxfId="223" priority="131" operator="greaterThanOrEqual">
      <formula>H79</formula>
    </cfRule>
  </conditionalFormatting>
  <conditionalFormatting sqref="H82:AL82 H85:AL85 H87:AL87">
    <cfRule type="expression" dxfId="222" priority="101">
      <formula>H$9&gt;$C$7</formula>
    </cfRule>
  </conditionalFormatting>
  <conditionalFormatting sqref="H82:AL82">
    <cfRule type="cellIs" dxfId="221" priority="113" operator="greaterThanOrEqual">
      <formula>H81</formula>
    </cfRule>
    <cfRule type="cellIs" dxfId="220" priority="112" operator="lessThan">
      <formula>H81</formula>
    </cfRule>
    <cfRule type="expression" dxfId="219" priority="111">
      <formula>H81=""</formula>
    </cfRule>
  </conditionalFormatting>
  <conditionalFormatting sqref="H85:AL85">
    <cfRule type="cellIs" dxfId="218" priority="107" operator="greaterThanOrEqual">
      <formula>H84</formula>
    </cfRule>
    <cfRule type="cellIs" dxfId="217" priority="110" operator="greaterThanOrEqual">
      <formula>0.6</formula>
    </cfRule>
    <cfRule type="cellIs" dxfId="216" priority="109" operator="between">
      <formula>1.6</formula>
      <formula>2</formula>
    </cfRule>
    <cfRule type="cellIs" dxfId="215" priority="108" operator="greaterThanOrEqual">
      <formula>2</formula>
    </cfRule>
    <cfRule type="cellIs" dxfId="214" priority="106" operator="lessThan">
      <formula>H84</formula>
    </cfRule>
    <cfRule type="expression" dxfId="213" priority="102">
      <formula>H84=""</formula>
    </cfRule>
  </conditionalFormatting>
  <conditionalFormatting sqref="H87:AL87">
    <cfRule type="cellIs" dxfId="212" priority="105" operator="greaterThanOrEqual">
      <formula>H86</formula>
    </cfRule>
    <cfRule type="cellIs" dxfId="211" priority="104" operator="lessThan">
      <formula>H86</formula>
    </cfRule>
    <cfRule type="expression" dxfId="210" priority="103">
      <formula>H86=""</formula>
    </cfRule>
  </conditionalFormatting>
  <conditionalFormatting sqref="H89:AL89 H94:AL94">
    <cfRule type="expression" dxfId="209" priority="81">
      <formula>H$9&gt;$C$7</formula>
    </cfRule>
  </conditionalFormatting>
  <conditionalFormatting sqref="H89:AL89">
    <cfRule type="cellIs" dxfId="208" priority="87" operator="greaterThanOrEqual">
      <formula>H88</formula>
    </cfRule>
    <cfRule type="cellIs" dxfId="207" priority="86" operator="lessThan">
      <formula>H88</formula>
    </cfRule>
    <cfRule type="expression" dxfId="206" priority="85">
      <formula>H88=""</formula>
    </cfRule>
  </conditionalFormatting>
  <conditionalFormatting sqref="H92:AL92">
    <cfRule type="expression" dxfId="205" priority="12">
      <formula>H$9&gt;$C$7</formula>
    </cfRule>
    <cfRule type="cellIs" dxfId="204" priority="17" operator="between">
      <formula>1.6</formula>
      <formula>2</formula>
    </cfRule>
    <cfRule type="cellIs" dxfId="203" priority="16" operator="greaterThanOrEqual">
      <formula>2</formula>
    </cfRule>
    <cfRule type="expression" dxfId="202" priority="13">
      <formula>H91=""</formula>
    </cfRule>
    <cfRule type="cellIs" dxfId="201" priority="14" operator="lessThan">
      <formula>H91</formula>
    </cfRule>
    <cfRule type="cellIs" dxfId="200" priority="15" operator="greaterThanOrEqual">
      <formula>H91</formula>
    </cfRule>
    <cfRule type="cellIs" dxfId="199" priority="18" operator="greaterThanOrEqual">
      <formula>0.6</formula>
    </cfRule>
  </conditionalFormatting>
  <conditionalFormatting sqref="H94:AL94">
    <cfRule type="cellIs" dxfId="198" priority="84" operator="greaterThanOrEqual">
      <formula>H93</formula>
    </cfRule>
    <cfRule type="cellIs" dxfId="197" priority="83" operator="lessThan">
      <formula>H93</formula>
    </cfRule>
    <cfRule type="expression" dxfId="196" priority="82">
      <formula>H93=""</formula>
    </cfRule>
  </conditionalFormatting>
  <conditionalFormatting sqref="H99:AL99">
    <cfRule type="cellIs" dxfId="195" priority="62" operator="greaterThanOrEqual">
      <formula>2</formula>
    </cfRule>
    <cfRule type="cellIs" dxfId="194" priority="63" operator="between">
      <formula>1.6</formula>
      <formula>2</formula>
    </cfRule>
    <cfRule type="cellIs" dxfId="193" priority="61" operator="greaterThanOrEqual">
      <formula>H98</formula>
    </cfRule>
    <cfRule type="cellIs" dxfId="192" priority="64" operator="greaterThanOrEqual">
      <formula>0.6</formula>
    </cfRule>
    <cfRule type="cellIs" dxfId="191" priority="60" operator="lessThan">
      <formula>H98</formula>
    </cfRule>
    <cfRule type="expression" dxfId="190" priority="56">
      <formula>H98=""</formula>
    </cfRule>
  </conditionalFormatting>
  <conditionalFormatting sqref="H101:AL101">
    <cfRule type="expression" dxfId="189" priority="57">
      <formula>H100=""</formula>
    </cfRule>
    <cfRule type="cellIs" dxfId="188" priority="58" operator="lessThan">
      <formula>H100</formula>
    </cfRule>
    <cfRule type="cellIs" dxfId="187" priority="59" operator="greaterThanOrEqual">
      <formula>H100</formula>
    </cfRule>
  </conditionalFormatting>
  <conditionalFormatting sqref="H103:AL103 H106:AL106 H108:AL108">
    <cfRule type="expression" dxfId="186" priority="29">
      <formula>H$9&gt;$C$7</formula>
    </cfRule>
  </conditionalFormatting>
  <conditionalFormatting sqref="H103:AL103">
    <cfRule type="expression" dxfId="185" priority="39">
      <formula>H102=""</formula>
    </cfRule>
    <cfRule type="cellIs" dxfId="184" priority="40" operator="lessThan">
      <formula>H102</formula>
    </cfRule>
    <cfRule type="cellIs" dxfId="183" priority="41" operator="greaterThanOrEqual">
      <formula>H102</formula>
    </cfRule>
  </conditionalFormatting>
  <conditionalFormatting sqref="H106:AL106">
    <cfRule type="cellIs" dxfId="182" priority="38" operator="greaterThanOrEqual">
      <formula>0.6</formula>
    </cfRule>
    <cfRule type="cellIs" dxfId="181" priority="37" operator="between">
      <formula>1.6</formula>
      <formula>2</formula>
    </cfRule>
    <cfRule type="cellIs" dxfId="180" priority="36" operator="greaterThanOrEqual">
      <formula>2</formula>
    </cfRule>
    <cfRule type="cellIs" dxfId="179" priority="35" operator="greaterThanOrEqual">
      <formula>H105</formula>
    </cfRule>
    <cfRule type="cellIs" dxfId="178" priority="34" operator="lessThan">
      <formula>H105</formula>
    </cfRule>
    <cfRule type="expression" dxfId="177" priority="30">
      <formula>H105=""</formula>
    </cfRule>
  </conditionalFormatting>
  <conditionalFormatting sqref="H108:AL108">
    <cfRule type="cellIs" dxfId="176" priority="32" operator="lessThan">
      <formula>H107</formula>
    </cfRule>
    <cfRule type="cellIs" dxfId="175" priority="33" operator="greaterThanOrEqual">
      <formula>H107</formula>
    </cfRule>
    <cfRule type="expression" dxfId="174" priority="31">
      <formula>H107=""</formula>
    </cfRule>
  </conditionalFormatting>
  <conditionalFormatting sqref="I13:AL13">
    <cfRule type="cellIs" dxfId="173" priority="209" operator="greaterThanOrEqual">
      <formula>0.6</formula>
    </cfRule>
  </conditionalFormatting>
  <conditionalFormatting sqref="I15:AL15">
    <cfRule type="cellIs" dxfId="172" priority="206" operator="lessThan">
      <formula>I14</formula>
    </cfRule>
    <cfRule type="cellIs" dxfId="171" priority="207" operator="greaterThanOrEqual">
      <formula>I14</formula>
    </cfRule>
  </conditionalFormatting>
  <conditionalFormatting sqref="AN22">
    <cfRule type="cellIs" dxfId="170" priority="856" operator="greaterThanOrEqual">
      <formula>0.6</formula>
    </cfRule>
    <cfRule type="cellIs" dxfId="169" priority="654" operator="greaterThanOrEqual">
      <formula>AN21</formula>
    </cfRule>
    <cfRule type="expression" dxfId="168" priority="652">
      <formula>AN21=""</formula>
    </cfRule>
    <cfRule type="cellIs" dxfId="167" priority="653" operator="lessThan">
      <formula>AN21</formula>
    </cfRule>
    <cfRule type="expression" dxfId="166" priority="847">
      <formula>AN$9&gt;$C$7</formula>
    </cfRule>
    <cfRule type="expression" dxfId="165" priority="848">
      <formula>AN21=""</formula>
    </cfRule>
    <cfRule type="cellIs" dxfId="164" priority="852" operator="lessThan">
      <formula>AN21</formula>
    </cfRule>
    <cfRule type="cellIs" dxfId="163" priority="853" operator="greaterThanOrEqual">
      <formula>AN21</formula>
    </cfRule>
    <cfRule type="cellIs" dxfId="162" priority="854" operator="greaterThanOrEqual">
      <formula>2</formula>
    </cfRule>
    <cfRule type="cellIs" dxfId="161" priority="855" operator="between">
      <formula>1.6</formula>
      <formula>2</formula>
    </cfRule>
  </conditionalFormatting>
  <conditionalFormatting sqref="AN36">
    <cfRule type="cellIs" dxfId="160" priority="650" operator="between">
      <formula>1.6</formula>
      <formula>2</formula>
    </cfRule>
    <cfRule type="expression" dxfId="159" priority="645">
      <formula>AN$9&gt;$C$7</formula>
    </cfRule>
    <cfRule type="cellIs" dxfId="158" priority="651" operator="greaterThanOrEqual">
      <formula>0.6</formula>
    </cfRule>
    <cfRule type="expression" dxfId="157" priority="642">
      <formula>AN35=""</formula>
    </cfRule>
    <cfRule type="cellIs" dxfId="156" priority="643" operator="lessThan">
      <formula>AN35</formula>
    </cfRule>
    <cfRule type="cellIs" dxfId="155" priority="644" operator="greaterThanOrEqual">
      <formula>AN35</formula>
    </cfRule>
    <cfRule type="expression" dxfId="154" priority="646">
      <formula>AN35=""</formula>
    </cfRule>
    <cfRule type="cellIs" dxfId="153" priority="647" operator="lessThan">
      <formula>AN35</formula>
    </cfRule>
    <cfRule type="cellIs" dxfId="152" priority="648" operator="greaterThanOrEqual">
      <formula>AN35</formula>
    </cfRule>
    <cfRule type="cellIs" dxfId="151" priority="649" operator="greaterThanOrEqual">
      <formula>2</formula>
    </cfRule>
  </conditionalFormatting>
  <conditionalFormatting sqref="AN43 AN50 AN57 AN64 AN71 AN78 AN85 AN92 AN99 AN106">
    <cfRule type="cellIs" dxfId="150" priority="637" operator="lessThan">
      <formula>AN42</formula>
    </cfRule>
    <cfRule type="expression" dxfId="149" priority="632">
      <formula>AN42=""</formula>
    </cfRule>
    <cfRule type="cellIs" dxfId="148" priority="633" operator="lessThan">
      <formula>AN42</formula>
    </cfRule>
    <cfRule type="cellIs" dxfId="147" priority="638" operator="greaterThanOrEqual">
      <formula>AN42</formula>
    </cfRule>
    <cfRule type="cellIs" dxfId="146" priority="639" operator="greaterThanOrEqual">
      <formula>2</formula>
    </cfRule>
    <cfRule type="cellIs" dxfId="145" priority="640" operator="between">
      <formula>1.6</formula>
      <formula>2</formula>
    </cfRule>
    <cfRule type="cellIs" dxfId="144" priority="634" operator="greaterThanOrEqual">
      <formula>AN42</formula>
    </cfRule>
    <cfRule type="expression" dxfId="143" priority="635">
      <formula>AN$9&gt;$C$7</formula>
    </cfRule>
    <cfRule type="expression" dxfId="142" priority="636">
      <formula>AN42=""</formula>
    </cfRule>
    <cfRule type="cellIs" dxfId="141" priority="641" operator="greaterThanOrEqual">
      <formula>0.6</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83B6C-D58D-4AAC-9E02-D53A7AB0ED7A}">
  <dimension ref="A1:K111"/>
  <sheetViews>
    <sheetView topLeftCell="A127" workbookViewId="0">
      <selection activeCell="D140" sqref="D140"/>
    </sheetView>
  </sheetViews>
  <sheetFormatPr defaultColWidth="8.7109375" defaultRowHeight="13.5" x14ac:dyDescent="0.25"/>
  <cols>
    <col min="1" max="1" width="4.42578125" style="947" customWidth="1"/>
    <col min="2" max="2" width="42" style="947" customWidth="1"/>
    <col min="3" max="3" width="4" style="947" customWidth="1"/>
    <col min="4" max="4" width="16.7109375" style="947" customWidth="1"/>
    <col min="5" max="5" width="1.7109375" style="252" customWidth="1"/>
    <col min="6" max="6" width="16.7109375" style="947" customWidth="1"/>
    <col min="7" max="7" width="1.7109375" style="252" customWidth="1"/>
    <col min="8" max="8" width="16.7109375" style="252" customWidth="1"/>
    <col min="9" max="9" width="1.7109375" style="252" customWidth="1"/>
    <col min="10" max="10" width="16.7109375" style="252" hidden="1" customWidth="1"/>
    <col min="11" max="11" width="8.7109375" style="252"/>
    <col min="12" max="12" width="14.7109375" style="252" customWidth="1"/>
    <col min="13" max="13" width="1.7109375" style="252" customWidth="1"/>
    <col min="14" max="14" width="11.42578125" style="252" customWidth="1"/>
    <col min="15" max="16384" width="8.7109375" style="252"/>
  </cols>
  <sheetData>
    <row r="1" spans="1:11" x14ac:dyDescent="0.25">
      <c r="A1" s="946" t="s">
        <v>221</v>
      </c>
    </row>
    <row r="2" spans="1:11" x14ac:dyDescent="0.25">
      <c r="A2" s="946" t="s">
        <v>402</v>
      </c>
      <c r="B2" s="948"/>
      <c r="C2" s="946"/>
    </row>
    <row r="3" spans="1:11" x14ac:dyDescent="0.25">
      <c r="A3" s="946" t="str">
        <f>[14]Dashboard!A4</f>
        <v>v2</v>
      </c>
      <c r="B3" s="946"/>
      <c r="C3" s="946"/>
      <c r="D3" s="252"/>
      <c r="F3" s="252"/>
    </row>
    <row r="4" spans="1:11" x14ac:dyDescent="0.25">
      <c r="A4" s="946"/>
      <c r="B4" s="949"/>
      <c r="C4" s="949"/>
      <c r="D4" s="1394">
        <f>INDEX('[14]2025'!Z6:AK6,'[14]2025'!$AL$5)</f>
        <v>45717</v>
      </c>
      <c r="F4" s="1394" t="str">
        <f>INDEX('[14]2025'!U6:X6,'[14]2025'!$Y$5)</f>
        <v>2025Q1</v>
      </c>
      <c r="H4" s="1395" t="s">
        <v>403</v>
      </c>
      <c r="J4" s="1395" t="s">
        <v>403</v>
      </c>
    </row>
    <row r="5" spans="1:11" x14ac:dyDescent="0.25">
      <c r="A5" s="950"/>
      <c r="B5" s="951" t="s">
        <v>404</v>
      </c>
      <c r="C5" s="949"/>
    </row>
    <row r="6" spans="1:11" x14ac:dyDescent="0.25">
      <c r="B6" s="952" t="s">
        <v>405</v>
      </c>
      <c r="D6" s="1396">
        <f>SUM(D7:D8)</f>
        <v>0</v>
      </c>
      <c r="F6" s="1396">
        <f>SUM(F7:F8)</f>
        <v>0</v>
      </c>
      <c r="H6" s="1396">
        <f>SUM(H7:H8)</f>
        <v>0</v>
      </c>
      <c r="J6" s="1396">
        <f>SUM(J7:J8)</f>
        <v>0</v>
      </c>
    </row>
    <row r="7" spans="1:11" s="185" customFormat="1" x14ac:dyDescent="0.25">
      <c r="A7" s="953"/>
      <c r="B7" s="1397" t="s">
        <v>406</v>
      </c>
      <c r="C7" s="953"/>
      <c r="D7" s="1398">
        <f>D10</f>
        <v>0</v>
      </c>
      <c r="E7" s="185">
        <f t="shared" ref="E7" si="0">E10</f>
        <v>0</v>
      </c>
      <c r="F7" s="1398">
        <f>F10</f>
        <v>0</v>
      </c>
      <c r="H7" s="1398">
        <f>H10</f>
        <v>0</v>
      </c>
      <c r="J7" s="1398">
        <f t="shared" ref="J7" si="1">J10</f>
        <v>0</v>
      </c>
    </row>
    <row r="8" spans="1:11" s="185" customFormat="1" x14ac:dyDescent="0.25">
      <c r="A8" s="953"/>
      <c r="B8" s="954" t="s">
        <v>407</v>
      </c>
      <c r="C8" s="953"/>
      <c r="D8" s="955">
        <f>INDEX('[14]2025'!Z29:AK29,'[14]2025'!$AL$5)</f>
        <v>0</v>
      </c>
      <c r="F8" s="955">
        <f>INDEX('[14]2025'!U29:X29,'[14]2025'!$Y$5)</f>
        <v>0</v>
      </c>
      <c r="H8" s="955">
        <f>'[14]2025'!AL29</f>
        <v>0</v>
      </c>
      <c r="J8" s="955">
        <f>'[14]2025'!AN29</f>
        <v>0</v>
      </c>
    </row>
    <row r="9" spans="1:11" x14ac:dyDescent="0.25">
      <c r="B9" s="956"/>
    </row>
    <row r="10" spans="1:11" x14ac:dyDescent="0.25">
      <c r="B10" s="952" t="s">
        <v>408</v>
      </c>
      <c r="D10" s="1399">
        <f>SUM(D11:D12)</f>
        <v>0</v>
      </c>
      <c r="F10" s="1399">
        <f>SUM(F11:F12)</f>
        <v>0</v>
      </c>
      <c r="H10" s="1399">
        <f>SUM(H11:H12)</f>
        <v>0</v>
      </c>
      <c r="J10" s="1399">
        <f>SUM(J11:J12)</f>
        <v>0</v>
      </c>
    </row>
    <row r="11" spans="1:11" s="185" customFormat="1" x14ac:dyDescent="0.25">
      <c r="A11" s="953"/>
      <c r="B11" s="1400" t="s">
        <v>409</v>
      </c>
      <c r="C11" s="953"/>
      <c r="D11" s="1401">
        <f>INDEX('[14]2025'!Z9:AK9,'[14]2025'!$AL$5)</f>
        <v>0</v>
      </c>
      <c r="F11" s="1401">
        <f>INDEX('[14]2025'!U9:X9,'[14]2025'!$Y$5)</f>
        <v>0</v>
      </c>
      <c r="H11" s="1401">
        <f>'[14]2025'!AL9</f>
        <v>0</v>
      </c>
      <c r="J11" s="1401">
        <f>'[14]2025'!AN9</f>
        <v>0</v>
      </c>
    </row>
    <row r="12" spans="1:11" s="185" customFormat="1" x14ac:dyDescent="0.25">
      <c r="A12" s="953"/>
      <c r="B12" s="954" t="s">
        <v>410</v>
      </c>
      <c r="C12" s="953"/>
      <c r="D12" s="957">
        <f>INDEX('[14]2025'!Z14:AK14,'[14]2025'!$AL$5)</f>
        <v>0</v>
      </c>
      <c r="F12" s="957">
        <f>INDEX('[14]2025'!U14:X14,'[14]2025'!$Y$5)</f>
        <v>0</v>
      </c>
      <c r="H12" s="957">
        <f>'[14]2025'!AL14</f>
        <v>0</v>
      </c>
      <c r="J12" s="957">
        <f>'[14]2025'!AN14</f>
        <v>0</v>
      </c>
    </row>
    <row r="13" spans="1:11" x14ac:dyDescent="0.25">
      <c r="B13" s="956"/>
    </row>
    <row r="14" spans="1:11" x14ac:dyDescent="0.25">
      <c r="B14" s="952" t="s">
        <v>411</v>
      </c>
      <c r="D14" s="958"/>
      <c r="F14" s="958"/>
      <c r="H14" s="958"/>
      <c r="J14" s="958"/>
    </row>
    <row r="15" spans="1:11" s="185" customFormat="1" x14ac:dyDescent="0.25">
      <c r="A15" s="953"/>
      <c r="B15" s="1402" t="s">
        <v>412</v>
      </c>
      <c r="C15" s="953"/>
      <c r="D15" s="1403">
        <f>IFERROR(D7/D8,0)</f>
        <v>0</v>
      </c>
      <c r="E15" s="959"/>
      <c r="F15" s="1403">
        <f>IFERROR(F7/F8,0)</f>
        <v>0</v>
      </c>
      <c r="G15" s="959"/>
      <c r="H15" s="1403">
        <f>IFERROR(H7/H8,0)</f>
        <v>0</v>
      </c>
      <c r="I15" s="959"/>
      <c r="J15" s="1403">
        <f>IFERROR(J7/J8,0)</f>
        <v>0</v>
      </c>
      <c r="K15" s="185" t="s">
        <v>348</v>
      </c>
    </row>
    <row r="17" spans="2:10" x14ac:dyDescent="0.25">
      <c r="B17" s="952" t="s">
        <v>413</v>
      </c>
      <c r="D17" s="1399">
        <f>SUM(D18:D19)</f>
        <v>0</v>
      </c>
      <c r="F17" s="1399">
        <f>SUM(F18:F19)</f>
        <v>0</v>
      </c>
      <c r="H17" s="1396">
        <f>SUM(H18:H19)</f>
        <v>0</v>
      </c>
      <c r="J17" s="1396">
        <f>SUM(J18:J19)</f>
        <v>0</v>
      </c>
    </row>
    <row r="18" spans="2:10" s="185" customFormat="1" x14ac:dyDescent="0.25">
      <c r="B18" s="1400" t="s">
        <v>409</v>
      </c>
      <c r="C18" s="953"/>
      <c r="D18" s="1398">
        <f>INDEX('[14]2025'!Z19:AK19,'[14]2025'!$AL$5)</f>
        <v>0</v>
      </c>
      <c r="F18" s="1398">
        <f>INDEX('[14]2025'!U19:X19,'[14]2025'!$Y$5)</f>
        <v>0</v>
      </c>
      <c r="H18" s="1401">
        <f>+'[14]2025'!AL19</f>
        <v>0</v>
      </c>
      <c r="J18" s="1401">
        <f>+'[14]2025'!AN19</f>
        <v>0</v>
      </c>
    </row>
    <row r="19" spans="2:10" s="185" customFormat="1" x14ac:dyDescent="0.25">
      <c r="B19" s="954" t="s">
        <v>410</v>
      </c>
      <c r="C19" s="953"/>
      <c r="D19" s="960">
        <f>INDEX('[14]2025'!Z24:AK24,'[14]2025'!$AL$5)</f>
        <v>0</v>
      </c>
      <c r="F19" s="960">
        <f>INDEX('[14]2025'!U24:X24,'[14]2025'!$Y$5)</f>
        <v>0</v>
      </c>
      <c r="H19" s="957">
        <f>+'[14]2025'!AL24</f>
        <v>0</v>
      </c>
      <c r="J19" s="957">
        <f>+'[14]2025'!AN24</f>
        <v>0</v>
      </c>
    </row>
    <row r="20" spans="2:10" x14ac:dyDescent="0.25">
      <c r="B20" s="956"/>
    </row>
    <row r="21" spans="2:10" x14ac:dyDescent="0.25">
      <c r="B21" s="952" t="s">
        <v>414</v>
      </c>
      <c r="D21" s="1399">
        <f>SUM(D22:D24)</f>
        <v>25736</v>
      </c>
      <c r="F21" s="1399">
        <f>SUM(F22:F24)</f>
        <v>68897.36</v>
      </c>
      <c r="H21" s="1399">
        <f>SUM(H22:H24)</f>
        <v>68897.36</v>
      </c>
      <c r="J21" s="1399">
        <f>SUM(J22:J24)</f>
        <v>0</v>
      </c>
    </row>
    <row r="22" spans="2:10" s="185" customFormat="1" x14ac:dyDescent="0.25">
      <c r="B22" s="1397" t="s">
        <v>412</v>
      </c>
      <c r="C22" s="953"/>
      <c r="D22" s="1398">
        <f>INDEX('[14]2025'!Z34:AK34,'[14]2025'!$AL$5)</f>
        <v>0</v>
      </c>
      <c r="F22" s="1398">
        <f>INDEX('[14]2025'!U34:X34,'[14]2025'!$Y$5)</f>
        <v>0</v>
      </c>
      <c r="H22" s="1401">
        <f>+'[14]2025'!AL34</f>
        <v>0</v>
      </c>
      <c r="J22" s="1401">
        <f>+'[14]2025'!AN34</f>
        <v>0</v>
      </c>
    </row>
    <row r="23" spans="2:10" s="185" customFormat="1" x14ac:dyDescent="0.25">
      <c r="B23" s="961" t="s">
        <v>415</v>
      </c>
      <c r="C23" s="953"/>
      <c r="D23" s="962">
        <f>INDEX('[14]2025'!Z50:AK50,'[14]2025'!$AL$5)</f>
        <v>24786</v>
      </c>
      <c r="F23" s="962">
        <f>INDEX('[14]2025'!U50:X50,'[14]2025'!$Y$5)</f>
        <v>67107.312000000005</v>
      </c>
      <c r="H23" s="962">
        <f>+'[14]2025'!AL50</f>
        <v>67107.312000000005</v>
      </c>
      <c r="J23" s="962">
        <f>+'[14]2025'!AN50</f>
        <v>0</v>
      </c>
    </row>
    <row r="24" spans="2:10" s="185" customFormat="1" x14ac:dyDescent="0.25">
      <c r="B24" s="954" t="s">
        <v>416</v>
      </c>
      <c r="C24" s="953"/>
      <c r="D24" s="960">
        <f>INDEX('[14]2025'!Z76:AK76,'[14]2025'!$AL$5)</f>
        <v>950</v>
      </c>
      <c r="F24" s="960">
        <f>INDEX('[14]2025'!U76:X76,'[14]2025'!$Y$5)</f>
        <v>1790.048</v>
      </c>
      <c r="H24" s="957">
        <f>+'[14]2025'!AL76</f>
        <v>1790.048</v>
      </c>
      <c r="J24" s="957">
        <f>+'[14]2025'!AN76</f>
        <v>0</v>
      </c>
    </row>
    <row r="25" spans="2:10" x14ac:dyDescent="0.25">
      <c r="B25" s="956"/>
    </row>
    <row r="26" spans="2:10" x14ac:dyDescent="0.25">
      <c r="B26" s="952" t="s">
        <v>417</v>
      </c>
      <c r="D26" s="1404">
        <f>IFERROR(SUMPRODUCT(D22:D24,D27:D29)/D21,0)</f>
        <v>2.3308385141436121</v>
      </c>
      <c r="F26" s="1404">
        <f>IFERROR(SUMPRODUCT(F22:F24,F27:F29)/F21,0)</f>
        <v>2.2524426294418252</v>
      </c>
      <c r="H26" s="1404">
        <f>IFERROR(SUMPRODUCT(H22:H24,H27:H29)/H21,0)</f>
        <v>2.2524426294418252</v>
      </c>
      <c r="J26" s="1404">
        <f>IFERROR(SUMPRODUCT(J22:J24,J27:J29)/J21,0)</f>
        <v>0</v>
      </c>
    </row>
    <row r="27" spans="2:10" s="185" customFormat="1" x14ac:dyDescent="0.25">
      <c r="B27" s="1397" t="s">
        <v>412</v>
      </c>
      <c r="C27" s="953"/>
      <c r="D27" s="1405">
        <f>INDEX('[14]2025'!Z39:AK39,'[14]2025'!$AL$5)</f>
        <v>0</v>
      </c>
      <c r="F27" s="1405">
        <f>INDEX('[14]2025'!U39:X39,'[14]2025'!$Y$5)</f>
        <v>0</v>
      </c>
      <c r="H27" s="1406">
        <f>+'[14]2025'!AL39</f>
        <v>0</v>
      </c>
      <c r="J27" s="1406">
        <f>+'[14]2025'!AN39</f>
        <v>0</v>
      </c>
    </row>
    <row r="28" spans="2:10" s="185" customFormat="1" x14ac:dyDescent="0.25">
      <c r="B28" s="961" t="s">
        <v>415</v>
      </c>
      <c r="C28" s="953"/>
      <c r="D28" s="963">
        <f>INDEX('[14]2025'!Z55:AK55,'[14]2025'!$AL$5)</f>
        <v>2.36</v>
      </c>
      <c r="E28" s="964"/>
      <c r="F28" s="963">
        <f>INDEX('[14]2025'!U55:X55,'[14]2025'!$Y$5)</f>
        <v>2.268283003199413</v>
      </c>
      <c r="G28" s="964"/>
      <c r="H28" s="963">
        <f>+'[14]2025'!AL55</f>
        <v>2.268283003199413</v>
      </c>
      <c r="I28" s="964"/>
      <c r="J28" s="963">
        <f>+'[14]2025'!AN55</f>
        <v>0</v>
      </c>
    </row>
    <row r="29" spans="2:10" s="185" customFormat="1" x14ac:dyDescent="0.25">
      <c r="B29" s="954" t="s">
        <v>416</v>
      </c>
      <c r="C29" s="953"/>
      <c r="D29" s="965">
        <f>INDEX('[14]2025'!Z81:AK81,'[14]2025'!$AL$5)</f>
        <v>1.57</v>
      </c>
      <c r="E29" s="964"/>
      <c r="F29" s="965">
        <f>INDEX('[14]2025'!U81:X81,'[14]2025'!$Y$5)</f>
        <v>1.6586010654462897</v>
      </c>
      <c r="G29" s="964"/>
      <c r="H29" s="966">
        <f>+'[14]2025'!AL81</f>
        <v>1.6586010654462897</v>
      </c>
      <c r="I29" s="964"/>
      <c r="J29" s="966">
        <f>+'[14]2025'!AN81</f>
        <v>0</v>
      </c>
    </row>
    <row r="30" spans="2:10" x14ac:dyDescent="0.25">
      <c r="E30" s="947"/>
      <c r="G30" s="947"/>
      <c r="I30" s="947"/>
    </row>
    <row r="31" spans="2:10" x14ac:dyDescent="0.25">
      <c r="B31" s="952" t="s">
        <v>418</v>
      </c>
      <c r="D31" s="1407">
        <f>SUM(D32:D34)</f>
        <v>59.986460000000001</v>
      </c>
      <c r="F31" s="1407">
        <f>SUM(F32:F34)</f>
        <v>155.18735071999998</v>
      </c>
      <c r="H31" s="1407">
        <f>SUM(H32:H34)</f>
        <v>155.18735071999998</v>
      </c>
      <c r="J31" s="1407">
        <f>SUM(J32:J34)</f>
        <v>0</v>
      </c>
    </row>
    <row r="32" spans="2:10" s="185" customFormat="1" x14ac:dyDescent="0.25">
      <c r="B32" s="1397" t="s">
        <v>412</v>
      </c>
      <c r="C32" s="953"/>
      <c r="D32" s="1408">
        <f>INDEX('[14]2025'!Z44:AK44,'[14]2025'!$AL$5)</f>
        <v>0</v>
      </c>
      <c r="F32" s="1408">
        <f>INDEX('[14]2025'!U44:X44,'[14]2025'!$Y$5)</f>
        <v>0</v>
      </c>
      <c r="H32" s="1409">
        <f>+'[14]2025'!AL44</f>
        <v>0</v>
      </c>
      <c r="J32" s="1409">
        <f>+'[14]2025'!AN44</f>
        <v>0</v>
      </c>
    </row>
    <row r="33" spans="2:10" s="185" customFormat="1" x14ac:dyDescent="0.25">
      <c r="B33" s="961" t="s">
        <v>415</v>
      </c>
      <c r="C33" s="953"/>
      <c r="D33" s="967">
        <f>INDEX('[14]2025'!Z60:AK60,'[14]2025'!$AL$5)</f>
        <v>58.494959999999999</v>
      </c>
      <c r="E33" s="968"/>
      <c r="F33" s="967">
        <f>INDEX('[14]2025'!U60:X60,'[14]2025'!$Y$5)</f>
        <v>152.2183752</v>
      </c>
      <c r="G33" s="968"/>
      <c r="H33" s="967">
        <f>+'[14]2025'!AL60</f>
        <v>152.2183752</v>
      </c>
      <c r="I33" s="968"/>
      <c r="J33" s="967">
        <f>+'[14]2025'!AN60</f>
        <v>0</v>
      </c>
    </row>
    <row r="34" spans="2:10" s="185" customFormat="1" x14ac:dyDescent="0.25">
      <c r="B34" s="954" t="s">
        <v>416</v>
      </c>
      <c r="C34" s="953"/>
      <c r="D34" s="969">
        <f>INDEX('[14]2025'!Z86:AK86,'[14]2025'!$AL$5)</f>
        <v>1.4915</v>
      </c>
      <c r="E34" s="968"/>
      <c r="F34" s="969">
        <f>INDEX('[14]2025'!U86:X86,'[14]2025'!$Y$5)</f>
        <v>2.9689755199999999</v>
      </c>
      <c r="G34" s="968"/>
      <c r="H34" s="970">
        <f>+'[14]2025'!AL86</f>
        <v>2.9689755199999999</v>
      </c>
      <c r="I34" s="968"/>
      <c r="J34" s="970">
        <f>+'[14]2025'!AN86</f>
        <v>0</v>
      </c>
    </row>
    <row r="35" spans="2:10" x14ac:dyDescent="0.25">
      <c r="E35" s="947"/>
      <c r="G35" s="947"/>
      <c r="I35" s="947"/>
    </row>
    <row r="36" spans="2:10" x14ac:dyDescent="0.25">
      <c r="B36" s="952" t="s">
        <v>419</v>
      </c>
      <c r="D36" s="1396">
        <f>SUM(D37:D38)</f>
        <v>886.2</v>
      </c>
      <c r="F36" s="1396">
        <f>SUM(F37:F38)</f>
        <v>2195.3000000000002</v>
      </c>
      <c r="H36" s="1396">
        <f>SUM(H37:H38)</f>
        <v>2195.3000000000002</v>
      </c>
      <c r="J36" s="1396">
        <f>SUM(J37:J38)</f>
        <v>0</v>
      </c>
    </row>
    <row r="37" spans="2:10" s="185" customFormat="1" x14ac:dyDescent="0.25">
      <c r="B37" s="1397" t="s">
        <v>420</v>
      </c>
      <c r="C37" s="953"/>
      <c r="D37" s="1398">
        <f>INDEX('[14]2025'!Z65:AK65,'[14]2025'!$AL$5)</f>
        <v>886.2</v>
      </c>
      <c r="F37" s="1398">
        <f>INDEX('[14]2025'!U65:X65,'[14]2025'!$Y$5)</f>
        <v>2195.3000000000002</v>
      </c>
      <c r="H37" s="1398">
        <f>+'[14]2025'!AL65</f>
        <v>2195.3000000000002</v>
      </c>
      <c r="J37" s="1398">
        <f>+'[14]2025'!AN65</f>
        <v>0</v>
      </c>
    </row>
    <row r="38" spans="2:10" s="185" customFormat="1" x14ac:dyDescent="0.25">
      <c r="B38" s="954" t="s">
        <v>421</v>
      </c>
      <c r="C38" s="953"/>
      <c r="D38" s="960">
        <f>INDEX('[14]2025'!Z70:AK70,'[14]2025'!$AL$5)</f>
        <v>0</v>
      </c>
      <c r="F38" s="960">
        <f>INDEX('[14]2025'!U70:X70,'[14]2025'!$Y$5)</f>
        <v>0</v>
      </c>
      <c r="H38" s="955">
        <f>+'[14]2025'!AL70</f>
        <v>0</v>
      </c>
      <c r="J38" s="955">
        <f>+'[14]2025'!AN70</f>
        <v>0</v>
      </c>
    </row>
    <row r="39" spans="2:10" x14ac:dyDescent="0.25">
      <c r="E39" s="947"/>
      <c r="G39" s="947"/>
      <c r="I39" s="947"/>
    </row>
    <row r="40" spans="2:10" x14ac:dyDescent="0.25">
      <c r="B40" s="951" t="s">
        <v>422</v>
      </c>
      <c r="C40" s="949"/>
    </row>
    <row r="41" spans="2:10" x14ac:dyDescent="0.25">
      <c r="B41" s="952" t="s">
        <v>423</v>
      </c>
      <c r="D41" s="1396">
        <f>SUM(D44:D45)</f>
        <v>2090</v>
      </c>
      <c r="F41" s="1396">
        <f>SUM(F44:F45)</f>
        <v>7016</v>
      </c>
      <c r="H41" s="1396">
        <f>SUM(H44:H45)</f>
        <v>7016</v>
      </c>
      <c r="J41" s="1396">
        <f>SUM(J44:J45)</f>
        <v>0</v>
      </c>
    </row>
    <row r="42" spans="2:10" s="185" customFormat="1" x14ac:dyDescent="0.25">
      <c r="B42" s="1397" t="s">
        <v>424</v>
      </c>
      <c r="C42" s="953"/>
      <c r="D42" s="1398">
        <f>INDEX('[14]2025'!Z133:AK133,'[14]2025'!$AL$5)</f>
        <v>1073</v>
      </c>
      <c r="F42" s="1398">
        <f>INDEX('[14]2025'!U133:X133,'[14]2025'!$Y$5)</f>
        <v>3979</v>
      </c>
      <c r="H42" s="1398">
        <f>+'[14]2025'!AL133</f>
        <v>3979</v>
      </c>
      <c r="J42" s="1398">
        <f>+'[14]2025'!AN133</f>
        <v>0</v>
      </c>
    </row>
    <row r="43" spans="2:10" s="185" customFormat="1" x14ac:dyDescent="0.25">
      <c r="B43" s="961" t="s">
        <v>425</v>
      </c>
      <c r="C43" s="953"/>
      <c r="D43" s="962">
        <f>INDEX('[14]2025'!Z138:AK138,'[14]2025'!$AL$5)</f>
        <v>599</v>
      </c>
      <c r="F43" s="962">
        <f>INDEX('[14]2025'!U138:X138,'[14]2025'!$Y$5)</f>
        <v>1720</v>
      </c>
      <c r="H43" s="962">
        <f>+'[14]2025'!AL138</f>
        <v>1720</v>
      </c>
      <c r="J43" s="962">
        <f>+'[14]2025'!AN138</f>
        <v>0</v>
      </c>
    </row>
    <row r="44" spans="2:10" s="185" customFormat="1" x14ac:dyDescent="0.25">
      <c r="B44" s="971" t="s">
        <v>426</v>
      </c>
      <c r="C44" s="972"/>
      <c r="D44" s="973">
        <f>SUM(D42:D43)</f>
        <v>1672</v>
      </c>
      <c r="E44" s="974"/>
      <c r="F44" s="973">
        <f>SUM(F42:F43)</f>
        <v>5699</v>
      </c>
      <c r="G44" s="974"/>
      <c r="H44" s="973">
        <f>SUM(H42:H43)</f>
        <v>5699</v>
      </c>
      <c r="I44" s="974"/>
      <c r="J44" s="973">
        <f>SUM(J42:J43)</f>
        <v>0</v>
      </c>
    </row>
    <row r="45" spans="2:10" s="185" customFormat="1" x14ac:dyDescent="0.25">
      <c r="B45" s="954" t="s">
        <v>427</v>
      </c>
      <c r="C45" s="953"/>
      <c r="D45" s="960">
        <f>INDEX('[14]2025'!Z128:AK128,'[14]2025'!$AL$5)</f>
        <v>418</v>
      </c>
      <c r="F45" s="960">
        <f>INDEX('[14]2025'!U128:X128,'[14]2025'!$Y$5)</f>
        <v>1317</v>
      </c>
      <c r="H45" s="955">
        <f>+'[14]2025'!AL128</f>
        <v>1317</v>
      </c>
      <c r="J45" s="955">
        <f>+'[14]2025'!AN128</f>
        <v>0</v>
      </c>
    </row>
    <row r="46" spans="2:10" x14ac:dyDescent="0.25">
      <c r="E46" s="947"/>
      <c r="G46" s="947"/>
      <c r="I46" s="947"/>
    </row>
    <row r="47" spans="2:10" x14ac:dyDescent="0.25">
      <c r="B47" s="952" t="s">
        <v>428</v>
      </c>
      <c r="D47" s="1396">
        <f>SUM(D50:D51)</f>
        <v>644</v>
      </c>
      <c r="F47" s="1396">
        <f>SUM(F50:F51)</f>
        <v>1912</v>
      </c>
      <c r="H47" s="1396">
        <f>SUM(H50:H51)</f>
        <v>1912</v>
      </c>
      <c r="J47" s="1396">
        <f>SUM(J50:J51)</f>
        <v>0</v>
      </c>
    </row>
    <row r="48" spans="2:10" s="185" customFormat="1" x14ac:dyDescent="0.25">
      <c r="B48" s="1397" t="s">
        <v>429</v>
      </c>
      <c r="C48" s="953"/>
      <c r="D48" s="1398">
        <f>INDEX('[14]2025'!Z118:AK118,'[14]2025'!$AL$5)</f>
        <v>0</v>
      </c>
      <c r="F48" s="1398">
        <f>INDEX('[14]2025'!U118:X118,'[14]2025'!$Y$5)</f>
        <v>0</v>
      </c>
      <c r="H48" s="1398">
        <f>+'[14]2025'!AL118</f>
        <v>0</v>
      </c>
      <c r="J48" s="1398">
        <f>+'[14]2025'!AN118</f>
        <v>0</v>
      </c>
    </row>
    <row r="49" spans="2:10" s="185" customFormat="1" x14ac:dyDescent="0.25">
      <c r="B49" s="961" t="s">
        <v>430</v>
      </c>
      <c r="C49" s="953"/>
      <c r="D49" s="962">
        <f>INDEX('[14]2025'!Z123:AK123,'[14]2025'!$AL$5)</f>
        <v>226</v>
      </c>
      <c r="F49" s="962">
        <f>INDEX('[14]2025'!U123:X123,'[14]2025'!$Y$5)</f>
        <v>595</v>
      </c>
      <c r="H49" s="962">
        <f>+'[14]2025'!AL123</f>
        <v>595</v>
      </c>
      <c r="J49" s="962">
        <f>+'[14]2025'!AN123</f>
        <v>0</v>
      </c>
    </row>
    <row r="50" spans="2:10" s="185" customFormat="1" x14ac:dyDescent="0.25">
      <c r="B50" s="971" t="s">
        <v>431</v>
      </c>
      <c r="C50" s="972"/>
      <c r="D50" s="973">
        <f>SUM(D48:D49)</f>
        <v>226</v>
      </c>
      <c r="E50" s="974"/>
      <c r="F50" s="973">
        <f>SUM(F48:F49)</f>
        <v>595</v>
      </c>
      <c r="G50" s="974"/>
      <c r="H50" s="973">
        <f>SUM(H48:H49)</f>
        <v>595</v>
      </c>
      <c r="I50" s="974"/>
      <c r="J50" s="973">
        <f>SUM(J48:J49)</f>
        <v>0</v>
      </c>
    </row>
    <row r="51" spans="2:10" s="185" customFormat="1" x14ac:dyDescent="0.25">
      <c r="B51" s="954" t="s">
        <v>432</v>
      </c>
      <c r="C51" s="953"/>
      <c r="D51" s="960">
        <f>INDEX('[14]2025'!Z128:AK128,'[14]2025'!$AL$5)</f>
        <v>418</v>
      </c>
      <c r="F51" s="960">
        <f>INDEX('[14]2025'!U128:X128,'[14]2025'!$Y$5)</f>
        <v>1317</v>
      </c>
      <c r="H51" s="955">
        <f>+'[14]2025'!AL128</f>
        <v>1317</v>
      </c>
      <c r="J51" s="955">
        <f>+'[14]2025'!AN128</f>
        <v>0</v>
      </c>
    </row>
    <row r="52" spans="2:10" x14ac:dyDescent="0.25">
      <c r="E52" s="947"/>
      <c r="G52" s="947"/>
      <c r="I52" s="947"/>
    </row>
    <row r="53" spans="2:10" x14ac:dyDescent="0.25">
      <c r="B53" s="952" t="s">
        <v>433</v>
      </c>
      <c r="D53" s="1396">
        <f>SUM(D54:D55)</f>
        <v>1446</v>
      </c>
      <c r="F53" s="1396">
        <f>SUM(F54:F55)</f>
        <v>5104</v>
      </c>
      <c r="H53" s="1396">
        <f>SUM(H54:H55)</f>
        <v>5104</v>
      </c>
      <c r="J53" s="1396">
        <f>SUM(J54:J55)</f>
        <v>0</v>
      </c>
    </row>
    <row r="54" spans="2:10" s="185" customFormat="1" x14ac:dyDescent="0.25">
      <c r="B54" s="1397" t="s">
        <v>434</v>
      </c>
      <c r="C54" s="953"/>
      <c r="D54" s="1398">
        <f>INDEX('[14]2025'!Z108:AK108,'[14]2025'!$AL$5)</f>
        <v>1073</v>
      </c>
      <c r="F54" s="1398">
        <f>INDEX('[14]2025'!U108:X108,'[14]2025'!$Y$5)</f>
        <v>3979</v>
      </c>
      <c r="H54" s="1398">
        <f>+'[14]2025'!AL108</f>
        <v>3979</v>
      </c>
      <c r="J54" s="1398">
        <f>+'[14]2025'!AN108</f>
        <v>0</v>
      </c>
    </row>
    <row r="55" spans="2:10" s="185" customFormat="1" x14ac:dyDescent="0.25">
      <c r="B55" s="954" t="s">
        <v>435</v>
      </c>
      <c r="C55" s="953"/>
      <c r="D55" s="960">
        <f>INDEX('[14]2025'!Z113:AK113,'[14]2025'!$AL$5)</f>
        <v>373</v>
      </c>
      <c r="F55" s="960">
        <f>INDEX('[14]2025'!U113:X113,'[14]2025'!$Y$5)</f>
        <v>1125</v>
      </c>
      <c r="H55" s="955">
        <f>+'[14]2025'!AL113</f>
        <v>1125</v>
      </c>
      <c r="J55" s="955">
        <f>+'[14]2025'!AN113</f>
        <v>0</v>
      </c>
    </row>
    <row r="56" spans="2:10" x14ac:dyDescent="0.25">
      <c r="E56" s="947"/>
      <c r="G56" s="947"/>
      <c r="I56" s="947"/>
    </row>
    <row r="57" spans="2:10" x14ac:dyDescent="0.25">
      <c r="B57" s="951" t="s">
        <v>436</v>
      </c>
      <c r="C57" s="949"/>
    </row>
    <row r="58" spans="2:10" x14ac:dyDescent="0.25">
      <c r="B58" s="952" t="s">
        <v>437</v>
      </c>
      <c r="E58" s="947"/>
      <c r="G58" s="947"/>
      <c r="H58" s="947"/>
      <c r="I58" s="947"/>
      <c r="J58" s="947"/>
    </row>
    <row r="59" spans="2:10" x14ac:dyDescent="0.25">
      <c r="B59" s="1410" t="s">
        <v>1</v>
      </c>
      <c r="D59" s="1411">
        <f>INDEX('[14]2025'!Z150:AK150,'[14]2025'!$AL$5)</f>
        <v>20705</v>
      </c>
      <c r="F59" s="1411">
        <f>INDEX('[14]2025'!U150:X150,'[14]2025'!$Y$5)</f>
        <v>77843.546617</v>
      </c>
      <c r="H59" s="1411">
        <f>+'[14]2025'!AL150</f>
        <v>77843.546617</v>
      </c>
      <c r="J59" s="1411">
        <f>+'[14]2025'!AN150</f>
        <v>0</v>
      </c>
    </row>
    <row r="60" spans="2:10" x14ac:dyDescent="0.25">
      <c r="B60" s="975" t="s">
        <v>438</v>
      </c>
      <c r="D60" s="976">
        <f>INDEX('[14]2025'!Z155:AK155,'[14]2025'!$AL$5)</f>
        <v>2.7776837899499749</v>
      </c>
      <c r="F60" s="977">
        <f>INDEX('[14]2025'!U155:X155,'[14]2025'!$Y$5)</f>
        <v>2.0894041207505922</v>
      </c>
      <c r="H60" s="976">
        <f>+'[14]2025'!AL155</f>
        <v>2.0894041207505922</v>
      </c>
      <c r="J60" s="976">
        <f>+'[14]2025'!AN155</f>
        <v>0</v>
      </c>
    </row>
    <row r="61" spans="2:10" x14ac:dyDescent="0.25">
      <c r="E61" s="947"/>
      <c r="G61" s="947"/>
      <c r="I61" s="947"/>
    </row>
    <row r="62" spans="2:10" x14ac:dyDescent="0.25">
      <c r="B62" s="952" t="s">
        <v>439</v>
      </c>
      <c r="D62" s="1399">
        <f>INDEX('[14]2025'!Z165:AK165,'[14]2025'!$AL$5)</f>
        <v>22805.697</v>
      </c>
      <c r="F62" s="1399">
        <f>INDEX('[14]2025'!U165:X165,'[14]2025'!$Y$5)</f>
        <v>83753.646017000006</v>
      </c>
      <c r="H62" s="1399">
        <f>+'[14]2025'!AL165</f>
        <v>83753.646017000006</v>
      </c>
      <c r="J62" s="1399">
        <f>+'[14]2025'!AN165</f>
        <v>0</v>
      </c>
    </row>
    <row r="63" spans="2:10" s="185" customFormat="1" x14ac:dyDescent="0.25">
      <c r="B63" s="1397" t="s">
        <v>440</v>
      </c>
      <c r="C63" s="953"/>
      <c r="D63" s="1398">
        <f>INDEX('[14]2025'!Z180:AK180,'[14]2025'!$AL$5)</f>
        <v>0</v>
      </c>
      <c r="F63" s="1398">
        <f>INDEX('[14]2025'!U180:X180,'[14]2025'!$Y$5)</f>
        <v>234</v>
      </c>
      <c r="H63" s="1401">
        <f>+'[14]2025'!AL180</f>
        <v>234</v>
      </c>
      <c r="J63" s="1401">
        <f>+'[14]2025'!AN180</f>
        <v>0</v>
      </c>
    </row>
    <row r="64" spans="2:10" s="185" customFormat="1" x14ac:dyDescent="0.25">
      <c r="B64" s="961" t="s">
        <v>415</v>
      </c>
      <c r="C64" s="953"/>
      <c r="D64" s="962">
        <f>INDEX('[14]2025'!Z195:AK195,'[14]2025'!$AL$5)</f>
        <v>0</v>
      </c>
      <c r="F64" s="962">
        <f>INDEX('[14]2025'!U195:X195,'[14]2025'!$Y$5)</f>
        <v>42866</v>
      </c>
      <c r="H64" s="978">
        <f>+'[14]2025'!AL195</f>
        <v>42866</v>
      </c>
      <c r="J64" s="978">
        <f>+'[14]2025'!AN195</f>
        <v>0</v>
      </c>
    </row>
    <row r="65" spans="2:11" s="185" customFormat="1" x14ac:dyDescent="0.25">
      <c r="B65" s="954" t="s">
        <v>441</v>
      </c>
      <c r="C65" s="953"/>
      <c r="D65" s="960">
        <f>INDEX('[14]2025'!Z210:AK210,'[14]2025'!$AL$5)</f>
        <v>0</v>
      </c>
      <c r="F65" s="960">
        <f>INDEX('[14]2025'!U210:X210,'[14]2025'!$Y$5)</f>
        <v>17848</v>
      </c>
      <c r="H65" s="957">
        <f>+'[14]2025'!AL210</f>
        <v>17848</v>
      </c>
      <c r="J65" s="957">
        <f>+'[14]2025'!AN210</f>
        <v>0</v>
      </c>
    </row>
    <row r="66" spans="2:11" x14ac:dyDescent="0.25">
      <c r="B66" s="956"/>
    </row>
    <row r="67" spans="2:11" x14ac:dyDescent="0.25">
      <c r="B67" s="952" t="s">
        <v>442</v>
      </c>
      <c r="D67" s="1404">
        <f>INDEX('[14]2025'!Z170:AK170,'[14]2025'!$AL$5)</f>
        <v>2.7776837899499749</v>
      </c>
      <c r="F67" s="1404">
        <f>INDEX('[14]2025'!U170:X170,'[14]2025'!$Y$5)</f>
        <v>2.1079333117217374</v>
      </c>
      <c r="H67" s="1404">
        <f t="shared" ref="H67:J67" si="2">IFERROR(SUMPRODUCT(H63:H65,H68:H70)/H62,0)</f>
        <v>1.3498426083689856</v>
      </c>
      <c r="J67" s="1404">
        <f t="shared" si="2"/>
        <v>0</v>
      </c>
    </row>
    <row r="68" spans="2:11" s="185" customFormat="1" x14ac:dyDescent="0.25">
      <c r="B68" s="1397" t="s">
        <v>440</v>
      </c>
      <c r="C68" s="953"/>
      <c r="D68" s="1405">
        <f>INDEX('[14]2025'!Z185:AK185,'[14]2025'!$AL$5)</f>
        <v>0</v>
      </c>
      <c r="F68" s="1405">
        <f>INDEX('[14]2025'!U185:X185,'[14]2025'!$Y$5)</f>
        <v>1.1599999999999999</v>
      </c>
      <c r="H68" s="1406">
        <f>+'[14]2025'!AL185</f>
        <v>1.1599999999999999</v>
      </c>
      <c r="J68" s="1406">
        <f>+'[14]2025'!AN185</f>
        <v>0</v>
      </c>
    </row>
    <row r="69" spans="2:11" s="185" customFormat="1" x14ac:dyDescent="0.25">
      <c r="B69" s="961" t="s">
        <v>415</v>
      </c>
      <c r="C69" s="953"/>
      <c r="D69" s="963">
        <f>INDEX('[14]2025'!Z200:AK200,'[14]2025'!$AL$5)</f>
        <v>0</v>
      </c>
      <c r="F69" s="963">
        <f>INDEX('[14]2025'!U200:X200,'[14]2025'!$Y$5)</f>
        <v>2.2249829701861614</v>
      </c>
      <c r="H69" s="979">
        <f>+'[14]2025'!AL200</f>
        <v>2.2249829701861614</v>
      </c>
      <c r="J69" s="979">
        <f>+'[14]2025'!AN200</f>
        <v>0</v>
      </c>
    </row>
    <row r="70" spans="2:11" s="185" customFormat="1" x14ac:dyDescent="0.25">
      <c r="B70" s="954" t="s">
        <v>441</v>
      </c>
      <c r="C70" s="953"/>
      <c r="D70" s="965">
        <f>INDEX('[14]2025'!Z215:AK215,'[14]2025'!$AL$5)</f>
        <v>0</v>
      </c>
      <c r="F70" s="965">
        <f>INDEX('[14]2025'!U215:X215,'[14]2025'!$Y$5)</f>
        <v>0.97527341999103523</v>
      </c>
      <c r="H70" s="966">
        <f>+'[14]2025'!AL215</f>
        <v>0.97527341999103523</v>
      </c>
      <c r="J70" s="966">
        <f>+'[14]2025'!AN215</f>
        <v>0</v>
      </c>
    </row>
    <row r="71" spans="2:11" x14ac:dyDescent="0.25">
      <c r="B71" s="956"/>
    </row>
    <row r="72" spans="2:11" x14ac:dyDescent="0.25">
      <c r="B72" s="952" t="s">
        <v>443</v>
      </c>
      <c r="D72" s="1407">
        <f>SUM(D73:D75)</f>
        <v>0</v>
      </c>
      <c r="E72" s="980"/>
      <c r="F72" s="1407">
        <f>SUM(F73:F75)</f>
        <v>113.05423999999999</v>
      </c>
      <c r="G72" s="980"/>
      <c r="H72" s="1407">
        <f>SUM(H73:H74)</f>
        <v>95.647559999999999</v>
      </c>
      <c r="I72" s="980"/>
      <c r="J72" s="1407">
        <f>SUM(J73:J74)</f>
        <v>0</v>
      </c>
    </row>
    <row r="73" spans="2:11" s="185" customFormat="1" x14ac:dyDescent="0.25">
      <c r="B73" s="1397" t="s">
        <v>440</v>
      </c>
      <c r="C73" s="953"/>
      <c r="D73" s="1412">
        <f>INDEX('[14]2025'!Z190:AK190,'[14]2025'!$AL$5)</f>
        <v>0</v>
      </c>
      <c r="E73" s="968"/>
      <c r="F73" s="1412">
        <f>INDEX('[14]2025'!U190:X190,'[14]2025'!$Y$5)</f>
        <v>0.27144000000000001</v>
      </c>
      <c r="G73" s="968"/>
      <c r="H73" s="1409">
        <f>+'[14]2025'!AL190</f>
        <v>0.27144000000000001</v>
      </c>
      <c r="I73" s="968"/>
      <c r="J73" s="1409">
        <f>+'[14]2025'!AN190</f>
        <v>0</v>
      </c>
    </row>
    <row r="74" spans="2:11" s="185" customFormat="1" x14ac:dyDescent="0.25">
      <c r="B74" s="961" t="s">
        <v>415</v>
      </c>
      <c r="C74" s="953"/>
      <c r="D74" s="981">
        <f>INDEX('[14]2025'!Z205:AK205,'[14]2025'!$AL$5)</f>
        <v>0</v>
      </c>
      <c r="E74" s="968"/>
      <c r="F74" s="981">
        <f>INDEX('[14]2025'!U205:X205,'[14]2025'!$Y$5)</f>
        <v>95.37612</v>
      </c>
      <c r="G74" s="968"/>
      <c r="H74" s="982">
        <f>+'[14]2025'!AL205</f>
        <v>95.37612</v>
      </c>
      <c r="I74" s="968"/>
      <c r="J74" s="982">
        <f>+'[14]2025'!AN205</f>
        <v>0</v>
      </c>
    </row>
    <row r="75" spans="2:11" s="185" customFormat="1" x14ac:dyDescent="0.25">
      <c r="B75" s="954" t="s">
        <v>441</v>
      </c>
      <c r="C75" s="953"/>
      <c r="D75" s="969">
        <f>INDEX('[14]2025'!Z220:AK220,'[14]2025'!$AL$5)</f>
        <v>0</v>
      </c>
      <c r="E75" s="968"/>
      <c r="F75" s="969">
        <f>INDEX('[14]2025'!U220:X220,'[14]2025'!$Y$5)</f>
        <v>17.406679999999998</v>
      </c>
      <c r="G75" s="968"/>
      <c r="H75" s="970">
        <f>+'[14]2025'!AL220</f>
        <v>17.406679999999998</v>
      </c>
      <c r="I75" s="968"/>
      <c r="J75" s="970">
        <f>+'[14]2025'!AN220</f>
        <v>0</v>
      </c>
    </row>
    <row r="76" spans="2:11" x14ac:dyDescent="0.25">
      <c r="B76" s="956"/>
      <c r="D76" s="983"/>
      <c r="F76" s="983"/>
    </row>
    <row r="77" spans="2:11" x14ac:dyDescent="0.25">
      <c r="B77" s="952" t="s">
        <v>444</v>
      </c>
    </row>
    <row r="78" spans="2:11" x14ac:dyDescent="0.25">
      <c r="B78" s="1410" t="s">
        <v>445</v>
      </c>
      <c r="D78" s="1413">
        <f>INDEX('[14]2025'!Z225:AK225,'[14]2025'!$AL$5)</f>
        <v>0.28604610163895861</v>
      </c>
      <c r="E78" s="984"/>
      <c r="F78" s="1413">
        <f>INDEX('[14]2025'!U225:X225,'[14]2025'!$Y$5)</f>
        <v>0.2786319431500725</v>
      </c>
      <c r="G78" s="984"/>
      <c r="H78" s="1414">
        <f>+'[14]2025'!AL225</f>
        <v>0</v>
      </c>
      <c r="I78" s="984"/>
      <c r="J78" s="1414">
        <f>+'[14]2025'!AN225</f>
        <v>0</v>
      </c>
      <c r="K78" s="252" t="s">
        <v>348</v>
      </c>
    </row>
    <row r="79" spans="2:11" x14ac:dyDescent="0.25">
      <c r="B79" s="975" t="s">
        <v>446</v>
      </c>
      <c r="D79" s="985">
        <f>INDEX('[14]2025'!Z230:AK230,'[14]2025'!$AL$5)</f>
        <v>0.8970199190152921</v>
      </c>
      <c r="F79" s="985">
        <f>INDEX('[14]2025'!U230:X230,'[14]2025'!$Y$5)</f>
        <v>0.86781747714661384</v>
      </c>
      <c r="H79" s="986">
        <f>+'[14]2025'!AL230</f>
        <v>0</v>
      </c>
      <c r="J79" s="986">
        <f>+'[14]2025'!AN230</f>
        <v>0</v>
      </c>
    </row>
    <row r="81" spans="2:10" x14ac:dyDescent="0.25">
      <c r="B81" s="952" t="s">
        <v>447</v>
      </c>
      <c r="D81" s="1415">
        <f>INDEX('[14]2025'!Z240:AK240,'[14]2025'!$AL$5)</f>
        <v>58.550691690000001</v>
      </c>
      <c r="F81" s="1415">
        <f>INDEX('[14]2025'!U240:X240,'[14]2025'!$Y$5)</f>
        <v>156.60833721</v>
      </c>
      <c r="H81" s="1416">
        <f>SUM(H82:H83)</f>
        <v>156.60833721</v>
      </c>
      <c r="J81" s="1416">
        <f>SUM(J82:J83)</f>
        <v>0</v>
      </c>
    </row>
    <row r="82" spans="2:10" x14ac:dyDescent="0.25">
      <c r="B82" s="1397" t="s">
        <v>448</v>
      </c>
      <c r="C82" s="953"/>
      <c r="D82" s="1412">
        <f>INDEX('[14]2025'!Z235:AK235,'[14]2025'!$AL$5)</f>
        <v>56.823534153401475</v>
      </c>
      <c r="E82" s="968"/>
      <c r="F82" s="1412">
        <f>INDEX('[14]2025'!U235:X235,'[14]2025'!$Y$5)</f>
        <v>153.21065928176489</v>
      </c>
      <c r="G82" s="968"/>
      <c r="H82" s="1409">
        <f>+'[14]2025'!AL235</f>
        <v>153.21065928176489</v>
      </c>
      <c r="I82" s="968"/>
      <c r="J82" s="1409">
        <f>+'[14]2025'!AN235</f>
        <v>0</v>
      </c>
    </row>
    <row r="83" spans="2:10" x14ac:dyDescent="0.25">
      <c r="B83" s="961" t="s">
        <v>449</v>
      </c>
      <c r="C83" s="953"/>
      <c r="D83" s="981">
        <f>INDEX('[14]2025'!Z245:AK245,'[14]2025'!$AL$5)</f>
        <v>1.7271575365985257</v>
      </c>
      <c r="E83" s="968"/>
      <c r="F83" s="981">
        <f>INDEX('[14]2025'!U245:X245,'[14]2025'!$Y$5)</f>
        <v>3.3976779282351259</v>
      </c>
      <c r="G83" s="968"/>
      <c r="H83" s="982">
        <f>+'[14]2025'!AL245</f>
        <v>3.3976779282351259</v>
      </c>
      <c r="I83" s="968"/>
      <c r="J83" s="982">
        <f>+'[14]2025'!AN245</f>
        <v>0</v>
      </c>
    </row>
    <row r="84" spans="2:10" x14ac:dyDescent="0.25">
      <c r="B84" s="975" t="s">
        <v>450</v>
      </c>
      <c r="D84" s="987">
        <f>INDEX('[14]2025'!Z246:AK246,'[14]2025'!$AL$5)</f>
        <v>5.1306403921645103</v>
      </c>
      <c r="E84" s="980"/>
      <c r="F84" s="987">
        <f>INDEX('[14]2025'!U246:X246,'[14]2025'!$Y$5)</f>
        <v>19.159182129985638</v>
      </c>
      <c r="G84" s="980"/>
      <c r="H84" s="988">
        <f>+'[14]2025'!AL246</f>
        <v>5.1306403921645103</v>
      </c>
      <c r="I84" s="980"/>
      <c r="J84" s="988">
        <f>+'[14]2025'!AN246</f>
        <v>0</v>
      </c>
    </row>
    <row r="85" spans="2:10" x14ac:dyDescent="0.25">
      <c r="B85" s="989"/>
    </row>
    <row r="86" spans="2:10" x14ac:dyDescent="0.25">
      <c r="B86" s="951" t="s">
        <v>451</v>
      </c>
    </row>
    <row r="87" spans="2:10" x14ac:dyDescent="0.25">
      <c r="B87" s="952" t="s">
        <v>452</v>
      </c>
      <c r="D87" s="1396">
        <f>SUM(D88:D89)</f>
        <v>40739.106</v>
      </c>
      <c r="F87" s="1417">
        <f>SUM(F88:F89)</f>
        <v>40739.106</v>
      </c>
      <c r="H87" s="1417">
        <f>SUM(H88:H89)</f>
        <v>0</v>
      </c>
      <c r="J87" s="1417">
        <f>SUM(J88:J89)</f>
        <v>0</v>
      </c>
    </row>
    <row r="88" spans="2:10" s="185" customFormat="1" x14ac:dyDescent="0.25">
      <c r="B88" s="1397" t="s">
        <v>453</v>
      </c>
      <c r="C88" s="953"/>
      <c r="D88" s="1418">
        <f>INDEX('[14]2025'!Z255:AK255,'[14]2025'!$AL$5)</f>
        <v>39644.106</v>
      </c>
      <c r="F88" s="1418">
        <f>INDEX('[14]2025'!U255:X255,'[14]2025'!$Y$5)</f>
        <v>39644.106</v>
      </c>
      <c r="H88" s="1419">
        <f>+'[14]2025'!AL255</f>
        <v>0</v>
      </c>
      <c r="J88" s="1419">
        <f>+'[14]2025'!AN255</f>
        <v>0</v>
      </c>
    </row>
    <row r="89" spans="2:10" s="185" customFormat="1" x14ac:dyDescent="0.25">
      <c r="B89" s="954" t="s">
        <v>454</v>
      </c>
      <c r="C89" s="953"/>
      <c r="D89" s="990">
        <f>INDEX('[14]2025'!Z270:AK270,'[14]2025'!$AL$5)</f>
        <v>1095</v>
      </c>
      <c r="F89" s="990">
        <f>INDEX('[14]2025'!U270:X270,'[14]2025'!$Y$5)</f>
        <v>1095</v>
      </c>
      <c r="H89" s="991">
        <f>+'[14]2025'!AL270</f>
        <v>0</v>
      </c>
      <c r="J89" s="991">
        <f>+'[14]2025'!AN270</f>
        <v>0</v>
      </c>
    </row>
    <row r="90" spans="2:10" x14ac:dyDescent="0.25">
      <c r="B90" s="989"/>
    </row>
    <row r="91" spans="2:10" x14ac:dyDescent="0.25">
      <c r="B91" s="952" t="s">
        <v>455</v>
      </c>
      <c r="D91" s="1404">
        <f>IFERROR(SUMPRODUCT(D88:D89,D92:D93)/D87,0)</f>
        <v>0.78762969172666675</v>
      </c>
      <c r="F91" s="1404">
        <f>IFERROR(SUMPRODUCT(F88:F89,F92:F93)/F87,0)</f>
        <v>0.78762969172666675</v>
      </c>
      <c r="H91" s="1404">
        <f>IFERROR(SUMPRODUCT(H88:H89,H92:H93)/H87,0)</f>
        <v>0</v>
      </c>
      <c r="J91" s="1404">
        <f>IFERROR(SUMPRODUCT(J88:J89,J92:J93)/J87,0)</f>
        <v>0</v>
      </c>
    </row>
    <row r="92" spans="2:10" s="185" customFormat="1" x14ac:dyDescent="0.25">
      <c r="B92" s="1397" t="s">
        <v>453</v>
      </c>
      <c r="C92" s="953"/>
      <c r="D92" s="1420">
        <f>INDEX('[14]2025'!Z260:AK260,'[14]2025'!$AL$5)</f>
        <v>0.75</v>
      </c>
      <c r="E92" s="964"/>
      <c r="F92" s="1420">
        <f>INDEX('[14]2025'!U260:X260,'[14]2025'!$Y$5)</f>
        <v>0.75</v>
      </c>
      <c r="G92" s="964"/>
      <c r="H92" s="1421">
        <f>+'[14]2025'!AL260</f>
        <v>0</v>
      </c>
      <c r="I92" s="964"/>
      <c r="J92" s="1421">
        <f>+'[14]2025'!AN260</f>
        <v>0</v>
      </c>
    </row>
    <row r="93" spans="2:10" s="185" customFormat="1" x14ac:dyDescent="0.25">
      <c r="B93" s="954" t="s">
        <v>454</v>
      </c>
      <c r="C93" s="953"/>
      <c r="D93" s="992">
        <f>INDEX('[14]2025'!Z275:AK275,'[14]2025'!$AL$5)</f>
        <v>2.15</v>
      </c>
      <c r="E93" s="964"/>
      <c r="F93" s="992">
        <f>INDEX('[14]2025'!U275:X275,'[14]2025'!$Y$5)</f>
        <v>2.15</v>
      </c>
      <c r="G93" s="964"/>
      <c r="H93" s="993">
        <f>+'[14]2025'!AL275</f>
        <v>0</v>
      </c>
      <c r="I93" s="964"/>
      <c r="J93" s="993">
        <f>+'[14]2025'!AN275</f>
        <v>0</v>
      </c>
    </row>
    <row r="94" spans="2:10" x14ac:dyDescent="0.25">
      <c r="B94" s="989"/>
    </row>
    <row r="95" spans="2:10" x14ac:dyDescent="0.25">
      <c r="B95" s="952" t="s">
        <v>456</v>
      </c>
      <c r="D95" s="1416">
        <f>SUM(D96:D97)</f>
        <v>32.087329499999996</v>
      </c>
      <c r="E95" s="994"/>
      <c r="F95" s="1416">
        <f>SUM(F96:F97)</f>
        <v>32.087329499999996</v>
      </c>
      <c r="G95" s="994"/>
      <c r="H95" s="1416">
        <f>SUM(H96:H97)</f>
        <v>0</v>
      </c>
      <c r="I95" s="994"/>
      <c r="J95" s="1416">
        <f>SUM(J96:J97)</f>
        <v>0</v>
      </c>
    </row>
    <row r="96" spans="2:10" s="185" customFormat="1" x14ac:dyDescent="0.25">
      <c r="B96" s="1397" t="s">
        <v>453</v>
      </c>
      <c r="C96" s="953"/>
      <c r="D96" s="1422">
        <f>INDEX('[14]2025'!Z265:AK265,'[14]2025'!$AL$5)</f>
        <v>29.733079499999999</v>
      </c>
      <c r="E96" s="995"/>
      <c r="F96" s="1422">
        <f>INDEX('[14]2025'!U265:X265,'[14]2025'!$Y$5)</f>
        <v>29.733079499999999</v>
      </c>
      <c r="G96" s="995"/>
      <c r="H96" s="1423">
        <f>+'[14]2025'!AL265</f>
        <v>0</v>
      </c>
      <c r="I96" s="995"/>
      <c r="J96" s="1423">
        <f>+'[14]2025'!AN265</f>
        <v>0</v>
      </c>
    </row>
    <row r="97" spans="2:10" s="185" customFormat="1" x14ac:dyDescent="0.25">
      <c r="B97" s="954" t="s">
        <v>454</v>
      </c>
      <c r="C97" s="953"/>
      <c r="D97" s="996">
        <f>INDEX('[14]2025'!Z280:AK280,'[14]2025'!$AL$5)</f>
        <v>2.35425</v>
      </c>
      <c r="E97" s="995"/>
      <c r="F97" s="996">
        <f>INDEX('[14]2025'!U280:X280,'[14]2025'!$Y$5)</f>
        <v>2.35425</v>
      </c>
      <c r="G97" s="995"/>
      <c r="H97" s="997">
        <f>+'[14]2025'!AL280</f>
        <v>0</v>
      </c>
      <c r="I97" s="995"/>
      <c r="J97" s="997">
        <f>+'[14]2025'!AN280</f>
        <v>0</v>
      </c>
    </row>
    <row r="99" spans="2:10" x14ac:dyDescent="0.25">
      <c r="B99" s="951" t="s">
        <v>457</v>
      </c>
    </row>
    <row r="100" spans="2:10" x14ac:dyDescent="0.25">
      <c r="B100" s="952" t="s">
        <v>458</v>
      </c>
      <c r="D100" s="1424">
        <f>AVERAGE(D101:D106)</f>
        <v>0.95833333333333337</v>
      </c>
      <c r="E100" s="998"/>
      <c r="F100" s="1424">
        <f>AVERAGE(F101:F106)</f>
        <v>0.96722222222222209</v>
      </c>
      <c r="G100" s="998"/>
      <c r="H100" s="1424">
        <f>AVERAGE(H101:H106)</f>
        <v>0</v>
      </c>
      <c r="I100" s="998"/>
      <c r="J100" s="1424">
        <f>AVERAGE(J101:J106)</f>
        <v>0</v>
      </c>
    </row>
    <row r="101" spans="2:10" s="185" customFormat="1" x14ac:dyDescent="0.25">
      <c r="B101" s="1397" t="s">
        <v>459</v>
      </c>
      <c r="C101" s="953"/>
      <c r="D101" s="1425">
        <f>INDEX('[14]2025'!Z291:AK291,'[14]2025'!$AL$5)</f>
        <v>0.98</v>
      </c>
      <c r="E101" s="999"/>
      <c r="F101" s="1425">
        <f>INDEX('[14]2025'!U291:X291,'[14]2025'!$Y$5)</f>
        <v>0.94666666666666666</v>
      </c>
      <c r="G101" s="999"/>
      <c r="H101" s="1426">
        <f>+'[14]2025'!AL291</f>
        <v>0</v>
      </c>
      <c r="I101" s="999"/>
      <c r="J101" s="1426">
        <f>+'[14]2025'!AN291</f>
        <v>0</v>
      </c>
    </row>
    <row r="102" spans="2:10" s="185" customFormat="1" x14ac:dyDescent="0.25">
      <c r="B102" s="961" t="s">
        <v>460</v>
      </c>
      <c r="C102" s="953"/>
      <c r="D102" s="1000">
        <f>INDEX('[14]2025'!Z295:AK295,'[14]2025'!$AL$5)</f>
        <v>0.96</v>
      </c>
      <c r="E102" s="999"/>
      <c r="F102" s="1000">
        <f>INDEX('[14]2025'!U295:X295,'[14]2025'!$Y$5)</f>
        <v>0.97333333333333327</v>
      </c>
      <c r="G102" s="999"/>
      <c r="H102" s="1001">
        <f>+'[14]2025'!AL295</f>
        <v>0</v>
      </c>
      <c r="I102" s="999"/>
      <c r="J102" s="1001">
        <f>+'[14]2025'!AN295</f>
        <v>0</v>
      </c>
    </row>
    <row r="103" spans="2:10" s="185" customFormat="1" x14ac:dyDescent="0.25">
      <c r="B103" s="961" t="s">
        <v>461</v>
      </c>
      <c r="C103" s="953"/>
      <c r="D103" s="1000">
        <f>INDEX('[14]2025'!Z299:AK299,'[14]2025'!$AL$5)</f>
        <v>1</v>
      </c>
      <c r="E103" s="999"/>
      <c r="F103" s="1000">
        <f>INDEX('[14]2025'!U299:X299,'[14]2025'!$Y$5)</f>
        <v>1</v>
      </c>
      <c r="G103" s="999"/>
      <c r="H103" s="1001">
        <f>+'[14]2025'!AL299</f>
        <v>0</v>
      </c>
      <c r="I103" s="999"/>
      <c r="J103" s="1001">
        <f>+'[14]2025'!AN299</f>
        <v>0</v>
      </c>
    </row>
    <row r="104" spans="2:10" s="185" customFormat="1" x14ac:dyDescent="0.25">
      <c r="B104" s="961" t="s">
        <v>462</v>
      </c>
      <c r="C104" s="953"/>
      <c r="D104" s="1000">
        <f>INDEX('[14]2025'!Z303:AK303,'[14]2025'!$AL$5)</f>
        <v>0.93</v>
      </c>
      <c r="E104" s="999"/>
      <c r="F104" s="1000">
        <f>INDEX('[14]2025'!U303:X303,'[14]2025'!$Y$5)</f>
        <v>0.97666666666666668</v>
      </c>
      <c r="G104" s="999"/>
      <c r="H104" s="1001">
        <f>+'[14]2025'!AL303</f>
        <v>0</v>
      </c>
      <c r="I104" s="999"/>
      <c r="J104" s="1001">
        <f>+'[14]2025'!AN303</f>
        <v>0</v>
      </c>
    </row>
    <row r="105" spans="2:10" s="185" customFormat="1" x14ac:dyDescent="0.25">
      <c r="B105" s="961" t="s">
        <v>463</v>
      </c>
      <c r="C105" s="953"/>
      <c r="D105" s="1000">
        <f>INDEX('[14]2025'!Z307:AK307,'[14]2025'!$AL$5)</f>
        <v>0.88</v>
      </c>
      <c r="E105" s="999"/>
      <c r="F105" s="1000">
        <f>INDEX('[14]2025'!U307:X307,'[14]2025'!$Y$5)</f>
        <v>0.90666666666666662</v>
      </c>
      <c r="G105" s="999"/>
      <c r="H105" s="1001">
        <f>+'[14]2025'!AL307</f>
        <v>0</v>
      </c>
      <c r="I105" s="999"/>
      <c r="J105" s="1001">
        <f>+'[14]2025'!AN307</f>
        <v>0</v>
      </c>
    </row>
    <row r="106" spans="2:10" s="185" customFormat="1" x14ac:dyDescent="0.25">
      <c r="B106" s="954" t="s">
        <v>464</v>
      </c>
      <c r="C106" s="953"/>
      <c r="D106" s="1002">
        <f>INDEX('[14]2025'!Z311:AK311,'[14]2025'!$AL$5)</f>
        <v>1</v>
      </c>
      <c r="E106" s="999"/>
      <c r="F106" s="1002">
        <f>INDEX('[14]2025'!U311:X311,'[14]2025'!$Y$5)</f>
        <v>1</v>
      </c>
      <c r="G106" s="999"/>
      <c r="H106" s="1003">
        <f>+'[14]2025'!AL311</f>
        <v>0</v>
      </c>
      <c r="I106" s="999"/>
      <c r="J106" s="1003">
        <f>+'[14]2025'!AN311</f>
        <v>0</v>
      </c>
    </row>
    <row r="107" spans="2:10" x14ac:dyDescent="0.25">
      <c r="B107" s="1004"/>
    </row>
    <row r="108" spans="2:10" x14ac:dyDescent="0.25">
      <c r="B108" s="951" t="s">
        <v>465</v>
      </c>
    </row>
    <row r="109" spans="2:10" x14ac:dyDescent="0.25">
      <c r="B109" s="952" t="s">
        <v>466</v>
      </c>
      <c r="D109" s="1424">
        <f>AVERAGE(D110:D111)</f>
        <v>0.53</v>
      </c>
      <c r="E109" s="998"/>
      <c r="F109" s="1424">
        <f>AVERAGE(F110:F111)</f>
        <v>0.62588406772059657</v>
      </c>
      <c r="G109" s="998"/>
      <c r="H109" s="1424">
        <f>AVERAGE(H110:H111)</f>
        <v>0</v>
      </c>
      <c r="I109" s="998"/>
      <c r="J109" s="1424">
        <f>AVERAGE(J110:J111)</f>
        <v>0</v>
      </c>
    </row>
    <row r="110" spans="2:10" s="185" customFormat="1" x14ac:dyDescent="0.25">
      <c r="B110" s="1397" t="s">
        <v>459</v>
      </c>
      <c r="C110" s="953"/>
      <c r="D110" s="1425">
        <f>INDEX('[14]2025'!Z317:AK317,'[14]2025'!$AL$5)</f>
        <v>0.4</v>
      </c>
      <c r="E110" s="999"/>
      <c r="F110" s="1425">
        <f>INDEX('[14]2025'!U317:X317,'[14]2025'!$Y$5)</f>
        <v>0.49843480210785973</v>
      </c>
      <c r="G110" s="999"/>
      <c r="H110" s="1426">
        <f>+'[14]2025'!AL317</f>
        <v>0</v>
      </c>
      <c r="I110" s="999"/>
      <c r="J110" s="1426">
        <f>+'[14]2025'!AN317</f>
        <v>0</v>
      </c>
    </row>
    <row r="111" spans="2:10" s="185" customFormat="1" x14ac:dyDescent="0.25">
      <c r="B111" s="954" t="s">
        <v>460</v>
      </c>
      <c r="C111" s="953"/>
      <c r="D111" s="1002">
        <f>INDEX('[14]2025'!Z321:AK321,'[14]2025'!$AL$5)</f>
        <v>0.66</v>
      </c>
      <c r="E111" s="999"/>
      <c r="F111" s="1002">
        <f>INDEX('[14]2025'!U321:X321,'[14]2025'!$Y$5)</f>
        <v>0.75333333333333341</v>
      </c>
      <c r="G111" s="999"/>
      <c r="H111" s="1003">
        <f>+'[14]2025'!AL321</f>
        <v>0</v>
      </c>
      <c r="I111" s="999"/>
      <c r="J111" s="1003">
        <f>+'[14]2025'!AN321</f>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665B7-9A20-4349-99AB-AD3C64496014}">
  <dimension ref="A1:AA32"/>
  <sheetViews>
    <sheetView topLeftCell="A10" zoomScale="85" zoomScaleNormal="85" workbookViewId="0">
      <selection activeCell="E32" sqref="E32"/>
    </sheetView>
  </sheetViews>
  <sheetFormatPr defaultRowHeight="15" x14ac:dyDescent="0.25"/>
  <cols>
    <col min="2" max="27" width="12.5703125" customWidth="1"/>
  </cols>
  <sheetData>
    <row r="1" spans="1:27" ht="45" x14ac:dyDescent="0.25">
      <c r="A1" s="408" t="s">
        <v>481</v>
      </c>
      <c r="B1" s="96" t="str">
        <f>'March 25 D_R (Tramming)'!C18 &amp;"_Tonnes"</f>
        <v>1L W24 STOPE_Tonnes</v>
      </c>
      <c r="C1" s="96" t="str">
        <f>'March 25 D_R (Tramming)'!C25 &amp;"_Tonnes"</f>
        <v>3L_W23A STOPE_Tonnes</v>
      </c>
      <c r="D1" s="96" t="str">
        <f>'March 25 D_R (Tramming)'!C32 &amp;"_Tonnes"</f>
        <v>4L_W23A STOPE_Tonnes</v>
      </c>
      <c r="E1" s="96" t="str">
        <f>'March 25 D_R (Tramming)'!C39 &amp;"_Tonnes"</f>
        <v>4L_W23B_STOPE_Tonnes</v>
      </c>
      <c r="F1" s="96" t="str">
        <f>'March 25 D_R (Tramming)'!C46 &amp;"_Tonnes"</f>
        <v>4L_W26 STOPE _Tonnes</v>
      </c>
      <c r="G1" s="96" t="str">
        <f>'March 25 D_R (Tramming)'!C53 &amp;"_Tonnes"</f>
        <v>5L_W7 STOPE_Tonnes</v>
      </c>
      <c r="H1" s="96" t="str">
        <f>'March 25 D_R (Tramming)'!C60 &amp;"_Tonnes"</f>
        <v>5L_W8 STOPE_Tonnes</v>
      </c>
      <c r="I1" s="96" t="str">
        <f>'March 25 D_R (Tramming)'!C67 &amp;"_Tonnes"</f>
        <v>6L_E1 STOPE_Tonnes</v>
      </c>
      <c r="J1" s="96" t="str">
        <f>'March 25 D_R (Tramming)'!C74 &amp;"_Tonnes"</f>
        <v>6L_W1 STOPE _Tonnes</v>
      </c>
      <c r="K1" s="96" t="str">
        <f>'March 25 D_R (Tramming)'!C81 &amp;"_Tonnes"</f>
        <v>6L_W2 STOPE _Tonnes</v>
      </c>
      <c r="L1" s="96" t="str">
        <f>'March 25 D_R (Tramming)'!C88 &amp;"_Tonnes"</f>
        <v>6L_W8 STOPE_Tonnes</v>
      </c>
      <c r="M1" s="96" t="str">
        <f>'March 25 D_R (Tramming)'!C95 &amp;"_Tonnes"</f>
        <v>6L_W9 STOPE_Tonnes</v>
      </c>
      <c r="N1" s="96" t="str">
        <f>'March 25 D_R (Tramming)'!C102 &amp;"_Tonnes"</f>
        <v>6L_W10 STOPE_Tonnes</v>
      </c>
      <c r="O1" s="96" t="str">
        <f>'March 25 D_R (Tramming)'!C18 &amp;"_Grade"</f>
        <v>1L W24 STOPE_Grade</v>
      </c>
      <c r="P1" s="96" t="str">
        <f>'March 25 D_R (Tramming)'!C25 &amp;"_Grade"</f>
        <v>3L_W23A STOPE_Grade</v>
      </c>
      <c r="Q1" s="96" t="str">
        <f>'March 25 D_R (Tramming)'!C32 &amp;"_Grade"</f>
        <v>4L_W23A STOPE_Grade</v>
      </c>
      <c r="R1" s="96" t="str">
        <f>'March 25 D_R (Tramming)'!C39 &amp;"_grade"</f>
        <v>4L_W23B_STOPE_grade</v>
      </c>
      <c r="S1" s="96" t="str">
        <f>'March 25 D_R (Tramming)'!C46 &amp;"_Grade"</f>
        <v>4L_W26 STOPE _Grade</v>
      </c>
      <c r="T1" s="96" t="str">
        <f>'March 25 D_R (Tramming)'!C53 &amp;"_Grade"</f>
        <v>5L_W7 STOPE_Grade</v>
      </c>
      <c r="U1" s="96" t="str">
        <f>'March 25 D_R (Tramming)'!C60 &amp;"_Grade"</f>
        <v>5L_W8 STOPE_Grade</v>
      </c>
      <c r="V1" s="96" t="str">
        <f>'March 25 D_R (Tramming)'!C67 &amp;"_Grade"</f>
        <v>6L_E1 STOPE_Grade</v>
      </c>
      <c r="W1" s="96" t="str">
        <f>'March 25 D_R (Tramming)'!C74 &amp;"_Grade"</f>
        <v>6L_W1 STOPE _Grade</v>
      </c>
      <c r="X1" s="96" t="str">
        <f>'March 25 D_R (Tramming)'!C81 &amp;"_Grade"</f>
        <v>6L_W2 STOPE _Grade</v>
      </c>
      <c r="Y1" s="96" t="str">
        <f>'March 25 D_R (Tramming)'!C88 &amp;"_Grade"</f>
        <v>6L_W8 STOPE_Grade</v>
      </c>
      <c r="Z1" s="96" t="str">
        <f>'March 25 D_R (Tramming)'!C95 &amp;"_Grade"</f>
        <v>6L_W9 STOPE_Grade</v>
      </c>
      <c r="AA1" s="96" t="str">
        <f>'March 25 D_R (Tramming)'!C102 &amp;"_Grade"</f>
        <v>6L_W10 STOPE_Grade</v>
      </c>
    </row>
    <row r="2" spans="1:27" x14ac:dyDescent="0.25">
      <c r="A2" s="674">
        <v>45717</v>
      </c>
      <c r="B2" cm="1">
        <f t="array" ref="B2:B25">TRANSPOSE('March 25 D_R (Tramming)'!H19:AE19)</f>
        <v>30</v>
      </c>
      <c r="C2" cm="1">
        <f t="array" ref="C2:C25">TRANSPOSE('March 25 D_R (Tramming)'!H26:AE26)</f>
        <v>0</v>
      </c>
      <c r="D2" cm="1">
        <f t="array" ref="D2:D25">TRANSPOSE('March 25 D_R (Tramming)'!H33:AE33)</f>
        <v>36</v>
      </c>
      <c r="E2" cm="1">
        <f t="array" ref="E2:E25">TRANSPOSE('March 25 D_R (Tramming)'!H40:AE40)</f>
        <v>154</v>
      </c>
      <c r="F2" cm="1">
        <f t="array" ref="F2:F25">TRANSPOSE('March 25 D_R (Tramming)'!H47:AE47)</f>
        <v>50</v>
      </c>
      <c r="G2" cm="1">
        <f t="array" ref="G2:G25">TRANSPOSE('March 25 D_R (Tramming)'!H54:AE54)</f>
        <v>138</v>
      </c>
      <c r="H2" cm="1">
        <f t="array" ref="H2:H25">TRANSPOSE('March 25 D_R (Tramming)'!H61:AE61)</f>
        <v>24</v>
      </c>
      <c r="I2" cm="1">
        <f t="array" ref="I2:I25">TRANSPOSE('March 25 D_R (Tramming)'!H68:AE68)</f>
        <v>136.80000000000001</v>
      </c>
      <c r="J2" cm="1">
        <f t="array" ref="J2:J25">TRANSPOSE('March 25 D_R (Tramming)'!H75:AE75)</f>
        <v>108</v>
      </c>
      <c r="K2" cm="1">
        <f t="array" ref="K2:K25">TRANSPOSE('March 25 D_R (Tramming)'!H82:AE82)</f>
        <v>31.2</v>
      </c>
      <c r="L2" cm="1">
        <f t="array" ref="L2:L25">TRANSPOSE('March 25 D_R (Tramming)'!H89:AE89)</f>
        <v>0</v>
      </c>
      <c r="M2" cm="1">
        <f t="array" ref="M2:M25">TRANSPOSE('March 25 D_R (Tramming)'!H96:AE96)</f>
        <v>74</v>
      </c>
      <c r="N2" cm="1">
        <f t="array" ref="N2:N25">TRANSPOSE('March 25 D_R (Tramming)'!H103:AE103)</f>
        <v>0</v>
      </c>
      <c r="O2" cm="1">
        <f t="array" ref="O2:O25">TRANSPOSE('March 25 D_R (Tramming)'!H22:AE22)</f>
        <v>1.6</v>
      </c>
      <c r="P2" cm="1">
        <f t="array" ref="P2:P25">TRANSPOSE('March 25 D_R (Tramming)'!H29:AE29)</f>
        <v>0</v>
      </c>
      <c r="Q2" cm="1">
        <f t="array" ref="Q2:Q25">TRANSPOSE('March 25 D_R (Tramming)'!H36:AE36)</f>
        <v>2.52</v>
      </c>
      <c r="R2" cm="1">
        <f t="array" ref="R2:R25">TRANSPOSE('March 25 D_R (Tramming)'!H43:AE43)</f>
        <v>2.64</v>
      </c>
      <c r="S2" cm="1">
        <f t="array" ref="S2:S25">TRANSPOSE('March 25 D_R (Tramming)'!H50:AE50)</f>
        <v>0.82</v>
      </c>
      <c r="T2" cm="1">
        <f t="array" ref="T2:T25">TRANSPOSE('March 25 D_R (Tramming)'!H57:AE57)</f>
        <v>0.52</v>
      </c>
      <c r="U2" cm="1">
        <f t="array" ref="U2:U25">TRANSPOSE('March 25 D_R (Tramming)'!H64:AE64)</f>
        <v>1.06</v>
      </c>
      <c r="V2" cm="1">
        <f t="array" ref="V2:V25">TRANSPOSE('March 25 D_R (Tramming)'!H71:AE71)</f>
        <v>3.88</v>
      </c>
      <c r="W2" cm="1">
        <f t="array" ref="W2:W25">TRANSPOSE('March 25 D_R (Tramming)'!H78:AE78)</f>
        <v>1.63</v>
      </c>
      <c r="X2" cm="1">
        <f t="array" ref="X2:X25">TRANSPOSE('March 25 D_R (Tramming)'!H85:AE85)</f>
        <v>0.54</v>
      </c>
      <c r="Y2" cm="1">
        <f t="array" ref="Y2:Y25">TRANSPOSE('March 25 D_R (Tramming)'!H92:AE92)</f>
        <v>0</v>
      </c>
      <c r="Z2" cm="1">
        <f t="array" ref="Z2:Z25">TRANSPOSE('March 25 D_R (Tramming)'!H99:AE99)</f>
        <v>2.8</v>
      </c>
      <c r="AA2" cm="1">
        <f t="array" ref="AA2:AA25">TRANSPOSE('March 25 D_R (Tramming)'!H106:AE106)</f>
        <v>0</v>
      </c>
    </row>
    <row r="3" spans="1:27" x14ac:dyDescent="0.25">
      <c r="A3" s="674">
        <v>45718</v>
      </c>
      <c r="B3">
        <v>30</v>
      </c>
      <c r="C3">
        <v>0</v>
      </c>
      <c r="D3">
        <v>42</v>
      </c>
      <c r="E3">
        <v>152</v>
      </c>
      <c r="F3">
        <v>41</v>
      </c>
      <c r="G3">
        <v>170</v>
      </c>
      <c r="H3">
        <v>25</v>
      </c>
      <c r="I3">
        <v>69</v>
      </c>
      <c r="J3">
        <v>65</v>
      </c>
      <c r="K3">
        <v>96</v>
      </c>
      <c r="L3">
        <v>0</v>
      </c>
      <c r="M3">
        <v>45</v>
      </c>
      <c r="N3">
        <v>0</v>
      </c>
      <c r="O3">
        <v>1.6</v>
      </c>
      <c r="P3">
        <v>0</v>
      </c>
      <c r="Q3">
        <v>2.63</v>
      </c>
      <c r="R3">
        <v>2.63</v>
      </c>
      <c r="S3">
        <v>0.78</v>
      </c>
      <c r="T3">
        <v>1.68</v>
      </c>
      <c r="U3">
        <v>2.98</v>
      </c>
      <c r="V3">
        <v>1.68</v>
      </c>
      <c r="W3">
        <v>1.79</v>
      </c>
      <c r="X3">
        <v>3.22</v>
      </c>
      <c r="Y3">
        <v>0</v>
      </c>
      <c r="Z3">
        <v>1.28</v>
      </c>
      <c r="AA3">
        <v>0</v>
      </c>
    </row>
    <row r="4" spans="1:27" x14ac:dyDescent="0.25">
      <c r="A4" s="674">
        <v>45719</v>
      </c>
      <c r="B4">
        <v>66</v>
      </c>
      <c r="C4">
        <v>0</v>
      </c>
      <c r="D4">
        <v>110</v>
      </c>
      <c r="E4">
        <v>106</v>
      </c>
      <c r="F4">
        <v>36</v>
      </c>
      <c r="G4">
        <v>86</v>
      </c>
      <c r="H4">
        <v>0</v>
      </c>
      <c r="I4">
        <v>114</v>
      </c>
      <c r="J4">
        <v>127</v>
      </c>
      <c r="K4">
        <v>102.5</v>
      </c>
      <c r="L4">
        <v>0</v>
      </c>
      <c r="M4">
        <v>138</v>
      </c>
      <c r="N4">
        <v>0</v>
      </c>
      <c r="O4">
        <v>0.51</v>
      </c>
      <c r="P4">
        <v>0</v>
      </c>
      <c r="Q4">
        <v>1.2</v>
      </c>
      <c r="R4">
        <v>1.2</v>
      </c>
      <c r="S4">
        <v>1.53</v>
      </c>
      <c r="T4">
        <v>2.14</v>
      </c>
      <c r="U4">
        <v>0</v>
      </c>
      <c r="V4">
        <v>2.82</v>
      </c>
      <c r="W4">
        <v>1.97</v>
      </c>
      <c r="X4">
        <v>5.56</v>
      </c>
      <c r="Y4">
        <v>0</v>
      </c>
      <c r="Z4">
        <v>2.97</v>
      </c>
      <c r="AA4">
        <v>0</v>
      </c>
    </row>
    <row r="5" spans="1:27" x14ac:dyDescent="0.25">
      <c r="A5" s="674">
        <v>45720</v>
      </c>
      <c r="B5">
        <v>66</v>
      </c>
      <c r="C5">
        <v>0</v>
      </c>
      <c r="D5">
        <v>92</v>
      </c>
      <c r="E5">
        <v>121</v>
      </c>
      <c r="F5">
        <v>62</v>
      </c>
      <c r="G5">
        <v>48</v>
      </c>
      <c r="H5">
        <v>80</v>
      </c>
      <c r="I5">
        <v>132</v>
      </c>
      <c r="J5">
        <v>96</v>
      </c>
      <c r="K5">
        <v>91</v>
      </c>
      <c r="L5">
        <v>0</v>
      </c>
      <c r="M5">
        <v>162</v>
      </c>
      <c r="N5">
        <v>0</v>
      </c>
      <c r="O5">
        <v>2</v>
      </c>
      <c r="P5">
        <v>0</v>
      </c>
      <c r="Q5">
        <v>2.73</v>
      </c>
      <c r="R5">
        <v>2.73</v>
      </c>
      <c r="S5">
        <v>3.58</v>
      </c>
      <c r="T5">
        <v>2.4700000000000002</v>
      </c>
      <c r="U5">
        <v>1.22</v>
      </c>
      <c r="V5">
        <v>3.97</v>
      </c>
      <c r="W5">
        <v>0.99</v>
      </c>
      <c r="X5">
        <v>2</v>
      </c>
      <c r="Y5">
        <v>0</v>
      </c>
      <c r="Z5">
        <v>1.25</v>
      </c>
      <c r="AA5">
        <v>0</v>
      </c>
    </row>
    <row r="6" spans="1:27" x14ac:dyDescent="0.25">
      <c r="A6" s="674">
        <v>45721</v>
      </c>
      <c r="B6">
        <v>89</v>
      </c>
      <c r="C6">
        <v>0</v>
      </c>
      <c r="D6">
        <v>102</v>
      </c>
      <c r="E6">
        <v>117</v>
      </c>
      <c r="F6">
        <v>42</v>
      </c>
      <c r="G6">
        <v>42</v>
      </c>
      <c r="H6">
        <v>72</v>
      </c>
      <c r="I6">
        <v>114</v>
      </c>
      <c r="J6">
        <v>56</v>
      </c>
      <c r="K6">
        <v>0</v>
      </c>
      <c r="L6">
        <v>0</v>
      </c>
      <c r="M6">
        <v>159</v>
      </c>
      <c r="N6">
        <v>0</v>
      </c>
      <c r="O6">
        <v>1.43</v>
      </c>
      <c r="P6">
        <v>0</v>
      </c>
      <c r="Q6">
        <v>1.91</v>
      </c>
      <c r="R6">
        <v>1.91</v>
      </c>
      <c r="S6">
        <v>1.1299999999999999</v>
      </c>
      <c r="T6">
        <v>1.7</v>
      </c>
      <c r="U6">
        <v>0.56000000000000005</v>
      </c>
      <c r="V6">
        <v>3.03</v>
      </c>
      <c r="W6">
        <v>2.56</v>
      </c>
      <c r="X6">
        <v>0</v>
      </c>
      <c r="Y6">
        <v>0</v>
      </c>
      <c r="Z6">
        <v>2.29</v>
      </c>
      <c r="AA6">
        <v>0</v>
      </c>
    </row>
    <row r="7" spans="1:27" x14ac:dyDescent="0.25">
      <c r="A7" s="674">
        <v>45722</v>
      </c>
      <c r="B7">
        <v>50</v>
      </c>
      <c r="C7">
        <v>0</v>
      </c>
      <c r="D7">
        <v>96</v>
      </c>
      <c r="E7">
        <v>147</v>
      </c>
      <c r="F7">
        <v>36</v>
      </c>
      <c r="G7">
        <v>89</v>
      </c>
      <c r="H7">
        <v>0</v>
      </c>
      <c r="I7">
        <v>143</v>
      </c>
      <c r="J7">
        <v>62.6</v>
      </c>
      <c r="K7">
        <v>98</v>
      </c>
      <c r="L7">
        <v>0</v>
      </c>
      <c r="M7">
        <v>176</v>
      </c>
      <c r="N7">
        <v>0</v>
      </c>
      <c r="O7">
        <v>0.38</v>
      </c>
      <c r="P7">
        <v>0</v>
      </c>
      <c r="Q7">
        <v>2.35</v>
      </c>
      <c r="R7">
        <v>2.35</v>
      </c>
      <c r="S7">
        <v>0.18</v>
      </c>
      <c r="T7">
        <v>1.29</v>
      </c>
      <c r="U7">
        <v>0</v>
      </c>
      <c r="V7">
        <v>2.2400000000000002</v>
      </c>
      <c r="W7">
        <v>0.32</v>
      </c>
      <c r="X7">
        <v>1.32</v>
      </c>
      <c r="Y7">
        <v>0</v>
      </c>
      <c r="Z7">
        <v>2.15</v>
      </c>
      <c r="AA7">
        <v>0</v>
      </c>
    </row>
    <row r="8" spans="1:27" x14ac:dyDescent="0.25">
      <c r="A8" s="674">
        <v>45723</v>
      </c>
      <c r="B8">
        <v>37</v>
      </c>
      <c r="C8">
        <v>0</v>
      </c>
      <c r="D8">
        <v>78</v>
      </c>
      <c r="E8">
        <v>151</v>
      </c>
      <c r="F8">
        <v>0</v>
      </c>
      <c r="G8">
        <v>74</v>
      </c>
      <c r="H8">
        <v>0</v>
      </c>
      <c r="I8">
        <v>69.400000000000006</v>
      </c>
      <c r="J8">
        <v>14</v>
      </c>
      <c r="K8">
        <v>36</v>
      </c>
      <c r="L8">
        <v>0</v>
      </c>
      <c r="M8">
        <v>140.80000000000001</v>
      </c>
      <c r="N8">
        <v>0</v>
      </c>
      <c r="O8">
        <v>1.7</v>
      </c>
      <c r="P8">
        <v>0</v>
      </c>
      <c r="Q8">
        <v>2.17</v>
      </c>
      <c r="R8">
        <v>2.17</v>
      </c>
      <c r="S8">
        <v>0</v>
      </c>
      <c r="T8">
        <v>1.79</v>
      </c>
      <c r="U8">
        <v>0</v>
      </c>
      <c r="V8">
        <v>2.9</v>
      </c>
      <c r="W8">
        <v>2.46</v>
      </c>
      <c r="X8">
        <v>1.47</v>
      </c>
      <c r="Y8">
        <v>0</v>
      </c>
      <c r="Z8">
        <v>1.61</v>
      </c>
      <c r="AA8">
        <v>0</v>
      </c>
    </row>
    <row r="9" spans="1:27" x14ac:dyDescent="0.25">
      <c r="A9" s="674">
        <v>45724</v>
      </c>
      <c r="B9">
        <v>40</v>
      </c>
      <c r="C9">
        <v>0</v>
      </c>
      <c r="D9">
        <v>71</v>
      </c>
      <c r="E9">
        <v>141</v>
      </c>
      <c r="F9">
        <v>30</v>
      </c>
      <c r="G9">
        <v>105</v>
      </c>
      <c r="H9">
        <v>0</v>
      </c>
      <c r="I9">
        <v>153</v>
      </c>
      <c r="J9">
        <v>7</v>
      </c>
      <c r="K9">
        <v>6</v>
      </c>
      <c r="L9">
        <v>0</v>
      </c>
      <c r="M9">
        <v>163</v>
      </c>
      <c r="N9">
        <v>0</v>
      </c>
      <c r="O9">
        <v>1.6</v>
      </c>
      <c r="P9">
        <v>0</v>
      </c>
      <c r="Q9">
        <v>1.66</v>
      </c>
      <c r="R9">
        <v>1.65</v>
      </c>
      <c r="S9">
        <v>2.08</v>
      </c>
      <c r="T9">
        <v>1.1499999999999999</v>
      </c>
      <c r="U9">
        <v>0</v>
      </c>
      <c r="V9">
        <v>1.96</v>
      </c>
      <c r="W9">
        <v>0.73</v>
      </c>
      <c r="X9">
        <v>2.79</v>
      </c>
      <c r="Y9">
        <v>0</v>
      </c>
      <c r="Z9">
        <v>1.29</v>
      </c>
      <c r="AA9">
        <v>0</v>
      </c>
    </row>
    <row r="10" spans="1:27" x14ac:dyDescent="0.25">
      <c r="A10" s="674">
        <v>45725</v>
      </c>
      <c r="B10">
        <v>37</v>
      </c>
      <c r="C10">
        <v>0</v>
      </c>
      <c r="D10">
        <v>106</v>
      </c>
      <c r="E10">
        <v>140</v>
      </c>
      <c r="F10">
        <v>0</v>
      </c>
      <c r="G10">
        <v>79</v>
      </c>
      <c r="H10">
        <v>0</v>
      </c>
      <c r="I10">
        <v>112</v>
      </c>
      <c r="J10">
        <v>118.5</v>
      </c>
      <c r="K10">
        <v>77.5</v>
      </c>
      <c r="L10">
        <v>0</v>
      </c>
      <c r="M10">
        <v>158</v>
      </c>
      <c r="N10">
        <v>0</v>
      </c>
      <c r="O10">
        <v>1.52</v>
      </c>
      <c r="P10">
        <v>0</v>
      </c>
      <c r="Q10">
        <v>2.35</v>
      </c>
      <c r="R10">
        <v>1.1599999999999999</v>
      </c>
      <c r="S10">
        <v>1.1399999999999999</v>
      </c>
      <c r="T10">
        <v>1.42</v>
      </c>
      <c r="U10">
        <v>0</v>
      </c>
      <c r="V10">
        <v>2.56</v>
      </c>
      <c r="W10">
        <v>3</v>
      </c>
      <c r="X10">
        <v>1.71</v>
      </c>
      <c r="Y10">
        <v>0</v>
      </c>
      <c r="Z10">
        <v>2.67</v>
      </c>
      <c r="AA10">
        <v>0</v>
      </c>
    </row>
    <row r="11" spans="1:27" x14ac:dyDescent="0.25">
      <c r="A11" s="674">
        <v>45726</v>
      </c>
      <c r="B11">
        <v>36</v>
      </c>
      <c r="C11">
        <v>0</v>
      </c>
      <c r="D11">
        <v>82</v>
      </c>
      <c r="E11">
        <v>137</v>
      </c>
      <c r="F11">
        <v>18</v>
      </c>
      <c r="G11">
        <v>92</v>
      </c>
      <c r="H11">
        <v>0</v>
      </c>
      <c r="I11">
        <v>92</v>
      </c>
      <c r="J11">
        <v>181</v>
      </c>
      <c r="K11">
        <v>106</v>
      </c>
      <c r="L11">
        <v>0</v>
      </c>
      <c r="M11">
        <v>147</v>
      </c>
      <c r="N11">
        <v>0</v>
      </c>
      <c r="O11">
        <v>0.97</v>
      </c>
      <c r="P11">
        <v>0</v>
      </c>
      <c r="Q11">
        <v>2.25</v>
      </c>
      <c r="R11">
        <v>2.31</v>
      </c>
      <c r="S11">
        <v>1.48</v>
      </c>
      <c r="T11">
        <v>1.23</v>
      </c>
      <c r="U11">
        <v>0</v>
      </c>
      <c r="V11">
        <v>1.17</v>
      </c>
      <c r="W11">
        <v>3.12</v>
      </c>
      <c r="X11">
        <v>2.68</v>
      </c>
      <c r="Y11">
        <v>0</v>
      </c>
      <c r="Z11">
        <v>1.2</v>
      </c>
      <c r="AA11">
        <v>0</v>
      </c>
    </row>
    <row r="12" spans="1:27" x14ac:dyDescent="0.25">
      <c r="A12" s="674">
        <v>45727</v>
      </c>
      <c r="B12">
        <v>37</v>
      </c>
      <c r="C12">
        <v>0</v>
      </c>
      <c r="D12">
        <v>71</v>
      </c>
      <c r="E12">
        <v>104</v>
      </c>
      <c r="F12">
        <v>53</v>
      </c>
      <c r="G12">
        <v>88</v>
      </c>
      <c r="H12">
        <v>0</v>
      </c>
      <c r="I12">
        <v>107.7</v>
      </c>
      <c r="J12">
        <v>114</v>
      </c>
      <c r="K12">
        <v>77</v>
      </c>
      <c r="L12">
        <v>0</v>
      </c>
      <c r="M12">
        <v>166</v>
      </c>
      <c r="N12">
        <v>0</v>
      </c>
      <c r="O12">
        <v>0.82</v>
      </c>
      <c r="P12">
        <v>0</v>
      </c>
      <c r="Q12">
        <v>2.36</v>
      </c>
      <c r="R12">
        <v>1.98</v>
      </c>
      <c r="S12">
        <v>0.79</v>
      </c>
      <c r="T12">
        <v>3.27</v>
      </c>
      <c r="U12">
        <v>0</v>
      </c>
      <c r="V12">
        <v>4.21</v>
      </c>
      <c r="W12">
        <v>1.58</v>
      </c>
      <c r="X12">
        <v>7</v>
      </c>
      <c r="Y12">
        <v>0</v>
      </c>
      <c r="Z12">
        <v>3.83</v>
      </c>
      <c r="AA12">
        <v>0</v>
      </c>
    </row>
    <row r="13" spans="1:27" x14ac:dyDescent="0.25">
      <c r="A13" s="674">
        <v>45728</v>
      </c>
      <c r="B13">
        <v>35</v>
      </c>
      <c r="C13">
        <v>0</v>
      </c>
      <c r="D13">
        <v>95</v>
      </c>
      <c r="E13">
        <v>145</v>
      </c>
      <c r="F13">
        <v>42</v>
      </c>
      <c r="G13">
        <v>91</v>
      </c>
      <c r="H13">
        <v>0</v>
      </c>
      <c r="I13">
        <v>77.5</v>
      </c>
      <c r="J13">
        <v>107</v>
      </c>
      <c r="K13">
        <v>108</v>
      </c>
      <c r="L13">
        <v>0</v>
      </c>
      <c r="M13">
        <v>153</v>
      </c>
      <c r="N13">
        <v>0</v>
      </c>
      <c r="O13">
        <v>0.35</v>
      </c>
      <c r="P13">
        <v>0</v>
      </c>
      <c r="Q13">
        <v>1.9</v>
      </c>
      <c r="R13">
        <v>1.89</v>
      </c>
      <c r="S13">
        <v>0.92</v>
      </c>
      <c r="T13">
        <v>0.72</v>
      </c>
      <c r="U13">
        <v>0</v>
      </c>
      <c r="V13">
        <v>1.54</v>
      </c>
      <c r="W13">
        <v>2.4</v>
      </c>
      <c r="X13">
        <v>3.92</v>
      </c>
      <c r="Y13">
        <v>0</v>
      </c>
      <c r="Z13">
        <v>2</v>
      </c>
      <c r="AA13">
        <v>0</v>
      </c>
    </row>
    <row r="14" spans="1:27" x14ac:dyDescent="0.25">
      <c r="A14" s="674">
        <v>45729</v>
      </c>
      <c r="B14">
        <v>34</v>
      </c>
      <c r="C14">
        <v>0</v>
      </c>
      <c r="D14">
        <v>106</v>
      </c>
      <c r="E14">
        <v>146</v>
      </c>
      <c r="F14">
        <v>24</v>
      </c>
      <c r="G14">
        <v>85</v>
      </c>
      <c r="H14">
        <v>0</v>
      </c>
      <c r="I14">
        <v>78</v>
      </c>
      <c r="J14">
        <v>75</v>
      </c>
      <c r="K14">
        <v>53</v>
      </c>
      <c r="L14">
        <v>23</v>
      </c>
      <c r="M14">
        <v>225</v>
      </c>
      <c r="N14">
        <v>0</v>
      </c>
      <c r="O14">
        <v>0.22</v>
      </c>
      <c r="P14">
        <v>0</v>
      </c>
      <c r="Q14">
        <v>2.4700000000000002</v>
      </c>
      <c r="R14">
        <v>3.82</v>
      </c>
      <c r="S14">
        <v>1.32</v>
      </c>
      <c r="T14">
        <v>1.97</v>
      </c>
      <c r="U14">
        <v>0</v>
      </c>
      <c r="V14">
        <v>2.1800000000000002</v>
      </c>
      <c r="W14">
        <v>3.46</v>
      </c>
      <c r="X14">
        <v>2.63</v>
      </c>
      <c r="Y14">
        <v>1.68</v>
      </c>
      <c r="Z14">
        <v>1.67</v>
      </c>
      <c r="AA14">
        <v>0</v>
      </c>
    </row>
    <row r="15" spans="1:27" x14ac:dyDescent="0.25">
      <c r="A15" s="674">
        <v>45730</v>
      </c>
      <c r="B15">
        <v>36</v>
      </c>
      <c r="C15">
        <v>0</v>
      </c>
      <c r="D15">
        <v>110</v>
      </c>
      <c r="E15">
        <v>154</v>
      </c>
      <c r="F15">
        <v>24</v>
      </c>
      <c r="G15">
        <v>130</v>
      </c>
      <c r="H15">
        <v>0</v>
      </c>
      <c r="I15">
        <v>73</v>
      </c>
      <c r="J15">
        <v>110</v>
      </c>
      <c r="K15">
        <v>45</v>
      </c>
      <c r="L15">
        <v>0</v>
      </c>
      <c r="M15">
        <v>241</v>
      </c>
      <c r="N15">
        <v>0</v>
      </c>
      <c r="O15">
        <v>0.49</v>
      </c>
      <c r="P15">
        <v>0</v>
      </c>
      <c r="Q15">
        <v>2.94</v>
      </c>
      <c r="R15">
        <v>4.2699999999999996</v>
      </c>
      <c r="S15">
        <v>1.1200000000000001</v>
      </c>
      <c r="T15">
        <v>0.7</v>
      </c>
      <c r="U15">
        <v>0</v>
      </c>
      <c r="V15">
        <v>7</v>
      </c>
      <c r="W15">
        <v>1.71</v>
      </c>
      <c r="X15">
        <v>2.15</v>
      </c>
      <c r="Y15">
        <v>0</v>
      </c>
      <c r="Z15">
        <v>3.11</v>
      </c>
      <c r="AA15">
        <v>0</v>
      </c>
    </row>
    <row r="16" spans="1:27" x14ac:dyDescent="0.25">
      <c r="A16" s="674">
        <v>45731</v>
      </c>
      <c r="B16">
        <v>36</v>
      </c>
      <c r="C16">
        <v>0</v>
      </c>
      <c r="D16">
        <v>111</v>
      </c>
      <c r="E16">
        <v>153</v>
      </c>
      <c r="F16">
        <v>24</v>
      </c>
      <c r="G16">
        <v>90</v>
      </c>
      <c r="H16">
        <v>0</v>
      </c>
      <c r="I16">
        <v>88</v>
      </c>
      <c r="J16">
        <v>101</v>
      </c>
      <c r="K16">
        <v>28</v>
      </c>
      <c r="L16">
        <v>20</v>
      </c>
      <c r="M16">
        <v>156</v>
      </c>
      <c r="N16">
        <v>0</v>
      </c>
      <c r="O16">
        <v>0.36</v>
      </c>
      <c r="P16">
        <v>0</v>
      </c>
      <c r="Q16">
        <v>1.77</v>
      </c>
      <c r="R16">
        <v>4.92</v>
      </c>
      <c r="S16">
        <v>1.34</v>
      </c>
      <c r="T16">
        <v>2.56</v>
      </c>
      <c r="U16">
        <v>0</v>
      </c>
      <c r="V16">
        <v>5.51</v>
      </c>
      <c r="W16">
        <v>3.24</v>
      </c>
      <c r="X16">
        <v>1.78</v>
      </c>
      <c r="Y16">
        <v>2.23</v>
      </c>
      <c r="Z16">
        <v>3.59</v>
      </c>
      <c r="AA16">
        <v>0</v>
      </c>
    </row>
    <row r="17" spans="1:27" x14ac:dyDescent="0.25">
      <c r="A17" s="674">
        <v>45732</v>
      </c>
      <c r="B17">
        <v>0</v>
      </c>
      <c r="C17">
        <v>0</v>
      </c>
      <c r="D17">
        <v>102</v>
      </c>
      <c r="E17">
        <v>150</v>
      </c>
      <c r="F17">
        <v>36</v>
      </c>
      <c r="G17">
        <v>123</v>
      </c>
      <c r="H17">
        <v>0</v>
      </c>
      <c r="I17">
        <v>104</v>
      </c>
      <c r="J17">
        <v>97</v>
      </c>
      <c r="K17">
        <v>24</v>
      </c>
      <c r="L17">
        <v>47</v>
      </c>
      <c r="M17">
        <v>150</v>
      </c>
      <c r="N17">
        <v>0</v>
      </c>
      <c r="O17">
        <v>0</v>
      </c>
      <c r="P17">
        <v>0</v>
      </c>
      <c r="Q17">
        <v>1.81</v>
      </c>
      <c r="R17">
        <v>1.61</v>
      </c>
      <c r="S17">
        <v>1.08</v>
      </c>
      <c r="T17">
        <v>2.42</v>
      </c>
      <c r="U17">
        <v>0</v>
      </c>
      <c r="V17">
        <v>5.08</v>
      </c>
      <c r="W17">
        <v>2.23</v>
      </c>
      <c r="X17">
        <v>4.0599999999999996</v>
      </c>
      <c r="Y17">
        <v>2.61</v>
      </c>
      <c r="Z17">
        <v>2.69</v>
      </c>
      <c r="AA17">
        <v>0</v>
      </c>
    </row>
    <row r="18" spans="1:27" x14ac:dyDescent="0.25">
      <c r="A18" s="674">
        <v>45733</v>
      </c>
      <c r="B18">
        <v>0</v>
      </c>
      <c r="C18">
        <v>0</v>
      </c>
      <c r="D18">
        <v>72</v>
      </c>
      <c r="E18">
        <v>180</v>
      </c>
      <c r="F18">
        <v>24</v>
      </c>
      <c r="G18">
        <v>93</v>
      </c>
      <c r="H18">
        <v>0</v>
      </c>
      <c r="I18">
        <v>104</v>
      </c>
      <c r="J18">
        <v>126</v>
      </c>
      <c r="K18">
        <v>69</v>
      </c>
      <c r="L18">
        <v>100</v>
      </c>
      <c r="M18">
        <v>166</v>
      </c>
      <c r="N18">
        <v>0</v>
      </c>
      <c r="O18">
        <v>0</v>
      </c>
      <c r="P18">
        <v>0</v>
      </c>
      <c r="Q18">
        <v>1.1100000000000001</v>
      </c>
      <c r="R18">
        <v>1.89</v>
      </c>
      <c r="S18">
        <v>0.79</v>
      </c>
      <c r="T18">
        <v>3.81</v>
      </c>
      <c r="U18">
        <v>0</v>
      </c>
      <c r="V18">
        <v>5.05</v>
      </c>
      <c r="W18">
        <v>3.12</v>
      </c>
      <c r="X18">
        <v>3.23</v>
      </c>
      <c r="Y18">
        <v>1.25</v>
      </c>
      <c r="Z18">
        <v>1.99</v>
      </c>
      <c r="AA18">
        <v>0</v>
      </c>
    </row>
    <row r="19" spans="1:27" x14ac:dyDescent="0.25">
      <c r="A19" s="674">
        <v>45734</v>
      </c>
      <c r="B19">
        <v>52</v>
      </c>
      <c r="C19">
        <v>0</v>
      </c>
      <c r="D19">
        <v>70</v>
      </c>
      <c r="E19">
        <v>176</v>
      </c>
      <c r="F19">
        <v>38</v>
      </c>
      <c r="G19">
        <v>54</v>
      </c>
      <c r="H19">
        <v>0</v>
      </c>
      <c r="I19">
        <v>103</v>
      </c>
      <c r="J19">
        <v>83</v>
      </c>
      <c r="K19">
        <v>93</v>
      </c>
      <c r="L19">
        <v>10</v>
      </c>
      <c r="M19">
        <v>157</v>
      </c>
      <c r="N19">
        <v>0</v>
      </c>
      <c r="O19">
        <v>0.91</v>
      </c>
      <c r="P19">
        <v>0</v>
      </c>
      <c r="Q19">
        <v>1.87</v>
      </c>
      <c r="R19">
        <v>3.14</v>
      </c>
      <c r="S19">
        <v>0.88</v>
      </c>
      <c r="T19">
        <v>5.8</v>
      </c>
      <c r="U19">
        <v>0</v>
      </c>
      <c r="V19">
        <v>3.96</v>
      </c>
      <c r="W19">
        <v>5.04</v>
      </c>
      <c r="X19">
        <v>1.75</v>
      </c>
      <c r="Y19">
        <v>2.37</v>
      </c>
      <c r="Z19">
        <v>5.65</v>
      </c>
      <c r="AA19">
        <v>0</v>
      </c>
    </row>
    <row r="20" spans="1:27" x14ac:dyDescent="0.25">
      <c r="A20" s="674">
        <v>45735</v>
      </c>
      <c r="B20">
        <v>38</v>
      </c>
      <c r="C20">
        <v>0</v>
      </c>
      <c r="D20">
        <v>78</v>
      </c>
      <c r="E20">
        <v>178</v>
      </c>
      <c r="F20">
        <v>47</v>
      </c>
      <c r="G20">
        <v>64</v>
      </c>
      <c r="H20">
        <v>35</v>
      </c>
      <c r="I20">
        <v>108.8</v>
      </c>
      <c r="J20">
        <v>82</v>
      </c>
      <c r="K20">
        <v>90</v>
      </c>
      <c r="L20">
        <v>0</v>
      </c>
      <c r="M20">
        <v>167</v>
      </c>
      <c r="N20">
        <v>0</v>
      </c>
      <c r="O20">
        <v>0.12</v>
      </c>
      <c r="P20">
        <v>0</v>
      </c>
      <c r="Q20">
        <v>5.19</v>
      </c>
      <c r="R20">
        <v>2.7</v>
      </c>
      <c r="S20">
        <v>1.21</v>
      </c>
      <c r="T20">
        <v>5.8</v>
      </c>
      <c r="U20">
        <v>0</v>
      </c>
      <c r="V20">
        <v>4.1399999999999997</v>
      </c>
      <c r="W20">
        <v>4.7699999999999996</v>
      </c>
      <c r="X20">
        <v>0.93</v>
      </c>
      <c r="Y20">
        <v>0</v>
      </c>
      <c r="Z20">
        <v>4.8600000000000003</v>
      </c>
      <c r="AA20">
        <v>0</v>
      </c>
    </row>
    <row r="21" spans="1:27" x14ac:dyDescent="0.25">
      <c r="A21" s="674">
        <v>45736</v>
      </c>
      <c r="B21">
        <v>38</v>
      </c>
      <c r="C21">
        <v>0</v>
      </c>
      <c r="D21">
        <v>80</v>
      </c>
      <c r="E21">
        <v>136</v>
      </c>
      <c r="F21">
        <v>60</v>
      </c>
      <c r="G21">
        <v>27</v>
      </c>
      <c r="H21">
        <v>108</v>
      </c>
      <c r="I21">
        <v>121.6</v>
      </c>
      <c r="J21">
        <v>119</v>
      </c>
      <c r="K21">
        <v>76.5</v>
      </c>
      <c r="L21">
        <v>71</v>
      </c>
      <c r="M21">
        <v>204</v>
      </c>
      <c r="N21">
        <v>0</v>
      </c>
      <c r="O21">
        <v>1.51</v>
      </c>
      <c r="P21">
        <v>0</v>
      </c>
      <c r="Q21">
        <v>3.86</v>
      </c>
      <c r="R21">
        <v>3.86</v>
      </c>
      <c r="S21">
        <v>2.21</v>
      </c>
      <c r="T21">
        <v>2.31</v>
      </c>
      <c r="U21">
        <v>2.31</v>
      </c>
      <c r="V21">
        <v>1.95</v>
      </c>
      <c r="W21">
        <v>2.64</v>
      </c>
      <c r="X21">
        <v>1.1299999999999999</v>
      </c>
      <c r="Y21">
        <v>3.93</v>
      </c>
      <c r="Z21">
        <v>2.2200000000000002</v>
      </c>
      <c r="AA21">
        <v>0</v>
      </c>
    </row>
    <row r="22" spans="1:27" x14ac:dyDescent="0.25">
      <c r="A22" s="674">
        <v>45737</v>
      </c>
      <c r="B22">
        <v>40</v>
      </c>
      <c r="C22">
        <v>0</v>
      </c>
      <c r="D22">
        <v>66</v>
      </c>
      <c r="E22">
        <v>180</v>
      </c>
      <c r="F22">
        <v>42</v>
      </c>
      <c r="G22">
        <v>54</v>
      </c>
      <c r="H22">
        <v>90</v>
      </c>
      <c r="I22">
        <v>80</v>
      </c>
      <c r="J22">
        <v>111</v>
      </c>
      <c r="K22">
        <v>102</v>
      </c>
      <c r="L22">
        <v>52.8</v>
      </c>
      <c r="M22">
        <v>187.2</v>
      </c>
      <c r="N22">
        <v>0</v>
      </c>
      <c r="O22">
        <v>0.34</v>
      </c>
      <c r="P22">
        <v>0</v>
      </c>
      <c r="Q22">
        <v>3.87</v>
      </c>
      <c r="R22">
        <v>3.87</v>
      </c>
      <c r="S22">
        <v>1.36</v>
      </c>
      <c r="T22">
        <v>1.44</v>
      </c>
      <c r="U22">
        <v>1.44</v>
      </c>
      <c r="V22">
        <v>4.67</v>
      </c>
      <c r="W22">
        <v>4.38</v>
      </c>
      <c r="X22">
        <v>3.14</v>
      </c>
      <c r="Y22">
        <v>1.1200000000000001</v>
      </c>
      <c r="Z22">
        <v>2.2799999999999998</v>
      </c>
      <c r="AA22">
        <v>0</v>
      </c>
    </row>
    <row r="23" spans="1:27" x14ac:dyDescent="0.25">
      <c r="A23" s="674">
        <v>45738</v>
      </c>
      <c r="B23">
        <v>24</v>
      </c>
      <c r="C23">
        <v>0</v>
      </c>
      <c r="D23">
        <v>108</v>
      </c>
      <c r="E23">
        <v>198</v>
      </c>
      <c r="F23">
        <v>36</v>
      </c>
      <c r="G23">
        <v>42</v>
      </c>
      <c r="H23">
        <v>90</v>
      </c>
      <c r="I23">
        <v>102</v>
      </c>
      <c r="J23">
        <v>81</v>
      </c>
      <c r="K23">
        <v>0</v>
      </c>
      <c r="L23">
        <v>68</v>
      </c>
      <c r="M23">
        <v>268.8</v>
      </c>
      <c r="N23">
        <v>0</v>
      </c>
      <c r="O23">
        <v>0.97</v>
      </c>
      <c r="P23">
        <v>0</v>
      </c>
      <c r="Q23">
        <v>2.48</v>
      </c>
      <c r="R23">
        <v>2.48</v>
      </c>
      <c r="S23">
        <v>2.67</v>
      </c>
      <c r="T23">
        <v>1.31</v>
      </c>
      <c r="U23">
        <v>1.31</v>
      </c>
      <c r="V23">
        <v>4.12</v>
      </c>
      <c r="W23">
        <v>1.81</v>
      </c>
      <c r="X23">
        <v>0</v>
      </c>
      <c r="Y23">
        <v>1.27</v>
      </c>
      <c r="Z23">
        <v>3.22</v>
      </c>
      <c r="AA23">
        <v>0</v>
      </c>
    </row>
    <row r="24" spans="1:27" x14ac:dyDescent="0.25">
      <c r="A24" s="674">
        <v>45739</v>
      </c>
      <c r="B24">
        <v>0</v>
      </c>
      <c r="C24">
        <v>0</v>
      </c>
      <c r="D24">
        <v>162</v>
      </c>
      <c r="E24">
        <v>157</v>
      </c>
      <c r="F24">
        <v>32</v>
      </c>
      <c r="G24">
        <v>72</v>
      </c>
      <c r="H24">
        <v>0</v>
      </c>
      <c r="I24">
        <v>55</v>
      </c>
      <c r="J24">
        <v>52</v>
      </c>
      <c r="K24">
        <v>75</v>
      </c>
      <c r="L24">
        <v>115</v>
      </c>
      <c r="M24">
        <v>207</v>
      </c>
      <c r="N24">
        <v>0</v>
      </c>
      <c r="O24">
        <v>0</v>
      </c>
      <c r="P24">
        <v>0</v>
      </c>
      <c r="Q24">
        <v>2.7</v>
      </c>
      <c r="R24">
        <v>3.11</v>
      </c>
      <c r="S24">
        <v>2.06</v>
      </c>
      <c r="T24">
        <v>3.17</v>
      </c>
      <c r="U24">
        <v>0</v>
      </c>
      <c r="V24">
        <v>6.89</v>
      </c>
      <c r="W24">
        <v>7</v>
      </c>
      <c r="X24">
        <v>2.25</v>
      </c>
      <c r="Y24">
        <v>1.4</v>
      </c>
      <c r="Z24">
        <v>2.13</v>
      </c>
      <c r="AA24">
        <v>0</v>
      </c>
    </row>
    <row r="25" spans="1:27" x14ac:dyDescent="0.25">
      <c r="A25" s="674">
        <v>45740</v>
      </c>
      <c r="B25">
        <v>0</v>
      </c>
      <c r="C25">
        <v>0</v>
      </c>
      <c r="D25">
        <v>88</v>
      </c>
      <c r="E25">
        <v>152</v>
      </c>
      <c r="F25">
        <v>36</v>
      </c>
      <c r="G25">
        <v>147</v>
      </c>
      <c r="H25">
        <v>0</v>
      </c>
      <c r="I25">
        <v>36</v>
      </c>
      <c r="J25">
        <v>100.4</v>
      </c>
      <c r="K25">
        <v>66.8</v>
      </c>
      <c r="L25">
        <v>0</v>
      </c>
      <c r="M25">
        <v>96</v>
      </c>
      <c r="N25">
        <v>0</v>
      </c>
      <c r="O25">
        <v>0</v>
      </c>
      <c r="P25">
        <v>0</v>
      </c>
      <c r="Q25">
        <v>1.71</v>
      </c>
      <c r="R25">
        <v>1.1200000000000001</v>
      </c>
      <c r="S25">
        <v>2.69</v>
      </c>
      <c r="T25">
        <v>1.1100000000000001</v>
      </c>
      <c r="U25">
        <v>0</v>
      </c>
      <c r="V25">
        <v>1.2</v>
      </c>
      <c r="W25">
        <v>1.9</v>
      </c>
      <c r="X25">
        <v>1.68</v>
      </c>
      <c r="Y25">
        <v>0</v>
      </c>
      <c r="Z25">
        <v>2.89</v>
      </c>
      <c r="AA25">
        <v>0</v>
      </c>
    </row>
    <row r="26" spans="1:27" x14ac:dyDescent="0.25">
      <c r="A26" s="674">
        <v>45741</v>
      </c>
      <c r="B26" s="50">
        <f>MAX(0,_xlfn.FORECAST.ETS(A26,B2:B25,A2:A25,1,1,1))</f>
        <v>6.097527154446893</v>
      </c>
    </row>
    <row r="27" spans="1:27" x14ac:dyDescent="0.25">
      <c r="A27" s="674">
        <v>45742</v>
      </c>
      <c r="B27" s="50">
        <f>MAX(0,_xlfn.FORECAST.ETS(A27,B2:B25,A2:A25,1,1,1))</f>
        <v>5.151925501095568</v>
      </c>
    </row>
    <row r="28" spans="1:27" x14ac:dyDescent="0.25">
      <c r="A28" s="674">
        <v>45743</v>
      </c>
      <c r="B28" s="50">
        <f>MAX(0,_xlfn.FORECAST.ETS(A28,B2:B25,A2:A25,1,1,1))</f>
        <v>6.8506735314986669</v>
      </c>
    </row>
    <row r="29" spans="1:27" x14ac:dyDescent="0.25">
      <c r="A29" s="674">
        <v>45744</v>
      </c>
      <c r="B29" s="50">
        <f>MAX(0,_xlfn.FORECAST.ETS(A29,B2:B25,A2:A25,1,1,1))</f>
        <v>14.442612987100354</v>
      </c>
    </row>
    <row r="30" spans="1:27" x14ac:dyDescent="0.25">
      <c r="A30" s="674">
        <v>45745</v>
      </c>
      <c r="B30" s="50">
        <f>MAX(0,_xlfn.FORECAST.ETS(A30,B2:B25,A2:A25,1,1,1))</f>
        <v>26.223890687123749</v>
      </c>
    </row>
    <row r="31" spans="1:27" x14ac:dyDescent="0.25">
      <c r="A31" s="674">
        <v>45746</v>
      </c>
      <c r="B31" s="50">
        <f>MAX(0,_xlfn.FORECAST.ETS(A31,B2:B25,A2:A25,1,1,1))</f>
        <v>6.8672471142729252</v>
      </c>
    </row>
    <row r="32" spans="1:27" x14ac:dyDescent="0.25">
      <c r="A32" s="674">
        <v>45747</v>
      </c>
      <c r="B32">
        <f>MAX(0,_xlfn.FORECAST.ETS(A32,B2:B25,A2:A25,1,1,1))</f>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1E60F-62C4-4B9E-B35F-1E2B24198A3C}">
  <dimension ref="A1:AH159"/>
  <sheetViews>
    <sheetView topLeftCell="B1" zoomScale="70" zoomScaleNormal="70" workbookViewId="0">
      <selection activeCell="F26" sqref="F26"/>
    </sheetView>
  </sheetViews>
  <sheetFormatPr defaultColWidth="9.28515625" defaultRowHeight="15" outlineLevelRow="1" x14ac:dyDescent="0.25"/>
  <cols>
    <col min="1" max="1" width="23.140625" style="389" bestFit="1" customWidth="1"/>
    <col min="2" max="2" width="21.42578125" style="389" bestFit="1" customWidth="1"/>
    <col min="3" max="3" width="15.42578125" style="462" bestFit="1" customWidth="1"/>
    <col min="4" max="4" width="13.42578125" style="389" bestFit="1" customWidth="1"/>
    <col min="5" max="5" width="12.85546875" style="408" bestFit="1" customWidth="1"/>
    <col min="6" max="12" width="12.85546875" style="389" bestFit="1" customWidth="1"/>
    <col min="13" max="24" width="13.7109375" style="389" bestFit="1" customWidth="1"/>
    <col min="25" max="26" width="13.7109375" style="431" bestFit="1" customWidth="1"/>
    <col min="27" max="27" width="13.7109375" style="389" bestFit="1" customWidth="1"/>
    <col min="28" max="29" width="9.5703125" style="431" bestFit="1" customWidth="1"/>
    <col min="30" max="32" width="13.7109375" style="389" bestFit="1" customWidth="1"/>
    <col min="33" max="33" width="13.7109375" style="389" customWidth="1"/>
    <col min="34" max="34" width="13.7109375" style="463" customWidth="1"/>
    <col min="35" max="16384" width="9.28515625" style="389"/>
  </cols>
  <sheetData>
    <row r="1" spans="1:34" s="364" customFormat="1" x14ac:dyDescent="0.25">
      <c r="A1" s="363" t="s">
        <v>208</v>
      </c>
      <c r="C1" s="365" t="s">
        <v>17</v>
      </c>
      <c r="D1" s="366">
        <v>45717</v>
      </c>
      <c r="E1" s="366">
        <v>45718</v>
      </c>
      <c r="F1" s="366">
        <v>45719</v>
      </c>
      <c r="G1" s="366">
        <v>45720</v>
      </c>
      <c r="H1" s="366">
        <v>45721</v>
      </c>
      <c r="I1" s="366">
        <v>45722</v>
      </c>
      <c r="J1" s="366">
        <v>45723</v>
      </c>
      <c r="K1" s="366">
        <v>45724</v>
      </c>
      <c r="L1" s="366">
        <v>45725</v>
      </c>
      <c r="M1" s="366">
        <v>45726</v>
      </c>
      <c r="N1" s="366">
        <v>45727</v>
      </c>
      <c r="O1" s="366">
        <v>45728</v>
      </c>
      <c r="P1" s="366">
        <v>45729</v>
      </c>
      <c r="Q1" s="366">
        <v>45730</v>
      </c>
      <c r="R1" s="366">
        <v>45731</v>
      </c>
      <c r="S1" s="366">
        <v>45732</v>
      </c>
      <c r="T1" s="366">
        <v>45733</v>
      </c>
      <c r="U1" s="366">
        <v>45734</v>
      </c>
      <c r="V1" s="366">
        <v>45735</v>
      </c>
      <c r="W1" s="366">
        <v>45736</v>
      </c>
      <c r="X1" s="366">
        <v>45737</v>
      </c>
      <c r="Y1" s="366">
        <v>45738</v>
      </c>
      <c r="Z1" s="366">
        <v>45739</v>
      </c>
      <c r="AA1" s="366">
        <v>45740</v>
      </c>
      <c r="AB1" s="366">
        <v>45741</v>
      </c>
      <c r="AC1" s="366">
        <v>45742</v>
      </c>
      <c r="AD1" s="366">
        <v>45743</v>
      </c>
      <c r="AE1" s="366">
        <v>45744</v>
      </c>
      <c r="AF1" s="366">
        <v>45745</v>
      </c>
      <c r="AG1" s="366">
        <v>45746</v>
      </c>
      <c r="AH1" s="366">
        <v>45747</v>
      </c>
    </row>
    <row r="2" spans="1:34" s="371" customFormat="1" x14ac:dyDescent="0.25">
      <c r="A2" s="1713" t="s">
        <v>482</v>
      </c>
      <c r="B2" s="367" t="s">
        <v>483</v>
      </c>
      <c r="C2" s="368">
        <f>SUM(D2:AH2)</f>
        <v>27125</v>
      </c>
      <c r="D2" s="369">
        <f>+D74+D158</f>
        <v>875</v>
      </c>
      <c r="E2" s="370">
        <f t="shared" ref="E2:AF2" si="0">+E74+E158</f>
        <v>875</v>
      </c>
      <c r="F2" s="369">
        <f t="shared" si="0"/>
        <v>875</v>
      </c>
      <c r="G2" s="369">
        <f t="shared" si="0"/>
        <v>875</v>
      </c>
      <c r="H2" s="369">
        <f t="shared" si="0"/>
        <v>875</v>
      </c>
      <c r="I2" s="369">
        <f t="shared" si="0"/>
        <v>875</v>
      </c>
      <c r="J2" s="369">
        <f t="shared" si="0"/>
        <v>875</v>
      </c>
      <c r="K2" s="369">
        <f t="shared" si="0"/>
        <v>875</v>
      </c>
      <c r="L2" s="369">
        <f t="shared" si="0"/>
        <v>875</v>
      </c>
      <c r="M2" s="369">
        <f t="shared" si="0"/>
        <v>875</v>
      </c>
      <c r="N2" s="369">
        <f t="shared" si="0"/>
        <v>875</v>
      </c>
      <c r="O2" s="369">
        <f t="shared" si="0"/>
        <v>875</v>
      </c>
      <c r="P2" s="369">
        <f t="shared" si="0"/>
        <v>875</v>
      </c>
      <c r="Q2" s="369">
        <f t="shared" si="0"/>
        <v>875</v>
      </c>
      <c r="R2" s="369">
        <f t="shared" si="0"/>
        <v>875</v>
      </c>
      <c r="S2" s="369">
        <f t="shared" si="0"/>
        <v>875</v>
      </c>
      <c r="T2" s="369">
        <f t="shared" si="0"/>
        <v>875</v>
      </c>
      <c r="U2" s="369">
        <f t="shared" si="0"/>
        <v>875</v>
      </c>
      <c r="V2" s="369">
        <f t="shared" si="0"/>
        <v>875</v>
      </c>
      <c r="W2" s="369">
        <f t="shared" si="0"/>
        <v>875</v>
      </c>
      <c r="X2" s="369">
        <f t="shared" si="0"/>
        <v>875</v>
      </c>
      <c r="Y2" s="369">
        <f t="shared" si="0"/>
        <v>875</v>
      </c>
      <c r="Z2" s="369">
        <f t="shared" si="0"/>
        <v>875</v>
      </c>
      <c r="AA2" s="369">
        <f t="shared" si="0"/>
        <v>875</v>
      </c>
      <c r="AB2" s="369">
        <f t="shared" si="0"/>
        <v>875</v>
      </c>
      <c r="AC2" s="369">
        <f t="shared" si="0"/>
        <v>875</v>
      </c>
      <c r="AD2" s="369">
        <f t="shared" si="0"/>
        <v>875</v>
      </c>
      <c r="AE2" s="369">
        <f t="shared" si="0"/>
        <v>875</v>
      </c>
      <c r="AF2" s="369">
        <f t="shared" si="0"/>
        <v>875</v>
      </c>
      <c r="AG2" s="369">
        <f>+AG74+AG158</f>
        <v>875</v>
      </c>
      <c r="AH2" s="369">
        <f>+AH74+AH158</f>
        <v>875</v>
      </c>
    </row>
    <row r="3" spans="1:34" s="371" customFormat="1" ht="15.75" thickBot="1" x14ac:dyDescent="0.3">
      <c r="A3" s="1714"/>
      <c r="B3" s="372" t="s">
        <v>484</v>
      </c>
      <c r="C3" s="373">
        <f>IFERROR(SUMPRODUCT(D2:AH2,D3:AH3)/C2,0)</f>
        <v>2.4716672897196261</v>
      </c>
      <c r="D3" s="374">
        <f t="shared" ref="D3:AH3" si="1">+IF(D2,(D74*D75+D158*D159)/D2,0)</f>
        <v>2.4716672897196257</v>
      </c>
      <c r="E3" s="375">
        <f t="shared" si="1"/>
        <v>2.4716672897196257</v>
      </c>
      <c r="F3" s="374">
        <f t="shared" si="1"/>
        <v>2.4716672897196257</v>
      </c>
      <c r="G3" s="374">
        <f t="shared" si="1"/>
        <v>2.4716672897196257</v>
      </c>
      <c r="H3" s="374">
        <f t="shared" si="1"/>
        <v>2.4716672897196257</v>
      </c>
      <c r="I3" s="374">
        <f t="shared" si="1"/>
        <v>2.4716672897196257</v>
      </c>
      <c r="J3" s="374">
        <f t="shared" si="1"/>
        <v>2.4716672897196257</v>
      </c>
      <c r="K3" s="374">
        <f t="shared" si="1"/>
        <v>2.4716672897196257</v>
      </c>
      <c r="L3" s="374">
        <f t="shared" si="1"/>
        <v>2.4716672897196257</v>
      </c>
      <c r="M3" s="374">
        <f t="shared" si="1"/>
        <v>2.4716672897196257</v>
      </c>
      <c r="N3" s="374">
        <f t="shared" si="1"/>
        <v>2.4716672897196257</v>
      </c>
      <c r="O3" s="374">
        <f t="shared" si="1"/>
        <v>2.4716672897196257</v>
      </c>
      <c r="P3" s="374">
        <f t="shared" si="1"/>
        <v>2.4716672897196257</v>
      </c>
      <c r="Q3" s="374">
        <f t="shared" si="1"/>
        <v>2.4716672897196257</v>
      </c>
      <c r="R3" s="374">
        <f t="shared" si="1"/>
        <v>2.4716672897196257</v>
      </c>
      <c r="S3" s="374">
        <f t="shared" si="1"/>
        <v>2.4716672897196257</v>
      </c>
      <c r="T3" s="374">
        <f t="shared" si="1"/>
        <v>2.4716672897196257</v>
      </c>
      <c r="U3" s="374">
        <f t="shared" si="1"/>
        <v>2.4716672897196257</v>
      </c>
      <c r="V3" s="374">
        <f t="shared" si="1"/>
        <v>2.4716672897196257</v>
      </c>
      <c r="W3" s="374">
        <f t="shared" si="1"/>
        <v>2.4716672897196257</v>
      </c>
      <c r="X3" s="374">
        <f t="shared" si="1"/>
        <v>2.4716672897196257</v>
      </c>
      <c r="Y3" s="374">
        <f t="shared" si="1"/>
        <v>2.4716672897196257</v>
      </c>
      <c r="Z3" s="374">
        <f t="shared" si="1"/>
        <v>2.4716672897196257</v>
      </c>
      <c r="AA3" s="374">
        <f t="shared" si="1"/>
        <v>2.4716672897196257</v>
      </c>
      <c r="AB3" s="374">
        <f t="shared" si="1"/>
        <v>2.4716672897196257</v>
      </c>
      <c r="AC3" s="374">
        <f t="shared" si="1"/>
        <v>2.4716672897196257</v>
      </c>
      <c r="AD3" s="374">
        <f t="shared" si="1"/>
        <v>2.4716672897196257</v>
      </c>
      <c r="AE3" s="374">
        <f t="shared" si="1"/>
        <v>2.4716672897196257</v>
      </c>
      <c r="AF3" s="374">
        <f t="shared" si="1"/>
        <v>2.4716672897196257</v>
      </c>
      <c r="AG3" s="374">
        <f t="shared" si="1"/>
        <v>2.4716672897196257</v>
      </c>
      <c r="AH3" s="374">
        <f t="shared" si="1"/>
        <v>2.4716672897196257</v>
      </c>
    </row>
    <row r="4" spans="1:34" s="364" customFormat="1" ht="15.75" thickTop="1" x14ac:dyDescent="0.25">
      <c r="A4" s="376"/>
      <c r="B4" s="377"/>
      <c r="C4" s="378"/>
      <c r="D4" s="379"/>
      <c r="E4" s="380"/>
      <c r="F4" s="379"/>
      <c r="G4" s="379"/>
      <c r="H4" s="379"/>
      <c r="I4" s="379"/>
      <c r="J4" s="379"/>
      <c r="K4" s="379"/>
      <c r="L4" s="379"/>
      <c r="M4" s="379"/>
      <c r="N4" s="379"/>
      <c r="O4" s="379"/>
      <c r="P4" s="379"/>
      <c r="Q4" s="379"/>
      <c r="R4" s="379"/>
      <c r="S4" s="379"/>
      <c r="T4" s="379"/>
      <c r="U4" s="379"/>
      <c r="V4" s="379"/>
      <c r="W4" s="379"/>
      <c r="X4" s="379"/>
      <c r="Y4" s="379"/>
      <c r="Z4" s="379"/>
      <c r="AA4" s="379"/>
      <c r="AB4" s="379"/>
      <c r="AC4" s="379"/>
      <c r="AD4" s="379"/>
      <c r="AE4" s="379"/>
      <c r="AF4" s="379"/>
      <c r="AG4" s="379"/>
      <c r="AH4" s="379"/>
    </row>
    <row r="5" spans="1:34" s="364" customFormat="1" x14ac:dyDescent="0.25">
      <c r="A5" s="376"/>
      <c r="B5" s="381"/>
      <c r="C5" s="382"/>
      <c r="D5" s="383"/>
      <c r="E5" s="384"/>
      <c r="F5" s="383"/>
      <c r="G5" s="383"/>
      <c r="H5" s="383"/>
      <c r="I5" s="383"/>
      <c r="J5" s="383"/>
      <c r="K5" s="383"/>
      <c r="L5" s="383"/>
      <c r="M5" s="383"/>
      <c r="N5" s="383"/>
      <c r="O5" s="383"/>
      <c r="P5" s="383"/>
      <c r="Q5" s="383"/>
      <c r="R5" s="383"/>
      <c r="S5" s="383"/>
      <c r="T5" s="383"/>
      <c r="U5" s="383"/>
      <c r="V5" s="383"/>
      <c r="W5" s="383"/>
      <c r="X5" s="383"/>
      <c r="Y5" s="383"/>
      <c r="Z5" s="383"/>
      <c r="AA5" s="383"/>
      <c r="AB5" s="383"/>
      <c r="AC5" s="383"/>
      <c r="AD5" s="383"/>
      <c r="AE5" s="383"/>
      <c r="AF5" s="383"/>
      <c r="AG5" s="383"/>
      <c r="AH5" s="383"/>
    </row>
    <row r="6" spans="1:34" hidden="1" outlineLevel="1" x14ac:dyDescent="0.25">
      <c r="A6" s="1712" t="s">
        <v>485</v>
      </c>
      <c r="B6" s="386" t="s">
        <v>486</v>
      </c>
      <c r="C6" s="387">
        <f>SUM(D6:AG6)</f>
        <v>1050</v>
      </c>
      <c r="D6" s="388">
        <v>35</v>
      </c>
      <c r="E6" s="388">
        <v>35</v>
      </c>
      <c r="F6" s="388">
        <v>35</v>
      </c>
      <c r="G6" s="388">
        <v>35</v>
      </c>
      <c r="H6" s="388">
        <v>35</v>
      </c>
      <c r="I6" s="388">
        <v>35</v>
      </c>
      <c r="J6" s="388">
        <v>35</v>
      </c>
      <c r="K6" s="388">
        <v>35</v>
      </c>
      <c r="L6" s="388">
        <v>35</v>
      </c>
      <c r="M6" s="388">
        <v>35</v>
      </c>
      <c r="N6" s="388">
        <v>35</v>
      </c>
      <c r="O6" s="388">
        <v>35</v>
      </c>
      <c r="P6" s="388">
        <v>35</v>
      </c>
      <c r="Q6" s="388">
        <v>35</v>
      </c>
      <c r="R6" s="388">
        <v>35</v>
      </c>
      <c r="S6" s="388">
        <v>35</v>
      </c>
      <c r="T6" s="388">
        <v>35</v>
      </c>
      <c r="U6" s="388">
        <v>35</v>
      </c>
      <c r="V6" s="388">
        <v>35</v>
      </c>
      <c r="W6" s="388">
        <v>35</v>
      </c>
      <c r="X6" s="388">
        <v>35</v>
      </c>
      <c r="Y6" s="388">
        <v>35</v>
      </c>
      <c r="Z6" s="388">
        <v>35</v>
      </c>
      <c r="AA6" s="388">
        <v>35</v>
      </c>
      <c r="AB6" s="388">
        <v>35</v>
      </c>
      <c r="AC6" s="388">
        <v>35</v>
      </c>
      <c r="AD6" s="388">
        <v>35</v>
      </c>
      <c r="AE6" s="388">
        <v>35</v>
      </c>
      <c r="AF6" s="388">
        <v>35</v>
      </c>
      <c r="AG6" s="388">
        <v>35</v>
      </c>
      <c r="AH6" s="388">
        <v>35</v>
      </c>
    </row>
    <row r="7" spans="1:34" hidden="1" outlineLevel="1" x14ac:dyDescent="0.25">
      <c r="A7" s="1712"/>
      <c r="B7" s="390" t="s">
        <v>484</v>
      </c>
      <c r="C7" s="391">
        <f>IF(C6,SUMPRODUCT(D6:AG6,D7:AG7)/C6,0)</f>
        <v>1.8271028037383188</v>
      </c>
      <c r="D7" s="392">
        <v>1.8271028037383175</v>
      </c>
      <c r="E7" s="392">
        <v>1.8271028037383175</v>
      </c>
      <c r="F7" s="392">
        <v>1.8271028037383175</v>
      </c>
      <c r="G7" s="392">
        <v>1.8271028037383175</v>
      </c>
      <c r="H7" s="392">
        <v>1.8271028037383175</v>
      </c>
      <c r="I7" s="392">
        <v>1.8271028037383175</v>
      </c>
      <c r="J7" s="392">
        <v>1.8271028037383175</v>
      </c>
      <c r="K7" s="392">
        <v>1.8271028037383175</v>
      </c>
      <c r="L7" s="392">
        <v>1.8271028037383175</v>
      </c>
      <c r="M7" s="392">
        <v>1.8271028037383175</v>
      </c>
      <c r="N7" s="392">
        <v>1.8271028037383175</v>
      </c>
      <c r="O7" s="392">
        <v>1.8271028037383175</v>
      </c>
      <c r="P7" s="392">
        <v>1.8271028037383175</v>
      </c>
      <c r="Q7" s="392">
        <v>1.8271028037383175</v>
      </c>
      <c r="R7" s="392">
        <v>1.8271028037383175</v>
      </c>
      <c r="S7" s="392">
        <v>1.8271028037383175</v>
      </c>
      <c r="T7" s="392">
        <v>1.8271028037383175</v>
      </c>
      <c r="U7" s="392">
        <v>1.8271028037383175</v>
      </c>
      <c r="V7" s="392">
        <v>1.8271028037383175</v>
      </c>
      <c r="W7" s="392">
        <v>1.8271028037383175</v>
      </c>
      <c r="X7" s="392">
        <v>1.8271028037383175</v>
      </c>
      <c r="Y7" s="392">
        <v>1.8271028037383175</v>
      </c>
      <c r="Z7" s="392">
        <v>1.8271028037383175</v>
      </c>
      <c r="AA7" s="392">
        <v>1.8271028037383175</v>
      </c>
      <c r="AB7" s="392">
        <v>1.8271028037383175</v>
      </c>
      <c r="AC7" s="392">
        <v>1.8271028037383175</v>
      </c>
      <c r="AD7" s="392">
        <v>1.8271028037383175</v>
      </c>
      <c r="AE7" s="392">
        <v>1.8271028037383175</v>
      </c>
      <c r="AF7" s="392">
        <v>1.8271028037383175</v>
      </c>
      <c r="AG7" s="392">
        <v>1.8271028037383175</v>
      </c>
      <c r="AH7" s="392">
        <v>1.8271028037383175</v>
      </c>
    </row>
    <row r="8" spans="1:34" collapsed="1" x14ac:dyDescent="0.25">
      <c r="A8" s="1712" t="s">
        <v>487</v>
      </c>
      <c r="B8" s="390" t="s">
        <v>488</v>
      </c>
      <c r="C8" s="387">
        <f>SUM(D8:AH8)</f>
        <v>1085</v>
      </c>
      <c r="D8" s="393">
        <f>D6</f>
        <v>35</v>
      </c>
      <c r="E8" s="393">
        <f t="shared" ref="E8:AH8" si="2">E6</f>
        <v>35</v>
      </c>
      <c r="F8" s="393">
        <f t="shared" si="2"/>
        <v>35</v>
      </c>
      <c r="G8" s="393">
        <f t="shared" si="2"/>
        <v>35</v>
      </c>
      <c r="H8" s="393">
        <f t="shared" si="2"/>
        <v>35</v>
      </c>
      <c r="I8" s="393">
        <f t="shared" si="2"/>
        <v>35</v>
      </c>
      <c r="J8" s="393">
        <f t="shared" si="2"/>
        <v>35</v>
      </c>
      <c r="K8" s="393">
        <f t="shared" si="2"/>
        <v>35</v>
      </c>
      <c r="L8" s="393">
        <f t="shared" si="2"/>
        <v>35</v>
      </c>
      <c r="M8" s="393">
        <f t="shared" si="2"/>
        <v>35</v>
      </c>
      <c r="N8" s="393">
        <f t="shared" si="2"/>
        <v>35</v>
      </c>
      <c r="O8" s="393">
        <f t="shared" si="2"/>
        <v>35</v>
      </c>
      <c r="P8" s="393">
        <f t="shared" si="2"/>
        <v>35</v>
      </c>
      <c r="Q8" s="393">
        <f t="shared" si="2"/>
        <v>35</v>
      </c>
      <c r="R8" s="393">
        <f t="shared" si="2"/>
        <v>35</v>
      </c>
      <c r="S8" s="393">
        <f t="shared" si="2"/>
        <v>35</v>
      </c>
      <c r="T8" s="393">
        <f t="shared" si="2"/>
        <v>35</v>
      </c>
      <c r="U8" s="393">
        <f t="shared" si="2"/>
        <v>35</v>
      </c>
      <c r="V8" s="393">
        <f t="shared" si="2"/>
        <v>35</v>
      </c>
      <c r="W8" s="393">
        <f t="shared" si="2"/>
        <v>35</v>
      </c>
      <c r="X8" s="393">
        <f t="shared" si="2"/>
        <v>35</v>
      </c>
      <c r="Y8" s="393">
        <f t="shared" si="2"/>
        <v>35</v>
      </c>
      <c r="Z8" s="393">
        <f t="shared" si="2"/>
        <v>35</v>
      </c>
      <c r="AA8" s="393">
        <f t="shared" si="2"/>
        <v>35</v>
      </c>
      <c r="AB8" s="393">
        <f t="shared" si="2"/>
        <v>35</v>
      </c>
      <c r="AC8" s="393">
        <f t="shared" si="2"/>
        <v>35</v>
      </c>
      <c r="AD8" s="393">
        <f t="shared" si="2"/>
        <v>35</v>
      </c>
      <c r="AE8" s="393">
        <f t="shared" si="2"/>
        <v>35</v>
      </c>
      <c r="AF8" s="393">
        <f t="shared" si="2"/>
        <v>35</v>
      </c>
      <c r="AG8" s="393">
        <f t="shared" si="2"/>
        <v>35</v>
      </c>
      <c r="AH8" s="393">
        <f t="shared" si="2"/>
        <v>35</v>
      </c>
    </row>
    <row r="9" spans="1:34" x14ac:dyDescent="0.25">
      <c r="A9" s="1712" t="s">
        <v>489</v>
      </c>
      <c r="B9" s="390" t="s">
        <v>484</v>
      </c>
      <c r="C9" s="394">
        <f>IF(C8,SUMPRODUCT(D8:AH8,D9:AH9)/C8,0)</f>
        <v>1.8271028037383188</v>
      </c>
      <c r="D9" s="395">
        <f>+IF(D8,(D6*D7)/D8,0)</f>
        <v>1.8271028037383175</v>
      </c>
      <c r="E9" s="395">
        <f t="shared" ref="E9:AH9" si="3">+IF(E8,(E6*E7)/E8,0)</f>
        <v>1.8271028037383175</v>
      </c>
      <c r="F9" s="395">
        <f t="shared" si="3"/>
        <v>1.8271028037383175</v>
      </c>
      <c r="G9" s="395">
        <f t="shared" si="3"/>
        <v>1.8271028037383175</v>
      </c>
      <c r="H9" s="395">
        <f t="shared" si="3"/>
        <v>1.8271028037383175</v>
      </c>
      <c r="I9" s="395">
        <f t="shared" si="3"/>
        <v>1.8271028037383175</v>
      </c>
      <c r="J9" s="395">
        <f t="shared" si="3"/>
        <v>1.8271028037383175</v>
      </c>
      <c r="K9" s="395">
        <f t="shared" si="3"/>
        <v>1.8271028037383175</v>
      </c>
      <c r="L9" s="395">
        <f t="shared" si="3"/>
        <v>1.8271028037383175</v>
      </c>
      <c r="M9" s="395">
        <f t="shared" si="3"/>
        <v>1.8271028037383175</v>
      </c>
      <c r="N9" s="395">
        <f t="shared" si="3"/>
        <v>1.8271028037383175</v>
      </c>
      <c r="O9" s="395">
        <f t="shared" si="3"/>
        <v>1.8271028037383175</v>
      </c>
      <c r="P9" s="395">
        <f t="shared" si="3"/>
        <v>1.8271028037383175</v>
      </c>
      <c r="Q9" s="395">
        <f t="shared" si="3"/>
        <v>1.8271028037383175</v>
      </c>
      <c r="R9" s="395">
        <f t="shared" si="3"/>
        <v>1.8271028037383175</v>
      </c>
      <c r="S9" s="395">
        <f t="shared" si="3"/>
        <v>1.8271028037383175</v>
      </c>
      <c r="T9" s="395">
        <f t="shared" si="3"/>
        <v>1.8271028037383175</v>
      </c>
      <c r="U9" s="395">
        <f t="shared" si="3"/>
        <v>1.8271028037383175</v>
      </c>
      <c r="V9" s="395">
        <f t="shared" si="3"/>
        <v>1.8271028037383175</v>
      </c>
      <c r="W9" s="395">
        <f t="shared" si="3"/>
        <v>1.8271028037383175</v>
      </c>
      <c r="X9" s="395">
        <f t="shared" si="3"/>
        <v>1.8271028037383175</v>
      </c>
      <c r="Y9" s="395">
        <f t="shared" si="3"/>
        <v>1.8271028037383175</v>
      </c>
      <c r="Z9" s="395">
        <f t="shared" si="3"/>
        <v>1.8271028037383175</v>
      </c>
      <c r="AA9" s="395">
        <f t="shared" si="3"/>
        <v>1.8271028037383175</v>
      </c>
      <c r="AB9" s="395">
        <f t="shared" si="3"/>
        <v>1.8271028037383175</v>
      </c>
      <c r="AC9" s="395">
        <f t="shared" si="3"/>
        <v>1.8271028037383175</v>
      </c>
      <c r="AD9" s="395">
        <f t="shared" si="3"/>
        <v>1.8271028037383175</v>
      </c>
      <c r="AE9" s="395">
        <f t="shared" si="3"/>
        <v>1.8271028037383175</v>
      </c>
      <c r="AF9" s="395">
        <f t="shared" si="3"/>
        <v>1.8271028037383175</v>
      </c>
      <c r="AG9" s="395">
        <f t="shared" si="3"/>
        <v>1.8271028037383175</v>
      </c>
      <c r="AH9" s="395">
        <f t="shared" si="3"/>
        <v>1.8271028037383175</v>
      </c>
    </row>
    <row r="10" spans="1:34" outlineLevel="1" x14ac:dyDescent="0.25">
      <c r="A10" s="1712" t="s">
        <v>490</v>
      </c>
      <c r="B10" s="386" t="s">
        <v>486</v>
      </c>
      <c r="C10" s="396">
        <f>SUM(D10:AG10)</f>
        <v>0</v>
      </c>
      <c r="D10" s="388">
        <v>0</v>
      </c>
      <c r="E10" s="397">
        <v>0</v>
      </c>
      <c r="F10" s="388">
        <v>0</v>
      </c>
      <c r="G10" s="388">
        <v>0</v>
      </c>
      <c r="H10" s="388">
        <v>0</v>
      </c>
      <c r="I10" s="388">
        <v>0</v>
      </c>
      <c r="J10" s="388">
        <v>0</v>
      </c>
      <c r="K10" s="388">
        <v>0</v>
      </c>
      <c r="L10" s="388">
        <v>0</v>
      </c>
      <c r="M10" s="388">
        <v>0</v>
      </c>
      <c r="N10" s="388">
        <v>0</v>
      </c>
      <c r="O10" s="388">
        <v>0</v>
      </c>
      <c r="P10" s="388">
        <v>0</v>
      </c>
      <c r="Q10" s="388">
        <v>0</v>
      </c>
      <c r="R10" s="388">
        <v>0</v>
      </c>
      <c r="S10" s="388">
        <v>0</v>
      </c>
      <c r="T10" s="388">
        <v>0</v>
      </c>
      <c r="U10" s="388">
        <v>0</v>
      </c>
      <c r="V10" s="388">
        <v>0</v>
      </c>
      <c r="W10" s="388">
        <v>0</v>
      </c>
      <c r="X10" s="388">
        <v>0</v>
      </c>
      <c r="Y10" s="398">
        <v>0</v>
      </c>
      <c r="Z10" s="398">
        <v>0</v>
      </c>
      <c r="AA10" s="388">
        <v>0</v>
      </c>
      <c r="AB10" s="398">
        <v>0</v>
      </c>
      <c r="AC10" s="398">
        <v>0</v>
      </c>
      <c r="AD10" s="388">
        <v>0</v>
      </c>
      <c r="AE10" s="388">
        <v>0</v>
      </c>
      <c r="AF10" s="388">
        <v>0</v>
      </c>
      <c r="AG10" s="388">
        <v>0</v>
      </c>
      <c r="AH10" s="399"/>
    </row>
    <row r="11" spans="1:34" outlineLevel="1" x14ac:dyDescent="0.25">
      <c r="A11" s="1712"/>
      <c r="B11" s="390" t="s">
        <v>484</v>
      </c>
      <c r="C11" s="391">
        <f>IF(C10,SUMPRODUCT(D10:AG10,D11:AG11)/C10,0)</f>
        <v>0</v>
      </c>
      <c r="D11" s="400"/>
      <c r="E11" s="401"/>
      <c r="F11" s="400"/>
      <c r="G11" s="400"/>
      <c r="H11" s="400"/>
      <c r="I11" s="400"/>
      <c r="J11" s="400"/>
      <c r="K11" s="400"/>
      <c r="L11" s="400"/>
      <c r="M11" s="400"/>
      <c r="N11" s="400"/>
      <c r="O11" s="400"/>
      <c r="P11" s="400"/>
      <c r="Q11" s="400"/>
      <c r="R11" s="400"/>
      <c r="S11" s="400"/>
      <c r="T11" s="400"/>
      <c r="U11" s="400"/>
      <c r="V11" s="400"/>
      <c r="W11" s="400"/>
      <c r="X11" s="400"/>
      <c r="Y11" s="402"/>
      <c r="Z11" s="402"/>
      <c r="AA11" s="400"/>
      <c r="AB11" s="402"/>
      <c r="AC11" s="402"/>
      <c r="AD11" s="400"/>
      <c r="AE11" s="400"/>
      <c r="AF11" s="400"/>
      <c r="AG11" s="400"/>
      <c r="AH11" s="392"/>
    </row>
    <row r="12" spans="1:34" outlineLevel="1" x14ac:dyDescent="0.25">
      <c r="A12" s="1712" t="s">
        <v>491</v>
      </c>
      <c r="B12" s="390" t="s">
        <v>486</v>
      </c>
      <c r="C12" s="396">
        <f>SUM(D12:AH12)</f>
        <v>0</v>
      </c>
      <c r="D12" s="403">
        <v>0</v>
      </c>
      <c r="E12" s="403">
        <v>0</v>
      </c>
      <c r="F12" s="403">
        <v>0</v>
      </c>
      <c r="G12" s="403">
        <v>0</v>
      </c>
      <c r="H12" s="403">
        <v>0</v>
      </c>
      <c r="I12" s="403">
        <v>0</v>
      </c>
      <c r="J12" s="403">
        <v>0</v>
      </c>
      <c r="K12" s="403">
        <v>0</v>
      </c>
      <c r="L12" s="403">
        <v>0</v>
      </c>
      <c r="M12" s="403">
        <v>0</v>
      </c>
      <c r="N12" s="403">
        <v>0</v>
      </c>
      <c r="O12" s="403">
        <v>0</v>
      </c>
      <c r="P12" s="403">
        <v>0</v>
      </c>
      <c r="Q12" s="403">
        <v>0</v>
      </c>
      <c r="R12" s="403">
        <v>0</v>
      </c>
      <c r="S12" s="403">
        <v>0</v>
      </c>
      <c r="T12" s="403">
        <v>0</v>
      </c>
      <c r="U12" s="403">
        <v>0</v>
      </c>
      <c r="V12" s="403">
        <v>0</v>
      </c>
      <c r="W12" s="403">
        <v>0</v>
      </c>
      <c r="X12" s="403">
        <v>0</v>
      </c>
      <c r="Y12" s="404">
        <v>0</v>
      </c>
      <c r="Z12" s="404">
        <v>0</v>
      </c>
      <c r="AA12" s="403">
        <v>0</v>
      </c>
      <c r="AB12" s="404">
        <v>0</v>
      </c>
      <c r="AC12" s="404">
        <v>0</v>
      </c>
      <c r="AD12" s="403">
        <v>0</v>
      </c>
      <c r="AE12" s="403">
        <v>0</v>
      </c>
      <c r="AF12" s="403">
        <v>0</v>
      </c>
      <c r="AG12" s="403">
        <v>0</v>
      </c>
      <c r="AH12" s="405">
        <v>0</v>
      </c>
    </row>
    <row r="13" spans="1:34" s="408" customFormat="1" outlineLevel="1" x14ac:dyDescent="0.25">
      <c r="A13" s="1712" t="s">
        <v>86</v>
      </c>
      <c r="B13" s="385" t="s">
        <v>484</v>
      </c>
      <c r="C13" s="394">
        <f>IF(C12,SUMPRODUCT(D12:AH12,D13:AH13)/C12,0)</f>
        <v>0</v>
      </c>
      <c r="D13" s="406">
        <v>0</v>
      </c>
      <c r="E13" s="406">
        <v>0</v>
      </c>
      <c r="F13" s="406">
        <v>0</v>
      </c>
      <c r="G13" s="406">
        <v>0</v>
      </c>
      <c r="H13" s="406">
        <v>0</v>
      </c>
      <c r="I13" s="406">
        <v>0</v>
      </c>
      <c r="J13" s="406">
        <v>0</v>
      </c>
      <c r="K13" s="406">
        <v>0</v>
      </c>
      <c r="L13" s="406">
        <v>0</v>
      </c>
      <c r="M13" s="406">
        <v>0</v>
      </c>
      <c r="N13" s="406">
        <v>0</v>
      </c>
      <c r="O13" s="406">
        <v>0</v>
      </c>
      <c r="P13" s="406">
        <v>0</v>
      </c>
      <c r="Q13" s="406">
        <v>0</v>
      </c>
      <c r="R13" s="406">
        <v>0</v>
      </c>
      <c r="S13" s="406">
        <v>0</v>
      </c>
      <c r="T13" s="406">
        <v>0</v>
      </c>
      <c r="U13" s="406">
        <v>0</v>
      </c>
      <c r="V13" s="406">
        <v>0</v>
      </c>
      <c r="W13" s="406">
        <v>0</v>
      </c>
      <c r="X13" s="406">
        <v>0</v>
      </c>
      <c r="Y13" s="407">
        <v>0</v>
      </c>
      <c r="Z13" s="407">
        <v>0</v>
      </c>
      <c r="AA13" s="406">
        <v>0</v>
      </c>
      <c r="AB13" s="407">
        <v>0</v>
      </c>
      <c r="AC13" s="407">
        <v>0</v>
      </c>
      <c r="AD13" s="406">
        <v>0</v>
      </c>
      <c r="AE13" s="406">
        <v>0</v>
      </c>
      <c r="AF13" s="406">
        <v>0</v>
      </c>
      <c r="AG13" s="406">
        <v>0</v>
      </c>
      <c r="AH13" s="406">
        <v>0</v>
      </c>
    </row>
    <row r="14" spans="1:34" ht="20.65" customHeight="1" outlineLevel="1" x14ac:dyDescent="0.25">
      <c r="A14" s="1712" t="s">
        <v>492</v>
      </c>
      <c r="B14" s="390" t="s">
        <v>486</v>
      </c>
      <c r="C14" s="396">
        <f>SUM(D14:AH14)</f>
        <v>0</v>
      </c>
      <c r="D14" s="403">
        <v>0</v>
      </c>
      <c r="E14" s="403">
        <v>0</v>
      </c>
      <c r="F14" s="403">
        <v>0</v>
      </c>
      <c r="G14" s="403">
        <v>0</v>
      </c>
      <c r="H14" s="403">
        <v>0</v>
      </c>
      <c r="I14" s="403">
        <v>0</v>
      </c>
      <c r="J14" s="403">
        <v>0</v>
      </c>
      <c r="K14" s="403">
        <v>0</v>
      </c>
      <c r="L14" s="403">
        <v>0</v>
      </c>
      <c r="M14" s="403">
        <v>0</v>
      </c>
      <c r="N14" s="403">
        <v>0</v>
      </c>
      <c r="O14" s="403">
        <v>0</v>
      </c>
      <c r="P14" s="403">
        <v>0</v>
      </c>
      <c r="Q14" s="403">
        <v>0</v>
      </c>
      <c r="R14" s="403">
        <v>0</v>
      </c>
      <c r="S14" s="403">
        <v>0</v>
      </c>
      <c r="T14" s="403">
        <v>0</v>
      </c>
      <c r="U14" s="403">
        <v>0</v>
      </c>
      <c r="V14" s="403">
        <v>0</v>
      </c>
      <c r="W14" s="403">
        <v>0</v>
      </c>
      <c r="X14" s="403">
        <v>0</v>
      </c>
      <c r="Y14" s="404">
        <v>0</v>
      </c>
      <c r="Z14" s="404">
        <v>0</v>
      </c>
      <c r="AA14" s="403">
        <v>0</v>
      </c>
      <c r="AB14" s="404">
        <v>0</v>
      </c>
      <c r="AC14" s="404">
        <v>0</v>
      </c>
      <c r="AD14" s="403">
        <v>0</v>
      </c>
      <c r="AE14" s="403">
        <v>0</v>
      </c>
      <c r="AF14" s="403">
        <v>0</v>
      </c>
      <c r="AG14" s="403">
        <v>0</v>
      </c>
      <c r="AH14" s="403">
        <v>0</v>
      </c>
    </row>
    <row r="15" spans="1:34" outlineLevel="1" x14ac:dyDescent="0.25">
      <c r="A15" s="1712"/>
      <c r="B15" s="390" t="s">
        <v>484</v>
      </c>
      <c r="C15" s="394">
        <f>IF(C14,SUMPRODUCT(D14:AH14,D15:AH15)/C14,0)</f>
        <v>0</v>
      </c>
      <c r="D15" s="392">
        <v>0</v>
      </c>
      <c r="E15" s="392">
        <v>0</v>
      </c>
      <c r="F15" s="392">
        <v>0</v>
      </c>
      <c r="G15" s="392">
        <v>0</v>
      </c>
      <c r="H15" s="392">
        <v>0</v>
      </c>
      <c r="I15" s="392">
        <v>0</v>
      </c>
      <c r="J15" s="392">
        <v>0</v>
      </c>
      <c r="K15" s="392">
        <v>0</v>
      </c>
      <c r="L15" s="392">
        <v>0</v>
      </c>
      <c r="M15" s="392">
        <v>0</v>
      </c>
      <c r="N15" s="392">
        <v>0</v>
      </c>
      <c r="O15" s="392">
        <v>0</v>
      </c>
      <c r="P15" s="392">
        <v>0</v>
      </c>
      <c r="Q15" s="392">
        <v>0</v>
      </c>
      <c r="R15" s="392">
        <v>0</v>
      </c>
      <c r="S15" s="392">
        <v>0</v>
      </c>
      <c r="T15" s="392">
        <v>0</v>
      </c>
      <c r="U15" s="392">
        <v>0</v>
      </c>
      <c r="V15" s="392">
        <v>0</v>
      </c>
      <c r="W15" s="392">
        <v>0</v>
      </c>
      <c r="X15" s="392">
        <v>0</v>
      </c>
      <c r="Y15" s="409">
        <v>0</v>
      </c>
      <c r="Z15" s="409">
        <v>0</v>
      </c>
      <c r="AA15" s="392">
        <v>0</v>
      </c>
      <c r="AB15" s="409">
        <v>0</v>
      </c>
      <c r="AC15" s="409">
        <v>0</v>
      </c>
      <c r="AD15" s="392">
        <v>0</v>
      </c>
      <c r="AE15" s="392">
        <v>0</v>
      </c>
      <c r="AF15" s="392">
        <v>0</v>
      </c>
      <c r="AG15" s="392">
        <v>0</v>
      </c>
      <c r="AH15" s="392">
        <v>0</v>
      </c>
    </row>
    <row r="16" spans="1:34" outlineLevel="1" x14ac:dyDescent="0.25">
      <c r="A16" s="1717" t="s">
        <v>493</v>
      </c>
      <c r="B16" s="390" t="s">
        <v>486</v>
      </c>
      <c r="C16" s="396">
        <f>SUM(D16:AH16)</f>
        <v>0</v>
      </c>
      <c r="D16" s="403">
        <v>0</v>
      </c>
      <c r="E16" s="403">
        <v>0</v>
      </c>
      <c r="F16" s="403">
        <v>0</v>
      </c>
      <c r="G16" s="403">
        <v>0</v>
      </c>
      <c r="H16" s="403">
        <v>0</v>
      </c>
      <c r="I16" s="403">
        <v>0</v>
      </c>
      <c r="J16" s="403">
        <v>0</v>
      </c>
      <c r="K16" s="403">
        <v>0</v>
      </c>
      <c r="L16" s="403">
        <v>0</v>
      </c>
      <c r="M16" s="403">
        <v>0</v>
      </c>
      <c r="N16" s="403">
        <v>0</v>
      </c>
      <c r="O16" s="403">
        <v>0</v>
      </c>
      <c r="P16" s="403">
        <v>0</v>
      </c>
      <c r="Q16" s="403">
        <v>0</v>
      </c>
      <c r="R16" s="403">
        <v>0</v>
      </c>
      <c r="S16" s="403">
        <v>0</v>
      </c>
      <c r="T16" s="403">
        <v>0</v>
      </c>
      <c r="U16" s="403">
        <v>0</v>
      </c>
      <c r="V16" s="403">
        <v>0</v>
      </c>
      <c r="W16" s="403">
        <v>0</v>
      </c>
      <c r="X16" s="403">
        <v>0</v>
      </c>
      <c r="Y16" s="404">
        <v>0</v>
      </c>
      <c r="Z16" s="404">
        <v>0</v>
      </c>
      <c r="AA16" s="403">
        <v>0</v>
      </c>
      <c r="AB16" s="404"/>
      <c r="AC16" s="404">
        <v>0</v>
      </c>
      <c r="AD16" s="403">
        <v>0</v>
      </c>
      <c r="AE16" s="403">
        <v>0</v>
      </c>
      <c r="AF16" s="403">
        <v>0</v>
      </c>
      <c r="AG16" s="403">
        <v>0</v>
      </c>
      <c r="AH16" s="405">
        <v>0</v>
      </c>
    </row>
    <row r="17" spans="1:34" outlineLevel="1" x14ac:dyDescent="0.25">
      <c r="A17" s="1718"/>
      <c r="B17" s="390" t="s">
        <v>484</v>
      </c>
      <c r="C17" s="394">
        <f>IF(C16,SUMPRODUCT(D16:AH16,D17:AH17)/C16,0)</f>
        <v>0</v>
      </c>
      <c r="D17" s="405">
        <v>0</v>
      </c>
      <c r="E17" s="405">
        <v>0</v>
      </c>
      <c r="F17" s="405">
        <v>0</v>
      </c>
      <c r="G17" s="405">
        <v>0</v>
      </c>
      <c r="H17" s="405">
        <v>0</v>
      </c>
      <c r="I17" s="405">
        <v>0</v>
      </c>
      <c r="J17" s="405">
        <v>0</v>
      </c>
      <c r="K17" s="405">
        <v>0</v>
      </c>
      <c r="L17" s="405">
        <v>0</v>
      </c>
      <c r="M17" s="405">
        <v>0</v>
      </c>
      <c r="N17" s="405">
        <v>0</v>
      </c>
      <c r="O17" s="405">
        <v>0</v>
      </c>
      <c r="P17" s="405">
        <v>0</v>
      </c>
      <c r="Q17" s="405">
        <v>0</v>
      </c>
      <c r="R17" s="405">
        <v>0</v>
      </c>
      <c r="S17" s="405">
        <v>0</v>
      </c>
      <c r="T17" s="405">
        <v>0</v>
      </c>
      <c r="U17" s="405">
        <v>0</v>
      </c>
      <c r="V17" s="405">
        <v>0</v>
      </c>
      <c r="W17" s="405">
        <v>0</v>
      </c>
      <c r="X17" s="405">
        <v>0</v>
      </c>
      <c r="Y17" s="410">
        <v>0</v>
      </c>
      <c r="Z17" s="410">
        <v>0</v>
      </c>
      <c r="AA17" s="405">
        <v>0</v>
      </c>
      <c r="AB17" s="410"/>
      <c r="AC17" s="410">
        <v>0</v>
      </c>
      <c r="AD17" s="405">
        <v>0</v>
      </c>
      <c r="AE17" s="405">
        <v>0</v>
      </c>
      <c r="AF17" s="405">
        <v>0</v>
      </c>
      <c r="AG17" s="405">
        <v>0</v>
      </c>
      <c r="AH17" s="405">
        <v>0</v>
      </c>
    </row>
    <row r="18" spans="1:34" outlineLevel="1" x14ac:dyDescent="0.25">
      <c r="A18" s="1712" t="s">
        <v>492</v>
      </c>
      <c r="B18" s="390" t="s">
        <v>486</v>
      </c>
      <c r="C18" s="396">
        <f>SUM(D18:AH18)</f>
        <v>0</v>
      </c>
      <c r="D18" s="403">
        <v>0</v>
      </c>
      <c r="E18" s="403">
        <v>0</v>
      </c>
      <c r="F18" s="403">
        <v>0</v>
      </c>
      <c r="G18" s="403">
        <v>0</v>
      </c>
      <c r="H18" s="403">
        <v>0</v>
      </c>
      <c r="I18" s="403">
        <v>0</v>
      </c>
      <c r="J18" s="403">
        <v>0</v>
      </c>
      <c r="K18" s="403">
        <v>0</v>
      </c>
      <c r="L18" s="403">
        <v>0</v>
      </c>
      <c r="M18" s="403">
        <v>0</v>
      </c>
      <c r="N18" s="403">
        <v>0</v>
      </c>
      <c r="O18" s="403">
        <v>0</v>
      </c>
      <c r="P18" s="403">
        <v>0</v>
      </c>
      <c r="Q18" s="403">
        <v>0</v>
      </c>
      <c r="R18" s="403">
        <v>0</v>
      </c>
      <c r="S18" s="403">
        <v>0</v>
      </c>
      <c r="T18" s="403">
        <v>0</v>
      </c>
      <c r="U18" s="403">
        <v>0</v>
      </c>
      <c r="V18" s="403">
        <v>0</v>
      </c>
      <c r="W18" s="403">
        <v>0</v>
      </c>
      <c r="X18" s="403">
        <v>0</v>
      </c>
      <c r="Y18" s="404">
        <v>0</v>
      </c>
      <c r="Z18" s="404">
        <v>0</v>
      </c>
      <c r="AA18" s="403">
        <v>0</v>
      </c>
      <c r="AB18" s="404"/>
      <c r="AC18" s="404"/>
      <c r="AD18" s="403">
        <v>0</v>
      </c>
      <c r="AE18" s="403">
        <v>0</v>
      </c>
      <c r="AF18" s="403">
        <v>0</v>
      </c>
      <c r="AG18" s="403">
        <v>0</v>
      </c>
      <c r="AH18" s="405">
        <v>0</v>
      </c>
    </row>
    <row r="19" spans="1:34" outlineLevel="1" x14ac:dyDescent="0.25">
      <c r="A19" s="1712"/>
      <c r="B19" s="390" t="s">
        <v>484</v>
      </c>
      <c r="C19" s="394">
        <f>IF(C18,SUMPRODUCT(D18:AH18,D19:AH19)/C18,0)</f>
        <v>0</v>
      </c>
      <c r="D19" s="405">
        <v>0</v>
      </c>
      <c r="E19" s="405">
        <v>0</v>
      </c>
      <c r="F19" s="405">
        <v>0</v>
      </c>
      <c r="G19" s="405">
        <v>0</v>
      </c>
      <c r="H19" s="405">
        <v>0</v>
      </c>
      <c r="I19" s="405">
        <v>0</v>
      </c>
      <c r="J19" s="405">
        <v>0</v>
      </c>
      <c r="K19" s="405">
        <v>0</v>
      </c>
      <c r="L19" s="405">
        <v>0</v>
      </c>
      <c r="M19" s="405">
        <v>0</v>
      </c>
      <c r="N19" s="405">
        <v>0</v>
      </c>
      <c r="O19" s="405">
        <v>0</v>
      </c>
      <c r="P19" s="405">
        <v>0</v>
      </c>
      <c r="Q19" s="405">
        <v>0</v>
      </c>
      <c r="R19" s="405">
        <v>0</v>
      </c>
      <c r="S19" s="405">
        <v>0</v>
      </c>
      <c r="T19" s="405">
        <v>0</v>
      </c>
      <c r="U19" s="405">
        <v>0</v>
      </c>
      <c r="V19" s="405">
        <v>0</v>
      </c>
      <c r="W19" s="405">
        <v>0</v>
      </c>
      <c r="X19" s="405">
        <v>0</v>
      </c>
      <c r="Y19" s="410">
        <v>0</v>
      </c>
      <c r="Z19" s="410">
        <v>0</v>
      </c>
      <c r="AA19" s="405">
        <v>0</v>
      </c>
      <c r="AB19" s="410"/>
      <c r="AC19" s="410"/>
      <c r="AD19" s="405">
        <v>0</v>
      </c>
      <c r="AE19" s="405">
        <v>0</v>
      </c>
      <c r="AF19" s="405">
        <v>0</v>
      </c>
      <c r="AG19" s="405">
        <v>0</v>
      </c>
      <c r="AH19" s="405">
        <v>0</v>
      </c>
    </row>
    <row r="20" spans="1:34" s="415" customFormat="1" x14ac:dyDescent="0.25">
      <c r="A20" s="1719" t="s">
        <v>494</v>
      </c>
      <c r="B20" s="412" t="s">
        <v>488</v>
      </c>
      <c r="C20" s="413">
        <f>SUM(D20:AH20)</f>
        <v>0</v>
      </c>
      <c r="D20" s="412">
        <f>+D10+D12+D14+D16+D18</f>
        <v>0</v>
      </c>
      <c r="E20" s="411">
        <f>+E10+E12+E14+E16+E18</f>
        <v>0</v>
      </c>
      <c r="F20" s="412">
        <f t="shared" ref="F20:AH20" si="4">+F10+F12+F14+F16+F18</f>
        <v>0</v>
      </c>
      <c r="G20" s="412">
        <f t="shared" si="4"/>
        <v>0</v>
      </c>
      <c r="H20" s="412">
        <f t="shared" si="4"/>
        <v>0</v>
      </c>
      <c r="I20" s="412">
        <f t="shared" si="4"/>
        <v>0</v>
      </c>
      <c r="J20" s="412">
        <f t="shared" si="4"/>
        <v>0</v>
      </c>
      <c r="K20" s="412">
        <f t="shared" si="4"/>
        <v>0</v>
      </c>
      <c r="L20" s="412">
        <f t="shared" si="4"/>
        <v>0</v>
      </c>
      <c r="M20" s="412">
        <f t="shared" si="4"/>
        <v>0</v>
      </c>
      <c r="N20" s="412">
        <f t="shared" si="4"/>
        <v>0</v>
      </c>
      <c r="O20" s="412">
        <f t="shared" si="4"/>
        <v>0</v>
      </c>
      <c r="P20" s="412">
        <f t="shared" si="4"/>
        <v>0</v>
      </c>
      <c r="Q20" s="412">
        <f t="shared" si="4"/>
        <v>0</v>
      </c>
      <c r="R20" s="412">
        <f t="shared" si="4"/>
        <v>0</v>
      </c>
      <c r="S20" s="412">
        <f t="shared" si="4"/>
        <v>0</v>
      </c>
      <c r="T20" s="412">
        <f t="shared" si="4"/>
        <v>0</v>
      </c>
      <c r="U20" s="412">
        <f t="shared" si="4"/>
        <v>0</v>
      </c>
      <c r="V20" s="412">
        <f t="shared" si="4"/>
        <v>0</v>
      </c>
      <c r="W20" s="412">
        <f t="shared" si="4"/>
        <v>0</v>
      </c>
      <c r="X20" s="412">
        <f t="shared" si="4"/>
        <v>0</v>
      </c>
      <c r="Y20" s="412">
        <f t="shared" si="4"/>
        <v>0</v>
      </c>
      <c r="Z20" s="412">
        <f t="shared" si="4"/>
        <v>0</v>
      </c>
      <c r="AA20" s="412">
        <f t="shared" si="4"/>
        <v>0</v>
      </c>
      <c r="AB20" s="412">
        <f t="shared" si="4"/>
        <v>0</v>
      </c>
      <c r="AC20" s="412">
        <f t="shared" si="4"/>
        <v>0</v>
      </c>
      <c r="AD20" s="412">
        <f t="shared" si="4"/>
        <v>0</v>
      </c>
      <c r="AE20" s="412">
        <f t="shared" si="4"/>
        <v>0</v>
      </c>
      <c r="AF20" s="412">
        <f t="shared" si="4"/>
        <v>0</v>
      </c>
      <c r="AG20" s="412">
        <f t="shared" si="4"/>
        <v>0</v>
      </c>
      <c r="AH20" s="414">
        <f t="shared" si="4"/>
        <v>0</v>
      </c>
    </row>
    <row r="21" spans="1:34" s="415" customFormat="1" x14ac:dyDescent="0.25">
      <c r="A21" s="1719" t="s">
        <v>489</v>
      </c>
      <c r="B21" s="412" t="s">
        <v>484</v>
      </c>
      <c r="C21" s="416">
        <f>IF(C20,SUMPRODUCT(D20:AH20,D21:AH21)/C20,0)</f>
        <v>0</v>
      </c>
      <c r="D21" s="417">
        <f>+IF(D20,(D10*D11+D12*D13+D14*D15+D16*D17+D18*D19)/D20,0)</f>
        <v>0</v>
      </c>
      <c r="E21" s="418">
        <f t="shared" ref="E21:AH21" si="5">+IF(E20,(E10*E11+E12*E13+E14*E15+E16*E17+E18*E19)/E20,0)</f>
        <v>0</v>
      </c>
      <c r="F21" s="417">
        <f t="shared" si="5"/>
        <v>0</v>
      </c>
      <c r="G21" s="417">
        <f t="shared" si="5"/>
        <v>0</v>
      </c>
      <c r="H21" s="417">
        <f t="shared" si="5"/>
        <v>0</v>
      </c>
      <c r="I21" s="417">
        <f t="shared" si="5"/>
        <v>0</v>
      </c>
      <c r="J21" s="417">
        <f t="shared" si="5"/>
        <v>0</v>
      </c>
      <c r="K21" s="417">
        <f t="shared" si="5"/>
        <v>0</v>
      </c>
      <c r="L21" s="417">
        <f t="shared" si="5"/>
        <v>0</v>
      </c>
      <c r="M21" s="417">
        <f t="shared" si="5"/>
        <v>0</v>
      </c>
      <c r="N21" s="417">
        <f t="shared" si="5"/>
        <v>0</v>
      </c>
      <c r="O21" s="417">
        <f t="shared" si="5"/>
        <v>0</v>
      </c>
      <c r="P21" s="417">
        <f t="shared" si="5"/>
        <v>0</v>
      </c>
      <c r="Q21" s="417">
        <f t="shared" si="5"/>
        <v>0</v>
      </c>
      <c r="R21" s="417">
        <f t="shared" si="5"/>
        <v>0</v>
      </c>
      <c r="S21" s="417">
        <f t="shared" si="5"/>
        <v>0</v>
      </c>
      <c r="T21" s="417">
        <f t="shared" si="5"/>
        <v>0</v>
      </c>
      <c r="U21" s="417">
        <f t="shared" si="5"/>
        <v>0</v>
      </c>
      <c r="V21" s="417">
        <f t="shared" si="5"/>
        <v>0</v>
      </c>
      <c r="W21" s="417">
        <f t="shared" si="5"/>
        <v>0</v>
      </c>
      <c r="X21" s="417">
        <f t="shared" si="5"/>
        <v>0</v>
      </c>
      <c r="Y21" s="417">
        <f t="shared" si="5"/>
        <v>0</v>
      </c>
      <c r="Z21" s="417">
        <f t="shared" si="5"/>
        <v>0</v>
      </c>
      <c r="AA21" s="417">
        <f t="shared" si="5"/>
        <v>0</v>
      </c>
      <c r="AB21" s="417">
        <f t="shared" si="5"/>
        <v>0</v>
      </c>
      <c r="AC21" s="417">
        <f t="shared" si="5"/>
        <v>0</v>
      </c>
      <c r="AD21" s="417">
        <f t="shared" si="5"/>
        <v>0</v>
      </c>
      <c r="AE21" s="417">
        <f t="shared" si="5"/>
        <v>0</v>
      </c>
      <c r="AF21" s="417">
        <f t="shared" si="5"/>
        <v>0</v>
      </c>
      <c r="AG21" s="417">
        <f t="shared" si="5"/>
        <v>0</v>
      </c>
      <c r="AH21" s="417">
        <f t="shared" si="5"/>
        <v>0</v>
      </c>
    </row>
    <row r="22" spans="1:34" s="423" customFormat="1" outlineLevel="1" x14ac:dyDescent="0.25">
      <c r="A22" s="1720" t="s">
        <v>495</v>
      </c>
      <c r="B22" s="419" t="s">
        <v>486</v>
      </c>
      <c r="C22" s="420">
        <f>SUM(D22:AH22)</f>
        <v>0</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2"/>
    </row>
    <row r="23" spans="1:34" s="423" customFormat="1" outlineLevel="1" x14ac:dyDescent="0.25">
      <c r="A23" s="1720" t="s">
        <v>101</v>
      </c>
      <c r="B23" s="419" t="s">
        <v>484</v>
      </c>
      <c r="C23" s="424">
        <f>IF(C22,SUMPRODUCT(D22:AH22,D23:AH23)/C22,0)</f>
        <v>0</v>
      </c>
      <c r="D23" s="422"/>
      <c r="E23" s="425"/>
      <c r="F23" s="425"/>
      <c r="G23" s="425"/>
      <c r="H23" s="425"/>
      <c r="I23" s="425"/>
      <c r="J23" s="425"/>
      <c r="K23" s="425"/>
      <c r="L23" s="425"/>
      <c r="M23" s="425"/>
      <c r="N23" s="425"/>
      <c r="O23" s="425"/>
      <c r="P23" s="425"/>
      <c r="Q23" s="425"/>
      <c r="R23" s="425"/>
      <c r="S23" s="425"/>
      <c r="T23" s="425"/>
      <c r="U23" s="425"/>
      <c r="V23" s="425"/>
      <c r="W23" s="425"/>
      <c r="X23" s="425"/>
      <c r="Y23" s="425"/>
      <c r="Z23" s="425"/>
      <c r="AA23" s="425"/>
      <c r="AB23" s="425"/>
      <c r="AC23" s="425"/>
      <c r="AD23" s="425"/>
      <c r="AE23" s="425"/>
      <c r="AF23" s="425"/>
      <c r="AG23" s="425"/>
      <c r="AH23" s="425"/>
    </row>
    <row r="24" spans="1:34" s="428" customFormat="1" outlineLevel="1" x14ac:dyDescent="0.25">
      <c r="A24" s="1715" t="s">
        <v>496</v>
      </c>
      <c r="B24" s="426" t="s">
        <v>486</v>
      </c>
      <c r="C24" s="396">
        <f>SUM(D24:AH24)</f>
        <v>0</v>
      </c>
      <c r="D24" s="427"/>
      <c r="E24" s="427"/>
      <c r="F24" s="427"/>
      <c r="G24" s="427"/>
      <c r="H24" s="427"/>
      <c r="I24" s="427"/>
      <c r="J24" s="427"/>
      <c r="K24" s="427"/>
      <c r="L24" s="427"/>
      <c r="M24" s="427"/>
      <c r="N24" s="427"/>
      <c r="O24" s="427"/>
      <c r="P24" s="427"/>
      <c r="Q24" s="427"/>
      <c r="R24" s="427"/>
      <c r="S24" s="427"/>
      <c r="T24" s="427"/>
      <c r="U24" s="427"/>
      <c r="V24" s="427"/>
      <c r="W24" s="427"/>
      <c r="X24" s="427"/>
      <c r="Y24" s="427"/>
      <c r="Z24" s="427"/>
      <c r="AA24" s="427"/>
      <c r="AB24" s="427"/>
      <c r="AC24" s="427"/>
      <c r="AD24" s="427"/>
      <c r="AE24" s="427"/>
      <c r="AF24" s="427"/>
      <c r="AG24" s="427"/>
      <c r="AH24" s="427"/>
    </row>
    <row r="25" spans="1:34" outlineLevel="1" x14ac:dyDescent="0.25">
      <c r="A25" s="1716" t="s">
        <v>101</v>
      </c>
      <c r="B25" s="390" t="s">
        <v>484</v>
      </c>
      <c r="C25" s="394">
        <f>IF(C24,SUMPRODUCT(D24:AH24,D25:AH25)/C24,0)</f>
        <v>0</v>
      </c>
      <c r="D25" s="405"/>
      <c r="E25" s="405"/>
      <c r="F25" s="405"/>
      <c r="G25" s="405"/>
      <c r="H25" s="405"/>
      <c r="I25" s="405"/>
      <c r="J25" s="405"/>
      <c r="K25" s="405"/>
      <c r="L25" s="405"/>
      <c r="M25" s="405"/>
      <c r="N25" s="405"/>
      <c r="O25" s="405"/>
      <c r="P25" s="405"/>
      <c r="Q25" s="405"/>
      <c r="R25" s="405"/>
      <c r="S25" s="405"/>
      <c r="T25" s="405"/>
      <c r="U25" s="405"/>
      <c r="V25" s="405"/>
      <c r="W25" s="405"/>
      <c r="X25" s="405"/>
      <c r="Y25" s="405"/>
      <c r="Z25" s="405"/>
      <c r="AA25" s="405"/>
      <c r="AB25" s="405"/>
      <c r="AC25" s="405"/>
      <c r="AD25" s="405"/>
      <c r="AE25" s="405"/>
      <c r="AF25" s="405"/>
      <c r="AG25" s="405"/>
      <c r="AH25" s="405"/>
    </row>
    <row r="26" spans="1:34" outlineLevel="1" x14ac:dyDescent="0.25">
      <c r="A26" s="1718" t="s">
        <v>497</v>
      </c>
      <c r="B26" s="390" t="s">
        <v>486</v>
      </c>
      <c r="C26" s="396">
        <f>SUM(D26:AH26)</f>
        <v>0</v>
      </c>
      <c r="D26" s="403"/>
      <c r="E26" s="403"/>
      <c r="F26" s="403"/>
      <c r="G26" s="403"/>
      <c r="H26" s="403"/>
      <c r="I26" s="403"/>
      <c r="J26" s="403"/>
      <c r="K26" s="403"/>
      <c r="L26" s="403"/>
      <c r="M26" s="403"/>
      <c r="N26" s="403"/>
      <c r="O26" s="403"/>
      <c r="P26" s="403"/>
      <c r="Q26" s="403"/>
      <c r="R26" s="403"/>
      <c r="S26" s="403"/>
      <c r="T26" s="403"/>
      <c r="U26" s="403"/>
      <c r="V26" s="403"/>
      <c r="W26" s="403"/>
      <c r="X26" s="403"/>
      <c r="Y26" s="404"/>
      <c r="Z26" s="404"/>
      <c r="AA26" s="403"/>
      <c r="AB26" s="404"/>
      <c r="AC26" s="404"/>
      <c r="AD26" s="403"/>
      <c r="AE26" s="403"/>
      <c r="AF26" s="403"/>
      <c r="AG26" s="403"/>
      <c r="AH26" s="405"/>
    </row>
    <row r="27" spans="1:34" outlineLevel="1" x14ac:dyDescent="0.25">
      <c r="A27" s="1718" t="s">
        <v>106</v>
      </c>
      <c r="B27" s="390" t="s">
        <v>484</v>
      </c>
      <c r="C27" s="394">
        <f>IF(C26,SUMPRODUCT(D26:AH26,D27:AH27)/C26,0)</f>
        <v>0</v>
      </c>
      <c r="D27" s="405"/>
      <c r="E27" s="405"/>
      <c r="F27" s="405"/>
      <c r="G27" s="405"/>
      <c r="H27" s="405"/>
      <c r="I27" s="405"/>
      <c r="J27" s="405"/>
      <c r="K27" s="405"/>
      <c r="L27" s="405"/>
      <c r="M27" s="405"/>
      <c r="N27" s="405"/>
      <c r="O27" s="405"/>
      <c r="P27" s="405"/>
      <c r="Q27" s="405"/>
      <c r="R27" s="405"/>
      <c r="S27" s="405"/>
      <c r="T27" s="405"/>
      <c r="U27" s="405"/>
      <c r="V27" s="405"/>
      <c r="W27" s="405"/>
      <c r="X27" s="405"/>
      <c r="Y27" s="410"/>
      <c r="Z27" s="410"/>
      <c r="AA27" s="405"/>
      <c r="AB27" s="410"/>
      <c r="AC27" s="410"/>
      <c r="AD27" s="405"/>
      <c r="AE27" s="405"/>
      <c r="AF27" s="405"/>
      <c r="AG27" s="405"/>
      <c r="AH27" s="405"/>
    </row>
    <row r="28" spans="1:34" outlineLevel="1" x14ac:dyDescent="0.25">
      <c r="A28" s="1721" t="s">
        <v>498</v>
      </c>
      <c r="B28" s="390" t="s">
        <v>486</v>
      </c>
      <c r="C28" s="396">
        <f>SUM(D28:AH28)</f>
        <v>0</v>
      </c>
      <c r="D28" s="427"/>
      <c r="E28" s="427"/>
      <c r="F28" s="427"/>
      <c r="G28" s="427"/>
      <c r="H28" s="427"/>
      <c r="I28" s="427"/>
      <c r="J28" s="427"/>
      <c r="K28" s="427"/>
      <c r="L28" s="427"/>
      <c r="M28" s="427"/>
      <c r="N28" s="427"/>
      <c r="O28" s="427"/>
      <c r="P28" s="427"/>
      <c r="Q28" s="427"/>
      <c r="R28" s="427"/>
      <c r="S28" s="427"/>
      <c r="T28" s="427"/>
      <c r="U28" s="427"/>
      <c r="V28" s="427"/>
      <c r="W28" s="427"/>
      <c r="X28" s="427"/>
      <c r="Y28" s="427"/>
      <c r="Z28" s="427"/>
      <c r="AA28" s="427"/>
      <c r="AB28" s="427"/>
      <c r="AC28" s="427"/>
      <c r="AD28" s="427"/>
      <c r="AE28" s="427"/>
      <c r="AF28" s="427"/>
      <c r="AG28" s="427"/>
      <c r="AH28" s="427"/>
    </row>
    <row r="29" spans="1:34" outlineLevel="1" x14ac:dyDescent="0.25">
      <c r="A29" s="1722"/>
      <c r="B29" s="390" t="s">
        <v>484</v>
      </c>
      <c r="C29" s="394">
        <f>IF(C28,SUMPRODUCT(D28:AH28,D29:AH29)/C28,0)</f>
        <v>0</v>
      </c>
      <c r="D29" s="405"/>
      <c r="E29" s="405"/>
      <c r="F29" s="405"/>
      <c r="G29" s="405"/>
      <c r="H29" s="405"/>
      <c r="I29" s="405"/>
      <c r="J29" s="405"/>
      <c r="K29" s="405"/>
      <c r="L29" s="405"/>
      <c r="M29" s="405"/>
      <c r="N29" s="405"/>
      <c r="O29" s="405"/>
      <c r="P29" s="405"/>
      <c r="Q29" s="405"/>
      <c r="R29" s="405"/>
      <c r="S29" s="405"/>
      <c r="T29" s="405"/>
      <c r="U29" s="405"/>
      <c r="V29" s="405"/>
      <c r="W29" s="405"/>
      <c r="X29" s="405"/>
      <c r="Y29" s="405"/>
      <c r="Z29" s="405"/>
      <c r="AA29" s="405"/>
      <c r="AB29" s="405"/>
      <c r="AC29" s="405"/>
      <c r="AD29" s="405"/>
      <c r="AE29" s="405"/>
      <c r="AF29" s="405"/>
      <c r="AG29" s="405"/>
      <c r="AH29" s="405"/>
    </row>
    <row r="30" spans="1:34" outlineLevel="1" x14ac:dyDescent="0.25">
      <c r="A30" s="1712" t="s">
        <v>499</v>
      </c>
      <c r="B30" s="390" t="s">
        <v>486</v>
      </c>
      <c r="C30" s="396">
        <f>SUM(D30:AH30)</f>
        <v>0</v>
      </c>
      <c r="D30" s="427"/>
      <c r="E30" s="427"/>
      <c r="F30" s="427"/>
      <c r="G30" s="427"/>
      <c r="H30" s="427"/>
      <c r="I30" s="427"/>
      <c r="J30" s="427"/>
      <c r="K30" s="427"/>
      <c r="L30" s="427"/>
      <c r="M30" s="427"/>
      <c r="N30" s="427"/>
      <c r="O30" s="427"/>
      <c r="P30" s="427"/>
      <c r="Q30" s="427"/>
      <c r="R30" s="427"/>
      <c r="S30" s="427"/>
      <c r="T30" s="427"/>
      <c r="U30" s="427"/>
      <c r="V30" s="427"/>
      <c r="W30" s="427"/>
      <c r="X30" s="427"/>
      <c r="Y30" s="427"/>
      <c r="Z30" s="427"/>
      <c r="AA30" s="427"/>
      <c r="AB30" s="427"/>
      <c r="AC30" s="427"/>
      <c r="AD30" s="427"/>
      <c r="AE30" s="427"/>
      <c r="AF30" s="427"/>
      <c r="AG30" s="427"/>
      <c r="AH30" s="427"/>
    </row>
    <row r="31" spans="1:34" outlineLevel="1" x14ac:dyDescent="0.25">
      <c r="A31" s="1712" t="s">
        <v>109</v>
      </c>
      <c r="B31" s="390" t="s">
        <v>484</v>
      </c>
      <c r="C31" s="394">
        <f>IF(C30,SUMPRODUCT(D30:AH30,D31:AH31)/C30,0)</f>
        <v>0</v>
      </c>
      <c r="D31" s="405"/>
      <c r="E31" s="405"/>
      <c r="F31" s="405"/>
      <c r="G31" s="405"/>
      <c r="H31" s="405"/>
      <c r="I31" s="405"/>
      <c r="J31" s="405"/>
      <c r="K31" s="405"/>
      <c r="L31" s="405"/>
      <c r="M31" s="405"/>
      <c r="N31" s="405"/>
      <c r="O31" s="405"/>
      <c r="P31" s="405"/>
      <c r="Q31" s="405"/>
      <c r="R31" s="405"/>
      <c r="S31" s="405"/>
      <c r="T31" s="405"/>
      <c r="U31" s="405"/>
      <c r="V31" s="405"/>
      <c r="W31" s="405"/>
      <c r="X31" s="405"/>
      <c r="Y31" s="405"/>
      <c r="Z31" s="405"/>
      <c r="AA31" s="405"/>
      <c r="AB31" s="405"/>
      <c r="AC31" s="405"/>
      <c r="AD31" s="405"/>
      <c r="AE31" s="405"/>
      <c r="AF31" s="405"/>
      <c r="AG31" s="405"/>
      <c r="AH31" s="405"/>
    </row>
    <row r="32" spans="1:34" s="431" customFormat="1" outlineLevel="1" x14ac:dyDescent="0.25">
      <c r="A32" s="1718" t="s">
        <v>500</v>
      </c>
      <c r="B32" s="430" t="s">
        <v>486</v>
      </c>
      <c r="C32" s="420">
        <f>SUM(D32:AH32)</f>
        <v>0</v>
      </c>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4"/>
      <c r="AC32" s="404"/>
      <c r="AD32" s="404"/>
      <c r="AE32" s="404"/>
      <c r="AF32" s="404"/>
      <c r="AG32" s="404"/>
      <c r="AH32" s="404"/>
    </row>
    <row r="33" spans="1:34" s="431" customFormat="1" outlineLevel="1" x14ac:dyDescent="0.25">
      <c r="A33" s="1718" t="s">
        <v>115</v>
      </c>
      <c r="B33" s="430" t="s">
        <v>484</v>
      </c>
      <c r="C33" s="424">
        <f>IF(C32,SUMPRODUCT(D32:AH32,D33:AH33)/C32,0)</f>
        <v>0</v>
      </c>
      <c r="D33" s="410"/>
      <c r="E33" s="410"/>
      <c r="F33" s="410"/>
      <c r="G33" s="410"/>
      <c r="H33" s="410"/>
      <c r="I33" s="410"/>
      <c r="J33" s="410"/>
      <c r="K33" s="410"/>
      <c r="L33" s="410"/>
      <c r="M33" s="410"/>
      <c r="N33" s="410"/>
      <c r="O33" s="410"/>
      <c r="P33" s="410"/>
      <c r="Q33" s="410"/>
      <c r="R33" s="410"/>
      <c r="S33" s="410"/>
      <c r="T33" s="410"/>
      <c r="U33" s="410"/>
      <c r="V33" s="410"/>
      <c r="W33" s="410"/>
      <c r="X33" s="410"/>
      <c r="Y33" s="410"/>
      <c r="Z33" s="410"/>
      <c r="AA33" s="410"/>
      <c r="AB33" s="410"/>
      <c r="AC33" s="410"/>
      <c r="AD33" s="410"/>
      <c r="AE33" s="410"/>
      <c r="AF33" s="410"/>
      <c r="AG33" s="410"/>
      <c r="AH33" s="410"/>
    </row>
    <row r="34" spans="1:34" outlineLevel="1" x14ac:dyDescent="0.25">
      <c r="A34" s="1721" t="s">
        <v>501</v>
      </c>
      <c r="B34" s="390" t="s">
        <v>486</v>
      </c>
      <c r="C34" s="396">
        <f>SUM(D34:AH34)</f>
        <v>0</v>
      </c>
      <c r="D34" s="403"/>
      <c r="E34" s="403"/>
      <c r="F34" s="403"/>
      <c r="G34" s="403"/>
      <c r="H34" s="403"/>
      <c r="I34" s="403"/>
      <c r="J34" s="403"/>
      <c r="K34" s="403"/>
      <c r="L34" s="403"/>
      <c r="M34" s="403"/>
      <c r="N34" s="403"/>
      <c r="O34" s="403"/>
      <c r="P34" s="403"/>
      <c r="Q34" s="403"/>
      <c r="R34" s="403"/>
      <c r="S34" s="403"/>
      <c r="T34" s="403"/>
      <c r="U34" s="403"/>
      <c r="V34" s="403"/>
      <c r="W34" s="403"/>
      <c r="X34" s="403"/>
      <c r="Y34" s="403"/>
      <c r="Z34" s="403"/>
      <c r="AA34" s="403"/>
      <c r="AB34" s="403"/>
      <c r="AC34" s="403"/>
      <c r="AD34" s="403"/>
      <c r="AE34" s="403"/>
      <c r="AF34" s="403"/>
      <c r="AG34" s="403"/>
      <c r="AH34" s="403"/>
    </row>
    <row r="35" spans="1:34" outlineLevel="1" x14ac:dyDescent="0.25">
      <c r="A35" s="1722"/>
      <c r="B35" s="390" t="s">
        <v>484</v>
      </c>
      <c r="C35" s="394">
        <f>IF(C34,SUMPRODUCT(D34:AH34,D35:AH35)/C34,0)</f>
        <v>0</v>
      </c>
      <c r="D35" s="405"/>
      <c r="E35" s="405"/>
      <c r="F35" s="405"/>
      <c r="G35" s="405"/>
      <c r="H35" s="405"/>
      <c r="I35" s="405"/>
      <c r="J35" s="405"/>
      <c r="K35" s="405"/>
      <c r="L35" s="405"/>
      <c r="M35" s="405"/>
      <c r="N35" s="405"/>
      <c r="O35" s="405"/>
      <c r="P35" s="405"/>
      <c r="Q35" s="405"/>
      <c r="R35" s="405"/>
      <c r="S35" s="405"/>
      <c r="T35" s="405"/>
      <c r="U35" s="405"/>
      <c r="V35" s="405"/>
      <c r="W35" s="405"/>
      <c r="X35" s="405"/>
      <c r="Y35" s="405"/>
      <c r="Z35" s="405"/>
      <c r="AA35" s="405"/>
      <c r="AB35" s="405"/>
      <c r="AC35" s="405"/>
      <c r="AD35" s="405"/>
      <c r="AE35" s="405"/>
      <c r="AF35" s="405"/>
      <c r="AG35" s="405"/>
      <c r="AH35" s="405"/>
    </row>
    <row r="36" spans="1:34" outlineLevel="1" x14ac:dyDescent="0.25">
      <c r="A36" s="1715" t="s">
        <v>502</v>
      </c>
      <c r="B36" s="390" t="s">
        <v>486</v>
      </c>
      <c r="C36" s="396">
        <f>SUM(D36:AH36)</f>
        <v>0</v>
      </c>
      <c r="D36" s="403"/>
      <c r="E36" s="403"/>
      <c r="F36" s="403"/>
      <c r="G36" s="403"/>
      <c r="H36" s="403"/>
      <c r="I36" s="403"/>
      <c r="J36" s="403"/>
      <c r="K36" s="403"/>
      <c r="L36" s="403"/>
      <c r="M36" s="403"/>
      <c r="N36" s="403"/>
      <c r="O36" s="403"/>
      <c r="P36" s="403"/>
      <c r="Q36" s="403"/>
      <c r="R36" s="403"/>
      <c r="S36" s="403"/>
      <c r="T36" s="403"/>
      <c r="U36" s="403"/>
      <c r="V36" s="403"/>
      <c r="W36" s="403"/>
      <c r="X36" s="403"/>
      <c r="Y36" s="403"/>
      <c r="Z36" s="403"/>
      <c r="AA36" s="403"/>
      <c r="AB36" s="403"/>
      <c r="AC36" s="403"/>
      <c r="AD36" s="403"/>
      <c r="AE36" s="403"/>
      <c r="AF36" s="403"/>
      <c r="AG36" s="403"/>
      <c r="AH36" s="403"/>
    </row>
    <row r="37" spans="1:34" ht="16.149999999999999" customHeight="1" outlineLevel="1" x14ac:dyDescent="0.25">
      <c r="A37" s="1716"/>
      <c r="B37" s="390" t="s">
        <v>484</v>
      </c>
      <c r="C37" s="394">
        <f>IF(C36,SUMPRODUCT(D36:AH36,D37:AH37)/C36,0)</f>
        <v>0</v>
      </c>
      <c r="D37" s="405"/>
      <c r="E37" s="405"/>
      <c r="F37" s="405"/>
      <c r="G37" s="405"/>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row>
    <row r="38" spans="1:34" outlineLevel="1" x14ac:dyDescent="0.25">
      <c r="A38" s="1715" t="s">
        <v>503</v>
      </c>
      <c r="B38" s="390" t="s">
        <v>486</v>
      </c>
      <c r="C38" s="396">
        <f>SUM(D38:AH38)</f>
        <v>0</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row>
    <row r="39" spans="1:34" outlineLevel="1" x14ac:dyDescent="0.25">
      <c r="A39" s="1716"/>
      <c r="B39" s="390" t="s">
        <v>484</v>
      </c>
      <c r="C39" s="394">
        <f>IF(C38,SUMPRODUCT(D38:AH38,D39:AH39)/C38,0)</f>
        <v>0</v>
      </c>
      <c r="D39" s="405"/>
      <c r="E39" s="405"/>
      <c r="F39" s="405"/>
      <c r="G39" s="405"/>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row>
    <row r="40" spans="1:34" outlineLevel="1" x14ac:dyDescent="0.25">
      <c r="A40" s="1715" t="s">
        <v>470</v>
      </c>
      <c r="B40" s="390" t="s">
        <v>486</v>
      </c>
      <c r="C40" s="432">
        <f>SUM(D40:AH40)</f>
        <v>3255</v>
      </c>
      <c r="D40" s="427">
        <v>105</v>
      </c>
      <c r="E40" s="427">
        <v>105</v>
      </c>
      <c r="F40" s="427">
        <v>105</v>
      </c>
      <c r="G40" s="427">
        <v>105</v>
      </c>
      <c r="H40" s="427">
        <v>105</v>
      </c>
      <c r="I40" s="427">
        <v>105</v>
      </c>
      <c r="J40" s="427">
        <v>105</v>
      </c>
      <c r="K40" s="427">
        <v>105</v>
      </c>
      <c r="L40" s="427">
        <v>105</v>
      </c>
      <c r="M40" s="427">
        <v>105</v>
      </c>
      <c r="N40" s="427">
        <v>105</v>
      </c>
      <c r="O40" s="427">
        <v>105</v>
      </c>
      <c r="P40" s="427">
        <v>105</v>
      </c>
      <c r="Q40" s="427">
        <v>105</v>
      </c>
      <c r="R40" s="427">
        <v>105</v>
      </c>
      <c r="S40" s="427">
        <v>105</v>
      </c>
      <c r="T40" s="427">
        <v>105</v>
      </c>
      <c r="U40" s="427">
        <v>105</v>
      </c>
      <c r="V40" s="427">
        <v>105</v>
      </c>
      <c r="W40" s="427">
        <v>105</v>
      </c>
      <c r="X40" s="427">
        <v>105</v>
      </c>
      <c r="Y40" s="433">
        <v>105</v>
      </c>
      <c r="Z40" s="433">
        <v>105</v>
      </c>
      <c r="AA40" s="427">
        <v>105</v>
      </c>
      <c r="AB40" s="427">
        <v>105</v>
      </c>
      <c r="AC40" s="427">
        <v>105</v>
      </c>
      <c r="AD40" s="427">
        <v>105</v>
      </c>
      <c r="AE40" s="427">
        <v>105</v>
      </c>
      <c r="AF40" s="427">
        <v>105</v>
      </c>
      <c r="AG40" s="427">
        <v>105</v>
      </c>
      <c r="AH40" s="427">
        <v>105</v>
      </c>
    </row>
    <row r="41" spans="1:34" outlineLevel="1" x14ac:dyDescent="0.25">
      <c r="A41" s="1716"/>
      <c r="B41" s="390" t="s">
        <v>484</v>
      </c>
      <c r="C41" s="434">
        <f>IF(C40,SUMPRODUCT(D40:AH40,D41:AH41)/C40,0)</f>
        <v>2.8121495327102806</v>
      </c>
      <c r="D41" s="405">
        <v>2.8121495327102801</v>
      </c>
      <c r="E41" s="405">
        <v>2.8121495327102801</v>
      </c>
      <c r="F41" s="405">
        <v>2.8121495327102801</v>
      </c>
      <c r="G41" s="405">
        <v>2.8121495327102801</v>
      </c>
      <c r="H41" s="405">
        <v>2.8121495327102801</v>
      </c>
      <c r="I41" s="405">
        <v>2.8121495327102801</v>
      </c>
      <c r="J41" s="405">
        <v>2.8121495327102801</v>
      </c>
      <c r="K41" s="405">
        <v>2.8121495327102801</v>
      </c>
      <c r="L41" s="405">
        <v>2.8121495327102801</v>
      </c>
      <c r="M41" s="405">
        <v>2.8121495327102801</v>
      </c>
      <c r="N41" s="405">
        <v>2.8121495327102801</v>
      </c>
      <c r="O41" s="405">
        <v>2.8121495327102801</v>
      </c>
      <c r="P41" s="405">
        <v>2.8121495327102801</v>
      </c>
      <c r="Q41" s="405">
        <v>2.8121495327102801</v>
      </c>
      <c r="R41" s="405">
        <v>2.8121495327102801</v>
      </c>
      <c r="S41" s="405">
        <v>2.8121495327102801</v>
      </c>
      <c r="T41" s="405">
        <v>2.8121495327102801</v>
      </c>
      <c r="U41" s="405">
        <v>2.8121495327102801</v>
      </c>
      <c r="V41" s="405">
        <v>2.8121495327102801</v>
      </c>
      <c r="W41" s="405">
        <v>2.8121495327102801</v>
      </c>
      <c r="X41" s="405">
        <v>2.8121495327102801</v>
      </c>
      <c r="Y41" s="405">
        <v>2.8121495327102801</v>
      </c>
      <c r="Z41" s="405">
        <v>2.8121495327102801</v>
      </c>
      <c r="AA41" s="405">
        <v>2.8121495327102801</v>
      </c>
      <c r="AB41" s="405">
        <v>2.8121495327102801</v>
      </c>
      <c r="AC41" s="405">
        <v>2.8121495327102801</v>
      </c>
      <c r="AD41" s="405">
        <v>2.8121495327102801</v>
      </c>
      <c r="AE41" s="405">
        <v>2.8121495327102801</v>
      </c>
      <c r="AF41" s="405">
        <v>2.8121495327102801</v>
      </c>
      <c r="AG41" s="405">
        <v>2.8121495327102801</v>
      </c>
      <c r="AH41" s="405">
        <v>2.8121495327102801</v>
      </c>
    </row>
    <row r="42" spans="1:34" s="428" customFormat="1" outlineLevel="1" x14ac:dyDescent="0.25">
      <c r="A42" s="1718" t="s">
        <v>126</v>
      </c>
      <c r="B42" s="426" t="s">
        <v>486</v>
      </c>
      <c r="C42" s="435">
        <f>SUM(D42:AH42)</f>
        <v>4340</v>
      </c>
      <c r="D42" s="427">
        <v>140</v>
      </c>
      <c r="E42" s="427">
        <v>140</v>
      </c>
      <c r="F42" s="427">
        <v>140</v>
      </c>
      <c r="G42" s="427">
        <v>140</v>
      </c>
      <c r="H42" s="427">
        <v>140</v>
      </c>
      <c r="I42" s="427">
        <v>140</v>
      </c>
      <c r="J42" s="427">
        <v>140</v>
      </c>
      <c r="K42" s="427">
        <v>140</v>
      </c>
      <c r="L42" s="427">
        <v>140</v>
      </c>
      <c r="M42" s="427">
        <v>140</v>
      </c>
      <c r="N42" s="427">
        <v>140</v>
      </c>
      <c r="O42" s="427">
        <v>140</v>
      </c>
      <c r="P42" s="427">
        <v>140</v>
      </c>
      <c r="Q42" s="427">
        <v>140</v>
      </c>
      <c r="R42" s="427">
        <v>140</v>
      </c>
      <c r="S42" s="427">
        <v>140</v>
      </c>
      <c r="T42" s="427">
        <v>140</v>
      </c>
      <c r="U42" s="427">
        <v>140</v>
      </c>
      <c r="V42" s="427">
        <v>140</v>
      </c>
      <c r="W42" s="427">
        <v>140</v>
      </c>
      <c r="X42" s="427">
        <v>140</v>
      </c>
      <c r="Y42" s="427">
        <v>140</v>
      </c>
      <c r="Z42" s="427">
        <v>140</v>
      </c>
      <c r="AA42" s="427">
        <v>140</v>
      </c>
      <c r="AB42" s="427">
        <v>140</v>
      </c>
      <c r="AC42" s="427">
        <v>140</v>
      </c>
      <c r="AD42" s="427">
        <v>140</v>
      </c>
      <c r="AE42" s="427">
        <v>140</v>
      </c>
      <c r="AF42" s="427">
        <v>140</v>
      </c>
      <c r="AG42" s="427">
        <v>140</v>
      </c>
      <c r="AH42" s="427">
        <v>140</v>
      </c>
    </row>
    <row r="43" spans="1:34" outlineLevel="1" x14ac:dyDescent="0.25">
      <c r="A43" s="1718" t="s">
        <v>210</v>
      </c>
      <c r="B43" s="390" t="s">
        <v>484</v>
      </c>
      <c r="C43" s="394">
        <f>IF(C42,SUMPRODUCT(D42:AH42,D43:AH43)/C42,0)</f>
        <v>3.0584112149532698</v>
      </c>
      <c r="D43" s="405">
        <v>3.0584112149532707</v>
      </c>
      <c r="E43" s="405">
        <v>3.0584112149532707</v>
      </c>
      <c r="F43" s="405">
        <v>3.0584112149532707</v>
      </c>
      <c r="G43" s="405">
        <v>3.0584112149532707</v>
      </c>
      <c r="H43" s="405">
        <v>3.0584112149532707</v>
      </c>
      <c r="I43" s="405">
        <v>3.0584112149532707</v>
      </c>
      <c r="J43" s="405">
        <v>3.0584112149532707</v>
      </c>
      <c r="K43" s="405">
        <v>3.0584112149532707</v>
      </c>
      <c r="L43" s="405">
        <v>3.0584112149532707</v>
      </c>
      <c r="M43" s="405">
        <v>3.0584112149532707</v>
      </c>
      <c r="N43" s="405">
        <v>3.0584112149532707</v>
      </c>
      <c r="O43" s="405">
        <v>3.0584112149532707</v>
      </c>
      <c r="P43" s="405">
        <v>3.0584112149532707</v>
      </c>
      <c r="Q43" s="405">
        <v>3.0584112149532707</v>
      </c>
      <c r="R43" s="405">
        <v>3.0584112149532707</v>
      </c>
      <c r="S43" s="405">
        <v>3.0584112149532707</v>
      </c>
      <c r="T43" s="405">
        <v>3.0584112149532707</v>
      </c>
      <c r="U43" s="405">
        <v>3.0584112149532707</v>
      </c>
      <c r="V43" s="405">
        <v>3.0584112149532707</v>
      </c>
      <c r="W43" s="405">
        <v>3.0584112149532707</v>
      </c>
      <c r="X43" s="405">
        <v>3.0584112149532707</v>
      </c>
      <c r="Y43" s="405">
        <v>3.0584112149532707</v>
      </c>
      <c r="Z43" s="405">
        <v>3.0584112149532707</v>
      </c>
      <c r="AA43" s="405">
        <v>3.0584112149532707</v>
      </c>
      <c r="AB43" s="405">
        <v>3.0584112149532707</v>
      </c>
      <c r="AC43" s="405">
        <v>3.0584112149532707</v>
      </c>
      <c r="AD43" s="405">
        <v>3.0584112149532707</v>
      </c>
      <c r="AE43" s="405">
        <v>3.0584112149532707</v>
      </c>
      <c r="AF43" s="405">
        <v>3.0584112149532707</v>
      </c>
      <c r="AG43" s="405">
        <v>3.0584112149532707</v>
      </c>
      <c r="AH43" s="405">
        <v>3.0584112149532707</v>
      </c>
    </row>
    <row r="44" spans="1:34" s="428" customFormat="1" outlineLevel="1" x14ac:dyDescent="0.25">
      <c r="A44" s="1718" t="s">
        <v>471</v>
      </c>
      <c r="B44" s="426" t="s">
        <v>486</v>
      </c>
      <c r="C44" s="435">
        <f>SUM(D44:AH44)</f>
        <v>1085</v>
      </c>
      <c r="D44" s="427">
        <v>35</v>
      </c>
      <c r="E44" s="427">
        <v>35</v>
      </c>
      <c r="F44" s="427">
        <v>35</v>
      </c>
      <c r="G44" s="427">
        <v>35</v>
      </c>
      <c r="H44" s="427">
        <v>35</v>
      </c>
      <c r="I44" s="427">
        <v>35</v>
      </c>
      <c r="J44" s="427">
        <v>35</v>
      </c>
      <c r="K44" s="427">
        <v>35</v>
      </c>
      <c r="L44" s="427">
        <v>35</v>
      </c>
      <c r="M44" s="427">
        <v>35</v>
      </c>
      <c r="N44" s="427">
        <v>35</v>
      </c>
      <c r="O44" s="427">
        <v>35</v>
      </c>
      <c r="P44" s="427">
        <v>35</v>
      </c>
      <c r="Q44" s="427">
        <v>35</v>
      </c>
      <c r="R44" s="427">
        <v>35</v>
      </c>
      <c r="S44" s="427">
        <v>35</v>
      </c>
      <c r="T44" s="427">
        <v>35</v>
      </c>
      <c r="U44" s="427">
        <v>35</v>
      </c>
      <c r="V44" s="427">
        <v>35</v>
      </c>
      <c r="W44" s="427">
        <v>35</v>
      </c>
      <c r="X44" s="427">
        <v>35</v>
      </c>
      <c r="Y44" s="427">
        <v>35</v>
      </c>
      <c r="Z44" s="427">
        <v>35</v>
      </c>
      <c r="AA44" s="427">
        <v>35</v>
      </c>
      <c r="AB44" s="427">
        <v>35</v>
      </c>
      <c r="AC44" s="427">
        <v>35</v>
      </c>
      <c r="AD44" s="427">
        <v>35</v>
      </c>
      <c r="AE44" s="427">
        <v>35</v>
      </c>
      <c r="AF44" s="427">
        <v>35</v>
      </c>
      <c r="AG44" s="427">
        <v>35</v>
      </c>
      <c r="AH44" s="427">
        <v>35</v>
      </c>
    </row>
    <row r="45" spans="1:34" outlineLevel="1" x14ac:dyDescent="0.25">
      <c r="A45" s="1718"/>
      <c r="B45" s="430" t="s">
        <v>484</v>
      </c>
      <c r="C45" s="394">
        <f>IF(C44,SUMPRODUCT(D44:AH44,D45:AH45)/C44,0)</f>
        <v>1.6841121495327112</v>
      </c>
      <c r="D45" s="405">
        <v>1.6841121495327103</v>
      </c>
      <c r="E45" s="405">
        <v>1.6841121495327103</v>
      </c>
      <c r="F45" s="405">
        <v>1.6841121495327103</v>
      </c>
      <c r="G45" s="405">
        <v>1.6841121495327103</v>
      </c>
      <c r="H45" s="405">
        <v>1.6841121495327103</v>
      </c>
      <c r="I45" s="405">
        <v>1.6841121495327103</v>
      </c>
      <c r="J45" s="405">
        <v>1.6841121495327103</v>
      </c>
      <c r="K45" s="405">
        <v>1.6841121495327103</v>
      </c>
      <c r="L45" s="405">
        <v>1.6841121495327103</v>
      </c>
      <c r="M45" s="405">
        <v>1.6841121495327103</v>
      </c>
      <c r="N45" s="405">
        <v>1.6841121495327103</v>
      </c>
      <c r="O45" s="405">
        <v>1.6841121495327103</v>
      </c>
      <c r="P45" s="405">
        <v>1.6841121495327103</v>
      </c>
      <c r="Q45" s="405">
        <v>1.6841121495327103</v>
      </c>
      <c r="R45" s="405">
        <v>1.6841121495327103</v>
      </c>
      <c r="S45" s="405">
        <v>1.6841121495327103</v>
      </c>
      <c r="T45" s="405">
        <v>1.6841121495327103</v>
      </c>
      <c r="U45" s="405">
        <v>1.6841121495327103</v>
      </c>
      <c r="V45" s="405">
        <v>1.6841121495327103</v>
      </c>
      <c r="W45" s="405">
        <v>1.6841121495327103</v>
      </c>
      <c r="X45" s="405">
        <v>1.6841121495327103</v>
      </c>
      <c r="Y45" s="405">
        <v>1.6841121495327103</v>
      </c>
      <c r="Z45" s="405">
        <v>1.6841121495327103</v>
      </c>
      <c r="AA45" s="405">
        <v>1.6841121495327103</v>
      </c>
      <c r="AB45" s="405">
        <v>1.6841121495327103</v>
      </c>
      <c r="AC45" s="405">
        <v>1.6841121495327103</v>
      </c>
      <c r="AD45" s="405">
        <v>1.6841121495327103</v>
      </c>
      <c r="AE45" s="405">
        <v>1.6841121495327103</v>
      </c>
      <c r="AF45" s="405">
        <v>1.6841121495327103</v>
      </c>
      <c r="AG45" s="405">
        <v>1.6841121495327103</v>
      </c>
      <c r="AH45" s="405">
        <v>1.6841121495327103</v>
      </c>
    </row>
    <row r="46" spans="1:34" s="415" customFormat="1" x14ac:dyDescent="0.25">
      <c r="A46" s="1719" t="s">
        <v>504</v>
      </c>
      <c r="B46" s="412" t="s">
        <v>488</v>
      </c>
      <c r="C46" s="436">
        <f>SUM(D46:AH46)</f>
        <v>8680</v>
      </c>
      <c r="D46" s="414">
        <f t="shared" ref="D46:AH46" si="6">D22+D26+D30+D32+D42+D44+D28+D34+D36+D38+D24+D40</f>
        <v>280</v>
      </c>
      <c r="E46" s="414">
        <f t="shared" si="6"/>
        <v>280</v>
      </c>
      <c r="F46" s="414">
        <f t="shared" si="6"/>
        <v>280</v>
      </c>
      <c r="G46" s="414">
        <f t="shared" si="6"/>
        <v>280</v>
      </c>
      <c r="H46" s="414">
        <f t="shared" si="6"/>
        <v>280</v>
      </c>
      <c r="I46" s="414">
        <f t="shared" si="6"/>
        <v>280</v>
      </c>
      <c r="J46" s="414">
        <f t="shared" si="6"/>
        <v>280</v>
      </c>
      <c r="K46" s="414">
        <f t="shared" si="6"/>
        <v>280</v>
      </c>
      <c r="L46" s="414">
        <f t="shared" si="6"/>
        <v>280</v>
      </c>
      <c r="M46" s="414">
        <f t="shared" si="6"/>
        <v>280</v>
      </c>
      <c r="N46" s="414">
        <f t="shared" si="6"/>
        <v>280</v>
      </c>
      <c r="O46" s="414">
        <f t="shared" si="6"/>
        <v>280</v>
      </c>
      <c r="P46" s="414">
        <f t="shared" si="6"/>
        <v>280</v>
      </c>
      <c r="Q46" s="414">
        <f t="shared" si="6"/>
        <v>280</v>
      </c>
      <c r="R46" s="414">
        <f t="shared" si="6"/>
        <v>280</v>
      </c>
      <c r="S46" s="414">
        <f t="shared" si="6"/>
        <v>280</v>
      </c>
      <c r="T46" s="414">
        <f t="shared" si="6"/>
        <v>280</v>
      </c>
      <c r="U46" s="414">
        <f t="shared" si="6"/>
        <v>280</v>
      </c>
      <c r="V46" s="414">
        <f t="shared" si="6"/>
        <v>280</v>
      </c>
      <c r="W46" s="414">
        <f t="shared" si="6"/>
        <v>280</v>
      </c>
      <c r="X46" s="414">
        <f t="shared" si="6"/>
        <v>280</v>
      </c>
      <c r="Y46" s="414">
        <f t="shared" si="6"/>
        <v>280</v>
      </c>
      <c r="Z46" s="414">
        <f t="shared" si="6"/>
        <v>280</v>
      </c>
      <c r="AA46" s="414">
        <f t="shared" si="6"/>
        <v>280</v>
      </c>
      <c r="AB46" s="414">
        <f t="shared" si="6"/>
        <v>280</v>
      </c>
      <c r="AC46" s="414">
        <f t="shared" si="6"/>
        <v>280</v>
      </c>
      <c r="AD46" s="414">
        <f t="shared" si="6"/>
        <v>280</v>
      </c>
      <c r="AE46" s="414">
        <f t="shared" si="6"/>
        <v>280</v>
      </c>
      <c r="AF46" s="414">
        <f t="shared" si="6"/>
        <v>280</v>
      </c>
      <c r="AG46" s="414">
        <f t="shared" si="6"/>
        <v>280</v>
      </c>
      <c r="AH46" s="414">
        <f t="shared" si="6"/>
        <v>280</v>
      </c>
    </row>
    <row r="47" spans="1:34" s="415" customFormat="1" x14ac:dyDescent="0.25">
      <c r="A47" s="1719" t="s">
        <v>210</v>
      </c>
      <c r="B47" s="412" t="s">
        <v>484</v>
      </c>
      <c r="C47" s="437">
        <f>IF(C46,SUMPRODUCT(D46:AH46,D47:AH47)/C46,0)</f>
        <v>2.7942757009345778</v>
      </c>
      <c r="D47" s="417">
        <f t="shared" ref="D47:AH47" si="7">+IF(D46,(D22*D23+D26*D27+D30*D31+D32*D33+D42*D43+D44*D45+D28*D29+D34*D35+D36*D37+D38*D39+D24*D25+D40*D41)/D46,0)</f>
        <v>2.7942757009345791</v>
      </c>
      <c r="E47" s="417">
        <f t="shared" si="7"/>
        <v>2.7942757009345791</v>
      </c>
      <c r="F47" s="417">
        <f t="shared" si="7"/>
        <v>2.7942757009345791</v>
      </c>
      <c r="G47" s="417">
        <f t="shared" si="7"/>
        <v>2.7942757009345791</v>
      </c>
      <c r="H47" s="417">
        <f t="shared" si="7"/>
        <v>2.7942757009345791</v>
      </c>
      <c r="I47" s="417">
        <f t="shared" si="7"/>
        <v>2.7942757009345791</v>
      </c>
      <c r="J47" s="417">
        <f t="shared" si="7"/>
        <v>2.7942757009345791</v>
      </c>
      <c r="K47" s="417">
        <f t="shared" si="7"/>
        <v>2.7942757009345791</v>
      </c>
      <c r="L47" s="417">
        <f t="shared" si="7"/>
        <v>2.7942757009345791</v>
      </c>
      <c r="M47" s="417">
        <f t="shared" si="7"/>
        <v>2.7942757009345791</v>
      </c>
      <c r="N47" s="417">
        <f t="shared" si="7"/>
        <v>2.7942757009345791</v>
      </c>
      <c r="O47" s="417">
        <f t="shared" si="7"/>
        <v>2.7942757009345791</v>
      </c>
      <c r="P47" s="417">
        <f t="shared" si="7"/>
        <v>2.7942757009345791</v>
      </c>
      <c r="Q47" s="417">
        <f t="shared" si="7"/>
        <v>2.7942757009345791</v>
      </c>
      <c r="R47" s="417">
        <f t="shared" si="7"/>
        <v>2.7942757009345791</v>
      </c>
      <c r="S47" s="417">
        <f t="shared" si="7"/>
        <v>2.7942757009345791</v>
      </c>
      <c r="T47" s="417">
        <f t="shared" si="7"/>
        <v>2.7942757009345791</v>
      </c>
      <c r="U47" s="417">
        <f t="shared" si="7"/>
        <v>2.7942757009345791</v>
      </c>
      <c r="V47" s="417">
        <f t="shared" si="7"/>
        <v>2.7942757009345791</v>
      </c>
      <c r="W47" s="417">
        <f t="shared" si="7"/>
        <v>2.7942757009345791</v>
      </c>
      <c r="X47" s="417">
        <f t="shared" si="7"/>
        <v>2.7942757009345791</v>
      </c>
      <c r="Y47" s="417">
        <f t="shared" si="7"/>
        <v>2.7942757009345791</v>
      </c>
      <c r="Z47" s="417">
        <f t="shared" si="7"/>
        <v>2.7942757009345791</v>
      </c>
      <c r="AA47" s="417">
        <f t="shared" si="7"/>
        <v>2.7942757009345791</v>
      </c>
      <c r="AB47" s="417">
        <f t="shared" si="7"/>
        <v>2.7942757009345791</v>
      </c>
      <c r="AC47" s="417">
        <f t="shared" si="7"/>
        <v>2.7942757009345791</v>
      </c>
      <c r="AD47" s="417">
        <f t="shared" si="7"/>
        <v>2.7942757009345791</v>
      </c>
      <c r="AE47" s="417">
        <f t="shared" si="7"/>
        <v>2.7942757009345791</v>
      </c>
      <c r="AF47" s="417">
        <f t="shared" si="7"/>
        <v>2.7942757009345791</v>
      </c>
      <c r="AG47" s="417">
        <f t="shared" si="7"/>
        <v>2.7942757009345791</v>
      </c>
      <c r="AH47" s="417">
        <f t="shared" si="7"/>
        <v>2.7942757009345791</v>
      </c>
    </row>
    <row r="48" spans="1:34" s="431" customFormat="1" outlineLevel="1" x14ac:dyDescent="0.25">
      <c r="A48" s="1715" t="s">
        <v>505</v>
      </c>
      <c r="B48" s="430" t="s">
        <v>486</v>
      </c>
      <c r="C48" s="420">
        <f>SUM(D48:AH48)</f>
        <v>0</v>
      </c>
      <c r="D48" s="404">
        <v>0</v>
      </c>
      <c r="E48" s="404">
        <v>0</v>
      </c>
      <c r="F48" s="404">
        <v>0</v>
      </c>
      <c r="G48" s="404">
        <v>0</v>
      </c>
      <c r="H48" s="404">
        <v>0</v>
      </c>
      <c r="I48" s="404">
        <v>0</v>
      </c>
      <c r="J48" s="404">
        <v>0</v>
      </c>
      <c r="K48" s="404">
        <v>0</v>
      </c>
      <c r="L48" s="404">
        <v>0</v>
      </c>
      <c r="M48" s="404">
        <v>0</v>
      </c>
      <c r="N48" s="404">
        <v>0</v>
      </c>
      <c r="O48" s="404">
        <v>0</v>
      </c>
      <c r="P48" s="404">
        <v>0</v>
      </c>
      <c r="Q48" s="404">
        <v>0</v>
      </c>
      <c r="R48" s="404">
        <v>0</v>
      </c>
      <c r="S48" s="404">
        <v>0</v>
      </c>
      <c r="T48" s="404">
        <v>0</v>
      </c>
      <c r="U48" s="404">
        <v>0</v>
      </c>
      <c r="V48" s="404">
        <v>0</v>
      </c>
      <c r="W48" s="404">
        <v>0</v>
      </c>
      <c r="X48" s="404">
        <v>0</v>
      </c>
      <c r="Y48" s="404">
        <v>0</v>
      </c>
      <c r="Z48" s="404">
        <v>0</v>
      </c>
      <c r="AA48" s="404">
        <v>0</v>
      </c>
      <c r="AB48" s="404">
        <v>0</v>
      </c>
      <c r="AC48" s="404">
        <v>0</v>
      </c>
      <c r="AD48" s="404">
        <v>0</v>
      </c>
      <c r="AE48" s="404">
        <v>0</v>
      </c>
      <c r="AF48" s="404">
        <v>0</v>
      </c>
      <c r="AG48" s="404">
        <v>0</v>
      </c>
      <c r="AH48" s="433">
        <v>0</v>
      </c>
    </row>
    <row r="49" spans="1:34" s="431" customFormat="1" outlineLevel="1" x14ac:dyDescent="0.25">
      <c r="A49" s="1716"/>
      <c r="B49" s="438" t="s">
        <v>484</v>
      </c>
      <c r="C49" s="439">
        <f>IF(C48,SUMPRODUCT(D48:AH48,D49:AH49)/C48,0)</f>
        <v>0</v>
      </c>
      <c r="D49" s="410">
        <v>0</v>
      </c>
      <c r="E49" s="410">
        <v>0</v>
      </c>
      <c r="F49" s="410">
        <v>0</v>
      </c>
      <c r="G49" s="410">
        <v>0</v>
      </c>
      <c r="H49" s="410">
        <v>0</v>
      </c>
      <c r="I49" s="410">
        <v>0</v>
      </c>
      <c r="J49" s="410">
        <v>0</v>
      </c>
      <c r="K49" s="410">
        <v>0</v>
      </c>
      <c r="L49" s="410">
        <v>0</v>
      </c>
      <c r="M49" s="410">
        <v>0</v>
      </c>
      <c r="N49" s="410">
        <v>0</v>
      </c>
      <c r="O49" s="410">
        <v>0</v>
      </c>
      <c r="P49" s="410">
        <v>0</v>
      </c>
      <c r="Q49" s="410">
        <v>0</v>
      </c>
      <c r="R49" s="410">
        <v>0</v>
      </c>
      <c r="S49" s="410">
        <v>0</v>
      </c>
      <c r="T49" s="410">
        <v>0</v>
      </c>
      <c r="U49" s="410">
        <v>0</v>
      </c>
      <c r="V49" s="410">
        <v>0</v>
      </c>
      <c r="W49" s="410">
        <v>0</v>
      </c>
      <c r="X49" s="410">
        <v>0</v>
      </c>
      <c r="Y49" s="410">
        <v>0</v>
      </c>
      <c r="Z49" s="410">
        <v>0</v>
      </c>
      <c r="AA49" s="410">
        <v>0</v>
      </c>
      <c r="AB49" s="410">
        <v>0</v>
      </c>
      <c r="AC49" s="410">
        <v>0</v>
      </c>
      <c r="AD49" s="410">
        <v>0</v>
      </c>
      <c r="AE49" s="410">
        <v>0</v>
      </c>
      <c r="AF49" s="410">
        <v>0</v>
      </c>
      <c r="AG49" s="410">
        <v>0</v>
      </c>
      <c r="AH49" s="410">
        <v>0</v>
      </c>
    </row>
    <row r="50" spans="1:34" outlineLevel="1" x14ac:dyDescent="0.25">
      <c r="A50" s="1712" t="s">
        <v>472</v>
      </c>
      <c r="B50" s="390" t="s">
        <v>486</v>
      </c>
      <c r="C50" s="440">
        <f>SUM(D50:AH50)</f>
        <v>2170</v>
      </c>
      <c r="D50" s="427">
        <v>70</v>
      </c>
      <c r="E50" s="427">
        <v>70</v>
      </c>
      <c r="F50" s="427">
        <v>70</v>
      </c>
      <c r="G50" s="427">
        <v>70</v>
      </c>
      <c r="H50" s="427">
        <v>70</v>
      </c>
      <c r="I50" s="427">
        <v>70</v>
      </c>
      <c r="J50" s="427">
        <v>70</v>
      </c>
      <c r="K50" s="427">
        <v>70</v>
      </c>
      <c r="L50" s="427">
        <v>70</v>
      </c>
      <c r="M50" s="427">
        <v>70</v>
      </c>
      <c r="N50" s="427">
        <v>70</v>
      </c>
      <c r="O50" s="427">
        <v>70</v>
      </c>
      <c r="P50" s="427">
        <v>70</v>
      </c>
      <c r="Q50" s="427">
        <v>70</v>
      </c>
      <c r="R50" s="427">
        <v>70</v>
      </c>
      <c r="S50" s="427">
        <v>70</v>
      </c>
      <c r="T50" s="427">
        <v>70</v>
      </c>
      <c r="U50" s="427">
        <v>70</v>
      </c>
      <c r="V50" s="427">
        <v>70</v>
      </c>
      <c r="W50" s="427">
        <v>70</v>
      </c>
      <c r="X50" s="427">
        <v>70</v>
      </c>
      <c r="Y50" s="433">
        <v>70</v>
      </c>
      <c r="Z50" s="433">
        <v>70</v>
      </c>
      <c r="AA50" s="427">
        <v>70</v>
      </c>
      <c r="AB50" s="427">
        <v>70</v>
      </c>
      <c r="AC50" s="427">
        <v>70</v>
      </c>
      <c r="AD50" s="427">
        <v>70</v>
      </c>
      <c r="AE50" s="427">
        <v>70</v>
      </c>
      <c r="AF50" s="427">
        <v>70</v>
      </c>
      <c r="AG50" s="427">
        <v>70</v>
      </c>
      <c r="AH50" s="427">
        <v>70</v>
      </c>
    </row>
    <row r="51" spans="1:34" outlineLevel="1" x14ac:dyDescent="0.25">
      <c r="A51" s="1712"/>
      <c r="B51" s="390" t="s">
        <v>484</v>
      </c>
      <c r="C51" s="439">
        <f>IF(C50,SUMPRODUCT(D50:AH50,D51:AH51)/C50,0)</f>
        <v>1.6900000000000008</v>
      </c>
      <c r="D51" s="405">
        <v>1.69</v>
      </c>
      <c r="E51" s="405">
        <v>1.69</v>
      </c>
      <c r="F51" s="405">
        <v>1.69</v>
      </c>
      <c r="G51" s="405">
        <v>1.69</v>
      </c>
      <c r="H51" s="405">
        <v>1.69</v>
      </c>
      <c r="I51" s="405">
        <v>1.69</v>
      </c>
      <c r="J51" s="405">
        <v>1.69</v>
      </c>
      <c r="K51" s="405">
        <v>1.69</v>
      </c>
      <c r="L51" s="405">
        <v>1.69</v>
      </c>
      <c r="M51" s="405">
        <v>1.69</v>
      </c>
      <c r="N51" s="405">
        <v>1.69</v>
      </c>
      <c r="O51" s="405">
        <v>1.69</v>
      </c>
      <c r="P51" s="405">
        <v>1.69</v>
      </c>
      <c r="Q51" s="405">
        <v>1.69</v>
      </c>
      <c r="R51" s="405">
        <v>1.69</v>
      </c>
      <c r="S51" s="405">
        <v>1.69</v>
      </c>
      <c r="T51" s="405">
        <v>1.69</v>
      </c>
      <c r="U51" s="405">
        <v>1.69</v>
      </c>
      <c r="V51" s="405">
        <v>1.69</v>
      </c>
      <c r="W51" s="405">
        <v>1.69</v>
      </c>
      <c r="X51" s="405">
        <v>1.69</v>
      </c>
      <c r="Y51" s="405">
        <v>1.69</v>
      </c>
      <c r="Z51" s="405">
        <v>1.69</v>
      </c>
      <c r="AA51" s="405">
        <v>1.69</v>
      </c>
      <c r="AB51" s="405">
        <v>1.69</v>
      </c>
      <c r="AC51" s="405">
        <v>1.69</v>
      </c>
      <c r="AD51" s="405">
        <v>1.69</v>
      </c>
      <c r="AE51" s="405">
        <v>1.69</v>
      </c>
      <c r="AF51" s="405">
        <v>1.69</v>
      </c>
      <c r="AG51" s="405">
        <v>1.69</v>
      </c>
      <c r="AH51" s="405">
        <v>1.69</v>
      </c>
    </row>
    <row r="52" spans="1:34" s="442" customFormat="1" outlineLevel="1" x14ac:dyDescent="0.25">
      <c r="A52" s="1715" t="s">
        <v>366</v>
      </c>
      <c r="B52" s="393" t="s">
        <v>486</v>
      </c>
      <c r="C52" s="441">
        <f>SUM(D52:AG52)</f>
        <v>1050</v>
      </c>
      <c r="D52" s="433">
        <v>35</v>
      </c>
      <c r="E52" s="433">
        <v>35</v>
      </c>
      <c r="F52" s="433">
        <v>35</v>
      </c>
      <c r="G52" s="433">
        <v>35</v>
      </c>
      <c r="H52" s="433">
        <v>35</v>
      </c>
      <c r="I52" s="433">
        <v>35</v>
      </c>
      <c r="J52" s="433">
        <v>35</v>
      </c>
      <c r="K52" s="433">
        <v>35</v>
      </c>
      <c r="L52" s="433">
        <v>35</v>
      </c>
      <c r="M52" s="433">
        <v>35</v>
      </c>
      <c r="N52" s="433">
        <v>35</v>
      </c>
      <c r="O52" s="433">
        <v>35</v>
      </c>
      <c r="P52" s="433">
        <v>35</v>
      </c>
      <c r="Q52" s="433">
        <v>35</v>
      </c>
      <c r="R52" s="433">
        <v>35</v>
      </c>
      <c r="S52" s="433">
        <v>35</v>
      </c>
      <c r="T52" s="433">
        <v>35</v>
      </c>
      <c r="U52" s="433">
        <v>35</v>
      </c>
      <c r="V52" s="433">
        <v>35</v>
      </c>
      <c r="W52" s="433">
        <v>35</v>
      </c>
      <c r="X52" s="433">
        <v>35</v>
      </c>
      <c r="Y52" s="433">
        <v>35</v>
      </c>
      <c r="Z52" s="433">
        <v>35</v>
      </c>
      <c r="AA52" s="433">
        <v>35</v>
      </c>
      <c r="AB52" s="433">
        <v>35</v>
      </c>
      <c r="AC52" s="433">
        <v>35</v>
      </c>
      <c r="AD52" s="433">
        <v>35</v>
      </c>
      <c r="AE52" s="433">
        <v>35</v>
      </c>
      <c r="AF52" s="433">
        <v>35</v>
      </c>
      <c r="AG52" s="433">
        <v>35</v>
      </c>
      <c r="AH52" s="433">
        <v>35</v>
      </c>
    </row>
    <row r="53" spans="1:34" s="431" customFormat="1" outlineLevel="1" x14ac:dyDescent="0.25">
      <c r="A53" s="1716"/>
      <c r="B53" s="438" t="s">
        <v>484</v>
      </c>
      <c r="C53" s="439">
        <f>IF(C52,SUMPRODUCT(D52:AH52,D53:AH53)/C52,0)</f>
        <v>1.6581619937694712</v>
      </c>
      <c r="D53" s="410">
        <v>1.6046728971962614</v>
      </c>
      <c r="E53" s="410">
        <v>1.6046728971962614</v>
      </c>
      <c r="F53" s="410">
        <v>1.6046728971962614</v>
      </c>
      <c r="G53" s="410">
        <v>1.6046728971962614</v>
      </c>
      <c r="H53" s="410">
        <v>1.6046728971962614</v>
      </c>
      <c r="I53" s="410">
        <v>1.6046728971962614</v>
      </c>
      <c r="J53" s="410">
        <v>1.6046728971962614</v>
      </c>
      <c r="K53" s="410">
        <v>1.6046728971962614</v>
      </c>
      <c r="L53" s="410">
        <v>1.6046728971962614</v>
      </c>
      <c r="M53" s="410">
        <v>1.6046728971962614</v>
      </c>
      <c r="N53" s="410">
        <v>1.6046728971962614</v>
      </c>
      <c r="O53" s="410">
        <v>1.6046728971962614</v>
      </c>
      <c r="P53" s="410">
        <v>1.6046728971962614</v>
      </c>
      <c r="Q53" s="410">
        <v>1.6046728971962614</v>
      </c>
      <c r="R53" s="410">
        <v>1.6046728971962614</v>
      </c>
      <c r="S53" s="410">
        <v>1.6046728971962614</v>
      </c>
      <c r="T53" s="410">
        <v>1.6046728971962614</v>
      </c>
      <c r="U53" s="410">
        <v>1.6046728971962614</v>
      </c>
      <c r="V53" s="410">
        <v>1.6046728971962614</v>
      </c>
      <c r="W53" s="410">
        <v>1.6046728971962614</v>
      </c>
      <c r="X53" s="410">
        <v>1.6046728971962614</v>
      </c>
      <c r="Y53" s="410">
        <v>1.6046728971962614</v>
      </c>
      <c r="Z53" s="410">
        <v>1.6046728971962614</v>
      </c>
      <c r="AA53" s="410">
        <v>1.6046728971962614</v>
      </c>
      <c r="AB53" s="410">
        <v>1.6046728971962614</v>
      </c>
      <c r="AC53" s="410">
        <v>1.6046728971962614</v>
      </c>
      <c r="AD53" s="410">
        <v>1.6046728971962614</v>
      </c>
      <c r="AE53" s="410">
        <v>1.6046728971962614</v>
      </c>
      <c r="AF53" s="410">
        <v>1.6046728971962614</v>
      </c>
      <c r="AG53" s="410">
        <v>1.6046728971962614</v>
      </c>
      <c r="AH53" s="410">
        <v>1.6046728971962614</v>
      </c>
    </row>
    <row r="54" spans="1:34" s="431" customFormat="1" outlineLevel="1" x14ac:dyDescent="0.25">
      <c r="A54" s="443"/>
      <c r="B54" s="438"/>
      <c r="C54" s="439"/>
      <c r="D54" s="410"/>
      <c r="E54" s="410"/>
      <c r="F54" s="410"/>
      <c r="G54" s="410"/>
      <c r="H54" s="410"/>
      <c r="I54" s="410"/>
      <c r="J54" s="410"/>
      <c r="K54" s="410"/>
      <c r="L54" s="410"/>
      <c r="M54" s="410"/>
      <c r="N54" s="410"/>
      <c r="O54" s="410"/>
      <c r="P54" s="410"/>
      <c r="Q54" s="410"/>
      <c r="R54" s="410"/>
      <c r="S54" s="410"/>
      <c r="T54" s="410"/>
      <c r="U54" s="410"/>
      <c r="V54" s="410"/>
      <c r="W54" s="410"/>
      <c r="X54" s="410"/>
      <c r="Y54" s="410"/>
      <c r="Z54" s="410"/>
      <c r="AA54" s="410"/>
      <c r="AB54" s="410"/>
      <c r="AC54" s="410"/>
      <c r="AD54" s="410"/>
      <c r="AE54" s="410"/>
      <c r="AF54" s="410"/>
      <c r="AG54" s="410"/>
      <c r="AH54" s="410"/>
    </row>
    <row r="55" spans="1:34" s="431" customFormat="1" outlineLevel="1" x14ac:dyDescent="0.25">
      <c r="A55" s="443"/>
      <c r="B55" s="438"/>
      <c r="C55" s="439"/>
      <c r="D55" s="410"/>
      <c r="E55" s="410"/>
      <c r="F55" s="410"/>
      <c r="G55" s="410"/>
      <c r="H55" s="410"/>
      <c r="I55" s="410"/>
      <c r="J55" s="410"/>
      <c r="K55" s="410"/>
      <c r="L55" s="410"/>
      <c r="M55" s="410"/>
      <c r="N55" s="410"/>
      <c r="O55" s="410"/>
      <c r="P55" s="410"/>
      <c r="Q55" s="410"/>
      <c r="R55" s="410"/>
      <c r="S55" s="410"/>
      <c r="T55" s="410"/>
      <c r="U55" s="410"/>
      <c r="V55" s="410"/>
      <c r="W55" s="410"/>
      <c r="X55" s="410"/>
      <c r="Y55" s="410"/>
      <c r="Z55" s="410"/>
      <c r="AA55" s="410"/>
      <c r="AB55" s="410"/>
      <c r="AC55" s="410"/>
      <c r="AD55" s="410"/>
      <c r="AE55" s="410"/>
      <c r="AF55" s="410"/>
      <c r="AG55" s="410"/>
      <c r="AH55" s="410"/>
    </row>
    <row r="56" spans="1:34" s="444" customFormat="1" x14ac:dyDescent="0.25">
      <c r="A56" s="1725" t="s">
        <v>506</v>
      </c>
      <c r="B56" s="414" t="s">
        <v>488</v>
      </c>
      <c r="C56" s="414">
        <f>SUM(D56:AH56)</f>
        <v>3255</v>
      </c>
      <c r="D56" s="414">
        <f t="shared" ref="D56:AH56" si="8">+D50+D48+D52</f>
        <v>105</v>
      </c>
      <c r="E56" s="414">
        <f t="shared" si="8"/>
        <v>105</v>
      </c>
      <c r="F56" s="414">
        <f t="shared" si="8"/>
        <v>105</v>
      </c>
      <c r="G56" s="414">
        <f t="shared" si="8"/>
        <v>105</v>
      </c>
      <c r="H56" s="414">
        <f t="shared" si="8"/>
        <v>105</v>
      </c>
      <c r="I56" s="414">
        <f t="shared" si="8"/>
        <v>105</v>
      </c>
      <c r="J56" s="414">
        <f t="shared" si="8"/>
        <v>105</v>
      </c>
      <c r="K56" s="414">
        <f t="shared" si="8"/>
        <v>105</v>
      </c>
      <c r="L56" s="414">
        <f t="shared" si="8"/>
        <v>105</v>
      </c>
      <c r="M56" s="414">
        <f t="shared" si="8"/>
        <v>105</v>
      </c>
      <c r="N56" s="414">
        <f t="shared" si="8"/>
        <v>105</v>
      </c>
      <c r="O56" s="414">
        <f t="shared" si="8"/>
        <v>105</v>
      </c>
      <c r="P56" s="414">
        <f t="shared" si="8"/>
        <v>105</v>
      </c>
      <c r="Q56" s="414">
        <f t="shared" si="8"/>
        <v>105</v>
      </c>
      <c r="R56" s="414">
        <f t="shared" si="8"/>
        <v>105</v>
      </c>
      <c r="S56" s="414">
        <f t="shared" si="8"/>
        <v>105</v>
      </c>
      <c r="T56" s="414">
        <f t="shared" si="8"/>
        <v>105</v>
      </c>
      <c r="U56" s="414">
        <f t="shared" si="8"/>
        <v>105</v>
      </c>
      <c r="V56" s="414">
        <f t="shared" si="8"/>
        <v>105</v>
      </c>
      <c r="W56" s="414">
        <f t="shared" si="8"/>
        <v>105</v>
      </c>
      <c r="X56" s="414">
        <f t="shared" si="8"/>
        <v>105</v>
      </c>
      <c r="Y56" s="414">
        <f t="shared" si="8"/>
        <v>105</v>
      </c>
      <c r="Z56" s="414">
        <f t="shared" si="8"/>
        <v>105</v>
      </c>
      <c r="AA56" s="414">
        <f t="shared" si="8"/>
        <v>105</v>
      </c>
      <c r="AB56" s="414">
        <f t="shared" si="8"/>
        <v>105</v>
      </c>
      <c r="AC56" s="414">
        <f t="shared" si="8"/>
        <v>105</v>
      </c>
      <c r="AD56" s="414">
        <f t="shared" si="8"/>
        <v>105</v>
      </c>
      <c r="AE56" s="414">
        <f t="shared" si="8"/>
        <v>105</v>
      </c>
      <c r="AF56" s="414">
        <f t="shared" si="8"/>
        <v>105</v>
      </c>
      <c r="AG56" s="414">
        <f t="shared" si="8"/>
        <v>105</v>
      </c>
      <c r="AH56" s="414">
        <f t="shared" si="8"/>
        <v>105</v>
      </c>
    </row>
    <row r="57" spans="1:34" s="445" customFormat="1" x14ac:dyDescent="0.25">
      <c r="A57" s="1726"/>
      <c r="B57" s="417" t="s">
        <v>484</v>
      </c>
      <c r="C57" s="417">
        <f>IF(C56,SUMPRODUCT(D56:AH56,D57:AH57)/C56,0)</f>
        <v>1.6615576323987538</v>
      </c>
      <c r="D57" s="417">
        <f t="shared" ref="D57:AH57" si="9">+IF(D56,(D50*D51+D48*D49+D52*D53)/D56,0)</f>
        <v>1.6615576323987538</v>
      </c>
      <c r="E57" s="417">
        <f t="shared" si="9"/>
        <v>1.6615576323987538</v>
      </c>
      <c r="F57" s="417">
        <f t="shared" si="9"/>
        <v>1.6615576323987538</v>
      </c>
      <c r="G57" s="417">
        <f t="shared" si="9"/>
        <v>1.6615576323987538</v>
      </c>
      <c r="H57" s="417">
        <f t="shared" si="9"/>
        <v>1.6615576323987538</v>
      </c>
      <c r="I57" s="417">
        <f t="shared" si="9"/>
        <v>1.6615576323987538</v>
      </c>
      <c r="J57" s="417">
        <f t="shared" si="9"/>
        <v>1.6615576323987538</v>
      </c>
      <c r="K57" s="417">
        <f t="shared" si="9"/>
        <v>1.6615576323987538</v>
      </c>
      <c r="L57" s="417">
        <f t="shared" si="9"/>
        <v>1.6615576323987538</v>
      </c>
      <c r="M57" s="417">
        <f t="shared" si="9"/>
        <v>1.6615576323987538</v>
      </c>
      <c r="N57" s="417">
        <f t="shared" si="9"/>
        <v>1.6615576323987538</v>
      </c>
      <c r="O57" s="417">
        <f t="shared" si="9"/>
        <v>1.6615576323987538</v>
      </c>
      <c r="P57" s="417">
        <f t="shared" si="9"/>
        <v>1.6615576323987538</v>
      </c>
      <c r="Q57" s="417">
        <f t="shared" si="9"/>
        <v>1.6615576323987538</v>
      </c>
      <c r="R57" s="417">
        <f t="shared" si="9"/>
        <v>1.6615576323987538</v>
      </c>
      <c r="S57" s="417">
        <f t="shared" si="9"/>
        <v>1.6615576323987538</v>
      </c>
      <c r="T57" s="417">
        <f t="shared" si="9"/>
        <v>1.6615576323987538</v>
      </c>
      <c r="U57" s="417">
        <f t="shared" si="9"/>
        <v>1.6615576323987538</v>
      </c>
      <c r="V57" s="417">
        <f t="shared" si="9"/>
        <v>1.6615576323987538</v>
      </c>
      <c r="W57" s="417">
        <f t="shared" si="9"/>
        <v>1.6615576323987538</v>
      </c>
      <c r="X57" s="417">
        <f t="shared" si="9"/>
        <v>1.6615576323987538</v>
      </c>
      <c r="Y57" s="417">
        <f t="shared" si="9"/>
        <v>1.6615576323987538</v>
      </c>
      <c r="Z57" s="417">
        <f t="shared" si="9"/>
        <v>1.6615576323987538</v>
      </c>
      <c r="AA57" s="417">
        <f t="shared" si="9"/>
        <v>1.6615576323987538</v>
      </c>
      <c r="AB57" s="417">
        <f t="shared" si="9"/>
        <v>1.6615576323987538</v>
      </c>
      <c r="AC57" s="417">
        <f t="shared" si="9"/>
        <v>1.6615576323987538</v>
      </c>
      <c r="AD57" s="417">
        <f t="shared" si="9"/>
        <v>1.6615576323987538</v>
      </c>
      <c r="AE57" s="417">
        <f t="shared" si="9"/>
        <v>1.6615576323987538</v>
      </c>
      <c r="AF57" s="417">
        <f t="shared" si="9"/>
        <v>1.6615576323987538</v>
      </c>
      <c r="AG57" s="417">
        <f t="shared" si="9"/>
        <v>1.6615576323987538</v>
      </c>
      <c r="AH57" s="417">
        <f t="shared" si="9"/>
        <v>1.6615576323987538</v>
      </c>
    </row>
    <row r="58" spans="1:34" outlineLevel="1" x14ac:dyDescent="0.25">
      <c r="A58" s="1723" t="s">
        <v>507</v>
      </c>
      <c r="B58" s="403" t="s">
        <v>486</v>
      </c>
      <c r="C58" s="446">
        <f>SUM(D58:AH58)</f>
        <v>0</v>
      </c>
      <c r="D58" s="403">
        <v>0</v>
      </c>
      <c r="E58" s="403">
        <v>0</v>
      </c>
      <c r="F58" s="403">
        <v>0</v>
      </c>
      <c r="G58" s="403">
        <v>0</v>
      </c>
      <c r="H58" s="403">
        <v>0</v>
      </c>
      <c r="I58" s="403">
        <v>0</v>
      </c>
      <c r="J58" s="403">
        <v>0</v>
      </c>
      <c r="K58" s="403">
        <v>0</v>
      </c>
      <c r="L58" s="403">
        <v>0</v>
      </c>
      <c r="M58" s="403">
        <v>0</v>
      </c>
      <c r="N58" s="403">
        <v>0</v>
      </c>
      <c r="O58" s="403">
        <v>0</v>
      </c>
      <c r="P58" s="403">
        <v>0</v>
      </c>
      <c r="Q58" s="403">
        <v>0</v>
      </c>
      <c r="R58" s="403">
        <v>0</v>
      </c>
      <c r="S58" s="403">
        <v>0</v>
      </c>
      <c r="T58" s="403">
        <v>0</v>
      </c>
      <c r="U58" s="403">
        <v>0</v>
      </c>
      <c r="V58" s="403">
        <v>0</v>
      </c>
      <c r="W58" s="403">
        <v>0</v>
      </c>
      <c r="X58" s="403">
        <v>0</v>
      </c>
      <c r="Y58" s="404">
        <v>0</v>
      </c>
      <c r="Z58" s="404">
        <v>0</v>
      </c>
      <c r="AA58" s="403">
        <v>0</v>
      </c>
      <c r="AB58" s="403">
        <v>0</v>
      </c>
      <c r="AC58" s="403">
        <v>0</v>
      </c>
      <c r="AD58" s="403">
        <v>0</v>
      </c>
      <c r="AE58" s="403">
        <v>0</v>
      </c>
      <c r="AF58" s="403">
        <v>0</v>
      </c>
      <c r="AG58" s="403">
        <v>0</v>
      </c>
      <c r="AH58" s="403">
        <v>0</v>
      </c>
    </row>
    <row r="59" spans="1:34" outlineLevel="1" x14ac:dyDescent="0.25">
      <c r="A59" s="1724"/>
      <c r="B59" s="403" t="s">
        <v>484</v>
      </c>
      <c r="C59" s="447">
        <f>IF(C58,SUMPRODUCT(D58:AG58,D59:AG59)/C58,0)</f>
        <v>0</v>
      </c>
      <c r="D59" s="403">
        <v>0</v>
      </c>
      <c r="E59" s="403">
        <v>0</v>
      </c>
      <c r="F59" s="403">
        <v>0</v>
      </c>
      <c r="G59" s="403">
        <v>0</v>
      </c>
      <c r="H59" s="403">
        <v>0</v>
      </c>
      <c r="I59" s="403">
        <v>0</v>
      </c>
      <c r="J59" s="403">
        <v>0</v>
      </c>
      <c r="K59" s="403">
        <v>0</v>
      </c>
      <c r="L59" s="403">
        <v>0</v>
      </c>
      <c r="M59" s="403">
        <v>0</v>
      </c>
      <c r="N59" s="403">
        <v>0</v>
      </c>
      <c r="O59" s="403">
        <v>0</v>
      </c>
      <c r="P59" s="403">
        <v>0</v>
      </c>
      <c r="Q59" s="403">
        <v>0</v>
      </c>
      <c r="R59" s="403">
        <v>0</v>
      </c>
      <c r="S59" s="403">
        <v>0</v>
      </c>
      <c r="T59" s="403">
        <v>0</v>
      </c>
      <c r="U59" s="403">
        <v>0</v>
      </c>
      <c r="V59" s="403">
        <v>0</v>
      </c>
      <c r="W59" s="403">
        <v>0</v>
      </c>
      <c r="X59" s="403">
        <v>0</v>
      </c>
      <c r="Y59" s="404">
        <v>0</v>
      </c>
      <c r="Z59" s="404">
        <v>0</v>
      </c>
      <c r="AA59" s="403">
        <v>0</v>
      </c>
      <c r="AB59" s="403">
        <v>0</v>
      </c>
      <c r="AC59" s="403">
        <v>0</v>
      </c>
      <c r="AD59" s="403">
        <v>0</v>
      </c>
      <c r="AE59" s="403">
        <v>0</v>
      </c>
      <c r="AF59" s="403">
        <v>0</v>
      </c>
      <c r="AG59" s="403">
        <v>0</v>
      </c>
      <c r="AH59" s="403">
        <v>0</v>
      </c>
    </row>
    <row r="60" spans="1:34" outlineLevel="1" x14ac:dyDescent="0.25">
      <c r="A60" s="1723" t="s">
        <v>474</v>
      </c>
      <c r="B60" s="390" t="s">
        <v>486</v>
      </c>
      <c r="C60" s="448">
        <f>SUM(D60:AH60)</f>
        <v>5425</v>
      </c>
      <c r="D60" s="403">
        <v>175</v>
      </c>
      <c r="E60" s="403">
        <v>175</v>
      </c>
      <c r="F60" s="403">
        <v>175</v>
      </c>
      <c r="G60" s="403">
        <v>175</v>
      </c>
      <c r="H60" s="403">
        <v>175</v>
      </c>
      <c r="I60" s="403">
        <v>175</v>
      </c>
      <c r="J60" s="403">
        <v>175</v>
      </c>
      <c r="K60" s="403">
        <v>175</v>
      </c>
      <c r="L60" s="403">
        <v>175</v>
      </c>
      <c r="M60" s="403">
        <v>175</v>
      </c>
      <c r="N60" s="403">
        <v>175</v>
      </c>
      <c r="O60" s="403">
        <v>175</v>
      </c>
      <c r="P60" s="403">
        <v>175</v>
      </c>
      <c r="Q60" s="403">
        <v>175</v>
      </c>
      <c r="R60" s="403">
        <v>175</v>
      </c>
      <c r="S60" s="403">
        <v>175</v>
      </c>
      <c r="T60" s="403">
        <v>175</v>
      </c>
      <c r="U60" s="403">
        <v>175</v>
      </c>
      <c r="V60" s="403">
        <v>175</v>
      </c>
      <c r="W60" s="403">
        <v>175</v>
      </c>
      <c r="X60" s="403">
        <v>175</v>
      </c>
      <c r="Y60" s="404">
        <v>175</v>
      </c>
      <c r="Z60" s="404">
        <v>175</v>
      </c>
      <c r="AA60" s="403">
        <v>175</v>
      </c>
      <c r="AB60" s="403">
        <v>175</v>
      </c>
      <c r="AC60" s="403">
        <v>175</v>
      </c>
      <c r="AD60" s="403">
        <v>175</v>
      </c>
      <c r="AE60" s="403">
        <v>175</v>
      </c>
      <c r="AF60" s="403">
        <v>175</v>
      </c>
      <c r="AG60" s="403">
        <v>175</v>
      </c>
      <c r="AH60" s="403">
        <v>175</v>
      </c>
    </row>
    <row r="61" spans="1:34" outlineLevel="1" x14ac:dyDescent="0.25">
      <c r="A61" s="1724"/>
      <c r="B61" s="390" t="s">
        <v>484</v>
      </c>
      <c r="C61" s="447">
        <f>IF(C60,SUMPRODUCT(D60:AG60,D61:AG61)/C60,0)</f>
        <v>2.9905034669882404</v>
      </c>
      <c r="D61" s="405">
        <v>3.0901869158878505</v>
      </c>
      <c r="E61" s="405">
        <v>3.0901869158878505</v>
      </c>
      <c r="F61" s="405">
        <v>3.0901869158878505</v>
      </c>
      <c r="G61" s="405">
        <v>3.0901869158878505</v>
      </c>
      <c r="H61" s="405">
        <v>3.0901869158878505</v>
      </c>
      <c r="I61" s="405">
        <v>3.0901869158878505</v>
      </c>
      <c r="J61" s="405">
        <v>3.0901869158878505</v>
      </c>
      <c r="K61" s="405">
        <v>3.0901869158878505</v>
      </c>
      <c r="L61" s="405">
        <v>3.0901869158878505</v>
      </c>
      <c r="M61" s="405">
        <v>3.0901869158878505</v>
      </c>
      <c r="N61" s="405">
        <v>3.0901869158878505</v>
      </c>
      <c r="O61" s="405">
        <v>3.0901869158878505</v>
      </c>
      <c r="P61" s="405">
        <v>3.0901869158878505</v>
      </c>
      <c r="Q61" s="405">
        <v>3.0901869158878505</v>
      </c>
      <c r="R61" s="405">
        <v>3.0901869158878505</v>
      </c>
      <c r="S61" s="405">
        <v>3.0901869158878505</v>
      </c>
      <c r="T61" s="405">
        <v>3.0901869158878505</v>
      </c>
      <c r="U61" s="405">
        <v>3.0901869158878505</v>
      </c>
      <c r="V61" s="405">
        <v>3.0901869158878505</v>
      </c>
      <c r="W61" s="405">
        <v>3.0901869158878505</v>
      </c>
      <c r="X61" s="405">
        <v>3.0901869158878505</v>
      </c>
      <c r="Y61" s="405">
        <v>3.0901869158878505</v>
      </c>
      <c r="Z61" s="405">
        <v>3.0901869158878505</v>
      </c>
      <c r="AA61" s="405">
        <v>3.0901869158878505</v>
      </c>
      <c r="AB61" s="405">
        <v>3.0901869158878505</v>
      </c>
      <c r="AC61" s="405">
        <v>3.0901869158878505</v>
      </c>
      <c r="AD61" s="405">
        <v>3.0901869158878505</v>
      </c>
      <c r="AE61" s="405">
        <v>3.0901869158878505</v>
      </c>
      <c r="AF61" s="405">
        <v>3.0901869158878505</v>
      </c>
      <c r="AG61" s="405">
        <v>3.0901869158878505</v>
      </c>
      <c r="AH61" s="405">
        <v>3.0901869158878505</v>
      </c>
    </row>
    <row r="62" spans="1:34" outlineLevel="1" x14ac:dyDescent="0.25">
      <c r="A62" s="1723" t="s">
        <v>476</v>
      </c>
      <c r="B62" s="390" t="s">
        <v>486</v>
      </c>
      <c r="C62" s="448">
        <f>SUM(D62:AH62)</f>
        <v>2170</v>
      </c>
      <c r="D62" s="403">
        <v>70</v>
      </c>
      <c r="E62" s="403">
        <v>70</v>
      </c>
      <c r="F62" s="403">
        <v>70</v>
      </c>
      <c r="G62" s="403">
        <v>70</v>
      </c>
      <c r="H62" s="403">
        <v>70</v>
      </c>
      <c r="I62" s="403">
        <v>70</v>
      </c>
      <c r="J62" s="403">
        <v>70</v>
      </c>
      <c r="K62" s="403">
        <v>70</v>
      </c>
      <c r="L62" s="403">
        <v>70</v>
      </c>
      <c r="M62" s="403">
        <v>70</v>
      </c>
      <c r="N62" s="403">
        <v>70</v>
      </c>
      <c r="O62" s="403">
        <v>70</v>
      </c>
      <c r="P62" s="403">
        <v>70</v>
      </c>
      <c r="Q62" s="403">
        <v>70</v>
      </c>
      <c r="R62" s="403">
        <v>70</v>
      </c>
      <c r="S62" s="403">
        <v>70</v>
      </c>
      <c r="T62" s="403">
        <v>70</v>
      </c>
      <c r="U62" s="403">
        <v>70</v>
      </c>
      <c r="V62" s="403">
        <v>70</v>
      </c>
      <c r="W62" s="403">
        <v>70</v>
      </c>
      <c r="X62" s="403">
        <v>70</v>
      </c>
      <c r="Y62" s="403">
        <v>70</v>
      </c>
      <c r="Z62" s="403">
        <v>70</v>
      </c>
      <c r="AA62" s="403">
        <v>70</v>
      </c>
      <c r="AB62" s="403">
        <v>70</v>
      </c>
      <c r="AC62" s="403">
        <v>70</v>
      </c>
      <c r="AD62" s="403">
        <v>70</v>
      </c>
      <c r="AE62" s="403">
        <v>70</v>
      </c>
      <c r="AF62" s="403">
        <v>70</v>
      </c>
      <c r="AG62" s="403">
        <v>70</v>
      </c>
      <c r="AH62" s="403">
        <v>70</v>
      </c>
    </row>
    <row r="63" spans="1:34" outlineLevel="1" x14ac:dyDescent="0.25">
      <c r="A63" s="1724"/>
      <c r="B63" s="390" t="s">
        <v>484</v>
      </c>
      <c r="C63" s="447">
        <f t="shared" ref="C63" si="10">IF(C62,SUMPRODUCT(D62:AG62,D63:AG63)/C62,0)</f>
        <v>2.2371118480554717</v>
      </c>
      <c r="D63" s="405">
        <v>2.3116822429906541</v>
      </c>
      <c r="E63" s="405">
        <v>2.3116822429906541</v>
      </c>
      <c r="F63" s="405">
        <v>2.3116822429906541</v>
      </c>
      <c r="G63" s="405">
        <v>2.3116822429906541</v>
      </c>
      <c r="H63" s="405">
        <v>2.3116822429906541</v>
      </c>
      <c r="I63" s="405">
        <v>2.3116822429906541</v>
      </c>
      <c r="J63" s="405">
        <v>2.3116822429906541</v>
      </c>
      <c r="K63" s="405">
        <v>2.3116822429906541</v>
      </c>
      <c r="L63" s="405">
        <v>2.3116822429906541</v>
      </c>
      <c r="M63" s="405">
        <v>2.3116822429906541</v>
      </c>
      <c r="N63" s="405">
        <v>2.3116822429906541</v>
      </c>
      <c r="O63" s="405">
        <v>2.3116822429906541</v>
      </c>
      <c r="P63" s="405">
        <v>2.3116822429906541</v>
      </c>
      <c r="Q63" s="405">
        <v>2.3116822429906541</v>
      </c>
      <c r="R63" s="405">
        <v>2.3116822429906541</v>
      </c>
      <c r="S63" s="405">
        <v>2.3116822429906541</v>
      </c>
      <c r="T63" s="405">
        <v>2.3116822429906541</v>
      </c>
      <c r="U63" s="405">
        <v>2.3116822429906541</v>
      </c>
      <c r="V63" s="405">
        <v>2.3116822429906541</v>
      </c>
      <c r="W63" s="405">
        <v>2.3116822429906541</v>
      </c>
      <c r="X63" s="405">
        <v>2.3116822429906541</v>
      </c>
      <c r="Y63" s="405">
        <v>2.3116822429906541</v>
      </c>
      <c r="Z63" s="405">
        <v>2.3116822429906541</v>
      </c>
      <c r="AA63" s="405">
        <v>2.3116822429906541</v>
      </c>
      <c r="AB63" s="405">
        <v>2.3116822429906541</v>
      </c>
      <c r="AC63" s="405">
        <v>2.3116822429906541</v>
      </c>
      <c r="AD63" s="405">
        <v>2.3116822429906541</v>
      </c>
      <c r="AE63" s="405">
        <v>2.3116822429906541</v>
      </c>
      <c r="AF63" s="405">
        <v>2.3116822429906541</v>
      </c>
      <c r="AG63" s="405">
        <v>2.3116822429906541</v>
      </c>
      <c r="AH63" s="405">
        <v>2.3116822429906541</v>
      </c>
    </row>
    <row r="64" spans="1:34" outlineLevel="1" x14ac:dyDescent="0.25">
      <c r="A64" s="1723" t="s">
        <v>477</v>
      </c>
      <c r="B64" s="390" t="s">
        <v>486</v>
      </c>
      <c r="C64" s="448">
        <f>SUM(D64:AH64)</f>
        <v>2170</v>
      </c>
      <c r="D64" s="403">
        <v>70</v>
      </c>
      <c r="E64" s="403">
        <v>70</v>
      </c>
      <c r="F64" s="403">
        <v>70</v>
      </c>
      <c r="G64" s="403">
        <v>70</v>
      </c>
      <c r="H64" s="403">
        <v>70</v>
      </c>
      <c r="I64" s="403">
        <v>70</v>
      </c>
      <c r="J64" s="403">
        <v>70</v>
      </c>
      <c r="K64" s="403">
        <v>70</v>
      </c>
      <c r="L64" s="403">
        <v>70</v>
      </c>
      <c r="M64" s="403">
        <v>70</v>
      </c>
      <c r="N64" s="403">
        <v>70</v>
      </c>
      <c r="O64" s="403">
        <v>70</v>
      </c>
      <c r="P64" s="403">
        <v>70</v>
      </c>
      <c r="Q64" s="403">
        <v>70</v>
      </c>
      <c r="R64" s="403">
        <v>70</v>
      </c>
      <c r="S64" s="403">
        <v>70</v>
      </c>
      <c r="T64" s="403">
        <v>70</v>
      </c>
      <c r="U64" s="403">
        <v>70</v>
      </c>
      <c r="V64" s="403">
        <v>70</v>
      </c>
      <c r="W64" s="403">
        <v>70</v>
      </c>
      <c r="X64" s="403">
        <v>70</v>
      </c>
      <c r="Y64" s="404">
        <v>70</v>
      </c>
      <c r="Z64" s="404">
        <v>70</v>
      </c>
      <c r="AA64" s="403">
        <v>70</v>
      </c>
      <c r="AB64" s="403">
        <v>70</v>
      </c>
      <c r="AC64" s="403">
        <v>70</v>
      </c>
      <c r="AD64" s="403">
        <v>70</v>
      </c>
      <c r="AE64" s="403">
        <v>70</v>
      </c>
      <c r="AF64" s="403">
        <v>70</v>
      </c>
      <c r="AG64" s="403">
        <v>70</v>
      </c>
      <c r="AH64" s="403">
        <v>70</v>
      </c>
    </row>
    <row r="65" spans="1:34" outlineLevel="1" x14ac:dyDescent="0.25">
      <c r="A65" s="1724"/>
      <c r="B65" s="390" t="s">
        <v>484</v>
      </c>
      <c r="C65" s="447">
        <f>IF(C64,SUMPRODUCT(D64:AG64,D65:AG65)/C64,0)</f>
        <v>2.1832981609888455</v>
      </c>
      <c r="D65" s="405">
        <v>2.2560747663551397</v>
      </c>
      <c r="E65" s="405">
        <v>2.2560747663551397</v>
      </c>
      <c r="F65" s="405">
        <v>2.2560747663551397</v>
      </c>
      <c r="G65" s="405">
        <v>2.2560747663551397</v>
      </c>
      <c r="H65" s="405">
        <v>2.2560747663551397</v>
      </c>
      <c r="I65" s="405">
        <v>2.2560747663551397</v>
      </c>
      <c r="J65" s="405">
        <v>2.2560747663551397</v>
      </c>
      <c r="K65" s="405">
        <v>2.2560747663551397</v>
      </c>
      <c r="L65" s="405">
        <v>2.2560747663551397</v>
      </c>
      <c r="M65" s="405">
        <v>2.2560747663551397</v>
      </c>
      <c r="N65" s="405">
        <v>2.2560747663551397</v>
      </c>
      <c r="O65" s="405">
        <v>2.2560747663551397</v>
      </c>
      <c r="P65" s="405">
        <v>2.2560747663551397</v>
      </c>
      <c r="Q65" s="405">
        <v>2.2560747663551397</v>
      </c>
      <c r="R65" s="405">
        <v>2.2560747663551397</v>
      </c>
      <c r="S65" s="405">
        <v>2.2560747663551397</v>
      </c>
      <c r="T65" s="405">
        <v>2.2560747663551397</v>
      </c>
      <c r="U65" s="405">
        <v>2.2560747663551397</v>
      </c>
      <c r="V65" s="405">
        <v>2.2560747663551397</v>
      </c>
      <c r="W65" s="405">
        <v>2.2560747663551397</v>
      </c>
      <c r="X65" s="405">
        <v>2.2560747663551397</v>
      </c>
      <c r="Y65" s="405">
        <v>2.2560747663551397</v>
      </c>
      <c r="Z65" s="405">
        <v>2.2560747663551397</v>
      </c>
      <c r="AA65" s="405">
        <v>2.2560747663551397</v>
      </c>
      <c r="AB65" s="405">
        <v>2.2560747663551397</v>
      </c>
      <c r="AC65" s="405">
        <v>2.2560747663551397</v>
      </c>
      <c r="AD65" s="405">
        <v>2.2560747663551397</v>
      </c>
      <c r="AE65" s="405">
        <v>2.2560747663551397</v>
      </c>
      <c r="AF65" s="405">
        <v>2.2560747663551397</v>
      </c>
      <c r="AG65" s="405">
        <v>2.2560747663551397</v>
      </c>
      <c r="AH65" s="405">
        <v>2.2560747663551397</v>
      </c>
    </row>
    <row r="66" spans="1:34" outlineLevel="1" x14ac:dyDescent="0.25">
      <c r="A66" s="1723" t="s">
        <v>478</v>
      </c>
      <c r="B66" s="390" t="s">
        <v>486</v>
      </c>
      <c r="C66" s="448">
        <f>SUM(D66:AH66)</f>
        <v>4340</v>
      </c>
      <c r="D66" s="403">
        <v>140</v>
      </c>
      <c r="E66" s="403">
        <v>140</v>
      </c>
      <c r="F66" s="403">
        <v>140</v>
      </c>
      <c r="G66" s="403">
        <v>140</v>
      </c>
      <c r="H66" s="403">
        <v>140</v>
      </c>
      <c r="I66" s="403">
        <v>140</v>
      </c>
      <c r="J66" s="403">
        <v>140</v>
      </c>
      <c r="K66" s="403">
        <v>140</v>
      </c>
      <c r="L66" s="403">
        <v>140</v>
      </c>
      <c r="M66" s="403">
        <v>140</v>
      </c>
      <c r="N66" s="403">
        <v>140</v>
      </c>
      <c r="O66" s="403">
        <v>140</v>
      </c>
      <c r="P66" s="403">
        <v>140</v>
      </c>
      <c r="Q66" s="403">
        <v>140</v>
      </c>
      <c r="R66" s="403">
        <v>140</v>
      </c>
      <c r="S66" s="403">
        <v>140</v>
      </c>
      <c r="T66" s="403">
        <v>140</v>
      </c>
      <c r="U66" s="403">
        <v>140</v>
      </c>
      <c r="V66" s="403">
        <v>140</v>
      </c>
      <c r="W66" s="403">
        <v>140</v>
      </c>
      <c r="X66" s="403">
        <v>140</v>
      </c>
      <c r="Y66" s="404">
        <v>140</v>
      </c>
      <c r="Z66" s="404">
        <v>140</v>
      </c>
      <c r="AA66" s="403">
        <v>140</v>
      </c>
      <c r="AB66" s="403">
        <v>140</v>
      </c>
      <c r="AC66" s="403">
        <v>140</v>
      </c>
      <c r="AD66" s="403">
        <v>140</v>
      </c>
      <c r="AE66" s="403">
        <v>140</v>
      </c>
      <c r="AF66" s="403">
        <v>140</v>
      </c>
      <c r="AG66" s="403">
        <v>140</v>
      </c>
      <c r="AH66" s="403">
        <v>140</v>
      </c>
    </row>
    <row r="67" spans="1:34" outlineLevel="1" x14ac:dyDescent="0.25">
      <c r="A67" s="1724"/>
      <c r="B67" s="390" t="s">
        <v>484</v>
      </c>
      <c r="C67" s="447">
        <f>IF(C66,SUMPRODUCT(D66:AG66,D67:AG67)/C66,0)</f>
        <v>1.944980403979498</v>
      </c>
      <c r="D67" s="405">
        <v>2.0098130841121491</v>
      </c>
      <c r="E67" s="405">
        <v>2.0098130841121491</v>
      </c>
      <c r="F67" s="405">
        <v>2.0098130841121491</v>
      </c>
      <c r="G67" s="405">
        <v>2.0098130841121491</v>
      </c>
      <c r="H67" s="405">
        <v>2.0098130841121491</v>
      </c>
      <c r="I67" s="405">
        <v>2.0098130841121491</v>
      </c>
      <c r="J67" s="405">
        <v>2.0098130841121491</v>
      </c>
      <c r="K67" s="405">
        <v>2.0098130841121491</v>
      </c>
      <c r="L67" s="405">
        <v>2.0098130841121491</v>
      </c>
      <c r="M67" s="405">
        <v>2.0098130841121491</v>
      </c>
      <c r="N67" s="405">
        <v>2.0098130841121491</v>
      </c>
      <c r="O67" s="405">
        <v>2.0098130841121491</v>
      </c>
      <c r="P67" s="405">
        <v>2.0098130841121491</v>
      </c>
      <c r="Q67" s="405">
        <v>2.0098130841121491</v>
      </c>
      <c r="R67" s="405">
        <v>2.0098130841121491</v>
      </c>
      <c r="S67" s="405">
        <v>2.0098130841121491</v>
      </c>
      <c r="T67" s="405">
        <v>2.0098130841121491</v>
      </c>
      <c r="U67" s="405">
        <v>2.0098130841121491</v>
      </c>
      <c r="V67" s="405">
        <v>2.0098130841121491</v>
      </c>
      <c r="W67" s="405">
        <v>2.0098130841121491</v>
      </c>
      <c r="X67" s="405">
        <v>2.0098130841121491</v>
      </c>
      <c r="Y67" s="405">
        <v>2.0098130841121491</v>
      </c>
      <c r="Z67" s="405">
        <v>2.0098130841121491</v>
      </c>
      <c r="AA67" s="405">
        <v>2.0098130841121491</v>
      </c>
      <c r="AB67" s="405">
        <v>2.0098130841121491</v>
      </c>
      <c r="AC67" s="405">
        <v>2.0098130841121491</v>
      </c>
      <c r="AD67" s="405">
        <v>2.0098130841121491</v>
      </c>
      <c r="AE67" s="405">
        <v>2.0098130841121491</v>
      </c>
      <c r="AF67" s="405">
        <v>2.0098130841121491</v>
      </c>
      <c r="AG67" s="405">
        <v>2.0098130841121491</v>
      </c>
      <c r="AH67" s="405">
        <v>2.0098130841121491</v>
      </c>
    </row>
    <row r="68" spans="1:34" outlineLevel="1" x14ac:dyDescent="0.25">
      <c r="A68" s="1721" t="s">
        <v>159</v>
      </c>
      <c r="B68" s="390" t="s">
        <v>486</v>
      </c>
      <c r="C68" s="448">
        <f t="shared" ref="C68" si="11">SUM(D68:AG68)</f>
        <v>0</v>
      </c>
      <c r="D68" s="390">
        <v>0</v>
      </c>
      <c r="E68" s="390">
        <v>0</v>
      </c>
      <c r="F68" s="390">
        <v>0</v>
      </c>
      <c r="G68" s="390">
        <v>0</v>
      </c>
      <c r="H68" s="390">
        <v>0</v>
      </c>
      <c r="I68" s="390">
        <v>0</v>
      </c>
      <c r="J68" s="390">
        <v>0</v>
      </c>
      <c r="K68" s="390">
        <v>0</v>
      </c>
      <c r="L68" s="390">
        <v>0</v>
      </c>
      <c r="M68" s="390">
        <v>0</v>
      </c>
      <c r="N68" s="390">
        <v>0</v>
      </c>
      <c r="O68" s="390">
        <v>0</v>
      </c>
      <c r="P68" s="390">
        <v>0</v>
      </c>
      <c r="Q68" s="390">
        <v>0</v>
      </c>
      <c r="R68" s="390">
        <v>0</v>
      </c>
      <c r="S68" s="390">
        <v>0</v>
      </c>
      <c r="T68" s="390">
        <v>0</v>
      </c>
      <c r="U68" s="390">
        <v>0</v>
      </c>
      <c r="V68" s="390">
        <v>0</v>
      </c>
      <c r="W68" s="390">
        <v>0</v>
      </c>
      <c r="X68" s="390">
        <v>0</v>
      </c>
      <c r="Y68" s="390">
        <v>0</v>
      </c>
      <c r="Z68" s="390">
        <v>0</v>
      </c>
      <c r="AA68" s="390">
        <v>0</v>
      </c>
      <c r="AB68" s="390">
        <v>0</v>
      </c>
      <c r="AC68" s="390">
        <v>0</v>
      </c>
      <c r="AD68" s="390">
        <v>0</v>
      </c>
      <c r="AE68" s="390">
        <v>0</v>
      </c>
      <c r="AF68" s="390">
        <v>0</v>
      </c>
      <c r="AG68" s="390">
        <v>0</v>
      </c>
      <c r="AH68" s="390">
        <v>0</v>
      </c>
    </row>
    <row r="69" spans="1:34" outlineLevel="1" x14ac:dyDescent="0.25">
      <c r="A69" s="1722"/>
      <c r="B69" s="390" t="s">
        <v>484</v>
      </c>
      <c r="C69" s="447">
        <f>IF(C68,SUMPRODUCT(D68:AG68,D69:AG69)/C68,0)</f>
        <v>0</v>
      </c>
      <c r="D69" s="449">
        <v>1.7238317757009343</v>
      </c>
      <c r="E69" s="449">
        <v>1.7238317757009343</v>
      </c>
      <c r="F69" s="449">
        <v>1.7238317757009343</v>
      </c>
      <c r="G69" s="449">
        <v>1.7238317757009343</v>
      </c>
      <c r="H69" s="449">
        <v>1.7238317757009343</v>
      </c>
      <c r="I69" s="449">
        <v>1.7238317757009343</v>
      </c>
      <c r="J69" s="449">
        <v>1.7238317757009343</v>
      </c>
      <c r="K69" s="449">
        <v>1.7238317757009343</v>
      </c>
      <c r="L69" s="449">
        <v>1.7238317757009343</v>
      </c>
      <c r="M69" s="449">
        <v>1.7238317757009343</v>
      </c>
      <c r="N69" s="449">
        <v>1.7238317757009343</v>
      </c>
      <c r="O69" s="449">
        <v>1.7238317757009343</v>
      </c>
      <c r="P69" s="449">
        <v>1.7238317757009343</v>
      </c>
      <c r="Q69" s="449">
        <v>1.7238317757009343</v>
      </c>
      <c r="R69" s="449">
        <v>1.7238317757009343</v>
      </c>
      <c r="S69" s="449">
        <v>1.7238317757009343</v>
      </c>
      <c r="T69" s="449">
        <v>1.7238317757009343</v>
      </c>
      <c r="U69" s="449">
        <v>1.7238317757009343</v>
      </c>
      <c r="V69" s="449">
        <v>1.7238317757009343</v>
      </c>
      <c r="W69" s="449">
        <v>1.7238317757009343</v>
      </c>
      <c r="X69" s="449">
        <v>1.7238317757009343</v>
      </c>
      <c r="Y69" s="449">
        <v>1.7238317757009343</v>
      </c>
      <c r="Z69" s="449">
        <v>1.7238317757009343</v>
      </c>
      <c r="AA69" s="449">
        <v>1.7238317757009343</v>
      </c>
      <c r="AB69" s="449">
        <v>1.7238317757009343</v>
      </c>
      <c r="AC69" s="449">
        <v>1.7238317757009343</v>
      </c>
      <c r="AD69" s="449">
        <v>1.7238317757009343</v>
      </c>
      <c r="AE69" s="449">
        <v>1.7238317757009343</v>
      </c>
      <c r="AF69" s="449">
        <v>1.7238317757009343</v>
      </c>
      <c r="AG69" s="449">
        <v>1.7238317757009343</v>
      </c>
      <c r="AH69" s="449">
        <v>1.7238317757009343</v>
      </c>
    </row>
    <row r="70" spans="1:34" outlineLevel="1" x14ac:dyDescent="0.25">
      <c r="A70" s="1723" t="s">
        <v>508</v>
      </c>
      <c r="B70" s="390" t="s">
        <v>486</v>
      </c>
      <c r="C70" s="448">
        <f>SUM(D70:AH70)</f>
        <v>0</v>
      </c>
      <c r="D70" s="403">
        <v>0</v>
      </c>
      <c r="E70" s="403">
        <v>0</v>
      </c>
      <c r="F70" s="403">
        <v>0</v>
      </c>
      <c r="G70" s="403">
        <v>0</v>
      </c>
      <c r="H70" s="403">
        <v>0</v>
      </c>
      <c r="I70" s="403">
        <v>0</v>
      </c>
      <c r="J70" s="403">
        <v>0</v>
      </c>
      <c r="K70" s="403">
        <v>0</v>
      </c>
      <c r="L70" s="403">
        <v>0</v>
      </c>
      <c r="M70" s="403">
        <v>0</v>
      </c>
      <c r="N70" s="403">
        <v>0</v>
      </c>
      <c r="O70" s="403">
        <v>0</v>
      </c>
      <c r="P70" s="403">
        <v>0</v>
      </c>
      <c r="Q70" s="403">
        <v>0</v>
      </c>
      <c r="R70" s="403">
        <v>0</v>
      </c>
      <c r="S70" s="403">
        <v>0</v>
      </c>
      <c r="T70" s="403">
        <v>0</v>
      </c>
      <c r="U70" s="403">
        <v>0</v>
      </c>
      <c r="V70" s="403">
        <v>0</v>
      </c>
      <c r="W70" s="403">
        <v>0</v>
      </c>
      <c r="X70" s="403">
        <v>0</v>
      </c>
      <c r="Y70" s="404">
        <v>0</v>
      </c>
      <c r="Z70" s="404">
        <v>0</v>
      </c>
      <c r="AA70" s="403">
        <v>0</v>
      </c>
      <c r="AB70" s="403">
        <v>0</v>
      </c>
      <c r="AC70" s="403">
        <v>0</v>
      </c>
      <c r="AD70" s="403">
        <v>0</v>
      </c>
      <c r="AE70" s="403">
        <v>0</v>
      </c>
      <c r="AF70" s="403">
        <v>0</v>
      </c>
      <c r="AG70" s="403">
        <v>0</v>
      </c>
      <c r="AH70" s="403">
        <v>0</v>
      </c>
    </row>
    <row r="71" spans="1:34" outlineLevel="1" x14ac:dyDescent="0.25">
      <c r="A71" s="1724"/>
      <c r="B71" s="390" t="s">
        <v>484</v>
      </c>
      <c r="C71" s="447">
        <f t="shared" ref="C71" si="12">IF(C70,SUMPRODUCT(D70:AG70,D71:AG71)/C70,0)</f>
        <v>0</v>
      </c>
      <c r="D71" s="405">
        <v>1.42196261682243</v>
      </c>
      <c r="E71" s="405">
        <v>1.42196261682243</v>
      </c>
      <c r="F71" s="405">
        <v>1.42196261682243</v>
      </c>
      <c r="G71" s="405">
        <v>1.42196261682243</v>
      </c>
      <c r="H71" s="405">
        <v>1.42196261682243</v>
      </c>
      <c r="I71" s="405">
        <v>1.42196261682243</v>
      </c>
      <c r="J71" s="405">
        <v>1.42196261682243</v>
      </c>
      <c r="K71" s="405">
        <v>1.42196261682243</v>
      </c>
      <c r="L71" s="405">
        <v>1.42196261682243</v>
      </c>
      <c r="M71" s="405">
        <v>1.42196261682243</v>
      </c>
      <c r="N71" s="405">
        <v>1.42196261682243</v>
      </c>
      <c r="O71" s="405">
        <v>1.42196261682243</v>
      </c>
      <c r="P71" s="405">
        <v>1.42196261682243</v>
      </c>
      <c r="Q71" s="405">
        <v>1.42196261682243</v>
      </c>
      <c r="R71" s="405">
        <v>1.42196261682243</v>
      </c>
      <c r="S71" s="405">
        <v>1.42196261682243</v>
      </c>
      <c r="T71" s="405">
        <v>1.42196261682243</v>
      </c>
      <c r="U71" s="405">
        <v>1.42196261682243</v>
      </c>
      <c r="V71" s="405">
        <v>1.42196261682243</v>
      </c>
      <c r="W71" s="405">
        <v>1.42196261682243</v>
      </c>
      <c r="X71" s="405">
        <v>1.42196261682243</v>
      </c>
      <c r="Y71" s="405">
        <v>1.42196261682243</v>
      </c>
      <c r="Z71" s="405">
        <v>1.42196261682243</v>
      </c>
      <c r="AA71" s="405">
        <v>1.42196261682243</v>
      </c>
      <c r="AB71" s="405">
        <v>1.42196261682243</v>
      </c>
      <c r="AC71" s="405">
        <v>1.42196261682243</v>
      </c>
      <c r="AD71" s="405">
        <v>1.42196261682243</v>
      </c>
      <c r="AE71" s="405">
        <v>1.42196261682243</v>
      </c>
      <c r="AF71" s="405">
        <v>1.42196261682243</v>
      </c>
      <c r="AG71" s="405">
        <v>1.42196261682243</v>
      </c>
      <c r="AH71" s="405">
        <v>1.42196261682243</v>
      </c>
    </row>
    <row r="72" spans="1:34" outlineLevel="1" x14ac:dyDescent="0.25">
      <c r="A72" s="1728" t="s">
        <v>509</v>
      </c>
      <c r="B72" s="450" t="s">
        <v>510</v>
      </c>
      <c r="C72" s="451">
        <f>SUM(D72:AH72)</f>
        <v>14105</v>
      </c>
      <c r="D72" s="450">
        <f t="shared" ref="D72:AH72" si="13">D68+D70+D62+D66+D64+D60+D58</f>
        <v>455</v>
      </c>
      <c r="E72" s="450">
        <f t="shared" si="13"/>
        <v>455</v>
      </c>
      <c r="F72" s="450">
        <f t="shared" si="13"/>
        <v>455</v>
      </c>
      <c r="G72" s="450">
        <f t="shared" si="13"/>
        <v>455</v>
      </c>
      <c r="H72" s="450">
        <f t="shared" si="13"/>
        <v>455</v>
      </c>
      <c r="I72" s="450">
        <f t="shared" si="13"/>
        <v>455</v>
      </c>
      <c r="J72" s="450">
        <f t="shared" si="13"/>
        <v>455</v>
      </c>
      <c r="K72" s="450">
        <f t="shared" si="13"/>
        <v>455</v>
      </c>
      <c r="L72" s="450">
        <f t="shared" si="13"/>
        <v>455</v>
      </c>
      <c r="M72" s="450">
        <f t="shared" si="13"/>
        <v>455</v>
      </c>
      <c r="N72" s="450">
        <f t="shared" si="13"/>
        <v>455</v>
      </c>
      <c r="O72" s="450">
        <f t="shared" si="13"/>
        <v>455</v>
      </c>
      <c r="P72" s="450">
        <f t="shared" si="13"/>
        <v>455</v>
      </c>
      <c r="Q72" s="450">
        <f t="shared" si="13"/>
        <v>455</v>
      </c>
      <c r="R72" s="450">
        <f t="shared" si="13"/>
        <v>455</v>
      </c>
      <c r="S72" s="450">
        <f t="shared" si="13"/>
        <v>455</v>
      </c>
      <c r="T72" s="450">
        <f t="shared" si="13"/>
        <v>455</v>
      </c>
      <c r="U72" s="450">
        <f t="shared" si="13"/>
        <v>455</v>
      </c>
      <c r="V72" s="450">
        <f t="shared" si="13"/>
        <v>455</v>
      </c>
      <c r="W72" s="450">
        <f t="shared" si="13"/>
        <v>455</v>
      </c>
      <c r="X72" s="450">
        <f t="shared" si="13"/>
        <v>455</v>
      </c>
      <c r="Y72" s="430">
        <f t="shared" si="13"/>
        <v>455</v>
      </c>
      <c r="Z72" s="430">
        <f t="shared" si="13"/>
        <v>455</v>
      </c>
      <c r="AA72" s="450">
        <f t="shared" si="13"/>
        <v>455</v>
      </c>
      <c r="AB72" s="430">
        <f t="shared" si="13"/>
        <v>455</v>
      </c>
      <c r="AC72" s="430">
        <f t="shared" si="13"/>
        <v>455</v>
      </c>
      <c r="AD72" s="450">
        <f t="shared" si="13"/>
        <v>455</v>
      </c>
      <c r="AE72" s="450">
        <f t="shared" si="13"/>
        <v>455</v>
      </c>
      <c r="AF72" s="450">
        <f t="shared" si="13"/>
        <v>455</v>
      </c>
      <c r="AG72" s="450">
        <f t="shared" si="13"/>
        <v>455</v>
      </c>
      <c r="AH72" s="450">
        <f t="shared" si="13"/>
        <v>455</v>
      </c>
    </row>
    <row r="73" spans="1:34" outlineLevel="1" x14ac:dyDescent="0.25">
      <c r="A73" s="1729"/>
      <c r="B73" s="450" t="s">
        <v>484</v>
      </c>
      <c r="C73" s="453">
        <f>IF(C72,SUMPRODUCT(D72:AH72,D73:AH73)/C72,0)</f>
        <v>2.5096693026599586</v>
      </c>
      <c r="D73" s="454">
        <f t="shared" ref="D73:Q73" si="14">IF(D72,(D58*D59+D60*D61+D64*D65+D66*D67+D62*D63+D70*D71+D68*D69)/D72,0)</f>
        <v>2.5096693026599568</v>
      </c>
      <c r="E73" s="454">
        <f t="shared" si="14"/>
        <v>2.5096693026599568</v>
      </c>
      <c r="F73" s="454">
        <f t="shared" si="14"/>
        <v>2.5096693026599568</v>
      </c>
      <c r="G73" s="454">
        <f t="shared" si="14"/>
        <v>2.5096693026599568</v>
      </c>
      <c r="H73" s="454">
        <f t="shared" si="14"/>
        <v>2.5096693026599568</v>
      </c>
      <c r="I73" s="454">
        <f t="shared" si="14"/>
        <v>2.5096693026599568</v>
      </c>
      <c r="J73" s="454">
        <f t="shared" si="14"/>
        <v>2.5096693026599568</v>
      </c>
      <c r="K73" s="454">
        <f t="shared" si="14"/>
        <v>2.5096693026599568</v>
      </c>
      <c r="L73" s="454">
        <f t="shared" si="14"/>
        <v>2.5096693026599568</v>
      </c>
      <c r="M73" s="454">
        <f t="shared" si="14"/>
        <v>2.5096693026599568</v>
      </c>
      <c r="N73" s="454">
        <f t="shared" si="14"/>
        <v>2.5096693026599568</v>
      </c>
      <c r="O73" s="454">
        <f t="shared" si="14"/>
        <v>2.5096693026599568</v>
      </c>
      <c r="P73" s="454">
        <f t="shared" si="14"/>
        <v>2.5096693026599568</v>
      </c>
      <c r="Q73" s="454">
        <f t="shared" si="14"/>
        <v>2.5096693026599568</v>
      </c>
      <c r="R73" s="454">
        <f t="shared" ref="R73:X73" si="15">(R58*R59+R60*R61+R64*R65+R66*R67+R62*R63+R70*R71+R68*R69)/R72</f>
        <v>2.5096693026599568</v>
      </c>
      <c r="S73" s="454">
        <f t="shared" si="15"/>
        <v>2.5096693026599568</v>
      </c>
      <c r="T73" s="454">
        <f t="shared" si="15"/>
        <v>2.5096693026599568</v>
      </c>
      <c r="U73" s="454">
        <f t="shared" si="15"/>
        <v>2.5096693026599568</v>
      </c>
      <c r="V73" s="454">
        <f t="shared" si="15"/>
        <v>2.5096693026599568</v>
      </c>
      <c r="W73" s="454">
        <f t="shared" si="15"/>
        <v>2.5096693026599568</v>
      </c>
      <c r="X73" s="454">
        <f t="shared" si="15"/>
        <v>2.5096693026599568</v>
      </c>
      <c r="Y73" s="395">
        <f>IF(Y72,(Y58*Y59+Y60*Y61+Y64*Y65+Y66*Y67+Y62*Y63+Y70*Y71+Y68*Y69)/Y72,0)</f>
        <v>2.5096693026599568</v>
      </c>
      <c r="Z73" s="395">
        <f>IF(Z72,(Z58*Z59+Z60*Z61+Z64*Z65+Z66*Z67+Z62*Z63+Z70*Z71+Z68*Z69)/Z72,0)</f>
        <v>2.5096693026599568</v>
      </c>
      <c r="AA73" s="454">
        <f>(AA58*AA59+AA60*AA61+AA64*AA65+AA66*AA67+AA62*AA63+AA70*AA71+AA68*AA69)/AA72</f>
        <v>2.5096693026599568</v>
      </c>
      <c r="AB73" s="395">
        <f>IF(AB72,(AB58*AB59+AB60*AB61+AB64*AB65+AB66*AB67+AB62*AB63+AB70*AB71+AB68*AB69)/AB72,0)</f>
        <v>2.5096693026599568</v>
      </c>
      <c r="AC73" s="395">
        <f>IF(AC72,(AC58*AC59+AC60*AC61+AC64*AC65+AC66*AC67+AC62*AC63+AC70*AC71+AC68*AC69)/AC72,0)</f>
        <v>2.5096693026599568</v>
      </c>
      <c r="AD73" s="454">
        <f>(AD58*AD59+AD60*AD61+AD64*AD65+AD66*AD67+AD62*AD63+AD70*AD71+AD68*AD69)/AD72</f>
        <v>2.5096693026599568</v>
      </c>
      <c r="AE73" s="454">
        <f>(AE58*AE59+AE60*AE61+AE64*AE65+AE66*AE67+AE62*AE63+AE70*AE71+AE68*AE69)/AE72</f>
        <v>2.5096693026599568</v>
      </c>
      <c r="AF73" s="454">
        <f>(AF58*AF59+AF60*AF61+AF64*AF65+AF66*AF67+AF62*AF63+AF70*AF71+AF68*AF69)/AF72</f>
        <v>2.5096693026599568</v>
      </c>
      <c r="AG73" s="454">
        <f>(AG58*AG59+AG60*AG61+AG64*AG65+AG66*AG67+AG62*AG63+AG70*AG71+AG68*AG69)/AG72</f>
        <v>2.5096693026599568</v>
      </c>
      <c r="AH73" s="454">
        <f>(AH58*AH59+AH60*AH61+AH64*AH65+AH66*AH67+AH62*AH63+AH70*AH71+AH68*AH69)/AH72</f>
        <v>2.5096693026599568</v>
      </c>
    </row>
    <row r="74" spans="1:34" x14ac:dyDescent="0.25">
      <c r="A74" s="1730" t="s">
        <v>399</v>
      </c>
      <c r="B74" s="452" t="s">
        <v>486</v>
      </c>
      <c r="C74" s="455">
        <f>SUM(D74:AH74)</f>
        <v>27125</v>
      </c>
      <c r="D74" s="456">
        <f t="shared" ref="D74:AH74" si="16">+SUMIF($B$6:$B$73,$B$74,D6:D73)</f>
        <v>875</v>
      </c>
      <c r="E74" s="456">
        <f t="shared" si="16"/>
        <v>875</v>
      </c>
      <c r="F74" s="456">
        <f t="shared" si="16"/>
        <v>875</v>
      </c>
      <c r="G74" s="456">
        <f t="shared" si="16"/>
        <v>875</v>
      </c>
      <c r="H74" s="456">
        <f t="shared" si="16"/>
        <v>875</v>
      </c>
      <c r="I74" s="456">
        <f t="shared" si="16"/>
        <v>875</v>
      </c>
      <c r="J74" s="456">
        <f t="shared" si="16"/>
        <v>875</v>
      </c>
      <c r="K74" s="456">
        <f t="shared" si="16"/>
        <v>875</v>
      </c>
      <c r="L74" s="456">
        <f t="shared" si="16"/>
        <v>875</v>
      </c>
      <c r="M74" s="456">
        <f t="shared" si="16"/>
        <v>875</v>
      </c>
      <c r="N74" s="456">
        <f t="shared" si="16"/>
        <v>875</v>
      </c>
      <c r="O74" s="456">
        <f t="shared" si="16"/>
        <v>875</v>
      </c>
      <c r="P74" s="456">
        <f t="shared" si="16"/>
        <v>875</v>
      </c>
      <c r="Q74" s="456">
        <f t="shared" si="16"/>
        <v>875</v>
      </c>
      <c r="R74" s="456">
        <f t="shared" si="16"/>
        <v>875</v>
      </c>
      <c r="S74" s="456">
        <f t="shared" si="16"/>
        <v>875</v>
      </c>
      <c r="T74" s="456">
        <f t="shared" si="16"/>
        <v>875</v>
      </c>
      <c r="U74" s="456">
        <f t="shared" si="16"/>
        <v>875</v>
      </c>
      <c r="V74" s="456">
        <f t="shared" si="16"/>
        <v>875</v>
      </c>
      <c r="W74" s="456">
        <f t="shared" si="16"/>
        <v>875</v>
      </c>
      <c r="X74" s="456">
        <f t="shared" si="16"/>
        <v>875</v>
      </c>
      <c r="Y74" s="457">
        <f t="shared" si="16"/>
        <v>875</v>
      </c>
      <c r="Z74" s="457">
        <f t="shared" si="16"/>
        <v>875</v>
      </c>
      <c r="AA74" s="456">
        <f t="shared" si="16"/>
        <v>875</v>
      </c>
      <c r="AB74" s="457">
        <f t="shared" si="16"/>
        <v>875</v>
      </c>
      <c r="AC74" s="457">
        <f t="shared" si="16"/>
        <v>875</v>
      </c>
      <c r="AD74" s="456">
        <f t="shared" si="16"/>
        <v>875</v>
      </c>
      <c r="AE74" s="456">
        <f t="shared" si="16"/>
        <v>875</v>
      </c>
      <c r="AF74" s="456">
        <f t="shared" si="16"/>
        <v>875</v>
      </c>
      <c r="AG74" s="456">
        <f t="shared" si="16"/>
        <v>875</v>
      </c>
      <c r="AH74" s="456">
        <f t="shared" si="16"/>
        <v>875</v>
      </c>
    </row>
    <row r="75" spans="1:34" ht="15.75" thickBot="1" x14ac:dyDescent="0.3">
      <c r="A75" s="1731" t="s">
        <v>399</v>
      </c>
      <c r="B75" s="458" t="s">
        <v>484</v>
      </c>
      <c r="C75" s="459">
        <f>IF(C74,SUMPRODUCT(D74:AH74,D75:AH75)/C74,0)</f>
        <v>2.4716672897196261</v>
      </c>
      <c r="D75" s="460">
        <f t="shared" ref="D75:AH75" si="17">+IF(D74,(D20*D21+D46*D47+D56*D57+D8*D9+D72*D73)/D74,0)</f>
        <v>2.4716672897196257</v>
      </c>
      <c r="E75" s="460">
        <f t="shared" si="17"/>
        <v>2.4716672897196257</v>
      </c>
      <c r="F75" s="460">
        <f t="shared" si="17"/>
        <v>2.4716672897196257</v>
      </c>
      <c r="G75" s="460">
        <f t="shared" si="17"/>
        <v>2.4716672897196257</v>
      </c>
      <c r="H75" s="460">
        <f t="shared" si="17"/>
        <v>2.4716672897196257</v>
      </c>
      <c r="I75" s="460">
        <f t="shared" si="17"/>
        <v>2.4716672897196257</v>
      </c>
      <c r="J75" s="460">
        <f t="shared" si="17"/>
        <v>2.4716672897196257</v>
      </c>
      <c r="K75" s="460">
        <f t="shared" si="17"/>
        <v>2.4716672897196257</v>
      </c>
      <c r="L75" s="460">
        <f t="shared" si="17"/>
        <v>2.4716672897196257</v>
      </c>
      <c r="M75" s="460">
        <f t="shared" si="17"/>
        <v>2.4716672897196257</v>
      </c>
      <c r="N75" s="460">
        <f t="shared" si="17"/>
        <v>2.4716672897196257</v>
      </c>
      <c r="O75" s="460">
        <f t="shared" si="17"/>
        <v>2.4716672897196257</v>
      </c>
      <c r="P75" s="460">
        <f t="shared" si="17"/>
        <v>2.4716672897196257</v>
      </c>
      <c r="Q75" s="460">
        <f t="shared" si="17"/>
        <v>2.4716672897196257</v>
      </c>
      <c r="R75" s="460">
        <f t="shared" si="17"/>
        <v>2.4716672897196257</v>
      </c>
      <c r="S75" s="460">
        <f t="shared" si="17"/>
        <v>2.4716672897196257</v>
      </c>
      <c r="T75" s="460">
        <f t="shared" si="17"/>
        <v>2.4716672897196257</v>
      </c>
      <c r="U75" s="460">
        <f t="shared" si="17"/>
        <v>2.4716672897196257</v>
      </c>
      <c r="V75" s="460">
        <f t="shared" si="17"/>
        <v>2.4716672897196257</v>
      </c>
      <c r="W75" s="460">
        <f t="shared" si="17"/>
        <v>2.4716672897196257</v>
      </c>
      <c r="X75" s="460">
        <f t="shared" si="17"/>
        <v>2.4716672897196257</v>
      </c>
      <c r="Y75" s="461">
        <f t="shared" si="17"/>
        <v>2.4716672897196257</v>
      </c>
      <c r="Z75" s="461">
        <f t="shared" si="17"/>
        <v>2.4716672897196257</v>
      </c>
      <c r="AA75" s="460">
        <f t="shared" si="17"/>
        <v>2.4716672897196257</v>
      </c>
      <c r="AB75" s="461">
        <f t="shared" si="17"/>
        <v>2.4716672897196257</v>
      </c>
      <c r="AC75" s="461">
        <f t="shared" si="17"/>
        <v>2.4716672897196257</v>
      </c>
      <c r="AD75" s="460">
        <f t="shared" si="17"/>
        <v>2.4716672897196257</v>
      </c>
      <c r="AE75" s="460">
        <f t="shared" si="17"/>
        <v>2.4716672897196257</v>
      </c>
      <c r="AF75" s="460">
        <f t="shared" si="17"/>
        <v>2.4716672897196257</v>
      </c>
      <c r="AG75" s="460">
        <f t="shared" si="17"/>
        <v>2.4716672897196257</v>
      </c>
      <c r="AH75" s="460">
        <f t="shared" si="17"/>
        <v>2.4716672897196257</v>
      </c>
    </row>
    <row r="76" spans="1:34" ht="15.75" thickTop="1" x14ac:dyDescent="0.25"/>
    <row r="77" spans="1:34" hidden="1" outlineLevel="1" x14ac:dyDescent="0.25">
      <c r="A77" s="1712"/>
      <c r="B77" s="385" t="s">
        <v>511</v>
      </c>
      <c r="C77" s="391">
        <f>SUM(D77:AG77)</f>
        <v>0</v>
      </c>
      <c r="D77" s="464"/>
      <c r="E77" s="464"/>
      <c r="F77" s="464"/>
      <c r="G77" s="464"/>
      <c r="H77" s="464"/>
      <c r="I77" s="464"/>
      <c r="J77" s="464"/>
      <c r="K77" s="464"/>
      <c r="L77" s="464"/>
      <c r="M77" s="464"/>
      <c r="N77" s="464"/>
      <c r="O77" s="464"/>
      <c r="P77" s="464"/>
      <c r="Q77" s="464"/>
      <c r="R77" s="464"/>
      <c r="S77" s="464"/>
      <c r="T77" s="464"/>
      <c r="U77" s="464"/>
      <c r="V77" s="464"/>
      <c r="W77" s="464"/>
      <c r="X77" s="464"/>
      <c r="Y77" s="465"/>
      <c r="Z77" s="465"/>
      <c r="AA77" s="464"/>
      <c r="AB77" s="465"/>
      <c r="AC77" s="465"/>
      <c r="AD77" s="464"/>
      <c r="AE77" s="464"/>
      <c r="AF77" s="464"/>
      <c r="AG77" s="464"/>
      <c r="AH77" s="466"/>
    </row>
    <row r="78" spans="1:34" hidden="1" outlineLevel="1" x14ac:dyDescent="0.25">
      <c r="A78" s="1712"/>
      <c r="B78" s="385" t="s">
        <v>484</v>
      </c>
      <c r="C78" s="391">
        <f>+IF(C77,SUMPRODUCT(D77:AG77,D78:AG78)/C77,0)</f>
        <v>0</v>
      </c>
      <c r="D78" s="464"/>
      <c r="E78" s="464"/>
      <c r="F78" s="464"/>
      <c r="G78" s="464"/>
      <c r="H78" s="464"/>
      <c r="I78" s="464"/>
      <c r="J78" s="464"/>
      <c r="K78" s="464"/>
      <c r="L78" s="464"/>
      <c r="M78" s="464"/>
      <c r="N78" s="464"/>
      <c r="O78" s="464"/>
      <c r="P78" s="464"/>
      <c r="Q78" s="464"/>
      <c r="R78" s="464"/>
      <c r="S78" s="464"/>
      <c r="T78" s="464"/>
      <c r="U78" s="464"/>
      <c r="V78" s="464"/>
      <c r="W78" s="464"/>
      <c r="X78" s="464"/>
      <c r="Y78" s="465"/>
      <c r="Z78" s="465"/>
      <c r="AA78" s="464"/>
      <c r="AB78" s="465"/>
      <c r="AC78" s="465"/>
      <c r="AD78" s="464"/>
      <c r="AE78" s="464"/>
      <c r="AF78" s="464"/>
      <c r="AG78" s="464"/>
      <c r="AH78" s="466"/>
    </row>
    <row r="79" spans="1:34" hidden="1" outlineLevel="1" x14ac:dyDescent="0.25">
      <c r="A79" s="1712"/>
      <c r="B79" s="385" t="s">
        <v>511</v>
      </c>
      <c r="C79" s="391">
        <f>SUM(D79:AG79)</f>
        <v>0</v>
      </c>
      <c r="D79" s="464"/>
      <c r="E79" s="464"/>
      <c r="F79" s="464"/>
      <c r="G79" s="464"/>
      <c r="H79" s="464"/>
      <c r="I79" s="464"/>
      <c r="J79" s="464"/>
      <c r="K79" s="464"/>
      <c r="L79" s="464"/>
      <c r="M79" s="464"/>
      <c r="N79" s="464"/>
      <c r="O79" s="464"/>
      <c r="P79" s="464"/>
      <c r="Q79" s="464"/>
      <c r="R79" s="464"/>
      <c r="S79" s="464"/>
      <c r="T79" s="464"/>
      <c r="U79" s="464"/>
      <c r="V79" s="464"/>
      <c r="W79" s="464"/>
      <c r="X79" s="464"/>
      <c r="Y79" s="465"/>
      <c r="Z79" s="465"/>
      <c r="AA79" s="464"/>
      <c r="AB79" s="465"/>
      <c r="AC79" s="465"/>
      <c r="AD79" s="464"/>
      <c r="AE79" s="464"/>
      <c r="AF79" s="464"/>
      <c r="AG79" s="464"/>
      <c r="AH79" s="466"/>
    </row>
    <row r="80" spans="1:34" hidden="1" outlineLevel="1" x14ac:dyDescent="0.25">
      <c r="A80" s="1712"/>
      <c r="B80" s="385" t="s">
        <v>484</v>
      </c>
      <c r="C80" s="391">
        <f>+IF(C79,SUMPRODUCT(D79:AG79,D80:AG80)/C79,0)</f>
        <v>0</v>
      </c>
      <c r="D80" s="464"/>
      <c r="E80" s="464"/>
      <c r="F80" s="464"/>
      <c r="G80" s="464"/>
      <c r="H80" s="464"/>
      <c r="I80" s="464"/>
      <c r="J80" s="464"/>
      <c r="K80" s="464"/>
      <c r="L80" s="464"/>
      <c r="M80" s="464"/>
      <c r="N80" s="464"/>
      <c r="O80" s="464"/>
      <c r="P80" s="464"/>
      <c r="Q80" s="464"/>
      <c r="R80" s="464"/>
      <c r="S80" s="464"/>
      <c r="T80" s="464"/>
      <c r="U80" s="464"/>
      <c r="V80" s="464"/>
      <c r="W80" s="464"/>
      <c r="X80" s="464"/>
      <c r="Y80" s="465"/>
      <c r="Z80" s="465"/>
      <c r="AA80" s="464"/>
      <c r="AB80" s="465"/>
      <c r="AC80" s="465"/>
      <c r="AD80" s="464"/>
      <c r="AE80" s="464"/>
      <c r="AF80" s="464"/>
      <c r="AG80" s="464"/>
      <c r="AH80" s="466"/>
    </row>
    <row r="81" spans="1:34" hidden="1" outlineLevel="1" x14ac:dyDescent="0.25">
      <c r="A81" s="1712"/>
      <c r="B81" s="385" t="s">
        <v>511</v>
      </c>
      <c r="C81" s="391">
        <f>SUM(D81:AG81)</f>
        <v>0</v>
      </c>
      <c r="D81" s="464"/>
      <c r="E81" s="464"/>
      <c r="F81" s="464"/>
      <c r="G81" s="464"/>
      <c r="H81" s="464"/>
      <c r="I81" s="464"/>
      <c r="J81" s="464"/>
      <c r="K81" s="464"/>
      <c r="L81" s="464"/>
      <c r="M81" s="464"/>
      <c r="N81" s="464"/>
      <c r="O81" s="464"/>
      <c r="P81" s="464"/>
      <c r="Q81" s="464"/>
      <c r="R81" s="464"/>
      <c r="S81" s="464"/>
      <c r="T81" s="464"/>
      <c r="U81" s="464"/>
      <c r="V81" s="464"/>
      <c r="W81" s="464"/>
      <c r="X81" s="464"/>
      <c r="Y81" s="465"/>
      <c r="Z81" s="465"/>
      <c r="AA81" s="464"/>
      <c r="AB81" s="465"/>
      <c r="AC81" s="465"/>
      <c r="AD81" s="464"/>
      <c r="AE81" s="464"/>
      <c r="AF81" s="464"/>
      <c r="AG81" s="464"/>
      <c r="AH81" s="466"/>
    </row>
    <row r="82" spans="1:34" hidden="1" outlineLevel="1" x14ac:dyDescent="0.25">
      <c r="A82" s="1712"/>
      <c r="B82" s="385" t="s">
        <v>484</v>
      </c>
      <c r="C82" s="391">
        <f>+IF(C81,SUMPRODUCT(D81:AG81,D82:AG82)/C81,0)</f>
        <v>0</v>
      </c>
      <c r="D82" s="464"/>
      <c r="E82" s="464"/>
      <c r="F82" s="464"/>
      <c r="G82" s="464"/>
      <c r="H82" s="464"/>
      <c r="I82" s="464"/>
      <c r="J82" s="464"/>
      <c r="K82" s="464"/>
      <c r="L82" s="464"/>
      <c r="M82" s="464"/>
      <c r="N82" s="464"/>
      <c r="O82" s="464"/>
      <c r="P82" s="464"/>
      <c r="Q82" s="464"/>
      <c r="R82" s="464"/>
      <c r="S82" s="464"/>
      <c r="T82" s="464"/>
      <c r="U82" s="464"/>
      <c r="V82" s="464"/>
      <c r="W82" s="464"/>
      <c r="X82" s="464"/>
      <c r="Y82" s="465"/>
      <c r="Z82" s="465"/>
      <c r="AA82" s="464"/>
      <c r="AB82" s="465"/>
      <c r="AC82" s="465"/>
      <c r="AD82" s="464"/>
      <c r="AE82" s="464"/>
      <c r="AF82" s="464"/>
      <c r="AG82" s="464"/>
      <c r="AH82" s="466"/>
    </row>
    <row r="83" spans="1:34" collapsed="1" x14ac:dyDescent="0.25">
      <c r="A83" s="1712" t="s">
        <v>512</v>
      </c>
      <c r="B83" s="385" t="s">
        <v>513</v>
      </c>
      <c r="C83" s="391">
        <f>SUM(D83:AG83)</f>
        <v>0</v>
      </c>
      <c r="D83" s="467">
        <f t="shared" ref="D83:AH83" si="18">+D77+D79+D81</f>
        <v>0</v>
      </c>
      <c r="E83" s="467">
        <f t="shared" si="18"/>
        <v>0</v>
      </c>
      <c r="F83" s="467">
        <f t="shared" si="18"/>
        <v>0</v>
      </c>
      <c r="G83" s="467">
        <f t="shared" si="18"/>
        <v>0</v>
      </c>
      <c r="H83" s="467">
        <f t="shared" si="18"/>
        <v>0</v>
      </c>
      <c r="I83" s="467">
        <f t="shared" si="18"/>
        <v>0</v>
      </c>
      <c r="J83" s="467">
        <f t="shared" si="18"/>
        <v>0</v>
      </c>
      <c r="K83" s="467">
        <f t="shared" si="18"/>
        <v>0</v>
      </c>
      <c r="L83" s="467">
        <f t="shared" si="18"/>
        <v>0</v>
      </c>
      <c r="M83" s="467">
        <f t="shared" si="18"/>
        <v>0</v>
      </c>
      <c r="N83" s="467">
        <f t="shared" si="18"/>
        <v>0</v>
      </c>
      <c r="O83" s="467">
        <f t="shared" si="18"/>
        <v>0</v>
      </c>
      <c r="P83" s="467">
        <f t="shared" si="18"/>
        <v>0</v>
      </c>
      <c r="Q83" s="467">
        <f t="shared" si="18"/>
        <v>0</v>
      </c>
      <c r="R83" s="467">
        <f t="shared" si="18"/>
        <v>0</v>
      </c>
      <c r="S83" s="467">
        <f t="shared" si="18"/>
        <v>0</v>
      </c>
      <c r="T83" s="467">
        <f t="shared" si="18"/>
        <v>0</v>
      </c>
      <c r="U83" s="467">
        <f t="shared" si="18"/>
        <v>0</v>
      </c>
      <c r="V83" s="467">
        <f t="shared" si="18"/>
        <v>0</v>
      </c>
      <c r="W83" s="467">
        <f t="shared" si="18"/>
        <v>0</v>
      </c>
      <c r="X83" s="467">
        <f t="shared" si="18"/>
        <v>0</v>
      </c>
      <c r="Y83" s="468">
        <f t="shared" si="18"/>
        <v>0</v>
      </c>
      <c r="Z83" s="468">
        <f t="shared" si="18"/>
        <v>0</v>
      </c>
      <c r="AA83" s="467">
        <f t="shared" si="18"/>
        <v>0</v>
      </c>
      <c r="AB83" s="468">
        <f t="shared" si="18"/>
        <v>0</v>
      </c>
      <c r="AC83" s="468">
        <f t="shared" si="18"/>
        <v>0</v>
      </c>
      <c r="AD83" s="467">
        <f t="shared" si="18"/>
        <v>0</v>
      </c>
      <c r="AE83" s="467">
        <f t="shared" si="18"/>
        <v>0</v>
      </c>
      <c r="AF83" s="467">
        <f t="shared" si="18"/>
        <v>0</v>
      </c>
      <c r="AG83" s="467">
        <f t="shared" si="18"/>
        <v>0</v>
      </c>
      <c r="AH83" s="469">
        <f t="shared" si="18"/>
        <v>0</v>
      </c>
    </row>
    <row r="84" spans="1:34" x14ac:dyDescent="0.25">
      <c r="A84" s="1721" t="s">
        <v>512</v>
      </c>
      <c r="B84" s="429" t="s">
        <v>484</v>
      </c>
      <c r="C84" s="391">
        <f>IFERROR(SUMPRODUCT(D83:AG83,D84:AG84)/C83,0)</f>
        <v>0</v>
      </c>
      <c r="D84" s="469">
        <f t="shared" ref="D84:AH84" si="19">IFERROR((D78*D77+D79*D80+D81*D82)/D83,0)</f>
        <v>0</v>
      </c>
      <c r="E84" s="469">
        <f t="shared" si="19"/>
        <v>0</v>
      </c>
      <c r="F84" s="469">
        <f t="shared" si="19"/>
        <v>0</v>
      </c>
      <c r="G84" s="469">
        <f t="shared" si="19"/>
        <v>0</v>
      </c>
      <c r="H84" s="469">
        <f t="shared" si="19"/>
        <v>0</v>
      </c>
      <c r="I84" s="469">
        <f t="shared" si="19"/>
        <v>0</v>
      </c>
      <c r="J84" s="469">
        <f t="shared" si="19"/>
        <v>0</v>
      </c>
      <c r="K84" s="469">
        <f t="shared" si="19"/>
        <v>0</v>
      </c>
      <c r="L84" s="469">
        <f t="shared" si="19"/>
        <v>0</v>
      </c>
      <c r="M84" s="469">
        <f t="shared" si="19"/>
        <v>0</v>
      </c>
      <c r="N84" s="469">
        <f t="shared" si="19"/>
        <v>0</v>
      </c>
      <c r="O84" s="469">
        <f t="shared" si="19"/>
        <v>0</v>
      </c>
      <c r="P84" s="469">
        <f t="shared" si="19"/>
        <v>0</v>
      </c>
      <c r="Q84" s="469">
        <f t="shared" si="19"/>
        <v>0</v>
      </c>
      <c r="R84" s="469">
        <f t="shared" si="19"/>
        <v>0</v>
      </c>
      <c r="S84" s="469">
        <f t="shared" si="19"/>
        <v>0</v>
      </c>
      <c r="T84" s="469">
        <f t="shared" si="19"/>
        <v>0</v>
      </c>
      <c r="U84" s="469">
        <f t="shared" si="19"/>
        <v>0</v>
      </c>
      <c r="V84" s="469">
        <f t="shared" si="19"/>
        <v>0</v>
      </c>
      <c r="W84" s="469">
        <f t="shared" si="19"/>
        <v>0</v>
      </c>
      <c r="X84" s="469">
        <f t="shared" si="19"/>
        <v>0</v>
      </c>
      <c r="Y84" s="470">
        <f t="shared" si="19"/>
        <v>0</v>
      </c>
      <c r="Z84" s="470">
        <f t="shared" si="19"/>
        <v>0</v>
      </c>
      <c r="AA84" s="469">
        <f t="shared" si="19"/>
        <v>0</v>
      </c>
      <c r="AB84" s="470">
        <f t="shared" si="19"/>
        <v>0</v>
      </c>
      <c r="AC84" s="470">
        <f t="shared" si="19"/>
        <v>0</v>
      </c>
      <c r="AD84" s="469">
        <f t="shared" si="19"/>
        <v>0</v>
      </c>
      <c r="AE84" s="469">
        <f t="shared" si="19"/>
        <v>0</v>
      </c>
      <c r="AF84" s="469">
        <f t="shared" si="19"/>
        <v>0</v>
      </c>
      <c r="AG84" s="469">
        <f t="shared" si="19"/>
        <v>0</v>
      </c>
      <c r="AH84" s="469">
        <f t="shared" si="19"/>
        <v>0</v>
      </c>
    </row>
    <row r="85" spans="1:34" hidden="1" outlineLevel="1" x14ac:dyDescent="0.25">
      <c r="A85" s="1712"/>
      <c r="B85" s="471" t="s">
        <v>511</v>
      </c>
      <c r="C85" s="391">
        <f>SUM(D85:AG85)</f>
        <v>0</v>
      </c>
      <c r="D85" s="464"/>
      <c r="E85" s="464"/>
      <c r="F85" s="464"/>
      <c r="G85" s="464"/>
      <c r="H85" s="464"/>
      <c r="I85" s="464"/>
      <c r="J85" s="464"/>
      <c r="K85" s="464"/>
      <c r="L85" s="464"/>
      <c r="M85" s="464"/>
      <c r="N85" s="464"/>
      <c r="O85" s="464"/>
      <c r="P85" s="464"/>
      <c r="Q85" s="464"/>
      <c r="R85" s="464"/>
      <c r="S85" s="464"/>
      <c r="T85" s="464"/>
      <c r="U85" s="464"/>
      <c r="V85" s="464"/>
      <c r="W85" s="464"/>
      <c r="X85" s="464"/>
      <c r="Y85" s="465"/>
      <c r="Z85" s="465"/>
      <c r="AA85" s="464"/>
      <c r="AB85" s="465"/>
      <c r="AC85" s="465"/>
      <c r="AD85" s="464"/>
      <c r="AE85" s="464"/>
      <c r="AF85" s="464"/>
      <c r="AG85" s="464"/>
      <c r="AH85" s="466"/>
    </row>
    <row r="86" spans="1:34" hidden="1" outlineLevel="1" x14ac:dyDescent="0.25">
      <c r="A86" s="1712"/>
      <c r="B86" s="471" t="s">
        <v>484</v>
      </c>
      <c r="C86" s="391">
        <f>IFERROR(SUMPRODUCT(D85:AG85,D86:AG86)/C85,0)</f>
        <v>0</v>
      </c>
      <c r="D86" s="464"/>
      <c r="E86" s="464"/>
      <c r="F86" s="464"/>
      <c r="G86" s="464"/>
      <c r="H86" s="464"/>
      <c r="I86" s="464"/>
      <c r="J86" s="464"/>
      <c r="K86" s="464"/>
      <c r="L86" s="464"/>
      <c r="M86" s="464"/>
      <c r="N86" s="464"/>
      <c r="O86" s="464"/>
      <c r="P86" s="464"/>
      <c r="Q86" s="464"/>
      <c r="R86" s="464"/>
      <c r="S86" s="464"/>
      <c r="T86" s="464"/>
      <c r="U86" s="464"/>
      <c r="V86" s="464"/>
      <c r="W86" s="464"/>
      <c r="X86" s="464"/>
      <c r="Y86" s="465"/>
      <c r="Z86" s="465"/>
      <c r="AA86" s="464"/>
      <c r="AB86" s="465"/>
      <c r="AC86" s="465"/>
      <c r="AD86" s="464"/>
      <c r="AE86" s="464"/>
      <c r="AF86" s="464"/>
      <c r="AG86" s="464"/>
      <c r="AH86" s="466"/>
    </row>
    <row r="87" spans="1:34" hidden="1" outlineLevel="1" x14ac:dyDescent="0.25">
      <c r="A87" s="1727"/>
      <c r="B87" s="471" t="s">
        <v>511</v>
      </c>
      <c r="C87" s="391">
        <f>SUM(D87:AG87)</f>
        <v>0</v>
      </c>
      <c r="D87" s="464"/>
      <c r="E87" s="464"/>
      <c r="F87" s="464"/>
      <c r="G87" s="464"/>
      <c r="H87" s="464"/>
      <c r="I87" s="464"/>
      <c r="J87" s="464"/>
      <c r="K87" s="464"/>
      <c r="L87" s="464"/>
      <c r="M87" s="464"/>
      <c r="N87" s="464"/>
      <c r="O87" s="464"/>
      <c r="P87" s="464"/>
      <c r="Q87" s="464"/>
      <c r="R87" s="464"/>
      <c r="S87" s="464"/>
      <c r="T87" s="464"/>
      <c r="U87" s="464"/>
      <c r="V87" s="464"/>
      <c r="W87" s="464"/>
      <c r="X87" s="464"/>
      <c r="Y87" s="465"/>
      <c r="Z87" s="465"/>
      <c r="AA87" s="464"/>
      <c r="AB87" s="465"/>
      <c r="AC87" s="465"/>
      <c r="AD87" s="464"/>
      <c r="AE87" s="464"/>
      <c r="AF87" s="464"/>
      <c r="AG87" s="464"/>
      <c r="AH87" s="466"/>
    </row>
    <row r="88" spans="1:34" hidden="1" outlineLevel="1" x14ac:dyDescent="0.25">
      <c r="A88" s="1727"/>
      <c r="B88" s="471" t="s">
        <v>484</v>
      </c>
      <c r="C88" s="391">
        <f>IFERROR(SUMPRODUCT(D87:AG87,D88:AG88)/C87,0)</f>
        <v>0</v>
      </c>
      <c r="D88" s="464"/>
      <c r="E88" s="464"/>
      <c r="F88" s="464"/>
      <c r="G88" s="464"/>
      <c r="H88" s="464"/>
      <c r="I88" s="464"/>
      <c r="J88" s="464"/>
      <c r="K88" s="464"/>
      <c r="L88" s="464"/>
      <c r="M88" s="464"/>
      <c r="N88" s="464"/>
      <c r="O88" s="464"/>
      <c r="P88" s="464"/>
      <c r="Q88" s="464"/>
      <c r="R88" s="464"/>
      <c r="S88" s="464"/>
      <c r="T88" s="464"/>
      <c r="U88" s="464"/>
      <c r="V88" s="464"/>
      <c r="W88" s="464"/>
      <c r="X88" s="464"/>
      <c r="Y88" s="465"/>
      <c r="Z88" s="465"/>
      <c r="AA88" s="464"/>
      <c r="AB88" s="465"/>
      <c r="AC88" s="465"/>
      <c r="AD88" s="464"/>
      <c r="AE88" s="464"/>
      <c r="AF88" s="464"/>
      <c r="AG88" s="464"/>
      <c r="AH88" s="466"/>
    </row>
    <row r="89" spans="1:34" hidden="1" outlineLevel="1" x14ac:dyDescent="0.25">
      <c r="A89" s="1727"/>
      <c r="B89" s="471" t="s">
        <v>511</v>
      </c>
      <c r="C89" s="391">
        <f>SUM(D89:AG89)</f>
        <v>0</v>
      </c>
      <c r="D89" s="464"/>
      <c r="E89" s="464"/>
      <c r="F89" s="464"/>
      <c r="G89" s="464"/>
      <c r="H89" s="464"/>
      <c r="I89" s="464"/>
      <c r="J89" s="464"/>
      <c r="K89" s="464"/>
      <c r="L89" s="464"/>
      <c r="M89" s="464"/>
      <c r="N89" s="464"/>
      <c r="O89" s="464"/>
      <c r="P89" s="464"/>
      <c r="Q89" s="464"/>
      <c r="R89" s="464"/>
      <c r="S89" s="464"/>
      <c r="T89" s="464"/>
      <c r="U89" s="464"/>
      <c r="V89" s="464"/>
      <c r="W89" s="464"/>
      <c r="X89" s="464"/>
      <c r="Y89" s="465"/>
      <c r="Z89" s="465"/>
      <c r="AA89" s="464"/>
      <c r="AB89" s="465"/>
      <c r="AC89" s="465"/>
      <c r="AD89" s="464"/>
      <c r="AE89" s="464"/>
      <c r="AF89" s="464"/>
      <c r="AG89" s="464"/>
      <c r="AH89" s="466"/>
    </row>
    <row r="90" spans="1:34" hidden="1" outlineLevel="1" x14ac:dyDescent="0.25">
      <c r="A90" s="1727"/>
      <c r="B90" s="471" t="s">
        <v>484</v>
      </c>
      <c r="C90" s="391">
        <f>IFERROR(SUMPRODUCT(D89:AG89,D90:AG90)/C89,0)</f>
        <v>0</v>
      </c>
      <c r="D90" s="464"/>
      <c r="E90" s="464"/>
      <c r="F90" s="464"/>
      <c r="G90" s="464"/>
      <c r="H90" s="464"/>
      <c r="I90" s="464"/>
      <c r="J90" s="464"/>
      <c r="K90" s="464"/>
      <c r="L90" s="464"/>
      <c r="M90" s="464"/>
      <c r="N90" s="464"/>
      <c r="O90" s="464"/>
      <c r="P90" s="464"/>
      <c r="Q90" s="464"/>
      <c r="R90" s="464"/>
      <c r="S90" s="464"/>
      <c r="T90" s="464"/>
      <c r="U90" s="464"/>
      <c r="V90" s="464"/>
      <c r="W90" s="464"/>
      <c r="X90" s="464"/>
      <c r="Y90" s="465"/>
      <c r="Z90" s="465"/>
      <c r="AA90" s="464"/>
      <c r="AB90" s="465"/>
      <c r="AC90" s="465"/>
      <c r="AD90" s="464"/>
      <c r="AE90" s="464"/>
      <c r="AF90" s="464"/>
      <c r="AG90" s="464"/>
      <c r="AH90" s="466"/>
    </row>
    <row r="91" spans="1:34" hidden="1" outlineLevel="1" x14ac:dyDescent="0.25">
      <c r="A91" s="1727"/>
      <c r="B91" s="471" t="s">
        <v>511</v>
      </c>
      <c r="C91" s="391">
        <f>SUM(D91:AG91)</f>
        <v>0</v>
      </c>
      <c r="D91" s="464"/>
      <c r="E91" s="464"/>
      <c r="F91" s="464"/>
      <c r="G91" s="464"/>
      <c r="H91" s="464"/>
      <c r="I91" s="464"/>
      <c r="J91" s="464"/>
      <c r="K91" s="464"/>
      <c r="L91" s="464"/>
      <c r="M91" s="464"/>
      <c r="N91" s="464"/>
      <c r="O91" s="464"/>
      <c r="P91" s="464"/>
      <c r="Q91" s="464"/>
      <c r="R91" s="464"/>
      <c r="S91" s="464"/>
      <c r="T91" s="464"/>
      <c r="U91" s="464"/>
      <c r="V91" s="464"/>
      <c r="W91" s="464"/>
      <c r="X91" s="464"/>
      <c r="Y91" s="465"/>
      <c r="Z91" s="465"/>
      <c r="AA91" s="464"/>
      <c r="AB91" s="465"/>
      <c r="AC91" s="465"/>
      <c r="AD91" s="464"/>
      <c r="AE91" s="464"/>
      <c r="AF91" s="464"/>
      <c r="AG91" s="464"/>
      <c r="AH91" s="466"/>
    </row>
    <row r="92" spans="1:34" hidden="1" outlineLevel="1" x14ac:dyDescent="0.25">
      <c r="A92" s="1727"/>
      <c r="B92" s="471" t="s">
        <v>484</v>
      </c>
      <c r="C92" s="391">
        <f>IFERROR(SUMPRODUCT(D91:AG91,D92:AG92)/C91,0)</f>
        <v>0</v>
      </c>
      <c r="D92" s="464"/>
      <c r="E92" s="464"/>
      <c r="F92" s="464"/>
      <c r="G92" s="464"/>
      <c r="H92" s="464"/>
      <c r="I92" s="464"/>
      <c r="J92" s="464"/>
      <c r="K92" s="464"/>
      <c r="L92" s="464"/>
      <c r="M92" s="464"/>
      <c r="N92" s="464"/>
      <c r="O92" s="464"/>
      <c r="P92" s="464"/>
      <c r="Q92" s="464"/>
      <c r="R92" s="464"/>
      <c r="S92" s="464"/>
      <c r="T92" s="464"/>
      <c r="U92" s="464"/>
      <c r="V92" s="464"/>
      <c r="W92" s="464"/>
      <c r="X92" s="464"/>
      <c r="Y92" s="465"/>
      <c r="Z92" s="465"/>
      <c r="AA92" s="464"/>
      <c r="AB92" s="465"/>
      <c r="AC92" s="465"/>
      <c r="AD92" s="464"/>
      <c r="AE92" s="464"/>
      <c r="AF92" s="464"/>
      <c r="AG92" s="464"/>
      <c r="AH92" s="466"/>
    </row>
    <row r="93" spans="1:34" hidden="1" outlineLevel="1" x14ac:dyDescent="0.25">
      <c r="A93" s="1727"/>
      <c r="B93" s="471" t="s">
        <v>511</v>
      </c>
      <c r="C93" s="391">
        <f>SUM(D93:AG93)</f>
        <v>0</v>
      </c>
      <c r="D93" s="464"/>
      <c r="E93" s="464"/>
      <c r="F93" s="464"/>
      <c r="G93" s="464"/>
      <c r="H93" s="464"/>
      <c r="I93" s="464"/>
      <c r="J93" s="464"/>
      <c r="K93" s="464"/>
      <c r="L93" s="464"/>
      <c r="M93" s="464"/>
      <c r="N93" s="464"/>
      <c r="O93" s="464"/>
      <c r="P93" s="464"/>
      <c r="Q93" s="464"/>
      <c r="R93" s="464"/>
      <c r="S93" s="464"/>
      <c r="T93" s="464"/>
      <c r="U93" s="464"/>
      <c r="V93" s="464"/>
      <c r="W93" s="464"/>
      <c r="X93" s="464"/>
      <c r="Y93" s="465"/>
      <c r="Z93" s="465"/>
      <c r="AA93" s="464"/>
      <c r="AB93" s="465"/>
      <c r="AC93" s="465"/>
      <c r="AD93" s="464"/>
      <c r="AE93" s="464"/>
      <c r="AF93" s="464"/>
      <c r="AG93" s="464"/>
      <c r="AH93" s="466"/>
    </row>
    <row r="94" spans="1:34" hidden="1" outlineLevel="1" x14ac:dyDescent="0.25">
      <c r="A94" s="1727"/>
      <c r="B94" s="471" t="s">
        <v>484</v>
      </c>
      <c r="C94" s="391">
        <f>IFERROR(SUMPRODUCT(D93:AG93,D94:AG94)/C93,0)</f>
        <v>0</v>
      </c>
      <c r="D94" s="472"/>
      <c r="E94" s="472"/>
      <c r="F94" s="472"/>
      <c r="G94" s="472"/>
      <c r="H94" s="472"/>
      <c r="I94" s="472"/>
      <c r="J94" s="472"/>
      <c r="K94" s="472"/>
      <c r="L94" s="472"/>
      <c r="M94" s="472"/>
      <c r="N94" s="472"/>
      <c r="O94" s="472"/>
      <c r="P94" s="472"/>
      <c r="Q94" s="472"/>
      <c r="R94" s="472"/>
      <c r="S94" s="472"/>
      <c r="T94" s="472"/>
      <c r="U94" s="472"/>
      <c r="V94" s="472"/>
      <c r="W94" s="472"/>
      <c r="X94" s="472"/>
      <c r="Y94" s="473"/>
      <c r="Z94" s="473"/>
      <c r="AA94" s="472"/>
      <c r="AB94" s="473"/>
      <c r="AC94" s="473"/>
      <c r="AD94" s="472"/>
      <c r="AE94" s="472"/>
      <c r="AF94" s="472"/>
      <c r="AG94" s="472"/>
      <c r="AH94" s="474"/>
    </row>
    <row r="95" spans="1:34" hidden="1" outlineLevel="1" x14ac:dyDescent="0.25">
      <c r="A95" s="1734"/>
      <c r="B95" s="471" t="s">
        <v>511</v>
      </c>
      <c r="C95" s="391">
        <f>SUM(D95:AG95)</f>
        <v>0</v>
      </c>
      <c r="D95" s="475"/>
      <c r="E95" s="476"/>
      <c r="F95" s="475"/>
      <c r="G95" s="475"/>
      <c r="H95" s="475"/>
      <c r="I95" s="475"/>
      <c r="J95" s="475"/>
      <c r="K95" s="475"/>
      <c r="L95" s="475"/>
      <c r="M95" s="475"/>
      <c r="N95" s="475"/>
      <c r="O95" s="475"/>
      <c r="P95" s="475"/>
      <c r="Q95" s="475"/>
      <c r="R95" s="475"/>
      <c r="S95" s="475"/>
      <c r="T95" s="475"/>
      <c r="U95" s="475"/>
      <c r="V95" s="475"/>
      <c r="W95" s="475"/>
      <c r="X95" s="475"/>
      <c r="Y95" s="477"/>
      <c r="Z95" s="477"/>
      <c r="AA95" s="475"/>
      <c r="AB95" s="477"/>
      <c r="AC95" s="477"/>
      <c r="AD95" s="475"/>
      <c r="AE95" s="475"/>
      <c r="AF95" s="475"/>
      <c r="AG95" s="475"/>
      <c r="AH95" s="478"/>
    </row>
    <row r="96" spans="1:34" hidden="1" outlineLevel="1" x14ac:dyDescent="0.25">
      <c r="A96" s="1735"/>
      <c r="B96" s="471" t="s">
        <v>484</v>
      </c>
      <c r="C96" s="391">
        <f>IFERROR(SUMPRODUCT(D95:AG95,D96:AG96)/C95,0)</f>
        <v>0</v>
      </c>
      <c r="D96" s="475"/>
      <c r="E96" s="476"/>
      <c r="F96" s="475"/>
      <c r="G96" s="475"/>
      <c r="H96" s="475"/>
      <c r="I96" s="475"/>
      <c r="J96" s="475"/>
      <c r="K96" s="475"/>
      <c r="L96" s="475"/>
      <c r="M96" s="475"/>
      <c r="N96" s="475"/>
      <c r="O96" s="475"/>
      <c r="P96" s="475"/>
      <c r="Q96" s="475"/>
      <c r="R96" s="475"/>
      <c r="S96" s="475"/>
      <c r="T96" s="475"/>
      <c r="U96" s="475"/>
      <c r="V96" s="475"/>
      <c r="W96" s="475"/>
      <c r="X96" s="475"/>
      <c r="Y96" s="477"/>
      <c r="Z96" s="477"/>
      <c r="AA96" s="475"/>
      <c r="AB96" s="477"/>
      <c r="AC96" s="477"/>
      <c r="AD96" s="475"/>
      <c r="AE96" s="475"/>
      <c r="AF96" s="475"/>
      <c r="AG96" s="475"/>
      <c r="AH96" s="478"/>
    </row>
    <row r="97" spans="1:34" collapsed="1" x14ac:dyDescent="0.25">
      <c r="A97" s="1736" t="s">
        <v>514</v>
      </c>
      <c r="B97" s="479" t="s">
        <v>513</v>
      </c>
      <c r="C97" s="391">
        <f>SUM(D97:AG97)</f>
        <v>0</v>
      </c>
      <c r="D97" s="480">
        <f t="shared" ref="D97:AG97" si="20">+D85+D87+D89+D95+D91+D93</f>
        <v>0</v>
      </c>
      <c r="E97" s="480">
        <f t="shared" si="20"/>
        <v>0</v>
      </c>
      <c r="F97" s="480">
        <f t="shared" si="20"/>
        <v>0</v>
      </c>
      <c r="G97" s="480">
        <f t="shared" si="20"/>
        <v>0</v>
      </c>
      <c r="H97" s="480">
        <f t="shared" si="20"/>
        <v>0</v>
      </c>
      <c r="I97" s="480">
        <f t="shared" si="20"/>
        <v>0</v>
      </c>
      <c r="J97" s="480">
        <f t="shared" si="20"/>
        <v>0</v>
      </c>
      <c r="K97" s="480">
        <f t="shared" si="20"/>
        <v>0</v>
      </c>
      <c r="L97" s="480">
        <f t="shared" si="20"/>
        <v>0</v>
      </c>
      <c r="M97" s="480">
        <f t="shared" si="20"/>
        <v>0</v>
      </c>
      <c r="N97" s="480">
        <f t="shared" si="20"/>
        <v>0</v>
      </c>
      <c r="O97" s="480">
        <f t="shared" si="20"/>
        <v>0</v>
      </c>
      <c r="P97" s="480">
        <f t="shared" si="20"/>
        <v>0</v>
      </c>
      <c r="Q97" s="480">
        <f t="shared" si="20"/>
        <v>0</v>
      </c>
      <c r="R97" s="480">
        <f t="shared" si="20"/>
        <v>0</v>
      </c>
      <c r="S97" s="480">
        <f t="shared" si="20"/>
        <v>0</v>
      </c>
      <c r="T97" s="480">
        <f t="shared" si="20"/>
        <v>0</v>
      </c>
      <c r="U97" s="480">
        <f t="shared" si="20"/>
        <v>0</v>
      </c>
      <c r="V97" s="480">
        <f t="shared" si="20"/>
        <v>0</v>
      </c>
      <c r="W97" s="480">
        <f t="shared" si="20"/>
        <v>0</v>
      </c>
      <c r="X97" s="480">
        <f t="shared" si="20"/>
        <v>0</v>
      </c>
      <c r="Y97" s="481">
        <f t="shared" si="20"/>
        <v>0</v>
      </c>
      <c r="Z97" s="481">
        <f t="shared" si="20"/>
        <v>0</v>
      </c>
      <c r="AA97" s="480">
        <f t="shared" si="20"/>
        <v>0</v>
      </c>
      <c r="AB97" s="481">
        <f t="shared" si="20"/>
        <v>0</v>
      </c>
      <c r="AC97" s="481">
        <f t="shared" si="20"/>
        <v>0</v>
      </c>
      <c r="AD97" s="480">
        <f t="shared" si="20"/>
        <v>0</v>
      </c>
      <c r="AE97" s="480">
        <f t="shared" si="20"/>
        <v>0</v>
      </c>
      <c r="AF97" s="480">
        <f t="shared" si="20"/>
        <v>0</v>
      </c>
      <c r="AG97" s="480">
        <f t="shared" si="20"/>
        <v>0</v>
      </c>
      <c r="AH97" s="480"/>
    </row>
    <row r="98" spans="1:34" x14ac:dyDescent="0.25">
      <c r="A98" s="1737" t="s">
        <v>514</v>
      </c>
      <c r="B98" s="482" t="s">
        <v>484</v>
      </c>
      <c r="C98" s="391">
        <f>IFERROR(SUMPRODUCT(D97:AG97,D98:AG98)/C97,0)</f>
        <v>0</v>
      </c>
      <c r="D98" s="469">
        <f t="shared" ref="D98:AG98" si="21">+IF(D97,(D85*D86+D87*D88+D89*D90+D95*D96+D91*D92+D93*D94)/D97,0)</f>
        <v>0</v>
      </c>
      <c r="E98" s="469">
        <f t="shared" si="21"/>
        <v>0</v>
      </c>
      <c r="F98" s="469">
        <f t="shared" si="21"/>
        <v>0</v>
      </c>
      <c r="G98" s="469">
        <f t="shared" si="21"/>
        <v>0</v>
      </c>
      <c r="H98" s="469">
        <f t="shared" si="21"/>
        <v>0</v>
      </c>
      <c r="I98" s="469">
        <f t="shared" si="21"/>
        <v>0</v>
      </c>
      <c r="J98" s="469">
        <f t="shared" si="21"/>
        <v>0</v>
      </c>
      <c r="K98" s="469">
        <f t="shared" si="21"/>
        <v>0</v>
      </c>
      <c r="L98" s="469">
        <f t="shared" si="21"/>
        <v>0</v>
      </c>
      <c r="M98" s="469">
        <f t="shared" si="21"/>
        <v>0</v>
      </c>
      <c r="N98" s="469">
        <f t="shared" si="21"/>
        <v>0</v>
      </c>
      <c r="O98" s="469">
        <f t="shared" si="21"/>
        <v>0</v>
      </c>
      <c r="P98" s="469">
        <f t="shared" si="21"/>
        <v>0</v>
      </c>
      <c r="Q98" s="469">
        <f t="shared" si="21"/>
        <v>0</v>
      </c>
      <c r="R98" s="469">
        <f t="shared" si="21"/>
        <v>0</v>
      </c>
      <c r="S98" s="469">
        <f t="shared" si="21"/>
        <v>0</v>
      </c>
      <c r="T98" s="469">
        <f t="shared" si="21"/>
        <v>0</v>
      </c>
      <c r="U98" s="469">
        <f t="shared" si="21"/>
        <v>0</v>
      </c>
      <c r="V98" s="469">
        <f t="shared" si="21"/>
        <v>0</v>
      </c>
      <c r="W98" s="469">
        <f t="shared" si="21"/>
        <v>0</v>
      </c>
      <c r="X98" s="469">
        <f t="shared" si="21"/>
        <v>0</v>
      </c>
      <c r="Y98" s="470">
        <f t="shared" si="21"/>
        <v>0</v>
      </c>
      <c r="Z98" s="470">
        <f t="shared" si="21"/>
        <v>0</v>
      </c>
      <c r="AA98" s="469">
        <f t="shared" si="21"/>
        <v>0</v>
      </c>
      <c r="AB98" s="470">
        <f t="shared" si="21"/>
        <v>0</v>
      </c>
      <c r="AC98" s="470">
        <f t="shared" si="21"/>
        <v>0</v>
      </c>
      <c r="AD98" s="469">
        <f t="shared" si="21"/>
        <v>0</v>
      </c>
      <c r="AE98" s="469">
        <f t="shared" si="21"/>
        <v>0</v>
      </c>
      <c r="AF98" s="469">
        <f t="shared" si="21"/>
        <v>0</v>
      </c>
      <c r="AG98" s="469">
        <f t="shared" si="21"/>
        <v>0</v>
      </c>
      <c r="AH98" s="469"/>
    </row>
    <row r="99" spans="1:34" outlineLevel="1" x14ac:dyDescent="0.25">
      <c r="A99" s="1738"/>
      <c r="B99" s="483"/>
      <c r="C99" s="391">
        <f>SUM(D99:AG99)</f>
        <v>0</v>
      </c>
      <c r="D99"/>
      <c r="E99"/>
      <c r="F99"/>
      <c r="G99"/>
      <c r="H99"/>
      <c r="I99"/>
      <c r="J99"/>
      <c r="K99"/>
      <c r="L99"/>
      <c r="M99"/>
      <c r="N99"/>
      <c r="O99"/>
      <c r="P99"/>
      <c r="Q99"/>
      <c r="R99"/>
      <c r="S99"/>
      <c r="T99"/>
      <c r="U99"/>
      <c r="V99"/>
      <c r="W99"/>
      <c r="X99"/>
      <c r="Y99" s="362"/>
      <c r="Z99" s="362"/>
      <c r="AA99"/>
      <c r="AB99" s="362"/>
      <c r="AC99" s="362"/>
      <c r="AD99"/>
      <c r="AE99"/>
      <c r="AF99"/>
      <c r="AG99"/>
      <c r="AH99" s="63"/>
    </row>
    <row r="100" spans="1:34" outlineLevel="1" x14ac:dyDescent="0.25">
      <c r="A100" s="1739"/>
      <c r="B100" s="484"/>
      <c r="C100" s="391">
        <f>IFERROR(SUMPRODUCT(D99:AG99,D100:AG100)/C99,0)</f>
        <v>0</v>
      </c>
      <c r="D100"/>
      <c r="E100"/>
      <c r="F100"/>
      <c r="G100"/>
      <c r="H100"/>
      <c r="I100"/>
      <c r="J100"/>
      <c r="K100"/>
      <c r="L100"/>
      <c r="M100"/>
      <c r="N100"/>
      <c r="O100"/>
      <c r="P100"/>
      <c r="Q100"/>
      <c r="R100"/>
      <c r="S100"/>
      <c r="T100"/>
      <c r="U100"/>
      <c r="V100"/>
      <c r="W100"/>
      <c r="X100"/>
      <c r="Y100" s="362"/>
      <c r="Z100" s="362"/>
      <c r="AA100"/>
      <c r="AB100" s="362"/>
      <c r="AC100" s="362"/>
      <c r="AD100"/>
      <c r="AE100"/>
      <c r="AF100"/>
      <c r="AG100"/>
      <c r="AH100" s="63"/>
    </row>
    <row r="101" spans="1:34" outlineLevel="1" x14ac:dyDescent="0.25">
      <c r="A101" s="1738"/>
      <c r="B101" s="484"/>
      <c r="C101" s="391">
        <f>SUM(D101:AG101)</f>
        <v>0</v>
      </c>
      <c r="D101" s="401"/>
      <c r="E101" s="401"/>
      <c r="F101" s="401"/>
      <c r="G101" s="401"/>
      <c r="H101" s="401"/>
      <c r="I101" s="401"/>
      <c r="J101" s="401"/>
      <c r="K101" s="401"/>
      <c r="L101" s="401"/>
      <c r="M101" s="401"/>
      <c r="N101" s="401"/>
      <c r="O101" s="401"/>
      <c r="P101" s="401"/>
      <c r="Q101" s="401"/>
      <c r="R101" s="401"/>
      <c r="S101" s="401"/>
      <c r="T101" s="401"/>
      <c r="U101" s="401"/>
      <c r="V101" s="401"/>
      <c r="W101" s="401"/>
      <c r="X101" s="401"/>
      <c r="Y101" s="485"/>
      <c r="Z101" s="485"/>
      <c r="AA101" s="401"/>
      <c r="AB101" s="485"/>
      <c r="AC101" s="485"/>
      <c r="AD101" s="401"/>
      <c r="AE101" s="401"/>
      <c r="AF101" s="401"/>
      <c r="AG101" s="401"/>
      <c r="AH101" s="406"/>
    </row>
    <row r="102" spans="1:34" outlineLevel="1" x14ac:dyDescent="0.25">
      <c r="A102" s="1739"/>
      <c r="B102" s="484"/>
      <c r="C102" s="391">
        <f>IFERROR(SUMPRODUCT(D101:AG101,D102:AG102)/C101,0)</f>
        <v>0</v>
      </c>
      <c r="D102" s="401"/>
      <c r="E102" s="401"/>
      <c r="F102" s="401"/>
      <c r="G102" s="401"/>
      <c r="H102" s="401"/>
      <c r="I102" s="401"/>
      <c r="J102" s="401"/>
      <c r="K102" s="401"/>
      <c r="L102" s="401"/>
      <c r="M102" s="401"/>
      <c r="N102" s="401"/>
      <c r="O102" s="401"/>
      <c r="P102" s="401"/>
      <c r="Q102" s="401"/>
      <c r="R102" s="401"/>
      <c r="S102" s="401"/>
      <c r="T102" s="401"/>
      <c r="U102" s="401"/>
      <c r="V102" s="401"/>
      <c r="W102" s="401"/>
      <c r="X102" s="401"/>
      <c r="Y102" s="485"/>
      <c r="Z102" s="485"/>
      <c r="AA102" s="401"/>
      <c r="AB102" s="485"/>
      <c r="AC102" s="485"/>
      <c r="AD102" s="401"/>
      <c r="AE102" s="401"/>
      <c r="AF102" s="401"/>
      <c r="AG102" s="401"/>
      <c r="AH102" s="406"/>
    </row>
    <row r="103" spans="1:34" outlineLevel="1" x14ac:dyDescent="0.25">
      <c r="A103" s="1738"/>
      <c r="B103" s="484"/>
      <c r="C103" s="391">
        <f>SUM(D103:AG103)</f>
        <v>0</v>
      </c>
      <c r="D103" s="401"/>
      <c r="E103" s="401"/>
      <c r="F103" s="401"/>
      <c r="G103" s="401"/>
      <c r="H103" s="401"/>
      <c r="I103" s="401"/>
      <c r="J103" s="401"/>
      <c r="K103" s="401"/>
      <c r="L103" s="401"/>
      <c r="M103" s="401"/>
      <c r="N103" s="401"/>
      <c r="O103" s="401"/>
      <c r="P103" s="401"/>
      <c r="Q103" s="401"/>
      <c r="R103" s="401"/>
      <c r="S103" s="401"/>
      <c r="T103" s="401"/>
      <c r="U103" s="401"/>
      <c r="V103" s="401"/>
      <c r="W103" s="401"/>
      <c r="X103" s="401"/>
      <c r="Y103" s="485"/>
      <c r="Z103" s="485"/>
      <c r="AA103" s="401"/>
      <c r="AB103" s="485"/>
      <c r="AC103" s="485"/>
      <c r="AD103" s="401"/>
      <c r="AE103" s="401"/>
      <c r="AF103" s="401"/>
      <c r="AG103" s="401"/>
      <c r="AH103" s="406"/>
    </row>
    <row r="104" spans="1:34" outlineLevel="1" x14ac:dyDescent="0.25">
      <c r="A104" s="1739"/>
      <c r="B104" s="484"/>
      <c r="C104" s="391">
        <f>IFERROR(SUMPRODUCT(D103:AG103,D104:AG104)/C103,0)</f>
        <v>0</v>
      </c>
      <c r="D104" s="401"/>
      <c r="E104" s="401"/>
      <c r="F104" s="401"/>
      <c r="G104" s="401"/>
      <c r="H104" s="401"/>
      <c r="I104" s="401"/>
      <c r="J104" s="401"/>
      <c r="K104" s="401"/>
      <c r="L104" s="401"/>
      <c r="M104" s="401"/>
      <c r="N104" s="401"/>
      <c r="O104" s="401"/>
      <c r="P104" s="401"/>
      <c r="Q104" s="401"/>
      <c r="R104" s="401"/>
      <c r="S104" s="401"/>
      <c r="T104" s="401"/>
      <c r="U104" s="401"/>
      <c r="V104" s="401"/>
      <c r="W104" s="401"/>
      <c r="X104" s="401"/>
      <c r="Y104" s="485"/>
      <c r="Z104" s="485"/>
      <c r="AA104" s="401"/>
      <c r="AB104" s="485"/>
      <c r="AC104" s="485"/>
      <c r="AD104" s="401"/>
      <c r="AE104" s="401"/>
      <c r="AF104" s="401"/>
      <c r="AG104" s="401"/>
      <c r="AH104" s="406"/>
    </row>
    <row r="105" spans="1:34" outlineLevel="1" x14ac:dyDescent="0.25">
      <c r="A105" s="1740"/>
      <c r="B105" s="484"/>
      <c r="C105" s="391">
        <f>SUM(D105:AG105)</f>
        <v>0</v>
      </c>
      <c r="D105" s="401"/>
      <c r="E105" s="401"/>
      <c r="F105" s="401"/>
      <c r="G105" s="401"/>
      <c r="H105" s="401"/>
      <c r="I105" s="401"/>
      <c r="J105" s="401"/>
      <c r="K105" s="401"/>
      <c r="L105" s="401"/>
      <c r="M105" s="401"/>
      <c r="N105" s="401"/>
      <c r="O105" s="401"/>
      <c r="P105" s="401"/>
      <c r="Q105" s="401"/>
      <c r="R105" s="401"/>
      <c r="S105" s="401"/>
      <c r="T105" s="401"/>
      <c r="U105" s="401"/>
      <c r="V105" s="401"/>
      <c r="W105" s="401"/>
      <c r="X105" s="401"/>
      <c r="Y105" s="485"/>
      <c r="Z105" s="485"/>
      <c r="AA105" s="401"/>
      <c r="AB105" s="485"/>
      <c r="AC105" s="485"/>
      <c r="AD105" s="401"/>
      <c r="AE105" s="401"/>
      <c r="AF105" s="401"/>
      <c r="AG105" s="401"/>
      <c r="AH105" s="406"/>
    </row>
    <row r="106" spans="1:34" outlineLevel="1" x14ac:dyDescent="0.25">
      <c r="A106" s="1741"/>
      <c r="B106" s="484"/>
      <c r="C106" s="391">
        <f>IFERROR(SUMPRODUCT(D105:AG105,D106:AG106)/C105,0)</f>
        <v>0</v>
      </c>
      <c r="D106" s="401"/>
      <c r="E106" s="401"/>
      <c r="F106" s="401"/>
      <c r="G106" s="401"/>
      <c r="H106" s="401"/>
      <c r="I106" s="401"/>
      <c r="J106" s="401"/>
      <c r="K106" s="401"/>
      <c r="L106" s="401"/>
      <c r="M106" s="401"/>
      <c r="N106" s="401"/>
      <c r="O106" s="401"/>
      <c r="P106" s="401"/>
      <c r="Q106" s="401"/>
      <c r="R106" s="401"/>
      <c r="S106" s="401"/>
      <c r="T106" s="401"/>
      <c r="U106" s="401"/>
      <c r="V106" s="401"/>
      <c r="W106" s="401"/>
      <c r="X106" s="401"/>
      <c r="Y106" s="485"/>
      <c r="Z106" s="485"/>
      <c r="AA106" s="401"/>
      <c r="AB106" s="485"/>
      <c r="AC106" s="485"/>
      <c r="AD106" s="401"/>
      <c r="AE106" s="401"/>
      <c r="AF106" s="401"/>
      <c r="AG106" s="401"/>
      <c r="AH106" s="406"/>
    </row>
    <row r="107" spans="1:34" outlineLevel="1" x14ac:dyDescent="0.25">
      <c r="A107" s="1742"/>
      <c r="B107" s="385"/>
      <c r="C107" s="391">
        <f>SUM(D107:AG107)</f>
        <v>0</v>
      </c>
      <c r="D107" s="401"/>
      <c r="E107" s="401"/>
      <c r="F107" s="401"/>
      <c r="G107" s="401"/>
      <c r="H107" s="401"/>
      <c r="I107" s="401"/>
      <c r="J107" s="401"/>
      <c r="K107" s="401"/>
      <c r="L107" s="401"/>
      <c r="M107" s="401"/>
      <c r="N107" s="401"/>
      <c r="O107" s="401"/>
      <c r="P107" s="401"/>
      <c r="Q107" s="401"/>
      <c r="R107" s="401"/>
      <c r="S107" s="401"/>
      <c r="T107" s="401"/>
      <c r="U107" s="401"/>
      <c r="V107" s="401"/>
      <c r="W107" s="401"/>
      <c r="X107" s="401"/>
      <c r="Y107" s="485"/>
      <c r="Z107" s="485"/>
      <c r="AA107" s="401"/>
      <c r="AB107" s="485"/>
      <c r="AC107" s="485"/>
      <c r="AD107" s="401"/>
      <c r="AE107" s="401"/>
      <c r="AF107" s="401"/>
      <c r="AG107" s="401"/>
      <c r="AH107" s="406"/>
    </row>
    <row r="108" spans="1:34" outlineLevel="1" x14ac:dyDescent="0.25">
      <c r="A108" s="1722"/>
      <c r="B108" s="385"/>
      <c r="C108" s="391">
        <f>IFERROR(SUMPRODUCT(D107:AG107,D108:AG108)/C107,0)</f>
        <v>0</v>
      </c>
      <c r="D108" s="401"/>
      <c r="E108" s="401"/>
      <c r="F108" s="401"/>
      <c r="G108" s="401"/>
      <c r="H108" s="401"/>
      <c r="I108" s="401"/>
      <c r="J108" s="401"/>
      <c r="K108" s="401"/>
      <c r="L108" s="401"/>
      <c r="M108" s="401"/>
      <c r="N108" s="401"/>
      <c r="O108" s="401"/>
      <c r="P108" s="401"/>
      <c r="Q108" s="401"/>
      <c r="R108" s="401"/>
      <c r="S108" s="401"/>
      <c r="T108" s="401"/>
      <c r="U108" s="401"/>
      <c r="V108" s="401"/>
      <c r="W108" s="401"/>
      <c r="X108" s="401"/>
      <c r="Y108" s="485"/>
      <c r="Z108" s="485"/>
      <c r="AA108" s="401"/>
      <c r="AB108" s="485"/>
      <c r="AC108" s="485"/>
      <c r="AD108" s="401"/>
      <c r="AE108" s="401"/>
      <c r="AF108" s="401"/>
      <c r="AG108" s="401"/>
      <c r="AH108" s="406"/>
    </row>
    <row r="109" spans="1:34" outlineLevel="1" x14ac:dyDescent="0.25">
      <c r="A109" s="1712"/>
      <c r="B109" s="385"/>
      <c r="C109" s="391">
        <f>SUM(D109:AG109)</f>
        <v>0</v>
      </c>
      <c r="D109" s="401"/>
      <c r="E109" s="401"/>
      <c r="F109" s="401"/>
      <c r="G109" s="401"/>
      <c r="H109" s="401"/>
      <c r="I109" s="401"/>
      <c r="J109" s="401"/>
      <c r="K109" s="401"/>
      <c r="L109" s="401"/>
      <c r="M109" s="401"/>
      <c r="N109" s="401"/>
      <c r="O109" s="401"/>
      <c r="P109" s="401"/>
      <c r="Q109" s="401"/>
      <c r="R109" s="401"/>
      <c r="S109" s="401"/>
      <c r="T109" s="401"/>
      <c r="U109" s="401"/>
      <c r="V109" s="401"/>
      <c r="W109" s="401"/>
      <c r="X109" s="401"/>
      <c r="Y109" s="485"/>
      <c r="Z109" s="485"/>
      <c r="AA109" s="401"/>
      <c r="AB109" s="485"/>
      <c r="AC109" s="485"/>
      <c r="AD109" s="401"/>
      <c r="AE109" s="401"/>
      <c r="AF109" s="401"/>
      <c r="AG109" s="401"/>
      <c r="AH109" s="406"/>
    </row>
    <row r="110" spans="1:34" outlineLevel="1" x14ac:dyDescent="0.25">
      <c r="A110" s="1721"/>
      <c r="B110" s="385"/>
      <c r="C110" s="391">
        <f>IFERROR(SUMPRODUCT(D109:AG109,D110:AG110)/C109,0)</f>
        <v>0</v>
      </c>
      <c r="D110" s="401"/>
      <c r="E110" s="401"/>
      <c r="F110" s="401"/>
      <c r="G110" s="401"/>
      <c r="H110" s="401"/>
      <c r="I110" s="401"/>
      <c r="J110" s="401"/>
      <c r="K110" s="401"/>
      <c r="L110" s="401"/>
      <c r="M110" s="401"/>
      <c r="N110" s="401"/>
      <c r="O110" s="401"/>
      <c r="P110" s="401"/>
      <c r="Q110" s="401"/>
      <c r="R110" s="401"/>
      <c r="S110" s="401"/>
      <c r="T110" s="401"/>
      <c r="U110" s="401"/>
      <c r="V110" s="401"/>
      <c r="W110" s="401"/>
      <c r="X110" s="401"/>
      <c r="Y110" s="485"/>
      <c r="Z110" s="485"/>
      <c r="AA110" s="401"/>
      <c r="AB110" s="485"/>
      <c r="AC110" s="485"/>
      <c r="AD110" s="401"/>
      <c r="AE110" s="401"/>
      <c r="AF110" s="401"/>
      <c r="AG110" s="401"/>
      <c r="AH110" s="406"/>
    </row>
    <row r="111" spans="1:34" outlineLevel="1" x14ac:dyDescent="0.25">
      <c r="A111" s="1743"/>
      <c r="B111" s="486"/>
      <c r="C111" s="391">
        <f>SUM(D111:AG111)</f>
        <v>0</v>
      </c>
      <c r="D111" s="487"/>
      <c r="E111" s="487"/>
      <c r="F111" s="487"/>
      <c r="G111" s="487"/>
      <c r="H111" s="487"/>
      <c r="I111" s="487"/>
      <c r="J111" s="487"/>
      <c r="K111" s="487"/>
      <c r="L111" s="487"/>
      <c r="M111" s="487"/>
      <c r="N111" s="487"/>
      <c r="O111" s="487"/>
      <c r="P111" s="487"/>
      <c r="Q111" s="487"/>
      <c r="R111" s="487"/>
      <c r="S111" s="487"/>
      <c r="T111" s="487"/>
      <c r="U111" s="487"/>
      <c r="V111" s="487"/>
      <c r="W111" s="487"/>
      <c r="X111" s="487"/>
      <c r="Y111" s="488"/>
      <c r="Z111" s="488"/>
      <c r="AA111" s="487"/>
      <c r="AB111" s="488"/>
      <c r="AC111" s="488"/>
      <c r="AD111" s="487"/>
      <c r="AE111" s="487"/>
      <c r="AF111" s="487"/>
      <c r="AG111" s="487"/>
      <c r="AH111" s="489"/>
    </row>
    <row r="112" spans="1:34" outlineLevel="1" x14ac:dyDescent="0.25">
      <c r="A112" s="1744"/>
      <c r="B112" s="490"/>
      <c r="C112" s="491">
        <f>IFERROR(SUMPRODUCT(D111:AG111,D112:AG112)/C111,0)</f>
        <v>0</v>
      </c>
      <c r="D112" s="492"/>
      <c r="E112" s="492"/>
      <c r="F112" s="492"/>
      <c r="G112" s="492"/>
      <c r="H112" s="492"/>
      <c r="I112" s="492"/>
      <c r="J112" s="492"/>
      <c r="K112" s="492"/>
      <c r="L112" s="492"/>
      <c r="M112" s="492"/>
      <c r="N112" s="492"/>
      <c r="O112" s="492"/>
      <c r="P112" s="492"/>
      <c r="Q112" s="492"/>
      <c r="R112" s="492"/>
      <c r="S112" s="492"/>
      <c r="T112" s="492"/>
      <c r="U112" s="492"/>
      <c r="V112" s="492"/>
      <c r="W112" s="492"/>
      <c r="X112" s="492"/>
      <c r="Y112" s="493"/>
      <c r="Z112" s="493"/>
      <c r="AA112" s="492"/>
      <c r="AB112" s="493"/>
      <c r="AC112" s="493"/>
      <c r="AD112" s="492"/>
      <c r="AE112" s="492"/>
      <c r="AF112" s="492"/>
      <c r="AG112" s="492"/>
      <c r="AH112" s="494"/>
    </row>
    <row r="113" spans="1:34" outlineLevel="1" x14ac:dyDescent="0.25">
      <c r="A113" s="1732"/>
      <c r="B113" s="495"/>
      <c r="C113" s="491">
        <f>SUM(D113:AG113)</f>
        <v>0</v>
      </c>
      <c r="D113" s="496"/>
      <c r="E113" s="497"/>
      <c r="F113" s="496"/>
      <c r="G113" s="496"/>
      <c r="H113" s="496"/>
      <c r="I113" s="496"/>
      <c r="J113" s="496"/>
      <c r="K113" s="496"/>
      <c r="L113" s="496"/>
      <c r="M113" s="496"/>
      <c r="N113" s="496"/>
      <c r="O113" s="496"/>
      <c r="P113" s="496"/>
      <c r="Q113" s="496"/>
      <c r="R113" s="496"/>
      <c r="S113" s="496"/>
      <c r="T113" s="496"/>
      <c r="U113" s="496"/>
      <c r="V113" s="496"/>
      <c r="W113" s="496"/>
      <c r="X113" s="496"/>
      <c r="Y113" s="498"/>
      <c r="Z113" s="498"/>
      <c r="AA113" s="496"/>
      <c r="AB113" s="498"/>
      <c r="AC113" s="498"/>
      <c r="AD113" s="496"/>
      <c r="AE113" s="496"/>
      <c r="AF113" s="496"/>
      <c r="AG113" s="496"/>
      <c r="AH113" s="499"/>
    </row>
    <row r="114" spans="1:34" outlineLevel="1" x14ac:dyDescent="0.25">
      <c r="A114" s="1733"/>
      <c r="B114" s="500"/>
      <c r="C114" s="491">
        <f>IFERROR(SUMPRODUCT(D113:AG113,D114:AG114)/C113,0)</f>
        <v>0</v>
      </c>
      <c r="D114" s="496"/>
      <c r="E114" s="497"/>
      <c r="F114" s="496"/>
      <c r="G114" s="496"/>
      <c r="H114" s="496"/>
      <c r="I114" s="496"/>
      <c r="J114" s="496"/>
      <c r="K114" s="496"/>
      <c r="L114" s="496"/>
      <c r="M114" s="496"/>
      <c r="N114" s="496"/>
      <c r="O114" s="496"/>
      <c r="P114" s="496"/>
      <c r="Q114" s="496"/>
      <c r="R114" s="496"/>
      <c r="S114" s="496"/>
      <c r="T114" s="496"/>
      <c r="U114" s="496"/>
      <c r="V114" s="496"/>
      <c r="W114" s="496"/>
      <c r="X114" s="496"/>
      <c r="Y114" s="498"/>
      <c r="Z114" s="498"/>
      <c r="AA114" s="496"/>
      <c r="AB114" s="498"/>
      <c r="AC114" s="498"/>
      <c r="AD114" s="496"/>
      <c r="AE114" s="496"/>
      <c r="AF114" s="496"/>
      <c r="AG114" s="496"/>
      <c r="AH114" s="499"/>
    </row>
    <row r="115" spans="1:34" outlineLevel="1" x14ac:dyDescent="0.25">
      <c r="A115" s="1745"/>
      <c r="B115" s="483"/>
      <c r="C115" s="501">
        <f>SUM(D115:AG115)</f>
        <v>0</v>
      </c>
      <c r="D115" s="492"/>
      <c r="E115" s="492"/>
      <c r="F115" s="492"/>
      <c r="G115" s="492"/>
      <c r="H115" s="492"/>
      <c r="I115" s="492"/>
      <c r="J115" s="492"/>
      <c r="K115" s="492"/>
      <c r="L115" s="492"/>
      <c r="M115" s="492"/>
      <c r="N115" s="492"/>
      <c r="O115" s="492"/>
      <c r="P115" s="492"/>
      <c r="Q115" s="492"/>
      <c r="R115" s="492"/>
      <c r="S115" s="492"/>
      <c r="T115" s="492"/>
      <c r="U115" s="492"/>
      <c r="V115" s="492"/>
      <c r="W115" s="492"/>
      <c r="X115" s="492"/>
      <c r="Y115" s="493"/>
      <c r="Z115" s="493"/>
      <c r="AA115" s="492"/>
      <c r="AB115" s="493"/>
      <c r="AC115" s="493"/>
      <c r="AD115" s="492"/>
      <c r="AE115" s="492"/>
      <c r="AF115" s="492"/>
      <c r="AG115" s="492"/>
      <c r="AH115" s="494"/>
    </row>
    <row r="116" spans="1:34" outlineLevel="1" x14ac:dyDescent="0.25">
      <c r="A116" s="1746"/>
      <c r="B116" s="484"/>
      <c r="C116" s="391">
        <f>IFERROR(SUMPRODUCT(D115:AG115,D116:AG116)/C115,0)</f>
        <v>0</v>
      </c>
      <c r="D116" s="502"/>
      <c r="E116" s="502"/>
      <c r="F116" s="502"/>
      <c r="G116" s="502"/>
      <c r="H116" s="502"/>
      <c r="I116" s="502"/>
      <c r="J116" s="502"/>
      <c r="K116" s="502"/>
      <c r="L116" s="502"/>
      <c r="M116" s="502"/>
      <c r="N116" s="502"/>
      <c r="O116" s="502"/>
      <c r="P116" s="502"/>
      <c r="Q116" s="502"/>
      <c r="R116" s="502"/>
      <c r="S116" s="502"/>
      <c r="T116" s="502"/>
      <c r="U116" s="502"/>
      <c r="V116" s="502"/>
      <c r="W116" s="502"/>
      <c r="X116" s="502"/>
      <c r="Y116" s="503"/>
      <c r="Z116" s="503"/>
      <c r="AA116" s="502"/>
      <c r="AB116" s="503"/>
      <c r="AC116" s="503"/>
      <c r="AD116" s="502"/>
      <c r="AE116" s="502"/>
      <c r="AF116" s="502"/>
      <c r="AG116" s="502"/>
      <c r="AH116" s="504"/>
    </row>
    <row r="117" spans="1:34" outlineLevel="1" x14ac:dyDescent="0.25">
      <c r="A117" s="1747"/>
      <c r="B117" s="385"/>
      <c r="C117" s="391">
        <f>SUM(D117:AG117)</f>
        <v>0</v>
      </c>
      <c r="D117" s="401"/>
      <c r="E117" s="401"/>
      <c r="F117" s="401"/>
      <c r="G117" s="401"/>
      <c r="H117" s="401"/>
      <c r="I117" s="401"/>
      <c r="J117" s="401"/>
      <c r="K117" s="401"/>
      <c r="L117" s="401"/>
      <c r="M117" s="401"/>
      <c r="N117" s="401"/>
      <c r="O117" s="401"/>
      <c r="P117" s="401"/>
      <c r="Q117" s="401"/>
      <c r="R117" s="401"/>
      <c r="S117" s="401"/>
      <c r="T117" s="401"/>
      <c r="U117" s="401"/>
      <c r="V117" s="401"/>
      <c r="W117" s="401"/>
      <c r="X117" s="401"/>
      <c r="Y117" s="485"/>
      <c r="Z117" s="485"/>
      <c r="AA117" s="401"/>
      <c r="AB117" s="485"/>
      <c r="AC117" s="485"/>
      <c r="AD117" s="401"/>
      <c r="AE117" s="401"/>
      <c r="AF117" s="401"/>
      <c r="AG117" s="401"/>
      <c r="AH117" s="406"/>
    </row>
    <row r="118" spans="1:34" outlineLevel="1" x14ac:dyDescent="0.25">
      <c r="A118" s="1748"/>
      <c r="B118" s="385"/>
      <c r="C118" s="391">
        <f>IFERROR(SUMPRODUCT(D117:AG117,D118:AG118)/C117,0)</f>
        <v>0</v>
      </c>
      <c r="D118" s="401"/>
      <c r="E118" s="401"/>
      <c r="F118" s="401"/>
      <c r="G118" s="401"/>
      <c r="H118" s="401"/>
      <c r="I118" s="401"/>
      <c r="J118" s="401"/>
      <c r="K118" s="401"/>
      <c r="L118" s="401"/>
      <c r="M118" s="401"/>
      <c r="N118" s="401"/>
      <c r="O118" s="401"/>
      <c r="P118" s="401"/>
      <c r="Q118" s="401"/>
      <c r="R118" s="401"/>
      <c r="S118" s="401"/>
      <c r="T118" s="401"/>
      <c r="U118" s="401"/>
      <c r="V118" s="401"/>
      <c r="W118" s="401"/>
      <c r="X118" s="401"/>
      <c r="Y118" s="485"/>
      <c r="Z118" s="485"/>
      <c r="AA118" s="401"/>
      <c r="AB118" s="485"/>
      <c r="AC118" s="485"/>
      <c r="AD118" s="401"/>
      <c r="AE118" s="401"/>
      <c r="AF118" s="401"/>
      <c r="AG118" s="401"/>
      <c r="AH118" s="406"/>
    </row>
    <row r="119" spans="1:34" outlineLevel="1" x14ac:dyDescent="0.25">
      <c r="A119" s="1749"/>
      <c r="B119" s="484"/>
      <c r="C119" s="391">
        <f>SUM(D119:AG119)</f>
        <v>0</v>
      </c>
      <c r="D119" s="401"/>
      <c r="E119" s="401"/>
      <c r="F119" s="401"/>
      <c r="G119" s="401"/>
      <c r="H119" s="401"/>
      <c r="I119" s="401"/>
      <c r="J119" s="401"/>
      <c r="K119" s="401"/>
      <c r="L119" s="401"/>
      <c r="M119" s="401"/>
      <c r="N119" s="401"/>
      <c r="O119" s="401"/>
      <c r="P119" s="401"/>
      <c r="Q119" s="401"/>
      <c r="R119" s="401"/>
      <c r="S119" s="401"/>
      <c r="T119" s="401"/>
      <c r="U119" s="401"/>
      <c r="V119" s="401"/>
      <c r="W119" s="401"/>
      <c r="X119" s="401"/>
      <c r="Y119" s="485"/>
      <c r="Z119" s="485"/>
      <c r="AA119" s="401"/>
      <c r="AB119" s="485"/>
      <c r="AC119" s="485"/>
      <c r="AD119" s="401"/>
      <c r="AE119" s="401"/>
      <c r="AF119" s="401"/>
      <c r="AG119" s="401"/>
      <c r="AH119" s="406"/>
    </row>
    <row r="120" spans="1:34" outlineLevel="1" x14ac:dyDescent="0.25">
      <c r="A120" s="1750"/>
      <c r="B120" s="484"/>
      <c r="C120" s="391">
        <f>IFERROR(SUMPRODUCT(D119:AG119,D120:AG120)/C119,0)</f>
        <v>0</v>
      </c>
      <c r="D120" s="401"/>
      <c r="E120" s="401"/>
      <c r="F120" s="401"/>
      <c r="G120" s="401"/>
      <c r="H120" s="401"/>
      <c r="I120" s="401"/>
      <c r="J120" s="401"/>
      <c r="K120" s="401"/>
      <c r="L120" s="401"/>
      <c r="M120" s="401"/>
      <c r="N120" s="401"/>
      <c r="O120" s="401"/>
      <c r="P120" s="401"/>
      <c r="Q120" s="401"/>
      <c r="R120" s="401"/>
      <c r="S120" s="401"/>
      <c r="T120" s="401"/>
      <c r="U120" s="401"/>
      <c r="V120" s="401"/>
      <c r="W120" s="401"/>
      <c r="X120" s="401"/>
      <c r="Y120" s="485"/>
      <c r="Z120" s="485"/>
      <c r="AA120" s="401"/>
      <c r="AB120" s="485"/>
      <c r="AC120" s="485"/>
      <c r="AD120" s="401"/>
      <c r="AE120" s="401"/>
      <c r="AF120" s="401"/>
      <c r="AG120" s="401"/>
      <c r="AH120" s="406"/>
    </row>
    <row r="121" spans="1:34" outlineLevel="1" x14ac:dyDescent="0.25">
      <c r="A121" s="1749"/>
      <c r="B121" s="484"/>
      <c r="C121" s="391">
        <f>SUM(D121:AG121)</f>
        <v>0</v>
      </c>
      <c r="D121" s="401"/>
      <c r="E121" s="401"/>
      <c r="F121" s="401"/>
      <c r="G121" s="401"/>
      <c r="H121" s="401"/>
      <c r="I121" s="401"/>
      <c r="J121" s="401"/>
      <c r="K121" s="401"/>
      <c r="L121" s="401"/>
      <c r="M121" s="401"/>
      <c r="N121" s="401"/>
      <c r="O121" s="401"/>
      <c r="P121" s="401"/>
      <c r="Q121" s="401"/>
      <c r="R121" s="401"/>
      <c r="S121" s="401"/>
      <c r="T121" s="401"/>
      <c r="U121" s="401"/>
      <c r="V121" s="401"/>
      <c r="W121" s="401"/>
      <c r="X121" s="401"/>
      <c r="Y121" s="485"/>
      <c r="Z121" s="485"/>
      <c r="AA121" s="401"/>
      <c r="AB121" s="485"/>
      <c r="AC121" s="485"/>
      <c r="AD121" s="401"/>
      <c r="AE121" s="401"/>
      <c r="AF121" s="401"/>
      <c r="AG121" s="401"/>
      <c r="AH121" s="406"/>
    </row>
    <row r="122" spans="1:34" outlineLevel="1" x14ac:dyDescent="0.25">
      <c r="A122" s="1750"/>
      <c r="B122" s="484"/>
      <c r="C122" s="391">
        <f>IFERROR(SUMPRODUCT(D121:AG121,D122:AG122)/C121,0)</f>
        <v>0</v>
      </c>
      <c r="D122" s="401"/>
      <c r="E122" s="401"/>
      <c r="F122" s="401"/>
      <c r="G122" s="401"/>
      <c r="H122" s="401"/>
      <c r="I122" s="401"/>
      <c r="J122" s="401"/>
      <c r="K122" s="401"/>
      <c r="L122" s="401"/>
      <c r="M122" s="401"/>
      <c r="N122" s="401"/>
      <c r="O122" s="401"/>
      <c r="P122" s="401"/>
      <c r="Q122" s="401"/>
      <c r="R122" s="401"/>
      <c r="S122" s="401"/>
      <c r="T122" s="401"/>
      <c r="U122" s="401"/>
      <c r="V122" s="401"/>
      <c r="W122" s="401"/>
      <c r="X122" s="401"/>
      <c r="Y122" s="485"/>
      <c r="Z122" s="485"/>
      <c r="AA122" s="401"/>
      <c r="AB122" s="485"/>
      <c r="AC122" s="485"/>
      <c r="AD122" s="401"/>
      <c r="AE122" s="401"/>
      <c r="AF122" s="401"/>
      <c r="AG122" s="401"/>
      <c r="AH122" s="406"/>
    </row>
    <row r="123" spans="1:34" outlineLevel="1" x14ac:dyDescent="0.25">
      <c r="A123" s="1749"/>
      <c r="B123" s="484"/>
      <c r="C123" s="391">
        <f>SUM(D123:AG123)</f>
        <v>0</v>
      </c>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85"/>
      <c r="Z123" s="485"/>
      <c r="AA123" s="401"/>
      <c r="AB123" s="485"/>
      <c r="AC123" s="485"/>
      <c r="AD123" s="401"/>
      <c r="AE123" s="401"/>
      <c r="AF123" s="401"/>
      <c r="AG123" s="401"/>
      <c r="AH123" s="406"/>
    </row>
    <row r="124" spans="1:34" outlineLevel="1" x14ac:dyDescent="0.25">
      <c r="A124" s="1750"/>
      <c r="B124" s="484"/>
      <c r="C124" s="391">
        <f>IFERROR(SUMPRODUCT(D123:AG123,D124:AG124)/C123,0)</f>
        <v>0</v>
      </c>
      <c r="D124" s="401"/>
      <c r="E124" s="401"/>
      <c r="F124" s="401"/>
      <c r="G124" s="401"/>
      <c r="H124" s="401"/>
      <c r="I124" s="401"/>
      <c r="J124" s="401"/>
      <c r="K124" s="401"/>
      <c r="L124" s="401"/>
      <c r="M124" s="401"/>
      <c r="N124" s="401"/>
      <c r="O124" s="401"/>
      <c r="P124" s="401"/>
      <c r="Q124" s="401"/>
      <c r="R124" s="401"/>
      <c r="S124" s="401"/>
      <c r="T124" s="401"/>
      <c r="U124" s="401"/>
      <c r="V124" s="401"/>
      <c r="W124" s="401"/>
      <c r="X124" s="401"/>
      <c r="Y124" s="485"/>
      <c r="Z124" s="485"/>
      <c r="AA124" s="401"/>
      <c r="AB124" s="485"/>
      <c r="AC124" s="485"/>
      <c r="AD124" s="401"/>
      <c r="AE124" s="401"/>
      <c r="AF124" s="401"/>
      <c r="AG124" s="401"/>
      <c r="AH124" s="406"/>
    </row>
    <row r="125" spans="1:34" outlineLevel="1" x14ac:dyDescent="0.25">
      <c r="A125" s="1749"/>
      <c r="B125" s="484"/>
      <c r="C125" s="391">
        <f>SUM(D125:AG125)</f>
        <v>0</v>
      </c>
      <c r="D125" s="401"/>
      <c r="E125" s="401"/>
      <c r="F125" s="401"/>
      <c r="G125" s="401"/>
      <c r="H125" s="401"/>
      <c r="I125" s="401"/>
      <c r="J125" s="401"/>
      <c r="K125" s="401"/>
      <c r="L125" s="401"/>
      <c r="M125" s="401"/>
      <c r="N125" s="401"/>
      <c r="O125" s="401"/>
      <c r="P125" s="401"/>
      <c r="Q125" s="401"/>
      <c r="R125" s="401"/>
      <c r="S125" s="401"/>
      <c r="T125" s="401"/>
      <c r="U125" s="401"/>
      <c r="V125" s="401"/>
      <c r="W125" s="401"/>
      <c r="X125" s="401"/>
      <c r="Y125" s="485"/>
      <c r="Z125" s="485"/>
      <c r="AA125" s="401"/>
      <c r="AB125" s="485"/>
      <c r="AC125" s="485"/>
      <c r="AD125" s="401"/>
      <c r="AE125" s="401"/>
      <c r="AF125" s="401"/>
      <c r="AG125" s="401"/>
      <c r="AH125" s="406"/>
    </row>
    <row r="126" spans="1:34" outlineLevel="1" x14ac:dyDescent="0.25">
      <c r="A126" s="1750"/>
      <c r="B126" s="484"/>
      <c r="C126" s="391">
        <f>IFERROR(SUMPRODUCT(D125:AG125,D126:AG126)/C125,0)</f>
        <v>0</v>
      </c>
      <c r="D126" s="401"/>
      <c r="E126" s="401"/>
      <c r="F126" s="401"/>
      <c r="G126" s="401"/>
      <c r="H126" s="401"/>
      <c r="I126" s="401"/>
      <c r="J126" s="401"/>
      <c r="K126" s="401"/>
      <c r="L126" s="401"/>
      <c r="M126" s="401"/>
      <c r="N126" s="401"/>
      <c r="O126" s="401"/>
      <c r="P126" s="401"/>
      <c r="Q126" s="401"/>
      <c r="R126" s="401"/>
      <c r="S126" s="401"/>
      <c r="T126" s="401"/>
      <c r="U126" s="401"/>
      <c r="V126" s="401"/>
      <c r="W126" s="401"/>
      <c r="X126" s="401"/>
      <c r="Y126" s="485"/>
      <c r="Z126" s="485"/>
      <c r="AA126" s="401"/>
      <c r="AB126" s="485"/>
      <c r="AC126" s="485"/>
      <c r="AD126" s="401"/>
      <c r="AE126" s="401"/>
      <c r="AF126" s="401"/>
      <c r="AG126" s="401"/>
      <c r="AH126" s="406"/>
    </row>
    <row r="127" spans="1:34" outlineLevel="1" x14ac:dyDescent="0.25">
      <c r="A127" s="1751"/>
      <c r="B127" s="385"/>
      <c r="C127" s="391">
        <f>SUM(D127:AG127)</f>
        <v>0</v>
      </c>
      <c r="D127" s="401"/>
      <c r="E127" s="401"/>
      <c r="F127" s="401"/>
      <c r="G127" s="401"/>
      <c r="H127" s="401"/>
      <c r="I127" s="401"/>
      <c r="J127" s="401"/>
      <c r="K127" s="401"/>
      <c r="L127" s="401"/>
      <c r="M127" s="401"/>
      <c r="N127" s="401"/>
      <c r="O127" s="401"/>
      <c r="P127" s="401"/>
      <c r="Q127" s="401"/>
      <c r="R127" s="401"/>
      <c r="S127" s="401"/>
      <c r="T127" s="401"/>
      <c r="U127" s="401"/>
      <c r="V127" s="401"/>
      <c r="W127" s="401"/>
      <c r="X127" s="401"/>
      <c r="Y127" s="485"/>
      <c r="Z127" s="485"/>
      <c r="AA127" s="401"/>
      <c r="AB127" s="485"/>
      <c r="AC127" s="485"/>
      <c r="AD127" s="401"/>
      <c r="AE127" s="401"/>
      <c r="AF127" s="401"/>
      <c r="AG127" s="401"/>
      <c r="AH127" s="406"/>
    </row>
    <row r="128" spans="1:34" outlineLevel="1" x14ac:dyDescent="0.25">
      <c r="A128" s="1752"/>
      <c r="B128" s="385"/>
      <c r="C128" s="391">
        <f>IFERROR(SUMPRODUCT(D127:AG127,D128:AG128)/C127,0)</f>
        <v>0</v>
      </c>
      <c r="D128" s="401"/>
      <c r="E128" s="401"/>
      <c r="F128" s="401"/>
      <c r="G128" s="401"/>
      <c r="H128" s="401"/>
      <c r="I128" s="401"/>
      <c r="J128" s="401"/>
      <c r="K128" s="401"/>
      <c r="L128" s="401"/>
      <c r="M128" s="401"/>
      <c r="N128" s="401"/>
      <c r="O128" s="401"/>
      <c r="P128" s="401"/>
      <c r="Q128" s="401"/>
      <c r="R128" s="401"/>
      <c r="S128" s="401"/>
      <c r="T128" s="401"/>
      <c r="U128" s="401"/>
      <c r="V128" s="401"/>
      <c r="W128" s="401"/>
      <c r="X128" s="401"/>
      <c r="Y128" s="485"/>
      <c r="Z128" s="485"/>
      <c r="AA128" s="401"/>
      <c r="AB128" s="485"/>
      <c r="AC128" s="485"/>
      <c r="AD128" s="401"/>
      <c r="AE128" s="401"/>
      <c r="AF128" s="401"/>
      <c r="AG128" s="401"/>
      <c r="AH128" s="406"/>
    </row>
    <row r="129" spans="1:34" outlineLevel="1" x14ac:dyDescent="0.25">
      <c r="A129" s="1712"/>
      <c r="B129" s="385"/>
      <c r="C129" s="391">
        <f>SUM(D129:AG129)</f>
        <v>0</v>
      </c>
      <c r="D129" s="401"/>
      <c r="E129" s="401"/>
      <c r="F129" s="401"/>
      <c r="G129" s="401"/>
      <c r="H129" s="401"/>
      <c r="I129" s="401"/>
      <c r="J129" s="401"/>
      <c r="K129" s="401"/>
      <c r="L129" s="401"/>
      <c r="M129" s="401"/>
      <c r="N129" s="401"/>
      <c r="O129" s="401"/>
      <c r="P129" s="401"/>
      <c r="Q129" s="401"/>
      <c r="R129" s="401"/>
      <c r="S129" s="401"/>
      <c r="T129" s="401"/>
      <c r="U129" s="401"/>
      <c r="V129" s="401"/>
      <c r="W129" s="401"/>
      <c r="X129" s="401"/>
      <c r="Y129" s="485"/>
      <c r="Z129" s="485"/>
      <c r="AA129" s="401"/>
      <c r="AB129" s="485"/>
      <c r="AC129" s="485"/>
      <c r="AD129" s="401"/>
      <c r="AE129" s="401"/>
      <c r="AF129" s="401"/>
      <c r="AG129" s="401"/>
      <c r="AH129" s="406"/>
    </row>
    <row r="130" spans="1:34" outlineLevel="1" x14ac:dyDescent="0.25">
      <c r="A130" s="1712"/>
      <c r="B130" s="385"/>
      <c r="C130" s="391">
        <f>IFERROR(SUMPRODUCT(D129:AG129,D130:AG130)/C129,0)</f>
        <v>0</v>
      </c>
      <c r="D130" s="401"/>
      <c r="E130" s="401"/>
      <c r="F130" s="401"/>
      <c r="G130" s="401"/>
      <c r="H130" s="401"/>
      <c r="I130" s="401"/>
      <c r="J130" s="401"/>
      <c r="K130" s="401"/>
      <c r="L130" s="401"/>
      <c r="M130" s="401"/>
      <c r="N130" s="401"/>
      <c r="O130" s="401"/>
      <c r="P130" s="401"/>
      <c r="Q130" s="401"/>
      <c r="R130" s="401"/>
      <c r="S130" s="401"/>
      <c r="T130" s="401"/>
      <c r="U130" s="401"/>
      <c r="V130" s="401"/>
      <c r="W130" s="401"/>
      <c r="X130" s="401"/>
      <c r="Y130" s="485"/>
      <c r="Z130" s="485"/>
      <c r="AA130" s="401"/>
      <c r="AB130" s="485"/>
      <c r="AC130" s="485"/>
      <c r="AD130" s="401"/>
      <c r="AE130" s="401"/>
      <c r="AF130" s="401"/>
      <c r="AG130" s="401"/>
      <c r="AH130" s="406"/>
    </row>
    <row r="131" spans="1:34" outlineLevel="1" x14ac:dyDescent="0.25">
      <c r="A131" s="1712"/>
      <c r="B131" s="385"/>
      <c r="C131" s="391">
        <f>SUM(D131:AG131)</f>
        <v>0</v>
      </c>
      <c r="D131" s="401"/>
      <c r="E131" s="401"/>
      <c r="F131" s="401"/>
      <c r="G131" s="401"/>
      <c r="H131" s="401"/>
      <c r="I131" s="401"/>
      <c r="J131" s="401"/>
      <c r="K131" s="401"/>
      <c r="L131" s="401"/>
      <c r="M131" s="401"/>
      <c r="N131" s="401"/>
      <c r="O131" s="401"/>
      <c r="P131" s="401"/>
      <c r="Q131" s="401"/>
      <c r="R131" s="401"/>
      <c r="S131" s="401"/>
      <c r="T131" s="401"/>
      <c r="U131" s="401"/>
      <c r="V131" s="401"/>
      <c r="W131" s="401"/>
      <c r="X131" s="401"/>
      <c r="Y131" s="485"/>
      <c r="Z131" s="485"/>
      <c r="AA131" s="401"/>
      <c r="AB131" s="485"/>
      <c r="AC131" s="485"/>
      <c r="AD131" s="401"/>
      <c r="AE131" s="401"/>
      <c r="AF131" s="401"/>
      <c r="AG131" s="401"/>
      <c r="AH131" s="406"/>
    </row>
    <row r="132" spans="1:34" outlineLevel="1" x14ac:dyDescent="0.25">
      <c r="A132" s="1712"/>
      <c r="B132" s="385"/>
      <c r="C132" s="391">
        <f>IFERROR(SUMPRODUCT(D131:AG131,D132:AG132)/C131,0)</f>
        <v>0</v>
      </c>
      <c r="D132" s="401"/>
      <c r="E132" s="401"/>
      <c r="F132" s="401"/>
      <c r="G132" s="401"/>
      <c r="H132" s="401"/>
      <c r="I132" s="401"/>
      <c r="J132" s="401"/>
      <c r="K132" s="401"/>
      <c r="L132" s="401"/>
      <c r="M132" s="401"/>
      <c r="N132" s="401"/>
      <c r="O132" s="401"/>
      <c r="P132" s="401"/>
      <c r="Q132" s="401"/>
      <c r="R132" s="401"/>
      <c r="S132" s="401"/>
      <c r="T132" s="401"/>
      <c r="U132" s="401"/>
      <c r="V132" s="401"/>
      <c r="W132" s="401"/>
      <c r="X132" s="401"/>
      <c r="Y132" s="485"/>
      <c r="Z132" s="485"/>
      <c r="AA132" s="401"/>
      <c r="AB132" s="485"/>
      <c r="AC132" s="485"/>
      <c r="AD132" s="401"/>
      <c r="AE132" s="401"/>
      <c r="AF132" s="401"/>
      <c r="AG132" s="401"/>
      <c r="AH132" s="406"/>
    </row>
    <row r="133" spans="1:34" outlineLevel="1" x14ac:dyDescent="0.25">
      <c r="A133" s="1712"/>
      <c r="B133" s="385"/>
      <c r="C133" s="391">
        <f>SUM(D133:AG133)</f>
        <v>0</v>
      </c>
      <c r="D133" s="401"/>
      <c r="E133" s="401"/>
      <c r="F133" s="401"/>
      <c r="G133" s="401"/>
      <c r="H133" s="401"/>
      <c r="I133" s="401"/>
      <c r="J133" s="401"/>
      <c r="K133" s="401"/>
      <c r="L133" s="401"/>
      <c r="M133" s="401"/>
      <c r="N133" s="401"/>
      <c r="O133" s="401"/>
      <c r="P133" s="401"/>
      <c r="Q133" s="401"/>
      <c r="R133" s="401"/>
      <c r="S133" s="401"/>
      <c r="T133" s="401"/>
      <c r="U133" s="401"/>
      <c r="V133" s="401"/>
      <c r="W133" s="401"/>
      <c r="X133" s="401"/>
      <c r="Y133" s="485"/>
      <c r="Z133" s="485"/>
      <c r="AA133" s="401"/>
      <c r="AB133" s="485"/>
      <c r="AC133" s="485"/>
      <c r="AD133" s="401"/>
      <c r="AE133" s="401"/>
      <c r="AF133" s="401"/>
      <c r="AG133" s="401"/>
      <c r="AH133" s="406"/>
    </row>
    <row r="134" spans="1:34" outlineLevel="1" x14ac:dyDescent="0.25">
      <c r="A134" s="1712"/>
      <c r="B134" s="385"/>
      <c r="C134" s="391">
        <f>IFERROR(SUMPRODUCT(D133:AG133,D134:AG134)/C133,0)</f>
        <v>0</v>
      </c>
      <c r="D134" s="401"/>
      <c r="E134" s="401"/>
      <c r="F134" s="401"/>
      <c r="G134" s="401"/>
      <c r="H134" s="401"/>
      <c r="I134" s="401"/>
      <c r="J134" s="401"/>
      <c r="K134" s="401"/>
      <c r="L134" s="401"/>
      <c r="M134" s="401"/>
      <c r="N134" s="401"/>
      <c r="O134" s="401"/>
      <c r="P134" s="401"/>
      <c r="Q134" s="401"/>
      <c r="R134" s="401"/>
      <c r="S134" s="401"/>
      <c r="T134" s="401"/>
      <c r="U134" s="401"/>
      <c r="V134" s="401"/>
      <c r="W134" s="401"/>
      <c r="X134" s="401"/>
      <c r="Y134" s="485"/>
      <c r="Z134" s="485"/>
      <c r="AA134" s="401"/>
      <c r="AB134" s="485"/>
      <c r="AC134" s="485"/>
      <c r="AD134" s="401"/>
      <c r="AE134" s="401"/>
      <c r="AF134" s="401"/>
      <c r="AG134" s="401"/>
      <c r="AH134" s="406"/>
    </row>
    <row r="135" spans="1:34" outlineLevel="1" x14ac:dyDescent="0.25">
      <c r="A135" s="1712"/>
      <c r="B135" s="385"/>
      <c r="C135" s="391">
        <f>SUM(D135:AG135)</f>
        <v>0</v>
      </c>
      <c r="D135" s="401"/>
      <c r="E135" s="401"/>
      <c r="F135" s="401"/>
      <c r="G135" s="401"/>
      <c r="H135" s="401"/>
      <c r="I135" s="401"/>
      <c r="J135" s="401"/>
      <c r="K135" s="401"/>
      <c r="L135" s="401"/>
      <c r="M135" s="401"/>
      <c r="N135" s="401"/>
      <c r="O135" s="401"/>
      <c r="P135" s="401"/>
      <c r="Q135" s="401"/>
      <c r="R135" s="401"/>
      <c r="S135" s="401"/>
      <c r="T135" s="401"/>
      <c r="U135" s="401"/>
      <c r="V135" s="401"/>
      <c r="W135" s="401"/>
      <c r="X135" s="401"/>
      <c r="Y135" s="485"/>
      <c r="Z135" s="485"/>
      <c r="AA135" s="401"/>
      <c r="AB135" s="485"/>
      <c r="AC135" s="485"/>
      <c r="AD135" s="401"/>
      <c r="AE135" s="401"/>
      <c r="AF135" s="401"/>
      <c r="AG135" s="401"/>
      <c r="AH135" s="406"/>
    </row>
    <row r="136" spans="1:34" outlineLevel="1" x14ac:dyDescent="0.25">
      <c r="A136" s="1712"/>
      <c r="B136" s="385"/>
      <c r="C136" s="391">
        <f>IFERROR(SUMPRODUCT(D135:AG135,D136:AG136)/C135,0)</f>
        <v>0</v>
      </c>
      <c r="D136" s="401"/>
      <c r="E136" s="401"/>
      <c r="F136" s="401"/>
      <c r="G136" s="401"/>
      <c r="H136" s="401"/>
      <c r="I136" s="401"/>
      <c r="J136" s="401"/>
      <c r="K136" s="401"/>
      <c r="L136" s="401"/>
      <c r="M136" s="401"/>
      <c r="N136" s="401"/>
      <c r="O136" s="401"/>
      <c r="P136" s="401"/>
      <c r="Q136" s="401"/>
      <c r="R136" s="401"/>
      <c r="S136" s="401"/>
      <c r="T136" s="401"/>
      <c r="U136" s="401"/>
      <c r="V136" s="401"/>
      <c r="W136" s="401"/>
      <c r="X136" s="401"/>
      <c r="Y136" s="485"/>
      <c r="Z136" s="485"/>
      <c r="AA136" s="401"/>
      <c r="AB136" s="485"/>
      <c r="AC136" s="485"/>
      <c r="AD136" s="401"/>
      <c r="AE136" s="401"/>
      <c r="AF136" s="401"/>
      <c r="AG136" s="401"/>
      <c r="AH136" s="406"/>
    </row>
    <row r="137" spans="1:34" outlineLevel="1" x14ac:dyDescent="0.25">
      <c r="A137" s="1712"/>
      <c r="B137" s="385"/>
      <c r="C137" s="391">
        <f>SUM(D137:AG137)</f>
        <v>0</v>
      </c>
      <c r="D137" s="401"/>
      <c r="E137" s="401"/>
      <c r="F137" s="401"/>
      <c r="G137" s="401"/>
      <c r="H137" s="401"/>
      <c r="I137" s="401"/>
      <c r="J137" s="401"/>
      <c r="K137" s="401"/>
      <c r="L137" s="401"/>
      <c r="M137" s="401"/>
      <c r="N137" s="401"/>
      <c r="O137" s="401"/>
      <c r="P137" s="401"/>
      <c r="Q137" s="401"/>
      <c r="R137" s="401"/>
      <c r="S137" s="401"/>
      <c r="T137" s="401"/>
      <c r="U137" s="401"/>
      <c r="V137" s="401"/>
      <c r="W137" s="401"/>
      <c r="X137" s="401"/>
      <c r="Y137" s="485"/>
      <c r="Z137" s="485"/>
      <c r="AA137" s="401"/>
      <c r="AB137" s="485"/>
      <c r="AC137" s="485"/>
      <c r="AD137" s="401"/>
      <c r="AE137" s="401"/>
      <c r="AF137" s="401"/>
      <c r="AG137" s="401"/>
      <c r="AH137" s="406"/>
    </row>
    <row r="138" spans="1:34" outlineLevel="1" x14ac:dyDescent="0.25">
      <c r="A138" s="1712"/>
      <c r="B138" s="385"/>
      <c r="C138" s="391">
        <f>IFERROR(SUMPRODUCT(D137:AG137,D138:AG138)/C137,0)</f>
        <v>0</v>
      </c>
      <c r="D138" s="401"/>
      <c r="E138" s="401"/>
      <c r="F138" s="401"/>
      <c r="G138" s="401"/>
      <c r="H138" s="401"/>
      <c r="I138" s="401"/>
      <c r="J138" s="401"/>
      <c r="K138" s="401"/>
      <c r="L138" s="401"/>
      <c r="M138" s="401"/>
      <c r="N138" s="401"/>
      <c r="O138" s="401"/>
      <c r="P138" s="401"/>
      <c r="Q138" s="401"/>
      <c r="R138" s="401"/>
      <c r="S138" s="401"/>
      <c r="T138" s="401"/>
      <c r="U138" s="401"/>
      <c r="V138" s="401"/>
      <c r="W138" s="401"/>
      <c r="X138" s="401"/>
      <c r="Y138" s="485"/>
      <c r="Z138" s="485"/>
      <c r="AA138" s="401"/>
      <c r="AB138" s="485"/>
      <c r="AC138" s="485"/>
      <c r="AD138" s="401"/>
      <c r="AE138" s="401"/>
      <c r="AF138" s="401"/>
      <c r="AG138" s="401"/>
      <c r="AH138" s="406"/>
    </row>
    <row r="139" spans="1:34" x14ac:dyDescent="0.25">
      <c r="A139" s="1712" t="s">
        <v>515</v>
      </c>
      <c r="B139" s="385" t="s">
        <v>513</v>
      </c>
      <c r="C139" s="391">
        <f>SUM(D139:AG139)</f>
        <v>0</v>
      </c>
      <c r="D139" s="467">
        <f>+D99+D101+D103+D105+D107+D109+D111+D113+D115+D117+D119+D121+D123+D125+D127+D129+D131+D133+D135+D137</f>
        <v>0</v>
      </c>
      <c r="E139" s="467">
        <f>+E99+E101+E103+E105+E107+E109+E111+E113+E115+E117+E119+E121+E123+E125+E127+E129+E131+E133+E135+E137</f>
        <v>0</v>
      </c>
      <c r="F139" s="467">
        <f t="shared" ref="F139:AG139" si="22">+F99+F101+F103+F105+F107+F109+F111+F113+F115+F117+F119+F121+F123+F125+F127+F129+F131+F133+F135+F137</f>
        <v>0</v>
      </c>
      <c r="G139" s="467">
        <f t="shared" si="22"/>
        <v>0</v>
      </c>
      <c r="H139" s="467">
        <f t="shared" si="22"/>
        <v>0</v>
      </c>
      <c r="I139" s="467">
        <f t="shared" si="22"/>
        <v>0</v>
      </c>
      <c r="J139" s="467">
        <f t="shared" si="22"/>
        <v>0</v>
      </c>
      <c r="K139" s="467">
        <f t="shared" si="22"/>
        <v>0</v>
      </c>
      <c r="L139" s="467">
        <f t="shared" si="22"/>
        <v>0</v>
      </c>
      <c r="M139" s="467">
        <f t="shared" si="22"/>
        <v>0</v>
      </c>
      <c r="N139" s="467">
        <f t="shared" si="22"/>
        <v>0</v>
      </c>
      <c r="O139" s="467">
        <f t="shared" si="22"/>
        <v>0</v>
      </c>
      <c r="P139" s="467">
        <f t="shared" si="22"/>
        <v>0</v>
      </c>
      <c r="Q139" s="467">
        <f t="shared" si="22"/>
        <v>0</v>
      </c>
      <c r="R139" s="467">
        <f t="shared" si="22"/>
        <v>0</v>
      </c>
      <c r="S139" s="467">
        <f t="shared" si="22"/>
        <v>0</v>
      </c>
      <c r="T139" s="467">
        <f t="shared" si="22"/>
        <v>0</v>
      </c>
      <c r="U139" s="467">
        <f t="shared" si="22"/>
        <v>0</v>
      </c>
      <c r="V139" s="467">
        <f t="shared" si="22"/>
        <v>0</v>
      </c>
      <c r="W139" s="467">
        <f t="shared" si="22"/>
        <v>0</v>
      </c>
      <c r="X139" s="467">
        <f t="shared" si="22"/>
        <v>0</v>
      </c>
      <c r="Y139" s="468">
        <f t="shared" si="22"/>
        <v>0</v>
      </c>
      <c r="Z139" s="468">
        <f t="shared" si="22"/>
        <v>0</v>
      </c>
      <c r="AA139" s="467">
        <f t="shared" si="22"/>
        <v>0</v>
      </c>
      <c r="AB139" s="468">
        <f t="shared" si="22"/>
        <v>0</v>
      </c>
      <c r="AC139" s="468">
        <f t="shared" si="22"/>
        <v>0</v>
      </c>
      <c r="AD139" s="467">
        <f t="shared" si="22"/>
        <v>0</v>
      </c>
      <c r="AE139" s="467">
        <f t="shared" si="22"/>
        <v>0</v>
      </c>
      <c r="AF139" s="467">
        <f t="shared" si="22"/>
        <v>0</v>
      </c>
      <c r="AG139" s="467">
        <f t="shared" si="22"/>
        <v>0</v>
      </c>
      <c r="AH139" s="469"/>
    </row>
    <row r="140" spans="1:34" x14ac:dyDescent="0.25">
      <c r="A140" s="1712" t="s">
        <v>515</v>
      </c>
      <c r="B140" s="385" t="s">
        <v>484</v>
      </c>
      <c r="C140" s="391">
        <f>IFERROR(SUMPRODUCT(D139:AG139,D140:AG140)/C139,0)</f>
        <v>0</v>
      </c>
      <c r="D140" s="469">
        <f>+IF(D139,(D99*D100+D101*D102+D103*D104+D105*D106+D107*D108+D109*D110+D111*D112+D113*D114+D115*D116+D117*D118+D119*D120+D121*D122+D123*D124+D125*D126+D127*D128+D129*D130+D131*D132+D133*D134+D135*D136+D137*D138)/D139,0)</f>
        <v>0</v>
      </c>
      <c r="E140" s="469">
        <f>+IF(E139,(E99*E100+E101*E102+E103*E104+E105*E106+E107*E108+E109*E110+E111*E112+E113*E114+E115*E116+E117*E118+E119*E120+E121*E122+E123*E124+E125*E126+E127*E128+E129*E130+E131*E132+E133*E134+E135*E136+E137*E138)/E139,0)</f>
        <v>0</v>
      </c>
      <c r="F140" s="469">
        <f t="shared" ref="F140:AG140" si="23">+IF(F139,(F99*F100+F101*F102+F103*F104+F105*F106+F107*F108+F109*F110+F111*F112+F113*F114+F115*F116+F117*F118+F119*F120+F121*F122+F123*F124+F125*F126+F127*F128+F129*F130+F131*F132+F133*F134+F135*F136+F137*F138)/F139,0)</f>
        <v>0</v>
      </c>
      <c r="G140" s="469">
        <f t="shared" si="23"/>
        <v>0</v>
      </c>
      <c r="H140" s="469">
        <f t="shared" si="23"/>
        <v>0</v>
      </c>
      <c r="I140" s="469">
        <f t="shared" si="23"/>
        <v>0</v>
      </c>
      <c r="J140" s="469">
        <f t="shared" si="23"/>
        <v>0</v>
      </c>
      <c r="K140" s="469">
        <f t="shared" si="23"/>
        <v>0</v>
      </c>
      <c r="L140" s="469">
        <f t="shared" si="23"/>
        <v>0</v>
      </c>
      <c r="M140" s="469">
        <f t="shared" si="23"/>
        <v>0</v>
      </c>
      <c r="N140" s="469">
        <f t="shared" si="23"/>
        <v>0</v>
      </c>
      <c r="O140" s="469">
        <f t="shared" si="23"/>
        <v>0</v>
      </c>
      <c r="P140" s="469">
        <f t="shared" si="23"/>
        <v>0</v>
      </c>
      <c r="Q140" s="469">
        <f t="shared" si="23"/>
        <v>0</v>
      </c>
      <c r="R140" s="469">
        <f t="shared" si="23"/>
        <v>0</v>
      </c>
      <c r="S140" s="469">
        <f t="shared" si="23"/>
        <v>0</v>
      </c>
      <c r="T140" s="469">
        <f t="shared" si="23"/>
        <v>0</v>
      </c>
      <c r="U140" s="469">
        <f t="shared" si="23"/>
        <v>0</v>
      </c>
      <c r="V140" s="469">
        <f t="shared" si="23"/>
        <v>0</v>
      </c>
      <c r="W140" s="469">
        <f t="shared" si="23"/>
        <v>0</v>
      </c>
      <c r="X140" s="469">
        <f t="shared" si="23"/>
        <v>0</v>
      </c>
      <c r="Y140" s="470">
        <f t="shared" si="23"/>
        <v>0</v>
      </c>
      <c r="Z140" s="470">
        <f t="shared" si="23"/>
        <v>0</v>
      </c>
      <c r="AA140" s="469">
        <f t="shared" si="23"/>
        <v>0</v>
      </c>
      <c r="AB140" s="470">
        <f t="shared" si="23"/>
        <v>0</v>
      </c>
      <c r="AC140" s="470">
        <f t="shared" si="23"/>
        <v>0</v>
      </c>
      <c r="AD140" s="469">
        <f t="shared" si="23"/>
        <v>0</v>
      </c>
      <c r="AE140" s="469">
        <f t="shared" si="23"/>
        <v>0</v>
      </c>
      <c r="AF140" s="469">
        <f t="shared" si="23"/>
        <v>0</v>
      </c>
      <c r="AG140" s="469">
        <f t="shared" si="23"/>
        <v>0</v>
      </c>
      <c r="AH140" s="469"/>
    </row>
    <row r="141" spans="1:34" hidden="1" outlineLevel="1" x14ac:dyDescent="0.25">
      <c r="A141" s="1712"/>
      <c r="B141" s="385" t="s">
        <v>511</v>
      </c>
      <c r="C141" s="391">
        <f>SUM(D141:AG141)</f>
        <v>0</v>
      </c>
      <c r="D141" s="464"/>
      <c r="E141" s="464"/>
      <c r="F141" s="464"/>
      <c r="G141" s="464"/>
      <c r="H141" s="464"/>
      <c r="I141" s="464"/>
      <c r="J141" s="464"/>
      <c r="K141" s="464"/>
      <c r="L141" s="464"/>
      <c r="M141" s="464"/>
      <c r="N141" s="464"/>
      <c r="O141" s="464"/>
      <c r="P141" s="464"/>
      <c r="Q141" s="464"/>
      <c r="R141" s="464"/>
      <c r="S141" s="464"/>
      <c r="T141" s="464"/>
      <c r="U141" s="464"/>
      <c r="V141" s="464"/>
      <c r="W141" s="464"/>
      <c r="X141" s="464"/>
      <c r="Y141" s="465"/>
      <c r="Z141" s="465"/>
      <c r="AA141" s="464"/>
      <c r="AB141" s="465"/>
      <c r="AC141" s="465"/>
      <c r="AD141" s="464"/>
      <c r="AE141" s="464"/>
      <c r="AF141" s="464"/>
      <c r="AG141" s="464"/>
      <c r="AH141" s="466"/>
    </row>
    <row r="142" spans="1:34" hidden="1" outlineLevel="1" x14ac:dyDescent="0.25">
      <c r="A142" s="1712"/>
      <c r="B142" s="385" t="s">
        <v>484</v>
      </c>
      <c r="C142" s="391">
        <f>IFERROR(SUMPRODUCT(D141:AG141,D142:AG142)/C141,0)</f>
        <v>0</v>
      </c>
      <c r="D142" s="464"/>
      <c r="E142" s="464"/>
      <c r="F142" s="464"/>
      <c r="G142" s="464"/>
      <c r="H142" s="464"/>
      <c r="I142" s="464"/>
      <c r="J142" s="464"/>
      <c r="K142" s="464"/>
      <c r="L142" s="464"/>
      <c r="M142" s="464"/>
      <c r="N142" s="464"/>
      <c r="O142" s="464"/>
      <c r="P142" s="464"/>
      <c r="Q142" s="464"/>
      <c r="R142" s="464"/>
      <c r="S142" s="464"/>
      <c r="T142" s="464"/>
      <c r="U142" s="464"/>
      <c r="V142" s="464"/>
      <c r="W142" s="464"/>
      <c r="X142" s="464"/>
      <c r="Y142" s="465"/>
      <c r="Z142" s="465"/>
      <c r="AA142" s="464"/>
      <c r="AB142" s="465"/>
      <c r="AC142" s="465"/>
      <c r="AD142" s="464"/>
      <c r="AE142" s="464"/>
      <c r="AF142" s="464"/>
      <c r="AG142" s="464"/>
      <c r="AH142" s="466"/>
    </row>
    <row r="143" spans="1:34" hidden="1" outlineLevel="1" x14ac:dyDescent="0.25">
      <c r="A143" s="1712"/>
      <c r="B143" s="385" t="s">
        <v>511</v>
      </c>
      <c r="C143" s="391">
        <f>SUM(D143:AG143)</f>
        <v>0</v>
      </c>
      <c r="D143" s="464"/>
      <c r="E143" s="464"/>
      <c r="F143" s="464"/>
      <c r="G143" s="464"/>
      <c r="H143" s="464"/>
      <c r="I143" s="464"/>
      <c r="J143" s="464"/>
      <c r="K143" s="464"/>
      <c r="L143" s="464"/>
      <c r="M143" s="464"/>
      <c r="N143" s="464"/>
      <c r="O143" s="464"/>
      <c r="P143" s="464"/>
      <c r="Q143" s="464"/>
      <c r="R143" s="464"/>
      <c r="S143" s="464"/>
      <c r="T143" s="464"/>
      <c r="U143" s="464"/>
      <c r="V143" s="464"/>
      <c r="W143" s="464"/>
      <c r="X143" s="464"/>
      <c r="Y143" s="465"/>
      <c r="Z143" s="465"/>
      <c r="AA143" s="464"/>
      <c r="AB143" s="465"/>
      <c r="AC143" s="465"/>
      <c r="AD143" s="464"/>
      <c r="AE143" s="464"/>
      <c r="AF143" s="464"/>
      <c r="AG143" s="464"/>
      <c r="AH143" s="466"/>
    </row>
    <row r="144" spans="1:34" hidden="1" outlineLevel="1" x14ac:dyDescent="0.25">
      <c r="A144" s="1712"/>
      <c r="B144" s="385" t="s">
        <v>484</v>
      </c>
      <c r="C144" s="391">
        <f>IFERROR(SUMPRODUCT(D143:AG143,D144:AG144)/C143,0)</f>
        <v>0</v>
      </c>
      <c r="D144" s="464"/>
      <c r="E144" s="464"/>
      <c r="F144" s="464"/>
      <c r="G144" s="464"/>
      <c r="H144" s="464"/>
      <c r="I144" s="464"/>
      <c r="J144" s="464"/>
      <c r="K144" s="464"/>
      <c r="L144" s="464"/>
      <c r="M144" s="464"/>
      <c r="N144" s="464"/>
      <c r="O144" s="464"/>
      <c r="P144" s="464"/>
      <c r="Q144" s="464"/>
      <c r="R144" s="464"/>
      <c r="S144" s="464"/>
      <c r="T144" s="464"/>
      <c r="U144" s="464"/>
      <c r="V144" s="464"/>
      <c r="W144" s="464"/>
      <c r="X144" s="464"/>
      <c r="Y144" s="465"/>
      <c r="Z144" s="465"/>
      <c r="AA144" s="464"/>
      <c r="AB144" s="465"/>
      <c r="AC144" s="465"/>
      <c r="AD144" s="464"/>
      <c r="AE144" s="464"/>
      <c r="AF144" s="464"/>
      <c r="AG144" s="464"/>
      <c r="AH144" s="466"/>
    </row>
    <row r="145" spans="1:34" hidden="1" outlineLevel="1" x14ac:dyDescent="0.25">
      <c r="A145" s="1712"/>
      <c r="B145" s="385" t="s">
        <v>511</v>
      </c>
      <c r="C145" s="391">
        <f>SUM(D145:AG145)</f>
        <v>0</v>
      </c>
      <c r="D145" s="464"/>
      <c r="E145" s="464"/>
      <c r="F145" s="464"/>
      <c r="G145" s="464"/>
      <c r="H145" s="464"/>
      <c r="I145" s="464"/>
      <c r="J145" s="464"/>
      <c r="K145" s="464"/>
      <c r="L145" s="464"/>
      <c r="M145" s="464"/>
      <c r="N145" s="464"/>
      <c r="O145" s="464"/>
      <c r="P145" s="464"/>
      <c r="Q145" s="464"/>
      <c r="R145" s="464"/>
      <c r="S145" s="464"/>
      <c r="T145" s="464"/>
      <c r="U145" s="464"/>
      <c r="V145" s="464"/>
      <c r="W145" s="464"/>
      <c r="X145" s="464"/>
      <c r="Y145" s="465"/>
      <c r="Z145" s="465"/>
      <c r="AA145" s="464"/>
      <c r="AB145" s="465"/>
      <c r="AC145" s="465"/>
      <c r="AD145" s="464"/>
      <c r="AE145" s="464"/>
      <c r="AF145" s="464"/>
      <c r="AG145" s="464"/>
      <c r="AH145" s="466"/>
    </row>
    <row r="146" spans="1:34" hidden="1" outlineLevel="1" x14ac:dyDescent="0.25">
      <c r="A146" s="1712"/>
      <c r="B146" s="385" t="s">
        <v>484</v>
      </c>
      <c r="C146" s="391">
        <f>IFERROR(SUMPRODUCT(D145:AG145,D146:AG146)/C145,0)</f>
        <v>0</v>
      </c>
      <c r="D146" s="464"/>
      <c r="E146" s="464"/>
      <c r="F146" s="464"/>
      <c r="G146" s="464"/>
      <c r="H146" s="464"/>
      <c r="I146" s="464"/>
      <c r="J146" s="464"/>
      <c r="K146" s="464"/>
      <c r="L146" s="464"/>
      <c r="M146" s="464"/>
      <c r="N146" s="464"/>
      <c r="O146" s="464"/>
      <c r="P146" s="464"/>
      <c r="Q146" s="464"/>
      <c r="R146" s="464"/>
      <c r="S146" s="464"/>
      <c r="T146" s="464"/>
      <c r="U146" s="464"/>
      <c r="V146" s="464"/>
      <c r="W146" s="464"/>
      <c r="X146" s="464"/>
      <c r="Y146" s="465"/>
      <c r="Z146" s="465"/>
      <c r="AA146" s="464"/>
      <c r="AB146" s="465"/>
      <c r="AC146" s="465"/>
      <c r="AD146" s="464"/>
      <c r="AE146" s="464"/>
      <c r="AF146" s="464"/>
      <c r="AG146" s="464"/>
      <c r="AH146" s="466"/>
    </row>
    <row r="147" spans="1:34" hidden="1" outlineLevel="1" x14ac:dyDescent="0.25">
      <c r="A147" s="1712"/>
      <c r="B147" s="385" t="s">
        <v>511</v>
      </c>
      <c r="C147" s="391">
        <f>SUM(D147:AG147)</f>
        <v>0</v>
      </c>
      <c r="D147" s="464"/>
      <c r="E147" s="464"/>
      <c r="F147" s="464"/>
      <c r="G147" s="464"/>
      <c r="H147" s="464"/>
      <c r="I147" s="464"/>
      <c r="J147" s="464"/>
      <c r="K147" s="464"/>
      <c r="L147" s="464"/>
      <c r="M147" s="464"/>
      <c r="N147" s="464"/>
      <c r="O147" s="464"/>
      <c r="P147" s="464"/>
      <c r="Q147" s="464"/>
      <c r="R147" s="464"/>
      <c r="S147" s="464"/>
      <c r="T147" s="464"/>
      <c r="U147" s="464"/>
      <c r="V147" s="464"/>
      <c r="W147" s="464"/>
      <c r="X147" s="464"/>
      <c r="Y147" s="465"/>
      <c r="Z147" s="465"/>
      <c r="AA147" s="464"/>
      <c r="AB147" s="465"/>
      <c r="AC147" s="465"/>
      <c r="AD147" s="464"/>
      <c r="AE147" s="464"/>
      <c r="AF147" s="464"/>
      <c r="AG147" s="464"/>
      <c r="AH147" s="466"/>
    </row>
    <row r="148" spans="1:34" hidden="1" outlineLevel="1" x14ac:dyDescent="0.25">
      <c r="A148" s="1712"/>
      <c r="B148" s="385" t="s">
        <v>484</v>
      </c>
      <c r="C148" s="391">
        <f>IFERROR(SUMPRODUCT(D147:AG147,D148:AG148)/C147,0)</f>
        <v>0</v>
      </c>
      <c r="D148" s="464"/>
      <c r="E148" s="464"/>
      <c r="F148" s="464"/>
      <c r="G148" s="464"/>
      <c r="H148" s="464"/>
      <c r="I148" s="464"/>
      <c r="J148" s="464"/>
      <c r="K148" s="464"/>
      <c r="L148" s="464"/>
      <c r="M148" s="464"/>
      <c r="N148" s="464"/>
      <c r="O148" s="464"/>
      <c r="P148" s="464"/>
      <c r="Q148" s="464"/>
      <c r="R148" s="464"/>
      <c r="S148" s="464"/>
      <c r="T148" s="464"/>
      <c r="U148" s="464"/>
      <c r="V148" s="464"/>
      <c r="W148" s="464"/>
      <c r="X148" s="464"/>
      <c r="Y148" s="465"/>
      <c r="Z148" s="465"/>
      <c r="AA148" s="464"/>
      <c r="AB148" s="465"/>
      <c r="AC148" s="465"/>
      <c r="AD148" s="464"/>
      <c r="AE148" s="464"/>
      <c r="AF148" s="464"/>
      <c r="AG148" s="464"/>
      <c r="AH148" s="466"/>
    </row>
    <row r="149" spans="1:34" hidden="1" outlineLevel="1" x14ac:dyDescent="0.25">
      <c r="A149" s="1712"/>
      <c r="B149" s="385" t="s">
        <v>511</v>
      </c>
      <c r="C149" s="391">
        <f>SUM(D149:AG149)</f>
        <v>0</v>
      </c>
      <c r="D149" s="464"/>
      <c r="E149" s="464"/>
      <c r="F149" s="464"/>
      <c r="G149" s="464"/>
      <c r="H149" s="464"/>
      <c r="I149" s="464"/>
      <c r="J149" s="464"/>
      <c r="K149" s="464"/>
      <c r="L149" s="464"/>
      <c r="M149" s="464"/>
      <c r="N149" s="464"/>
      <c r="O149" s="464"/>
      <c r="P149" s="464"/>
      <c r="Q149" s="464"/>
      <c r="R149" s="464"/>
      <c r="S149" s="464"/>
      <c r="T149" s="464"/>
      <c r="U149" s="464"/>
      <c r="V149" s="464"/>
      <c r="W149" s="464"/>
      <c r="X149" s="464"/>
      <c r="Y149" s="465"/>
      <c r="Z149" s="465"/>
      <c r="AA149" s="464"/>
      <c r="AB149" s="465"/>
      <c r="AC149" s="465"/>
      <c r="AD149" s="464"/>
      <c r="AE149" s="464"/>
      <c r="AF149" s="464"/>
      <c r="AG149" s="464"/>
      <c r="AH149" s="466"/>
    </row>
    <row r="150" spans="1:34" hidden="1" outlineLevel="1" x14ac:dyDescent="0.25">
      <c r="A150" s="1712"/>
      <c r="B150" s="385" t="s">
        <v>484</v>
      </c>
      <c r="C150" s="391">
        <f>IFERROR(SUMPRODUCT(D149:AG149,D150:AG150)/C149,0)</f>
        <v>0</v>
      </c>
      <c r="D150" s="464"/>
      <c r="E150" s="464"/>
      <c r="F150" s="464"/>
      <c r="G150" s="464"/>
      <c r="H150" s="464"/>
      <c r="I150" s="464"/>
      <c r="J150" s="464"/>
      <c r="K150" s="464"/>
      <c r="L150" s="464"/>
      <c r="M150" s="464"/>
      <c r="N150" s="464"/>
      <c r="O150" s="464"/>
      <c r="P150" s="464"/>
      <c r="Q150" s="464"/>
      <c r="R150" s="464"/>
      <c r="S150" s="464"/>
      <c r="T150" s="464"/>
      <c r="U150" s="464"/>
      <c r="V150" s="464"/>
      <c r="W150" s="464"/>
      <c r="X150" s="464"/>
      <c r="Y150" s="465"/>
      <c r="Z150" s="465"/>
      <c r="AA150" s="464"/>
      <c r="AB150" s="465"/>
      <c r="AC150" s="465"/>
      <c r="AD150" s="464"/>
      <c r="AE150" s="464"/>
      <c r="AF150" s="464"/>
      <c r="AG150" s="464"/>
      <c r="AH150" s="466"/>
    </row>
    <row r="151" spans="1:34" hidden="1" outlineLevel="1" x14ac:dyDescent="0.25">
      <c r="A151" s="1712"/>
      <c r="B151" s="385"/>
      <c r="C151" s="391">
        <f>SUM(D151:AG151)</f>
        <v>0</v>
      </c>
      <c r="D151" s="464"/>
      <c r="E151" s="464"/>
      <c r="F151" s="464"/>
      <c r="G151" s="464"/>
      <c r="H151" s="464"/>
      <c r="I151" s="464"/>
      <c r="J151" s="464"/>
      <c r="K151" s="464"/>
      <c r="L151" s="464"/>
      <c r="M151" s="464"/>
      <c r="N151" s="464"/>
      <c r="O151" s="464"/>
      <c r="P151" s="464"/>
      <c r="Q151" s="464"/>
      <c r="R151" s="464"/>
      <c r="S151" s="464"/>
      <c r="T151" s="464"/>
      <c r="U151" s="464"/>
      <c r="V151" s="464"/>
      <c r="W151" s="464"/>
      <c r="X151" s="464"/>
      <c r="Y151" s="465"/>
      <c r="Z151" s="465"/>
      <c r="AA151" s="464"/>
      <c r="AB151" s="465"/>
      <c r="AC151" s="465"/>
      <c r="AD151" s="464"/>
      <c r="AE151" s="464"/>
      <c r="AF151" s="464"/>
      <c r="AG151" s="464"/>
      <c r="AH151" s="466"/>
    </row>
    <row r="152" spans="1:34" hidden="1" outlineLevel="1" x14ac:dyDescent="0.25">
      <c r="A152" s="1712"/>
      <c r="B152" s="385"/>
      <c r="C152" s="391">
        <f>IFERROR(SUMPRODUCT(D151:AG151,D152:AG152)/C151,0)</f>
        <v>0</v>
      </c>
      <c r="D152" s="464"/>
      <c r="E152" s="464"/>
      <c r="F152" s="464"/>
      <c r="G152" s="464"/>
      <c r="H152" s="464"/>
      <c r="I152" s="464"/>
      <c r="J152" s="464"/>
      <c r="K152" s="464"/>
      <c r="L152" s="464"/>
      <c r="M152" s="464"/>
      <c r="N152" s="464"/>
      <c r="O152" s="464"/>
      <c r="P152" s="464"/>
      <c r="Q152" s="464"/>
      <c r="R152" s="464"/>
      <c r="S152" s="464"/>
      <c r="T152" s="464"/>
      <c r="U152" s="464"/>
      <c r="V152" s="464"/>
      <c r="W152" s="464"/>
      <c r="X152" s="464"/>
      <c r="Y152" s="465"/>
      <c r="Z152" s="465"/>
      <c r="AA152" s="464"/>
      <c r="AB152" s="465"/>
      <c r="AC152" s="465"/>
      <c r="AD152" s="464"/>
      <c r="AE152" s="464"/>
      <c r="AF152" s="464"/>
      <c r="AG152" s="464"/>
      <c r="AH152" s="466"/>
    </row>
    <row r="153" spans="1:34" hidden="1" outlineLevel="1" x14ac:dyDescent="0.25">
      <c r="A153" s="1712"/>
      <c r="B153" s="385"/>
      <c r="C153" s="391">
        <f>SUM(D153:AG153)</f>
        <v>0</v>
      </c>
      <c r="D153" s="464"/>
      <c r="E153" s="464"/>
      <c r="F153"/>
      <c r="G153" s="464"/>
      <c r="H153" s="464"/>
      <c r="I153" s="464"/>
      <c r="J153" s="464"/>
      <c r="K153" s="464"/>
      <c r="L153" s="464"/>
      <c r="M153" s="464"/>
      <c r="N153" s="464"/>
      <c r="O153" s="464"/>
      <c r="P153" s="464"/>
      <c r="Q153" s="464"/>
      <c r="R153" s="464"/>
      <c r="S153" s="464"/>
      <c r="T153" s="464"/>
      <c r="U153" s="464"/>
      <c r="V153" s="464"/>
      <c r="W153" s="464"/>
      <c r="X153" s="464"/>
      <c r="Y153" s="465"/>
      <c r="Z153" s="465"/>
      <c r="AA153" s="464"/>
      <c r="AB153" s="465"/>
      <c r="AC153" s="465"/>
      <c r="AD153" s="464"/>
      <c r="AE153" s="464"/>
      <c r="AF153" s="464"/>
      <c r="AG153" s="464"/>
      <c r="AH153" s="466"/>
    </row>
    <row r="154" spans="1:34" hidden="1" outlineLevel="1" x14ac:dyDescent="0.25">
      <c r="A154" s="1712"/>
      <c r="B154" s="385"/>
      <c r="C154" s="391">
        <f>IFERROR(SUMPRODUCT(D153:AG153,D154:AG154)/C153,0)</f>
        <v>0</v>
      </c>
      <c r="D154" s="464"/>
      <c r="E154" s="464"/>
      <c r="F154" s="464"/>
      <c r="G154" s="464"/>
      <c r="H154" s="464"/>
      <c r="I154" s="464"/>
      <c r="J154" s="464"/>
      <c r="K154" s="464"/>
      <c r="L154" s="464"/>
      <c r="M154" s="464"/>
      <c r="N154" s="464"/>
      <c r="O154" s="464"/>
      <c r="P154" s="464"/>
      <c r="Q154" s="464"/>
      <c r="R154" s="464"/>
      <c r="S154" s="464"/>
      <c r="T154" s="464"/>
      <c r="U154" s="464"/>
      <c r="V154" s="464"/>
      <c r="W154" s="464"/>
      <c r="X154" s="464"/>
      <c r="Y154" s="465"/>
      <c r="Z154" s="465"/>
      <c r="AA154" s="464"/>
      <c r="AB154" s="465"/>
      <c r="AC154" s="465"/>
      <c r="AD154" s="464"/>
      <c r="AE154" s="464"/>
      <c r="AF154" s="464"/>
      <c r="AG154" s="464"/>
      <c r="AH154" s="466"/>
    </row>
    <row r="155" spans="1:34" collapsed="1" x14ac:dyDescent="0.25">
      <c r="A155" s="1712" t="s">
        <v>516</v>
      </c>
      <c r="B155" s="385" t="s">
        <v>513</v>
      </c>
      <c r="C155" s="391">
        <f>SUM(D155:AG155)</f>
        <v>0</v>
      </c>
      <c r="D155" s="467">
        <f>+D141+D143+D145+D147+D149+D151+D153</f>
        <v>0</v>
      </c>
      <c r="E155" s="467">
        <f t="shared" ref="E155:AG155" si="24">+E141+E143+E145+E147+E149+E151+E153</f>
        <v>0</v>
      </c>
      <c r="F155" s="467">
        <f t="shared" si="24"/>
        <v>0</v>
      </c>
      <c r="G155" s="467">
        <f t="shared" si="24"/>
        <v>0</v>
      </c>
      <c r="H155" s="467">
        <f t="shared" si="24"/>
        <v>0</v>
      </c>
      <c r="I155" s="467">
        <f t="shared" si="24"/>
        <v>0</v>
      </c>
      <c r="J155" s="467">
        <f t="shared" si="24"/>
        <v>0</v>
      </c>
      <c r="K155" s="467">
        <f t="shared" si="24"/>
        <v>0</v>
      </c>
      <c r="L155" s="467">
        <f t="shared" si="24"/>
        <v>0</v>
      </c>
      <c r="M155" s="467">
        <f t="shared" si="24"/>
        <v>0</v>
      </c>
      <c r="N155" s="467">
        <f t="shared" si="24"/>
        <v>0</v>
      </c>
      <c r="O155" s="467">
        <f t="shared" si="24"/>
        <v>0</v>
      </c>
      <c r="P155" s="467">
        <f t="shared" si="24"/>
        <v>0</v>
      </c>
      <c r="Q155" s="467">
        <f t="shared" si="24"/>
        <v>0</v>
      </c>
      <c r="R155" s="467">
        <f t="shared" si="24"/>
        <v>0</v>
      </c>
      <c r="S155" s="467">
        <f t="shared" si="24"/>
        <v>0</v>
      </c>
      <c r="T155" s="467">
        <f t="shared" si="24"/>
        <v>0</v>
      </c>
      <c r="U155" s="467">
        <f t="shared" si="24"/>
        <v>0</v>
      </c>
      <c r="V155" s="467">
        <f t="shared" si="24"/>
        <v>0</v>
      </c>
      <c r="W155" s="467">
        <f t="shared" si="24"/>
        <v>0</v>
      </c>
      <c r="X155" s="467">
        <f t="shared" si="24"/>
        <v>0</v>
      </c>
      <c r="Y155" s="468">
        <f t="shared" si="24"/>
        <v>0</v>
      </c>
      <c r="Z155" s="468">
        <f t="shared" si="24"/>
        <v>0</v>
      </c>
      <c r="AA155" s="467">
        <f t="shared" si="24"/>
        <v>0</v>
      </c>
      <c r="AB155" s="468">
        <f t="shared" si="24"/>
        <v>0</v>
      </c>
      <c r="AC155" s="468">
        <f t="shared" si="24"/>
        <v>0</v>
      </c>
      <c r="AD155" s="467">
        <f t="shared" si="24"/>
        <v>0</v>
      </c>
      <c r="AE155" s="467">
        <f t="shared" si="24"/>
        <v>0</v>
      </c>
      <c r="AF155" s="467">
        <f t="shared" si="24"/>
        <v>0</v>
      </c>
      <c r="AG155" s="467">
        <f t="shared" si="24"/>
        <v>0</v>
      </c>
      <c r="AH155" s="469"/>
    </row>
    <row r="156" spans="1:34" x14ac:dyDescent="0.25">
      <c r="A156" s="1721" t="s">
        <v>516</v>
      </c>
      <c r="B156" s="429" t="s">
        <v>484</v>
      </c>
      <c r="C156" s="391">
        <f>IFERROR(SUMPRODUCT(D155:AG155,D156:AG156)/C155,0)</f>
        <v>0</v>
      </c>
      <c r="D156" s="505">
        <f>+IF(D155,(D141*D142+D143*D144+D145*D146+D147*D148+D149*D150+D151*D152+D153*D154)/D155,0)</f>
        <v>0</v>
      </c>
      <c r="E156" s="505">
        <f t="shared" ref="E156:AG156" si="25">+IF(E155,(E141*E142+E143*E144+E145*E146+E147*E148+E149*E150+E151*E152+E153*E154)/E155,0)</f>
        <v>0</v>
      </c>
      <c r="F156" s="505">
        <f t="shared" si="25"/>
        <v>0</v>
      </c>
      <c r="G156" s="505">
        <f t="shared" si="25"/>
        <v>0</v>
      </c>
      <c r="H156" s="505">
        <f t="shared" si="25"/>
        <v>0</v>
      </c>
      <c r="I156" s="505">
        <f t="shared" si="25"/>
        <v>0</v>
      </c>
      <c r="J156" s="505">
        <f t="shared" si="25"/>
        <v>0</v>
      </c>
      <c r="K156" s="505">
        <f t="shared" si="25"/>
        <v>0</v>
      </c>
      <c r="L156" s="505">
        <f t="shared" si="25"/>
        <v>0</v>
      </c>
      <c r="M156" s="505">
        <f t="shared" si="25"/>
        <v>0</v>
      </c>
      <c r="N156" s="505">
        <f t="shared" si="25"/>
        <v>0</v>
      </c>
      <c r="O156" s="505">
        <f t="shared" si="25"/>
        <v>0</v>
      </c>
      <c r="P156" s="505">
        <f t="shared" si="25"/>
        <v>0</v>
      </c>
      <c r="Q156" s="505">
        <f t="shared" si="25"/>
        <v>0</v>
      </c>
      <c r="R156" s="505">
        <f t="shared" si="25"/>
        <v>0</v>
      </c>
      <c r="S156" s="505">
        <f t="shared" si="25"/>
        <v>0</v>
      </c>
      <c r="T156" s="505">
        <f t="shared" si="25"/>
        <v>0</v>
      </c>
      <c r="U156" s="505">
        <f t="shared" si="25"/>
        <v>0</v>
      </c>
      <c r="V156" s="505">
        <f t="shared" si="25"/>
        <v>0</v>
      </c>
      <c r="W156" s="505">
        <f t="shared" si="25"/>
        <v>0</v>
      </c>
      <c r="X156" s="505">
        <f t="shared" si="25"/>
        <v>0</v>
      </c>
      <c r="Y156" s="506">
        <f t="shared" si="25"/>
        <v>0</v>
      </c>
      <c r="Z156" s="506">
        <f t="shared" si="25"/>
        <v>0</v>
      </c>
      <c r="AA156" s="505">
        <f t="shared" si="25"/>
        <v>0</v>
      </c>
      <c r="AB156" s="506">
        <f t="shared" si="25"/>
        <v>0</v>
      </c>
      <c r="AC156" s="506">
        <f t="shared" si="25"/>
        <v>0</v>
      </c>
      <c r="AD156" s="505">
        <f t="shared" si="25"/>
        <v>0</v>
      </c>
      <c r="AE156" s="505">
        <f t="shared" si="25"/>
        <v>0</v>
      </c>
      <c r="AF156" s="505">
        <f t="shared" si="25"/>
        <v>0</v>
      </c>
      <c r="AG156" s="505">
        <f t="shared" si="25"/>
        <v>0</v>
      </c>
      <c r="AH156" s="505"/>
    </row>
    <row r="157" spans="1:34" x14ac:dyDescent="0.25">
      <c r="A157" s="376"/>
      <c r="B157" s="376"/>
      <c r="C157" s="378"/>
      <c r="D157" s="507"/>
      <c r="E157" s="507"/>
      <c r="F157" s="507"/>
      <c r="G157" s="507"/>
      <c r="H157" s="507"/>
      <c r="I157" s="507"/>
      <c r="J157" s="507"/>
      <c r="K157" s="507"/>
      <c r="L157" s="507"/>
      <c r="M157" s="507"/>
      <c r="N157" s="507"/>
      <c r="O157" s="507"/>
      <c r="P157" s="507"/>
      <c r="Q157" s="507"/>
      <c r="R157" s="507"/>
      <c r="S157" s="507"/>
      <c r="T157" s="507"/>
      <c r="U157" s="507"/>
      <c r="V157" s="507"/>
      <c r="W157" s="507"/>
      <c r="X157" s="507"/>
      <c r="Y157" s="507"/>
      <c r="Z157" s="507"/>
      <c r="AA157" s="507"/>
      <c r="AB157" s="507"/>
      <c r="AC157" s="507"/>
      <c r="AD157" s="507"/>
      <c r="AE157" s="507"/>
      <c r="AF157" s="507"/>
      <c r="AG157" s="507"/>
      <c r="AH157" s="380"/>
    </row>
    <row r="158" spans="1:34" x14ac:dyDescent="0.25">
      <c r="A158" s="1730" t="s">
        <v>399</v>
      </c>
      <c r="B158" s="452" t="s">
        <v>511</v>
      </c>
      <c r="C158" s="508">
        <f>SUM(D158:AG158)</f>
        <v>0</v>
      </c>
      <c r="D158" s="455">
        <f>+D139+D97+D83+D155</f>
        <v>0</v>
      </c>
      <c r="E158" s="509">
        <f t="shared" ref="E158:AG158" si="26">+E139+E97+E83+E155</f>
        <v>0</v>
      </c>
      <c r="F158" s="455">
        <f t="shared" si="26"/>
        <v>0</v>
      </c>
      <c r="G158" s="455">
        <f t="shared" si="26"/>
        <v>0</v>
      </c>
      <c r="H158" s="455">
        <f t="shared" si="26"/>
        <v>0</v>
      </c>
      <c r="I158" s="455">
        <f t="shared" si="26"/>
        <v>0</v>
      </c>
      <c r="J158" s="455">
        <f t="shared" si="26"/>
        <v>0</v>
      </c>
      <c r="K158" s="455">
        <f t="shared" si="26"/>
        <v>0</v>
      </c>
      <c r="L158" s="455">
        <f t="shared" si="26"/>
        <v>0</v>
      </c>
      <c r="M158" s="455">
        <f t="shared" si="26"/>
        <v>0</v>
      </c>
      <c r="N158" s="455">
        <f t="shared" si="26"/>
        <v>0</v>
      </c>
      <c r="O158" s="455">
        <f t="shared" si="26"/>
        <v>0</v>
      </c>
      <c r="P158" s="455">
        <f t="shared" si="26"/>
        <v>0</v>
      </c>
      <c r="Q158" s="455">
        <f t="shared" si="26"/>
        <v>0</v>
      </c>
      <c r="R158" s="455">
        <f t="shared" si="26"/>
        <v>0</v>
      </c>
      <c r="S158" s="455">
        <f t="shared" si="26"/>
        <v>0</v>
      </c>
      <c r="T158" s="455">
        <f t="shared" si="26"/>
        <v>0</v>
      </c>
      <c r="U158" s="455">
        <f t="shared" si="26"/>
        <v>0</v>
      </c>
      <c r="V158" s="455">
        <f t="shared" si="26"/>
        <v>0</v>
      </c>
      <c r="W158" s="455">
        <f t="shared" si="26"/>
        <v>0</v>
      </c>
      <c r="X158" s="455">
        <f t="shared" si="26"/>
        <v>0</v>
      </c>
      <c r="Y158" s="510">
        <f t="shared" si="26"/>
        <v>0</v>
      </c>
      <c r="Z158" s="510">
        <f t="shared" si="26"/>
        <v>0</v>
      </c>
      <c r="AA158" s="455">
        <f t="shared" si="26"/>
        <v>0</v>
      </c>
      <c r="AB158" s="510">
        <f t="shared" si="26"/>
        <v>0</v>
      </c>
      <c r="AC158" s="510">
        <f t="shared" si="26"/>
        <v>0</v>
      </c>
      <c r="AD158" s="455">
        <f t="shared" si="26"/>
        <v>0</v>
      </c>
      <c r="AE158" s="455">
        <f t="shared" si="26"/>
        <v>0</v>
      </c>
      <c r="AF158" s="455">
        <f t="shared" si="26"/>
        <v>0</v>
      </c>
      <c r="AG158" s="455">
        <f t="shared" si="26"/>
        <v>0</v>
      </c>
      <c r="AH158" s="511"/>
    </row>
    <row r="159" spans="1:34" ht="15.75" thickBot="1" x14ac:dyDescent="0.3">
      <c r="A159" s="1731" t="s">
        <v>399</v>
      </c>
      <c r="B159" s="458" t="s">
        <v>484</v>
      </c>
      <c r="C159" s="459">
        <f>IFERROR(SUMPRODUCT(D158:AG158,D159:AG159)/C158,0)*50%</f>
        <v>0</v>
      </c>
      <c r="D159" s="460">
        <f>+IF(D158,(D83*D84+D97*D98+D139*D140+D155*D156)/D158,0)</f>
        <v>0</v>
      </c>
      <c r="E159" s="512">
        <f t="shared" ref="E159:AG159" si="27">+IF(E158,(E83*E84+E97*E98+E139*E140+E155*E156)/E158,0)</f>
        <v>0</v>
      </c>
      <c r="F159" s="460">
        <f t="shared" si="27"/>
        <v>0</v>
      </c>
      <c r="G159" s="460">
        <f t="shared" si="27"/>
        <v>0</v>
      </c>
      <c r="H159" s="460">
        <f t="shared" si="27"/>
        <v>0</v>
      </c>
      <c r="I159" s="460">
        <f t="shared" si="27"/>
        <v>0</v>
      </c>
      <c r="J159" s="460">
        <f t="shared" si="27"/>
        <v>0</v>
      </c>
      <c r="K159" s="460">
        <f t="shared" si="27"/>
        <v>0</v>
      </c>
      <c r="L159" s="460">
        <f t="shared" si="27"/>
        <v>0</v>
      </c>
      <c r="M159" s="460">
        <f t="shared" si="27"/>
        <v>0</v>
      </c>
      <c r="N159" s="460">
        <f t="shared" si="27"/>
        <v>0</v>
      </c>
      <c r="O159" s="460">
        <f t="shared" si="27"/>
        <v>0</v>
      </c>
      <c r="P159" s="460">
        <f t="shared" si="27"/>
        <v>0</v>
      </c>
      <c r="Q159" s="460">
        <f t="shared" si="27"/>
        <v>0</v>
      </c>
      <c r="R159" s="460">
        <f t="shared" si="27"/>
        <v>0</v>
      </c>
      <c r="S159" s="460">
        <f t="shared" si="27"/>
        <v>0</v>
      </c>
      <c r="T159" s="460">
        <f t="shared" si="27"/>
        <v>0</v>
      </c>
      <c r="U159" s="460">
        <f t="shared" si="27"/>
        <v>0</v>
      </c>
      <c r="V159" s="460">
        <f t="shared" si="27"/>
        <v>0</v>
      </c>
      <c r="W159" s="460">
        <f t="shared" si="27"/>
        <v>0</v>
      </c>
      <c r="X159" s="460">
        <f t="shared" si="27"/>
        <v>0</v>
      </c>
      <c r="Y159" s="461">
        <f t="shared" si="27"/>
        <v>0</v>
      </c>
      <c r="Z159" s="461">
        <f t="shared" si="27"/>
        <v>0</v>
      </c>
      <c r="AA159" s="460">
        <f t="shared" si="27"/>
        <v>0</v>
      </c>
      <c r="AB159" s="461">
        <f t="shared" si="27"/>
        <v>0</v>
      </c>
      <c r="AC159" s="461">
        <f t="shared" si="27"/>
        <v>0</v>
      </c>
      <c r="AD159" s="460">
        <f t="shared" si="27"/>
        <v>0</v>
      </c>
      <c r="AE159" s="460">
        <f t="shared" si="27"/>
        <v>0</v>
      </c>
      <c r="AF159" s="460">
        <f t="shared" si="27"/>
        <v>0</v>
      </c>
      <c r="AG159" s="460">
        <f t="shared" si="27"/>
        <v>0</v>
      </c>
      <c r="AH159" s="460"/>
    </row>
  </sheetData>
  <mergeCells count="76">
    <mergeCell ref="A151:A152"/>
    <mergeCell ref="A153:A154"/>
    <mergeCell ref="A155:A156"/>
    <mergeCell ref="A158:A159"/>
    <mergeCell ref="A139:A140"/>
    <mergeCell ref="A141:A142"/>
    <mergeCell ref="A143:A144"/>
    <mergeCell ref="A145:A146"/>
    <mergeCell ref="A147:A148"/>
    <mergeCell ref="A149:A150"/>
    <mergeCell ref="A137:A138"/>
    <mergeCell ref="A115:A116"/>
    <mergeCell ref="A117:A118"/>
    <mergeCell ref="A119:A120"/>
    <mergeCell ref="A121:A122"/>
    <mergeCell ref="A123:A124"/>
    <mergeCell ref="A125:A126"/>
    <mergeCell ref="A127:A128"/>
    <mergeCell ref="A129:A130"/>
    <mergeCell ref="A131:A132"/>
    <mergeCell ref="A133:A134"/>
    <mergeCell ref="A135:A136"/>
    <mergeCell ref="A113:A114"/>
    <mergeCell ref="A91:A92"/>
    <mergeCell ref="A93:A94"/>
    <mergeCell ref="A95:A96"/>
    <mergeCell ref="A97:A98"/>
    <mergeCell ref="A99:A100"/>
    <mergeCell ref="A101:A102"/>
    <mergeCell ref="A103:A104"/>
    <mergeCell ref="A105:A106"/>
    <mergeCell ref="A107:A108"/>
    <mergeCell ref="A109:A110"/>
    <mergeCell ref="A111:A112"/>
    <mergeCell ref="A89:A90"/>
    <mergeCell ref="A66:A67"/>
    <mergeCell ref="A68:A69"/>
    <mergeCell ref="A70:A71"/>
    <mergeCell ref="A72:A73"/>
    <mergeCell ref="A74:A75"/>
    <mergeCell ref="A77:A78"/>
    <mergeCell ref="A79:A80"/>
    <mergeCell ref="A81:A82"/>
    <mergeCell ref="A83:A84"/>
    <mergeCell ref="A85:A86"/>
    <mergeCell ref="A87:A88"/>
    <mergeCell ref="A64:A65"/>
    <mergeCell ref="A40:A41"/>
    <mergeCell ref="A42:A43"/>
    <mergeCell ref="A44:A45"/>
    <mergeCell ref="A46:A47"/>
    <mergeCell ref="A48:A49"/>
    <mergeCell ref="A50:A51"/>
    <mergeCell ref="A52:A53"/>
    <mergeCell ref="A56:A57"/>
    <mergeCell ref="A58:A59"/>
    <mergeCell ref="A60:A61"/>
    <mergeCell ref="A62:A63"/>
    <mergeCell ref="A38:A39"/>
    <mergeCell ref="A16:A17"/>
    <mergeCell ref="A18:A19"/>
    <mergeCell ref="A20:A21"/>
    <mergeCell ref="A22:A23"/>
    <mergeCell ref="A24:A25"/>
    <mergeCell ref="A26:A27"/>
    <mergeCell ref="A28:A29"/>
    <mergeCell ref="A30:A31"/>
    <mergeCell ref="A32:A33"/>
    <mergeCell ref="A34:A35"/>
    <mergeCell ref="A36:A37"/>
    <mergeCell ref="A14:A15"/>
    <mergeCell ref="A2:A3"/>
    <mergeCell ref="A6:A7"/>
    <mergeCell ref="A8:A9"/>
    <mergeCell ref="A10:A11"/>
    <mergeCell ref="A12:A1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9BAFE-64E6-4F97-B371-FD6A334ED9BD}">
  <dimension ref="A1:CQ115"/>
  <sheetViews>
    <sheetView zoomScale="50" zoomScaleNormal="50" workbookViewId="0">
      <pane xSplit="44" ySplit="17" topLeftCell="CP18" activePane="bottomRight" state="frozen"/>
      <selection pane="topRight" activeCell="AO1" sqref="AO1"/>
      <selection pane="bottomLeft" activeCell="A18" sqref="A18"/>
      <selection pane="bottomRight" activeCell="C39" sqref="C39"/>
    </sheetView>
  </sheetViews>
  <sheetFormatPr defaultColWidth="9.42578125" defaultRowHeight="13.5" outlineLevelCol="1" x14ac:dyDescent="0.25"/>
  <cols>
    <col min="1" max="2" width="9.42578125" style="202"/>
    <col min="3" max="3" width="12.5703125" style="202" customWidth="1"/>
    <col min="4" max="4" width="9.42578125" style="202"/>
    <col min="5" max="5" width="4" style="202" customWidth="1"/>
    <col min="6" max="6" width="10.42578125" style="207" customWidth="1"/>
    <col min="7" max="7" width="11.85546875" style="208" customWidth="1"/>
    <col min="8" max="8" width="9.42578125" style="208"/>
    <col min="9" max="9" width="10.42578125" style="202" customWidth="1"/>
    <col min="10" max="11" width="9.140625" style="202" customWidth="1"/>
    <col min="12" max="12" width="7.42578125" style="209" customWidth="1" outlineLevel="1"/>
    <col min="13" max="13" width="7.42578125" style="202" customWidth="1" outlineLevel="1"/>
    <col min="14" max="16" width="7.42578125" style="208" customWidth="1" outlineLevel="1"/>
    <col min="17" max="17" width="7.42578125" style="210" customWidth="1" outlineLevel="1"/>
    <col min="18" max="19" width="7.42578125" style="211" customWidth="1" outlineLevel="1"/>
    <col min="20" max="42" width="7.42578125" style="202" customWidth="1" outlineLevel="1"/>
    <col min="43" max="43" width="2" style="202" customWidth="1"/>
    <col min="44" max="45" width="30" style="313" customWidth="1"/>
    <col min="46" max="46" width="27.42578125" style="313" customWidth="1"/>
    <col min="47" max="74" width="9.42578125" style="202" outlineLevel="1"/>
    <col min="75" max="16384" width="9.42578125" style="202"/>
  </cols>
  <sheetData>
    <row r="1" spans="3:74" s="182" customFormat="1" ht="14.25" thickBot="1" x14ac:dyDescent="0.3">
      <c r="E1" s="1776"/>
      <c r="F1" s="1776"/>
      <c r="G1" s="226"/>
      <c r="H1" s="342"/>
      <c r="I1" s="184"/>
      <c r="J1" s="184"/>
      <c r="K1" s="184"/>
      <c r="L1" s="226"/>
      <c r="M1" s="226"/>
      <c r="N1" s="226"/>
      <c r="O1" s="226"/>
      <c r="P1" s="226"/>
      <c r="Q1" s="226"/>
      <c r="R1" s="226"/>
      <c r="S1" s="226"/>
      <c r="T1" s="226"/>
      <c r="U1" s="226"/>
      <c r="V1" s="226"/>
      <c r="W1" s="226"/>
      <c r="X1" s="226"/>
      <c r="Y1" s="226"/>
      <c r="Z1" s="226"/>
      <c r="AA1" s="226"/>
      <c r="AB1" s="226"/>
      <c r="AC1" s="226"/>
      <c r="AD1" s="226"/>
      <c r="AE1" s="226"/>
      <c r="AF1" s="226"/>
      <c r="AG1" s="226"/>
      <c r="AH1" s="226"/>
      <c r="AI1" s="226"/>
      <c r="AJ1" s="226"/>
      <c r="AK1" s="226"/>
      <c r="AL1" s="226"/>
      <c r="AM1" s="226"/>
      <c r="AN1" s="226"/>
      <c r="AO1" s="226"/>
      <c r="AP1" s="226"/>
      <c r="AQ1" s="226"/>
      <c r="AR1" s="300"/>
      <c r="AS1" s="300"/>
      <c r="AT1" s="300"/>
      <c r="AU1" s="226"/>
      <c r="AV1" s="226"/>
    </row>
    <row r="2" spans="3:74" s="182" customFormat="1" ht="15.75" thickBot="1" x14ac:dyDescent="0.3">
      <c r="E2" s="226"/>
      <c r="F2" s="183" t="s">
        <v>221</v>
      </c>
      <c r="G2" s="226"/>
      <c r="H2" s="552"/>
      <c r="I2" s="226"/>
      <c r="J2" s="226"/>
      <c r="K2" s="226"/>
      <c r="L2" s="1759" t="s">
        <v>310</v>
      </c>
      <c r="M2" s="1760"/>
      <c r="N2" s="226"/>
      <c r="O2" s="1759" t="s">
        <v>311</v>
      </c>
      <c r="P2" s="1760"/>
      <c r="Q2" s="1760"/>
      <c r="R2" s="1760"/>
      <c r="S2" s="226"/>
      <c r="T2" s="553" t="s">
        <v>312</v>
      </c>
      <c r="U2" s="555"/>
      <c r="V2" s="556"/>
      <c r="W2" s="226"/>
      <c r="X2" s="226"/>
      <c r="Y2" s="226"/>
      <c r="Z2" s="226"/>
      <c r="AA2" s="226"/>
      <c r="AB2" s="226"/>
      <c r="AC2" s="226"/>
      <c r="AD2" s="226"/>
      <c r="AE2" s="226"/>
      <c r="AF2" s="226"/>
      <c r="AG2" s="226"/>
      <c r="AH2" s="226"/>
      <c r="AI2" s="226"/>
      <c r="AJ2" s="226"/>
      <c r="AK2" s="226"/>
      <c r="AL2" s="226"/>
      <c r="AM2" s="226"/>
      <c r="AN2" s="226"/>
      <c r="AO2" s="226"/>
      <c r="AP2" s="226"/>
      <c r="AQ2" s="226"/>
      <c r="AR2" s="300"/>
      <c r="AS2" s="300"/>
      <c r="AT2" s="300"/>
      <c r="AU2" s="226"/>
      <c r="AV2" s="226"/>
    </row>
    <row r="3" spans="3:74" s="182" customFormat="1" ht="15" x14ac:dyDescent="0.25">
      <c r="E3" s="226"/>
      <c r="F3" s="557" t="s">
        <v>313</v>
      </c>
      <c r="G3" s="226"/>
      <c r="H3" s="342"/>
      <c r="I3" s="226"/>
      <c r="J3" s="226"/>
      <c r="K3" s="226"/>
      <c r="L3" s="1780" t="s">
        <v>314</v>
      </c>
      <c r="M3" s="1781"/>
      <c r="N3" s="226"/>
      <c r="O3" s="1761" t="s">
        <v>315</v>
      </c>
      <c r="P3" s="1762"/>
      <c r="Q3" s="1762"/>
      <c r="R3" s="1762"/>
      <c r="S3" s="226"/>
      <c r="T3" s="558" t="s">
        <v>517</v>
      </c>
      <c r="U3" s="559"/>
      <c r="V3" s="560"/>
      <c r="W3" s="226"/>
      <c r="X3" s="226"/>
      <c r="Y3" s="226"/>
      <c r="Z3" s="226"/>
      <c r="AA3" s="226"/>
      <c r="AB3" s="226"/>
      <c r="AC3" s="226"/>
      <c r="AD3" s="226"/>
      <c r="AE3" s="226"/>
      <c r="AF3" s="226"/>
      <c r="AG3" s="226"/>
      <c r="AH3" s="226"/>
      <c r="AI3" s="226"/>
      <c r="AJ3" s="226"/>
      <c r="AK3" s="226"/>
      <c r="AL3" s="226"/>
      <c r="AM3" s="226"/>
      <c r="AN3" s="226"/>
      <c r="AO3" s="226"/>
      <c r="AP3" s="226"/>
      <c r="AQ3" s="226"/>
      <c r="AR3" s="300"/>
      <c r="AS3" s="300"/>
      <c r="AT3" s="300"/>
      <c r="AU3" s="226"/>
      <c r="AV3" s="226"/>
    </row>
    <row r="4" spans="3:74" s="182" customFormat="1" ht="14.25" thickBot="1" x14ac:dyDescent="0.3">
      <c r="E4" s="226"/>
      <c r="F4" s="554" t="s">
        <v>317</v>
      </c>
      <c r="G4" s="226"/>
      <c r="H4" s="342"/>
      <c r="I4" s="226"/>
      <c r="J4" s="226"/>
      <c r="K4" s="226"/>
      <c r="L4" s="1782" t="s">
        <v>318</v>
      </c>
      <c r="M4" s="1783"/>
      <c r="N4" s="226"/>
      <c r="O4" s="1763" t="s">
        <v>518</v>
      </c>
      <c r="P4" s="1764"/>
      <c r="Q4" s="1764"/>
      <c r="R4" s="1764"/>
      <c r="S4" s="226"/>
      <c r="T4" s="561" t="s">
        <v>519</v>
      </c>
      <c r="U4" s="226"/>
      <c r="V4" s="562"/>
      <c r="W4" s="226"/>
      <c r="X4" s="226"/>
      <c r="Y4" s="226"/>
      <c r="Z4" s="226"/>
      <c r="AA4" s="226"/>
      <c r="AB4" s="226"/>
      <c r="AC4" s="226"/>
      <c r="AD4" s="226"/>
      <c r="AE4" s="226"/>
      <c r="AF4" s="226"/>
      <c r="AG4" s="226"/>
      <c r="AH4" s="226"/>
      <c r="AI4" s="226"/>
      <c r="AJ4" s="226"/>
      <c r="AK4" s="226"/>
      <c r="AL4" s="226"/>
      <c r="AM4" s="226"/>
      <c r="AN4" s="226"/>
      <c r="AO4" s="226"/>
      <c r="AP4" s="226"/>
      <c r="AQ4" s="226"/>
      <c r="AR4" s="300"/>
      <c r="AS4" s="300"/>
      <c r="AT4" s="300"/>
      <c r="AU4" s="226"/>
      <c r="AV4" s="226"/>
    </row>
    <row r="5" spans="3:74" s="182" customFormat="1" x14ac:dyDescent="0.25">
      <c r="E5" s="1776"/>
      <c r="F5" s="1776"/>
      <c r="G5" s="226"/>
      <c r="H5" s="342"/>
      <c r="I5" s="226"/>
      <c r="J5" s="226"/>
      <c r="K5" s="226"/>
      <c r="L5" s="226"/>
      <c r="M5" s="226"/>
      <c r="N5" s="226"/>
      <c r="O5" s="1755" t="s">
        <v>321</v>
      </c>
      <c r="P5" s="1756"/>
      <c r="Q5" s="1756"/>
      <c r="R5" s="1756"/>
      <c r="S5" s="226"/>
      <c r="T5" s="561" t="s">
        <v>520</v>
      </c>
      <c r="U5" s="226"/>
      <c r="V5" s="562"/>
      <c r="W5" s="226"/>
      <c r="X5" s="226"/>
      <c r="Y5" s="226"/>
      <c r="Z5" s="226"/>
      <c r="AA5" s="226"/>
      <c r="AB5" s="226"/>
      <c r="AC5" s="226"/>
      <c r="AD5" s="226"/>
      <c r="AE5" s="226"/>
      <c r="AF5" s="226"/>
      <c r="AG5" s="226"/>
      <c r="AH5" s="226"/>
      <c r="AI5" s="226"/>
      <c r="AJ5" s="226"/>
      <c r="AK5" s="226"/>
      <c r="AL5" s="226"/>
      <c r="AM5" s="226"/>
      <c r="AN5" s="226"/>
      <c r="AO5" s="226"/>
      <c r="AP5" s="226"/>
      <c r="AQ5" s="226"/>
      <c r="AR5" s="300"/>
      <c r="AS5" s="300"/>
      <c r="AT5" s="300"/>
      <c r="AU5" s="226"/>
      <c r="AV5" s="226"/>
    </row>
    <row r="6" spans="3:74" s="182" customFormat="1" ht="14.25" thickBot="1" x14ac:dyDescent="0.3">
      <c r="E6" s="226"/>
      <c r="F6" s="185" t="s">
        <v>323</v>
      </c>
      <c r="G6" s="563">
        <v>45689</v>
      </c>
      <c r="H6" s="342"/>
      <c r="I6" s="226"/>
      <c r="J6" s="226"/>
      <c r="K6" s="226"/>
      <c r="L6" s="226"/>
      <c r="M6" s="226"/>
      <c r="N6" s="226"/>
      <c r="O6" s="1757" t="s">
        <v>324</v>
      </c>
      <c r="P6" s="1758"/>
      <c r="Q6" s="1758"/>
      <c r="R6" s="1758"/>
      <c r="S6" s="226"/>
      <c r="T6" s="561" t="s">
        <v>521</v>
      </c>
      <c r="U6" s="226"/>
      <c r="V6" s="562"/>
      <c r="W6" s="226"/>
      <c r="X6" s="226"/>
      <c r="Y6" s="226"/>
      <c r="Z6" s="226"/>
      <c r="AA6" s="226"/>
      <c r="AB6" s="226"/>
      <c r="AC6" s="226"/>
      <c r="AD6" s="226"/>
      <c r="AE6" s="226"/>
      <c r="AF6" s="226"/>
      <c r="AG6" s="226"/>
      <c r="AH6" s="226"/>
      <c r="AI6" s="226"/>
      <c r="AJ6" s="226"/>
      <c r="AK6" s="226"/>
      <c r="AL6" s="226"/>
      <c r="AM6" s="226"/>
      <c r="AN6" s="226"/>
      <c r="AO6" s="226"/>
      <c r="AP6" s="226"/>
      <c r="AQ6" s="226"/>
      <c r="AR6" s="300"/>
      <c r="AS6" s="300"/>
      <c r="AT6" s="300"/>
      <c r="AU6" s="226"/>
      <c r="AV6" s="226"/>
    </row>
    <row r="7" spans="3:74" s="182" customFormat="1" ht="14.25" thickBot="1" x14ac:dyDescent="0.3">
      <c r="E7" s="226"/>
      <c r="F7" s="185" t="s">
        <v>326</v>
      </c>
      <c r="G7" s="564">
        <v>28</v>
      </c>
      <c r="H7" s="342"/>
      <c r="I7" s="184"/>
      <c r="J7" s="184"/>
      <c r="K7" s="184"/>
      <c r="L7" s="565"/>
      <c r="M7" s="552"/>
      <c r="N7" s="552"/>
      <c r="O7" s="226"/>
      <c r="P7" s="226"/>
      <c r="Q7" s="226"/>
      <c r="R7" s="226"/>
      <c r="S7" s="226"/>
      <c r="T7" s="566" t="s">
        <v>522</v>
      </c>
      <c r="U7" s="567"/>
      <c r="V7" s="568"/>
      <c r="W7" s="226"/>
      <c r="X7" s="226"/>
      <c r="Y7" s="226"/>
      <c r="Z7" s="226"/>
      <c r="AA7" s="226"/>
      <c r="AB7" s="226"/>
      <c r="AC7" s="226"/>
      <c r="AD7" s="226"/>
      <c r="AE7" s="226"/>
      <c r="AF7" s="226"/>
      <c r="AG7" s="226"/>
      <c r="AH7" s="226"/>
      <c r="AI7" s="226"/>
      <c r="AJ7" s="226"/>
      <c r="AK7" s="226"/>
      <c r="AL7" s="226"/>
      <c r="AM7" s="226"/>
      <c r="AN7" s="226"/>
      <c r="AO7" s="226"/>
      <c r="AP7" s="226"/>
      <c r="AQ7" s="226"/>
      <c r="AR7" s="300"/>
      <c r="AS7" s="300"/>
      <c r="AT7" s="300"/>
      <c r="AU7" s="226"/>
      <c r="AV7" s="226"/>
    </row>
    <row r="8" spans="3:74" s="182" customFormat="1" ht="14.25" thickBot="1" x14ac:dyDescent="0.3">
      <c r="E8" s="1776"/>
      <c r="F8" s="1776"/>
      <c r="G8" s="570"/>
      <c r="H8" s="571"/>
      <c r="I8" s="570"/>
      <c r="J8" s="570"/>
      <c r="K8" s="570"/>
      <c r="L8" s="570"/>
      <c r="M8" s="570"/>
      <c r="N8" s="570"/>
      <c r="O8" s="569"/>
      <c r="P8" s="226"/>
      <c r="Q8" s="226"/>
      <c r="R8" s="226"/>
      <c r="S8" s="226"/>
      <c r="T8" s="226"/>
      <c r="U8" s="226"/>
      <c r="V8" s="226"/>
      <c r="W8" s="226"/>
      <c r="X8" s="226"/>
      <c r="Y8" s="226"/>
      <c r="Z8" s="226"/>
      <c r="AA8" s="226"/>
      <c r="AB8" s="226"/>
      <c r="AC8" s="226"/>
      <c r="AD8" s="226"/>
      <c r="AE8" s="226"/>
      <c r="AF8" s="226"/>
      <c r="AG8" s="226"/>
      <c r="AH8" s="226"/>
      <c r="AI8" s="226"/>
      <c r="AJ8" s="226"/>
      <c r="AK8" s="226"/>
      <c r="AL8" s="226"/>
      <c r="AM8" s="226"/>
      <c r="AN8" s="226"/>
      <c r="AO8" s="226"/>
      <c r="AP8" s="226"/>
      <c r="AQ8" s="226"/>
      <c r="AR8" s="300"/>
      <c r="AS8" s="300"/>
      <c r="AT8" s="300"/>
      <c r="AU8" s="226"/>
      <c r="AV8" s="226"/>
    </row>
    <row r="9" spans="3:74" s="181" customFormat="1" ht="14.25" thickBot="1" x14ac:dyDescent="0.3">
      <c r="E9" s="552"/>
      <c r="F9" s="572" t="s">
        <v>269</v>
      </c>
      <c r="G9" s="186" t="s">
        <v>303</v>
      </c>
      <c r="H9" s="187" t="s">
        <v>32</v>
      </c>
      <c r="I9" s="188" t="s">
        <v>262</v>
      </c>
      <c r="J9" s="552"/>
      <c r="K9" s="573" t="s">
        <v>328</v>
      </c>
      <c r="L9" s="574">
        <v>1</v>
      </c>
      <c r="M9" s="575">
        <v>2</v>
      </c>
      <c r="N9" s="575">
        <v>3</v>
      </c>
      <c r="O9" s="575">
        <v>4</v>
      </c>
      <c r="P9" s="575">
        <v>5</v>
      </c>
      <c r="Q9" s="575">
        <v>6</v>
      </c>
      <c r="R9" s="575">
        <v>7</v>
      </c>
      <c r="S9" s="575">
        <v>8</v>
      </c>
      <c r="T9" s="576">
        <v>9</v>
      </c>
      <c r="U9" s="575">
        <v>10</v>
      </c>
      <c r="V9" s="575">
        <v>11</v>
      </c>
      <c r="W9" s="576">
        <v>12</v>
      </c>
      <c r="X9" s="576">
        <v>13</v>
      </c>
      <c r="Y9" s="575">
        <v>14</v>
      </c>
      <c r="Z9" s="575">
        <v>15</v>
      </c>
      <c r="AA9" s="575">
        <v>16</v>
      </c>
      <c r="AB9" s="575">
        <v>17</v>
      </c>
      <c r="AC9" s="575">
        <v>18</v>
      </c>
      <c r="AD9" s="575">
        <v>19</v>
      </c>
      <c r="AE9" s="575">
        <v>20</v>
      </c>
      <c r="AF9" s="575">
        <v>21</v>
      </c>
      <c r="AG9" s="575">
        <v>22</v>
      </c>
      <c r="AH9" s="575">
        <v>23</v>
      </c>
      <c r="AI9" s="575">
        <v>24</v>
      </c>
      <c r="AJ9" s="575">
        <v>25</v>
      </c>
      <c r="AK9" s="575">
        <v>26</v>
      </c>
      <c r="AL9" s="575">
        <v>27</v>
      </c>
      <c r="AM9" s="575">
        <v>28</v>
      </c>
      <c r="AN9" s="575">
        <v>29</v>
      </c>
      <c r="AO9" s="575">
        <v>30</v>
      </c>
      <c r="AP9" s="577">
        <v>31</v>
      </c>
      <c r="AQ9" s="552"/>
      <c r="AR9" s="330">
        <v>45689</v>
      </c>
      <c r="AS9" s="330"/>
      <c r="AT9" s="336" t="s">
        <v>481</v>
      </c>
      <c r="AU9" s="297">
        <v>45689</v>
      </c>
      <c r="AV9" s="297">
        <v>45690</v>
      </c>
      <c r="AW9" s="297">
        <v>45691</v>
      </c>
      <c r="AX9" s="297">
        <v>45692</v>
      </c>
      <c r="AY9" s="297">
        <v>45693</v>
      </c>
      <c r="AZ9" s="297">
        <v>45694</v>
      </c>
      <c r="BA9" s="297">
        <v>45695</v>
      </c>
      <c r="BB9" s="297">
        <v>45696</v>
      </c>
      <c r="BC9" s="297">
        <v>45697</v>
      </c>
      <c r="BD9" s="297">
        <v>45698</v>
      </c>
      <c r="BE9" s="297">
        <v>45699</v>
      </c>
      <c r="BF9" s="297">
        <v>45700</v>
      </c>
      <c r="BG9" s="297">
        <v>45701</v>
      </c>
      <c r="BH9" s="297">
        <v>45702</v>
      </c>
      <c r="BI9" s="297">
        <v>45703</v>
      </c>
      <c r="BJ9" s="297">
        <v>45704</v>
      </c>
      <c r="BK9" s="297">
        <v>45705</v>
      </c>
      <c r="BL9" s="297">
        <v>45706</v>
      </c>
      <c r="BM9" s="297">
        <v>45707</v>
      </c>
      <c r="BN9" s="297">
        <v>45708</v>
      </c>
      <c r="BO9" s="297">
        <v>45709</v>
      </c>
      <c r="BP9" s="297">
        <v>45710</v>
      </c>
      <c r="BQ9" s="297">
        <v>45711</v>
      </c>
      <c r="BR9" s="297">
        <v>45712</v>
      </c>
      <c r="BS9" s="297">
        <v>45713</v>
      </c>
      <c r="BT9" s="297">
        <v>45714</v>
      </c>
      <c r="BU9" s="297">
        <v>45715</v>
      </c>
      <c r="BV9" s="297">
        <v>45716</v>
      </c>
    </row>
    <row r="10" spans="3:74" s="182" customFormat="1" x14ac:dyDescent="0.25">
      <c r="E10" s="226"/>
      <c r="F10" s="578" t="s">
        <v>329</v>
      </c>
      <c r="G10" s="579">
        <v>25480</v>
      </c>
      <c r="H10" s="580">
        <v>24997</v>
      </c>
      <c r="I10" s="581">
        <v>-0.02</v>
      </c>
      <c r="J10" s="184"/>
      <c r="K10" s="582" t="s">
        <v>330</v>
      </c>
      <c r="L10" s="583">
        <v>910</v>
      </c>
      <c r="M10" s="584">
        <v>910</v>
      </c>
      <c r="N10" s="584">
        <v>910</v>
      </c>
      <c r="O10" s="584">
        <v>910</v>
      </c>
      <c r="P10" s="584">
        <v>910</v>
      </c>
      <c r="Q10" s="584">
        <v>910</v>
      </c>
      <c r="R10" s="584">
        <v>910</v>
      </c>
      <c r="S10" s="584">
        <v>910</v>
      </c>
      <c r="T10" s="584">
        <v>910</v>
      </c>
      <c r="U10" s="585">
        <v>910</v>
      </c>
      <c r="V10" s="585">
        <v>910</v>
      </c>
      <c r="W10" s="584">
        <v>910</v>
      </c>
      <c r="X10" s="584">
        <v>910</v>
      </c>
      <c r="Y10" s="584">
        <v>910</v>
      </c>
      <c r="Z10" s="584">
        <v>910</v>
      </c>
      <c r="AA10" s="584">
        <v>910</v>
      </c>
      <c r="AB10" s="584">
        <v>910</v>
      </c>
      <c r="AC10" s="584">
        <v>910</v>
      </c>
      <c r="AD10" s="584">
        <v>910</v>
      </c>
      <c r="AE10" s="584">
        <v>910</v>
      </c>
      <c r="AF10" s="584">
        <v>910</v>
      </c>
      <c r="AG10" s="584">
        <v>910</v>
      </c>
      <c r="AH10" s="584">
        <v>910</v>
      </c>
      <c r="AI10" s="584">
        <v>910</v>
      </c>
      <c r="AJ10" s="584">
        <v>910</v>
      </c>
      <c r="AK10" s="584">
        <v>910</v>
      </c>
      <c r="AL10" s="584">
        <v>910</v>
      </c>
      <c r="AM10" s="584">
        <v>910</v>
      </c>
      <c r="AN10" s="584" t="s">
        <v>360</v>
      </c>
      <c r="AO10" s="584" t="s">
        <v>360</v>
      </c>
      <c r="AP10" s="586" t="s">
        <v>360</v>
      </c>
      <c r="AQ10" s="226"/>
      <c r="AR10" s="300"/>
      <c r="AS10" s="300"/>
      <c r="AT10" s="335" t="s">
        <v>303</v>
      </c>
      <c r="AU10" s="298">
        <f>L10</f>
        <v>910</v>
      </c>
      <c r="AV10" s="298">
        <f t="shared" ref="AV10:BV10" si="0">AU10+M10</f>
        <v>1820</v>
      </c>
      <c r="AW10" s="298">
        <f t="shared" si="0"/>
        <v>2730</v>
      </c>
      <c r="AX10" s="298">
        <f t="shared" si="0"/>
        <v>3640</v>
      </c>
      <c r="AY10" s="298">
        <f t="shared" si="0"/>
        <v>4550</v>
      </c>
      <c r="AZ10" s="298">
        <f t="shared" si="0"/>
        <v>5460</v>
      </c>
      <c r="BA10" s="298">
        <f t="shared" si="0"/>
        <v>6370</v>
      </c>
      <c r="BB10" s="298">
        <f t="shared" si="0"/>
        <v>7280</v>
      </c>
      <c r="BC10" s="298">
        <f t="shared" si="0"/>
        <v>8190</v>
      </c>
      <c r="BD10" s="298">
        <f t="shared" si="0"/>
        <v>9100</v>
      </c>
      <c r="BE10" s="298">
        <f t="shared" si="0"/>
        <v>10010</v>
      </c>
      <c r="BF10" s="298">
        <f t="shared" si="0"/>
        <v>10920</v>
      </c>
      <c r="BG10" s="298">
        <f t="shared" si="0"/>
        <v>11830</v>
      </c>
      <c r="BH10" s="298">
        <f t="shared" si="0"/>
        <v>12740</v>
      </c>
      <c r="BI10" s="298">
        <f t="shared" si="0"/>
        <v>13650</v>
      </c>
      <c r="BJ10" s="298">
        <f t="shared" si="0"/>
        <v>14560</v>
      </c>
      <c r="BK10" s="298">
        <f t="shared" si="0"/>
        <v>15470</v>
      </c>
      <c r="BL10" s="298">
        <f t="shared" si="0"/>
        <v>16380</v>
      </c>
      <c r="BM10" s="298">
        <f t="shared" si="0"/>
        <v>17290</v>
      </c>
      <c r="BN10" s="298">
        <f t="shared" si="0"/>
        <v>18200</v>
      </c>
      <c r="BO10" s="298">
        <f t="shared" si="0"/>
        <v>19110</v>
      </c>
      <c r="BP10" s="298">
        <f t="shared" si="0"/>
        <v>20020</v>
      </c>
      <c r="BQ10" s="298">
        <f t="shared" si="0"/>
        <v>20930</v>
      </c>
      <c r="BR10" s="298">
        <f t="shared" si="0"/>
        <v>21840</v>
      </c>
      <c r="BS10" s="298">
        <f t="shared" si="0"/>
        <v>22750</v>
      </c>
      <c r="BT10" s="298">
        <f t="shared" si="0"/>
        <v>23660</v>
      </c>
      <c r="BU10" s="298">
        <f t="shared" si="0"/>
        <v>24570</v>
      </c>
      <c r="BV10" s="298">
        <f t="shared" si="0"/>
        <v>25480</v>
      </c>
    </row>
    <row r="11" spans="3:74" s="189" customFormat="1" ht="14.25" thickBot="1" x14ac:dyDescent="0.3">
      <c r="C11" s="351">
        <f>SUM(C19,C33,C40,C47,C54,C61,C68,C75,C82,C89,C96,C103)</f>
        <v>20547</v>
      </c>
      <c r="E11" s="184"/>
      <c r="F11" s="1454" t="s">
        <v>2</v>
      </c>
      <c r="G11" s="1455">
        <v>2.66</v>
      </c>
      <c r="H11" s="1456">
        <v>2.88</v>
      </c>
      <c r="I11" s="1553">
        <v>0.08</v>
      </c>
      <c r="J11" s="184"/>
      <c r="K11" s="573" t="s">
        <v>331</v>
      </c>
      <c r="L11" s="1457">
        <v>851</v>
      </c>
      <c r="M11" s="1447">
        <v>857</v>
      </c>
      <c r="N11" s="1447">
        <v>878</v>
      </c>
      <c r="O11" s="1446">
        <v>947</v>
      </c>
      <c r="P11" s="1446">
        <v>951</v>
      </c>
      <c r="Q11" s="1446">
        <v>949</v>
      </c>
      <c r="R11" s="1446">
        <v>979</v>
      </c>
      <c r="S11" s="1447">
        <v>899</v>
      </c>
      <c r="T11" s="1447">
        <v>869</v>
      </c>
      <c r="U11" s="1447">
        <v>804</v>
      </c>
      <c r="V11" s="1447">
        <v>753</v>
      </c>
      <c r="W11" s="1447">
        <v>740</v>
      </c>
      <c r="X11" s="1446">
        <v>939</v>
      </c>
      <c r="Y11" s="1446">
        <v>993</v>
      </c>
      <c r="Z11" s="1446">
        <v>991</v>
      </c>
      <c r="AA11" s="1446">
        <v>995</v>
      </c>
      <c r="AB11" s="1446">
        <v>989</v>
      </c>
      <c r="AC11" s="1446">
        <v>925</v>
      </c>
      <c r="AD11" s="1446">
        <v>947</v>
      </c>
      <c r="AE11" s="1447">
        <v>832</v>
      </c>
      <c r="AF11" s="1447">
        <v>850</v>
      </c>
      <c r="AG11" s="1447">
        <v>690</v>
      </c>
      <c r="AH11" s="1446">
        <v>948</v>
      </c>
      <c r="AI11" s="1447">
        <v>795</v>
      </c>
      <c r="AJ11" s="1447">
        <v>891</v>
      </c>
      <c r="AK11" s="1446">
        <v>915</v>
      </c>
      <c r="AL11" s="1446">
        <v>910</v>
      </c>
      <c r="AM11" s="1446">
        <v>910</v>
      </c>
      <c r="AN11" s="1448" t="s">
        <v>360</v>
      </c>
      <c r="AO11" s="1448" t="s">
        <v>360</v>
      </c>
      <c r="AP11" s="1458" t="s">
        <v>360</v>
      </c>
      <c r="AQ11" s="184"/>
      <c r="AR11" s="301"/>
      <c r="AS11" s="301"/>
      <c r="AT11" s="337" t="s">
        <v>32</v>
      </c>
      <c r="AU11" s="226">
        <f>L11</f>
        <v>851</v>
      </c>
      <c r="AV11" s="298">
        <f>AU11+M11</f>
        <v>1708</v>
      </c>
      <c r="AW11" s="298">
        <f>AV11+N11</f>
        <v>2586</v>
      </c>
      <c r="AX11" s="298">
        <f t="shared" ref="AX11" si="1">AW11+O11</f>
        <v>3533</v>
      </c>
      <c r="AY11" s="298">
        <f t="shared" ref="AY11" si="2">AX11+P11</f>
        <v>4484</v>
      </c>
      <c r="AZ11" s="298">
        <f t="shared" ref="AZ11" si="3">AY11+Q11</f>
        <v>5433</v>
      </c>
      <c r="BA11" s="298">
        <f t="shared" ref="BA11" si="4">AZ11+R11</f>
        <v>6412</v>
      </c>
      <c r="BB11" s="298">
        <f t="shared" ref="BB11" si="5">BA11+S11</f>
        <v>7311</v>
      </c>
      <c r="BC11" s="298">
        <f t="shared" ref="BC11" si="6">BB11+T11</f>
        <v>8180</v>
      </c>
      <c r="BD11" s="298">
        <f t="shared" ref="BD11" si="7">BC11+U11</f>
        <v>8984</v>
      </c>
      <c r="BE11" s="298">
        <f t="shared" ref="BE11" si="8">BD11+V11</f>
        <v>9737</v>
      </c>
      <c r="BF11" s="298">
        <f t="shared" ref="BF11" si="9">BE11+W11</f>
        <v>10477</v>
      </c>
      <c r="BG11" s="298">
        <f t="shared" ref="BG11" si="10">BF11+X11</f>
        <v>11416</v>
      </c>
      <c r="BH11" s="298">
        <f t="shared" ref="BH11" si="11">BG11+Y11</f>
        <v>12409</v>
      </c>
      <c r="BI11" s="298">
        <f t="shared" ref="BI11" si="12">BH11+Z11</f>
        <v>13400</v>
      </c>
      <c r="BJ11" s="298">
        <f t="shared" ref="BJ11" si="13">BI11+AA11</f>
        <v>14395</v>
      </c>
      <c r="BK11" s="298">
        <f t="shared" ref="BK11" si="14">BJ11+AB11</f>
        <v>15384</v>
      </c>
      <c r="BL11" s="298">
        <f t="shared" ref="BL11:BT11" si="15">BK11+AC11</f>
        <v>16309</v>
      </c>
      <c r="BM11" s="298">
        <f t="shared" si="15"/>
        <v>17256</v>
      </c>
      <c r="BN11" s="298">
        <f t="shared" si="15"/>
        <v>18088</v>
      </c>
      <c r="BO11" s="298">
        <f t="shared" si="15"/>
        <v>18938</v>
      </c>
      <c r="BP11" s="298">
        <f t="shared" si="15"/>
        <v>19628</v>
      </c>
      <c r="BQ11" s="298">
        <f t="shared" si="15"/>
        <v>20576</v>
      </c>
      <c r="BR11" s="298">
        <f t="shared" si="15"/>
        <v>21371</v>
      </c>
      <c r="BS11" s="298">
        <f t="shared" si="15"/>
        <v>22262</v>
      </c>
      <c r="BT11" s="298">
        <f t="shared" si="15"/>
        <v>23177</v>
      </c>
      <c r="BU11" s="202"/>
      <c r="BV11" s="202"/>
    </row>
    <row r="12" spans="3:74" s="190" customFormat="1" ht="15" customHeight="1" thickBot="1" x14ac:dyDescent="0.3">
      <c r="C12" s="190">
        <f>SUM(C19*C22,C33*C36,C40*C43,C47*C50,C54*C57,C61*C64,C68*C71,C75*C78,C82*C85,C89*C92,C96*C99,C103*C106)/C11</f>
        <v>2.3506671078220096</v>
      </c>
      <c r="E12" s="226"/>
      <c r="F12" s="1459" t="s">
        <v>3</v>
      </c>
      <c r="G12" s="1460">
        <v>67.900000000000006</v>
      </c>
      <c r="H12" s="1461">
        <v>71.900000000000006</v>
      </c>
      <c r="I12" s="1462">
        <v>0.06</v>
      </c>
      <c r="J12" s="226"/>
      <c r="K12" s="582" t="s">
        <v>332</v>
      </c>
      <c r="L12" s="587">
        <v>2.66</v>
      </c>
      <c r="M12" s="588">
        <v>2.66</v>
      </c>
      <c r="N12" s="588">
        <v>2.66</v>
      </c>
      <c r="O12" s="588">
        <v>2.66</v>
      </c>
      <c r="P12" s="588">
        <v>2.66</v>
      </c>
      <c r="Q12" s="588">
        <v>2.66</v>
      </c>
      <c r="R12" s="588">
        <v>2.66</v>
      </c>
      <c r="S12" s="588">
        <v>2.66</v>
      </c>
      <c r="T12" s="588">
        <v>2.66</v>
      </c>
      <c r="U12" s="589">
        <v>2.66</v>
      </c>
      <c r="V12" s="589">
        <v>2.66</v>
      </c>
      <c r="W12" s="588">
        <v>2.66</v>
      </c>
      <c r="X12" s="588">
        <v>2.66</v>
      </c>
      <c r="Y12" s="588">
        <v>2.66</v>
      </c>
      <c r="Z12" s="588">
        <v>2.66</v>
      </c>
      <c r="AA12" s="588">
        <v>2.66</v>
      </c>
      <c r="AB12" s="588">
        <v>2.66</v>
      </c>
      <c r="AC12" s="588">
        <v>2.66</v>
      </c>
      <c r="AD12" s="588">
        <v>2.66</v>
      </c>
      <c r="AE12" s="588">
        <v>2.66</v>
      </c>
      <c r="AF12" s="588">
        <v>2.66</v>
      </c>
      <c r="AG12" s="588">
        <v>2.66</v>
      </c>
      <c r="AH12" s="588">
        <v>2.66</v>
      </c>
      <c r="AI12" s="588">
        <v>2.66</v>
      </c>
      <c r="AJ12" s="588">
        <v>2.66</v>
      </c>
      <c r="AK12" s="588">
        <v>2.66</v>
      </c>
      <c r="AL12" s="588">
        <v>2.66</v>
      </c>
      <c r="AM12" s="588">
        <v>2.66</v>
      </c>
      <c r="AN12" s="588" t="s">
        <v>360</v>
      </c>
      <c r="AO12" s="588" t="s">
        <v>360</v>
      </c>
      <c r="AP12" s="590" t="s">
        <v>360</v>
      </c>
      <c r="AQ12" s="226"/>
      <c r="AR12" s="302"/>
      <c r="AS12" s="302"/>
      <c r="AT12" s="338" t="s">
        <v>523</v>
      </c>
      <c r="AU12" s="227"/>
      <c r="AV12" s="227"/>
      <c r="AW12" s="202"/>
      <c r="AX12" s="202"/>
      <c r="AY12" s="202"/>
      <c r="AZ12" s="202"/>
      <c r="BA12" s="202"/>
      <c r="BB12" s="202"/>
      <c r="BC12" s="202"/>
      <c r="BD12" s="202"/>
      <c r="BE12" s="202"/>
      <c r="BF12" s="202"/>
      <c r="BG12" s="202"/>
      <c r="BH12" s="202"/>
      <c r="BI12" s="202"/>
      <c r="BJ12" s="202"/>
      <c r="BK12" s="202"/>
      <c r="BL12" s="299"/>
      <c r="BM12" s="299"/>
      <c r="BN12" s="299"/>
      <c r="BO12" s="299"/>
      <c r="BP12" s="299"/>
      <c r="BQ12" s="299"/>
      <c r="BR12" s="299"/>
      <c r="BS12" s="299"/>
      <c r="BT12" s="299"/>
      <c r="BU12" s="299">
        <f>BT11+AL10</f>
        <v>24087</v>
      </c>
      <c r="BV12" s="299">
        <f>BU12+AM10</f>
        <v>24997</v>
      </c>
    </row>
    <row r="13" spans="3:74" s="191" customFormat="1" ht="15" customHeight="1" thickBot="1" x14ac:dyDescent="0.3">
      <c r="C13" s="191">
        <f>SUM(C24,C38,C45,C52,C59,C66,C73,C80,C87,C94,C101,C108)</f>
        <v>48.299157064418836</v>
      </c>
      <c r="E13" s="1777"/>
      <c r="F13" s="1777"/>
      <c r="G13" s="184"/>
      <c r="H13" s="184"/>
      <c r="I13" s="184"/>
      <c r="J13" s="184"/>
      <c r="K13" s="573" t="s">
        <v>333</v>
      </c>
      <c r="L13" s="1463">
        <v>3.64</v>
      </c>
      <c r="M13" s="1451">
        <v>3.74</v>
      </c>
      <c r="N13" s="1451">
        <v>3.12</v>
      </c>
      <c r="O13" s="1450">
        <v>2.19</v>
      </c>
      <c r="P13" s="1451">
        <v>3.07</v>
      </c>
      <c r="Q13" s="1451">
        <v>2.73</v>
      </c>
      <c r="R13" s="1451">
        <v>3.51</v>
      </c>
      <c r="S13" s="1451">
        <v>4.6399999999999997</v>
      </c>
      <c r="T13" s="1451">
        <v>4.6100000000000003</v>
      </c>
      <c r="U13" s="1451">
        <v>3.1</v>
      </c>
      <c r="V13" s="1451">
        <v>3.46</v>
      </c>
      <c r="W13" s="1450">
        <v>2.19</v>
      </c>
      <c r="X13" s="1451">
        <v>2.77</v>
      </c>
      <c r="Y13" s="1464">
        <v>1.9</v>
      </c>
      <c r="Z13" s="1464">
        <v>1.94</v>
      </c>
      <c r="AA13" s="1464">
        <v>1.92</v>
      </c>
      <c r="AB13" s="1450">
        <v>2.02</v>
      </c>
      <c r="AC13" s="1451">
        <v>3.04</v>
      </c>
      <c r="AD13" s="1450">
        <v>2.41</v>
      </c>
      <c r="AE13" s="1450">
        <v>2.08</v>
      </c>
      <c r="AF13" s="1450">
        <v>2.16</v>
      </c>
      <c r="AG13" s="1450">
        <v>2.0099999999999998</v>
      </c>
      <c r="AH13" s="1450">
        <v>2.41</v>
      </c>
      <c r="AI13" s="1451">
        <v>4.0999999999999996</v>
      </c>
      <c r="AJ13" s="1450">
        <v>2.63</v>
      </c>
      <c r="AK13" s="1451">
        <v>2.91</v>
      </c>
      <c r="AL13" s="1451">
        <v>3.39</v>
      </c>
      <c r="AM13" s="1451">
        <v>3.23</v>
      </c>
      <c r="AN13" s="1465" t="s">
        <v>360</v>
      </c>
      <c r="AO13" s="1465" t="s">
        <v>360</v>
      </c>
      <c r="AP13" s="1466" t="s">
        <v>360</v>
      </c>
      <c r="AQ13" s="184"/>
      <c r="AR13" s="303"/>
      <c r="AS13" s="303"/>
      <c r="AT13" s="303"/>
      <c r="AU13" s="184"/>
      <c r="AV13" s="184"/>
    </row>
    <row r="14" spans="3:74" s="192" customFormat="1" x14ac:dyDescent="0.25">
      <c r="E14" s="1776"/>
      <c r="F14" s="1776"/>
      <c r="G14" s="226"/>
      <c r="H14" s="226"/>
      <c r="I14" s="226"/>
      <c r="J14" s="226"/>
      <c r="K14" s="582" t="s">
        <v>334</v>
      </c>
      <c r="L14" s="583">
        <v>2.4</v>
      </c>
      <c r="M14" s="584">
        <v>2.4</v>
      </c>
      <c r="N14" s="584">
        <v>2.4</v>
      </c>
      <c r="O14" s="584">
        <v>2.4</v>
      </c>
      <c r="P14" s="584">
        <v>2.4</v>
      </c>
      <c r="Q14" s="584">
        <v>2.4</v>
      </c>
      <c r="R14" s="584">
        <v>2.4</v>
      </c>
      <c r="S14" s="584">
        <v>2.4</v>
      </c>
      <c r="T14" s="584">
        <v>2.4</v>
      </c>
      <c r="U14" s="585">
        <v>2.4</v>
      </c>
      <c r="V14" s="585">
        <v>2.4</v>
      </c>
      <c r="W14" s="584">
        <v>2.4</v>
      </c>
      <c r="X14" s="584">
        <v>2.4</v>
      </c>
      <c r="Y14" s="584">
        <v>2.4</v>
      </c>
      <c r="Z14" s="584">
        <v>2.4</v>
      </c>
      <c r="AA14" s="584">
        <v>2.4</v>
      </c>
      <c r="AB14" s="584">
        <v>2.4</v>
      </c>
      <c r="AC14" s="584">
        <v>2.4</v>
      </c>
      <c r="AD14" s="584">
        <v>2.4</v>
      </c>
      <c r="AE14" s="584">
        <v>2.4</v>
      </c>
      <c r="AF14" s="584">
        <v>2.4</v>
      </c>
      <c r="AG14" s="584">
        <v>2.4</v>
      </c>
      <c r="AH14" s="584">
        <v>2.4</v>
      </c>
      <c r="AI14" s="584">
        <v>2.4</v>
      </c>
      <c r="AJ14" s="584">
        <v>2.4</v>
      </c>
      <c r="AK14" s="584">
        <v>2.4</v>
      </c>
      <c r="AL14" s="584">
        <v>2.4</v>
      </c>
      <c r="AM14" s="584">
        <v>2.4</v>
      </c>
      <c r="AN14" s="584" t="s">
        <v>360</v>
      </c>
      <c r="AO14" s="584" t="s">
        <v>360</v>
      </c>
      <c r="AP14" s="586" t="s">
        <v>360</v>
      </c>
      <c r="AQ14" s="226"/>
      <c r="AR14" s="304"/>
      <c r="AS14" s="304"/>
      <c r="AT14" s="304"/>
      <c r="AU14" s="226"/>
      <c r="AV14" s="226"/>
    </row>
    <row r="15" spans="3:74" s="193" customFormat="1" ht="15" customHeight="1" thickBot="1" x14ac:dyDescent="0.3">
      <c r="E15" s="1777"/>
      <c r="F15" s="1777"/>
      <c r="G15" s="184"/>
      <c r="H15" s="184"/>
      <c r="I15" s="184"/>
      <c r="J15" s="184"/>
      <c r="K15" s="573" t="s">
        <v>335</v>
      </c>
      <c r="L15" s="1467">
        <v>3.1</v>
      </c>
      <c r="M15" s="1468">
        <v>3.2</v>
      </c>
      <c r="N15" s="1468">
        <v>2.7</v>
      </c>
      <c r="O15" s="1469">
        <v>2.1</v>
      </c>
      <c r="P15" s="1468">
        <v>2.9</v>
      </c>
      <c r="Q15" s="1468">
        <v>2.6</v>
      </c>
      <c r="R15" s="1468">
        <v>3.4</v>
      </c>
      <c r="S15" s="1468">
        <v>4.2</v>
      </c>
      <c r="T15" s="1468">
        <v>4</v>
      </c>
      <c r="U15" s="1468">
        <v>2.5</v>
      </c>
      <c r="V15" s="1468">
        <v>2.6</v>
      </c>
      <c r="W15" s="1469">
        <v>1.6</v>
      </c>
      <c r="X15" s="1468">
        <v>2.6</v>
      </c>
      <c r="Y15" s="1469">
        <v>1.9</v>
      </c>
      <c r="Z15" s="1469">
        <v>1.9</v>
      </c>
      <c r="AA15" s="1469">
        <v>1.9</v>
      </c>
      <c r="AB15" s="1469">
        <v>2</v>
      </c>
      <c r="AC15" s="1468">
        <v>2.8</v>
      </c>
      <c r="AD15" s="1469">
        <v>2.2999999999999998</v>
      </c>
      <c r="AE15" s="1469">
        <v>1.7</v>
      </c>
      <c r="AF15" s="1469">
        <v>1.8</v>
      </c>
      <c r="AG15" s="1469">
        <v>1.4</v>
      </c>
      <c r="AH15" s="1469">
        <v>2.2999999999999998</v>
      </c>
      <c r="AI15" s="1468">
        <v>3.3</v>
      </c>
      <c r="AJ15" s="1469">
        <v>2.2999999999999998</v>
      </c>
      <c r="AK15" s="1468">
        <v>2.7</v>
      </c>
      <c r="AL15" s="1468">
        <v>3.1</v>
      </c>
      <c r="AM15" s="1468">
        <v>2.9</v>
      </c>
      <c r="AN15" s="1470" t="s">
        <v>360</v>
      </c>
      <c r="AO15" s="1470" t="s">
        <v>360</v>
      </c>
      <c r="AP15" s="1471" t="s">
        <v>360</v>
      </c>
      <c r="AQ15" s="184"/>
      <c r="AR15" s="305"/>
      <c r="AS15" s="305"/>
      <c r="AT15" s="305"/>
      <c r="AU15" s="184"/>
      <c r="AV15" s="184"/>
    </row>
    <row r="16" spans="3:74" s="182" customFormat="1" ht="14.25" thickBot="1" x14ac:dyDescent="0.3">
      <c r="E16" s="1784"/>
      <c r="F16" s="1784"/>
      <c r="G16" s="226"/>
      <c r="H16" s="342"/>
      <c r="I16" s="184"/>
      <c r="J16" s="184"/>
      <c r="K16" s="184"/>
      <c r="L16" s="552"/>
      <c r="M16" s="552"/>
      <c r="N16" s="552"/>
      <c r="O16" s="226"/>
      <c r="P16" s="226"/>
      <c r="Q16" s="226"/>
      <c r="R16" s="226"/>
      <c r="S16" s="226"/>
      <c r="T16" s="226"/>
      <c r="U16" s="226"/>
      <c r="V16" s="226"/>
      <c r="W16" s="226"/>
      <c r="X16" s="226"/>
      <c r="Y16" s="226"/>
      <c r="Z16" s="226"/>
      <c r="AA16" s="226"/>
      <c r="AB16" s="226"/>
      <c r="AC16" s="226"/>
      <c r="AD16" s="226"/>
      <c r="AE16" s="226"/>
      <c r="AF16" s="226"/>
      <c r="AG16" s="226"/>
      <c r="AH16" s="226"/>
      <c r="AI16" s="226"/>
      <c r="AJ16" s="226"/>
      <c r="AK16" s="226"/>
      <c r="AL16" s="226"/>
      <c r="AM16" s="226"/>
      <c r="AN16" s="226"/>
      <c r="AO16" s="226"/>
      <c r="AP16" s="226"/>
      <c r="AQ16" s="226"/>
      <c r="AR16" s="300"/>
      <c r="AS16" s="300"/>
      <c r="AT16" s="300"/>
      <c r="AU16" s="226"/>
      <c r="AV16" s="226"/>
    </row>
    <row r="17" spans="1:95" s="189" customFormat="1" ht="14.25" thickBot="1" x14ac:dyDescent="0.3">
      <c r="A17" s="189" t="s">
        <v>524</v>
      </c>
      <c r="E17" s="591">
        <v>12</v>
      </c>
      <c r="F17" s="228" t="s">
        <v>336</v>
      </c>
      <c r="G17" s="229" t="s">
        <v>337</v>
      </c>
      <c r="H17" s="1778"/>
      <c r="I17" s="1779"/>
      <c r="J17" s="592" t="s">
        <v>269</v>
      </c>
      <c r="K17" s="593" t="s">
        <v>338</v>
      </c>
      <c r="L17" s="230">
        <v>45689</v>
      </c>
      <c r="M17" s="231">
        <v>45690</v>
      </c>
      <c r="N17" s="231">
        <v>45691</v>
      </c>
      <c r="O17" s="232">
        <v>45692</v>
      </c>
      <c r="P17" s="232">
        <v>45693</v>
      </c>
      <c r="Q17" s="232">
        <v>45694</v>
      </c>
      <c r="R17" s="232">
        <v>45695</v>
      </c>
      <c r="S17" s="232">
        <v>45696</v>
      </c>
      <c r="T17" s="232">
        <v>45697</v>
      </c>
      <c r="U17" s="233">
        <v>45698</v>
      </c>
      <c r="V17" s="233">
        <v>45699</v>
      </c>
      <c r="W17" s="232">
        <v>45700</v>
      </c>
      <c r="X17" s="232">
        <v>45701</v>
      </c>
      <c r="Y17" s="232">
        <v>45702</v>
      </c>
      <c r="Z17" s="232">
        <v>45703</v>
      </c>
      <c r="AA17" s="232">
        <v>45704</v>
      </c>
      <c r="AB17" s="232">
        <v>45705</v>
      </c>
      <c r="AC17" s="232">
        <v>45706</v>
      </c>
      <c r="AD17" s="232">
        <v>45707</v>
      </c>
      <c r="AE17" s="232">
        <v>45708</v>
      </c>
      <c r="AF17" s="232">
        <v>45709</v>
      </c>
      <c r="AG17" s="232">
        <v>45710</v>
      </c>
      <c r="AH17" s="232">
        <v>45711</v>
      </c>
      <c r="AI17" s="232">
        <v>45712</v>
      </c>
      <c r="AJ17" s="232">
        <v>45713</v>
      </c>
      <c r="AK17" s="232">
        <v>45714</v>
      </c>
      <c r="AL17" s="232">
        <v>45715</v>
      </c>
      <c r="AM17" s="232">
        <v>45716</v>
      </c>
      <c r="AN17" s="592" t="s">
        <v>525</v>
      </c>
      <c r="AO17" s="592" t="s">
        <v>525</v>
      </c>
      <c r="AP17" s="594" t="s">
        <v>525</v>
      </c>
      <c r="AQ17" s="595" t="s">
        <v>339</v>
      </c>
      <c r="AR17" s="306" t="s">
        <v>339</v>
      </c>
      <c r="AS17" s="331" t="s">
        <v>339</v>
      </c>
      <c r="AT17" s="331"/>
      <c r="AU17" s="297">
        <f t="shared" ref="AU17:BV17" si="16">L17</f>
        <v>45689</v>
      </c>
      <c r="AV17" s="297">
        <f t="shared" si="16"/>
        <v>45690</v>
      </c>
      <c r="AW17" s="297">
        <f t="shared" si="16"/>
        <v>45691</v>
      </c>
      <c r="AX17" s="297">
        <f t="shared" si="16"/>
        <v>45692</v>
      </c>
      <c r="AY17" s="297">
        <f t="shared" si="16"/>
        <v>45693</v>
      </c>
      <c r="AZ17" s="297">
        <f t="shared" si="16"/>
        <v>45694</v>
      </c>
      <c r="BA17" s="297">
        <f t="shared" si="16"/>
        <v>45695</v>
      </c>
      <c r="BB17" s="297">
        <f t="shared" si="16"/>
        <v>45696</v>
      </c>
      <c r="BC17" s="297">
        <f t="shared" si="16"/>
        <v>45697</v>
      </c>
      <c r="BD17" s="297">
        <f t="shared" si="16"/>
        <v>45698</v>
      </c>
      <c r="BE17" s="297">
        <f t="shared" si="16"/>
        <v>45699</v>
      </c>
      <c r="BF17" s="297">
        <f t="shared" si="16"/>
        <v>45700</v>
      </c>
      <c r="BG17" s="297">
        <f t="shared" si="16"/>
        <v>45701</v>
      </c>
      <c r="BH17" s="297">
        <f t="shared" si="16"/>
        <v>45702</v>
      </c>
      <c r="BI17" s="297">
        <f t="shared" si="16"/>
        <v>45703</v>
      </c>
      <c r="BJ17" s="297">
        <f t="shared" si="16"/>
        <v>45704</v>
      </c>
      <c r="BK17" s="297">
        <f t="shared" si="16"/>
        <v>45705</v>
      </c>
      <c r="BL17" s="297">
        <f t="shared" si="16"/>
        <v>45706</v>
      </c>
      <c r="BM17" s="297">
        <f t="shared" si="16"/>
        <v>45707</v>
      </c>
      <c r="BN17" s="297">
        <f t="shared" si="16"/>
        <v>45708</v>
      </c>
      <c r="BO17" s="297">
        <f t="shared" si="16"/>
        <v>45709</v>
      </c>
      <c r="BP17" s="297">
        <f t="shared" si="16"/>
        <v>45710</v>
      </c>
      <c r="BQ17" s="297">
        <f t="shared" si="16"/>
        <v>45711</v>
      </c>
      <c r="BR17" s="297">
        <f t="shared" si="16"/>
        <v>45712</v>
      </c>
      <c r="BS17" s="297">
        <f t="shared" si="16"/>
        <v>45713</v>
      </c>
      <c r="BT17" s="297">
        <f t="shared" si="16"/>
        <v>45714</v>
      </c>
      <c r="BU17" s="297">
        <f t="shared" si="16"/>
        <v>45715</v>
      </c>
      <c r="BV17" s="297">
        <f t="shared" si="16"/>
        <v>45716</v>
      </c>
      <c r="BW17" s="297"/>
      <c r="BX17" s="297"/>
      <c r="BY17" s="297"/>
      <c r="BZ17" s="297"/>
      <c r="CA17" s="297"/>
      <c r="CB17" s="297"/>
      <c r="CC17" s="297"/>
      <c r="CD17" s="297"/>
      <c r="CE17" s="297"/>
      <c r="CF17" s="297"/>
      <c r="CG17" s="297"/>
      <c r="CH17" s="297"/>
      <c r="CI17" s="297"/>
      <c r="CJ17" s="297"/>
      <c r="CK17" s="297"/>
      <c r="CL17" s="297"/>
      <c r="CM17" s="297"/>
      <c r="CN17" s="297"/>
      <c r="CO17" s="297"/>
      <c r="CP17" s="297"/>
      <c r="CQ17" s="297"/>
    </row>
    <row r="18" spans="1:95" s="194" customFormat="1" ht="14.45" customHeight="1" x14ac:dyDescent="0.25">
      <c r="A18" s="1753" t="s">
        <v>526</v>
      </c>
      <c r="B18" s="194">
        <v>0</v>
      </c>
      <c r="C18" s="353">
        <f>J18</f>
        <v>1960</v>
      </c>
      <c r="E18" s="226"/>
      <c r="F18" s="1765"/>
      <c r="G18" s="1768" t="s">
        <v>527</v>
      </c>
      <c r="H18" s="1771" t="s">
        <v>340</v>
      </c>
      <c r="I18" s="596" t="s">
        <v>341</v>
      </c>
      <c r="J18" s="597">
        <v>1960</v>
      </c>
      <c r="K18" s="598"/>
      <c r="L18" s="599">
        <v>70</v>
      </c>
      <c r="M18" s="599">
        <v>70</v>
      </c>
      <c r="N18" s="599">
        <v>70</v>
      </c>
      <c r="O18" s="600">
        <v>70</v>
      </c>
      <c r="P18" s="600">
        <v>70</v>
      </c>
      <c r="Q18" s="600">
        <v>70</v>
      </c>
      <c r="R18" s="600">
        <v>70</v>
      </c>
      <c r="S18" s="600">
        <v>70</v>
      </c>
      <c r="T18" s="601">
        <v>70</v>
      </c>
      <c r="U18" s="600">
        <v>70</v>
      </c>
      <c r="V18" s="600">
        <v>70</v>
      </c>
      <c r="W18" s="600">
        <v>70</v>
      </c>
      <c r="X18" s="600">
        <v>70</v>
      </c>
      <c r="Y18" s="600">
        <v>70</v>
      </c>
      <c r="Z18" s="600">
        <v>70</v>
      </c>
      <c r="AA18" s="600">
        <v>70</v>
      </c>
      <c r="AB18" s="600">
        <v>70</v>
      </c>
      <c r="AC18" s="600">
        <v>70</v>
      </c>
      <c r="AD18" s="600">
        <v>70</v>
      </c>
      <c r="AE18" s="600">
        <v>70</v>
      </c>
      <c r="AF18" s="600">
        <v>70</v>
      </c>
      <c r="AG18" s="600">
        <v>70</v>
      </c>
      <c r="AH18" s="600">
        <v>70</v>
      </c>
      <c r="AI18" s="600">
        <v>70</v>
      </c>
      <c r="AJ18" s="600">
        <v>70</v>
      </c>
      <c r="AK18" s="600">
        <v>70</v>
      </c>
      <c r="AL18" s="600">
        <v>70</v>
      </c>
      <c r="AM18" s="600">
        <v>70</v>
      </c>
      <c r="AN18" s="600" t="s">
        <v>468</v>
      </c>
      <c r="AO18" s="600" t="s">
        <v>468</v>
      </c>
      <c r="AP18" s="602" t="s">
        <v>468</v>
      </c>
      <c r="AQ18" s="603"/>
      <c r="AR18" s="307"/>
      <c r="AS18" s="1754" t="s">
        <v>528</v>
      </c>
      <c r="AT18" s="332"/>
      <c r="AU18" s="226">
        <f>L18</f>
        <v>70</v>
      </c>
      <c r="AV18" s="298">
        <f t="shared" ref="AV18:BV18" si="17">AU18+M18</f>
        <v>140</v>
      </c>
      <c r="AW18" s="298">
        <f t="shared" si="17"/>
        <v>210</v>
      </c>
      <c r="AX18" s="298">
        <f t="shared" si="17"/>
        <v>280</v>
      </c>
      <c r="AY18" s="298">
        <f t="shared" si="17"/>
        <v>350</v>
      </c>
      <c r="AZ18" s="298">
        <f t="shared" si="17"/>
        <v>420</v>
      </c>
      <c r="BA18" s="298">
        <f t="shared" si="17"/>
        <v>490</v>
      </c>
      <c r="BB18" s="298">
        <f t="shared" si="17"/>
        <v>560</v>
      </c>
      <c r="BC18" s="298">
        <f t="shared" si="17"/>
        <v>630</v>
      </c>
      <c r="BD18" s="298">
        <f t="shared" si="17"/>
        <v>700</v>
      </c>
      <c r="BE18" s="298">
        <f t="shared" si="17"/>
        <v>770</v>
      </c>
      <c r="BF18" s="298">
        <f t="shared" si="17"/>
        <v>840</v>
      </c>
      <c r="BG18" s="298">
        <f t="shared" si="17"/>
        <v>910</v>
      </c>
      <c r="BH18" s="298">
        <f t="shared" si="17"/>
        <v>980</v>
      </c>
      <c r="BI18" s="298">
        <f t="shared" si="17"/>
        <v>1050</v>
      </c>
      <c r="BJ18" s="298">
        <f t="shared" si="17"/>
        <v>1120</v>
      </c>
      <c r="BK18" s="298">
        <f t="shared" si="17"/>
        <v>1190</v>
      </c>
      <c r="BL18" s="298">
        <f t="shared" si="17"/>
        <v>1260</v>
      </c>
      <c r="BM18" s="298">
        <f t="shared" si="17"/>
        <v>1330</v>
      </c>
      <c r="BN18" s="298">
        <f t="shared" si="17"/>
        <v>1400</v>
      </c>
      <c r="BO18" s="298">
        <f t="shared" si="17"/>
        <v>1470</v>
      </c>
      <c r="BP18" s="298">
        <f t="shared" si="17"/>
        <v>1540</v>
      </c>
      <c r="BQ18" s="298">
        <f t="shared" si="17"/>
        <v>1610</v>
      </c>
      <c r="BR18" s="298">
        <f t="shared" si="17"/>
        <v>1680</v>
      </c>
      <c r="BS18" s="298">
        <f t="shared" si="17"/>
        <v>1750</v>
      </c>
      <c r="BT18" s="298">
        <f t="shared" si="17"/>
        <v>1820</v>
      </c>
      <c r="BU18" s="298">
        <f t="shared" si="17"/>
        <v>1890</v>
      </c>
      <c r="BV18" s="298">
        <f t="shared" si="17"/>
        <v>1960</v>
      </c>
    </row>
    <row r="19" spans="1:95" ht="14.25" customHeight="1" x14ac:dyDescent="0.25">
      <c r="A19" s="1753"/>
      <c r="B19" s="202">
        <f>'February 25 D_R (Tramming)'!F19</f>
        <v>6576</v>
      </c>
      <c r="C19" s="352">
        <f>(J19/(J19+J26))*B19</f>
        <v>1397.7798314759445</v>
      </c>
      <c r="D19" s="349">
        <f>(C19-J19)/C19</f>
        <v>-0.11891727493917276</v>
      </c>
      <c r="E19" s="226"/>
      <c r="F19" s="1766"/>
      <c r="G19" s="1769"/>
      <c r="H19" s="1772"/>
      <c r="I19" s="1472" t="s">
        <v>342</v>
      </c>
      <c r="J19" s="1473">
        <v>1564</v>
      </c>
      <c r="K19" s="1474">
        <v>-0.2</v>
      </c>
      <c r="L19" s="1433"/>
      <c r="M19" s="1434"/>
      <c r="N19" s="1434"/>
      <c r="O19" s="1434"/>
      <c r="P19" s="1434"/>
      <c r="Q19" s="1434"/>
      <c r="R19" s="1434"/>
      <c r="S19" s="1434"/>
      <c r="T19" s="1434"/>
      <c r="U19" s="1434"/>
      <c r="V19" s="1434">
        <v>20</v>
      </c>
      <c r="W19" s="1434"/>
      <c r="X19" s="1435">
        <v>83</v>
      </c>
      <c r="Y19" s="1434">
        <v>54</v>
      </c>
      <c r="Z19" s="1434">
        <v>59</v>
      </c>
      <c r="AA19" s="1434">
        <v>69</v>
      </c>
      <c r="AB19" s="1435">
        <v>90</v>
      </c>
      <c r="AC19" s="1435">
        <v>92</v>
      </c>
      <c r="AD19" s="1435">
        <v>115</v>
      </c>
      <c r="AE19" s="1435">
        <v>85</v>
      </c>
      <c r="AF19" s="1435">
        <v>78</v>
      </c>
      <c r="AG19" s="1435">
        <v>148</v>
      </c>
      <c r="AH19" s="1435">
        <v>83</v>
      </c>
      <c r="AI19" s="1434">
        <v>68</v>
      </c>
      <c r="AJ19" s="1435">
        <v>119</v>
      </c>
      <c r="AK19" s="1435">
        <v>134</v>
      </c>
      <c r="AL19" s="1435">
        <v>95</v>
      </c>
      <c r="AM19" s="1435">
        <v>172</v>
      </c>
      <c r="AN19" s="1436"/>
      <c r="AO19" s="1436"/>
      <c r="AP19" s="1436"/>
      <c r="AQ19" s="604"/>
      <c r="AR19" s="308"/>
      <c r="AS19" s="1754"/>
      <c r="AU19" s="226">
        <f>L19</f>
        <v>0</v>
      </c>
      <c r="AV19" s="298">
        <f>AU19+M19</f>
        <v>0</v>
      </c>
      <c r="AW19" s="298">
        <f>AV19+N19</f>
        <v>0</v>
      </c>
      <c r="AX19" s="298">
        <f t="shared" ref="AX19" si="18">AW19+O19</f>
        <v>0</v>
      </c>
      <c r="AY19" s="298">
        <f t="shared" ref="AY19" si="19">AX19+P19</f>
        <v>0</v>
      </c>
      <c r="AZ19" s="298">
        <f t="shared" ref="AZ19" si="20">AY19+Q19</f>
        <v>0</v>
      </c>
      <c r="BA19" s="298">
        <f t="shared" ref="BA19" si="21">AZ19+R19</f>
        <v>0</v>
      </c>
      <c r="BB19" s="298">
        <f t="shared" ref="BB19" si="22">BA19+S19</f>
        <v>0</v>
      </c>
      <c r="BC19" s="298">
        <f t="shared" ref="BC19" si="23">BB19+T19</f>
        <v>0</v>
      </c>
      <c r="BD19" s="298">
        <f t="shared" ref="BD19" si="24">BC19+U19</f>
        <v>0</v>
      </c>
      <c r="BE19" s="298">
        <f t="shared" ref="BE19" si="25">BD19+V19</f>
        <v>20</v>
      </c>
      <c r="BF19" s="298">
        <f t="shared" ref="BF19" si="26">BE19+W19</f>
        <v>20</v>
      </c>
      <c r="BG19" s="298">
        <f t="shared" ref="BG19" si="27">BF19+X19</f>
        <v>103</v>
      </c>
      <c r="BH19" s="298">
        <f t="shared" ref="BH19" si="28">BG19+Y19</f>
        <v>157</v>
      </c>
      <c r="BI19" s="298">
        <f t="shared" ref="BI19" si="29">BH19+Z19</f>
        <v>216</v>
      </c>
      <c r="BJ19" s="298">
        <f t="shared" ref="BJ19" si="30">BI19+AA19</f>
        <v>285</v>
      </c>
      <c r="BK19" s="298">
        <f t="shared" ref="BK19" si="31">BJ19+AB19</f>
        <v>375</v>
      </c>
      <c r="BL19" s="298">
        <f t="shared" ref="BL19" si="32">BK19+AC19</f>
        <v>467</v>
      </c>
      <c r="BM19" s="298">
        <f>BL19+AD19</f>
        <v>582</v>
      </c>
      <c r="BN19" s="298">
        <f>BM19+AE19</f>
        <v>667</v>
      </c>
      <c r="BO19" s="298">
        <f>BN19+AF19</f>
        <v>745</v>
      </c>
      <c r="BP19" s="298">
        <f>BO19+AG19</f>
        <v>893</v>
      </c>
      <c r="BQ19" s="298">
        <f t="shared" ref="BQ19" si="33">BP19+AH19</f>
        <v>976</v>
      </c>
      <c r="BR19" s="298">
        <f>BQ19+AI19</f>
        <v>1044</v>
      </c>
      <c r="BS19" s="298">
        <f>BR19+AJ19</f>
        <v>1163</v>
      </c>
      <c r="BT19" s="298">
        <f>BS19+AK19</f>
        <v>1297</v>
      </c>
    </row>
    <row r="20" spans="1:95" ht="14.25" customHeight="1" x14ac:dyDescent="0.25">
      <c r="A20" s="1753"/>
      <c r="B20" s="202">
        <f>'February 25 D_R (Tramming)'!F20</f>
        <v>0</v>
      </c>
      <c r="E20" s="227"/>
      <c r="F20" s="1766"/>
      <c r="G20" s="1769"/>
      <c r="H20" s="1773"/>
      <c r="I20" s="1475" t="s">
        <v>312</v>
      </c>
      <c r="J20" s="1476"/>
      <c r="K20" s="1477"/>
      <c r="L20" s="605"/>
      <c r="M20" s="605"/>
      <c r="N20" s="605"/>
      <c r="O20" s="605"/>
      <c r="P20" s="605"/>
      <c r="Q20" s="605"/>
      <c r="R20" s="605"/>
      <c r="S20" s="605"/>
      <c r="T20" s="606"/>
      <c r="U20" s="605"/>
      <c r="V20" s="605"/>
      <c r="W20" s="605"/>
      <c r="X20" s="605"/>
      <c r="Y20" s="605"/>
      <c r="Z20" s="605"/>
      <c r="AA20" s="605"/>
      <c r="AB20" s="605"/>
      <c r="AC20" s="605"/>
      <c r="AD20" s="605"/>
      <c r="AE20" s="605"/>
      <c r="AF20" s="605"/>
      <c r="AG20" s="605"/>
      <c r="AH20" s="605" t="s">
        <v>529</v>
      </c>
      <c r="AI20" s="605" t="s">
        <v>530</v>
      </c>
      <c r="AJ20" s="605"/>
      <c r="AK20" s="605"/>
      <c r="AL20" s="605"/>
      <c r="AM20" s="605"/>
      <c r="AN20" s="605"/>
      <c r="AO20" s="605"/>
      <c r="AP20" s="607"/>
      <c r="AQ20" s="608"/>
      <c r="AR20" s="309"/>
      <c r="AS20" s="1754"/>
      <c r="AT20" s="339" t="s">
        <v>531</v>
      </c>
      <c r="AU20" s="227"/>
      <c r="AV20" s="227"/>
      <c r="BL20" s="299"/>
      <c r="BM20" s="299"/>
      <c r="BN20" s="299"/>
      <c r="BO20" s="299"/>
      <c r="BP20" s="299"/>
      <c r="BQ20" s="299"/>
      <c r="BR20" s="299"/>
      <c r="BS20" s="299"/>
      <c r="BT20" s="299"/>
      <c r="BU20" s="299">
        <f>BT19+AL18</f>
        <v>1367</v>
      </c>
      <c r="BV20" s="299">
        <f>BU20+AM18</f>
        <v>1437</v>
      </c>
    </row>
    <row r="21" spans="1:95" ht="14.25" customHeight="1" x14ac:dyDescent="0.25">
      <c r="A21" s="1753"/>
      <c r="B21" s="202" t="str">
        <f>'February 25 D_R (Tramming)'!F21</f>
        <v xml:space="preserve">-   </v>
      </c>
      <c r="C21" s="355">
        <f>J21</f>
        <v>2.85</v>
      </c>
      <c r="E21" s="226"/>
      <c r="F21" s="1766"/>
      <c r="G21" s="1769"/>
      <c r="H21" s="1774" t="s">
        <v>343</v>
      </c>
      <c r="I21" s="1478" t="s">
        <v>344</v>
      </c>
      <c r="J21" s="1479">
        <v>2.85</v>
      </c>
      <c r="K21" s="1480"/>
      <c r="L21" s="1445">
        <v>2.85</v>
      </c>
      <c r="M21" s="1445">
        <v>2.85</v>
      </c>
      <c r="N21" s="1445">
        <v>2.85</v>
      </c>
      <c r="O21" s="1437">
        <v>2.85</v>
      </c>
      <c r="P21" s="1437">
        <v>2.85</v>
      </c>
      <c r="Q21" s="1437">
        <v>2.85</v>
      </c>
      <c r="R21" s="1437">
        <v>2.85</v>
      </c>
      <c r="S21" s="1437">
        <v>2.85</v>
      </c>
      <c r="T21" s="1438">
        <v>2.85</v>
      </c>
      <c r="U21" s="1437">
        <v>2.85</v>
      </c>
      <c r="V21" s="1437">
        <v>2.85</v>
      </c>
      <c r="W21" s="1437">
        <v>2.85</v>
      </c>
      <c r="X21" s="1437">
        <v>2.85</v>
      </c>
      <c r="Y21" s="1437">
        <v>2.85</v>
      </c>
      <c r="Z21" s="1437">
        <v>2.85</v>
      </c>
      <c r="AA21" s="1437">
        <v>2.85</v>
      </c>
      <c r="AB21" s="1437">
        <v>2.85</v>
      </c>
      <c r="AC21" s="1437">
        <v>2.85</v>
      </c>
      <c r="AD21" s="1437">
        <v>2.85</v>
      </c>
      <c r="AE21" s="1437">
        <v>2.85</v>
      </c>
      <c r="AF21" s="1437">
        <v>2.85</v>
      </c>
      <c r="AG21" s="1437">
        <v>2.85</v>
      </c>
      <c r="AH21" s="1437">
        <v>2.85</v>
      </c>
      <c r="AI21" s="1437">
        <v>2.85</v>
      </c>
      <c r="AJ21" s="1437">
        <v>2.85</v>
      </c>
      <c r="AK21" s="1437">
        <v>2.85</v>
      </c>
      <c r="AL21" s="1437">
        <v>2.85</v>
      </c>
      <c r="AM21" s="1437">
        <v>2.85</v>
      </c>
      <c r="AN21" s="1437" t="s">
        <v>468</v>
      </c>
      <c r="AO21" s="1437" t="s">
        <v>468</v>
      </c>
      <c r="AP21" s="1439" t="s">
        <v>468</v>
      </c>
      <c r="AQ21" s="604"/>
      <c r="AR21" s="308"/>
      <c r="AS21" s="1754"/>
      <c r="AT21" s="339" t="s">
        <v>532</v>
      </c>
      <c r="AU21" s="226"/>
      <c r="AV21" s="226"/>
    </row>
    <row r="22" spans="1:95" ht="14.25" customHeight="1" x14ac:dyDescent="0.25">
      <c r="A22" s="1753"/>
      <c r="B22" s="202">
        <f>'February 25 D_R (Tramming)'!F22</f>
        <v>2.48</v>
      </c>
      <c r="C22" s="350">
        <f>C24*1000/C19</f>
        <v>1.7405000173214979</v>
      </c>
      <c r="E22" s="226"/>
      <c r="F22" s="1766"/>
      <c r="G22" s="1769"/>
      <c r="H22" s="1773"/>
      <c r="I22" s="1455" t="s">
        <v>345</v>
      </c>
      <c r="J22" s="1481">
        <v>1.94</v>
      </c>
      <c r="K22" s="1474">
        <v>-0.32</v>
      </c>
      <c r="L22" s="1433"/>
      <c r="M22" s="1434"/>
      <c r="N22" s="1434"/>
      <c r="O22" s="1434"/>
      <c r="P22" s="1434"/>
      <c r="Q22" s="1434"/>
      <c r="R22" s="1434"/>
      <c r="S22" s="1434"/>
      <c r="T22" s="1434"/>
      <c r="U22" s="1434"/>
      <c r="V22" s="1434"/>
      <c r="W22" s="1434"/>
      <c r="X22" s="1434">
        <v>0.38</v>
      </c>
      <c r="Y22" s="1434">
        <v>0.55000000000000004</v>
      </c>
      <c r="Z22" s="1443">
        <v>1.5</v>
      </c>
      <c r="AA22" s="1443">
        <v>1.5</v>
      </c>
      <c r="AB22" s="1443">
        <v>0.93</v>
      </c>
      <c r="AC22" s="1442">
        <v>2.92</v>
      </c>
      <c r="AD22" s="1444">
        <v>2.44</v>
      </c>
      <c r="AE22" s="1444">
        <v>2.27</v>
      </c>
      <c r="AF22" s="1443">
        <v>1.05</v>
      </c>
      <c r="AG22" s="1443">
        <v>1.43</v>
      </c>
      <c r="AH22" s="1443">
        <v>1.43</v>
      </c>
      <c r="AI22" s="1442">
        <v>6.91</v>
      </c>
      <c r="AJ22" s="1441">
        <v>1.87</v>
      </c>
      <c r="AK22" s="1441">
        <v>1.87</v>
      </c>
      <c r="AL22" s="1443">
        <v>1.07</v>
      </c>
      <c r="AM22" s="1442">
        <v>2.87</v>
      </c>
      <c r="AN22" s="1436"/>
      <c r="AO22" s="1436"/>
      <c r="AP22" s="1436"/>
      <c r="AQ22" s="604"/>
      <c r="AR22" s="308"/>
      <c r="AS22" s="1754"/>
      <c r="AT22" s="333"/>
      <c r="AU22" s="226"/>
      <c r="AV22" s="226"/>
    </row>
    <row r="23" spans="1:95" ht="14.25" customHeight="1" x14ac:dyDescent="0.25">
      <c r="A23" s="1753"/>
      <c r="B23" s="202" t="str">
        <f>'February 25 D_R (Tramming)'!F23</f>
        <v xml:space="preserve">-   </v>
      </c>
      <c r="C23" s="354">
        <f>J23</f>
        <v>5.6</v>
      </c>
      <c r="E23" s="226"/>
      <c r="F23" s="1766"/>
      <c r="G23" s="1769"/>
      <c r="H23" s="1774" t="s">
        <v>47</v>
      </c>
      <c r="I23" s="1478" t="s">
        <v>346</v>
      </c>
      <c r="J23" s="609">
        <v>5.6</v>
      </c>
      <c r="K23" s="1480"/>
      <c r="L23" s="1445">
        <v>0.2</v>
      </c>
      <c r="M23" s="1445">
        <v>0.2</v>
      </c>
      <c r="N23" s="1445">
        <v>0.2</v>
      </c>
      <c r="O23" s="1437">
        <v>0.2</v>
      </c>
      <c r="P23" s="1437">
        <v>0.2</v>
      </c>
      <c r="Q23" s="1437">
        <v>0.2</v>
      </c>
      <c r="R23" s="1437">
        <v>0.2</v>
      </c>
      <c r="S23" s="1437">
        <v>0.2</v>
      </c>
      <c r="T23" s="1438">
        <v>0.2</v>
      </c>
      <c r="U23" s="1437">
        <v>0.2</v>
      </c>
      <c r="V23" s="1437">
        <v>0.2</v>
      </c>
      <c r="W23" s="1437">
        <v>0.2</v>
      </c>
      <c r="X23" s="1437">
        <v>0.2</v>
      </c>
      <c r="Y23" s="1437">
        <v>0.2</v>
      </c>
      <c r="Z23" s="1437">
        <v>0.2</v>
      </c>
      <c r="AA23" s="1437">
        <v>0.2</v>
      </c>
      <c r="AB23" s="1437">
        <v>0.2</v>
      </c>
      <c r="AC23" s="1437">
        <v>0.2</v>
      </c>
      <c r="AD23" s="1437">
        <v>0.2</v>
      </c>
      <c r="AE23" s="1437">
        <v>0.2</v>
      </c>
      <c r="AF23" s="1437">
        <v>0.2</v>
      </c>
      <c r="AG23" s="1437">
        <v>0.2</v>
      </c>
      <c r="AH23" s="1437">
        <v>0.2</v>
      </c>
      <c r="AI23" s="1437">
        <v>0.2</v>
      </c>
      <c r="AJ23" s="1437">
        <v>0.2</v>
      </c>
      <c r="AK23" s="1437">
        <v>0.2</v>
      </c>
      <c r="AL23" s="1437">
        <v>0.2</v>
      </c>
      <c r="AM23" s="1437">
        <v>0.2</v>
      </c>
      <c r="AN23" s="1437" t="s">
        <v>468</v>
      </c>
      <c r="AO23" s="1437" t="s">
        <v>468</v>
      </c>
      <c r="AP23" s="1439" t="s">
        <v>468</v>
      </c>
      <c r="AQ23" s="604"/>
      <c r="AR23" s="310"/>
      <c r="AS23" s="1754"/>
      <c r="AT23" s="332"/>
      <c r="AU23" s="226"/>
      <c r="AV23" s="226"/>
    </row>
    <row r="24" spans="1:95" ht="14.65" customHeight="1" thickBot="1" x14ac:dyDescent="0.3">
      <c r="A24" s="1753"/>
      <c r="B24" s="202">
        <f>'February 25 D_R (Tramming)'!F24</f>
        <v>16.3</v>
      </c>
      <c r="C24" s="350">
        <f>(J24/(J24+J31))*B24</f>
        <v>2.4328358208955221</v>
      </c>
      <c r="E24" s="226"/>
      <c r="F24" s="1767"/>
      <c r="G24" s="1770"/>
      <c r="H24" s="1775"/>
      <c r="I24" s="1460" t="s">
        <v>347</v>
      </c>
      <c r="J24" s="1482">
        <v>3</v>
      </c>
      <c r="K24" s="1483">
        <v>-0.46</v>
      </c>
      <c r="L24" s="1447" t="s">
        <v>473</v>
      </c>
      <c r="M24" s="1469" t="s">
        <v>468</v>
      </c>
      <c r="N24" s="1469" t="s">
        <v>468</v>
      </c>
      <c r="O24" s="1469" t="s">
        <v>468</v>
      </c>
      <c r="P24" s="1469" t="s">
        <v>468</v>
      </c>
      <c r="Q24" s="1469" t="s">
        <v>468</v>
      </c>
      <c r="R24" s="1469" t="s">
        <v>468</v>
      </c>
      <c r="S24" s="1469" t="s">
        <v>468</v>
      </c>
      <c r="T24" s="1469" t="s">
        <v>468</v>
      </c>
      <c r="U24" s="1469" t="s">
        <v>468</v>
      </c>
      <c r="V24" s="1469" t="s">
        <v>468</v>
      </c>
      <c r="W24" s="1469" t="s">
        <v>468</v>
      </c>
      <c r="X24" s="1469">
        <v>0</v>
      </c>
      <c r="Y24" s="1469">
        <v>0</v>
      </c>
      <c r="Z24" s="1469">
        <v>0.1</v>
      </c>
      <c r="AA24" s="1469">
        <v>0.1</v>
      </c>
      <c r="AB24" s="1469">
        <v>0.1</v>
      </c>
      <c r="AC24" s="1468">
        <v>0.3</v>
      </c>
      <c r="AD24" s="1468">
        <v>0.3</v>
      </c>
      <c r="AE24" s="1469">
        <v>0.2</v>
      </c>
      <c r="AF24" s="1469">
        <v>0.1</v>
      </c>
      <c r="AG24" s="1468">
        <v>0.2</v>
      </c>
      <c r="AH24" s="1469">
        <v>0.1</v>
      </c>
      <c r="AI24" s="1468">
        <v>0.5</v>
      </c>
      <c r="AJ24" s="1468">
        <v>0.2</v>
      </c>
      <c r="AK24" s="1468">
        <v>0.3</v>
      </c>
      <c r="AL24" s="1469">
        <v>0.1</v>
      </c>
      <c r="AM24" s="1468">
        <v>0.5</v>
      </c>
      <c r="AN24" s="1470" t="s">
        <v>468</v>
      </c>
      <c r="AO24" s="1470" t="s">
        <v>468</v>
      </c>
      <c r="AP24" s="1470" t="s">
        <v>468</v>
      </c>
      <c r="AQ24" s="610"/>
      <c r="AR24" s="311"/>
      <c r="AS24" s="1754"/>
      <c r="AU24" s="226"/>
      <c r="AV24" s="226"/>
    </row>
    <row r="25" spans="1:95" s="194" customFormat="1" ht="14.45" customHeight="1" x14ac:dyDescent="0.25">
      <c r="A25" s="1753" t="s">
        <v>533</v>
      </c>
      <c r="B25" s="194">
        <v>0</v>
      </c>
      <c r="C25" s="353">
        <f>J25</f>
        <v>2940</v>
      </c>
      <c r="E25" s="226"/>
      <c r="F25" s="1765"/>
      <c r="G25" s="1768" t="s">
        <v>470</v>
      </c>
      <c r="H25" s="1771" t="s">
        <v>340</v>
      </c>
      <c r="I25" s="596" t="s">
        <v>341</v>
      </c>
      <c r="J25" s="597">
        <v>2940</v>
      </c>
      <c r="K25" s="598"/>
      <c r="L25" s="599">
        <v>105</v>
      </c>
      <c r="M25" s="599">
        <v>105</v>
      </c>
      <c r="N25" s="599">
        <v>105</v>
      </c>
      <c r="O25" s="600">
        <v>105</v>
      </c>
      <c r="P25" s="600">
        <v>105</v>
      </c>
      <c r="Q25" s="600">
        <v>105</v>
      </c>
      <c r="R25" s="600">
        <v>105</v>
      </c>
      <c r="S25" s="600">
        <v>105</v>
      </c>
      <c r="T25" s="601">
        <v>105</v>
      </c>
      <c r="U25" s="600">
        <v>105</v>
      </c>
      <c r="V25" s="600">
        <v>105</v>
      </c>
      <c r="W25" s="600">
        <v>105</v>
      </c>
      <c r="X25" s="600">
        <v>105</v>
      </c>
      <c r="Y25" s="600">
        <v>105</v>
      </c>
      <c r="Z25" s="600">
        <v>105</v>
      </c>
      <c r="AA25" s="600">
        <v>105</v>
      </c>
      <c r="AB25" s="600">
        <v>105</v>
      </c>
      <c r="AC25" s="600">
        <v>105</v>
      </c>
      <c r="AD25" s="600">
        <v>105</v>
      </c>
      <c r="AE25" s="600">
        <v>105</v>
      </c>
      <c r="AF25" s="600">
        <v>105</v>
      </c>
      <c r="AG25" s="600">
        <v>105</v>
      </c>
      <c r="AH25" s="600">
        <v>105</v>
      </c>
      <c r="AI25" s="600">
        <v>105</v>
      </c>
      <c r="AJ25" s="600">
        <v>105</v>
      </c>
      <c r="AK25" s="600">
        <v>105</v>
      </c>
      <c r="AL25" s="600">
        <v>105</v>
      </c>
      <c r="AM25" s="600">
        <v>105</v>
      </c>
      <c r="AN25" s="600" t="s">
        <v>468</v>
      </c>
      <c r="AO25" s="600" t="s">
        <v>468</v>
      </c>
      <c r="AP25" s="602" t="s">
        <v>468</v>
      </c>
      <c r="AQ25" s="603"/>
      <c r="AR25" s="307"/>
      <c r="AS25" s="1754" t="s">
        <v>534</v>
      </c>
      <c r="AT25" s="332"/>
      <c r="AU25" s="226">
        <f>L25</f>
        <v>105</v>
      </c>
      <c r="AV25" s="298">
        <f>AU25+M25</f>
        <v>210</v>
      </c>
      <c r="AW25" s="298">
        <f>AV25+N25</f>
        <v>315</v>
      </c>
      <c r="AX25" s="298">
        <f t="shared" ref="AX25:AX26" si="34">AW25+O25</f>
        <v>420</v>
      </c>
      <c r="AY25" s="298">
        <f t="shared" ref="AY25:AY26" si="35">AX25+P25</f>
        <v>525</v>
      </c>
      <c r="AZ25" s="298">
        <f t="shared" ref="AZ25:AZ26" si="36">AY25+Q25</f>
        <v>630</v>
      </c>
      <c r="BA25" s="298">
        <f t="shared" ref="BA25:BA26" si="37">AZ25+R25</f>
        <v>735</v>
      </c>
      <c r="BB25" s="298">
        <f t="shared" ref="BB25:BB26" si="38">BA25+S25</f>
        <v>840</v>
      </c>
      <c r="BC25" s="298">
        <f t="shared" ref="BC25:BC26" si="39">BB25+T25</f>
        <v>945</v>
      </c>
      <c r="BD25" s="298">
        <f t="shared" ref="BD25:BD26" si="40">BC25+U25</f>
        <v>1050</v>
      </c>
      <c r="BE25" s="298">
        <f t="shared" ref="BE25:BE26" si="41">BD25+V25</f>
        <v>1155</v>
      </c>
      <c r="BF25" s="298">
        <f t="shared" ref="BF25:BF26" si="42">BE25+W25</f>
        <v>1260</v>
      </c>
      <c r="BG25" s="298">
        <f t="shared" ref="BG25:BG26" si="43">BF25+X25</f>
        <v>1365</v>
      </c>
      <c r="BH25" s="298">
        <f t="shared" ref="BH25:BH26" si="44">BG25+Y25</f>
        <v>1470</v>
      </c>
      <c r="BI25" s="298">
        <f t="shared" ref="BI25:BI26" si="45">BH25+Z25</f>
        <v>1575</v>
      </c>
      <c r="BJ25" s="298">
        <f t="shared" ref="BJ25:BJ26" si="46">BI25+AA25</f>
        <v>1680</v>
      </c>
      <c r="BK25" s="298">
        <f t="shared" ref="BK25:BK26" si="47">BJ25+AB25</f>
        <v>1785</v>
      </c>
      <c r="BL25" s="298">
        <f t="shared" ref="BL25:BL26" si="48">BK25+AC25</f>
        <v>1890</v>
      </c>
      <c r="BM25" s="298">
        <f t="shared" ref="BM25:BM26" si="49">BL25+AD25</f>
        <v>1995</v>
      </c>
      <c r="BN25" s="298">
        <f t="shared" ref="BN25:BN26" si="50">BM25+AE25</f>
        <v>2100</v>
      </c>
      <c r="BO25" s="298">
        <f t="shared" ref="BO25:BO26" si="51">BN25+AF25</f>
        <v>2205</v>
      </c>
      <c r="BP25" s="298">
        <f t="shared" ref="BP25:BP26" si="52">BO25+AG25</f>
        <v>2310</v>
      </c>
      <c r="BQ25" s="298">
        <f t="shared" ref="BQ25:BQ26" si="53">BP25+AH25</f>
        <v>2415</v>
      </c>
      <c r="BR25" s="298">
        <f t="shared" ref="BR25:BR26" si="54">BQ25+AI25</f>
        <v>2520</v>
      </c>
      <c r="BS25" s="298">
        <f t="shared" ref="BS25:BS26" si="55">BR25+AJ25</f>
        <v>2625</v>
      </c>
      <c r="BT25" s="298">
        <f t="shared" ref="BT25:BT26" si="56">BS25+AK25</f>
        <v>2730</v>
      </c>
      <c r="BU25" s="298">
        <f t="shared" ref="BU25" si="57">BT25+AL25</f>
        <v>2835</v>
      </c>
      <c r="BV25" s="298">
        <f t="shared" ref="BV25" si="58">BU25+AM25</f>
        <v>2940</v>
      </c>
    </row>
    <row r="26" spans="1:95" x14ac:dyDescent="0.25">
      <c r="A26" s="1753"/>
      <c r="B26" s="202" t="str">
        <f>'February 25 D_R (Tramming)'!F26</f>
        <v xml:space="preserve">-   </v>
      </c>
      <c r="C26" s="349" t="e">
        <f>J26/B26</f>
        <v>#VALUE!</v>
      </c>
      <c r="D26" s="349"/>
      <c r="E26" s="226"/>
      <c r="F26" s="1766"/>
      <c r="G26" s="1769"/>
      <c r="H26" s="1772"/>
      <c r="I26" s="1472" t="s">
        <v>342</v>
      </c>
      <c r="J26" s="1484">
        <v>5794</v>
      </c>
      <c r="K26" s="1485">
        <v>0.97</v>
      </c>
      <c r="L26" s="1449">
        <v>225</v>
      </c>
      <c r="M26" s="1435">
        <v>231</v>
      </c>
      <c r="N26" s="1435">
        <v>235</v>
      </c>
      <c r="O26" s="1435">
        <v>241</v>
      </c>
      <c r="P26" s="1435">
        <v>288</v>
      </c>
      <c r="Q26" s="1435">
        <v>288</v>
      </c>
      <c r="R26" s="1435">
        <v>255</v>
      </c>
      <c r="S26" s="1435">
        <v>269</v>
      </c>
      <c r="T26" s="1435">
        <v>176</v>
      </c>
      <c r="U26" s="1435">
        <v>155</v>
      </c>
      <c r="V26" s="1434">
        <v>93</v>
      </c>
      <c r="W26" s="1435">
        <v>155</v>
      </c>
      <c r="X26" s="1435">
        <v>207</v>
      </c>
      <c r="Y26" s="1435">
        <v>242</v>
      </c>
      <c r="Z26" s="1435">
        <v>230</v>
      </c>
      <c r="AA26" s="1435">
        <v>242</v>
      </c>
      <c r="AB26" s="1435">
        <v>206</v>
      </c>
      <c r="AC26" s="1435">
        <v>244</v>
      </c>
      <c r="AD26" s="1435">
        <v>169</v>
      </c>
      <c r="AE26" s="1435">
        <v>230</v>
      </c>
      <c r="AF26" s="1435">
        <v>242</v>
      </c>
      <c r="AG26" s="1435">
        <v>135</v>
      </c>
      <c r="AH26" s="1435">
        <v>154</v>
      </c>
      <c r="AI26" s="1435">
        <v>232</v>
      </c>
      <c r="AJ26" s="1435">
        <v>151</v>
      </c>
      <c r="AK26" s="1435">
        <v>165</v>
      </c>
      <c r="AL26" s="1435">
        <v>189</v>
      </c>
      <c r="AM26" s="1435">
        <v>145</v>
      </c>
      <c r="AN26" s="1436"/>
      <c r="AO26" s="1436"/>
      <c r="AP26" s="1436"/>
      <c r="AQ26" s="604"/>
      <c r="AR26" s="308"/>
      <c r="AS26" s="1754"/>
      <c r="AU26" s="226">
        <f>L26</f>
        <v>225</v>
      </c>
      <c r="AV26" s="298">
        <f>AU26+M26</f>
        <v>456</v>
      </c>
      <c r="AW26" s="298">
        <f>AV26+N26</f>
        <v>691</v>
      </c>
      <c r="AX26" s="298">
        <f t="shared" si="34"/>
        <v>932</v>
      </c>
      <c r="AY26" s="298">
        <f t="shared" si="35"/>
        <v>1220</v>
      </c>
      <c r="AZ26" s="298">
        <f t="shared" si="36"/>
        <v>1508</v>
      </c>
      <c r="BA26" s="298">
        <f t="shared" si="37"/>
        <v>1763</v>
      </c>
      <c r="BB26" s="298">
        <f t="shared" si="38"/>
        <v>2032</v>
      </c>
      <c r="BC26" s="298">
        <f t="shared" si="39"/>
        <v>2208</v>
      </c>
      <c r="BD26" s="298">
        <f t="shared" si="40"/>
        <v>2363</v>
      </c>
      <c r="BE26" s="298">
        <f t="shared" si="41"/>
        <v>2456</v>
      </c>
      <c r="BF26" s="298">
        <f t="shared" si="42"/>
        <v>2611</v>
      </c>
      <c r="BG26" s="298">
        <f t="shared" si="43"/>
        <v>2818</v>
      </c>
      <c r="BH26" s="298">
        <f t="shared" si="44"/>
        <v>3060</v>
      </c>
      <c r="BI26" s="298">
        <f t="shared" si="45"/>
        <v>3290</v>
      </c>
      <c r="BJ26" s="298">
        <f t="shared" si="46"/>
        <v>3532</v>
      </c>
      <c r="BK26" s="298">
        <f t="shared" si="47"/>
        <v>3738</v>
      </c>
      <c r="BL26" s="298">
        <f t="shared" si="48"/>
        <v>3982</v>
      </c>
      <c r="BM26" s="298">
        <f t="shared" si="49"/>
        <v>4151</v>
      </c>
      <c r="BN26" s="298">
        <f t="shared" si="50"/>
        <v>4381</v>
      </c>
      <c r="BO26" s="298">
        <f t="shared" si="51"/>
        <v>4623</v>
      </c>
      <c r="BP26" s="298">
        <f t="shared" si="52"/>
        <v>4758</v>
      </c>
      <c r="BQ26" s="298">
        <f t="shared" si="53"/>
        <v>4912</v>
      </c>
      <c r="BR26" s="298">
        <f t="shared" si="54"/>
        <v>5144</v>
      </c>
      <c r="BS26" s="298">
        <f t="shared" si="55"/>
        <v>5295</v>
      </c>
      <c r="BT26" s="298">
        <f t="shared" si="56"/>
        <v>5460</v>
      </c>
    </row>
    <row r="27" spans="1:95" x14ac:dyDescent="0.25">
      <c r="A27" s="1753"/>
      <c r="B27" s="202">
        <f>'February 25 D_R (Tramming)'!F27</f>
        <v>0</v>
      </c>
      <c r="E27" s="226"/>
      <c r="F27" s="1766"/>
      <c r="G27" s="1769"/>
      <c r="H27" s="1773"/>
      <c r="I27" s="1486" t="s">
        <v>312</v>
      </c>
      <c r="J27" s="1487"/>
      <c r="K27" s="1488"/>
      <c r="L27" s="605"/>
      <c r="M27" s="605"/>
      <c r="N27" s="605"/>
      <c r="O27" s="605"/>
      <c r="P27" s="605"/>
      <c r="Q27" s="605"/>
      <c r="R27" s="605"/>
      <c r="S27" s="605"/>
      <c r="T27" s="606"/>
      <c r="U27" s="605"/>
      <c r="V27" s="605"/>
      <c r="W27" s="605"/>
      <c r="X27" s="605"/>
      <c r="Y27" s="605"/>
      <c r="Z27" s="605"/>
      <c r="AA27" s="605"/>
      <c r="AB27" s="605"/>
      <c r="AC27" s="605"/>
      <c r="AD27" s="605"/>
      <c r="AE27" s="605"/>
      <c r="AF27" s="605"/>
      <c r="AG27" s="605"/>
      <c r="AH27" s="605" t="s">
        <v>535</v>
      </c>
      <c r="AI27" s="605"/>
      <c r="AJ27" s="605"/>
      <c r="AK27" s="605"/>
      <c r="AL27" s="605"/>
      <c r="AM27" s="605"/>
      <c r="AN27" s="605"/>
      <c r="AO27" s="605"/>
      <c r="AP27" s="607"/>
      <c r="AQ27" s="608"/>
      <c r="AR27" s="309"/>
      <c r="AS27" s="1754"/>
      <c r="AT27" s="339" t="s">
        <v>536</v>
      </c>
      <c r="AU27" s="227"/>
      <c r="AV27" s="227"/>
      <c r="BL27" s="299"/>
      <c r="BM27" s="299"/>
      <c r="BN27" s="299"/>
      <c r="BO27" s="299"/>
      <c r="BP27" s="299"/>
      <c r="BQ27" s="299"/>
      <c r="BR27" s="299"/>
      <c r="BS27" s="299"/>
      <c r="BT27" s="299"/>
      <c r="BU27" s="299">
        <f>BT26+AL25</f>
        <v>5565</v>
      </c>
      <c r="BV27" s="299">
        <f t="shared" ref="BV27" si="59">BU27+AM25</f>
        <v>5670</v>
      </c>
    </row>
    <row r="28" spans="1:95" x14ac:dyDescent="0.25">
      <c r="A28" s="1753"/>
      <c r="B28" s="202" t="str">
        <f>'February 25 D_R (Tramming)'!F28</f>
        <v xml:space="preserve">-   </v>
      </c>
      <c r="C28" s="355">
        <f>J28</f>
        <v>3.54</v>
      </c>
      <c r="E28" s="226"/>
      <c r="F28" s="1766"/>
      <c r="G28" s="1769"/>
      <c r="H28" s="1774" t="s">
        <v>343</v>
      </c>
      <c r="I28" s="1478" t="s">
        <v>344</v>
      </c>
      <c r="J28" s="1479">
        <v>3.54</v>
      </c>
      <c r="K28" s="1480"/>
      <c r="L28" s="1445">
        <v>3.54</v>
      </c>
      <c r="M28" s="1445">
        <v>3.54</v>
      </c>
      <c r="N28" s="1445">
        <v>3.54</v>
      </c>
      <c r="O28" s="1437">
        <v>3.54</v>
      </c>
      <c r="P28" s="1437">
        <v>3.54</v>
      </c>
      <c r="Q28" s="1437">
        <v>3.54</v>
      </c>
      <c r="R28" s="1437">
        <v>3.54</v>
      </c>
      <c r="S28" s="1437">
        <v>3.54</v>
      </c>
      <c r="T28" s="1438">
        <v>3.54</v>
      </c>
      <c r="U28" s="1437">
        <v>3.54</v>
      </c>
      <c r="V28" s="1437">
        <v>3.54</v>
      </c>
      <c r="W28" s="1437">
        <v>3.54</v>
      </c>
      <c r="X28" s="1437">
        <v>3.54</v>
      </c>
      <c r="Y28" s="1437">
        <v>3.54</v>
      </c>
      <c r="Z28" s="1437">
        <v>3.54</v>
      </c>
      <c r="AA28" s="1437">
        <v>3.54</v>
      </c>
      <c r="AB28" s="1437">
        <v>3.54</v>
      </c>
      <c r="AC28" s="1437">
        <v>3.54</v>
      </c>
      <c r="AD28" s="1437">
        <v>3.54</v>
      </c>
      <c r="AE28" s="1437">
        <v>3.54</v>
      </c>
      <c r="AF28" s="1437">
        <v>3.54</v>
      </c>
      <c r="AG28" s="1437">
        <v>3.54</v>
      </c>
      <c r="AH28" s="1437">
        <v>3.54</v>
      </c>
      <c r="AI28" s="1437">
        <v>3.54</v>
      </c>
      <c r="AJ28" s="1437">
        <v>3.54</v>
      </c>
      <c r="AK28" s="1437">
        <v>3.54</v>
      </c>
      <c r="AL28" s="1437">
        <v>3.54</v>
      </c>
      <c r="AM28" s="1437">
        <v>3.54</v>
      </c>
      <c r="AN28" s="1437" t="s">
        <v>468</v>
      </c>
      <c r="AO28" s="1437" t="s">
        <v>468</v>
      </c>
      <c r="AP28" s="1439" t="s">
        <v>468</v>
      </c>
      <c r="AQ28" s="604"/>
      <c r="AR28" s="308"/>
      <c r="AS28" s="1754"/>
      <c r="AU28" s="226"/>
      <c r="AV28" s="226"/>
    </row>
    <row r="29" spans="1:95" x14ac:dyDescent="0.25">
      <c r="A29" s="1753"/>
      <c r="B29" s="202" t="str">
        <f>'February 25 D_R (Tramming)'!F29</f>
        <v xml:space="preserve">-   </v>
      </c>
      <c r="E29" s="226"/>
      <c r="F29" s="1766"/>
      <c r="G29" s="1769"/>
      <c r="H29" s="1773"/>
      <c r="I29" s="1455" t="s">
        <v>345</v>
      </c>
      <c r="J29" s="1481">
        <v>2.96</v>
      </c>
      <c r="K29" s="1474">
        <v>-0.17</v>
      </c>
      <c r="L29" s="1451">
        <v>3.82</v>
      </c>
      <c r="M29" s="1442">
        <v>3.82</v>
      </c>
      <c r="N29" s="1442">
        <v>5.23</v>
      </c>
      <c r="O29" s="1443">
        <v>1.18</v>
      </c>
      <c r="P29" s="1442">
        <v>3.65</v>
      </c>
      <c r="Q29" s="1444">
        <v>3.03</v>
      </c>
      <c r="R29" s="1444">
        <v>3.34</v>
      </c>
      <c r="S29" s="1442">
        <v>4.3499999999999996</v>
      </c>
      <c r="T29" s="1442">
        <v>4.3499999999999996</v>
      </c>
      <c r="U29" s="1444">
        <v>2.36</v>
      </c>
      <c r="V29" s="1434"/>
      <c r="W29" s="1444">
        <v>2.23</v>
      </c>
      <c r="X29" s="1443">
        <v>1.24</v>
      </c>
      <c r="Y29" s="1434">
        <v>0.31</v>
      </c>
      <c r="Z29" s="1434">
        <v>0.35</v>
      </c>
      <c r="AA29" s="1434">
        <v>0.35</v>
      </c>
      <c r="AB29" s="1443">
        <v>1.01</v>
      </c>
      <c r="AC29" s="1442">
        <v>5.38</v>
      </c>
      <c r="AD29" s="1442">
        <v>3.9</v>
      </c>
      <c r="AE29" s="1441">
        <v>1.75</v>
      </c>
      <c r="AF29" s="1443">
        <v>1.34</v>
      </c>
      <c r="AG29" s="1441">
        <v>1.65</v>
      </c>
      <c r="AH29" s="1441">
        <v>1.65</v>
      </c>
      <c r="AI29" s="1442">
        <v>7</v>
      </c>
      <c r="AJ29" s="1442">
        <v>5.93</v>
      </c>
      <c r="AK29" s="1442">
        <v>4.22</v>
      </c>
      <c r="AL29" s="1442">
        <v>4.59</v>
      </c>
      <c r="AM29" s="1444">
        <v>3.32</v>
      </c>
      <c r="AN29" s="1436"/>
      <c r="AO29" s="1436"/>
      <c r="AP29" s="1436"/>
      <c r="AQ29" s="604"/>
      <c r="AR29" s="308"/>
      <c r="AS29" s="1754"/>
      <c r="AU29" s="226"/>
      <c r="AV29" s="226"/>
    </row>
    <row r="30" spans="1:95" x14ac:dyDescent="0.25">
      <c r="A30" s="1753"/>
      <c r="B30" s="202" t="str">
        <f>'February 25 D_R (Tramming)'!F30</f>
        <v xml:space="preserve">-   </v>
      </c>
      <c r="C30" s="354">
        <f>J30</f>
        <v>10.4</v>
      </c>
      <c r="E30" s="226"/>
      <c r="F30" s="1766"/>
      <c r="G30" s="1769"/>
      <c r="H30" s="1774" t="s">
        <v>47</v>
      </c>
      <c r="I30" s="1478" t="s">
        <v>346</v>
      </c>
      <c r="J30" s="609">
        <v>10.4</v>
      </c>
      <c r="K30" s="1480"/>
      <c r="L30" s="1445">
        <v>0.4</v>
      </c>
      <c r="M30" s="1445">
        <v>0.4</v>
      </c>
      <c r="N30" s="1445">
        <v>0.4</v>
      </c>
      <c r="O30" s="1437">
        <v>0.4</v>
      </c>
      <c r="P30" s="1437">
        <v>0.4</v>
      </c>
      <c r="Q30" s="1437">
        <v>0.4</v>
      </c>
      <c r="R30" s="1437">
        <v>0.4</v>
      </c>
      <c r="S30" s="1437">
        <v>0.4</v>
      </c>
      <c r="T30" s="1438">
        <v>0.4</v>
      </c>
      <c r="U30" s="1437">
        <v>0.4</v>
      </c>
      <c r="V30" s="1437">
        <v>0.4</v>
      </c>
      <c r="W30" s="1437">
        <v>0.4</v>
      </c>
      <c r="X30" s="1437">
        <v>0.4</v>
      </c>
      <c r="Y30" s="1437">
        <v>0.4</v>
      </c>
      <c r="Z30" s="1437">
        <v>0.4</v>
      </c>
      <c r="AA30" s="1437">
        <v>0.4</v>
      </c>
      <c r="AB30" s="1437">
        <v>0.4</v>
      </c>
      <c r="AC30" s="1437">
        <v>0.4</v>
      </c>
      <c r="AD30" s="1437">
        <v>0.4</v>
      </c>
      <c r="AE30" s="1437">
        <v>0.4</v>
      </c>
      <c r="AF30" s="1437">
        <v>0.4</v>
      </c>
      <c r="AG30" s="1437">
        <v>0.4</v>
      </c>
      <c r="AH30" s="1437">
        <v>0.4</v>
      </c>
      <c r="AI30" s="1437">
        <v>0.4</v>
      </c>
      <c r="AJ30" s="1437">
        <v>0.4</v>
      </c>
      <c r="AK30" s="1437">
        <v>0.4</v>
      </c>
      <c r="AL30" s="1437">
        <v>0.4</v>
      </c>
      <c r="AM30" s="1437">
        <v>0.4</v>
      </c>
      <c r="AN30" s="1437" t="s">
        <v>468</v>
      </c>
      <c r="AO30" s="1437" t="s">
        <v>468</v>
      </c>
      <c r="AP30" s="1439" t="s">
        <v>468</v>
      </c>
      <c r="AQ30" s="604"/>
      <c r="AR30" s="310"/>
      <c r="AS30" s="1754"/>
      <c r="AT30" s="332"/>
      <c r="AU30" s="226"/>
      <c r="AV30" s="226"/>
    </row>
    <row r="31" spans="1:95" ht="14.25" thickBot="1" x14ac:dyDescent="0.3">
      <c r="A31" s="1753"/>
      <c r="B31" s="202" t="str">
        <f>'February 25 D_R (Tramming)'!F31</f>
        <v xml:space="preserve">-   </v>
      </c>
      <c r="E31" s="226"/>
      <c r="F31" s="1767"/>
      <c r="G31" s="1770"/>
      <c r="H31" s="1775"/>
      <c r="I31" s="1460" t="s">
        <v>347</v>
      </c>
      <c r="J31" s="1489">
        <v>17.100000000000001</v>
      </c>
      <c r="K31" s="1490">
        <v>0.65</v>
      </c>
      <c r="L31" s="1446">
        <v>0.9</v>
      </c>
      <c r="M31" s="1468">
        <v>0.9</v>
      </c>
      <c r="N31" s="1468">
        <v>1.2</v>
      </c>
      <c r="O31" s="1469">
        <v>0.3</v>
      </c>
      <c r="P31" s="1468">
        <v>1.1000000000000001</v>
      </c>
      <c r="Q31" s="1468">
        <v>0.9</v>
      </c>
      <c r="R31" s="1468">
        <v>0.9</v>
      </c>
      <c r="S31" s="1468">
        <v>1.2</v>
      </c>
      <c r="T31" s="1468">
        <v>0.8</v>
      </c>
      <c r="U31" s="1469">
        <v>0.4</v>
      </c>
      <c r="V31" s="1469" t="s">
        <v>468</v>
      </c>
      <c r="W31" s="1469">
        <v>0.3</v>
      </c>
      <c r="X31" s="1469">
        <v>0.3</v>
      </c>
      <c r="Y31" s="1469">
        <v>0.1</v>
      </c>
      <c r="Z31" s="1469">
        <v>0.1</v>
      </c>
      <c r="AA31" s="1469">
        <v>0.1</v>
      </c>
      <c r="AB31" s="1469">
        <v>0.2</v>
      </c>
      <c r="AC31" s="1468">
        <v>1.3</v>
      </c>
      <c r="AD31" s="1468">
        <v>0.7</v>
      </c>
      <c r="AE31" s="1468">
        <v>0.4</v>
      </c>
      <c r="AF31" s="1469">
        <v>0.3</v>
      </c>
      <c r="AG31" s="1469">
        <v>0.2</v>
      </c>
      <c r="AH31" s="1469">
        <v>0.3</v>
      </c>
      <c r="AI31" s="1468">
        <v>1.6</v>
      </c>
      <c r="AJ31" s="1468">
        <v>0.9</v>
      </c>
      <c r="AK31" s="1468">
        <v>0.7</v>
      </c>
      <c r="AL31" s="1468">
        <v>0.9</v>
      </c>
      <c r="AM31" s="1468">
        <v>0.5</v>
      </c>
      <c r="AN31" s="1470" t="s">
        <v>468</v>
      </c>
      <c r="AO31" s="1470" t="s">
        <v>468</v>
      </c>
      <c r="AP31" s="1470" t="s">
        <v>468</v>
      </c>
      <c r="AQ31" s="610"/>
      <c r="AR31" s="311"/>
      <c r="AS31" s="1754"/>
      <c r="AU31" s="226"/>
      <c r="AV31" s="226"/>
    </row>
    <row r="32" spans="1:95" s="194" customFormat="1" ht="14.45" customHeight="1" x14ac:dyDescent="0.25">
      <c r="A32" s="1753" t="s">
        <v>526</v>
      </c>
      <c r="B32" s="194">
        <v>0</v>
      </c>
      <c r="C32" s="353">
        <f>J32</f>
        <v>1960</v>
      </c>
      <c r="E32" s="226"/>
      <c r="F32" s="1765"/>
      <c r="G32" s="1768" t="s">
        <v>471</v>
      </c>
      <c r="H32" s="1771" t="s">
        <v>340</v>
      </c>
      <c r="I32" s="596" t="s">
        <v>341</v>
      </c>
      <c r="J32" s="597">
        <v>1960</v>
      </c>
      <c r="K32" s="598"/>
      <c r="L32" s="599">
        <v>70</v>
      </c>
      <c r="M32" s="599">
        <v>70</v>
      </c>
      <c r="N32" s="599">
        <v>70</v>
      </c>
      <c r="O32" s="600">
        <v>70</v>
      </c>
      <c r="P32" s="600">
        <v>70</v>
      </c>
      <c r="Q32" s="600">
        <v>70</v>
      </c>
      <c r="R32" s="600">
        <v>70</v>
      </c>
      <c r="S32" s="600">
        <v>70</v>
      </c>
      <c r="T32" s="601">
        <v>70</v>
      </c>
      <c r="U32" s="600">
        <v>70</v>
      </c>
      <c r="V32" s="600">
        <v>70</v>
      </c>
      <c r="W32" s="600">
        <v>70</v>
      </c>
      <c r="X32" s="600">
        <v>70</v>
      </c>
      <c r="Y32" s="600">
        <v>70</v>
      </c>
      <c r="Z32" s="600">
        <v>70</v>
      </c>
      <c r="AA32" s="600">
        <v>70</v>
      </c>
      <c r="AB32" s="600">
        <v>70</v>
      </c>
      <c r="AC32" s="600">
        <v>70</v>
      </c>
      <c r="AD32" s="600">
        <v>70</v>
      </c>
      <c r="AE32" s="600">
        <v>70</v>
      </c>
      <c r="AF32" s="600">
        <v>70</v>
      </c>
      <c r="AG32" s="600">
        <v>70</v>
      </c>
      <c r="AH32" s="600">
        <v>70</v>
      </c>
      <c r="AI32" s="600">
        <v>70</v>
      </c>
      <c r="AJ32" s="600">
        <v>70</v>
      </c>
      <c r="AK32" s="600">
        <v>70</v>
      </c>
      <c r="AL32" s="600">
        <v>70</v>
      </c>
      <c r="AM32" s="600">
        <v>70</v>
      </c>
      <c r="AN32" s="600" t="s">
        <v>468</v>
      </c>
      <c r="AO32" s="600" t="s">
        <v>468</v>
      </c>
      <c r="AP32" s="602" t="s">
        <v>468</v>
      </c>
      <c r="AQ32" s="603"/>
      <c r="AR32" s="307"/>
      <c r="AS32" s="1754" t="s">
        <v>537</v>
      </c>
      <c r="AT32" s="332"/>
      <c r="AU32" s="226">
        <f>L32</f>
        <v>70</v>
      </c>
      <c r="AV32" s="298">
        <f>AU32+M32</f>
        <v>140</v>
      </c>
      <c r="AW32" s="298">
        <f>AV32+N32</f>
        <v>210</v>
      </c>
      <c r="AX32" s="298">
        <f t="shared" ref="AX32:AX33" si="60">AW32+O32</f>
        <v>280</v>
      </c>
      <c r="AY32" s="298">
        <f t="shared" ref="AY32:AY33" si="61">AX32+P32</f>
        <v>350</v>
      </c>
      <c r="AZ32" s="298">
        <f t="shared" ref="AZ32:AZ33" si="62">AY32+Q32</f>
        <v>420</v>
      </c>
      <c r="BA32" s="298">
        <f t="shared" ref="BA32:BA33" si="63">AZ32+R32</f>
        <v>490</v>
      </c>
      <c r="BB32" s="298">
        <f t="shared" ref="BB32:BB33" si="64">BA32+S32</f>
        <v>560</v>
      </c>
      <c r="BC32" s="298">
        <f t="shared" ref="BC32:BC33" si="65">BB32+T32</f>
        <v>630</v>
      </c>
      <c r="BD32" s="298">
        <f t="shared" ref="BD32:BD33" si="66">BC32+U32</f>
        <v>700</v>
      </c>
      <c r="BE32" s="298">
        <f t="shared" ref="BE32:BE33" si="67">BD32+V32</f>
        <v>770</v>
      </c>
      <c r="BF32" s="298">
        <f t="shared" ref="BF32:BF33" si="68">BE32+W32</f>
        <v>840</v>
      </c>
      <c r="BG32" s="298">
        <f t="shared" ref="BG32:BG33" si="69">BF32+X32</f>
        <v>910</v>
      </c>
      <c r="BH32" s="298">
        <f t="shared" ref="BH32:BH33" si="70">BG32+Y32</f>
        <v>980</v>
      </c>
      <c r="BI32" s="298">
        <f t="shared" ref="BI32:BI33" si="71">BH32+Z32</f>
        <v>1050</v>
      </c>
      <c r="BJ32" s="298">
        <f t="shared" ref="BJ32:BJ33" si="72">BI32+AA32</f>
        <v>1120</v>
      </c>
      <c r="BK32" s="298">
        <f t="shared" ref="BK32:BK33" si="73">BJ32+AB32</f>
        <v>1190</v>
      </c>
      <c r="BL32" s="298">
        <f t="shared" ref="BL32:BL33" si="74">BK32+AC32</f>
        <v>1260</v>
      </c>
      <c r="BM32" s="298">
        <f t="shared" ref="BM32:BM33" si="75">BL32+AD32</f>
        <v>1330</v>
      </c>
      <c r="BN32" s="298">
        <f t="shared" ref="BN32:BN33" si="76">BM32+AE32</f>
        <v>1400</v>
      </c>
      <c r="BO32" s="298">
        <f t="shared" ref="BO32:BO33" si="77">BN32+AF32</f>
        <v>1470</v>
      </c>
      <c r="BP32" s="298">
        <f t="shared" ref="BP32:BP33" si="78">BO32+AG32</f>
        <v>1540</v>
      </c>
      <c r="BQ32" s="298">
        <f t="shared" ref="BQ32:BQ33" si="79">BP32+AH32</f>
        <v>1610</v>
      </c>
      <c r="BR32" s="298">
        <f t="shared" ref="BR32:BR33" si="80">BQ32+AI32</f>
        <v>1680</v>
      </c>
      <c r="BS32" s="298">
        <f t="shared" ref="BS32:BS33" si="81">BR32+AJ32</f>
        <v>1750</v>
      </c>
      <c r="BT32" s="298">
        <f t="shared" ref="BT32:BT33" si="82">BS32+AK32</f>
        <v>1820</v>
      </c>
      <c r="BU32" s="298">
        <f t="shared" ref="BU32" si="83">BT32+AL32</f>
        <v>1890</v>
      </c>
      <c r="BV32" s="298">
        <f t="shared" ref="BV32" si="84">BU32+AM32</f>
        <v>1960</v>
      </c>
    </row>
    <row r="33" spans="1:74" x14ac:dyDescent="0.25">
      <c r="A33" s="1753"/>
      <c r="B33" s="202">
        <f>'February 25 D_R (Tramming)'!F19</f>
        <v>6576</v>
      </c>
      <c r="C33" s="352">
        <f>(J26/(J19+J26))*B33</f>
        <v>5178.2201685240561</v>
      </c>
      <c r="D33" s="349">
        <f>(C33-J33)/C33</f>
        <v>0.78660621525581886</v>
      </c>
      <c r="E33" s="226"/>
      <c r="F33" s="1766"/>
      <c r="G33" s="1769"/>
      <c r="H33" s="1772"/>
      <c r="I33" s="1472" t="s">
        <v>342</v>
      </c>
      <c r="J33" s="1473">
        <v>1105</v>
      </c>
      <c r="K33" s="1474">
        <v>-0.44</v>
      </c>
      <c r="L33" s="1433">
        <v>36</v>
      </c>
      <c r="M33" s="1434">
        <v>26</v>
      </c>
      <c r="N33" s="1434">
        <v>40</v>
      </c>
      <c r="O33" s="1435">
        <v>78</v>
      </c>
      <c r="P33" s="1435">
        <v>78</v>
      </c>
      <c r="Q33" s="1434"/>
      <c r="R33" s="1434">
        <v>36</v>
      </c>
      <c r="S33" s="1434"/>
      <c r="T33" s="1434">
        <v>49</v>
      </c>
      <c r="U33" s="1434">
        <v>32</v>
      </c>
      <c r="V33" s="1434">
        <v>15</v>
      </c>
      <c r="W33" s="1434">
        <v>35</v>
      </c>
      <c r="X33" s="1434">
        <v>35</v>
      </c>
      <c r="Y33" s="1434">
        <v>45</v>
      </c>
      <c r="Z33" s="1434">
        <v>48</v>
      </c>
      <c r="AA33" s="1434">
        <v>39</v>
      </c>
      <c r="AB33" s="1434">
        <v>43</v>
      </c>
      <c r="AC33" s="1434" t="s">
        <v>468</v>
      </c>
      <c r="AD33" s="1434">
        <v>18</v>
      </c>
      <c r="AE33" s="1435">
        <v>76</v>
      </c>
      <c r="AF33" s="1434">
        <v>37</v>
      </c>
      <c r="AG33" s="1435">
        <v>70</v>
      </c>
      <c r="AH33" s="1435">
        <v>71</v>
      </c>
      <c r="AI33" s="1434">
        <v>50</v>
      </c>
      <c r="AJ33" s="1434">
        <v>58</v>
      </c>
      <c r="AK33" s="1434">
        <v>44</v>
      </c>
      <c r="AL33" s="1434">
        <v>46</v>
      </c>
      <c r="AM33" s="1434"/>
      <c r="AN33" s="1436"/>
      <c r="AO33" s="1436"/>
      <c r="AP33" s="1436"/>
      <c r="AQ33" s="604"/>
      <c r="AR33" s="308"/>
      <c r="AS33" s="1754"/>
      <c r="AU33" s="226">
        <f>L33</f>
        <v>36</v>
      </c>
      <c r="AV33" s="298">
        <f>AU33+M33</f>
        <v>62</v>
      </c>
      <c r="AW33" s="298">
        <f>AV33+N33</f>
        <v>102</v>
      </c>
      <c r="AX33" s="298">
        <f t="shared" si="60"/>
        <v>180</v>
      </c>
      <c r="AY33" s="298">
        <f t="shared" si="61"/>
        <v>258</v>
      </c>
      <c r="AZ33" s="298">
        <f t="shared" si="62"/>
        <v>258</v>
      </c>
      <c r="BA33" s="298">
        <f t="shared" si="63"/>
        <v>294</v>
      </c>
      <c r="BB33" s="298">
        <f t="shared" si="64"/>
        <v>294</v>
      </c>
      <c r="BC33" s="298">
        <f t="shared" si="65"/>
        <v>343</v>
      </c>
      <c r="BD33" s="298">
        <f t="shared" si="66"/>
        <v>375</v>
      </c>
      <c r="BE33" s="298">
        <f t="shared" si="67"/>
        <v>390</v>
      </c>
      <c r="BF33" s="298">
        <f t="shared" si="68"/>
        <v>425</v>
      </c>
      <c r="BG33" s="298">
        <f t="shared" si="69"/>
        <v>460</v>
      </c>
      <c r="BH33" s="298">
        <f t="shared" si="70"/>
        <v>505</v>
      </c>
      <c r="BI33" s="298">
        <f t="shared" si="71"/>
        <v>553</v>
      </c>
      <c r="BJ33" s="298">
        <f t="shared" si="72"/>
        <v>592</v>
      </c>
      <c r="BK33" s="298">
        <f t="shared" si="73"/>
        <v>635</v>
      </c>
      <c r="BL33" s="298" t="e">
        <f t="shared" si="74"/>
        <v>#VALUE!</v>
      </c>
      <c r="BM33" s="298" t="e">
        <f t="shared" si="75"/>
        <v>#VALUE!</v>
      </c>
      <c r="BN33" s="298" t="e">
        <f t="shared" si="76"/>
        <v>#VALUE!</v>
      </c>
      <c r="BO33" s="298" t="e">
        <f t="shared" si="77"/>
        <v>#VALUE!</v>
      </c>
      <c r="BP33" s="298" t="e">
        <f t="shared" si="78"/>
        <v>#VALUE!</v>
      </c>
      <c r="BQ33" s="298" t="e">
        <f t="shared" si="79"/>
        <v>#VALUE!</v>
      </c>
      <c r="BR33" s="298" t="e">
        <f t="shared" si="80"/>
        <v>#VALUE!</v>
      </c>
      <c r="BS33" s="298" t="e">
        <f t="shared" si="81"/>
        <v>#VALUE!</v>
      </c>
      <c r="BT33" s="298" t="e">
        <f t="shared" si="82"/>
        <v>#VALUE!</v>
      </c>
    </row>
    <row r="34" spans="1:74" x14ac:dyDescent="0.25">
      <c r="A34" s="1753"/>
      <c r="B34" s="202">
        <f>'February 25 D_R (Tramming)'!F20</f>
        <v>0</v>
      </c>
      <c r="E34" s="226"/>
      <c r="F34" s="1766"/>
      <c r="G34" s="1769"/>
      <c r="H34" s="1773"/>
      <c r="I34" s="1486" t="s">
        <v>312</v>
      </c>
      <c r="J34" s="1487"/>
      <c r="K34" s="1488"/>
      <c r="L34" s="605"/>
      <c r="M34" s="605"/>
      <c r="N34" s="605"/>
      <c r="O34" s="605"/>
      <c r="P34" s="605"/>
      <c r="Q34" s="605"/>
      <c r="R34" s="605"/>
      <c r="S34" s="605"/>
      <c r="T34" s="606"/>
      <c r="U34" s="605"/>
      <c r="V34" s="605"/>
      <c r="W34" s="605"/>
      <c r="X34" s="605"/>
      <c r="Y34" s="605"/>
      <c r="Z34" s="605"/>
      <c r="AA34" s="605"/>
      <c r="AB34" s="605"/>
      <c r="AC34" s="605"/>
      <c r="AD34" s="605" t="s">
        <v>538</v>
      </c>
      <c r="AE34" s="605"/>
      <c r="AF34" s="605"/>
      <c r="AG34" s="605"/>
      <c r="AH34" s="605" t="s">
        <v>539</v>
      </c>
      <c r="AI34" s="605"/>
      <c r="AJ34" s="605"/>
      <c r="AK34" s="605"/>
      <c r="AL34" s="605"/>
      <c r="AM34" s="605"/>
      <c r="AN34" s="605"/>
      <c r="AO34" s="605"/>
      <c r="AP34" s="607"/>
      <c r="AQ34" s="608"/>
      <c r="AR34" s="309"/>
      <c r="AS34" s="1754"/>
      <c r="AT34" s="339" t="s">
        <v>540</v>
      </c>
      <c r="AU34" s="227"/>
      <c r="AV34" s="227"/>
      <c r="BL34" s="299"/>
      <c r="BM34" s="299"/>
      <c r="BN34" s="299"/>
      <c r="BO34" s="299"/>
      <c r="BP34" s="299"/>
      <c r="BQ34" s="299"/>
      <c r="BR34" s="299"/>
      <c r="BS34" s="299"/>
      <c r="BT34" s="299"/>
      <c r="BU34" s="299" t="e">
        <f>BT33+AL32</f>
        <v>#VALUE!</v>
      </c>
      <c r="BV34" s="299" t="e">
        <f t="shared" ref="BV34" si="85">BU34+AM32</f>
        <v>#VALUE!</v>
      </c>
    </row>
    <row r="35" spans="1:74" x14ac:dyDescent="0.25">
      <c r="A35" s="1753"/>
      <c r="B35" s="202" t="str">
        <f>'February 25 D_R (Tramming)'!F21</f>
        <v xml:space="preserve">-   </v>
      </c>
      <c r="C35" s="348">
        <f>'February 25 D_R (Tramming)'!F22</f>
        <v>2.48</v>
      </c>
      <c r="E35" s="226"/>
      <c r="F35" s="1766"/>
      <c r="G35" s="1769"/>
      <c r="H35" s="1774" t="s">
        <v>343</v>
      </c>
      <c r="I35" s="1478" t="s">
        <v>344</v>
      </c>
      <c r="J35" s="1479">
        <v>1.31</v>
      </c>
      <c r="K35" s="1480"/>
      <c r="L35" s="1445">
        <v>1.31</v>
      </c>
      <c r="M35" s="1445">
        <v>1.31</v>
      </c>
      <c r="N35" s="1445">
        <v>1.31</v>
      </c>
      <c r="O35" s="1437">
        <v>1.31</v>
      </c>
      <c r="P35" s="1437">
        <v>1.31</v>
      </c>
      <c r="Q35" s="1437">
        <v>1.31</v>
      </c>
      <c r="R35" s="1437">
        <v>1.31</v>
      </c>
      <c r="S35" s="1437">
        <v>1.31</v>
      </c>
      <c r="T35" s="1438">
        <v>1.31</v>
      </c>
      <c r="U35" s="1437">
        <v>1.31</v>
      </c>
      <c r="V35" s="1437">
        <v>1.31</v>
      </c>
      <c r="W35" s="1437">
        <v>1.31</v>
      </c>
      <c r="X35" s="1437">
        <v>1.31</v>
      </c>
      <c r="Y35" s="1437">
        <v>1.31</v>
      </c>
      <c r="Z35" s="1437">
        <v>1.31</v>
      </c>
      <c r="AA35" s="1437">
        <v>1.31</v>
      </c>
      <c r="AB35" s="1437">
        <v>1.31</v>
      </c>
      <c r="AC35" s="1437">
        <v>1.31</v>
      </c>
      <c r="AD35" s="1437">
        <v>1.31</v>
      </c>
      <c r="AE35" s="1437">
        <v>1.31</v>
      </c>
      <c r="AF35" s="1437">
        <v>1.31</v>
      </c>
      <c r="AG35" s="1437">
        <v>1.31</v>
      </c>
      <c r="AH35" s="1437">
        <v>1.31</v>
      </c>
      <c r="AI35" s="1437">
        <v>1.31</v>
      </c>
      <c r="AJ35" s="1437">
        <v>1.31</v>
      </c>
      <c r="AK35" s="1437">
        <v>1.31</v>
      </c>
      <c r="AL35" s="1437">
        <v>1.31</v>
      </c>
      <c r="AM35" s="1437">
        <v>1.31</v>
      </c>
      <c r="AN35" s="1437" t="s">
        <v>468</v>
      </c>
      <c r="AO35" s="1437" t="s">
        <v>468</v>
      </c>
      <c r="AP35" s="1439" t="s">
        <v>468</v>
      </c>
      <c r="AQ35" s="604"/>
      <c r="AR35" s="308"/>
      <c r="AS35" s="1754"/>
      <c r="AU35" s="226"/>
      <c r="AV35" s="226"/>
    </row>
    <row r="36" spans="1:74" x14ac:dyDescent="0.25">
      <c r="A36" s="1753"/>
      <c r="B36" s="202">
        <f>'February 25 D_R (Tramming)'!F22</f>
        <v>2.48</v>
      </c>
      <c r="C36" s="350">
        <f>C38*1000/C33</f>
        <v>2.6585044272938125</v>
      </c>
      <c r="E36" s="226"/>
      <c r="F36" s="1766"/>
      <c r="G36" s="1769"/>
      <c r="H36" s="1773"/>
      <c r="I36" s="1455" t="s">
        <v>345</v>
      </c>
      <c r="J36" s="1481">
        <v>1.03</v>
      </c>
      <c r="K36" s="1474">
        <v>-0.21</v>
      </c>
      <c r="L36" s="1433"/>
      <c r="M36" s="1434"/>
      <c r="N36" s="1434"/>
      <c r="O36" s="1442">
        <v>2.83</v>
      </c>
      <c r="P36" s="1434"/>
      <c r="Q36" s="1434"/>
      <c r="R36" s="1491">
        <v>1.8</v>
      </c>
      <c r="S36" s="1434"/>
      <c r="T36" s="1491">
        <v>1.8</v>
      </c>
      <c r="U36" s="1442">
        <v>3.13</v>
      </c>
      <c r="V36" s="1434"/>
      <c r="W36" s="1434">
        <v>0.47</v>
      </c>
      <c r="X36" s="1434"/>
      <c r="Y36" s="1434">
        <v>0.3</v>
      </c>
      <c r="Z36" s="1442">
        <v>2.31</v>
      </c>
      <c r="AA36" s="1442">
        <v>2.31</v>
      </c>
      <c r="AB36" s="1443">
        <v>1.27</v>
      </c>
      <c r="AC36" s="1491">
        <v>1.66</v>
      </c>
      <c r="AD36" s="1434"/>
      <c r="AE36" s="1443">
        <v>1.1499999999999999</v>
      </c>
      <c r="AF36" s="1434"/>
      <c r="AG36" s="1443">
        <v>1.01</v>
      </c>
      <c r="AH36" s="1443">
        <v>1.01</v>
      </c>
      <c r="AI36" s="1434"/>
      <c r="AJ36" s="1434"/>
      <c r="AK36" s="1442">
        <v>2.39</v>
      </c>
      <c r="AL36" s="1443">
        <v>1.01</v>
      </c>
      <c r="AM36" s="1434"/>
      <c r="AN36" s="1436"/>
      <c r="AO36" s="1436"/>
      <c r="AP36" s="1436"/>
      <c r="AQ36" s="604"/>
      <c r="AR36" s="308"/>
      <c r="AS36" s="1754"/>
      <c r="AU36" s="226"/>
      <c r="AV36" s="226"/>
    </row>
    <row r="37" spans="1:74" x14ac:dyDescent="0.25">
      <c r="A37" s="1753"/>
      <c r="B37" s="202" t="str">
        <f>'February 25 D_R (Tramming)'!F23</f>
        <v xml:space="preserve">-   </v>
      </c>
      <c r="C37" s="354">
        <f>J37</f>
        <v>2.6</v>
      </c>
      <c r="E37" s="226"/>
      <c r="F37" s="1766"/>
      <c r="G37" s="1769"/>
      <c r="H37" s="1774" t="s">
        <v>47</v>
      </c>
      <c r="I37" s="1478" t="s">
        <v>346</v>
      </c>
      <c r="J37" s="609">
        <v>2.6</v>
      </c>
      <c r="K37" s="1480"/>
      <c r="L37" s="1445">
        <v>0.1</v>
      </c>
      <c r="M37" s="1445">
        <v>0.1</v>
      </c>
      <c r="N37" s="1445">
        <v>0.1</v>
      </c>
      <c r="O37" s="1437">
        <v>0.1</v>
      </c>
      <c r="P37" s="1437">
        <v>0.1</v>
      </c>
      <c r="Q37" s="1437">
        <v>0.1</v>
      </c>
      <c r="R37" s="1437">
        <v>0.1</v>
      </c>
      <c r="S37" s="1437">
        <v>0.1</v>
      </c>
      <c r="T37" s="1438">
        <v>0.1</v>
      </c>
      <c r="U37" s="1437">
        <v>0.1</v>
      </c>
      <c r="V37" s="1437">
        <v>0.1</v>
      </c>
      <c r="W37" s="1437">
        <v>0.1</v>
      </c>
      <c r="X37" s="1437">
        <v>0.1</v>
      </c>
      <c r="Y37" s="1437">
        <v>0.1</v>
      </c>
      <c r="Z37" s="1437">
        <v>0.1</v>
      </c>
      <c r="AA37" s="1437">
        <v>0.1</v>
      </c>
      <c r="AB37" s="1437">
        <v>0.1</v>
      </c>
      <c r="AC37" s="1437">
        <v>0.1</v>
      </c>
      <c r="AD37" s="1437">
        <v>0.1</v>
      </c>
      <c r="AE37" s="1437">
        <v>0.1</v>
      </c>
      <c r="AF37" s="1437">
        <v>0.1</v>
      </c>
      <c r="AG37" s="1437">
        <v>0.1</v>
      </c>
      <c r="AH37" s="1437">
        <v>0.1</v>
      </c>
      <c r="AI37" s="1437">
        <v>0.1</v>
      </c>
      <c r="AJ37" s="1437">
        <v>0.1</v>
      </c>
      <c r="AK37" s="1437">
        <v>0.1</v>
      </c>
      <c r="AL37" s="1437">
        <v>0.1</v>
      </c>
      <c r="AM37" s="1437">
        <v>0.1</v>
      </c>
      <c r="AN37" s="1437" t="s">
        <v>468</v>
      </c>
      <c r="AO37" s="1437" t="s">
        <v>468</v>
      </c>
      <c r="AP37" s="1439" t="s">
        <v>468</v>
      </c>
      <c r="AQ37" s="604"/>
      <c r="AR37" s="310"/>
      <c r="AS37" s="1754"/>
      <c r="AT37" s="332"/>
      <c r="AU37" s="226"/>
      <c r="AV37" s="226"/>
    </row>
    <row r="38" spans="1:74" ht="14.25" thickBot="1" x14ac:dyDescent="0.3">
      <c r="A38" s="1753"/>
      <c r="B38" s="202">
        <f>'February 25 D_R (Tramming)'!F24</f>
        <v>16.3</v>
      </c>
      <c r="C38" s="350">
        <f>('February 25 D_R (Tramming)'!F24/(J24+'February 25 D_R (Tramming)'!F24))*B38</f>
        <v>13.766321243523317</v>
      </c>
      <c r="E38" s="226"/>
      <c r="F38" s="1767"/>
      <c r="G38" s="1770"/>
      <c r="H38" s="1775"/>
      <c r="I38" s="1460" t="s">
        <v>347</v>
      </c>
      <c r="J38" s="1482">
        <v>1.1000000000000001</v>
      </c>
      <c r="K38" s="1483">
        <v>-0.56000000000000005</v>
      </c>
      <c r="L38" s="1447" t="s">
        <v>473</v>
      </c>
      <c r="M38" s="1469" t="s">
        <v>468</v>
      </c>
      <c r="N38" s="1469" t="s">
        <v>468</v>
      </c>
      <c r="O38" s="1468">
        <v>0.2</v>
      </c>
      <c r="P38" s="1469" t="s">
        <v>468</v>
      </c>
      <c r="Q38" s="1469" t="s">
        <v>468</v>
      </c>
      <c r="R38" s="1469">
        <v>0.1</v>
      </c>
      <c r="S38" s="1469" t="s">
        <v>468</v>
      </c>
      <c r="T38" s="1469">
        <v>0.1</v>
      </c>
      <c r="U38" s="1468">
        <v>0.1</v>
      </c>
      <c r="V38" s="1469" t="s">
        <v>468</v>
      </c>
      <c r="W38" s="1469">
        <v>0</v>
      </c>
      <c r="X38" s="1469" t="s">
        <v>468</v>
      </c>
      <c r="Y38" s="1469">
        <v>0</v>
      </c>
      <c r="Z38" s="1468">
        <v>0.1</v>
      </c>
      <c r="AA38" s="1469">
        <v>0.1</v>
      </c>
      <c r="AB38" s="1469">
        <v>0.1</v>
      </c>
      <c r="AC38" s="1469" t="s">
        <v>468</v>
      </c>
      <c r="AD38" s="1469" t="s">
        <v>468</v>
      </c>
      <c r="AE38" s="1469">
        <v>0.1</v>
      </c>
      <c r="AF38" s="1469" t="s">
        <v>468</v>
      </c>
      <c r="AG38" s="1469">
        <v>0.1</v>
      </c>
      <c r="AH38" s="1469">
        <v>0.1</v>
      </c>
      <c r="AI38" s="1469" t="s">
        <v>468</v>
      </c>
      <c r="AJ38" s="1469" t="s">
        <v>468</v>
      </c>
      <c r="AK38" s="1468">
        <v>0.1</v>
      </c>
      <c r="AL38" s="1469">
        <v>0</v>
      </c>
      <c r="AM38" s="1469" t="s">
        <v>468</v>
      </c>
      <c r="AN38" s="1470" t="s">
        <v>468</v>
      </c>
      <c r="AO38" s="1470" t="s">
        <v>468</v>
      </c>
      <c r="AP38" s="1470" t="s">
        <v>468</v>
      </c>
      <c r="AQ38" s="610"/>
      <c r="AR38" s="311"/>
      <c r="AS38" s="1754"/>
      <c r="AU38" s="226"/>
      <c r="AV38" s="226"/>
    </row>
    <row r="39" spans="1:74" s="194" customFormat="1" ht="14.45" customHeight="1" x14ac:dyDescent="0.25">
      <c r="A39" s="1753" t="s">
        <v>541</v>
      </c>
      <c r="B39" s="194" t="str">
        <f>'February 25 D_R (Tramming)'!F32</f>
        <v xml:space="preserve">-   </v>
      </c>
      <c r="C39" s="353">
        <f>J39</f>
        <v>1960</v>
      </c>
      <c r="E39" s="226"/>
      <c r="F39" s="1765"/>
      <c r="G39" s="1768" t="s">
        <v>472</v>
      </c>
      <c r="H39" s="1771" t="s">
        <v>340</v>
      </c>
      <c r="I39" s="596" t="s">
        <v>341</v>
      </c>
      <c r="J39" s="597">
        <v>1960</v>
      </c>
      <c r="K39" s="598"/>
      <c r="L39" s="599">
        <v>70</v>
      </c>
      <c r="M39" s="599">
        <v>70</v>
      </c>
      <c r="N39" s="599">
        <v>70</v>
      </c>
      <c r="O39" s="600">
        <v>70</v>
      </c>
      <c r="P39" s="600">
        <v>70</v>
      </c>
      <c r="Q39" s="600">
        <v>70</v>
      </c>
      <c r="R39" s="600">
        <v>70</v>
      </c>
      <c r="S39" s="600">
        <v>70</v>
      </c>
      <c r="T39" s="601">
        <v>70</v>
      </c>
      <c r="U39" s="600">
        <v>70</v>
      </c>
      <c r="V39" s="600">
        <v>70</v>
      </c>
      <c r="W39" s="600">
        <v>70</v>
      </c>
      <c r="X39" s="600">
        <v>70</v>
      </c>
      <c r="Y39" s="600">
        <v>70</v>
      </c>
      <c r="Z39" s="600">
        <v>70</v>
      </c>
      <c r="AA39" s="600">
        <v>70</v>
      </c>
      <c r="AB39" s="600">
        <v>70</v>
      </c>
      <c r="AC39" s="600">
        <v>70</v>
      </c>
      <c r="AD39" s="600">
        <v>70</v>
      </c>
      <c r="AE39" s="600">
        <v>70</v>
      </c>
      <c r="AF39" s="600">
        <v>70</v>
      </c>
      <c r="AG39" s="600">
        <v>70</v>
      </c>
      <c r="AH39" s="600">
        <v>70</v>
      </c>
      <c r="AI39" s="600">
        <v>70</v>
      </c>
      <c r="AJ39" s="600">
        <v>70</v>
      </c>
      <c r="AK39" s="600">
        <v>70</v>
      </c>
      <c r="AL39" s="600">
        <v>70</v>
      </c>
      <c r="AM39" s="600">
        <v>70</v>
      </c>
      <c r="AN39" s="600" t="s">
        <v>468</v>
      </c>
      <c r="AO39" s="600" t="s">
        <v>468</v>
      </c>
      <c r="AP39" s="602" t="s">
        <v>468</v>
      </c>
      <c r="AQ39" s="603"/>
      <c r="AR39" s="307"/>
      <c r="AS39" s="1754" t="s">
        <v>542</v>
      </c>
      <c r="AT39" s="332"/>
      <c r="AU39" s="226">
        <f>L39</f>
        <v>70</v>
      </c>
      <c r="AV39" s="298">
        <f>AU39+M39</f>
        <v>140</v>
      </c>
      <c r="AW39" s="298">
        <f>AV39+N39</f>
        <v>210</v>
      </c>
      <c r="AX39" s="298">
        <f t="shared" ref="AX39:AX40" si="86">AW39+O39</f>
        <v>280</v>
      </c>
      <c r="AY39" s="298">
        <f t="shared" ref="AY39:AY40" si="87">AX39+P39</f>
        <v>350</v>
      </c>
      <c r="AZ39" s="298">
        <f t="shared" ref="AZ39:AZ40" si="88">AY39+Q39</f>
        <v>420</v>
      </c>
      <c r="BA39" s="298">
        <f t="shared" ref="BA39:BA40" si="89">AZ39+R39</f>
        <v>490</v>
      </c>
      <c r="BB39" s="298">
        <f t="shared" ref="BB39:BB40" si="90">BA39+S39</f>
        <v>560</v>
      </c>
      <c r="BC39" s="298">
        <f t="shared" ref="BC39:BC40" si="91">BB39+T39</f>
        <v>630</v>
      </c>
      <c r="BD39" s="298">
        <f t="shared" ref="BD39:BD40" si="92">BC39+U39</f>
        <v>700</v>
      </c>
      <c r="BE39" s="298">
        <f t="shared" ref="BE39:BE40" si="93">BD39+V39</f>
        <v>770</v>
      </c>
      <c r="BF39" s="298">
        <f t="shared" ref="BF39:BF40" si="94">BE39+W39</f>
        <v>840</v>
      </c>
      <c r="BG39" s="298">
        <f t="shared" ref="BG39:BG40" si="95">BF39+X39</f>
        <v>910</v>
      </c>
      <c r="BH39" s="298">
        <f t="shared" ref="BH39:BH40" si="96">BG39+Y39</f>
        <v>980</v>
      </c>
      <c r="BI39" s="298">
        <f t="shared" ref="BI39:BI40" si="97">BH39+Z39</f>
        <v>1050</v>
      </c>
      <c r="BJ39" s="298">
        <f t="shared" ref="BJ39:BJ40" si="98">BI39+AA39</f>
        <v>1120</v>
      </c>
      <c r="BK39" s="298">
        <f t="shared" ref="BK39:BK40" si="99">BJ39+AB39</f>
        <v>1190</v>
      </c>
      <c r="BL39" s="298">
        <f t="shared" ref="BL39:BL40" si="100">BK39+AC39</f>
        <v>1260</v>
      </c>
      <c r="BM39" s="298">
        <f t="shared" ref="BM39:BM40" si="101">BL39+AD39</f>
        <v>1330</v>
      </c>
      <c r="BN39" s="298">
        <f t="shared" ref="BN39:BN40" si="102">BM39+AE39</f>
        <v>1400</v>
      </c>
      <c r="BO39" s="298">
        <f t="shared" ref="BO39:BO40" si="103">BN39+AF39</f>
        <v>1470</v>
      </c>
      <c r="BP39" s="298">
        <f t="shared" ref="BP39:BP40" si="104">BO39+AG39</f>
        <v>1540</v>
      </c>
      <c r="BQ39" s="298">
        <f t="shared" ref="BQ39:BQ40" si="105">BP39+AH39</f>
        <v>1610</v>
      </c>
      <c r="BR39" s="298">
        <f t="shared" ref="BR39:BR40" si="106">BQ39+AI39</f>
        <v>1680</v>
      </c>
      <c r="BS39" s="298">
        <f t="shared" ref="BS39:BS40" si="107">BR39+AJ39</f>
        <v>1750</v>
      </c>
      <c r="BT39" s="298">
        <f t="shared" ref="BT39:BT40" si="108">BS39+AK39</f>
        <v>1820</v>
      </c>
      <c r="BU39" s="298">
        <f t="shared" ref="BU39" si="109">BT39+AL39</f>
        <v>1890</v>
      </c>
      <c r="BV39" s="298">
        <f t="shared" ref="BV39" si="110">BU39+AM39</f>
        <v>1960</v>
      </c>
    </row>
    <row r="40" spans="1:74" x14ac:dyDescent="0.25">
      <c r="A40" s="1753"/>
      <c r="B40" s="194">
        <f>'February 25 D_R (Tramming)'!F33</f>
        <v>1084</v>
      </c>
      <c r="C40" s="352">
        <f>(J40/(J40))*B40</f>
        <v>1084</v>
      </c>
      <c r="D40" s="349">
        <f>(C40-J40)/C40</f>
        <v>-1.4806273062730628</v>
      </c>
      <c r="E40" s="226"/>
      <c r="F40" s="1766"/>
      <c r="G40" s="1769"/>
      <c r="H40" s="1772"/>
      <c r="I40" s="1472" t="s">
        <v>342</v>
      </c>
      <c r="J40" s="1484">
        <v>2689</v>
      </c>
      <c r="K40" s="1485">
        <v>0.37</v>
      </c>
      <c r="L40" s="1433"/>
      <c r="M40" s="1434">
        <v>27</v>
      </c>
      <c r="N40" s="1434">
        <v>40</v>
      </c>
      <c r="O40" s="1435">
        <v>73</v>
      </c>
      <c r="P40" s="1434">
        <v>68</v>
      </c>
      <c r="Q40" s="1435">
        <v>90</v>
      </c>
      <c r="R40" s="1435">
        <v>204</v>
      </c>
      <c r="S40" s="1435">
        <v>134</v>
      </c>
      <c r="T40" s="1435">
        <v>143</v>
      </c>
      <c r="U40" s="1435">
        <v>107</v>
      </c>
      <c r="V40" s="1435">
        <v>106</v>
      </c>
      <c r="W40" s="1435">
        <v>107</v>
      </c>
      <c r="X40" s="1435">
        <v>117</v>
      </c>
      <c r="Y40" s="1435">
        <v>142</v>
      </c>
      <c r="Z40" s="1435">
        <v>149</v>
      </c>
      <c r="AA40" s="1435">
        <v>140</v>
      </c>
      <c r="AB40" s="1435">
        <v>129</v>
      </c>
      <c r="AC40" s="1435">
        <v>96</v>
      </c>
      <c r="AD40" s="1434">
        <v>61</v>
      </c>
      <c r="AE40" s="1434">
        <v>54</v>
      </c>
      <c r="AF40" s="1435">
        <v>78</v>
      </c>
      <c r="AG40" s="1434">
        <v>60</v>
      </c>
      <c r="AH40" s="1435">
        <v>80</v>
      </c>
      <c r="AI40" s="1435">
        <v>82</v>
      </c>
      <c r="AJ40" s="1435">
        <v>106</v>
      </c>
      <c r="AK40" s="1435">
        <v>72</v>
      </c>
      <c r="AL40" s="1435">
        <v>83</v>
      </c>
      <c r="AM40" s="1435">
        <v>141</v>
      </c>
      <c r="AN40" s="1436"/>
      <c r="AO40" s="1436"/>
      <c r="AP40" s="1436"/>
      <c r="AQ40" s="604"/>
      <c r="AR40" s="308"/>
      <c r="AS40" s="1754"/>
      <c r="AU40" s="226">
        <f>L40</f>
        <v>0</v>
      </c>
      <c r="AV40" s="298">
        <f>AU40+M40</f>
        <v>27</v>
      </c>
      <c r="AW40" s="298">
        <f>AV40+N40</f>
        <v>67</v>
      </c>
      <c r="AX40" s="298">
        <f t="shared" si="86"/>
        <v>140</v>
      </c>
      <c r="AY40" s="298">
        <f t="shared" si="87"/>
        <v>208</v>
      </c>
      <c r="AZ40" s="298">
        <f t="shared" si="88"/>
        <v>298</v>
      </c>
      <c r="BA40" s="298">
        <f t="shared" si="89"/>
        <v>502</v>
      </c>
      <c r="BB40" s="298">
        <f t="shared" si="90"/>
        <v>636</v>
      </c>
      <c r="BC40" s="298">
        <f t="shared" si="91"/>
        <v>779</v>
      </c>
      <c r="BD40" s="298">
        <f t="shared" si="92"/>
        <v>886</v>
      </c>
      <c r="BE40" s="298">
        <f t="shared" si="93"/>
        <v>992</v>
      </c>
      <c r="BF40" s="298">
        <f t="shared" si="94"/>
        <v>1099</v>
      </c>
      <c r="BG40" s="298">
        <f t="shared" si="95"/>
        <v>1216</v>
      </c>
      <c r="BH40" s="298">
        <f t="shared" si="96"/>
        <v>1358</v>
      </c>
      <c r="BI40" s="298">
        <f t="shared" si="97"/>
        <v>1507</v>
      </c>
      <c r="BJ40" s="298">
        <f t="shared" si="98"/>
        <v>1647</v>
      </c>
      <c r="BK40" s="298">
        <f t="shared" si="99"/>
        <v>1776</v>
      </c>
      <c r="BL40" s="298">
        <f t="shared" si="100"/>
        <v>1872</v>
      </c>
      <c r="BM40" s="298">
        <f t="shared" si="101"/>
        <v>1933</v>
      </c>
      <c r="BN40" s="298">
        <f t="shared" si="102"/>
        <v>1987</v>
      </c>
      <c r="BO40" s="298">
        <f t="shared" si="103"/>
        <v>2065</v>
      </c>
      <c r="BP40" s="298">
        <f t="shared" si="104"/>
        <v>2125</v>
      </c>
      <c r="BQ40" s="298">
        <f t="shared" si="105"/>
        <v>2205</v>
      </c>
      <c r="BR40" s="298">
        <f t="shared" si="106"/>
        <v>2287</v>
      </c>
      <c r="BS40" s="298">
        <f t="shared" si="107"/>
        <v>2393</v>
      </c>
      <c r="BT40" s="298">
        <f t="shared" si="108"/>
        <v>2465</v>
      </c>
    </row>
    <row r="41" spans="1:74" x14ac:dyDescent="0.25">
      <c r="A41" s="1753"/>
      <c r="B41" s="194">
        <f>'February 25 D_R (Tramming)'!F34</f>
        <v>0</v>
      </c>
      <c r="E41" s="226"/>
      <c r="F41" s="1766"/>
      <c r="G41" s="1769"/>
      <c r="H41" s="1773"/>
      <c r="I41" s="1486" t="s">
        <v>312</v>
      </c>
      <c r="J41" s="1487"/>
      <c r="K41" s="1488"/>
      <c r="L41" s="605"/>
      <c r="M41" s="605"/>
      <c r="N41" s="605"/>
      <c r="O41" s="605"/>
      <c r="P41" s="605"/>
      <c r="Q41" s="605"/>
      <c r="R41" s="605"/>
      <c r="S41" s="605"/>
      <c r="T41" s="606"/>
      <c r="U41" s="605"/>
      <c r="V41" s="605"/>
      <c r="W41" s="605"/>
      <c r="X41" s="605"/>
      <c r="Y41" s="605"/>
      <c r="Z41" s="605"/>
      <c r="AA41" s="605"/>
      <c r="AB41" s="605"/>
      <c r="AC41" s="605"/>
      <c r="AD41" s="605" t="s">
        <v>538</v>
      </c>
      <c r="AE41" s="605"/>
      <c r="AF41" s="605"/>
      <c r="AG41" s="605"/>
      <c r="AH41" s="605" t="s">
        <v>543</v>
      </c>
      <c r="AI41" s="605"/>
      <c r="AJ41" s="605"/>
      <c r="AK41" s="605"/>
      <c r="AL41" s="605"/>
      <c r="AM41" s="605"/>
      <c r="AN41" s="605"/>
      <c r="AO41" s="605"/>
      <c r="AP41" s="607"/>
      <c r="AQ41" s="608"/>
      <c r="AR41" s="309"/>
      <c r="AS41" s="1754"/>
      <c r="AT41" s="333"/>
      <c r="AU41" s="227"/>
      <c r="AV41" s="227"/>
      <c r="BL41" s="299"/>
      <c r="BM41" s="299"/>
      <c r="BN41" s="299"/>
      <c r="BO41" s="299"/>
      <c r="BP41" s="299"/>
      <c r="BQ41" s="299"/>
      <c r="BR41" s="299"/>
      <c r="BS41" s="299"/>
      <c r="BT41" s="299"/>
      <c r="BU41" s="299">
        <f>BT40+AL39</f>
        <v>2535</v>
      </c>
      <c r="BV41" s="299">
        <f t="shared" ref="BV41" si="111">BU41+AM39</f>
        <v>2605</v>
      </c>
    </row>
    <row r="42" spans="1:74" x14ac:dyDescent="0.25">
      <c r="A42" s="1753"/>
      <c r="B42" s="194" t="str">
        <f>'February 25 D_R (Tramming)'!F35</f>
        <v xml:space="preserve">-   </v>
      </c>
      <c r="C42" s="348">
        <f>J42</f>
        <v>1.69</v>
      </c>
      <c r="E42" s="226"/>
      <c r="F42" s="1766"/>
      <c r="G42" s="1769"/>
      <c r="H42" s="1774" t="s">
        <v>343</v>
      </c>
      <c r="I42" s="1478" t="s">
        <v>344</v>
      </c>
      <c r="J42" s="1479">
        <v>1.69</v>
      </c>
      <c r="K42" s="1480"/>
      <c r="L42" s="1445">
        <v>1.69</v>
      </c>
      <c r="M42" s="1445">
        <v>1.69</v>
      </c>
      <c r="N42" s="1445">
        <v>1.69</v>
      </c>
      <c r="O42" s="1437">
        <v>1.69</v>
      </c>
      <c r="P42" s="1437">
        <v>1.69</v>
      </c>
      <c r="Q42" s="1437">
        <v>1.69</v>
      </c>
      <c r="R42" s="1437">
        <v>1.69</v>
      </c>
      <c r="S42" s="1437">
        <v>1.69</v>
      </c>
      <c r="T42" s="1438">
        <v>1.69</v>
      </c>
      <c r="U42" s="1437">
        <v>1.69</v>
      </c>
      <c r="V42" s="1437">
        <v>1.69</v>
      </c>
      <c r="W42" s="1437">
        <v>1.69</v>
      </c>
      <c r="X42" s="1437">
        <v>1.69</v>
      </c>
      <c r="Y42" s="1437">
        <v>1.69</v>
      </c>
      <c r="Z42" s="1437">
        <v>1.69</v>
      </c>
      <c r="AA42" s="1437">
        <v>1.69</v>
      </c>
      <c r="AB42" s="1437">
        <v>1.69</v>
      </c>
      <c r="AC42" s="1437">
        <v>1.69</v>
      </c>
      <c r="AD42" s="1437">
        <v>1.69</v>
      </c>
      <c r="AE42" s="1437">
        <v>1.69</v>
      </c>
      <c r="AF42" s="1437">
        <v>1.69</v>
      </c>
      <c r="AG42" s="1437">
        <v>1.69</v>
      </c>
      <c r="AH42" s="1437">
        <v>1.69</v>
      </c>
      <c r="AI42" s="1437">
        <v>1.69</v>
      </c>
      <c r="AJ42" s="1437">
        <v>1.69</v>
      </c>
      <c r="AK42" s="1437">
        <v>1.69</v>
      </c>
      <c r="AL42" s="1437">
        <v>1.69</v>
      </c>
      <c r="AM42" s="1437">
        <v>1.69</v>
      </c>
      <c r="AN42" s="1437" t="s">
        <v>468</v>
      </c>
      <c r="AO42" s="1437" t="s">
        <v>468</v>
      </c>
      <c r="AP42" s="1439" t="s">
        <v>468</v>
      </c>
      <c r="AQ42" s="604"/>
      <c r="AR42" s="308"/>
      <c r="AS42" s="1754"/>
      <c r="AT42" s="339" t="s">
        <v>536</v>
      </c>
      <c r="AU42" s="226"/>
      <c r="AV42" s="226"/>
    </row>
    <row r="43" spans="1:74" x14ac:dyDescent="0.25">
      <c r="A43" s="1753"/>
      <c r="B43" s="194">
        <f>'February 25 D_R (Tramming)'!F36</f>
        <v>1.3</v>
      </c>
      <c r="C43" s="350">
        <f>C45*1000/C40</f>
        <v>1.2915129151291513</v>
      </c>
      <c r="E43" s="226"/>
      <c r="F43" s="1766"/>
      <c r="G43" s="1769"/>
      <c r="H43" s="1773"/>
      <c r="I43" s="1455" t="s">
        <v>345</v>
      </c>
      <c r="J43" s="1492">
        <v>2.16</v>
      </c>
      <c r="K43" s="1485">
        <v>0.28000000000000003</v>
      </c>
      <c r="L43" s="1451">
        <v>2.2000000000000002</v>
      </c>
      <c r="M43" s="1442">
        <v>2.2000000000000002</v>
      </c>
      <c r="N43" s="1434">
        <v>0.4</v>
      </c>
      <c r="O43" s="1434">
        <v>0.56999999999999995</v>
      </c>
      <c r="P43" s="1443">
        <v>0.67</v>
      </c>
      <c r="Q43" s="1443">
        <v>1.2</v>
      </c>
      <c r="R43" s="1443">
        <v>1.28</v>
      </c>
      <c r="S43" s="1442">
        <v>5.01</v>
      </c>
      <c r="T43" s="1442">
        <v>5.01</v>
      </c>
      <c r="U43" s="1443">
        <v>1.28</v>
      </c>
      <c r="V43" s="1491">
        <v>1.78</v>
      </c>
      <c r="W43" s="1443">
        <v>0.93</v>
      </c>
      <c r="X43" s="1442">
        <v>3.41</v>
      </c>
      <c r="Y43" s="1442">
        <v>3.52</v>
      </c>
      <c r="Z43" s="1441">
        <v>1.66</v>
      </c>
      <c r="AA43" s="1441">
        <v>1.66</v>
      </c>
      <c r="AB43" s="1442">
        <v>2.17</v>
      </c>
      <c r="AC43" s="1491">
        <v>1.73</v>
      </c>
      <c r="AD43" s="1442">
        <v>2.0299999999999998</v>
      </c>
      <c r="AE43" s="1442">
        <v>3.08</v>
      </c>
      <c r="AF43" s="1491">
        <v>1.83</v>
      </c>
      <c r="AG43" s="1442">
        <v>2.09</v>
      </c>
      <c r="AH43" s="1442">
        <v>2.09</v>
      </c>
      <c r="AI43" s="1491">
        <v>1.88</v>
      </c>
      <c r="AJ43" s="1442">
        <v>2.0499999999999998</v>
      </c>
      <c r="AK43" s="1442">
        <v>2.38</v>
      </c>
      <c r="AL43" s="1434"/>
      <c r="AM43" s="1442">
        <v>2.69</v>
      </c>
      <c r="AN43" s="1436"/>
      <c r="AO43" s="1436"/>
      <c r="AP43" s="1436"/>
      <c r="AQ43" s="604"/>
      <c r="AR43" s="308"/>
      <c r="AS43" s="1754"/>
      <c r="AU43" s="226"/>
      <c r="AV43" s="226"/>
    </row>
    <row r="44" spans="1:74" x14ac:dyDescent="0.25">
      <c r="A44" s="1753"/>
      <c r="B44" s="194" t="str">
        <f>'February 25 D_R (Tramming)'!F37</f>
        <v xml:space="preserve">-   </v>
      </c>
      <c r="C44" s="354">
        <f>J44</f>
        <v>3.3</v>
      </c>
      <c r="E44" s="226"/>
      <c r="F44" s="1766"/>
      <c r="G44" s="1769"/>
      <c r="H44" s="1774" t="s">
        <v>47</v>
      </c>
      <c r="I44" s="1478" t="s">
        <v>346</v>
      </c>
      <c r="J44" s="609">
        <v>3.3</v>
      </c>
      <c r="K44" s="1480"/>
      <c r="L44" s="1445">
        <v>0.1</v>
      </c>
      <c r="M44" s="1445">
        <v>0.1</v>
      </c>
      <c r="N44" s="1445">
        <v>0.1</v>
      </c>
      <c r="O44" s="1437">
        <v>0.1</v>
      </c>
      <c r="P44" s="1437">
        <v>0.1</v>
      </c>
      <c r="Q44" s="1437">
        <v>0.1</v>
      </c>
      <c r="R44" s="1437">
        <v>0.1</v>
      </c>
      <c r="S44" s="1437">
        <v>0.1</v>
      </c>
      <c r="T44" s="1438">
        <v>0.1</v>
      </c>
      <c r="U44" s="1437">
        <v>0.1</v>
      </c>
      <c r="V44" s="1437">
        <v>0.1</v>
      </c>
      <c r="W44" s="1437">
        <v>0.1</v>
      </c>
      <c r="X44" s="1437">
        <v>0.1</v>
      </c>
      <c r="Y44" s="1437">
        <v>0.1</v>
      </c>
      <c r="Z44" s="1437">
        <v>0.1</v>
      </c>
      <c r="AA44" s="1437">
        <v>0.1</v>
      </c>
      <c r="AB44" s="1437">
        <v>0.1</v>
      </c>
      <c r="AC44" s="1437">
        <v>0.1</v>
      </c>
      <c r="AD44" s="1437">
        <v>0.1</v>
      </c>
      <c r="AE44" s="1437">
        <v>0.1</v>
      </c>
      <c r="AF44" s="1437">
        <v>0.1</v>
      </c>
      <c r="AG44" s="1437">
        <v>0.1</v>
      </c>
      <c r="AH44" s="1437">
        <v>0.1</v>
      </c>
      <c r="AI44" s="1437">
        <v>0.1</v>
      </c>
      <c r="AJ44" s="1437">
        <v>0.1</v>
      </c>
      <c r="AK44" s="1437">
        <v>0.1</v>
      </c>
      <c r="AL44" s="1437">
        <v>0.1</v>
      </c>
      <c r="AM44" s="1437">
        <v>0.1</v>
      </c>
      <c r="AN44" s="1437" t="s">
        <v>468</v>
      </c>
      <c r="AO44" s="1437" t="s">
        <v>468</v>
      </c>
      <c r="AP44" s="1439" t="s">
        <v>468</v>
      </c>
      <c r="AQ44" s="604"/>
      <c r="AR44" s="310"/>
      <c r="AS44" s="1754"/>
      <c r="AT44" s="332"/>
      <c r="AU44" s="226"/>
      <c r="AV44" s="226"/>
    </row>
    <row r="45" spans="1:74" ht="14.25" thickBot="1" x14ac:dyDescent="0.3">
      <c r="A45" s="1753"/>
      <c r="B45" s="194">
        <f>'February 25 D_R (Tramming)'!F38</f>
        <v>1.4</v>
      </c>
      <c r="C45" s="350">
        <f>(J45/(J45))*B45</f>
        <v>1.4</v>
      </c>
      <c r="E45" s="226"/>
      <c r="F45" s="1767"/>
      <c r="G45" s="1770"/>
      <c r="H45" s="1775"/>
      <c r="I45" s="1460" t="s">
        <v>347</v>
      </c>
      <c r="J45" s="1489">
        <v>5.8</v>
      </c>
      <c r="K45" s="1490">
        <v>0.76</v>
      </c>
      <c r="L45" s="1447" t="s">
        <v>473</v>
      </c>
      <c r="M45" s="1469">
        <v>0.1</v>
      </c>
      <c r="N45" s="1469">
        <v>0</v>
      </c>
      <c r="O45" s="1469">
        <v>0</v>
      </c>
      <c r="P45" s="1469">
        <v>0</v>
      </c>
      <c r="Q45" s="1469">
        <v>0.1</v>
      </c>
      <c r="R45" s="1468">
        <v>0.3</v>
      </c>
      <c r="S45" s="1468">
        <v>0.7</v>
      </c>
      <c r="T45" s="1468">
        <v>0.7</v>
      </c>
      <c r="U45" s="1468">
        <v>0.1</v>
      </c>
      <c r="V45" s="1468">
        <v>0.2</v>
      </c>
      <c r="W45" s="1469">
        <v>0.1</v>
      </c>
      <c r="X45" s="1468">
        <v>0.4</v>
      </c>
      <c r="Y45" s="1468">
        <v>0.5</v>
      </c>
      <c r="Z45" s="1468">
        <v>0.2</v>
      </c>
      <c r="AA45" s="1468">
        <v>0.2</v>
      </c>
      <c r="AB45" s="1468">
        <v>0.3</v>
      </c>
      <c r="AC45" s="1468">
        <v>0.2</v>
      </c>
      <c r="AD45" s="1468">
        <v>0.1</v>
      </c>
      <c r="AE45" s="1468">
        <v>0.2</v>
      </c>
      <c r="AF45" s="1468">
        <v>0.1</v>
      </c>
      <c r="AG45" s="1468">
        <v>0.1</v>
      </c>
      <c r="AH45" s="1468">
        <v>0.2</v>
      </c>
      <c r="AI45" s="1468">
        <v>0.2</v>
      </c>
      <c r="AJ45" s="1468">
        <v>0.2</v>
      </c>
      <c r="AK45" s="1468">
        <v>0.2</v>
      </c>
      <c r="AL45" s="1469" t="s">
        <v>468</v>
      </c>
      <c r="AM45" s="1468">
        <v>0.4</v>
      </c>
      <c r="AN45" s="1470" t="s">
        <v>468</v>
      </c>
      <c r="AO45" s="1470" t="s">
        <v>468</v>
      </c>
      <c r="AP45" s="1470" t="s">
        <v>468</v>
      </c>
      <c r="AQ45" s="610"/>
      <c r="AR45" s="311"/>
      <c r="AS45" s="1754"/>
      <c r="AU45" s="340">
        <f>J45*31.10348</f>
        <v>180.400184</v>
      </c>
      <c r="AV45" s="226"/>
    </row>
    <row r="46" spans="1:74" s="194" customFormat="1" ht="14.45" customHeight="1" x14ac:dyDescent="0.25">
      <c r="A46" s="1753" t="s">
        <v>544</v>
      </c>
      <c r="B46" s="194" t="str">
        <f>'February 25 D_R (Tramming)'!F46</f>
        <v xml:space="preserve">-   </v>
      </c>
      <c r="C46" s="353">
        <f>J46</f>
        <v>3920</v>
      </c>
      <c r="E46" s="226"/>
      <c r="F46" s="1765"/>
      <c r="G46" s="1768" t="s">
        <v>366</v>
      </c>
      <c r="H46" s="1771" t="s">
        <v>340</v>
      </c>
      <c r="I46" s="596" t="s">
        <v>341</v>
      </c>
      <c r="J46" s="597">
        <v>3920</v>
      </c>
      <c r="K46" s="598"/>
      <c r="L46" s="599">
        <v>140</v>
      </c>
      <c r="M46" s="599">
        <v>140</v>
      </c>
      <c r="N46" s="599">
        <v>140</v>
      </c>
      <c r="O46" s="600">
        <v>140</v>
      </c>
      <c r="P46" s="600">
        <v>140</v>
      </c>
      <c r="Q46" s="600">
        <v>140</v>
      </c>
      <c r="R46" s="600">
        <v>140</v>
      </c>
      <c r="S46" s="600">
        <v>140</v>
      </c>
      <c r="T46" s="601">
        <v>140</v>
      </c>
      <c r="U46" s="600">
        <v>140</v>
      </c>
      <c r="V46" s="600">
        <v>140</v>
      </c>
      <c r="W46" s="600">
        <v>140</v>
      </c>
      <c r="X46" s="600">
        <v>140</v>
      </c>
      <c r="Y46" s="600">
        <v>140</v>
      </c>
      <c r="Z46" s="600">
        <v>140</v>
      </c>
      <c r="AA46" s="600">
        <v>140</v>
      </c>
      <c r="AB46" s="600">
        <v>140</v>
      </c>
      <c r="AC46" s="600">
        <v>140</v>
      </c>
      <c r="AD46" s="600">
        <v>140</v>
      </c>
      <c r="AE46" s="600">
        <v>140</v>
      </c>
      <c r="AF46" s="600">
        <v>140</v>
      </c>
      <c r="AG46" s="600">
        <v>140</v>
      </c>
      <c r="AH46" s="600">
        <v>140</v>
      </c>
      <c r="AI46" s="600">
        <v>140</v>
      </c>
      <c r="AJ46" s="600">
        <v>140</v>
      </c>
      <c r="AK46" s="600">
        <v>140</v>
      </c>
      <c r="AL46" s="600">
        <v>140</v>
      </c>
      <c r="AM46" s="600">
        <v>140</v>
      </c>
      <c r="AN46" s="611" t="s">
        <v>468</v>
      </c>
      <c r="AO46" s="611" t="s">
        <v>468</v>
      </c>
      <c r="AP46" s="612" t="s">
        <v>468</v>
      </c>
      <c r="AQ46" s="603"/>
      <c r="AR46" s="307"/>
      <c r="AS46" s="1754" t="s">
        <v>545</v>
      </c>
      <c r="AT46" s="332"/>
      <c r="AU46" s="226">
        <f>L46</f>
        <v>140</v>
      </c>
      <c r="AV46" s="298">
        <f>AU46+M46</f>
        <v>280</v>
      </c>
      <c r="AW46" s="298">
        <f>AV46+N46</f>
        <v>420</v>
      </c>
      <c r="AX46" s="298">
        <f t="shared" ref="AX46:AX47" si="112">AW46+O46</f>
        <v>560</v>
      </c>
      <c r="AY46" s="298">
        <f t="shared" ref="AY46:AY47" si="113">AX46+P46</f>
        <v>700</v>
      </c>
      <c r="AZ46" s="298">
        <f t="shared" ref="AZ46:AZ47" si="114">AY46+Q46</f>
        <v>840</v>
      </c>
      <c r="BA46" s="298">
        <f t="shared" ref="BA46:BA47" si="115">AZ46+R46</f>
        <v>980</v>
      </c>
      <c r="BB46" s="298">
        <f t="shared" ref="BB46:BB47" si="116">BA46+S46</f>
        <v>1120</v>
      </c>
      <c r="BC46" s="298">
        <f t="shared" ref="BC46:BC47" si="117">BB46+T46</f>
        <v>1260</v>
      </c>
      <c r="BD46" s="298">
        <f t="shared" ref="BD46:BD47" si="118">BC46+U46</f>
        <v>1400</v>
      </c>
      <c r="BE46" s="298">
        <f t="shared" ref="BE46:BE47" si="119">BD46+V46</f>
        <v>1540</v>
      </c>
      <c r="BF46" s="298">
        <f t="shared" ref="BF46:BF47" si="120">BE46+W46</f>
        <v>1680</v>
      </c>
      <c r="BG46" s="298">
        <f t="shared" ref="BG46:BG47" si="121">BF46+X46</f>
        <v>1820</v>
      </c>
      <c r="BH46" s="298">
        <f t="shared" ref="BH46:BH47" si="122">BG46+Y46</f>
        <v>1960</v>
      </c>
      <c r="BI46" s="298">
        <f t="shared" ref="BI46:BI47" si="123">BH46+Z46</f>
        <v>2100</v>
      </c>
      <c r="BJ46" s="298">
        <f t="shared" ref="BJ46:BJ47" si="124">BI46+AA46</f>
        <v>2240</v>
      </c>
      <c r="BK46" s="298">
        <f t="shared" ref="BK46:BK47" si="125">BJ46+AB46</f>
        <v>2380</v>
      </c>
      <c r="BL46" s="298">
        <f t="shared" ref="BL46:BL47" si="126">BK46+AC46</f>
        <v>2520</v>
      </c>
      <c r="BM46" s="298">
        <f t="shared" ref="BM46:BM47" si="127">BL46+AD46</f>
        <v>2660</v>
      </c>
      <c r="BN46" s="298">
        <f t="shared" ref="BN46:BN47" si="128">BM46+AE46</f>
        <v>2800</v>
      </c>
      <c r="BO46" s="298">
        <f t="shared" ref="BO46:BO47" si="129">BN46+AF46</f>
        <v>2940</v>
      </c>
      <c r="BP46" s="298">
        <f t="shared" ref="BP46:BP47" si="130">BO46+AG46</f>
        <v>3080</v>
      </c>
      <c r="BQ46" s="298">
        <f t="shared" ref="BQ46:BQ47" si="131">BP46+AH46</f>
        <v>3220</v>
      </c>
      <c r="BR46" s="298">
        <f t="shared" ref="BR46:BR47" si="132">BQ46+AI46</f>
        <v>3360</v>
      </c>
      <c r="BS46" s="298">
        <f t="shared" ref="BS46:BS47" si="133">BR46+AJ46</f>
        <v>3500</v>
      </c>
      <c r="BT46" s="298">
        <f t="shared" ref="BT46:BT47" si="134">BS46+AK46</f>
        <v>3640</v>
      </c>
      <c r="BU46" s="298">
        <f t="shared" ref="BU46" si="135">BT46+AL46</f>
        <v>3780</v>
      </c>
      <c r="BV46" s="298">
        <f t="shared" ref="BV46" si="136">BU46+AM46</f>
        <v>3920</v>
      </c>
    </row>
    <row r="47" spans="1:74" x14ac:dyDescent="0.25">
      <c r="A47" s="1753"/>
      <c r="B47" s="194">
        <f>'February 25 D_R (Tramming)'!F47</f>
        <v>2393</v>
      </c>
      <c r="C47" s="352">
        <f>(J47/(J47))*B47</f>
        <v>2393</v>
      </c>
      <c r="D47" s="349">
        <f>(C47-J47)/C47</f>
        <v>0.33012954450480569</v>
      </c>
      <c r="E47" s="226"/>
      <c r="F47" s="1766"/>
      <c r="G47" s="1769"/>
      <c r="H47" s="1772"/>
      <c r="I47" s="1472" t="s">
        <v>342</v>
      </c>
      <c r="J47" s="1473">
        <v>1603</v>
      </c>
      <c r="K47" s="1474">
        <v>-0.59</v>
      </c>
      <c r="L47" s="1449">
        <v>160</v>
      </c>
      <c r="M47" s="1434">
        <v>117</v>
      </c>
      <c r="N47" s="1434">
        <v>130</v>
      </c>
      <c r="O47" s="1434">
        <v>90</v>
      </c>
      <c r="P47" s="1434">
        <v>57</v>
      </c>
      <c r="Q47" s="1434">
        <v>77</v>
      </c>
      <c r="R47" s="1434"/>
      <c r="S47" s="1434"/>
      <c r="T47" s="1434"/>
      <c r="U47" s="1434">
        <v>52</v>
      </c>
      <c r="V47" s="1434">
        <v>60</v>
      </c>
      <c r="W47" s="1434">
        <v>20</v>
      </c>
      <c r="X47" s="1434"/>
      <c r="Y47" s="1434">
        <v>15</v>
      </c>
      <c r="Z47" s="1434">
        <v>20</v>
      </c>
      <c r="AA47" s="1434">
        <v>20</v>
      </c>
      <c r="AB47" s="1434">
        <v>50</v>
      </c>
      <c r="AC47" s="1434">
        <v>50</v>
      </c>
      <c r="AD47" s="1435">
        <v>140</v>
      </c>
      <c r="AE47" s="1434">
        <v>95</v>
      </c>
      <c r="AF47" s="1434">
        <v>72</v>
      </c>
      <c r="AG47" s="1434">
        <v>91</v>
      </c>
      <c r="AH47" s="1434">
        <v>92</v>
      </c>
      <c r="AI47" s="1434">
        <v>64</v>
      </c>
      <c r="AJ47" s="1434">
        <v>40</v>
      </c>
      <c r="AK47" s="1434">
        <v>45</v>
      </c>
      <c r="AL47" s="1434">
        <v>46</v>
      </c>
      <c r="AM47" s="1434"/>
      <c r="AN47" s="1436"/>
      <c r="AO47" s="1436"/>
      <c r="AP47" s="1436"/>
      <c r="AQ47" s="604"/>
      <c r="AR47" s="308"/>
      <c r="AS47" s="1754"/>
      <c r="AU47" s="226">
        <f>L47</f>
        <v>160</v>
      </c>
      <c r="AV47" s="298">
        <f>AU47+M47</f>
        <v>277</v>
      </c>
      <c r="AW47" s="298">
        <f>AV47+N47</f>
        <v>407</v>
      </c>
      <c r="AX47" s="298">
        <f t="shared" si="112"/>
        <v>497</v>
      </c>
      <c r="AY47" s="298">
        <f t="shared" si="113"/>
        <v>554</v>
      </c>
      <c r="AZ47" s="298">
        <f t="shared" si="114"/>
        <v>631</v>
      </c>
      <c r="BA47" s="298">
        <f t="shared" si="115"/>
        <v>631</v>
      </c>
      <c r="BB47" s="298">
        <f t="shared" si="116"/>
        <v>631</v>
      </c>
      <c r="BC47" s="298">
        <f t="shared" si="117"/>
        <v>631</v>
      </c>
      <c r="BD47" s="298">
        <f t="shared" si="118"/>
        <v>683</v>
      </c>
      <c r="BE47" s="298">
        <f t="shared" si="119"/>
        <v>743</v>
      </c>
      <c r="BF47" s="298">
        <f t="shared" si="120"/>
        <v>763</v>
      </c>
      <c r="BG47" s="298">
        <f t="shared" si="121"/>
        <v>763</v>
      </c>
      <c r="BH47" s="298">
        <f t="shared" si="122"/>
        <v>778</v>
      </c>
      <c r="BI47" s="298">
        <f t="shared" si="123"/>
        <v>798</v>
      </c>
      <c r="BJ47" s="298">
        <f t="shared" si="124"/>
        <v>818</v>
      </c>
      <c r="BK47" s="298">
        <f t="shared" si="125"/>
        <v>868</v>
      </c>
      <c r="BL47" s="298">
        <f t="shared" si="126"/>
        <v>918</v>
      </c>
      <c r="BM47" s="298">
        <f t="shared" si="127"/>
        <v>1058</v>
      </c>
      <c r="BN47" s="298">
        <f t="shared" si="128"/>
        <v>1153</v>
      </c>
      <c r="BO47" s="298">
        <f t="shared" si="129"/>
        <v>1225</v>
      </c>
      <c r="BP47" s="298">
        <f t="shared" si="130"/>
        <v>1316</v>
      </c>
      <c r="BQ47" s="298">
        <f t="shared" si="131"/>
        <v>1408</v>
      </c>
      <c r="BR47" s="298">
        <f t="shared" si="132"/>
        <v>1472</v>
      </c>
      <c r="BS47" s="298">
        <f t="shared" si="133"/>
        <v>1512</v>
      </c>
      <c r="BT47" s="298">
        <f t="shared" si="134"/>
        <v>1557</v>
      </c>
    </row>
    <row r="48" spans="1:74" x14ac:dyDescent="0.25">
      <c r="A48" s="1753"/>
      <c r="B48" s="194">
        <f>'February 25 D_R (Tramming)'!F48</f>
        <v>0</v>
      </c>
      <c r="E48" s="226"/>
      <c r="F48" s="1766"/>
      <c r="G48" s="1769"/>
      <c r="H48" s="1773"/>
      <c r="I48" s="1486" t="s">
        <v>312</v>
      </c>
      <c r="J48" s="1487"/>
      <c r="K48" s="1488"/>
      <c r="L48" s="605"/>
      <c r="M48" s="605"/>
      <c r="N48" s="605"/>
      <c r="O48" s="605"/>
      <c r="P48" s="605"/>
      <c r="Q48" s="605"/>
      <c r="R48" s="605"/>
      <c r="S48" s="605"/>
      <c r="T48" s="606"/>
      <c r="U48" s="605"/>
      <c r="V48" s="605"/>
      <c r="W48" s="605"/>
      <c r="X48" s="605"/>
      <c r="Y48" s="605"/>
      <c r="Z48" s="605"/>
      <c r="AA48" s="605"/>
      <c r="AB48" s="605"/>
      <c r="AC48" s="605" t="s">
        <v>546</v>
      </c>
      <c r="AD48" s="605"/>
      <c r="AE48" s="605"/>
      <c r="AF48" s="605"/>
      <c r="AG48" s="605"/>
      <c r="AH48" s="605" t="s">
        <v>547</v>
      </c>
      <c r="AI48" s="605"/>
      <c r="AJ48" s="605"/>
      <c r="AK48" s="605" t="s">
        <v>548</v>
      </c>
      <c r="AL48" s="605"/>
      <c r="AM48" s="605"/>
      <c r="AN48" s="613"/>
      <c r="AO48" s="613"/>
      <c r="AP48" s="614"/>
      <c r="AQ48" s="608"/>
      <c r="AR48" s="309"/>
      <c r="AS48" s="1754"/>
      <c r="AT48" s="333"/>
      <c r="AU48" s="227"/>
      <c r="AV48" s="227"/>
      <c r="BL48" s="299"/>
      <c r="BM48" s="299"/>
      <c r="BN48" s="299"/>
      <c r="BO48" s="299"/>
      <c r="BP48" s="299"/>
      <c r="BQ48" s="299"/>
      <c r="BR48" s="299"/>
      <c r="BS48" s="299"/>
      <c r="BT48" s="299"/>
      <c r="BU48" s="299">
        <f>BT47+AL46</f>
        <v>1697</v>
      </c>
      <c r="BV48" s="299">
        <f t="shared" ref="BV48" si="137">BU48+AM46</f>
        <v>1837</v>
      </c>
    </row>
    <row r="49" spans="1:74" x14ac:dyDescent="0.25">
      <c r="A49" s="1753"/>
      <c r="B49" s="194" t="str">
        <f>'February 25 D_R (Tramming)'!F49</f>
        <v xml:space="preserve">-   </v>
      </c>
      <c r="C49" s="348">
        <f>J49</f>
        <v>2.87</v>
      </c>
      <c r="E49" s="226"/>
      <c r="F49" s="1766"/>
      <c r="G49" s="1769"/>
      <c r="H49" s="1774" t="s">
        <v>343</v>
      </c>
      <c r="I49" s="1478" t="s">
        <v>344</v>
      </c>
      <c r="J49" s="1479">
        <v>2.87</v>
      </c>
      <c r="K49" s="1480"/>
      <c r="L49" s="1445">
        <v>2.87</v>
      </c>
      <c r="M49" s="1445">
        <v>2.87</v>
      </c>
      <c r="N49" s="1445">
        <v>2.87</v>
      </c>
      <c r="O49" s="1437">
        <v>2.87</v>
      </c>
      <c r="P49" s="1437">
        <v>2.87</v>
      </c>
      <c r="Q49" s="1437">
        <v>2.87</v>
      </c>
      <c r="R49" s="1437">
        <v>2.87</v>
      </c>
      <c r="S49" s="1437">
        <v>2.87</v>
      </c>
      <c r="T49" s="1438">
        <v>2.87</v>
      </c>
      <c r="U49" s="1437">
        <v>2.87</v>
      </c>
      <c r="V49" s="1437">
        <v>2.87</v>
      </c>
      <c r="W49" s="1437">
        <v>2.87</v>
      </c>
      <c r="X49" s="1437">
        <v>2.87</v>
      </c>
      <c r="Y49" s="1437">
        <v>2.87</v>
      </c>
      <c r="Z49" s="1437">
        <v>2.87</v>
      </c>
      <c r="AA49" s="1437">
        <v>2.87</v>
      </c>
      <c r="AB49" s="1437">
        <v>2.87</v>
      </c>
      <c r="AC49" s="1437">
        <v>2.87</v>
      </c>
      <c r="AD49" s="1437">
        <v>2.87</v>
      </c>
      <c r="AE49" s="1437">
        <v>2.87</v>
      </c>
      <c r="AF49" s="1437">
        <v>2.87</v>
      </c>
      <c r="AG49" s="1437">
        <v>2.87</v>
      </c>
      <c r="AH49" s="1437">
        <v>2.87</v>
      </c>
      <c r="AI49" s="1437">
        <v>2.87</v>
      </c>
      <c r="AJ49" s="1437">
        <v>2.87</v>
      </c>
      <c r="AK49" s="1437">
        <v>2.87</v>
      </c>
      <c r="AL49" s="1437">
        <v>2.87</v>
      </c>
      <c r="AM49" s="1437">
        <v>2.87</v>
      </c>
      <c r="AN49" s="1493" t="s">
        <v>468</v>
      </c>
      <c r="AO49" s="1493" t="s">
        <v>468</v>
      </c>
      <c r="AP49" s="1494" t="s">
        <v>468</v>
      </c>
      <c r="AQ49" s="604"/>
      <c r="AR49" s="308"/>
      <c r="AS49" s="1754"/>
      <c r="AU49" s="226"/>
      <c r="AV49" s="226"/>
    </row>
    <row r="50" spans="1:74" x14ac:dyDescent="0.25">
      <c r="A50" s="1753"/>
      <c r="B50" s="194">
        <f>'February 25 D_R (Tramming)'!F50</f>
        <v>1.56</v>
      </c>
      <c r="C50" s="350">
        <f>C52*1000/C47</f>
        <v>1.5461763476807355</v>
      </c>
      <c r="E50" s="226"/>
      <c r="F50" s="1766"/>
      <c r="G50" s="1769"/>
      <c r="H50" s="1773"/>
      <c r="I50" s="1455" t="s">
        <v>345</v>
      </c>
      <c r="J50" s="1481">
        <v>2.25</v>
      </c>
      <c r="K50" s="1474">
        <v>-0.22</v>
      </c>
      <c r="L50" s="1464">
        <v>1.92</v>
      </c>
      <c r="M50" s="1441">
        <v>1.92</v>
      </c>
      <c r="N50" s="1441">
        <v>1.87</v>
      </c>
      <c r="O50" s="1442">
        <v>3.39</v>
      </c>
      <c r="P50" s="1442">
        <v>3.18</v>
      </c>
      <c r="Q50" s="1443">
        <v>0.65</v>
      </c>
      <c r="R50" s="1434"/>
      <c r="S50" s="1434"/>
      <c r="T50" s="1434"/>
      <c r="U50" s="1444">
        <v>2</v>
      </c>
      <c r="V50" s="1442">
        <v>4.32</v>
      </c>
      <c r="W50" s="1443">
        <v>1.46</v>
      </c>
      <c r="X50" s="1442">
        <v>4.6500000000000004</v>
      </c>
      <c r="Y50" s="1442">
        <v>3.05</v>
      </c>
      <c r="Z50" s="1442">
        <v>3.67</v>
      </c>
      <c r="AA50" s="1442">
        <v>3.67</v>
      </c>
      <c r="AB50" s="1442">
        <v>4.67</v>
      </c>
      <c r="AC50" s="1444">
        <v>2.31</v>
      </c>
      <c r="AD50" s="1442">
        <v>3.27</v>
      </c>
      <c r="AE50" s="1444">
        <v>2.58</v>
      </c>
      <c r="AF50" s="1442">
        <v>3.13</v>
      </c>
      <c r="AG50" s="1444">
        <v>2.25</v>
      </c>
      <c r="AH50" s="1444">
        <v>2.4</v>
      </c>
      <c r="AI50" s="1434"/>
      <c r="AJ50" s="1434"/>
      <c r="AK50" s="1434"/>
      <c r="AL50" s="1434"/>
      <c r="AM50" s="1434"/>
      <c r="AN50" s="1436"/>
      <c r="AO50" s="1436"/>
      <c r="AP50" s="1436"/>
      <c r="AQ50" s="604"/>
      <c r="AR50" s="308"/>
      <c r="AS50" s="1754"/>
      <c r="AU50" s="226"/>
      <c r="AV50" s="226"/>
    </row>
    <row r="51" spans="1:74" x14ac:dyDescent="0.25">
      <c r="A51" s="1753"/>
      <c r="B51" s="194" t="str">
        <f>'February 25 D_R (Tramming)'!F51</f>
        <v xml:space="preserve">-   </v>
      </c>
      <c r="C51" s="354">
        <f>J51</f>
        <v>11.3</v>
      </c>
      <c r="E51" s="226"/>
      <c r="F51" s="1766"/>
      <c r="G51" s="1769"/>
      <c r="H51" s="1774" t="s">
        <v>47</v>
      </c>
      <c r="I51" s="1478" t="s">
        <v>346</v>
      </c>
      <c r="J51" s="609">
        <v>11.3</v>
      </c>
      <c r="K51" s="1480"/>
      <c r="L51" s="1445">
        <v>0.4</v>
      </c>
      <c r="M51" s="1445">
        <v>0.4</v>
      </c>
      <c r="N51" s="1445">
        <v>0.4</v>
      </c>
      <c r="O51" s="1437">
        <v>0.4</v>
      </c>
      <c r="P51" s="1437">
        <v>0.4</v>
      </c>
      <c r="Q51" s="1437">
        <v>0.4</v>
      </c>
      <c r="R51" s="1437">
        <v>0.4</v>
      </c>
      <c r="S51" s="1437">
        <v>0.4</v>
      </c>
      <c r="T51" s="1438">
        <v>0.4</v>
      </c>
      <c r="U51" s="1437">
        <v>0.4</v>
      </c>
      <c r="V51" s="1437">
        <v>0.4</v>
      </c>
      <c r="W51" s="1437">
        <v>0.4</v>
      </c>
      <c r="X51" s="1437">
        <v>0.4</v>
      </c>
      <c r="Y51" s="1437">
        <v>0.4</v>
      </c>
      <c r="Z51" s="1437">
        <v>0.4</v>
      </c>
      <c r="AA51" s="1437">
        <v>0.4</v>
      </c>
      <c r="AB51" s="1437">
        <v>0.4</v>
      </c>
      <c r="AC51" s="1437">
        <v>0.4</v>
      </c>
      <c r="AD51" s="1437">
        <v>0.4</v>
      </c>
      <c r="AE51" s="1437">
        <v>0.4</v>
      </c>
      <c r="AF51" s="1437">
        <v>0.4</v>
      </c>
      <c r="AG51" s="1437">
        <v>0.4</v>
      </c>
      <c r="AH51" s="1437">
        <v>0.4</v>
      </c>
      <c r="AI51" s="1437">
        <v>0.4</v>
      </c>
      <c r="AJ51" s="1437">
        <v>0.4</v>
      </c>
      <c r="AK51" s="1437">
        <v>0.4</v>
      </c>
      <c r="AL51" s="1437">
        <v>0.4</v>
      </c>
      <c r="AM51" s="1437">
        <v>0.4</v>
      </c>
      <c r="AN51" s="1493" t="s">
        <v>468</v>
      </c>
      <c r="AO51" s="1493" t="s">
        <v>468</v>
      </c>
      <c r="AP51" s="1494" t="s">
        <v>468</v>
      </c>
      <c r="AQ51" s="604"/>
      <c r="AR51" s="310"/>
      <c r="AS51" s="1754"/>
      <c r="AT51" s="332"/>
      <c r="AU51" s="226"/>
      <c r="AV51" s="226"/>
    </row>
    <row r="52" spans="1:74" ht="14.25" thickBot="1" x14ac:dyDescent="0.3">
      <c r="A52" s="1753"/>
      <c r="B52" s="194">
        <f>'February 25 D_R (Tramming)'!F52</f>
        <v>3.7</v>
      </c>
      <c r="C52" s="350">
        <f>(J52/(J52))*B52</f>
        <v>3.7</v>
      </c>
      <c r="E52" s="226"/>
      <c r="F52" s="1767"/>
      <c r="G52" s="1770"/>
      <c r="H52" s="1775"/>
      <c r="I52" s="1460" t="s">
        <v>347</v>
      </c>
      <c r="J52" s="1482">
        <v>3.6</v>
      </c>
      <c r="K52" s="1483">
        <v>-0.68</v>
      </c>
      <c r="L52" s="1447">
        <v>0.3</v>
      </c>
      <c r="M52" s="1469">
        <v>0.2</v>
      </c>
      <c r="N52" s="1469">
        <v>0.2</v>
      </c>
      <c r="O52" s="1469">
        <v>0.3</v>
      </c>
      <c r="P52" s="1469">
        <v>0.2</v>
      </c>
      <c r="Q52" s="1469">
        <v>0.1</v>
      </c>
      <c r="R52" s="1469" t="s">
        <v>468</v>
      </c>
      <c r="S52" s="1469" t="s">
        <v>468</v>
      </c>
      <c r="T52" s="1469" t="s">
        <v>468</v>
      </c>
      <c r="U52" s="1469">
        <v>0.1</v>
      </c>
      <c r="V52" s="1469">
        <v>0.3</v>
      </c>
      <c r="W52" s="1469">
        <v>0</v>
      </c>
      <c r="X52" s="1469" t="s">
        <v>468</v>
      </c>
      <c r="Y52" s="1469">
        <v>0</v>
      </c>
      <c r="Z52" s="1469">
        <v>0.1</v>
      </c>
      <c r="AA52" s="1469">
        <v>0.1</v>
      </c>
      <c r="AB52" s="1469">
        <v>0.2</v>
      </c>
      <c r="AC52" s="1469">
        <v>0.1</v>
      </c>
      <c r="AD52" s="1468">
        <v>0.5</v>
      </c>
      <c r="AE52" s="1469">
        <v>0.2</v>
      </c>
      <c r="AF52" s="1469">
        <v>0.2</v>
      </c>
      <c r="AG52" s="1469">
        <v>0.2</v>
      </c>
      <c r="AH52" s="1469">
        <v>0.2</v>
      </c>
      <c r="AI52" s="1469" t="s">
        <v>468</v>
      </c>
      <c r="AJ52" s="1469" t="s">
        <v>468</v>
      </c>
      <c r="AK52" s="1469" t="s">
        <v>468</v>
      </c>
      <c r="AL52" s="1469" t="s">
        <v>468</v>
      </c>
      <c r="AM52" s="1469" t="s">
        <v>468</v>
      </c>
      <c r="AN52" s="1470" t="s">
        <v>468</v>
      </c>
      <c r="AO52" s="1470" t="s">
        <v>468</v>
      </c>
      <c r="AP52" s="1470" t="s">
        <v>468</v>
      </c>
      <c r="AQ52" s="610"/>
      <c r="AR52" s="311"/>
      <c r="AS52" s="1754"/>
      <c r="AU52" s="226"/>
      <c r="AV52" s="226"/>
    </row>
    <row r="53" spans="1:74" s="194" customFormat="1" ht="14.45" customHeight="1" x14ac:dyDescent="0.25">
      <c r="A53" s="1753" t="s">
        <v>549</v>
      </c>
      <c r="B53" s="194" t="str">
        <f>'February 25 D_R (Tramming)'!F53</f>
        <v xml:space="preserve">-   </v>
      </c>
      <c r="C53" s="353">
        <f>J53</f>
        <v>2940</v>
      </c>
      <c r="E53" s="226"/>
      <c r="F53" s="1765"/>
      <c r="G53" s="1768" t="s">
        <v>474</v>
      </c>
      <c r="H53" s="1771" t="s">
        <v>340</v>
      </c>
      <c r="I53" s="596" t="s">
        <v>341</v>
      </c>
      <c r="J53" s="597">
        <v>2940</v>
      </c>
      <c r="K53" s="598"/>
      <c r="L53" s="599">
        <v>105</v>
      </c>
      <c r="M53" s="599">
        <v>105</v>
      </c>
      <c r="N53" s="599">
        <v>105</v>
      </c>
      <c r="O53" s="600">
        <v>105</v>
      </c>
      <c r="P53" s="600">
        <v>105</v>
      </c>
      <c r="Q53" s="600">
        <v>105</v>
      </c>
      <c r="R53" s="600">
        <v>105</v>
      </c>
      <c r="S53" s="600">
        <v>105</v>
      </c>
      <c r="T53" s="601">
        <v>105</v>
      </c>
      <c r="U53" s="600">
        <v>105</v>
      </c>
      <c r="V53" s="600">
        <v>105</v>
      </c>
      <c r="W53" s="600">
        <v>105</v>
      </c>
      <c r="X53" s="600">
        <v>105</v>
      </c>
      <c r="Y53" s="600">
        <v>105</v>
      </c>
      <c r="Z53" s="600">
        <v>105</v>
      </c>
      <c r="AA53" s="600">
        <v>105</v>
      </c>
      <c r="AB53" s="600">
        <v>105</v>
      </c>
      <c r="AC53" s="600">
        <v>105</v>
      </c>
      <c r="AD53" s="600">
        <v>105</v>
      </c>
      <c r="AE53" s="600">
        <v>105</v>
      </c>
      <c r="AF53" s="600">
        <v>105</v>
      </c>
      <c r="AG53" s="600">
        <v>105</v>
      </c>
      <c r="AH53" s="600">
        <v>105</v>
      </c>
      <c r="AI53" s="600">
        <v>105</v>
      </c>
      <c r="AJ53" s="600">
        <v>105</v>
      </c>
      <c r="AK53" s="600">
        <v>105</v>
      </c>
      <c r="AL53" s="600">
        <v>105</v>
      </c>
      <c r="AM53" s="600">
        <v>105</v>
      </c>
      <c r="AN53" s="600" t="s">
        <v>468</v>
      </c>
      <c r="AO53" s="600" t="s">
        <v>468</v>
      </c>
      <c r="AP53" s="602" t="s">
        <v>468</v>
      </c>
      <c r="AQ53" s="603"/>
      <c r="AR53" s="307"/>
      <c r="AS53" s="1754" t="s">
        <v>550</v>
      </c>
      <c r="AT53" s="332"/>
      <c r="AU53" s="226">
        <f>L53</f>
        <v>105</v>
      </c>
      <c r="AV53" s="298">
        <f>AU53+M53</f>
        <v>210</v>
      </c>
      <c r="AW53" s="298">
        <f>AV53+N53</f>
        <v>315</v>
      </c>
      <c r="AX53" s="298">
        <f t="shared" ref="AX53:AX54" si="138">AW53+O53</f>
        <v>420</v>
      </c>
      <c r="AY53" s="298">
        <f t="shared" ref="AY53:AY54" si="139">AX53+P53</f>
        <v>525</v>
      </c>
      <c r="AZ53" s="298">
        <f t="shared" ref="AZ53:AZ54" si="140">AY53+Q53</f>
        <v>630</v>
      </c>
      <c r="BA53" s="298">
        <f t="shared" ref="BA53:BA54" si="141">AZ53+R53</f>
        <v>735</v>
      </c>
      <c r="BB53" s="298">
        <f t="shared" ref="BB53:BB54" si="142">BA53+S53</f>
        <v>840</v>
      </c>
      <c r="BC53" s="298">
        <f t="shared" ref="BC53:BC54" si="143">BB53+T53</f>
        <v>945</v>
      </c>
      <c r="BD53" s="298">
        <f t="shared" ref="BD53:BD54" si="144">BC53+U53</f>
        <v>1050</v>
      </c>
      <c r="BE53" s="298">
        <f t="shared" ref="BE53:BE54" si="145">BD53+V53</f>
        <v>1155</v>
      </c>
      <c r="BF53" s="298">
        <f t="shared" ref="BF53:BF54" si="146">BE53+W53</f>
        <v>1260</v>
      </c>
      <c r="BG53" s="298">
        <f t="shared" ref="BG53:BG54" si="147">BF53+X53</f>
        <v>1365</v>
      </c>
      <c r="BH53" s="298">
        <f t="shared" ref="BH53:BH54" si="148">BG53+Y53</f>
        <v>1470</v>
      </c>
      <c r="BI53" s="298">
        <f t="shared" ref="BI53:BI54" si="149">BH53+Z53</f>
        <v>1575</v>
      </c>
      <c r="BJ53" s="298">
        <f t="shared" ref="BJ53:BJ54" si="150">BI53+AA53</f>
        <v>1680</v>
      </c>
      <c r="BK53" s="298">
        <f t="shared" ref="BK53:BK54" si="151">BJ53+AB53</f>
        <v>1785</v>
      </c>
      <c r="BL53" s="298">
        <f t="shared" ref="BL53:BL54" si="152">BK53+AC53</f>
        <v>1890</v>
      </c>
      <c r="BM53" s="298">
        <f t="shared" ref="BM53:BM54" si="153">BL53+AD53</f>
        <v>1995</v>
      </c>
      <c r="BN53" s="298">
        <f t="shared" ref="BN53:BN54" si="154">BM53+AE53</f>
        <v>2100</v>
      </c>
      <c r="BO53" s="298">
        <f t="shared" ref="BO53:BO54" si="155">BN53+AF53</f>
        <v>2205</v>
      </c>
      <c r="BP53" s="298">
        <f t="shared" ref="BP53:BP54" si="156">BO53+AG53</f>
        <v>2310</v>
      </c>
      <c r="BQ53" s="298">
        <f t="shared" ref="BQ53:BQ54" si="157">BP53+AH53</f>
        <v>2415</v>
      </c>
      <c r="BR53" s="298">
        <f t="shared" ref="BR53:BR54" si="158">BQ53+AI53</f>
        <v>2520</v>
      </c>
      <c r="BS53" s="298">
        <f t="shared" ref="BS53:BS54" si="159">BR53+AJ53</f>
        <v>2625</v>
      </c>
      <c r="BT53" s="298">
        <f t="shared" ref="BT53:BT54" si="160">BS53+AK53</f>
        <v>2730</v>
      </c>
      <c r="BU53" s="298">
        <f t="shared" ref="BU53" si="161">BT53+AL53</f>
        <v>2835</v>
      </c>
      <c r="BV53" s="298">
        <f t="shared" ref="BV53" si="162">BU53+AM53</f>
        <v>2940</v>
      </c>
    </row>
    <row r="54" spans="1:74" x14ac:dyDescent="0.25">
      <c r="A54" s="1753"/>
      <c r="B54" s="194">
        <f>'February 25 D_R (Tramming)'!F54</f>
        <v>2080</v>
      </c>
      <c r="C54" s="352">
        <f>(J54/(J54))*B54</f>
        <v>2080</v>
      </c>
      <c r="D54" s="349">
        <f>(C54-J54)/C54</f>
        <v>-1.0879807692307693</v>
      </c>
      <c r="E54" s="226"/>
      <c r="F54" s="1766"/>
      <c r="G54" s="1769"/>
      <c r="H54" s="1772"/>
      <c r="I54" s="1472" t="s">
        <v>342</v>
      </c>
      <c r="J54" s="1484">
        <v>4343</v>
      </c>
      <c r="K54" s="1485">
        <v>0.48</v>
      </c>
      <c r="L54" s="1433">
        <v>73</v>
      </c>
      <c r="M54" s="1435">
        <v>105</v>
      </c>
      <c r="N54" s="1435">
        <v>108</v>
      </c>
      <c r="O54" s="1435">
        <v>121</v>
      </c>
      <c r="P54" s="1435">
        <v>119</v>
      </c>
      <c r="Q54" s="1435">
        <v>156</v>
      </c>
      <c r="R54" s="1435">
        <v>166</v>
      </c>
      <c r="S54" s="1435">
        <v>138</v>
      </c>
      <c r="T54" s="1435">
        <v>150</v>
      </c>
      <c r="U54" s="1435">
        <v>141</v>
      </c>
      <c r="V54" s="1435">
        <v>152</v>
      </c>
      <c r="W54" s="1435">
        <v>141</v>
      </c>
      <c r="X54" s="1435">
        <v>232</v>
      </c>
      <c r="Y54" s="1435">
        <v>221</v>
      </c>
      <c r="Z54" s="1435">
        <v>221</v>
      </c>
      <c r="AA54" s="1435">
        <v>221</v>
      </c>
      <c r="AB54" s="1435">
        <v>220</v>
      </c>
      <c r="AC54" s="1435">
        <v>219</v>
      </c>
      <c r="AD54" s="1435">
        <v>159</v>
      </c>
      <c r="AE54" s="1434">
        <v>77</v>
      </c>
      <c r="AF54" s="1434">
        <v>104</v>
      </c>
      <c r="AG54" s="1434">
        <v>98</v>
      </c>
      <c r="AH54" s="1435">
        <v>183</v>
      </c>
      <c r="AI54" s="1435">
        <v>142</v>
      </c>
      <c r="AJ54" s="1434">
        <v>95</v>
      </c>
      <c r="AK54" s="1435">
        <v>120</v>
      </c>
      <c r="AL54" s="1435">
        <v>231</v>
      </c>
      <c r="AM54" s="1435">
        <v>230</v>
      </c>
      <c r="AN54" s="1436"/>
      <c r="AO54" s="1436"/>
      <c r="AP54" s="1436"/>
      <c r="AQ54" s="604"/>
      <c r="AR54" s="308"/>
      <c r="AS54" s="1754"/>
      <c r="AU54" s="226">
        <f>L54</f>
        <v>73</v>
      </c>
      <c r="AV54" s="298">
        <f>AU54+M54</f>
        <v>178</v>
      </c>
      <c r="AW54" s="298">
        <f>AV54+N54</f>
        <v>286</v>
      </c>
      <c r="AX54" s="298">
        <f t="shared" si="138"/>
        <v>407</v>
      </c>
      <c r="AY54" s="298">
        <f t="shared" si="139"/>
        <v>526</v>
      </c>
      <c r="AZ54" s="298">
        <f t="shared" si="140"/>
        <v>682</v>
      </c>
      <c r="BA54" s="298">
        <f t="shared" si="141"/>
        <v>848</v>
      </c>
      <c r="BB54" s="298">
        <f t="shared" si="142"/>
        <v>986</v>
      </c>
      <c r="BC54" s="298">
        <f t="shared" si="143"/>
        <v>1136</v>
      </c>
      <c r="BD54" s="298">
        <f t="shared" si="144"/>
        <v>1277</v>
      </c>
      <c r="BE54" s="298">
        <f t="shared" si="145"/>
        <v>1429</v>
      </c>
      <c r="BF54" s="298">
        <f t="shared" si="146"/>
        <v>1570</v>
      </c>
      <c r="BG54" s="298">
        <f t="shared" si="147"/>
        <v>1802</v>
      </c>
      <c r="BH54" s="298">
        <f t="shared" si="148"/>
        <v>2023</v>
      </c>
      <c r="BI54" s="298">
        <f t="shared" si="149"/>
        <v>2244</v>
      </c>
      <c r="BJ54" s="298">
        <f t="shared" si="150"/>
        <v>2465</v>
      </c>
      <c r="BK54" s="298">
        <f t="shared" si="151"/>
        <v>2685</v>
      </c>
      <c r="BL54" s="298">
        <f t="shared" si="152"/>
        <v>2904</v>
      </c>
      <c r="BM54" s="298">
        <f t="shared" si="153"/>
        <v>3063</v>
      </c>
      <c r="BN54" s="298">
        <f t="shared" si="154"/>
        <v>3140</v>
      </c>
      <c r="BO54" s="298">
        <f t="shared" si="155"/>
        <v>3244</v>
      </c>
      <c r="BP54" s="298">
        <f t="shared" si="156"/>
        <v>3342</v>
      </c>
      <c r="BQ54" s="298">
        <f t="shared" si="157"/>
        <v>3525</v>
      </c>
      <c r="BR54" s="298">
        <f t="shared" si="158"/>
        <v>3667</v>
      </c>
      <c r="BS54" s="298">
        <f t="shared" si="159"/>
        <v>3762</v>
      </c>
      <c r="BT54" s="298">
        <f t="shared" si="160"/>
        <v>3882</v>
      </c>
    </row>
    <row r="55" spans="1:74" x14ac:dyDescent="0.25">
      <c r="A55" s="1753"/>
      <c r="B55" s="194">
        <f>'February 25 D_R (Tramming)'!F55</f>
        <v>0</v>
      </c>
      <c r="E55" s="226"/>
      <c r="F55" s="1766"/>
      <c r="G55" s="1769"/>
      <c r="H55" s="1773"/>
      <c r="I55" s="1486" t="s">
        <v>312</v>
      </c>
      <c r="J55" s="1487"/>
      <c r="K55" s="1488"/>
      <c r="L55" s="605"/>
      <c r="M55" s="605" t="s">
        <v>551</v>
      </c>
      <c r="N55" s="605"/>
      <c r="O55" s="605"/>
      <c r="P55" s="605"/>
      <c r="Q55" s="605"/>
      <c r="R55" s="605"/>
      <c r="S55" s="605"/>
      <c r="T55" s="606"/>
      <c r="U55" s="605"/>
      <c r="V55" s="605"/>
      <c r="W55" s="605"/>
      <c r="X55" s="605"/>
      <c r="Y55" s="605"/>
      <c r="Z55" s="605"/>
      <c r="AA55" s="605"/>
      <c r="AB55" s="605"/>
      <c r="AC55" s="605" t="s">
        <v>552</v>
      </c>
      <c r="AD55" s="605"/>
      <c r="AE55" s="605"/>
      <c r="AF55" s="605"/>
      <c r="AG55" s="605" t="s">
        <v>553</v>
      </c>
      <c r="AH55" s="605" t="s">
        <v>554</v>
      </c>
      <c r="AI55" s="605"/>
      <c r="AJ55" s="605"/>
      <c r="AK55" s="605"/>
      <c r="AL55" s="605"/>
      <c r="AM55" s="605"/>
      <c r="AN55" s="605"/>
      <c r="AO55" s="605"/>
      <c r="AP55" s="607"/>
      <c r="AQ55" s="608"/>
      <c r="AR55" s="309"/>
      <c r="AS55" s="1754"/>
      <c r="AT55" s="333"/>
      <c r="AU55" s="227"/>
      <c r="AV55" s="227"/>
      <c r="BL55" s="299"/>
      <c r="BM55" s="299"/>
      <c r="BN55" s="299"/>
      <c r="BO55" s="299"/>
      <c r="BP55" s="299"/>
      <c r="BQ55" s="299"/>
      <c r="BR55" s="299"/>
      <c r="BS55" s="299"/>
      <c r="BT55" s="299"/>
      <c r="BU55" s="299">
        <f>BT54+AL53</f>
        <v>3987</v>
      </c>
      <c r="BV55" s="299">
        <f t="shared" ref="BV55" si="163">BU55+AM53</f>
        <v>4092</v>
      </c>
    </row>
    <row r="56" spans="1:74" x14ac:dyDescent="0.25">
      <c r="A56" s="1753"/>
      <c r="B56" s="194" t="str">
        <f>'February 25 D_R (Tramming)'!F56</f>
        <v xml:space="preserve">-   </v>
      </c>
      <c r="C56" s="348">
        <f>J56</f>
        <v>3.23</v>
      </c>
      <c r="E56" s="226"/>
      <c r="F56" s="1766"/>
      <c r="G56" s="1769"/>
      <c r="H56" s="1774" t="s">
        <v>343</v>
      </c>
      <c r="I56" s="1478" t="s">
        <v>344</v>
      </c>
      <c r="J56" s="1479">
        <v>3.23</v>
      </c>
      <c r="K56" s="1480"/>
      <c r="L56" s="1445">
        <v>3.23</v>
      </c>
      <c r="M56" s="1445">
        <v>3.23</v>
      </c>
      <c r="N56" s="1445">
        <v>3.23</v>
      </c>
      <c r="O56" s="1437">
        <v>3.23</v>
      </c>
      <c r="P56" s="1437">
        <v>3.23</v>
      </c>
      <c r="Q56" s="1437">
        <v>3.23</v>
      </c>
      <c r="R56" s="1437">
        <v>3.23</v>
      </c>
      <c r="S56" s="1437">
        <v>3.23</v>
      </c>
      <c r="T56" s="1438">
        <v>3.23</v>
      </c>
      <c r="U56" s="1437">
        <v>3.23</v>
      </c>
      <c r="V56" s="1437">
        <v>3.23</v>
      </c>
      <c r="W56" s="1437">
        <v>3.23</v>
      </c>
      <c r="X56" s="1437">
        <v>3.23</v>
      </c>
      <c r="Y56" s="1437">
        <v>3.23</v>
      </c>
      <c r="Z56" s="1437">
        <v>3.23</v>
      </c>
      <c r="AA56" s="1437">
        <v>3.23</v>
      </c>
      <c r="AB56" s="1437">
        <v>3.23</v>
      </c>
      <c r="AC56" s="1437">
        <v>3.23</v>
      </c>
      <c r="AD56" s="1437">
        <v>3.23</v>
      </c>
      <c r="AE56" s="1437">
        <v>3.23</v>
      </c>
      <c r="AF56" s="1437">
        <v>3.23</v>
      </c>
      <c r="AG56" s="1437">
        <v>3.23</v>
      </c>
      <c r="AH56" s="1437">
        <v>3.23</v>
      </c>
      <c r="AI56" s="1437">
        <v>3.23</v>
      </c>
      <c r="AJ56" s="1437">
        <v>3.23</v>
      </c>
      <c r="AK56" s="1437">
        <v>3.23</v>
      </c>
      <c r="AL56" s="1437">
        <v>3.23</v>
      </c>
      <c r="AM56" s="1437">
        <v>3.23</v>
      </c>
      <c r="AN56" s="1437" t="s">
        <v>468</v>
      </c>
      <c r="AO56" s="1437" t="s">
        <v>468</v>
      </c>
      <c r="AP56" s="1439" t="s">
        <v>468</v>
      </c>
      <c r="AQ56" s="604"/>
      <c r="AR56" s="308"/>
      <c r="AS56" s="1754"/>
      <c r="AU56" s="226"/>
      <c r="AV56" s="226"/>
    </row>
    <row r="57" spans="1:74" x14ac:dyDescent="0.25">
      <c r="A57" s="1753"/>
      <c r="B57" s="194">
        <f>'February 25 D_R (Tramming)'!F57</f>
        <v>1.78</v>
      </c>
      <c r="C57" s="350">
        <f>C59*1000/C54</f>
        <v>1.7788461538461537</v>
      </c>
      <c r="E57" s="226"/>
      <c r="F57" s="1766"/>
      <c r="G57" s="1769"/>
      <c r="H57" s="1773"/>
      <c r="I57" s="1455" t="s">
        <v>345</v>
      </c>
      <c r="J57" s="1492">
        <v>3.69</v>
      </c>
      <c r="K57" s="1485">
        <v>0.14000000000000001</v>
      </c>
      <c r="L57" s="1451">
        <v>4.28</v>
      </c>
      <c r="M57" s="1442">
        <v>4.28</v>
      </c>
      <c r="N57" s="1444">
        <v>2.83</v>
      </c>
      <c r="O57" s="1441">
        <v>1.7</v>
      </c>
      <c r="P57" s="1442">
        <v>5.61</v>
      </c>
      <c r="Q57" s="1442">
        <v>3.73</v>
      </c>
      <c r="R57" s="1442">
        <v>5.71</v>
      </c>
      <c r="S57" s="1442">
        <v>6.76</v>
      </c>
      <c r="T57" s="1442">
        <v>6.76</v>
      </c>
      <c r="U57" s="1442">
        <v>4.13</v>
      </c>
      <c r="V57" s="1442">
        <v>6.88</v>
      </c>
      <c r="W57" s="1444">
        <v>2.14</v>
      </c>
      <c r="X57" s="1442">
        <v>4.51</v>
      </c>
      <c r="Y57" s="1444">
        <v>2.61</v>
      </c>
      <c r="Z57" s="1444">
        <v>2.44</v>
      </c>
      <c r="AA57" s="1444">
        <v>2.44</v>
      </c>
      <c r="AB57" s="1442">
        <v>3.57</v>
      </c>
      <c r="AC57" s="1444">
        <v>2.09</v>
      </c>
      <c r="AD57" s="1444">
        <v>2.69</v>
      </c>
      <c r="AE57" s="1444">
        <v>2.99</v>
      </c>
      <c r="AF57" s="1444">
        <v>2.89</v>
      </c>
      <c r="AG57" s="1444">
        <v>2.2000000000000002</v>
      </c>
      <c r="AH57" s="1444">
        <v>2.2000000000000002</v>
      </c>
      <c r="AI57" s="1444">
        <v>3.19</v>
      </c>
      <c r="AJ57" s="1442">
        <v>4.1399999999999997</v>
      </c>
      <c r="AK57" s="1442">
        <v>3.62</v>
      </c>
      <c r="AL57" s="1442">
        <v>4.55</v>
      </c>
      <c r="AM57" s="1442">
        <v>3.56</v>
      </c>
      <c r="AN57" s="1436"/>
      <c r="AO57" s="1436"/>
      <c r="AP57" s="1436"/>
      <c r="AQ57" s="604"/>
      <c r="AR57" s="308"/>
      <c r="AS57" s="1754"/>
      <c r="AU57" s="226"/>
      <c r="AV57" s="226"/>
    </row>
    <row r="58" spans="1:74" x14ac:dyDescent="0.25">
      <c r="A58" s="1753"/>
      <c r="B58" s="194" t="str">
        <f>'February 25 D_R (Tramming)'!F58</f>
        <v xml:space="preserve">-   </v>
      </c>
      <c r="C58" s="354">
        <f>J58</f>
        <v>9.5</v>
      </c>
      <c r="E58" s="226"/>
      <c r="F58" s="1766"/>
      <c r="G58" s="1769"/>
      <c r="H58" s="1774" t="s">
        <v>47</v>
      </c>
      <c r="I58" s="1478" t="s">
        <v>346</v>
      </c>
      <c r="J58" s="609">
        <v>9.5</v>
      </c>
      <c r="K58" s="1480"/>
      <c r="L58" s="1445">
        <v>0.3</v>
      </c>
      <c r="M58" s="1445">
        <v>0.3</v>
      </c>
      <c r="N58" s="1445">
        <v>0.3</v>
      </c>
      <c r="O58" s="1437">
        <v>0.3</v>
      </c>
      <c r="P58" s="1437">
        <v>0.3</v>
      </c>
      <c r="Q58" s="1437">
        <v>0.3</v>
      </c>
      <c r="R58" s="1437">
        <v>0.3</v>
      </c>
      <c r="S58" s="1437">
        <v>0.3</v>
      </c>
      <c r="T58" s="1438">
        <v>0.3</v>
      </c>
      <c r="U58" s="1437">
        <v>0.3</v>
      </c>
      <c r="V58" s="1437">
        <v>0.3</v>
      </c>
      <c r="W58" s="1437">
        <v>0.3</v>
      </c>
      <c r="X58" s="1437">
        <v>0.3</v>
      </c>
      <c r="Y58" s="1437">
        <v>0.3</v>
      </c>
      <c r="Z58" s="1437">
        <v>0.3</v>
      </c>
      <c r="AA58" s="1437">
        <v>0.3</v>
      </c>
      <c r="AB58" s="1437">
        <v>0.3</v>
      </c>
      <c r="AC58" s="1437">
        <v>0.3</v>
      </c>
      <c r="AD58" s="1437">
        <v>0.3</v>
      </c>
      <c r="AE58" s="1437">
        <v>0.3</v>
      </c>
      <c r="AF58" s="1437">
        <v>0.3</v>
      </c>
      <c r="AG58" s="1437">
        <v>0.3</v>
      </c>
      <c r="AH58" s="1437">
        <v>0.3</v>
      </c>
      <c r="AI58" s="1437">
        <v>0.3</v>
      </c>
      <c r="AJ58" s="1437">
        <v>0.3</v>
      </c>
      <c r="AK58" s="1437">
        <v>0.3</v>
      </c>
      <c r="AL58" s="1437">
        <v>0.3</v>
      </c>
      <c r="AM58" s="1437">
        <v>0.3</v>
      </c>
      <c r="AN58" s="1437" t="s">
        <v>468</v>
      </c>
      <c r="AO58" s="1437" t="s">
        <v>468</v>
      </c>
      <c r="AP58" s="1439" t="s">
        <v>468</v>
      </c>
      <c r="AQ58" s="604"/>
      <c r="AR58" s="310"/>
      <c r="AS58" s="1754"/>
      <c r="AT58" s="332"/>
      <c r="AU58" s="226"/>
      <c r="AV58" s="226"/>
    </row>
    <row r="59" spans="1:74" ht="14.25" thickBot="1" x14ac:dyDescent="0.3">
      <c r="A59" s="1753"/>
      <c r="B59" s="194">
        <f>'February 25 D_R (Tramming)'!F59</f>
        <v>3.7</v>
      </c>
      <c r="C59" s="350">
        <f>(J59/(J59))*B59</f>
        <v>3.7</v>
      </c>
      <c r="E59" s="226"/>
      <c r="F59" s="1767"/>
      <c r="G59" s="1770"/>
      <c r="H59" s="1775"/>
      <c r="I59" s="1460" t="s">
        <v>347</v>
      </c>
      <c r="J59" s="1489">
        <v>16</v>
      </c>
      <c r="K59" s="1490">
        <v>0.69</v>
      </c>
      <c r="L59" s="1447">
        <v>0.3</v>
      </c>
      <c r="M59" s="1468">
        <v>0.4</v>
      </c>
      <c r="N59" s="1469">
        <v>0.3</v>
      </c>
      <c r="O59" s="1469">
        <v>0.2</v>
      </c>
      <c r="P59" s="1468">
        <v>0.7</v>
      </c>
      <c r="Q59" s="1468">
        <v>0.6</v>
      </c>
      <c r="R59" s="1468">
        <v>0.9</v>
      </c>
      <c r="S59" s="1468">
        <v>0.9</v>
      </c>
      <c r="T59" s="1468">
        <v>1</v>
      </c>
      <c r="U59" s="1468">
        <v>0.6</v>
      </c>
      <c r="V59" s="1468">
        <v>1</v>
      </c>
      <c r="W59" s="1469">
        <v>0.3</v>
      </c>
      <c r="X59" s="1468">
        <v>1</v>
      </c>
      <c r="Y59" s="1468">
        <v>0.6</v>
      </c>
      <c r="Z59" s="1468">
        <v>0.5</v>
      </c>
      <c r="AA59" s="1468">
        <v>0.5</v>
      </c>
      <c r="AB59" s="1468">
        <v>0.8</v>
      </c>
      <c r="AC59" s="1468">
        <v>0.5</v>
      </c>
      <c r="AD59" s="1468">
        <v>0.4</v>
      </c>
      <c r="AE59" s="1469">
        <v>0.2</v>
      </c>
      <c r="AF59" s="1469">
        <v>0.3</v>
      </c>
      <c r="AG59" s="1469">
        <v>0.2</v>
      </c>
      <c r="AH59" s="1468">
        <v>0.4</v>
      </c>
      <c r="AI59" s="1468">
        <v>0.5</v>
      </c>
      <c r="AJ59" s="1468">
        <v>0.4</v>
      </c>
      <c r="AK59" s="1468">
        <v>0.4</v>
      </c>
      <c r="AL59" s="1468">
        <v>1.1000000000000001</v>
      </c>
      <c r="AM59" s="1468">
        <v>0.8</v>
      </c>
      <c r="AN59" s="1470" t="s">
        <v>468</v>
      </c>
      <c r="AO59" s="1470" t="s">
        <v>468</v>
      </c>
      <c r="AP59" s="1470" t="s">
        <v>468</v>
      </c>
      <c r="AQ59" s="610"/>
      <c r="AR59" s="311"/>
      <c r="AS59" s="1754"/>
      <c r="AU59" s="226"/>
      <c r="AV59" s="226"/>
    </row>
    <row r="60" spans="1:74" s="194" customFormat="1" ht="14.45" customHeight="1" x14ac:dyDescent="0.25">
      <c r="A60" s="1753" t="s">
        <v>555</v>
      </c>
      <c r="B60" s="194" t="str">
        <f>'February 25 D_R (Tramming)'!F60</f>
        <v xml:space="preserve">-   </v>
      </c>
      <c r="C60" s="353">
        <f>J60</f>
        <v>980</v>
      </c>
      <c r="E60" s="226"/>
      <c r="F60" s="1765"/>
      <c r="G60" s="1768" t="s">
        <v>556</v>
      </c>
      <c r="H60" s="1771" t="s">
        <v>340</v>
      </c>
      <c r="I60" s="596" t="s">
        <v>341</v>
      </c>
      <c r="J60" s="615">
        <v>980</v>
      </c>
      <c r="K60" s="598"/>
      <c r="L60" s="599">
        <v>35</v>
      </c>
      <c r="M60" s="599">
        <v>35</v>
      </c>
      <c r="N60" s="599">
        <v>35</v>
      </c>
      <c r="O60" s="600">
        <v>35</v>
      </c>
      <c r="P60" s="600">
        <v>35</v>
      </c>
      <c r="Q60" s="600">
        <v>35</v>
      </c>
      <c r="R60" s="600">
        <v>35</v>
      </c>
      <c r="S60" s="600">
        <v>35</v>
      </c>
      <c r="T60" s="601">
        <v>35</v>
      </c>
      <c r="U60" s="600">
        <v>35</v>
      </c>
      <c r="V60" s="600">
        <v>35</v>
      </c>
      <c r="W60" s="600">
        <v>35</v>
      </c>
      <c r="X60" s="600">
        <v>35</v>
      </c>
      <c r="Y60" s="600">
        <v>35</v>
      </c>
      <c r="Z60" s="600">
        <v>35</v>
      </c>
      <c r="AA60" s="600">
        <v>35</v>
      </c>
      <c r="AB60" s="600">
        <v>35</v>
      </c>
      <c r="AC60" s="600">
        <v>35</v>
      </c>
      <c r="AD60" s="600">
        <v>35</v>
      </c>
      <c r="AE60" s="600">
        <v>35</v>
      </c>
      <c r="AF60" s="600">
        <v>35</v>
      </c>
      <c r="AG60" s="600">
        <v>35</v>
      </c>
      <c r="AH60" s="600">
        <v>35</v>
      </c>
      <c r="AI60" s="600">
        <v>35</v>
      </c>
      <c r="AJ60" s="600">
        <v>35</v>
      </c>
      <c r="AK60" s="600">
        <v>35</v>
      </c>
      <c r="AL60" s="600">
        <v>35</v>
      </c>
      <c r="AM60" s="600">
        <v>35</v>
      </c>
      <c r="AN60" s="611" t="s">
        <v>468</v>
      </c>
      <c r="AO60" s="611" t="s">
        <v>468</v>
      </c>
      <c r="AP60" s="612" t="s">
        <v>468</v>
      </c>
      <c r="AQ60" s="603"/>
      <c r="AR60" s="307"/>
      <c r="AS60" s="1754" t="s">
        <v>557</v>
      </c>
      <c r="AT60" s="332"/>
      <c r="AU60" s="226">
        <f>L60</f>
        <v>35</v>
      </c>
      <c r="AV60" s="298">
        <f>AU60+M60</f>
        <v>70</v>
      </c>
      <c r="AW60" s="298">
        <f>AV60+N60</f>
        <v>105</v>
      </c>
      <c r="AX60" s="298">
        <f t="shared" ref="AX60:AX61" si="164">AW60+O60</f>
        <v>140</v>
      </c>
      <c r="AY60" s="298">
        <f t="shared" ref="AY60:AY61" si="165">AX60+P60</f>
        <v>175</v>
      </c>
      <c r="AZ60" s="298">
        <f t="shared" ref="AZ60:AZ61" si="166">AY60+Q60</f>
        <v>210</v>
      </c>
      <c r="BA60" s="298">
        <f t="shared" ref="BA60:BA61" si="167">AZ60+R60</f>
        <v>245</v>
      </c>
      <c r="BB60" s="298">
        <f t="shared" ref="BB60:BB61" si="168">BA60+S60</f>
        <v>280</v>
      </c>
      <c r="BC60" s="298">
        <f t="shared" ref="BC60:BC61" si="169">BB60+T60</f>
        <v>315</v>
      </c>
      <c r="BD60" s="298">
        <f t="shared" ref="BD60:BD61" si="170">BC60+U60</f>
        <v>350</v>
      </c>
      <c r="BE60" s="298">
        <f t="shared" ref="BE60:BE61" si="171">BD60+V60</f>
        <v>385</v>
      </c>
      <c r="BF60" s="298">
        <f t="shared" ref="BF60:BF61" si="172">BE60+W60</f>
        <v>420</v>
      </c>
      <c r="BG60" s="298">
        <f t="shared" ref="BG60:BG61" si="173">BF60+X60</f>
        <v>455</v>
      </c>
      <c r="BH60" s="298">
        <f t="shared" ref="BH60:BH61" si="174">BG60+Y60</f>
        <v>490</v>
      </c>
      <c r="BI60" s="298">
        <f t="shared" ref="BI60:BI61" si="175">BH60+Z60</f>
        <v>525</v>
      </c>
      <c r="BJ60" s="298">
        <f t="shared" ref="BJ60:BJ61" si="176">BI60+AA60</f>
        <v>560</v>
      </c>
      <c r="BK60" s="298">
        <f t="shared" ref="BK60:BK61" si="177">BJ60+AB60</f>
        <v>595</v>
      </c>
      <c r="BL60" s="298">
        <f t="shared" ref="BL60:BL61" si="178">BK60+AC60</f>
        <v>630</v>
      </c>
      <c r="BM60" s="298">
        <f t="shared" ref="BM60:BM61" si="179">BL60+AD60</f>
        <v>665</v>
      </c>
      <c r="BN60" s="298">
        <f t="shared" ref="BN60:BN61" si="180">BM60+AE60</f>
        <v>700</v>
      </c>
      <c r="BO60" s="298">
        <f t="shared" ref="BO60:BO61" si="181">BN60+AF60</f>
        <v>735</v>
      </c>
      <c r="BP60" s="298">
        <f t="shared" ref="BP60:BP61" si="182">BO60+AG60</f>
        <v>770</v>
      </c>
      <c r="BQ60" s="298">
        <f t="shared" ref="BQ60:BQ61" si="183">BP60+AH60</f>
        <v>805</v>
      </c>
      <c r="BR60" s="298">
        <f t="shared" ref="BR60:BR61" si="184">BQ60+AI60</f>
        <v>840</v>
      </c>
      <c r="BS60" s="298">
        <f t="shared" ref="BS60:BS61" si="185">BR60+AJ60</f>
        <v>875</v>
      </c>
      <c r="BT60" s="298">
        <f t="shared" ref="BT60:BT61" si="186">BS60+AK60</f>
        <v>910</v>
      </c>
      <c r="BU60" s="298">
        <f t="shared" ref="BU60" si="187">BT60+AL60</f>
        <v>945</v>
      </c>
      <c r="BV60" s="298">
        <f t="shared" ref="BV60" si="188">BU60+AM60</f>
        <v>980</v>
      </c>
    </row>
    <row r="61" spans="1:74" x14ac:dyDescent="0.25">
      <c r="A61" s="1753"/>
      <c r="B61" s="194">
        <f>'February 25 D_R (Tramming)'!F61</f>
        <v>2717</v>
      </c>
      <c r="C61" s="352">
        <f>(J61/(J61))*B61</f>
        <v>2717</v>
      </c>
      <c r="D61" s="349">
        <f>(C61-J61)/C61</f>
        <v>0.14280456385719545</v>
      </c>
      <c r="E61" s="226"/>
      <c r="F61" s="1766"/>
      <c r="G61" s="1769"/>
      <c r="H61" s="1772"/>
      <c r="I61" s="1472" t="s">
        <v>342</v>
      </c>
      <c r="J61" s="1484">
        <v>2329</v>
      </c>
      <c r="K61" s="1485">
        <v>1.38</v>
      </c>
      <c r="L61" s="1449">
        <v>116</v>
      </c>
      <c r="M61" s="1435">
        <v>117</v>
      </c>
      <c r="N61" s="1435">
        <v>114</v>
      </c>
      <c r="O61" s="1435">
        <v>112</v>
      </c>
      <c r="P61" s="1435">
        <v>117</v>
      </c>
      <c r="Q61" s="1435">
        <v>125</v>
      </c>
      <c r="R61" s="1435">
        <v>104</v>
      </c>
      <c r="S61" s="1435">
        <v>115</v>
      </c>
      <c r="T61" s="1435">
        <v>118</v>
      </c>
      <c r="U61" s="1435">
        <v>111</v>
      </c>
      <c r="V61" s="1435">
        <v>77</v>
      </c>
      <c r="W61" s="1435">
        <v>76</v>
      </c>
      <c r="X61" s="1435">
        <v>77</v>
      </c>
      <c r="Y61" s="1435">
        <v>35</v>
      </c>
      <c r="Z61" s="1435">
        <v>35</v>
      </c>
      <c r="AA61" s="1435">
        <v>35</v>
      </c>
      <c r="AB61" s="1435">
        <v>36</v>
      </c>
      <c r="AC61" s="1435">
        <v>36</v>
      </c>
      <c r="AD61" s="1435">
        <v>68</v>
      </c>
      <c r="AE61" s="1434">
        <v>21</v>
      </c>
      <c r="AF61" s="1435">
        <v>84</v>
      </c>
      <c r="AG61" s="1435">
        <v>44</v>
      </c>
      <c r="AH61" s="1435">
        <v>131</v>
      </c>
      <c r="AI61" s="1435">
        <v>50</v>
      </c>
      <c r="AJ61" s="1435">
        <v>125</v>
      </c>
      <c r="AK61" s="1435">
        <v>150</v>
      </c>
      <c r="AL61" s="1435">
        <v>64</v>
      </c>
      <c r="AM61" s="1435">
        <v>36</v>
      </c>
      <c r="AN61" s="1436"/>
      <c r="AO61" s="1436"/>
      <c r="AP61" s="1436"/>
      <c r="AQ61" s="604"/>
      <c r="AR61" s="308"/>
      <c r="AS61" s="1754"/>
      <c r="AU61" s="226">
        <f>L61</f>
        <v>116</v>
      </c>
      <c r="AV61" s="298">
        <f>AU61+M61</f>
        <v>233</v>
      </c>
      <c r="AW61" s="298">
        <f>AV61+N61</f>
        <v>347</v>
      </c>
      <c r="AX61" s="298">
        <f t="shared" si="164"/>
        <v>459</v>
      </c>
      <c r="AY61" s="298">
        <f t="shared" si="165"/>
        <v>576</v>
      </c>
      <c r="AZ61" s="298">
        <f t="shared" si="166"/>
        <v>701</v>
      </c>
      <c r="BA61" s="298">
        <f t="shared" si="167"/>
        <v>805</v>
      </c>
      <c r="BB61" s="298">
        <f t="shared" si="168"/>
        <v>920</v>
      </c>
      <c r="BC61" s="298">
        <f t="shared" si="169"/>
        <v>1038</v>
      </c>
      <c r="BD61" s="298">
        <f t="shared" si="170"/>
        <v>1149</v>
      </c>
      <c r="BE61" s="298">
        <f t="shared" si="171"/>
        <v>1226</v>
      </c>
      <c r="BF61" s="298">
        <f t="shared" si="172"/>
        <v>1302</v>
      </c>
      <c r="BG61" s="298">
        <f t="shared" si="173"/>
        <v>1379</v>
      </c>
      <c r="BH61" s="298">
        <f t="shared" si="174"/>
        <v>1414</v>
      </c>
      <c r="BI61" s="298">
        <f t="shared" si="175"/>
        <v>1449</v>
      </c>
      <c r="BJ61" s="298">
        <f t="shared" si="176"/>
        <v>1484</v>
      </c>
      <c r="BK61" s="298">
        <f t="shared" si="177"/>
        <v>1520</v>
      </c>
      <c r="BL61" s="298">
        <f t="shared" si="178"/>
        <v>1556</v>
      </c>
      <c r="BM61" s="298">
        <f t="shared" si="179"/>
        <v>1624</v>
      </c>
      <c r="BN61" s="298">
        <f t="shared" si="180"/>
        <v>1645</v>
      </c>
      <c r="BO61" s="298">
        <f t="shared" si="181"/>
        <v>1729</v>
      </c>
      <c r="BP61" s="298">
        <f t="shared" si="182"/>
        <v>1773</v>
      </c>
      <c r="BQ61" s="298">
        <f t="shared" si="183"/>
        <v>1904</v>
      </c>
      <c r="BR61" s="298">
        <f t="shared" si="184"/>
        <v>1954</v>
      </c>
      <c r="BS61" s="298">
        <f t="shared" si="185"/>
        <v>2079</v>
      </c>
      <c r="BT61" s="298">
        <f t="shared" si="186"/>
        <v>2229</v>
      </c>
    </row>
    <row r="62" spans="1:74" x14ac:dyDescent="0.25">
      <c r="A62" s="1753"/>
      <c r="B62" s="194">
        <f>'February 25 D_R (Tramming)'!F62</f>
        <v>0</v>
      </c>
      <c r="E62" s="226"/>
      <c r="F62" s="1766"/>
      <c r="G62" s="1769"/>
      <c r="H62" s="1773"/>
      <c r="I62" s="1486" t="s">
        <v>312</v>
      </c>
      <c r="J62" s="1487"/>
      <c r="K62" s="1488"/>
      <c r="L62" s="605"/>
      <c r="M62" s="605"/>
      <c r="N62" s="605"/>
      <c r="O62" s="605"/>
      <c r="P62" s="605"/>
      <c r="Q62" s="605"/>
      <c r="R62" s="605"/>
      <c r="S62" s="605"/>
      <c r="T62" s="606"/>
      <c r="U62" s="605"/>
      <c r="V62" s="605"/>
      <c r="W62" s="605"/>
      <c r="X62" s="605"/>
      <c r="Y62" s="605"/>
      <c r="Z62" s="605"/>
      <c r="AA62" s="605"/>
      <c r="AB62" s="605"/>
      <c r="AC62" s="605" t="s">
        <v>546</v>
      </c>
      <c r="AD62" s="605"/>
      <c r="AE62" s="605"/>
      <c r="AF62" s="605"/>
      <c r="AG62" s="605"/>
      <c r="AH62" s="605"/>
      <c r="AI62" s="605"/>
      <c r="AJ62" s="605"/>
      <c r="AK62" s="605"/>
      <c r="AL62" s="605"/>
      <c r="AM62" s="605"/>
      <c r="AN62" s="613"/>
      <c r="AO62" s="613"/>
      <c r="AP62" s="614"/>
      <c r="AQ62" s="608"/>
      <c r="AR62" s="309"/>
      <c r="AS62" s="1754"/>
      <c r="AT62" s="333"/>
      <c r="AU62" s="227"/>
      <c r="AV62" s="227"/>
      <c r="BL62" s="299"/>
      <c r="BM62" s="299"/>
      <c r="BN62" s="299"/>
      <c r="BO62" s="299"/>
      <c r="BP62" s="299"/>
      <c r="BQ62" s="299"/>
      <c r="BR62" s="299"/>
      <c r="BS62" s="299"/>
      <c r="BT62" s="299"/>
      <c r="BU62" s="299">
        <f>BT61+AL60</f>
        <v>2264</v>
      </c>
      <c r="BV62" s="299">
        <f t="shared" ref="BV62" si="189">BU62+AM60</f>
        <v>2299</v>
      </c>
    </row>
    <row r="63" spans="1:74" x14ac:dyDescent="0.25">
      <c r="A63" s="1753"/>
      <c r="B63" s="194" t="str">
        <f>'February 25 D_R (Tramming)'!F63</f>
        <v xml:space="preserve">-   </v>
      </c>
      <c r="C63" s="348">
        <f>J63</f>
        <v>2.91</v>
      </c>
      <c r="E63" s="226"/>
      <c r="F63" s="1766"/>
      <c r="G63" s="1769"/>
      <c r="H63" s="1774" t="s">
        <v>343</v>
      </c>
      <c r="I63" s="1478" t="s">
        <v>344</v>
      </c>
      <c r="J63" s="1479">
        <v>2.91</v>
      </c>
      <c r="K63" s="1480"/>
      <c r="L63" s="1445">
        <v>2.91</v>
      </c>
      <c r="M63" s="1445">
        <v>2.91</v>
      </c>
      <c r="N63" s="1445">
        <v>2.91</v>
      </c>
      <c r="O63" s="1437">
        <v>2.91</v>
      </c>
      <c r="P63" s="1437">
        <v>2.91</v>
      </c>
      <c r="Q63" s="1437">
        <v>2.91</v>
      </c>
      <c r="R63" s="1437">
        <v>2.91</v>
      </c>
      <c r="S63" s="1437">
        <v>2.91</v>
      </c>
      <c r="T63" s="1438">
        <v>2.91</v>
      </c>
      <c r="U63" s="1437">
        <v>2.91</v>
      </c>
      <c r="V63" s="1437">
        <v>2.91</v>
      </c>
      <c r="W63" s="1437">
        <v>2.91</v>
      </c>
      <c r="X63" s="1437">
        <v>2.91</v>
      </c>
      <c r="Y63" s="1437">
        <v>2.91</v>
      </c>
      <c r="Z63" s="1437">
        <v>2.91</v>
      </c>
      <c r="AA63" s="1437">
        <v>2.91</v>
      </c>
      <c r="AB63" s="1437">
        <v>2.91</v>
      </c>
      <c r="AC63" s="1437">
        <v>2.91</v>
      </c>
      <c r="AD63" s="1437">
        <v>2.91</v>
      </c>
      <c r="AE63" s="1437">
        <v>2.91</v>
      </c>
      <c r="AF63" s="1437">
        <v>2.91</v>
      </c>
      <c r="AG63" s="1437">
        <v>2.91</v>
      </c>
      <c r="AH63" s="1437">
        <v>2.91</v>
      </c>
      <c r="AI63" s="1437">
        <v>2.91</v>
      </c>
      <c r="AJ63" s="1437">
        <v>2.91</v>
      </c>
      <c r="AK63" s="1437">
        <v>2.91</v>
      </c>
      <c r="AL63" s="1437">
        <v>2.91</v>
      </c>
      <c r="AM63" s="1437">
        <v>2.91</v>
      </c>
      <c r="AN63" s="1493" t="s">
        <v>468</v>
      </c>
      <c r="AO63" s="1493" t="s">
        <v>468</v>
      </c>
      <c r="AP63" s="1494" t="s">
        <v>468</v>
      </c>
      <c r="AQ63" s="604"/>
      <c r="AR63" s="308"/>
      <c r="AS63" s="1754"/>
      <c r="AU63" s="226"/>
      <c r="AV63" s="226"/>
    </row>
    <row r="64" spans="1:74" x14ac:dyDescent="0.25">
      <c r="A64" s="1753"/>
      <c r="B64" s="194">
        <f>'February 25 D_R (Tramming)'!F64</f>
        <v>3.06</v>
      </c>
      <c r="C64" s="350">
        <f>C66*1000/C61</f>
        <v>3.0548398969451602</v>
      </c>
      <c r="E64" s="226"/>
      <c r="F64" s="1766"/>
      <c r="G64" s="1769"/>
      <c r="H64" s="1773"/>
      <c r="I64" s="1455" t="s">
        <v>345</v>
      </c>
      <c r="J64" s="1492">
        <v>4.18</v>
      </c>
      <c r="K64" s="1485">
        <v>0.44</v>
      </c>
      <c r="L64" s="1451">
        <v>6.42</v>
      </c>
      <c r="M64" s="1442">
        <v>6.42</v>
      </c>
      <c r="N64" s="1444">
        <v>2.75</v>
      </c>
      <c r="O64" s="1441">
        <v>1.99</v>
      </c>
      <c r="P64" s="1442">
        <v>3.51</v>
      </c>
      <c r="Q64" s="1444">
        <v>2.89</v>
      </c>
      <c r="R64" s="1442">
        <v>5.51</v>
      </c>
      <c r="S64" s="1442">
        <v>6.54</v>
      </c>
      <c r="T64" s="1442">
        <v>6.54</v>
      </c>
      <c r="U64" s="1442">
        <v>5.0999999999999996</v>
      </c>
      <c r="V64" s="1442">
        <v>4.68</v>
      </c>
      <c r="W64" s="1434"/>
      <c r="X64" s="1442">
        <v>4</v>
      </c>
      <c r="Y64" s="1443">
        <v>1.29</v>
      </c>
      <c r="Z64" s="1442">
        <v>3.18</v>
      </c>
      <c r="AA64" s="1442">
        <v>3.18</v>
      </c>
      <c r="AB64" s="1441">
        <v>1.63</v>
      </c>
      <c r="AC64" s="1441">
        <v>1.83</v>
      </c>
      <c r="AD64" s="1443">
        <v>1.07</v>
      </c>
      <c r="AE64" s="1444">
        <v>2.16</v>
      </c>
      <c r="AF64" s="1442">
        <v>5.13</v>
      </c>
      <c r="AG64" s="1442">
        <v>5.56</v>
      </c>
      <c r="AH64" s="1442">
        <v>5.56</v>
      </c>
      <c r="AI64" s="1442">
        <v>4.46</v>
      </c>
      <c r="AJ64" s="1441">
        <v>1.88</v>
      </c>
      <c r="AK64" s="1442">
        <v>3.91</v>
      </c>
      <c r="AL64" s="1442">
        <v>5.94</v>
      </c>
      <c r="AM64" s="1442">
        <v>7</v>
      </c>
      <c r="AN64" s="1436"/>
      <c r="AO64" s="1436"/>
      <c r="AP64" s="1436"/>
      <c r="AQ64" s="604"/>
      <c r="AR64" s="308"/>
      <c r="AS64" s="1754"/>
      <c r="AU64" s="226"/>
      <c r="AV64" s="226"/>
    </row>
    <row r="65" spans="1:74" x14ac:dyDescent="0.25">
      <c r="A65" s="1753"/>
      <c r="B65" s="194" t="str">
        <f>'February 25 D_R (Tramming)'!F65</f>
        <v xml:space="preserve">-   </v>
      </c>
      <c r="C65" s="354">
        <f>J65</f>
        <v>2.9</v>
      </c>
      <c r="E65" s="226"/>
      <c r="F65" s="1766"/>
      <c r="G65" s="1769"/>
      <c r="H65" s="1774" t="s">
        <v>47</v>
      </c>
      <c r="I65" s="1478" t="s">
        <v>346</v>
      </c>
      <c r="J65" s="609">
        <v>2.9</v>
      </c>
      <c r="K65" s="1480"/>
      <c r="L65" s="1445">
        <v>0.1</v>
      </c>
      <c r="M65" s="1445">
        <v>0.1</v>
      </c>
      <c r="N65" s="1445">
        <v>0.1</v>
      </c>
      <c r="O65" s="1437">
        <v>0.1</v>
      </c>
      <c r="P65" s="1437">
        <v>0.1</v>
      </c>
      <c r="Q65" s="1437">
        <v>0.1</v>
      </c>
      <c r="R65" s="1437">
        <v>0.1</v>
      </c>
      <c r="S65" s="1437">
        <v>0.1</v>
      </c>
      <c r="T65" s="1438">
        <v>0.1</v>
      </c>
      <c r="U65" s="1437">
        <v>0.1</v>
      </c>
      <c r="V65" s="1437">
        <v>0.1</v>
      </c>
      <c r="W65" s="1437">
        <v>0.1</v>
      </c>
      <c r="X65" s="1437">
        <v>0.1</v>
      </c>
      <c r="Y65" s="1437">
        <v>0.1</v>
      </c>
      <c r="Z65" s="1437">
        <v>0.1</v>
      </c>
      <c r="AA65" s="1437">
        <v>0.1</v>
      </c>
      <c r="AB65" s="1437">
        <v>0.1</v>
      </c>
      <c r="AC65" s="1437">
        <v>0.1</v>
      </c>
      <c r="AD65" s="1437">
        <v>0.1</v>
      </c>
      <c r="AE65" s="1437">
        <v>0.1</v>
      </c>
      <c r="AF65" s="1437">
        <v>0.1</v>
      </c>
      <c r="AG65" s="1437">
        <v>0.1</v>
      </c>
      <c r="AH65" s="1437">
        <v>0.1</v>
      </c>
      <c r="AI65" s="1437">
        <v>0.1</v>
      </c>
      <c r="AJ65" s="1437">
        <v>0.1</v>
      </c>
      <c r="AK65" s="1437">
        <v>0.1</v>
      </c>
      <c r="AL65" s="1437">
        <v>0.1</v>
      </c>
      <c r="AM65" s="1437">
        <v>0.1</v>
      </c>
      <c r="AN65" s="1493" t="s">
        <v>468</v>
      </c>
      <c r="AO65" s="1493" t="s">
        <v>468</v>
      </c>
      <c r="AP65" s="1494" t="s">
        <v>468</v>
      </c>
      <c r="AQ65" s="604"/>
      <c r="AR65" s="310"/>
      <c r="AS65" s="1754"/>
      <c r="AT65" s="332"/>
      <c r="AU65" s="226"/>
      <c r="AV65" s="226"/>
    </row>
    <row r="66" spans="1:74" ht="14.25" thickBot="1" x14ac:dyDescent="0.3">
      <c r="A66" s="1753"/>
      <c r="B66" s="194">
        <f>'February 25 D_R (Tramming)'!F66</f>
        <v>8.3000000000000007</v>
      </c>
      <c r="C66" s="350">
        <f>(J66/(J66))*B66</f>
        <v>8.3000000000000007</v>
      </c>
      <c r="E66" s="226"/>
      <c r="F66" s="1766"/>
      <c r="G66" s="1770"/>
      <c r="H66" s="1772"/>
      <c r="I66" s="1460" t="s">
        <v>347</v>
      </c>
      <c r="J66" s="1489">
        <v>9.6999999999999993</v>
      </c>
      <c r="K66" s="1490">
        <v>2.41</v>
      </c>
      <c r="L66" s="1446">
        <v>0.7</v>
      </c>
      <c r="M66" s="1468">
        <v>0.8</v>
      </c>
      <c r="N66" s="1468">
        <v>0.3</v>
      </c>
      <c r="O66" s="1468">
        <v>0.2</v>
      </c>
      <c r="P66" s="1468">
        <v>0.4</v>
      </c>
      <c r="Q66" s="1468">
        <v>0.4</v>
      </c>
      <c r="R66" s="1468">
        <v>0.6</v>
      </c>
      <c r="S66" s="1468">
        <v>0.8</v>
      </c>
      <c r="T66" s="1468">
        <v>0.8</v>
      </c>
      <c r="U66" s="1468">
        <v>0.6</v>
      </c>
      <c r="V66" s="1468">
        <v>0.4</v>
      </c>
      <c r="W66" s="1469" t="s">
        <v>468</v>
      </c>
      <c r="X66" s="1468">
        <v>0.3</v>
      </c>
      <c r="Y66" s="1469">
        <v>0</v>
      </c>
      <c r="Z66" s="1468">
        <v>0.1</v>
      </c>
      <c r="AA66" s="1468">
        <v>0.1</v>
      </c>
      <c r="AB66" s="1469">
        <v>0.1</v>
      </c>
      <c r="AC66" s="1469">
        <v>0.1</v>
      </c>
      <c r="AD66" s="1469">
        <v>0.1</v>
      </c>
      <c r="AE66" s="1469">
        <v>0</v>
      </c>
      <c r="AF66" s="1468">
        <v>0.4</v>
      </c>
      <c r="AG66" s="1468">
        <v>0.2</v>
      </c>
      <c r="AH66" s="1468">
        <v>0.7</v>
      </c>
      <c r="AI66" s="1468">
        <v>0.2</v>
      </c>
      <c r="AJ66" s="1468">
        <v>0.2</v>
      </c>
      <c r="AK66" s="1468">
        <v>0.6</v>
      </c>
      <c r="AL66" s="1468">
        <v>0.4</v>
      </c>
      <c r="AM66" s="1468">
        <v>0.3</v>
      </c>
      <c r="AN66" s="1470" t="s">
        <v>468</v>
      </c>
      <c r="AO66" s="1470" t="s">
        <v>468</v>
      </c>
      <c r="AP66" s="1470" t="s">
        <v>468</v>
      </c>
      <c r="AQ66" s="610"/>
      <c r="AR66" s="311"/>
      <c r="AS66" s="1754"/>
      <c r="AU66" s="226"/>
      <c r="AV66" s="226"/>
    </row>
    <row r="67" spans="1:74" s="194" customFormat="1" ht="14.45" customHeight="1" x14ac:dyDescent="0.25">
      <c r="A67" s="1753" t="s">
        <v>558</v>
      </c>
      <c r="B67" s="194" t="str">
        <f>'February 25 D_R (Tramming)'!F67</f>
        <v xml:space="preserve">-   </v>
      </c>
      <c r="C67" s="353">
        <f>J67</f>
        <v>1960</v>
      </c>
      <c r="E67" s="226"/>
      <c r="F67" s="1766"/>
      <c r="G67" s="1768" t="s">
        <v>477</v>
      </c>
      <c r="H67" s="1772" t="s">
        <v>340</v>
      </c>
      <c r="I67" s="616" t="s">
        <v>341</v>
      </c>
      <c r="J67" s="617">
        <v>1960</v>
      </c>
      <c r="K67" s="618"/>
      <c r="L67" s="599">
        <v>70</v>
      </c>
      <c r="M67" s="599">
        <v>70</v>
      </c>
      <c r="N67" s="599">
        <v>70</v>
      </c>
      <c r="O67" s="600">
        <v>70</v>
      </c>
      <c r="P67" s="600">
        <v>70</v>
      </c>
      <c r="Q67" s="600">
        <v>70</v>
      </c>
      <c r="R67" s="600">
        <v>70</v>
      </c>
      <c r="S67" s="600">
        <v>70</v>
      </c>
      <c r="T67" s="601">
        <v>70</v>
      </c>
      <c r="U67" s="600">
        <v>70</v>
      </c>
      <c r="V67" s="600">
        <v>70</v>
      </c>
      <c r="W67" s="600">
        <v>70</v>
      </c>
      <c r="X67" s="600">
        <v>70</v>
      </c>
      <c r="Y67" s="600">
        <v>70</v>
      </c>
      <c r="Z67" s="600">
        <v>70</v>
      </c>
      <c r="AA67" s="600">
        <v>70</v>
      </c>
      <c r="AB67" s="600">
        <v>70</v>
      </c>
      <c r="AC67" s="600">
        <v>70</v>
      </c>
      <c r="AD67" s="600">
        <v>70</v>
      </c>
      <c r="AE67" s="600">
        <v>70</v>
      </c>
      <c r="AF67" s="600">
        <v>70</v>
      </c>
      <c r="AG67" s="600">
        <v>70</v>
      </c>
      <c r="AH67" s="600">
        <v>70</v>
      </c>
      <c r="AI67" s="600">
        <v>70</v>
      </c>
      <c r="AJ67" s="600">
        <v>70</v>
      </c>
      <c r="AK67" s="600">
        <v>70</v>
      </c>
      <c r="AL67" s="600">
        <v>70</v>
      </c>
      <c r="AM67" s="600">
        <v>70</v>
      </c>
      <c r="AN67" s="600" t="s">
        <v>468</v>
      </c>
      <c r="AO67" s="600" t="s">
        <v>468</v>
      </c>
      <c r="AP67" s="602" t="s">
        <v>468</v>
      </c>
      <c r="AQ67" s="603"/>
      <c r="AR67" s="307"/>
      <c r="AS67" s="1754" t="s">
        <v>559</v>
      </c>
      <c r="AT67" s="332"/>
      <c r="AU67" s="226">
        <f>L67</f>
        <v>70</v>
      </c>
      <c r="AV67" s="298">
        <f>AU67+M67</f>
        <v>140</v>
      </c>
      <c r="AW67" s="298">
        <f>AV67+N67</f>
        <v>210</v>
      </c>
      <c r="AX67" s="298">
        <f t="shared" ref="AX67:AX68" si="190">AW67+O67</f>
        <v>280</v>
      </c>
      <c r="AY67" s="298">
        <f t="shared" ref="AY67:AY68" si="191">AX67+P67</f>
        <v>350</v>
      </c>
      <c r="AZ67" s="298">
        <f t="shared" ref="AZ67:AZ68" si="192">AY67+Q67</f>
        <v>420</v>
      </c>
      <c r="BA67" s="298">
        <f t="shared" ref="BA67:BA68" si="193">AZ67+R67</f>
        <v>490</v>
      </c>
      <c r="BB67" s="298">
        <f t="shared" ref="BB67:BB68" si="194">BA67+S67</f>
        <v>560</v>
      </c>
      <c r="BC67" s="298">
        <f t="shared" ref="BC67:BC68" si="195">BB67+T67</f>
        <v>630</v>
      </c>
      <c r="BD67" s="298">
        <f t="shared" ref="BD67:BD68" si="196">BC67+U67</f>
        <v>700</v>
      </c>
      <c r="BE67" s="298">
        <f t="shared" ref="BE67:BE68" si="197">BD67+V67</f>
        <v>770</v>
      </c>
      <c r="BF67" s="298">
        <f t="shared" ref="BF67:BF68" si="198">BE67+W67</f>
        <v>840</v>
      </c>
      <c r="BG67" s="298">
        <f t="shared" ref="BG67:BG68" si="199">BF67+X67</f>
        <v>910</v>
      </c>
      <c r="BH67" s="298">
        <f t="shared" ref="BH67:BH68" si="200">BG67+Y67</f>
        <v>980</v>
      </c>
      <c r="BI67" s="298">
        <f t="shared" ref="BI67:BI68" si="201">BH67+Z67</f>
        <v>1050</v>
      </c>
      <c r="BJ67" s="298">
        <f t="shared" ref="BJ67:BJ68" si="202">BI67+AA67</f>
        <v>1120</v>
      </c>
      <c r="BK67" s="298">
        <f t="shared" ref="BK67:BK68" si="203">BJ67+AB67</f>
        <v>1190</v>
      </c>
      <c r="BL67" s="298">
        <f t="shared" ref="BL67:BL68" si="204">BK67+AC67</f>
        <v>1260</v>
      </c>
      <c r="BM67" s="298">
        <f t="shared" ref="BM67:BM68" si="205">BL67+AD67</f>
        <v>1330</v>
      </c>
      <c r="BN67" s="298">
        <f t="shared" ref="BN67:BN68" si="206">BM67+AE67</f>
        <v>1400</v>
      </c>
      <c r="BO67" s="298">
        <f t="shared" ref="BO67:BO68" si="207">BN67+AF67</f>
        <v>1470</v>
      </c>
      <c r="BP67" s="298">
        <f t="shared" ref="BP67:BP68" si="208">BO67+AG67</f>
        <v>1540</v>
      </c>
      <c r="BQ67" s="298">
        <f t="shared" ref="BQ67:BQ68" si="209">BP67+AH67</f>
        <v>1610</v>
      </c>
      <c r="BR67" s="298">
        <f t="shared" ref="BR67:BR68" si="210">BQ67+AI67</f>
        <v>1680</v>
      </c>
      <c r="BS67" s="298">
        <f t="shared" ref="BS67:BS68" si="211">BR67+AJ67</f>
        <v>1750</v>
      </c>
      <c r="BT67" s="298">
        <f t="shared" ref="BT67:BT68" si="212">BS67+AK67</f>
        <v>1820</v>
      </c>
      <c r="BU67" s="298">
        <f t="shared" ref="BU67" si="213">BT67+AL67</f>
        <v>1890</v>
      </c>
      <c r="BV67" s="298">
        <f t="shared" ref="BV67" si="214">BU67+AM67</f>
        <v>1960</v>
      </c>
    </row>
    <row r="68" spans="1:74" x14ac:dyDescent="0.25">
      <c r="A68" s="1753"/>
      <c r="B68" s="194">
        <f>'February 25 D_R (Tramming)'!F68</f>
        <v>1103</v>
      </c>
      <c r="C68" s="352">
        <f>(J68/(J68))*B68</f>
        <v>1103</v>
      </c>
      <c r="D68" s="349">
        <f>(C68-J68)/C68</f>
        <v>0.67996373526745235</v>
      </c>
      <c r="E68" s="226"/>
      <c r="F68" s="1766"/>
      <c r="G68" s="1769"/>
      <c r="H68" s="1772"/>
      <c r="I68" s="1472" t="s">
        <v>342</v>
      </c>
      <c r="J68" s="1481">
        <v>353</v>
      </c>
      <c r="K68" s="1474">
        <v>-0.82</v>
      </c>
      <c r="L68" s="1449">
        <v>75</v>
      </c>
      <c r="M68" s="1435">
        <v>79</v>
      </c>
      <c r="N68" s="1435">
        <v>72</v>
      </c>
      <c r="O68" s="1434"/>
      <c r="P68" s="1434">
        <v>42</v>
      </c>
      <c r="Q68" s="1434"/>
      <c r="R68" s="1434"/>
      <c r="S68" s="1434"/>
      <c r="T68" s="1434"/>
      <c r="U68" s="1434"/>
      <c r="V68" s="1434"/>
      <c r="W68" s="1434"/>
      <c r="X68" s="1434"/>
      <c r="Y68" s="1434"/>
      <c r="Z68" s="1434"/>
      <c r="AA68" s="1434"/>
      <c r="AB68" s="1434"/>
      <c r="AC68" s="1434"/>
      <c r="AD68" s="1434">
        <v>38</v>
      </c>
      <c r="AE68" s="1434">
        <v>47</v>
      </c>
      <c r="AF68" s="1434"/>
      <c r="AG68" s="1434"/>
      <c r="AH68" s="1434"/>
      <c r="AI68" s="1434"/>
      <c r="AJ68" s="1434"/>
      <c r="AK68" s="1434"/>
      <c r="AL68" s="1434"/>
      <c r="AM68" s="1434"/>
      <c r="AN68" s="1436"/>
      <c r="AO68" s="1436"/>
      <c r="AP68" s="1436"/>
      <c r="AQ68" s="604"/>
      <c r="AR68" s="308"/>
      <c r="AS68" s="1754"/>
      <c r="AU68" s="226">
        <f>L68</f>
        <v>75</v>
      </c>
      <c r="AV68" s="298">
        <f>AU68+M68</f>
        <v>154</v>
      </c>
      <c r="AW68" s="298">
        <f>AV68+N68</f>
        <v>226</v>
      </c>
      <c r="AX68" s="298">
        <f t="shared" si="190"/>
        <v>226</v>
      </c>
      <c r="AY68" s="298">
        <f t="shared" si="191"/>
        <v>268</v>
      </c>
      <c r="AZ68" s="298">
        <f t="shared" si="192"/>
        <v>268</v>
      </c>
      <c r="BA68" s="298">
        <f t="shared" si="193"/>
        <v>268</v>
      </c>
      <c r="BB68" s="298">
        <f t="shared" si="194"/>
        <v>268</v>
      </c>
      <c r="BC68" s="298">
        <f t="shared" si="195"/>
        <v>268</v>
      </c>
      <c r="BD68" s="298">
        <f t="shared" si="196"/>
        <v>268</v>
      </c>
      <c r="BE68" s="298">
        <f t="shared" si="197"/>
        <v>268</v>
      </c>
      <c r="BF68" s="298">
        <f t="shared" si="198"/>
        <v>268</v>
      </c>
      <c r="BG68" s="298">
        <f t="shared" si="199"/>
        <v>268</v>
      </c>
      <c r="BH68" s="298">
        <f t="shared" si="200"/>
        <v>268</v>
      </c>
      <c r="BI68" s="298">
        <f t="shared" si="201"/>
        <v>268</v>
      </c>
      <c r="BJ68" s="298">
        <f t="shared" si="202"/>
        <v>268</v>
      </c>
      <c r="BK68" s="298">
        <f t="shared" si="203"/>
        <v>268</v>
      </c>
      <c r="BL68" s="298">
        <f t="shared" si="204"/>
        <v>268</v>
      </c>
      <c r="BM68" s="298">
        <f t="shared" si="205"/>
        <v>306</v>
      </c>
      <c r="BN68" s="298">
        <f t="shared" si="206"/>
        <v>353</v>
      </c>
      <c r="BO68" s="298">
        <f t="shared" si="207"/>
        <v>353</v>
      </c>
      <c r="BP68" s="298">
        <f t="shared" si="208"/>
        <v>353</v>
      </c>
      <c r="BQ68" s="298">
        <f t="shared" si="209"/>
        <v>353</v>
      </c>
      <c r="BR68" s="298">
        <f t="shared" si="210"/>
        <v>353</v>
      </c>
      <c r="BS68" s="298">
        <f t="shared" si="211"/>
        <v>353</v>
      </c>
      <c r="BT68" s="298">
        <f t="shared" si="212"/>
        <v>353</v>
      </c>
    </row>
    <row r="69" spans="1:74" x14ac:dyDescent="0.25">
      <c r="A69" s="1753"/>
      <c r="B69" s="194">
        <f>'February 25 D_R (Tramming)'!F69</f>
        <v>0</v>
      </c>
      <c r="E69" s="226"/>
      <c r="F69" s="1766"/>
      <c r="G69" s="1769"/>
      <c r="H69" s="1773"/>
      <c r="I69" s="1486" t="s">
        <v>312</v>
      </c>
      <c r="J69" s="1487"/>
      <c r="K69" s="1488"/>
      <c r="L69" s="605"/>
      <c r="M69" s="605"/>
      <c r="N69" s="605"/>
      <c r="O69" s="605"/>
      <c r="P69" s="605"/>
      <c r="Q69" s="605"/>
      <c r="R69" s="605"/>
      <c r="S69" s="605"/>
      <c r="T69" s="606"/>
      <c r="U69" s="605"/>
      <c r="V69" s="605"/>
      <c r="W69" s="605"/>
      <c r="X69" s="605"/>
      <c r="Y69" s="605"/>
      <c r="Z69" s="605"/>
      <c r="AA69" s="605"/>
      <c r="AB69" s="605"/>
      <c r="AC69" s="605"/>
      <c r="AD69" s="605" t="s">
        <v>560</v>
      </c>
      <c r="AE69" s="605" t="s">
        <v>561</v>
      </c>
      <c r="AF69" s="605"/>
      <c r="AG69" s="605"/>
      <c r="AH69" s="605" t="s">
        <v>562</v>
      </c>
      <c r="AI69" s="605"/>
      <c r="AJ69" s="605"/>
      <c r="AK69" s="605"/>
      <c r="AL69" s="605"/>
      <c r="AM69" s="605"/>
      <c r="AN69" s="605"/>
      <c r="AO69" s="605"/>
      <c r="AP69" s="607"/>
      <c r="AQ69" s="608"/>
      <c r="AR69" s="309"/>
      <c r="AS69" s="1754"/>
      <c r="AT69" s="333"/>
      <c r="AU69" s="227"/>
      <c r="AV69" s="227"/>
      <c r="BL69" s="299"/>
      <c r="BM69" s="299"/>
      <c r="BN69" s="299"/>
      <c r="BO69" s="299"/>
      <c r="BP69" s="299"/>
      <c r="BQ69" s="299"/>
      <c r="BR69" s="299"/>
      <c r="BS69" s="299"/>
      <c r="BT69" s="299"/>
      <c r="BU69" s="299">
        <f>BT68+AL67</f>
        <v>423</v>
      </c>
      <c r="BV69" s="299">
        <f t="shared" ref="BV69" si="215">BU69+AM67</f>
        <v>493</v>
      </c>
    </row>
    <row r="70" spans="1:74" x14ac:dyDescent="0.25">
      <c r="A70" s="1753"/>
      <c r="B70" s="194" t="str">
        <f>'February 25 D_R (Tramming)'!F70</f>
        <v xml:space="preserve">-   </v>
      </c>
      <c r="C70" s="348">
        <f>J70</f>
        <v>2.6</v>
      </c>
      <c r="E70" s="226"/>
      <c r="F70" s="1766"/>
      <c r="G70" s="1769"/>
      <c r="H70" s="1774" t="s">
        <v>343</v>
      </c>
      <c r="I70" s="1478" t="s">
        <v>344</v>
      </c>
      <c r="J70" s="1479">
        <v>2.6</v>
      </c>
      <c r="K70" s="1480"/>
      <c r="L70" s="1445">
        <v>2.6</v>
      </c>
      <c r="M70" s="1445">
        <v>2.6</v>
      </c>
      <c r="N70" s="1445">
        <v>2.6</v>
      </c>
      <c r="O70" s="1437">
        <v>2.6</v>
      </c>
      <c r="P70" s="1437">
        <v>2.6</v>
      </c>
      <c r="Q70" s="1437">
        <v>2.6</v>
      </c>
      <c r="R70" s="1437">
        <v>2.6</v>
      </c>
      <c r="S70" s="1437">
        <v>2.6</v>
      </c>
      <c r="T70" s="1438">
        <v>2.6</v>
      </c>
      <c r="U70" s="1437">
        <v>2.6</v>
      </c>
      <c r="V70" s="1437">
        <v>2.6</v>
      </c>
      <c r="W70" s="1437">
        <v>2.6</v>
      </c>
      <c r="X70" s="1437">
        <v>2.6</v>
      </c>
      <c r="Y70" s="1437">
        <v>2.6</v>
      </c>
      <c r="Z70" s="1437">
        <v>2.6</v>
      </c>
      <c r="AA70" s="1437">
        <v>2.6</v>
      </c>
      <c r="AB70" s="1437">
        <v>2.6</v>
      </c>
      <c r="AC70" s="1437">
        <v>2.6</v>
      </c>
      <c r="AD70" s="1437">
        <v>2.6</v>
      </c>
      <c r="AE70" s="1437">
        <v>2.6</v>
      </c>
      <c r="AF70" s="1437">
        <v>2.6</v>
      </c>
      <c r="AG70" s="1437">
        <v>2.6</v>
      </c>
      <c r="AH70" s="1437">
        <v>2.6</v>
      </c>
      <c r="AI70" s="1437">
        <v>2.6</v>
      </c>
      <c r="AJ70" s="1437">
        <v>2.6</v>
      </c>
      <c r="AK70" s="1437">
        <v>2.6</v>
      </c>
      <c r="AL70" s="1437">
        <v>2.6</v>
      </c>
      <c r="AM70" s="1437">
        <v>2.6</v>
      </c>
      <c r="AN70" s="1437" t="s">
        <v>468</v>
      </c>
      <c r="AO70" s="1437" t="s">
        <v>468</v>
      </c>
      <c r="AP70" s="1439" t="s">
        <v>468</v>
      </c>
      <c r="AQ70" s="604"/>
      <c r="AR70" s="308"/>
      <c r="AS70" s="1754"/>
      <c r="AU70" s="226"/>
      <c r="AV70" s="226"/>
    </row>
    <row r="71" spans="1:74" x14ac:dyDescent="0.25">
      <c r="A71" s="1753"/>
      <c r="B71" s="194">
        <f>'February 25 D_R (Tramming)'!F71</f>
        <v>3.05</v>
      </c>
      <c r="C71" s="350">
        <f>C73*1000/C68</f>
        <v>3.0825022665457844</v>
      </c>
      <c r="E71" s="226"/>
      <c r="F71" s="1766"/>
      <c r="G71" s="1769"/>
      <c r="H71" s="1773"/>
      <c r="I71" s="1455" t="s">
        <v>345</v>
      </c>
      <c r="J71" s="1481">
        <v>2.54</v>
      </c>
      <c r="K71" s="1474">
        <v>-0.02</v>
      </c>
      <c r="L71" s="1451">
        <v>3.66</v>
      </c>
      <c r="M71" s="1442">
        <v>3.66</v>
      </c>
      <c r="N71" s="1442">
        <v>2.86</v>
      </c>
      <c r="O71" s="1434"/>
      <c r="P71" s="1442">
        <v>3.03</v>
      </c>
      <c r="Q71" s="1434"/>
      <c r="R71" s="1434"/>
      <c r="S71" s="1434"/>
      <c r="T71" s="1434"/>
      <c r="U71" s="1434"/>
      <c r="V71" s="1434"/>
      <c r="W71" s="1434"/>
      <c r="X71" s="1434"/>
      <c r="Y71" s="1434"/>
      <c r="Z71" s="1434"/>
      <c r="AA71" s="1434"/>
      <c r="AB71" s="1434"/>
      <c r="AC71" s="1434"/>
      <c r="AD71" s="1434"/>
      <c r="AE71" s="1434"/>
      <c r="AF71" s="1434"/>
      <c r="AG71" s="1434"/>
      <c r="AH71" s="1434"/>
      <c r="AI71" s="1434"/>
      <c r="AJ71" s="1434"/>
      <c r="AK71" s="1434"/>
      <c r="AL71" s="1434"/>
      <c r="AM71" s="1434"/>
      <c r="AN71" s="1436"/>
      <c r="AO71" s="1436"/>
      <c r="AP71" s="1436"/>
      <c r="AQ71" s="604"/>
      <c r="AR71" s="308"/>
      <c r="AS71" s="1754"/>
      <c r="AU71" s="226"/>
      <c r="AV71" s="226"/>
    </row>
    <row r="72" spans="1:74" x14ac:dyDescent="0.25">
      <c r="A72" s="1753"/>
      <c r="B72" s="194" t="str">
        <f>'February 25 D_R (Tramming)'!F72</f>
        <v xml:space="preserve">-   </v>
      </c>
      <c r="C72" s="354">
        <f>J72</f>
        <v>5.0999999999999996</v>
      </c>
      <c r="E72" s="226"/>
      <c r="F72" s="1766"/>
      <c r="G72" s="1769"/>
      <c r="H72" s="1774" t="s">
        <v>47</v>
      </c>
      <c r="I72" s="1478" t="s">
        <v>346</v>
      </c>
      <c r="J72" s="609">
        <v>5.0999999999999996</v>
      </c>
      <c r="K72" s="1480"/>
      <c r="L72" s="1445">
        <v>0.2</v>
      </c>
      <c r="M72" s="1445">
        <v>0.2</v>
      </c>
      <c r="N72" s="1445">
        <v>0.2</v>
      </c>
      <c r="O72" s="1437">
        <v>0.2</v>
      </c>
      <c r="P72" s="1437">
        <v>0.2</v>
      </c>
      <c r="Q72" s="1437">
        <v>0.2</v>
      </c>
      <c r="R72" s="1437">
        <v>0.2</v>
      </c>
      <c r="S72" s="1437">
        <v>0.2</v>
      </c>
      <c r="T72" s="1438">
        <v>0.2</v>
      </c>
      <c r="U72" s="1437">
        <v>0.2</v>
      </c>
      <c r="V72" s="1437">
        <v>0.2</v>
      </c>
      <c r="W72" s="1437">
        <v>0.2</v>
      </c>
      <c r="X72" s="1437">
        <v>0.2</v>
      </c>
      <c r="Y72" s="1437">
        <v>0.2</v>
      </c>
      <c r="Z72" s="1437">
        <v>0.2</v>
      </c>
      <c r="AA72" s="1437">
        <v>0.2</v>
      </c>
      <c r="AB72" s="1437">
        <v>0.2</v>
      </c>
      <c r="AC72" s="1437">
        <v>0.2</v>
      </c>
      <c r="AD72" s="1437">
        <v>0.2</v>
      </c>
      <c r="AE72" s="1437">
        <v>0.2</v>
      </c>
      <c r="AF72" s="1437">
        <v>0.2</v>
      </c>
      <c r="AG72" s="1437">
        <v>0.2</v>
      </c>
      <c r="AH72" s="1437">
        <v>0.2</v>
      </c>
      <c r="AI72" s="1437">
        <v>0.2</v>
      </c>
      <c r="AJ72" s="1437">
        <v>0.2</v>
      </c>
      <c r="AK72" s="1437">
        <v>0.2</v>
      </c>
      <c r="AL72" s="1437">
        <v>0.2</v>
      </c>
      <c r="AM72" s="1437">
        <v>0.2</v>
      </c>
      <c r="AN72" s="1437" t="s">
        <v>468</v>
      </c>
      <c r="AO72" s="1437" t="s">
        <v>468</v>
      </c>
      <c r="AP72" s="1439" t="s">
        <v>468</v>
      </c>
      <c r="AQ72" s="604"/>
      <c r="AR72" s="310"/>
      <c r="AS72" s="1754"/>
      <c r="AT72" s="332"/>
      <c r="AU72" s="226"/>
      <c r="AV72" s="226"/>
    </row>
    <row r="73" spans="1:74" ht="14.25" thickBot="1" x14ac:dyDescent="0.3">
      <c r="A73" s="1753"/>
      <c r="B73" s="194">
        <f>'February 25 D_R (Tramming)'!F73</f>
        <v>3.4</v>
      </c>
      <c r="C73" s="350">
        <f>(J73/(J73))*B73</f>
        <v>3.4</v>
      </c>
      <c r="E73" s="226"/>
      <c r="F73" s="1767"/>
      <c r="G73" s="1770"/>
      <c r="H73" s="1775"/>
      <c r="I73" s="1495" t="s">
        <v>347</v>
      </c>
      <c r="J73" s="1496">
        <v>0.9</v>
      </c>
      <c r="K73" s="1554">
        <v>-0.82</v>
      </c>
      <c r="L73" s="1446">
        <v>0.3</v>
      </c>
      <c r="M73" s="1468">
        <v>0.3</v>
      </c>
      <c r="N73" s="1468">
        <v>0.2</v>
      </c>
      <c r="O73" s="1469" t="s">
        <v>468</v>
      </c>
      <c r="P73" s="1469">
        <v>0.1</v>
      </c>
      <c r="Q73" s="1469" t="s">
        <v>468</v>
      </c>
      <c r="R73" s="1469" t="s">
        <v>468</v>
      </c>
      <c r="S73" s="1469" t="s">
        <v>468</v>
      </c>
      <c r="T73" s="1469" t="s">
        <v>468</v>
      </c>
      <c r="U73" s="1469" t="s">
        <v>468</v>
      </c>
      <c r="V73" s="1469" t="s">
        <v>468</v>
      </c>
      <c r="W73" s="1469" t="s">
        <v>468</v>
      </c>
      <c r="X73" s="1469" t="s">
        <v>468</v>
      </c>
      <c r="Y73" s="1469" t="s">
        <v>468</v>
      </c>
      <c r="Z73" s="1469" t="s">
        <v>468</v>
      </c>
      <c r="AA73" s="1469" t="s">
        <v>468</v>
      </c>
      <c r="AB73" s="1469" t="s">
        <v>468</v>
      </c>
      <c r="AC73" s="1469" t="s">
        <v>468</v>
      </c>
      <c r="AD73" s="1469" t="s">
        <v>468</v>
      </c>
      <c r="AE73" s="1469" t="s">
        <v>468</v>
      </c>
      <c r="AF73" s="1469" t="s">
        <v>468</v>
      </c>
      <c r="AG73" s="1469" t="s">
        <v>468</v>
      </c>
      <c r="AH73" s="1469" t="s">
        <v>468</v>
      </c>
      <c r="AI73" s="1469" t="s">
        <v>468</v>
      </c>
      <c r="AJ73" s="1469" t="s">
        <v>468</v>
      </c>
      <c r="AK73" s="1469" t="s">
        <v>468</v>
      </c>
      <c r="AL73" s="1469" t="s">
        <v>468</v>
      </c>
      <c r="AM73" s="1469" t="s">
        <v>468</v>
      </c>
      <c r="AN73" s="1470" t="s">
        <v>468</v>
      </c>
      <c r="AO73" s="1470" t="s">
        <v>468</v>
      </c>
      <c r="AP73" s="1470" t="s">
        <v>468</v>
      </c>
      <c r="AQ73" s="610"/>
      <c r="AR73" s="311"/>
      <c r="AS73" s="1754"/>
      <c r="AU73" s="226"/>
      <c r="AV73" s="226"/>
    </row>
    <row r="74" spans="1:74" s="194" customFormat="1" ht="14.45" customHeight="1" x14ac:dyDescent="0.25">
      <c r="A74" s="1753" t="s">
        <v>563</v>
      </c>
      <c r="B74" s="194" t="str">
        <f>'February 25 D_R (Tramming)'!F74</f>
        <v xml:space="preserve">-   </v>
      </c>
      <c r="C74" s="353">
        <f>J74</f>
        <v>2940</v>
      </c>
      <c r="E74" s="226"/>
      <c r="F74" s="1765"/>
      <c r="G74" s="1768" t="s">
        <v>478</v>
      </c>
      <c r="H74" s="1771" t="s">
        <v>340</v>
      </c>
      <c r="I74" s="596" t="s">
        <v>341</v>
      </c>
      <c r="J74" s="597">
        <v>2940</v>
      </c>
      <c r="K74" s="598"/>
      <c r="L74" s="599">
        <v>105</v>
      </c>
      <c r="M74" s="599">
        <v>105</v>
      </c>
      <c r="N74" s="599">
        <v>105</v>
      </c>
      <c r="O74" s="600">
        <v>105</v>
      </c>
      <c r="P74" s="600">
        <v>105</v>
      </c>
      <c r="Q74" s="600">
        <v>105</v>
      </c>
      <c r="R74" s="600">
        <v>105</v>
      </c>
      <c r="S74" s="600">
        <v>105</v>
      </c>
      <c r="T74" s="601">
        <v>105</v>
      </c>
      <c r="U74" s="600">
        <v>105</v>
      </c>
      <c r="V74" s="600">
        <v>105</v>
      </c>
      <c r="W74" s="600">
        <v>105</v>
      </c>
      <c r="X74" s="600">
        <v>105</v>
      </c>
      <c r="Y74" s="600">
        <v>105</v>
      </c>
      <c r="Z74" s="600">
        <v>105</v>
      </c>
      <c r="AA74" s="600">
        <v>105</v>
      </c>
      <c r="AB74" s="600">
        <v>105</v>
      </c>
      <c r="AC74" s="600">
        <v>105</v>
      </c>
      <c r="AD74" s="600">
        <v>105</v>
      </c>
      <c r="AE74" s="600">
        <v>105</v>
      </c>
      <c r="AF74" s="600">
        <v>105</v>
      </c>
      <c r="AG74" s="600">
        <v>105</v>
      </c>
      <c r="AH74" s="600">
        <v>105</v>
      </c>
      <c r="AI74" s="600">
        <v>105</v>
      </c>
      <c r="AJ74" s="600">
        <v>105</v>
      </c>
      <c r="AK74" s="600">
        <v>105</v>
      </c>
      <c r="AL74" s="600">
        <v>105</v>
      </c>
      <c r="AM74" s="600">
        <v>105</v>
      </c>
      <c r="AN74" s="600" t="s">
        <v>468</v>
      </c>
      <c r="AO74" s="600" t="s">
        <v>468</v>
      </c>
      <c r="AP74" s="602" t="s">
        <v>468</v>
      </c>
      <c r="AQ74" s="603"/>
      <c r="AR74" s="307"/>
      <c r="AS74" s="1754" t="s">
        <v>564</v>
      </c>
      <c r="AT74" s="332"/>
      <c r="AU74" s="226">
        <f>L74</f>
        <v>105</v>
      </c>
      <c r="AV74" s="298">
        <f>AU74+M74</f>
        <v>210</v>
      </c>
      <c r="AW74" s="298">
        <f>AV74+N74</f>
        <v>315</v>
      </c>
      <c r="AX74" s="298">
        <f t="shared" ref="AX74:AX75" si="216">AW74+O74</f>
        <v>420</v>
      </c>
      <c r="AY74" s="298">
        <f t="shared" ref="AY74:AY75" si="217">AX74+P74</f>
        <v>525</v>
      </c>
      <c r="AZ74" s="298">
        <f t="shared" ref="AZ74:AZ75" si="218">AY74+Q74</f>
        <v>630</v>
      </c>
      <c r="BA74" s="298">
        <f t="shared" ref="BA74:BA75" si="219">AZ74+R74</f>
        <v>735</v>
      </c>
      <c r="BB74" s="298">
        <f t="shared" ref="BB74:BB75" si="220">BA74+S74</f>
        <v>840</v>
      </c>
      <c r="BC74" s="298">
        <f t="shared" ref="BC74:BC75" si="221">BB74+T74</f>
        <v>945</v>
      </c>
      <c r="BD74" s="298">
        <f t="shared" ref="BD74:BD75" si="222">BC74+U74</f>
        <v>1050</v>
      </c>
      <c r="BE74" s="298">
        <f t="shared" ref="BE74:BE75" si="223">BD74+V74</f>
        <v>1155</v>
      </c>
      <c r="BF74" s="298">
        <f t="shared" ref="BF74:BF75" si="224">BE74+W74</f>
        <v>1260</v>
      </c>
      <c r="BG74" s="298">
        <f t="shared" ref="BG74:BG75" si="225">BF74+X74</f>
        <v>1365</v>
      </c>
      <c r="BH74" s="298">
        <f t="shared" ref="BH74:BH75" si="226">BG74+Y74</f>
        <v>1470</v>
      </c>
      <c r="BI74" s="298">
        <f t="shared" ref="BI74:BI75" si="227">BH74+Z74</f>
        <v>1575</v>
      </c>
      <c r="BJ74" s="298">
        <f t="shared" ref="BJ74:BJ75" si="228">BI74+AA74</f>
        <v>1680</v>
      </c>
      <c r="BK74" s="298">
        <f t="shared" ref="BK74:BK75" si="229">BJ74+AB74</f>
        <v>1785</v>
      </c>
      <c r="BL74" s="298">
        <f t="shared" ref="BL74:BL75" si="230">BK74+AC74</f>
        <v>1890</v>
      </c>
      <c r="BM74" s="298">
        <f t="shared" ref="BM74:BM75" si="231">BL74+AD74</f>
        <v>1995</v>
      </c>
      <c r="BN74" s="298">
        <f t="shared" ref="BN74:BN75" si="232">BM74+AE74</f>
        <v>2100</v>
      </c>
      <c r="BO74" s="298">
        <f t="shared" ref="BO74:BO75" si="233">BN74+AF74</f>
        <v>2205</v>
      </c>
      <c r="BP74" s="298">
        <f t="shared" ref="BP74:BP75" si="234">BO74+AG74</f>
        <v>2310</v>
      </c>
      <c r="BQ74" s="298">
        <f t="shared" ref="BQ74:BQ75" si="235">BP74+AH74</f>
        <v>2415</v>
      </c>
      <c r="BR74" s="298">
        <f t="shared" ref="BR74:BR75" si="236">BQ74+AI74</f>
        <v>2520</v>
      </c>
      <c r="BS74" s="298">
        <f t="shared" ref="BS74:BS75" si="237">BR74+AJ74</f>
        <v>2625</v>
      </c>
      <c r="BT74" s="298">
        <f t="shared" ref="BT74:BT75" si="238">BS74+AK74</f>
        <v>2730</v>
      </c>
      <c r="BU74" s="298">
        <f t="shared" ref="BU74" si="239">BT74+AL74</f>
        <v>2835</v>
      </c>
      <c r="BV74" s="298">
        <f t="shared" ref="BV74" si="240">BU74+AM74</f>
        <v>2940</v>
      </c>
    </row>
    <row r="75" spans="1:74" x14ac:dyDescent="0.25">
      <c r="A75" s="1753"/>
      <c r="B75" s="194">
        <f>'February 25 D_R (Tramming)'!F75</f>
        <v>90</v>
      </c>
      <c r="C75" s="352">
        <f>(J75/(J75))*B75</f>
        <v>90</v>
      </c>
      <c r="D75" s="349">
        <f>(C75-J75)/C75</f>
        <v>-48.87777777777778</v>
      </c>
      <c r="E75" s="226"/>
      <c r="F75" s="1766"/>
      <c r="G75" s="1769"/>
      <c r="H75" s="1772"/>
      <c r="I75" s="1472" t="s">
        <v>342</v>
      </c>
      <c r="J75" s="1484">
        <v>4489</v>
      </c>
      <c r="K75" s="1485">
        <v>0.53</v>
      </c>
      <c r="L75" s="1449">
        <v>125</v>
      </c>
      <c r="M75" s="1435">
        <v>114</v>
      </c>
      <c r="N75" s="1435">
        <v>139</v>
      </c>
      <c r="O75" s="1435">
        <v>232</v>
      </c>
      <c r="P75" s="1435">
        <v>144</v>
      </c>
      <c r="Q75" s="1435">
        <v>183</v>
      </c>
      <c r="R75" s="1435">
        <v>172</v>
      </c>
      <c r="S75" s="1435">
        <v>193</v>
      </c>
      <c r="T75" s="1435">
        <v>177</v>
      </c>
      <c r="U75" s="1435">
        <v>171</v>
      </c>
      <c r="V75" s="1435">
        <v>153</v>
      </c>
      <c r="W75" s="1435">
        <v>171</v>
      </c>
      <c r="X75" s="1435">
        <v>150</v>
      </c>
      <c r="Y75" s="1435">
        <v>239</v>
      </c>
      <c r="Z75" s="1435">
        <v>229</v>
      </c>
      <c r="AA75" s="1435">
        <v>229</v>
      </c>
      <c r="AB75" s="1435">
        <v>175</v>
      </c>
      <c r="AC75" s="1435">
        <v>188</v>
      </c>
      <c r="AD75" s="1435">
        <v>114</v>
      </c>
      <c r="AE75" s="1435">
        <v>105</v>
      </c>
      <c r="AF75" s="1435">
        <v>136</v>
      </c>
      <c r="AG75" s="1434">
        <v>44</v>
      </c>
      <c r="AH75" s="1435">
        <v>154</v>
      </c>
      <c r="AI75" s="1435">
        <v>107</v>
      </c>
      <c r="AJ75" s="1435">
        <v>197</v>
      </c>
      <c r="AK75" s="1435">
        <v>147</v>
      </c>
      <c r="AL75" s="1435">
        <v>156</v>
      </c>
      <c r="AM75" s="1435">
        <v>145</v>
      </c>
      <c r="AN75" s="1436"/>
      <c r="AO75" s="1436"/>
      <c r="AP75" s="1436"/>
      <c r="AQ75" s="604"/>
      <c r="AR75" s="308"/>
      <c r="AS75" s="1754"/>
      <c r="AU75" s="226">
        <f>L75</f>
        <v>125</v>
      </c>
      <c r="AV75" s="298">
        <f>AU75+M75</f>
        <v>239</v>
      </c>
      <c r="AW75" s="298">
        <f>AV75+N75</f>
        <v>378</v>
      </c>
      <c r="AX75" s="298">
        <f t="shared" si="216"/>
        <v>610</v>
      </c>
      <c r="AY75" s="298">
        <f t="shared" si="217"/>
        <v>754</v>
      </c>
      <c r="AZ75" s="298">
        <f t="shared" si="218"/>
        <v>937</v>
      </c>
      <c r="BA75" s="298">
        <f t="shared" si="219"/>
        <v>1109</v>
      </c>
      <c r="BB75" s="298">
        <f t="shared" si="220"/>
        <v>1302</v>
      </c>
      <c r="BC75" s="298">
        <f t="shared" si="221"/>
        <v>1479</v>
      </c>
      <c r="BD75" s="298">
        <f t="shared" si="222"/>
        <v>1650</v>
      </c>
      <c r="BE75" s="298">
        <f t="shared" si="223"/>
        <v>1803</v>
      </c>
      <c r="BF75" s="298">
        <f t="shared" si="224"/>
        <v>1974</v>
      </c>
      <c r="BG75" s="298">
        <f t="shared" si="225"/>
        <v>2124</v>
      </c>
      <c r="BH75" s="298">
        <f t="shared" si="226"/>
        <v>2363</v>
      </c>
      <c r="BI75" s="298">
        <f t="shared" si="227"/>
        <v>2592</v>
      </c>
      <c r="BJ75" s="298">
        <f t="shared" si="228"/>
        <v>2821</v>
      </c>
      <c r="BK75" s="298">
        <f t="shared" si="229"/>
        <v>2996</v>
      </c>
      <c r="BL75" s="298">
        <f t="shared" si="230"/>
        <v>3184</v>
      </c>
      <c r="BM75" s="298">
        <f t="shared" si="231"/>
        <v>3298</v>
      </c>
      <c r="BN75" s="298">
        <f t="shared" si="232"/>
        <v>3403</v>
      </c>
      <c r="BO75" s="298">
        <f t="shared" si="233"/>
        <v>3539</v>
      </c>
      <c r="BP75" s="298">
        <f t="shared" si="234"/>
        <v>3583</v>
      </c>
      <c r="BQ75" s="298">
        <f t="shared" si="235"/>
        <v>3737</v>
      </c>
      <c r="BR75" s="298">
        <f t="shared" si="236"/>
        <v>3844</v>
      </c>
      <c r="BS75" s="298">
        <f t="shared" si="237"/>
        <v>4041</v>
      </c>
      <c r="BT75" s="298">
        <f t="shared" si="238"/>
        <v>4188</v>
      </c>
    </row>
    <row r="76" spans="1:74" x14ac:dyDescent="0.25">
      <c r="A76" s="1753"/>
      <c r="B76" s="194">
        <f>'February 25 D_R (Tramming)'!F76</f>
        <v>0</v>
      </c>
      <c r="E76" s="226"/>
      <c r="F76" s="1766"/>
      <c r="G76" s="1769"/>
      <c r="H76" s="1773"/>
      <c r="I76" s="1486" t="s">
        <v>312</v>
      </c>
      <c r="J76" s="1487"/>
      <c r="K76" s="1488"/>
      <c r="L76" s="605"/>
      <c r="M76" s="605"/>
      <c r="N76" s="605"/>
      <c r="O76" s="605"/>
      <c r="P76" s="605"/>
      <c r="Q76" s="605"/>
      <c r="R76" s="605"/>
      <c r="S76" s="605"/>
      <c r="T76" s="606"/>
      <c r="U76" s="605"/>
      <c r="V76" s="605"/>
      <c r="W76" s="605"/>
      <c r="X76" s="605"/>
      <c r="Y76" s="605"/>
      <c r="Z76" s="605"/>
      <c r="AA76" s="605"/>
      <c r="AB76" s="605"/>
      <c r="AC76" s="605"/>
      <c r="AD76" s="605"/>
      <c r="AE76" s="605"/>
      <c r="AF76" s="605"/>
      <c r="AG76" s="605"/>
      <c r="AH76" s="605"/>
      <c r="AI76" s="605"/>
      <c r="AJ76" s="605"/>
      <c r="AK76" s="605"/>
      <c r="AL76" s="605"/>
      <c r="AM76" s="605"/>
      <c r="AN76" s="605"/>
      <c r="AO76" s="605"/>
      <c r="AP76" s="607"/>
      <c r="AQ76" s="608"/>
      <c r="AR76" s="309"/>
      <c r="AS76" s="1754"/>
      <c r="AT76" s="333"/>
      <c r="AU76" s="227"/>
      <c r="AV76" s="227"/>
      <c r="BL76" s="299"/>
      <c r="BM76" s="299"/>
      <c r="BN76" s="299"/>
      <c r="BO76" s="299"/>
      <c r="BP76" s="299"/>
      <c r="BQ76" s="299"/>
      <c r="BR76" s="299"/>
      <c r="BS76" s="299"/>
      <c r="BT76" s="299"/>
      <c r="BU76" s="299">
        <f>BT75+AL74</f>
        <v>4293</v>
      </c>
      <c r="BV76" s="299">
        <f t="shared" ref="BV76" si="241">BU76+AM74</f>
        <v>4398</v>
      </c>
    </row>
    <row r="77" spans="1:74" x14ac:dyDescent="0.25">
      <c r="A77" s="1753"/>
      <c r="B77" s="194" t="str">
        <f>'February 25 D_R (Tramming)'!F77</f>
        <v xml:space="preserve">-   </v>
      </c>
      <c r="C77" s="348">
        <f>J77</f>
        <v>2.5299999999999998</v>
      </c>
      <c r="E77" s="226"/>
      <c r="F77" s="1766"/>
      <c r="G77" s="1769"/>
      <c r="H77" s="1774" t="s">
        <v>343</v>
      </c>
      <c r="I77" s="1478" t="s">
        <v>344</v>
      </c>
      <c r="J77" s="1479">
        <v>2.5299999999999998</v>
      </c>
      <c r="K77" s="1480"/>
      <c r="L77" s="1445">
        <v>2.5299999999999998</v>
      </c>
      <c r="M77" s="1445">
        <v>2.5299999999999998</v>
      </c>
      <c r="N77" s="1445">
        <v>2.5299999999999998</v>
      </c>
      <c r="O77" s="1437">
        <v>2.5299999999999998</v>
      </c>
      <c r="P77" s="1437">
        <v>2.5299999999999998</v>
      </c>
      <c r="Q77" s="1437">
        <v>2.5299999999999998</v>
      </c>
      <c r="R77" s="1437">
        <v>2.5299999999999998</v>
      </c>
      <c r="S77" s="1437">
        <v>2.5299999999999998</v>
      </c>
      <c r="T77" s="1438">
        <v>2.5299999999999998</v>
      </c>
      <c r="U77" s="1437">
        <v>2.5299999999999998</v>
      </c>
      <c r="V77" s="1437">
        <v>2.5299999999999998</v>
      </c>
      <c r="W77" s="1437">
        <v>2.5299999999999998</v>
      </c>
      <c r="X77" s="1437">
        <v>2.5299999999999998</v>
      </c>
      <c r="Y77" s="1437">
        <v>2.5299999999999998</v>
      </c>
      <c r="Z77" s="1437">
        <v>2.5299999999999998</v>
      </c>
      <c r="AA77" s="1437">
        <v>2.5299999999999998</v>
      </c>
      <c r="AB77" s="1437">
        <v>2.5299999999999998</v>
      </c>
      <c r="AC77" s="1437">
        <v>2.5299999999999998</v>
      </c>
      <c r="AD77" s="1437">
        <v>2.5299999999999998</v>
      </c>
      <c r="AE77" s="1437">
        <v>2.5299999999999998</v>
      </c>
      <c r="AF77" s="1437">
        <v>2.5299999999999998</v>
      </c>
      <c r="AG77" s="1437">
        <v>2.5299999999999998</v>
      </c>
      <c r="AH77" s="1437">
        <v>2.5299999999999998</v>
      </c>
      <c r="AI77" s="1437">
        <v>2.5299999999999998</v>
      </c>
      <c r="AJ77" s="1437">
        <v>2.5299999999999998</v>
      </c>
      <c r="AK77" s="1437">
        <v>2.5299999999999998</v>
      </c>
      <c r="AL77" s="1437">
        <v>2.5299999999999998</v>
      </c>
      <c r="AM77" s="1437">
        <v>2.5299999999999998</v>
      </c>
      <c r="AN77" s="1437" t="s">
        <v>468</v>
      </c>
      <c r="AO77" s="1437" t="s">
        <v>468</v>
      </c>
      <c r="AP77" s="1439" t="s">
        <v>468</v>
      </c>
      <c r="AQ77" s="604"/>
      <c r="AR77" s="308"/>
      <c r="AS77" s="1754"/>
      <c r="AU77" s="226"/>
      <c r="AV77" s="226"/>
    </row>
    <row r="78" spans="1:74" x14ac:dyDescent="0.25">
      <c r="A78" s="1753"/>
      <c r="B78" s="194">
        <f>'February 25 D_R (Tramming)'!F78</f>
        <v>4.4800000000000004</v>
      </c>
      <c r="C78" s="350">
        <f>C80*1000/C75</f>
        <v>4.4444444444444446</v>
      </c>
      <c r="E78" s="226"/>
      <c r="F78" s="1766"/>
      <c r="G78" s="1769"/>
      <c r="H78" s="1773"/>
      <c r="I78" s="1455" t="s">
        <v>345</v>
      </c>
      <c r="J78" s="1492">
        <v>3.04</v>
      </c>
      <c r="K78" s="1485">
        <v>0.2</v>
      </c>
      <c r="L78" s="1451">
        <v>4.4400000000000004</v>
      </c>
      <c r="M78" s="1442">
        <v>4.4400000000000004</v>
      </c>
      <c r="N78" s="1442">
        <v>3.06</v>
      </c>
      <c r="O78" s="1442">
        <v>3.42</v>
      </c>
      <c r="P78" s="1442">
        <v>2.71</v>
      </c>
      <c r="Q78" s="1442">
        <v>3.09</v>
      </c>
      <c r="R78" s="1442">
        <v>3.82</v>
      </c>
      <c r="S78" s="1442">
        <v>3.08</v>
      </c>
      <c r="T78" s="1442">
        <v>3.08</v>
      </c>
      <c r="U78" s="1442">
        <v>3.17</v>
      </c>
      <c r="V78" s="1442">
        <v>4.41</v>
      </c>
      <c r="W78" s="1442">
        <v>4.83</v>
      </c>
      <c r="X78" s="1442">
        <v>3.4</v>
      </c>
      <c r="Y78" s="1444">
        <v>2.5099999999999998</v>
      </c>
      <c r="Z78" s="1442">
        <v>2.94</v>
      </c>
      <c r="AA78" s="1442">
        <v>2.94</v>
      </c>
      <c r="AB78" s="1443">
        <v>1.48</v>
      </c>
      <c r="AC78" s="1444">
        <v>2.2400000000000002</v>
      </c>
      <c r="AD78" s="1441">
        <v>1.88</v>
      </c>
      <c r="AE78" s="1442">
        <v>2.83</v>
      </c>
      <c r="AF78" s="1444">
        <v>2.2200000000000002</v>
      </c>
      <c r="AG78" s="1444">
        <v>2.11</v>
      </c>
      <c r="AH78" s="1444">
        <v>2.11</v>
      </c>
      <c r="AI78" s="1442">
        <v>3.1</v>
      </c>
      <c r="AJ78" s="1441">
        <v>1.93</v>
      </c>
      <c r="AK78" s="1444">
        <v>2.38</v>
      </c>
      <c r="AL78" s="1442">
        <v>4.07</v>
      </c>
      <c r="AM78" s="1442">
        <v>3.55</v>
      </c>
      <c r="AN78" s="1436"/>
      <c r="AO78" s="1436"/>
      <c r="AP78" s="1436"/>
      <c r="AQ78" s="604"/>
      <c r="AR78" s="308"/>
      <c r="AS78" s="1754"/>
      <c r="AU78" s="226"/>
      <c r="AV78" s="226"/>
    </row>
    <row r="79" spans="1:74" x14ac:dyDescent="0.25">
      <c r="A79" s="1753"/>
      <c r="B79" s="194" t="str">
        <f>'February 25 D_R (Tramming)'!F79</f>
        <v xml:space="preserve">-   </v>
      </c>
      <c r="C79" s="354">
        <f>J79</f>
        <v>7.4</v>
      </c>
      <c r="E79" s="226"/>
      <c r="F79" s="1766"/>
      <c r="G79" s="1769"/>
      <c r="H79" s="1774" t="s">
        <v>47</v>
      </c>
      <c r="I79" s="1478" t="s">
        <v>346</v>
      </c>
      <c r="J79" s="609">
        <v>7.4</v>
      </c>
      <c r="K79" s="1480"/>
      <c r="L79" s="1445">
        <v>0.3</v>
      </c>
      <c r="M79" s="1445">
        <v>0.3</v>
      </c>
      <c r="N79" s="1445">
        <v>0.3</v>
      </c>
      <c r="O79" s="1437">
        <v>0.3</v>
      </c>
      <c r="P79" s="1437">
        <v>0.3</v>
      </c>
      <c r="Q79" s="1437">
        <v>0.3</v>
      </c>
      <c r="R79" s="1437">
        <v>0.3</v>
      </c>
      <c r="S79" s="1437">
        <v>0.3</v>
      </c>
      <c r="T79" s="1438">
        <v>0.3</v>
      </c>
      <c r="U79" s="1437">
        <v>0.3</v>
      </c>
      <c r="V79" s="1437">
        <v>0.3</v>
      </c>
      <c r="W79" s="1437">
        <v>0.3</v>
      </c>
      <c r="X79" s="1437">
        <v>0.3</v>
      </c>
      <c r="Y79" s="1437">
        <v>0.3</v>
      </c>
      <c r="Z79" s="1437">
        <v>0.3</v>
      </c>
      <c r="AA79" s="1437">
        <v>0.3</v>
      </c>
      <c r="AB79" s="1437">
        <v>0.3</v>
      </c>
      <c r="AC79" s="1437">
        <v>0.3</v>
      </c>
      <c r="AD79" s="1437">
        <v>0.3</v>
      </c>
      <c r="AE79" s="1437">
        <v>0.3</v>
      </c>
      <c r="AF79" s="1437">
        <v>0.3</v>
      </c>
      <c r="AG79" s="1437">
        <v>0.3</v>
      </c>
      <c r="AH79" s="1437">
        <v>0.3</v>
      </c>
      <c r="AI79" s="1437">
        <v>0.3</v>
      </c>
      <c r="AJ79" s="1437">
        <v>0.3</v>
      </c>
      <c r="AK79" s="1437">
        <v>0.3</v>
      </c>
      <c r="AL79" s="1437">
        <v>0.3</v>
      </c>
      <c r="AM79" s="1437">
        <v>0.3</v>
      </c>
      <c r="AN79" s="1437" t="s">
        <v>468</v>
      </c>
      <c r="AO79" s="1437" t="s">
        <v>468</v>
      </c>
      <c r="AP79" s="1439" t="s">
        <v>468</v>
      </c>
      <c r="AQ79" s="604"/>
      <c r="AR79" s="310"/>
      <c r="AS79" s="1754"/>
      <c r="AT79" s="332"/>
      <c r="AU79" s="226"/>
      <c r="AV79" s="226"/>
    </row>
    <row r="80" spans="1:74" ht="14.25" thickBot="1" x14ac:dyDescent="0.3">
      <c r="A80" s="1753"/>
      <c r="B80" s="194">
        <f>'February 25 D_R (Tramming)'!F80</f>
        <v>0.4</v>
      </c>
      <c r="C80" s="350">
        <f>(J80/(J80))*B80</f>
        <v>0.4</v>
      </c>
      <c r="E80" s="226"/>
      <c r="F80" s="1767"/>
      <c r="G80" s="1770"/>
      <c r="H80" s="1775"/>
      <c r="I80" s="1460" t="s">
        <v>347</v>
      </c>
      <c r="J80" s="1489">
        <v>13.7</v>
      </c>
      <c r="K80" s="1490">
        <v>0.84</v>
      </c>
      <c r="L80" s="1446">
        <v>0.6</v>
      </c>
      <c r="M80" s="1468">
        <v>0.5</v>
      </c>
      <c r="N80" s="1468">
        <v>0.4</v>
      </c>
      <c r="O80" s="1468">
        <v>0.8</v>
      </c>
      <c r="P80" s="1468">
        <v>0.4</v>
      </c>
      <c r="Q80" s="1468">
        <v>0.6</v>
      </c>
      <c r="R80" s="1468">
        <v>0.7</v>
      </c>
      <c r="S80" s="1468">
        <v>0.6</v>
      </c>
      <c r="T80" s="1468">
        <v>0.5</v>
      </c>
      <c r="U80" s="1468">
        <v>0.5</v>
      </c>
      <c r="V80" s="1468">
        <v>0.7</v>
      </c>
      <c r="W80" s="1468">
        <v>0.8</v>
      </c>
      <c r="X80" s="1468">
        <v>0.5</v>
      </c>
      <c r="Y80" s="1468">
        <v>0.6</v>
      </c>
      <c r="Z80" s="1468">
        <v>0.7</v>
      </c>
      <c r="AA80" s="1468">
        <v>0.7</v>
      </c>
      <c r="AB80" s="1469">
        <v>0.3</v>
      </c>
      <c r="AC80" s="1468">
        <v>0.4</v>
      </c>
      <c r="AD80" s="1469">
        <v>0.2</v>
      </c>
      <c r="AE80" s="1468">
        <v>0.3</v>
      </c>
      <c r="AF80" s="1468">
        <v>0.3</v>
      </c>
      <c r="AG80" s="1469">
        <v>0.1</v>
      </c>
      <c r="AH80" s="1468">
        <v>0.3</v>
      </c>
      <c r="AI80" s="1468">
        <v>0.3</v>
      </c>
      <c r="AJ80" s="1468">
        <v>0.4</v>
      </c>
      <c r="AK80" s="1468">
        <v>0.3</v>
      </c>
      <c r="AL80" s="1468">
        <v>0.6</v>
      </c>
      <c r="AM80" s="1468">
        <v>0.5</v>
      </c>
      <c r="AN80" s="1470" t="s">
        <v>468</v>
      </c>
      <c r="AO80" s="1470" t="s">
        <v>468</v>
      </c>
      <c r="AP80" s="1470" t="s">
        <v>468</v>
      </c>
      <c r="AQ80" s="610"/>
      <c r="AR80" s="311"/>
      <c r="AS80" s="1754"/>
      <c r="AU80" s="226"/>
      <c r="AV80" s="226"/>
    </row>
    <row r="81" spans="1:74" s="194" customFormat="1" ht="14.45" customHeight="1" x14ac:dyDescent="0.25">
      <c r="A81" s="1753" t="s">
        <v>565</v>
      </c>
      <c r="B81" s="194" t="str">
        <f>'February 25 D_R (Tramming)'!F81</f>
        <v xml:space="preserve">-   </v>
      </c>
      <c r="C81" s="353">
        <f>J81</f>
        <v>980</v>
      </c>
      <c r="E81" s="226"/>
      <c r="F81" s="1765"/>
      <c r="G81" s="1768" t="s">
        <v>479</v>
      </c>
      <c r="H81" s="1771" t="s">
        <v>340</v>
      </c>
      <c r="I81" s="596" t="s">
        <v>341</v>
      </c>
      <c r="J81" s="615">
        <v>980</v>
      </c>
      <c r="K81" s="598"/>
      <c r="L81" s="599">
        <v>35</v>
      </c>
      <c r="M81" s="599">
        <v>35</v>
      </c>
      <c r="N81" s="599">
        <v>35</v>
      </c>
      <c r="O81" s="600">
        <v>35</v>
      </c>
      <c r="P81" s="600">
        <v>35</v>
      </c>
      <c r="Q81" s="600">
        <v>35</v>
      </c>
      <c r="R81" s="600">
        <v>35</v>
      </c>
      <c r="S81" s="600">
        <v>35</v>
      </c>
      <c r="T81" s="601">
        <v>35</v>
      </c>
      <c r="U81" s="600">
        <v>35</v>
      </c>
      <c r="V81" s="600">
        <v>35</v>
      </c>
      <c r="W81" s="600">
        <v>35</v>
      </c>
      <c r="X81" s="600">
        <v>35</v>
      </c>
      <c r="Y81" s="600">
        <v>35</v>
      </c>
      <c r="Z81" s="600">
        <v>35</v>
      </c>
      <c r="AA81" s="600">
        <v>35</v>
      </c>
      <c r="AB81" s="600">
        <v>35</v>
      </c>
      <c r="AC81" s="600">
        <v>35</v>
      </c>
      <c r="AD81" s="600">
        <v>35</v>
      </c>
      <c r="AE81" s="600">
        <v>35</v>
      </c>
      <c r="AF81" s="600">
        <v>35</v>
      </c>
      <c r="AG81" s="600">
        <v>35</v>
      </c>
      <c r="AH81" s="600">
        <v>35</v>
      </c>
      <c r="AI81" s="600">
        <v>35</v>
      </c>
      <c r="AJ81" s="600">
        <v>35</v>
      </c>
      <c r="AK81" s="600">
        <v>35</v>
      </c>
      <c r="AL81" s="600">
        <v>35</v>
      </c>
      <c r="AM81" s="600">
        <v>35</v>
      </c>
      <c r="AN81" s="600" t="s">
        <v>468</v>
      </c>
      <c r="AO81" s="600" t="s">
        <v>468</v>
      </c>
      <c r="AP81" s="602" t="s">
        <v>468</v>
      </c>
      <c r="AQ81" s="603"/>
      <c r="AR81" s="307"/>
      <c r="AS81" s="1754" t="s">
        <v>566</v>
      </c>
      <c r="AT81" s="332"/>
      <c r="AU81" s="226">
        <f>L81</f>
        <v>35</v>
      </c>
      <c r="AV81" s="298">
        <f>AU81+M81</f>
        <v>70</v>
      </c>
      <c r="AW81" s="298">
        <f>AV81+N81</f>
        <v>105</v>
      </c>
      <c r="AX81" s="298">
        <f t="shared" ref="AX81:AX82" si="242">AW81+O81</f>
        <v>140</v>
      </c>
      <c r="AY81" s="298">
        <f t="shared" ref="AY81:AY82" si="243">AX81+P81</f>
        <v>175</v>
      </c>
      <c r="AZ81" s="298">
        <f t="shared" ref="AZ81:AZ82" si="244">AY81+Q81</f>
        <v>210</v>
      </c>
      <c r="BA81" s="298">
        <f t="shared" ref="BA81:BA82" si="245">AZ81+R81</f>
        <v>245</v>
      </c>
      <c r="BB81" s="298">
        <f t="shared" ref="BB81:BB82" si="246">BA81+S81</f>
        <v>280</v>
      </c>
      <c r="BC81" s="298">
        <f t="shared" ref="BC81:BC82" si="247">BB81+T81</f>
        <v>315</v>
      </c>
      <c r="BD81" s="298">
        <f t="shared" ref="BD81:BD82" si="248">BC81+U81</f>
        <v>350</v>
      </c>
      <c r="BE81" s="298">
        <f t="shared" ref="BE81:BE82" si="249">BD81+V81</f>
        <v>385</v>
      </c>
      <c r="BF81" s="298">
        <f t="shared" ref="BF81:BF82" si="250">BE81+W81</f>
        <v>420</v>
      </c>
      <c r="BG81" s="298">
        <f t="shared" ref="BG81:BG82" si="251">BF81+X81</f>
        <v>455</v>
      </c>
      <c r="BH81" s="298">
        <f t="shared" ref="BH81:BH82" si="252">BG81+Y81</f>
        <v>490</v>
      </c>
      <c r="BI81" s="298">
        <f t="shared" ref="BI81:BI82" si="253">BH81+Z81</f>
        <v>525</v>
      </c>
      <c r="BJ81" s="298">
        <f t="shared" ref="BJ81:BJ82" si="254">BI81+AA81</f>
        <v>560</v>
      </c>
      <c r="BK81" s="298">
        <f t="shared" ref="BK81:BK82" si="255">BJ81+AB81</f>
        <v>595</v>
      </c>
      <c r="BL81" s="298">
        <f t="shared" ref="BL81:BL82" si="256">BK81+AC81</f>
        <v>630</v>
      </c>
      <c r="BM81" s="298">
        <f t="shared" ref="BM81:BM82" si="257">BL81+AD81</f>
        <v>665</v>
      </c>
      <c r="BN81" s="298">
        <f t="shared" ref="BN81:BN82" si="258">BM81+AE81</f>
        <v>700</v>
      </c>
      <c r="BO81" s="298">
        <f t="shared" ref="BO81:BO82" si="259">BN81+AF81</f>
        <v>735</v>
      </c>
      <c r="BP81" s="298">
        <f t="shared" ref="BP81:BP82" si="260">BO81+AG81</f>
        <v>770</v>
      </c>
      <c r="BQ81" s="298">
        <f t="shared" ref="BQ81:BQ82" si="261">BP81+AH81</f>
        <v>805</v>
      </c>
      <c r="BR81" s="298">
        <f t="shared" ref="BR81:BR82" si="262">BQ81+AI81</f>
        <v>840</v>
      </c>
      <c r="BS81" s="298">
        <f t="shared" ref="BS81:BS82" si="263">BR81+AJ81</f>
        <v>875</v>
      </c>
      <c r="BT81" s="298">
        <f t="shared" ref="BT81:BT82" si="264">BS81+AK81</f>
        <v>910</v>
      </c>
      <c r="BU81" s="298">
        <f t="shared" ref="BU81" si="265">BT81+AL81</f>
        <v>945</v>
      </c>
      <c r="BV81" s="298">
        <f t="shared" ref="BV81" si="266">BU81+AM81</f>
        <v>980</v>
      </c>
    </row>
    <row r="82" spans="1:74" x14ac:dyDescent="0.25">
      <c r="A82" s="1753"/>
      <c r="B82" s="194">
        <f>'February 25 D_R (Tramming)'!F82</f>
        <v>3353</v>
      </c>
      <c r="C82" s="352">
        <f>(J82/(J82))*B82</f>
        <v>3353</v>
      </c>
      <c r="D82" s="349">
        <f>(C82-J82)/C82</f>
        <v>0.8031613480465255</v>
      </c>
      <c r="E82" s="226"/>
      <c r="F82" s="1766"/>
      <c r="G82" s="1769"/>
      <c r="H82" s="1772"/>
      <c r="I82" s="1472" t="s">
        <v>342</v>
      </c>
      <c r="J82" s="1481">
        <v>660</v>
      </c>
      <c r="K82" s="1474">
        <v>-0.33</v>
      </c>
      <c r="L82" s="1449">
        <v>41</v>
      </c>
      <c r="M82" s="1435">
        <v>41</v>
      </c>
      <c r="N82" s="1434"/>
      <c r="O82" s="1434"/>
      <c r="P82" s="1435">
        <v>38</v>
      </c>
      <c r="Q82" s="1434">
        <v>30</v>
      </c>
      <c r="R82" s="1435">
        <v>42</v>
      </c>
      <c r="S82" s="1435">
        <v>50</v>
      </c>
      <c r="T82" s="1435">
        <v>56</v>
      </c>
      <c r="U82" s="1435">
        <v>35</v>
      </c>
      <c r="V82" s="1435">
        <v>77</v>
      </c>
      <c r="W82" s="1435">
        <v>35</v>
      </c>
      <c r="X82" s="1435">
        <v>38</v>
      </c>
      <c r="Y82" s="1434"/>
      <c r="Z82" s="1434"/>
      <c r="AA82" s="1434"/>
      <c r="AB82" s="1435">
        <v>40</v>
      </c>
      <c r="AC82" s="1434"/>
      <c r="AD82" s="1435">
        <v>35</v>
      </c>
      <c r="AE82" s="1434">
        <v>23</v>
      </c>
      <c r="AF82" s="1434"/>
      <c r="AG82" s="1434"/>
      <c r="AH82" s="1434"/>
      <c r="AI82" s="1434"/>
      <c r="AJ82" s="1434"/>
      <c r="AK82" s="1435">
        <v>38</v>
      </c>
      <c r="AL82" s="1434"/>
      <c r="AM82" s="1435">
        <v>41</v>
      </c>
      <c r="AN82" s="1436"/>
      <c r="AO82" s="1436"/>
      <c r="AP82" s="1436"/>
      <c r="AQ82" s="604"/>
      <c r="AR82" s="308"/>
      <c r="AS82" s="1754"/>
      <c r="AU82" s="226">
        <f>L82</f>
        <v>41</v>
      </c>
      <c r="AV82" s="298">
        <f>AU82+M82</f>
        <v>82</v>
      </c>
      <c r="AW82" s="298">
        <f>AV82+N82</f>
        <v>82</v>
      </c>
      <c r="AX82" s="298">
        <f t="shared" si="242"/>
        <v>82</v>
      </c>
      <c r="AY82" s="298">
        <f t="shared" si="243"/>
        <v>120</v>
      </c>
      <c r="AZ82" s="298">
        <f t="shared" si="244"/>
        <v>150</v>
      </c>
      <c r="BA82" s="298">
        <f t="shared" si="245"/>
        <v>192</v>
      </c>
      <c r="BB82" s="298">
        <f t="shared" si="246"/>
        <v>242</v>
      </c>
      <c r="BC82" s="298">
        <f t="shared" si="247"/>
        <v>298</v>
      </c>
      <c r="BD82" s="298">
        <f t="shared" si="248"/>
        <v>333</v>
      </c>
      <c r="BE82" s="298">
        <f t="shared" si="249"/>
        <v>410</v>
      </c>
      <c r="BF82" s="298">
        <f t="shared" si="250"/>
        <v>445</v>
      </c>
      <c r="BG82" s="298">
        <f t="shared" si="251"/>
        <v>483</v>
      </c>
      <c r="BH82" s="298">
        <f t="shared" si="252"/>
        <v>483</v>
      </c>
      <c r="BI82" s="298">
        <f t="shared" si="253"/>
        <v>483</v>
      </c>
      <c r="BJ82" s="298">
        <f t="shared" si="254"/>
        <v>483</v>
      </c>
      <c r="BK82" s="298">
        <f t="shared" si="255"/>
        <v>523</v>
      </c>
      <c r="BL82" s="298">
        <f t="shared" si="256"/>
        <v>523</v>
      </c>
      <c r="BM82" s="298">
        <f t="shared" si="257"/>
        <v>558</v>
      </c>
      <c r="BN82" s="298">
        <f t="shared" si="258"/>
        <v>581</v>
      </c>
      <c r="BO82" s="298">
        <f t="shared" si="259"/>
        <v>581</v>
      </c>
      <c r="BP82" s="298">
        <f t="shared" si="260"/>
        <v>581</v>
      </c>
      <c r="BQ82" s="298">
        <f t="shared" si="261"/>
        <v>581</v>
      </c>
      <c r="BR82" s="298">
        <f t="shared" si="262"/>
        <v>581</v>
      </c>
      <c r="BS82" s="298">
        <f t="shared" si="263"/>
        <v>581</v>
      </c>
      <c r="BT82" s="298">
        <f t="shared" si="264"/>
        <v>619</v>
      </c>
    </row>
    <row r="83" spans="1:74" x14ac:dyDescent="0.25">
      <c r="A83" s="1753"/>
      <c r="B83" s="194">
        <f>'February 25 D_R (Tramming)'!F83</f>
        <v>0</v>
      </c>
      <c r="E83" s="226"/>
      <c r="F83" s="1766"/>
      <c r="G83" s="1769"/>
      <c r="H83" s="1773"/>
      <c r="I83" s="1486" t="s">
        <v>312</v>
      </c>
      <c r="J83" s="1487"/>
      <c r="K83" s="1488"/>
      <c r="L83" s="605"/>
      <c r="M83" s="605"/>
      <c r="N83" s="605"/>
      <c r="O83" s="605"/>
      <c r="P83" s="605"/>
      <c r="Q83" s="605"/>
      <c r="R83" s="605"/>
      <c r="S83" s="605"/>
      <c r="T83" s="606"/>
      <c r="U83" s="605"/>
      <c r="V83" s="605"/>
      <c r="W83" s="605"/>
      <c r="X83" s="605"/>
      <c r="Y83" s="605"/>
      <c r="Z83" s="605"/>
      <c r="AA83" s="605"/>
      <c r="AB83" s="605"/>
      <c r="AC83" s="605" t="s">
        <v>567</v>
      </c>
      <c r="AD83" s="605"/>
      <c r="AE83" s="605"/>
      <c r="AF83" s="605"/>
      <c r="AG83" s="605"/>
      <c r="AH83" s="605" t="s">
        <v>568</v>
      </c>
      <c r="AI83" s="605"/>
      <c r="AJ83" s="605"/>
      <c r="AK83" s="605"/>
      <c r="AL83" s="605"/>
      <c r="AM83" s="605"/>
      <c r="AN83" s="605"/>
      <c r="AO83" s="605"/>
      <c r="AP83" s="607"/>
      <c r="AQ83" s="608"/>
      <c r="AR83" s="309"/>
      <c r="AS83" s="1754"/>
      <c r="AT83" s="333"/>
      <c r="AU83" s="227"/>
      <c r="AV83" s="227"/>
      <c r="BL83" s="299"/>
      <c r="BM83" s="299"/>
      <c r="BN83" s="299"/>
      <c r="BO83" s="299"/>
      <c r="BP83" s="299"/>
      <c r="BQ83" s="299"/>
      <c r="BR83" s="299"/>
      <c r="BS83" s="299"/>
      <c r="BT83" s="299"/>
      <c r="BU83" s="299">
        <f>BT82+AL81</f>
        <v>654</v>
      </c>
      <c r="BV83" s="299">
        <f t="shared" ref="BV83" si="267">BU83+AM81</f>
        <v>689</v>
      </c>
    </row>
    <row r="84" spans="1:74" x14ac:dyDescent="0.25">
      <c r="A84" s="1753"/>
      <c r="B84" s="194" t="str">
        <f>'February 25 D_R (Tramming)'!F84</f>
        <v xml:space="preserve">-   </v>
      </c>
      <c r="C84" s="348">
        <f>J84</f>
        <v>2.75</v>
      </c>
      <c r="E84" s="226"/>
      <c r="F84" s="1766"/>
      <c r="G84" s="1769"/>
      <c r="H84" s="1774" t="s">
        <v>343</v>
      </c>
      <c r="I84" s="1478" t="s">
        <v>344</v>
      </c>
      <c r="J84" s="1479">
        <v>2.75</v>
      </c>
      <c r="K84" s="1480"/>
      <c r="L84" s="1445">
        <v>2.75</v>
      </c>
      <c r="M84" s="1445">
        <v>2.75</v>
      </c>
      <c r="N84" s="1445">
        <v>2.75</v>
      </c>
      <c r="O84" s="1437">
        <v>2.75</v>
      </c>
      <c r="P84" s="1437">
        <v>2.75</v>
      </c>
      <c r="Q84" s="1437">
        <v>2.75</v>
      </c>
      <c r="R84" s="1437">
        <v>2.75</v>
      </c>
      <c r="S84" s="1437">
        <v>2.75</v>
      </c>
      <c r="T84" s="1438">
        <v>2.75</v>
      </c>
      <c r="U84" s="1437">
        <v>2.75</v>
      </c>
      <c r="V84" s="1437">
        <v>2.75</v>
      </c>
      <c r="W84" s="1437">
        <v>2.75</v>
      </c>
      <c r="X84" s="1437">
        <v>2.75</v>
      </c>
      <c r="Y84" s="1437">
        <v>2.75</v>
      </c>
      <c r="Z84" s="1437">
        <v>2.75</v>
      </c>
      <c r="AA84" s="1437">
        <v>2.75</v>
      </c>
      <c r="AB84" s="1437">
        <v>2.75</v>
      </c>
      <c r="AC84" s="1437">
        <v>2.75</v>
      </c>
      <c r="AD84" s="1437">
        <v>2.75</v>
      </c>
      <c r="AE84" s="1437">
        <v>2.75</v>
      </c>
      <c r="AF84" s="1437">
        <v>2.75</v>
      </c>
      <c r="AG84" s="1437">
        <v>2.75</v>
      </c>
      <c r="AH84" s="1437">
        <v>2.75</v>
      </c>
      <c r="AI84" s="1437">
        <v>2.75</v>
      </c>
      <c r="AJ84" s="1437">
        <v>2.75</v>
      </c>
      <c r="AK84" s="1437">
        <v>2.75</v>
      </c>
      <c r="AL84" s="1437">
        <v>2.75</v>
      </c>
      <c r="AM84" s="1437">
        <v>2.75</v>
      </c>
      <c r="AN84" s="1437" t="s">
        <v>468</v>
      </c>
      <c r="AO84" s="1437" t="s">
        <v>468</v>
      </c>
      <c r="AP84" s="1439" t="s">
        <v>468</v>
      </c>
      <c r="AQ84" s="604"/>
      <c r="AR84" s="308"/>
      <c r="AS84" s="1754"/>
      <c r="AU84" s="226"/>
      <c r="AV84" s="226"/>
    </row>
    <row r="85" spans="1:74" x14ac:dyDescent="0.25">
      <c r="A85" s="1753"/>
      <c r="B85" s="194">
        <f>'February 25 D_R (Tramming)'!F85</f>
        <v>2.57</v>
      </c>
      <c r="C85" s="350">
        <f>C87*1000/C82</f>
        <v>2.5648672830301225</v>
      </c>
      <c r="E85" s="226"/>
      <c r="F85" s="1766"/>
      <c r="G85" s="1769"/>
      <c r="H85" s="1773"/>
      <c r="I85" s="1455" t="s">
        <v>345</v>
      </c>
      <c r="J85" s="1481">
        <v>1.25</v>
      </c>
      <c r="K85" s="1474">
        <v>-0.55000000000000004</v>
      </c>
      <c r="L85" s="1440">
        <v>1.1200000000000001</v>
      </c>
      <c r="M85" s="1443">
        <v>1.01</v>
      </c>
      <c r="N85" s="1434"/>
      <c r="O85" s="1434"/>
      <c r="P85" s="1443">
        <v>1.1000000000000001</v>
      </c>
      <c r="Q85" s="1441">
        <v>1.76</v>
      </c>
      <c r="R85" s="1441">
        <v>1.84</v>
      </c>
      <c r="S85" s="1443">
        <v>1.01</v>
      </c>
      <c r="T85" s="1441">
        <v>1.84</v>
      </c>
      <c r="U85" s="1444">
        <v>2.63</v>
      </c>
      <c r="V85" s="1443">
        <v>1.03</v>
      </c>
      <c r="W85" s="1434"/>
      <c r="X85" s="1443">
        <v>1.18</v>
      </c>
      <c r="Y85" s="1434"/>
      <c r="Z85" s="1434"/>
      <c r="AA85" s="1434"/>
      <c r="AB85" s="1443">
        <v>0.88</v>
      </c>
      <c r="AC85" s="1434"/>
      <c r="AD85" s="1443">
        <v>1.42</v>
      </c>
      <c r="AE85" s="1443">
        <v>1.58</v>
      </c>
      <c r="AF85" s="1434"/>
      <c r="AG85" s="1434"/>
      <c r="AH85" s="1434"/>
      <c r="AI85" s="1434"/>
      <c r="AJ85" s="1434"/>
      <c r="AK85" s="1441">
        <v>1.92</v>
      </c>
      <c r="AL85" s="1434"/>
      <c r="AM85" s="1434"/>
      <c r="AN85" s="1436"/>
      <c r="AO85" s="1436"/>
      <c r="AP85" s="1436"/>
      <c r="AQ85" s="604"/>
      <c r="AR85" s="308"/>
      <c r="AS85" s="1754"/>
      <c r="AU85" s="226"/>
      <c r="AV85" s="226"/>
    </row>
    <row r="86" spans="1:74" x14ac:dyDescent="0.25">
      <c r="A86" s="1753"/>
      <c r="B86" s="194" t="str">
        <f>'February 25 D_R (Tramming)'!F86</f>
        <v xml:space="preserve">-   </v>
      </c>
      <c r="C86" s="354">
        <f>J86</f>
        <v>2.7</v>
      </c>
      <c r="E86" s="226"/>
      <c r="F86" s="1766"/>
      <c r="G86" s="1769"/>
      <c r="H86" s="1774" t="s">
        <v>47</v>
      </c>
      <c r="I86" s="1478" t="s">
        <v>346</v>
      </c>
      <c r="J86" s="609">
        <v>2.7</v>
      </c>
      <c r="K86" s="1480"/>
      <c r="L86" s="1445">
        <v>0.1</v>
      </c>
      <c r="M86" s="1445">
        <v>0.1</v>
      </c>
      <c r="N86" s="1445">
        <v>0.1</v>
      </c>
      <c r="O86" s="1437">
        <v>0.1</v>
      </c>
      <c r="P86" s="1437">
        <v>0.1</v>
      </c>
      <c r="Q86" s="1437">
        <v>0.1</v>
      </c>
      <c r="R86" s="1437">
        <v>0.1</v>
      </c>
      <c r="S86" s="1437">
        <v>0.1</v>
      </c>
      <c r="T86" s="1438">
        <v>0.1</v>
      </c>
      <c r="U86" s="1437">
        <v>0.1</v>
      </c>
      <c r="V86" s="1437">
        <v>0.1</v>
      </c>
      <c r="W86" s="1437">
        <v>0.1</v>
      </c>
      <c r="X86" s="1437">
        <v>0.1</v>
      </c>
      <c r="Y86" s="1437">
        <v>0.1</v>
      </c>
      <c r="Z86" s="1437">
        <v>0.1</v>
      </c>
      <c r="AA86" s="1437">
        <v>0.1</v>
      </c>
      <c r="AB86" s="1437">
        <v>0.1</v>
      </c>
      <c r="AC86" s="1437">
        <v>0.1</v>
      </c>
      <c r="AD86" s="1437">
        <v>0.1</v>
      </c>
      <c r="AE86" s="1437">
        <v>0.1</v>
      </c>
      <c r="AF86" s="1437">
        <v>0.1</v>
      </c>
      <c r="AG86" s="1437">
        <v>0.1</v>
      </c>
      <c r="AH86" s="1437">
        <v>0.1</v>
      </c>
      <c r="AI86" s="1437">
        <v>0.1</v>
      </c>
      <c r="AJ86" s="1437">
        <v>0.1</v>
      </c>
      <c r="AK86" s="1437">
        <v>0.1</v>
      </c>
      <c r="AL86" s="1437">
        <v>0.1</v>
      </c>
      <c r="AM86" s="1437">
        <v>0.1</v>
      </c>
      <c r="AN86" s="1437" t="s">
        <v>468</v>
      </c>
      <c r="AO86" s="1437" t="s">
        <v>468</v>
      </c>
      <c r="AP86" s="1439" t="s">
        <v>468</v>
      </c>
      <c r="AQ86" s="604"/>
      <c r="AR86" s="310"/>
      <c r="AS86" s="1754"/>
      <c r="AT86" s="332"/>
      <c r="AU86" s="226"/>
      <c r="AV86" s="226"/>
    </row>
    <row r="87" spans="1:74" ht="14.25" thickBot="1" x14ac:dyDescent="0.3">
      <c r="A87" s="1753"/>
      <c r="B87" s="194">
        <f>'February 25 D_R (Tramming)'!F87</f>
        <v>8.6</v>
      </c>
      <c r="C87" s="350">
        <f>(J87/(J87))*B87</f>
        <v>8.6</v>
      </c>
      <c r="E87" s="226"/>
      <c r="F87" s="1767"/>
      <c r="G87" s="1770"/>
      <c r="H87" s="1775"/>
      <c r="I87" s="1460" t="s">
        <v>347</v>
      </c>
      <c r="J87" s="1482">
        <v>0.8</v>
      </c>
      <c r="K87" s="1483">
        <v>-0.69</v>
      </c>
      <c r="L87" s="1447">
        <v>0</v>
      </c>
      <c r="M87" s="1469">
        <v>0</v>
      </c>
      <c r="N87" s="1469" t="s">
        <v>468</v>
      </c>
      <c r="O87" s="1469" t="s">
        <v>468</v>
      </c>
      <c r="P87" s="1469">
        <v>0</v>
      </c>
      <c r="Q87" s="1469">
        <v>0.1</v>
      </c>
      <c r="R87" s="1469">
        <v>0.1</v>
      </c>
      <c r="S87" s="1469">
        <v>0.1</v>
      </c>
      <c r="T87" s="1468">
        <v>0.1</v>
      </c>
      <c r="U87" s="1469">
        <v>0.1</v>
      </c>
      <c r="V87" s="1469">
        <v>0.1</v>
      </c>
      <c r="W87" s="1469" t="s">
        <v>468</v>
      </c>
      <c r="X87" s="1469">
        <v>0</v>
      </c>
      <c r="Y87" s="1469" t="s">
        <v>468</v>
      </c>
      <c r="Z87" s="1469" t="s">
        <v>468</v>
      </c>
      <c r="AA87" s="1469" t="s">
        <v>468</v>
      </c>
      <c r="AB87" s="1469">
        <v>0</v>
      </c>
      <c r="AC87" s="1469" t="s">
        <v>468</v>
      </c>
      <c r="AD87" s="1469">
        <v>0</v>
      </c>
      <c r="AE87" s="1469">
        <v>0</v>
      </c>
      <c r="AF87" s="1469" t="s">
        <v>468</v>
      </c>
      <c r="AG87" s="1469" t="s">
        <v>468</v>
      </c>
      <c r="AH87" s="1469" t="s">
        <v>468</v>
      </c>
      <c r="AI87" s="1469" t="s">
        <v>468</v>
      </c>
      <c r="AJ87" s="1469" t="s">
        <v>468</v>
      </c>
      <c r="AK87" s="1469">
        <v>0.1</v>
      </c>
      <c r="AL87" s="1469" t="s">
        <v>468</v>
      </c>
      <c r="AM87" s="1469" t="s">
        <v>468</v>
      </c>
      <c r="AN87" s="1470" t="s">
        <v>468</v>
      </c>
      <c r="AO87" s="1470" t="s">
        <v>468</v>
      </c>
      <c r="AP87" s="1470" t="s">
        <v>468</v>
      </c>
      <c r="AQ87" s="610"/>
      <c r="AR87" s="311"/>
      <c r="AS87" s="1754"/>
      <c r="AU87" s="226"/>
      <c r="AV87" s="226"/>
    </row>
    <row r="88" spans="1:74" s="194" customFormat="1" ht="14.45" customHeight="1" x14ac:dyDescent="0.25">
      <c r="A88" s="1753" t="s">
        <v>51</v>
      </c>
      <c r="B88" s="194" t="str">
        <f>'February 25 D_R (Tramming)'!F88</f>
        <v xml:space="preserve">-   </v>
      </c>
      <c r="C88" s="353">
        <f>J88</f>
        <v>1960</v>
      </c>
      <c r="E88" s="226"/>
      <c r="F88" s="1765"/>
      <c r="G88" s="1768" t="s">
        <v>508</v>
      </c>
      <c r="H88" s="1771" t="s">
        <v>340</v>
      </c>
      <c r="I88" s="596" t="s">
        <v>341</v>
      </c>
      <c r="J88" s="597">
        <v>1960</v>
      </c>
      <c r="K88" s="598"/>
      <c r="L88" s="599">
        <v>70</v>
      </c>
      <c r="M88" s="599">
        <v>70</v>
      </c>
      <c r="N88" s="599">
        <v>70</v>
      </c>
      <c r="O88" s="600">
        <v>70</v>
      </c>
      <c r="P88" s="600">
        <v>70</v>
      </c>
      <c r="Q88" s="600">
        <v>70</v>
      </c>
      <c r="R88" s="600">
        <v>70</v>
      </c>
      <c r="S88" s="600">
        <v>70</v>
      </c>
      <c r="T88" s="601">
        <v>70</v>
      </c>
      <c r="U88" s="600">
        <v>70</v>
      </c>
      <c r="V88" s="600">
        <v>70</v>
      </c>
      <c r="W88" s="600">
        <v>70</v>
      </c>
      <c r="X88" s="600">
        <v>70</v>
      </c>
      <c r="Y88" s="600">
        <v>70</v>
      </c>
      <c r="Z88" s="600">
        <v>70</v>
      </c>
      <c r="AA88" s="600">
        <v>70</v>
      </c>
      <c r="AB88" s="600">
        <v>70</v>
      </c>
      <c r="AC88" s="600">
        <v>70</v>
      </c>
      <c r="AD88" s="600">
        <v>70</v>
      </c>
      <c r="AE88" s="600">
        <v>70</v>
      </c>
      <c r="AF88" s="600">
        <v>70</v>
      </c>
      <c r="AG88" s="600">
        <v>70</v>
      </c>
      <c r="AH88" s="600">
        <v>70</v>
      </c>
      <c r="AI88" s="600">
        <v>70</v>
      </c>
      <c r="AJ88" s="600">
        <v>70</v>
      </c>
      <c r="AK88" s="600">
        <v>70</v>
      </c>
      <c r="AL88" s="600">
        <v>70</v>
      </c>
      <c r="AM88" s="600">
        <v>70</v>
      </c>
      <c r="AN88" s="600" t="s">
        <v>468</v>
      </c>
      <c r="AO88" s="600" t="s">
        <v>468</v>
      </c>
      <c r="AP88" s="602" t="s">
        <v>468</v>
      </c>
      <c r="AQ88" s="603"/>
      <c r="AR88" s="307"/>
      <c r="AS88" s="1754" t="s">
        <v>569</v>
      </c>
      <c r="AT88" s="332"/>
      <c r="AU88" s="226">
        <f>L88</f>
        <v>70</v>
      </c>
      <c r="AV88" s="298">
        <f>AU88+M88</f>
        <v>140</v>
      </c>
      <c r="AW88" s="298">
        <f>AV88+N88</f>
        <v>210</v>
      </c>
      <c r="AX88" s="298">
        <f t="shared" ref="AX88:AX89" si="268">AW88+O88</f>
        <v>280</v>
      </c>
      <c r="AY88" s="298">
        <f t="shared" ref="AY88:AY89" si="269">AX88+P88</f>
        <v>350</v>
      </c>
      <c r="AZ88" s="298">
        <f t="shared" ref="AZ88:AZ89" si="270">AY88+Q88</f>
        <v>420</v>
      </c>
      <c r="BA88" s="298">
        <f t="shared" ref="BA88:BA89" si="271">AZ88+R88</f>
        <v>490</v>
      </c>
      <c r="BB88" s="298">
        <f t="shared" ref="BB88:BB89" si="272">BA88+S88</f>
        <v>560</v>
      </c>
      <c r="BC88" s="298">
        <f t="shared" ref="BC88:BC89" si="273">BB88+T88</f>
        <v>630</v>
      </c>
      <c r="BD88" s="298">
        <f t="shared" ref="BD88:BD89" si="274">BC88+U88</f>
        <v>700</v>
      </c>
      <c r="BE88" s="298">
        <f t="shared" ref="BE88:BE89" si="275">BD88+V88</f>
        <v>770</v>
      </c>
      <c r="BF88" s="298">
        <f t="shared" ref="BF88:BF89" si="276">BE88+W88</f>
        <v>840</v>
      </c>
      <c r="BG88" s="298">
        <f t="shared" ref="BG88:BG89" si="277">BF88+X88</f>
        <v>910</v>
      </c>
      <c r="BH88" s="298">
        <f t="shared" ref="BH88:BH89" si="278">BG88+Y88</f>
        <v>980</v>
      </c>
      <c r="BI88" s="298">
        <f t="shared" ref="BI88:BI89" si="279">BH88+Z88</f>
        <v>1050</v>
      </c>
      <c r="BJ88" s="298">
        <f t="shared" ref="BJ88:BJ89" si="280">BI88+AA88</f>
        <v>1120</v>
      </c>
      <c r="BK88" s="298">
        <f t="shared" ref="BK88:BK89" si="281">BJ88+AB88</f>
        <v>1190</v>
      </c>
      <c r="BL88" s="298">
        <f t="shared" ref="BL88:BL89" si="282">BK88+AC88</f>
        <v>1260</v>
      </c>
      <c r="BM88" s="298">
        <f t="shared" ref="BM88:BM89" si="283">BL88+AD88</f>
        <v>1330</v>
      </c>
      <c r="BN88" s="298">
        <f t="shared" ref="BN88:BN89" si="284">BM88+AE88</f>
        <v>1400</v>
      </c>
      <c r="BO88" s="298">
        <f t="shared" ref="BO88:BO89" si="285">BN88+AF88</f>
        <v>1470</v>
      </c>
      <c r="BP88" s="298">
        <f t="shared" ref="BP88:BP89" si="286">BO88+AG88</f>
        <v>1540</v>
      </c>
      <c r="BQ88" s="298">
        <f t="shared" ref="BQ88:BQ89" si="287">BP88+AH88</f>
        <v>1610</v>
      </c>
      <c r="BR88" s="298">
        <f t="shared" ref="BR88:BR89" si="288">BQ88+AI88</f>
        <v>1680</v>
      </c>
      <c r="BS88" s="298">
        <f t="shared" ref="BS88:BS89" si="289">BR88+AJ88</f>
        <v>1750</v>
      </c>
      <c r="BT88" s="298">
        <f t="shared" ref="BT88:BT89" si="290">BS88+AK88</f>
        <v>1820</v>
      </c>
      <c r="BU88" s="298">
        <f t="shared" ref="BU88" si="291">BT88+AL88</f>
        <v>1890</v>
      </c>
      <c r="BV88" s="298">
        <f t="shared" ref="BV88" si="292">BU88+AM88</f>
        <v>1960</v>
      </c>
    </row>
    <row r="89" spans="1:74" x14ac:dyDescent="0.25">
      <c r="A89" s="1753"/>
      <c r="B89" s="194">
        <f>'February 25 D_R (Tramming)'!F89</f>
        <v>337</v>
      </c>
      <c r="C89" s="352">
        <f>(J89/(J89))*B89</f>
        <v>337</v>
      </c>
      <c r="D89" s="349">
        <f>(C89-J89)/C89</f>
        <v>0.79821958456973297</v>
      </c>
      <c r="E89" s="226"/>
      <c r="F89" s="1766"/>
      <c r="G89" s="1769"/>
      <c r="H89" s="1772"/>
      <c r="I89" s="1472" t="s">
        <v>342</v>
      </c>
      <c r="J89" s="1481">
        <v>68</v>
      </c>
      <c r="K89" s="1474">
        <v>-0.97</v>
      </c>
      <c r="L89" s="1433"/>
      <c r="M89" s="1434"/>
      <c r="N89" s="1434"/>
      <c r="O89" s="1434"/>
      <c r="P89" s="1434"/>
      <c r="Q89" s="1434"/>
      <c r="R89" s="1434"/>
      <c r="S89" s="1434"/>
      <c r="T89" s="1434"/>
      <c r="U89" s="1434"/>
      <c r="V89" s="1434"/>
      <c r="W89" s="1434"/>
      <c r="X89" s="1434"/>
      <c r="Y89" s="1434"/>
      <c r="Z89" s="1434"/>
      <c r="AA89" s="1434"/>
      <c r="AB89" s="1434"/>
      <c r="AC89" s="1434"/>
      <c r="AD89" s="1434">
        <v>30</v>
      </c>
      <c r="AE89" s="1434">
        <v>19</v>
      </c>
      <c r="AF89" s="1434">
        <v>19</v>
      </c>
      <c r="AG89" s="1434"/>
      <c r="AH89" s="1434"/>
      <c r="AI89" s="1434"/>
      <c r="AJ89" s="1434"/>
      <c r="AK89" s="1434"/>
      <c r="AL89" s="1434"/>
      <c r="AM89" s="1434"/>
      <c r="AN89" s="1436"/>
      <c r="AO89" s="1436"/>
      <c r="AP89" s="1436"/>
      <c r="AQ89" s="604"/>
      <c r="AR89" s="308"/>
      <c r="AS89" s="1754"/>
      <c r="AU89" s="226">
        <f>L89</f>
        <v>0</v>
      </c>
      <c r="AV89" s="298">
        <f>AU89+M89</f>
        <v>0</v>
      </c>
      <c r="AW89" s="298">
        <f>AV89+N89</f>
        <v>0</v>
      </c>
      <c r="AX89" s="298">
        <f t="shared" si="268"/>
        <v>0</v>
      </c>
      <c r="AY89" s="298">
        <f t="shared" si="269"/>
        <v>0</v>
      </c>
      <c r="AZ89" s="298">
        <f t="shared" si="270"/>
        <v>0</v>
      </c>
      <c r="BA89" s="298">
        <f t="shared" si="271"/>
        <v>0</v>
      </c>
      <c r="BB89" s="298">
        <f t="shared" si="272"/>
        <v>0</v>
      </c>
      <c r="BC89" s="298">
        <f t="shared" si="273"/>
        <v>0</v>
      </c>
      <c r="BD89" s="298">
        <f t="shared" si="274"/>
        <v>0</v>
      </c>
      <c r="BE89" s="298">
        <f t="shared" si="275"/>
        <v>0</v>
      </c>
      <c r="BF89" s="298">
        <f t="shared" si="276"/>
        <v>0</v>
      </c>
      <c r="BG89" s="298">
        <f t="shared" si="277"/>
        <v>0</v>
      </c>
      <c r="BH89" s="298">
        <f t="shared" si="278"/>
        <v>0</v>
      </c>
      <c r="BI89" s="298">
        <f t="shared" si="279"/>
        <v>0</v>
      </c>
      <c r="BJ89" s="298">
        <f t="shared" si="280"/>
        <v>0</v>
      </c>
      <c r="BK89" s="298">
        <f t="shared" si="281"/>
        <v>0</v>
      </c>
      <c r="BL89" s="298">
        <f t="shared" si="282"/>
        <v>0</v>
      </c>
      <c r="BM89" s="298">
        <f t="shared" si="283"/>
        <v>30</v>
      </c>
      <c r="BN89" s="298">
        <f t="shared" si="284"/>
        <v>49</v>
      </c>
      <c r="BO89" s="298">
        <f t="shared" si="285"/>
        <v>68</v>
      </c>
      <c r="BP89" s="298">
        <f t="shared" si="286"/>
        <v>68</v>
      </c>
      <c r="BQ89" s="298">
        <f t="shared" si="287"/>
        <v>68</v>
      </c>
      <c r="BR89" s="298">
        <f t="shared" si="288"/>
        <v>68</v>
      </c>
      <c r="BS89" s="298">
        <f t="shared" si="289"/>
        <v>68</v>
      </c>
      <c r="BT89" s="298">
        <f t="shared" si="290"/>
        <v>68</v>
      </c>
    </row>
    <row r="90" spans="1:74" x14ac:dyDescent="0.25">
      <c r="A90" s="1753"/>
      <c r="B90" s="194">
        <f>'February 25 D_R (Tramming)'!F90</f>
        <v>0</v>
      </c>
      <c r="E90" s="226"/>
      <c r="F90" s="1766"/>
      <c r="G90" s="1769"/>
      <c r="H90" s="1773"/>
      <c r="I90" s="1486" t="s">
        <v>312</v>
      </c>
      <c r="J90" s="1487"/>
      <c r="K90" s="1488"/>
      <c r="L90" s="605"/>
      <c r="M90" s="605"/>
      <c r="N90" s="605"/>
      <c r="O90" s="605"/>
      <c r="P90" s="605"/>
      <c r="Q90" s="605"/>
      <c r="R90" s="605"/>
      <c r="S90" s="605"/>
      <c r="T90" s="606"/>
      <c r="U90" s="605"/>
      <c r="V90" s="605"/>
      <c r="W90" s="605"/>
      <c r="X90" s="605"/>
      <c r="Y90" s="605" t="s">
        <v>570</v>
      </c>
      <c r="Z90" s="605"/>
      <c r="AA90" s="605"/>
      <c r="AB90" s="605"/>
      <c r="AC90" s="605"/>
      <c r="AD90" s="605"/>
      <c r="AE90" s="605"/>
      <c r="AF90" s="605" t="s">
        <v>571</v>
      </c>
      <c r="AG90" s="605"/>
      <c r="AH90" s="605"/>
      <c r="AI90" s="605"/>
      <c r="AJ90" s="605"/>
      <c r="AK90" s="605"/>
      <c r="AL90" s="605"/>
      <c r="AM90" s="605"/>
      <c r="AN90" s="605"/>
      <c r="AO90" s="605"/>
      <c r="AP90" s="607"/>
      <c r="AQ90" s="608"/>
      <c r="AR90" s="309"/>
      <c r="AS90" s="1754"/>
      <c r="AT90" s="333"/>
      <c r="AU90" s="227"/>
      <c r="AV90" s="227"/>
      <c r="BL90" s="299"/>
      <c r="BM90" s="299"/>
      <c r="BN90" s="299"/>
      <c r="BO90" s="299"/>
      <c r="BP90" s="299"/>
      <c r="BQ90" s="299"/>
      <c r="BR90" s="299"/>
      <c r="BS90" s="299"/>
      <c r="BT90" s="299"/>
      <c r="BU90" s="299">
        <f>BT89+AL88</f>
        <v>138</v>
      </c>
      <c r="BV90" s="299">
        <f t="shared" ref="BV90" si="293">BU90+AM88</f>
        <v>208</v>
      </c>
    </row>
    <row r="91" spans="1:74" x14ac:dyDescent="0.25">
      <c r="A91" s="1753"/>
      <c r="B91" s="194" t="str">
        <f>'February 25 D_R (Tramming)'!F91</f>
        <v xml:space="preserve">-   </v>
      </c>
      <c r="C91" s="348">
        <f>J91</f>
        <v>2.75</v>
      </c>
      <c r="E91" s="226"/>
      <c r="F91" s="1766"/>
      <c r="G91" s="1769"/>
      <c r="H91" s="1774" t="s">
        <v>343</v>
      </c>
      <c r="I91" s="1478" t="s">
        <v>344</v>
      </c>
      <c r="J91" s="1479">
        <v>2.75</v>
      </c>
      <c r="K91" s="1480"/>
      <c r="L91" s="1445">
        <v>2.75</v>
      </c>
      <c r="M91" s="1445">
        <v>2.75</v>
      </c>
      <c r="N91" s="1445">
        <v>2.75</v>
      </c>
      <c r="O91" s="1437">
        <v>2.75</v>
      </c>
      <c r="P91" s="1437">
        <v>2.75</v>
      </c>
      <c r="Q91" s="1437">
        <v>2.75</v>
      </c>
      <c r="R91" s="1437">
        <v>2.75</v>
      </c>
      <c r="S91" s="1437">
        <v>2.75</v>
      </c>
      <c r="T91" s="1438">
        <v>2.75</v>
      </c>
      <c r="U91" s="1437">
        <v>2.75</v>
      </c>
      <c r="V91" s="1437">
        <v>2.75</v>
      </c>
      <c r="W91" s="1437">
        <v>2.75</v>
      </c>
      <c r="X91" s="1437">
        <v>2.75</v>
      </c>
      <c r="Y91" s="1437">
        <v>2.75</v>
      </c>
      <c r="Z91" s="1437">
        <v>2.75</v>
      </c>
      <c r="AA91" s="1437">
        <v>2.75</v>
      </c>
      <c r="AB91" s="1437">
        <v>2.75</v>
      </c>
      <c r="AC91" s="1437">
        <v>2.75</v>
      </c>
      <c r="AD91" s="1437">
        <v>2.75</v>
      </c>
      <c r="AE91" s="1437">
        <v>2.75</v>
      </c>
      <c r="AF91" s="1437">
        <v>2.75</v>
      </c>
      <c r="AG91" s="1437">
        <v>2.75</v>
      </c>
      <c r="AH91" s="1437">
        <v>2.75</v>
      </c>
      <c r="AI91" s="1437">
        <v>2.75</v>
      </c>
      <c r="AJ91" s="1437">
        <v>2.75</v>
      </c>
      <c r="AK91" s="1437">
        <v>2.75</v>
      </c>
      <c r="AL91" s="1437">
        <v>2.75</v>
      </c>
      <c r="AM91" s="1437">
        <v>2.75</v>
      </c>
      <c r="AN91" s="1437" t="s">
        <v>468</v>
      </c>
      <c r="AO91" s="1437" t="s">
        <v>468</v>
      </c>
      <c r="AP91" s="1439"/>
      <c r="AQ91" s="604"/>
      <c r="AR91" s="308"/>
      <c r="AS91" s="1754"/>
      <c r="AU91" s="226"/>
      <c r="AV91" s="226"/>
    </row>
    <row r="92" spans="1:74" x14ac:dyDescent="0.25">
      <c r="A92" s="1753"/>
      <c r="B92" s="194">
        <f>'February 25 D_R (Tramming)'!F92</f>
        <v>1.9</v>
      </c>
      <c r="C92" s="350">
        <f>C94*1000/C89</f>
        <v>1.7804154302670623</v>
      </c>
      <c r="E92" s="226"/>
      <c r="F92" s="1766"/>
      <c r="G92" s="1769"/>
      <c r="H92" s="1773"/>
      <c r="I92" s="1455" t="s">
        <v>345</v>
      </c>
      <c r="J92" s="1481">
        <v>0.79</v>
      </c>
      <c r="K92" s="1474">
        <v>-0.71</v>
      </c>
      <c r="L92" s="1433"/>
      <c r="M92" s="1434"/>
      <c r="N92" s="1434"/>
      <c r="O92" s="1434"/>
      <c r="P92" s="1434"/>
      <c r="Q92" s="1434"/>
      <c r="R92" s="1434"/>
      <c r="S92" s="1434"/>
      <c r="T92" s="1434"/>
      <c r="U92" s="1434"/>
      <c r="V92" s="1434"/>
      <c r="W92" s="1434"/>
      <c r="X92" s="1434"/>
      <c r="Y92" s="1434"/>
      <c r="Z92" s="1434"/>
      <c r="AA92" s="1434"/>
      <c r="AB92" s="1434"/>
      <c r="AC92" s="1434"/>
      <c r="AD92" s="1434"/>
      <c r="AE92" s="1443">
        <v>1.42</v>
      </c>
      <c r="AF92" s="1443">
        <v>1.42</v>
      </c>
      <c r="AG92" s="1434"/>
      <c r="AH92" s="1434"/>
      <c r="AI92" s="1434"/>
      <c r="AJ92" s="1434"/>
      <c r="AK92" s="1434"/>
      <c r="AL92" s="1434"/>
      <c r="AM92" s="1434"/>
      <c r="AN92" s="1436"/>
      <c r="AO92" s="1436"/>
      <c r="AP92" s="1436"/>
      <c r="AQ92" s="604"/>
      <c r="AR92" s="308"/>
      <c r="AS92" s="1754"/>
      <c r="AU92" s="226"/>
      <c r="AV92" s="226"/>
    </row>
    <row r="93" spans="1:74" x14ac:dyDescent="0.25">
      <c r="A93" s="1753"/>
      <c r="B93" s="194" t="str">
        <f>'February 25 D_R (Tramming)'!F93</f>
        <v xml:space="preserve">-   </v>
      </c>
      <c r="C93" s="354">
        <f>J93</f>
        <v>5.4</v>
      </c>
      <c r="E93" s="226"/>
      <c r="F93" s="1766"/>
      <c r="G93" s="1769"/>
      <c r="H93" s="1774" t="s">
        <v>47</v>
      </c>
      <c r="I93" s="1478" t="s">
        <v>346</v>
      </c>
      <c r="J93" s="609">
        <v>5.4</v>
      </c>
      <c r="K93" s="1480"/>
      <c r="L93" s="1445">
        <v>0.2</v>
      </c>
      <c r="M93" s="1445">
        <v>0.2</v>
      </c>
      <c r="N93" s="1445">
        <v>0.2</v>
      </c>
      <c r="O93" s="1437">
        <v>0.2</v>
      </c>
      <c r="P93" s="1437">
        <v>0.2</v>
      </c>
      <c r="Q93" s="1437">
        <v>0.2</v>
      </c>
      <c r="R93" s="1437">
        <v>0.2</v>
      </c>
      <c r="S93" s="1437">
        <v>0.2</v>
      </c>
      <c r="T93" s="1438">
        <v>0.2</v>
      </c>
      <c r="U93" s="1437">
        <v>0.2</v>
      </c>
      <c r="V93" s="1437">
        <v>0.2</v>
      </c>
      <c r="W93" s="1437">
        <v>0.2</v>
      </c>
      <c r="X93" s="1437">
        <v>0.2</v>
      </c>
      <c r="Y93" s="1437">
        <v>0.2</v>
      </c>
      <c r="Z93" s="1437">
        <v>0.2</v>
      </c>
      <c r="AA93" s="1437">
        <v>0.2</v>
      </c>
      <c r="AB93" s="1437">
        <v>0.2</v>
      </c>
      <c r="AC93" s="1437">
        <v>0.2</v>
      </c>
      <c r="AD93" s="1437">
        <v>0.2</v>
      </c>
      <c r="AE93" s="1437">
        <v>0.2</v>
      </c>
      <c r="AF93" s="1437">
        <v>0.2</v>
      </c>
      <c r="AG93" s="1437">
        <v>0.2</v>
      </c>
      <c r="AH93" s="1437">
        <v>0.2</v>
      </c>
      <c r="AI93" s="1437">
        <v>0.2</v>
      </c>
      <c r="AJ93" s="1437">
        <v>0.2</v>
      </c>
      <c r="AK93" s="1437">
        <v>0.2</v>
      </c>
      <c r="AL93" s="1437">
        <v>0.2</v>
      </c>
      <c r="AM93" s="1437">
        <v>0.2</v>
      </c>
      <c r="AN93" s="1437" t="s">
        <v>468</v>
      </c>
      <c r="AO93" s="1437" t="s">
        <v>468</v>
      </c>
      <c r="AP93" s="1439" t="s">
        <v>468</v>
      </c>
      <c r="AQ93" s="604"/>
      <c r="AR93" s="310"/>
      <c r="AS93" s="1754"/>
      <c r="AT93" s="332"/>
      <c r="AU93" s="226"/>
      <c r="AV93" s="226"/>
    </row>
    <row r="94" spans="1:74" ht="14.25" thickBot="1" x14ac:dyDescent="0.3">
      <c r="A94" s="1753"/>
      <c r="B94" s="194">
        <f>'February 25 D_R (Tramming)'!F94</f>
        <v>0.6</v>
      </c>
      <c r="C94" s="350">
        <f>(J94/(J94))*B94</f>
        <v>0.6</v>
      </c>
      <c r="E94" s="226"/>
      <c r="F94" s="1767"/>
      <c r="G94" s="1770"/>
      <c r="H94" s="1775"/>
      <c r="I94" s="1460" t="s">
        <v>347</v>
      </c>
      <c r="J94" s="1482">
        <v>0.1</v>
      </c>
      <c r="K94" s="1483">
        <v>-0.99</v>
      </c>
      <c r="L94" s="1447" t="s">
        <v>473</v>
      </c>
      <c r="M94" s="1469" t="s">
        <v>468</v>
      </c>
      <c r="N94" s="1469" t="s">
        <v>468</v>
      </c>
      <c r="O94" s="1469" t="s">
        <v>468</v>
      </c>
      <c r="P94" s="1469" t="s">
        <v>468</v>
      </c>
      <c r="Q94" s="1469" t="s">
        <v>468</v>
      </c>
      <c r="R94" s="1469" t="s">
        <v>468</v>
      </c>
      <c r="S94" s="1469" t="s">
        <v>468</v>
      </c>
      <c r="T94" s="1469" t="s">
        <v>468</v>
      </c>
      <c r="U94" s="1469" t="s">
        <v>468</v>
      </c>
      <c r="V94" s="1469" t="s">
        <v>468</v>
      </c>
      <c r="W94" s="1469" t="s">
        <v>468</v>
      </c>
      <c r="X94" s="1469" t="s">
        <v>468</v>
      </c>
      <c r="Y94" s="1469" t="s">
        <v>468</v>
      </c>
      <c r="Z94" s="1469" t="s">
        <v>468</v>
      </c>
      <c r="AA94" s="1469" t="s">
        <v>468</v>
      </c>
      <c r="AB94" s="1469" t="s">
        <v>468</v>
      </c>
      <c r="AC94" s="1469" t="s">
        <v>468</v>
      </c>
      <c r="AD94" s="1469" t="s">
        <v>468</v>
      </c>
      <c r="AE94" s="1469">
        <v>0</v>
      </c>
      <c r="AF94" s="1469">
        <v>0</v>
      </c>
      <c r="AG94" s="1469" t="s">
        <v>468</v>
      </c>
      <c r="AH94" s="1469" t="s">
        <v>468</v>
      </c>
      <c r="AI94" s="1469" t="s">
        <v>468</v>
      </c>
      <c r="AJ94" s="1469" t="s">
        <v>468</v>
      </c>
      <c r="AK94" s="1469" t="s">
        <v>468</v>
      </c>
      <c r="AL94" s="1469" t="s">
        <v>468</v>
      </c>
      <c r="AM94" s="1469" t="s">
        <v>468</v>
      </c>
      <c r="AN94" s="1470" t="s">
        <v>468</v>
      </c>
      <c r="AO94" s="1470" t="s">
        <v>468</v>
      </c>
      <c r="AP94" s="1470" t="s">
        <v>468</v>
      </c>
      <c r="AQ94" s="610"/>
      <c r="AR94" s="311"/>
      <c r="AS94" s="1754"/>
      <c r="AU94" s="226"/>
      <c r="AV94" s="226"/>
    </row>
    <row r="95" spans="1:74" s="194" customFormat="1" ht="14.45" customHeight="1" thickBot="1" x14ac:dyDescent="0.3">
      <c r="A95" s="1753" t="s">
        <v>52</v>
      </c>
      <c r="B95" s="194" t="str">
        <f>'February 25 D_R (Tramming)'!F95</f>
        <v xml:space="preserve">-   </v>
      </c>
      <c r="C95" s="353">
        <f>J95</f>
        <v>1960</v>
      </c>
      <c r="E95" s="202"/>
      <c r="F95" s="1608"/>
      <c r="G95" s="1692" t="s">
        <v>508</v>
      </c>
      <c r="H95" s="1684" t="s">
        <v>340</v>
      </c>
      <c r="I95" s="293" t="s">
        <v>341</v>
      </c>
      <c r="J95" s="196">
        <f>SUMIF($L$9:$AP$9,"&lt;="&amp;$G$7,L95:AP95)</f>
        <v>1960</v>
      </c>
      <c r="K95" s="197"/>
      <c r="L95" s="198">
        <v>70</v>
      </c>
      <c r="M95" s="198">
        <v>70</v>
      </c>
      <c r="N95" s="198">
        <v>70</v>
      </c>
      <c r="O95" s="199">
        <v>70</v>
      </c>
      <c r="P95" s="199">
        <v>70</v>
      </c>
      <c r="Q95" s="199">
        <v>70</v>
      </c>
      <c r="R95" s="199">
        <v>70</v>
      </c>
      <c r="S95" s="199">
        <v>70</v>
      </c>
      <c r="T95" s="200">
        <v>70</v>
      </c>
      <c r="U95" s="199">
        <v>70</v>
      </c>
      <c r="V95" s="199">
        <v>70</v>
      </c>
      <c r="W95" s="199">
        <v>70</v>
      </c>
      <c r="X95" s="199">
        <v>70</v>
      </c>
      <c r="Y95" s="199">
        <v>70</v>
      </c>
      <c r="Z95" s="199">
        <v>70</v>
      </c>
      <c r="AA95" s="199">
        <v>70</v>
      </c>
      <c r="AB95" s="199">
        <v>70</v>
      </c>
      <c r="AC95" s="199">
        <v>70</v>
      </c>
      <c r="AD95" s="199">
        <v>70</v>
      </c>
      <c r="AE95" s="199">
        <v>70</v>
      </c>
      <c r="AF95" s="199">
        <v>70</v>
      </c>
      <c r="AG95" s="199">
        <v>70</v>
      </c>
      <c r="AH95" s="199">
        <v>70</v>
      </c>
      <c r="AI95" s="199">
        <v>70</v>
      </c>
      <c r="AJ95" s="199">
        <v>70</v>
      </c>
      <c r="AK95" s="199">
        <v>70</v>
      </c>
      <c r="AL95" s="199">
        <v>70</v>
      </c>
      <c r="AM95" s="199">
        <v>70</v>
      </c>
      <c r="AN95" s="199">
        <v>0</v>
      </c>
      <c r="AO95" s="199">
        <v>0</v>
      </c>
      <c r="AP95" s="201">
        <v>0</v>
      </c>
      <c r="AQ95" s="322"/>
      <c r="AR95" s="307"/>
      <c r="AS95" s="1754" t="s">
        <v>572</v>
      </c>
      <c r="AT95" s="332"/>
      <c r="AU95" s="226">
        <f>L95</f>
        <v>70</v>
      </c>
      <c r="AV95" s="298">
        <f>AU95+M95</f>
        <v>140</v>
      </c>
      <c r="AW95" s="298">
        <f>AV95+N95</f>
        <v>210</v>
      </c>
      <c r="AX95" s="298">
        <f t="shared" ref="AX95:AX96" si="294">AW95+O95</f>
        <v>280</v>
      </c>
      <c r="AY95" s="298">
        <f t="shared" ref="AY95:AY96" si="295">AX95+P95</f>
        <v>350</v>
      </c>
      <c r="AZ95" s="298">
        <f t="shared" ref="AZ95:AZ96" si="296">AY95+Q95</f>
        <v>420</v>
      </c>
      <c r="BA95" s="298">
        <f t="shared" ref="BA95:BA96" si="297">AZ95+R95</f>
        <v>490</v>
      </c>
      <c r="BB95" s="298">
        <f t="shared" ref="BB95:BB96" si="298">BA95+S95</f>
        <v>560</v>
      </c>
      <c r="BC95" s="298">
        <f t="shared" ref="BC95:BC96" si="299">BB95+T95</f>
        <v>630</v>
      </c>
      <c r="BD95" s="298">
        <f t="shared" ref="BD95:BD96" si="300">BC95+U95</f>
        <v>700</v>
      </c>
      <c r="BE95" s="298">
        <f t="shared" ref="BE95:BE96" si="301">BD95+V95</f>
        <v>770</v>
      </c>
      <c r="BF95" s="298">
        <f t="shared" ref="BF95:BF96" si="302">BE95+W95</f>
        <v>840</v>
      </c>
      <c r="BG95" s="298">
        <f t="shared" ref="BG95:BG96" si="303">BF95+X95</f>
        <v>910</v>
      </c>
      <c r="BH95" s="298">
        <f t="shared" ref="BH95:BH96" si="304">BG95+Y95</f>
        <v>980</v>
      </c>
      <c r="BI95" s="298">
        <f t="shared" ref="BI95:BI96" si="305">BH95+Z95</f>
        <v>1050</v>
      </c>
      <c r="BJ95" s="298">
        <f t="shared" ref="BJ95:BJ96" si="306">BI95+AA95</f>
        <v>1120</v>
      </c>
      <c r="BK95" s="298">
        <f t="shared" ref="BK95:BK96" si="307">BJ95+AB95</f>
        <v>1190</v>
      </c>
      <c r="BL95" s="298">
        <f t="shared" ref="BL95:BL96" si="308">BK95+AC95</f>
        <v>1260</v>
      </c>
      <c r="BM95" s="298">
        <f t="shared" ref="BM95:BM96" si="309">BL95+AD95</f>
        <v>1330</v>
      </c>
      <c r="BN95" s="298">
        <f t="shared" ref="BN95:BN96" si="310">BM95+AE95</f>
        <v>1400</v>
      </c>
      <c r="BO95" s="298">
        <f t="shared" ref="BO95:BO96" si="311">BN95+AF95</f>
        <v>1470</v>
      </c>
      <c r="BP95" s="298">
        <f t="shared" ref="BP95:BP96" si="312">BO95+AG95</f>
        <v>1540</v>
      </c>
      <c r="BQ95" s="298">
        <f t="shared" ref="BQ95:BQ96" si="313">BP95+AH95</f>
        <v>1610</v>
      </c>
      <c r="BR95" s="298">
        <f t="shared" ref="BR95:BR96" si="314">BQ95+AI95</f>
        <v>1680</v>
      </c>
      <c r="BS95" s="298">
        <f t="shared" ref="BS95:BS96" si="315">BR95+AJ95</f>
        <v>1750</v>
      </c>
      <c r="BT95" s="298">
        <f t="shared" ref="BT95:BT96" si="316">BS95+AK95</f>
        <v>1820</v>
      </c>
      <c r="BU95" s="298">
        <f t="shared" ref="BU95" si="317">BT95+AL95</f>
        <v>1890</v>
      </c>
      <c r="BV95" s="298">
        <f t="shared" ref="BV95" si="318">BU95+AM95</f>
        <v>1960</v>
      </c>
    </row>
    <row r="96" spans="1:74" ht="14.25" thickBot="1" x14ac:dyDescent="0.3">
      <c r="A96" s="1753"/>
      <c r="B96" s="194">
        <f>'February 25 D_R (Tramming)'!F96</f>
        <v>35</v>
      </c>
      <c r="C96" s="352">
        <f>(J96/(J96))*B96</f>
        <v>35</v>
      </c>
      <c r="D96" s="349">
        <f>(C96-J96)/C96</f>
        <v>-0.94285714285714284</v>
      </c>
      <c r="F96" s="1608"/>
      <c r="G96" s="1693"/>
      <c r="H96" s="1684"/>
      <c r="I96" s="1379" t="s">
        <v>342</v>
      </c>
      <c r="J96" s="1303">
        <f>SUMIF($L$9:$AP$9,"&lt;="&amp;$G$7,L96:AP96)</f>
        <v>68</v>
      </c>
      <c r="K96" s="1380">
        <f t="shared" ref="K96" si="319">IFERROR((J96-J95)/J95,0)</f>
        <v>-0.96530612244897962</v>
      </c>
      <c r="L96" s="1305"/>
      <c r="M96" s="1303"/>
      <c r="N96" s="1303"/>
      <c r="O96" s="1303"/>
      <c r="P96" s="1303"/>
      <c r="Q96" s="1303"/>
      <c r="R96" s="1303"/>
      <c r="S96" s="1303"/>
      <c r="T96" s="1303"/>
      <c r="U96" s="1303"/>
      <c r="V96" s="1303"/>
      <c r="W96" s="1303"/>
      <c r="X96" s="1303"/>
      <c r="Y96" s="1303"/>
      <c r="Z96" s="1303"/>
      <c r="AA96" s="1303"/>
      <c r="AB96" s="1303"/>
      <c r="AC96" s="1303"/>
      <c r="AD96" s="1303">
        <v>30</v>
      </c>
      <c r="AE96" s="1303">
        <v>19</v>
      </c>
      <c r="AF96" s="1303">
        <v>19</v>
      </c>
      <c r="AG96" s="1303"/>
      <c r="AH96" s="1303"/>
      <c r="AI96" s="1303"/>
      <c r="AJ96" s="1303"/>
      <c r="AK96" s="1303"/>
      <c r="AL96" s="1303"/>
      <c r="AM96" s="1303"/>
      <c r="AN96" s="1303"/>
      <c r="AO96" s="1303"/>
      <c r="AP96" s="1303"/>
      <c r="AQ96" s="323"/>
      <c r="AR96" s="308"/>
      <c r="AS96" s="1754"/>
      <c r="AU96" s="226">
        <f>L96</f>
        <v>0</v>
      </c>
      <c r="AV96" s="298">
        <f>AU96+M96</f>
        <v>0</v>
      </c>
      <c r="AW96" s="298">
        <f>AV96+N96</f>
        <v>0</v>
      </c>
      <c r="AX96" s="298">
        <f t="shared" si="294"/>
        <v>0</v>
      </c>
      <c r="AY96" s="298">
        <f t="shared" si="295"/>
        <v>0</v>
      </c>
      <c r="AZ96" s="298">
        <f t="shared" si="296"/>
        <v>0</v>
      </c>
      <c r="BA96" s="298">
        <f t="shared" si="297"/>
        <v>0</v>
      </c>
      <c r="BB96" s="298">
        <f t="shared" si="298"/>
        <v>0</v>
      </c>
      <c r="BC96" s="298">
        <f t="shared" si="299"/>
        <v>0</v>
      </c>
      <c r="BD96" s="298">
        <f t="shared" si="300"/>
        <v>0</v>
      </c>
      <c r="BE96" s="298">
        <f t="shared" si="301"/>
        <v>0</v>
      </c>
      <c r="BF96" s="298">
        <f t="shared" si="302"/>
        <v>0</v>
      </c>
      <c r="BG96" s="298">
        <f t="shared" si="303"/>
        <v>0</v>
      </c>
      <c r="BH96" s="298">
        <f t="shared" si="304"/>
        <v>0</v>
      </c>
      <c r="BI96" s="298">
        <f t="shared" si="305"/>
        <v>0</v>
      </c>
      <c r="BJ96" s="298">
        <f t="shared" si="306"/>
        <v>0</v>
      </c>
      <c r="BK96" s="298">
        <f t="shared" si="307"/>
        <v>0</v>
      </c>
      <c r="BL96" s="298">
        <f t="shared" si="308"/>
        <v>0</v>
      </c>
      <c r="BM96" s="298">
        <f t="shared" si="309"/>
        <v>30</v>
      </c>
      <c r="BN96" s="298">
        <f t="shared" si="310"/>
        <v>49</v>
      </c>
      <c r="BO96" s="298">
        <f t="shared" si="311"/>
        <v>68</v>
      </c>
      <c r="BP96" s="298">
        <f t="shared" si="312"/>
        <v>68</v>
      </c>
      <c r="BQ96" s="298">
        <f t="shared" si="313"/>
        <v>68</v>
      </c>
      <c r="BR96" s="298">
        <f t="shared" si="314"/>
        <v>68</v>
      </c>
      <c r="BS96" s="298">
        <f t="shared" si="315"/>
        <v>68</v>
      </c>
      <c r="BT96" s="298">
        <f t="shared" si="316"/>
        <v>68</v>
      </c>
    </row>
    <row r="97" spans="1:74" ht="14.25" thickBot="1" x14ac:dyDescent="0.3">
      <c r="A97" s="1753"/>
      <c r="B97" s="194">
        <f>'February 25 D_R (Tramming)'!F97</f>
        <v>0</v>
      </c>
      <c r="F97" s="1608"/>
      <c r="G97" s="1693"/>
      <c r="H97" s="1684"/>
      <c r="I97" s="1389" t="s">
        <v>312</v>
      </c>
      <c r="J97" s="1390"/>
      <c r="K97" s="1391"/>
      <c r="L97" s="203"/>
      <c r="M97" s="203"/>
      <c r="N97" s="203"/>
      <c r="O97" s="203"/>
      <c r="P97" s="203"/>
      <c r="Q97" s="203"/>
      <c r="R97" s="203"/>
      <c r="S97" s="203"/>
      <c r="T97" s="204"/>
      <c r="U97" s="203"/>
      <c r="V97" s="203"/>
      <c r="W97" s="203"/>
      <c r="X97" s="203"/>
      <c r="Y97" s="203"/>
      <c r="Z97" s="203"/>
      <c r="AA97" s="203"/>
      <c r="AB97" s="203"/>
      <c r="AC97" s="203"/>
      <c r="AD97" s="203" t="s">
        <v>573</v>
      </c>
      <c r="AE97" s="203"/>
      <c r="AF97" s="203"/>
      <c r="AG97" s="203"/>
      <c r="AH97" s="203"/>
      <c r="AI97" s="203"/>
      <c r="AJ97" s="203"/>
      <c r="AK97" s="203"/>
      <c r="AL97" s="203"/>
      <c r="AM97" s="203"/>
      <c r="AN97" s="203"/>
      <c r="AO97" s="203"/>
      <c r="AP97" s="205"/>
      <c r="AQ97" s="324"/>
      <c r="AR97" s="309"/>
      <c r="AS97" s="1754"/>
      <c r="AT97" s="333"/>
      <c r="AU97" s="227"/>
      <c r="AV97" s="227"/>
      <c r="BL97" s="299"/>
      <c r="BM97" s="299"/>
      <c r="BN97" s="299"/>
      <c r="BO97" s="299"/>
      <c r="BP97" s="299"/>
      <c r="BQ97" s="299"/>
      <c r="BR97" s="299"/>
      <c r="BS97" s="299"/>
      <c r="BT97" s="299"/>
      <c r="BU97" s="299">
        <f>BT96+AL95</f>
        <v>138</v>
      </c>
      <c r="BV97" s="299">
        <f t="shared" ref="BV97" si="320">BU97+AM95</f>
        <v>208</v>
      </c>
    </row>
    <row r="98" spans="1:74" ht="14.25" thickBot="1" x14ac:dyDescent="0.3">
      <c r="A98" s="1753"/>
      <c r="B98" s="194" t="str">
        <f>'February 25 D_R (Tramming)'!F98</f>
        <v xml:space="preserve">-   </v>
      </c>
      <c r="C98" s="348">
        <f>J98</f>
        <v>2.7499999999999991</v>
      </c>
      <c r="F98" s="1608"/>
      <c r="G98" s="1693"/>
      <c r="H98" s="1685" t="s">
        <v>343</v>
      </c>
      <c r="I98" s="1384" t="s">
        <v>344</v>
      </c>
      <c r="J98" s="1310">
        <f t="shared" ref="J98:J99" si="321">IFERROR(J100*1000/J95,0)</f>
        <v>2.7499999999999991</v>
      </c>
      <c r="K98" s="1385"/>
      <c r="L98" s="1312">
        <v>2.75</v>
      </c>
      <c r="M98" s="1312">
        <v>2.75</v>
      </c>
      <c r="N98" s="1312">
        <v>2.75</v>
      </c>
      <c r="O98" s="1333">
        <v>2.75</v>
      </c>
      <c r="P98" s="1333">
        <v>2.75</v>
      </c>
      <c r="Q98" s="1333">
        <v>2.75</v>
      </c>
      <c r="R98" s="1333">
        <v>2.75</v>
      </c>
      <c r="S98" s="1333">
        <v>2.75</v>
      </c>
      <c r="T98" s="1334">
        <v>2.75</v>
      </c>
      <c r="U98" s="1333">
        <v>2.75</v>
      </c>
      <c r="V98" s="1333">
        <v>2.75</v>
      </c>
      <c r="W98" s="1333">
        <v>2.75</v>
      </c>
      <c r="X98" s="1333">
        <v>2.75</v>
      </c>
      <c r="Y98" s="1333">
        <v>2.75</v>
      </c>
      <c r="Z98" s="1333">
        <v>2.75</v>
      </c>
      <c r="AA98" s="1333">
        <v>2.75</v>
      </c>
      <c r="AB98" s="1333">
        <v>2.75</v>
      </c>
      <c r="AC98" s="1333">
        <v>2.75</v>
      </c>
      <c r="AD98" s="1333">
        <v>2.75</v>
      </c>
      <c r="AE98" s="1333">
        <v>2.75</v>
      </c>
      <c r="AF98" s="1333">
        <v>2.75</v>
      </c>
      <c r="AG98" s="1333">
        <v>2.75</v>
      </c>
      <c r="AH98" s="1333">
        <v>2.75</v>
      </c>
      <c r="AI98" s="1333">
        <v>2.75</v>
      </c>
      <c r="AJ98" s="1333">
        <v>2.75</v>
      </c>
      <c r="AK98" s="1333">
        <v>2.75</v>
      </c>
      <c r="AL98" s="1333">
        <v>2.75</v>
      </c>
      <c r="AM98" s="1333">
        <v>2.75</v>
      </c>
      <c r="AN98" s="1333">
        <v>0</v>
      </c>
      <c r="AO98" s="1333">
        <v>0</v>
      </c>
      <c r="AP98" s="1335">
        <v>0</v>
      </c>
      <c r="AQ98" s="325"/>
      <c r="AR98" s="308"/>
      <c r="AS98" s="1754"/>
      <c r="AU98" s="226"/>
      <c r="AV98" s="226"/>
    </row>
    <row r="99" spans="1:74" ht="14.25" thickBot="1" x14ac:dyDescent="0.3">
      <c r="A99" s="1753"/>
      <c r="B99" s="194">
        <f>'February 25 D_R (Tramming)'!F99</f>
        <v>1.65</v>
      </c>
      <c r="C99" s="350">
        <f>C101*1000/C96</f>
        <v>2.8571428571428572</v>
      </c>
      <c r="F99" s="1608"/>
      <c r="G99" s="1693"/>
      <c r="H99" s="1685"/>
      <c r="I99" s="1386" t="s">
        <v>345</v>
      </c>
      <c r="J99" s="1314">
        <f t="shared" si="321"/>
        <v>0.79352941176470582</v>
      </c>
      <c r="K99" s="1380">
        <f t="shared" ref="K99" si="322">IFERROR((J99-J98)/J98,0)</f>
        <v>-0.71144385026737966</v>
      </c>
      <c r="L99" s="1315"/>
      <c r="M99" s="1314"/>
      <c r="N99" s="1314"/>
      <c r="O99" s="1314"/>
      <c r="P99" s="1314"/>
      <c r="Q99" s="1314"/>
      <c r="R99" s="1314"/>
      <c r="S99" s="1314"/>
      <c r="T99" s="1314"/>
      <c r="U99" s="1314"/>
      <c r="V99" s="1314"/>
      <c r="W99" s="1314"/>
      <c r="X99" s="1314"/>
      <c r="Y99" s="1314"/>
      <c r="Z99" s="1314"/>
      <c r="AA99" s="1314"/>
      <c r="AB99" s="1314"/>
      <c r="AC99" s="1314"/>
      <c r="AD99" s="1314"/>
      <c r="AE99" s="1314">
        <v>1.42</v>
      </c>
      <c r="AF99" s="1314">
        <v>1.42</v>
      </c>
      <c r="AG99" s="1314"/>
      <c r="AH99" s="1314"/>
      <c r="AI99" s="1314"/>
      <c r="AJ99" s="1314"/>
      <c r="AK99" s="1314"/>
      <c r="AL99" s="1314"/>
      <c r="AM99" s="1314"/>
      <c r="AN99" s="1314"/>
      <c r="AO99" s="1314"/>
      <c r="AP99" s="1314"/>
      <c r="AQ99" s="326"/>
      <c r="AR99" s="308"/>
      <c r="AS99" s="1754"/>
      <c r="AU99" s="226"/>
      <c r="AV99" s="226"/>
    </row>
    <row r="100" spans="1:74" ht="14.25" thickBot="1" x14ac:dyDescent="0.3">
      <c r="A100" s="1753"/>
      <c r="B100" s="194" t="str">
        <f>'February 25 D_R (Tramming)'!F100</f>
        <v xml:space="preserve">-   </v>
      </c>
      <c r="C100" s="354">
        <f>J100</f>
        <v>5.3899999999999979</v>
      </c>
      <c r="F100" s="1608"/>
      <c r="G100" s="1693"/>
      <c r="H100" s="1685" t="s">
        <v>47</v>
      </c>
      <c r="I100" s="1384" t="s">
        <v>346</v>
      </c>
      <c r="J100" s="206">
        <f>SUMIF($L$9:$AP$9,"&lt;="&amp;$G$7,L100:AP100)</f>
        <v>5.3899999999999979</v>
      </c>
      <c r="K100" s="1385"/>
      <c r="L100" s="1316">
        <f t="shared" ref="L100:AM101" si="323">+L98*L95/1000</f>
        <v>0.1925</v>
      </c>
      <c r="M100" s="1316">
        <f t="shared" si="323"/>
        <v>0.1925</v>
      </c>
      <c r="N100" s="1316">
        <f t="shared" si="323"/>
        <v>0.1925</v>
      </c>
      <c r="O100" s="1317">
        <f t="shared" si="323"/>
        <v>0.1925</v>
      </c>
      <c r="P100" s="1317">
        <f t="shared" si="323"/>
        <v>0.1925</v>
      </c>
      <c r="Q100" s="1317">
        <f t="shared" si="323"/>
        <v>0.1925</v>
      </c>
      <c r="R100" s="1317">
        <f t="shared" si="323"/>
        <v>0.1925</v>
      </c>
      <c r="S100" s="1317">
        <f t="shared" si="323"/>
        <v>0.1925</v>
      </c>
      <c r="T100" s="1318">
        <f t="shared" si="323"/>
        <v>0.1925</v>
      </c>
      <c r="U100" s="1317">
        <f t="shared" si="323"/>
        <v>0.1925</v>
      </c>
      <c r="V100" s="1317">
        <f t="shared" si="323"/>
        <v>0.1925</v>
      </c>
      <c r="W100" s="1317">
        <f t="shared" si="323"/>
        <v>0.1925</v>
      </c>
      <c r="X100" s="1317">
        <f t="shared" si="323"/>
        <v>0.1925</v>
      </c>
      <c r="Y100" s="1317">
        <f t="shared" si="323"/>
        <v>0.1925</v>
      </c>
      <c r="Z100" s="1317">
        <f t="shared" si="323"/>
        <v>0.1925</v>
      </c>
      <c r="AA100" s="1317">
        <f>+AA98*AA95/1000</f>
        <v>0.1925</v>
      </c>
      <c r="AB100" s="1317">
        <f t="shared" si="323"/>
        <v>0.1925</v>
      </c>
      <c r="AC100" s="1317">
        <f t="shared" si="323"/>
        <v>0.1925</v>
      </c>
      <c r="AD100" s="1317">
        <f t="shared" si="323"/>
        <v>0.1925</v>
      </c>
      <c r="AE100" s="1317">
        <f t="shared" si="323"/>
        <v>0.1925</v>
      </c>
      <c r="AF100" s="1317">
        <f t="shared" si="323"/>
        <v>0.1925</v>
      </c>
      <c r="AG100" s="1317">
        <f t="shared" si="323"/>
        <v>0.1925</v>
      </c>
      <c r="AH100" s="1317">
        <f t="shared" si="323"/>
        <v>0.1925</v>
      </c>
      <c r="AI100" s="1317">
        <f t="shared" si="323"/>
        <v>0.1925</v>
      </c>
      <c r="AJ100" s="1317">
        <f t="shared" si="323"/>
        <v>0.1925</v>
      </c>
      <c r="AK100" s="1317">
        <f t="shared" si="323"/>
        <v>0.1925</v>
      </c>
      <c r="AL100" s="1317">
        <f t="shared" si="323"/>
        <v>0.1925</v>
      </c>
      <c r="AM100" s="1317">
        <f t="shared" si="323"/>
        <v>0.1925</v>
      </c>
      <c r="AN100" s="1317">
        <f t="shared" ref="AN100:AP101" si="324">+AN98*AN95/1000</f>
        <v>0</v>
      </c>
      <c r="AO100" s="1317">
        <f t="shared" si="324"/>
        <v>0</v>
      </c>
      <c r="AP100" s="1319">
        <f t="shared" si="324"/>
        <v>0</v>
      </c>
      <c r="AQ100" s="327"/>
      <c r="AR100" s="310"/>
      <c r="AS100" s="1754"/>
      <c r="AT100" s="332"/>
      <c r="AU100" s="226"/>
      <c r="AV100" s="226"/>
    </row>
    <row r="101" spans="1:74" ht="14.25" thickBot="1" x14ac:dyDescent="0.3">
      <c r="A101" s="1753"/>
      <c r="B101" s="194">
        <f>'February 25 D_R (Tramming)'!F101</f>
        <v>0.1</v>
      </c>
      <c r="C101" s="350">
        <f>(J101/(J101))*B101</f>
        <v>0.1</v>
      </c>
      <c r="F101" s="1609"/>
      <c r="G101" s="1694"/>
      <c r="H101" s="1695"/>
      <c r="I101" s="1387" t="s">
        <v>347</v>
      </c>
      <c r="J101" s="1321">
        <f>SUMIF($L$9:$AP$9,"&lt;="&amp;$G$7,L101:AP101)</f>
        <v>5.3959999999999994E-2</v>
      </c>
      <c r="K101" s="1388">
        <f t="shared" ref="K101" si="325">IFERROR((J101-J100)/J100,0)</f>
        <v>-0.98998886827458255</v>
      </c>
      <c r="L101" s="1323">
        <f t="shared" si="323"/>
        <v>0</v>
      </c>
      <c r="M101" s="1321">
        <f t="shared" si="323"/>
        <v>0</v>
      </c>
      <c r="N101" s="1321">
        <f t="shared" si="323"/>
        <v>0</v>
      </c>
      <c r="O101" s="1321">
        <f t="shared" si="323"/>
        <v>0</v>
      </c>
      <c r="P101" s="1321">
        <f t="shared" si="323"/>
        <v>0</v>
      </c>
      <c r="Q101" s="1321">
        <f t="shared" si="323"/>
        <v>0</v>
      </c>
      <c r="R101" s="1321">
        <f t="shared" si="323"/>
        <v>0</v>
      </c>
      <c r="S101" s="1321">
        <f t="shared" si="323"/>
        <v>0</v>
      </c>
      <c r="T101" s="1321">
        <f t="shared" si="323"/>
        <v>0</v>
      </c>
      <c r="U101" s="1321">
        <f t="shared" si="323"/>
        <v>0</v>
      </c>
      <c r="V101" s="1321">
        <f t="shared" si="323"/>
        <v>0</v>
      </c>
      <c r="W101" s="1321">
        <f t="shared" si="323"/>
        <v>0</v>
      </c>
      <c r="X101" s="1321">
        <f t="shared" si="323"/>
        <v>0</v>
      </c>
      <c r="Y101" s="1321">
        <f t="shared" si="323"/>
        <v>0</v>
      </c>
      <c r="Z101" s="1321">
        <f t="shared" si="323"/>
        <v>0</v>
      </c>
      <c r="AA101" s="1321">
        <f>+AA99*AA96/1000</f>
        <v>0</v>
      </c>
      <c r="AB101" s="1321">
        <f t="shared" si="323"/>
        <v>0</v>
      </c>
      <c r="AC101" s="1321">
        <f t="shared" si="323"/>
        <v>0</v>
      </c>
      <c r="AD101" s="1321">
        <f t="shared" si="323"/>
        <v>0</v>
      </c>
      <c r="AE101" s="1321">
        <f t="shared" si="323"/>
        <v>2.6979999999999997E-2</v>
      </c>
      <c r="AF101" s="1321">
        <f t="shared" si="323"/>
        <v>2.6979999999999997E-2</v>
      </c>
      <c r="AG101" s="1321">
        <f t="shared" si="323"/>
        <v>0</v>
      </c>
      <c r="AH101" s="1321">
        <f>+AH99*AH96/1000</f>
        <v>0</v>
      </c>
      <c r="AI101" s="1321">
        <f t="shared" si="323"/>
        <v>0</v>
      </c>
      <c r="AJ101" s="1321">
        <f t="shared" si="323"/>
        <v>0</v>
      </c>
      <c r="AK101" s="1321">
        <f t="shared" si="323"/>
        <v>0</v>
      </c>
      <c r="AL101" s="1321">
        <f t="shared" si="323"/>
        <v>0</v>
      </c>
      <c r="AM101" s="1321">
        <f t="shared" si="323"/>
        <v>0</v>
      </c>
      <c r="AN101" s="1321">
        <f t="shared" si="324"/>
        <v>0</v>
      </c>
      <c r="AO101" s="1321">
        <f t="shared" si="324"/>
        <v>0</v>
      </c>
      <c r="AP101" s="1321">
        <f t="shared" si="324"/>
        <v>0</v>
      </c>
      <c r="AQ101" s="328"/>
      <c r="AR101" s="311"/>
      <c r="AS101" s="1754"/>
      <c r="AU101" s="226"/>
      <c r="AV101" s="226"/>
    </row>
    <row r="102" spans="1:74" s="194" customFormat="1" ht="14.45" customHeight="1" x14ac:dyDescent="0.25">
      <c r="A102" s="1753" t="s">
        <v>54</v>
      </c>
      <c r="B102" s="194" t="str">
        <f>'February 25 D_R (Tramming)'!F102</f>
        <v xml:space="preserve">-   </v>
      </c>
      <c r="C102" s="353">
        <f>J102</f>
        <v>0</v>
      </c>
      <c r="F102" s="1608"/>
      <c r="G102" s="1704" t="s">
        <v>54</v>
      </c>
      <c r="H102" s="1684" t="s">
        <v>340</v>
      </c>
      <c r="I102" s="195" t="s">
        <v>341</v>
      </c>
      <c r="J102" s="196">
        <f>SUMIF($L$9:$AP$9,"&lt;="&amp;$G$7,L102:AP102)</f>
        <v>0</v>
      </c>
      <c r="K102" s="197"/>
      <c r="L102" s="198"/>
      <c r="M102" s="198"/>
      <c r="N102" s="198"/>
      <c r="O102" s="199"/>
      <c r="P102" s="199"/>
      <c r="Q102" s="199"/>
      <c r="R102" s="199"/>
      <c r="S102" s="199"/>
      <c r="T102" s="200"/>
      <c r="U102" s="199"/>
      <c r="V102" s="199"/>
      <c r="W102" s="199"/>
      <c r="X102" s="199"/>
      <c r="Y102" s="199"/>
      <c r="Z102" s="199"/>
      <c r="AA102" s="199"/>
      <c r="AB102" s="199"/>
      <c r="AC102" s="199"/>
      <c r="AD102" s="199"/>
      <c r="AE102" s="199"/>
      <c r="AF102" s="199"/>
      <c r="AG102" s="199"/>
      <c r="AH102" s="199"/>
      <c r="AI102" s="199"/>
      <c r="AJ102" s="199"/>
      <c r="AK102" s="199"/>
      <c r="AL102" s="199"/>
      <c r="AM102" s="199"/>
      <c r="AN102" s="199"/>
      <c r="AO102" s="199"/>
      <c r="AP102" s="201"/>
      <c r="AQ102" s="322"/>
      <c r="AR102" s="312"/>
      <c r="AS102" s="1754" t="s">
        <v>574</v>
      </c>
      <c r="AT102" s="334"/>
      <c r="AU102" s="226">
        <f>L102</f>
        <v>0</v>
      </c>
      <c r="AV102" s="298">
        <f>AU102+M102</f>
        <v>0</v>
      </c>
      <c r="AW102" s="298">
        <f>AV102+N102</f>
        <v>0</v>
      </c>
      <c r="AX102" s="298">
        <f t="shared" ref="AX102:AX103" si="326">AW102+O102</f>
        <v>0</v>
      </c>
      <c r="AY102" s="298">
        <f t="shared" ref="AY102:AY103" si="327">AX102+P102</f>
        <v>0</v>
      </c>
      <c r="AZ102" s="298">
        <f t="shared" ref="AZ102:AZ103" si="328">AY102+Q102</f>
        <v>0</v>
      </c>
      <c r="BA102" s="298">
        <f t="shared" ref="BA102:BA103" si="329">AZ102+R102</f>
        <v>0</v>
      </c>
      <c r="BB102" s="298">
        <f t="shared" ref="BB102:BB103" si="330">BA102+S102</f>
        <v>0</v>
      </c>
      <c r="BC102" s="298">
        <f t="shared" ref="BC102:BC103" si="331">BB102+T102</f>
        <v>0</v>
      </c>
      <c r="BD102" s="298">
        <f t="shared" ref="BD102:BD103" si="332">BC102+U102</f>
        <v>0</v>
      </c>
      <c r="BE102" s="298">
        <f t="shared" ref="BE102:BE103" si="333">BD102+V102</f>
        <v>0</v>
      </c>
      <c r="BF102" s="298">
        <f t="shared" ref="BF102:BF103" si="334">BE102+W102</f>
        <v>0</v>
      </c>
      <c r="BG102" s="298">
        <f t="shared" ref="BG102:BG103" si="335">BF102+X102</f>
        <v>0</v>
      </c>
      <c r="BH102" s="298">
        <f t="shared" ref="BH102:BH103" si="336">BG102+Y102</f>
        <v>0</v>
      </c>
      <c r="BI102" s="298">
        <f t="shared" ref="BI102:BI103" si="337">BH102+Z102</f>
        <v>0</v>
      </c>
      <c r="BJ102" s="298">
        <f t="shared" ref="BJ102:BJ103" si="338">BI102+AA102</f>
        <v>0</v>
      </c>
      <c r="BK102" s="298">
        <f t="shared" ref="BK102:BK103" si="339">BJ102+AB102</f>
        <v>0</v>
      </c>
      <c r="BL102" s="298">
        <f t="shared" ref="BL102:BL103" si="340">BK102+AC102</f>
        <v>0</v>
      </c>
      <c r="BM102" s="298">
        <f t="shared" ref="BM102:BM103" si="341">BL102+AD102</f>
        <v>0</v>
      </c>
      <c r="BN102" s="298">
        <f t="shared" ref="BN102:BN103" si="342">BM102+AE102</f>
        <v>0</v>
      </c>
      <c r="BO102" s="298">
        <f t="shared" ref="BO102:BO103" si="343">BN102+AF102</f>
        <v>0</v>
      </c>
      <c r="BP102" s="298">
        <f t="shared" ref="BP102:BP103" si="344">BO102+AG102</f>
        <v>0</v>
      </c>
      <c r="BQ102" s="298">
        <f t="shared" ref="BQ102:BQ103" si="345">BP102+AH102</f>
        <v>0</v>
      </c>
      <c r="BR102" s="298">
        <f t="shared" ref="BR102:BR103" si="346">BQ102+AI102</f>
        <v>0</v>
      </c>
      <c r="BS102" s="298">
        <f t="shared" ref="BS102:BS103" si="347">BR102+AJ102</f>
        <v>0</v>
      </c>
      <c r="BT102" s="298">
        <f t="shared" ref="BT102:BT103" si="348">BS102+AK102</f>
        <v>0</v>
      </c>
      <c r="BU102" s="298">
        <f t="shared" ref="BU102" si="349">BT102+AL102</f>
        <v>0</v>
      </c>
      <c r="BV102" s="298">
        <f t="shared" ref="BV102" si="350">BU102+AM102</f>
        <v>0</v>
      </c>
    </row>
    <row r="103" spans="1:74" x14ac:dyDescent="0.25">
      <c r="A103" s="1753"/>
      <c r="B103" s="194">
        <f>'February 25 D_R (Tramming)'!F103</f>
        <v>779</v>
      </c>
      <c r="C103" s="352">
        <f>(J103/(J103))*B103</f>
        <v>779</v>
      </c>
      <c r="D103" s="349">
        <f>(C103-J103)/C103</f>
        <v>0.67201540436456997</v>
      </c>
      <c r="F103" s="1607"/>
      <c r="G103" s="1705"/>
      <c r="H103" s="1688"/>
      <c r="I103" s="1379" t="s">
        <v>342</v>
      </c>
      <c r="J103" s="1303">
        <f>SUMIF($L$9:$AP$9,"&lt;="&amp;$G$7,L103:AP103)</f>
        <v>255.5</v>
      </c>
      <c r="K103" s="1380">
        <f t="shared" ref="K103" si="351">IFERROR((J103-J102)/J102,0)</f>
        <v>0</v>
      </c>
      <c r="L103" s="1305"/>
      <c r="M103" s="1303"/>
      <c r="N103" s="1303"/>
      <c r="O103" s="1303">
        <v>19.5</v>
      </c>
      <c r="P103" s="1303"/>
      <c r="Q103" s="1303">
        <v>39</v>
      </c>
      <c r="R103" s="1303">
        <v>27</v>
      </c>
      <c r="S103" s="1303">
        <v>29</v>
      </c>
      <c r="T103" s="1303">
        <v>27</v>
      </c>
      <c r="U103" s="1303">
        <v>42</v>
      </c>
      <c r="V103" s="1303">
        <v>39</v>
      </c>
      <c r="W103" s="1303">
        <f>1.5+16.5+15</f>
        <v>33</v>
      </c>
      <c r="X103" s="1303"/>
      <c r="Y103" s="1303"/>
      <c r="Z103" s="1303"/>
      <c r="AA103" s="1303"/>
      <c r="AB103" s="1303"/>
      <c r="AC103" s="1303"/>
      <c r="AD103" s="1303"/>
      <c r="AE103" s="1303"/>
      <c r="AF103" s="1303"/>
      <c r="AG103" s="1303"/>
      <c r="AH103" s="1303"/>
      <c r="AI103" s="1303"/>
      <c r="AJ103" s="1303"/>
      <c r="AK103" s="1303"/>
      <c r="AL103" s="1303"/>
      <c r="AM103" s="1303"/>
      <c r="AN103" s="1303"/>
      <c r="AO103" s="1303"/>
      <c r="AP103" s="1303"/>
      <c r="AQ103" s="323"/>
      <c r="AR103" s="308"/>
      <c r="AS103" s="1754"/>
      <c r="AU103" s="226">
        <f>L103</f>
        <v>0</v>
      </c>
      <c r="AV103" s="298">
        <f>AU103+M103</f>
        <v>0</v>
      </c>
      <c r="AW103" s="298">
        <f>AV103+N103</f>
        <v>0</v>
      </c>
      <c r="AX103" s="298">
        <f t="shared" si="326"/>
        <v>19.5</v>
      </c>
      <c r="AY103" s="298">
        <f t="shared" si="327"/>
        <v>19.5</v>
      </c>
      <c r="AZ103" s="298">
        <f t="shared" si="328"/>
        <v>58.5</v>
      </c>
      <c r="BA103" s="298">
        <f t="shared" si="329"/>
        <v>85.5</v>
      </c>
      <c r="BB103" s="298">
        <f t="shared" si="330"/>
        <v>114.5</v>
      </c>
      <c r="BC103" s="298">
        <f t="shared" si="331"/>
        <v>141.5</v>
      </c>
      <c r="BD103" s="298">
        <f t="shared" si="332"/>
        <v>183.5</v>
      </c>
      <c r="BE103" s="298">
        <f t="shared" si="333"/>
        <v>222.5</v>
      </c>
      <c r="BF103" s="298">
        <f t="shared" si="334"/>
        <v>255.5</v>
      </c>
      <c r="BG103" s="298">
        <f t="shared" si="335"/>
        <v>255.5</v>
      </c>
      <c r="BH103" s="298">
        <f t="shared" si="336"/>
        <v>255.5</v>
      </c>
      <c r="BI103" s="298">
        <f t="shared" si="337"/>
        <v>255.5</v>
      </c>
      <c r="BJ103" s="298">
        <f t="shared" si="338"/>
        <v>255.5</v>
      </c>
      <c r="BK103" s="298">
        <f t="shared" si="339"/>
        <v>255.5</v>
      </c>
      <c r="BL103" s="298">
        <f t="shared" si="340"/>
        <v>255.5</v>
      </c>
      <c r="BM103" s="298">
        <f t="shared" si="341"/>
        <v>255.5</v>
      </c>
      <c r="BN103" s="298">
        <f t="shared" si="342"/>
        <v>255.5</v>
      </c>
      <c r="BO103" s="298">
        <f t="shared" si="343"/>
        <v>255.5</v>
      </c>
      <c r="BP103" s="298">
        <f t="shared" si="344"/>
        <v>255.5</v>
      </c>
      <c r="BQ103" s="298">
        <f t="shared" si="345"/>
        <v>255.5</v>
      </c>
      <c r="BR103" s="298">
        <f t="shared" si="346"/>
        <v>255.5</v>
      </c>
      <c r="BS103" s="298">
        <f t="shared" si="347"/>
        <v>255.5</v>
      </c>
      <c r="BT103" s="298">
        <f t="shared" si="348"/>
        <v>255.5</v>
      </c>
    </row>
    <row r="104" spans="1:74" x14ac:dyDescent="0.25">
      <c r="A104" s="1753"/>
      <c r="B104" s="194">
        <f>'February 25 D_R (Tramming)'!F104</f>
        <v>0</v>
      </c>
      <c r="F104" s="1607"/>
      <c r="G104" s="1705"/>
      <c r="H104" s="1688"/>
      <c r="I104" s="1389" t="s">
        <v>312</v>
      </c>
      <c r="J104" s="1382"/>
      <c r="K104" s="1383"/>
      <c r="L104" s="203"/>
      <c r="M104" s="203"/>
      <c r="N104" s="203"/>
      <c r="O104" s="203"/>
      <c r="P104" s="203"/>
      <c r="Q104" s="203"/>
      <c r="R104" s="203"/>
      <c r="S104" s="203"/>
      <c r="T104" s="204"/>
      <c r="U104" s="203"/>
      <c r="V104" s="203"/>
      <c r="W104" s="203"/>
      <c r="X104" s="203"/>
      <c r="Y104" s="203"/>
      <c r="Z104" s="203"/>
      <c r="AA104" s="203"/>
      <c r="AB104" s="203"/>
      <c r="AC104" s="203"/>
      <c r="AD104" s="203"/>
      <c r="AE104" s="203"/>
      <c r="AF104" s="203"/>
      <c r="AG104" s="203"/>
      <c r="AH104" s="203"/>
      <c r="AI104" s="203"/>
      <c r="AJ104" s="203"/>
      <c r="AK104" s="203"/>
      <c r="AL104" s="203"/>
      <c r="AM104" s="203"/>
      <c r="AN104" s="203"/>
      <c r="AO104" s="203"/>
      <c r="AP104" s="205"/>
      <c r="AQ104" s="324"/>
      <c r="AR104" s="308"/>
      <c r="AS104" s="1754"/>
      <c r="AU104" s="227"/>
      <c r="AV104" s="227"/>
      <c r="BL104" s="299"/>
      <c r="BM104" s="299"/>
      <c r="BN104" s="299"/>
      <c r="BO104" s="299"/>
      <c r="BP104" s="299"/>
      <c r="BQ104" s="299"/>
      <c r="BR104" s="299"/>
      <c r="BS104" s="299"/>
      <c r="BT104" s="299"/>
      <c r="BU104" s="299">
        <f>BT103+AL102</f>
        <v>255.5</v>
      </c>
      <c r="BV104" s="299">
        <f t="shared" ref="BV104" si="352">BU104+AM102</f>
        <v>255.5</v>
      </c>
    </row>
    <row r="105" spans="1:74" x14ac:dyDescent="0.25">
      <c r="A105" s="1753"/>
      <c r="B105" s="194" t="str">
        <f>'February 25 D_R (Tramming)'!F105</f>
        <v xml:space="preserve">-   </v>
      </c>
      <c r="C105" s="348">
        <f>J105</f>
        <v>0</v>
      </c>
      <c r="F105" s="1607"/>
      <c r="G105" s="1705"/>
      <c r="H105" s="1685" t="s">
        <v>343</v>
      </c>
      <c r="I105" s="1384" t="s">
        <v>344</v>
      </c>
      <c r="J105" s="1310">
        <f t="shared" ref="J105:J106" si="353">IFERROR(J107*1000/J102,0)</f>
        <v>0</v>
      </c>
      <c r="K105" s="1385"/>
      <c r="L105" s="1312"/>
      <c r="M105" s="1312"/>
      <c r="N105" s="1312"/>
      <c r="O105" s="1333"/>
      <c r="P105" s="1333"/>
      <c r="Q105" s="1333"/>
      <c r="R105" s="1333"/>
      <c r="S105" s="1333"/>
      <c r="T105" s="1334"/>
      <c r="U105" s="1333"/>
      <c r="V105" s="1333"/>
      <c r="W105" s="1333"/>
      <c r="X105" s="1333"/>
      <c r="Y105" s="1333"/>
      <c r="Z105" s="1333"/>
      <c r="AA105" s="1333"/>
      <c r="AB105" s="1333"/>
      <c r="AC105" s="1333"/>
      <c r="AD105" s="1333"/>
      <c r="AE105" s="1333"/>
      <c r="AF105" s="1333"/>
      <c r="AG105" s="1333"/>
      <c r="AH105" s="1333"/>
      <c r="AI105" s="1333"/>
      <c r="AJ105" s="1333"/>
      <c r="AK105" s="1333"/>
      <c r="AL105" s="1333"/>
      <c r="AM105" s="1333"/>
      <c r="AN105" s="1333"/>
      <c r="AO105" s="1333"/>
      <c r="AP105" s="1335"/>
      <c r="AQ105" s="325"/>
      <c r="AR105" s="308"/>
      <c r="AS105" s="1754"/>
    </row>
    <row r="106" spans="1:74" x14ac:dyDescent="0.25">
      <c r="A106" s="1753"/>
      <c r="B106" s="194">
        <f>'February 25 D_R (Tramming)'!F106</f>
        <v>2.4900000000000002</v>
      </c>
      <c r="C106" s="350">
        <f>C108*1000/C103</f>
        <v>2.4390243902439024</v>
      </c>
      <c r="F106" s="1607"/>
      <c r="G106" s="1705"/>
      <c r="H106" s="1707"/>
      <c r="I106" s="1386" t="s">
        <v>345</v>
      </c>
      <c r="J106" s="1314">
        <f t="shared" si="353"/>
        <v>2.0745988258317025</v>
      </c>
      <c r="K106" s="1380">
        <f t="shared" ref="K106" si="354">IFERROR((J106-J105)/J105,0)</f>
        <v>0</v>
      </c>
      <c r="L106" s="1315"/>
      <c r="M106" s="1314"/>
      <c r="N106" s="1314"/>
      <c r="O106" s="1314">
        <v>0.66</v>
      </c>
      <c r="P106" s="1314"/>
      <c r="Q106" s="1314">
        <v>2.21</v>
      </c>
      <c r="R106" s="1314">
        <v>2.21</v>
      </c>
      <c r="S106" s="1314">
        <v>2.0499999999999998</v>
      </c>
      <c r="T106" s="1314">
        <v>2.41</v>
      </c>
      <c r="U106" s="1314">
        <v>2.3199999999999998</v>
      </c>
      <c r="V106" s="1314">
        <v>3.83</v>
      </c>
      <c r="W106" s="1314"/>
      <c r="X106" s="1314"/>
      <c r="Y106" s="1314"/>
      <c r="Z106" s="1314"/>
      <c r="AA106" s="1314"/>
      <c r="AB106" s="1314"/>
      <c r="AC106" s="1314"/>
      <c r="AD106" s="1314"/>
      <c r="AE106" s="1314"/>
      <c r="AF106" s="1314"/>
      <c r="AG106" s="1314"/>
      <c r="AH106" s="1314"/>
      <c r="AI106" s="1314"/>
      <c r="AJ106" s="1314"/>
      <c r="AK106" s="1314"/>
      <c r="AL106" s="1314"/>
      <c r="AM106" s="1314"/>
      <c r="AN106" s="1314"/>
      <c r="AO106" s="1314"/>
      <c r="AP106" s="1314"/>
      <c r="AQ106" s="326"/>
      <c r="AR106" s="308"/>
      <c r="AS106" s="1754"/>
    </row>
    <row r="107" spans="1:74" x14ac:dyDescent="0.25">
      <c r="A107" s="1753"/>
      <c r="B107" s="194" t="str">
        <f>'February 25 D_R (Tramming)'!F107</f>
        <v xml:space="preserve">-   </v>
      </c>
      <c r="C107" s="354">
        <f>J107</f>
        <v>0</v>
      </c>
      <c r="F107" s="1607"/>
      <c r="G107" s="1705"/>
      <c r="H107" s="1685" t="s">
        <v>47</v>
      </c>
      <c r="I107" s="1384" t="s">
        <v>346</v>
      </c>
      <c r="J107" s="206">
        <f>SUMIF($L$9:$AP$9,"&lt;="&amp;$G$7,L107:AP107)</f>
        <v>0</v>
      </c>
      <c r="K107" s="1385"/>
      <c r="L107" s="1316">
        <f>+L105*L102/1000</f>
        <v>0</v>
      </c>
      <c r="M107" s="1316">
        <f t="shared" ref="M107:AP108" si="355">+M105*M102/1000</f>
        <v>0</v>
      </c>
      <c r="N107" s="1316">
        <f t="shared" si="355"/>
        <v>0</v>
      </c>
      <c r="O107" s="1316">
        <f t="shared" si="355"/>
        <v>0</v>
      </c>
      <c r="P107" s="1316">
        <f t="shared" si="355"/>
        <v>0</v>
      </c>
      <c r="Q107" s="1316">
        <f t="shared" si="355"/>
        <v>0</v>
      </c>
      <c r="R107" s="1316">
        <f t="shared" si="355"/>
        <v>0</v>
      </c>
      <c r="S107" s="1316">
        <f t="shared" si="355"/>
        <v>0</v>
      </c>
      <c r="T107" s="1316">
        <f t="shared" si="355"/>
        <v>0</v>
      </c>
      <c r="U107" s="1316">
        <f t="shared" si="355"/>
        <v>0</v>
      </c>
      <c r="V107" s="1316">
        <f t="shared" si="355"/>
        <v>0</v>
      </c>
      <c r="W107" s="1316">
        <f t="shared" si="355"/>
        <v>0</v>
      </c>
      <c r="X107" s="1316">
        <f t="shared" si="355"/>
        <v>0</v>
      </c>
      <c r="Y107" s="1316">
        <f t="shared" si="355"/>
        <v>0</v>
      </c>
      <c r="Z107" s="1316">
        <f t="shared" si="355"/>
        <v>0</v>
      </c>
      <c r="AA107" s="1316">
        <f t="shared" si="355"/>
        <v>0</v>
      </c>
      <c r="AB107" s="1316">
        <f t="shared" si="355"/>
        <v>0</v>
      </c>
      <c r="AC107" s="1316">
        <f t="shared" si="355"/>
        <v>0</v>
      </c>
      <c r="AD107" s="1316"/>
      <c r="AE107" s="1316"/>
      <c r="AF107" s="1316"/>
      <c r="AG107" s="1316"/>
      <c r="AH107" s="1316"/>
      <c r="AI107" s="1316"/>
      <c r="AJ107" s="1316"/>
      <c r="AK107" s="1316"/>
      <c r="AL107" s="1316"/>
      <c r="AM107" s="1316"/>
      <c r="AN107" s="1316">
        <f t="shared" si="355"/>
        <v>0</v>
      </c>
      <c r="AO107" s="1316">
        <f t="shared" si="355"/>
        <v>0</v>
      </c>
      <c r="AP107" s="1316">
        <f t="shared" si="355"/>
        <v>0</v>
      </c>
      <c r="AQ107" s="329"/>
      <c r="AR107" s="310"/>
      <c r="AS107" s="1754"/>
      <c r="AT107" s="332"/>
    </row>
    <row r="108" spans="1:74" ht="14.25" thickBot="1" x14ac:dyDescent="0.3">
      <c r="A108" s="1753"/>
      <c r="B108" s="194">
        <f>'February 25 D_R (Tramming)'!F108</f>
        <v>1.9</v>
      </c>
      <c r="C108" s="350">
        <f>(J108/(J108))*B108</f>
        <v>1.9</v>
      </c>
      <c r="F108" s="1660"/>
      <c r="G108" s="1706"/>
      <c r="H108" s="1708"/>
      <c r="I108" s="1387" t="s">
        <v>347</v>
      </c>
      <c r="J108" s="1321">
        <f>SUMIF($L$9:$AP$9,"&lt;="&amp;$G$7,L108:AP108)</f>
        <v>0.53005999999999998</v>
      </c>
      <c r="K108" s="1388">
        <f t="shared" ref="K108" si="356">IFERROR((J108-J107)/J107,0)</f>
        <v>0</v>
      </c>
      <c r="L108" s="1323">
        <f>+L106*L103/1000</f>
        <v>0</v>
      </c>
      <c r="M108" s="1323">
        <f t="shared" si="355"/>
        <v>0</v>
      </c>
      <c r="N108" s="1323">
        <f t="shared" si="355"/>
        <v>0</v>
      </c>
      <c r="O108" s="1323">
        <f t="shared" si="355"/>
        <v>1.2870000000000001E-2</v>
      </c>
      <c r="P108" s="1323">
        <f t="shared" si="355"/>
        <v>0</v>
      </c>
      <c r="Q108" s="1323">
        <f t="shared" si="355"/>
        <v>8.6190000000000003E-2</v>
      </c>
      <c r="R108" s="1323">
        <f t="shared" si="355"/>
        <v>5.9670000000000001E-2</v>
      </c>
      <c r="S108" s="1323">
        <f t="shared" si="355"/>
        <v>5.9449999999999996E-2</v>
      </c>
      <c r="T108" s="1323">
        <f t="shared" si="355"/>
        <v>6.5070000000000003E-2</v>
      </c>
      <c r="U108" s="1323">
        <f t="shared" si="355"/>
        <v>9.7439999999999999E-2</v>
      </c>
      <c r="V108" s="1323">
        <f t="shared" si="355"/>
        <v>0.14937</v>
      </c>
      <c r="W108" s="1323">
        <f t="shared" si="355"/>
        <v>0</v>
      </c>
      <c r="X108" s="1323">
        <f t="shared" si="355"/>
        <v>0</v>
      </c>
      <c r="Y108" s="1323">
        <f t="shared" si="355"/>
        <v>0</v>
      </c>
      <c r="Z108" s="1323">
        <f t="shared" si="355"/>
        <v>0</v>
      </c>
      <c r="AA108" s="1323">
        <f t="shared" si="355"/>
        <v>0</v>
      </c>
      <c r="AB108" s="1323">
        <f t="shared" si="355"/>
        <v>0</v>
      </c>
      <c r="AC108" s="1323">
        <f t="shared" si="355"/>
        <v>0</v>
      </c>
      <c r="AD108" s="1323"/>
      <c r="AE108" s="1323"/>
      <c r="AF108" s="1323"/>
      <c r="AG108" s="1323"/>
      <c r="AH108" s="1323"/>
      <c r="AI108" s="1323"/>
      <c r="AJ108" s="1323"/>
      <c r="AK108" s="1323"/>
      <c r="AL108" s="1323"/>
      <c r="AM108" s="1323"/>
      <c r="AN108" s="1323">
        <f t="shared" si="355"/>
        <v>0</v>
      </c>
      <c r="AO108" s="1323">
        <f t="shared" si="355"/>
        <v>0</v>
      </c>
      <c r="AP108" s="1323">
        <f t="shared" si="355"/>
        <v>0</v>
      </c>
      <c r="AQ108" s="328"/>
      <c r="AR108" s="311"/>
      <c r="AS108" s="1754"/>
    </row>
    <row r="109" spans="1:74" x14ac:dyDescent="0.25">
      <c r="A109" s="194"/>
    </row>
    <row r="110" spans="1:74" x14ac:dyDescent="0.25">
      <c r="A110" s="194"/>
    </row>
    <row r="111" spans="1:74" x14ac:dyDescent="0.25">
      <c r="A111" s="194"/>
    </row>
    <row r="112" spans="1:74" x14ac:dyDescent="0.25">
      <c r="A112" s="194"/>
    </row>
    <row r="113" spans="1:1" x14ac:dyDescent="0.25">
      <c r="A113" s="194"/>
    </row>
    <row r="114" spans="1:1" x14ac:dyDescent="0.25">
      <c r="A114" s="194"/>
    </row>
    <row r="115" spans="1:1" x14ac:dyDescent="0.25">
      <c r="A115" s="194"/>
    </row>
  </sheetData>
  <mergeCells count="107">
    <mergeCell ref="E1:F1"/>
    <mergeCell ref="E5:F5"/>
    <mergeCell ref="E8:F8"/>
    <mergeCell ref="E13:F13"/>
    <mergeCell ref="E14:F14"/>
    <mergeCell ref="H23:H24"/>
    <mergeCell ref="H17:I17"/>
    <mergeCell ref="L2:M2"/>
    <mergeCell ref="L3:M3"/>
    <mergeCell ref="L4:M4"/>
    <mergeCell ref="E15:F15"/>
    <mergeCell ref="E16:F16"/>
    <mergeCell ref="H28:H29"/>
    <mergeCell ref="H30:H31"/>
    <mergeCell ref="F32:F38"/>
    <mergeCell ref="G32:G38"/>
    <mergeCell ref="H32:H34"/>
    <mergeCell ref="H35:H36"/>
    <mergeCell ref="H37:H38"/>
    <mergeCell ref="H18:H20"/>
    <mergeCell ref="H21:H22"/>
    <mergeCell ref="F25:F31"/>
    <mergeCell ref="G25:G31"/>
    <mergeCell ref="H25:H27"/>
    <mergeCell ref="F18:F24"/>
    <mergeCell ref="G18:G24"/>
    <mergeCell ref="F46:F52"/>
    <mergeCell ref="G46:G52"/>
    <mergeCell ref="H46:H48"/>
    <mergeCell ref="H49:H50"/>
    <mergeCell ref="H51:H52"/>
    <mergeCell ref="F39:F45"/>
    <mergeCell ref="G39:G45"/>
    <mergeCell ref="H39:H41"/>
    <mergeCell ref="H42:H43"/>
    <mergeCell ref="H44:H45"/>
    <mergeCell ref="F60:F66"/>
    <mergeCell ref="G60:G66"/>
    <mergeCell ref="H60:H62"/>
    <mergeCell ref="H63:H64"/>
    <mergeCell ref="H65:H66"/>
    <mergeCell ref="F53:F59"/>
    <mergeCell ref="G53:G59"/>
    <mergeCell ref="H53:H55"/>
    <mergeCell ref="H56:H57"/>
    <mergeCell ref="H58:H59"/>
    <mergeCell ref="F74:F80"/>
    <mergeCell ref="G74:G80"/>
    <mergeCell ref="H74:H76"/>
    <mergeCell ref="H77:H78"/>
    <mergeCell ref="H79:H80"/>
    <mergeCell ref="F67:F73"/>
    <mergeCell ref="G67:G73"/>
    <mergeCell ref="H67:H69"/>
    <mergeCell ref="H70:H71"/>
    <mergeCell ref="H72:H73"/>
    <mergeCell ref="F88:F94"/>
    <mergeCell ref="G88:G94"/>
    <mergeCell ref="H88:H90"/>
    <mergeCell ref="H91:H92"/>
    <mergeCell ref="H93:H94"/>
    <mergeCell ref="F81:F87"/>
    <mergeCell ref="G81:G87"/>
    <mergeCell ref="H81:H83"/>
    <mergeCell ref="H84:H85"/>
    <mergeCell ref="H86:H87"/>
    <mergeCell ref="F102:F108"/>
    <mergeCell ref="G102:G108"/>
    <mergeCell ref="H102:H104"/>
    <mergeCell ref="H105:H106"/>
    <mergeCell ref="H107:H108"/>
    <mergeCell ref="F95:F101"/>
    <mergeCell ref="G95:G101"/>
    <mergeCell ref="H95:H97"/>
    <mergeCell ref="H98:H99"/>
    <mergeCell ref="H100:H101"/>
    <mergeCell ref="O5:R5"/>
    <mergeCell ref="O6:R6"/>
    <mergeCell ref="O2:R2"/>
    <mergeCell ref="O3:R3"/>
    <mergeCell ref="O4:R4"/>
    <mergeCell ref="AS18:AS24"/>
    <mergeCell ref="AS25:AS31"/>
    <mergeCell ref="AS32:AS38"/>
    <mergeCell ref="AS39:AS45"/>
    <mergeCell ref="AS46:AS52"/>
    <mergeCell ref="AS88:AS94"/>
    <mergeCell ref="AS95:AS101"/>
    <mergeCell ref="AS102:AS108"/>
    <mergeCell ref="AS53:AS59"/>
    <mergeCell ref="AS60:AS66"/>
    <mergeCell ref="AS67:AS73"/>
    <mergeCell ref="AS74:AS80"/>
    <mergeCell ref="AS81:AS87"/>
    <mergeCell ref="A88:A94"/>
    <mergeCell ref="A95:A101"/>
    <mergeCell ref="A102:A108"/>
    <mergeCell ref="A67:A73"/>
    <mergeCell ref="A74:A80"/>
    <mergeCell ref="A81:A87"/>
    <mergeCell ref="A53:A59"/>
    <mergeCell ref="A60:A66"/>
    <mergeCell ref="A18:A24"/>
    <mergeCell ref="A25:A31"/>
    <mergeCell ref="A32:A38"/>
    <mergeCell ref="A39:A45"/>
    <mergeCell ref="A46:A52"/>
  </mergeCells>
  <phoneticPr fontId="10" type="noConversion"/>
  <conditionalFormatting sqref="F95">
    <cfRule type="cellIs" dxfId="140" priority="45" operator="equal">
      <formula>3</formula>
    </cfRule>
    <cfRule type="cellIs" dxfId="139" priority="46" operator="equal">
      <formula>1</formula>
    </cfRule>
    <cfRule type="cellIs" dxfId="138" priority="47" operator="equal">
      <formula>2</formula>
    </cfRule>
  </conditionalFormatting>
  <conditionalFormatting sqref="F102">
    <cfRule type="cellIs" dxfId="137" priority="88" operator="equal">
      <formula>2</formula>
    </cfRule>
    <cfRule type="cellIs" dxfId="136" priority="86" operator="equal">
      <formula>3</formula>
    </cfRule>
    <cfRule type="cellIs" dxfId="135" priority="87" operator="equal">
      <formula>1</formula>
    </cfRule>
  </conditionalFormatting>
  <conditionalFormatting sqref="J96 J99 J101">
    <cfRule type="cellIs" dxfId="134" priority="61" stopIfTrue="1" operator="lessThan">
      <formula>J95</formula>
    </cfRule>
    <cfRule type="cellIs" dxfId="133" priority="62" stopIfTrue="1" operator="greaterThanOrEqual">
      <formula>J95</formula>
    </cfRule>
  </conditionalFormatting>
  <conditionalFormatting sqref="J103">
    <cfRule type="cellIs" dxfId="132" priority="71" stopIfTrue="1" operator="lessThan">
      <formula>J102</formula>
    </cfRule>
    <cfRule type="cellIs" dxfId="131" priority="72" stopIfTrue="1" operator="greaterThanOrEqual">
      <formula>J102</formula>
    </cfRule>
  </conditionalFormatting>
  <conditionalFormatting sqref="J106 J108">
    <cfRule type="cellIs" dxfId="130" priority="68" stopIfTrue="1" operator="greaterThanOrEqual">
      <formula>J105</formula>
    </cfRule>
    <cfRule type="cellIs" dxfId="129" priority="67" stopIfTrue="1" operator="lessThan">
      <formula>J105</formula>
    </cfRule>
  </conditionalFormatting>
  <conditionalFormatting sqref="K96">
    <cfRule type="cellIs" dxfId="128" priority="59" operator="greaterThan">
      <formula>0</formula>
    </cfRule>
    <cfRule type="cellIs" dxfId="127" priority="60" operator="lessThan">
      <formula>0</formula>
    </cfRule>
  </conditionalFormatting>
  <conditionalFormatting sqref="K99">
    <cfRule type="cellIs" dxfId="126" priority="58" operator="lessThan">
      <formula>0</formula>
    </cfRule>
    <cfRule type="cellIs" dxfId="125" priority="57" operator="greaterThan">
      <formula>0</formula>
    </cfRule>
  </conditionalFormatting>
  <conditionalFormatting sqref="K101">
    <cfRule type="cellIs" dxfId="124" priority="55" operator="greaterThan">
      <formula>0</formula>
    </cfRule>
    <cfRule type="cellIs" dxfId="123" priority="56" operator="lessThan">
      <formula>0</formula>
    </cfRule>
  </conditionalFormatting>
  <conditionalFormatting sqref="K103">
    <cfRule type="cellIs" dxfId="122" priority="69" operator="greaterThan">
      <formula>0</formula>
    </cfRule>
    <cfRule type="cellIs" dxfId="121" priority="70" operator="lessThan">
      <formula>0</formula>
    </cfRule>
  </conditionalFormatting>
  <conditionalFormatting sqref="K106">
    <cfRule type="cellIs" dxfId="120" priority="66" operator="lessThan">
      <formula>0</formula>
    </cfRule>
    <cfRule type="cellIs" dxfId="119" priority="65" operator="greaterThan">
      <formula>0</formula>
    </cfRule>
  </conditionalFormatting>
  <conditionalFormatting sqref="K108">
    <cfRule type="cellIs" dxfId="118" priority="64" operator="lessThan">
      <formula>0</formula>
    </cfRule>
    <cfRule type="cellIs" dxfId="117" priority="63" operator="greaterThan">
      <formula>0</formula>
    </cfRule>
  </conditionalFormatting>
  <conditionalFormatting sqref="L96:AM96">
    <cfRule type="cellIs" dxfId="116" priority="15" operator="lessThan">
      <formula>L95</formula>
    </cfRule>
    <cfRule type="cellIs" dxfId="115" priority="16" operator="greaterThanOrEqual">
      <formula>L95</formula>
    </cfRule>
  </conditionalFormatting>
  <conditionalFormatting sqref="L99:AM99">
    <cfRule type="cellIs" dxfId="114" priority="6" operator="lessThan">
      <formula>L98</formula>
    </cfRule>
    <cfRule type="cellIs" dxfId="113" priority="10" operator="greaterThanOrEqual">
      <formula>L98</formula>
    </cfRule>
  </conditionalFormatting>
  <conditionalFormatting sqref="L101:AM101">
    <cfRule type="cellIs" dxfId="112" priority="8" operator="lessThan">
      <formula>L100</formula>
    </cfRule>
    <cfRule type="cellIs" dxfId="111" priority="9" operator="greaterThanOrEqual">
      <formula>L100</formula>
    </cfRule>
  </conditionalFormatting>
  <conditionalFormatting sqref="L96:AQ96 L99:AQ99 L101:AQ101 L106:AQ106 L108:AQ108">
    <cfRule type="expression" dxfId="110" priority="20">
      <formula>L$9&gt;$G$7</formula>
    </cfRule>
  </conditionalFormatting>
  <conditionalFormatting sqref="L96:AQ96">
    <cfRule type="expression" dxfId="109" priority="14">
      <formula>L95=""</formula>
    </cfRule>
  </conditionalFormatting>
  <conditionalFormatting sqref="L99:AQ99">
    <cfRule type="cellIs" dxfId="108" priority="12" operator="between">
      <formula>1.6</formula>
      <formula>2</formula>
    </cfRule>
    <cfRule type="expression" dxfId="107" priority="5">
      <formula>L98=""</formula>
    </cfRule>
    <cfRule type="cellIs" dxfId="106" priority="11" operator="greaterThanOrEqual">
      <formula>2</formula>
    </cfRule>
    <cfRule type="cellIs" dxfId="105" priority="13" operator="greaterThanOrEqual">
      <formula>0.6</formula>
    </cfRule>
  </conditionalFormatting>
  <conditionalFormatting sqref="L101:AQ101">
    <cfRule type="expression" dxfId="104" priority="7">
      <formula>L100=""</formula>
    </cfRule>
  </conditionalFormatting>
  <conditionalFormatting sqref="L103:AQ103">
    <cfRule type="expression" dxfId="103" priority="73">
      <formula>L$9&gt;$G$7</formula>
    </cfRule>
    <cfRule type="expression" dxfId="102" priority="83">
      <formula>L102=""</formula>
    </cfRule>
    <cfRule type="cellIs" dxfId="101" priority="84" operator="lessThan">
      <formula>L102</formula>
    </cfRule>
    <cfRule type="cellIs" dxfId="100" priority="85" operator="greaterThanOrEqual">
      <formula>L102</formula>
    </cfRule>
  </conditionalFormatting>
  <conditionalFormatting sqref="L106:AQ106">
    <cfRule type="cellIs" dxfId="99" priority="78" operator="lessThan">
      <formula>L105</formula>
    </cfRule>
    <cfRule type="cellIs" dxfId="98" priority="79" operator="greaterThanOrEqual">
      <formula>L105</formula>
    </cfRule>
    <cfRule type="cellIs" dxfId="97" priority="80" operator="greaterThanOrEqual">
      <formula>2</formula>
    </cfRule>
    <cfRule type="expression" dxfId="96" priority="74">
      <formula>L105=""</formula>
    </cfRule>
    <cfRule type="cellIs" dxfId="95" priority="82" operator="greaterThanOrEqual">
      <formula>0.6</formula>
    </cfRule>
    <cfRule type="cellIs" dxfId="94" priority="81" operator="between">
      <formula>1.6</formula>
      <formula>2</formula>
    </cfRule>
  </conditionalFormatting>
  <conditionalFormatting sqref="L108:AQ108">
    <cfRule type="expression" dxfId="93" priority="75">
      <formula>L107=""</formula>
    </cfRule>
    <cfRule type="cellIs" dxfId="92" priority="76" operator="lessThan">
      <formula>L107</formula>
    </cfRule>
    <cfRule type="cellIs" dxfId="91" priority="77" operator="greaterThanOrEqual">
      <formula>L107</formula>
    </cfRule>
  </conditionalFormatting>
  <conditionalFormatting sqref="AN96:AQ96">
    <cfRule type="cellIs" dxfId="90" priority="41" operator="greaterThanOrEqual">
      <formula>AN95</formula>
    </cfRule>
    <cfRule type="cellIs" dxfId="89" priority="40" operator="lessThan">
      <formula>AN95</formula>
    </cfRule>
  </conditionalFormatting>
  <conditionalFormatting sqref="AN99:AQ99">
    <cfRule type="cellIs" dxfId="88" priority="35" operator="greaterThanOrEqual">
      <formula>AN98</formula>
    </cfRule>
    <cfRule type="cellIs" dxfId="87" priority="31" operator="lessThan">
      <formula>AN98</formula>
    </cfRule>
  </conditionalFormatting>
  <conditionalFormatting sqref="AN101:AQ101">
    <cfRule type="cellIs" dxfId="86" priority="34" operator="greaterThanOrEqual">
      <formula>AN100</formula>
    </cfRule>
    <cfRule type="cellIs" dxfId="85" priority="33" operator="lessThan">
      <formula>AN100</formula>
    </cfRule>
  </conditionalFormatting>
  <pageMargins left="0.7" right="0.7" top="0.75" bottom="0.75" header="0.3" footer="0.3"/>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56CC3-F1C2-46DA-B6C9-B46239348CAF}">
  <dimension ref="A1:BR108"/>
  <sheetViews>
    <sheetView topLeftCell="A17" zoomScaleNormal="100" workbookViewId="0">
      <selection activeCell="F103" activeCellId="10" sqref="F19 F33 F47 F54 F61 F68 F75 F82 F89 F96 F103"/>
    </sheetView>
  </sheetViews>
  <sheetFormatPr defaultColWidth="9.42578125" defaultRowHeight="13.5" x14ac:dyDescent="0.25"/>
  <cols>
    <col min="1" max="1" width="4" style="202" customWidth="1"/>
    <col min="2" max="2" width="10.42578125" style="207" customWidth="1"/>
    <col min="3" max="3" width="11.85546875" style="208" customWidth="1"/>
    <col min="4" max="4" width="9.42578125" style="208"/>
    <col min="5" max="5" width="10.42578125" style="202" customWidth="1"/>
    <col min="6" max="7" width="9.140625" style="202" customWidth="1"/>
    <col min="8" max="8" width="7.42578125" style="209" customWidth="1"/>
    <col min="9" max="9" width="7.42578125" style="202" customWidth="1"/>
    <col min="10" max="12" width="7.42578125" style="208" customWidth="1"/>
    <col min="13" max="13" width="7.42578125" style="210" customWidth="1"/>
    <col min="14" max="15" width="7.42578125" style="211" customWidth="1"/>
    <col min="16" max="38" width="7.42578125" style="202" customWidth="1"/>
    <col min="39" max="39" width="30" style="202" customWidth="1"/>
    <col min="40" max="66" width="9.42578125" style="202"/>
    <col min="67" max="70" width="9.5703125" style="202" bestFit="1" customWidth="1"/>
    <col min="71" max="16384" width="9.42578125" style="202"/>
  </cols>
  <sheetData>
    <row r="1" spans="1:70" s="182" customFormat="1" ht="14.25" thickBot="1" x14ac:dyDescent="0.3">
      <c r="A1" s="1776"/>
      <c r="B1" s="1776"/>
      <c r="C1" s="341"/>
      <c r="D1" s="341"/>
      <c r="E1" s="226"/>
      <c r="F1" s="226"/>
      <c r="G1" s="226"/>
      <c r="H1" s="341"/>
      <c r="I1" s="226"/>
      <c r="J1" s="341"/>
      <c r="K1" s="341"/>
      <c r="L1" s="341"/>
      <c r="M1" s="226"/>
      <c r="N1" s="620"/>
      <c r="O1" s="620"/>
      <c r="P1" s="226"/>
      <c r="Q1" s="226"/>
      <c r="R1" s="226"/>
      <c r="S1" s="226"/>
      <c r="T1" s="226"/>
      <c r="U1" s="226"/>
      <c r="V1" s="226"/>
      <c r="W1" s="226"/>
      <c r="X1" s="226"/>
      <c r="Y1" s="226"/>
      <c r="Z1" s="226"/>
      <c r="AA1" s="226"/>
      <c r="AB1" s="226"/>
      <c r="AC1" s="226"/>
      <c r="AD1" s="226"/>
      <c r="AE1" s="226"/>
      <c r="AF1" s="226"/>
      <c r="AG1" s="226"/>
      <c r="AH1" s="226"/>
      <c r="AI1" s="226"/>
      <c r="AJ1" s="226"/>
      <c r="AK1" s="226"/>
      <c r="AL1" s="226"/>
      <c r="AM1" s="226"/>
    </row>
    <row r="2" spans="1:70" s="182" customFormat="1" ht="15.75" thickBot="1" x14ac:dyDescent="0.3">
      <c r="A2" s="226"/>
      <c r="B2" s="183" t="s">
        <v>221</v>
      </c>
      <c r="C2" s="226"/>
      <c r="D2" s="552"/>
      <c r="E2" s="184"/>
      <c r="F2" s="184"/>
      <c r="G2" s="552"/>
      <c r="H2" s="1759" t="s">
        <v>310</v>
      </c>
      <c r="I2" s="1760"/>
      <c r="J2" s="226"/>
      <c r="K2" s="1759" t="s">
        <v>311</v>
      </c>
      <c r="L2" s="1760"/>
      <c r="M2" s="1760"/>
      <c r="N2" s="1760"/>
      <c r="O2" s="620"/>
      <c r="P2" s="621" t="s">
        <v>312</v>
      </c>
      <c r="Q2" s="622"/>
      <c r="R2" s="622"/>
      <c r="S2" s="622"/>
      <c r="T2" s="623"/>
      <c r="U2" s="226"/>
      <c r="V2" s="226"/>
      <c r="W2" s="226"/>
      <c r="X2" s="226"/>
      <c r="Y2" s="226"/>
      <c r="Z2" s="226"/>
      <c r="AA2" s="226"/>
      <c r="AB2" s="226"/>
      <c r="AC2" s="226"/>
      <c r="AD2" s="226"/>
      <c r="AE2" s="226"/>
      <c r="AF2" s="226"/>
      <c r="AG2" s="226"/>
      <c r="AH2" s="226"/>
      <c r="AI2" s="226"/>
      <c r="AJ2" s="226"/>
      <c r="AK2" s="226"/>
      <c r="AL2" s="226"/>
      <c r="AM2" s="226"/>
    </row>
    <row r="3" spans="1:70" s="182" customFormat="1" ht="15" x14ac:dyDescent="0.25">
      <c r="A3" s="226"/>
      <c r="B3" s="557" t="s">
        <v>313</v>
      </c>
      <c r="C3" s="226"/>
      <c r="D3" s="342"/>
      <c r="E3" s="184"/>
      <c r="F3" s="184"/>
      <c r="G3" s="552"/>
      <c r="H3" s="1780" t="s">
        <v>314</v>
      </c>
      <c r="I3" s="1781"/>
      <c r="J3" s="226"/>
      <c r="K3" s="1761" t="s">
        <v>315</v>
      </c>
      <c r="L3" s="1762"/>
      <c r="M3" s="1762"/>
      <c r="N3" s="1762"/>
      <c r="O3" s="620"/>
      <c r="P3" s="558" t="s">
        <v>575</v>
      </c>
      <c r="Q3" s="559"/>
      <c r="R3" s="559"/>
      <c r="S3" s="559"/>
      <c r="T3" s="560"/>
      <c r="U3" s="226"/>
      <c r="V3" s="226"/>
      <c r="W3" s="226"/>
      <c r="X3" s="226"/>
      <c r="Y3" s="226"/>
      <c r="Z3" s="226"/>
      <c r="AA3" s="226"/>
      <c r="AB3" s="226"/>
      <c r="AC3" s="226"/>
      <c r="AD3" s="226"/>
      <c r="AE3" s="226"/>
      <c r="AF3" s="226"/>
      <c r="AG3" s="226"/>
      <c r="AH3" s="226"/>
      <c r="AI3" s="226"/>
      <c r="AJ3" s="226"/>
      <c r="AK3" s="226"/>
      <c r="AL3" s="226"/>
      <c r="AM3" s="226"/>
    </row>
    <row r="4" spans="1:70" s="182" customFormat="1" ht="14.25" thickBot="1" x14ac:dyDescent="0.3">
      <c r="A4" s="226"/>
      <c r="B4" s="554" t="s">
        <v>351</v>
      </c>
      <c r="C4" s="226"/>
      <c r="D4" s="342"/>
      <c r="E4" s="184"/>
      <c r="F4" s="184"/>
      <c r="G4" s="552"/>
      <c r="H4" s="1782" t="s">
        <v>318</v>
      </c>
      <c r="I4" s="1783"/>
      <c r="J4" s="226"/>
      <c r="K4" s="1763" t="s">
        <v>518</v>
      </c>
      <c r="L4" s="1764"/>
      <c r="M4" s="1764"/>
      <c r="N4" s="1764"/>
      <c r="O4" s="620"/>
      <c r="P4" s="624" t="s">
        <v>576</v>
      </c>
      <c r="Q4" s="226"/>
      <c r="R4" s="226"/>
      <c r="S4" s="226"/>
      <c r="T4" s="562"/>
      <c r="U4" s="226"/>
      <c r="V4" s="226"/>
      <c r="W4" s="226"/>
      <c r="X4" s="226"/>
      <c r="Y4" s="226"/>
      <c r="Z4" s="226"/>
      <c r="AA4" s="226"/>
      <c r="AB4" s="226"/>
      <c r="AC4" s="226"/>
      <c r="AD4" s="226"/>
      <c r="AE4" s="226"/>
      <c r="AF4" s="226"/>
      <c r="AG4" s="226"/>
      <c r="AH4" s="226"/>
      <c r="AI4" s="226"/>
      <c r="AJ4" s="226"/>
      <c r="AK4" s="226"/>
      <c r="AL4" s="226"/>
      <c r="AM4" s="226"/>
    </row>
    <row r="5" spans="1:70" s="182" customFormat="1" x14ac:dyDescent="0.25">
      <c r="A5" s="1776"/>
      <c r="B5" s="1776"/>
      <c r="C5" s="226"/>
      <c r="D5" s="342"/>
      <c r="E5" s="184"/>
      <c r="F5" s="184"/>
      <c r="G5" s="565"/>
      <c r="H5" s="226"/>
      <c r="I5" s="226"/>
      <c r="J5" s="226"/>
      <c r="K5" s="1755" t="s">
        <v>321</v>
      </c>
      <c r="L5" s="1756"/>
      <c r="M5" s="1756"/>
      <c r="N5" s="1756"/>
      <c r="O5" s="620"/>
      <c r="P5" s="624" t="s">
        <v>577</v>
      </c>
      <c r="Q5" s="226"/>
      <c r="R5" s="226"/>
      <c r="S5" s="226"/>
      <c r="T5" s="562"/>
      <c r="U5" s="226"/>
      <c r="V5" s="226"/>
      <c r="W5" s="226"/>
      <c r="X5" s="226"/>
      <c r="Y5" s="226"/>
      <c r="Z5" s="226"/>
      <c r="AA5" s="226"/>
      <c r="AB5" s="226"/>
      <c r="AC5" s="226"/>
      <c r="AD5" s="226"/>
      <c r="AE5" s="226"/>
      <c r="AF5" s="226"/>
      <c r="AG5" s="226"/>
      <c r="AH5" s="226"/>
      <c r="AI5" s="226"/>
      <c r="AJ5" s="226"/>
      <c r="AK5" s="226"/>
      <c r="AL5" s="226"/>
      <c r="AM5" s="226"/>
    </row>
    <row r="6" spans="1:70" s="182" customFormat="1" ht="14.25" thickBot="1" x14ac:dyDescent="0.3">
      <c r="A6" s="226"/>
      <c r="B6" s="185" t="s">
        <v>323</v>
      </c>
      <c r="C6" s="563">
        <v>45689</v>
      </c>
      <c r="D6" s="342"/>
      <c r="E6" s="184"/>
      <c r="F6" s="184"/>
      <c r="G6" s="565"/>
      <c r="H6" s="226"/>
      <c r="I6" s="226"/>
      <c r="J6" s="226"/>
      <c r="K6" s="1757" t="s">
        <v>324</v>
      </c>
      <c r="L6" s="1758"/>
      <c r="M6" s="1758"/>
      <c r="N6" s="1758"/>
      <c r="O6" s="620"/>
      <c r="P6" s="625" t="s">
        <v>578</v>
      </c>
      <c r="Q6" s="226"/>
      <c r="R6" s="226"/>
      <c r="S6" s="226"/>
      <c r="T6" s="562"/>
      <c r="U6" s="226"/>
      <c r="V6" s="226"/>
      <c r="W6" s="226"/>
      <c r="X6" s="226"/>
      <c r="Y6" s="226"/>
      <c r="Z6" s="226"/>
      <c r="AA6" s="226"/>
      <c r="AB6" s="226"/>
      <c r="AC6" s="226"/>
      <c r="AD6" s="226"/>
      <c r="AE6" s="226"/>
      <c r="AF6" s="226"/>
      <c r="AG6" s="226"/>
      <c r="AH6" s="226"/>
      <c r="AI6" s="226"/>
      <c r="AJ6" s="226"/>
      <c r="AK6" s="226"/>
      <c r="AL6" s="226"/>
      <c r="AM6" s="226"/>
    </row>
    <row r="7" spans="1:70" s="182" customFormat="1" ht="14.25" thickBot="1" x14ac:dyDescent="0.3">
      <c r="A7" s="226"/>
      <c r="B7" s="185" t="s">
        <v>326</v>
      </c>
      <c r="C7" s="564">
        <v>28</v>
      </c>
      <c r="D7" s="342"/>
      <c r="E7" s="184"/>
      <c r="F7" s="184"/>
      <c r="G7" s="565"/>
      <c r="H7" s="552"/>
      <c r="I7" s="552"/>
      <c r="J7" s="226"/>
      <c r="K7" s="226"/>
      <c r="L7" s="226"/>
      <c r="M7" s="226"/>
      <c r="N7" s="226"/>
      <c r="O7" s="226"/>
      <c r="P7" s="626" t="s">
        <v>355</v>
      </c>
      <c r="Q7" s="619"/>
      <c r="R7" s="619"/>
      <c r="S7" s="619"/>
      <c r="T7" s="568"/>
      <c r="U7" s="226"/>
      <c r="V7" s="226"/>
      <c r="W7" s="226"/>
      <c r="X7" s="226"/>
      <c r="Y7" s="226"/>
      <c r="Z7" s="226"/>
      <c r="AA7" s="226"/>
      <c r="AB7" s="226"/>
      <c r="AC7" s="226"/>
      <c r="AD7" s="226"/>
      <c r="AE7" s="226"/>
      <c r="AF7" s="226"/>
      <c r="AG7" s="226"/>
      <c r="AH7" s="226"/>
      <c r="AI7" s="226"/>
      <c r="AJ7" s="226"/>
      <c r="AK7" s="226"/>
      <c r="AL7" s="226"/>
      <c r="AM7" s="226"/>
    </row>
    <row r="8" spans="1:70" s="182" customFormat="1" ht="14.25" thickBot="1" x14ac:dyDescent="0.3">
      <c r="A8" s="1776"/>
      <c r="B8" s="1776"/>
      <c r="C8" s="185"/>
      <c r="D8" s="185"/>
      <c r="E8" s="184"/>
      <c r="F8" s="184"/>
      <c r="G8" s="565"/>
      <c r="H8" s="552"/>
      <c r="I8" s="552"/>
      <c r="J8" s="226"/>
      <c r="K8" s="226"/>
      <c r="L8" s="226"/>
      <c r="M8" s="226"/>
      <c r="N8" s="226"/>
      <c r="O8" s="226"/>
      <c r="P8" s="226"/>
      <c r="Q8" s="226"/>
      <c r="R8" s="226"/>
      <c r="S8" s="226"/>
      <c r="T8" s="226"/>
      <c r="U8" s="226"/>
      <c r="V8" s="226"/>
      <c r="W8" s="226"/>
      <c r="X8" s="226"/>
      <c r="Y8" s="226"/>
      <c r="Z8" s="226"/>
      <c r="AA8" s="226"/>
      <c r="AB8" s="226"/>
      <c r="AC8" s="226"/>
      <c r="AD8" s="226"/>
      <c r="AE8" s="226"/>
      <c r="AF8" s="226"/>
      <c r="AG8" s="226"/>
      <c r="AH8" s="226"/>
      <c r="AI8" s="226"/>
      <c r="AJ8" s="226"/>
      <c r="AK8" s="226"/>
      <c r="AL8" s="226"/>
      <c r="AM8" s="226"/>
    </row>
    <row r="9" spans="1:70" s="181" customFormat="1" ht="14.25" thickBot="1" x14ac:dyDescent="0.3">
      <c r="A9" s="552"/>
      <c r="B9" s="572" t="s">
        <v>269</v>
      </c>
      <c r="C9" s="186" t="s">
        <v>303</v>
      </c>
      <c r="D9" s="187" t="s">
        <v>32</v>
      </c>
      <c r="E9" s="188" t="s">
        <v>262</v>
      </c>
      <c r="F9" s="552"/>
      <c r="G9" s="573" t="s">
        <v>328</v>
      </c>
      <c r="H9" s="574">
        <v>1</v>
      </c>
      <c r="I9" s="575">
        <v>2</v>
      </c>
      <c r="J9" s="575">
        <v>3</v>
      </c>
      <c r="K9" s="575">
        <v>4</v>
      </c>
      <c r="L9" s="575">
        <v>5</v>
      </c>
      <c r="M9" s="575">
        <v>6</v>
      </c>
      <c r="N9" s="575">
        <v>7</v>
      </c>
      <c r="O9" s="575">
        <v>8</v>
      </c>
      <c r="P9" s="575">
        <v>9</v>
      </c>
      <c r="Q9" s="575">
        <v>10</v>
      </c>
      <c r="R9" s="575">
        <v>11</v>
      </c>
      <c r="S9" s="575">
        <v>12</v>
      </c>
      <c r="T9" s="575">
        <v>13</v>
      </c>
      <c r="U9" s="575">
        <v>14</v>
      </c>
      <c r="V9" s="575">
        <v>15</v>
      </c>
      <c r="W9" s="575">
        <v>16</v>
      </c>
      <c r="X9" s="575">
        <v>17</v>
      </c>
      <c r="Y9" s="575">
        <v>18</v>
      </c>
      <c r="Z9" s="575">
        <v>19</v>
      </c>
      <c r="AA9" s="575">
        <v>20</v>
      </c>
      <c r="AB9" s="575">
        <v>21</v>
      </c>
      <c r="AC9" s="575">
        <v>22</v>
      </c>
      <c r="AD9" s="575">
        <v>23</v>
      </c>
      <c r="AE9" s="575">
        <v>24</v>
      </c>
      <c r="AF9" s="575">
        <v>25</v>
      </c>
      <c r="AG9" s="575">
        <v>26</v>
      </c>
      <c r="AH9" s="575">
        <v>27</v>
      </c>
      <c r="AI9" s="575">
        <v>28</v>
      </c>
      <c r="AJ9" s="575">
        <v>29</v>
      </c>
      <c r="AK9" s="575">
        <v>30</v>
      </c>
      <c r="AL9" s="577">
        <v>31</v>
      </c>
      <c r="AM9" s="552"/>
      <c r="AO9" s="263"/>
      <c r="AP9" s="264" t="s">
        <v>579</v>
      </c>
      <c r="AQ9" s="356">
        <v>45689</v>
      </c>
      <c r="AR9" s="356">
        <v>45690</v>
      </c>
      <c r="AS9" s="356">
        <v>45691</v>
      </c>
      <c r="AT9" s="356">
        <v>45692</v>
      </c>
      <c r="AU9" s="356">
        <v>45693</v>
      </c>
      <c r="AV9" s="356">
        <v>45694</v>
      </c>
      <c r="AW9" s="356">
        <v>45695</v>
      </c>
      <c r="AX9" s="356">
        <v>45696</v>
      </c>
      <c r="AY9" s="356">
        <v>45697</v>
      </c>
      <c r="AZ9" s="356">
        <v>45698</v>
      </c>
      <c r="BA9" s="356">
        <v>45699</v>
      </c>
      <c r="BB9" s="356">
        <v>45700</v>
      </c>
      <c r="BC9" s="356">
        <v>45701</v>
      </c>
      <c r="BD9" s="356">
        <v>45702</v>
      </c>
      <c r="BE9" s="356">
        <v>45703</v>
      </c>
      <c r="BF9" s="356">
        <v>45704</v>
      </c>
      <c r="BG9" s="356">
        <v>45705</v>
      </c>
      <c r="BH9" s="356">
        <v>45706</v>
      </c>
      <c r="BI9" s="356">
        <v>45707</v>
      </c>
      <c r="BJ9" s="356">
        <v>45708</v>
      </c>
      <c r="BK9" s="356">
        <v>45709</v>
      </c>
      <c r="BL9" s="356">
        <v>45710</v>
      </c>
      <c r="BM9" s="356">
        <v>45711</v>
      </c>
      <c r="BN9" s="356">
        <v>45712</v>
      </c>
      <c r="BO9" s="356">
        <v>45713</v>
      </c>
      <c r="BP9" s="356">
        <v>45714</v>
      </c>
      <c r="BQ9" s="356">
        <v>45715</v>
      </c>
      <c r="BR9" s="356">
        <v>45716</v>
      </c>
    </row>
    <row r="10" spans="1:70" s="182" customFormat="1" x14ac:dyDescent="0.25">
      <c r="A10" s="226"/>
      <c r="B10" s="578" t="s">
        <v>356</v>
      </c>
      <c r="C10" s="579">
        <v>25480</v>
      </c>
      <c r="D10" s="580">
        <v>20546</v>
      </c>
      <c r="E10" s="581">
        <v>-0.19</v>
      </c>
      <c r="F10" s="226"/>
      <c r="G10" s="582" t="s">
        <v>330</v>
      </c>
      <c r="H10" s="583">
        <v>910</v>
      </c>
      <c r="I10" s="584">
        <v>910</v>
      </c>
      <c r="J10" s="584">
        <v>910</v>
      </c>
      <c r="K10" s="584">
        <v>900</v>
      </c>
      <c r="L10" s="584">
        <v>920</v>
      </c>
      <c r="M10" s="584">
        <v>800</v>
      </c>
      <c r="N10" s="627">
        <v>1020</v>
      </c>
      <c r="O10" s="584">
        <v>910</v>
      </c>
      <c r="P10" s="584">
        <v>910</v>
      </c>
      <c r="Q10" s="585">
        <v>910</v>
      </c>
      <c r="R10" s="585">
        <v>900</v>
      </c>
      <c r="S10" s="585">
        <v>920</v>
      </c>
      <c r="T10" s="585">
        <v>800</v>
      </c>
      <c r="U10" s="628">
        <v>1020</v>
      </c>
      <c r="V10" s="585">
        <v>910</v>
      </c>
      <c r="W10" s="585">
        <v>910</v>
      </c>
      <c r="X10" s="585">
        <v>910</v>
      </c>
      <c r="Y10" s="585">
        <v>900</v>
      </c>
      <c r="Z10" s="585">
        <v>920</v>
      </c>
      <c r="AA10" s="585">
        <v>800</v>
      </c>
      <c r="AB10" s="628">
        <v>1020</v>
      </c>
      <c r="AC10" s="585">
        <v>910</v>
      </c>
      <c r="AD10" s="585">
        <v>910</v>
      </c>
      <c r="AE10" s="585">
        <v>910</v>
      </c>
      <c r="AF10" s="585">
        <v>900</v>
      </c>
      <c r="AG10" s="585">
        <v>920</v>
      </c>
      <c r="AH10" s="585">
        <v>800</v>
      </c>
      <c r="AI10" s="628">
        <v>1020</v>
      </c>
      <c r="AJ10" s="585" t="s">
        <v>360</v>
      </c>
      <c r="AK10" s="585" t="s">
        <v>360</v>
      </c>
      <c r="AL10" s="586" t="s">
        <v>360</v>
      </c>
      <c r="AM10" s="226"/>
      <c r="AO10" s="272"/>
      <c r="AP10" s="273" t="s">
        <v>303</v>
      </c>
      <c r="AQ10" s="274">
        <f>H10</f>
        <v>910</v>
      </c>
      <c r="AR10" s="274">
        <f>I10+AQ10</f>
        <v>1820</v>
      </c>
      <c r="AS10" s="274">
        <f t="shared" ref="AS10:BR10" si="0">J10+AR10</f>
        <v>2730</v>
      </c>
      <c r="AT10" s="274">
        <f t="shared" si="0"/>
        <v>3630</v>
      </c>
      <c r="AU10" s="274">
        <f t="shared" si="0"/>
        <v>4550</v>
      </c>
      <c r="AV10" s="274">
        <f t="shared" si="0"/>
        <v>5350</v>
      </c>
      <c r="AW10" s="274">
        <f t="shared" si="0"/>
        <v>6370</v>
      </c>
      <c r="AX10" s="274">
        <f t="shared" si="0"/>
        <v>7280</v>
      </c>
      <c r="AY10" s="274">
        <f t="shared" si="0"/>
        <v>8190</v>
      </c>
      <c r="AZ10" s="274">
        <f t="shared" si="0"/>
        <v>9100</v>
      </c>
      <c r="BA10" s="274">
        <f t="shared" si="0"/>
        <v>10000</v>
      </c>
      <c r="BB10" s="274">
        <f t="shared" si="0"/>
        <v>10920</v>
      </c>
      <c r="BC10" s="274">
        <f t="shared" si="0"/>
        <v>11720</v>
      </c>
      <c r="BD10" s="274">
        <f t="shared" si="0"/>
        <v>12740</v>
      </c>
      <c r="BE10" s="274">
        <f t="shared" si="0"/>
        <v>13650</v>
      </c>
      <c r="BF10" s="274">
        <f t="shared" si="0"/>
        <v>14560</v>
      </c>
      <c r="BG10" s="274">
        <f t="shared" si="0"/>
        <v>15470</v>
      </c>
      <c r="BH10" s="274">
        <f t="shared" si="0"/>
        <v>16370</v>
      </c>
      <c r="BI10" s="274">
        <f t="shared" si="0"/>
        <v>17290</v>
      </c>
      <c r="BJ10" s="274">
        <f t="shared" si="0"/>
        <v>18090</v>
      </c>
      <c r="BK10" s="274">
        <f t="shared" si="0"/>
        <v>19110</v>
      </c>
      <c r="BL10" s="274">
        <f t="shared" si="0"/>
        <v>20020</v>
      </c>
      <c r="BM10" s="274">
        <f t="shared" si="0"/>
        <v>20930</v>
      </c>
      <c r="BN10" s="274">
        <f t="shared" si="0"/>
        <v>21840</v>
      </c>
      <c r="BO10" s="274">
        <f t="shared" si="0"/>
        <v>22740</v>
      </c>
      <c r="BP10" s="274">
        <f t="shared" si="0"/>
        <v>23660</v>
      </c>
      <c r="BQ10" s="274">
        <f t="shared" si="0"/>
        <v>24460</v>
      </c>
      <c r="BR10" s="274">
        <f t="shared" si="0"/>
        <v>25480</v>
      </c>
    </row>
    <row r="11" spans="1:70" s="189" customFormat="1" ht="14.25" thickBot="1" x14ac:dyDescent="0.3">
      <c r="A11" s="184"/>
      <c r="B11" s="1497" t="s">
        <v>2</v>
      </c>
      <c r="C11" s="1495">
        <v>2.66</v>
      </c>
      <c r="D11" s="1498">
        <v>2.36</v>
      </c>
      <c r="E11" s="1555">
        <v>-0.11</v>
      </c>
      <c r="F11" s="184"/>
      <c r="G11" s="573" t="s">
        <v>331</v>
      </c>
      <c r="H11" s="1499">
        <v>496</v>
      </c>
      <c r="I11" s="1469">
        <v>239</v>
      </c>
      <c r="J11" s="1469">
        <v>766</v>
      </c>
      <c r="K11" s="1469">
        <v>712</v>
      </c>
      <c r="L11" s="1469">
        <v>651</v>
      </c>
      <c r="M11" s="1469">
        <v>641</v>
      </c>
      <c r="N11" s="1469">
        <v>713</v>
      </c>
      <c r="O11" s="1469">
        <v>642</v>
      </c>
      <c r="P11" s="1469">
        <v>823</v>
      </c>
      <c r="Q11" s="1469">
        <v>669</v>
      </c>
      <c r="R11" s="1469">
        <v>659</v>
      </c>
      <c r="S11" s="1469">
        <v>690</v>
      </c>
      <c r="T11" s="1469">
        <v>578</v>
      </c>
      <c r="U11" s="1469">
        <v>962</v>
      </c>
      <c r="V11" s="1468">
        <v>988</v>
      </c>
      <c r="W11" s="1468">
        <v>965</v>
      </c>
      <c r="X11" s="1469">
        <v>807</v>
      </c>
      <c r="Y11" s="1469">
        <v>672</v>
      </c>
      <c r="Z11" s="1469">
        <v>875</v>
      </c>
      <c r="AA11" s="1469">
        <v>727</v>
      </c>
      <c r="AB11" s="1469">
        <v>828</v>
      </c>
      <c r="AC11" s="1469">
        <v>620</v>
      </c>
      <c r="AD11" s="1469">
        <v>846</v>
      </c>
      <c r="AE11" s="1469">
        <v>723</v>
      </c>
      <c r="AF11" s="1469">
        <v>794</v>
      </c>
      <c r="AG11" s="1469">
        <v>670</v>
      </c>
      <c r="AH11" s="1468">
        <v>859</v>
      </c>
      <c r="AI11" s="1469">
        <v>936</v>
      </c>
      <c r="AJ11" s="1470" t="s">
        <v>360</v>
      </c>
      <c r="AK11" s="1470" t="s">
        <v>360</v>
      </c>
      <c r="AL11" s="1471" t="s">
        <v>360</v>
      </c>
      <c r="AM11" s="184"/>
      <c r="AO11" s="263"/>
      <c r="AP11" s="1500" t="s">
        <v>32</v>
      </c>
      <c r="AQ11" s="1339">
        <f>H11</f>
        <v>496</v>
      </c>
      <c r="AR11" s="1339">
        <f>I11+AQ11</f>
        <v>735</v>
      </c>
      <c r="AS11" s="1339">
        <f t="shared" ref="AS11:BO11" si="1">J11+AR11</f>
        <v>1501</v>
      </c>
      <c r="AT11" s="1339">
        <f t="shared" si="1"/>
        <v>2213</v>
      </c>
      <c r="AU11" s="1339">
        <f t="shared" si="1"/>
        <v>2864</v>
      </c>
      <c r="AV11" s="1339">
        <f t="shared" si="1"/>
        <v>3505</v>
      </c>
      <c r="AW11" s="1339">
        <f t="shared" si="1"/>
        <v>4218</v>
      </c>
      <c r="AX11" s="1339">
        <f t="shared" si="1"/>
        <v>4860</v>
      </c>
      <c r="AY11" s="1339">
        <f t="shared" si="1"/>
        <v>5683</v>
      </c>
      <c r="AZ11" s="1339">
        <f t="shared" si="1"/>
        <v>6352</v>
      </c>
      <c r="BA11" s="1339">
        <f t="shared" si="1"/>
        <v>7011</v>
      </c>
      <c r="BB11" s="1339">
        <f t="shared" si="1"/>
        <v>7701</v>
      </c>
      <c r="BC11" s="1339">
        <f t="shared" si="1"/>
        <v>8279</v>
      </c>
      <c r="BD11" s="1339">
        <f t="shared" si="1"/>
        <v>9241</v>
      </c>
      <c r="BE11" s="1339">
        <f t="shared" si="1"/>
        <v>10229</v>
      </c>
      <c r="BF11" s="1339">
        <f t="shared" si="1"/>
        <v>11194</v>
      </c>
      <c r="BG11" s="1339">
        <f t="shared" si="1"/>
        <v>12001</v>
      </c>
      <c r="BH11" s="1339">
        <f t="shared" si="1"/>
        <v>12673</v>
      </c>
      <c r="BI11" s="1339">
        <f t="shared" si="1"/>
        <v>13548</v>
      </c>
      <c r="BJ11" s="1339">
        <f t="shared" si="1"/>
        <v>14275</v>
      </c>
      <c r="BK11" s="1339">
        <f t="shared" si="1"/>
        <v>15103</v>
      </c>
      <c r="BL11" s="1339">
        <f t="shared" si="1"/>
        <v>15723</v>
      </c>
      <c r="BM11" s="1339">
        <f t="shared" si="1"/>
        <v>16569</v>
      </c>
      <c r="BN11" s="1339">
        <f t="shared" si="1"/>
        <v>17292</v>
      </c>
      <c r="BO11" s="1339">
        <f t="shared" si="1"/>
        <v>18086</v>
      </c>
      <c r="BP11" s="1339"/>
      <c r="BQ11" s="1339"/>
      <c r="BR11" s="1339"/>
    </row>
    <row r="12" spans="1:70" s="190" customFormat="1" ht="15" customHeight="1" thickBot="1" x14ac:dyDescent="0.3">
      <c r="A12" s="226"/>
      <c r="B12" s="1459" t="s">
        <v>3</v>
      </c>
      <c r="C12" s="1460">
        <v>67.900000000000006</v>
      </c>
      <c r="D12" s="1501">
        <v>48.5</v>
      </c>
      <c r="E12" s="1502">
        <v>-0.28999999999999998</v>
      </c>
      <c r="F12" s="226"/>
      <c r="G12" s="582" t="s">
        <v>332</v>
      </c>
      <c r="H12" s="583">
        <v>2.66</v>
      </c>
      <c r="I12" s="584">
        <v>2.66</v>
      </c>
      <c r="J12" s="584">
        <v>2.66</v>
      </c>
      <c r="K12" s="584">
        <v>2.66</v>
      </c>
      <c r="L12" s="584">
        <v>2.66</v>
      </c>
      <c r="M12" s="584">
        <v>2.66</v>
      </c>
      <c r="N12" s="584">
        <v>2.66</v>
      </c>
      <c r="O12" s="584">
        <v>2.66</v>
      </c>
      <c r="P12" s="584">
        <v>2.66</v>
      </c>
      <c r="Q12" s="585">
        <v>2.66</v>
      </c>
      <c r="R12" s="585">
        <v>2.66</v>
      </c>
      <c r="S12" s="585">
        <v>2.66</v>
      </c>
      <c r="T12" s="585">
        <v>2.66</v>
      </c>
      <c r="U12" s="585">
        <v>2.66</v>
      </c>
      <c r="V12" s="585">
        <v>2.66</v>
      </c>
      <c r="W12" s="585">
        <v>2.66</v>
      </c>
      <c r="X12" s="585">
        <v>2.66</v>
      </c>
      <c r="Y12" s="585">
        <v>2.66</v>
      </c>
      <c r="Z12" s="585">
        <v>2.66</v>
      </c>
      <c r="AA12" s="585">
        <v>2.66</v>
      </c>
      <c r="AB12" s="585">
        <v>2.66</v>
      </c>
      <c r="AC12" s="585">
        <v>2.66</v>
      </c>
      <c r="AD12" s="585">
        <v>2.66</v>
      </c>
      <c r="AE12" s="585">
        <v>2.66</v>
      </c>
      <c r="AF12" s="585">
        <v>2.66</v>
      </c>
      <c r="AG12" s="585">
        <v>2.66</v>
      </c>
      <c r="AH12" s="585">
        <v>2.66</v>
      </c>
      <c r="AI12" s="585">
        <v>2.66</v>
      </c>
      <c r="AJ12" s="585" t="s">
        <v>360</v>
      </c>
      <c r="AK12" s="585" t="s">
        <v>360</v>
      </c>
      <c r="AL12" s="586" t="s">
        <v>360</v>
      </c>
      <c r="AM12" s="226"/>
      <c r="AP12" s="190" t="s">
        <v>580</v>
      </c>
      <c r="BO12" s="357">
        <v>18081.649999999998</v>
      </c>
      <c r="BP12" s="357">
        <f>BO11+AG10</f>
        <v>19006</v>
      </c>
      <c r="BQ12" s="357">
        <f>BP12+AH10</f>
        <v>19806</v>
      </c>
      <c r="BR12" s="357">
        <f>BQ12+AI10</f>
        <v>20826</v>
      </c>
    </row>
    <row r="13" spans="1:70" s="191" customFormat="1" ht="15" customHeight="1" thickBot="1" x14ac:dyDescent="0.3">
      <c r="A13" s="1777"/>
      <c r="B13" s="1777"/>
      <c r="C13" s="184"/>
      <c r="D13" s="184"/>
      <c r="E13" s="184"/>
      <c r="F13" s="184"/>
      <c r="G13" s="573" t="s">
        <v>333</v>
      </c>
      <c r="H13" s="1503">
        <v>3.66</v>
      </c>
      <c r="I13" s="1504">
        <v>4.29</v>
      </c>
      <c r="J13" s="1505">
        <v>2.1800000000000002</v>
      </c>
      <c r="K13" s="1505">
        <v>2.41</v>
      </c>
      <c r="L13" s="1505">
        <v>2.46</v>
      </c>
      <c r="M13" s="1505">
        <v>2.25</v>
      </c>
      <c r="N13" s="1505">
        <v>2.06</v>
      </c>
      <c r="O13" s="1504">
        <v>3</v>
      </c>
      <c r="P13" s="1504">
        <v>2.9</v>
      </c>
      <c r="Q13" s="1506">
        <v>1.49</v>
      </c>
      <c r="R13" s="1504">
        <v>2.87</v>
      </c>
      <c r="S13" s="1504">
        <v>2.86</v>
      </c>
      <c r="T13" s="1505">
        <v>2.27</v>
      </c>
      <c r="U13" s="1504">
        <v>3.12</v>
      </c>
      <c r="V13" s="1505">
        <v>2.23</v>
      </c>
      <c r="W13" s="1504">
        <v>3.31</v>
      </c>
      <c r="X13" s="1505">
        <v>2.34</v>
      </c>
      <c r="Y13" s="1507">
        <v>1.8</v>
      </c>
      <c r="Z13" s="1507">
        <v>1.61</v>
      </c>
      <c r="AA13" s="1505">
        <v>2.3199999999999998</v>
      </c>
      <c r="AB13" s="1505">
        <v>2.2000000000000002</v>
      </c>
      <c r="AC13" s="1506">
        <v>1.43</v>
      </c>
      <c r="AD13" s="1507">
        <v>1.86</v>
      </c>
      <c r="AE13" s="1507">
        <v>1.96</v>
      </c>
      <c r="AF13" s="1505">
        <v>2.2799999999999998</v>
      </c>
      <c r="AG13" s="1507">
        <v>2</v>
      </c>
      <c r="AH13" s="1505">
        <v>2.0299999999999998</v>
      </c>
      <c r="AI13" s="1505">
        <v>2.2400000000000002</v>
      </c>
      <c r="AJ13" s="1508" t="s">
        <v>360</v>
      </c>
      <c r="AK13" s="1508" t="s">
        <v>360</v>
      </c>
      <c r="AL13" s="1509" t="s">
        <v>360</v>
      </c>
      <c r="AM13" s="184"/>
    </row>
    <row r="14" spans="1:70" s="192" customFormat="1" x14ac:dyDescent="0.25">
      <c r="A14" s="1776"/>
      <c r="B14" s="1776"/>
      <c r="C14" s="226"/>
      <c r="D14" s="226"/>
      <c r="E14" s="226"/>
      <c r="F14" s="226"/>
      <c r="G14" s="582" t="s">
        <v>334</v>
      </c>
      <c r="H14" s="583">
        <v>2.4</v>
      </c>
      <c r="I14" s="584">
        <v>2.4</v>
      </c>
      <c r="J14" s="584">
        <v>2.4</v>
      </c>
      <c r="K14" s="584">
        <v>2.4</v>
      </c>
      <c r="L14" s="584">
        <v>2.5</v>
      </c>
      <c r="M14" s="584">
        <v>2.1</v>
      </c>
      <c r="N14" s="584">
        <v>2.7</v>
      </c>
      <c r="O14" s="584">
        <v>2.4</v>
      </c>
      <c r="P14" s="584">
        <v>2.4</v>
      </c>
      <c r="Q14" s="585">
        <v>2.4</v>
      </c>
      <c r="R14" s="585">
        <v>2.4</v>
      </c>
      <c r="S14" s="585">
        <v>2.5</v>
      </c>
      <c r="T14" s="585">
        <v>2.1</v>
      </c>
      <c r="U14" s="585">
        <v>2.7</v>
      </c>
      <c r="V14" s="585">
        <v>2.4</v>
      </c>
      <c r="W14" s="585">
        <v>2.4</v>
      </c>
      <c r="X14" s="585">
        <v>2.4</v>
      </c>
      <c r="Y14" s="585">
        <v>2.4</v>
      </c>
      <c r="Z14" s="585">
        <v>2.5</v>
      </c>
      <c r="AA14" s="585">
        <v>2.1</v>
      </c>
      <c r="AB14" s="585">
        <v>2.7</v>
      </c>
      <c r="AC14" s="585">
        <v>2.4</v>
      </c>
      <c r="AD14" s="585">
        <v>2.4</v>
      </c>
      <c r="AE14" s="585">
        <v>2.4</v>
      </c>
      <c r="AF14" s="585">
        <v>2.4</v>
      </c>
      <c r="AG14" s="585">
        <v>2.5</v>
      </c>
      <c r="AH14" s="585">
        <v>2.1</v>
      </c>
      <c r="AI14" s="585">
        <v>2.7</v>
      </c>
      <c r="AJ14" s="585" t="s">
        <v>360</v>
      </c>
      <c r="AK14" s="585" t="s">
        <v>360</v>
      </c>
      <c r="AL14" s="586" t="s">
        <v>360</v>
      </c>
      <c r="AM14" s="226"/>
    </row>
    <row r="15" spans="1:70" s="193" customFormat="1" ht="15" customHeight="1" thickBot="1" x14ac:dyDescent="0.3">
      <c r="A15" s="1777"/>
      <c r="B15" s="1777"/>
      <c r="C15" s="184"/>
      <c r="D15" s="184"/>
      <c r="E15" s="184"/>
      <c r="F15" s="184"/>
      <c r="G15" s="573" t="s">
        <v>335</v>
      </c>
      <c r="H15" s="1499">
        <v>1.8</v>
      </c>
      <c r="I15" s="1469">
        <v>1</v>
      </c>
      <c r="J15" s="1469">
        <v>1.7</v>
      </c>
      <c r="K15" s="1469">
        <v>1.7</v>
      </c>
      <c r="L15" s="1469">
        <v>1.6</v>
      </c>
      <c r="M15" s="1469">
        <v>1.4</v>
      </c>
      <c r="N15" s="1469">
        <v>1.5</v>
      </c>
      <c r="O15" s="1469">
        <v>1.9</v>
      </c>
      <c r="P15" s="1469">
        <v>2.4</v>
      </c>
      <c r="Q15" s="1469">
        <v>1</v>
      </c>
      <c r="R15" s="1469">
        <v>1.9</v>
      </c>
      <c r="S15" s="1469">
        <v>2</v>
      </c>
      <c r="T15" s="1469">
        <v>1.3</v>
      </c>
      <c r="U15" s="1468">
        <v>3</v>
      </c>
      <c r="V15" s="1469">
        <v>2.2000000000000002</v>
      </c>
      <c r="W15" s="1468">
        <v>3.2</v>
      </c>
      <c r="X15" s="1469">
        <v>1.9</v>
      </c>
      <c r="Y15" s="1469">
        <v>1.2</v>
      </c>
      <c r="Z15" s="1469">
        <v>1.4</v>
      </c>
      <c r="AA15" s="1469">
        <v>1.7</v>
      </c>
      <c r="AB15" s="1469">
        <v>1.8</v>
      </c>
      <c r="AC15" s="1469">
        <v>0.9</v>
      </c>
      <c r="AD15" s="1469">
        <v>1.6</v>
      </c>
      <c r="AE15" s="1469">
        <v>1.4</v>
      </c>
      <c r="AF15" s="1469">
        <v>1.8</v>
      </c>
      <c r="AG15" s="1469">
        <v>1.3</v>
      </c>
      <c r="AH15" s="1469">
        <v>1.7</v>
      </c>
      <c r="AI15" s="1469">
        <v>2.1</v>
      </c>
      <c r="AJ15" s="1470" t="s">
        <v>360</v>
      </c>
      <c r="AK15" s="1470" t="s">
        <v>360</v>
      </c>
      <c r="AL15" s="1471" t="s">
        <v>360</v>
      </c>
      <c r="AM15" s="184"/>
    </row>
    <row r="16" spans="1:70" s="182" customFormat="1" ht="14.25" thickBot="1" x14ac:dyDescent="0.3">
      <c r="A16" s="1784"/>
      <c r="B16" s="1784"/>
      <c r="C16" s="226"/>
      <c r="D16" s="226"/>
      <c r="E16" s="226"/>
      <c r="F16" s="226"/>
      <c r="G16" s="226"/>
      <c r="H16" s="341"/>
      <c r="I16" s="226"/>
      <c r="J16" s="341"/>
      <c r="K16" s="341"/>
      <c r="L16" s="341"/>
      <c r="M16" s="226"/>
      <c r="N16" s="620"/>
      <c r="O16" s="620"/>
      <c r="P16" s="226"/>
      <c r="Q16" s="226"/>
      <c r="R16" s="226"/>
      <c r="S16" s="226"/>
      <c r="T16" s="226"/>
      <c r="U16" s="226"/>
      <c r="V16" s="226"/>
      <c r="W16" s="226"/>
      <c r="X16" s="226"/>
      <c r="Y16" s="226"/>
      <c r="Z16" s="226"/>
      <c r="AA16" s="226"/>
      <c r="AB16" s="226"/>
      <c r="AC16" s="226"/>
      <c r="AD16" s="226"/>
      <c r="AE16" s="226"/>
      <c r="AF16" s="226"/>
      <c r="AG16" s="226"/>
      <c r="AH16" s="226"/>
      <c r="AI16" s="226"/>
      <c r="AJ16" s="226"/>
      <c r="AK16" s="226"/>
      <c r="AL16" s="226"/>
      <c r="AM16" s="226"/>
    </row>
    <row r="17" spans="1:39" s="189" customFormat="1" ht="14.25" thickBot="1" x14ac:dyDescent="0.3">
      <c r="A17" s="591">
        <v>0</v>
      </c>
      <c r="B17" s="343" t="s">
        <v>357</v>
      </c>
      <c r="C17" s="344" t="s">
        <v>358</v>
      </c>
      <c r="D17" s="345"/>
      <c r="E17" s="346"/>
      <c r="F17" s="187" t="s">
        <v>269</v>
      </c>
      <c r="G17" s="593" t="s">
        <v>338</v>
      </c>
      <c r="H17" s="629">
        <v>45689</v>
      </c>
      <c r="I17" s="630">
        <v>45690</v>
      </c>
      <c r="J17" s="630">
        <v>45691</v>
      </c>
      <c r="K17" s="630">
        <v>45692</v>
      </c>
      <c r="L17" s="630">
        <v>45693</v>
      </c>
      <c r="M17" s="630">
        <v>45694</v>
      </c>
      <c r="N17" s="630">
        <v>45695</v>
      </c>
      <c r="O17" s="630">
        <v>45696</v>
      </c>
      <c r="P17" s="630">
        <v>45697</v>
      </c>
      <c r="Q17" s="630">
        <v>45698</v>
      </c>
      <c r="R17" s="630">
        <v>45699</v>
      </c>
      <c r="S17" s="630">
        <v>45700</v>
      </c>
      <c r="T17" s="630">
        <v>45701</v>
      </c>
      <c r="U17" s="630">
        <v>45702</v>
      </c>
      <c r="V17" s="630">
        <v>45703</v>
      </c>
      <c r="W17" s="630">
        <v>45704</v>
      </c>
      <c r="X17" s="630">
        <v>45705</v>
      </c>
      <c r="Y17" s="630">
        <v>45706</v>
      </c>
      <c r="Z17" s="630">
        <v>45707</v>
      </c>
      <c r="AA17" s="630">
        <v>45708</v>
      </c>
      <c r="AB17" s="630">
        <v>45709</v>
      </c>
      <c r="AC17" s="630">
        <v>45710</v>
      </c>
      <c r="AD17" s="630">
        <v>45711</v>
      </c>
      <c r="AE17" s="630">
        <v>45712</v>
      </c>
      <c r="AF17" s="630">
        <v>45713</v>
      </c>
      <c r="AG17" s="630">
        <v>45714</v>
      </c>
      <c r="AH17" s="630">
        <v>45715</v>
      </c>
      <c r="AI17" s="630">
        <v>45716</v>
      </c>
      <c r="AJ17" s="631" t="s">
        <v>525</v>
      </c>
      <c r="AK17" s="631" t="s">
        <v>525</v>
      </c>
      <c r="AL17" s="632" t="s">
        <v>525</v>
      </c>
      <c r="AM17" s="633" t="s">
        <v>359</v>
      </c>
    </row>
    <row r="18" spans="1:39" s="194" customFormat="1" ht="14.45" customHeight="1" x14ac:dyDescent="0.25">
      <c r="A18" s="184"/>
      <c r="B18" s="1765"/>
      <c r="C18" s="1785" t="s">
        <v>526</v>
      </c>
      <c r="D18" s="1771" t="s">
        <v>340</v>
      </c>
      <c r="E18" s="616" t="s">
        <v>341</v>
      </c>
      <c r="F18" s="615" t="s">
        <v>473</v>
      </c>
      <c r="G18" s="598"/>
      <c r="H18" s="599"/>
      <c r="I18" s="599"/>
      <c r="J18" s="599"/>
      <c r="K18" s="600"/>
      <c r="L18" s="600"/>
      <c r="M18" s="600"/>
      <c r="N18" s="600"/>
      <c r="O18" s="600"/>
      <c r="P18" s="601"/>
      <c r="Q18" s="600"/>
      <c r="R18" s="600"/>
      <c r="S18" s="600"/>
      <c r="T18" s="600"/>
      <c r="U18" s="600"/>
      <c r="V18" s="600"/>
      <c r="W18" s="600"/>
      <c r="X18" s="600"/>
      <c r="Y18" s="600"/>
      <c r="Z18" s="600"/>
      <c r="AA18" s="600"/>
      <c r="AB18" s="600"/>
      <c r="AC18" s="600"/>
      <c r="AD18" s="600"/>
      <c r="AE18" s="600"/>
      <c r="AF18" s="600"/>
      <c r="AG18" s="600"/>
      <c r="AH18" s="600"/>
      <c r="AI18" s="600"/>
      <c r="AJ18" s="600"/>
      <c r="AK18" s="600"/>
      <c r="AL18" s="602"/>
      <c r="AM18" s="634"/>
    </row>
    <row r="19" spans="1:39" x14ac:dyDescent="0.25">
      <c r="A19" s="226"/>
      <c r="B19" s="1766"/>
      <c r="C19" s="1786"/>
      <c r="D19" s="1772"/>
      <c r="E19" s="1472" t="s">
        <v>342</v>
      </c>
      <c r="F19" s="1484">
        <v>6576</v>
      </c>
      <c r="G19" s="1510">
        <v>0</v>
      </c>
      <c r="H19" s="1511">
        <v>236</v>
      </c>
      <c r="I19" s="1436"/>
      <c r="J19" s="1436">
        <v>286</v>
      </c>
      <c r="K19" s="1436">
        <v>302</v>
      </c>
      <c r="L19" s="1436">
        <v>177</v>
      </c>
      <c r="M19" s="1436">
        <v>164</v>
      </c>
      <c r="N19" s="1436">
        <v>234</v>
      </c>
      <c r="O19" s="1436">
        <v>274</v>
      </c>
      <c r="P19" s="1436">
        <v>244</v>
      </c>
      <c r="Q19" s="1436">
        <v>132</v>
      </c>
      <c r="R19" s="1436">
        <v>100</v>
      </c>
      <c r="S19" s="1436">
        <v>178</v>
      </c>
      <c r="T19" s="1436">
        <v>230</v>
      </c>
      <c r="U19" s="1436">
        <v>314</v>
      </c>
      <c r="V19" s="1436">
        <v>312</v>
      </c>
      <c r="W19" s="1436">
        <v>312</v>
      </c>
      <c r="X19" s="1436">
        <v>257</v>
      </c>
      <c r="Y19" s="1436">
        <v>228</v>
      </c>
      <c r="Z19" s="1436">
        <v>306</v>
      </c>
      <c r="AA19" s="1436">
        <v>270</v>
      </c>
      <c r="AB19" s="1436">
        <v>269</v>
      </c>
      <c r="AC19" s="1436">
        <v>289</v>
      </c>
      <c r="AD19" s="1436">
        <v>252</v>
      </c>
      <c r="AE19" s="1436">
        <v>246</v>
      </c>
      <c r="AF19" s="1436">
        <v>250</v>
      </c>
      <c r="AG19" s="1436">
        <v>156</v>
      </c>
      <c r="AH19" s="1436">
        <v>282</v>
      </c>
      <c r="AI19" s="1436">
        <v>276</v>
      </c>
      <c r="AJ19" s="1436"/>
      <c r="AK19" s="1436"/>
      <c r="AL19" s="1436"/>
      <c r="AM19" s="604"/>
    </row>
    <row r="20" spans="1:39" x14ac:dyDescent="0.25">
      <c r="A20" s="226"/>
      <c r="B20" s="1766"/>
      <c r="C20" s="1786"/>
      <c r="D20" s="1773"/>
      <c r="E20" s="1486" t="s">
        <v>312</v>
      </c>
      <c r="F20" s="1476"/>
      <c r="G20" s="1477"/>
      <c r="H20" s="605"/>
      <c r="I20" s="605"/>
      <c r="J20" s="605"/>
      <c r="K20" s="605"/>
      <c r="L20" s="605"/>
      <c r="M20" s="605"/>
      <c r="N20" s="605"/>
      <c r="O20" s="605"/>
      <c r="P20" s="606"/>
      <c r="Q20" s="605"/>
      <c r="R20" s="605"/>
      <c r="S20" s="605"/>
      <c r="T20" s="605"/>
      <c r="U20" s="605"/>
      <c r="V20" s="605"/>
      <c r="W20" s="605"/>
      <c r="X20" s="605"/>
      <c r="Y20" s="605"/>
      <c r="Z20" s="605"/>
      <c r="AA20" s="605"/>
      <c r="AB20" s="605"/>
      <c r="AC20" s="605"/>
      <c r="AD20" s="605"/>
      <c r="AE20" s="605"/>
      <c r="AF20" s="605"/>
      <c r="AG20" s="605"/>
      <c r="AH20" s="605"/>
      <c r="AI20" s="605"/>
      <c r="AJ20" s="605"/>
      <c r="AK20" s="605"/>
      <c r="AL20" s="607"/>
      <c r="AM20" s="604"/>
    </row>
    <row r="21" spans="1:39" x14ac:dyDescent="0.25">
      <c r="A21" s="226"/>
      <c r="B21" s="1766"/>
      <c r="C21" s="1786"/>
      <c r="D21" s="1774" t="s">
        <v>343</v>
      </c>
      <c r="E21" s="1478" t="s">
        <v>344</v>
      </c>
      <c r="F21" s="1479" t="s">
        <v>473</v>
      </c>
      <c r="G21" s="1480"/>
      <c r="H21" s="1437"/>
      <c r="I21" s="1437"/>
      <c r="J21" s="1437"/>
      <c r="K21" s="1437"/>
      <c r="L21" s="1437"/>
      <c r="M21" s="1437"/>
      <c r="N21" s="1437"/>
      <c r="O21" s="1437"/>
      <c r="P21" s="1438"/>
      <c r="Q21" s="1437"/>
      <c r="R21" s="1437"/>
      <c r="S21" s="1437"/>
      <c r="T21" s="1437"/>
      <c r="U21" s="1437"/>
      <c r="V21" s="1437"/>
      <c r="W21" s="1437"/>
      <c r="X21" s="1437"/>
      <c r="Y21" s="1437"/>
      <c r="Z21" s="1437"/>
      <c r="AA21" s="1437"/>
      <c r="AB21" s="1437"/>
      <c r="AC21" s="1437"/>
      <c r="AD21" s="1437"/>
      <c r="AE21" s="1437"/>
      <c r="AF21" s="1437"/>
      <c r="AG21" s="1437"/>
      <c r="AH21" s="1437"/>
      <c r="AI21" s="1437"/>
      <c r="AJ21" s="1437"/>
      <c r="AK21" s="1437"/>
      <c r="AL21" s="1439"/>
      <c r="AM21" s="604"/>
    </row>
    <row r="22" spans="1:39" x14ac:dyDescent="0.25">
      <c r="A22" s="226"/>
      <c r="B22" s="1766"/>
      <c r="C22" s="1786"/>
      <c r="D22" s="1773"/>
      <c r="E22" s="1455" t="s">
        <v>345</v>
      </c>
      <c r="F22" s="1492">
        <v>2.48</v>
      </c>
      <c r="G22" s="1510">
        <v>0</v>
      </c>
      <c r="H22" s="1465">
        <v>6.44</v>
      </c>
      <c r="I22" s="1453">
        <v>1.56</v>
      </c>
      <c r="J22" s="1512">
        <v>3.28</v>
      </c>
      <c r="K22" s="1512">
        <v>3.64</v>
      </c>
      <c r="L22" s="1513">
        <v>1.72</v>
      </c>
      <c r="M22" s="1453">
        <v>1.34</v>
      </c>
      <c r="N22" s="1512">
        <v>2.2400000000000002</v>
      </c>
      <c r="O22" s="1512">
        <v>2.42</v>
      </c>
      <c r="P22" s="1512">
        <v>2.76</v>
      </c>
      <c r="Q22" s="1453">
        <v>0.94</v>
      </c>
      <c r="R22" s="1512">
        <v>3.51</v>
      </c>
      <c r="S22" s="1512">
        <v>4.4000000000000004</v>
      </c>
      <c r="T22" s="1512">
        <v>2.27</v>
      </c>
      <c r="U22" s="1512">
        <v>4.33</v>
      </c>
      <c r="V22" s="1512">
        <v>2.7</v>
      </c>
      <c r="W22" s="1512">
        <v>4.54</v>
      </c>
      <c r="X22" s="1512">
        <v>2.27</v>
      </c>
      <c r="Y22" s="1453">
        <v>1.28</v>
      </c>
      <c r="Z22" s="1513">
        <v>1.62</v>
      </c>
      <c r="AA22" s="1512">
        <v>2.5</v>
      </c>
      <c r="AB22" s="1453">
        <v>1.28</v>
      </c>
      <c r="AC22" s="1453">
        <v>0.72</v>
      </c>
      <c r="AD22" s="1513">
        <v>1.6</v>
      </c>
      <c r="AE22" s="1512">
        <v>2.2599999999999998</v>
      </c>
      <c r="AF22" s="1453">
        <v>0.9</v>
      </c>
      <c r="AG22" s="1512">
        <v>2.41</v>
      </c>
      <c r="AH22" s="1453">
        <v>0.97</v>
      </c>
      <c r="AI22" s="1513">
        <v>1.9</v>
      </c>
      <c r="AJ22" s="1436"/>
      <c r="AK22" s="1436"/>
      <c r="AL22" s="1436"/>
      <c r="AM22" s="604"/>
    </row>
    <row r="23" spans="1:39" x14ac:dyDescent="0.25">
      <c r="A23" s="226"/>
      <c r="B23" s="1766"/>
      <c r="C23" s="1786"/>
      <c r="D23" s="1774" t="s">
        <v>47</v>
      </c>
      <c r="E23" s="1478" t="s">
        <v>346</v>
      </c>
      <c r="F23" s="609" t="s">
        <v>473</v>
      </c>
      <c r="G23" s="1480"/>
      <c r="H23" s="1445" t="s">
        <v>468</v>
      </c>
      <c r="I23" s="1445" t="s">
        <v>468</v>
      </c>
      <c r="J23" s="1445" t="s">
        <v>468</v>
      </c>
      <c r="K23" s="1445" t="s">
        <v>468</v>
      </c>
      <c r="L23" s="1445" t="s">
        <v>468</v>
      </c>
      <c r="M23" s="1445" t="s">
        <v>468</v>
      </c>
      <c r="N23" s="1445" t="s">
        <v>468</v>
      </c>
      <c r="O23" s="1445" t="s">
        <v>468</v>
      </c>
      <c r="P23" s="1445" t="s">
        <v>468</v>
      </c>
      <c r="Q23" s="1445" t="s">
        <v>468</v>
      </c>
      <c r="R23" s="1445" t="s">
        <v>468</v>
      </c>
      <c r="S23" s="1445" t="s">
        <v>468</v>
      </c>
      <c r="T23" s="1445" t="s">
        <v>468</v>
      </c>
      <c r="U23" s="1445" t="s">
        <v>468</v>
      </c>
      <c r="V23" s="1445" t="s">
        <v>468</v>
      </c>
      <c r="W23" s="1445" t="s">
        <v>468</v>
      </c>
      <c r="X23" s="1445" t="s">
        <v>468</v>
      </c>
      <c r="Y23" s="1445" t="s">
        <v>468</v>
      </c>
      <c r="Z23" s="1445" t="s">
        <v>468</v>
      </c>
      <c r="AA23" s="1445" t="s">
        <v>468</v>
      </c>
      <c r="AB23" s="1445" t="s">
        <v>468</v>
      </c>
      <c r="AC23" s="1445" t="s">
        <v>468</v>
      </c>
      <c r="AD23" s="1445" t="s">
        <v>468</v>
      </c>
      <c r="AE23" s="1445" t="s">
        <v>468</v>
      </c>
      <c r="AF23" s="1445" t="s">
        <v>468</v>
      </c>
      <c r="AG23" s="1445" t="s">
        <v>468</v>
      </c>
      <c r="AH23" s="1445" t="s">
        <v>468</v>
      </c>
      <c r="AI23" s="1445" t="s">
        <v>468</v>
      </c>
      <c r="AJ23" s="1445" t="s">
        <v>468</v>
      </c>
      <c r="AK23" s="1445" t="s">
        <v>468</v>
      </c>
      <c r="AL23" s="1445" t="s">
        <v>468</v>
      </c>
      <c r="AM23" s="604"/>
    </row>
    <row r="24" spans="1:39" ht="14.25" thickBot="1" x14ac:dyDescent="0.3">
      <c r="A24" s="226"/>
      <c r="B24" s="1767"/>
      <c r="C24" s="1787"/>
      <c r="D24" s="1775"/>
      <c r="E24" s="1460" t="s">
        <v>347</v>
      </c>
      <c r="F24" s="1489">
        <v>16.3</v>
      </c>
      <c r="G24" s="1514">
        <v>0</v>
      </c>
      <c r="H24" s="1446">
        <v>1.5</v>
      </c>
      <c r="I24" s="1446" t="s">
        <v>468</v>
      </c>
      <c r="J24" s="1446">
        <v>0.9</v>
      </c>
      <c r="K24" s="1446">
        <v>1.1000000000000001</v>
      </c>
      <c r="L24" s="1446">
        <v>0.3</v>
      </c>
      <c r="M24" s="1446">
        <v>0.2</v>
      </c>
      <c r="N24" s="1446">
        <v>0.5</v>
      </c>
      <c r="O24" s="1446">
        <v>0.7</v>
      </c>
      <c r="P24" s="1446">
        <v>0.7</v>
      </c>
      <c r="Q24" s="1446">
        <v>0.1</v>
      </c>
      <c r="R24" s="1446">
        <v>0.4</v>
      </c>
      <c r="S24" s="1446">
        <v>0.8</v>
      </c>
      <c r="T24" s="1446">
        <v>0.5</v>
      </c>
      <c r="U24" s="1446">
        <v>1.4</v>
      </c>
      <c r="V24" s="1446">
        <v>0.8</v>
      </c>
      <c r="W24" s="1446">
        <v>1.4</v>
      </c>
      <c r="X24" s="1446">
        <v>0.6</v>
      </c>
      <c r="Y24" s="1446">
        <v>0.3</v>
      </c>
      <c r="Z24" s="1446">
        <v>0.5</v>
      </c>
      <c r="AA24" s="1446">
        <v>0.7</v>
      </c>
      <c r="AB24" s="1446">
        <v>0.3</v>
      </c>
      <c r="AC24" s="1446">
        <v>0.2</v>
      </c>
      <c r="AD24" s="1446">
        <v>0.4</v>
      </c>
      <c r="AE24" s="1446">
        <v>0.6</v>
      </c>
      <c r="AF24" s="1446">
        <v>0.2</v>
      </c>
      <c r="AG24" s="1446">
        <v>0.4</v>
      </c>
      <c r="AH24" s="1446">
        <v>0.3</v>
      </c>
      <c r="AI24" s="1446">
        <v>0.5</v>
      </c>
      <c r="AJ24" s="1448" t="s">
        <v>468</v>
      </c>
      <c r="AK24" s="1448" t="s">
        <v>468</v>
      </c>
      <c r="AL24" s="1448" t="s">
        <v>468</v>
      </c>
      <c r="AM24" s="610"/>
    </row>
    <row r="25" spans="1:39" s="194" customFormat="1" ht="14.45" customHeight="1" x14ac:dyDescent="0.25">
      <c r="A25" s="184"/>
      <c r="B25" s="1765"/>
      <c r="C25" s="1785" t="s">
        <v>533</v>
      </c>
      <c r="D25" s="1771" t="s">
        <v>340</v>
      </c>
      <c r="E25" s="616" t="s">
        <v>341</v>
      </c>
      <c r="F25" s="615" t="s">
        <v>473</v>
      </c>
      <c r="G25" s="598"/>
      <c r="H25" s="599"/>
      <c r="I25" s="599"/>
      <c r="J25" s="599"/>
      <c r="K25" s="600"/>
      <c r="L25" s="600"/>
      <c r="M25" s="600"/>
      <c r="N25" s="600"/>
      <c r="O25" s="600"/>
      <c r="P25" s="601"/>
      <c r="Q25" s="600"/>
      <c r="R25" s="600"/>
      <c r="S25" s="600"/>
      <c r="T25" s="600"/>
      <c r="U25" s="600"/>
      <c r="V25" s="600"/>
      <c r="W25" s="600"/>
      <c r="X25" s="600"/>
      <c r="Y25" s="600"/>
      <c r="Z25" s="600"/>
      <c r="AA25" s="600"/>
      <c r="AB25" s="600"/>
      <c r="AC25" s="600"/>
      <c r="AD25" s="600"/>
      <c r="AE25" s="600"/>
      <c r="AF25" s="600"/>
      <c r="AG25" s="600"/>
      <c r="AH25" s="600"/>
      <c r="AI25" s="600"/>
      <c r="AJ25" s="600"/>
      <c r="AK25" s="600"/>
      <c r="AL25" s="602"/>
      <c r="AM25" s="634"/>
    </row>
    <row r="26" spans="1:39" x14ac:dyDescent="0.25">
      <c r="A26" s="226"/>
      <c r="B26" s="1766"/>
      <c r="C26" s="1786"/>
      <c r="D26" s="1772"/>
      <c r="E26" s="1472" t="s">
        <v>342</v>
      </c>
      <c r="F26" s="1492" t="s">
        <v>473</v>
      </c>
      <c r="G26" s="1510">
        <v>0</v>
      </c>
      <c r="H26" s="1511"/>
      <c r="I26" s="1436"/>
      <c r="J26" s="1436"/>
      <c r="K26" s="1436"/>
      <c r="L26" s="1436"/>
      <c r="M26" s="1436"/>
      <c r="N26" s="1436"/>
      <c r="O26" s="1436"/>
      <c r="P26" s="1436"/>
      <c r="Q26" s="1436"/>
      <c r="R26" s="1436"/>
      <c r="S26" s="1436"/>
      <c r="T26" s="1436"/>
      <c r="U26" s="1436"/>
      <c r="V26" s="1436"/>
      <c r="W26" s="1436"/>
      <c r="X26" s="1436"/>
      <c r="Y26" s="1436"/>
      <c r="Z26" s="1436"/>
      <c r="AA26" s="1436"/>
      <c r="AB26" s="1436"/>
      <c r="AC26" s="1436"/>
      <c r="AD26" s="1436"/>
      <c r="AE26" s="1436"/>
      <c r="AF26" s="1436"/>
      <c r="AG26" s="1436"/>
      <c r="AH26" s="1436"/>
      <c r="AI26" s="1436"/>
      <c r="AJ26" s="1436"/>
      <c r="AK26" s="1436"/>
      <c r="AL26" s="1436"/>
      <c r="AM26" s="604"/>
    </row>
    <row r="27" spans="1:39" x14ac:dyDescent="0.25">
      <c r="A27" s="226"/>
      <c r="B27" s="1766"/>
      <c r="C27" s="1786"/>
      <c r="D27" s="1773"/>
      <c r="E27" s="1486" t="s">
        <v>312</v>
      </c>
      <c r="F27" s="1476"/>
      <c r="G27" s="1477"/>
      <c r="H27" s="605"/>
      <c r="I27" s="605"/>
      <c r="J27" s="605"/>
      <c r="K27" s="605"/>
      <c r="L27" s="605"/>
      <c r="M27" s="605"/>
      <c r="N27" s="605"/>
      <c r="O27" s="605"/>
      <c r="P27" s="606"/>
      <c r="Q27" s="605"/>
      <c r="R27" s="605"/>
      <c r="S27" s="605"/>
      <c r="T27" s="605"/>
      <c r="U27" s="605"/>
      <c r="V27" s="605"/>
      <c r="W27" s="605"/>
      <c r="X27" s="605"/>
      <c r="Y27" s="605"/>
      <c r="Z27" s="605"/>
      <c r="AA27" s="605"/>
      <c r="AB27" s="605"/>
      <c r="AC27" s="605"/>
      <c r="AD27" s="605"/>
      <c r="AE27" s="605"/>
      <c r="AF27" s="605"/>
      <c r="AG27" s="605"/>
      <c r="AH27" s="605"/>
      <c r="AI27" s="605"/>
      <c r="AJ27" s="605"/>
      <c r="AK27" s="605"/>
      <c r="AL27" s="607"/>
      <c r="AM27" s="604"/>
    </row>
    <row r="28" spans="1:39" x14ac:dyDescent="0.25">
      <c r="A28" s="226"/>
      <c r="B28" s="1766"/>
      <c r="C28" s="1786"/>
      <c r="D28" s="1774" t="s">
        <v>343</v>
      </c>
      <c r="E28" s="1478" t="s">
        <v>344</v>
      </c>
      <c r="F28" s="1479" t="s">
        <v>473</v>
      </c>
      <c r="G28" s="1480"/>
      <c r="H28" s="1445"/>
      <c r="I28" s="1445"/>
      <c r="J28" s="1445"/>
      <c r="K28" s="1437"/>
      <c r="L28" s="1437"/>
      <c r="M28" s="1437"/>
      <c r="N28" s="1437"/>
      <c r="O28" s="1437"/>
      <c r="P28" s="1438"/>
      <c r="Q28" s="1437"/>
      <c r="R28" s="1437"/>
      <c r="S28" s="1437"/>
      <c r="T28" s="1437"/>
      <c r="U28" s="1437"/>
      <c r="V28" s="1437"/>
      <c r="W28" s="1437"/>
      <c r="X28" s="1437"/>
      <c r="Y28" s="1437"/>
      <c r="Z28" s="1437"/>
      <c r="AA28" s="1437"/>
      <c r="AB28" s="1437"/>
      <c r="AC28" s="1437"/>
      <c r="AD28" s="1437"/>
      <c r="AE28" s="1437"/>
      <c r="AF28" s="1437"/>
      <c r="AG28" s="1437"/>
      <c r="AH28" s="1437"/>
      <c r="AI28" s="1437"/>
      <c r="AJ28" s="1437"/>
      <c r="AK28" s="1437"/>
      <c r="AL28" s="1439"/>
      <c r="AM28" s="604"/>
    </row>
    <row r="29" spans="1:39" x14ac:dyDescent="0.25">
      <c r="A29" s="226"/>
      <c r="B29" s="1766"/>
      <c r="C29" s="1786"/>
      <c r="D29" s="1773"/>
      <c r="E29" s="1455" t="s">
        <v>345</v>
      </c>
      <c r="F29" s="1492" t="s">
        <v>473</v>
      </c>
      <c r="G29" s="1510">
        <v>0</v>
      </c>
      <c r="H29" s="1511"/>
      <c r="I29" s="1436"/>
      <c r="J29" s="1436"/>
      <c r="K29" s="1436"/>
      <c r="L29" s="1436"/>
      <c r="M29" s="1436"/>
      <c r="N29" s="1436"/>
      <c r="O29" s="1436"/>
      <c r="P29" s="1436"/>
      <c r="Q29" s="1436"/>
      <c r="R29" s="1436"/>
      <c r="S29" s="1436"/>
      <c r="T29" s="1436"/>
      <c r="U29" s="1436"/>
      <c r="V29" s="1436"/>
      <c r="W29" s="1436"/>
      <c r="X29" s="1436"/>
      <c r="Y29" s="1436"/>
      <c r="Z29" s="1436"/>
      <c r="AA29" s="1436"/>
      <c r="AB29" s="1436"/>
      <c r="AC29" s="1436"/>
      <c r="AD29" s="1436"/>
      <c r="AE29" s="1436"/>
      <c r="AF29" s="1436"/>
      <c r="AG29" s="1436"/>
      <c r="AH29" s="1436"/>
      <c r="AI29" s="1436"/>
      <c r="AJ29" s="1436"/>
      <c r="AK29" s="1436"/>
      <c r="AL29" s="1436"/>
      <c r="AM29" s="604"/>
    </row>
    <row r="30" spans="1:39" x14ac:dyDescent="0.25">
      <c r="A30" s="226"/>
      <c r="B30" s="1766"/>
      <c r="C30" s="1786"/>
      <c r="D30" s="1774" t="s">
        <v>47</v>
      </c>
      <c r="E30" s="1478" t="s">
        <v>346</v>
      </c>
      <c r="F30" s="609" t="s">
        <v>473</v>
      </c>
      <c r="G30" s="1480"/>
      <c r="H30" s="1445" t="s">
        <v>468</v>
      </c>
      <c r="I30" s="1445" t="s">
        <v>468</v>
      </c>
      <c r="J30" s="1445" t="s">
        <v>468</v>
      </c>
      <c r="K30" s="1445" t="s">
        <v>468</v>
      </c>
      <c r="L30" s="1445" t="s">
        <v>468</v>
      </c>
      <c r="M30" s="1445" t="s">
        <v>468</v>
      </c>
      <c r="N30" s="1445" t="s">
        <v>468</v>
      </c>
      <c r="O30" s="1445" t="s">
        <v>468</v>
      </c>
      <c r="P30" s="1445" t="s">
        <v>468</v>
      </c>
      <c r="Q30" s="1445" t="s">
        <v>468</v>
      </c>
      <c r="R30" s="1445" t="s">
        <v>468</v>
      </c>
      <c r="S30" s="1445" t="s">
        <v>468</v>
      </c>
      <c r="T30" s="1445" t="s">
        <v>468</v>
      </c>
      <c r="U30" s="1445" t="s">
        <v>468</v>
      </c>
      <c r="V30" s="1445" t="s">
        <v>468</v>
      </c>
      <c r="W30" s="1445" t="s">
        <v>468</v>
      </c>
      <c r="X30" s="1445" t="s">
        <v>468</v>
      </c>
      <c r="Y30" s="1445" t="s">
        <v>468</v>
      </c>
      <c r="Z30" s="1445" t="s">
        <v>468</v>
      </c>
      <c r="AA30" s="1445" t="s">
        <v>468</v>
      </c>
      <c r="AB30" s="1445" t="s">
        <v>468</v>
      </c>
      <c r="AC30" s="1445" t="s">
        <v>468</v>
      </c>
      <c r="AD30" s="1445" t="s">
        <v>468</v>
      </c>
      <c r="AE30" s="1445" t="s">
        <v>468</v>
      </c>
      <c r="AF30" s="1445" t="s">
        <v>468</v>
      </c>
      <c r="AG30" s="1445" t="s">
        <v>468</v>
      </c>
      <c r="AH30" s="1445" t="s">
        <v>468</v>
      </c>
      <c r="AI30" s="1445" t="s">
        <v>468</v>
      </c>
      <c r="AJ30" s="1445" t="s">
        <v>468</v>
      </c>
      <c r="AK30" s="1445" t="s">
        <v>468</v>
      </c>
      <c r="AL30" s="1445" t="s">
        <v>468</v>
      </c>
      <c r="AM30" s="604"/>
    </row>
    <row r="31" spans="1:39" ht="14.25" thickBot="1" x14ac:dyDescent="0.3">
      <c r="A31" s="226"/>
      <c r="B31" s="1767"/>
      <c r="C31" s="1787"/>
      <c r="D31" s="1775"/>
      <c r="E31" s="1460" t="s">
        <v>347</v>
      </c>
      <c r="F31" s="1489" t="s">
        <v>473</v>
      </c>
      <c r="G31" s="1514">
        <v>0</v>
      </c>
      <c r="H31" s="1446" t="s">
        <v>473</v>
      </c>
      <c r="I31" s="1446" t="s">
        <v>468</v>
      </c>
      <c r="J31" s="1446" t="s">
        <v>468</v>
      </c>
      <c r="K31" s="1446" t="s">
        <v>468</v>
      </c>
      <c r="L31" s="1446" t="s">
        <v>468</v>
      </c>
      <c r="M31" s="1446" t="s">
        <v>468</v>
      </c>
      <c r="N31" s="1446" t="s">
        <v>468</v>
      </c>
      <c r="O31" s="1446" t="s">
        <v>468</v>
      </c>
      <c r="P31" s="1446" t="s">
        <v>468</v>
      </c>
      <c r="Q31" s="1446" t="s">
        <v>468</v>
      </c>
      <c r="R31" s="1446" t="s">
        <v>468</v>
      </c>
      <c r="S31" s="1446" t="s">
        <v>468</v>
      </c>
      <c r="T31" s="1446" t="s">
        <v>468</v>
      </c>
      <c r="U31" s="1446" t="s">
        <v>468</v>
      </c>
      <c r="V31" s="1446" t="s">
        <v>468</v>
      </c>
      <c r="W31" s="1446" t="s">
        <v>468</v>
      </c>
      <c r="X31" s="1446" t="s">
        <v>468</v>
      </c>
      <c r="Y31" s="1446" t="s">
        <v>468</v>
      </c>
      <c r="Z31" s="1446" t="s">
        <v>468</v>
      </c>
      <c r="AA31" s="1446" t="s">
        <v>468</v>
      </c>
      <c r="AB31" s="1446" t="s">
        <v>468</v>
      </c>
      <c r="AC31" s="1446" t="s">
        <v>468</v>
      </c>
      <c r="AD31" s="1446" t="s">
        <v>468</v>
      </c>
      <c r="AE31" s="1446" t="s">
        <v>468</v>
      </c>
      <c r="AF31" s="1446" t="s">
        <v>468</v>
      </c>
      <c r="AG31" s="1446" t="s">
        <v>468</v>
      </c>
      <c r="AH31" s="1446" t="s">
        <v>468</v>
      </c>
      <c r="AI31" s="1446" t="s">
        <v>468</v>
      </c>
      <c r="AJ31" s="1448" t="s">
        <v>468</v>
      </c>
      <c r="AK31" s="1448" t="s">
        <v>468</v>
      </c>
      <c r="AL31" s="1448" t="s">
        <v>468</v>
      </c>
      <c r="AM31" s="610"/>
    </row>
    <row r="32" spans="1:39" s="194" customFormat="1" ht="14.45" customHeight="1" x14ac:dyDescent="0.25">
      <c r="A32" s="184"/>
      <c r="B32" s="1765"/>
      <c r="C32" s="1785" t="s">
        <v>581</v>
      </c>
      <c r="D32" s="1771" t="s">
        <v>340</v>
      </c>
      <c r="E32" s="616" t="s">
        <v>341</v>
      </c>
      <c r="F32" s="615" t="s">
        <v>473</v>
      </c>
      <c r="G32" s="598"/>
      <c r="H32" s="599"/>
      <c r="I32" s="599"/>
      <c r="J32" s="599"/>
      <c r="K32" s="600"/>
      <c r="L32" s="600"/>
      <c r="M32" s="600"/>
      <c r="N32" s="600"/>
      <c r="O32" s="600"/>
      <c r="P32" s="601"/>
      <c r="Q32" s="600"/>
      <c r="R32" s="600"/>
      <c r="S32" s="600"/>
      <c r="T32" s="600"/>
      <c r="U32" s="600"/>
      <c r="V32" s="600"/>
      <c r="W32" s="600"/>
      <c r="X32" s="600"/>
      <c r="Y32" s="600"/>
      <c r="Z32" s="600"/>
      <c r="AA32" s="600"/>
      <c r="AB32" s="600"/>
      <c r="AC32" s="600"/>
      <c r="AD32" s="600"/>
      <c r="AE32" s="600"/>
      <c r="AF32" s="600"/>
      <c r="AG32" s="600"/>
      <c r="AH32" s="600"/>
      <c r="AI32" s="600"/>
      <c r="AJ32" s="600"/>
      <c r="AK32" s="600"/>
      <c r="AL32" s="602"/>
      <c r="AM32" s="634"/>
    </row>
    <row r="33" spans="1:39" x14ac:dyDescent="0.25">
      <c r="A33" s="226"/>
      <c r="B33" s="1766"/>
      <c r="C33" s="1786"/>
      <c r="D33" s="1772"/>
      <c r="E33" s="1472" t="s">
        <v>342</v>
      </c>
      <c r="F33" s="1484">
        <v>1084</v>
      </c>
      <c r="G33" s="1510">
        <v>0</v>
      </c>
      <c r="H33" s="1511">
        <v>84</v>
      </c>
      <c r="I33" s="1436"/>
      <c r="J33" s="1436"/>
      <c r="K33" s="1436"/>
      <c r="L33" s="1436">
        <v>84</v>
      </c>
      <c r="M33" s="1436">
        <v>120</v>
      </c>
      <c r="N33" s="1436">
        <v>63</v>
      </c>
      <c r="O33" s="1436"/>
      <c r="P33" s="1436">
        <v>71</v>
      </c>
      <c r="Q33" s="1436">
        <v>60</v>
      </c>
      <c r="R33" s="1436">
        <v>71</v>
      </c>
      <c r="S33" s="1436">
        <v>43</v>
      </c>
      <c r="T33" s="1436">
        <v>58</v>
      </c>
      <c r="U33" s="1436"/>
      <c r="V33" s="1436">
        <v>18</v>
      </c>
      <c r="W33" s="1436">
        <v>30</v>
      </c>
      <c r="X33" s="1436">
        <v>35</v>
      </c>
      <c r="Y33" s="1436">
        <v>56</v>
      </c>
      <c r="Z33" s="1436">
        <v>38</v>
      </c>
      <c r="AA33" s="1436">
        <v>24</v>
      </c>
      <c r="AB33" s="1436">
        <v>36</v>
      </c>
      <c r="AC33" s="1436">
        <v>36</v>
      </c>
      <c r="AD33" s="1436">
        <v>36</v>
      </c>
      <c r="AE33" s="1436">
        <v>38</v>
      </c>
      <c r="AF33" s="1436">
        <v>47</v>
      </c>
      <c r="AG33" s="1436">
        <v>24</v>
      </c>
      <c r="AH33" s="1436"/>
      <c r="AI33" s="1436">
        <v>12</v>
      </c>
      <c r="AJ33" s="1436"/>
      <c r="AK33" s="1436"/>
      <c r="AL33" s="1436"/>
      <c r="AM33" s="604"/>
    </row>
    <row r="34" spans="1:39" x14ac:dyDescent="0.25">
      <c r="A34" s="226"/>
      <c r="B34" s="1766"/>
      <c r="C34" s="1786"/>
      <c r="D34" s="1773"/>
      <c r="E34" s="1486" t="s">
        <v>312</v>
      </c>
      <c r="F34" s="1476"/>
      <c r="G34" s="1477"/>
      <c r="H34" s="605"/>
      <c r="I34" s="605"/>
      <c r="J34" s="605"/>
      <c r="K34" s="605"/>
      <c r="L34" s="605"/>
      <c r="M34" s="605"/>
      <c r="N34" s="605"/>
      <c r="O34" s="605"/>
      <c r="P34" s="606"/>
      <c r="Q34" s="605"/>
      <c r="R34" s="605"/>
      <c r="S34" s="605"/>
      <c r="T34" s="605"/>
      <c r="U34" s="605"/>
      <c r="V34" s="605"/>
      <c r="W34" s="605"/>
      <c r="X34" s="605"/>
      <c r="Y34" s="605"/>
      <c r="Z34" s="605"/>
      <c r="AA34" s="605"/>
      <c r="AB34" s="605"/>
      <c r="AC34" s="605"/>
      <c r="AD34" s="605"/>
      <c r="AE34" s="605"/>
      <c r="AF34" s="605"/>
      <c r="AG34" s="605"/>
      <c r="AH34" s="605"/>
      <c r="AI34" s="605"/>
      <c r="AJ34" s="605"/>
      <c r="AK34" s="605"/>
      <c r="AL34" s="607"/>
      <c r="AM34" s="604"/>
    </row>
    <row r="35" spans="1:39" x14ac:dyDescent="0.25">
      <c r="A35" s="226"/>
      <c r="B35" s="1766"/>
      <c r="C35" s="1786"/>
      <c r="D35" s="1774" t="s">
        <v>343</v>
      </c>
      <c r="E35" s="1478" t="s">
        <v>344</v>
      </c>
      <c r="F35" s="1479" t="s">
        <v>473</v>
      </c>
      <c r="G35" s="1480"/>
      <c r="H35" s="1445"/>
      <c r="I35" s="1445"/>
      <c r="J35" s="1445"/>
      <c r="K35" s="1437"/>
      <c r="L35" s="1437"/>
      <c r="M35" s="1437"/>
      <c r="N35" s="1437"/>
      <c r="O35" s="1437"/>
      <c r="P35" s="1438"/>
      <c r="Q35" s="1437"/>
      <c r="R35" s="1437"/>
      <c r="S35" s="1437"/>
      <c r="T35" s="1437"/>
      <c r="U35" s="1437"/>
      <c r="V35" s="1437"/>
      <c r="W35" s="1437"/>
      <c r="X35" s="1437"/>
      <c r="Y35" s="1437"/>
      <c r="Z35" s="1437"/>
      <c r="AA35" s="1437"/>
      <c r="AB35" s="1437"/>
      <c r="AC35" s="1437"/>
      <c r="AD35" s="1437"/>
      <c r="AE35" s="1437"/>
      <c r="AF35" s="1437"/>
      <c r="AG35" s="1437"/>
      <c r="AH35" s="1437"/>
      <c r="AI35" s="1437"/>
      <c r="AJ35" s="1437"/>
      <c r="AK35" s="1437"/>
      <c r="AL35" s="1439"/>
      <c r="AM35" s="604"/>
    </row>
    <row r="36" spans="1:39" x14ac:dyDescent="0.25">
      <c r="A36" s="226"/>
      <c r="B36" s="1766"/>
      <c r="C36" s="1786"/>
      <c r="D36" s="1773"/>
      <c r="E36" s="1455" t="s">
        <v>345</v>
      </c>
      <c r="F36" s="1492">
        <v>1.3</v>
      </c>
      <c r="G36" s="1510">
        <v>0</v>
      </c>
      <c r="H36" s="1511"/>
      <c r="I36" s="1436"/>
      <c r="J36" s="1436"/>
      <c r="K36" s="1436"/>
      <c r="L36" s="1512">
        <v>3.23</v>
      </c>
      <c r="M36" s="1512">
        <v>2.6</v>
      </c>
      <c r="N36" s="1436">
        <v>0.14000000000000001</v>
      </c>
      <c r="O36" s="1436"/>
      <c r="P36" s="1436">
        <v>0.28000000000000003</v>
      </c>
      <c r="Q36" s="1436">
        <v>0.41</v>
      </c>
      <c r="R36" s="1512">
        <v>2.09</v>
      </c>
      <c r="S36" s="1453">
        <v>1.1000000000000001</v>
      </c>
      <c r="T36" s="1513">
        <v>1.75</v>
      </c>
      <c r="U36" s="1512">
        <v>3.26</v>
      </c>
      <c r="V36" s="1453">
        <v>0.64</v>
      </c>
      <c r="W36" s="1512">
        <v>2.68</v>
      </c>
      <c r="X36" s="1453">
        <v>0.65</v>
      </c>
      <c r="Y36" s="1453">
        <v>1.1499999999999999</v>
      </c>
      <c r="Z36" s="1436">
        <v>0.24</v>
      </c>
      <c r="AA36" s="1436">
        <v>0.23</v>
      </c>
      <c r="AB36" s="1453">
        <v>0.63</v>
      </c>
      <c r="AC36" s="1513">
        <v>1.73</v>
      </c>
      <c r="AD36" s="1436">
        <v>0.41</v>
      </c>
      <c r="AE36" s="1436">
        <v>0.18</v>
      </c>
      <c r="AF36" s="1512">
        <v>2.1</v>
      </c>
      <c r="AG36" s="1512">
        <v>3.12</v>
      </c>
      <c r="AH36" s="1436"/>
      <c r="AI36" s="1436">
        <v>0.31</v>
      </c>
      <c r="AJ36" s="1436"/>
      <c r="AK36" s="1436"/>
      <c r="AL36" s="1436"/>
      <c r="AM36" s="604"/>
    </row>
    <row r="37" spans="1:39" x14ac:dyDescent="0.25">
      <c r="A37" s="226"/>
      <c r="B37" s="1766"/>
      <c r="C37" s="1786"/>
      <c r="D37" s="1774" t="s">
        <v>47</v>
      </c>
      <c r="E37" s="1478" t="s">
        <v>346</v>
      </c>
      <c r="F37" s="609" t="s">
        <v>473</v>
      </c>
      <c r="G37" s="1480"/>
      <c r="H37" s="1445" t="s">
        <v>468</v>
      </c>
      <c r="I37" s="1445" t="s">
        <v>468</v>
      </c>
      <c r="J37" s="1445" t="s">
        <v>468</v>
      </c>
      <c r="K37" s="1445" t="s">
        <v>468</v>
      </c>
      <c r="L37" s="1445" t="s">
        <v>468</v>
      </c>
      <c r="M37" s="1445" t="s">
        <v>468</v>
      </c>
      <c r="N37" s="1445" t="s">
        <v>468</v>
      </c>
      <c r="O37" s="1445" t="s">
        <v>468</v>
      </c>
      <c r="P37" s="1445" t="s">
        <v>468</v>
      </c>
      <c r="Q37" s="1445" t="s">
        <v>468</v>
      </c>
      <c r="R37" s="1445" t="s">
        <v>468</v>
      </c>
      <c r="S37" s="1445" t="s">
        <v>468</v>
      </c>
      <c r="T37" s="1445" t="s">
        <v>468</v>
      </c>
      <c r="U37" s="1445" t="s">
        <v>468</v>
      </c>
      <c r="V37" s="1445" t="s">
        <v>468</v>
      </c>
      <c r="W37" s="1445" t="s">
        <v>468</v>
      </c>
      <c r="X37" s="1445" t="s">
        <v>468</v>
      </c>
      <c r="Y37" s="1445" t="s">
        <v>468</v>
      </c>
      <c r="Z37" s="1445" t="s">
        <v>468</v>
      </c>
      <c r="AA37" s="1445" t="s">
        <v>468</v>
      </c>
      <c r="AB37" s="1445" t="s">
        <v>468</v>
      </c>
      <c r="AC37" s="1445" t="s">
        <v>468</v>
      </c>
      <c r="AD37" s="1445" t="s">
        <v>468</v>
      </c>
      <c r="AE37" s="1445" t="s">
        <v>468</v>
      </c>
      <c r="AF37" s="1445" t="s">
        <v>468</v>
      </c>
      <c r="AG37" s="1445" t="s">
        <v>468</v>
      </c>
      <c r="AH37" s="1445" t="s">
        <v>468</v>
      </c>
      <c r="AI37" s="1445" t="s">
        <v>468</v>
      </c>
      <c r="AJ37" s="1445" t="s">
        <v>468</v>
      </c>
      <c r="AK37" s="1445" t="s">
        <v>468</v>
      </c>
      <c r="AL37" s="1445" t="s">
        <v>468</v>
      </c>
      <c r="AM37" s="604"/>
    </row>
    <row r="38" spans="1:39" ht="14.25" thickBot="1" x14ac:dyDescent="0.3">
      <c r="A38" s="226"/>
      <c r="B38" s="1767"/>
      <c r="C38" s="1787"/>
      <c r="D38" s="1775"/>
      <c r="E38" s="1460" t="s">
        <v>347</v>
      </c>
      <c r="F38" s="1489">
        <v>1.4</v>
      </c>
      <c r="G38" s="1514">
        <v>0</v>
      </c>
      <c r="H38" s="1446" t="s">
        <v>473</v>
      </c>
      <c r="I38" s="1446" t="s">
        <v>468</v>
      </c>
      <c r="J38" s="1446" t="s">
        <v>468</v>
      </c>
      <c r="K38" s="1446" t="s">
        <v>468</v>
      </c>
      <c r="L38" s="1446">
        <v>0.3</v>
      </c>
      <c r="M38" s="1446">
        <v>0.3</v>
      </c>
      <c r="N38" s="1446">
        <v>0</v>
      </c>
      <c r="O38" s="1446" t="s">
        <v>468</v>
      </c>
      <c r="P38" s="1446">
        <v>0</v>
      </c>
      <c r="Q38" s="1446">
        <v>0</v>
      </c>
      <c r="R38" s="1446">
        <v>0.1</v>
      </c>
      <c r="S38" s="1446">
        <v>0</v>
      </c>
      <c r="T38" s="1446">
        <v>0.1</v>
      </c>
      <c r="U38" s="1446" t="s">
        <v>468</v>
      </c>
      <c r="V38" s="1446">
        <v>0</v>
      </c>
      <c r="W38" s="1446">
        <v>0.1</v>
      </c>
      <c r="X38" s="1446">
        <v>0</v>
      </c>
      <c r="Y38" s="1446">
        <v>0.1</v>
      </c>
      <c r="Z38" s="1446">
        <v>0</v>
      </c>
      <c r="AA38" s="1446">
        <v>0</v>
      </c>
      <c r="AB38" s="1446">
        <v>0</v>
      </c>
      <c r="AC38" s="1446">
        <v>0.1</v>
      </c>
      <c r="AD38" s="1446">
        <v>0</v>
      </c>
      <c r="AE38" s="1446">
        <v>0</v>
      </c>
      <c r="AF38" s="1446">
        <v>0.1</v>
      </c>
      <c r="AG38" s="1446">
        <v>0.1</v>
      </c>
      <c r="AH38" s="1446" t="s">
        <v>468</v>
      </c>
      <c r="AI38" s="1446">
        <v>0</v>
      </c>
      <c r="AJ38" s="1448" t="s">
        <v>468</v>
      </c>
      <c r="AK38" s="1448" t="s">
        <v>468</v>
      </c>
      <c r="AL38" s="1448" t="s">
        <v>468</v>
      </c>
      <c r="AM38" s="610"/>
    </row>
    <row r="39" spans="1:39" s="194" customFormat="1" ht="14.45" customHeight="1" x14ac:dyDescent="0.25">
      <c r="A39" s="184"/>
      <c r="B39" s="1765"/>
      <c r="C39" s="1785"/>
      <c r="D39" s="1771" t="s">
        <v>340</v>
      </c>
      <c r="E39" s="616" t="s">
        <v>341</v>
      </c>
      <c r="F39" s="615" t="s">
        <v>473</v>
      </c>
      <c r="G39" s="598"/>
      <c r="H39" s="599"/>
      <c r="I39" s="599"/>
      <c r="J39" s="599"/>
      <c r="K39" s="600"/>
      <c r="L39" s="600"/>
      <c r="M39" s="600"/>
      <c r="N39" s="600"/>
      <c r="O39" s="600"/>
      <c r="P39" s="601"/>
      <c r="Q39" s="600"/>
      <c r="R39" s="600"/>
      <c r="S39" s="600"/>
      <c r="T39" s="600"/>
      <c r="U39" s="600"/>
      <c r="V39" s="600"/>
      <c r="W39" s="600"/>
      <c r="X39" s="600"/>
      <c r="Y39" s="600"/>
      <c r="Z39" s="600"/>
      <c r="AA39" s="600"/>
      <c r="AB39" s="600"/>
      <c r="AC39" s="600"/>
      <c r="AD39" s="600"/>
      <c r="AE39" s="600"/>
      <c r="AF39" s="600"/>
      <c r="AG39" s="600"/>
      <c r="AH39" s="600"/>
      <c r="AI39" s="600"/>
      <c r="AJ39" s="600"/>
      <c r="AK39" s="600"/>
      <c r="AL39" s="602"/>
      <c r="AM39" s="634"/>
    </row>
    <row r="40" spans="1:39" x14ac:dyDescent="0.25">
      <c r="A40" s="226"/>
      <c r="B40" s="1766"/>
      <c r="C40" s="1786"/>
      <c r="D40" s="1772"/>
      <c r="E40" s="1472" t="s">
        <v>342</v>
      </c>
      <c r="F40" s="1492" t="s">
        <v>473</v>
      </c>
      <c r="G40" s="1510">
        <v>0</v>
      </c>
      <c r="H40" s="1511"/>
      <c r="I40" s="1436"/>
      <c r="J40" s="1436"/>
      <c r="K40" s="1436"/>
      <c r="L40" s="1436"/>
      <c r="M40" s="1436"/>
      <c r="N40" s="1436"/>
      <c r="O40" s="1436"/>
      <c r="P40" s="1436"/>
      <c r="Q40" s="1436"/>
      <c r="R40" s="1436"/>
      <c r="S40" s="1436"/>
      <c r="T40" s="1436"/>
      <c r="U40" s="1436"/>
      <c r="V40" s="1436"/>
      <c r="W40" s="1436"/>
      <c r="X40" s="1436"/>
      <c r="Y40" s="1436"/>
      <c r="Z40" s="1436"/>
      <c r="AA40" s="1436"/>
      <c r="AB40" s="1436"/>
      <c r="AC40" s="1436"/>
      <c r="AD40" s="1436"/>
      <c r="AE40" s="1436"/>
      <c r="AF40" s="1436"/>
      <c r="AG40" s="1436"/>
      <c r="AH40" s="1436"/>
      <c r="AI40" s="1436"/>
      <c r="AJ40" s="1436"/>
      <c r="AK40" s="1436"/>
      <c r="AL40" s="1436"/>
      <c r="AM40" s="604"/>
    </row>
    <row r="41" spans="1:39" x14ac:dyDescent="0.25">
      <c r="A41" s="226"/>
      <c r="B41" s="1766"/>
      <c r="C41" s="1786"/>
      <c r="D41" s="1773"/>
      <c r="E41" s="1486" t="s">
        <v>312</v>
      </c>
      <c r="F41" s="1476"/>
      <c r="G41" s="1477"/>
      <c r="H41" s="605"/>
      <c r="I41" s="605"/>
      <c r="J41" s="605"/>
      <c r="K41" s="605"/>
      <c r="L41" s="605"/>
      <c r="M41" s="605"/>
      <c r="N41" s="605"/>
      <c r="O41" s="605"/>
      <c r="P41" s="606"/>
      <c r="Q41" s="605"/>
      <c r="R41" s="605"/>
      <c r="S41" s="605"/>
      <c r="T41" s="605"/>
      <c r="U41" s="605"/>
      <c r="V41" s="605"/>
      <c r="W41" s="605"/>
      <c r="X41" s="605"/>
      <c r="Y41" s="605"/>
      <c r="Z41" s="605"/>
      <c r="AA41" s="605"/>
      <c r="AB41" s="605"/>
      <c r="AC41" s="605"/>
      <c r="AD41" s="605"/>
      <c r="AE41" s="605"/>
      <c r="AF41" s="605"/>
      <c r="AG41" s="605"/>
      <c r="AH41" s="605"/>
      <c r="AI41" s="605"/>
      <c r="AJ41" s="605"/>
      <c r="AK41" s="605"/>
      <c r="AL41" s="607"/>
      <c r="AM41" s="604"/>
    </row>
    <row r="42" spans="1:39" x14ac:dyDescent="0.25">
      <c r="A42" s="226"/>
      <c r="B42" s="1766"/>
      <c r="C42" s="1786"/>
      <c r="D42" s="1774" t="s">
        <v>343</v>
      </c>
      <c r="E42" s="1478" t="s">
        <v>344</v>
      </c>
      <c r="F42" s="1479" t="s">
        <v>473</v>
      </c>
      <c r="G42" s="1480"/>
      <c r="H42" s="1445"/>
      <c r="I42" s="1445"/>
      <c r="J42" s="1445"/>
      <c r="K42" s="1437"/>
      <c r="L42" s="1437"/>
      <c r="M42" s="1437"/>
      <c r="N42" s="1437"/>
      <c r="O42" s="1437"/>
      <c r="P42" s="1438"/>
      <c r="Q42" s="1437"/>
      <c r="R42" s="1437"/>
      <c r="S42" s="1437"/>
      <c r="T42" s="1437"/>
      <c r="U42" s="1437"/>
      <c r="V42" s="1437"/>
      <c r="W42" s="1437"/>
      <c r="X42" s="1437"/>
      <c r="Y42" s="1437"/>
      <c r="Z42" s="1437"/>
      <c r="AA42" s="1437"/>
      <c r="AB42" s="1437"/>
      <c r="AC42" s="1437"/>
      <c r="AD42" s="1437"/>
      <c r="AE42" s="1437"/>
      <c r="AF42" s="1437"/>
      <c r="AG42" s="1437"/>
      <c r="AH42" s="1437"/>
      <c r="AI42" s="1437"/>
      <c r="AJ42" s="1437"/>
      <c r="AK42" s="1437"/>
      <c r="AL42" s="1439"/>
      <c r="AM42" s="604"/>
    </row>
    <row r="43" spans="1:39" x14ac:dyDescent="0.25">
      <c r="A43" s="226"/>
      <c r="B43" s="1766"/>
      <c r="C43" s="1786"/>
      <c r="D43" s="1773"/>
      <c r="E43" s="1455" t="s">
        <v>345</v>
      </c>
      <c r="F43" s="1492" t="s">
        <v>473</v>
      </c>
      <c r="G43" s="1510">
        <v>0</v>
      </c>
      <c r="H43" s="1511"/>
      <c r="I43" s="1436"/>
      <c r="J43" s="1436"/>
      <c r="K43" s="1436"/>
      <c r="L43" s="1436"/>
      <c r="M43" s="1436"/>
      <c r="N43" s="1436"/>
      <c r="O43" s="1436"/>
      <c r="P43" s="1436"/>
      <c r="Q43" s="1436"/>
      <c r="R43" s="1436"/>
      <c r="S43" s="1436"/>
      <c r="T43" s="1436"/>
      <c r="U43" s="1436"/>
      <c r="V43" s="1436"/>
      <c r="W43" s="1436"/>
      <c r="X43" s="1436"/>
      <c r="Y43" s="1436"/>
      <c r="Z43" s="1436"/>
      <c r="AA43" s="1436"/>
      <c r="AB43" s="1436"/>
      <c r="AC43" s="1436"/>
      <c r="AD43" s="1436"/>
      <c r="AE43" s="1436"/>
      <c r="AF43" s="1436"/>
      <c r="AG43" s="1436"/>
      <c r="AH43" s="1436"/>
      <c r="AI43" s="1436"/>
      <c r="AJ43" s="1436"/>
      <c r="AK43" s="1436"/>
      <c r="AL43" s="1436"/>
      <c r="AM43" s="604"/>
    </row>
    <row r="44" spans="1:39" x14ac:dyDescent="0.25">
      <c r="A44" s="226"/>
      <c r="B44" s="1766"/>
      <c r="C44" s="1786"/>
      <c r="D44" s="1774" t="s">
        <v>47</v>
      </c>
      <c r="E44" s="1478" t="s">
        <v>346</v>
      </c>
      <c r="F44" s="609" t="s">
        <v>473</v>
      </c>
      <c r="G44" s="1480"/>
      <c r="H44" s="1445" t="s">
        <v>468</v>
      </c>
      <c r="I44" s="1445" t="s">
        <v>468</v>
      </c>
      <c r="J44" s="1445" t="s">
        <v>468</v>
      </c>
      <c r="K44" s="1445" t="s">
        <v>468</v>
      </c>
      <c r="L44" s="1445" t="s">
        <v>468</v>
      </c>
      <c r="M44" s="1445" t="s">
        <v>468</v>
      </c>
      <c r="N44" s="1445" t="s">
        <v>468</v>
      </c>
      <c r="O44" s="1445" t="s">
        <v>468</v>
      </c>
      <c r="P44" s="1445" t="s">
        <v>468</v>
      </c>
      <c r="Q44" s="1445" t="s">
        <v>468</v>
      </c>
      <c r="R44" s="1445" t="s">
        <v>468</v>
      </c>
      <c r="S44" s="1445" t="s">
        <v>468</v>
      </c>
      <c r="T44" s="1445" t="s">
        <v>468</v>
      </c>
      <c r="U44" s="1445" t="s">
        <v>468</v>
      </c>
      <c r="V44" s="1445" t="s">
        <v>468</v>
      </c>
      <c r="W44" s="1445" t="s">
        <v>468</v>
      </c>
      <c r="X44" s="1445" t="s">
        <v>468</v>
      </c>
      <c r="Y44" s="1445" t="s">
        <v>468</v>
      </c>
      <c r="Z44" s="1445" t="s">
        <v>468</v>
      </c>
      <c r="AA44" s="1445" t="s">
        <v>468</v>
      </c>
      <c r="AB44" s="1445" t="s">
        <v>468</v>
      </c>
      <c r="AC44" s="1445" t="s">
        <v>468</v>
      </c>
      <c r="AD44" s="1445" t="s">
        <v>468</v>
      </c>
      <c r="AE44" s="1445" t="s">
        <v>468</v>
      </c>
      <c r="AF44" s="1445" t="s">
        <v>468</v>
      </c>
      <c r="AG44" s="1445" t="s">
        <v>468</v>
      </c>
      <c r="AH44" s="1445" t="s">
        <v>468</v>
      </c>
      <c r="AI44" s="1445" t="s">
        <v>468</v>
      </c>
      <c r="AJ44" s="1445" t="s">
        <v>468</v>
      </c>
      <c r="AK44" s="1445" t="s">
        <v>468</v>
      </c>
      <c r="AL44" s="1445" t="s">
        <v>468</v>
      </c>
      <c r="AM44" s="604"/>
    </row>
    <row r="45" spans="1:39" ht="14.25" thickBot="1" x14ac:dyDescent="0.3">
      <c r="A45" s="226"/>
      <c r="B45" s="1767"/>
      <c r="C45" s="1787"/>
      <c r="D45" s="1775"/>
      <c r="E45" s="1460" t="s">
        <v>347</v>
      </c>
      <c r="F45" s="1489" t="s">
        <v>473</v>
      </c>
      <c r="G45" s="1514">
        <v>0</v>
      </c>
      <c r="H45" s="1446" t="s">
        <v>473</v>
      </c>
      <c r="I45" s="1446" t="s">
        <v>468</v>
      </c>
      <c r="J45" s="1446" t="s">
        <v>468</v>
      </c>
      <c r="K45" s="1446" t="s">
        <v>468</v>
      </c>
      <c r="L45" s="1446" t="s">
        <v>468</v>
      </c>
      <c r="M45" s="1446" t="s">
        <v>468</v>
      </c>
      <c r="N45" s="1446" t="s">
        <v>468</v>
      </c>
      <c r="O45" s="1446" t="s">
        <v>468</v>
      </c>
      <c r="P45" s="1446" t="s">
        <v>468</v>
      </c>
      <c r="Q45" s="1446" t="s">
        <v>468</v>
      </c>
      <c r="R45" s="1446" t="s">
        <v>468</v>
      </c>
      <c r="S45" s="1446" t="s">
        <v>468</v>
      </c>
      <c r="T45" s="1446" t="s">
        <v>468</v>
      </c>
      <c r="U45" s="1446" t="s">
        <v>468</v>
      </c>
      <c r="V45" s="1446" t="s">
        <v>468</v>
      </c>
      <c r="W45" s="1446" t="s">
        <v>468</v>
      </c>
      <c r="X45" s="1446" t="s">
        <v>468</v>
      </c>
      <c r="Y45" s="1446" t="s">
        <v>468</v>
      </c>
      <c r="Z45" s="1446" t="s">
        <v>468</v>
      </c>
      <c r="AA45" s="1446" t="s">
        <v>468</v>
      </c>
      <c r="AB45" s="1446" t="s">
        <v>468</v>
      </c>
      <c r="AC45" s="1446" t="s">
        <v>468</v>
      </c>
      <c r="AD45" s="1446" t="s">
        <v>468</v>
      </c>
      <c r="AE45" s="1446" t="s">
        <v>468</v>
      </c>
      <c r="AF45" s="1446" t="s">
        <v>468</v>
      </c>
      <c r="AG45" s="1446" t="s">
        <v>468</v>
      </c>
      <c r="AH45" s="1446" t="s">
        <v>468</v>
      </c>
      <c r="AI45" s="1446" t="s">
        <v>468</v>
      </c>
      <c r="AJ45" s="1448" t="s">
        <v>468</v>
      </c>
      <c r="AK45" s="1448" t="s">
        <v>468</v>
      </c>
      <c r="AL45" s="1448" t="s">
        <v>468</v>
      </c>
      <c r="AM45" s="610"/>
    </row>
    <row r="46" spans="1:39" s="194" customFormat="1" ht="14.45" customHeight="1" x14ac:dyDescent="0.25">
      <c r="A46" s="184"/>
      <c r="B46" s="1765"/>
      <c r="C46" s="1785" t="s">
        <v>544</v>
      </c>
      <c r="D46" s="1771" t="s">
        <v>340</v>
      </c>
      <c r="E46" s="616" t="s">
        <v>341</v>
      </c>
      <c r="F46" s="615" t="s">
        <v>473</v>
      </c>
      <c r="G46" s="598"/>
      <c r="H46" s="599"/>
      <c r="I46" s="599"/>
      <c r="J46" s="599"/>
      <c r="K46" s="600"/>
      <c r="L46" s="600"/>
      <c r="M46" s="600"/>
      <c r="N46" s="600"/>
      <c r="O46" s="600"/>
      <c r="P46" s="601"/>
      <c r="Q46" s="600"/>
      <c r="R46" s="600"/>
      <c r="S46" s="600"/>
      <c r="T46" s="600"/>
      <c r="U46" s="600"/>
      <c r="V46" s="600"/>
      <c r="W46" s="600"/>
      <c r="X46" s="600"/>
      <c r="Y46" s="600"/>
      <c r="Z46" s="600"/>
      <c r="AA46" s="600"/>
      <c r="AB46" s="600"/>
      <c r="AC46" s="600"/>
      <c r="AD46" s="600"/>
      <c r="AE46" s="600"/>
      <c r="AF46" s="600"/>
      <c r="AG46" s="600"/>
      <c r="AH46" s="600"/>
      <c r="AI46" s="600"/>
      <c r="AJ46" s="600"/>
      <c r="AK46" s="600"/>
      <c r="AL46" s="602"/>
      <c r="AM46" s="634"/>
    </row>
    <row r="47" spans="1:39" x14ac:dyDescent="0.25">
      <c r="A47" s="226"/>
      <c r="B47" s="1766"/>
      <c r="C47" s="1786"/>
      <c r="D47" s="1772"/>
      <c r="E47" s="1472" t="s">
        <v>342</v>
      </c>
      <c r="F47" s="1484">
        <v>2393</v>
      </c>
      <c r="G47" s="1510">
        <v>0</v>
      </c>
      <c r="H47" s="1511">
        <v>111</v>
      </c>
      <c r="I47" s="1436"/>
      <c r="J47" s="1436">
        <v>25</v>
      </c>
      <c r="K47" s="1436"/>
      <c r="L47" s="1436"/>
      <c r="M47" s="1436">
        <v>56</v>
      </c>
      <c r="N47" s="1436"/>
      <c r="O47" s="1436"/>
      <c r="P47" s="1436">
        <v>105</v>
      </c>
      <c r="Q47" s="1436">
        <v>103</v>
      </c>
      <c r="R47" s="1436">
        <v>153</v>
      </c>
      <c r="S47" s="1436">
        <v>179</v>
      </c>
      <c r="T47" s="1436">
        <v>29</v>
      </c>
      <c r="U47" s="1436">
        <v>97</v>
      </c>
      <c r="V47" s="1436">
        <v>65</v>
      </c>
      <c r="W47" s="1436">
        <v>80</v>
      </c>
      <c r="X47" s="1436">
        <v>140</v>
      </c>
      <c r="Y47" s="1436">
        <v>119</v>
      </c>
      <c r="Z47" s="1436">
        <v>107</v>
      </c>
      <c r="AA47" s="1436">
        <v>104</v>
      </c>
      <c r="AB47" s="1436">
        <v>147</v>
      </c>
      <c r="AC47" s="1436"/>
      <c r="AD47" s="1436">
        <v>162</v>
      </c>
      <c r="AE47" s="1436">
        <v>78</v>
      </c>
      <c r="AF47" s="1436">
        <v>72</v>
      </c>
      <c r="AG47" s="1436">
        <v>170</v>
      </c>
      <c r="AH47" s="1436">
        <v>150</v>
      </c>
      <c r="AI47" s="1436">
        <v>141</v>
      </c>
      <c r="AJ47" s="1436"/>
      <c r="AK47" s="1436"/>
      <c r="AL47" s="1436"/>
      <c r="AM47" s="604"/>
    </row>
    <row r="48" spans="1:39" x14ac:dyDescent="0.25">
      <c r="A48" s="226"/>
      <c r="B48" s="1766"/>
      <c r="C48" s="1786"/>
      <c r="D48" s="1773"/>
      <c r="E48" s="1486" t="s">
        <v>312</v>
      </c>
      <c r="F48" s="1476"/>
      <c r="G48" s="1477"/>
      <c r="H48" s="605"/>
      <c r="I48" s="605"/>
      <c r="J48" s="605"/>
      <c r="K48" s="605"/>
      <c r="L48" s="605"/>
      <c r="M48" s="605"/>
      <c r="N48" s="605"/>
      <c r="O48" s="605"/>
      <c r="P48" s="606"/>
      <c r="Q48" s="605"/>
      <c r="R48" s="605"/>
      <c r="S48" s="605"/>
      <c r="T48" s="605"/>
      <c r="U48" s="605"/>
      <c r="V48" s="605"/>
      <c r="W48" s="605"/>
      <c r="X48" s="605"/>
      <c r="Y48" s="605" t="s">
        <v>361</v>
      </c>
      <c r="Z48" s="605"/>
      <c r="AA48" s="605"/>
      <c r="AB48" s="605"/>
      <c r="AC48" s="605"/>
      <c r="AD48" s="605"/>
      <c r="AE48" s="605"/>
      <c r="AF48" s="605"/>
      <c r="AG48" s="605"/>
      <c r="AH48" s="605"/>
      <c r="AI48" s="605"/>
      <c r="AJ48" s="605"/>
      <c r="AK48" s="605"/>
      <c r="AL48" s="607"/>
      <c r="AM48" s="604"/>
    </row>
    <row r="49" spans="1:39" x14ac:dyDescent="0.25">
      <c r="A49" s="226"/>
      <c r="B49" s="1766"/>
      <c r="C49" s="1786"/>
      <c r="D49" s="1774" t="s">
        <v>343</v>
      </c>
      <c r="E49" s="1478" t="s">
        <v>344</v>
      </c>
      <c r="F49" s="1479" t="s">
        <v>473</v>
      </c>
      <c r="G49" s="1480"/>
      <c r="H49" s="1445"/>
      <c r="I49" s="1445"/>
      <c r="J49" s="1445"/>
      <c r="K49" s="1437"/>
      <c r="L49" s="1437"/>
      <c r="M49" s="1437"/>
      <c r="N49" s="1437"/>
      <c r="O49" s="1437"/>
      <c r="P49" s="1438"/>
      <c r="Q49" s="1437"/>
      <c r="R49" s="1437"/>
      <c r="S49" s="1437"/>
      <c r="T49" s="1437"/>
      <c r="U49" s="1437"/>
      <c r="V49" s="1437"/>
      <c r="W49" s="1437"/>
      <c r="X49" s="1437"/>
      <c r="Y49" s="1437"/>
      <c r="Z49" s="1437"/>
      <c r="AA49" s="1437"/>
      <c r="AB49" s="1437"/>
      <c r="AC49" s="1437"/>
      <c r="AD49" s="1437"/>
      <c r="AE49" s="1437"/>
      <c r="AF49" s="1437"/>
      <c r="AG49" s="1437"/>
      <c r="AH49" s="1437"/>
      <c r="AI49" s="1437"/>
      <c r="AJ49" s="1437"/>
      <c r="AK49" s="1437"/>
      <c r="AL49" s="1439"/>
      <c r="AM49" s="604"/>
    </row>
    <row r="50" spans="1:39" x14ac:dyDescent="0.25">
      <c r="A50" s="226"/>
      <c r="B50" s="1766"/>
      <c r="C50" s="1786"/>
      <c r="D50" s="1773"/>
      <c r="E50" s="1455" t="s">
        <v>345</v>
      </c>
      <c r="F50" s="1492">
        <v>1.56</v>
      </c>
      <c r="G50" s="1510">
        <v>0</v>
      </c>
      <c r="H50" s="1515">
        <v>1.34</v>
      </c>
      <c r="I50" s="1453">
        <v>0.79</v>
      </c>
      <c r="J50" s="1453">
        <v>0.79</v>
      </c>
      <c r="K50" s="1436"/>
      <c r="L50" s="1436"/>
      <c r="M50" s="1453">
        <v>1.21</v>
      </c>
      <c r="N50" s="1512">
        <v>2.93</v>
      </c>
      <c r="O50" s="1436"/>
      <c r="P50" s="1453">
        <v>1.37</v>
      </c>
      <c r="Q50" s="1453">
        <v>1.28</v>
      </c>
      <c r="R50" s="1512">
        <v>2.92</v>
      </c>
      <c r="S50" s="1453">
        <v>0.85</v>
      </c>
      <c r="T50" s="1453">
        <v>1.46</v>
      </c>
      <c r="U50" s="1512">
        <v>2.85</v>
      </c>
      <c r="V50" s="1513">
        <v>1.68</v>
      </c>
      <c r="W50" s="1453">
        <v>1.24</v>
      </c>
      <c r="X50" s="1512">
        <v>2.23</v>
      </c>
      <c r="Y50" s="1453">
        <v>1.22</v>
      </c>
      <c r="Z50" s="1453">
        <v>1.32</v>
      </c>
      <c r="AA50" s="1513">
        <v>1.63</v>
      </c>
      <c r="AB50" s="1512">
        <v>2.73</v>
      </c>
      <c r="AC50" s="1512">
        <v>3</v>
      </c>
      <c r="AD50" s="1453">
        <v>0.83</v>
      </c>
      <c r="AE50" s="1436">
        <v>0.24</v>
      </c>
      <c r="AF50" s="1512">
        <v>2.2799999999999998</v>
      </c>
      <c r="AG50" s="1453">
        <v>0.93</v>
      </c>
      <c r="AH50" s="1453">
        <v>1.45</v>
      </c>
      <c r="AI50" s="1513">
        <v>1.66</v>
      </c>
      <c r="AJ50" s="1436"/>
      <c r="AK50" s="1436"/>
      <c r="AL50" s="1436"/>
      <c r="AM50" s="604"/>
    </row>
    <row r="51" spans="1:39" x14ac:dyDescent="0.25">
      <c r="A51" s="226"/>
      <c r="B51" s="1766"/>
      <c r="C51" s="1786"/>
      <c r="D51" s="1774" t="s">
        <v>47</v>
      </c>
      <c r="E51" s="1478" t="s">
        <v>346</v>
      </c>
      <c r="F51" s="609" t="s">
        <v>473</v>
      </c>
      <c r="G51" s="1480"/>
      <c r="H51" s="1445" t="s">
        <v>468</v>
      </c>
      <c r="I51" s="1445" t="s">
        <v>468</v>
      </c>
      <c r="J51" s="1445" t="s">
        <v>468</v>
      </c>
      <c r="K51" s="1445" t="s">
        <v>468</v>
      </c>
      <c r="L51" s="1445" t="s">
        <v>468</v>
      </c>
      <c r="M51" s="1445" t="s">
        <v>468</v>
      </c>
      <c r="N51" s="1445" t="s">
        <v>468</v>
      </c>
      <c r="O51" s="1445" t="s">
        <v>468</v>
      </c>
      <c r="P51" s="1445" t="s">
        <v>468</v>
      </c>
      <c r="Q51" s="1445" t="s">
        <v>468</v>
      </c>
      <c r="R51" s="1445" t="s">
        <v>468</v>
      </c>
      <c r="S51" s="1445" t="s">
        <v>468</v>
      </c>
      <c r="T51" s="1445" t="s">
        <v>468</v>
      </c>
      <c r="U51" s="1445" t="s">
        <v>468</v>
      </c>
      <c r="V51" s="1445" t="s">
        <v>468</v>
      </c>
      <c r="W51" s="1445" t="s">
        <v>468</v>
      </c>
      <c r="X51" s="1445" t="s">
        <v>468</v>
      </c>
      <c r="Y51" s="1445" t="s">
        <v>468</v>
      </c>
      <c r="Z51" s="1445" t="s">
        <v>468</v>
      </c>
      <c r="AA51" s="1445" t="s">
        <v>468</v>
      </c>
      <c r="AB51" s="1445" t="s">
        <v>468</v>
      </c>
      <c r="AC51" s="1445" t="s">
        <v>468</v>
      </c>
      <c r="AD51" s="1445" t="s">
        <v>468</v>
      </c>
      <c r="AE51" s="1445" t="s">
        <v>468</v>
      </c>
      <c r="AF51" s="1445" t="s">
        <v>468</v>
      </c>
      <c r="AG51" s="1445" t="s">
        <v>468</v>
      </c>
      <c r="AH51" s="1445" t="s">
        <v>468</v>
      </c>
      <c r="AI51" s="1445" t="s">
        <v>468</v>
      </c>
      <c r="AJ51" s="1445" t="s">
        <v>468</v>
      </c>
      <c r="AK51" s="1445" t="s">
        <v>468</v>
      </c>
      <c r="AL51" s="1445" t="s">
        <v>468</v>
      </c>
      <c r="AM51" s="604"/>
    </row>
    <row r="52" spans="1:39" ht="14.25" thickBot="1" x14ac:dyDescent="0.3">
      <c r="A52" s="226"/>
      <c r="B52" s="1767"/>
      <c r="C52" s="1787"/>
      <c r="D52" s="1775"/>
      <c r="E52" s="1460" t="s">
        <v>347</v>
      </c>
      <c r="F52" s="1489">
        <v>3.7</v>
      </c>
      <c r="G52" s="1514">
        <v>0</v>
      </c>
      <c r="H52" s="1446">
        <v>0.1</v>
      </c>
      <c r="I52" s="1446" t="s">
        <v>468</v>
      </c>
      <c r="J52" s="1446">
        <v>0</v>
      </c>
      <c r="K52" s="1446" t="s">
        <v>468</v>
      </c>
      <c r="L52" s="1446" t="s">
        <v>468</v>
      </c>
      <c r="M52" s="1446">
        <v>0.1</v>
      </c>
      <c r="N52" s="1446" t="s">
        <v>468</v>
      </c>
      <c r="O52" s="1446" t="s">
        <v>468</v>
      </c>
      <c r="P52" s="1446">
        <v>0.1</v>
      </c>
      <c r="Q52" s="1446">
        <v>0.1</v>
      </c>
      <c r="R52" s="1446">
        <v>0.4</v>
      </c>
      <c r="S52" s="1446">
        <v>0.2</v>
      </c>
      <c r="T52" s="1446">
        <v>0</v>
      </c>
      <c r="U52" s="1446">
        <v>0.3</v>
      </c>
      <c r="V52" s="1446">
        <v>0.1</v>
      </c>
      <c r="W52" s="1446">
        <v>0.1</v>
      </c>
      <c r="X52" s="1446">
        <v>0.3</v>
      </c>
      <c r="Y52" s="1446">
        <v>0.1</v>
      </c>
      <c r="Z52" s="1446">
        <v>0.1</v>
      </c>
      <c r="AA52" s="1446">
        <v>0.2</v>
      </c>
      <c r="AB52" s="1446">
        <v>0.4</v>
      </c>
      <c r="AC52" s="1446" t="s">
        <v>468</v>
      </c>
      <c r="AD52" s="1446">
        <v>0.1</v>
      </c>
      <c r="AE52" s="1446">
        <v>0</v>
      </c>
      <c r="AF52" s="1446">
        <v>0.2</v>
      </c>
      <c r="AG52" s="1446">
        <v>0.2</v>
      </c>
      <c r="AH52" s="1446">
        <v>0.2</v>
      </c>
      <c r="AI52" s="1446">
        <v>0.2</v>
      </c>
      <c r="AJ52" s="1448" t="s">
        <v>468</v>
      </c>
      <c r="AK52" s="1448" t="s">
        <v>468</v>
      </c>
      <c r="AL52" s="1448" t="s">
        <v>468</v>
      </c>
      <c r="AM52" s="610"/>
    </row>
    <row r="53" spans="1:39" s="194" customFormat="1" ht="14.45" customHeight="1" x14ac:dyDescent="0.25">
      <c r="A53" s="184"/>
      <c r="B53" s="1765"/>
      <c r="C53" s="1785" t="s">
        <v>549</v>
      </c>
      <c r="D53" s="1771" t="s">
        <v>340</v>
      </c>
      <c r="E53" s="616" t="s">
        <v>341</v>
      </c>
      <c r="F53" s="615" t="s">
        <v>473</v>
      </c>
      <c r="G53" s="598"/>
      <c r="H53" s="599"/>
      <c r="I53" s="599"/>
      <c r="J53" s="599"/>
      <c r="K53" s="600"/>
      <c r="L53" s="600"/>
      <c r="M53" s="600"/>
      <c r="N53" s="600"/>
      <c r="O53" s="600"/>
      <c r="P53" s="601"/>
      <c r="Q53" s="600"/>
      <c r="R53" s="600"/>
      <c r="S53" s="600"/>
      <c r="T53" s="600"/>
      <c r="U53" s="600"/>
      <c r="V53" s="600"/>
      <c r="W53" s="600"/>
      <c r="X53" s="600"/>
      <c r="Y53" s="600"/>
      <c r="Z53" s="600"/>
      <c r="AA53" s="600"/>
      <c r="AB53" s="600"/>
      <c r="AC53" s="600"/>
      <c r="AD53" s="600"/>
      <c r="AE53" s="600"/>
      <c r="AF53" s="600"/>
      <c r="AG53" s="600"/>
      <c r="AH53" s="600"/>
      <c r="AI53" s="600"/>
      <c r="AJ53" s="600"/>
      <c r="AK53" s="600"/>
      <c r="AL53" s="602"/>
      <c r="AM53" s="634"/>
    </row>
    <row r="54" spans="1:39" x14ac:dyDescent="0.25">
      <c r="A54" s="226"/>
      <c r="B54" s="1766"/>
      <c r="C54" s="1786"/>
      <c r="D54" s="1772"/>
      <c r="E54" s="1472" t="s">
        <v>342</v>
      </c>
      <c r="F54" s="1484">
        <v>2080</v>
      </c>
      <c r="G54" s="1510">
        <v>0</v>
      </c>
      <c r="H54" s="1511">
        <v>65</v>
      </c>
      <c r="I54" s="1436"/>
      <c r="J54" s="1436">
        <v>161</v>
      </c>
      <c r="K54" s="1436">
        <v>149</v>
      </c>
      <c r="L54" s="1436">
        <v>159</v>
      </c>
      <c r="M54" s="1436">
        <v>52</v>
      </c>
      <c r="N54" s="1436">
        <v>79</v>
      </c>
      <c r="O54" s="1436">
        <v>109</v>
      </c>
      <c r="P54" s="1436">
        <v>62</v>
      </c>
      <c r="Q54" s="1436">
        <v>140</v>
      </c>
      <c r="R54" s="1436"/>
      <c r="S54" s="1436">
        <v>15</v>
      </c>
      <c r="T54" s="1436"/>
      <c r="U54" s="1436">
        <v>136</v>
      </c>
      <c r="V54" s="1436">
        <v>171</v>
      </c>
      <c r="W54" s="1436">
        <v>98</v>
      </c>
      <c r="X54" s="1436"/>
      <c r="Y54" s="1436"/>
      <c r="Z54" s="1436">
        <v>86</v>
      </c>
      <c r="AA54" s="1436">
        <v>90</v>
      </c>
      <c r="AB54" s="1436">
        <v>54</v>
      </c>
      <c r="AC54" s="1436"/>
      <c r="AD54" s="1436">
        <v>66</v>
      </c>
      <c r="AE54" s="1436">
        <v>85</v>
      </c>
      <c r="AF54" s="1436">
        <v>120</v>
      </c>
      <c r="AG54" s="1436">
        <v>37</v>
      </c>
      <c r="AH54" s="1436">
        <v>26</v>
      </c>
      <c r="AI54" s="1436">
        <v>120</v>
      </c>
      <c r="AJ54" s="1436"/>
      <c r="AK54" s="1436"/>
      <c r="AL54" s="1436"/>
      <c r="AM54" s="604"/>
    </row>
    <row r="55" spans="1:39" x14ac:dyDescent="0.25">
      <c r="A55" s="226"/>
      <c r="B55" s="1766"/>
      <c r="C55" s="1786"/>
      <c r="D55" s="1773"/>
      <c r="E55" s="1486" t="s">
        <v>312</v>
      </c>
      <c r="F55" s="1476"/>
      <c r="G55" s="1477"/>
      <c r="H55" s="605"/>
      <c r="I55" s="605"/>
      <c r="J55" s="605"/>
      <c r="K55" s="605"/>
      <c r="L55" s="605"/>
      <c r="M55" s="605"/>
      <c r="N55" s="605"/>
      <c r="O55" s="605"/>
      <c r="P55" s="606"/>
      <c r="Q55" s="605"/>
      <c r="R55" s="605"/>
      <c r="S55" s="605"/>
      <c r="T55" s="605"/>
      <c r="U55" s="605"/>
      <c r="V55" s="605"/>
      <c r="W55" s="605"/>
      <c r="X55" s="605"/>
      <c r="Y55" s="605"/>
      <c r="Z55" s="605"/>
      <c r="AA55" s="605"/>
      <c r="AB55" s="605"/>
      <c r="AC55" s="605"/>
      <c r="AD55" s="605"/>
      <c r="AE55" s="605"/>
      <c r="AF55" s="605"/>
      <c r="AG55" s="605"/>
      <c r="AH55" s="605"/>
      <c r="AI55" s="605"/>
      <c r="AJ55" s="605"/>
      <c r="AK55" s="605"/>
      <c r="AL55" s="607"/>
      <c r="AM55" s="604"/>
    </row>
    <row r="56" spans="1:39" x14ac:dyDescent="0.25">
      <c r="A56" s="226"/>
      <c r="B56" s="1766"/>
      <c r="C56" s="1786"/>
      <c r="D56" s="1774" t="s">
        <v>343</v>
      </c>
      <c r="E56" s="1478" t="s">
        <v>344</v>
      </c>
      <c r="F56" s="1479" t="s">
        <v>473</v>
      </c>
      <c r="G56" s="1480"/>
      <c r="H56" s="1445"/>
      <c r="I56" s="1445"/>
      <c r="J56" s="1445"/>
      <c r="K56" s="1437"/>
      <c r="L56" s="1437"/>
      <c r="M56" s="1437"/>
      <c r="N56" s="1437"/>
      <c r="O56" s="1437"/>
      <c r="P56" s="1438"/>
      <c r="Q56" s="1437"/>
      <c r="R56" s="1437"/>
      <c r="S56" s="1437"/>
      <c r="T56" s="1437"/>
      <c r="U56" s="1437"/>
      <c r="V56" s="1437"/>
      <c r="W56" s="1437"/>
      <c r="X56" s="1437"/>
      <c r="Y56" s="1437"/>
      <c r="Z56" s="1437"/>
      <c r="AA56" s="1437"/>
      <c r="AB56" s="1437"/>
      <c r="AC56" s="1437"/>
      <c r="AD56" s="1437"/>
      <c r="AE56" s="1437"/>
      <c r="AF56" s="1437"/>
      <c r="AG56" s="1437"/>
      <c r="AH56" s="1437"/>
      <c r="AI56" s="1437"/>
      <c r="AJ56" s="1437"/>
      <c r="AK56" s="1437"/>
      <c r="AL56" s="1439"/>
      <c r="AM56" s="604"/>
    </row>
    <row r="57" spans="1:39" x14ac:dyDescent="0.25">
      <c r="A57" s="226"/>
      <c r="B57" s="1766"/>
      <c r="C57" s="1786"/>
      <c r="D57" s="1773"/>
      <c r="E57" s="1455" t="s">
        <v>345</v>
      </c>
      <c r="F57" s="1492">
        <v>1.78</v>
      </c>
      <c r="G57" s="1510">
        <v>0</v>
      </c>
      <c r="H57" s="1465">
        <v>2.2599999999999998</v>
      </c>
      <c r="I57" s="1512">
        <v>2.97</v>
      </c>
      <c r="J57" s="1453">
        <v>0.71</v>
      </c>
      <c r="K57" s="1453">
        <v>0.63</v>
      </c>
      <c r="L57" s="1512">
        <v>3.18</v>
      </c>
      <c r="M57" s="1512">
        <v>4.47</v>
      </c>
      <c r="N57" s="1453">
        <v>1.53</v>
      </c>
      <c r="O57" s="1512">
        <v>3.41</v>
      </c>
      <c r="P57" s="1453">
        <v>0.6</v>
      </c>
      <c r="Q57" s="1453">
        <v>0.63</v>
      </c>
      <c r="R57" s="1436"/>
      <c r="S57" s="1453">
        <v>1.18</v>
      </c>
      <c r="T57" s="1436"/>
      <c r="U57" s="1453">
        <v>1.3</v>
      </c>
      <c r="V57" s="1453">
        <v>1.02</v>
      </c>
      <c r="W57" s="1453">
        <v>1.1200000000000001</v>
      </c>
      <c r="X57" s="1513">
        <v>1.66</v>
      </c>
      <c r="Y57" s="1436"/>
      <c r="Z57" s="1453">
        <v>1.07</v>
      </c>
      <c r="AA57" s="1512">
        <v>2.52</v>
      </c>
      <c r="AB57" s="1512">
        <v>5.43</v>
      </c>
      <c r="AC57" s="1436">
        <v>0.38</v>
      </c>
      <c r="AD57" s="1453">
        <v>1.21</v>
      </c>
      <c r="AE57" s="1453">
        <v>1.55</v>
      </c>
      <c r="AF57" s="1513">
        <v>1.88</v>
      </c>
      <c r="AG57" s="1513">
        <v>1.67</v>
      </c>
      <c r="AH57" s="1513">
        <v>1.68</v>
      </c>
      <c r="AI57" s="1512">
        <v>3.04</v>
      </c>
      <c r="AJ57" s="1436"/>
      <c r="AK57" s="1436"/>
      <c r="AL57" s="1436"/>
      <c r="AM57" s="604"/>
    </row>
    <row r="58" spans="1:39" x14ac:dyDescent="0.25">
      <c r="A58" s="226"/>
      <c r="B58" s="1766"/>
      <c r="C58" s="1786"/>
      <c r="D58" s="1774" t="s">
        <v>47</v>
      </c>
      <c r="E58" s="1478" t="s">
        <v>346</v>
      </c>
      <c r="F58" s="609" t="s">
        <v>473</v>
      </c>
      <c r="G58" s="1480"/>
      <c r="H58" s="1445" t="s">
        <v>468</v>
      </c>
      <c r="I58" s="1445" t="s">
        <v>468</v>
      </c>
      <c r="J58" s="1445" t="s">
        <v>468</v>
      </c>
      <c r="K58" s="1445" t="s">
        <v>468</v>
      </c>
      <c r="L58" s="1445" t="s">
        <v>468</v>
      </c>
      <c r="M58" s="1445" t="s">
        <v>468</v>
      </c>
      <c r="N58" s="1445" t="s">
        <v>468</v>
      </c>
      <c r="O58" s="1445" t="s">
        <v>468</v>
      </c>
      <c r="P58" s="1445" t="s">
        <v>468</v>
      </c>
      <c r="Q58" s="1445" t="s">
        <v>468</v>
      </c>
      <c r="R58" s="1445" t="s">
        <v>468</v>
      </c>
      <c r="S58" s="1445" t="s">
        <v>468</v>
      </c>
      <c r="T58" s="1445" t="s">
        <v>468</v>
      </c>
      <c r="U58" s="1445" t="s">
        <v>468</v>
      </c>
      <c r="V58" s="1445" t="s">
        <v>468</v>
      </c>
      <c r="W58" s="1445" t="s">
        <v>468</v>
      </c>
      <c r="X58" s="1445" t="s">
        <v>468</v>
      </c>
      <c r="Y58" s="1445" t="s">
        <v>468</v>
      </c>
      <c r="Z58" s="1445" t="s">
        <v>468</v>
      </c>
      <c r="AA58" s="1445" t="s">
        <v>468</v>
      </c>
      <c r="AB58" s="1445" t="s">
        <v>468</v>
      </c>
      <c r="AC58" s="1445" t="s">
        <v>468</v>
      </c>
      <c r="AD58" s="1445" t="s">
        <v>468</v>
      </c>
      <c r="AE58" s="1445" t="s">
        <v>468</v>
      </c>
      <c r="AF58" s="1445" t="s">
        <v>468</v>
      </c>
      <c r="AG58" s="1445" t="s">
        <v>362</v>
      </c>
      <c r="AH58" s="1445" t="s">
        <v>473</v>
      </c>
      <c r="AI58" s="1445" t="s">
        <v>468</v>
      </c>
      <c r="AJ58" s="1445" t="s">
        <v>468</v>
      </c>
      <c r="AK58" s="1445" t="s">
        <v>468</v>
      </c>
      <c r="AL58" s="1445" t="s">
        <v>468</v>
      </c>
      <c r="AM58" s="604"/>
    </row>
    <row r="59" spans="1:39" ht="14.25" thickBot="1" x14ac:dyDescent="0.3">
      <c r="A59" s="226"/>
      <c r="B59" s="1767"/>
      <c r="C59" s="1787"/>
      <c r="D59" s="1775"/>
      <c r="E59" s="1460" t="s">
        <v>347</v>
      </c>
      <c r="F59" s="1489">
        <v>3.7</v>
      </c>
      <c r="G59" s="1514">
        <v>0</v>
      </c>
      <c r="H59" s="1446">
        <v>0.1</v>
      </c>
      <c r="I59" s="1446" t="s">
        <v>468</v>
      </c>
      <c r="J59" s="1446">
        <v>0.1</v>
      </c>
      <c r="K59" s="1446">
        <v>0.1</v>
      </c>
      <c r="L59" s="1446">
        <v>0.5</v>
      </c>
      <c r="M59" s="1446">
        <v>0.2</v>
      </c>
      <c r="N59" s="1446">
        <v>0.1</v>
      </c>
      <c r="O59" s="1446">
        <v>0.4</v>
      </c>
      <c r="P59" s="1446">
        <v>0</v>
      </c>
      <c r="Q59" s="1446">
        <v>0.1</v>
      </c>
      <c r="R59" s="1446" t="s">
        <v>468</v>
      </c>
      <c r="S59" s="1446">
        <v>0</v>
      </c>
      <c r="T59" s="1446" t="s">
        <v>468</v>
      </c>
      <c r="U59" s="1446">
        <v>0.2</v>
      </c>
      <c r="V59" s="1446">
        <v>0.2</v>
      </c>
      <c r="W59" s="1446">
        <v>0.1</v>
      </c>
      <c r="X59" s="1446" t="s">
        <v>468</v>
      </c>
      <c r="Y59" s="1446" t="s">
        <v>468</v>
      </c>
      <c r="Z59" s="1446">
        <v>0.1</v>
      </c>
      <c r="AA59" s="1446">
        <v>0.2</v>
      </c>
      <c r="AB59" s="1446">
        <v>0.3</v>
      </c>
      <c r="AC59" s="1446" t="s">
        <v>468</v>
      </c>
      <c r="AD59" s="1446">
        <v>0.1</v>
      </c>
      <c r="AE59" s="1446">
        <v>0.1</v>
      </c>
      <c r="AF59" s="1446">
        <v>0.2</v>
      </c>
      <c r="AG59" s="1447">
        <v>0.1</v>
      </c>
      <c r="AH59" s="1446">
        <v>0</v>
      </c>
      <c r="AI59" s="1446">
        <v>0.4</v>
      </c>
      <c r="AJ59" s="1448" t="s">
        <v>468</v>
      </c>
      <c r="AK59" s="1448" t="s">
        <v>468</v>
      </c>
      <c r="AL59" s="1448" t="s">
        <v>468</v>
      </c>
      <c r="AM59" s="610"/>
    </row>
    <row r="60" spans="1:39" s="194" customFormat="1" ht="14.45" customHeight="1" x14ac:dyDescent="0.25">
      <c r="A60" s="184"/>
      <c r="B60" s="1765"/>
      <c r="C60" s="1785" t="s">
        <v>582</v>
      </c>
      <c r="D60" s="1771" t="s">
        <v>340</v>
      </c>
      <c r="E60" s="616" t="s">
        <v>341</v>
      </c>
      <c r="F60" s="615" t="s">
        <v>473</v>
      </c>
      <c r="G60" s="598"/>
      <c r="H60" s="599"/>
      <c r="I60" s="599"/>
      <c r="J60" s="599"/>
      <c r="K60" s="600"/>
      <c r="L60" s="600"/>
      <c r="M60" s="600"/>
      <c r="N60" s="600"/>
      <c r="O60" s="600"/>
      <c r="P60" s="601"/>
      <c r="Q60" s="600"/>
      <c r="R60" s="600"/>
      <c r="S60" s="600"/>
      <c r="T60" s="600"/>
      <c r="U60" s="600"/>
      <c r="V60" s="600"/>
      <c r="W60" s="600"/>
      <c r="X60" s="600"/>
      <c r="Y60" s="600"/>
      <c r="Z60" s="600"/>
      <c r="AA60" s="600"/>
      <c r="AB60" s="600"/>
      <c r="AC60" s="600"/>
      <c r="AD60" s="600"/>
      <c r="AE60" s="600"/>
      <c r="AF60" s="600"/>
      <c r="AG60" s="600"/>
      <c r="AH60" s="600"/>
      <c r="AI60" s="600"/>
      <c r="AJ60" s="600"/>
      <c r="AK60" s="600"/>
      <c r="AL60" s="602"/>
      <c r="AM60" s="634"/>
    </row>
    <row r="61" spans="1:39" x14ac:dyDescent="0.25">
      <c r="A61" s="226"/>
      <c r="B61" s="1766"/>
      <c r="C61" s="1786"/>
      <c r="D61" s="1772"/>
      <c r="E61" s="1472" t="s">
        <v>342</v>
      </c>
      <c r="F61" s="1484">
        <v>2717</v>
      </c>
      <c r="G61" s="1510">
        <v>0</v>
      </c>
      <c r="H61" s="1511"/>
      <c r="I61" s="1436">
        <v>42</v>
      </c>
      <c r="J61" s="1436">
        <v>167</v>
      </c>
      <c r="K61" s="1436">
        <v>95</v>
      </c>
      <c r="L61" s="1436">
        <v>75</v>
      </c>
      <c r="M61" s="1436">
        <v>105</v>
      </c>
      <c r="N61" s="1436">
        <v>151</v>
      </c>
      <c r="O61" s="1436">
        <v>77</v>
      </c>
      <c r="P61" s="1436">
        <v>150</v>
      </c>
      <c r="Q61" s="1436">
        <v>108</v>
      </c>
      <c r="R61" s="1436">
        <v>102</v>
      </c>
      <c r="S61" s="1436">
        <v>50</v>
      </c>
      <c r="T61" s="1436">
        <v>98</v>
      </c>
      <c r="U61" s="1436">
        <v>101</v>
      </c>
      <c r="V61" s="1436">
        <v>63</v>
      </c>
      <c r="W61" s="1436">
        <v>92</v>
      </c>
      <c r="X61" s="1436">
        <v>89</v>
      </c>
      <c r="Y61" s="1436">
        <v>77</v>
      </c>
      <c r="Z61" s="1436">
        <v>67</v>
      </c>
      <c r="AA61" s="1436">
        <v>69</v>
      </c>
      <c r="AB61" s="1436">
        <v>89</v>
      </c>
      <c r="AC61" s="1436">
        <v>84</v>
      </c>
      <c r="AD61" s="1436">
        <v>110</v>
      </c>
      <c r="AE61" s="1436">
        <v>151</v>
      </c>
      <c r="AF61" s="1436">
        <v>105</v>
      </c>
      <c r="AG61" s="1436">
        <v>139</v>
      </c>
      <c r="AH61" s="1436">
        <v>133</v>
      </c>
      <c r="AI61" s="1436">
        <v>130</v>
      </c>
      <c r="AJ61" s="1436"/>
      <c r="AK61" s="1436"/>
      <c r="AL61" s="1436"/>
      <c r="AM61" s="604"/>
    </row>
    <row r="62" spans="1:39" x14ac:dyDescent="0.25">
      <c r="A62" s="226"/>
      <c r="B62" s="1766"/>
      <c r="C62" s="1786"/>
      <c r="D62" s="1773"/>
      <c r="E62" s="1486" t="s">
        <v>312</v>
      </c>
      <c r="F62" s="1476"/>
      <c r="G62" s="1477"/>
      <c r="H62" s="605"/>
      <c r="I62" s="605"/>
      <c r="J62" s="605"/>
      <c r="K62" s="605"/>
      <c r="L62" s="605"/>
      <c r="M62" s="605"/>
      <c r="N62" s="605"/>
      <c r="O62" s="605"/>
      <c r="P62" s="606"/>
      <c r="Q62" s="605"/>
      <c r="R62" s="605"/>
      <c r="S62" s="605"/>
      <c r="T62" s="605"/>
      <c r="U62" s="605"/>
      <c r="V62" s="605"/>
      <c r="W62" s="605"/>
      <c r="X62" s="605"/>
      <c r="Y62" s="605"/>
      <c r="Z62" s="605"/>
      <c r="AA62" s="605"/>
      <c r="AB62" s="605"/>
      <c r="AC62" s="605"/>
      <c r="AD62" s="605"/>
      <c r="AE62" s="605"/>
      <c r="AF62" s="605"/>
      <c r="AG62" s="605"/>
      <c r="AH62" s="605"/>
      <c r="AI62" s="605"/>
      <c r="AJ62" s="605"/>
      <c r="AK62" s="605"/>
      <c r="AL62" s="607"/>
      <c r="AM62" s="604"/>
    </row>
    <row r="63" spans="1:39" x14ac:dyDescent="0.25">
      <c r="A63" s="226"/>
      <c r="B63" s="1766"/>
      <c r="C63" s="1786"/>
      <c r="D63" s="1774" t="s">
        <v>343</v>
      </c>
      <c r="E63" s="1478" t="s">
        <v>344</v>
      </c>
      <c r="F63" s="1479" t="s">
        <v>473</v>
      </c>
      <c r="G63" s="1480"/>
      <c r="H63" s="1445"/>
      <c r="I63" s="1445"/>
      <c r="J63" s="1445"/>
      <c r="K63" s="1437"/>
      <c r="L63" s="1437"/>
      <c r="M63" s="1437"/>
      <c r="N63" s="1437"/>
      <c r="O63" s="1437"/>
      <c r="P63" s="1438"/>
      <c r="Q63" s="1437"/>
      <c r="R63" s="1437"/>
      <c r="S63" s="1437"/>
      <c r="T63" s="1437"/>
      <c r="U63" s="1437"/>
      <c r="V63" s="1437"/>
      <c r="W63" s="1437"/>
      <c r="X63" s="1437"/>
      <c r="Y63" s="1437"/>
      <c r="Z63" s="1437"/>
      <c r="AA63" s="1437"/>
      <c r="AB63" s="1437"/>
      <c r="AC63" s="1437"/>
      <c r="AD63" s="1437"/>
      <c r="AE63" s="1437"/>
      <c r="AF63" s="1437"/>
      <c r="AG63" s="1437"/>
      <c r="AH63" s="1437"/>
      <c r="AI63" s="1437"/>
      <c r="AJ63" s="1437"/>
      <c r="AK63" s="1437"/>
      <c r="AL63" s="1439"/>
      <c r="AM63" s="604"/>
    </row>
    <row r="64" spans="1:39" x14ac:dyDescent="0.25">
      <c r="A64" s="226"/>
      <c r="B64" s="1766"/>
      <c r="C64" s="1786"/>
      <c r="D64" s="1773"/>
      <c r="E64" s="1455" t="s">
        <v>345</v>
      </c>
      <c r="F64" s="1492">
        <v>3.06</v>
      </c>
      <c r="G64" s="1510">
        <v>0</v>
      </c>
      <c r="H64" s="1465">
        <v>3.65</v>
      </c>
      <c r="I64" s="1512">
        <v>5.25</v>
      </c>
      <c r="J64" s="1513">
        <v>1.92</v>
      </c>
      <c r="K64" s="1512">
        <v>2.5499999999999998</v>
      </c>
      <c r="L64" s="1512">
        <v>2.5</v>
      </c>
      <c r="M64" s="1453">
        <v>1.55</v>
      </c>
      <c r="N64" s="1512">
        <v>2.79</v>
      </c>
      <c r="O64" s="1512">
        <v>3.15</v>
      </c>
      <c r="P64" s="1512">
        <v>6.9</v>
      </c>
      <c r="Q64" s="1513">
        <v>1.7</v>
      </c>
      <c r="R64" s="1512">
        <v>3.09</v>
      </c>
      <c r="S64" s="1512">
        <v>5.78</v>
      </c>
      <c r="T64" s="1512">
        <v>2.97</v>
      </c>
      <c r="U64" s="1512">
        <v>4.04</v>
      </c>
      <c r="V64" s="1512">
        <v>2.91</v>
      </c>
      <c r="W64" s="1512">
        <v>3.81</v>
      </c>
      <c r="X64" s="1453">
        <v>1.54</v>
      </c>
      <c r="Y64" s="1512">
        <v>2.52</v>
      </c>
      <c r="Z64" s="1512">
        <v>2.2599999999999998</v>
      </c>
      <c r="AA64" s="1513">
        <v>1.63</v>
      </c>
      <c r="AB64" s="1512">
        <v>2.89</v>
      </c>
      <c r="AC64" s="1513">
        <v>1.71</v>
      </c>
      <c r="AD64" s="1512">
        <v>2.34</v>
      </c>
      <c r="AE64" s="1512">
        <v>3.56</v>
      </c>
      <c r="AF64" s="1512">
        <v>5.34</v>
      </c>
      <c r="AG64" s="1512">
        <v>2.69</v>
      </c>
      <c r="AH64" s="1512">
        <v>3.5</v>
      </c>
      <c r="AI64" s="1512">
        <v>2.2000000000000002</v>
      </c>
      <c r="AJ64" s="1436"/>
      <c r="AK64" s="1436"/>
      <c r="AL64" s="1436"/>
      <c r="AM64" s="604"/>
    </row>
    <row r="65" spans="1:39" x14ac:dyDescent="0.25">
      <c r="A65" s="226"/>
      <c r="B65" s="1766"/>
      <c r="C65" s="1786"/>
      <c r="D65" s="1774" t="s">
        <v>47</v>
      </c>
      <c r="E65" s="1478" t="s">
        <v>346</v>
      </c>
      <c r="F65" s="609" t="s">
        <v>473</v>
      </c>
      <c r="G65" s="1480"/>
      <c r="H65" s="1445" t="s">
        <v>468</v>
      </c>
      <c r="I65" s="1445" t="s">
        <v>468</v>
      </c>
      <c r="J65" s="1445" t="s">
        <v>468</v>
      </c>
      <c r="K65" s="1445" t="s">
        <v>468</v>
      </c>
      <c r="L65" s="1445" t="s">
        <v>468</v>
      </c>
      <c r="M65" s="1445" t="s">
        <v>468</v>
      </c>
      <c r="N65" s="1445" t="s">
        <v>468</v>
      </c>
      <c r="O65" s="1445" t="s">
        <v>468</v>
      </c>
      <c r="P65" s="1445" t="s">
        <v>468</v>
      </c>
      <c r="Q65" s="1445" t="s">
        <v>468</v>
      </c>
      <c r="R65" s="1445" t="s">
        <v>468</v>
      </c>
      <c r="S65" s="1445" t="s">
        <v>468</v>
      </c>
      <c r="T65" s="1445" t="s">
        <v>468</v>
      </c>
      <c r="U65" s="1445" t="s">
        <v>468</v>
      </c>
      <c r="V65" s="1445" t="s">
        <v>468</v>
      </c>
      <c r="W65" s="1445" t="s">
        <v>468</v>
      </c>
      <c r="X65" s="1445" t="s">
        <v>468</v>
      </c>
      <c r="Y65" s="1445" t="s">
        <v>468</v>
      </c>
      <c r="Z65" s="1445"/>
      <c r="AA65" s="1445" t="s">
        <v>468</v>
      </c>
      <c r="AB65" s="1445" t="s">
        <v>468</v>
      </c>
      <c r="AC65" s="1445" t="s">
        <v>468</v>
      </c>
      <c r="AD65" s="1445" t="s">
        <v>468</v>
      </c>
      <c r="AE65" s="1445" t="s">
        <v>468</v>
      </c>
      <c r="AF65" s="1445" t="s">
        <v>468</v>
      </c>
      <c r="AG65" s="1445" t="s">
        <v>468</v>
      </c>
      <c r="AH65" s="1445" t="s">
        <v>468</v>
      </c>
      <c r="AI65" s="1445" t="s">
        <v>468</v>
      </c>
      <c r="AJ65" s="1445" t="s">
        <v>468</v>
      </c>
      <c r="AK65" s="1445" t="s">
        <v>468</v>
      </c>
      <c r="AL65" s="1445" t="s">
        <v>468</v>
      </c>
      <c r="AM65" s="604"/>
    </row>
    <row r="66" spans="1:39" ht="14.25" thickBot="1" x14ac:dyDescent="0.3">
      <c r="A66" s="226"/>
      <c r="B66" s="1767"/>
      <c r="C66" s="1787"/>
      <c r="D66" s="1775"/>
      <c r="E66" s="1460" t="s">
        <v>347</v>
      </c>
      <c r="F66" s="1489">
        <v>8.3000000000000007</v>
      </c>
      <c r="G66" s="1514">
        <v>0</v>
      </c>
      <c r="H66" s="1446" t="s">
        <v>473</v>
      </c>
      <c r="I66" s="1446">
        <v>0.2</v>
      </c>
      <c r="J66" s="1446">
        <v>0.3</v>
      </c>
      <c r="K66" s="1446">
        <v>0.2</v>
      </c>
      <c r="L66" s="1446">
        <v>0.2</v>
      </c>
      <c r="M66" s="1446">
        <v>0.2</v>
      </c>
      <c r="N66" s="1446">
        <v>0.4</v>
      </c>
      <c r="O66" s="1446">
        <v>0.2</v>
      </c>
      <c r="P66" s="1446">
        <v>1</v>
      </c>
      <c r="Q66" s="1446">
        <v>0.2</v>
      </c>
      <c r="R66" s="1446">
        <v>0.3</v>
      </c>
      <c r="S66" s="1446">
        <v>0.3</v>
      </c>
      <c r="T66" s="1446">
        <v>0.3</v>
      </c>
      <c r="U66" s="1446">
        <v>0.4</v>
      </c>
      <c r="V66" s="1446">
        <v>0.2</v>
      </c>
      <c r="W66" s="1446">
        <v>0.4</v>
      </c>
      <c r="X66" s="1446">
        <v>0.1</v>
      </c>
      <c r="Y66" s="1446">
        <v>0.2</v>
      </c>
      <c r="Z66" s="1448">
        <v>0.2</v>
      </c>
      <c r="AA66" s="1446">
        <v>0.1</v>
      </c>
      <c r="AB66" s="1446">
        <v>0.3</v>
      </c>
      <c r="AC66" s="1446">
        <v>0.1</v>
      </c>
      <c r="AD66" s="1446">
        <v>0.3</v>
      </c>
      <c r="AE66" s="1446">
        <v>0.5</v>
      </c>
      <c r="AF66" s="1446">
        <v>0.6</v>
      </c>
      <c r="AG66" s="1446">
        <v>0.4</v>
      </c>
      <c r="AH66" s="1446">
        <v>0.5</v>
      </c>
      <c r="AI66" s="1446">
        <v>0.3</v>
      </c>
      <c r="AJ66" s="1448" t="s">
        <v>468</v>
      </c>
      <c r="AK66" s="1448" t="s">
        <v>468</v>
      </c>
      <c r="AL66" s="1448" t="s">
        <v>468</v>
      </c>
      <c r="AM66" s="610"/>
    </row>
    <row r="67" spans="1:39" s="194" customFormat="1" ht="14.45" customHeight="1" x14ac:dyDescent="0.25">
      <c r="A67" s="184"/>
      <c r="B67" s="1765"/>
      <c r="C67" s="1785" t="s">
        <v>583</v>
      </c>
      <c r="D67" s="1771" t="s">
        <v>340</v>
      </c>
      <c r="E67" s="616" t="s">
        <v>341</v>
      </c>
      <c r="F67" s="615" t="s">
        <v>473</v>
      </c>
      <c r="G67" s="598"/>
      <c r="H67" s="599"/>
      <c r="I67" s="599"/>
      <c r="J67" s="599"/>
      <c r="K67" s="600"/>
      <c r="L67" s="600"/>
      <c r="M67" s="600"/>
      <c r="N67" s="600"/>
      <c r="O67" s="600"/>
      <c r="P67" s="601"/>
      <c r="Q67" s="600"/>
      <c r="R67" s="600"/>
      <c r="S67" s="600"/>
      <c r="T67" s="600"/>
      <c r="U67" s="600"/>
      <c r="V67" s="600"/>
      <c r="W67" s="600"/>
      <c r="X67" s="600"/>
      <c r="Y67" s="600"/>
      <c r="Z67" s="600"/>
      <c r="AA67" s="600"/>
      <c r="AB67" s="600"/>
      <c r="AC67" s="600"/>
      <c r="AD67" s="600"/>
      <c r="AE67" s="600"/>
      <c r="AF67" s="600"/>
      <c r="AG67" s="600"/>
      <c r="AH67" s="600"/>
      <c r="AI67" s="600"/>
      <c r="AJ67" s="600"/>
      <c r="AK67" s="600"/>
      <c r="AL67" s="602"/>
      <c r="AM67" s="634"/>
    </row>
    <row r="68" spans="1:39" x14ac:dyDescent="0.25">
      <c r="A68" s="226"/>
      <c r="B68" s="1766"/>
      <c r="C68" s="1786"/>
      <c r="D68" s="1772"/>
      <c r="E68" s="1472" t="s">
        <v>342</v>
      </c>
      <c r="F68" s="1484">
        <v>1103</v>
      </c>
      <c r="G68" s="1510">
        <v>0</v>
      </c>
      <c r="H68" s="1511"/>
      <c r="I68" s="1436">
        <v>39</v>
      </c>
      <c r="J68" s="1436">
        <v>29</v>
      </c>
      <c r="K68" s="1436">
        <v>60</v>
      </c>
      <c r="L68" s="1436">
        <v>33</v>
      </c>
      <c r="M68" s="1436">
        <v>20</v>
      </c>
      <c r="N68" s="1436">
        <v>30</v>
      </c>
      <c r="O68" s="1436">
        <v>30</v>
      </c>
      <c r="P68" s="1436">
        <v>102</v>
      </c>
      <c r="Q68" s="1436">
        <v>51</v>
      </c>
      <c r="R68" s="1436">
        <v>63</v>
      </c>
      <c r="S68" s="1436"/>
      <c r="T68" s="1436">
        <v>62</v>
      </c>
      <c r="U68" s="1436">
        <v>81</v>
      </c>
      <c r="V68" s="1436">
        <v>15</v>
      </c>
      <c r="W68" s="1436">
        <v>38</v>
      </c>
      <c r="X68" s="1436">
        <v>20</v>
      </c>
      <c r="Y68" s="1436">
        <v>26</v>
      </c>
      <c r="Z68" s="1436">
        <v>34</v>
      </c>
      <c r="AA68" s="1436">
        <v>30</v>
      </c>
      <c r="AB68" s="1436">
        <v>47</v>
      </c>
      <c r="AC68" s="1436">
        <v>33</v>
      </c>
      <c r="AD68" s="1436">
        <v>31</v>
      </c>
      <c r="AE68" s="1436">
        <v>49</v>
      </c>
      <c r="AF68" s="1436">
        <v>31</v>
      </c>
      <c r="AG68" s="1436">
        <v>36</v>
      </c>
      <c r="AH68" s="1436">
        <v>50</v>
      </c>
      <c r="AI68" s="1436">
        <v>67</v>
      </c>
      <c r="AJ68" s="1436"/>
      <c r="AK68" s="1436"/>
      <c r="AL68" s="1436"/>
      <c r="AM68" s="604"/>
    </row>
    <row r="69" spans="1:39" x14ac:dyDescent="0.25">
      <c r="A69" s="226"/>
      <c r="B69" s="1766"/>
      <c r="C69" s="1786"/>
      <c r="D69" s="1773"/>
      <c r="E69" s="1486" t="s">
        <v>312</v>
      </c>
      <c r="F69" s="1476"/>
      <c r="G69" s="1477"/>
      <c r="H69" s="605"/>
      <c r="I69" s="605"/>
      <c r="J69" s="605"/>
      <c r="K69" s="605"/>
      <c r="L69" s="605"/>
      <c r="M69" s="605"/>
      <c r="N69" s="605"/>
      <c r="O69" s="605"/>
      <c r="P69" s="606"/>
      <c r="Q69" s="605"/>
      <c r="R69" s="605"/>
      <c r="S69" s="605"/>
      <c r="T69" s="605"/>
      <c r="U69" s="605"/>
      <c r="V69" s="605"/>
      <c r="W69" s="605"/>
      <c r="X69" s="605"/>
      <c r="Y69" s="605"/>
      <c r="Z69" s="605"/>
      <c r="AA69" s="605"/>
      <c r="AB69" s="605"/>
      <c r="AC69" s="605"/>
      <c r="AD69" s="605"/>
      <c r="AE69" s="605"/>
      <c r="AF69" s="605"/>
      <c r="AG69" s="605"/>
      <c r="AH69" s="605"/>
      <c r="AI69" s="605"/>
      <c r="AJ69" s="605"/>
      <c r="AK69" s="605"/>
      <c r="AL69" s="607"/>
      <c r="AM69" s="604"/>
    </row>
    <row r="70" spans="1:39" x14ac:dyDescent="0.25">
      <c r="A70" s="226"/>
      <c r="B70" s="1766"/>
      <c r="C70" s="1786"/>
      <c r="D70" s="1774" t="s">
        <v>343</v>
      </c>
      <c r="E70" s="1478" t="s">
        <v>344</v>
      </c>
      <c r="F70" s="1479" t="s">
        <v>473</v>
      </c>
      <c r="G70" s="1480"/>
      <c r="H70" s="1445"/>
      <c r="I70" s="1445"/>
      <c r="J70" s="1445"/>
      <c r="K70" s="1437"/>
      <c r="L70" s="1437"/>
      <c r="M70" s="1437"/>
      <c r="N70" s="1437"/>
      <c r="O70" s="1437"/>
      <c r="P70" s="1438"/>
      <c r="Q70" s="1437"/>
      <c r="R70" s="1437"/>
      <c r="S70" s="1437"/>
      <c r="T70" s="1437"/>
      <c r="U70" s="1437"/>
      <c r="V70" s="1437"/>
      <c r="W70" s="1437"/>
      <c r="X70" s="1437"/>
      <c r="Y70" s="1437"/>
      <c r="Z70" s="1437"/>
      <c r="AA70" s="1437"/>
      <c r="AB70" s="1437"/>
      <c r="AC70" s="1437"/>
      <c r="AD70" s="1437"/>
      <c r="AE70" s="1437"/>
      <c r="AF70" s="1437"/>
      <c r="AG70" s="1437"/>
      <c r="AH70" s="1437"/>
      <c r="AI70" s="1437"/>
      <c r="AJ70" s="1437"/>
      <c r="AK70" s="1437"/>
      <c r="AL70" s="1439"/>
      <c r="AM70" s="604"/>
    </row>
    <row r="71" spans="1:39" x14ac:dyDescent="0.25">
      <c r="A71" s="226"/>
      <c r="B71" s="1766"/>
      <c r="C71" s="1786"/>
      <c r="D71" s="1773"/>
      <c r="E71" s="1455" t="s">
        <v>345</v>
      </c>
      <c r="F71" s="1492">
        <v>3.05</v>
      </c>
      <c r="G71" s="1510">
        <v>0</v>
      </c>
      <c r="H71" s="1465">
        <v>4.99</v>
      </c>
      <c r="I71" s="1512">
        <v>4.18</v>
      </c>
      <c r="J71" s="1513">
        <v>1.69</v>
      </c>
      <c r="K71" s="1453">
        <v>1.59</v>
      </c>
      <c r="L71" s="1512">
        <v>2.74</v>
      </c>
      <c r="M71" s="1453">
        <v>0.61</v>
      </c>
      <c r="N71" s="1512">
        <v>3.72</v>
      </c>
      <c r="O71" s="1512">
        <v>4.67</v>
      </c>
      <c r="P71" s="1512">
        <v>3.39</v>
      </c>
      <c r="Q71" s="1512">
        <v>5.03</v>
      </c>
      <c r="R71" s="1512">
        <v>2.12</v>
      </c>
      <c r="S71" s="1512">
        <v>3.08</v>
      </c>
      <c r="T71" s="1513">
        <v>1.69</v>
      </c>
      <c r="U71" s="1512">
        <v>2.84</v>
      </c>
      <c r="V71" s="1512">
        <v>3.25</v>
      </c>
      <c r="W71" s="1512">
        <v>4.8</v>
      </c>
      <c r="X71" s="1513">
        <v>1.82</v>
      </c>
      <c r="Y71" s="1513">
        <v>1.72</v>
      </c>
      <c r="Z71" s="1453">
        <v>1.21</v>
      </c>
      <c r="AA71" s="1512">
        <v>7</v>
      </c>
      <c r="AB71" s="1512">
        <v>2.19</v>
      </c>
      <c r="AC71" s="1512">
        <v>3.18</v>
      </c>
      <c r="AD71" s="1513">
        <v>1.98</v>
      </c>
      <c r="AE71" s="1513">
        <v>1.93</v>
      </c>
      <c r="AF71" s="1512">
        <v>6.54</v>
      </c>
      <c r="AG71" s="1512">
        <v>2.8</v>
      </c>
      <c r="AH71" s="1512">
        <v>3.23</v>
      </c>
      <c r="AI71" s="1512">
        <v>3.66</v>
      </c>
      <c r="AJ71" s="1436"/>
      <c r="AK71" s="1436"/>
      <c r="AL71" s="1436"/>
      <c r="AM71" s="604"/>
    </row>
    <row r="72" spans="1:39" x14ac:dyDescent="0.25">
      <c r="A72" s="226"/>
      <c r="B72" s="1766"/>
      <c r="C72" s="1786"/>
      <c r="D72" s="1774" t="s">
        <v>47</v>
      </c>
      <c r="E72" s="1478" t="s">
        <v>346</v>
      </c>
      <c r="F72" s="609" t="s">
        <v>473</v>
      </c>
      <c r="G72" s="1480"/>
      <c r="H72" s="1445" t="s">
        <v>468</v>
      </c>
      <c r="I72" s="1445" t="s">
        <v>468</v>
      </c>
      <c r="J72" s="1445" t="s">
        <v>468</v>
      </c>
      <c r="K72" s="1445" t="s">
        <v>468</v>
      </c>
      <c r="L72" s="1445" t="s">
        <v>468</v>
      </c>
      <c r="M72" s="1445" t="s">
        <v>468</v>
      </c>
      <c r="N72" s="1445" t="s">
        <v>468</v>
      </c>
      <c r="O72" s="1445" t="s">
        <v>468</v>
      </c>
      <c r="P72" s="1445" t="s">
        <v>468</v>
      </c>
      <c r="Q72" s="1445" t="s">
        <v>468</v>
      </c>
      <c r="R72" s="1445" t="s">
        <v>468</v>
      </c>
      <c r="S72" s="1445" t="s">
        <v>468</v>
      </c>
      <c r="T72" s="1445" t="s">
        <v>468</v>
      </c>
      <c r="U72" s="1445" t="s">
        <v>468</v>
      </c>
      <c r="V72" s="1445" t="s">
        <v>468</v>
      </c>
      <c r="W72" s="1445" t="s">
        <v>468</v>
      </c>
      <c r="X72" s="1445" t="s">
        <v>468</v>
      </c>
      <c r="Y72" s="1445" t="s">
        <v>468</v>
      </c>
      <c r="Z72" s="1445" t="s">
        <v>468</v>
      </c>
      <c r="AA72" s="1445" t="s">
        <v>468</v>
      </c>
      <c r="AB72" s="1445" t="s">
        <v>468</v>
      </c>
      <c r="AC72" s="1445" t="s">
        <v>468</v>
      </c>
      <c r="AD72" s="1445" t="s">
        <v>468</v>
      </c>
      <c r="AE72" s="1445" t="s">
        <v>468</v>
      </c>
      <c r="AF72" s="1445" t="s">
        <v>468</v>
      </c>
      <c r="AG72" s="1445" t="s">
        <v>468</v>
      </c>
      <c r="AH72" s="1445" t="s">
        <v>468</v>
      </c>
      <c r="AI72" s="1445" t="s">
        <v>468</v>
      </c>
      <c r="AJ72" s="1445" t="s">
        <v>468</v>
      </c>
      <c r="AK72" s="1445" t="s">
        <v>468</v>
      </c>
      <c r="AL72" s="1445" t="s">
        <v>468</v>
      </c>
      <c r="AM72" s="604"/>
    </row>
    <row r="73" spans="1:39" ht="14.25" thickBot="1" x14ac:dyDescent="0.3">
      <c r="A73" s="226"/>
      <c r="B73" s="1767"/>
      <c r="C73" s="1787"/>
      <c r="D73" s="1775"/>
      <c r="E73" s="1460" t="s">
        <v>347</v>
      </c>
      <c r="F73" s="1489">
        <v>3.4</v>
      </c>
      <c r="G73" s="1514">
        <v>0</v>
      </c>
      <c r="H73" s="1446" t="s">
        <v>473</v>
      </c>
      <c r="I73" s="1446">
        <v>0.2</v>
      </c>
      <c r="J73" s="1446">
        <v>0</v>
      </c>
      <c r="K73" s="1446">
        <v>0.1</v>
      </c>
      <c r="L73" s="1446">
        <v>0.1</v>
      </c>
      <c r="M73" s="1446">
        <v>0</v>
      </c>
      <c r="N73" s="1446">
        <v>0.1</v>
      </c>
      <c r="O73" s="1446">
        <v>0.1</v>
      </c>
      <c r="P73" s="1446">
        <v>0.3</v>
      </c>
      <c r="Q73" s="1446">
        <v>0.3</v>
      </c>
      <c r="R73" s="1446">
        <v>0.1</v>
      </c>
      <c r="S73" s="1446" t="s">
        <v>468</v>
      </c>
      <c r="T73" s="1446">
        <v>0.1</v>
      </c>
      <c r="U73" s="1446">
        <v>0.2</v>
      </c>
      <c r="V73" s="1446">
        <v>0</v>
      </c>
      <c r="W73" s="1446">
        <v>0.2</v>
      </c>
      <c r="X73" s="1446">
        <v>0</v>
      </c>
      <c r="Y73" s="1446">
        <v>0</v>
      </c>
      <c r="Z73" s="1446">
        <v>0</v>
      </c>
      <c r="AA73" s="1446">
        <v>0.2</v>
      </c>
      <c r="AB73" s="1446">
        <v>0.1</v>
      </c>
      <c r="AC73" s="1446">
        <v>0.1</v>
      </c>
      <c r="AD73" s="1446">
        <v>0.1</v>
      </c>
      <c r="AE73" s="1446">
        <v>0.1</v>
      </c>
      <c r="AF73" s="1446">
        <v>0.2</v>
      </c>
      <c r="AG73" s="1446">
        <v>0.1</v>
      </c>
      <c r="AH73" s="1446">
        <v>0.2</v>
      </c>
      <c r="AI73" s="1446">
        <v>0.2</v>
      </c>
      <c r="AJ73" s="1448" t="s">
        <v>468</v>
      </c>
      <c r="AK73" s="1448" t="s">
        <v>468</v>
      </c>
      <c r="AL73" s="1448" t="s">
        <v>468</v>
      </c>
      <c r="AM73" s="610"/>
    </row>
    <row r="74" spans="1:39" s="194" customFormat="1" ht="14.45" customHeight="1" x14ac:dyDescent="0.25">
      <c r="A74" s="184"/>
      <c r="B74" s="1765"/>
      <c r="C74" s="1785" t="s">
        <v>584</v>
      </c>
      <c r="D74" s="1771" t="s">
        <v>340</v>
      </c>
      <c r="E74" s="616" t="s">
        <v>341</v>
      </c>
      <c r="F74" s="615" t="s">
        <v>473</v>
      </c>
      <c r="G74" s="598"/>
      <c r="H74" s="599"/>
      <c r="I74" s="599"/>
      <c r="J74" s="599"/>
      <c r="K74" s="600"/>
      <c r="L74" s="600"/>
      <c r="M74" s="600"/>
      <c r="N74" s="600"/>
      <c r="O74" s="600"/>
      <c r="P74" s="601"/>
      <c r="Q74" s="600"/>
      <c r="R74" s="600"/>
      <c r="S74" s="600"/>
      <c r="T74" s="600"/>
      <c r="U74" s="600"/>
      <c r="V74" s="600"/>
      <c r="W74" s="600"/>
      <c r="X74" s="600"/>
      <c r="Y74" s="600"/>
      <c r="Z74" s="600"/>
      <c r="AA74" s="600"/>
      <c r="AB74" s="600"/>
      <c r="AC74" s="600"/>
      <c r="AD74" s="600"/>
      <c r="AE74" s="600"/>
      <c r="AF74" s="600"/>
      <c r="AG74" s="600"/>
      <c r="AH74" s="600"/>
      <c r="AI74" s="600"/>
      <c r="AJ74" s="600"/>
      <c r="AK74" s="600"/>
      <c r="AL74" s="602"/>
      <c r="AM74" s="634"/>
    </row>
    <row r="75" spans="1:39" x14ac:dyDescent="0.25">
      <c r="A75" s="226"/>
      <c r="B75" s="1766"/>
      <c r="C75" s="1786"/>
      <c r="D75" s="1772"/>
      <c r="E75" s="1472" t="s">
        <v>342</v>
      </c>
      <c r="F75" s="1492">
        <v>90</v>
      </c>
      <c r="G75" s="1510">
        <v>0</v>
      </c>
      <c r="H75" s="1511"/>
      <c r="I75" s="1436">
        <v>68</v>
      </c>
      <c r="J75" s="1436"/>
      <c r="K75" s="1436"/>
      <c r="L75" s="1436"/>
      <c r="M75" s="1436"/>
      <c r="N75" s="1436"/>
      <c r="O75" s="1436"/>
      <c r="P75" s="1436"/>
      <c r="Q75" s="1436"/>
      <c r="R75" s="1436"/>
      <c r="S75" s="1436"/>
      <c r="T75" s="1436"/>
      <c r="U75" s="1436"/>
      <c r="V75" s="1436"/>
      <c r="W75" s="1436"/>
      <c r="X75" s="1436"/>
      <c r="Y75" s="1436"/>
      <c r="Z75" s="1436"/>
      <c r="AA75" s="1436"/>
      <c r="AB75" s="1436"/>
      <c r="AC75" s="1436"/>
      <c r="AD75" s="1436"/>
      <c r="AE75" s="1436"/>
      <c r="AF75" s="1436">
        <v>22</v>
      </c>
      <c r="AG75" s="1436"/>
      <c r="AH75" s="1436"/>
      <c r="AI75" s="1436"/>
      <c r="AJ75" s="1436"/>
      <c r="AK75" s="1436"/>
      <c r="AL75" s="1436"/>
      <c r="AM75" s="604"/>
    </row>
    <row r="76" spans="1:39" x14ac:dyDescent="0.25">
      <c r="A76" s="226"/>
      <c r="B76" s="1766"/>
      <c r="C76" s="1786"/>
      <c r="D76" s="1773"/>
      <c r="E76" s="1486" t="s">
        <v>312</v>
      </c>
      <c r="F76" s="1476"/>
      <c r="G76" s="1477"/>
      <c r="H76" s="605"/>
      <c r="I76" s="605"/>
      <c r="J76" s="605"/>
      <c r="K76" s="605"/>
      <c r="L76" s="605"/>
      <c r="M76" s="605"/>
      <c r="N76" s="605"/>
      <c r="O76" s="605"/>
      <c r="P76" s="606"/>
      <c r="Q76" s="605"/>
      <c r="R76" s="605"/>
      <c r="S76" s="605"/>
      <c r="T76" s="605"/>
      <c r="U76" s="605"/>
      <c r="V76" s="605"/>
      <c r="W76" s="605"/>
      <c r="X76" s="605"/>
      <c r="Y76" s="605"/>
      <c r="Z76" s="605"/>
      <c r="AA76" s="605"/>
      <c r="AB76" s="605"/>
      <c r="AC76" s="605"/>
      <c r="AD76" s="605"/>
      <c r="AE76" s="605"/>
      <c r="AF76" s="605"/>
      <c r="AG76" s="605"/>
      <c r="AH76" s="605"/>
      <c r="AI76" s="605"/>
      <c r="AJ76" s="605"/>
      <c r="AK76" s="605"/>
      <c r="AL76" s="607"/>
      <c r="AM76" s="604"/>
    </row>
    <row r="77" spans="1:39" x14ac:dyDescent="0.25">
      <c r="A77" s="226"/>
      <c r="B77" s="1766"/>
      <c r="C77" s="1786"/>
      <c r="D77" s="1774" t="s">
        <v>343</v>
      </c>
      <c r="E77" s="1478" t="s">
        <v>344</v>
      </c>
      <c r="F77" s="1479" t="s">
        <v>473</v>
      </c>
      <c r="G77" s="1480"/>
      <c r="H77" s="1445"/>
      <c r="I77" s="1445"/>
      <c r="J77" s="1445"/>
      <c r="K77" s="1437"/>
      <c r="L77" s="1437"/>
      <c r="M77" s="1437"/>
      <c r="N77" s="1437"/>
      <c r="O77" s="1437"/>
      <c r="P77" s="1438"/>
      <c r="Q77" s="1437"/>
      <c r="R77" s="1437"/>
      <c r="S77" s="1437"/>
      <c r="T77" s="1437"/>
      <c r="U77" s="1437"/>
      <c r="V77" s="1437"/>
      <c r="W77" s="1437"/>
      <c r="X77" s="1437"/>
      <c r="Y77" s="1437"/>
      <c r="Z77" s="1437"/>
      <c r="AA77" s="1437"/>
      <c r="AB77" s="1437"/>
      <c r="AC77" s="1437"/>
      <c r="AD77" s="1437"/>
      <c r="AE77" s="1437"/>
      <c r="AF77" s="1437"/>
      <c r="AG77" s="1437"/>
      <c r="AH77" s="1437"/>
      <c r="AI77" s="1437"/>
      <c r="AJ77" s="1437"/>
      <c r="AK77" s="1437"/>
      <c r="AL77" s="1439"/>
      <c r="AM77" s="604"/>
    </row>
    <row r="78" spans="1:39" x14ac:dyDescent="0.25">
      <c r="A78" s="226"/>
      <c r="B78" s="1766"/>
      <c r="C78" s="1786"/>
      <c r="D78" s="1773"/>
      <c r="E78" s="1455" t="s">
        <v>345</v>
      </c>
      <c r="F78" s="1492">
        <v>4.4800000000000004</v>
      </c>
      <c r="G78" s="1510">
        <v>0</v>
      </c>
      <c r="H78" s="1465">
        <v>4.34</v>
      </c>
      <c r="I78" s="1512">
        <v>5.94</v>
      </c>
      <c r="J78" s="1512">
        <v>3.03</v>
      </c>
      <c r="K78" s="1436"/>
      <c r="L78" s="1436"/>
      <c r="M78" s="1436"/>
      <c r="N78" s="1436"/>
      <c r="O78" s="1436"/>
      <c r="P78" s="1436"/>
      <c r="Q78" s="1436"/>
      <c r="R78" s="1436"/>
      <c r="S78" s="1436"/>
      <c r="T78" s="1436"/>
      <c r="U78" s="1436"/>
      <c r="V78" s="1436"/>
      <c r="W78" s="1436"/>
      <c r="X78" s="1436"/>
      <c r="Y78" s="1436"/>
      <c r="Z78" s="1436"/>
      <c r="AA78" s="1436"/>
      <c r="AB78" s="1436"/>
      <c r="AC78" s="1436"/>
      <c r="AD78" s="1436"/>
      <c r="AE78" s="1436"/>
      <c r="AF78" s="1436"/>
      <c r="AG78" s="1436"/>
      <c r="AH78" s="1436"/>
      <c r="AI78" s="1436"/>
      <c r="AJ78" s="1436"/>
      <c r="AK78" s="1436"/>
      <c r="AL78" s="1436"/>
      <c r="AM78" s="604"/>
    </row>
    <row r="79" spans="1:39" x14ac:dyDescent="0.25">
      <c r="A79" s="226"/>
      <c r="B79" s="1766"/>
      <c r="C79" s="1786"/>
      <c r="D79" s="1774" t="s">
        <v>47</v>
      </c>
      <c r="E79" s="1478" t="s">
        <v>346</v>
      </c>
      <c r="F79" s="609" t="s">
        <v>473</v>
      </c>
      <c r="G79" s="1480"/>
      <c r="H79" s="1445" t="s">
        <v>468</v>
      </c>
      <c r="I79" s="1445" t="s">
        <v>468</v>
      </c>
      <c r="J79" s="1445" t="s">
        <v>468</v>
      </c>
      <c r="K79" s="1445" t="s">
        <v>468</v>
      </c>
      <c r="L79" s="1445" t="s">
        <v>468</v>
      </c>
      <c r="M79" s="1445" t="s">
        <v>468</v>
      </c>
      <c r="N79" s="1445" t="s">
        <v>468</v>
      </c>
      <c r="O79" s="1445" t="s">
        <v>468</v>
      </c>
      <c r="P79" s="1445" t="s">
        <v>468</v>
      </c>
      <c r="Q79" s="1445" t="s">
        <v>468</v>
      </c>
      <c r="R79" s="1445" t="s">
        <v>468</v>
      </c>
      <c r="S79" s="1445" t="s">
        <v>468</v>
      </c>
      <c r="T79" s="1445" t="s">
        <v>468</v>
      </c>
      <c r="U79" s="1445" t="s">
        <v>468</v>
      </c>
      <c r="V79" s="1445" t="s">
        <v>468</v>
      </c>
      <c r="W79" s="1445" t="s">
        <v>468</v>
      </c>
      <c r="X79" s="1445" t="s">
        <v>468</v>
      </c>
      <c r="Y79" s="1445" t="s">
        <v>468</v>
      </c>
      <c r="Z79" s="1445" t="s">
        <v>468</v>
      </c>
      <c r="AA79" s="1445" t="s">
        <v>468</v>
      </c>
      <c r="AB79" s="1445" t="s">
        <v>468</v>
      </c>
      <c r="AC79" s="1445" t="s">
        <v>468</v>
      </c>
      <c r="AD79" s="1445" t="s">
        <v>468</v>
      </c>
      <c r="AE79" s="1445" t="s">
        <v>468</v>
      </c>
      <c r="AF79" s="1445" t="s">
        <v>468</v>
      </c>
      <c r="AG79" s="1445" t="s">
        <v>468</v>
      </c>
      <c r="AH79" s="1445" t="s">
        <v>468</v>
      </c>
      <c r="AI79" s="1445" t="s">
        <v>468</v>
      </c>
      <c r="AJ79" s="1445" t="s">
        <v>468</v>
      </c>
      <c r="AK79" s="1445" t="s">
        <v>468</v>
      </c>
      <c r="AL79" s="1445" t="s">
        <v>468</v>
      </c>
      <c r="AM79" s="604"/>
    </row>
    <row r="80" spans="1:39" ht="14.25" thickBot="1" x14ac:dyDescent="0.3">
      <c r="A80" s="226"/>
      <c r="B80" s="1767"/>
      <c r="C80" s="1787"/>
      <c r="D80" s="1775"/>
      <c r="E80" s="1460" t="s">
        <v>347</v>
      </c>
      <c r="F80" s="1489">
        <v>0.4</v>
      </c>
      <c r="G80" s="1514">
        <v>0</v>
      </c>
      <c r="H80" s="1446" t="s">
        <v>473</v>
      </c>
      <c r="I80" s="1446">
        <v>0.4</v>
      </c>
      <c r="J80" s="1446" t="s">
        <v>468</v>
      </c>
      <c r="K80" s="1446" t="s">
        <v>468</v>
      </c>
      <c r="L80" s="1446" t="s">
        <v>468</v>
      </c>
      <c r="M80" s="1446" t="s">
        <v>468</v>
      </c>
      <c r="N80" s="1446" t="s">
        <v>468</v>
      </c>
      <c r="O80" s="1446" t="s">
        <v>468</v>
      </c>
      <c r="P80" s="1446" t="s">
        <v>468</v>
      </c>
      <c r="Q80" s="1446" t="s">
        <v>468</v>
      </c>
      <c r="R80" s="1446" t="s">
        <v>468</v>
      </c>
      <c r="S80" s="1446" t="s">
        <v>468</v>
      </c>
      <c r="T80" s="1446" t="s">
        <v>468</v>
      </c>
      <c r="U80" s="1446" t="s">
        <v>468</v>
      </c>
      <c r="V80" s="1446" t="s">
        <v>468</v>
      </c>
      <c r="W80" s="1446" t="s">
        <v>468</v>
      </c>
      <c r="X80" s="1446" t="s">
        <v>468</v>
      </c>
      <c r="Y80" s="1446" t="s">
        <v>468</v>
      </c>
      <c r="Z80" s="1446" t="s">
        <v>468</v>
      </c>
      <c r="AA80" s="1446" t="s">
        <v>468</v>
      </c>
      <c r="AB80" s="1446" t="s">
        <v>468</v>
      </c>
      <c r="AC80" s="1446" t="s">
        <v>468</v>
      </c>
      <c r="AD80" s="1446" t="s">
        <v>468</v>
      </c>
      <c r="AE80" s="1446" t="s">
        <v>468</v>
      </c>
      <c r="AF80" s="1446" t="s">
        <v>468</v>
      </c>
      <c r="AG80" s="1446" t="s">
        <v>468</v>
      </c>
      <c r="AH80" s="1446" t="s">
        <v>468</v>
      </c>
      <c r="AI80" s="1446" t="s">
        <v>468</v>
      </c>
      <c r="AJ80" s="1448" t="s">
        <v>468</v>
      </c>
      <c r="AK80" s="1448" t="s">
        <v>468</v>
      </c>
      <c r="AL80" s="1448" t="s">
        <v>468</v>
      </c>
      <c r="AM80" s="610"/>
    </row>
    <row r="81" spans="1:40" s="194" customFormat="1" ht="14.45" customHeight="1" x14ac:dyDescent="0.25">
      <c r="A81" s="184"/>
      <c r="B81" s="1765"/>
      <c r="C81" s="1785" t="s">
        <v>585</v>
      </c>
      <c r="D81" s="1771" t="s">
        <v>340</v>
      </c>
      <c r="E81" s="616" t="s">
        <v>341</v>
      </c>
      <c r="F81" s="615" t="s">
        <v>473</v>
      </c>
      <c r="G81" s="598"/>
      <c r="H81" s="599"/>
      <c r="I81" s="599"/>
      <c r="J81" s="599"/>
      <c r="K81" s="600"/>
      <c r="L81" s="600"/>
      <c r="M81" s="600"/>
      <c r="N81" s="600"/>
      <c r="O81" s="600"/>
      <c r="P81" s="601"/>
      <c r="Q81" s="600"/>
      <c r="R81" s="600"/>
      <c r="S81" s="600"/>
      <c r="T81" s="600"/>
      <c r="U81" s="600"/>
      <c r="V81" s="600"/>
      <c r="W81" s="600"/>
      <c r="X81" s="600"/>
      <c r="Y81" s="600"/>
      <c r="Z81" s="600"/>
      <c r="AA81" s="600"/>
      <c r="AB81" s="600"/>
      <c r="AC81" s="600"/>
      <c r="AD81" s="600"/>
      <c r="AE81" s="600"/>
      <c r="AF81" s="600"/>
      <c r="AG81" s="600"/>
      <c r="AH81" s="600"/>
      <c r="AI81" s="600"/>
      <c r="AJ81" s="600"/>
      <c r="AK81" s="600"/>
      <c r="AL81" s="602"/>
      <c r="AM81" s="634"/>
    </row>
    <row r="82" spans="1:40" x14ac:dyDescent="0.25">
      <c r="A82" s="226"/>
      <c r="B82" s="1766"/>
      <c r="C82" s="1786"/>
      <c r="D82" s="1772"/>
      <c r="E82" s="1472" t="s">
        <v>342</v>
      </c>
      <c r="F82" s="1484">
        <v>3353</v>
      </c>
      <c r="G82" s="1510">
        <v>0</v>
      </c>
      <c r="H82" s="1511"/>
      <c r="I82" s="1436">
        <v>90</v>
      </c>
      <c r="J82" s="1436">
        <v>60</v>
      </c>
      <c r="K82" s="1436">
        <v>59</v>
      </c>
      <c r="L82" s="1436">
        <v>91</v>
      </c>
      <c r="M82" s="1436">
        <v>86</v>
      </c>
      <c r="N82" s="1436">
        <v>120</v>
      </c>
      <c r="O82" s="1436">
        <v>123</v>
      </c>
      <c r="P82" s="1436">
        <v>47</v>
      </c>
      <c r="Q82" s="1436">
        <v>33</v>
      </c>
      <c r="R82" s="1436">
        <v>131</v>
      </c>
      <c r="S82" s="1436">
        <v>171</v>
      </c>
      <c r="T82" s="1436">
        <v>45</v>
      </c>
      <c r="U82" s="1436">
        <v>191</v>
      </c>
      <c r="V82" s="1436">
        <v>270</v>
      </c>
      <c r="W82" s="1436">
        <v>218</v>
      </c>
      <c r="X82" s="1436">
        <v>204</v>
      </c>
      <c r="Y82" s="1436">
        <v>135</v>
      </c>
      <c r="Z82" s="1436">
        <v>197</v>
      </c>
      <c r="AA82" s="1436">
        <v>102</v>
      </c>
      <c r="AB82" s="1436">
        <v>155</v>
      </c>
      <c r="AC82" s="1436">
        <v>136</v>
      </c>
      <c r="AD82" s="1436">
        <v>112</v>
      </c>
      <c r="AE82" s="1436">
        <v>76</v>
      </c>
      <c r="AF82" s="1436">
        <v>104</v>
      </c>
      <c r="AG82" s="1436">
        <v>108</v>
      </c>
      <c r="AH82" s="1436">
        <v>179</v>
      </c>
      <c r="AI82" s="1436">
        <v>112</v>
      </c>
      <c r="AJ82" s="1436"/>
      <c r="AK82" s="1436"/>
      <c r="AL82" s="1436"/>
      <c r="AM82" s="604"/>
    </row>
    <row r="83" spans="1:40" x14ac:dyDescent="0.25">
      <c r="A83" s="226"/>
      <c r="B83" s="1766"/>
      <c r="C83" s="1786"/>
      <c r="D83" s="1773"/>
      <c r="E83" s="1486" t="s">
        <v>312</v>
      </c>
      <c r="F83" s="1476"/>
      <c r="G83" s="1477"/>
      <c r="H83" s="605"/>
      <c r="I83" s="605"/>
      <c r="J83" s="605"/>
      <c r="K83" s="605"/>
      <c r="L83" s="605"/>
      <c r="M83" s="605"/>
      <c r="N83" s="605"/>
      <c r="O83" s="605"/>
      <c r="P83" s="606"/>
      <c r="Q83" s="605"/>
      <c r="R83" s="605"/>
      <c r="S83" s="605"/>
      <c r="T83" s="605"/>
      <c r="U83" s="605"/>
      <c r="V83" s="605"/>
      <c r="W83" s="605"/>
      <c r="X83" s="605"/>
      <c r="Y83" s="605"/>
      <c r="Z83" s="605"/>
      <c r="AA83" s="605"/>
      <c r="AB83" s="605"/>
      <c r="AC83" s="605"/>
      <c r="AD83" s="605"/>
      <c r="AE83" s="605"/>
      <c r="AF83" s="605"/>
      <c r="AG83" s="605"/>
      <c r="AH83" s="605"/>
      <c r="AI83" s="605"/>
      <c r="AJ83" s="605"/>
      <c r="AK83" s="605"/>
      <c r="AL83" s="607"/>
      <c r="AM83" s="604"/>
    </row>
    <row r="84" spans="1:40" x14ac:dyDescent="0.25">
      <c r="A84" s="226"/>
      <c r="B84" s="1766"/>
      <c r="C84" s="1786"/>
      <c r="D84" s="1774" t="s">
        <v>343</v>
      </c>
      <c r="E84" s="1478" t="s">
        <v>344</v>
      </c>
      <c r="F84" s="1479" t="s">
        <v>473</v>
      </c>
      <c r="G84" s="1480"/>
      <c r="H84" s="1445"/>
      <c r="I84" s="1445"/>
      <c r="J84" s="1445"/>
      <c r="K84" s="1437"/>
      <c r="L84" s="1437"/>
      <c r="M84" s="1437"/>
      <c r="N84" s="1437"/>
      <c r="O84" s="1437"/>
      <c r="P84" s="1438"/>
      <c r="Q84" s="1437"/>
      <c r="R84" s="1437"/>
      <c r="S84" s="1437"/>
      <c r="T84" s="1437"/>
      <c r="U84" s="1437"/>
      <c r="V84" s="1437"/>
      <c r="W84" s="1437"/>
      <c r="X84" s="1437"/>
      <c r="Y84" s="1437"/>
      <c r="Z84" s="1437"/>
      <c r="AA84" s="1437"/>
      <c r="AB84" s="1437"/>
      <c r="AC84" s="1437"/>
      <c r="AD84" s="1437"/>
      <c r="AE84" s="1437"/>
      <c r="AF84" s="1437"/>
      <c r="AG84" s="1437"/>
      <c r="AH84" s="1437"/>
      <c r="AI84" s="1437"/>
      <c r="AJ84" s="1437"/>
      <c r="AK84" s="1437"/>
      <c r="AL84" s="1439"/>
      <c r="AM84" s="604"/>
    </row>
    <row r="85" spans="1:40" x14ac:dyDescent="0.25">
      <c r="A85" s="226"/>
      <c r="B85" s="1766"/>
      <c r="C85" s="1786"/>
      <c r="D85" s="1773"/>
      <c r="E85" s="1455" t="s">
        <v>345</v>
      </c>
      <c r="F85" s="1492">
        <v>2.57</v>
      </c>
      <c r="G85" s="1510">
        <v>0</v>
      </c>
      <c r="H85" s="1515">
        <v>0.69</v>
      </c>
      <c r="I85" s="1512">
        <v>2.66</v>
      </c>
      <c r="J85" s="1512">
        <v>2.44</v>
      </c>
      <c r="K85" s="1512">
        <v>2.44</v>
      </c>
      <c r="L85" s="1512">
        <v>2.0099999999999998</v>
      </c>
      <c r="M85" s="1512">
        <v>4.0999999999999996</v>
      </c>
      <c r="N85" s="1513">
        <v>1.78</v>
      </c>
      <c r="O85" s="1512">
        <v>3.65</v>
      </c>
      <c r="P85" s="1453">
        <v>1.41</v>
      </c>
      <c r="Q85" s="1512">
        <v>2.68</v>
      </c>
      <c r="R85" s="1512">
        <v>2.65</v>
      </c>
      <c r="S85" s="1512">
        <v>3.52</v>
      </c>
      <c r="T85" s="1512">
        <v>2.59</v>
      </c>
      <c r="U85" s="1512">
        <v>2.35</v>
      </c>
      <c r="V85" s="1512">
        <v>2.36</v>
      </c>
      <c r="W85" s="1512">
        <v>3.63</v>
      </c>
      <c r="X85" s="1512">
        <v>3.3</v>
      </c>
      <c r="Y85" s="1512">
        <v>2.91</v>
      </c>
      <c r="Z85" s="1512">
        <v>2.21</v>
      </c>
      <c r="AA85" s="1512">
        <v>2.38</v>
      </c>
      <c r="AB85" s="1512">
        <v>2.08</v>
      </c>
      <c r="AC85" s="1512">
        <v>2.09</v>
      </c>
      <c r="AD85" s="1453">
        <v>1.28</v>
      </c>
      <c r="AE85" s="1453">
        <v>0.93</v>
      </c>
      <c r="AF85" s="1512">
        <v>2.78</v>
      </c>
      <c r="AG85" s="1513">
        <v>1.78</v>
      </c>
      <c r="AH85" s="1512">
        <v>2.74</v>
      </c>
      <c r="AI85" s="1512">
        <v>2.38</v>
      </c>
      <c r="AJ85" s="1436"/>
      <c r="AK85" s="1436"/>
      <c r="AL85" s="1436"/>
      <c r="AM85" s="604"/>
    </row>
    <row r="86" spans="1:40" x14ac:dyDescent="0.25">
      <c r="A86" s="226"/>
      <c r="B86" s="1766"/>
      <c r="C86" s="1786"/>
      <c r="D86" s="1774" t="s">
        <v>47</v>
      </c>
      <c r="E86" s="1478" t="s">
        <v>346</v>
      </c>
      <c r="F86" s="609" t="s">
        <v>473</v>
      </c>
      <c r="G86" s="1480"/>
      <c r="H86" s="1445" t="s">
        <v>468</v>
      </c>
      <c r="I86" s="1445" t="s">
        <v>468</v>
      </c>
      <c r="J86" s="1445" t="s">
        <v>468</v>
      </c>
      <c r="K86" s="1445" t="s">
        <v>468</v>
      </c>
      <c r="L86" s="1445" t="s">
        <v>468</v>
      </c>
      <c r="M86" s="1445" t="s">
        <v>468</v>
      </c>
      <c r="N86" s="1445" t="s">
        <v>468</v>
      </c>
      <c r="O86" s="1445" t="s">
        <v>468</v>
      </c>
      <c r="P86" s="1445" t="s">
        <v>468</v>
      </c>
      <c r="Q86" s="1445" t="s">
        <v>468</v>
      </c>
      <c r="R86" s="1445" t="s">
        <v>468</v>
      </c>
      <c r="S86" s="1445" t="s">
        <v>468</v>
      </c>
      <c r="T86" s="1445" t="s">
        <v>468</v>
      </c>
      <c r="U86" s="1445" t="s">
        <v>468</v>
      </c>
      <c r="V86" s="1445" t="s">
        <v>468</v>
      </c>
      <c r="W86" s="1445" t="s">
        <v>468</v>
      </c>
      <c r="X86" s="1445" t="s">
        <v>468</v>
      </c>
      <c r="Y86" s="1445" t="s">
        <v>468</v>
      </c>
      <c r="Z86" s="1445" t="s">
        <v>468</v>
      </c>
      <c r="AA86" s="1445" t="s">
        <v>468</v>
      </c>
      <c r="AB86" s="1445" t="s">
        <v>468</v>
      </c>
      <c r="AC86" s="1445" t="s">
        <v>468</v>
      </c>
      <c r="AD86" s="1445" t="s">
        <v>468</v>
      </c>
      <c r="AE86" s="1445" t="s">
        <v>468</v>
      </c>
      <c r="AF86" s="1445" t="s">
        <v>468</v>
      </c>
      <c r="AG86" s="1445" t="s">
        <v>468</v>
      </c>
      <c r="AH86" s="1445" t="s">
        <v>468</v>
      </c>
      <c r="AI86" s="1445" t="s">
        <v>468</v>
      </c>
      <c r="AJ86" s="1445" t="s">
        <v>468</v>
      </c>
      <c r="AK86" s="1445" t="s">
        <v>468</v>
      </c>
      <c r="AL86" s="1445" t="s">
        <v>468</v>
      </c>
      <c r="AM86" s="604"/>
    </row>
    <row r="87" spans="1:40" ht="14.25" thickBot="1" x14ac:dyDescent="0.3">
      <c r="A87" s="226"/>
      <c r="B87" s="1767"/>
      <c r="C87" s="1787"/>
      <c r="D87" s="1775"/>
      <c r="E87" s="1460" t="s">
        <v>347</v>
      </c>
      <c r="F87" s="1489">
        <v>8.6</v>
      </c>
      <c r="G87" s="1514">
        <v>0</v>
      </c>
      <c r="H87" s="1446" t="s">
        <v>473</v>
      </c>
      <c r="I87" s="1446">
        <v>0.2</v>
      </c>
      <c r="J87" s="1446">
        <v>0.1</v>
      </c>
      <c r="K87" s="1446">
        <v>0.1</v>
      </c>
      <c r="L87" s="1446">
        <v>0.2</v>
      </c>
      <c r="M87" s="1446">
        <v>0.4</v>
      </c>
      <c r="N87" s="1446">
        <v>0.2</v>
      </c>
      <c r="O87" s="1446">
        <v>0.4</v>
      </c>
      <c r="P87" s="1446">
        <v>0.1</v>
      </c>
      <c r="Q87" s="1446">
        <v>0.1</v>
      </c>
      <c r="R87" s="1446">
        <v>0.3</v>
      </c>
      <c r="S87" s="1446">
        <v>0.6</v>
      </c>
      <c r="T87" s="1446">
        <v>0.1</v>
      </c>
      <c r="U87" s="1446">
        <v>0.4</v>
      </c>
      <c r="V87" s="1446">
        <v>0.6</v>
      </c>
      <c r="W87" s="1446">
        <v>0.8</v>
      </c>
      <c r="X87" s="1446">
        <v>0.7</v>
      </c>
      <c r="Y87" s="1446">
        <v>0.4</v>
      </c>
      <c r="Z87" s="1446">
        <v>0.4</v>
      </c>
      <c r="AA87" s="1446">
        <v>0.2</v>
      </c>
      <c r="AB87" s="1446">
        <v>0.3</v>
      </c>
      <c r="AC87" s="1446">
        <v>0.3</v>
      </c>
      <c r="AD87" s="1446">
        <v>0.1</v>
      </c>
      <c r="AE87" s="1446">
        <v>0.1</v>
      </c>
      <c r="AF87" s="1446">
        <v>0.3</v>
      </c>
      <c r="AG87" s="1446">
        <v>0.2</v>
      </c>
      <c r="AH87" s="1446">
        <v>0.5</v>
      </c>
      <c r="AI87" s="1446">
        <v>0.3</v>
      </c>
      <c r="AJ87" s="1448" t="s">
        <v>468</v>
      </c>
      <c r="AK87" s="1448" t="s">
        <v>468</v>
      </c>
      <c r="AL87" s="1448" t="s">
        <v>468</v>
      </c>
      <c r="AM87" s="610"/>
    </row>
    <row r="88" spans="1:40" s="194" customFormat="1" ht="14.45" customHeight="1" x14ac:dyDescent="0.25">
      <c r="A88" s="184"/>
      <c r="B88" s="1765"/>
      <c r="C88" s="1785" t="s">
        <v>586</v>
      </c>
      <c r="D88" s="1771" t="s">
        <v>340</v>
      </c>
      <c r="E88" s="616" t="s">
        <v>341</v>
      </c>
      <c r="F88" s="615" t="s">
        <v>473</v>
      </c>
      <c r="G88" s="598"/>
      <c r="H88" s="599"/>
      <c r="I88" s="599"/>
      <c r="J88" s="599"/>
      <c r="K88" s="600"/>
      <c r="L88" s="600"/>
      <c r="M88" s="600"/>
      <c r="N88" s="600"/>
      <c r="O88" s="600"/>
      <c r="P88" s="601"/>
      <c r="Q88" s="600"/>
      <c r="R88" s="600"/>
      <c r="S88" s="600"/>
      <c r="T88" s="600"/>
      <c r="U88" s="600"/>
      <c r="V88" s="600"/>
      <c r="W88" s="600"/>
      <c r="X88" s="600"/>
      <c r="Y88" s="600"/>
      <c r="Z88" s="600"/>
      <c r="AA88" s="600"/>
      <c r="AB88" s="600"/>
      <c r="AC88" s="600"/>
      <c r="AD88" s="600"/>
      <c r="AE88" s="600"/>
      <c r="AF88" s="600"/>
      <c r="AG88" s="600"/>
      <c r="AH88" s="600"/>
      <c r="AI88" s="600"/>
      <c r="AJ88" s="600"/>
      <c r="AK88" s="600"/>
      <c r="AL88" s="602"/>
      <c r="AM88" s="634"/>
    </row>
    <row r="89" spans="1:40" x14ac:dyDescent="0.25">
      <c r="A89" s="226"/>
      <c r="B89" s="1766"/>
      <c r="C89" s="1786"/>
      <c r="D89" s="1772"/>
      <c r="E89" s="1472" t="s">
        <v>342</v>
      </c>
      <c r="F89" s="1492">
        <v>337</v>
      </c>
      <c r="G89" s="1510">
        <v>0</v>
      </c>
      <c r="H89" s="1511"/>
      <c r="I89" s="1436"/>
      <c r="J89" s="1436">
        <v>39</v>
      </c>
      <c r="K89" s="1436">
        <v>29</v>
      </c>
      <c r="L89" s="1436">
        <v>6</v>
      </c>
      <c r="M89" s="1436"/>
      <c r="N89" s="1436"/>
      <c r="O89" s="1436"/>
      <c r="P89" s="1436">
        <v>15</v>
      </c>
      <c r="Q89" s="1436"/>
      <c r="R89" s="1436"/>
      <c r="S89" s="1436">
        <v>21</v>
      </c>
      <c r="T89" s="1436">
        <v>27</v>
      </c>
      <c r="U89" s="1436">
        <v>16</v>
      </c>
      <c r="V89" s="1436">
        <v>38</v>
      </c>
      <c r="W89" s="1436">
        <v>52</v>
      </c>
      <c r="X89" s="1436">
        <v>44</v>
      </c>
      <c r="Y89" s="1436"/>
      <c r="Z89" s="1436"/>
      <c r="AA89" s="1436">
        <v>8</v>
      </c>
      <c r="AB89" s="1436"/>
      <c r="AC89" s="1436"/>
      <c r="AD89" s="1436"/>
      <c r="AE89" s="1436"/>
      <c r="AF89" s="1436">
        <v>43</v>
      </c>
      <c r="AG89" s="1436"/>
      <c r="AH89" s="1436"/>
      <c r="AI89" s="1436"/>
      <c r="AJ89" s="1436"/>
      <c r="AK89" s="1436"/>
      <c r="AL89" s="1436"/>
      <c r="AM89" s="604"/>
    </row>
    <row r="90" spans="1:40" x14ac:dyDescent="0.25">
      <c r="A90" s="226"/>
      <c r="B90" s="1766"/>
      <c r="C90" s="1786"/>
      <c r="D90" s="1773"/>
      <c r="E90" s="1486" t="s">
        <v>312</v>
      </c>
      <c r="F90" s="1476"/>
      <c r="G90" s="1477"/>
      <c r="H90" s="605"/>
      <c r="I90" s="605"/>
      <c r="J90" s="605"/>
      <c r="K90" s="605"/>
      <c r="L90" s="605"/>
      <c r="M90" s="605"/>
      <c r="N90" s="605"/>
      <c r="O90" s="605"/>
      <c r="P90" s="606"/>
      <c r="Q90" s="605"/>
      <c r="R90" s="605"/>
      <c r="S90" s="605"/>
      <c r="T90" s="605"/>
      <c r="U90" s="605"/>
      <c r="V90" s="605"/>
      <c r="W90" s="605"/>
      <c r="X90" s="605"/>
      <c r="Y90" s="605"/>
      <c r="Z90" s="605"/>
      <c r="AA90" s="605"/>
      <c r="AB90" s="605"/>
      <c r="AC90" s="605"/>
      <c r="AD90" s="605"/>
      <c r="AE90" s="605"/>
      <c r="AF90" s="605"/>
      <c r="AG90" s="605"/>
      <c r="AH90" s="605"/>
      <c r="AI90" s="605"/>
      <c r="AJ90" s="605"/>
      <c r="AK90" s="605"/>
      <c r="AL90" s="607"/>
      <c r="AM90" s="604"/>
    </row>
    <row r="91" spans="1:40" x14ac:dyDescent="0.25">
      <c r="A91" s="226"/>
      <c r="B91" s="1766"/>
      <c r="C91" s="1786"/>
      <c r="D91" s="1774" t="s">
        <v>343</v>
      </c>
      <c r="E91" s="1478" t="s">
        <v>344</v>
      </c>
      <c r="F91" s="1479" t="s">
        <v>473</v>
      </c>
      <c r="G91" s="1480"/>
      <c r="H91" s="1445"/>
      <c r="I91" s="1445"/>
      <c r="J91" s="1445"/>
      <c r="K91" s="1437"/>
      <c r="L91" s="1437"/>
      <c r="M91" s="1437"/>
      <c r="N91" s="1437"/>
      <c r="O91" s="1437"/>
      <c r="P91" s="1438"/>
      <c r="Q91" s="1437"/>
      <c r="R91" s="1437"/>
      <c r="S91" s="1437"/>
      <c r="T91" s="1437"/>
      <c r="U91" s="1437"/>
      <c r="V91" s="1437"/>
      <c r="W91" s="1437"/>
      <c r="X91" s="1437"/>
      <c r="Y91" s="1437"/>
      <c r="Z91" s="1437"/>
      <c r="AA91" s="1437"/>
      <c r="AB91" s="1437"/>
      <c r="AC91" s="1437"/>
      <c r="AD91" s="1437"/>
      <c r="AE91" s="1437"/>
      <c r="AF91" s="1437"/>
      <c r="AG91" s="1437"/>
      <c r="AH91" s="1437"/>
      <c r="AI91" s="1437"/>
      <c r="AJ91" s="1437"/>
      <c r="AK91" s="1437"/>
      <c r="AL91" s="1439"/>
      <c r="AM91" s="604"/>
    </row>
    <row r="92" spans="1:40" x14ac:dyDescent="0.25">
      <c r="A92" s="226"/>
      <c r="B92" s="1766"/>
      <c r="C92" s="1786"/>
      <c r="D92" s="1773"/>
      <c r="E92" s="1455" t="s">
        <v>345</v>
      </c>
      <c r="F92" s="1492">
        <v>1.9</v>
      </c>
      <c r="G92" s="1510">
        <v>0</v>
      </c>
      <c r="H92" s="1465">
        <v>2.5499999999999998</v>
      </c>
      <c r="I92" s="1436"/>
      <c r="J92" s="1512">
        <v>2.2000000000000002</v>
      </c>
      <c r="K92" s="1453">
        <v>1.1000000000000001</v>
      </c>
      <c r="L92" s="1513">
        <v>1.76</v>
      </c>
      <c r="M92" s="1436"/>
      <c r="N92" s="1436"/>
      <c r="O92" s="1436"/>
      <c r="P92" s="1436"/>
      <c r="Q92" s="1436"/>
      <c r="R92" s="1436"/>
      <c r="S92" s="1453">
        <v>1.31</v>
      </c>
      <c r="T92" s="1513">
        <v>1.98</v>
      </c>
      <c r="U92" s="1512">
        <v>3</v>
      </c>
      <c r="V92" s="1512">
        <v>3.29</v>
      </c>
      <c r="W92" s="1453">
        <v>1.55</v>
      </c>
      <c r="X92" s="1512">
        <v>2.82</v>
      </c>
      <c r="Y92" s="1436"/>
      <c r="Z92" s="1436"/>
      <c r="AA92" s="1453">
        <v>1.58</v>
      </c>
      <c r="AB92" s="1436"/>
      <c r="AC92" s="1436"/>
      <c r="AD92" s="1436"/>
      <c r="AE92" s="1436"/>
      <c r="AF92" s="1453">
        <v>1</v>
      </c>
      <c r="AG92" s="1436"/>
      <c r="AH92" s="1436"/>
      <c r="AI92" s="1436"/>
      <c r="AJ92" s="1436"/>
      <c r="AK92" s="1436"/>
      <c r="AL92" s="1436"/>
      <c r="AM92" s="226"/>
      <c r="AN92" s="347"/>
    </row>
    <row r="93" spans="1:40" x14ac:dyDescent="0.25">
      <c r="A93" s="226"/>
      <c r="B93" s="1766"/>
      <c r="C93" s="1786"/>
      <c r="D93" s="1774" t="s">
        <v>47</v>
      </c>
      <c r="E93" s="1478" t="s">
        <v>346</v>
      </c>
      <c r="F93" s="609" t="s">
        <v>473</v>
      </c>
      <c r="G93" s="1480"/>
      <c r="H93" s="1445" t="s">
        <v>468</v>
      </c>
      <c r="I93" s="1445" t="s">
        <v>468</v>
      </c>
      <c r="J93" s="1445" t="s">
        <v>468</v>
      </c>
      <c r="K93" s="1445" t="s">
        <v>468</v>
      </c>
      <c r="L93" s="1445" t="s">
        <v>468</v>
      </c>
      <c r="M93" s="1445" t="s">
        <v>468</v>
      </c>
      <c r="N93" s="1445" t="s">
        <v>468</v>
      </c>
      <c r="O93" s="1445" t="s">
        <v>468</v>
      </c>
      <c r="P93" s="1445" t="s">
        <v>468</v>
      </c>
      <c r="Q93" s="1445" t="s">
        <v>468</v>
      </c>
      <c r="R93" s="1445" t="s">
        <v>468</v>
      </c>
      <c r="S93" s="1445" t="s">
        <v>468</v>
      </c>
      <c r="T93" s="1445" t="s">
        <v>468</v>
      </c>
      <c r="U93" s="1445" t="s">
        <v>468</v>
      </c>
      <c r="V93" s="1445" t="s">
        <v>468</v>
      </c>
      <c r="W93" s="1445" t="s">
        <v>468</v>
      </c>
      <c r="X93" s="1445" t="s">
        <v>468</v>
      </c>
      <c r="Y93" s="1445" t="s">
        <v>468</v>
      </c>
      <c r="Z93" s="1445" t="s">
        <v>468</v>
      </c>
      <c r="AA93" s="1445" t="s">
        <v>468</v>
      </c>
      <c r="AB93" s="1445" t="s">
        <v>468</v>
      </c>
      <c r="AC93" s="1445" t="s">
        <v>468</v>
      </c>
      <c r="AD93" s="1445" t="s">
        <v>468</v>
      </c>
      <c r="AE93" s="1445" t="s">
        <v>468</v>
      </c>
      <c r="AF93" s="1445" t="s">
        <v>468</v>
      </c>
      <c r="AG93" s="1445" t="s">
        <v>468</v>
      </c>
      <c r="AH93" s="1445" t="s">
        <v>468</v>
      </c>
      <c r="AI93" s="1445" t="s">
        <v>468</v>
      </c>
      <c r="AJ93" s="1445" t="s">
        <v>468</v>
      </c>
      <c r="AK93" s="1445" t="s">
        <v>468</v>
      </c>
      <c r="AL93" s="1445" t="s">
        <v>468</v>
      </c>
      <c r="AM93" s="604"/>
    </row>
    <row r="94" spans="1:40" ht="14.25" thickBot="1" x14ac:dyDescent="0.3">
      <c r="A94" s="226"/>
      <c r="B94" s="1767"/>
      <c r="C94" s="1787"/>
      <c r="D94" s="1775"/>
      <c r="E94" s="1460" t="s">
        <v>347</v>
      </c>
      <c r="F94" s="1489">
        <v>0.6</v>
      </c>
      <c r="G94" s="1514">
        <v>0</v>
      </c>
      <c r="H94" s="1446" t="s">
        <v>473</v>
      </c>
      <c r="I94" s="1446" t="s">
        <v>468</v>
      </c>
      <c r="J94" s="1446">
        <v>0.1</v>
      </c>
      <c r="K94" s="1446">
        <v>0</v>
      </c>
      <c r="L94" s="1446">
        <v>0</v>
      </c>
      <c r="M94" s="1446" t="s">
        <v>468</v>
      </c>
      <c r="N94" s="1446" t="s">
        <v>468</v>
      </c>
      <c r="O94" s="1446" t="s">
        <v>468</v>
      </c>
      <c r="P94" s="1446" t="s">
        <v>468</v>
      </c>
      <c r="Q94" s="1446" t="s">
        <v>468</v>
      </c>
      <c r="R94" s="1446" t="s">
        <v>468</v>
      </c>
      <c r="S94" s="1446">
        <v>0</v>
      </c>
      <c r="T94" s="1446">
        <v>0.1</v>
      </c>
      <c r="U94" s="1446">
        <v>0</v>
      </c>
      <c r="V94" s="1446">
        <v>0.1</v>
      </c>
      <c r="W94" s="1446">
        <v>0.1</v>
      </c>
      <c r="X94" s="1446">
        <v>0.1</v>
      </c>
      <c r="Y94" s="1446" t="s">
        <v>468</v>
      </c>
      <c r="Z94" s="1446" t="s">
        <v>468</v>
      </c>
      <c r="AA94" s="1446">
        <v>0</v>
      </c>
      <c r="AB94" s="1446" t="s">
        <v>468</v>
      </c>
      <c r="AC94" s="1446" t="s">
        <v>468</v>
      </c>
      <c r="AD94" s="1446" t="s">
        <v>468</v>
      </c>
      <c r="AE94" s="1446" t="s">
        <v>468</v>
      </c>
      <c r="AF94" s="1446">
        <v>0</v>
      </c>
      <c r="AG94" s="1446" t="s">
        <v>468</v>
      </c>
      <c r="AH94" s="1446" t="s">
        <v>468</v>
      </c>
      <c r="AI94" s="1446" t="s">
        <v>468</v>
      </c>
      <c r="AJ94" s="1448" t="s">
        <v>468</v>
      </c>
      <c r="AK94" s="1448" t="s">
        <v>468</v>
      </c>
      <c r="AL94" s="1448" t="s">
        <v>468</v>
      </c>
      <c r="AM94" s="610"/>
    </row>
    <row r="95" spans="1:40" s="194" customFormat="1" ht="14.45" customHeight="1" x14ac:dyDescent="0.25">
      <c r="A95" s="184"/>
      <c r="B95" s="1765"/>
      <c r="C95" s="1785" t="s">
        <v>587</v>
      </c>
      <c r="D95" s="1771" t="s">
        <v>340</v>
      </c>
      <c r="E95" s="616" t="s">
        <v>341</v>
      </c>
      <c r="F95" s="615" t="s">
        <v>473</v>
      </c>
      <c r="G95" s="598"/>
      <c r="H95" s="599"/>
      <c r="I95" s="599"/>
      <c r="J95" s="599"/>
      <c r="K95" s="600"/>
      <c r="L95" s="600"/>
      <c r="M95" s="600"/>
      <c r="N95" s="600"/>
      <c r="O95" s="600"/>
      <c r="P95" s="601"/>
      <c r="Q95" s="600"/>
      <c r="R95" s="600"/>
      <c r="S95" s="600"/>
      <c r="T95" s="600"/>
      <c r="U95" s="600"/>
      <c r="V95" s="600"/>
      <c r="W95" s="600"/>
      <c r="X95" s="600"/>
      <c r="Y95" s="600"/>
      <c r="Z95" s="600"/>
      <c r="AA95" s="600"/>
      <c r="AB95" s="600"/>
      <c r="AC95" s="600"/>
      <c r="AD95" s="600"/>
      <c r="AE95" s="600"/>
      <c r="AF95" s="600"/>
      <c r="AG95" s="600"/>
      <c r="AH95" s="600"/>
      <c r="AI95" s="600"/>
      <c r="AJ95" s="600"/>
      <c r="AK95" s="600"/>
      <c r="AL95" s="602"/>
      <c r="AM95" s="634"/>
    </row>
    <row r="96" spans="1:40" x14ac:dyDescent="0.25">
      <c r="A96" s="226"/>
      <c r="B96" s="1766"/>
      <c r="C96" s="1786"/>
      <c r="D96" s="1772"/>
      <c r="E96" s="1472" t="s">
        <v>342</v>
      </c>
      <c r="F96" s="1492">
        <v>35</v>
      </c>
      <c r="G96" s="1510">
        <v>0</v>
      </c>
      <c r="H96" s="1511"/>
      <c r="I96" s="1436"/>
      <c r="J96" s="1436"/>
      <c r="K96" s="1436"/>
      <c r="L96" s="1436">
        <v>26</v>
      </c>
      <c r="M96" s="1436"/>
      <c r="N96" s="1436">
        <v>9</v>
      </c>
      <c r="O96" s="1436" t="s">
        <v>468</v>
      </c>
      <c r="P96" s="1436"/>
      <c r="Q96" s="1436"/>
      <c r="R96" s="1436"/>
      <c r="S96" s="1436"/>
      <c r="T96" s="1436"/>
      <c r="U96" s="1436"/>
      <c r="V96" s="1436"/>
      <c r="W96" s="1436"/>
      <c r="X96" s="1436"/>
      <c r="Y96" s="1436"/>
      <c r="Z96" s="1436"/>
      <c r="AA96" s="1436"/>
      <c r="AB96" s="1436"/>
      <c r="AC96" s="1436"/>
      <c r="AD96" s="1436"/>
      <c r="AE96" s="1436"/>
      <c r="AF96" s="1436"/>
      <c r="AG96" s="1436"/>
      <c r="AH96" s="1436"/>
      <c r="AI96" s="1436"/>
      <c r="AJ96" s="1436"/>
      <c r="AK96" s="1436"/>
      <c r="AL96" s="1436"/>
      <c r="AM96" s="604"/>
    </row>
    <row r="97" spans="1:39" x14ac:dyDescent="0.25">
      <c r="A97" s="226"/>
      <c r="B97" s="1766"/>
      <c r="C97" s="1786"/>
      <c r="D97" s="1773"/>
      <c r="E97" s="1486" t="s">
        <v>312</v>
      </c>
      <c r="F97" s="1476"/>
      <c r="G97" s="1477"/>
      <c r="H97" s="605"/>
      <c r="I97" s="605"/>
      <c r="J97" s="605"/>
      <c r="K97" s="605"/>
      <c r="L97" s="605"/>
      <c r="M97" s="605"/>
      <c r="N97" s="605"/>
      <c r="O97" s="605"/>
      <c r="P97" s="606"/>
      <c r="Q97" s="605"/>
      <c r="R97" s="605"/>
      <c r="S97" s="605"/>
      <c r="T97" s="605"/>
      <c r="U97" s="605"/>
      <c r="V97" s="605"/>
      <c r="W97" s="605"/>
      <c r="X97" s="605"/>
      <c r="Y97" s="605"/>
      <c r="Z97" s="605"/>
      <c r="AA97" s="605"/>
      <c r="AB97" s="605"/>
      <c r="AC97" s="605"/>
      <c r="AD97" s="605"/>
      <c r="AE97" s="605"/>
      <c r="AF97" s="605"/>
      <c r="AG97" s="605"/>
      <c r="AH97" s="605"/>
      <c r="AI97" s="605"/>
      <c r="AJ97" s="605"/>
      <c r="AK97" s="605"/>
      <c r="AL97" s="607"/>
      <c r="AM97" s="604"/>
    </row>
    <row r="98" spans="1:39" x14ac:dyDescent="0.25">
      <c r="A98" s="226"/>
      <c r="B98" s="1766"/>
      <c r="C98" s="1786"/>
      <c r="D98" s="1774" t="s">
        <v>343</v>
      </c>
      <c r="E98" s="1478" t="s">
        <v>344</v>
      </c>
      <c r="F98" s="1479" t="s">
        <v>473</v>
      </c>
      <c r="G98" s="1480"/>
      <c r="H98" s="1445"/>
      <c r="I98" s="1445"/>
      <c r="J98" s="1445"/>
      <c r="K98" s="1437"/>
      <c r="L98" s="1437"/>
      <c r="M98" s="1437"/>
      <c r="N98" s="1437"/>
      <c r="O98" s="1437"/>
      <c r="P98" s="1438"/>
      <c r="Q98" s="1437"/>
      <c r="R98" s="1437"/>
      <c r="S98" s="1437"/>
      <c r="T98" s="1437"/>
      <c r="U98" s="1437"/>
      <c r="V98" s="1437"/>
      <c r="W98" s="1437"/>
      <c r="X98" s="1437"/>
      <c r="Y98" s="1437"/>
      <c r="Z98" s="1437"/>
      <c r="AA98" s="1437"/>
      <c r="AB98" s="1437"/>
      <c r="AC98" s="1437"/>
      <c r="AD98" s="1437"/>
      <c r="AE98" s="1437"/>
      <c r="AF98" s="1437"/>
      <c r="AG98" s="1437"/>
      <c r="AH98" s="1437"/>
      <c r="AI98" s="1437"/>
      <c r="AJ98" s="1437"/>
      <c r="AK98" s="1437"/>
      <c r="AL98" s="1439"/>
      <c r="AM98" s="604"/>
    </row>
    <row r="99" spans="1:39" x14ac:dyDescent="0.25">
      <c r="A99" s="226"/>
      <c r="B99" s="1766"/>
      <c r="C99" s="1786"/>
      <c r="D99" s="1773"/>
      <c r="E99" s="1455" t="s">
        <v>345</v>
      </c>
      <c r="F99" s="1492">
        <v>1.65</v>
      </c>
      <c r="G99" s="1510">
        <v>0</v>
      </c>
      <c r="H99" s="1511"/>
      <c r="I99" s="1436"/>
      <c r="J99" s="1436"/>
      <c r="K99" s="1436"/>
      <c r="L99" s="1513">
        <v>1.86</v>
      </c>
      <c r="M99" s="1436"/>
      <c r="N99" s="1453">
        <v>1.06</v>
      </c>
      <c r="O99" s="1436"/>
      <c r="P99" s="1436"/>
      <c r="Q99" s="1436"/>
      <c r="R99" s="1436"/>
      <c r="S99" s="1436"/>
      <c r="T99" s="1436"/>
      <c r="U99" s="1436"/>
      <c r="V99" s="1436"/>
      <c r="W99" s="1436"/>
      <c r="X99" s="1436"/>
      <c r="Y99" s="1436"/>
      <c r="Z99" s="1436"/>
      <c r="AA99" s="1436"/>
      <c r="AB99" s="1436"/>
      <c r="AC99" s="1436"/>
      <c r="AD99" s="1436"/>
      <c r="AE99" s="1436"/>
      <c r="AF99" s="1436"/>
      <c r="AG99" s="1436"/>
      <c r="AH99" s="1436"/>
      <c r="AI99" s="1436"/>
      <c r="AJ99" s="1436"/>
      <c r="AK99" s="1436"/>
      <c r="AL99" s="1436"/>
      <c r="AM99" s="604"/>
    </row>
    <row r="100" spans="1:39" x14ac:dyDescent="0.25">
      <c r="A100" s="226"/>
      <c r="B100" s="1766"/>
      <c r="C100" s="1786"/>
      <c r="D100" s="1774" t="s">
        <v>47</v>
      </c>
      <c r="E100" s="1478" t="s">
        <v>346</v>
      </c>
      <c r="F100" s="609" t="s">
        <v>473</v>
      </c>
      <c r="G100" s="1480"/>
      <c r="H100" s="1445" t="s">
        <v>468</v>
      </c>
      <c r="I100" s="1445" t="s">
        <v>468</v>
      </c>
      <c r="J100" s="1445" t="s">
        <v>468</v>
      </c>
      <c r="K100" s="1445" t="s">
        <v>468</v>
      </c>
      <c r="L100" s="1445" t="s">
        <v>468</v>
      </c>
      <c r="M100" s="1445" t="s">
        <v>468</v>
      </c>
      <c r="N100" s="1445" t="s">
        <v>468</v>
      </c>
      <c r="O100" s="1445" t="s">
        <v>468</v>
      </c>
      <c r="P100" s="1445" t="s">
        <v>468</v>
      </c>
      <c r="Q100" s="1445" t="s">
        <v>468</v>
      </c>
      <c r="R100" s="1445" t="s">
        <v>468</v>
      </c>
      <c r="S100" s="1445" t="s">
        <v>468</v>
      </c>
      <c r="T100" s="1445" t="s">
        <v>468</v>
      </c>
      <c r="U100" s="1445" t="s">
        <v>468</v>
      </c>
      <c r="V100" s="1445" t="s">
        <v>468</v>
      </c>
      <c r="W100" s="1445" t="s">
        <v>468</v>
      </c>
      <c r="X100" s="1445" t="s">
        <v>468</v>
      </c>
      <c r="Y100" s="1445" t="s">
        <v>468</v>
      </c>
      <c r="Z100" s="1445" t="s">
        <v>468</v>
      </c>
      <c r="AA100" s="1445" t="s">
        <v>468</v>
      </c>
      <c r="AB100" s="1445" t="s">
        <v>468</v>
      </c>
      <c r="AC100" s="1445" t="s">
        <v>468</v>
      </c>
      <c r="AD100" s="1445" t="s">
        <v>468</v>
      </c>
      <c r="AE100" s="1445" t="s">
        <v>468</v>
      </c>
      <c r="AF100" s="1445" t="s">
        <v>468</v>
      </c>
      <c r="AG100" s="1445" t="s">
        <v>468</v>
      </c>
      <c r="AH100" s="1445" t="s">
        <v>468</v>
      </c>
      <c r="AI100" s="1445" t="s">
        <v>468</v>
      </c>
      <c r="AJ100" s="1445" t="s">
        <v>468</v>
      </c>
      <c r="AK100" s="1445" t="s">
        <v>468</v>
      </c>
      <c r="AL100" s="1445" t="s">
        <v>468</v>
      </c>
      <c r="AM100" s="604"/>
    </row>
    <row r="101" spans="1:39" ht="14.25" thickBot="1" x14ac:dyDescent="0.3">
      <c r="A101" s="226"/>
      <c r="B101" s="1767"/>
      <c r="C101" s="1787"/>
      <c r="D101" s="1775"/>
      <c r="E101" s="1460" t="s">
        <v>347</v>
      </c>
      <c r="F101" s="1489">
        <v>0.1</v>
      </c>
      <c r="G101" s="1514">
        <v>0</v>
      </c>
      <c r="H101" s="1446" t="s">
        <v>473</v>
      </c>
      <c r="I101" s="1446" t="s">
        <v>468</v>
      </c>
      <c r="J101" s="1446" t="s">
        <v>468</v>
      </c>
      <c r="K101" s="1446" t="s">
        <v>468</v>
      </c>
      <c r="L101" s="1446">
        <v>0</v>
      </c>
      <c r="M101" s="1446" t="s">
        <v>468</v>
      </c>
      <c r="N101" s="1446">
        <v>0</v>
      </c>
      <c r="O101" s="1446" t="s">
        <v>468</v>
      </c>
      <c r="P101" s="1446" t="s">
        <v>468</v>
      </c>
      <c r="Q101" s="1446" t="s">
        <v>468</v>
      </c>
      <c r="R101" s="1446" t="s">
        <v>468</v>
      </c>
      <c r="S101" s="1446" t="s">
        <v>468</v>
      </c>
      <c r="T101" s="1446" t="s">
        <v>468</v>
      </c>
      <c r="U101" s="1446" t="s">
        <v>468</v>
      </c>
      <c r="V101" s="1446" t="s">
        <v>468</v>
      </c>
      <c r="W101" s="1446" t="s">
        <v>468</v>
      </c>
      <c r="X101" s="1446" t="s">
        <v>468</v>
      </c>
      <c r="Y101" s="1446" t="s">
        <v>468</v>
      </c>
      <c r="Z101" s="1446" t="s">
        <v>468</v>
      </c>
      <c r="AA101" s="1446" t="s">
        <v>468</v>
      </c>
      <c r="AB101" s="1446" t="s">
        <v>468</v>
      </c>
      <c r="AC101" s="1446" t="s">
        <v>468</v>
      </c>
      <c r="AD101" s="1446" t="s">
        <v>468</v>
      </c>
      <c r="AE101" s="1446" t="s">
        <v>468</v>
      </c>
      <c r="AF101" s="1446" t="s">
        <v>468</v>
      </c>
      <c r="AG101" s="1446" t="s">
        <v>468</v>
      </c>
      <c r="AH101" s="1446" t="s">
        <v>468</v>
      </c>
      <c r="AI101" s="1446" t="s">
        <v>468</v>
      </c>
      <c r="AJ101" s="1448" t="s">
        <v>468</v>
      </c>
      <c r="AK101" s="1448" t="s">
        <v>468</v>
      </c>
      <c r="AL101" s="1448" t="s">
        <v>468</v>
      </c>
      <c r="AM101" s="610"/>
    </row>
    <row r="102" spans="1:39" s="194" customFormat="1" ht="14.45" customHeight="1" x14ac:dyDescent="0.25">
      <c r="A102" s="184"/>
      <c r="B102" s="1765"/>
      <c r="C102" s="1785" t="s">
        <v>54</v>
      </c>
      <c r="D102" s="1771" t="s">
        <v>340</v>
      </c>
      <c r="E102" s="616" t="s">
        <v>341</v>
      </c>
      <c r="F102" s="615" t="s">
        <v>473</v>
      </c>
      <c r="G102" s="598"/>
      <c r="H102" s="599"/>
      <c r="I102" s="599"/>
      <c r="J102" s="599"/>
      <c r="K102" s="600"/>
      <c r="L102" s="600"/>
      <c r="M102" s="600"/>
      <c r="N102" s="600"/>
      <c r="O102" s="600"/>
      <c r="P102" s="601"/>
      <c r="Q102" s="600"/>
      <c r="R102" s="600"/>
      <c r="S102" s="600"/>
      <c r="T102" s="600"/>
      <c r="U102" s="600"/>
      <c r="V102" s="600"/>
      <c r="W102" s="600"/>
      <c r="X102" s="600"/>
      <c r="Y102" s="600"/>
      <c r="Z102" s="600"/>
      <c r="AA102" s="600"/>
      <c r="AB102" s="600"/>
      <c r="AC102" s="600"/>
      <c r="AD102" s="600"/>
      <c r="AE102" s="600"/>
      <c r="AF102" s="600"/>
      <c r="AG102" s="600"/>
      <c r="AH102" s="600"/>
      <c r="AI102" s="600"/>
      <c r="AJ102" s="600"/>
      <c r="AK102" s="600"/>
      <c r="AL102" s="602"/>
      <c r="AM102" s="634"/>
    </row>
    <row r="103" spans="1:39" x14ac:dyDescent="0.25">
      <c r="A103" s="226"/>
      <c r="B103" s="1766"/>
      <c r="C103" s="1786"/>
      <c r="D103" s="1772"/>
      <c r="E103" s="1472" t="s">
        <v>342</v>
      </c>
      <c r="F103" s="1492">
        <v>779</v>
      </c>
      <c r="G103" s="1510">
        <v>0</v>
      </c>
      <c r="H103" s="1511"/>
      <c r="I103" s="1436"/>
      <c r="J103" s="1436"/>
      <c r="K103" s="1436">
        <v>20</v>
      </c>
      <c r="L103" s="1436"/>
      <c r="M103" s="1436">
        <v>39</v>
      </c>
      <c r="N103" s="1436">
        <v>27</v>
      </c>
      <c r="O103" s="1436">
        <v>29</v>
      </c>
      <c r="P103" s="1436">
        <v>27</v>
      </c>
      <c r="Q103" s="1436">
        <v>42</v>
      </c>
      <c r="R103" s="1436">
        <v>39</v>
      </c>
      <c r="S103" s="1436">
        <v>33</v>
      </c>
      <c r="T103" s="1436">
        <v>30</v>
      </c>
      <c r="U103" s="1436">
        <v>27</v>
      </c>
      <c r="V103" s="1436">
        <v>36</v>
      </c>
      <c r="W103" s="1436">
        <v>45</v>
      </c>
      <c r="X103" s="1436">
        <v>19</v>
      </c>
      <c r="Y103" s="1436">
        <v>31</v>
      </c>
      <c r="Z103" s="1436">
        <v>39</v>
      </c>
      <c r="AA103" s="1436">
        <v>30</v>
      </c>
      <c r="AB103" s="1436">
        <v>31</v>
      </c>
      <c r="AC103" s="1436">
        <v>42</v>
      </c>
      <c r="AD103" s="1436">
        <v>77</v>
      </c>
      <c r="AE103" s="1436"/>
      <c r="AF103" s="1436"/>
      <c r="AG103" s="1436"/>
      <c r="AH103" s="1436">
        <v>39</v>
      </c>
      <c r="AI103" s="1436">
        <v>79</v>
      </c>
      <c r="AJ103" s="1436"/>
      <c r="AK103" s="1436"/>
      <c r="AL103" s="1436"/>
      <c r="AM103" s="604"/>
    </row>
    <row r="104" spans="1:39" x14ac:dyDescent="0.25">
      <c r="A104" s="226"/>
      <c r="B104" s="1766"/>
      <c r="C104" s="1786"/>
      <c r="D104" s="1773"/>
      <c r="E104" s="1486" t="s">
        <v>312</v>
      </c>
      <c r="F104" s="1476"/>
      <c r="G104" s="1477"/>
      <c r="H104" s="605"/>
      <c r="I104" s="605"/>
      <c r="J104" s="605"/>
      <c r="K104" s="605"/>
      <c r="L104" s="605"/>
      <c r="M104" s="605"/>
      <c r="N104" s="605"/>
      <c r="O104" s="605"/>
      <c r="P104" s="606"/>
      <c r="Q104" s="605"/>
      <c r="R104" s="605"/>
      <c r="S104" s="605"/>
      <c r="T104" s="605"/>
      <c r="U104" s="605"/>
      <c r="V104" s="605"/>
      <c r="W104" s="605"/>
      <c r="X104" s="605"/>
      <c r="Y104" s="605"/>
      <c r="Z104" s="605"/>
      <c r="AA104" s="605"/>
      <c r="AB104" s="605"/>
      <c r="AC104" s="605"/>
      <c r="AD104" s="605"/>
      <c r="AE104" s="605"/>
      <c r="AF104" s="605"/>
      <c r="AG104" s="605"/>
      <c r="AH104" s="605"/>
      <c r="AI104" s="605"/>
      <c r="AJ104" s="605"/>
      <c r="AK104" s="605"/>
      <c r="AL104" s="607"/>
      <c r="AM104" s="604"/>
    </row>
    <row r="105" spans="1:39" x14ac:dyDescent="0.25">
      <c r="A105" s="226"/>
      <c r="B105" s="1766"/>
      <c r="C105" s="1786"/>
      <c r="D105" s="1774" t="s">
        <v>343</v>
      </c>
      <c r="E105" s="1478" t="s">
        <v>344</v>
      </c>
      <c r="F105" s="1479" t="s">
        <v>473</v>
      </c>
      <c r="G105" s="1480"/>
      <c r="H105" s="1445"/>
      <c r="I105" s="1445"/>
      <c r="J105" s="1445"/>
      <c r="K105" s="1437"/>
      <c r="L105" s="1437"/>
      <c r="M105" s="1437"/>
      <c r="N105" s="1437"/>
      <c r="O105" s="1437"/>
      <c r="P105" s="1438"/>
      <c r="Q105" s="1437"/>
      <c r="R105" s="1437"/>
      <c r="S105" s="1437"/>
      <c r="T105" s="1437"/>
      <c r="U105" s="1437"/>
      <c r="V105" s="1437"/>
      <c r="W105" s="1437"/>
      <c r="X105" s="1437"/>
      <c r="Y105" s="1437"/>
      <c r="Z105" s="1437"/>
      <c r="AA105" s="1437"/>
      <c r="AB105" s="1437"/>
      <c r="AC105" s="1437"/>
      <c r="AD105" s="1437"/>
      <c r="AE105" s="1437"/>
      <c r="AF105" s="1437"/>
      <c r="AG105" s="1437"/>
      <c r="AH105" s="1437"/>
      <c r="AI105" s="1437"/>
      <c r="AJ105" s="1437"/>
      <c r="AK105" s="1437"/>
      <c r="AL105" s="1439"/>
      <c r="AM105" s="604"/>
    </row>
    <row r="106" spans="1:39" x14ac:dyDescent="0.25">
      <c r="A106" s="226"/>
      <c r="B106" s="1766"/>
      <c r="C106" s="1786"/>
      <c r="D106" s="1773"/>
      <c r="E106" s="1455" t="s">
        <v>345</v>
      </c>
      <c r="F106" s="1492">
        <v>2.4900000000000002</v>
      </c>
      <c r="G106" s="1510">
        <v>0</v>
      </c>
      <c r="H106" s="1511"/>
      <c r="I106" s="1436"/>
      <c r="J106" s="1436"/>
      <c r="K106" s="1453">
        <v>0.66</v>
      </c>
      <c r="L106" s="1436"/>
      <c r="M106" s="1512">
        <v>2.21</v>
      </c>
      <c r="N106" s="1512">
        <v>2.21</v>
      </c>
      <c r="O106" s="1512">
        <v>2.0499999999999998</v>
      </c>
      <c r="P106" s="1512">
        <v>2.41</v>
      </c>
      <c r="Q106" s="1512">
        <v>2.3199999999999998</v>
      </c>
      <c r="R106" s="1512">
        <v>3.83</v>
      </c>
      <c r="S106" s="1513">
        <v>1.75</v>
      </c>
      <c r="T106" s="1512">
        <v>2.78</v>
      </c>
      <c r="U106" s="1512">
        <v>2.17</v>
      </c>
      <c r="V106" s="1513">
        <v>1.97</v>
      </c>
      <c r="W106" s="1513">
        <v>1.87</v>
      </c>
      <c r="X106" s="1436"/>
      <c r="Y106" s="1512">
        <v>2.52</v>
      </c>
      <c r="Z106" s="1453">
        <v>1.04</v>
      </c>
      <c r="AA106" s="1453">
        <v>1.06</v>
      </c>
      <c r="AB106" s="1512">
        <v>2.38</v>
      </c>
      <c r="AC106" s="1513">
        <v>1.92</v>
      </c>
      <c r="AD106" s="1512">
        <v>6.26</v>
      </c>
      <c r="AE106" s="1453">
        <v>1.48</v>
      </c>
      <c r="AF106" s="1512">
        <v>2.0099999999999998</v>
      </c>
      <c r="AG106" s="1453">
        <v>1.26</v>
      </c>
      <c r="AH106" s="1512">
        <v>2.39</v>
      </c>
      <c r="AI106" s="1512">
        <v>2.2200000000000002</v>
      </c>
      <c r="AJ106" s="1436"/>
      <c r="AK106" s="1436"/>
      <c r="AL106" s="1436"/>
      <c r="AM106" s="604"/>
    </row>
    <row r="107" spans="1:39" x14ac:dyDescent="0.25">
      <c r="A107" s="226"/>
      <c r="B107" s="1766"/>
      <c r="C107" s="1786"/>
      <c r="D107" s="1774" t="s">
        <v>47</v>
      </c>
      <c r="E107" s="1478" t="s">
        <v>346</v>
      </c>
      <c r="F107" s="609" t="s">
        <v>473</v>
      </c>
      <c r="G107" s="1480"/>
      <c r="H107" s="1445" t="s">
        <v>468</v>
      </c>
      <c r="I107" s="1445" t="s">
        <v>468</v>
      </c>
      <c r="J107" s="1445" t="s">
        <v>468</v>
      </c>
      <c r="K107" s="1445" t="s">
        <v>468</v>
      </c>
      <c r="L107" s="1445" t="s">
        <v>468</v>
      </c>
      <c r="M107" s="1445" t="s">
        <v>468</v>
      </c>
      <c r="N107" s="1445" t="s">
        <v>468</v>
      </c>
      <c r="O107" s="1445" t="s">
        <v>468</v>
      </c>
      <c r="P107" s="1445" t="s">
        <v>468</v>
      </c>
      <c r="Q107" s="1445" t="s">
        <v>468</v>
      </c>
      <c r="R107" s="1445" t="s">
        <v>468</v>
      </c>
      <c r="S107" s="1445" t="s">
        <v>468</v>
      </c>
      <c r="T107" s="1445" t="s">
        <v>468</v>
      </c>
      <c r="U107" s="1445" t="s">
        <v>468</v>
      </c>
      <c r="V107" s="1445" t="s">
        <v>468</v>
      </c>
      <c r="W107" s="1445" t="s">
        <v>468</v>
      </c>
      <c r="X107" s="1445" t="s">
        <v>468</v>
      </c>
      <c r="Y107" s="1445" t="s">
        <v>468</v>
      </c>
      <c r="Z107" s="1445" t="s">
        <v>468</v>
      </c>
      <c r="AA107" s="1445" t="s">
        <v>468</v>
      </c>
      <c r="AB107" s="1445" t="s">
        <v>468</v>
      </c>
      <c r="AC107" s="1445" t="s">
        <v>468</v>
      </c>
      <c r="AD107" s="1445" t="s">
        <v>468</v>
      </c>
      <c r="AE107" s="1445" t="s">
        <v>468</v>
      </c>
      <c r="AF107" s="1445" t="s">
        <v>468</v>
      </c>
      <c r="AG107" s="1445" t="s">
        <v>468</v>
      </c>
      <c r="AH107" s="1445" t="s">
        <v>468</v>
      </c>
      <c r="AI107" s="1445" t="s">
        <v>468</v>
      </c>
      <c r="AJ107" s="1445" t="s">
        <v>468</v>
      </c>
      <c r="AK107" s="1445" t="s">
        <v>468</v>
      </c>
      <c r="AL107" s="1445" t="s">
        <v>468</v>
      </c>
      <c r="AM107" s="604"/>
    </row>
    <row r="108" spans="1:39" ht="14.25" thickBot="1" x14ac:dyDescent="0.3">
      <c r="A108" s="226"/>
      <c r="B108" s="1766"/>
      <c r="C108" s="1786"/>
      <c r="D108" s="1772"/>
      <c r="E108" s="1460" t="s">
        <v>347</v>
      </c>
      <c r="F108" s="1489">
        <v>1.9</v>
      </c>
      <c r="G108" s="1514">
        <v>0</v>
      </c>
      <c r="H108" s="1446" t="s">
        <v>473</v>
      </c>
      <c r="I108" s="1446" t="s">
        <v>468</v>
      </c>
      <c r="J108" s="1446" t="s">
        <v>468</v>
      </c>
      <c r="K108" s="1446">
        <v>0</v>
      </c>
      <c r="L108" s="1446" t="s">
        <v>468</v>
      </c>
      <c r="M108" s="1446">
        <v>0.1</v>
      </c>
      <c r="N108" s="1446">
        <v>0.1</v>
      </c>
      <c r="O108" s="1446">
        <v>0.1</v>
      </c>
      <c r="P108" s="1446">
        <v>0.1</v>
      </c>
      <c r="Q108" s="1446">
        <v>0.1</v>
      </c>
      <c r="R108" s="1446">
        <v>0.1</v>
      </c>
      <c r="S108" s="1446">
        <v>0.1</v>
      </c>
      <c r="T108" s="1446">
        <v>0.1</v>
      </c>
      <c r="U108" s="1446">
        <v>0.1</v>
      </c>
      <c r="V108" s="1446">
        <v>0.1</v>
      </c>
      <c r="W108" s="1446">
        <v>0.1</v>
      </c>
      <c r="X108" s="1446" t="s">
        <v>468</v>
      </c>
      <c r="Y108" s="1446">
        <v>0.1</v>
      </c>
      <c r="Z108" s="1446">
        <v>0</v>
      </c>
      <c r="AA108" s="1446">
        <v>0</v>
      </c>
      <c r="AB108" s="1446">
        <v>0.1</v>
      </c>
      <c r="AC108" s="1446">
        <v>0.1</v>
      </c>
      <c r="AD108" s="1446">
        <v>0.5</v>
      </c>
      <c r="AE108" s="1446" t="s">
        <v>468</v>
      </c>
      <c r="AF108" s="1446" t="s">
        <v>468</v>
      </c>
      <c r="AG108" s="1446" t="s">
        <v>468</v>
      </c>
      <c r="AH108" s="1446">
        <v>0.1</v>
      </c>
      <c r="AI108" s="1446">
        <v>0.2</v>
      </c>
      <c r="AJ108" s="1448" t="s">
        <v>468</v>
      </c>
      <c r="AK108" s="1448" t="s">
        <v>468</v>
      </c>
      <c r="AL108" s="1448" t="s">
        <v>468</v>
      </c>
      <c r="AM108" s="610"/>
    </row>
  </sheetData>
  <mergeCells count="80">
    <mergeCell ref="A1:B1"/>
    <mergeCell ref="A5:B5"/>
    <mergeCell ref="A8:B8"/>
    <mergeCell ref="A13:B13"/>
    <mergeCell ref="A14:B14"/>
    <mergeCell ref="H2:I2"/>
    <mergeCell ref="K2:N2"/>
    <mergeCell ref="H3:I3"/>
    <mergeCell ref="K3:N3"/>
    <mergeCell ref="H4:I4"/>
    <mergeCell ref="K4:N4"/>
    <mergeCell ref="K5:N5"/>
    <mergeCell ref="K6:N6"/>
    <mergeCell ref="B18:B24"/>
    <mergeCell ref="C18:C24"/>
    <mergeCell ref="D18:D20"/>
    <mergeCell ref="D21:D22"/>
    <mergeCell ref="D23:D24"/>
    <mergeCell ref="A15:B15"/>
    <mergeCell ref="A16:B16"/>
    <mergeCell ref="B32:B38"/>
    <mergeCell ref="C32:C38"/>
    <mergeCell ref="D32:D34"/>
    <mergeCell ref="D35:D36"/>
    <mergeCell ref="D37:D38"/>
    <mergeCell ref="B25:B31"/>
    <mergeCell ref="C25:C31"/>
    <mergeCell ref="D25:D27"/>
    <mergeCell ref="D28:D29"/>
    <mergeCell ref="D30:D31"/>
    <mergeCell ref="B46:B52"/>
    <mergeCell ref="C46:C52"/>
    <mergeCell ref="D46:D48"/>
    <mergeCell ref="D49:D50"/>
    <mergeCell ref="D51:D52"/>
    <mergeCell ref="B39:B45"/>
    <mergeCell ref="C39:C45"/>
    <mergeCell ref="D39:D41"/>
    <mergeCell ref="D42:D43"/>
    <mergeCell ref="D44:D45"/>
    <mergeCell ref="B60:B66"/>
    <mergeCell ref="C60:C66"/>
    <mergeCell ref="D60:D62"/>
    <mergeCell ref="D63:D64"/>
    <mergeCell ref="D65:D66"/>
    <mergeCell ref="B53:B59"/>
    <mergeCell ref="C53:C59"/>
    <mergeCell ref="D53:D55"/>
    <mergeCell ref="D56:D57"/>
    <mergeCell ref="D58:D59"/>
    <mergeCell ref="B74:B80"/>
    <mergeCell ref="C74:C80"/>
    <mergeCell ref="D74:D76"/>
    <mergeCell ref="D77:D78"/>
    <mergeCell ref="D79:D80"/>
    <mergeCell ref="B67:B73"/>
    <mergeCell ref="C67:C73"/>
    <mergeCell ref="D67:D69"/>
    <mergeCell ref="D70:D71"/>
    <mergeCell ref="D72:D73"/>
    <mergeCell ref="B88:B94"/>
    <mergeCell ref="C88:C94"/>
    <mergeCell ref="D88:D90"/>
    <mergeCell ref="D91:D92"/>
    <mergeCell ref="D93:D94"/>
    <mergeCell ref="B81:B87"/>
    <mergeCell ref="C81:C87"/>
    <mergeCell ref="D81:D83"/>
    <mergeCell ref="D84:D85"/>
    <mergeCell ref="D86:D87"/>
    <mergeCell ref="B102:B108"/>
    <mergeCell ref="C102:C108"/>
    <mergeCell ref="D102:D104"/>
    <mergeCell ref="D105:D106"/>
    <mergeCell ref="D107:D108"/>
    <mergeCell ref="B95:B101"/>
    <mergeCell ref="C95:C101"/>
    <mergeCell ref="D95:D97"/>
    <mergeCell ref="D98:D99"/>
    <mergeCell ref="D100:D101"/>
  </mergeCells>
  <conditionalFormatting sqref="AP11:BR11">
    <cfRule type="expression" dxfId="84" priority="369">
      <formula>AP$9&gt;$C$7</formula>
    </cfRule>
    <cfRule type="expression" dxfId="83" priority="391">
      <formula>AP10=""</formula>
    </cfRule>
    <cfRule type="cellIs" dxfId="82" priority="392" operator="lessThan">
      <formula>AP10</formula>
    </cfRule>
    <cfRule type="cellIs" dxfId="81" priority="393" operator="greaterThanOrEqual">
      <formula>AP10</formula>
    </cfRule>
  </conditionalFormatting>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6A237-ED78-464D-BEB3-4B9F6BEEE205}">
  <dimension ref="A1:K111"/>
  <sheetViews>
    <sheetView topLeftCell="A13" workbookViewId="0">
      <selection sqref="A1:XFD1048576"/>
    </sheetView>
  </sheetViews>
  <sheetFormatPr defaultColWidth="8.5703125" defaultRowHeight="13.5" x14ac:dyDescent="0.25"/>
  <cols>
    <col min="1" max="1" width="4.42578125" style="947" customWidth="1"/>
    <col min="2" max="2" width="42" style="947" customWidth="1"/>
    <col min="3" max="3" width="4" style="947" customWidth="1"/>
    <col min="4" max="4" width="16.5703125" style="947" customWidth="1"/>
    <col min="5" max="5" width="1.5703125" style="252" customWidth="1"/>
    <col min="6" max="6" width="16.5703125" style="947" customWidth="1"/>
    <col min="7" max="7" width="1.5703125" style="252" customWidth="1"/>
    <col min="8" max="8" width="16.5703125" style="252" customWidth="1"/>
    <col min="9" max="9" width="1.5703125" style="252" customWidth="1"/>
    <col min="10" max="10" width="16.5703125" style="252" hidden="1" customWidth="1"/>
    <col min="11" max="11" width="8.5703125" style="252"/>
    <col min="12" max="12" width="14.5703125" style="252" customWidth="1"/>
    <col min="13" max="13" width="1.5703125" style="252" customWidth="1"/>
    <col min="14" max="14" width="11.42578125" style="252" customWidth="1"/>
    <col min="15" max="16384" width="8.5703125" style="252"/>
  </cols>
  <sheetData>
    <row r="1" spans="1:11" x14ac:dyDescent="0.25">
      <c r="A1" s="946" t="s">
        <v>221</v>
      </c>
    </row>
    <row r="2" spans="1:11" x14ac:dyDescent="0.25">
      <c r="A2" s="946" t="s">
        <v>402</v>
      </c>
      <c r="B2" s="948"/>
      <c r="C2" s="946"/>
    </row>
    <row r="3" spans="1:11" x14ac:dyDescent="0.25">
      <c r="A3" s="946" t="str">
        <f>[15]Dashboard!A4</f>
        <v>v2</v>
      </c>
      <c r="B3" s="946"/>
      <c r="C3" s="946"/>
      <c r="D3" s="252"/>
      <c r="F3" s="252"/>
    </row>
    <row r="4" spans="1:11" x14ac:dyDescent="0.25">
      <c r="A4" s="946"/>
      <c r="B4" s="949"/>
      <c r="C4" s="949"/>
      <c r="D4" s="1394">
        <f>INDEX('[15]2025'!Z6:AK6,'[15]2025'!$AL$5)</f>
        <v>45689</v>
      </c>
      <c r="F4" s="1394" t="str">
        <f>INDEX('[15]2025'!U6:X6,'[15]2025'!$Y$5)</f>
        <v>2025 Q1</v>
      </c>
      <c r="H4" s="1395" t="s">
        <v>403</v>
      </c>
      <c r="J4" s="1395" t="s">
        <v>403</v>
      </c>
    </row>
    <row r="5" spans="1:11" x14ac:dyDescent="0.25">
      <c r="A5" s="950"/>
      <c r="B5" s="951" t="s">
        <v>404</v>
      </c>
      <c r="C5" s="949"/>
    </row>
    <row r="6" spans="1:11" x14ac:dyDescent="0.25">
      <c r="B6" s="952" t="s">
        <v>405</v>
      </c>
      <c r="D6" s="1396">
        <f>SUM(D7:D8)</f>
        <v>0</v>
      </c>
      <c r="F6" s="1396">
        <f>SUM(F7:F8)</f>
        <v>0</v>
      </c>
      <c r="H6" s="1396">
        <f>SUM(H7:H8)</f>
        <v>0</v>
      </c>
      <c r="J6" s="1396">
        <f>SUM(J7:J8)</f>
        <v>0</v>
      </c>
    </row>
    <row r="7" spans="1:11" s="185" customFormat="1" x14ac:dyDescent="0.25">
      <c r="A7" s="953"/>
      <c r="B7" s="1397" t="s">
        <v>406</v>
      </c>
      <c r="C7" s="953"/>
      <c r="D7" s="1398">
        <f>D10</f>
        <v>0</v>
      </c>
      <c r="E7" s="185">
        <f t="shared" ref="E7" si="0">E10</f>
        <v>0</v>
      </c>
      <c r="F7" s="1398">
        <f>F10</f>
        <v>0</v>
      </c>
      <c r="H7" s="1398">
        <f>H10</f>
        <v>0</v>
      </c>
      <c r="J7" s="1398">
        <f t="shared" ref="J7" si="1">J10</f>
        <v>0</v>
      </c>
    </row>
    <row r="8" spans="1:11" s="185" customFormat="1" x14ac:dyDescent="0.25">
      <c r="A8" s="953"/>
      <c r="B8" s="954" t="s">
        <v>407</v>
      </c>
      <c r="C8" s="953"/>
      <c r="D8" s="955">
        <f>INDEX('[15]2025'!Z29:AK29,'[15]2025'!$AL$5)</f>
        <v>0</v>
      </c>
      <c r="F8" s="955">
        <f>INDEX('[15]2025'!U29:X29,'[15]2025'!$Y$5)</f>
        <v>0</v>
      </c>
      <c r="H8" s="955">
        <f>'[15]2025'!AL29</f>
        <v>0</v>
      </c>
      <c r="J8" s="955">
        <f>'[15]2025'!AN29</f>
        <v>0</v>
      </c>
    </row>
    <row r="9" spans="1:11" x14ac:dyDescent="0.25">
      <c r="B9" s="956"/>
    </row>
    <row r="10" spans="1:11" x14ac:dyDescent="0.25">
      <c r="B10" s="952" t="s">
        <v>408</v>
      </c>
      <c r="D10" s="1399">
        <f>SUM(D11:D12)</f>
        <v>0</v>
      </c>
      <c r="F10" s="1399">
        <f>SUM(F11:F12)</f>
        <v>0</v>
      </c>
      <c r="H10" s="1399">
        <f>SUM(H11:H12)</f>
        <v>0</v>
      </c>
      <c r="J10" s="1399">
        <f>SUM(J11:J12)</f>
        <v>0</v>
      </c>
    </row>
    <row r="11" spans="1:11" s="185" customFormat="1" x14ac:dyDescent="0.25">
      <c r="A11" s="953"/>
      <c r="B11" s="1400" t="s">
        <v>409</v>
      </c>
      <c r="C11" s="953"/>
      <c r="D11" s="1401">
        <f>INDEX('[15]2025'!Z9:AK9,'[15]2025'!$AL$5)</f>
        <v>0</v>
      </c>
      <c r="F11" s="1401">
        <f>INDEX('[15]2025'!U9:X9,'[15]2025'!$Y$5)</f>
        <v>0</v>
      </c>
      <c r="H11" s="1401">
        <f>'[15]2025'!AL9</f>
        <v>0</v>
      </c>
      <c r="J11" s="1401">
        <f>'[15]2025'!AN9</f>
        <v>0</v>
      </c>
    </row>
    <row r="12" spans="1:11" s="185" customFormat="1" x14ac:dyDescent="0.25">
      <c r="A12" s="953"/>
      <c r="B12" s="954" t="s">
        <v>410</v>
      </c>
      <c r="C12" s="953"/>
      <c r="D12" s="957">
        <f>INDEX('[15]2025'!Z14:AK14,'[15]2025'!$AL$5)</f>
        <v>0</v>
      </c>
      <c r="F12" s="957">
        <f>INDEX('[15]2025'!U14:X14,'[15]2025'!$Y$5)</f>
        <v>0</v>
      </c>
      <c r="H12" s="957">
        <f>'[15]2025'!AL14</f>
        <v>0</v>
      </c>
      <c r="J12" s="957">
        <f>'[15]2025'!AN14</f>
        <v>0</v>
      </c>
    </row>
    <row r="13" spans="1:11" x14ac:dyDescent="0.25">
      <c r="B13" s="956"/>
    </row>
    <row r="14" spans="1:11" x14ac:dyDescent="0.25">
      <c r="B14" s="952" t="s">
        <v>411</v>
      </c>
      <c r="D14" s="958"/>
      <c r="F14" s="958"/>
      <c r="H14" s="958"/>
      <c r="J14" s="958"/>
    </row>
    <row r="15" spans="1:11" s="185" customFormat="1" x14ac:dyDescent="0.25">
      <c r="A15" s="953"/>
      <c r="B15" s="1402" t="s">
        <v>412</v>
      </c>
      <c r="C15" s="953"/>
      <c r="D15" s="1403">
        <f>IFERROR(D7/D8,0)</f>
        <v>0</v>
      </c>
      <c r="E15" s="959"/>
      <c r="F15" s="1403">
        <f>IFERROR(F7/F8,0)</f>
        <v>0</v>
      </c>
      <c r="G15" s="959"/>
      <c r="H15" s="1403">
        <f>IFERROR(H7/H8,0)</f>
        <v>0</v>
      </c>
      <c r="I15" s="959"/>
      <c r="J15" s="1403">
        <f>IFERROR(J7/J8,0)</f>
        <v>0</v>
      </c>
      <c r="K15" s="185" t="s">
        <v>348</v>
      </c>
    </row>
    <row r="17" spans="2:10" x14ac:dyDescent="0.25">
      <c r="B17" s="952" t="s">
        <v>413</v>
      </c>
      <c r="D17" s="1399">
        <f>SUM(D18:D19)</f>
        <v>0</v>
      </c>
      <c r="F17" s="1399">
        <f>SUM(F18:F19)</f>
        <v>0</v>
      </c>
      <c r="H17" s="1396">
        <f>SUM(H18:H19)</f>
        <v>0</v>
      </c>
      <c r="J17" s="1396">
        <f>SUM(J18:J19)</f>
        <v>0</v>
      </c>
    </row>
    <row r="18" spans="2:10" s="185" customFormat="1" x14ac:dyDescent="0.25">
      <c r="B18" s="1400" t="s">
        <v>409</v>
      </c>
      <c r="C18" s="953"/>
      <c r="D18" s="1398">
        <f>INDEX('[15]2025'!Z19:AK19,'[15]2025'!$AL$5)</f>
        <v>0</v>
      </c>
      <c r="F18" s="1398">
        <f>INDEX('[15]2025'!U19:X19,'[15]2025'!$Y$5)</f>
        <v>0</v>
      </c>
      <c r="H18" s="1401">
        <f>+'[15]2025'!AL19</f>
        <v>0</v>
      </c>
      <c r="J18" s="1401">
        <f>+'[15]2025'!AN19</f>
        <v>0</v>
      </c>
    </row>
    <row r="19" spans="2:10" s="185" customFormat="1" x14ac:dyDescent="0.25">
      <c r="B19" s="954" t="s">
        <v>410</v>
      </c>
      <c r="C19" s="953"/>
      <c r="D19" s="960">
        <f>INDEX('[15]2025'!Z24:AK24,'[15]2025'!$AL$5)</f>
        <v>0</v>
      </c>
      <c r="F19" s="960">
        <f>INDEX('[15]2025'!U24:X24,'[15]2025'!$Y$5)</f>
        <v>0</v>
      </c>
      <c r="H19" s="957">
        <f>+'[15]2025'!AL24</f>
        <v>0</v>
      </c>
      <c r="J19" s="957">
        <f>+'[15]2025'!AN24</f>
        <v>0</v>
      </c>
    </row>
    <row r="20" spans="2:10" x14ac:dyDescent="0.25">
      <c r="B20" s="956"/>
    </row>
    <row r="21" spans="2:10" x14ac:dyDescent="0.25">
      <c r="B21" s="952" t="s">
        <v>414</v>
      </c>
      <c r="D21" s="1399">
        <f>SUM(D22:D24)</f>
        <v>21703.631999999998</v>
      </c>
      <c r="F21" s="1399">
        <f>SUM(F22:F24)</f>
        <v>43161.36</v>
      </c>
      <c r="H21" s="1399">
        <f>SUM(H22:H24)</f>
        <v>43161.36</v>
      </c>
      <c r="J21" s="1399">
        <f>SUM(J22:J24)</f>
        <v>0</v>
      </c>
    </row>
    <row r="22" spans="2:10" s="185" customFormat="1" x14ac:dyDescent="0.25">
      <c r="B22" s="1397" t="s">
        <v>412</v>
      </c>
      <c r="C22" s="953"/>
      <c r="D22" s="1398">
        <f>INDEX('[15]2025'!Z34:AK34,'[15]2025'!$AL$5)</f>
        <v>0</v>
      </c>
      <c r="F22" s="1398">
        <f>INDEX('[15]2025'!U34:X34,'[15]2025'!$Y$5)</f>
        <v>0</v>
      </c>
      <c r="H22" s="1401">
        <f>+'[15]2025'!AL34</f>
        <v>0</v>
      </c>
      <c r="J22" s="1401">
        <f>+'[15]2025'!AN34</f>
        <v>0</v>
      </c>
    </row>
    <row r="23" spans="2:10" s="185" customFormat="1" x14ac:dyDescent="0.25">
      <c r="B23" s="961" t="s">
        <v>415</v>
      </c>
      <c r="C23" s="953"/>
      <c r="D23" s="962">
        <f>INDEX('[15]2025'!Z50:AK50,'[15]2025'!$AL$5)</f>
        <v>21097.583999999999</v>
      </c>
      <c r="F23" s="962">
        <f>INDEX('[15]2025'!U50:X50,'[15]2025'!$Y$5)</f>
        <v>42321.311999999998</v>
      </c>
      <c r="H23" s="962">
        <f>+'[15]2025'!AL50</f>
        <v>42321.311999999998</v>
      </c>
      <c r="J23" s="962">
        <f>+'[15]2025'!AN50</f>
        <v>0</v>
      </c>
    </row>
    <row r="24" spans="2:10" s="185" customFormat="1" x14ac:dyDescent="0.25">
      <c r="B24" s="954" t="s">
        <v>416</v>
      </c>
      <c r="C24" s="953"/>
      <c r="D24" s="960">
        <f>INDEX('[15]2025'!Z76:AK76,'[15]2025'!$AL$5)</f>
        <v>606.048</v>
      </c>
      <c r="F24" s="960">
        <f>INDEX('[15]2025'!U76:X76,'[15]2025'!$Y$5)</f>
        <v>840.048</v>
      </c>
      <c r="H24" s="957">
        <f>+'[15]2025'!AL76</f>
        <v>840.048</v>
      </c>
      <c r="J24" s="957">
        <f>+'[15]2025'!AN76</f>
        <v>0</v>
      </c>
    </row>
    <row r="25" spans="2:10" x14ac:dyDescent="0.25">
      <c r="B25" s="956"/>
    </row>
    <row r="26" spans="2:10" x14ac:dyDescent="0.25">
      <c r="B26" s="952" t="s">
        <v>417</v>
      </c>
      <c r="D26" s="1404">
        <f>IFERROR(SUMPRODUCT(D22:D24,D27:D29)/D21,0)</f>
        <v>2.3496681919413303</v>
      </c>
      <c r="F26" s="1404">
        <f>IFERROR(SUMPRODUCT(F22:F24,F27:F29)/F21,0)</f>
        <v>2.2056971958251546</v>
      </c>
      <c r="H26" s="1404">
        <f>IFERROR(SUMPRODUCT(H22:H24,H27:H29)/H21,0)</f>
        <v>2.2056971958251546</v>
      </c>
      <c r="J26" s="1404">
        <f>IFERROR(SUMPRODUCT(J22:J24,J27:J29)/J21,0)</f>
        <v>0</v>
      </c>
    </row>
    <row r="27" spans="2:10" s="185" customFormat="1" x14ac:dyDescent="0.25">
      <c r="B27" s="1397" t="s">
        <v>412</v>
      </c>
      <c r="C27" s="953"/>
      <c r="D27" s="1405">
        <f>INDEX('[15]2025'!Z39:AK39,'[15]2025'!$AL$5)</f>
        <v>0</v>
      </c>
      <c r="F27" s="1405">
        <f>INDEX('[15]2025'!U39:X39,'[15]2025'!$Y$5)</f>
        <v>0</v>
      </c>
      <c r="H27" s="1406">
        <f>+'[15]2025'!AL39</f>
        <v>0</v>
      </c>
      <c r="J27" s="1406">
        <f>+'[15]2025'!AN39</f>
        <v>0</v>
      </c>
    </row>
    <row r="28" spans="2:10" s="185" customFormat="1" x14ac:dyDescent="0.25">
      <c r="B28" s="961" t="s">
        <v>415</v>
      </c>
      <c r="C28" s="953"/>
      <c r="D28" s="963">
        <f>INDEX('[15]2025'!Z55:AK55,'[15]2025'!$AL$5)</f>
        <v>2.36</v>
      </c>
      <c r="E28" s="964"/>
      <c r="F28" s="963">
        <f>INDEX('[15]2025'!U55:X55,'[15]2025'!$Y$5)</f>
        <v>2.2145678092399401</v>
      </c>
      <c r="G28" s="964"/>
      <c r="H28" s="963">
        <f>+'[15]2025'!AL55</f>
        <v>2.2145678092399401</v>
      </c>
      <c r="I28" s="964"/>
      <c r="J28" s="963">
        <f>+'[15]2025'!AN55</f>
        <v>0</v>
      </c>
    </row>
    <row r="29" spans="2:10" s="185" customFormat="1" x14ac:dyDescent="0.25">
      <c r="B29" s="954" t="s">
        <v>416</v>
      </c>
      <c r="C29" s="953"/>
      <c r="D29" s="965">
        <f>INDEX('[15]2025'!Z81:AK81,'[15]2025'!$AL$5)</f>
        <v>1.99</v>
      </c>
      <c r="E29" s="964"/>
      <c r="F29" s="965">
        <f>INDEX('[15]2025'!U81:X81,'[15]2025'!$Y$5)</f>
        <v>1.75879892577567</v>
      </c>
      <c r="G29" s="964"/>
      <c r="H29" s="966">
        <f>+'[15]2025'!AL81</f>
        <v>1.75879892577567</v>
      </c>
      <c r="I29" s="964"/>
      <c r="J29" s="966">
        <f>+'[15]2025'!AN81</f>
        <v>0</v>
      </c>
    </row>
    <row r="30" spans="2:10" x14ac:dyDescent="0.25">
      <c r="E30" s="947"/>
      <c r="G30" s="947"/>
      <c r="I30" s="947"/>
    </row>
    <row r="31" spans="2:10" x14ac:dyDescent="0.25">
      <c r="B31" s="952" t="s">
        <v>418</v>
      </c>
      <c r="D31" s="1407">
        <f>SUM(D32:D34)</f>
        <v>50.996333759999999</v>
      </c>
      <c r="F31" s="1407">
        <f>SUM(F32:F34)</f>
        <v>95.20089071999999</v>
      </c>
      <c r="H31" s="1407">
        <f>SUM(H32:H34)</f>
        <v>95.20089071999999</v>
      </c>
      <c r="J31" s="1407">
        <f>SUM(J32:J34)</f>
        <v>0</v>
      </c>
    </row>
    <row r="32" spans="2:10" s="185" customFormat="1" x14ac:dyDescent="0.25">
      <c r="B32" s="1397" t="s">
        <v>412</v>
      </c>
      <c r="C32" s="953"/>
      <c r="D32" s="1408">
        <f>INDEX('[15]2025'!Z44:AK44,'[15]2025'!$AL$5)</f>
        <v>0</v>
      </c>
      <c r="F32" s="1408">
        <f>INDEX('[15]2025'!U44:X44,'[15]2025'!$Y$5)</f>
        <v>0</v>
      </c>
      <c r="H32" s="1409">
        <f>+'[15]2025'!AL44</f>
        <v>0</v>
      </c>
      <c r="J32" s="1409">
        <f>+'[15]2025'!AN44</f>
        <v>0</v>
      </c>
    </row>
    <row r="33" spans="2:10" s="185" customFormat="1" x14ac:dyDescent="0.25">
      <c r="B33" s="961" t="s">
        <v>415</v>
      </c>
      <c r="C33" s="953"/>
      <c r="D33" s="967">
        <f>INDEX('[15]2025'!Z60:AK60,'[15]2025'!$AL$5)</f>
        <v>49.790298239999998</v>
      </c>
      <c r="E33" s="968"/>
      <c r="F33" s="967">
        <f>INDEX('[15]2025'!U60:X60,'[15]2025'!$Y$5)</f>
        <v>93.723415199999991</v>
      </c>
      <c r="G33" s="968"/>
      <c r="H33" s="967">
        <f>+'[15]2025'!AL60</f>
        <v>93.723415199999991</v>
      </c>
      <c r="I33" s="968"/>
      <c r="J33" s="967">
        <f>+'[15]2025'!AN60</f>
        <v>0</v>
      </c>
    </row>
    <row r="34" spans="2:10" s="185" customFormat="1" x14ac:dyDescent="0.25">
      <c r="B34" s="954" t="s">
        <v>416</v>
      </c>
      <c r="C34" s="953"/>
      <c r="D34" s="969">
        <f>INDEX('[15]2025'!Z86:AK86,'[15]2025'!$AL$5)</f>
        <v>1.2060355199999999</v>
      </c>
      <c r="E34" s="968"/>
      <c r="F34" s="969">
        <f>INDEX('[15]2025'!U86:X86,'[15]2025'!$Y$5)</f>
        <v>1.47747552</v>
      </c>
      <c r="G34" s="968"/>
      <c r="H34" s="970">
        <f>+'[15]2025'!AL86</f>
        <v>1.47747552</v>
      </c>
      <c r="I34" s="968"/>
      <c r="J34" s="970">
        <f>+'[15]2025'!AN86</f>
        <v>0</v>
      </c>
    </row>
    <row r="35" spans="2:10" x14ac:dyDescent="0.25">
      <c r="E35" s="947"/>
      <c r="G35" s="947"/>
      <c r="I35" s="947"/>
    </row>
    <row r="36" spans="2:10" x14ac:dyDescent="0.25">
      <c r="B36" s="952" t="s">
        <v>419</v>
      </c>
      <c r="D36" s="1396">
        <f>SUM(D37:D38)</f>
        <v>711.9</v>
      </c>
      <c r="F36" s="1396">
        <f>SUM(F37:F38)</f>
        <v>1309.0999999999999</v>
      </c>
      <c r="H36" s="1396">
        <f>SUM(H37:H38)</f>
        <v>1309.0999999999999</v>
      </c>
      <c r="J36" s="1396">
        <f>SUM(J37:J38)</f>
        <v>0</v>
      </c>
    </row>
    <row r="37" spans="2:10" s="185" customFormat="1" x14ac:dyDescent="0.25">
      <c r="B37" s="1397" t="s">
        <v>420</v>
      </c>
      <c r="C37" s="953"/>
      <c r="D37" s="1398">
        <f>INDEX('[15]2025'!Z65:AK65,'[15]2025'!$AL$5)</f>
        <v>711.9</v>
      </c>
      <c r="F37" s="1398">
        <f>INDEX('[15]2025'!U65:X65,'[15]2025'!$Y$5)</f>
        <v>1309.0999999999999</v>
      </c>
      <c r="H37" s="1398">
        <f>+'[15]2025'!AL65</f>
        <v>1309.0999999999999</v>
      </c>
      <c r="J37" s="1398">
        <f>+'[15]2025'!AN65</f>
        <v>0</v>
      </c>
    </row>
    <row r="38" spans="2:10" s="185" customFormat="1" x14ac:dyDescent="0.25">
      <c r="B38" s="954" t="s">
        <v>421</v>
      </c>
      <c r="C38" s="953"/>
      <c r="D38" s="960">
        <f>INDEX('[15]2025'!Z70:AK70,'[15]2025'!$AL$5)</f>
        <v>0</v>
      </c>
      <c r="F38" s="960">
        <f>INDEX('[15]2025'!U70:X70,'[15]2025'!$Y$5)</f>
        <v>0</v>
      </c>
      <c r="H38" s="955">
        <f>+'[15]2025'!AL70</f>
        <v>0</v>
      </c>
      <c r="J38" s="955">
        <f>+'[15]2025'!AN70</f>
        <v>0</v>
      </c>
    </row>
    <row r="39" spans="2:10" x14ac:dyDescent="0.25">
      <c r="E39" s="947"/>
      <c r="G39" s="947"/>
      <c r="I39" s="947"/>
    </row>
    <row r="40" spans="2:10" x14ac:dyDescent="0.25">
      <c r="B40" s="951" t="s">
        <v>422</v>
      </c>
      <c r="C40" s="949"/>
    </row>
    <row r="41" spans="2:10" x14ac:dyDescent="0.25">
      <c r="B41" s="952" t="s">
        <v>423</v>
      </c>
      <c r="D41" s="1396">
        <f>SUM(D44:D45)</f>
        <v>2723</v>
      </c>
      <c r="F41" s="1396">
        <f>SUM(F44:F45)</f>
        <v>4926</v>
      </c>
      <c r="H41" s="1396">
        <f>SUM(H44:H45)</f>
        <v>4926</v>
      </c>
      <c r="J41" s="1396">
        <f>SUM(J44:J45)</f>
        <v>0</v>
      </c>
    </row>
    <row r="42" spans="2:10" s="185" customFormat="1" x14ac:dyDescent="0.25">
      <c r="B42" s="1397" t="s">
        <v>424</v>
      </c>
      <c r="C42" s="953"/>
      <c r="D42" s="1398">
        <f>INDEX('[15]2025'!Z133:AK133,'[15]2025'!$AL$5)</f>
        <v>1633</v>
      </c>
      <c r="F42" s="1398">
        <f>INDEX('[15]2025'!U133:X133,'[15]2025'!$Y$5)</f>
        <v>2906</v>
      </c>
      <c r="H42" s="1398">
        <f>+'[15]2025'!AL133</f>
        <v>2906</v>
      </c>
      <c r="J42" s="1398">
        <f>+'[15]2025'!AN133</f>
        <v>0</v>
      </c>
    </row>
    <row r="43" spans="2:10" s="185" customFormat="1" x14ac:dyDescent="0.25">
      <c r="B43" s="961" t="s">
        <v>425</v>
      </c>
      <c r="C43" s="953"/>
      <c r="D43" s="962">
        <f>INDEX('[15]2025'!Z138:AK138,'[15]2025'!$AL$5)</f>
        <v>615</v>
      </c>
      <c r="F43" s="962">
        <f>INDEX('[15]2025'!U138:X138,'[15]2025'!$Y$5)</f>
        <v>1121</v>
      </c>
      <c r="H43" s="962">
        <f>+'[15]2025'!AL138</f>
        <v>1121</v>
      </c>
      <c r="J43" s="962">
        <f>+'[15]2025'!AN138</f>
        <v>0</v>
      </c>
    </row>
    <row r="44" spans="2:10" s="185" customFormat="1" x14ac:dyDescent="0.25">
      <c r="B44" s="971" t="s">
        <v>426</v>
      </c>
      <c r="C44" s="972"/>
      <c r="D44" s="973">
        <f>SUM(D42:D43)</f>
        <v>2248</v>
      </c>
      <c r="E44" s="974"/>
      <c r="F44" s="973">
        <f>SUM(F42:F43)</f>
        <v>4027</v>
      </c>
      <c r="G44" s="974"/>
      <c r="H44" s="973">
        <f>SUM(H42:H43)</f>
        <v>4027</v>
      </c>
      <c r="I44" s="974"/>
      <c r="J44" s="973">
        <f>SUM(J42:J43)</f>
        <v>0</v>
      </c>
    </row>
    <row r="45" spans="2:10" s="185" customFormat="1" x14ac:dyDescent="0.25">
      <c r="B45" s="954" t="s">
        <v>427</v>
      </c>
      <c r="C45" s="953"/>
      <c r="D45" s="960">
        <f>INDEX('[15]2025'!Z128:AK128,'[15]2025'!$AL$5)</f>
        <v>475</v>
      </c>
      <c r="F45" s="960">
        <f>INDEX('[15]2025'!U128:X128,'[15]2025'!$Y$5)</f>
        <v>899</v>
      </c>
      <c r="H45" s="955">
        <f>+'[15]2025'!AL128</f>
        <v>899</v>
      </c>
      <c r="J45" s="955">
        <f>+'[15]2025'!AN128</f>
        <v>0</v>
      </c>
    </row>
    <row r="46" spans="2:10" x14ac:dyDescent="0.25">
      <c r="E46" s="947"/>
      <c r="G46" s="947"/>
      <c r="I46" s="947"/>
    </row>
    <row r="47" spans="2:10" x14ac:dyDescent="0.25">
      <c r="B47" s="952" t="s">
        <v>428</v>
      </c>
      <c r="D47" s="1396">
        <f>SUM(D50:D51)</f>
        <v>710</v>
      </c>
      <c r="F47" s="1396">
        <f>SUM(F50:F51)</f>
        <v>1268</v>
      </c>
      <c r="H47" s="1396">
        <f>SUM(H50:H51)</f>
        <v>1268</v>
      </c>
      <c r="J47" s="1396">
        <f>SUM(J50:J51)</f>
        <v>0</v>
      </c>
    </row>
    <row r="48" spans="2:10" s="185" customFormat="1" x14ac:dyDescent="0.25">
      <c r="B48" s="1397" t="s">
        <v>429</v>
      </c>
      <c r="C48" s="953"/>
      <c r="D48" s="1398">
        <f>INDEX('[15]2025'!Z118:AK118,'[15]2025'!$AL$5)</f>
        <v>0</v>
      </c>
      <c r="F48" s="1398">
        <f>INDEX('[15]2025'!U118:X118,'[15]2025'!$Y$5)</f>
        <v>0</v>
      </c>
      <c r="H48" s="1398">
        <f>+'[15]2025'!AL118</f>
        <v>0</v>
      </c>
      <c r="J48" s="1398">
        <f>+'[15]2025'!AN118</f>
        <v>0</v>
      </c>
    </row>
    <row r="49" spans="2:10" s="185" customFormat="1" x14ac:dyDescent="0.25">
      <c r="B49" s="961" t="s">
        <v>430</v>
      </c>
      <c r="C49" s="953"/>
      <c r="D49" s="962">
        <f>INDEX('[15]2025'!Z123:AK123,'[15]2025'!$AL$5)</f>
        <v>235</v>
      </c>
      <c r="F49" s="962">
        <f>INDEX('[15]2025'!U123:X123,'[15]2025'!$Y$5)</f>
        <v>369</v>
      </c>
      <c r="H49" s="962">
        <f>+'[15]2025'!AL123</f>
        <v>369</v>
      </c>
      <c r="J49" s="962">
        <f>+'[15]2025'!AN123</f>
        <v>0</v>
      </c>
    </row>
    <row r="50" spans="2:10" s="185" customFormat="1" x14ac:dyDescent="0.25">
      <c r="B50" s="971" t="s">
        <v>431</v>
      </c>
      <c r="C50" s="972"/>
      <c r="D50" s="973">
        <f>SUM(D48:D49)</f>
        <v>235</v>
      </c>
      <c r="E50" s="974"/>
      <c r="F50" s="973">
        <f>SUM(F48:F49)</f>
        <v>369</v>
      </c>
      <c r="G50" s="974"/>
      <c r="H50" s="973">
        <f>SUM(H48:H49)</f>
        <v>369</v>
      </c>
      <c r="I50" s="974"/>
      <c r="J50" s="973">
        <f>SUM(J48:J49)</f>
        <v>0</v>
      </c>
    </row>
    <row r="51" spans="2:10" s="185" customFormat="1" x14ac:dyDescent="0.25">
      <c r="B51" s="954" t="s">
        <v>432</v>
      </c>
      <c r="C51" s="953"/>
      <c r="D51" s="960">
        <f>INDEX('[15]2025'!Z128:AK128,'[15]2025'!$AL$5)</f>
        <v>475</v>
      </c>
      <c r="F51" s="960">
        <f>INDEX('[15]2025'!U128:X128,'[15]2025'!$Y$5)</f>
        <v>899</v>
      </c>
      <c r="H51" s="955">
        <f>+'[15]2025'!AL128</f>
        <v>899</v>
      </c>
      <c r="J51" s="955">
        <f>+'[15]2025'!AN128</f>
        <v>0</v>
      </c>
    </row>
    <row r="52" spans="2:10" x14ac:dyDescent="0.25">
      <c r="E52" s="947"/>
      <c r="G52" s="947"/>
      <c r="I52" s="947"/>
    </row>
    <row r="53" spans="2:10" x14ac:dyDescent="0.25">
      <c r="B53" s="952" t="s">
        <v>433</v>
      </c>
      <c r="D53" s="1396">
        <f>SUM(D54:D55)</f>
        <v>2013</v>
      </c>
      <c r="F53" s="1396">
        <f>SUM(F54:F55)</f>
        <v>3658</v>
      </c>
      <c r="H53" s="1396">
        <f>SUM(H54:H55)</f>
        <v>3658</v>
      </c>
      <c r="J53" s="1396">
        <f>SUM(J54:J55)</f>
        <v>0</v>
      </c>
    </row>
    <row r="54" spans="2:10" s="185" customFormat="1" x14ac:dyDescent="0.25">
      <c r="B54" s="1397" t="s">
        <v>434</v>
      </c>
      <c r="C54" s="953"/>
      <c r="D54" s="1398">
        <f>INDEX('[15]2025'!Z108:AK108,'[15]2025'!$AL$5)</f>
        <v>1633</v>
      </c>
      <c r="F54" s="1398">
        <f>INDEX('[15]2025'!U108:X108,'[15]2025'!$Y$5)</f>
        <v>2906</v>
      </c>
      <c r="H54" s="1398">
        <f>+'[15]2025'!AL108</f>
        <v>2906</v>
      </c>
      <c r="J54" s="1398">
        <f>+'[15]2025'!AN108</f>
        <v>0</v>
      </c>
    </row>
    <row r="55" spans="2:10" s="185" customFormat="1" x14ac:dyDescent="0.25">
      <c r="B55" s="954" t="s">
        <v>435</v>
      </c>
      <c r="C55" s="953"/>
      <c r="D55" s="960">
        <f>INDEX('[15]2025'!Z113:AK113,'[15]2025'!$AL$5)</f>
        <v>380</v>
      </c>
      <c r="F55" s="960">
        <f>INDEX('[15]2025'!U113:X113,'[15]2025'!$Y$5)</f>
        <v>752</v>
      </c>
      <c r="H55" s="955">
        <f>+'[15]2025'!AL113</f>
        <v>752</v>
      </c>
      <c r="J55" s="955">
        <f>+'[15]2025'!AN113</f>
        <v>0</v>
      </c>
    </row>
    <row r="56" spans="2:10" x14ac:dyDescent="0.25">
      <c r="E56" s="947"/>
      <c r="G56" s="947"/>
      <c r="I56" s="947"/>
    </row>
    <row r="57" spans="2:10" x14ac:dyDescent="0.25">
      <c r="B57" s="951" t="s">
        <v>436</v>
      </c>
      <c r="C57" s="949"/>
    </row>
    <row r="58" spans="2:10" x14ac:dyDescent="0.25">
      <c r="B58" s="952" t="s">
        <v>437</v>
      </c>
      <c r="E58" s="947"/>
      <c r="G58" s="947"/>
      <c r="H58" s="947"/>
      <c r="I58" s="947"/>
      <c r="J58" s="947"/>
    </row>
    <row r="59" spans="2:10" x14ac:dyDescent="0.25">
      <c r="B59" s="1410" t="s">
        <v>1</v>
      </c>
      <c r="D59" s="1411">
        <f>INDEX('[15]2025'!Z150:AK150,'[15]2025'!$AL$5)</f>
        <v>21742.435000000001</v>
      </c>
      <c r="F59" s="1411">
        <f>INDEX('[15]2025'!U150:X150,'[15]2025'!$Y$5)</f>
        <v>57138.546617</v>
      </c>
      <c r="H59" s="1411">
        <f>+'[15]2025'!AL150</f>
        <v>57138.546617</v>
      </c>
      <c r="J59" s="1411">
        <f>+'[15]2025'!AN150</f>
        <v>0</v>
      </c>
    </row>
    <row r="60" spans="2:10" x14ac:dyDescent="0.25">
      <c r="B60" s="975" t="s">
        <v>438</v>
      </c>
      <c r="D60" s="976">
        <f>INDEX('[15]2025'!Z155:AK155,'[15]2025'!$AL$5)</f>
        <v>2.2297448451545261</v>
      </c>
      <c r="F60" s="977">
        <f>INDEX('[15]2025'!U155:X155,'[15]2025'!$Y$5)</f>
        <v>1.8399957721921905</v>
      </c>
      <c r="H60" s="976">
        <f>+'[15]2025'!AL155</f>
        <v>1.8399957721921905</v>
      </c>
      <c r="J60" s="976">
        <f>+'[15]2025'!AN155</f>
        <v>0</v>
      </c>
    </row>
    <row r="61" spans="2:10" x14ac:dyDescent="0.25">
      <c r="E61" s="947"/>
      <c r="G61" s="947"/>
      <c r="I61" s="947"/>
    </row>
    <row r="62" spans="2:10" x14ac:dyDescent="0.25">
      <c r="B62" s="952" t="s">
        <v>439</v>
      </c>
      <c r="D62" s="1399">
        <f>INDEX('[15]2025'!Z165:AK165,'[15]2025'!$AL$5)</f>
        <v>24870.617399999999</v>
      </c>
      <c r="F62" s="1399">
        <f>INDEX('[15]2025'!U165:X165,'[15]2025'!$Y$5)</f>
        <v>60947.949017000006</v>
      </c>
      <c r="H62" s="1399">
        <f>+'[15]2025'!AL165</f>
        <v>60947.949017000006</v>
      </c>
      <c r="J62" s="1399">
        <f>+'[15]2025'!AN165</f>
        <v>0</v>
      </c>
    </row>
    <row r="63" spans="2:10" s="185" customFormat="1" x14ac:dyDescent="0.25">
      <c r="B63" s="1397" t="s">
        <v>440</v>
      </c>
      <c r="C63" s="953"/>
      <c r="D63" s="1398">
        <f>INDEX('[15]2025'!Z180:AK180,'[15]2025'!$AL$5)</f>
        <v>0</v>
      </c>
      <c r="F63" s="1398">
        <f>INDEX('[15]2025'!U180:X180,'[15]2025'!$Y$5)</f>
        <v>234</v>
      </c>
      <c r="H63" s="1401">
        <f>+'[15]2025'!AL180</f>
        <v>234</v>
      </c>
      <c r="J63" s="1401">
        <f>+'[15]2025'!AN180</f>
        <v>0</v>
      </c>
    </row>
    <row r="64" spans="2:10" s="185" customFormat="1" x14ac:dyDescent="0.25">
      <c r="B64" s="961" t="s">
        <v>415</v>
      </c>
      <c r="C64" s="953"/>
      <c r="D64" s="962">
        <f>INDEX('[15]2025'!Z195:AK195,'[15]2025'!$AL$5)</f>
        <v>22145</v>
      </c>
      <c r="F64" s="962">
        <f>INDEX('[15]2025'!U195:X195,'[15]2025'!$Y$5)</f>
        <v>42866</v>
      </c>
      <c r="H64" s="978">
        <f>+'[15]2025'!AL195</f>
        <v>42866</v>
      </c>
      <c r="J64" s="978">
        <f>+'[15]2025'!AN195</f>
        <v>0</v>
      </c>
    </row>
    <row r="65" spans="2:11" s="185" customFormat="1" x14ac:dyDescent="0.25">
      <c r="B65" s="954" t="s">
        <v>441</v>
      </c>
      <c r="C65" s="953"/>
      <c r="D65" s="960">
        <f>INDEX('[15]2025'!Z210:AK210,'[15]2025'!$AL$5)</f>
        <v>2726</v>
      </c>
      <c r="F65" s="960">
        <f>INDEX('[15]2025'!U210:X210,'[15]2025'!$Y$5)</f>
        <v>17848</v>
      </c>
      <c r="H65" s="957">
        <f>+'[15]2025'!AL210</f>
        <v>17848</v>
      </c>
      <c r="J65" s="957">
        <f>+'[15]2025'!AN210</f>
        <v>0</v>
      </c>
    </row>
    <row r="66" spans="2:11" x14ac:dyDescent="0.25">
      <c r="B66" s="956"/>
    </row>
    <row r="67" spans="2:11" x14ac:dyDescent="0.25">
      <c r="B67" s="952" t="s">
        <v>442</v>
      </c>
      <c r="D67" s="1404">
        <f>INDEX('[15]2025'!Z170:AK170,'[15]2025'!$AL$5)</f>
        <v>2.2297448451545261</v>
      </c>
      <c r="F67" s="1404">
        <f>INDEX('[15]2025'!U170:X170,'[15]2025'!$Y$5)</f>
        <v>1.8573239521218285</v>
      </c>
      <c r="H67" s="1404">
        <f t="shared" ref="H67:J67" si="2">IFERROR(SUMPRODUCT(H63:H65,H68:H70)/H62,0)</f>
        <v>1.8549309997037988</v>
      </c>
      <c r="J67" s="1404">
        <f t="shared" si="2"/>
        <v>0</v>
      </c>
    </row>
    <row r="68" spans="2:11" s="185" customFormat="1" x14ac:dyDescent="0.25">
      <c r="B68" s="1397" t="s">
        <v>440</v>
      </c>
      <c r="C68" s="953"/>
      <c r="D68" s="1405">
        <f>INDEX('[15]2025'!Z185:AK185,'[15]2025'!$AL$5)</f>
        <v>0</v>
      </c>
      <c r="F68" s="1405">
        <f>INDEX('[15]2025'!U185:X185,'[15]2025'!$Y$5)</f>
        <v>1.1599999999999999</v>
      </c>
      <c r="H68" s="1406">
        <f>+'[15]2025'!AL185</f>
        <v>1.1599999999999999</v>
      </c>
      <c r="J68" s="1406">
        <f>+'[15]2025'!AN185</f>
        <v>0</v>
      </c>
    </row>
    <row r="69" spans="2:11" s="185" customFormat="1" x14ac:dyDescent="0.25">
      <c r="B69" s="961" t="s">
        <v>415</v>
      </c>
      <c r="C69" s="953"/>
      <c r="D69" s="963">
        <f>INDEX('[15]2025'!Z200:AK200,'[15]2025'!$AL$5)</f>
        <v>2.37</v>
      </c>
      <c r="F69" s="963">
        <f>INDEX('[15]2025'!U200:X200,'[15]2025'!$Y$5)</f>
        <v>2.2249829701861614</v>
      </c>
      <c r="H69" s="979">
        <f>+'[15]2025'!AL200</f>
        <v>2.2249829701861614</v>
      </c>
      <c r="J69" s="979">
        <f>+'[15]2025'!AN200</f>
        <v>0</v>
      </c>
    </row>
    <row r="70" spans="2:11" s="185" customFormat="1" x14ac:dyDescent="0.25">
      <c r="B70" s="954" t="s">
        <v>441</v>
      </c>
      <c r="C70" s="953"/>
      <c r="D70" s="965">
        <f>INDEX('[15]2025'!Z215:AK215,'[15]2025'!$AL$5)</f>
        <v>1.06</v>
      </c>
      <c r="F70" s="965">
        <f>INDEX('[15]2025'!U215:X215,'[15]2025'!$Y$5)</f>
        <v>0.97527341999103523</v>
      </c>
      <c r="H70" s="966">
        <f>+'[15]2025'!AL215</f>
        <v>0.97527341999103523</v>
      </c>
      <c r="J70" s="966">
        <f>+'[15]2025'!AN215</f>
        <v>0</v>
      </c>
    </row>
    <row r="71" spans="2:11" x14ac:dyDescent="0.25">
      <c r="B71" s="956"/>
    </row>
    <row r="72" spans="2:11" x14ac:dyDescent="0.25">
      <c r="B72" s="952" t="s">
        <v>443</v>
      </c>
      <c r="D72" s="1407">
        <f>SUM(D73:D75)</f>
        <v>55.373210000000007</v>
      </c>
      <c r="E72" s="980"/>
      <c r="F72" s="1407">
        <f>SUM(F73:F75)</f>
        <v>113.05423999999999</v>
      </c>
      <c r="G72" s="980"/>
      <c r="H72" s="1407">
        <f>SUM(H73:H74)</f>
        <v>95.647559999999999</v>
      </c>
      <c r="I72" s="980"/>
      <c r="J72" s="1407">
        <f>SUM(J73:J74)</f>
        <v>0</v>
      </c>
    </row>
    <row r="73" spans="2:11" s="185" customFormat="1" x14ac:dyDescent="0.25">
      <c r="B73" s="1397" t="s">
        <v>440</v>
      </c>
      <c r="C73" s="953"/>
      <c r="D73" s="1412">
        <f>INDEX('[15]2025'!Z190:AK190,'[15]2025'!$AL$5)</f>
        <v>0</v>
      </c>
      <c r="E73" s="968"/>
      <c r="F73" s="1412">
        <f>INDEX('[15]2025'!U190:X190,'[15]2025'!$Y$5)</f>
        <v>0.27144000000000001</v>
      </c>
      <c r="G73" s="968"/>
      <c r="H73" s="1409">
        <f>+'[15]2025'!AL190</f>
        <v>0.27144000000000001</v>
      </c>
      <c r="I73" s="968"/>
      <c r="J73" s="1409">
        <f>+'[15]2025'!AN190</f>
        <v>0</v>
      </c>
    </row>
    <row r="74" spans="2:11" s="185" customFormat="1" x14ac:dyDescent="0.25">
      <c r="B74" s="961" t="s">
        <v>415</v>
      </c>
      <c r="C74" s="953"/>
      <c r="D74" s="981">
        <f>INDEX('[15]2025'!Z205:AK205,'[15]2025'!$AL$5)</f>
        <v>52.483650000000004</v>
      </c>
      <c r="E74" s="968"/>
      <c r="F74" s="981">
        <f>INDEX('[15]2025'!U205:X205,'[15]2025'!$Y$5)</f>
        <v>95.37612</v>
      </c>
      <c r="G74" s="968"/>
      <c r="H74" s="982">
        <f>+'[15]2025'!AL205</f>
        <v>95.37612</v>
      </c>
      <c r="I74" s="968"/>
      <c r="J74" s="982">
        <f>+'[15]2025'!AN205</f>
        <v>0</v>
      </c>
    </row>
    <row r="75" spans="2:11" s="185" customFormat="1" x14ac:dyDescent="0.25">
      <c r="B75" s="954" t="s">
        <v>441</v>
      </c>
      <c r="C75" s="953"/>
      <c r="D75" s="969">
        <f>INDEX('[15]2025'!Z220:AK220,'[15]2025'!$AL$5)</f>
        <v>2.8895599999999999</v>
      </c>
      <c r="E75" s="968"/>
      <c r="F75" s="969">
        <f>INDEX('[15]2025'!U220:X220,'[15]2025'!$Y$5)</f>
        <v>17.406679999999998</v>
      </c>
      <c r="G75" s="968"/>
      <c r="H75" s="970">
        <f>+'[15]2025'!AL220</f>
        <v>17.406679999999998</v>
      </c>
      <c r="I75" s="968"/>
      <c r="J75" s="970">
        <f>+'[15]2025'!AN220</f>
        <v>0</v>
      </c>
    </row>
    <row r="76" spans="2:11" x14ac:dyDescent="0.25">
      <c r="B76" s="956"/>
      <c r="D76" s="983"/>
      <c r="F76" s="983"/>
    </row>
    <row r="77" spans="2:11" x14ac:dyDescent="0.25">
      <c r="B77" s="952" t="s">
        <v>444</v>
      </c>
    </row>
    <row r="78" spans="2:11" x14ac:dyDescent="0.25">
      <c r="B78" s="1410" t="s">
        <v>445</v>
      </c>
      <c r="D78" s="1413">
        <f>INDEX('[15]2025'!Z225:AK225,'[15]2025'!$AL$5)</f>
        <v>0.3057650009028498</v>
      </c>
      <c r="E78" s="984"/>
      <c r="F78" s="1413">
        <f>INDEX('[15]2025'!U225:X225,'[15]2025'!$Y$5)</f>
        <v>0.27585768979561859</v>
      </c>
      <c r="G78" s="984"/>
      <c r="H78" s="1414">
        <f>+'[15]2025'!AL225</f>
        <v>0</v>
      </c>
      <c r="I78" s="984"/>
      <c r="J78" s="1414">
        <f>+'[15]2025'!AN225</f>
        <v>0</v>
      </c>
      <c r="K78" s="252" t="s">
        <v>348</v>
      </c>
    </row>
    <row r="79" spans="2:11" x14ac:dyDescent="0.25">
      <c r="B79" s="975" t="s">
        <v>446</v>
      </c>
      <c r="D79" s="985">
        <f>INDEX('[15]2025'!Z230:AK230,'[15]2025'!$AL$5)</f>
        <v>0.86286995950800838</v>
      </c>
      <c r="F79" s="985">
        <f>INDEX('[15]2025'!U230:X230,'[15]2025'!$Y$5)</f>
        <v>0.85147572695626117</v>
      </c>
      <c r="H79" s="986">
        <f>+'[15]2025'!AL230</f>
        <v>0</v>
      </c>
      <c r="J79" s="986">
        <f>+'[15]2025'!AN230</f>
        <v>0</v>
      </c>
    </row>
    <row r="81" spans="2:10" x14ac:dyDescent="0.25">
      <c r="B81" s="952" t="s">
        <v>447</v>
      </c>
      <c r="D81" s="1415">
        <f>INDEX('[15]2025'!Z240:AK240,'[15]2025'!$AL$5)</f>
        <v>48.164211020000003</v>
      </c>
      <c r="F81" s="1415">
        <f>INDEX('[15]2025'!U240:X240,'[15]2025'!$Y$5)</f>
        <v>98.057645519999994</v>
      </c>
      <c r="H81" s="1416">
        <f>SUM(H82:H83)</f>
        <v>98.057645520000008</v>
      </c>
      <c r="J81" s="1416">
        <f>SUM(J82:J83)</f>
        <v>0</v>
      </c>
    </row>
    <row r="82" spans="2:10" x14ac:dyDescent="0.25">
      <c r="B82" s="1397" t="s">
        <v>448</v>
      </c>
      <c r="C82" s="953"/>
      <c r="D82" s="1412">
        <f>INDEX('[15]2025'!Z235:AK235,'[15]2025'!$AL$5)</f>
        <v>47.850566591694999</v>
      </c>
      <c r="E82" s="968"/>
      <c r="F82" s="1412">
        <f>INDEX('[15]2025'!U235:X235,'[15]2025'!$Y$5)</f>
        <v>96.387125128363408</v>
      </c>
      <c r="G82" s="968"/>
      <c r="H82" s="1409">
        <f>+'[15]2025'!AL235</f>
        <v>96.387125128363408</v>
      </c>
      <c r="I82" s="968"/>
      <c r="J82" s="1409">
        <f>+'[15]2025'!AN235</f>
        <v>0</v>
      </c>
    </row>
    <row r="83" spans="2:10" x14ac:dyDescent="0.25">
      <c r="B83" s="961" t="s">
        <v>449</v>
      </c>
      <c r="C83" s="953"/>
      <c r="D83" s="981">
        <f>INDEX('[15]2025'!Z245:AK245,'[15]2025'!$AL$5)</f>
        <v>0.31364442830500394</v>
      </c>
      <c r="E83" s="968"/>
      <c r="F83" s="981">
        <f>INDEX('[15]2025'!U245:X245,'[15]2025'!$Y$5)</f>
        <v>1.6705203916366003</v>
      </c>
      <c r="G83" s="968"/>
      <c r="H83" s="982">
        <f>+'[15]2025'!AL245</f>
        <v>1.6705203916366003</v>
      </c>
      <c r="I83" s="968"/>
      <c r="J83" s="982">
        <f>+'[15]2025'!AN245</f>
        <v>0</v>
      </c>
    </row>
    <row r="84" spans="2:10" x14ac:dyDescent="0.25">
      <c r="B84" s="975" t="s">
        <v>450</v>
      </c>
      <c r="D84" s="987">
        <f>INDEX('[15]2025'!Z246:AK246,'[15]2025'!$AL$5)</f>
        <v>6.8577990490491398</v>
      </c>
      <c r="E84" s="980"/>
      <c r="F84" s="987">
        <f>INDEX('[15]2025'!U246:X246,'[15]2025'!$Y$5)</f>
        <v>14.028541737821129</v>
      </c>
      <c r="G84" s="980"/>
      <c r="H84" s="988">
        <f>+'[15]2025'!AL246</f>
        <v>6.8577990490491398</v>
      </c>
      <c r="I84" s="980"/>
      <c r="J84" s="988">
        <f>+'[15]2025'!AN246</f>
        <v>0</v>
      </c>
    </row>
    <row r="85" spans="2:10" x14ac:dyDescent="0.25">
      <c r="B85" s="989"/>
    </row>
    <row r="86" spans="2:10" x14ac:dyDescent="0.25">
      <c r="B86" s="951" t="s">
        <v>451</v>
      </c>
    </row>
    <row r="87" spans="2:10" x14ac:dyDescent="0.25">
      <c r="B87" s="952" t="s">
        <v>452</v>
      </c>
      <c r="D87" s="1396">
        <f>SUM(D88:D89)</f>
        <v>41623.783000000003</v>
      </c>
      <c r="F87" s="1417">
        <f>SUM(F88:F89)</f>
        <v>41623.783000000003</v>
      </c>
      <c r="H87" s="1417">
        <f>SUM(H88:H89)</f>
        <v>0</v>
      </c>
      <c r="J87" s="1417">
        <f>SUM(J88:J89)</f>
        <v>0</v>
      </c>
    </row>
    <row r="88" spans="2:10" s="185" customFormat="1" x14ac:dyDescent="0.25">
      <c r="B88" s="1397" t="s">
        <v>453</v>
      </c>
      <c r="C88" s="953"/>
      <c r="D88" s="1418">
        <f>INDEX('[15]2025'!Z255:AK255,'[15]2025'!$AL$5)</f>
        <v>39050.953000000001</v>
      </c>
      <c r="F88" s="1418">
        <f>INDEX('[15]2025'!U255:X255,'[15]2025'!$Y$5)</f>
        <v>39050.953000000001</v>
      </c>
      <c r="H88" s="1419">
        <f>+'[15]2025'!AL255</f>
        <v>0</v>
      </c>
      <c r="J88" s="1419">
        <f>+'[15]2025'!AN255</f>
        <v>0</v>
      </c>
    </row>
    <row r="89" spans="2:10" s="185" customFormat="1" x14ac:dyDescent="0.25">
      <c r="B89" s="954" t="s">
        <v>454</v>
      </c>
      <c r="C89" s="953"/>
      <c r="D89" s="990">
        <f>INDEX('[15]2025'!Z270:AK270,'[15]2025'!$AL$5)</f>
        <v>2572.83</v>
      </c>
      <c r="F89" s="990">
        <f>INDEX('[15]2025'!U270:X270,'[15]2025'!$Y$5)</f>
        <v>2572.83</v>
      </c>
      <c r="H89" s="991">
        <f>+'[15]2025'!AL270</f>
        <v>0</v>
      </c>
      <c r="J89" s="991">
        <f>+'[15]2025'!AN270</f>
        <v>0</v>
      </c>
    </row>
    <row r="90" spans="2:10" x14ac:dyDescent="0.25">
      <c r="B90" s="989"/>
    </row>
    <row r="91" spans="2:10" x14ac:dyDescent="0.25">
      <c r="B91" s="952" t="s">
        <v>455</v>
      </c>
      <c r="D91" s="1404">
        <f>IFERROR(SUMPRODUCT(D88:D89,D92:D93)/D87,0)</f>
        <v>0.88700559552570923</v>
      </c>
      <c r="F91" s="1404">
        <f>IFERROR(SUMPRODUCT(F88:F89,F92:F93)/F87,0)</f>
        <v>0.88700559552570923</v>
      </c>
      <c r="H91" s="1404">
        <f>IFERROR(SUMPRODUCT(H88:H89,H92:H93)/H87,0)</f>
        <v>0</v>
      </c>
      <c r="J91" s="1404">
        <f>IFERROR(SUMPRODUCT(J88:J89,J92:J93)/J87,0)</f>
        <v>0</v>
      </c>
    </row>
    <row r="92" spans="2:10" s="185" customFormat="1" x14ac:dyDescent="0.25">
      <c r="B92" s="1397" t="s">
        <v>453</v>
      </c>
      <c r="C92" s="953"/>
      <c r="D92" s="1420">
        <f>INDEX('[15]2025'!Z260:AK260,'[15]2025'!$AL$5)</f>
        <v>0.78403689349009986</v>
      </c>
      <c r="E92" s="964"/>
      <c r="F92" s="1420">
        <f>INDEX('[15]2025'!U260:X260,'[15]2025'!$Y$5)</f>
        <v>0.78403689349009986</v>
      </c>
      <c r="G92" s="964"/>
      <c r="H92" s="1421">
        <f>+'[15]2025'!AL260</f>
        <v>0</v>
      </c>
      <c r="I92" s="964"/>
      <c r="J92" s="1421">
        <f>+'[15]2025'!AN260</f>
        <v>0</v>
      </c>
    </row>
    <row r="93" spans="2:10" s="185" customFormat="1" x14ac:dyDescent="0.25">
      <c r="B93" s="954" t="s">
        <v>454</v>
      </c>
      <c r="C93" s="953"/>
      <c r="D93" s="992">
        <f>INDEX('[15]2025'!Z275:AK275,'[15]2025'!$AL$5)</f>
        <v>2.4498861370553051</v>
      </c>
      <c r="E93" s="964"/>
      <c r="F93" s="992">
        <f>INDEX('[15]2025'!U275:X275,'[15]2025'!$Y$5)</f>
        <v>2.4498861370553051</v>
      </c>
      <c r="G93" s="964"/>
      <c r="H93" s="993">
        <f>+'[15]2025'!AL275</f>
        <v>0</v>
      </c>
      <c r="I93" s="964"/>
      <c r="J93" s="993">
        <f>+'[15]2025'!AN275</f>
        <v>0</v>
      </c>
    </row>
    <row r="94" spans="2:10" x14ac:dyDescent="0.25">
      <c r="B94" s="989"/>
    </row>
    <row r="95" spans="2:10" x14ac:dyDescent="0.25">
      <c r="B95" s="952" t="s">
        <v>456</v>
      </c>
      <c r="D95" s="1416">
        <f>SUM(D96:D97)</f>
        <v>36.9205284279479</v>
      </c>
      <c r="E95" s="994"/>
      <c r="F95" s="1416">
        <f>SUM(F96:F97)</f>
        <v>36.9205284279479</v>
      </c>
      <c r="G95" s="994"/>
      <c r="H95" s="1416">
        <f>SUM(H96:H97)</f>
        <v>0</v>
      </c>
      <c r="I95" s="994"/>
      <c r="J95" s="1416">
        <f>SUM(J96:J97)</f>
        <v>0</v>
      </c>
    </row>
    <row r="96" spans="2:10" s="185" customFormat="1" x14ac:dyDescent="0.25">
      <c r="B96" s="1397" t="s">
        <v>453</v>
      </c>
      <c r="C96" s="953"/>
      <c r="D96" s="1422">
        <f>INDEX('[15]2025'!Z265:AK265,'[15]2025'!$AL$5)</f>
        <v>30.617387877947898</v>
      </c>
      <c r="E96" s="995"/>
      <c r="F96" s="1422">
        <f>INDEX('[15]2025'!U265:X265,'[15]2025'!$Y$5)</f>
        <v>30.617387877947898</v>
      </c>
      <c r="G96" s="995"/>
      <c r="H96" s="1423">
        <f>+'[15]2025'!AL265</f>
        <v>0</v>
      </c>
      <c r="I96" s="995"/>
      <c r="J96" s="1423">
        <f>+'[15]2025'!AN265</f>
        <v>0</v>
      </c>
    </row>
    <row r="97" spans="2:10" s="185" customFormat="1" x14ac:dyDescent="0.25">
      <c r="B97" s="954" t="s">
        <v>454</v>
      </c>
      <c r="C97" s="953"/>
      <c r="D97" s="996">
        <f>INDEX('[15]2025'!Z280:AK280,'[15]2025'!$AL$5)</f>
        <v>6.3031405500000002</v>
      </c>
      <c r="E97" s="995"/>
      <c r="F97" s="996">
        <f>INDEX('[15]2025'!U280:X280,'[15]2025'!$Y$5)</f>
        <v>6.3031405500000002</v>
      </c>
      <c r="G97" s="995"/>
      <c r="H97" s="997">
        <f>+'[15]2025'!AL280</f>
        <v>0</v>
      </c>
      <c r="I97" s="995"/>
      <c r="J97" s="997">
        <f>+'[15]2025'!AN280</f>
        <v>0</v>
      </c>
    </row>
    <row r="99" spans="2:10" x14ac:dyDescent="0.25">
      <c r="B99" s="951" t="s">
        <v>457</v>
      </c>
    </row>
    <row r="100" spans="2:10" x14ac:dyDescent="0.25">
      <c r="B100" s="952" t="s">
        <v>458</v>
      </c>
      <c r="D100" s="1424">
        <f>AVERAGE(D101:D106)</f>
        <v>0.98333333333333339</v>
      </c>
      <c r="E100" s="998"/>
      <c r="F100" s="1424">
        <f>AVERAGE(F101:F106)</f>
        <v>0.97166666666666668</v>
      </c>
      <c r="G100" s="998"/>
      <c r="H100" s="1424">
        <f>AVERAGE(H101:H106)</f>
        <v>0</v>
      </c>
      <c r="I100" s="998"/>
      <c r="J100" s="1424">
        <f>AVERAGE(J101:J106)</f>
        <v>0</v>
      </c>
    </row>
    <row r="101" spans="2:10" s="185" customFormat="1" x14ac:dyDescent="0.25">
      <c r="B101" s="1397" t="s">
        <v>459</v>
      </c>
      <c r="C101" s="953"/>
      <c r="D101" s="1425">
        <f>INDEX('[15]2025'!Z291:AK291,'[15]2025'!$AL$5)</f>
        <v>0.97</v>
      </c>
      <c r="E101" s="999"/>
      <c r="F101" s="1425">
        <f>INDEX('[15]2025'!U291:X291,'[15]2025'!$Y$5)</f>
        <v>0.92999999999999994</v>
      </c>
      <c r="G101" s="999"/>
      <c r="H101" s="1426">
        <f>+'[15]2025'!AL291</f>
        <v>0</v>
      </c>
      <c r="I101" s="999"/>
      <c r="J101" s="1426">
        <f>+'[15]2025'!AN291</f>
        <v>0</v>
      </c>
    </row>
    <row r="102" spans="2:10" s="185" customFormat="1" x14ac:dyDescent="0.25">
      <c r="B102" s="961" t="s">
        <v>460</v>
      </c>
      <c r="C102" s="953"/>
      <c r="D102" s="1000">
        <f>INDEX('[15]2025'!Z295:AK295,'[15]2025'!$AL$5)</f>
        <v>0.99</v>
      </c>
      <c r="E102" s="999"/>
      <c r="F102" s="1000">
        <f>INDEX('[15]2025'!U295:X295,'[15]2025'!$Y$5)</f>
        <v>0.98</v>
      </c>
      <c r="G102" s="999"/>
      <c r="H102" s="1001">
        <f>+'[15]2025'!AL295</f>
        <v>0</v>
      </c>
      <c r="I102" s="999"/>
      <c r="J102" s="1001">
        <f>+'[15]2025'!AN295</f>
        <v>0</v>
      </c>
    </row>
    <row r="103" spans="2:10" s="185" customFormat="1" x14ac:dyDescent="0.25">
      <c r="B103" s="961" t="s">
        <v>461</v>
      </c>
      <c r="C103" s="953"/>
      <c r="D103" s="1000">
        <f>INDEX('[15]2025'!Z299:AK299,'[15]2025'!$AL$5)</f>
        <v>1</v>
      </c>
      <c r="E103" s="999"/>
      <c r="F103" s="1000">
        <f>INDEX('[15]2025'!U299:X299,'[15]2025'!$Y$5)</f>
        <v>1</v>
      </c>
      <c r="G103" s="999"/>
      <c r="H103" s="1001">
        <f>+'[15]2025'!AL299</f>
        <v>0</v>
      </c>
      <c r="I103" s="999"/>
      <c r="J103" s="1001">
        <f>+'[15]2025'!AN299</f>
        <v>0</v>
      </c>
    </row>
    <row r="104" spans="2:10" s="185" customFormat="1" x14ac:dyDescent="0.25">
      <c r="B104" s="961" t="s">
        <v>462</v>
      </c>
      <c r="C104" s="953"/>
      <c r="D104" s="1000">
        <f>INDEX('[15]2025'!Z303:AK303,'[15]2025'!$AL$5)</f>
        <v>1</v>
      </c>
      <c r="E104" s="999"/>
      <c r="F104" s="1000">
        <f>INDEX('[15]2025'!U303:X303,'[15]2025'!$Y$5)</f>
        <v>1</v>
      </c>
      <c r="G104" s="999"/>
      <c r="H104" s="1001">
        <f>+'[15]2025'!AL303</f>
        <v>0</v>
      </c>
      <c r="I104" s="999"/>
      <c r="J104" s="1001">
        <f>+'[15]2025'!AN303</f>
        <v>0</v>
      </c>
    </row>
    <row r="105" spans="2:10" s="185" customFormat="1" x14ac:dyDescent="0.25">
      <c r="B105" s="961" t="s">
        <v>463</v>
      </c>
      <c r="C105" s="953"/>
      <c r="D105" s="1000">
        <f>INDEX('[15]2025'!Z307:AK307,'[15]2025'!$AL$5)</f>
        <v>0.94</v>
      </c>
      <c r="E105" s="999"/>
      <c r="F105" s="1000">
        <f>INDEX('[15]2025'!U307:X307,'[15]2025'!$Y$5)</f>
        <v>0.91999999999999993</v>
      </c>
      <c r="G105" s="999"/>
      <c r="H105" s="1001">
        <f>+'[15]2025'!AL307</f>
        <v>0</v>
      </c>
      <c r="I105" s="999"/>
      <c r="J105" s="1001">
        <f>+'[15]2025'!AN307</f>
        <v>0</v>
      </c>
    </row>
    <row r="106" spans="2:10" s="185" customFormat="1" x14ac:dyDescent="0.25">
      <c r="B106" s="954" t="s">
        <v>464</v>
      </c>
      <c r="C106" s="953"/>
      <c r="D106" s="1002">
        <f>INDEX('[15]2025'!Z311:AK311,'[15]2025'!$AL$5)</f>
        <v>1</v>
      </c>
      <c r="E106" s="999"/>
      <c r="F106" s="1002">
        <f>INDEX('[15]2025'!U311:X311,'[15]2025'!$Y$5)</f>
        <v>1</v>
      </c>
      <c r="G106" s="999"/>
      <c r="H106" s="1003">
        <f>+'[15]2025'!AL311</f>
        <v>0</v>
      </c>
      <c r="I106" s="999"/>
      <c r="J106" s="1003">
        <f>+'[15]2025'!AN311</f>
        <v>0</v>
      </c>
    </row>
    <row r="107" spans="2:10" x14ac:dyDescent="0.25">
      <c r="B107" s="1004"/>
    </row>
    <row r="108" spans="2:10" x14ac:dyDescent="0.25">
      <c r="B108" s="951" t="s">
        <v>465</v>
      </c>
    </row>
    <row r="109" spans="2:10" x14ac:dyDescent="0.25">
      <c r="B109" s="952" t="s">
        <v>466</v>
      </c>
      <c r="D109" s="1424">
        <f>AVERAGE(D110:D111)</f>
        <v>0.57499999999999996</v>
      </c>
      <c r="E109" s="998"/>
      <c r="F109" s="1424">
        <f>AVERAGE(F110:F111)</f>
        <v>0.67382610158089484</v>
      </c>
      <c r="G109" s="998"/>
      <c r="H109" s="1424">
        <f>AVERAGE(H110:H111)</f>
        <v>0</v>
      </c>
      <c r="I109" s="998"/>
      <c r="J109" s="1424">
        <f>AVERAGE(J110:J111)</f>
        <v>0</v>
      </c>
    </row>
    <row r="110" spans="2:10" s="185" customFormat="1" x14ac:dyDescent="0.25">
      <c r="B110" s="1397" t="s">
        <v>459</v>
      </c>
      <c r="C110" s="953"/>
      <c r="D110" s="1425">
        <f>INDEX('[15]2025'!Z317:AK317,'[15]2025'!$AL$5)</f>
        <v>0.43</v>
      </c>
      <c r="E110" s="999"/>
      <c r="F110" s="1425">
        <f>INDEX('[15]2025'!U317:X317,'[15]2025'!$Y$5)</f>
        <v>0.54765220316178953</v>
      </c>
      <c r="G110" s="999"/>
      <c r="H110" s="1426">
        <f>+'[15]2025'!AL317</f>
        <v>0</v>
      </c>
      <c r="I110" s="999"/>
      <c r="J110" s="1426">
        <f>+'[15]2025'!AN317</f>
        <v>0</v>
      </c>
    </row>
    <row r="111" spans="2:10" s="185" customFormat="1" x14ac:dyDescent="0.25">
      <c r="B111" s="954" t="s">
        <v>460</v>
      </c>
      <c r="C111" s="953"/>
      <c r="D111" s="1002">
        <f>INDEX('[15]2025'!Z321:AK321,'[15]2025'!$AL$5)</f>
        <v>0.72</v>
      </c>
      <c r="E111" s="999"/>
      <c r="F111" s="1002">
        <f>INDEX('[15]2025'!U321:X321,'[15]2025'!$Y$5)</f>
        <v>0.8</v>
      </c>
      <c r="G111" s="999"/>
      <c r="H111" s="1003">
        <f>+'[15]2025'!AL321</f>
        <v>0</v>
      </c>
      <c r="I111" s="999"/>
      <c r="J111" s="1003">
        <f>+'[15]2025'!AN321</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9A245-3EDB-48A1-864B-1C4E4B6979BC}">
  <dimension ref="A1:CQ115"/>
  <sheetViews>
    <sheetView zoomScale="55" zoomScaleNormal="55" workbookViewId="0">
      <pane xSplit="44" ySplit="17" topLeftCell="AS18" activePane="bottomRight" state="frozen"/>
      <selection pane="topRight" activeCell="AO1" sqref="AO1"/>
      <selection pane="bottomLeft" activeCell="A18" sqref="A18"/>
      <selection pane="bottomRight" activeCell="C19" sqref="C19"/>
    </sheetView>
  </sheetViews>
  <sheetFormatPr defaultColWidth="9.42578125" defaultRowHeight="13.5" outlineLevelCol="1" x14ac:dyDescent="0.25"/>
  <cols>
    <col min="1" max="2" width="9.42578125" style="202"/>
    <col min="3" max="3" width="9.85546875" style="202" bestFit="1" customWidth="1"/>
    <col min="4" max="4" width="9.42578125" style="202"/>
    <col min="5" max="5" width="4" style="202" customWidth="1"/>
    <col min="6" max="6" width="10.42578125" style="207" customWidth="1"/>
    <col min="7" max="7" width="11.85546875" style="208" customWidth="1"/>
    <col min="8" max="8" width="9.42578125" style="208"/>
    <col min="9" max="9" width="10.42578125" style="202" customWidth="1"/>
    <col min="10" max="11" width="9.140625" style="202" customWidth="1"/>
    <col min="12" max="12" width="7.42578125" style="209" customWidth="1" outlineLevel="1"/>
    <col min="13" max="13" width="7.42578125" style="202" customWidth="1" outlineLevel="1"/>
    <col min="14" max="16" width="7.42578125" style="208" customWidth="1" outlineLevel="1"/>
    <col min="17" max="17" width="7.42578125" style="210" customWidth="1" outlineLevel="1"/>
    <col min="18" max="19" width="7.42578125" style="211" customWidth="1" outlineLevel="1"/>
    <col min="20" max="42" width="7.42578125" style="202" customWidth="1" outlineLevel="1"/>
    <col min="43" max="43" width="2" style="202" customWidth="1"/>
    <col min="44" max="45" width="30" style="313" customWidth="1"/>
    <col min="46" max="46" width="27.42578125" style="313" customWidth="1"/>
    <col min="47" max="74" width="0" style="202" hidden="1" customWidth="1" outlineLevel="1"/>
    <col min="75" max="75" width="9.42578125" style="202" collapsed="1"/>
    <col min="76" max="16384" width="9.42578125" style="202"/>
  </cols>
  <sheetData>
    <row r="1" spans="3:74" s="182" customFormat="1" ht="14.25" thickBot="1" x14ac:dyDescent="0.3">
      <c r="H1" s="239"/>
      <c r="I1" s="184"/>
      <c r="J1" s="240"/>
      <c r="K1" s="240"/>
      <c r="AR1" s="300"/>
      <c r="AS1" s="300"/>
      <c r="AT1" s="300"/>
      <c r="AU1" s="226"/>
      <c r="AV1" s="226"/>
    </row>
    <row r="2" spans="3:74" s="182" customFormat="1" ht="15.75" thickBot="1" x14ac:dyDescent="0.3">
      <c r="F2" s="183" t="s">
        <v>221</v>
      </c>
      <c r="H2" s="181"/>
      <c r="L2" s="1647" t="s">
        <v>310</v>
      </c>
      <c r="M2" s="1648"/>
      <c r="O2" s="1647" t="s">
        <v>311</v>
      </c>
      <c r="P2" s="1649"/>
      <c r="Q2" s="1649"/>
      <c r="R2" s="1648"/>
      <c r="T2" s="241" t="s">
        <v>312</v>
      </c>
      <c r="U2" s="242"/>
      <c r="V2" s="243"/>
      <c r="AR2" s="300"/>
      <c r="AS2" s="300"/>
      <c r="AT2" s="300"/>
      <c r="AU2" s="226"/>
      <c r="AV2" s="226"/>
    </row>
    <row r="3" spans="3:74" s="182" customFormat="1" ht="15" x14ac:dyDescent="0.25">
      <c r="F3" s="244" t="s">
        <v>313</v>
      </c>
      <c r="H3" s="239"/>
      <c r="L3" s="1700" t="s">
        <v>314</v>
      </c>
      <c r="M3" s="1701"/>
      <c r="O3" s="1652" t="s">
        <v>315</v>
      </c>
      <c r="P3" s="1653"/>
      <c r="Q3" s="1653"/>
      <c r="R3" s="1654"/>
      <c r="T3" s="245" t="s">
        <v>316</v>
      </c>
      <c r="U3" s="246"/>
      <c r="V3" s="247"/>
      <c r="AR3" s="300"/>
      <c r="AS3" s="300"/>
      <c r="AT3" s="300"/>
      <c r="AU3" s="226"/>
      <c r="AV3" s="226"/>
    </row>
    <row r="4" spans="3:74" s="182" customFormat="1" ht="14.25" thickBot="1" x14ac:dyDescent="0.3">
      <c r="F4" s="248" t="s">
        <v>317</v>
      </c>
      <c r="H4" s="239"/>
      <c r="L4" s="1702" t="s">
        <v>318</v>
      </c>
      <c r="M4" s="1703"/>
      <c r="O4" s="1657" t="s">
        <v>319</v>
      </c>
      <c r="P4" s="1658"/>
      <c r="Q4" s="1658"/>
      <c r="R4" s="1659"/>
      <c r="T4" s="249" t="s">
        <v>320</v>
      </c>
      <c r="U4" s="250"/>
      <c r="V4" s="251"/>
      <c r="AR4" s="300"/>
      <c r="AS4" s="300"/>
      <c r="AT4" s="300"/>
      <c r="AU4" s="226"/>
      <c r="AV4" s="226"/>
    </row>
    <row r="5" spans="3:74" s="182" customFormat="1" x14ac:dyDescent="0.25">
      <c r="F5" s="252"/>
      <c r="H5" s="239"/>
      <c r="O5" s="1640" t="s">
        <v>321</v>
      </c>
      <c r="P5" s="1641"/>
      <c r="Q5" s="1641"/>
      <c r="R5" s="1642"/>
      <c r="T5" s="249" t="s">
        <v>322</v>
      </c>
      <c r="U5" s="250"/>
      <c r="V5" s="251"/>
      <c r="AR5" s="300"/>
      <c r="AS5" s="300"/>
      <c r="AT5" s="300"/>
      <c r="AU5" s="226"/>
      <c r="AV5" s="226"/>
    </row>
    <row r="6" spans="3:74" s="182" customFormat="1" ht="14.25" thickBot="1" x14ac:dyDescent="0.3">
      <c r="F6" s="185" t="s">
        <v>323</v>
      </c>
      <c r="G6" s="253">
        <v>45689</v>
      </c>
      <c r="H6" s="239"/>
      <c r="O6" s="1643" t="s">
        <v>324</v>
      </c>
      <c r="P6" s="1644"/>
      <c r="Q6" s="1644"/>
      <c r="R6" s="1645"/>
      <c r="T6" s="249" t="s">
        <v>325</v>
      </c>
      <c r="U6" s="250"/>
      <c r="V6" s="251"/>
      <c r="AR6" s="300"/>
      <c r="AS6" s="300"/>
      <c r="AT6" s="300"/>
      <c r="AU6" s="226"/>
      <c r="AV6" s="226"/>
    </row>
    <row r="7" spans="3:74" s="182" customFormat="1" ht="14.25" thickBot="1" x14ac:dyDescent="0.3">
      <c r="F7" s="185" t="s">
        <v>326</v>
      </c>
      <c r="G7" s="254">
        <v>28</v>
      </c>
      <c r="H7" s="239"/>
      <c r="I7" s="184"/>
      <c r="J7" s="240"/>
      <c r="K7" s="240"/>
      <c r="L7" s="255"/>
      <c r="M7" s="181"/>
      <c r="N7" s="181"/>
      <c r="T7" s="256" t="s">
        <v>327</v>
      </c>
      <c r="U7" s="257"/>
      <c r="V7" s="258"/>
      <c r="AR7" s="300"/>
      <c r="AS7" s="300"/>
      <c r="AT7" s="300"/>
      <c r="AU7" s="226"/>
      <c r="AV7" s="226"/>
    </row>
    <row r="8" spans="3:74" s="182" customFormat="1" ht="14.25" thickBot="1" x14ac:dyDescent="0.3">
      <c r="F8" s="259"/>
      <c r="G8" s="259"/>
      <c r="H8" s="260"/>
      <c r="I8" s="259"/>
      <c r="J8" s="259"/>
      <c r="K8" s="259"/>
      <c r="L8" s="259"/>
      <c r="M8" s="259"/>
      <c r="N8" s="259"/>
      <c r="O8" s="261"/>
      <c r="AR8" s="300"/>
      <c r="AS8" s="300"/>
      <c r="AT8" s="300"/>
      <c r="AU8" s="226"/>
      <c r="AV8" s="226"/>
    </row>
    <row r="9" spans="3:74" s="181" customFormat="1" ht="14.25" thickBot="1" x14ac:dyDescent="0.3">
      <c r="F9" s="262" t="s">
        <v>269</v>
      </c>
      <c r="G9" s="186" t="s">
        <v>303</v>
      </c>
      <c r="H9" s="187" t="s">
        <v>32</v>
      </c>
      <c r="I9" s="188" t="s">
        <v>262</v>
      </c>
      <c r="K9" s="263" t="s">
        <v>328</v>
      </c>
      <c r="L9" s="264">
        <v>1</v>
      </c>
      <c r="M9" s="265">
        <v>2</v>
      </c>
      <c r="N9" s="265">
        <v>3</v>
      </c>
      <c r="O9" s="265">
        <v>4</v>
      </c>
      <c r="P9" s="265">
        <v>5</v>
      </c>
      <c r="Q9" s="265">
        <v>6</v>
      </c>
      <c r="R9" s="265">
        <v>7</v>
      </c>
      <c r="S9" s="265">
        <v>8</v>
      </c>
      <c r="T9" s="266">
        <v>9</v>
      </c>
      <c r="U9" s="265">
        <v>10</v>
      </c>
      <c r="V9" s="265">
        <v>11</v>
      </c>
      <c r="W9" s="266">
        <v>12</v>
      </c>
      <c r="X9" s="266">
        <v>13</v>
      </c>
      <c r="Y9" s="265">
        <v>14</v>
      </c>
      <c r="Z9" s="265">
        <v>15</v>
      </c>
      <c r="AA9" s="265">
        <v>16</v>
      </c>
      <c r="AB9" s="265">
        <v>17</v>
      </c>
      <c r="AC9" s="265">
        <v>18</v>
      </c>
      <c r="AD9" s="265">
        <v>19</v>
      </c>
      <c r="AE9" s="265">
        <v>20</v>
      </c>
      <c r="AF9" s="265">
        <v>21</v>
      </c>
      <c r="AG9" s="265">
        <v>22</v>
      </c>
      <c r="AH9" s="265">
        <v>23</v>
      </c>
      <c r="AI9" s="265">
        <v>24</v>
      </c>
      <c r="AJ9" s="265">
        <v>25</v>
      </c>
      <c r="AK9" s="265">
        <v>26</v>
      </c>
      <c r="AL9" s="265">
        <v>27</v>
      </c>
      <c r="AM9" s="265">
        <v>28</v>
      </c>
      <c r="AN9" s="265">
        <v>29</v>
      </c>
      <c r="AO9" s="265">
        <v>30</v>
      </c>
      <c r="AP9" s="267">
        <v>31</v>
      </c>
      <c r="AQ9" s="314"/>
      <c r="AR9" s="330">
        <v>45689</v>
      </c>
      <c r="AS9" s="330"/>
      <c r="AT9" s="336" t="s">
        <v>481</v>
      </c>
      <c r="AU9" s="297">
        <v>45689</v>
      </c>
      <c r="AV9" s="297">
        <v>45690</v>
      </c>
      <c r="AW9" s="297">
        <v>45691</v>
      </c>
      <c r="AX9" s="297">
        <v>45692</v>
      </c>
      <c r="AY9" s="297">
        <v>45693</v>
      </c>
      <c r="AZ9" s="297">
        <v>45694</v>
      </c>
      <c r="BA9" s="297">
        <v>45695</v>
      </c>
      <c r="BB9" s="297">
        <v>45696</v>
      </c>
      <c r="BC9" s="297">
        <v>45697</v>
      </c>
      <c r="BD9" s="297">
        <v>45698</v>
      </c>
      <c r="BE9" s="297">
        <v>45699</v>
      </c>
      <c r="BF9" s="297">
        <v>45700</v>
      </c>
      <c r="BG9" s="297">
        <v>45701</v>
      </c>
      <c r="BH9" s="297">
        <v>45702</v>
      </c>
      <c r="BI9" s="297">
        <v>45703</v>
      </c>
      <c r="BJ9" s="297">
        <v>45704</v>
      </c>
      <c r="BK9" s="297">
        <v>45705</v>
      </c>
      <c r="BL9" s="297">
        <v>45706</v>
      </c>
      <c r="BM9" s="297">
        <v>45707</v>
      </c>
      <c r="BN9" s="297">
        <v>45708</v>
      </c>
      <c r="BO9" s="297">
        <v>45709</v>
      </c>
      <c r="BP9" s="297">
        <v>45710</v>
      </c>
      <c r="BQ9" s="297">
        <v>45711</v>
      </c>
      <c r="BR9" s="297">
        <v>45712</v>
      </c>
      <c r="BS9" s="297">
        <v>45713</v>
      </c>
      <c r="BT9" s="297">
        <v>45714</v>
      </c>
      <c r="BU9" s="297">
        <v>45715</v>
      </c>
      <c r="BV9" s="297">
        <v>45716</v>
      </c>
    </row>
    <row r="10" spans="3:74" s="182" customFormat="1" x14ac:dyDescent="0.25">
      <c r="F10" s="268" t="s">
        <v>329</v>
      </c>
      <c r="G10" s="269">
        <f>SUM(L10:AC10)</f>
        <v>16380</v>
      </c>
      <c r="H10" s="270">
        <f>SUM(L11:AP11)</f>
        <v>23432.5</v>
      </c>
      <c r="I10" s="271">
        <f>IFERROR((H10-G10)/G10,0)</f>
        <v>0.43055555555555558</v>
      </c>
      <c r="J10" s="240"/>
      <c r="K10" s="272" t="s">
        <v>330</v>
      </c>
      <c r="L10" s="273">
        <f>IF(L$9&gt;$G$7,"",SUMIF($I$18:$I300,"Budget (t)",L$18:L300))</f>
        <v>910</v>
      </c>
      <c r="M10" s="274">
        <f>IF(M$9&gt;$G$7,"",SUMIF($I$18:$I300,"Budget (t)",M$18:M300))</f>
        <v>910</v>
      </c>
      <c r="N10" s="274">
        <f>IF(N$9&gt;$G$7,"",SUMIF($I$18:$I300,"Budget (t)",N$18:N300))</f>
        <v>910</v>
      </c>
      <c r="O10" s="274">
        <f>IF(O$9&gt;$G$7,"",SUMIF($I$18:$I300,"Budget (t)",O$18:O300))</f>
        <v>910</v>
      </c>
      <c r="P10" s="274">
        <f>IF(P$9&gt;$G$7,"",SUMIF($I$18:$I300,"Budget (t)",P$18:P300))</f>
        <v>910</v>
      </c>
      <c r="Q10" s="274">
        <f>IF(Q$9&gt;$G$7,"",SUMIF($I$18:$I300,"Budget (t)",Q$18:Q300))</f>
        <v>910</v>
      </c>
      <c r="R10" s="274">
        <f>IF(R$9&gt;$G$7,"",SUMIF($I$18:$I300,"Budget (t)",R$18:R300))</f>
        <v>910</v>
      </c>
      <c r="S10" s="274">
        <f>IF(S$9&gt;$G$7,"",SUMIF($I$18:$I300,"Budget (t)",S$18:S300))</f>
        <v>910</v>
      </c>
      <c r="T10" s="274">
        <f>IF(T$9&gt;$G$7,"",SUMIF($I$18:$I300,"Budget (t)",T$18:T300))</f>
        <v>910</v>
      </c>
      <c r="U10" s="275">
        <f>IF(U$9&gt;$G$7,"",SUMIF($I$18:$I300,"Budget (t)",U$18:U300))</f>
        <v>910</v>
      </c>
      <c r="V10" s="275">
        <f>IF(V$9&gt;$G$7,"",SUMIF($I$18:$I300,"Budget (t)",V$18:V300))</f>
        <v>910</v>
      </c>
      <c r="W10" s="274">
        <f>IF(W$9&gt;$G$7,"",SUMIF($I$18:$I300,"Budget (t)",W$18:W300))</f>
        <v>910</v>
      </c>
      <c r="X10" s="274">
        <f>IF(X$9&gt;$G$7,"",SUMIF($I$18:$I300,"Budget (t)",X$18:X300))</f>
        <v>910</v>
      </c>
      <c r="Y10" s="274">
        <f>IF(Y$9&gt;$G$7,"",SUMIF($I$18:$I300,"Budget (t)",Y$18:Y300))</f>
        <v>910</v>
      </c>
      <c r="Z10" s="274">
        <f>IF(Z$9&gt;$G$7,"",SUMIF($I$18:$I300,"Budget (t)",Z$18:Z300))</f>
        <v>910</v>
      </c>
      <c r="AA10" s="274">
        <f>IF(AA$9&gt;$G$7,"",SUMIF($I$18:$I300,"Budget (t)",AA$18:AA300))</f>
        <v>910</v>
      </c>
      <c r="AB10" s="274">
        <f>IF(AB$9&gt;$G$7,"",SUMIF($I$18:$I300,"Budget (t)",AB$18:AB300))</f>
        <v>910</v>
      </c>
      <c r="AC10" s="274">
        <f>IF(AC$9&gt;$G$7,"",SUMIF($I$18:$I300,"Budget (t)",AC$18:AC300))</f>
        <v>910</v>
      </c>
      <c r="AD10" s="274">
        <f>IF(AD$9&gt;$G$7,"",SUMIF($I$18:$I300,"Budget (t)",AD$18:AD300))</f>
        <v>910</v>
      </c>
      <c r="AE10" s="274">
        <f>IF(AE$9&gt;$G$7,"",SUMIF($I$18:$I300,"Budget (t)",AE$18:AE300))</f>
        <v>910</v>
      </c>
      <c r="AF10" s="274">
        <f>IF(AF$9&gt;$G$7,"",SUMIF($I$18:$I300,"Budget (t)",AF$18:AF300))</f>
        <v>910</v>
      </c>
      <c r="AG10" s="274">
        <f>IF(AG$9&gt;$G$7,"",SUMIF($I$18:$I300,"Budget (t)",AG$18:AG300))</f>
        <v>910</v>
      </c>
      <c r="AH10" s="274">
        <f>IF(AH$9&gt;$G$7,"",SUMIF($I$18:$I300,"Budget (t)",AH$18:AH300))</f>
        <v>910</v>
      </c>
      <c r="AI10" s="274">
        <f>IF(AI$9&gt;$G$7,"",SUMIF($I$18:$I300,"Budget (t)",AI$18:AI300))</f>
        <v>910</v>
      </c>
      <c r="AJ10" s="274">
        <f>IF(AJ$9&gt;$G$7,"",SUMIF($I$18:$I300,"Budget (t)",AJ$18:AJ300))</f>
        <v>910</v>
      </c>
      <c r="AK10" s="274">
        <f>IF(AK$9&gt;$G$7,"",SUMIF($I$18:$I300,"Budget (t)",AK$18:AK300))</f>
        <v>910</v>
      </c>
      <c r="AL10" s="274">
        <f>IF(AL$9&gt;$G$7,"",SUMIF($I$18:$I300,"Budget (t)",AL$18:AL300))</f>
        <v>910</v>
      </c>
      <c r="AM10" s="274">
        <f>IF(AM$9&gt;$G$7,"",SUMIF($I$18:$I300,"Budget (t)",AM$18:AM300))</f>
        <v>910</v>
      </c>
      <c r="AN10" s="274" t="str">
        <f>IF(AN$9&gt;$G$7,"",SUMIF($I$18:$I300,"Budget (t)",AN$18:AN300))</f>
        <v/>
      </c>
      <c r="AO10" s="274" t="str">
        <f>IF(AO$9&gt;$G$7,"",SUMIF($I$18:$I300,"Budget (t)",AO$18:AO300))</f>
        <v/>
      </c>
      <c r="AP10" s="276" t="str">
        <f>IF(AP$9&gt;$G$7,"",SUMIF($I$18:$I300,"Budget (t)",AP$18:AP300))</f>
        <v/>
      </c>
      <c r="AQ10" s="315"/>
      <c r="AR10" s="300"/>
      <c r="AS10" s="300"/>
      <c r="AT10" s="335" t="s">
        <v>303</v>
      </c>
      <c r="AU10" s="298">
        <f>L10</f>
        <v>910</v>
      </c>
      <c r="AV10" s="298">
        <f t="shared" ref="AV10:BV10" si="0">AU10+M10</f>
        <v>1820</v>
      </c>
      <c r="AW10" s="298">
        <f t="shared" si="0"/>
        <v>2730</v>
      </c>
      <c r="AX10" s="298">
        <f t="shared" si="0"/>
        <v>3640</v>
      </c>
      <c r="AY10" s="298">
        <f t="shared" si="0"/>
        <v>4550</v>
      </c>
      <c r="AZ10" s="298">
        <f t="shared" si="0"/>
        <v>5460</v>
      </c>
      <c r="BA10" s="298">
        <f t="shared" si="0"/>
        <v>6370</v>
      </c>
      <c r="BB10" s="298">
        <f t="shared" si="0"/>
        <v>7280</v>
      </c>
      <c r="BC10" s="298">
        <f t="shared" si="0"/>
        <v>8190</v>
      </c>
      <c r="BD10" s="298">
        <f t="shared" si="0"/>
        <v>9100</v>
      </c>
      <c r="BE10" s="298">
        <f t="shared" si="0"/>
        <v>10010</v>
      </c>
      <c r="BF10" s="298">
        <f t="shared" si="0"/>
        <v>10920</v>
      </c>
      <c r="BG10" s="298">
        <f t="shared" si="0"/>
        <v>11830</v>
      </c>
      <c r="BH10" s="298">
        <f t="shared" si="0"/>
        <v>12740</v>
      </c>
      <c r="BI10" s="298">
        <f t="shared" si="0"/>
        <v>13650</v>
      </c>
      <c r="BJ10" s="298">
        <f t="shared" si="0"/>
        <v>14560</v>
      </c>
      <c r="BK10" s="298">
        <f t="shared" si="0"/>
        <v>15470</v>
      </c>
      <c r="BL10" s="298">
        <f t="shared" si="0"/>
        <v>16380</v>
      </c>
      <c r="BM10" s="298">
        <f t="shared" si="0"/>
        <v>17290</v>
      </c>
      <c r="BN10" s="298">
        <f t="shared" si="0"/>
        <v>18200</v>
      </c>
      <c r="BO10" s="298">
        <f t="shared" si="0"/>
        <v>19110</v>
      </c>
      <c r="BP10" s="298">
        <f t="shared" si="0"/>
        <v>20020</v>
      </c>
      <c r="BQ10" s="298">
        <f t="shared" si="0"/>
        <v>20930</v>
      </c>
      <c r="BR10" s="298">
        <f t="shared" si="0"/>
        <v>21840</v>
      </c>
      <c r="BS10" s="298">
        <f t="shared" si="0"/>
        <v>22750</v>
      </c>
      <c r="BT10" s="298">
        <f t="shared" si="0"/>
        <v>23660</v>
      </c>
      <c r="BU10" s="298">
        <f t="shared" si="0"/>
        <v>24570</v>
      </c>
      <c r="BV10" s="298">
        <f t="shared" si="0"/>
        <v>25480</v>
      </c>
    </row>
    <row r="11" spans="3:74" s="189" customFormat="1" ht="14.25" thickBot="1" x14ac:dyDescent="0.3">
      <c r="C11" s="351">
        <f>SUM(C19,C33,C40,C47,C54,C61,C68,C75,C82,C89,C96,C103)</f>
        <v>19797</v>
      </c>
      <c r="F11" s="1375" t="s">
        <v>2</v>
      </c>
      <c r="G11" s="1288">
        <f>IFERROR(G12*1000/G10,0)</f>
        <v>4.1431623931623918</v>
      </c>
      <c r="H11" s="786">
        <f>IFERROR(H12*1000/H10,0)</f>
        <v>2.6671831857462927</v>
      </c>
      <c r="I11" s="1548">
        <f t="shared" ref="I11:I12" si="1">IFERROR((H11-G11)/G11,0)</f>
        <v>-0.35624459467289049</v>
      </c>
      <c r="K11" s="263" t="s">
        <v>331</v>
      </c>
      <c r="L11" s="1516">
        <f>IF(L$9&gt;$G$7,"",SUMIF($I$18:$I300,"Actual (t)",L$18:L300))</f>
        <v>851</v>
      </c>
      <c r="M11" s="1290">
        <f>IF(M$9&gt;$G$7,"",SUMIF($I$18:$I300,"Actual (t)",M$18:M300))</f>
        <v>857</v>
      </c>
      <c r="N11" s="1290">
        <f>IF(N$9&gt;$G$7,"",SUMIF($I$18:$I300,"Actual (t)",N$18:N300))</f>
        <v>878</v>
      </c>
      <c r="O11" s="1290">
        <f>IF(O$9&gt;$G$7,"",SUMIF($I$18:$I300,"Actual (t)",O$18:O300))</f>
        <v>966.5</v>
      </c>
      <c r="P11" s="1290">
        <f>IF(P$9&gt;$G$7,"",SUMIF($I$18:$I300,"Actual (t)",P$18:P300))</f>
        <v>951</v>
      </c>
      <c r="Q11" s="1290">
        <f>IF(Q$9&gt;$G$7,"",SUMIF($I$18:$I300,"Actual (t)",Q$18:Q300))</f>
        <v>988</v>
      </c>
      <c r="R11" s="1290">
        <f>IF(R$9&gt;$G$7,"",SUMIF($I$18:$I300,"Actual (t)",R$18:R300))</f>
        <v>1006</v>
      </c>
      <c r="S11" s="1290">
        <f>IF(S$9&gt;$G$7,"",SUMIF($I$18:$I300,"Actual (t)",S$18:S300))</f>
        <v>928</v>
      </c>
      <c r="T11" s="1290">
        <f>IF(T$9&gt;$G$7,"",SUMIF($I$18:$I300,"Actual (t)",T$18:T300))</f>
        <v>896</v>
      </c>
      <c r="U11" s="1290">
        <f>IF(U$9&gt;$G$7,"",SUMIF($I$18:$I300,"Actual (t)",U$18:U300))</f>
        <v>846</v>
      </c>
      <c r="V11" s="1290">
        <f>IF(V$9&gt;$G$7,"",SUMIF($I$18:$I300,"Actual (t)",V$18:V300))</f>
        <v>792</v>
      </c>
      <c r="W11" s="1290">
        <f>IF(W$9&gt;$G$7,"",SUMIF($I$18:$I300,"Actual (t)",W$18:W300))</f>
        <v>773</v>
      </c>
      <c r="X11" s="1290">
        <f>IF(X$9&gt;$G$7,"",SUMIF($I$18:$I300,"Actual (t)",X$18:X300))</f>
        <v>939</v>
      </c>
      <c r="Y11" s="1290">
        <f>IF(Y$9&gt;$G$7,"",SUMIF($I$18:$I300,"Actual (t)",Y$18:Y300))</f>
        <v>993</v>
      </c>
      <c r="Z11" s="1290">
        <f>IF(Z$9&gt;$G$7,"",SUMIF($I$18:$I300,"Actual (t)",Z$18:Z300))</f>
        <v>991</v>
      </c>
      <c r="AA11" s="1290">
        <f>IF(AA$9&gt;$G$7,"",SUMIF($I$18:$I300,"Actual (t)",AA$18:AA300))</f>
        <v>995</v>
      </c>
      <c r="AB11" s="1290">
        <f>IF(AB$9&gt;$G$7,"",SUMIF($I$18:$I300,"Actual (t)",AB$18:AB300))</f>
        <v>989</v>
      </c>
      <c r="AC11" s="1290">
        <f>IF(AC$9&gt;$G$7,"",SUMIF($I$18:$I300,"Actual (t)",AC$18:AC300))</f>
        <v>925</v>
      </c>
      <c r="AD11" s="1290">
        <f>IF(AD$9&gt;$G$7,"",SUMIF($I$18:$I300,"Actual (t)",AD$18:AD300))</f>
        <v>947</v>
      </c>
      <c r="AE11" s="1290">
        <f>IF(AE$9&gt;$G$7,"",SUMIF($I$18:$I300,"Actual (t)",AE$18:AE300))</f>
        <v>832</v>
      </c>
      <c r="AF11" s="1290">
        <f>IF(AF$9&gt;$G$7,"",SUMIF($I$18:$I300,"Actual (t)",AF$18:AF300))</f>
        <v>850</v>
      </c>
      <c r="AG11" s="1290">
        <f>IF(AG$9&gt;$G$7,"",SUMIF($I$18:$I300,"Actual (t)",AG$18:AG300))</f>
        <v>690</v>
      </c>
      <c r="AH11" s="1290">
        <f>IF(AH$9&gt;$G$7,"",SUMIF($I$18:$I300,"Actual (t)",AH$18:AH300))</f>
        <v>948</v>
      </c>
      <c r="AI11" s="1290">
        <f>IF(AI$9&gt;$G$7,"",SUMIF($I$18:$I300,"Actual (t)",AI$18:AI300))</f>
        <v>795</v>
      </c>
      <c r="AJ11" s="1290">
        <f>IF(AJ$9&gt;$G$7,"",SUMIF($I$18:$I300,"Actual (t)",AJ$18:AJ300))</f>
        <v>891</v>
      </c>
      <c r="AK11" s="1290">
        <f>IF(AK$9&gt;$G$7,"",SUMIF($I$18:$I300,"Actual (t)",AK$18:AK300))</f>
        <v>915</v>
      </c>
      <c r="AL11" s="1290">
        <f>IF(AL$9&gt;$G$7,"",SUMIF($I$18:$I300,"Actual (t)",AL$18:AL300))</f>
        <v>0</v>
      </c>
      <c r="AM11" s="1290">
        <f>IF(AM$9&gt;$G$7,"",SUMIF($I$18:$I300,"Actual (t)",AM$18:AM300))</f>
        <v>0</v>
      </c>
      <c r="AN11" s="1290" t="str">
        <f>IF(AN$9&gt;$G$7,"",SUMIF($I$18:$I300,"Actual (t)",AN$18:AN300))</f>
        <v/>
      </c>
      <c r="AO11" s="1290" t="str">
        <f>IF(AO$9&gt;$G$7,"",SUMIF($I$18:$I300,"Actual (t)",AO$18:AO300))</f>
        <v/>
      </c>
      <c r="AP11" s="1291" t="str">
        <f>IF(AP$9&gt;$G$7,"",SUMIF($I$18:$I300,"Actual (t)",AP$18:AP300))</f>
        <v/>
      </c>
      <c r="AQ11" s="316"/>
      <c r="AR11" s="301"/>
      <c r="AS11" s="301"/>
      <c r="AT11" s="337" t="s">
        <v>32</v>
      </c>
      <c r="AU11" s="226">
        <f>L11</f>
        <v>851</v>
      </c>
      <c r="AV11" s="298">
        <f>AU11+M11</f>
        <v>1708</v>
      </c>
      <c r="AW11" s="298">
        <f>AV11+N11</f>
        <v>2586</v>
      </c>
      <c r="AX11" s="298">
        <f t="shared" ref="AX11:BK11" si="2">AW11+O11</f>
        <v>3552.5</v>
      </c>
      <c r="AY11" s="298">
        <f t="shared" si="2"/>
        <v>4503.5</v>
      </c>
      <c r="AZ11" s="298">
        <f t="shared" si="2"/>
        <v>5491.5</v>
      </c>
      <c r="BA11" s="298">
        <f t="shared" si="2"/>
        <v>6497.5</v>
      </c>
      <c r="BB11" s="298">
        <f t="shared" si="2"/>
        <v>7425.5</v>
      </c>
      <c r="BC11" s="298">
        <f t="shared" si="2"/>
        <v>8321.5</v>
      </c>
      <c r="BD11" s="298">
        <f t="shared" si="2"/>
        <v>9167.5</v>
      </c>
      <c r="BE11" s="298">
        <f t="shared" si="2"/>
        <v>9959.5</v>
      </c>
      <c r="BF11" s="298">
        <f t="shared" si="2"/>
        <v>10732.5</v>
      </c>
      <c r="BG11" s="298">
        <f t="shared" si="2"/>
        <v>11671.5</v>
      </c>
      <c r="BH11" s="298">
        <f t="shared" si="2"/>
        <v>12664.5</v>
      </c>
      <c r="BI11" s="298">
        <f t="shared" si="2"/>
        <v>13655.5</v>
      </c>
      <c r="BJ11" s="298">
        <f t="shared" si="2"/>
        <v>14650.5</v>
      </c>
      <c r="BK11" s="298">
        <f t="shared" si="2"/>
        <v>15639.5</v>
      </c>
      <c r="BL11" s="298">
        <f t="shared" ref="BL11:BT11" si="3">BK11+AC11</f>
        <v>16564.5</v>
      </c>
      <c r="BM11" s="298">
        <f t="shared" si="3"/>
        <v>17511.5</v>
      </c>
      <c r="BN11" s="298">
        <f t="shared" si="3"/>
        <v>18343.5</v>
      </c>
      <c r="BO11" s="298">
        <f t="shared" si="3"/>
        <v>19193.5</v>
      </c>
      <c r="BP11" s="298">
        <f t="shared" si="3"/>
        <v>19883.5</v>
      </c>
      <c r="BQ11" s="298">
        <f t="shared" si="3"/>
        <v>20831.5</v>
      </c>
      <c r="BR11" s="298">
        <f t="shared" si="3"/>
        <v>21626.5</v>
      </c>
      <c r="BS11" s="298">
        <f t="shared" si="3"/>
        <v>22517.5</v>
      </c>
      <c r="BT11" s="298">
        <f t="shared" si="3"/>
        <v>23432.5</v>
      </c>
      <c r="BU11" s="202"/>
      <c r="BV11" s="202"/>
    </row>
    <row r="12" spans="3:74" s="190" customFormat="1" ht="15" customHeight="1" thickBot="1" x14ac:dyDescent="0.3">
      <c r="C12" s="190">
        <f>SUM(C19*C22,C33*C36,C40*C43,C47*C50,C54*C57,C61*C64,C68*C71,C75*C78,C82*C85,C89*C92,C96*C99,C103*C106)/C11</f>
        <v>2.3656387331413851</v>
      </c>
      <c r="F12" s="1376" t="s">
        <v>3</v>
      </c>
      <c r="G12" s="1293">
        <f>SUM(L14:AP14)</f>
        <v>67.864999999999966</v>
      </c>
      <c r="H12" s="1294">
        <f>SUM(L15:AP15)</f>
        <v>62.498770000000007</v>
      </c>
      <c r="I12" s="1295">
        <f t="shared" si="1"/>
        <v>-7.9072128490384752E-2</v>
      </c>
      <c r="K12" s="272" t="s">
        <v>332</v>
      </c>
      <c r="L12" s="277">
        <f t="shared" ref="L12:AP13" si="4">IFERROR(L14*1000/L10,"")</f>
        <v>2.6634615384615379</v>
      </c>
      <c r="M12" s="278">
        <f t="shared" si="4"/>
        <v>2.6634615384615379</v>
      </c>
      <c r="N12" s="278">
        <f t="shared" si="4"/>
        <v>2.6634615384615379</v>
      </c>
      <c r="O12" s="278">
        <f t="shared" si="4"/>
        <v>2.6634615384615379</v>
      </c>
      <c r="P12" s="278">
        <f t="shared" si="4"/>
        <v>2.6634615384615379</v>
      </c>
      <c r="Q12" s="278">
        <f t="shared" si="4"/>
        <v>2.6634615384615379</v>
      </c>
      <c r="R12" s="278">
        <f t="shared" si="4"/>
        <v>2.6634615384615379</v>
      </c>
      <c r="S12" s="278">
        <f t="shared" si="4"/>
        <v>2.6634615384615379</v>
      </c>
      <c r="T12" s="278">
        <f t="shared" si="4"/>
        <v>2.6634615384615379</v>
      </c>
      <c r="U12" s="279">
        <f t="shared" si="4"/>
        <v>2.6634615384615379</v>
      </c>
      <c r="V12" s="279">
        <f t="shared" si="4"/>
        <v>2.6634615384615379</v>
      </c>
      <c r="W12" s="278">
        <f t="shared" si="4"/>
        <v>2.6634615384615379</v>
      </c>
      <c r="X12" s="278">
        <f t="shared" si="4"/>
        <v>2.6634615384615379</v>
      </c>
      <c r="Y12" s="278">
        <f t="shared" si="4"/>
        <v>2.6634615384615379</v>
      </c>
      <c r="Z12" s="278">
        <f t="shared" si="4"/>
        <v>2.6634615384615379</v>
      </c>
      <c r="AA12" s="278">
        <f t="shared" si="4"/>
        <v>2.6634615384615379</v>
      </c>
      <c r="AB12" s="278">
        <f t="shared" si="4"/>
        <v>2.6634615384615379</v>
      </c>
      <c r="AC12" s="278">
        <f t="shared" si="4"/>
        <v>2.6634615384615379</v>
      </c>
      <c r="AD12" s="278">
        <f t="shared" si="4"/>
        <v>2.6634615384615379</v>
      </c>
      <c r="AE12" s="278">
        <f t="shared" si="4"/>
        <v>2.6634615384615379</v>
      </c>
      <c r="AF12" s="278">
        <f t="shared" si="4"/>
        <v>2.6634615384615379</v>
      </c>
      <c r="AG12" s="278">
        <f t="shared" si="4"/>
        <v>2.6634615384615379</v>
      </c>
      <c r="AH12" s="278">
        <f t="shared" si="4"/>
        <v>2.6634615384615379</v>
      </c>
      <c r="AI12" s="278">
        <f t="shared" si="4"/>
        <v>2.6634615384615379</v>
      </c>
      <c r="AJ12" s="278">
        <f t="shared" si="4"/>
        <v>2.6634615384615379</v>
      </c>
      <c r="AK12" s="278">
        <f t="shared" si="4"/>
        <v>2.6634615384615379</v>
      </c>
      <c r="AL12" s="278">
        <f t="shared" si="4"/>
        <v>2.6634615384615379</v>
      </c>
      <c r="AM12" s="278">
        <f t="shared" si="4"/>
        <v>2.6634615384615379</v>
      </c>
      <c r="AN12" s="278" t="str">
        <f t="shared" si="4"/>
        <v/>
      </c>
      <c r="AO12" s="278" t="str">
        <f t="shared" si="4"/>
        <v/>
      </c>
      <c r="AP12" s="280" t="str">
        <f t="shared" si="4"/>
        <v/>
      </c>
      <c r="AQ12" s="317"/>
      <c r="AR12" s="302"/>
      <c r="AS12" s="302"/>
      <c r="AT12" s="338" t="s">
        <v>523</v>
      </c>
      <c r="AU12" s="227"/>
      <c r="AV12" s="227"/>
      <c r="AW12" s="202"/>
      <c r="AX12" s="202"/>
      <c r="AY12" s="202"/>
      <c r="AZ12" s="202"/>
      <c r="BA12" s="202"/>
      <c r="BB12" s="202"/>
      <c r="BC12" s="202"/>
      <c r="BD12" s="202"/>
      <c r="BE12" s="202"/>
      <c r="BF12" s="202"/>
      <c r="BG12" s="202"/>
      <c r="BH12" s="202"/>
      <c r="BI12" s="202"/>
      <c r="BJ12" s="202"/>
      <c r="BK12" s="202"/>
      <c r="BL12" s="299"/>
      <c r="BM12" s="299"/>
      <c r="BN12" s="299"/>
      <c r="BO12" s="299"/>
      <c r="BP12" s="299"/>
      <c r="BQ12" s="299"/>
      <c r="BR12" s="299"/>
      <c r="BS12" s="299"/>
      <c r="BT12" s="299"/>
      <c r="BU12" s="299">
        <f>BT11+AL10</f>
        <v>24342.5</v>
      </c>
      <c r="BV12" s="299">
        <f t="shared" ref="BV12" si="5">BU12+AM10</f>
        <v>25252.5</v>
      </c>
    </row>
    <row r="13" spans="3:74" s="191" customFormat="1" ht="15" customHeight="1" thickBot="1" x14ac:dyDescent="0.3">
      <c r="C13" s="191">
        <f>SUM(C24,C38,C45,C52,C59,C66,C73,C80,C87,C94,C101,C108)</f>
        <v>46.832550000000005</v>
      </c>
      <c r="I13" s="281"/>
      <c r="K13" s="282" t="s">
        <v>333</v>
      </c>
      <c r="L13" s="1296">
        <f t="shared" si="4"/>
        <v>3.641927144535841</v>
      </c>
      <c r="M13" s="1297">
        <f t="shared" si="4"/>
        <v>3.7382847141190201</v>
      </c>
      <c r="N13" s="1297">
        <f>IFERROR(N15*1000/N11,"")</f>
        <v>3.1190774487471526</v>
      </c>
      <c r="O13" s="1297">
        <f t="shared" si="4"/>
        <v>2.1590481117434042</v>
      </c>
      <c r="P13" s="1297">
        <f t="shared" si="4"/>
        <v>3.0658044164037861</v>
      </c>
      <c r="Q13" s="1297">
        <f t="shared" si="4"/>
        <v>2.7108097165991905</v>
      </c>
      <c r="R13" s="1297">
        <f t="shared" si="4"/>
        <v>3.4716799204771376</v>
      </c>
      <c r="S13" s="1297">
        <f t="shared" si="4"/>
        <v>4.5591163793103453</v>
      </c>
      <c r="T13" s="1297">
        <f t="shared" si="4"/>
        <v>4.5415401785714291</v>
      </c>
      <c r="U13" s="1297">
        <f t="shared" si="4"/>
        <v>3.0578132387706853</v>
      </c>
      <c r="V13" s="1297">
        <f t="shared" si="4"/>
        <v>3.4815782828282833</v>
      </c>
      <c r="W13" s="1297">
        <f t="shared" si="4"/>
        <v>2.0937645536869343</v>
      </c>
      <c r="X13" s="1297">
        <f t="shared" si="4"/>
        <v>2.7650159744408946</v>
      </c>
      <c r="Y13" s="1297">
        <f t="shared" si="4"/>
        <v>1.8989526686807652</v>
      </c>
      <c r="Z13" s="1297">
        <f t="shared" si="4"/>
        <v>1.9418970736629668</v>
      </c>
      <c r="AA13" s="1297">
        <f t="shared" si="4"/>
        <v>1.9174773869346735</v>
      </c>
      <c r="AB13" s="1297">
        <f t="shared" si="4"/>
        <v>2.0203033367037415</v>
      </c>
      <c r="AC13" s="1297">
        <f t="shared" si="4"/>
        <v>3.0352972972972974</v>
      </c>
      <c r="AD13" s="1297">
        <f t="shared" si="4"/>
        <v>2.4137486800422385</v>
      </c>
      <c r="AE13" s="1297">
        <f t="shared" si="4"/>
        <v>2.0797235576923079</v>
      </c>
      <c r="AF13" s="1297">
        <f t="shared" si="4"/>
        <v>2.1584235294117646</v>
      </c>
      <c r="AG13" s="1297">
        <f t="shared" si="4"/>
        <v>2.0120579710144928</v>
      </c>
      <c r="AH13" s="1297">
        <f t="shared" si="4"/>
        <v>2.4139240506329114</v>
      </c>
      <c r="AI13" s="1297">
        <f t="shared" si="4"/>
        <v>4.0952452830188681</v>
      </c>
      <c r="AJ13" s="1297">
        <f t="shared" si="4"/>
        <v>1.2547250280583615</v>
      </c>
      <c r="AK13" s="1297">
        <f t="shared" si="4"/>
        <v>0</v>
      </c>
      <c r="AL13" s="1297" t="str">
        <f t="shared" si="4"/>
        <v/>
      </c>
      <c r="AM13" s="1297" t="str">
        <f t="shared" si="4"/>
        <v/>
      </c>
      <c r="AN13" s="1297" t="str">
        <f t="shared" si="4"/>
        <v/>
      </c>
      <c r="AO13" s="1297" t="str">
        <f t="shared" si="4"/>
        <v/>
      </c>
      <c r="AP13" s="1298" t="str">
        <f t="shared" si="4"/>
        <v/>
      </c>
      <c r="AQ13" s="318"/>
      <c r="AR13" s="303"/>
      <c r="AS13" s="303"/>
      <c r="AT13" s="303"/>
      <c r="AU13" s="184"/>
      <c r="AV13" s="184"/>
    </row>
    <row r="14" spans="3:74" s="192" customFormat="1" x14ac:dyDescent="0.25">
      <c r="K14" s="283" t="s">
        <v>334</v>
      </c>
      <c r="L14" s="284">
        <f>IF(L$9&gt;$G$7,"",SUMIF($I$18:$I300,"Budget (kg)",L$18:L300))</f>
        <v>2.4237499999999996</v>
      </c>
      <c r="M14" s="285">
        <f>IF(M$9&gt;$G$7,"",SUMIF($I$18:$I300,"Budget (kg)",M$18:M300))</f>
        <v>2.4237499999999996</v>
      </c>
      <c r="N14" s="285">
        <f>IF(N$9&gt;$G$7,"",SUMIF($I$18:$I300,"Budget (kg)",N$18:N300))</f>
        <v>2.4237499999999996</v>
      </c>
      <c r="O14" s="285">
        <f>IF(O$9&gt;$G$7,"",SUMIF($I$18:$I300,"Budget (kg)",O$18:O300))</f>
        <v>2.4237499999999996</v>
      </c>
      <c r="P14" s="285">
        <f>IF(P$9&gt;$G$7,"",SUMIF($I$18:$I300,"Budget (kg)",P$18:P300))</f>
        <v>2.4237499999999996</v>
      </c>
      <c r="Q14" s="285">
        <f>IF(Q$9&gt;$G$7,"",SUMIF($I$18:$I300,"Budget (kg)",Q$18:Q300))</f>
        <v>2.4237499999999996</v>
      </c>
      <c r="R14" s="285">
        <f>IF(R$9&gt;$G$7,"",SUMIF($I$18:$I300,"Budget (kg)",R$18:R300))</f>
        <v>2.4237499999999996</v>
      </c>
      <c r="S14" s="285">
        <f>IF(S$9&gt;$G$7,"",SUMIF($I$18:$I300,"Budget (kg)",S$18:S300))</f>
        <v>2.4237499999999996</v>
      </c>
      <c r="T14" s="285">
        <f>IF(T$9&gt;$G$7,"",SUMIF($I$18:$I300,"Budget (kg)",T$18:T300))</f>
        <v>2.4237499999999996</v>
      </c>
      <c r="U14" s="286">
        <f>IF(U$9&gt;$G$7,"",SUMIF($I$18:$I300,"Budget (kg)",U$18:U300))</f>
        <v>2.4237499999999996</v>
      </c>
      <c r="V14" s="286">
        <f>IF(V$9&gt;$G$7,"",SUMIF($I$18:$I300,"Budget (kg)",V$18:V300))</f>
        <v>2.4237499999999996</v>
      </c>
      <c r="W14" s="285">
        <f>IF(W$9&gt;$G$7,"",SUMIF($I$18:$I300,"Budget (kg)",W$18:W300))</f>
        <v>2.4237499999999996</v>
      </c>
      <c r="X14" s="285">
        <f>IF(X$9&gt;$G$7,"",SUMIF($I$18:$I300,"Budget (kg)",X$18:X300))</f>
        <v>2.4237499999999996</v>
      </c>
      <c r="Y14" s="285">
        <f>IF(Y$9&gt;$G$7,"",SUMIF($I$18:$I300,"Budget (kg)",Y$18:Y300))</f>
        <v>2.4237499999999996</v>
      </c>
      <c r="Z14" s="285">
        <f>IF(Z$9&gt;$G$7,"",SUMIF($I$18:$I300,"Budget (kg)",Z$18:Z300))</f>
        <v>2.4237499999999996</v>
      </c>
      <c r="AA14" s="285">
        <f>IF(AA$9&gt;$G$7,"",SUMIF($I$18:$I300,"Budget (kg)",AA$18:AA300))</f>
        <v>2.4237499999999996</v>
      </c>
      <c r="AB14" s="285">
        <f>IF(AB$9&gt;$G$7,"",SUMIF($I$18:$I300,"Budget (kg)",AB$18:AB300))</f>
        <v>2.4237499999999996</v>
      </c>
      <c r="AC14" s="285">
        <f>IF(AC$9&gt;$G$7,"",SUMIF($I$18:$I300,"Budget (kg)",AC$18:AC300))</f>
        <v>2.4237499999999996</v>
      </c>
      <c r="AD14" s="285">
        <f>IF(AD$9&gt;$G$7,"",SUMIF($I$18:$I300,"Budget (kg)",AD$18:AD300))</f>
        <v>2.4237499999999996</v>
      </c>
      <c r="AE14" s="285">
        <f>IF(AE$9&gt;$G$7,"",SUMIF($I$18:$I300,"Budget (kg)",AE$18:AE300))</f>
        <v>2.4237499999999996</v>
      </c>
      <c r="AF14" s="285">
        <f>IF(AF$9&gt;$G$7,"",SUMIF($I$18:$I300,"Budget (kg)",AF$18:AF300))</f>
        <v>2.4237499999999996</v>
      </c>
      <c r="AG14" s="285">
        <f>IF(AG$9&gt;$G$7,"",SUMIF($I$18:$I300,"Budget (kg)",AG$18:AG300))</f>
        <v>2.4237499999999996</v>
      </c>
      <c r="AH14" s="285">
        <f>IF(AH$9&gt;$G$7,"",SUMIF($I$18:$I300,"Budget (kg)",AH$18:AH300))</f>
        <v>2.4237499999999996</v>
      </c>
      <c r="AI14" s="285">
        <f>IF(AI$9&gt;$G$7,"",SUMIF($I$18:$I300,"Budget (kg)",AI$18:AI300))</f>
        <v>2.4237499999999996</v>
      </c>
      <c r="AJ14" s="285">
        <f>IF(AJ$9&gt;$G$7,"",SUMIF($I$18:$I300,"Budget (kg)",AJ$18:AJ300))</f>
        <v>2.4237499999999996</v>
      </c>
      <c r="AK14" s="285">
        <f>IF(AK$9&gt;$G$7,"",SUMIF($I$18:$I300,"Budget (kg)",AK$18:AK300))</f>
        <v>2.4237499999999996</v>
      </c>
      <c r="AL14" s="285">
        <f>IF(AL$9&gt;$G$7,"",SUMIF($I$18:$I300,"Budget (kg)",AL$18:AL300))</f>
        <v>2.4237499999999996</v>
      </c>
      <c r="AM14" s="285">
        <f>IF(AM$9&gt;$G$7,"",SUMIF($I$18:$I300,"Budget (kg)",AM$18:AM300))</f>
        <v>2.4237499999999996</v>
      </c>
      <c r="AN14" s="285" t="str">
        <f>IF(AN$9&gt;$G$7,"",SUMIF($I$18:$I300,"Budget (kg)",AN$18:AN300))</f>
        <v/>
      </c>
      <c r="AO14" s="285" t="str">
        <f>IF(AO$9&gt;$G$7,"",SUMIF($I$18:$I300,"Budget (kg)",AO$18:AO300))</f>
        <v/>
      </c>
      <c r="AP14" s="287" t="str">
        <f>IF(AP$9&gt;$G$7,"",SUMIF($I$18:$I300,"Budget (kg)",AP$18:AP300))</f>
        <v/>
      </c>
      <c r="AQ14" s="319"/>
      <c r="AR14" s="304"/>
      <c r="AS14" s="304"/>
      <c r="AT14" s="304"/>
      <c r="AU14" s="226"/>
      <c r="AV14" s="226"/>
    </row>
    <row r="15" spans="3:74" s="193" customFormat="1" ht="15" customHeight="1" thickBot="1" x14ac:dyDescent="0.3">
      <c r="K15" s="288" t="s">
        <v>335</v>
      </c>
      <c r="L15" s="1377">
        <f>IF(L$9&gt;$G$7,"",SUMIF($I$18:$I300,"Actual (kg)",L$18:L300))</f>
        <v>3.0992800000000007</v>
      </c>
      <c r="M15" s="1346">
        <f>IF(M$9&gt;$G$7,"",SUMIF($I$18:$I300,"Actual (kg)",M$18:M300))</f>
        <v>3.2037100000000001</v>
      </c>
      <c r="N15" s="1346">
        <f>IF(N$9&gt;$G$7,"",SUMIF($I$18:$I300,"Actual (kg)",N$18:N300))</f>
        <v>2.73855</v>
      </c>
      <c r="O15" s="1346">
        <f>IF(O$9&gt;$G$7,"",SUMIF($I$18:$I300,"Actual (kg)",O$18:O300))</f>
        <v>2.0867200000000001</v>
      </c>
      <c r="P15" s="1346">
        <f>IF(P$9&gt;$G$7,"",SUMIF($I$18:$I300,"Actual (kg)",P$18:P300))</f>
        <v>2.9155800000000003</v>
      </c>
      <c r="Q15" s="1346">
        <f>IF(Q$9&gt;$G$7,"",SUMIF($I$18:$I300,"Actual (kg)",Q$18:Q300))</f>
        <v>2.67828</v>
      </c>
      <c r="R15" s="1346">
        <f>IF(R$9&gt;$G$7,"",SUMIF($I$18:$I300,"Actual (kg)",R$18:R300))</f>
        <v>3.4925100000000002</v>
      </c>
      <c r="S15" s="1346">
        <f>IF(S$9&gt;$G$7,"",SUMIF($I$18:$I300,"Actual (kg)",S$18:S300))</f>
        <v>4.2308600000000007</v>
      </c>
      <c r="T15" s="1346">
        <f>IF(T$9&gt;$G$7,"",SUMIF($I$18:$I300,"Actual (kg)",T$18:T300))</f>
        <v>4.0692200000000005</v>
      </c>
      <c r="U15" s="1346">
        <f>IF(U$9&gt;$G$7,"",SUMIF($I$18:$I300,"Actual (kg)",U$18:U300))</f>
        <v>2.58691</v>
      </c>
      <c r="V15" s="1346">
        <f>IF(V$9&gt;$G$7,"",SUMIF($I$18:$I300,"Actual (kg)",V$18:V300))</f>
        <v>2.7574100000000001</v>
      </c>
      <c r="W15" s="1346">
        <f>IF(W$9&gt;$G$7,"",SUMIF($I$18:$I300,"Actual (kg)",W$18:W300))</f>
        <v>1.6184799999999999</v>
      </c>
      <c r="X15" s="1346">
        <f>IF(X$9&gt;$G$7,"",SUMIF($I$18:$I300,"Actual (kg)",X$18:X300))</f>
        <v>2.5963499999999997</v>
      </c>
      <c r="Y15" s="1346">
        <f>IF(Y$9&gt;$G$7,"",SUMIF($I$18:$I300,"Actual (kg)",Y$18:Y300))</f>
        <v>1.8856599999999999</v>
      </c>
      <c r="Z15" s="1346">
        <f>IF(Z$9&gt;$G$7,"",SUMIF($I$18:$I300,"Actual (kg)",Z$18:Z300))</f>
        <v>1.92442</v>
      </c>
      <c r="AA15" s="1346">
        <f>IF(AA$9&gt;$G$7,"",SUMIF($I$18:$I300,"Actual (kg)",AA$18:AA300))</f>
        <v>1.9078900000000001</v>
      </c>
      <c r="AB15" s="1346">
        <f>IF(AB$9&gt;$G$7,"",SUMIF($I$18:$I300,"Actual (kg)",AB$18:AB300))</f>
        <v>1.9980800000000001</v>
      </c>
      <c r="AC15" s="1346">
        <f>IF(AC$9&gt;$G$7,"",SUMIF($I$18:$I300,"Actual (kg)",AC$18:AC300))</f>
        <v>2.8076500000000002</v>
      </c>
      <c r="AD15" s="1346">
        <f>IF(AD$9&gt;$G$7,"",SUMIF($I$18:$I300,"Actual (kg)",AD$18:AD300))</f>
        <v>2.2858199999999997</v>
      </c>
      <c r="AE15" s="1346">
        <f>IF(AE$9&gt;$G$7,"",SUMIF($I$18:$I300,"Actual (kg)",AE$18:AE300))</f>
        <v>1.7303300000000001</v>
      </c>
      <c r="AF15" s="1346">
        <f>IF(AF$9&gt;$G$7,"",SUMIF($I$18:$I300,"Actual (kg)",AF$18:AF300))</f>
        <v>1.83466</v>
      </c>
      <c r="AG15" s="1346">
        <f>IF(AG$9&gt;$G$7,"",SUMIF($I$18:$I300,"Actual (kg)",AG$18:AG300))</f>
        <v>1.38832</v>
      </c>
      <c r="AH15" s="1346">
        <f>IF(AH$9&gt;$G$7,"",SUMIF($I$18:$I300,"Actual (kg)",AH$18:AH300))</f>
        <v>2.2884000000000002</v>
      </c>
      <c r="AI15" s="1346">
        <f>IF(AI$9&gt;$G$7,"",SUMIF($I$18:$I300,"Actual (kg)",AI$18:AI300))</f>
        <v>3.2557200000000002</v>
      </c>
      <c r="AJ15" s="1346">
        <f>IF(AJ$9&gt;$G$7,"",SUMIF($I$18:$I300,"Actual (kg)",AJ$18:AJ300))</f>
        <v>1.1179600000000001</v>
      </c>
      <c r="AK15" s="1346">
        <f>IF(AK$9&gt;$G$7,"",SUMIF($I$18:$I300,"Actual (kg)",AK$18:AK300))</f>
        <v>0</v>
      </c>
      <c r="AL15" s="1346">
        <f>IF(AL$9&gt;$G$7,"",SUMIF($I$18:$I300,"Actual (kg)",AL$18:AL300))</f>
        <v>0</v>
      </c>
      <c r="AM15" s="1346">
        <f>IF(AM$9&gt;$G$7,"",SUMIF($I$18:$I300,"Actual (kg)",AM$18:AM300))</f>
        <v>0</v>
      </c>
      <c r="AN15" s="1346" t="str">
        <f>IF(AN$9&gt;$G$7,"",SUMIF($I$18:$I300,"Actual (kg)",AN$18:AN300))</f>
        <v/>
      </c>
      <c r="AO15" s="1346" t="str">
        <f>IF(AO$9&gt;$G$7,"",SUMIF($I$18:$I300,"Actual (kg)",AO$18:AO300))</f>
        <v/>
      </c>
      <c r="AP15" s="1378" t="str">
        <f>IF(AP$9&gt;$G$7,"",SUMIF($I$18:$I300,"Actual (kg)",AP$18:AP300))</f>
        <v/>
      </c>
      <c r="AQ15" s="320"/>
      <c r="AR15" s="305"/>
      <c r="AS15" s="305"/>
      <c r="AT15" s="305"/>
      <c r="AU15" s="184"/>
      <c r="AV15" s="184"/>
    </row>
    <row r="16" spans="3:74" s="182" customFormat="1" ht="14.25" thickBot="1" x14ac:dyDescent="0.3">
      <c r="H16" s="239"/>
      <c r="I16" s="184"/>
      <c r="J16" s="240"/>
      <c r="K16" s="240"/>
      <c r="L16" s="181"/>
      <c r="M16" s="181"/>
      <c r="N16" s="181"/>
      <c r="AR16" s="300"/>
      <c r="AS16" s="300"/>
      <c r="AT16" s="300"/>
      <c r="AU16" s="226"/>
      <c r="AV16" s="226"/>
    </row>
    <row r="17" spans="1:95" s="189" customFormat="1" ht="14.25" thickBot="1" x14ac:dyDescent="0.3">
      <c r="A17" s="189" t="s">
        <v>524</v>
      </c>
      <c r="E17" s="289">
        <f>COUNTA(G18:G300)</f>
        <v>12</v>
      </c>
      <c r="F17" s="228" t="s">
        <v>336</v>
      </c>
      <c r="G17" s="229" t="s">
        <v>337</v>
      </c>
      <c r="H17" s="1699"/>
      <c r="I17" s="1699"/>
      <c r="J17" s="290" t="s">
        <v>269</v>
      </c>
      <c r="K17" s="291" t="s">
        <v>338</v>
      </c>
      <c r="L17" s="230">
        <v>45689</v>
      </c>
      <c r="M17" s="231">
        <v>45690</v>
      </c>
      <c r="N17" s="231">
        <v>45691</v>
      </c>
      <c r="O17" s="232">
        <v>45692</v>
      </c>
      <c r="P17" s="232">
        <v>45693</v>
      </c>
      <c r="Q17" s="232">
        <v>45694</v>
      </c>
      <c r="R17" s="232">
        <v>45695</v>
      </c>
      <c r="S17" s="232">
        <v>45696</v>
      </c>
      <c r="T17" s="232">
        <v>45697</v>
      </c>
      <c r="U17" s="233">
        <v>45698</v>
      </c>
      <c r="V17" s="233">
        <v>45699</v>
      </c>
      <c r="W17" s="232">
        <v>45700</v>
      </c>
      <c r="X17" s="232">
        <v>45701</v>
      </c>
      <c r="Y17" s="232">
        <v>45702</v>
      </c>
      <c r="Z17" s="232">
        <v>45703</v>
      </c>
      <c r="AA17" s="232">
        <v>45704</v>
      </c>
      <c r="AB17" s="232">
        <v>45705</v>
      </c>
      <c r="AC17" s="232">
        <v>45706</v>
      </c>
      <c r="AD17" s="232">
        <v>45707</v>
      </c>
      <c r="AE17" s="232">
        <v>45708</v>
      </c>
      <c r="AF17" s="232">
        <v>45709</v>
      </c>
      <c r="AG17" s="232">
        <v>45710</v>
      </c>
      <c r="AH17" s="232">
        <v>45711</v>
      </c>
      <c r="AI17" s="232">
        <v>45712</v>
      </c>
      <c r="AJ17" s="232">
        <v>45713</v>
      </c>
      <c r="AK17" s="232">
        <v>45714</v>
      </c>
      <c r="AL17" s="232">
        <v>45715</v>
      </c>
      <c r="AM17" s="232">
        <v>45716</v>
      </c>
      <c r="AN17" s="232">
        <v>0</v>
      </c>
      <c r="AO17" s="232">
        <v>0</v>
      </c>
      <c r="AP17" s="292">
        <v>0</v>
      </c>
      <c r="AQ17" s="321"/>
      <c r="AR17" s="306" t="s">
        <v>339</v>
      </c>
      <c r="AS17" s="331" t="s">
        <v>339</v>
      </c>
      <c r="AT17" s="331"/>
      <c r="AU17" s="297">
        <f t="shared" ref="AU17:BV17" si="6">L17</f>
        <v>45689</v>
      </c>
      <c r="AV17" s="297">
        <f t="shared" si="6"/>
        <v>45690</v>
      </c>
      <c r="AW17" s="297">
        <f t="shared" si="6"/>
        <v>45691</v>
      </c>
      <c r="AX17" s="297">
        <f t="shared" si="6"/>
        <v>45692</v>
      </c>
      <c r="AY17" s="297">
        <f t="shared" si="6"/>
        <v>45693</v>
      </c>
      <c r="AZ17" s="297">
        <f t="shared" si="6"/>
        <v>45694</v>
      </c>
      <c r="BA17" s="297">
        <f t="shared" si="6"/>
        <v>45695</v>
      </c>
      <c r="BB17" s="297">
        <f t="shared" si="6"/>
        <v>45696</v>
      </c>
      <c r="BC17" s="297">
        <f t="shared" si="6"/>
        <v>45697</v>
      </c>
      <c r="BD17" s="297">
        <f t="shared" si="6"/>
        <v>45698</v>
      </c>
      <c r="BE17" s="297">
        <f t="shared" si="6"/>
        <v>45699</v>
      </c>
      <c r="BF17" s="297">
        <f t="shared" si="6"/>
        <v>45700</v>
      </c>
      <c r="BG17" s="297">
        <f t="shared" si="6"/>
        <v>45701</v>
      </c>
      <c r="BH17" s="297">
        <f t="shared" si="6"/>
        <v>45702</v>
      </c>
      <c r="BI17" s="297">
        <f t="shared" si="6"/>
        <v>45703</v>
      </c>
      <c r="BJ17" s="297">
        <f t="shared" si="6"/>
        <v>45704</v>
      </c>
      <c r="BK17" s="297">
        <f t="shared" si="6"/>
        <v>45705</v>
      </c>
      <c r="BL17" s="297">
        <f t="shared" si="6"/>
        <v>45706</v>
      </c>
      <c r="BM17" s="297">
        <f t="shared" si="6"/>
        <v>45707</v>
      </c>
      <c r="BN17" s="297">
        <f t="shared" si="6"/>
        <v>45708</v>
      </c>
      <c r="BO17" s="297">
        <f t="shared" si="6"/>
        <v>45709</v>
      </c>
      <c r="BP17" s="297">
        <f t="shared" si="6"/>
        <v>45710</v>
      </c>
      <c r="BQ17" s="297">
        <f t="shared" si="6"/>
        <v>45711</v>
      </c>
      <c r="BR17" s="297">
        <f t="shared" si="6"/>
        <v>45712</v>
      </c>
      <c r="BS17" s="297">
        <f t="shared" si="6"/>
        <v>45713</v>
      </c>
      <c r="BT17" s="297">
        <f t="shared" si="6"/>
        <v>45714</v>
      </c>
      <c r="BU17" s="297">
        <f t="shared" si="6"/>
        <v>45715</v>
      </c>
      <c r="BV17" s="297">
        <f t="shared" si="6"/>
        <v>45716</v>
      </c>
      <c r="BW17" s="297"/>
      <c r="BX17" s="297"/>
      <c r="BY17" s="297"/>
      <c r="BZ17" s="297"/>
      <c r="CA17" s="297"/>
      <c r="CB17" s="297"/>
      <c r="CC17" s="297"/>
      <c r="CD17" s="297"/>
      <c r="CE17" s="297"/>
      <c r="CF17" s="297"/>
      <c r="CG17" s="297"/>
      <c r="CH17" s="297"/>
      <c r="CI17" s="297"/>
      <c r="CJ17" s="297"/>
      <c r="CK17" s="297"/>
      <c r="CL17" s="297"/>
      <c r="CM17" s="297"/>
      <c r="CN17" s="297"/>
      <c r="CO17" s="297"/>
      <c r="CP17" s="297"/>
      <c r="CQ17" s="297"/>
    </row>
    <row r="18" spans="1:95" s="194" customFormat="1" ht="14.45" customHeight="1" x14ac:dyDescent="0.25">
      <c r="A18" s="1753" t="s">
        <v>526</v>
      </c>
      <c r="B18" s="194">
        <v>0</v>
      </c>
      <c r="E18" s="202"/>
      <c r="F18" s="1788" t="s">
        <v>527</v>
      </c>
      <c r="G18" s="1789"/>
      <c r="H18" s="1696" t="s">
        <v>340</v>
      </c>
      <c r="I18" s="293" t="s">
        <v>341</v>
      </c>
      <c r="J18" s="196">
        <f>SUMIF($L$9:$AP$9,"&lt;="&amp;$G$7,L18:AP18)</f>
        <v>1960</v>
      </c>
      <c r="K18" s="197"/>
      <c r="L18" s="198">
        <v>70</v>
      </c>
      <c r="M18" s="198">
        <v>70</v>
      </c>
      <c r="N18" s="198">
        <v>70</v>
      </c>
      <c r="O18" s="199">
        <v>70</v>
      </c>
      <c r="P18" s="199">
        <v>70</v>
      </c>
      <c r="Q18" s="199">
        <v>70</v>
      </c>
      <c r="R18" s="199">
        <v>70</v>
      </c>
      <c r="S18" s="199">
        <v>70</v>
      </c>
      <c r="T18" s="200">
        <v>70</v>
      </c>
      <c r="U18" s="199">
        <v>70</v>
      </c>
      <c r="V18" s="199">
        <v>70</v>
      </c>
      <c r="W18" s="199">
        <v>70</v>
      </c>
      <c r="X18" s="199">
        <v>70</v>
      </c>
      <c r="Y18" s="199">
        <v>70</v>
      </c>
      <c r="Z18" s="199">
        <v>70</v>
      </c>
      <c r="AA18" s="199">
        <v>70</v>
      </c>
      <c r="AB18" s="199">
        <v>70</v>
      </c>
      <c r="AC18" s="199">
        <v>70</v>
      </c>
      <c r="AD18" s="199">
        <v>70</v>
      </c>
      <c r="AE18" s="199">
        <v>70</v>
      </c>
      <c r="AF18" s="199">
        <v>70</v>
      </c>
      <c r="AG18" s="199">
        <v>70</v>
      </c>
      <c r="AH18" s="199">
        <v>70</v>
      </c>
      <c r="AI18" s="199">
        <v>70</v>
      </c>
      <c r="AJ18" s="199">
        <v>70</v>
      </c>
      <c r="AK18" s="199">
        <v>70</v>
      </c>
      <c r="AL18" s="199">
        <v>70</v>
      </c>
      <c r="AM18" s="199">
        <v>70</v>
      </c>
      <c r="AN18" s="199">
        <v>0</v>
      </c>
      <c r="AO18" s="199">
        <v>0</v>
      </c>
      <c r="AP18" s="201">
        <v>0</v>
      </c>
      <c r="AQ18" s="322"/>
      <c r="AR18" s="307"/>
      <c r="AS18" s="1754" t="s">
        <v>528</v>
      </c>
      <c r="AT18" s="332"/>
      <c r="AU18" s="226">
        <f>L18</f>
        <v>70</v>
      </c>
      <c r="AV18" s="298">
        <f t="shared" ref="AV18:BV18" si="7">AU18+M18</f>
        <v>140</v>
      </c>
      <c r="AW18" s="298">
        <f t="shared" si="7"/>
        <v>210</v>
      </c>
      <c r="AX18" s="298">
        <f t="shared" si="7"/>
        <v>280</v>
      </c>
      <c r="AY18" s="298">
        <f t="shared" si="7"/>
        <v>350</v>
      </c>
      <c r="AZ18" s="298">
        <f t="shared" si="7"/>
        <v>420</v>
      </c>
      <c r="BA18" s="298">
        <f t="shared" si="7"/>
        <v>490</v>
      </c>
      <c r="BB18" s="298">
        <f t="shared" si="7"/>
        <v>560</v>
      </c>
      <c r="BC18" s="298">
        <f t="shared" si="7"/>
        <v>630</v>
      </c>
      <c r="BD18" s="298">
        <f t="shared" si="7"/>
        <v>700</v>
      </c>
      <c r="BE18" s="298">
        <f t="shared" si="7"/>
        <v>770</v>
      </c>
      <c r="BF18" s="298">
        <f t="shared" si="7"/>
        <v>840</v>
      </c>
      <c r="BG18" s="298">
        <f t="shared" si="7"/>
        <v>910</v>
      </c>
      <c r="BH18" s="298">
        <f t="shared" si="7"/>
        <v>980</v>
      </c>
      <c r="BI18" s="298">
        <f t="shared" si="7"/>
        <v>1050</v>
      </c>
      <c r="BJ18" s="298">
        <f t="shared" si="7"/>
        <v>1120</v>
      </c>
      <c r="BK18" s="298">
        <f t="shared" si="7"/>
        <v>1190</v>
      </c>
      <c r="BL18" s="298">
        <f t="shared" si="7"/>
        <v>1260</v>
      </c>
      <c r="BM18" s="298">
        <f t="shared" si="7"/>
        <v>1330</v>
      </c>
      <c r="BN18" s="298">
        <f t="shared" si="7"/>
        <v>1400</v>
      </c>
      <c r="BO18" s="298">
        <f t="shared" si="7"/>
        <v>1470</v>
      </c>
      <c r="BP18" s="298">
        <f t="shared" si="7"/>
        <v>1540</v>
      </c>
      <c r="BQ18" s="298">
        <f t="shared" si="7"/>
        <v>1610</v>
      </c>
      <c r="BR18" s="298">
        <f t="shared" si="7"/>
        <v>1680</v>
      </c>
      <c r="BS18" s="298">
        <f t="shared" si="7"/>
        <v>1750</v>
      </c>
      <c r="BT18" s="298">
        <f t="shared" si="7"/>
        <v>1820</v>
      </c>
      <c r="BU18" s="298">
        <f t="shared" si="7"/>
        <v>1890</v>
      </c>
      <c r="BV18" s="298">
        <f t="shared" si="7"/>
        <v>1960</v>
      </c>
    </row>
    <row r="19" spans="1:95" ht="14.25" customHeight="1" x14ac:dyDescent="0.25">
      <c r="A19" s="1753"/>
      <c r="B19" s="202">
        <v>5862</v>
      </c>
      <c r="C19" s="352">
        <f>(J19/(J19+J33))*B19</f>
        <v>1125.2055645996743</v>
      </c>
      <c r="D19" s="349">
        <f>(C19-J19)/C19</f>
        <v>-0.15267826680313898</v>
      </c>
      <c r="F19" s="1790"/>
      <c r="G19" s="1791"/>
      <c r="H19" s="1697"/>
      <c r="I19" s="1379" t="s">
        <v>342</v>
      </c>
      <c r="J19" s="1303">
        <f>SUMIF($L$9:$AP$9,"&lt;="&amp;$G$7,L19:AP19)</f>
        <v>1297</v>
      </c>
      <c r="K19" s="1380">
        <f t="shared" ref="K19" si="8">IFERROR((J19-J18)/J18,0)</f>
        <v>-0.33826530612244898</v>
      </c>
      <c r="L19" s="1305"/>
      <c r="M19" s="1303"/>
      <c r="N19" s="1303"/>
      <c r="O19" s="1303"/>
      <c r="P19" s="1303"/>
      <c r="Q19" s="1303"/>
      <c r="R19" s="1303"/>
      <c r="S19" s="1303"/>
      <c r="T19" s="1303"/>
      <c r="U19" s="1303"/>
      <c r="V19" s="1303">
        <v>20</v>
      </c>
      <c r="W19" s="1303"/>
      <c r="X19" s="1303">
        <v>83</v>
      </c>
      <c r="Y19" s="1303">
        <v>54</v>
      </c>
      <c r="Z19" s="1303">
        <v>59</v>
      </c>
      <c r="AA19" s="1303">
        <v>69</v>
      </c>
      <c r="AB19" s="1303">
        <v>90</v>
      </c>
      <c r="AC19" s="1303">
        <v>92</v>
      </c>
      <c r="AD19" s="1303">
        <v>115</v>
      </c>
      <c r="AE19" s="1303">
        <v>85</v>
      </c>
      <c r="AF19" s="1303">
        <v>78</v>
      </c>
      <c r="AG19" s="1303">
        <v>148</v>
      </c>
      <c r="AH19" s="1303">
        <f>33+50</f>
        <v>83</v>
      </c>
      <c r="AI19" s="1303">
        <v>68</v>
      </c>
      <c r="AJ19" s="1303">
        <f>50+50+19</f>
        <v>119</v>
      </c>
      <c r="AK19" s="1303">
        <f>43+23+68</f>
        <v>134</v>
      </c>
      <c r="AL19" s="1303"/>
      <c r="AM19" s="1303"/>
      <c r="AN19" s="1303"/>
      <c r="AO19" s="1303"/>
      <c r="AP19" s="1303"/>
      <c r="AQ19" s="323"/>
      <c r="AR19" s="308"/>
      <c r="AS19" s="1754"/>
      <c r="AU19" s="226">
        <f>L19</f>
        <v>0</v>
      </c>
      <c r="AV19" s="298">
        <f>AU19+M19</f>
        <v>0</v>
      </c>
      <c r="AW19" s="298">
        <f>AV19+N19</f>
        <v>0</v>
      </c>
      <c r="AX19" s="298">
        <f t="shared" ref="AX19:BL19" si="9">AW19+O19</f>
        <v>0</v>
      </c>
      <c r="AY19" s="298">
        <f t="shared" si="9"/>
        <v>0</v>
      </c>
      <c r="AZ19" s="298">
        <f t="shared" si="9"/>
        <v>0</v>
      </c>
      <c r="BA19" s="298">
        <f t="shared" si="9"/>
        <v>0</v>
      </c>
      <c r="BB19" s="298">
        <f t="shared" si="9"/>
        <v>0</v>
      </c>
      <c r="BC19" s="298">
        <f t="shared" si="9"/>
        <v>0</v>
      </c>
      <c r="BD19" s="298">
        <f t="shared" si="9"/>
        <v>0</v>
      </c>
      <c r="BE19" s="298">
        <f t="shared" si="9"/>
        <v>20</v>
      </c>
      <c r="BF19" s="298">
        <f t="shared" si="9"/>
        <v>20</v>
      </c>
      <c r="BG19" s="298">
        <f t="shared" si="9"/>
        <v>103</v>
      </c>
      <c r="BH19" s="298">
        <f t="shared" si="9"/>
        <v>157</v>
      </c>
      <c r="BI19" s="298">
        <f t="shared" si="9"/>
        <v>216</v>
      </c>
      <c r="BJ19" s="298">
        <f t="shared" si="9"/>
        <v>285</v>
      </c>
      <c r="BK19" s="298">
        <f t="shared" si="9"/>
        <v>375</v>
      </c>
      <c r="BL19" s="298">
        <f t="shared" si="9"/>
        <v>467</v>
      </c>
      <c r="BM19" s="298">
        <f>BL19+AD19</f>
        <v>582</v>
      </c>
      <c r="BN19" s="298">
        <f>BM19+AE19</f>
        <v>667</v>
      </c>
      <c r="BO19" s="298">
        <f>BN19+AF19</f>
        <v>745</v>
      </c>
      <c r="BP19" s="298">
        <f>BO19+AG19</f>
        <v>893</v>
      </c>
      <c r="BQ19" s="298">
        <f t="shared" ref="BQ19" si="10">BP19+AH19</f>
        <v>976</v>
      </c>
      <c r="BR19" s="298">
        <f>BQ19+AI19</f>
        <v>1044</v>
      </c>
      <c r="BS19" s="298">
        <f>BR19+AJ19</f>
        <v>1163</v>
      </c>
      <c r="BT19" s="298">
        <f>BS19+AK19</f>
        <v>1297</v>
      </c>
    </row>
    <row r="20" spans="1:95" ht="14.25" customHeight="1" x14ac:dyDescent="0.25">
      <c r="A20" s="1753"/>
      <c r="E20" s="294"/>
      <c r="F20" s="1790"/>
      <c r="G20" s="1791"/>
      <c r="H20" s="1697"/>
      <c r="I20" s="1381" t="s">
        <v>312</v>
      </c>
      <c r="J20" s="1382"/>
      <c r="K20" s="1383"/>
      <c r="L20" s="203"/>
      <c r="M20" s="203"/>
      <c r="N20" s="203"/>
      <c r="O20" s="203"/>
      <c r="P20" s="203"/>
      <c r="Q20" s="203"/>
      <c r="R20" s="203"/>
      <c r="S20" s="203"/>
      <c r="T20" s="204"/>
      <c r="U20" s="203"/>
      <c r="V20" s="203"/>
      <c r="W20" s="203"/>
      <c r="X20" s="203"/>
      <c r="Y20" s="203"/>
      <c r="Z20" s="203"/>
      <c r="AA20" s="203"/>
      <c r="AB20" s="203"/>
      <c r="AC20" s="203"/>
      <c r="AD20" s="203"/>
      <c r="AE20" s="203"/>
      <c r="AF20" s="203"/>
      <c r="AG20" s="203"/>
      <c r="AH20" s="203" t="s">
        <v>529</v>
      </c>
      <c r="AI20" s="203" t="s">
        <v>530</v>
      </c>
      <c r="AJ20" s="203"/>
      <c r="AK20" s="203"/>
      <c r="AL20" s="203"/>
      <c r="AM20" s="203"/>
      <c r="AN20" s="203"/>
      <c r="AO20" s="203"/>
      <c r="AP20" s="205"/>
      <c r="AQ20" s="324"/>
      <c r="AR20" s="309"/>
      <c r="AS20" s="1754"/>
      <c r="AT20" s="339" t="s">
        <v>531</v>
      </c>
      <c r="AU20" s="227"/>
      <c r="AV20" s="227"/>
      <c r="BL20" s="299"/>
      <c r="BM20" s="299"/>
      <c r="BN20" s="299"/>
      <c r="BO20" s="299"/>
      <c r="BP20" s="299"/>
      <c r="BQ20" s="299"/>
      <c r="BR20" s="299"/>
      <c r="BS20" s="299"/>
      <c r="BT20" s="299"/>
      <c r="BU20" s="299">
        <f>BT19+AL18</f>
        <v>1367</v>
      </c>
      <c r="BV20" s="299">
        <f>BU20+AM18</f>
        <v>1437</v>
      </c>
    </row>
    <row r="21" spans="1:95" ht="14.25" customHeight="1" x14ac:dyDescent="0.25">
      <c r="A21" s="1753"/>
      <c r="B21" s="202">
        <v>0</v>
      </c>
      <c r="C21" s="349" t="e">
        <f>(B21-I21)/B21</f>
        <v>#VALUE!</v>
      </c>
      <c r="F21" s="1790"/>
      <c r="G21" s="1791"/>
      <c r="H21" s="1686" t="s">
        <v>343</v>
      </c>
      <c r="I21" s="1384" t="s">
        <v>344</v>
      </c>
      <c r="J21" s="1310">
        <f t="shared" ref="J21:J22" si="11">IFERROR(J23*1000/J18,0)</f>
        <v>2.8500000000000019</v>
      </c>
      <c r="K21" s="1385"/>
      <c r="L21" s="1312">
        <v>2.85</v>
      </c>
      <c r="M21" s="1312">
        <v>2.85</v>
      </c>
      <c r="N21" s="1312">
        <v>2.85</v>
      </c>
      <c r="O21" s="1333">
        <v>2.85</v>
      </c>
      <c r="P21" s="1333">
        <v>2.85</v>
      </c>
      <c r="Q21" s="1333">
        <v>2.85</v>
      </c>
      <c r="R21" s="1333">
        <v>2.85</v>
      </c>
      <c r="S21" s="1333">
        <v>2.85</v>
      </c>
      <c r="T21" s="1334">
        <v>2.85</v>
      </c>
      <c r="U21" s="1333">
        <v>2.85</v>
      </c>
      <c r="V21" s="1333">
        <v>2.85</v>
      </c>
      <c r="W21" s="1333">
        <v>2.85</v>
      </c>
      <c r="X21" s="1333">
        <v>2.85</v>
      </c>
      <c r="Y21" s="1333">
        <v>2.85</v>
      </c>
      <c r="Z21" s="1333">
        <v>2.85</v>
      </c>
      <c r="AA21" s="1333">
        <v>2.85</v>
      </c>
      <c r="AB21" s="1333">
        <v>2.85</v>
      </c>
      <c r="AC21" s="1333">
        <v>2.85</v>
      </c>
      <c r="AD21" s="1333">
        <v>2.85</v>
      </c>
      <c r="AE21" s="1333">
        <v>2.85</v>
      </c>
      <c r="AF21" s="1333">
        <v>2.85</v>
      </c>
      <c r="AG21" s="1333">
        <v>2.85</v>
      </c>
      <c r="AH21" s="1333">
        <v>2.85</v>
      </c>
      <c r="AI21" s="1333">
        <v>2.85</v>
      </c>
      <c r="AJ21" s="1333">
        <v>2.85</v>
      </c>
      <c r="AK21" s="1333">
        <v>2.85</v>
      </c>
      <c r="AL21" s="1333">
        <v>2.85</v>
      </c>
      <c r="AM21" s="1333">
        <v>2.85</v>
      </c>
      <c r="AN21" s="1333">
        <v>0</v>
      </c>
      <c r="AO21" s="1333">
        <v>0</v>
      </c>
      <c r="AP21" s="1335">
        <v>0</v>
      </c>
      <c r="AQ21" s="325"/>
      <c r="AR21" s="308"/>
      <c r="AS21" s="1754"/>
      <c r="AT21" s="339" t="s">
        <v>532</v>
      </c>
      <c r="AU21" s="226"/>
      <c r="AV21" s="226"/>
    </row>
    <row r="22" spans="1:95" ht="14.25" customHeight="1" x14ac:dyDescent="0.25">
      <c r="A22" s="1753"/>
      <c r="B22" s="350">
        <v>2.5415336062777216</v>
      </c>
      <c r="C22" s="350">
        <f>C24*1000/C19</f>
        <v>1.6750706552262238</v>
      </c>
      <c r="F22" s="1790"/>
      <c r="G22" s="1791"/>
      <c r="H22" s="1686"/>
      <c r="I22" s="1386" t="s">
        <v>345</v>
      </c>
      <c r="J22" s="1314">
        <f t="shared" si="11"/>
        <v>1.6837085582112568</v>
      </c>
      <c r="K22" s="1380">
        <f t="shared" ref="K22" si="12">IFERROR((J22-J21)/J21,0)</f>
        <v>-0.40922506729429625</v>
      </c>
      <c r="L22" s="1315"/>
      <c r="M22" s="1314"/>
      <c r="N22" s="1314"/>
      <c r="O22" s="1314"/>
      <c r="P22" s="1314"/>
      <c r="Q22" s="1314"/>
      <c r="R22" s="1314"/>
      <c r="S22" s="1314"/>
      <c r="T22" s="1314"/>
      <c r="U22" s="1314"/>
      <c r="V22" s="1314"/>
      <c r="W22" s="1314"/>
      <c r="X22" s="1314">
        <v>0.38</v>
      </c>
      <c r="Y22" s="1314">
        <v>0.55000000000000004</v>
      </c>
      <c r="Z22" s="1314">
        <v>1.5</v>
      </c>
      <c r="AA22" s="1314">
        <v>1.5</v>
      </c>
      <c r="AB22" s="1314">
        <v>0.93</v>
      </c>
      <c r="AC22" s="1314">
        <v>2.92</v>
      </c>
      <c r="AD22" s="1314">
        <v>2.44</v>
      </c>
      <c r="AE22" s="1314">
        <v>2.27</v>
      </c>
      <c r="AF22" s="1314">
        <v>1.05</v>
      </c>
      <c r="AG22" s="1314">
        <v>1.43</v>
      </c>
      <c r="AH22" s="1314">
        <v>1.43</v>
      </c>
      <c r="AI22" s="1314">
        <v>6.91</v>
      </c>
      <c r="AJ22" s="1314">
        <v>1.87</v>
      </c>
      <c r="AK22" s="1314"/>
      <c r="AL22" s="1314"/>
      <c r="AM22" s="1314"/>
      <c r="AN22" s="1314"/>
      <c r="AO22" s="1314"/>
      <c r="AP22" s="1314"/>
      <c r="AQ22" s="326"/>
      <c r="AR22" s="308"/>
      <c r="AS22" s="1754"/>
      <c r="AT22" s="333"/>
      <c r="AU22" s="226"/>
      <c r="AV22" s="226"/>
    </row>
    <row r="23" spans="1:95" ht="14.25" customHeight="1" x14ac:dyDescent="0.25">
      <c r="A23" s="1753"/>
      <c r="B23" s="202">
        <v>0</v>
      </c>
      <c r="F23" s="1790"/>
      <c r="G23" s="1791"/>
      <c r="H23" s="1686" t="s">
        <v>47</v>
      </c>
      <c r="I23" s="1384" t="s">
        <v>346</v>
      </c>
      <c r="J23" s="206">
        <f>SUMIF($L$9:$AP$9,"&lt;="&amp;$G$7,L23:AP23)</f>
        <v>5.5860000000000039</v>
      </c>
      <c r="K23" s="1385"/>
      <c r="L23" s="1316">
        <f t="shared" ref="L23:AP24" si="13">+L21*L18/1000</f>
        <v>0.19950000000000001</v>
      </c>
      <c r="M23" s="1316">
        <f t="shared" si="13"/>
        <v>0.19950000000000001</v>
      </c>
      <c r="N23" s="1316">
        <f t="shared" si="13"/>
        <v>0.19950000000000001</v>
      </c>
      <c r="O23" s="1317">
        <f t="shared" si="13"/>
        <v>0.19950000000000001</v>
      </c>
      <c r="P23" s="1317">
        <f t="shared" si="13"/>
        <v>0.19950000000000001</v>
      </c>
      <c r="Q23" s="1317">
        <f t="shared" si="13"/>
        <v>0.19950000000000001</v>
      </c>
      <c r="R23" s="1317">
        <f t="shared" si="13"/>
        <v>0.19950000000000001</v>
      </c>
      <c r="S23" s="1317">
        <f t="shared" si="13"/>
        <v>0.19950000000000001</v>
      </c>
      <c r="T23" s="1318">
        <f t="shared" si="13"/>
        <v>0.19950000000000001</v>
      </c>
      <c r="U23" s="1317">
        <f t="shared" si="13"/>
        <v>0.19950000000000001</v>
      </c>
      <c r="V23" s="1317">
        <f t="shared" si="13"/>
        <v>0.19950000000000001</v>
      </c>
      <c r="W23" s="1317">
        <f t="shared" si="13"/>
        <v>0.19950000000000001</v>
      </c>
      <c r="X23" s="1317">
        <f t="shared" si="13"/>
        <v>0.19950000000000001</v>
      </c>
      <c r="Y23" s="1317">
        <f t="shared" si="13"/>
        <v>0.19950000000000001</v>
      </c>
      <c r="Z23" s="1317">
        <f t="shared" si="13"/>
        <v>0.19950000000000001</v>
      </c>
      <c r="AA23" s="1317">
        <f>+AA21*AA18/1000</f>
        <v>0.19950000000000001</v>
      </c>
      <c r="AB23" s="1317">
        <f t="shared" si="13"/>
        <v>0.19950000000000001</v>
      </c>
      <c r="AC23" s="1317">
        <f t="shared" si="13"/>
        <v>0.19950000000000001</v>
      </c>
      <c r="AD23" s="1317">
        <f t="shared" si="13"/>
        <v>0.19950000000000001</v>
      </c>
      <c r="AE23" s="1317">
        <f t="shared" si="13"/>
        <v>0.19950000000000001</v>
      </c>
      <c r="AF23" s="1317">
        <f t="shared" si="13"/>
        <v>0.19950000000000001</v>
      </c>
      <c r="AG23" s="1317">
        <f t="shared" si="13"/>
        <v>0.19950000000000001</v>
      </c>
      <c r="AH23" s="1317">
        <f t="shared" si="13"/>
        <v>0.19950000000000001</v>
      </c>
      <c r="AI23" s="1317">
        <f t="shared" si="13"/>
        <v>0.19950000000000001</v>
      </c>
      <c r="AJ23" s="1317">
        <f t="shared" si="13"/>
        <v>0.19950000000000001</v>
      </c>
      <c r="AK23" s="1317">
        <f t="shared" si="13"/>
        <v>0.19950000000000001</v>
      </c>
      <c r="AL23" s="1317">
        <f t="shared" si="13"/>
        <v>0.19950000000000001</v>
      </c>
      <c r="AM23" s="1317">
        <f t="shared" si="13"/>
        <v>0.19950000000000001</v>
      </c>
      <c r="AN23" s="1317">
        <f t="shared" si="13"/>
        <v>0</v>
      </c>
      <c r="AO23" s="1317">
        <f t="shared" si="13"/>
        <v>0</v>
      </c>
      <c r="AP23" s="1319">
        <f t="shared" si="13"/>
        <v>0</v>
      </c>
      <c r="AQ23" s="327"/>
      <c r="AR23" s="310"/>
      <c r="AS23" s="1754"/>
      <c r="AT23" s="332"/>
      <c r="AU23" s="226"/>
      <c r="AV23" s="226"/>
    </row>
    <row r="24" spans="1:95" ht="14.65" customHeight="1" thickBot="1" x14ac:dyDescent="0.3">
      <c r="A24" s="1753"/>
      <c r="B24" s="350">
        <v>14.898470000000003</v>
      </c>
      <c r="C24" s="350">
        <f>(J24/(J24+J38))*B24</f>
        <v>1.8847988223581695</v>
      </c>
      <c r="F24" s="1792"/>
      <c r="G24" s="1793"/>
      <c r="H24" s="1687"/>
      <c r="I24" s="1387" t="s">
        <v>347</v>
      </c>
      <c r="J24" s="1321">
        <f>SUMIF($L$9:$AP$9,"&lt;="&amp;$G$7,L24:AP24)</f>
        <v>2.18377</v>
      </c>
      <c r="K24" s="1388">
        <f t="shared" ref="K24" si="14">IFERROR((J24-J23)/J23,0)</f>
        <v>-0.60906373075546039</v>
      </c>
      <c r="L24" s="1323">
        <f t="shared" si="13"/>
        <v>0</v>
      </c>
      <c r="M24" s="1321">
        <f t="shared" si="13"/>
        <v>0</v>
      </c>
      <c r="N24" s="1321">
        <f t="shared" si="13"/>
        <v>0</v>
      </c>
      <c r="O24" s="1321">
        <f t="shared" si="13"/>
        <v>0</v>
      </c>
      <c r="P24" s="1321">
        <f t="shared" si="13"/>
        <v>0</v>
      </c>
      <c r="Q24" s="1321">
        <f t="shared" si="13"/>
        <v>0</v>
      </c>
      <c r="R24" s="1321">
        <f t="shared" si="13"/>
        <v>0</v>
      </c>
      <c r="S24" s="1321">
        <f t="shared" si="13"/>
        <v>0</v>
      </c>
      <c r="T24" s="1321">
        <f t="shared" si="13"/>
        <v>0</v>
      </c>
      <c r="U24" s="1321">
        <f t="shared" si="13"/>
        <v>0</v>
      </c>
      <c r="V24" s="1321">
        <f t="shared" si="13"/>
        <v>0</v>
      </c>
      <c r="W24" s="1321">
        <f t="shared" si="13"/>
        <v>0</v>
      </c>
      <c r="X24" s="1321">
        <f t="shared" si="13"/>
        <v>3.1539999999999999E-2</v>
      </c>
      <c r="Y24" s="1321">
        <f t="shared" si="13"/>
        <v>2.9700000000000004E-2</v>
      </c>
      <c r="Z24" s="1321">
        <f t="shared" si="13"/>
        <v>8.8499999999999995E-2</v>
      </c>
      <c r="AA24" s="1321">
        <f>+AA22*AA19/1000</f>
        <v>0.10349999999999999</v>
      </c>
      <c r="AB24" s="1321">
        <f t="shared" si="13"/>
        <v>8.3699999999999997E-2</v>
      </c>
      <c r="AC24" s="1321">
        <f t="shared" si="13"/>
        <v>0.26863999999999999</v>
      </c>
      <c r="AD24" s="1321">
        <f t="shared" si="13"/>
        <v>0.28059999999999996</v>
      </c>
      <c r="AE24" s="1321">
        <f>+AE22*AE19/1000</f>
        <v>0.19294999999999998</v>
      </c>
      <c r="AF24" s="1321">
        <f>+AF22*AF19/1000</f>
        <v>8.1900000000000001E-2</v>
      </c>
      <c r="AG24" s="1321">
        <f>+AG22*AG19/1000</f>
        <v>0.21163999999999999</v>
      </c>
      <c r="AH24" s="1321">
        <f t="shared" si="13"/>
        <v>0.11869</v>
      </c>
      <c r="AI24" s="1321">
        <f t="shared" si="13"/>
        <v>0.46988000000000002</v>
      </c>
      <c r="AJ24" s="1321">
        <f t="shared" si="13"/>
        <v>0.22253000000000001</v>
      </c>
      <c r="AK24" s="1321">
        <f t="shared" si="13"/>
        <v>0</v>
      </c>
      <c r="AL24" s="1321">
        <f t="shared" si="13"/>
        <v>0</v>
      </c>
      <c r="AM24" s="1321">
        <f t="shared" si="13"/>
        <v>0</v>
      </c>
      <c r="AN24" s="1321">
        <f t="shared" si="13"/>
        <v>0</v>
      </c>
      <c r="AO24" s="1321">
        <f t="shared" si="13"/>
        <v>0</v>
      </c>
      <c r="AP24" s="1321">
        <f t="shared" si="13"/>
        <v>0</v>
      </c>
      <c r="AQ24" s="328"/>
      <c r="AR24" s="311"/>
      <c r="AS24" s="1754"/>
      <c r="AU24" s="226"/>
      <c r="AV24" s="226"/>
    </row>
    <row r="25" spans="1:95" s="194" customFormat="1" ht="14.45" customHeight="1" thickBot="1" x14ac:dyDescent="0.3">
      <c r="A25" s="1753" t="s">
        <v>533</v>
      </c>
      <c r="B25" s="194">
        <v>0</v>
      </c>
      <c r="E25" s="202"/>
      <c r="F25" s="1608"/>
      <c r="G25" s="1692" t="s">
        <v>588</v>
      </c>
      <c r="H25" s="1696" t="s">
        <v>340</v>
      </c>
      <c r="I25" s="293" t="s">
        <v>341</v>
      </c>
      <c r="J25" s="196">
        <f>SUMIF($L$9:$AP$9,"&lt;="&amp;$G$7,L25:AP25)</f>
        <v>980</v>
      </c>
      <c r="K25" s="197"/>
      <c r="L25" s="198">
        <v>35</v>
      </c>
      <c r="M25" s="198">
        <v>35</v>
      </c>
      <c r="N25" s="198">
        <v>35</v>
      </c>
      <c r="O25" s="199">
        <v>35</v>
      </c>
      <c r="P25" s="199">
        <v>35</v>
      </c>
      <c r="Q25" s="199">
        <v>35</v>
      </c>
      <c r="R25" s="199">
        <v>35</v>
      </c>
      <c r="S25" s="199">
        <v>35</v>
      </c>
      <c r="T25" s="200">
        <v>35</v>
      </c>
      <c r="U25" s="199">
        <v>35</v>
      </c>
      <c r="V25" s="199">
        <v>35</v>
      </c>
      <c r="W25" s="199">
        <v>35</v>
      </c>
      <c r="X25" s="199">
        <v>35</v>
      </c>
      <c r="Y25" s="199">
        <v>35</v>
      </c>
      <c r="Z25" s="199">
        <v>35</v>
      </c>
      <c r="AA25" s="199">
        <v>35</v>
      </c>
      <c r="AB25" s="199">
        <v>35</v>
      </c>
      <c r="AC25" s="199">
        <v>35</v>
      </c>
      <c r="AD25" s="199">
        <v>35</v>
      </c>
      <c r="AE25" s="199">
        <v>35</v>
      </c>
      <c r="AF25" s="199">
        <v>35</v>
      </c>
      <c r="AG25" s="199">
        <v>35</v>
      </c>
      <c r="AH25" s="199">
        <v>35</v>
      </c>
      <c r="AI25" s="199">
        <v>35</v>
      </c>
      <c r="AJ25" s="199">
        <v>35</v>
      </c>
      <c r="AK25" s="199">
        <v>35</v>
      </c>
      <c r="AL25" s="199">
        <v>35</v>
      </c>
      <c r="AM25" s="199">
        <v>35</v>
      </c>
      <c r="AN25" s="199">
        <v>0</v>
      </c>
      <c r="AO25" s="199">
        <v>0</v>
      </c>
      <c r="AP25" s="201">
        <v>0</v>
      </c>
      <c r="AQ25" s="322"/>
      <c r="AR25" s="307"/>
      <c r="AS25" s="1754" t="s">
        <v>534</v>
      </c>
      <c r="AT25" s="332"/>
      <c r="AU25" s="226">
        <f>L25</f>
        <v>35</v>
      </c>
      <c r="AV25" s="298">
        <f>AU25+M25</f>
        <v>70</v>
      </c>
      <c r="AW25" s="298">
        <f>AV25+N25</f>
        <v>105</v>
      </c>
      <c r="AX25" s="298">
        <f t="shared" ref="AX25:BM26" si="15">AW25+O25</f>
        <v>140</v>
      </c>
      <c r="AY25" s="298">
        <f t="shared" si="15"/>
        <v>175</v>
      </c>
      <c r="AZ25" s="298">
        <f t="shared" si="15"/>
        <v>210</v>
      </c>
      <c r="BA25" s="298">
        <f t="shared" si="15"/>
        <v>245</v>
      </c>
      <c r="BB25" s="298">
        <f t="shared" si="15"/>
        <v>280</v>
      </c>
      <c r="BC25" s="298">
        <f t="shared" si="15"/>
        <v>315</v>
      </c>
      <c r="BD25" s="298">
        <f t="shared" si="15"/>
        <v>350</v>
      </c>
      <c r="BE25" s="298">
        <f t="shared" si="15"/>
        <v>385</v>
      </c>
      <c r="BF25" s="298">
        <f t="shared" si="15"/>
        <v>420</v>
      </c>
      <c r="BG25" s="298">
        <f t="shared" si="15"/>
        <v>455</v>
      </c>
      <c r="BH25" s="298">
        <f t="shared" si="15"/>
        <v>490</v>
      </c>
      <c r="BI25" s="298">
        <f t="shared" si="15"/>
        <v>525</v>
      </c>
      <c r="BJ25" s="298">
        <f t="shared" si="15"/>
        <v>560</v>
      </c>
      <c r="BK25" s="298">
        <f t="shared" si="15"/>
        <v>595</v>
      </c>
      <c r="BL25" s="298">
        <f t="shared" si="15"/>
        <v>630</v>
      </c>
      <c r="BM25" s="298">
        <f t="shared" si="15"/>
        <v>665</v>
      </c>
      <c r="BN25" s="298">
        <f t="shared" ref="BN25:BV26" si="16">BM25+AE25</f>
        <v>700</v>
      </c>
      <c r="BO25" s="298">
        <f t="shared" si="16"/>
        <v>735</v>
      </c>
      <c r="BP25" s="298">
        <f t="shared" si="16"/>
        <v>770</v>
      </c>
      <c r="BQ25" s="298">
        <f t="shared" si="16"/>
        <v>805</v>
      </c>
      <c r="BR25" s="298">
        <f t="shared" si="16"/>
        <v>840</v>
      </c>
      <c r="BS25" s="298">
        <f t="shared" si="16"/>
        <v>875</v>
      </c>
      <c r="BT25" s="298">
        <f t="shared" si="16"/>
        <v>910</v>
      </c>
      <c r="BU25" s="298">
        <f t="shared" si="16"/>
        <v>945</v>
      </c>
      <c r="BV25" s="298">
        <f t="shared" si="16"/>
        <v>980</v>
      </c>
    </row>
    <row r="26" spans="1:95" ht="14.25" thickBot="1" x14ac:dyDescent="0.3">
      <c r="A26" s="1753"/>
      <c r="B26" s="202">
        <v>0</v>
      </c>
      <c r="C26" s="349" t="e">
        <f>J26/B26</f>
        <v>#DIV/0!</v>
      </c>
      <c r="D26" s="349"/>
      <c r="F26" s="1608"/>
      <c r="G26" s="1693"/>
      <c r="H26" s="1697"/>
      <c r="I26" s="1379" t="s">
        <v>342</v>
      </c>
      <c r="J26" s="1303">
        <f>SUMIF($L$9:$AP$9,"&lt;="&amp;$G$7,L26:AP26)</f>
        <v>0</v>
      </c>
      <c r="K26" s="1380">
        <f>IFERROR((J26-J25)/J25,0)</f>
        <v>-1</v>
      </c>
      <c r="L26" s="1305"/>
      <c r="M26" s="1303"/>
      <c r="N26" s="1303"/>
      <c r="O26" s="1303"/>
      <c r="P26" s="1303"/>
      <c r="Q26" s="1303"/>
      <c r="R26" s="1303"/>
      <c r="S26" s="1303"/>
      <c r="T26" s="1303"/>
      <c r="U26" s="1303"/>
      <c r="V26" s="1303"/>
      <c r="W26" s="1303"/>
      <c r="X26" s="1303"/>
      <c r="Y26" s="1303"/>
      <c r="Z26" s="1303"/>
      <c r="AA26" s="1303"/>
      <c r="AB26" s="1303"/>
      <c r="AC26" s="1303"/>
      <c r="AD26" s="1303"/>
      <c r="AE26" s="1303"/>
      <c r="AF26" s="1303"/>
      <c r="AG26" s="1303"/>
      <c r="AH26" s="1303"/>
      <c r="AI26" s="1303"/>
      <c r="AJ26" s="1303"/>
      <c r="AK26" s="1303"/>
      <c r="AL26" s="1303"/>
      <c r="AM26" s="1303"/>
      <c r="AN26" s="1303"/>
      <c r="AO26" s="1303"/>
      <c r="AP26" s="1303"/>
      <c r="AQ26" s="323"/>
      <c r="AR26" s="308"/>
      <c r="AS26" s="1754"/>
      <c r="AU26" s="226">
        <f>L26</f>
        <v>0</v>
      </c>
      <c r="AV26" s="298">
        <f>AU26+M26</f>
        <v>0</v>
      </c>
      <c r="AW26" s="298">
        <f>AV26+N26</f>
        <v>0</v>
      </c>
      <c r="AX26" s="298">
        <f t="shared" si="15"/>
        <v>0</v>
      </c>
      <c r="AY26" s="298">
        <f t="shared" si="15"/>
        <v>0</v>
      </c>
      <c r="AZ26" s="298">
        <f t="shared" si="15"/>
        <v>0</v>
      </c>
      <c r="BA26" s="298">
        <f t="shared" si="15"/>
        <v>0</v>
      </c>
      <c r="BB26" s="298">
        <f t="shared" si="15"/>
        <v>0</v>
      </c>
      <c r="BC26" s="298">
        <f t="shared" si="15"/>
        <v>0</v>
      </c>
      <c r="BD26" s="298">
        <f t="shared" si="15"/>
        <v>0</v>
      </c>
      <c r="BE26" s="298">
        <f t="shared" si="15"/>
        <v>0</v>
      </c>
      <c r="BF26" s="298">
        <f t="shared" si="15"/>
        <v>0</v>
      </c>
      <c r="BG26" s="298">
        <f t="shared" si="15"/>
        <v>0</v>
      </c>
      <c r="BH26" s="298">
        <f t="shared" si="15"/>
        <v>0</v>
      </c>
      <c r="BI26" s="298">
        <f t="shared" si="15"/>
        <v>0</v>
      </c>
      <c r="BJ26" s="298">
        <f t="shared" si="15"/>
        <v>0</v>
      </c>
      <c r="BK26" s="298">
        <f t="shared" si="15"/>
        <v>0</v>
      </c>
      <c r="BL26" s="298">
        <f t="shared" si="15"/>
        <v>0</v>
      </c>
      <c r="BM26" s="298">
        <f t="shared" si="15"/>
        <v>0</v>
      </c>
      <c r="BN26" s="298">
        <f t="shared" si="16"/>
        <v>0</v>
      </c>
      <c r="BO26" s="298">
        <f t="shared" si="16"/>
        <v>0</v>
      </c>
      <c r="BP26" s="298">
        <f t="shared" si="16"/>
        <v>0</v>
      </c>
      <c r="BQ26" s="298">
        <f t="shared" si="16"/>
        <v>0</v>
      </c>
      <c r="BR26" s="298">
        <f t="shared" si="16"/>
        <v>0</v>
      </c>
      <c r="BS26" s="298">
        <f t="shared" si="16"/>
        <v>0</v>
      </c>
      <c r="BT26" s="298">
        <f t="shared" si="16"/>
        <v>0</v>
      </c>
    </row>
    <row r="27" spans="1:95" ht="14.25" thickBot="1" x14ac:dyDescent="0.3">
      <c r="A27" s="1753"/>
      <c r="E27" s="294"/>
      <c r="F27" s="1608"/>
      <c r="G27" s="1693"/>
      <c r="H27" s="1697"/>
      <c r="I27" s="1381" t="s">
        <v>312</v>
      </c>
      <c r="J27" s="1382"/>
      <c r="K27" s="1383"/>
      <c r="L27" s="203"/>
      <c r="M27" s="203"/>
      <c r="N27" s="203"/>
      <c r="O27" s="203"/>
      <c r="P27" s="203"/>
      <c r="Q27" s="203"/>
      <c r="R27" s="203"/>
      <c r="S27" s="203"/>
      <c r="T27" s="204"/>
      <c r="U27" s="203"/>
      <c r="V27" s="203"/>
      <c r="W27" s="203"/>
      <c r="X27" s="203"/>
      <c r="Y27" s="203"/>
      <c r="Z27" s="203"/>
      <c r="AA27" s="203"/>
      <c r="AB27" s="203"/>
      <c r="AC27" s="203"/>
      <c r="AD27" s="203" t="s">
        <v>589</v>
      </c>
      <c r="AE27" s="203"/>
      <c r="AF27" s="203"/>
      <c r="AG27" s="203"/>
      <c r="AH27" s="203" t="s">
        <v>590</v>
      </c>
      <c r="AI27" s="203"/>
      <c r="AJ27" s="203"/>
      <c r="AK27" s="203"/>
      <c r="AL27" s="203"/>
      <c r="AM27" s="203"/>
      <c r="AN27" s="203"/>
      <c r="AO27" s="203"/>
      <c r="AP27" s="205"/>
      <c r="AQ27" s="324"/>
      <c r="AR27" s="309"/>
      <c r="AS27" s="1754"/>
      <c r="AT27" s="339" t="s">
        <v>536</v>
      </c>
      <c r="AU27" s="227"/>
      <c r="AV27" s="227"/>
      <c r="BL27" s="299"/>
      <c r="BM27" s="299"/>
      <c r="BN27" s="299"/>
      <c r="BO27" s="299"/>
      <c r="BP27" s="299"/>
      <c r="BQ27" s="299"/>
      <c r="BR27" s="299"/>
      <c r="BS27" s="299"/>
      <c r="BT27" s="299"/>
      <c r="BU27" s="299">
        <f>BT26+AL25</f>
        <v>35</v>
      </c>
      <c r="BV27" s="299">
        <f t="shared" ref="BV27" si="17">BU27+AM25</f>
        <v>70</v>
      </c>
    </row>
    <row r="28" spans="1:95" ht="14.25" thickBot="1" x14ac:dyDescent="0.3">
      <c r="A28" s="1753"/>
      <c r="B28" s="202">
        <v>0</v>
      </c>
      <c r="F28" s="1608"/>
      <c r="G28" s="1693"/>
      <c r="H28" s="1686" t="s">
        <v>343</v>
      </c>
      <c r="I28" s="1384" t="s">
        <v>344</v>
      </c>
      <c r="J28" s="1310">
        <f>IFERROR(J30*1000/J25,0)</f>
        <v>1.8100000000000003</v>
      </c>
      <c r="K28" s="1385"/>
      <c r="L28" s="1312">
        <v>1.81</v>
      </c>
      <c r="M28" s="1312">
        <v>1.81</v>
      </c>
      <c r="N28" s="1312">
        <v>1.81</v>
      </c>
      <c r="O28" s="1333">
        <v>1.81</v>
      </c>
      <c r="P28" s="1333">
        <v>1.81</v>
      </c>
      <c r="Q28" s="1333">
        <v>1.81</v>
      </c>
      <c r="R28" s="1333">
        <v>1.81</v>
      </c>
      <c r="S28" s="1333">
        <v>1.81</v>
      </c>
      <c r="T28" s="1334">
        <v>1.81</v>
      </c>
      <c r="U28" s="1333">
        <v>1.81</v>
      </c>
      <c r="V28" s="1333">
        <v>1.81</v>
      </c>
      <c r="W28" s="1333">
        <v>1.81</v>
      </c>
      <c r="X28" s="1333">
        <v>1.81</v>
      </c>
      <c r="Y28" s="1333">
        <v>1.81</v>
      </c>
      <c r="Z28" s="1333">
        <v>1.81</v>
      </c>
      <c r="AA28" s="1333">
        <v>1.81</v>
      </c>
      <c r="AB28" s="1333">
        <v>1.81</v>
      </c>
      <c r="AC28" s="1333">
        <v>1.81</v>
      </c>
      <c r="AD28" s="1333">
        <v>1.81</v>
      </c>
      <c r="AE28" s="1333">
        <v>1.81</v>
      </c>
      <c r="AF28" s="1333">
        <v>1.81</v>
      </c>
      <c r="AG28" s="1333">
        <v>1.81</v>
      </c>
      <c r="AH28" s="1333">
        <v>1.81</v>
      </c>
      <c r="AI28" s="1333">
        <v>1.81</v>
      </c>
      <c r="AJ28" s="1333">
        <v>1.81</v>
      </c>
      <c r="AK28" s="1333">
        <v>1.81</v>
      </c>
      <c r="AL28" s="1333">
        <v>1.81</v>
      </c>
      <c r="AM28" s="1333">
        <v>1.81</v>
      </c>
      <c r="AN28" s="1333">
        <v>0</v>
      </c>
      <c r="AO28" s="1333">
        <v>0</v>
      </c>
      <c r="AP28" s="1335">
        <v>0</v>
      </c>
      <c r="AQ28" s="325"/>
      <c r="AR28" s="308"/>
      <c r="AS28" s="1754"/>
      <c r="AU28" s="226"/>
      <c r="AV28" s="226"/>
    </row>
    <row r="29" spans="1:95" ht="14.25" thickBot="1" x14ac:dyDescent="0.3">
      <c r="A29" s="1753"/>
      <c r="B29" s="202">
        <v>0</v>
      </c>
      <c r="F29" s="1608"/>
      <c r="G29" s="1693"/>
      <c r="H29" s="1686"/>
      <c r="I29" s="1386" t="s">
        <v>345</v>
      </c>
      <c r="J29" s="1314">
        <f>IFERROR(J31*1000/J26,0)</f>
        <v>0</v>
      </c>
      <c r="K29" s="1380">
        <f>IFERROR((J29-J28)/J28,0)</f>
        <v>-1</v>
      </c>
      <c r="L29" s="1315"/>
      <c r="M29" s="1314"/>
      <c r="N29" s="1314"/>
      <c r="O29" s="1314"/>
      <c r="P29" s="1314"/>
      <c r="Q29" s="1314"/>
      <c r="R29" s="1314"/>
      <c r="S29" s="1314"/>
      <c r="T29" s="1314"/>
      <c r="U29" s="1314"/>
      <c r="V29" s="1314"/>
      <c r="W29" s="1314"/>
      <c r="X29" s="1314"/>
      <c r="Y29" s="1314"/>
      <c r="Z29" s="1314"/>
      <c r="AA29" s="1314"/>
      <c r="AB29" s="1314"/>
      <c r="AC29" s="1314"/>
      <c r="AD29" s="1314"/>
      <c r="AE29" s="1314"/>
      <c r="AF29" s="1314"/>
      <c r="AG29" s="1314"/>
      <c r="AH29" s="1314"/>
      <c r="AI29" s="1314"/>
      <c r="AJ29" s="1314"/>
      <c r="AK29" s="1314"/>
      <c r="AL29" s="1314"/>
      <c r="AM29" s="1314"/>
      <c r="AN29" s="1314"/>
      <c r="AO29" s="1314"/>
      <c r="AP29" s="1314"/>
      <c r="AQ29" s="326"/>
      <c r="AR29" s="308"/>
      <c r="AS29" s="1754"/>
      <c r="AU29" s="226"/>
      <c r="AV29" s="226"/>
    </row>
    <row r="30" spans="1:95" ht="14.25" thickBot="1" x14ac:dyDescent="0.3">
      <c r="A30" s="1753"/>
      <c r="B30" s="202">
        <v>0</v>
      </c>
      <c r="F30" s="1608"/>
      <c r="G30" s="1693"/>
      <c r="H30" s="1686" t="s">
        <v>47</v>
      </c>
      <c r="I30" s="1384" t="s">
        <v>346</v>
      </c>
      <c r="J30" s="206">
        <f>SUMIF($L$9:$AP$9,"&lt;="&amp;$G$7,L30:AP30)</f>
        <v>1.7738000000000003</v>
      </c>
      <c r="K30" s="1385"/>
      <c r="L30" s="1316">
        <f t="shared" ref="L30:AP31" si="18">+L28*L25/1000</f>
        <v>6.3350000000000004E-2</v>
      </c>
      <c r="M30" s="1316">
        <f t="shared" si="18"/>
        <v>6.3350000000000004E-2</v>
      </c>
      <c r="N30" s="1316">
        <f t="shared" si="18"/>
        <v>6.3350000000000004E-2</v>
      </c>
      <c r="O30" s="1317">
        <f t="shared" si="18"/>
        <v>6.3350000000000004E-2</v>
      </c>
      <c r="P30" s="1317">
        <f t="shared" si="18"/>
        <v>6.3350000000000004E-2</v>
      </c>
      <c r="Q30" s="1317">
        <f t="shared" si="18"/>
        <v>6.3350000000000004E-2</v>
      </c>
      <c r="R30" s="1317">
        <f t="shared" si="18"/>
        <v>6.3350000000000004E-2</v>
      </c>
      <c r="S30" s="1317">
        <f t="shared" si="18"/>
        <v>6.3350000000000004E-2</v>
      </c>
      <c r="T30" s="1318">
        <f t="shared" si="18"/>
        <v>6.3350000000000004E-2</v>
      </c>
      <c r="U30" s="1317">
        <f t="shared" si="18"/>
        <v>6.3350000000000004E-2</v>
      </c>
      <c r="V30" s="1317">
        <f t="shared" si="18"/>
        <v>6.3350000000000004E-2</v>
      </c>
      <c r="W30" s="1317">
        <f t="shared" si="18"/>
        <v>6.3350000000000004E-2</v>
      </c>
      <c r="X30" s="1317">
        <f t="shared" si="18"/>
        <v>6.3350000000000004E-2</v>
      </c>
      <c r="Y30" s="1317">
        <f t="shared" si="18"/>
        <v>6.3350000000000004E-2</v>
      </c>
      <c r="Z30" s="1317">
        <f t="shared" si="18"/>
        <v>6.3350000000000004E-2</v>
      </c>
      <c r="AA30" s="1317">
        <f>+AA28*AA25/1000</f>
        <v>6.3350000000000004E-2</v>
      </c>
      <c r="AB30" s="1317">
        <f t="shared" si="18"/>
        <v>6.3350000000000004E-2</v>
      </c>
      <c r="AC30" s="1317">
        <f t="shared" si="18"/>
        <v>6.3350000000000004E-2</v>
      </c>
      <c r="AD30" s="1317">
        <f t="shared" si="18"/>
        <v>6.3350000000000004E-2</v>
      </c>
      <c r="AE30" s="1317">
        <f t="shared" si="18"/>
        <v>6.3350000000000004E-2</v>
      </c>
      <c r="AF30" s="1317">
        <f t="shared" si="18"/>
        <v>6.3350000000000004E-2</v>
      </c>
      <c r="AG30" s="1317">
        <f t="shared" si="18"/>
        <v>6.3350000000000004E-2</v>
      </c>
      <c r="AH30" s="1317">
        <f t="shared" si="18"/>
        <v>6.3350000000000004E-2</v>
      </c>
      <c r="AI30" s="1317">
        <f t="shared" si="18"/>
        <v>6.3350000000000004E-2</v>
      </c>
      <c r="AJ30" s="1317">
        <f t="shared" si="18"/>
        <v>6.3350000000000004E-2</v>
      </c>
      <c r="AK30" s="1317">
        <f t="shared" si="18"/>
        <v>6.3350000000000004E-2</v>
      </c>
      <c r="AL30" s="1317">
        <f t="shared" si="18"/>
        <v>6.3350000000000004E-2</v>
      </c>
      <c r="AM30" s="1317">
        <f t="shared" si="18"/>
        <v>6.3350000000000004E-2</v>
      </c>
      <c r="AN30" s="1317">
        <f t="shared" si="18"/>
        <v>0</v>
      </c>
      <c r="AO30" s="1317">
        <f t="shared" si="18"/>
        <v>0</v>
      </c>
      <c r="AP30" s="1319">
        <f t="shared" si="18"/>
        <v>0</v>
      </c>
      <c r="AQ30" s="327"/>
      <c r="AR30" s="310"/>
      <c r="AS30" s="1754"/>
      <c r="AT30" s="332"/>
      <c r="AU30" s="226"/>
      <c r="AV30" s="226"/>
    </row>
    <row r="31" spans="1:95" ht="14.25" thickBot="1" x14ac:dyDescent="0.3">
      <c r="A31" s="1753"/>
      <c r="B31" s="202">
        <v>0</v>
      </c>
      <c r="F31" s="1609"/>
      <c r="G31" s="1694"/>
      <c r="H31" s="1687"/>
      <c r="I31" s="1387" t="s">
        <v>347</v>
      </c>
      <c r="J31" s="1321">
        <f>SUMIF($L$9:$AP$9,"&lt;="&amp;$G$7,L31:AP31)</f>
        <v>0</v>
      </c>
      <c r="K31" s="1388">
        <f>IFERROR((J31-J30)/J30,0)</f>
        <v>-1</v>
      </c>
      <c r="L31" s="1323">
        <f t="shared" si="18"/>
        <v>0</v>
      </c>
      <c r="M31" s="1321">
        <f t="shared" si="18"/>
        <v>0</v>
      </c>
      <c r="N31" s="1321">
        <f t="shared" si="18"/>
        <v>0</v>
      </c>
      <c r="O31" s="1321">
        <f t="shared" si="18"/>
        <v>0</v>
      </c>
      <c r="P31" s="1321">
        <f t="shared" si="18"/>
        <v>0</v>
      </c>
      <c r="Q31" s="1321">
        <f t="shared" si="18"/>
        <v>0</v>
      </c>
      <c r="R31" s="1321">
        <f t="shared" si="18"/>
        <v>0</v>
      </c>
      <c r="S31" s="1321">
        <f t="shared" si="18"/>
        <v>0</v>
      </c>
      <c r="T31" s="1321">
        <f t="shared" si="18"/>
        <v>0</v>
      </c>
      <c r="U31" s="1321">
        <f t="shared" si="18"/>
        <v>0</v>
      </c>
      <c r="V31" s="1321">
        <f t="shared" si="18"/>
        <v>0</v>
      </c>
      <c r="W31" s="1321">
        <f t="shared" si="18"/>
        <v>0</v>
      </c>
      <c r="X31" s="1321">
        <f t="shared" si="18"/>
        <v>0</v>
      </c>
      <c r="Y31" s="1321">
        <f t="shared" si="18"/>
        <v>0</v>
      </c>
      <c r="Z31" s="1321">
        <f t="shared" si="18"/>
        <v>0</v>
      </c>
      <c r="AA31" s="1321">
        <f>+AA29*AA26/1000</f>
        <v>0</v>
      </c>
      <c r="AB31" s="1321">
        <f t="shared" si="18"/>
        <v>0</v>
      </c>
      <c r="AC31" s="1321">
        <f t="shared" si="18"/>
        <v>0</v>
      </c>
      <c r="AD31" s="1321">
        <f t="shared" si="18"/>
        <v>0</v>
      </c>
      <c r="AE31" s="1321">
        <f t="shared" si="18"/>
        <v>0</v>
      </c>
      <c r="AF31" s="1321">
        <f t="shared" si="18"/>
        <v>0</v>
      </c>
      <c r="AG31" s="1321">
        <f t="shared" si="18"/>
        <v>0</v>
      </c>
      <c r="AH31" s="1321">
        <f t="shared" si="18"/>
        <v>0</v>
      </c>
      <c r="AI31" s="1321">
        <f t="shared" si="18"/>
        <v>0</v>
      </c>
      <c r="AJ31" s="1321">
        <f t="shared" si="18"/>
        <v>0</v>
      </c>
      <c r="AK31" s="1321">
        <f t="shared" si="18"/>
        <v>0</v>
      </c>
      <c r="AL31" s="1321">
        <f t="shared" si="18"/>
        <v>0</v>
      </c>
      <c r="AM31" s="1321">
        <f t="shared" si="18"/>
        <v>0</v>
      </c>
      <c r="AN31" s="1321">
        <f t="shared" si="18"/>
        <v>0</v>
      </c>
      <c r="AO31" s="1321">
        <f t="shared" si="18"/>
        <v>0</v>
      </c>
      <c r="AP31" s="1321">
        <f t="shared" si="18"/>
        <v>0</v>
      </c>
      <c r="AQ31" s="328"/>
      <c r="AR31" s="311"/>
      <c r="AS31" s="1754"/>
      <c r="AU31" s="226"/>
      <c r="AV31" s="226"/>
    </row>
    <row r="32" spans="1:95" s="194" customFormat="1" ht="14.45" customHeight="1" thickBot="1" x14ac:dyDescent="0.3">
      <c r="A32" s="1753" t="s">
        <v>526</v>
      </c>
      <c r="B32" s="194">
        <v>0</v>
      </c>
      <c r="E32" s="202"/>
      <c r="F32" s="1608"/>
      <c r="G32" s="1692" t="s">
        <v>470</v>
      </c>
      <c r="H32" s="1696" t="s">
        <v>340</v>
      </c>
      <c r="I32" s="293" t="s">
        <v>341</v>
      </c>
      <c r="J32" s="196">
        <f>SUMIF($L$9:$AP$9,"&lt;="&amp;$G$7,L32:AP32)</f>
        <v>2940</v>
      </c>
      <c r="K32" s="197"/>
      <c r="L32" s="198">
        <v>105</v>
      </c>
      <c r="M32" s="198">
        <v>105</v>
      </c>
      <c r="N32" s="198">
        <v>105</v>
      </c>
      <c r="O32" s="199">
        <v>105</v>
      </c>
      <c r="P32" s="199">
        <v>105</v>
      </c>
      <c r="Q32" s="199">
        <v>105</v>
      </c>
      <c r="R32" s="199">
        <v>105</v>
      </c>
      <c r="S32" s="199">
        <v>105</v>
      </c>
      <c r="T32" s="200">
        <v>105</v>
      </c>
      <c r="U32" s="199">
        <v>105</v>
      </c>
      <c r="V32" s="199">
        <v>105</v>
      </c>
      <c r="W32" s="199">
        <v>105</v>
      </c>
      <c r="X32" s="199">
        <v>105</v>
      </c>
      <c r="Y32" s="199">
        <v>105</v>
      </c>
      <c r="Z32" s="199">
        <v>105</v>
      </c>
      <c r="AA32" s="199">
        <v>105</v>
      </c>
      <c r="AB32" s="199">
        <v>105</v>
      </c>
      <c r="AC32" s="199">
        <v>105</v>
      </c>
      <c r="AD32" s="199">
        <v>105</v>
      </c>
      <c r="AE32" s="199">
        <v>105</v>
      </c>
      <c r="AF32" s="199">
        <v>105</v>
      </c>
      <c r="AG32" s="199">
        <v>105</v>
      </c>
      <c r="AH32" s="199">
        <v>105</v>
      </c>
      <c r="AI32" s="199">
        <v>105</v>
      </c>
      <c r="AJ32" s="199">
        <v>105</v>
      </c>
      <c r="AK32" s="199">
        <v>105</v>
      </c>
      <c r="AL32" s="199">
        <v>105</v>
      </c>
      <c r="AM32" s="199">
        <v>105</v>
      </c>
      <c r="AN32" s="199">
        <v>0</v>
      </c>
      <c r="AO32" s="199">
        <v>0</v>
      </c>
      <c r="AP32" s="201">
        <v>0</v>
      </c>
      <c r="AQ32" s="322"/>
      <c r="AR32" s="307"/>
      <c r="AS32" s="1754" t="s">
        <v>537</v>
      </c>
      <c r="AT32" s="332"/>
      <c r="AU32" s="226">
        <f>L32</f>
        <v>105</v>
      </c>
      <c r="AV32" s="298">
        <f>AU32+M32</f>
        <v>210</v>
      </c>
      <c r="AW32" s="298">
        <f>AV32+N32</f>
        <v>315</v>
      </c>
      <c r="AX32" s="298">
        <f t="shared" ref="AX32:BM33" si="19">AW32+O32</f>
        <v>420</v>
      </c>
      <c r="AY32" s="298">
        <f t="shared" si="19"/>
        <v>525</v>
      </c>
      <c r="AZ32" s="298">
        <f t="shared" si="19"/>
        <v>630</v>
      </c>
      <c r="BA32" s="298">
        <f t="shared" si="19"/>
        <v>735</v>
      </c>
      <c r="BB32" s="298">
        <f t="shared" si="19"/>
        <v>840</v>
      </c>
      <c r="BC32" s="298">
        <f t="shared" si="19"/>
        <v>945</v>
      </c>
      <c r="BD32" s="298">
        <f t="shared" si="19"/>
        <v>1050</v>
      </c>
      <c r="BE32" s="298">
        <f t="shared" si="19"/>
        <v>1155</v>
      </c>
      <c r="BF32" s="298">
        <f t="shared" si="19"/>
        <v>1260</v>
      </c>
      <c r="BG32" s="298">
        <f t="shared" si="19"/>
        <v>1365</v>
      </c>
      <c r="BH32" s="298">
        <f t="shared" si="19"/>
        <v>1470</v>
      </c>
      <c r="BI32" s="298">
        <f t="shared" si="19"/>
        <v>1575</v>
      </c>
      <c r="BJ32" s="298">
        <f t="shared" si="19"/>
        <v>1680</v>
      </c>
      <c r="BK32" s="298">
        <f t="shared" si="19"/>
        <v>1785</v>
      </c>
      <c r="BL32" s="298">
        <f t="shared" si="19"/>
        <v>1890</v>
      </c>
      <c r="BM32" s="298">
        <f t="shared" si="19"/>
        <v>1995</v>
      </c>
      <c r="BN32" s="298">
        <f t="shared" ref="BN32:BV33" si="20">BM32+AE32</f>
        <v>2100</v>
      </c>
      <c r="BO32" s="298">
        <f t="shared" si="20"/>
        <v>2205</v>
      </c>
      <c r="BP32" s="298">
        <f t="shared" si="20"/>
        <v>2310</v>
      </c>
      <c r="BQ32" s="298">
        <f t="shared" si="20"/>
        <v>2415</v>
      </c>
      <c r="BR32" s="298">
        <f t="shared" si="20"/>
        <v>2520</v>
      </c>
      <c r="BS32" s="298">
        <f t="shared" si="20"/>
        <v>2625</v>
      </c>
      <c r="BT32" s="298">
        <f t="shared" si="20"/>
        <v>2730</v>
      </c>
      <c r="BU32" s="298">
        <f t="shared" si="20"/>
        <v>2835</v>
      </c>
      <c r="BV32" s="298">
        <f t="shared" si="20"/>
        <v>2940</v>
      </c>
    </row>
    <row r="33" spans="1:74" ht="14.25" thickBot="1" x14ac:dyDescent="0.3">
      <c r="A33" s="1753"/>
      <c r="B33" s="202">
        <v>5862</v>
      </c>
      <c r="C33" s="352">
        <f>(J33/(J19+J33))*B33</f>
        <v>4736.7944354003257</v>
      </c>
      <c r="D33" s="349">
        <f>(C33-J33)/C33</f>
        <v>-0.15267826680313884</v>
      </c>
      <c r="F33" s="1608"/>
      <c r="G33" s="1693"/>
      <c r="H33" s="1696"/>
      <c r="I33" s="1379" t="s">
        <v>342</v>
      </c>
      <c r="J33" s="1303">
        <f>SUMIF($L$9:$AP$9,"&lt;="&amp;$G$7,L33:AP33)</f>
        <v>5460</v>
      </c>
      <c r="K33" s="1380">
        <f t="shared" ref="K33" si="21">IFERROR((J33-J32)/J32,0)</f>
        <v>0.8571428571428571</v>
      </c>
      <c r="L33" s="1305">
        <f>45+45+45+45+45</f>
        <v>225</v>
      </c>
      <c r="M33" s="1303">
        <f>45+45+47+47+47</f>
        <v>231</v>
      </c>
      <c r="N33" s="1303">
        <f>47+47+47+47+47</f>
        <v>235</v>
      </c>
      <c r="O33" s="1303">
        <f>49+49+49+47+47</f>
        <v>241</v>
      </c>
      <c r="P33" s="1303">
        <f>49+49+49+47+47+47</f>
        <v>288</v>
      </c>
      <c r="Q33" s="1303">
        <f>47+47+47+49+49+49</f>
        <v>288</v>
      </c>
      <c r="R33" s="1303">
        <f>44+44+30+49+44+44</f>
        <v>255</v>
      </c>
      <c r="S33" s="1303">
        <f>46+49+36+44+49+45</f>
        <v>269</v>
      </c>
      <c r="T33" s="1303">
        <f>49+44+7+46+30</f>
        <v>176</v>
      </c>
      <c r="U33" s="1303">
        <f>30+32+29+30+34</f>
        <v>155</v>
      </c>
      <c r="V33" s="1303">
        <f>38+40+15</f>
        <v>93</v>
      </c>
      <c r="W33" s="1303">
        <f>30+32+29+30+34</f>
        <v>155</v>
      </c>
      <c r="X33" s="1303">
        <v>207</v>
      </c>
      <c r="Y33" s="1303">
        <v>242</v>
      </c>
      <c r="Z33" s="1303">
        <v>230</v>
      </c>
      <c r="AA33" s="1303">
        <v>242</v>
      </c>
      <c r="AB33" s="1303">
        <v>206</v>
      </c>
      <c r="AC33" s="1303">
        <v>244</v>
      </c>
      <c r="AD33" s="1303">
        <v>169</v>
      </c>
      <c r="AE33" s="1303">
        <v>230</v>
      </c>
      <c r="AF33" s="1303">
        <v>242</v>
      </c>
      <c r="AG33" s="1303">
        <f>37+37+30+31</f>
        <v>135</v>
      </c>
      <c r="AH33" s="1303">
        <f>43+43+35+33</f>
        <v>154</v>
      </c>
      <c r="AI33" s="1303">
        <f>62+36+57+43+34</f>
        <v>232</v>
      </c>
      <c r="AJ33" s="1303">
        <f>38+42+42+29</f>
        <v>151</v>
      </c>
      <c r="AK33" s="1303">
        <v>165</v>
      </c>
      <c r="AL33" s="1303"/>
      <c r="AM33" s="1303"/>
      <c r="AN33" s="1303"/>
      <c r="AO33" s="1303"/>
      <c r="AP33" s="1303"/>
      <c r="AQ33" s="323"/>
      <c r="AR33" s="308"/>
      <c r="AS33" s="1754"/>
      <c r="AU33" s="226">
        <f>L33</f>
        <v>225</v>
      </c>
      <c r="AV33" s="298">
        <f>AU33+M33</f>
        <v>456</v>
      </c>
      <c r="AW33" s="298">
        <f>AV33+N33</f>
        <v>691</v>
      </c>
      <c r="AX33" s="298">
        <f t="shared" si="19"/>
        <v>932</v>
      </c>
      <c r="AY33" s="298">
        <f t="shared" si="19"/>
        <v>1220</v>
      </c>
      <c r="AZ33" s="298">
        <f t="shared" si="19"/>
        <v>1508</v>
      </c>
      <c r="BA33" s="298">
        <f t="shared" si="19"/>
        <v>1763</v>
      </c>
      <c r="BB33" s="298">
        <f t="shared" si="19"/>
        <v>2032</v>
      </c>
      <c r="BC33" s="298">
        <f t="shared" si="19"/>
        <v>2208</v>
      </c>
      <c r="BD33" s="298">
        <f t="shared" si="19"/>
        <v>2363</v>
      </c>
      <c r="BE33" s="298">
        <f t="shared" si="19"/>
        <v>2456</v>
      </c>
      <c r="BF33" s="298">
        <f t="shared" si="19"/>
        <v>2611</v>
      </c>
      <c r="BG33" s="298">
        <f t="shared" si="19"/>
        <v>2818</v>
      </c>
      <c r="BH33" s="298">
        <f t="shared" si="19"/>
        <v>3060</v>
      </c>
      <c r="BI33" s="298">
        <f t="shared" si="19"/>
        <v>3290</v>
      </c>
      <c r="BJ33" s="298">
        <f t="shared" si="19"/>
        <v>3532</v>
      </c>
      <c r="BK33" s="298">
        <f t="shared" si="19"/>
        <v>3738</v>
      </c>
      <c r="BL33" s="298">
        <f t="shared" si="19"/>
        <v>3982</v>
      </c>
      <c r="BM33" s="298">
        <f t="shared" si="19"/>
        <v>4151</v>
      </c>
      <c r="BN33" s="298">
        <f t="shared" si="20"/>
        <v>4381</v>
      </c>
      <c r="BO33" s="298">
        <f t="shared" si="20"/>
        <v>4623</v>
      </c>
      <c r="BP33" s="298">
        <f t="shared" si="20"/>
        <v>4758</v>
      </c>
      <c r="BQ33" s="298">
        <f t="shared" si="20"/>
        <v>4912</v>
      </c>
      <c r="BR33" s="298">
        <f t="shared" si="20"/>
        <v>5144</v>
      </c>
      <c r="BS33" s="298">
        <f t="shared" si="20"/>
        <v>5295</v>
      </c>
      <c r="BT33" s="298">
        <f t="shared" si="20"/>
        <v>5460</v>
      </c>
    </row>
    <row r="34" spans="1:74" ht="14.25" thickBot="1" x14ac:dyDescent="0.3">
      <c r="A34" s="1753"/>
      <c r="F34" s="1608"/>
      <c r="G34" s="1693"/>
      <c r="H34" s="1696"/>
      <c r="I34" s="1389" t="s">
        <v>312</v>
      </c>
      <c r="J34" s="1390"/>
      <c r="K34" s="1391"/>
      <c r="L34" s="203"/>
      <c r="M34" s="203"/>
      <c r="N34" s="203"/>
      <c r="O34" s="203"/>
      <c r="P34" s="203"/>
      <c r="Q34" s="203"/>
      <c r="R34" s="203"/>
      <c r="S34" s="203"/>
      <c r="T34" s="204"/>
      <c r="U34" s="203"/>
      <c r="V34" s="203"/>
      <c r="W34" s="203"/>
      <c r="X34" s="203"/>
      <c r="Y34" s="203"/>
      <c r="Z34" s="203"/>
      <c r="AA34" s="203"/>
      <c r="AB34" s="203"/>
      <c r="AC34" s="203"/>
      <c r="AD34" s="203"/>
      <c r="AE34" s="203"/>
      <c r="AF34" s="203"/>
      <c r="AG34" s="203"/>
      <c r="AH34" s="203" t="s">
        <v>591</v>
      </c>
      <c r="AI34" s="203"/>
      <c r="AJ34" s="203"/>
      <c r="AK34" s="203"/>
      <c r="AL34" s="203"/>
      <c r="AM34" s="203"/>
      <c r="AN34" s="203"/>
      <c r="AO34" s="203"/>
      <c r="AP34" s="205"/>
      <c r="AQ34" s="324"/>
      <c r="AR34" s="309"/>
      <c r="AS34" s="1754"/>
      <c r="AT34" s="339" t="s">
        <v>540</v>
      </c>
      <c r="AU34" s="227"/>
      <c r="AV34" s="227"/>
      <c r="BL34" s="299"/>
      <c r="BM34" s="299"/>
      <c r="BN34" s="299"/>
      <c r="BO34" s="299"/>
      <c r="BP34" s="299"/>
      <c r="BQ34" s="299"/>
      <c r="BR34" s="299"/>
      <c r="BS34" s="299"/>
      <c r="BT34" s="299"/>
      <c r="BU34" s="299">
        <f>BT33+AL32</f>
        <v>5565</v>
      </c>
      <c r="BV34" s="299">
        <f t="shared" ref="BV34" si="22">BU34+AM32</f>
        <v>5670</v>
      </c>
    </row>
    <row r="35" spans="1:74" ht="14.25" thickBot="1" x14ac:dyDescent="0.3">
      <c r="A35" s="1753"/>
      <c r="B35" s="202">
        <v>0</v>
      </c>
      <c r="F35" s="1608"/>
      <c r="G35" s="1693"/>
      <c r="H35" s="1686" t="s">
        <v>343</v>
      </c>
      <c r="I35" s="1384" t="s">
        <v>344</v>
      </c>
      <c r="J35" s="1310">
        <f t="shared" ref="J35:J36" si="23">IFERROR(J37*1000/J32,0)</f>
        <v>3.54</v>
      </c>
      <c r="K35" s="1385"/>
      <c r="L35" s="1312">
        <v>3.54</v>
      </c>
      <c r="M35" s="1312">
        <v>3.54</v>
      </c>
      <c r="N35" s="1312">
        <v>3.54</v>
      </c>
      <c r="O35" s="1333">
        <v>3.54</v>
      </c>
      <c r="P35" s="1333">
        <v>3.54</v>
      </c>
      <c r="Q35" s="1333">
        <v>3.54</v>
      </c>
      <c r="R35" s="1333">
        <v>3.54</v>
      </c>
      <c r="S35" s="1333">
        <v>3.54</v>
      </c>
      <c r="T35" s="1334">
        <v>3.54</v>
      </c>
      <c r="U35" s="1333">
        <v>3.54</v>
      </c>
      <c r="V35" s="1333">
        <v>3.54</v>
      </c>
      <c r="W35" s="1333">
        <v>3.54</v>
      </c>
      <c r="X35" s="1333">
        <v>3.54</v>
      </c>
      <c r="Y35" s="1333">
        <v>3.54</v>
      </c>
      <c r="Z35" s="1333">
        <v>3.54</v>
      </c>
      <c r="AA35" s="1333">
        <v>3.54</v>
      </c>
      <c r="AB35" s="1333">
        <v>3.54</v>
      </c>
      <c r="AC35" s="1333">
        <v>3.54</v>
      </c>
      <c r="AD35" s="1333">
        <v>3.54</v>
      </c>
      <c r="AE35" s="1333">
        <v>3.54</v>
      </c>
      <c r="AF35" s="1333">
        <v>3.54</v>
      </c>
      <c r="AG35" s="1333">
        <v>3.54</v>
      </c>
      <c r="AH35" s="1333">
        <v>3.54</v>
      </c>
      <c r="AI35" s="1333">
        <v>3.54</v>
      </c>
      <c r="AJ35" s="1333">
        <v>3.54</v>
      </c>
      <c r="AK35" s="1333">
        <v>3.54</v>
      </c>
      <c r="AL35" s="1333">
        <v>3.54</v>
      </c>
      <c r="AM35" s="1333">
        <v>3.54</v>
      </c>
      <c r="AN35" s="1333">
        <v>0</v>
      </c>
      <c r="AO35" s="1333">
        <v>0</v>
      </c>
      <c r="AP35" s="1335">
        <v>0</v>
      </c>
      <c r="AQ35" s="325"/>
      <c r="AR35" s="308"/>
      <c r="AS35" s="1754"/>
      <c r="AU35" s="226"/>
      <c r="AV35" s="226"/>
    </row>
    <row r="36" spans="1:74" ht="14.25" thickBot="1" x14ac:dyDescent="0.3">
      <c r="A36" s="1753"/>
      <c r="B36" s="202">
        <v>2.5415336062777216</v>
      </c>
      <c r="C36" s="350">
        <f>C38*1000/C33</f>
        <v>2.7473582303644966</v>
      </c>
      <c r="F36" s="1608"/>
      <c r="G36" s="1693"/>
      <c r="H36" s="1686"/>
      <c r="I36" s="1386" t="s">
        <v>345</v>
      </c>
      <c r="J36" s="1314">
        <f t="shared" si="23"/>
        <v>2.7615256410256408</v>
      </c>
      <c r="K36" s="1380">
        <f t="shared" ref="K36" si="24">IFERROR((J36-J35)/J35,0)</f>
        <v>-0.219908011009706</v>
      </c>
      <c r="L36" s="1315">
        <v>3.82</v>
      </c>
      <c r="M36" s="1314">
        <v>3.82</v>
      </c>
      <c r="N36" s="1314">
        <v>5.23</v>
      </c>
      <c r="O36" s="1314">
        <v>1.18</v>
      </c>
      <c r="P36" s="1314">
        <v>3.65</v>
      </c>
      <c r="Q36" s="1314">
        <v>3.03</v>
      </c>
      <c r="R36" s="1314">
        <v>3.34</v>
      </c>
      <c r="S36" s="1314">
        <v>4.3499999999999996</v>
      </c>
      <c r="T36" s="1314">
        <v>4.3499999999999996</v>
      </c>
      <c r="U36" s="1314">
        <v>2.36</v>
      </c>
      <c r="V36" s="1314"/>
      <c r="W36" s="1314">
        <v>2.23</v>
      </c>
      <c r="X36" s="1314">
        <v>1.24</v>
      </c>
      <c r="Y36" s="1314">
        <v>0.31</v>
      </c>
      <c r="Z36" s="1314">
        <v>0.35</v>
      </c>
      <c r="AA36" s="1314">
        <v>0.35</v>
      </c>
      <c r="AB36" s="1314">
        <v>1.01</v>
      </c>
      <c r="AC36" s="1314">
        <v>5.38</v>
      </c>
      <c r="AD36" s="1314">
        <v>3.9</v>
      </c>
      <c r="AE36" s="1314">
        <v>1.75</v>
      </c>
      <c r="AF36" s="1314">
        <v>1.34</v>
      </c>
      <c r="AG36" s="1314">
        <v>1.65</v>
      </c>
      <c r="AH36" s="1314">
        <v>1.65</v>
      </c>
      <c r="AI36" s="1314">
        <v>7</v>
      </c>
      <c r="AJ36" s="1314">
        <v>5.93</v>
      </c>
      <c r="AK36" s="1314"/>
      <c r="AL36" s="1314"/>
      <c r="AM36" s="1314"/>
      <c r="AN36" s="1314"/>
      <c r="AO36" s="1314"/>
      <c r="AP36" s="1314"/>
      <c r="AQ36" s="326"/>
      <c r="AR36" s="308"/>
      <c r="AS36" s="1754"/>
      <c r="AU36" s="226"/>
      <c r="AV36" s="226"/>
    </row>
    <row r="37" spans="1:74" ht="14.25" thickBot="1" x14ac:dyDescent="0.3">
      <c r="A37" s="1753"/>
      <c r="B37" s="202">
        <v>0</v>
      </c>
      <c r="F37" s="1608"/>
      <c r="G37" s="1693"/>
      <c r="H37" s="1686" t="s">
        <v>47</v>
      </c>
      <c r="I37" s="1384" t="s">
        <v>346</v>
      </c>
      <c r="J37" s="206">
        <f>SUMIF($L$9:$AP$9,"&lt;="&amp;$G$7,L37:AP37)</f>
        <v>10.4076</v>
      </c>
      <c r="K37" s="1385"/>
      <c r="L37" s="1316">
        <f t="shared" ref="L37:AP38" si="25">+L35*L32/1000</f>
        <v>0.37169999999999997</v>
      </c>
      <c r="M37" s="1316">
        <f t="shared" si="25"/>
        <v>0.37169999999999997</v>
      </c>
      <c r="N37" s="1316">
        <f t="shared" si="25"/>
        <v>0.37169999999999997</v>
      </c>
      <c r="O37" s="1317">
        <f t="shared" si="25"/>
        <v>0.37169999999999997</v>
      </c>
      <c r="P37" s="1317">
        <f t="shared" si="25"/>
        <v>0.37169999999999997</v>
      </c>
      <c r="Q37" s="1317">
        <f t="shared" si="25"/>
        <v>0.37169999999999997</v>
      </c>
      <c r="R37" s="1317">
        <f t="shared" si="25"/>
        <v>0.37169999999999997</v>
      </c>
      <c r="S37" s="1317">
        <f t="shared" si="25"/>
        <v>0.37169999999999997</v>
      </c>
      <c r="T37" s="1318">
        <f t="shared" si="25"/>
        <v>0.37169999999999997</v>
      </c>
      <c r="U37" s="1317">
        <f t="shared" si="25"/>
        <v>0.37169999999999997</v>
      </c>
      <c r="V37" s="1317">
        <f t="shared" si="25"/>
        <v>0.37169999999999997</v>
      </c>
      <c r="W37" s="1317">
        <f t="shared" si="25"/>
        <v>0.37169999999999997</v>
      </c>
      <c r="X37" s="1317">
        <f t="shared" si="25"/>
        <v>0.37169999999999997</v>
      </c>
      <c r="Y37" s="1317">
        <f t="shared" si="25"/>
        <v>0.37169999999999997</v>
      </c>
      <c r="Z37" s="1317">
        <f t="shared" si="25"/>
        <v>0.37169999999999997</v>
      </c>
      <c r="AA37" s="1317">
        <f>+AA35*AA32/1000</f>
        <v>0.37169999999999997</v>
      </c>
      <c r="AB37" s="1317">
        <f t="shared" si="25"/>
        <v>0.37169999999999997</v>
      </c>
      <c r="AC37" s="1317">
        <f t="shared" si="25"/>
        <v>0.37169999999999997</v>
      </c>
      <c r="AD37" s="1317">
        <f t="shared" si="25"/>
        <v>0.37169999999999997</v>
      </c>
      <c r="AE37" s="1317">
        <f t="shared" si="25"/>
        <v>0.37169999999999997</v>
      </c>
      <c r="AF37" s="1317">
        <f t="shared" si="25"/>
        <v>0.37169999999999997</v>
      </c>
      <c r="AG37" s="1317">
        <f t="shared" si="25"/>
        <v>0.37169999999999997</v>
      </c>
      <c r="AH37" s="1317">
        <f t="shared" si="25"/>
        <v>0.37169999999999997</v>
      </c>
      <c r="AI37" s="1317">
        <f t="shared" si="25"/>
        <v>0.37169999999999997</v>
      </c>
      <c r="AJ37" s="1317">
        <f t="shared" si="25"/>
        <v>0.37169999999999997</v>
      </c>
      <c r="AK37" s="1317">
        <f t="shared" si="25"/>
        <v>0.37169999999999997</v>
      </c>
      <c r="AL37" s="1317">
        <f t="shared" si="25"/>
        <v>0.37169999999999997</v>
      </c>
      <c r="AM37" s="1317">
        <f t="shared" si="25"/>
        <v>0.37169999999999997</v>
      </c>
      <c r="AN37" s="1317">
        <f t="shared" si="25"/>
        <v>0</v>
      </c>
      <c r="AO37" s="1317">
        <f t="shared" si="25"/>
        <v>0</v>
      </c>
      <c r="AP37" s="1319">
        <f t="shared" si="25"/>
        <v>0</v>
      </c>
      <c r="AQ37" s="327"/>
      <c r="AR37" s="310"/>
      <c r="AS37" s="1754"/>
      <c r="AT37" s="332"/>
      <c r="AU37" s="226"/>
      <c r="AV37" s="226"/>
    </row>
    <row r="38" spans="1:74" ht="14.25" thickBot="1" x14ac:dyDescent="0.3">
      <c r="A38" s="1753"/>
      <c r="B38" s="202">
        <v>14.898470000000003</v>
      </c>
      <c r="C38" s="350">
        <f>(J38/(J24+J38))*B38</f>
        <v>13.013671177641834</v>
      </c>
      <c r="F38" s="1609"/>
      <c r="G38" s="1694"/>
      <c r="H38" s="1687"/>
      <c r="I38" s="1387" t="s">
        <v>347</v>
      </c>
      <c r="J38" s="1321">
        <f>SUMIF($L$9:$AP$9,"&lt;="&amp;$G$7,L38:AP38)</f>
        <v>15.077929999999999</v>
      </c>
      <c r="K38" s="1388">
        <f t="shared" ref="K38" si="26">IFERROR((J38-J37)/J37,0)</f>
        <v>0.44874226526768879</v>
      </c>
      <c r="L38" s="1323">
        <f t="shared" si="25"/>
        <v>0.85950000000000004</v>
      </c>
      <c r="M38" s="1321">
        <f t="shared" si="25"/>
        <v>0.88241999999999998</v>
      </c>
      <c r="N38" s="1321">
        <f t="shared" si="25"/>
        <v>1.2290500000000002</v>
      </c>
      <c r="O38" s="1321">
        <f t="shared" si="25"/>
        <v>0.28438000000000002</v>
      </c>
      <c r="P38" s="1321">
        <f t="shared" si="25"/>
        <v>1.0512000000000001</v>
      </c>
      <c r="Q38" s="1321">
        <f t="shared" si="25"/>
        <v>0.87263999999999997</v>
      </c>
      <c r="R38" s="1321">
        <f t="shared" si="25"/>
        <v>0.8516999999999999</v>
      </c>
      <c r="S38" s="1321">
        <f t="shared" si="25"/>
        <v>1.1701499999999998</v>
      </c>
      <c r="T38" s="1321">
        <f t="shared" si="25"/>
        <v>0.76559999999999995</v>
      </c>
      <c r="U38" s="1321">
        <f t="shared" si="25"/>
        <v>0.36579999999999996</v>
      </c>
      <c r="V38" s="1321">
        <f t="shared" si="25"/>
        <v>0</v>
      </c>
      <c r="W38" s="1321">
        <f t="shared" si="25"/>
        <v>0.34564999999999996</v>
      </c>
      <c r="X38" s="1321">
        <f t="shared" si="25"/>
        <v>0.25668000000000002</v>
      </c>
      <c r="Y38" s="1321">
        <f t="shared" si="25"/>
        <v>7.5019999999999989E-2</v>
      </c>
      <c r="Z38" s="1321">
        <f t="shared" si="25"/>
        <v>8.0500000000000002E-2</v>
      </c>
      <c r="AA38" s="1321">
        <f>+AA36*AA33/1000</f>
        <v>8.4699999999999984E-2</v>
      </c>
      <c r="AB38" s="1321">
        <f t="shared" si="25"/>
        <v>0.20805999999999999</v>
      </c>
      <c r="AC38" s="1321">
        <f t="shared" si="25"/>
        <v>1.3127200000000001</v>
      </c>
      <c r="AD38" s="1321">
        <f t="shared" si="25"/>
        <v>0.65910000000000002</v>
      </c>
      <c r="AE38" s="1321">
        <f t="shared" si="25"/>
        <v>0.40250000000000002</v>
      </c>
      <c r="AF38" s="1321">
        <f t="shared" si="25"/>
        <v>0.32428000000000001</v>
      </c>
      <c r="AG38" s="1321">
        <f t="shared" si="25"/>
        <v>0.22275</v>
      </c>
      <c r="AH38" s="1321">
        <f t="shared" si="25"/>
        <v>0.25409999999999999</v>
      </c>
      <c r="AI38" s="1321">
        <f t="shared" si="25"/>
        <v>1.6240000000000001</v>
      </c>
      <c r="AJ38" s="1321">
        <f t="shared" si="25"/>
        <v>0.89542999999999995</v>
      </c>
      <c r="AK38" s="1321">
        <f t="shared" si="25"/>
        <v>0</v>
      </c>
      <c r="AL38" s="1321">
        <f t="shared" si="25"/>
        <v>0</v>
      </c>
      <c r="AM38" s="1321">
        <f t="shared" si="25"/>
        <v>0</v>
      </c>
      <c r="AN38" s="1321">
        <f t="shared" si="25"/>
        <v>0</v>
      </c>
      <c r="AO38" s="1321">
        <f t="shared" si="25"/>
        <v>0</v>
      </c>
      <c r="AP38" s="1321">
        <f t="shared" si="25"/>
        <v>0</v>
      </c>
      <c r="AQ38" s="328"/>
      <c r="AR38" s="311"/>
      <c r="AS38" s="1754"/>
      <c r="AU38" s="226"/>
      <c r="AV38" s="226"/>
    </row>
    <row r="39" spans="1:74" s="194" customFormat="1" ht="14.45" customHeight="1" thickBot="1" x14ac:dyDescent="0.3">
      <c r="A39" s="1753" t="s">
        <v>541</v>
      </c>
      <c r="B39" s="194">
        <v>0</v>
      </c>
      <c r="E39" s="202"/>
      <c r="F39" s="1608"/>
      <c r="G39" s="1692" t="s">
        <v>471</v>
      </c>
      <c r="H39" s="1696" t="s">
        <v>340</v>
      </c>
      <c r="I39" s="293" t="s">
        <v>341</v>
      </c>
      <c r="J39" s="196">
        <f>SUMIF($L$9:$AP$9,"&lt;="&amp;$G$7,L39:AP39)</f>
        <v>1960</v>
      </c>
      <c r="K39" s="197"/>
      <c r="L39" s="198">
        <v>70</v>
      </c>
      <c r="M39" s="198">
        <v>70</v>
      </c>
      <c r="N39" s="198">
        <v>70</v>
      </c>
      <c r="O39" s="199">
        <v>70</v>
      </c>
      <c r="P39" s="199">
        <v>70</v>
      </c>
      <c r="Q39" s="199">
        <v>70</v>
      </c>
      <c r="R39" s="199">
        <v>70</v>
      </c>
      <c r="S39" s="199">
        <v>70</v>
      </c>
      <c r="T39" s="200">
        <v>70</v>
      </c>
      <c r="U39" s="199">
        <v>70</v>
      </c>
      <c r="V39" s="199">
        <v>70</v>
      </c>
      <c r="W39" s="199">
        <v>70</v>
      </c>
      <c r="X39" s="199">
        <v>70</v>
      </c>
      <c r="Y39" s="199">
        <v>70</v>
      </c>
      <c r="Z39" s="199">
        <v>70</v>
      </c>
      <c r="AA39" s="199">
        <v>70</v>
      </c>
      <c r="AB39" s="199">
        <v>70</v>
      </c>
      <c r="AC39" s="199">
        <v>70</v>
      </c>
      <c r="AD39" s="199">
        <v>70</v>
      </c>
      <c r="AE39" s="199">
        <v>70</v>
      </c>
      <c r="AF39" s="199">
        <v>70</v>
      </c>
      <c r="AG39" s="199">
        <v>70</v>
      </c>
      <c r="AH39" s="199">
        <v>70</v>
      </c>
      <c r="AI39" s="199">
        <v>70</v>
      </c>
      <c r="AJ39" s="199">
        <v>70</v>
      </c>
      <c r="AK39" s="199">
        <v>70</v>
      </c>
      <c r="AL39" s="199">
        <v>70</v>
      </c>
      <c r="AM39" s="199">
        <v>70</v>
      </c>
      <c r="AN39" s="199">
        <v>0</v>
      </c>
      <c r="AO39" s="199">
        <v>0</v>
      </c>
      <c r="AP39" s="201">
        <v>0</v>
      </c>
      <c r="AQ39" s="322"/>
      <c r="AR39" s="307"/>
      <c r="AS39" s="1754" t="s">
        <v>542</v>
      </c>
      <c r="AT39" s="332"/>
      <c r="AU39" s="226">
        <f>L39</f>
        <v>70</v>
      </c>
      <c r="AV39" s="298">
        <f>AU39+M39</f>
        <v>140</v>
      </c>
      <c r="AW39" s="298">
        <f>AV39+N39</f>
        <v>210</v>
      </c>
      <c r="AX39" s="298">
        <f t="shared" ref="AX39:BM40" si="27">AW39+O39</f>
        <v>280</v>
      </c>
      <c r="AY39" s="298">
        <f t="shared" si="27"/>
        <v>350</v>
      </c>
      <c r="AZ39" s="298">
        <f t="shared" si="27"/>
        <v>420</v>
      </c>
      <c r="BA39" s="298">
        <f t="shared" si="27"/>
        <v>490</v>
      </c>
      <c r="BB39" s="298">
        <f t="shared" si="27"/>
        <v>560</v>
      </c>
      <c r="BC39" s="298">
        <f t="shared" si="27"/>
        <v>630</v>
      </c>
      <c r="BD39" s="298">
        <f t="shared" si="27"/>
        <v>700</v>
      </c>
      <c r="BE39" s="298">
        <f t="shared" si="27"/>
        <v>770</v>
      </c>
      <c r="BF39" s="298">
        <f t="shared" si="27"/>
        <v>840</v>
      </c>
      <c r="BG39" s="298">
        <f t="shared" si="27"/>
        <v>910</v>
      </c>
      <c r="BH39" s="298">
        <f t="shared" si="27"/>
        <v>980</v>
      </c>
      <c r="BI39" s="298">
        <f t="shared" si="27"/>
        <v>1050</v>
      </c>
      <c r="BJ39" s="298">
        <f t="shared" si="27"/>
        <v>1120</v>
      </c>
      <c r="BK39" s="298">
        <f t="shared" si="27"/>
        <v>1190</v>
      </c>
      <c r="BL39" s="298">
        <f t="shared" si="27"/>
        <v>1260</v>
      </c>
      <c r="BM39" s="298">
        <f t="shared" si="27"/>
        <v>1330</v>
      </c>
      <c r="BN39" s="298">
        <f t="shared" ref="BN39:BV40" si="28">BM39+AE39</f>
        <v>1400</v>
      </c>
      <c r="BO39" s="298">
        <f t="shared" si="28"/>
        <v>1470</v>
      </c>
      <c r="BP39" s="298">
        <f t="shared" si="28"/>
        <v>1540</v>
      </c>
      <c r="BQ39" s="298">
        <f t="shared" si="28"/>
        <v>1610</v>
      </c>
      <c r="BR39" s="298">
        <f t="shared" si="28"/>
        <v>1680</v>
      </c>
      <c r="BS39" s="298">
        <f t="shared" si="28"/>
        <v>1750</v>
      </c>
      <c r="BT39" s="298">
        <f t="shared" si="28"/>
        <v>1820</v>
      </c>
      <c r="BU39" s="298">
        <f t="shared" si="28"/>
        <v>1890</v>
      </c>
      <c r="BV39" s="298">
        <f t="shared" si="28"/>
        <v>1960</v>
      </c>
    </row>
    <row r="40" spans="1:74" ht="14.25" thickBot="1" x14ac:dyDescent="0.3">
      <c r="A40" s="1753"/>
      <c r="B40" s="202">
        <v>1048</v>
      </c>
      <c r="C40" s="352">
        <f>(J40/(J40))*B40</f>
        <v>1048</v>
      </c>
      <c r="D40" s="349">
        <f>(C40-J40)/C40</f>
        <v>-1.049618320610687E-2</v>
      </c>
      <c r="F40" s="1608"/>
      <c r="G40" s="1693"/>
      <c r="H40" s="1696"/>
      <c r="I40" s="1379" t="s">
        <v>342</v>
      </c>
      <c r="J40" s="1303">
        <f>SUMIF($L$9:$AP$9,"&lt;="&amp;$G$7,L40:AP40)</f>
        <v>1059</v>
      </c>
      <c r="K40" s="1380">
        <f t="shared" ref="K40" si="29">IFERROR((J40-J39)/J39,0)</f>
        <v>-0.45969387755102042</v>
      </c>
      <c r="L40" s="1305">
        <v>36</v>
      </c>
      <c r="M40" s="1303">
        <v>26</v>
      </c>
      <c r="N40" s="1303">
        <v>40</v>
      </c>
      <c r="O40" s="1303">
        <f>38+40</f>
        <v>78</v>
      </c>
      <c r="P40" s="1303">
        <f>40+38</f>
        <v>78</v>
      </c>
      <c r="Q40" s="1303"/>
      <c r="R40" s="1303">
        <v>36</v>
      </c>
      <c r="S40" s="1303"/>
      <c r="T40" s="1303">
        <v>49</v>
      </c>
      <c r="U40" s="1303">
        <v>32</v>
      </c>
      <c r="V40" s="1303">
        <v>15</v>
      </c>
      <c r="W40" s="1303">
        <v>35</v>
      </c>
      <c r="X40" s="1303">
        <v>35</v>
      </c>
      <c r="Y40" s="1303">
        <v>45</v>
      </c>
      <c r="Z40" s="1303">
        <v>48</v>
      </c>
      <c r="AA40" s="1303">
        <v>39</v>
      </c>
      <c r="AB40" s="1303">
        <v>43</v>
      </c>
      <c r="AC40" s="1303">
        <v>0</v>
      </c>
      <c r="AD40" s="1303">
        <v>18</v>
      </c>
      <c r="AE40" s="1303">
        <v>76</v>
      </c>
      <c r="AF40" s="1303">
        <v>37</v>
      </c>
      <c r="AG40" s="1303">
        <v>70</v>
      </c>
      <c r="AH40" s="1303">
        <v>71</v>
      </c>
      <c r="AI40" s="1303">
        <v>50</v>
      </c>
      <c r="AJ40" s="1303">
        <v>58</v>
      </c>
      <c r="AK40" s="1303">
        <v>44</v>
      </c>
      <c r="AL40" s="1303"/>
      <c r="AM40" s="1303"/>
      <c r="AN40" s="1303"/>
      <c r="AO40" s="1303"/>
      <c r="AP40" s="1303"/>
      <c r="AQ40" s="323"/>
      <c r="AR40" s="308"/>
      <c r="AS40" s="1754"/>
      <c r="AU40" s="226">
        <f>L40</f>
        <v>36</v>
      </c>
      <c r="AV40" s="298">
        <f>AU40+M40</f>
        <v>62</v>
      </c>
      <c r="AW40" s="298">
        <f>AV40+N40</f>
        <v>102</v>
      </c>
      <c r="AX40" s="298">
        <f t="shared" si="27"/>
        <v>180</v>
      </c>
      <c r="AY40" s="298">
        <f t="shared" si="27"/>
        <v>258</v>
      </c>
      <c r="AZ40" s="298">
        <f t="shared" si="27"/>
        <v>258</v>
      </c>
      <c r="BA40" s="298">
        <f t="shared" si="27"/>
        <v>294</v>
      </c>
      <c r="BB40" s="298">
        <f t="shared" si="27"/>
        <v>294</v>
      </c>
      <c r="BC40" s="298">
        <f t="shared" si="27"/>
        <v>343</v>
      </c>
      <c r="BD40" s="298">
        <f t="shared" si="27"/>
        <v>375</v>
      </c>
      <c r="BE40" s="298">
        <f t="shared" si="27"/>
        <v>390</v>
      </c>
      <c r="BF40" s="298">
        <f t="shared" si="27"/>
        <v>425</v>
      </c>
      <c r="BG40" s="298">
        <f t="shared" si="27"/>
        <v>460</v>
      </c>
      <c r="BH40" s="298">
        <f t="shared" si="27"/>
        <v>505</v>
      </c>
      <c r="BI40" s="298">
        <f t="shared" si="27"/>
        <v>553</v>
      </c>
      <c r="BJ40" s="298">
        <f t="shared" si="27"/>
        <v>592</v>
      </c>
      <c r="BK40" s="298">
        <f t="shared" si="27"/>
        <v>635</v>
      </c>
      <c r="BL40" s="298">
        <f t="shared" si="27"/>
        <v>635</v>
      </c>
      <c r="BM40" s="298">
        <f t="shared" si="27"/>
        <v>653</v>
      </c>
      <c r="BN40" s="298">
        <f t="shared" si="28"/>
        <v>729</v>
      </c>
      <c r="BO40" s="298">
        <f t="shared" si="28"/>
        <v>766</v>
      </c>
      <c r="BP40" s="298">
        <f t="shared" si="28"/>
        <v>836</v>
      </c>
      <c r="BQ40" s="298">
        <f t="shared" si="28"/>
        <v>907</v>
      </c>
      <c r="BR40" s="298">
        <f t="shared" si="28"/>
        <v>957</v>
      </c>
      <c r="BS40" s="298">
        <f t="shared" si="28"/>
        <v>1015</v>
      </c>
      <c r="BT40" s="298">
        <f t="shared" si="28"/>
        <v>1059</v>
      </c>
    </row>
    <row r="41" spans="1:74" ht="14.25" thickBot="1" x14ac:dyDescent="0.3">
      <c r="A41" s="1753"/>
      <c r="F41" s="1608"/>
      <c r="G41" s="1693"/>
      <c r="H41" s="1696"/>
      <c r="I41" s="1389" t="s">
        <v>312</v>
      </c>
      <c r="J41" s="1390"/>
      <c r="K41" s="1391"/>
      <c r="L41" s="203"/>
      <c r="M41" s="203"/>
      <c r="N41" s="203"/>
      <c r="O41" s="203"/>
      <c r="P41" s="203"/>
      <c r="Q41" s="203"/>
      <c r="R41" s="203"/>
      <c r="S41" s="203"/>
      <c r="T41" s="204"/>
      <c r="U41" s="203"/>
      <c r="V41" s="203"/>
      <c r="W41" s="203"/>
      <c r="X41" s="203"/>
      <c r="Y41" s="203"/>
      <c r="Z41" s="203"/>
      <c r="AA41" s="203"/>
      <c r="AB41" s="203"/>
      <c r="AC41" s="203"/>
      <c r="AD41" s="203" t="s">
        <v>538</v>
      </c>
      <c r="AE41" s="203"/>
      <c r="AF41" s="203"/>
      <c r="AG41" s="203"/>
      <c r="AH41" s="203" t="s">
        <v>539</v>
      </c>
      <c r="AI41" s="203" t="s">
        <v>592</v>
      </c>
      <c r="AJ41" s="203"/>
      <c r="AK41" s="203" t="s">
        <v>593</v>
      </c>
      <c r="AL41" s="203"/>
      <c r="AM41" s="203"/>
      <c r="AN41" s="203"/>
      <c r="AO41" s="203"/>
      <c r="AP41" s="205"/>
      <c r="AQ41" s="324"/>
      <c r="AR41" s="309"/>
      <c r="AS41" s="1754"/>
      <c r="AT41" s="333"/>
      <c r="AU41" s="227"/>
      <c r="AV41" s="227"/>
      <c r="BL41" s="299"/>
      <c r="BM41" s="299"/>
      <c r="BN41" s="299"/>
      <c r="BO41" s="299"/>
      <c r="BP41" s="299"/>
      <c r="BQ41" s="299"/>
      <c r="BR41" s="299"/>
      <c r="BS41" s="299"/>
      <c r="BT41" s="299"/>
      <c r="BU41" s="299">
        <f>BT40+AL39</f>
        <v>1129</v>
      </c>
      <c r="BV41" s="299">
        <f t="shared" ref="BV41" si="30">BU41+AM39</f>
        <v>1199</v>
      </c>
    </row>
    <row r="42" spans="1:74" ht="14.25" thickBot="1" x14ac:dyDescent="0.3">
      <c r="A42" s="1753"/>
      <c r="B42" s="202">
        <v>0</v>
      </c>
      <c r="F42" s="1608"/>
      <c r="G42" s="1693"/>
      <c r="H42" s="1686" t="s">
        <v>343</v>
      </c>
      <c r="I42" s="1384" t="s">
        <v>344</v>
      </c>
      <c r="J42" s="1310">
        <f t="shared" ref="J42:J43" si="31">IFERROR(J44*1000/J39,0)</f>
        <v>1.3099999999999992</v>
      </c>
      <c r="K42" s="1385"/>
      <c r="L42" s="1312">
        <v>1.31</v>
      </c>
      <c r="M42" s="1312">
        <v>1.31</v>
      </c>
      <c r="N42" s="1312">
        <v>1.31</v>
      </c>
      <c r="O42" s="1333">
        <v>1.31</v>
      </c>
      <c r="P42" s="1333">
        <v>1.31</v>
      </c>
      <c r="Q42" s="1333">
        <v>1.31</v>
      </c>
      <c r="R42" s="1333">
        <v>1.31</v>
      </c>
      <c r="S42" s="1333">
        <v>1.31</v>
      </c>
      <c r="T42" s="1334">
        <v>1.31</v>
      </c>
      <c r="U42" s="1333">
        <v>1.31</v>
      </c>
      <c r="V42" s="1333">
        <v>1.31</v>
      </c>
      <c r="W42" s="1333">
        <v>1.31</v>
      </c>
      <c r="X42" s="1333">
        <v>1.31</v>
      </c>
      <c r="Y42" s="1333">
        <v>1.31</v>
      </c>
      <c r="Z42" s="1333">
        <v>1.31</v>
      </c>
      <c r="AA42" s="1333">
        <v>1.31</v>
      </c>
      <c r="AB42" s="1333">
        <v>1.31</v>
      </c>
      <c r="AC42" s="1333">
        <v>1.31</v>
      </c>
      <c r="AD42" s="1333">
        <v>1.31</v>
      </c>
      <c r="AE42" s="1333">
        <v>1.31</v>
      </c>
      <c r="AF42" s="1333">
        <v>1.31</v>
      </c>
      <c r="AG42" s="1333">
        <v>1.31</v>
      </c>
      <c r="AH42" s="1333">
        <v>1.31</v>
      </c>
      <c r="AI42" s="1333">
        <v>1.31</v>
      </c>
      <c r="AJ42" s="1333">
        <v>1.31</v>
      </c>
      <c r="AK42" s="1333">
        <v>1.31</v>
      </c>
      <c r="AL42" s="1333">
        <v>1.31</v>
      </c>
      <c r="AM42" s="1333">
        <v>1.31</v>
      </c>
      <c r="AN42" s="1333">
        <v>0</v>
      </c>
      <c r="AO42" s="1333">
        <v>0</v>
      </c>
      <c r="AP42" s="1335">
        <v>0</v>
      </c>
      <c r="AQ42" s="325"/>
      <c r="AR42" s="308"/>
      <c r="AS42" s="1754"/>
      <c r="AT42" s="339" t="s">
        <v>536</v>
      </c>
      <c r="AU42" s="226"/>
      <c r="AV42" s="226"/>
    </row>
    <row r="43" spans="1:74" ht="14.25" thickBot="1" x14ac:dyDescent="0.3">
      <c r="A43" s="1753"/>
      <c r="B43" s="202">
        <v>1.1775572519083972</v>
      </c>
      <c r="C43" s="350">
        <f>C45*1000/C40</f>
        <v>1.1775572519083972</v>
      </c>
      <c r="F43" s="1608"/>
      <c r="G43" s="1693"/>
      <c r="H43" s="1686"/>
      <c r="I43" s="1386" t="s">
        <v>345</v>
      </c>
      <c r="J43" s="1314">
        <f t="shared" si="31"/>
        <v>0.93412653446647798</v>
      </c>
      <c r="K43" s="1380">
        <f t="shared" ref="K43" si="32">IFERROR((J43-J42)/J42,0)</f>
        <v>-0.28692630956757359</v>
      </c>
      <c r="L43" s="1315"/>
      <c r="M43" s="1314"/>
      <c r="N43" s="1314"/>
      <c r="O43" s="1314">
        <v>2.83</v>
      </c>
      <c r="P43" s="1314"/>
      <c r="Q43" s="1314"/>
      <c r="R43" s="1314">
        <v>1.8</v>
      </c>
      <c r="S43" s="1314"/>
      <c r="T43" s="1314">
        <v>1.8</v>
      </c>
      <c r="U43" s="1314">
        <v>3.13</v>
      </c>
      <c r="V43" s="1314"/>
      <c r="W43" s="1314">
        <v>0.47</v>
      </c>
      <c r="X43" s="1314"/>
      <c r="Y43" s="1314">
        <v>0.3</v>
      </c>
      <c r="Z43" s="1314">
        <v>2.31</v>
      </c>
      <c r="AA43" s="1314">
        <v>2.31</v>
      </c>
      <c r="AB43" s="1314">
        <v>1.27</v>
      </c>
      <c r="AC43" s="1314">
        <v>1.66</v>
      </c>
      <c r="AD43" s="1314"/>
      <c r="AE43" s="1314">
        <v>1.1499999999999999</v>
      </c>
      <c r="AF43" s="1314"/>
      <c r="AG43" s="1314">
        <v>1.01</v>
      </c>
      <c r="AH43" s="1314">
        <v>1.01</v>
      </c>
      <c r="AI43" s="1314"/>
      <c r="AJ43" s="1314"/>
      <c r="AK43" s="1314"/>
      <c r="AL43" s="1314"/>
      <c r="AM43" s="1314"/>
      <c r="AN43" s="1314"/>
      <c r="AO43" s="1314"/>
      <c r="AP43" s="1314"/>
      <c r="AQ43" s="326"/>
      <c r="AR43" s="308"/>
      <c r="AS43" s="1754"/>
      <c r="AU43" s="226"/>
      <c r="AV43" s="226"/>
    </row>
    <row r="44" spans="1:74" ht="14.25" thickBot="1" x14ac:dyDescent="0.3">
      <c r="A44" s="1753"/>
      <c r="B44" s="202">
        <v>0</v>
      </c>
      <c r="F44" s="1608"/>
      <c r="G44" s="1693"/>
      <c r="H44" s="1686" t="s">
        <v>47</v>
      </c>
      <c r="I44" s="1384" t="s">
        <v>346</v>
      </c>
      <c r="J44" s="206">
        <f>SUMIF($L$9:$AP$9,"&lt;="&amp;$G$7,L44:AP44)</f>
        <v>2.5675999999999983</v>
      </c>
      <c r="K44" s="1385"/>
      <c r="L44" s="1316">
        <f t="shared" ref="L44:AP45" si="33">+L42*L39/1000</f>
        <v>9.1700000000000004E-2</v>
      </c>
      <c r="M44" s="1316">
        <f t="shared" si="33"/>
        <v>9.1700000000000004E-2</v>
      </c>
      <c r="N44" s="1316">
        <f t="shared" si="33"/>
        <v>9.1700000000000004E-2</v>
      </c>
      <c r="O44" s="1317">
        <f t="shared" si="33"/>
        <v>9.1700000000000004E-2</v>
      </c>
      <c r="P44" s="1317">
        <f t="shared" si="33"/>
        <v>9.1700000000000004E-2</v>
      </c>
      <c r="Q44" s="1317">
        <f t="shared" si="33"/>
        <v>9.1700000000000004E-2</v>
      </c>
      <c r="R44" s="1317">
        <f t="shared" si="33"/>
        <v>9.1700000000000004E-2</v>
      </c>
      <c r="S44" s="1317">
        <f t="shared" si="33"/>
        <v>9.1700000000000004E-2</v>
      </c>
      <c r="T44" s="1318">
        <f t="shared" si="33"/>
        <v>9.1700000000000004E-2</v>
      </c>
      <c r="U44" s="1317">
        <f t="shared" si="33"/>
        <v>9.1700000000000004E-2</v>
      </c>
      <c r="V44" s="1317">
        <f t="shared" si="33"/>
        <v>9.1700000000000004E-2</v>
      </c>
      <c r="W44" s="1317">
        <f t="shared" si="33"/>
        <v>9.1700000000000004E-2</v>
      </c>
      <c r="X44" s="1317">
        <f t="shared" si="33"/>
        <v>9.1700000000000004E-2</v>
      </c>
      <c r="Y44" s="1317">
        <f t="shared" si="33"/>
        <v>9.1700000000000004E-2</v>
      </c>
      <c r="Z44" s="1317">
        <f t="shared" si="33"/>
        <v>9.1700000000000004E-2</v>
      </c>
      <c r="AA44" s="1317">
        <f>+AA42*AA39/1000</f>
        <v>9.1700000000000004E-2</v>
      </c>
      <c r="AB44" s="1317">
        <f t="shared" si="33"/>
        <v>9.1700000000000004E-2</v>
      </c>
      <c r="AC44" s="1317">
        <f t="shared" si="33"/>
        <v>9.1700000000000004E-2</v>
      </c>
      <c r="AD44" s="1317">
        <f t="shared" si="33"/>
        <v>9.1700000000000004E-2</v>
      </c>
      <c r="AE44" s="1317">
        <f t="shared" si="33"/>
        <v>9.1700000000000004E-2</v>
      </c>
      <c r="AF44" s="1317">
        <f t="shared" si="33"/>
        <v>9.1700000000000004E-2</v>
      </c>
      <c r="AG44" s="1317">
        <f t="shared" si="33"/>
        <v>9.1700000000000004E-2</v>
      </c>
      <c r="AH44" s="1317">
        <f t="shared" si="33"/>
        <v>9.1700000000000004E-2</v>
      </c>
      <c r="AI44" s="1317">
        <f t="shared" si="33"/>
        <v>9.1700000000000004E-2</v>
      </c>
      <c r="AJ44" s="1317">
        <f t="shared" si="33"/>
        <v>9.1700000000000004E-2</v>
      </c>
      <c r="AK44" s="1317">
        <f t="shared" si="33"/>
        <v>9.1700000000000004E-2</v>
      </c>
      <c r="AL44" s="1317">
        <f t="shared" si="33"/>
        <v>9.1700000000000004E-2</v>
      </c>
      <c r="AM44" s="1317">
        <f t="shared" si="33"/>
        <v>9.1700000000000004E-2</v>
      </c>
      <c r="AN44" s="1317">
        <f t="shared" si="33"/>
        <v>0</v>
      </c>
      <c r="AO44" s="1317">
        <f t="shared" si="33"/>
        <v>0</v>
      </c>
      <c r="AP44" s="1319">
        <f t="shared" si="33"/>
        <v>0</v>
      </c>
      <c r="AQ44" s="327"/>
      <c r="AR44" s="310"/>
      <c r="AS44" s="1754"/>
      <c r="AT44" s="332"/>
      <c r="AU44" s="226"/>
      <c r="AV44" s="226"/>
    </row>
    <row r="45" spans="1:74" ht="14.25" thickBot="1" x14ac:dyDescent="0.3">
      <c r="A45" s="1753"/>
      <c r="B45" s="202">
        <v>1.2340800000000003</v>
      </c>
      <c r="C45" s="350">
        <f>(J45/(J45))*B45</f>
        <v>1.2340800000000003</v>
      </c>
      <c r="F45" s="1609"/>
      <c r="G45" s="1694"/>
      <c r="H45" s="1687"/>
      <c r="I45" s="1387" t="s">
        <v>347</v>
      </c>
      <c r="J45" s="1321">
        <f>SUMIF($L$9:$AP$9,"&lt;="&amp;$G$7,L45:AP45)</f>
        <v>0.98924000000000012</v>
      </c>
      <c r="K45" s="1388">
        <f t="shared" ref="K45" si="34">IFERROR((J45-J44)/J44,0)</f>
        <v>-0.61472191930207165</v>
      </c>
      <c r="L45" s="1323">
        <f t="shared" si="33"/>
        <v>0</v>
      </c>
      <c r="M45" s="1321">
        <f t="shared" si="33"/>
        <v>0</v>
      </c>
      <c r="N45" s="1321">
        <f t="shared" si="33"/>
        <v>0</v>
      </c>
      <c r="O45" s="1321">
        <f t="shared" si="33"/>
        <v>0.22074000000000002</v>
      </c>
      <c r="P45" s="1321">
        <f t="shared" si="33"/>
        <v>0</v>
      </c>
      <c r="Q45" s="1321">
        <f t="shared" si="33"/>
        <v>0</v>
      </c>
      <c r="R45" s="1321">
        <f t="shared" si="33"/>
        <v>6.4799999999999996E-2</v>
      </c>
      <c r="S45" s="1321">
        <f t="shared" si="33"/>
        <v>0</v>
      </c>
      <c r="T45" s="1321">
        <f t="shared" si="33"/>
        <v>8.8200000000000001E-2</v>
      </c>
      <c r="U45" s="1321">
        <f t="shared" si="33"/>
        <v>0.10016</v>
      </c>
      <c r="V45" s="1321">
        <f t="shared" si="33"/>
        <v>0</v>
      </c>
      <c r="W45" s="1321">
        <f t="shared" si="33"/>
        <v>1.6449999999999999E-2</v>
      </c>
      <c r="X45" s="1321">
        <f t="shared" si="33"/>
        <v>0</v>
      </c>
      <c r="Y45" s="1321">
        <f t="shared" si="33"/>
        <v>1.35E-2</v>
      </c>
      <c r="Z45" s="1321">
        <f t="shared" si="33"/>
        <v>0.11087999999999999</v>
      </c>
      <c r="AA45" s="1321">
        <f>+AA43*AA40/1000</f>
        <v>9.0090000000000003E-2</v>
      </c>
      <c r="AB45" s="1321">
        <f t="shared" si="33"/>
        <v>5.4609999999999999E-2</v>
      </c>
      <c r="AC45" s="1321">
        <f t="shared" si="33"/>
        <v>0</v>
      </c>
      <c r="AD45" s="1321">
        <f t="shared" si="33"/>
        <v>0</v>
      </c>
      <c r="AE45" s="1321">
        <f t="shared" si="33"/>
        <v>8.7399999999999992E-2</v>
      </c>
      <c r="AF45" s="1321">
        <f t="shared" si="33"/>
        <v>0</v>
      </c>
      <c r="AG45" s="1321">
        <f t="shared" si="33"/>
        <v>7.0699999999999999E-2</v>
      </c>
      <c r="AH45" s="1321">
        <f t="shared" si="33"/>
        <v>7.1709999999999996E-2</v>
      </c>
      <c r="AI45" s="1321">
        <f t="shared" si="33"/>
        <v>0</v>
      </c>
      <c r="AJ45" s="1321">
        <f t="shared" si="33"/>
        <v>0</v>
      </c>
      <c r="AK45" s="1321">
        <f t="shared" si="33"/>
        <v>0</v>
      </c>
      <c r="AL45" s="1321">
        <f t="shared" si="33"/>
        <v>0</v>
      </c>
      <c r="AM45" s="1321">
        <f t="shared" si="33"/>
        <v>0</v>
      </c>
      <c r="AN45" s="1321">
        <f t="shared" si="33"/>
        <v>0</v>
      </c>
      <c r="AO45" s="1321">
        <f t="shared" si="33"/>
        <v>0</v>
      </c>
      <c r="AP45" s="1321">
        <f t="shared" si="33"/>
        <v>0</v>
      </c>
      <c r="AQ45" s="328"/>
      <c r="AR45" s="311"/>
      <c r="AS45" s="1754"/>
      <c r="AU45" s="340">
        <f>J45*31.10348</f>
        <v>30.768806555200005</v>
      </c>
      <c r="AV45" s="226"/>
    </row>
    <row r="46" spans="1:74" s="194" customFormat="1" ht="14.45" customHeight="1" thickBot="1" x14ac:dyDescent="0.3">
      <c r="A46" s="1753" t="s">
        <v>544</v>
      </c>
      <c r="B46" s="194" t="str">
        <f>'February 25 D_R (Tramming)'!F46</f>
        <v xml:space="preserve">-   </v>
      </c>
      <c r="E46" s="202"/>
      <c r="F46" s="1608"/>
      <c r="G46" s="1692" t="s">
        <v>472</v>
      </c>
      <c r="H46" s="1696" t="s">
        <v>340</v>
      </c>
      <c r="I46" s="293" t="s">
        <v>341</v>
      </c>
      <c r="J46" s="196">
        <f>SUMIF($L$9:$AP$9,"&lt;="&amp;$G$7,L46:AP46)</f>
        <v>1960</v>
      </c>
      <c r="K46" s="197"/>
      <c r="L46" s="198">
        <v>70</v>
      </c>
      <c r="M46" s="198">
        <v>70</v>
      </c>
      <c r="N46" s="198">
        <v>70</v>
      </c>
      <c r="O46" s="199">
        <v>70</v>
      </c>
      <c r="P46" s="199">
        <v>70</v>
      </c>
      <c r="Q46" s="199">
        <v>70</v>
      </c>
      <c r="R46" s="199">
        <v>70</v>
      </c>
      <c r="S46" s="199">
        <v>70</v>
      </c>
      <c r="T46" s="200">
        <v>70</v>
      </c>
      <c r="U46" s="199">
        <v>70</v>
      </c>
      <c r="V46" s="199">
        <v>70</v>
      </c>
      <c r="W46" s="199">
        <v>70</v>
      </c>
      <c r="X46" s="199">
        <v>70</v>
      </c>
      <c r="Y46" s="199">
        <v>70</v>
      </c>
      <c r="Z46" s="199">
        <v>70</v>
      </c>
      <c r="AA46" s="199">
        <v>70</v>
      </c>
      <c r="AB46" s="199">
        <v>70</v>
      </c>
      <c r="AC46" s="199">
        <v>70</v>
      </c>
      <c r="AD46" s="199">
        <v>70</v>
      </c>
      <c r="AE46" s="199">
        <v>70</v>
      </c>
      <c r="AF46" s="199">
        <v>70</v>
      </c>
      <c r="AG46" s="199">
        <v>70</v>
      </c>
      <c r="AH46" s="199">
        <v>70</v>
      </c>
      <c r="AI46" s="199">
        <v>70</v>
      </c>
      <c r="AJ46" s="199">
        <v>70</v>
      </c>
      <c r="AK46" s="199">
        <v>70</v>
      </c>
      <c r="AL46" s="199">
        <v>70</v>
      </c>
      <c r="AM46" s="199">
        <v>70</v>
      </c>
      <c r="AN46" s="199">
        <v>0</v>
      </c>
      <c r="AO46" s="199">
        <v>0</v>
      </c>
      <c r="AP46" s="201">
        <v>0</v>
      </c>
      <c r="AQ46" s="322"/>
      <c r="AR46" s="307"/>
      <c r="AS46" s="1754" t="s">
        <v>545</v>
      </c>
      <c r="AT46" s="332"/>
      <c r="AU46" s="226">
        <f>L46</f>
        <v>70</v>
      </c>
      <c r="AV46" s="298">
        <f>AU46+M46</f>
        <v>140</v>
      </c>
      <c r="AW46" s="298">
        <f>AV46+N46</f>
        <v>210</v>
      </c>
      <c r="AX46" s="298">
        <f t="shared" ref="AX46:BM47" si="35">AW46+O46</f>
        <v>280</v>
      </c>
      <c r="AY46" s="298">
        <f t="shared" si="35"/>
        <v>350</v>
      </c>
      <c r="AZ46" s="298">
        <f t="shared" si="35"/>
        <v>420</v>
      </c>
      <c r="BA46" s="298">
        <f t="shared" si="35"/>
        <v>490</v>
      </c>
      <c r="BB46" s="298">
        <f t="shared" si="35"/>
        <v>560</v>
      </c>
      <c r="BC46" s="298">
        <f t="shared" si="35"/>
        <v>630</v>
      </c>
      <c r="BD46" s="298">
        <f t="shared" si="35"/>
        <v>700</v>
      </c>
      <c r="BE46" s="298">
        <f t="shared" si="35"/>
        <v>770</v>
      </c>
      <c r="BF46" s="298">
        <f t="shared" si="35"/>
        <v>840</v>
      </c>
      <c r="BG46" s="298">
        <f t="shared" si="35"/>
        <v>910</v>
      </c>
      <c r="BH46" s="298">
        <f t="shared" si="35"/>
        <v>980</v>
      </c>
      <c r="BI46" s="298">
        <f t="shared" si="35"/>
        <v>1050</v>
      </c>
      <c r="BJ46" s="298">
        <f t="shared" si="35"/>
        <v>1120</v>
      </c>
      <c r="BK46" s="298">
        <f t="shared" si="35"/>
        <v>1190</v>
      </c>
      <c r="BL46" s="298">
        <f t="shared" si="35"/>
        <v>1260</v>
      </c>
      <c r="BM46" s="298">
        <f t="shared" si="35"/>
        <v>1330</v>
      </c>
      <c r="BN46" s="298">
        <f t="shared" ref="BN46:BV47" si="36">BM46+AE46</f>
        <v>1400</v>
      </c>
      <c r="BO46" s="298">
        <f t="shared" si="36"/>
        <v>1470</v>
      </c>
      <c r="BP46" s="298">
        <f t="shared" si="36"/>
        <v>1540</v>
      </c>
      <c r="BQ46" s="298">
        <f t="shared" si="36"/>
        <v>1610</v>
      </c>
      <c r="BR46" s="298">
        <f t="shared" si="36"/>
        <v>1680</v>
      </c>
      <c r="BS46" s="298">
        <f t="shared" si="36"/>
        <v>1750</v>
      </c>
      <c r="BT46" s="298">
        <f t="shared" si="36"/>
        <v>1820</v>
      </c>
      <c r="BU46" s="298">
        <f t="shared" si="36"/>
        <v>1890</v>
      </c>
      <c r="BV46" s="298">
        <f t="shared" si="36"/>
        <v>1960</v>
      </c>
    </row>
    <row r="47" spans="1:74" ht="14.25" thickBot="1" x14ac:dyDescent="0.3">
      <c r="A47" s="1753"/>
      <c r="B47" s="194">
        <f>'February 25 D_R (Tramming)'!F47</f>
        <v>2393</v>
      </c>
      <c r="C47" s="352">
        <f>(J47/(J47))*B47</f>
        <v>2393</v>
      </c>
      <c r="D47" s="349">
        <f>(C47-J47)/C47</f>
        <v>-3.0087755954868366E-2</v>
      </c>
      <c r="F47" s="1608"/>
      <c r="G47" s="1693"/>
      <c r="H47" s="1696"/>
      <c r="I47" s="1379" t="s">
        <v>342</v>
      </c>
      <c r="J47" s="1303">
        <f>SUMIF($L$9:$AP$9,"&lt;="&amp;$G$7,L47:AP47)</f>
        <v>2465</v>
      </c>
      <c r="K47" s="1380">
        <f t="shared" ref="K47" si="37">IFERROR((J47-J46)/J46,0)</f>
        <v>0.25765306122448978</v>
      </c>
      <c r="L47" s="1305"/>
      <c r="M47" s="1303">
        <f>27</f>
        <v>27</v>
      </c>
      <c r="N47" s="1303">
        <v>40</v>
      </c>
      <c r="O47" s="1303">
        <f>37+36</f>
        <v>73</v>
      </c>
      <c r="P47" s="1303">
        <f>35+33</f>
        <v>68</v>
      </c>
      <c r="Q47" s="1303">
        <f>45+45</f>
        <v>90</v>
      </c>
      <c r="R47" s="1303">
        <f>49+49+46+30+30</f>
        <v>204</v>
      </c>
      <c r="S47" s="1303">
        <f>45+45+44</f>
        <v>134</v>
      </c>
      <c r="T47" s="1303">
        <f>50+49+44</f>
        <v>143</v>
      </c>
      <c r="U47" s="1303">
        <f>36+36+35</f>
        <v>107</v>
      </c>
      <c r="V47" s="1303">
        <f>53+53</f>
        <v>106</v>
      </c>
      <c r="W47" s="1303">
        <f>36+36+35</f>
        <v>107</v>
      </c>
      <c r="X47" s="1303">
        <v>117</v>
      </c>
      <c r="Y47" s="1303">
        <v>142</v>
      </c>
      <c r="Z47" s="1303">
        <v>149</v>
      </c>
      <c r="AA47" s="1303">
        <v>140</v>
      </c>
      <c r="AB47" s="1303">
        <v>129</v>
      </c>
      <c r="AC47" s="1303">
        <v>96</v>
      </c>
      <c r="AD47" s="1303">
        <v>61</v>
      </c>
      <c r="AE47" s="1303">
        <v>54</v>
      </c>
      <c r="AF47" s="1303">
        <v>78</v>
      </c>
      <c r="AG47" s="1303">
        <v>60</v>
      </c>
      <c r="AH47" s="1303">
        <f>40+40</f>
        <v>80</v>
      </c>
      <c r="AI47" s="1303">
        <f>41+41</f>
        <v>82</v>
      </c>
      <c r="AJ47" s="1303">
        <f>64+42</f>
        <v>106</v>
      </c>
      <c r="AK47" s="1303">
        <v>72</v>
      </c>
      <c r="AL47" s="1303"/>
      <c r="AM47" s="1303"/>
      <c r="AN47" s="1303"/>
      <c r="AO47" s="1303"/>
      <c r="AP47" s="1303"/>
      <c r="AQ47" s="323"/>
      <c r="AR47" s="308"/>
      <c r="AS47" s="1754"/>
      <c r="AU47" s="226">
        <f>L47</f>
        <v>0</v>
      </c>
      <c r="AV47" s="298">
        <f>AU47+M47</f>
        <v>27</v>
      </c>
      <c r="AW47" s="298">
        <f>AV47+N47</f>
        <v>67</v>
      </c>
      <c r="AX47" s="298">
        <f t="shared" si="35"/>
        <v>140</v>
      </c>
      <c r="AY47" s="298">
        <f t="shared" si="35"/>
        <v>208</v>
      </c>
      <c r="AZ47" s="298">
        <f t="shared" si="35"/>
        <v>298</v>
      </c>
      <c r="BA47" s="298">
        <f t="shared" si="35"/>
        <v>502</v>
      </c>
      <c r="BB47" s="298">
        <f t="shared" si="35"/>
        <v>636</v>
      </c>
      <c r="BC47" s="298">
        <f t="shared" si="35"/>
        <v>779</v>
      </c>
      <c r="BD47" s="298">
        <f t="shared" si="35"/>
        <v>886</v>
      </c>
      <c r="BE47" s="298">
        <f t="shared" si="35"/>
        <v>992</v>
      </c>
      <c r="BF47" s="298">
        <f t="shared" si="35"/>
        <v>1099</v>
      </c>
      <c r="BG47" s="298">
        <f t="shared" si="35"/>
        <v>1216</v>
      </c>
      <c r="BH47" s="298">
        <f t="shared" si="35"/>
        <v>1358</v>
      </c>
      <c r="BI47" s="298">
        <f t="shared" si="35"/>
        <v>1507</v>
      </c>
      <c r="BJ47" s="298">
        <f t="shared" si="35"/>
        <v>1647</v>
      </c>
      <c r="BK47" s="298">
        <f t="shared" si="35"/>
        <v>1776</v>
      </c>
      <c r="BL47" s="298">
        <f t="shared" si="35"/>
        <v>1872</v>
      </c>
      <c r="BM47" s="298">
        <f t="shared" si="35"/>
        <v>1933</v>
      </c>
      <c r="BN47" s="298">
        <f t="shared" si="36"/>
        <v>1987</v>
      </c>
      <c r="BO47" s="298">
        <f t="shared" si="36"/>
        <v>2065</v>
      </c>
      <c r="BP47" s="298">
        <f t="shared" si="36"/>
        <v>2125</v>
      </c>
      <c r="BQ47" s="298">
        <f t="shared" si="36"/>
        <v>2205</v>
      </c>
      <c r="BR47" s="298">
        <f t="shared" si="36"/>
        <v>2287</v>
      </c>
      <c r="BS47" s="298">
        <f t="shared" si="36"/>
        <v>2393</v>
      </c>
      <c r="BT47" s="298">
        <f t="shared" si="36"/>
        <v>2465</v>
      </c>
    </row>
    <row r="48" spans="1:74" ht="14.25" thickBot="1" x14ac:dyDescent="0.3">
      <c r="A48" s="1753"/>
      <c r="B48" s="194">
        <f>'February 25 D_R (Tramming)'!F48</f>
        <v>0</v>
      </c>
      <c r="F48" s="1608"/>
      <c r="G48" s="1693"/>
      <c r="H48" s="1696"/>
      <c r="I48" s="1389" t="s">
        <v>312</v>
      </c>
      <c r="J48" s="1390"/>
      <c r="K48" s="1391"/>
      <c r="L48" s="203"/>
      <c r="M48" s="203"/>
      <c r="N48" s="203"/>
      <c r="O48" s="203"/>
      <c r="P48" s="203"/>
      <c r="Q48" s="203"/>
      <c r="R48" s="203"/>
      <c r="S48" s="203"/>
      <c r="T48" s="204"/>
      <c r="U48" s="203"/>
      <c r="V48" s="203"/>
      <c r="W48" s="203"/>
      <c r="X48" s="203"/>
      <c r="Y48" s="203"/>
      <c r="Z48" s="203"/>
      <c r="AA48" s="203"/>
      <c r="AB48" s="203"/>
      <c r="AC48" s="203"/>
      <c r="AD48" s="203" t="s">
        <v>538</v>
      </c>
      <c r="AE48" s="203"/>
      <c r="AF48" s="203"/>
      <c r="AG48" s="203"/>
      <c r="AH48" s="203" t="s">
        <v>543</v>
      </c>
      <c r="AI48" s="203"/>
      <c r="AJ48" s="203"/>
      <c r="AK48" s="203"/>
      <c r="AL48" s="203"/>
      <c r="AM48" s="203"/>
      <c r="AN48" s="203"/>
      <c r="AO48" s="203"/>
      <c r="AP48" s="205"/>
      <c r="AQ48" s="324"/>
      <c r="AR48" s="309"/>
      <c r="AS48" s="1754"/>
      <c r="AT48" s="333"/>
      <c r="AU48" s="227"/>
      <c r="AV48" s="227"/>
      <c r="BL48" s="299"/>
      <c r="BM48" s="299"/>
      <c r="BN48" s="299"/>
      <c r="BO48" s="299"/>
      <c r="BP48" s="299"/>
      <c r="BQ48" s="299"/>
      <c r="BR48" s="299"/>
      <c r="BS48" s="299"/>
      <c r="BT48" s="299"/>
      <c r="BU48" s="299">
        <f>BT47+AL46</f>
        <v>2535</v>
      </c>
      <c r="BV48" s="299">
        <f t="shared" ref="BV48" si="38">BU48+AM46</f>
        <v>2605</v>
      </c>
    </row>
    <row r="49" spans="1:74" ht="14.25" thickBot="1" x14ac:dyDescent="0.3">
      <c r="A49" s="1753"/>
      <c r="B49" s="194" t="str">
        <f>'February 25 D_R (Tramming)'!F49</f>
        <v xml:space="preserve">-   </v>
      </c>
      <c r="C49" s="348">
        <f>J49</f>
        <v>1.6900000000000006</v>
      </c>
      <c r="F49" s="1608"/>
      <c r="G49" s="1693"/>
      <c r="H49" s="1686" t="s">
        <v>343</v>
      </c>
      <c r="I49" s="1384" t="s">
        <v>344</v>
      </c>
      <c r="J49" s="1310">
        <f t="shared" ref="J49:J50" si="39">IFERROR(J51*1000/J46,0)</f>
        <v>1.6900000000000006</v>
      </c>
      <c r="K49" s="1385"/>
      <c r="L49" s="1312">
        <v>1.69</v>
      </c>
      <c r="M49" s="1312">
        <v>1.69</v>
      </c>
      <c r="N49" s="1312">
        <v>1.69</v>
      </c>
      <c r="O49" s="1333">
        <v>1.69</v>
      </c>
      <c r="P49" s="1333">
        <v>1.69</v>
      </c>
      <c r="Q49" s="1333">
        <v>1.69</v>
      </c>
      <c r="R49" s="1333">
        <v>1.69</v>
      </c>
      <c r="S49" s="1333">
        <v>1.69</v>
      </c>
      <c r="T49" s="1334">
        <v>1.69</v>
      </c>
      <c r="U49" s="1333">
        <v>1.69</v>
      </c>
      <c r="V49" s="1333">
        <v>1.69</v>
      </c>
      <c r="W49" s="1333">
        <v>1.69</v>
      </c>
      <c r="X49" s="1333">
        <v>1.69</v>
      </c>
      <c r="Y49" s="1333">
        <v>1.69</v>
      </c>
      <c r="Z49" s="1333">
        <v>1.69</v>
      </c>
      <c r="AA49" s="1333">
        <v>1.69</v>
      </c>
      <c r="AB49" s="1333">
        <v>1.69</v>
      </c>
      <c r="AC49" s="1333">
        <v>1.69</v>
      </c>
      <c r="AD49" s="1333">
        <v>1.69</v>
      </c>
      <c r="AE49" s="1333">
        <v>1.69</v>
      </c>
      <c r="AF49" s="1333">
        <v>1.69</v>
      </c>
      <c r="AG49" s="1333">
        <v>1.69</v>
      </c>
      <c r="AH49" s="1333">
        <v>1.69</v>
      </c>
      <c r="AI49" s="1333">
        <v>1.69</v>
      </c>
      <c r="AJ49" s="1333">
        <v>1.69</v>
      </c>
      <c r="AK49" s="1333">
        <v>1.69</v>
      </c>
      <c r="AL49" s="1333">
        <v>1.69</v>
      </c>
      <c r="AM49" s="1333">
        <v>1.69</v>
      </c>
      <c r="AN49" s="1333">
        <v>0</v>
      </c>
      <c r="AO49" s="1333">
        <v>0</v>
      </c>
      <c r="AP49" s="1335">
        <v>0</v>
      </c>
      <c r="AQ49" s="325"/>
      <c r="AR49" s="308"/>
      <c r="AS49" s="1754"/>
      <c r="AU49" s="226"/>
      <c r="AV49" s="226"/>
    </row>
    <row r="50" spans="1:74" ht="14.25" thickBot="1" x14ac:dyDescent="0.3">
      <c r="A50" s="1753"/>
      <c r="B50" s="194">
        <f>'February 25 D_R (Tramming)'!F50</f>
        <v>1.56</v>
      </c>
      <c r="C50" s="350">
        <f>C52*1000/C47</f>
        <v>1.5461763476807355</v>
      </c>
      <c r="F50" s="1608"/>
      <c r="G50" s="1693"/>
      <c r="H50" s="1686"/>
      <c r="I50" s="1386" t="s">
        <v>345</v>
      </c>
      <c r="J50" s="1314">
        <f t="shared" si="39"/>
        <v>2.0482028397565921</v>
      </c>
      <c r="K50" s="1380">
        <f t="shared" ref="K50" si="40">IFERROR((J50-J49)/J49,0)</f>
        <v>0.2119543430512375</v>
      </c>
      <c r="L50" s="1315">
        <v>2.2000000000000002</v>
      </c>
      <c r="M50" s="1314">
        <v>2.2000000000000002</v>
      </c>
      <c r="N50" s="1314">
        <v>0.4</v>
      </c>
      <c r="O50" s="1314">
        <v>0.56999999999999995</v>
      </c>
      <c r="P50" s="1314">
        <v>0.67</v>
      </c>
      <c r="Q50" s="1314">
        <v>1.2</v>
      </c>
      <c r="R50" s="1314">
        <v>1.28</v>
      </c>
      <c r="S50" s="1314">
        <v>5.01</v>
      </c>
      <c r="T50" s="1314">
        <v>5.01</v>
      </c>
      <c r="U50" s="1314">
        <v>1.28</v>
      </c>
      <c r="V50" s="1314">
        <v>1.78</v>
      </c>
      <c r="W50" s="1314">
        <v>0.93</v>
      </c>
      <c r="X50" s="1314">
        <v>3.41</v>
      </c>
      <c r="Y50" s="1314">
        <v>3.52</v>
      </c>
      <c r="Z50" s="1314">
        <v>1.66</v>
      </c>
      <c r="AA50" s="1314">
        <v>1.66</v>
      </c>
      <c r="AB50" s="1314">
        <v>2.17</v>
      </c>
      <c r="AC50" s="1314">
        <v>1.73</v>
      </c>
      <c r="AD50" s="1314">
        <v>2.0299999999999998</v>
      </c>
      <c r="AE50" s="1314">
        <v>3.08</v>
      </c>
      <c r="AF50" s="1314">
        <v>1.83</v>
      </c>
      <c r="AG50" s="1314">
        <v>2.09</v>
      </c>
      <c r="AH50" s="1314">
        <v>2.09</v>
      </c>
      <c r="AI50" s="1314">
        <v>1.88</v>
      </c>
      <c r="AJ50" s="1314"/>
      <c r="AK50" s="1314"/>
      <c r="AL50" s="1314"/>
      <c r="AM50" s="1314"/>
      <c r="AN50" s="1314"/>
      <c r="AO50" s="1314"/>
      <c r="AP50" s="1314"/>
      <c r="AQ50" s="326"/>
      <c r="AR50" s="308"/>
      <c r="AS50" s="1754"/>
      <c r="AU50" s="226"/>
      <c r="AV50" s="226"/>
    </row>
    <row r="51" spans="1:74" ht="14.25" thickBot="1" x14ac:dyDescent="0.3">
      <c r="A51" s="1753"/>
      <c r="B51" s="194" t="str">
        <f>'February 25 D_R (Tramming)'!F51</f>
        <v xml:space="preserve">-   </v>
      </c>
      <c r="F51" s="1608"/>
      <c r="G51" s="1693"/>
      <c r="H51" s="1686" t="s">
        <v>47</v>
      </c>
      <c r="I51" s="1384" t="s">
        <v>346</v>
      </c>
      <c r="J51" s="206">
        <f>SUMIF($L$9:$AP$9,"&lt;="&amp;$G$7,L51:AP51)</f>
        <v>3.3124000000000011</v>
      </c>
      <c r="K51" s="1385"/>
      <c r="L51" s="1316">
        <f t="shared" ref="L51:AP52" si="41">+L49*L46/1000</f>
        <v>0.1183</v>
      </c>
      <c r="M51" s="1316">
        <f t="shared" si="41"/>
        <v>0.1183</v>
      </c>
      <c r="N51" s="1316">
        <f t="shared" si="41"/>
        <v>0.1183</v>
      </c>
      <c r="O51" s="1317">
        <f t="shared" si="41"/>
        <v>0.1183</v>
      </c>
      <c r="P51" s="1317">
        <f t="shared" si="41"/>
        <v>0.1183</v>
      </c>
      <c r="Q51" s="1317">
        <f t="shared" si="41"/>
        <v>0.1183</v>
      </c>
      <c r="R51" s="1317">
        <f t="shared" si="41"/>
        <v>0.1183</v>
      </c>
      <c r="S51" s="1317">
        <f t="shared" si="41"/>
        <v>0.1183</v>
      </c>
      <c r="T51" s="1318">
        <f t="shared" si="41"/>
        <v>0.1183</v>
      </c>
      <c r="U51" s="1317">
        <f t="shared" si="41"/>
        <v>0.1183</v>
      </c>
      <c r="V51" s="1317">
        <f t="shared" si="41"/>
        <v>0.1183</v>
      </c>
      <c r="W51" s="1317">
        <f t="shared" si="41"/>
        <v>0.1183</v>
      </c>
      <c r="X51" s="1317">
        <f t="shared" si="41"/>
        <v>0.1183</v>
      </c>
      <c r="Y51" s="1317">
        <f t="shared" si="41"/>
        <v>0.1183</v>
      </c>
      <c r="Z51" s="1317">
        <f t="shared" si="41"/>
        <v>0.1183</v>
      </c>
      <c r="AA51" s="1317">
        <f>+AA49*AA46/1000</f>
        <v>0.1183</v>
      </c>
      <c r="AB51" s="1317">
        <f t="shared" si="41"/>
        <v>0.1183</v>
      </c>
      <c r="AC51" s="1317">
        <f t="shared" si="41"/>
        <v>0.1183</v>
      </c>
      <c r="AD51" s="1317">
        <f t="shared" si="41"/>
        <v>0.1183</v>
      </c>
      <c r="AE51" s="1317">
        <f t="shared" si="41"/>
        <v>0.1183</v>
      </c>
      <c r="AF51" s="1317">
        <f t="shared" si="41"/>
        <v>0.1183</v>
      </c>
      <c r="AG51" s="1317">
        <f t="shared" si="41"/>
        <v>0.1183</v>
      </c>
      <c r="AH51" s="1317">
        <f t="shared" si="41"/>
        <v>0.1183</v>
      </c>
      <c r="AI51" s="1317">
        <f t="shared" si="41"/>
        <v>0.1183</v>
      </c>
      <c r="AJ51" s="1317">
        <f t="shared" si="41"/>
        <v>0.1183</v>
      </c>
      <c r="AK51" s="1317">
        <f t="shared" si="41"/>
        <v>0.1183</v>
      </c>
      <c r="AL51" s="1317">
        <f t="shared" si="41"/>
        <v>0.1183</v>
      </c>
      <c r="AM51" s="1317">
        <f t="shared" si="41"/>
        <v>0.1183</v>
      </c>
      <c r="AN51" s="1317">
        <f t="shared" si="41"/>
        <v>0</v>
      </c>
      <c r="AO51" s="1317">
        <f t="shared" si="41"/>
        <v>0</v>
      </c>
      <c r="AP51" s="1319">
        <f t="shared" si="41"/>
        <v>0</v>
      </c>
      <c r="AQ51" s="327"/>
      <c r="AR51" s="310"/>
      <c r="AS51" s="1754"/>
      <c r="AT51" s="332"/>
      <c r="AU51" s="226"/>
      <c r="AV51" s="226"/>
    </row>
    <row r="52" spans="1:74" ht="14.25" thickBot="1" x14ac:dyDescent="0.3">
      <c r="A52" s="1753"/>
      <c r="B52" s="194">
        <f>'February 25 D_R (Tramming)'!F52</f>
        <v>3.7</v>
      </c>
      <c r="C52" s="350">
        <f>(J52/(J52))*B52</f>
        <v>3.7</v>
      </c>
      <c r="F52" s="1609"/>
      <c r="G52" s="1694"/>
      <c r="H52" s="1687"/>
      <c r="I52" s="1387" t="s">
        <v>347</v>
      </c>
      <c r="J52" s="1321">
        <f>SUMIF($L$9:$AP$9,"&lt;="&amp;$G$7,L52:AP52)</f>
        <v>5.0488200000000001</v>
      </c>
      <c r="K52" s="1388">
        <f t="shared" ref="K52" si="42">IFERROR((J52-J51)/J51,0)</f>
        <v>0.52421808960270455</v>
      </c>
      <c r="L52" s="1323">
        <f t="shared" si="41"/>
        <v>0</v>
      </c>
      <c r="M52" s="1321">
        <f t="shared" si="41"/>
        <v>5.9400000000000008E-2</v>
      </c>
      <c r="N52" s="1321">
        <f t="shared" si="41"/>
        <v>1.6E-2</v>
      </c>
      <c r="O52" s="1321">
        <f t="shared" si="41"/>
        <v>4.1610000000000001E-2</v>
      </c>
      <c r="P52" s="1321">
        <f t="shared" si="41"/>
        <v>4.5560000000000003E-2</v>
      </c>
      <c r="Q52" s="1321">
        <f t="shared" si="41"/>
        <v>0.108</v>
      </c>
      <c r="R52" s="1321">
        <f t="shared" si="41"/>
        <v>0.26112000000000002</v>
      </c>
      <c r="S52" s="1321">
        <f t="shared" si="41"/>
        <v>0.67133999999999994</v>
      </c>
      <c r="T52" s="1321">
        <f t="shared" si="41"/>
        <v>0.7164299999999999</v>
      </c>
      <c r="U52" s="1321">
        <f t="shared" si="41"/>
        <v>0.13696</v>
      </c>
      <c r="V52" s="1321">
        <f t="shared" si="41"/>
        <v>0.18868000000000001</v>
      </c>
      <c r="W52" s="1321">
        <f t="shared" si="41"/>
        <v>9.9510000000000001E-2</v>
      </c>
      <c r="X52" s="1321">
        <f t="shared" si="41"/>
        <v>0.39897000000000005</v>
      </c>
      <c r="Y52" s="1321">
        <f t="shared" si="41"/>
        <v>0.49983999999999995</v>
      </c>
      <c r="Z52" s="1321">
        <f t="shared" si="41"/>
        <v>0.24733999999999998</v>
      </c>
      <c r="AA52" s="1321">
        <f>+AA50*AA47/1000</f>
        <v>0.23239999999999997</v>
      </c>
      <c r="AB52" s="1321">
        <f t="shared" si="41"/>
        <v>0.27993000000000001</v>
      </c>
      <c r="AC52" s="1321">
        <f t="shared" si="41"/>
        <v>0.16607999999999998</v>
      </c>
      <c r="AD52" s="1321">
        <f t="shared" si="41"/>
        <v>0.12382999999999998</v>
      </c>
      <c r="AE52" s="1321">
        <f t="shared" si="41"/>
        <v>0.16632</v>
      </c>
      <c r="AF52" s="1321">
        <f t="shared" si="41"/>
        <v>0.14274000000000001</v>
      </c>
      <c r="AG52" s="1321">
        <f t="shared" si="41"/>
        <v>0.12539999999999998</v>
      </c>
      <c r="AH52" s="1321">
        <f t="shared" si="41"/>
        <v>0.16719999999999999</v>
      </c>
      <c r="AI52" s="1321">
        <f t="shared" si="41"/>
        <v>0.15415999999999999</v>
      </c>
      <c r="AJ52" s="1321">
        <f t="shared" si="41"/>
        <v>0</v>
      </c>
      <c r="AK52" s="1321">
        <f t="shared" si="41"/>
        <v>0</v>
      </c>
      <c r="AL52" s="1321">
        <f t="shared" si="41"/>
        <v>0</v>
      </c>
      <c r="AM52" s="1321">
        <f t="shared" si="41"/>
        <v>0</v>
      </c>
      <c r="AN52" s="1321">
        <f t="shared" si="41"/>
        <v>0</v>
      </c>
      <c r="AO52" s="1321">
        <f t="shared" si="41"/>
        <v>0</v>
      </c>
      <c r="AP52" s="1321">
        <f t="shared" si="41"/>
        <v>0</v>
      </c>
      <c r="AQ52" s="328"/>
      <c r="AR52" s="311"/>
      <c r="AS52" s="1754"/>
      <c r="AU52" s="226"/>
      <c r="AV52" s="226"/>
    </row>
    <row r="53" spans="1:74" s="194" customFormat="1" ht="14.45" customHeight="1" thickBot="1" x14ac:dyDescent="0.3">
      <c r="A53" s="1753" t="s">
        <v>549</v>
      </c>
      <c r="B53" s="194" t="str">
        <f>'February 25 D_R (Tramming)'!F53</f>
        <v xml:space="preserve">-   </v>
      </c>
      <c r="E53" s="202"/>
      <c r="F53" s="1608"/>
      <c r="G53" s="1692" t="s">
        <v>366</v>
      </c>
      <c r="H53" s="1696" t="s">
        <v>340</v>
      </c>
      <c r="I53" s="293" t="s">
        <v>341</v>
      </c>
      <c r="J53" s="196">
        <f>SUMIF($L$9:$AP$9,"&lt;="&amp;$G$7,L53:AP53)</f>
        <v>3920</v>
      </c>
      <c r="K53" s="197"/>
      <c r="L53" s="198">
        <v>140</v>
      </c>
      <c r="M53" s="198">
        <v>140</v>
      </c>
      <c r="N53" s="198">
        <v>140</v>
      </c>
      <c r="O53" s="199">
        <v>140</v>
      </c>
      <c r="P53" s="199">
        <v>140</v>
      </c>
      <c r="Q53" s="199">
        <v>140</v>
      </c>
      <c r="R53" s="199">
        <v>140</v>
      </c>
      <c r="S53" s="199">
        <v>140</v>
      </c>
      <c r="T53" s="200">
        <v>140</v>
      </c>
      <c r="U53" s="199">
        <v>140</v>
      </c>
      <c r="V53" s="199">
        <v>140</v>
      </c>
      <c r="W53" s="199">
        <v>140</v>
      </c>
      <c r="X53" s="199">
        <v>140</v>
      </c>
      <c r="Y53" s="199">
        <v>140</v>
      </c>
      <c r="Z53" s="199">
        <v>140</v>
      </c>
      <c r="AA53" s="199">
        <v>140</v>
      </c>
      <c r="AB53" s="199">
        <v>140</v>
      </c>
      <c r="AC53" s="199">
        <v>140</v>
      </c>
      <c r="AD53" s="199">
        <v>140</v>
      </c>
      <c r="AE53" s="199">
        <v>140</v>
      </c>
      <c r="AF53" s="199">
        <v>140</v>
      </c>
      <c r="AG53" s="199">
        <v>140</v>
      </c>
      <c r="AH53" s="199">
        <v>140</v>
      </c>
      <c r="AI53" s="199">
        <v>140</v>
      </c>
      <c r="AJ53" s="199">
        <v>140</v>
      </c>
      <c r="AK53" s="199">
        <v>140</v>
      </c>
      <c r="AL53" s="199">
        <v>140</v>
      </c>
      <c r="AM53" s="199">
        <v>140</v>
      </c>
      <c r="AN53" s="199">
        <v>0</v>
      </c>
      <c r="AO53" s="199">
        <v>0</v>
      </c>
      <c r="AP53" s="201">
        <v>0</v>
      </c>
      <c r="AQ53" s="322"/>
      <c r="AR53" s="307"/>
      <c r="AS53" s="1754" t="s">
        <v>550</v>
      </c>
      <c r="AT53" s="332"/>
      <c r="AU53" s="226">
        <f>L53</f>
        <v>140</v>
      </c>
      <c r="AV53" s="298">
        <f>AU53+M53</f>
        <v>280</v>
      </c>
      <c r="AW53" s="298">
        <f>AV53+N53</f>
        <v>420</v>
      </c>
      <c r="AX53" s="298">
        <f t="shared" ref="AX53:BM54" si="43">AW53+O53</f>
        <v>560</v>
      </c>
      <c r="AY53" s="298">
        <f t="shared" si="43"/>
        <v>700</v>
      </c>
      <c r="AZ53" s="298">
        <f t="shared" si="43"/>
        <v>840</v>
      </c>
      <c r="BA53" s="298">
        <f t="shared" si="43"/>
        <v>980</v>
      </c>
      <c r="BB53" s="298">
        <f t="shared" si="43"/>
        <v>1120</v>
      </c>
      <c r="BC53" s="298">
        <f t="shared" si="43"/>
        <v>1260</v>
      </c>
      <c r="BD53" s="298">
        <f t="shared" si="43"/>
        <v>1400</v>
      </c>
      <c r="BE53" s="298">
        <f t="shared" si="43"/>
        <v>1540</v>
      </c>
      <c r="BF53" s="298">
        <f t="shared" si="43"/>
        <v>1680</v>
      </c>
      <c r="BG53" s="298">
        <f t="shared" si="43"/>
        <v>1820</v>
      </c>
      <c r="BH53" s="298">
        <f t="shared" si="43"/>
        <v>1960</v>
      </c>
      <c r="BI53" s="298">
        <f t="shared" si="43"/>
        <v>2100</v>
      </c>
      <c r="BJ53" s="298">
        <f t="shared" si="43"/>
        <v>2240</v>
      </c>
      <c r="BK53" s="298">
        <f t="shared" si="43"/>
        <v>2380</v>
      </c>
      <c r="BL53" s="298">
        <f t="shared" si="43"/>
        <v>2520</v>
      </c>
      <c r="BM53" s="298">
        <f t="shared" si="43"/>
        <v>2660</v>
      </c>
      <c r="BN53" s="298">
        <f t="shared" ref="BN53:BV54" si="44">BM53+AE53</f>
        <v>2800</v>
      </c>
      <c r="BO53" s="298">
        <f t="shared" si="44"/>
        <v>2940</v>
      </c>
      <c r="BP53" s="298">
        <f t="shared" si="44"/>
        <v>3080</v>
      </c>
      <c r="BQ53" s="298">
        <f t="shared" si="44"/>
        <v>3220</v>
      </c>
      <c r="BR53" s="298">
        <f t="shared" si="44"/>
        <v>3360</v>
      </c>
      <c r="BS53" s="298">
        <f t="shared" si="44"/>
        <v>3500</v>
      </c>
      <c r="BT53" s="298">
        <f t="shared" si="44"/>
        <v>3640</v>
      </c>
      <c r="BU53" s="298">
        <f t="shared" si="44"/>
        <v>3780</v>
      </c>
      <c r="BV53" s="298">
        <f t="shared" si="44"/>
        <v>3920</v>
      </c>
    </row>
    <row r="54" spans="1:74" ht="14.25" thickBot="1" x14ac:dyDescent="0.3">
      <c r="A54" s="1753"/>
      <c r="B54" s="194">
        <f>'February 25 D_R (Tramming)'!F54</f>
        <v>2080</v>
      </c>
      <c r="C54" s="352">
        <f>(J54/(J54))*B54</f>
        <v>2080</v>
      </c>
      <c r="D54" s="349">
        <f>(C54-J54)/C54</f>
        <v>0.25144230769230769</v>
      </c>
      <c r="F54" s="1608"/>
      <c r="G54" s="1693"/>
      <c r="H54" s="1696"/>
      <c r="I54" s="1379" t="s">
        <v>342</v>
      </c>
      <c r="J54" s="1303">
        <f>SUMIF($L$9:$AP$9,"&lt;="&amp;$G$7,L54:AP54)</f>
        <v>1557</v>
      </c>
      <c r="K54" s="1380">
        <f t="shared" ref="K54" si="45">IFERROR((J54-J53)/J53,0)</f>
        <v>-0.60280612244897958</v>
      </c>
      <c r="L54" s="1305">
        <f>41+41+40+38</f>
        <v>160</v>
      </c>
      <c r="M54" s="1303">
        <f>36+38+43</f>
        <v>117</v>
      </c>
      <c r="N54" s="1303">
        <f>40+45+45</f>
        <v>130</v>
      </c>
      <c r="O54" s="1303">
        <f>45+45</f>
        <v>90</v>
      </c>
      <c r="P54" s="1303">
        <f>30+27</f>
        <v>57</v>
      </c>
      <c r="Q54" s="1303">
        <f>40+37</f>
        <v>77</v>
      </c>
      <c r="R54" s="1303"/>
      <c r="S54" s="1303"/>
      <c r="T54" s="1303"/>
      <c r="U54" s="1303">
        <f>32+20</f>
        <v>52</v>
      </c>
      <c r="V54" s="1303">
        <v>60</v>
      </c>
      <c r="W54" s="1303">
        <v>20</v>
      </c>
      <c r="X54" s="1303"/>
      <c r="Y54" s="1303">
        <v>15</v>
      </c>
      <c r="Z54" s="1303">
        <v>20</v>
      </c>
      <c r="AA54" s="1303">
        <v>20</v>
      </c>
      <c r="AB54" s="1303">
        <v>50</v>
      </c>
      <c r="AC54" s="1303">
        <v>50</v>
      </c>
      <c r="AD54" s="1303">
        <v>140</v>
      </c>
      <c r="AE54" s="1303">
        <v>95</v>
      </c>
      <c r="AF54" s="1303">
        <v>72</v>
      </c>
      <c r="AG54" s="1303">
        <f>42+49</f>
        <v>91</v>
      </c>
      <c r="AH54" s="1303">
        <f>45+47</f>
        <v>92</v>
      </c>
      <c r="AI54" s="1303">
        <f>27+37</f>
        <v>64</v>
      </c>
      <c r="AJ54" s="1303">
        <v>40</v>
      </c>
      <c r="AK54" s="1303">
        <v>45</v>
      </c>
      <c r="AL54" s="1303"/>
      <c r="AM54" s="1303"/>
      <c r="AN54" s="1303"/>
      <c r="AO54" s="1303"/>
      <c r="AP54" s="1303"/>
      <c r="AQ54" s="323"/>
      <c r="AR54" s="308"/>
      <c r="AS54" s="1754"/>
      <c r="AU54" s="226">
        <f>L54</f>
        <v>160</v>
      </c>
      <c r="AV54" s="298">
        <f>AU54+M54</f>
        <v>277</v>
      </c>
      <c r="AW54" s="298">
        <f>AV54+N54</f>
        <v>407</v>
      </c>
      <c r="AX54" s="298">
        <f t="shared" si="43"/>
        <v>497</v>
      </c>
      <c r="AY54" s="298">
        <f t="shared" si="43"/>
        <v>554</v>
      </c>
      <c r="AZ54" s="298">
        <f t="shared" si="43"/>
        <v>631</v>
      </c>
      <c r="BA54" s="298">
        <f t="shared" si="43"/>
        <v>631</v>
      </c>
      <c r="BB54" s="298">
        <f t="shared" si="43"/>
        <v>631</v>
      </c>
      <c r="BC54" s="298">
        <f t="shared" si="43"/>
        <v>631</v>
      </c>
      <c r="BD54" s="298">
        <f t="shared" si="43"/>
        <v>683</v>
      </c>
      <c r="BE54" s="298">
        <f t="shared" si="43"/>
        <v>743</v>
      </c>
      <c r="BF54" s="298">
        <f t="shared" si="43"/>
        <v>763</v>
      </c>
      <c r="BG54" s="298">
        <f t="shared" si="43"/>
        <v>763</v>
      </c>
      <c r="BH54" s="298">
        <f t="shared" si="43"/>
        <v>778</v>
      </c>
      <c r="BI54" s="298">
        <f t="shared" si="43"/>
        <v>798</v>
      </c>
      <c r="BJ54" s="298">
        <f t="shared" si="43"/>
        <v>818</v>
      </c>
      <c r="BK54" s="298">
        <f t="shared" si="43"/>
        <v>868</v>
      </c>
      <c r="BL54" s="298">
        <f t="shared" si="43"/>
        <v>918</v>
      </c>
      <c r="BM54" s="298">
        <f t="shared" si="43"/>
        <v>1058</v>
      </c>
      <c r="BN54" s="298">
        <f t="shared" si="44"/>
        <v>1153</v>
      </c>
      <c r="BO54" s="298">
        <f t="shared" si="44"/>
        <v>1225</v>
      </c>
      <c r="BP54" s="298">
        <f t="shared" si="44"/>
        <v>1316</v>
      </c>
      <c r="BQ54" s="298">
        <f t="shared" si="44"/>
        <v>1408</v>
      </c>
      <c r="BR54" s="298">
        <f t="shared" si="44"/>
        <v>1472</v>
      </c>
      <c r="BS54" s="298">
        <f t="shared" si="44"/>
        <v>1512</v>
      </c>
      <c r="BT54" s="298">
        <f t="shared" si="44"/>
        <v>1557</v>
      </c>
    </row>
    <row r="55" spans="1:74" ht="14.25" thickBot="1" x14ac:dyDescent="0.3">
      <c r="A55" s="1753"/>
      <c r="B55" s="194">
        <f>'February 25 D_R (Tramming)'!F55</f>
        <v>0</v>
      </c>
      <c r="F55" s="1608"/>
      <c r="G55" s="1693"/>
      <c r="H55" s="1696"/>
      <c r="I55" s="1389" t="s">
        <v>312</v>
      </c>
      <c r="J55" s="1390"/>
      <c r="K55" s="1391"/>
      <c r="L55" s="203"/>
      <c r="M55" s="203"/>
      <c r="N55" s="203"/>
      <c r="O55" s="203"/>
      <c r="P55" s="203"/>
      <c r="Q55" s="203"/>
      <c r="R55" s="203"/>
      <c r="S55" s="203"/>
      <c r="T55" s="204"/>
      <c r="U55" s="203"/>
      <c r="V55" s="203"/>
      <c r="W55" s="203"/>
      <c r="X55" s="203"/>
      <c r="Y55" s="203"/>
      <c r="Z55" s="203"/>
      <c r="AA55" s="203"/>
      <c r="AB55" s="203"/>
      <c r="AC55" s="203" t="s">
        <v>546</v>
      </c>
      <c r="AD55" s="203"/>
      <c r="AE55" s="203"/>
      <c r="AF55" s="203"/>
      <c r="AG55" s="203"/>
      <c r="AH55" s="203" t="s">
        <v>547</v>
      </c>
      <c r="AI55" s="203"/>
      <c r="AJ55" s="203"/>
      <c r="AK55" s="203" t="s">
        <v>548</v>
      </c>
      <c r="AL55" s="203"/>
      <c r="AM55" s="203"/>
      <c r="AN55" s="203"/>
      <c r="AO55" s="203"/>
      <c r="AP55" s="205"/>
      <c r="AQ55" s="324"/>
      <c r="AR55" s="309"/>
      <c r="AS55" s="1754"/>
      <c r="AT55" s="333"/>
      <c r="AU55" s="227"/>
      <c r="AV55" s="227"/>
      <c r="BL55" s="299"/>
      <c r="BM55" s="299"/>
      <c r="BN55" s="299"/>
      <c r="BO55" s="299"/>
      <c r="BP55" s="299"/>
      <c r="BQ55" s="299"/>
      <c r="BR55" s="299"/>
      <c r="BS55" s="299"/>
      <c r="BT55" s="299"/>
      <c r="BU55" s="299">
        <f>BT54+AL53</f>
        <v>1697</v>
      </c>
      <c r="BV55" s="299">
        <f t="shared" ref="BV55" si="46">BU55+AM53</f>
        <v>1837</v>
      </c>
    </row>
    <row r="56" spans="1:74" ht="14.25" thickBot="1" x14ac:dyDescent="0.3">
      <c r="A56" s="1753"/>
      <c r="B56" s="194" t="str">
        <f>'February 25 D_R (Tramming)'!F56</f>
        <v xml:space="preserve">-   </v>
      </c>
      <c r="F56" s="1608"/>
      <c r="G56" s="1693"/>
      <c r="H56" s="1686" t="s">
        <v>343</v>
      </c>
      <c r="I56" s="1384" t="s">
        <v>344</v>
      </c>
      <c r="J56" s="1310">
        <f t="shared" ref="J56:J57" si="47">IFERROR(J58*1000/J53,0)</f>
        <v>2.8699999999999988</v>
      </c>
      <c r="K56" s="1385"/>
      <c r="L56" s="1312">
        <v>2.87</v>
      </c>
      <c r="M56" s="1312">
        <v>2.87</v>
      </c>
      <c r="N56" s="1312">
        <v>2.87</v>
      </c>
      <c r="O56" s="1333">
        <v>2.87</v>
      </c>
      <c r="P56" s="1333">
        <v>2.87</v>
      </c>
      <c r="Q56" s="1333">
        <v>2.87</v>
      </c>
      <c r="R56" s="1333">
        <v>2.87</v>
      </c>
      <c r="S56" s="1333">
        <v>2.87</v>
      </c>
      <c r="T56" s="1334">
        <v>2.87</v>
      </c>
      <c r="U56" s="1333">
        <v>2.87</v>
      </c>
      <c r="V56" s="1333">
        <v>2.87</v>
      </c>
      <c r="W56" s="1333">
        <v>2.87</v>
      </c>
      <c r="X56" s="1333">
        <v>2.87</v>
      </c>
      <c r="Y56" s="1333">
        <v>2.87</v>
      </c>
      <c r="Z56" s="1333">
        <v>2.87</v>
      </c>
      <c r="AA56" s="1333">
        <v>2.87</v>
      </c>
      <c r="AB56" s="1333">
        <v>2.87</v>
      </c>
      <c r="AC56" s="1333">
        <v>2.87</v>
      </c>
      <c r="AD56" s="1333">
        <v>2.87</v>
      </c>
      <c r="AE56" s="1333">
        <v>2.87</v>
      </c>
      <c r="AF56" s="1333">
        <v>2.87</v>
      </c>
      <c r="AG56" s="1333">
        <v>2.87</v>
      </c>
      <c r="AH56" s="1333">
        <v>2.87</v>
      </c>
      <c r="AI56" s="1333">
        <v>2.87</v>
      </c>
      <c r="AJ56" s="1333">
        <v>2.87</v>
      </c>
      <c r="AK56" s="1333">
        <v>2.87</v>
      </c>
      <c r="AL56" s="1333">
        <v>2.87</v>
      </c>
      <c r="AM56" s="1333">
        <v>2.87</v>
      </c>
      <c r="AN56" s="1333">
        <v>0</v>
      </c>
      <c r="AO56" s="1333">
        <v>0</v>
      </c>
      <c r="AP56" s="1335">
        <v>0</v>
      </c>
      <c r="AQ56" s="325"/>
      <c r="AR56" s="308"/>
      <c r="AS56" s="1754"/>
      <c r="AU56" s="226"/>
      <c r="AV56" s="226"/>
    </row>
    <row r="57" spans="1:74" ht="14.25" thickBot="1" x14ac:dyDescent="0.3">
      <c r="A57" s="1753"/>
      <c r="B57" s="194">
        <f>'February 25 D_R (Tramming)'!F57</f>
        <v>1.78</v>
      </c>
      <c r="C57" s="350">
        <f>C59*1000/C54</f>
        <v>1.7788461538461537</v>
      </c>
      <c r="F57" s="1608"/>
      <c r="G57" s="1693"/>
      <c r="H57" s="1686"/>
      <c r="I57" s="1386" t="s">
        <v>345</v>
      </c>
      <c r="J57" s="1314">
        <f t="shared" si="47"/>
        <v>2.3115671162491966</v>
      </c>
      <c r="K57" s="1380">
        <f t="shared" ref="K57" si="48">IFERROR((J57-J56)/J56,0)</f>
        <v>-0.1945759176832064</v>
      </c>
      <c r="L57" s="1315">
        <v>1.92</v>
      </c>
      <c r="M57" s="1314">
        <v>1.92</v>
      </c>
      <c r="N57" s="1314">
        <v>1.87</v>
      </c>
      <c r="O57" s="1314">
        <v>3.39</v>
      </c>
      <c r="P57" s="1314">
        <v>3.18</v>
      </c>
      <c r="Q57" s="1314">
        <v>0.65</v>
      </c>
      <c r="R57" s="1314"/>
      <c r="S57" s="1314"/>
      <c r="T57" s="1314"/>
      <c r="U57" s="1314">
        <v>2</v>
      </c>
      <c r="V57" s="1314">
        <v>4.32</v>
      </c>
      <c r="W57" s="1314">
        <v>1.46</v>
      </c>
      <c r="X57" s="1314">
        <v>4.6500000000000004</v>
      </c>
      <c r="Y57" s="1314">
        <v>3.05</v>
      </c>
      <c r="Z57" s="1314">
        <v>3.67</v>
      </c>
      <c r="AA57" s="1314">
        <v>3.67</v>
      </c>
      <c r="AB57" s="1314">
        <v>4.67</v>
      </c>
      <c r="AC57" s="1314">
        <v>2.31</v>
      </c>
      <c r="AD57" s="1314">
        <v>3.27</v>
      </c>
      <c r="AE57" s="1314">
        <v>2.58</v>
      </c>
      <c r="AF57" s="1314">
        <v>3.13</v>
      </c>
      <c r="AG57" s="1314">
        <v>2.25</v>
      </c>
      <c r="AH57" s="1314">
        <v>2.4</v>
      </c>
      <c r="AI57" s="1314"/>
      <c r="AJ57" s="1314"/>
      <c r="AK57" s="1314"/>
      <c r="AL57" s="1314"/>
      <c r="AM57" s="1314"/>
      <c r="AN57" s="1314"/>
      <c r="AO57" s="1314"/>
      <c r="AP57" s="1314"/>
      <c r="AQ57" s="326"/>
      <c r="AR57" s="308"/>
      <c r="AS57" s="1754"/>
      <c r="AU57" s="226"/>
      <c r="AV57" s="226"/>
    </row>
    <row r="58" spans="1:74" ht="14.25" thickBot="1" x14ac:dyDescent="0.3">
      <c r="A58" s="1753"/>
      <c r="B58" s="194" t="str">
        <f>'February 25 D_R (Tramming)'!F58</f>
        <v xml:space="preserve">-   </v>
      </c>
      <c r="F58" s="1608"/>
      <c r="G58" s="1693"/>
      <c r="H58" s="1686" t="s">
        <v>47</v>
      </c>
      <c r="I58" s="1384" t="s">
        <v>346</v>
      </c>
      <c r="J58" s="206">
        <f>SUMIF($L$9:$AP$9,"&lt;="&amp;$G$7,L58:AP58)</f>
        <v>11.250399999999996</v>
      </c>
      <c r="K58" s="1385"/>
      <c r="L58" s="1316">
        <f t="shared" ref="L58:AP59" si="49">+L56*L53/1000</f>
        <v>0.40179999999999999</v>
      </c>
      <c r="M58" s="1316">
        <f t="shared" si="49"/>
        <v>0.40179999999999999</v>
      </c>
      <c r="N58" s="1316">
        <f t="shared" si="49"/>
        <v>0.40179999999999999</v>
      </c>
      <c r="O58" s="1317">
        <f t="shared" si="49"/>
        <v>0.40179999999999999</v>
      </c>
      <c r="P58" s="1317">
        <f t="shared" si="49"/>
        <v>0.40179999999999999</v>
      </c>
      <c r="Q58" s="1317">
        <f t="shared" si="49"/>
        <v>0.40179999999999999</v>
      </c>
      <c r="R58" s="1317">
        <f t="shared" si="49"/>
        <v>0.40179999999999999</v>
      </c>
      <c r="S58" s="1317">
        <f t="shared" si="49"/>
        <v>0.40179999999999999</v>
      </c>
      <c r="T58" s="1318">
        <f t="shared" si="49"/>
        <v>0.40179999999999999</v>
      </c>
      <c r="U58" s="1317">
        <f t="shared" si="49"/>
        <v>0.40179999999999999</v>
      </c>
      <c r="V58" s="1317">
        <f t="shared" si="49"/>
        <v>0.40179999999999999</v>
      </c>
      <c r="W58" s="1317">
        <f t="shared" si="49"/>
        <v>0.40179999999999999</v>
      </c>
      <c r="X58" s="1317">
        <f t="shared" si="49"/>
        <v>0.40179999999999999</v>
      </c>
      <c r="Y58" s="1317">
        <f t="shared" si="49"/>
        <v>0.40179999999999999</v>
      </c>
      <c r="Z58" s="1317">
        <f t="shared" si="49"/>
        <v>0.40179999999999999</v>
      </c>
      <c r="AA58" s="1317">
        <f>+AA56*AA53/1000</f>
        <v>0.40179999999999999</v>
      </c>
      <c r="AB58" s="1317">
        <f t="shared" si="49"/>
        <v>0.40179999999999999</v>
      </c>
      <c r="AC58" s="1317">
        <f t="shared" si="49"/>
        <v>0.40179999999999999</v>
      </c>
      <c r="AD58" s="1317">
        <f t="shared" si="49"/>
        <v>0.40179999999999999</v>
      </c>
      <c r="AE58" s="1317">
        <f t="shared" si="49"/>
        <v>0.40179999999999999</v>
      </c>
      <c r="AF58" s="1317">
        <f t="shared" si="49"/>
        <v>0.40179999999999999</v>
      </c>
      <c r="AG58" s="1317">
        <f t="shared" si="49"/>
        <v>0.40179999999999999</v>
      </c>
      <c r="AH58" s="1317">
        <f t="shared" si="49"/>
        <v>0.40179999999999999</v>
      </c>
      <c r="AI58" s="1317">
        <f t="shared" si="49"/>
        <v>0.40179999999999999</v>
      </c>
      <c r="AJ58" s="1317">
        <f t="shared" si="49"/>
        <v>0.40179999999999999</v>
      </c>
      <c r="AK58" s="1317">
        <f t="shared" si="49"/>
        <v>0.40179999999999999</v>
      </c>
      <c r="AL58" s="1317">
        <f t="shared" si="49"/>
        <v>0.40179999999999999</v>
      </c>
      <c r="AM58" s="1317">
        <f t="shared" si="49"/>
        <v>0.40179999999999999</v>
      </c>
      <c r="AN58" s="1317">
        <f t="shared" si="49"/>
        <v>0</v>
      </c>
      <c r="AO58" s="1317">
        <f t="shared" si="49"/>
        <v>0</v>
      </c>
      <c r="AP58" s="1319">
        <f t="shared" si="49"/>
        <v>0</v>
      </c>
      <c r="AQ58" s="327"/>
      <c r="AR58" s="310"/>
      <c r="AS58" s="1754"/>
      <c r="AT58" s="332"/>
      <c r="AU58" s="226"/>
      <c r="AV58" s="226"/>
    </row>
    <row r="59" spans="1:74" ht="14.25" thickBot="1" x14ac:dyDescent="0.3">
      <c r="A59" s="1753"/>
      <c r="B59" s="194">
        <f>'February 25 D_R (Tramming)'!F59</f>
        <v>3.7</v>
      </c>
      <c r="C59" s="350">
        <f>(J59/(J59))*B59</f>
        <v>3.7</v>
      </c>
      <c r="F59" s="1609"/>
      <c r="G59" s="1694"/>
      <c r="H59" s="1687"/>
      <c r="I59" s="1387" t="s">
        <v>347</v>
      </c>
      <c r="J59" s="1321">
        <f>SUMIF($L$9:$AP$9,"&lt;="&amp;$G$7,L59:AP59)</f>
        <v>3.5991099999999991</v>
      </c>
      <c r="K59" s="1388">
        <f t="shared" ref="K59" si="50">IFERROR((J59-J58)/J58,0)</f>
        <v>-0.68009048567162045</v>
      </c>
      <c r="L59" s="1323">
        <f t="shared" si="49"/>
        <v>0.30719999999999997</v>
      </c>
      <c r="M59" s="1321">
        <f t="shared" si="49"/>
        <v>0.22463999999999998</v>
      </c>
      <c r="N59" s="1321">
        <f t="shared" si="49"/>
        <v>0.24310000000000001</v>
      </c>
      <c r="O59" s="1321">
        <f t="shared" si="49"/>
        <v>0.30510000000000004</v>
      </c>
      <c r="P59" s="1321">
        <f t="shared" si="49"/>
        <v>0.18126000000000003</v>
      </c>
      <c r="Q59" s="1321">
        <f t="shared" si="49"/>
        <v>5.0050000000000004E-2</v>
      </c>
      <c r="R59" s="1321">
        <f t="shared" si="49"/>
        <v>0</v>
      </c>
      <c r="S59" s="1321">
        <f t="shared" si="49"/>
        <v>0</v>
      </c>
      <c r="T59" s="1321">
        <f t="shared" si="49"/>
        <v>0</v>
      </c>
      <c r="U59" s="1321">
        <f t="shared" si="49"/>
        <v>0.104</v>
      </c>
      <c r="V59" s="1321">
        <f t="shared" si="49"/>
        <v>0.25920000000000004</v>
      </c>
      <c r="W59" s="1321">
        <f t="shared" si="49"/>
        <v>2.92E-2</v>
      </c>
      <c r="X59" s="1321">
        <f t="shared" si="49"/>
        <v>0</v>
      </c>
      <c r="Y59" s="1321">
        <f t="shared" si="49"/>
        <v>4.5749999999999999E-2</v>
      </c>
      <c r="Z59" s="1321">
        <f t="shared" si="49"/>
        <v>7.3400000000000007E-2</v>
      </c>
      <c r="AA59" s="1321">
        <f>+AA57*AA54/1000</f>
        <v>7.3400000000000007E-2</v>
      </c>
      <c r="AB59" s="1321">
        <f t="shared" si="49"/>
        <v>0.23350000000000001</v>
      </c>
      <c r="AC59" s="1321">
        <f t="shared" si="49"/>
        <v>0.11550000000000001</v>
      </c>
      <c r="AD59" s="1321">
        <f t="shared" si="49"/>
        <v>0.45779999999999998</v>
      </c>
      <c r="AE59" s="1321">
        <f t="shared" si="49"/>
        <v>0.24509999999999998</v>
      </c>
      <c r="AF59" s="1321">
        <f t="shared" si="49"/>
        <v>0.22535999999999998</v>
      </c>
      <c r="AG59" s="1321">
        <f t="shared" si="49"/>
        <v>0.20474999999999999</v>
      </c>
      <c r="AH59" s="1321">
        <f t="shared" si="49"/>
        <v>0.2208</v>
      </c>
      <c r="AI59" s="1321">
        <f t="shared" si="49"/>
        <v>0</v>
      </c>
      <c r="AJ59" s="1321">
        <f t="shared" si="49"/>
        <v>0</v>
      </c>
      <c r="AK59" s="1321">
        <f t="shared" si="49"/>
        <v>0</v>
      </c>
      <c r="AL59" s="1321">
        <f t="shared" si="49"/>
        <v>0</v>
      </c>
      <c r="AM59" s="1321">
        <f t="shared" si="49"/>
        <v>0</v>
      </c>
      <c r="AN59" s="1321">
        <f t="shared" si="49"/>
        <v>0</v>
      </c>
      <c r="AO59" s="1321">
        <f t="shared" si="49"/>
        <v>0</v>
      </c>
      <c r="AP59" s="1321">
        <f t="shared" si="49"/>
        <v>0</v>
      </c>
      <c r="AQ59" s="328"/>
      <c r="AR59" s="311"/>
      <c r="AS59" s="1754"/>
      <c r="AU59" s="226"/>
      <c r="AV59" s="226"/>
    </row>
    <row r="60" spans="1:74" s="194" customFormat="1" ht="14.45" customHeight="1" thickBot="1" x14ac:dyDescent="0.3">
      <c r="A60" s="1753" t="s">
        <v>555</v>
      </c>
      <c r="B60" s="194" t="str">
        <f>'February 25 D_R (Tramming)'!F60</f>
        <v xml:space="preserve">-   </v>
      </c>
      <c r="E60" s="202"/>
      <c r="F60" s="1608"/>
      <c r="G60" s="1692" t="s">
        <v>474</v>
      </c>
      <c r="H60" s="1696" t="s">
        <v>340</v>
      </c>
      <c r="I60" s="293" t="s">
        <v>341</v>
      </c>
      <c r="J60" s="196">
        <f>SUMIF($L$9:$AP$9,"&lt;="&amp;$G$7,L60:AP60)</f>
        <v>2940</v>
      </c>
      <c r="K60" s="197"/>
      <c r="L60" s="198">
        <v>105</v>
      </c>
      <c r="M60" s="198">
        <v>105</v>
      </c>
      <c r="N60" s="198">
        <v>105</v>
      </c>
      <c r="O60" s="199">
        <v>105</v>
      </c>
      <c r="P60" s="199">
        <v>105</v>
      </c>
      <c r="Q60" s="199">
        <v>105</v>
      </c>
      <c r="R60" s="199">
        <v>105</v>
      </c>
      <c r="S60" s="199">
        <v>105</v>
      </c>
      <c r="T60" s="200">
        <v>105</v>
      </c>
      <c r="U60" s="199">
        <v>105</v>
      </c>
      <c r="V60" s="199">
        <v>105</v>
      </c>
      <c r="W60" s="199">
        <v>105</v>
      </c>
      <c r="X60" s="199">
        <v>105</v>
      </c>
      <c r="Y60" s="199">
        <v>105</v>
      </c>
      <c r="Z60" s="199">
        <v>105</v>
      </c>
      <c r="AA60" s="199">
        <v>105</v>
      </c>
      <c r="AB60" s="199">
        <v>105</v>
      </c>
      <c r="AC60" s="199">
        <v>105</v>
      </c>
      <c r="AD60" s="199">
        <v>105</v>
      </c>
      <c r="AE60" s="199">
        <v>105</v>
      </c>
      <c r="AF60" s="199">
        <v>105</v>
      </c>
      <c r="AG60" s="199">
        <v>105</v>
      </c>
      <c r="AH60" s="199">
        <v>105</v>
      </c>
      <c r="AI60" s="199">
        <v>105</v>
      </c>
      <c r="AJ60" s="199">
        <v>105</v>
      </c>
      <c r="AK60" s="199">
        <v>105</v>
      </c>
      <c r="AL60" s="199">
        <v>105</v>
      </c>
      <c r="AM60" s="199">
        <v>105</v>
      </c>
      <c r="AN60" s="199">
        <v>0</v>
      </c>
      <c r="AO60" s="199">
        <v>0</v>
      </c>
      <c r="AP60" s="201">
        <v>0</v>
      </c>
      <c r="AQ60" s="322"/>
      <c r="AR60" s="307"/>
      <c r="AS60" s="1754" t="s">
        <v>557</v>
      </c>
      <c r="AT60" s="332"/>
      <c r="AU60" s="226">
        <f>L60</f>
        <v>105</v>
      </c>
      <c r="AV60" s="298">
        <f>AU60+M60</f>
        <v>210</v>
      </c>
      <c r="AW60" s="298">
        <f>AV60+N60</f>
        <v>315</v>
      </c>
      <c r="AX60" s="298">
        <f t="shared" ref="AX60:BM61" si="51">AW60+O60</f>
        <v>420</v>
      </c>
      <c r="AY60" s="298">
        <f t="shared" si="51"/>
        <v>525</v>
      </c>
      <c r="AZ60" s="298">
        <f t="shared" si="51"/>
        <v>630</v>
      </c>
      <c r="BA60" s="298">
        <f t="shared" si="51"/>
        <v>735</v>
      </c>
      <c r="BB60" s="298">
        <f t="shared" si="51"/>
        <v>840</v>
      </c>
      <c r="BC60" s="298">
        <f t="shared" si="51"/>
        <v>945</v>
      </c>
      <c r="BD60" s="298">
        <f t="shared" si="51"/>
        <v>1050</v>
      </c>
      <c r="BE60" s="298">
        <f t="shared" si="51"/>
        <v>1155</v>
      </c>
      <c r="BF60" s="298">
        <f t="shared" si="51"/>
        <v>1260</v>
      </c>
      <c r="BG60" s="298">
        <f t="shared" si="51"/>
        <v>1365</v>
      </c>
      <c r="BH60" s="298">
        <f t="shared" si="51"/>
        <v>1470</v>
      </c>
      <c r="BI60" s="298">
        <f t="shared" si="51"/>
        <v>1575</v>
      </c>
      <c r="BJ60" s="298">
        <f t="shared" si="51"/>
        <v>1680</v>
      </c>
      <c r="BK60" s="298">
        <f t="shared" si="51"/>
        <v>1785</v>
      </c>
      <c r="BL60" s="298">
        <f t="shared" si="51"/>
        <v>1890</v>
      </c>
      <c r="BM60" s="298">
        <f t="shared" si="51"/>
        <v>1995</v>
      </c>
      <c r="BN60" s="298">
        <f t="shared" ref="BN60:BV61" si="52">BM60+AE60</f>
        <v>2100</v>
      </c>
      <c r="BO60" s="298">
        <f t="shared" si="52"/>
        <v>2205</v>
      </c>
      <c r="BP60" s="298">
        <f t="shared" si="52"/>
        <v>2310</v>
      </c>
      <c r="BQ60" s="298">
        <f t="shared" si="52"/>
        <v>2415</v>
      </c>
      <c r="BR60" s="298">
        <f t="shared" si="52"/>
        <v>2520</v>
      </c>
      <c r="BS60" s="298">
        <f t="shared" si="52"/>
        <v>2625</v>
      </c>
      <c r="BT60" s="298">
        <f t="shared" si="52"/>
        <v>2730</v>
      </c>
      <c r="BU60" s="298">
        <f t="shared" si="52"/>
        <v>2835</v>
      </c>
      <c r="BV60" s="298">
        <f t="shared" si="52"/>
        <v>2940</v>
      </c>
    </row>
    <row r="61" spans="1:74" ht="14.25" thickBot="1" x14ac:dyDescent="0.3">
      <c r="A61" s="1753"/>
      <c r="B61" s="194">
        <f>'February 25 D_R (Tramming)'!F61</f>
        <v>2717</v>
      </c>
      <c r="C61" s="352">
        <f>(J61/(J61))*B61</f>
        <v>2717</v>
      </c>
      <c r="D61" s="349">
        <f>(C61-J61)/C61</f>
        <v>-0.42878174457121826</v>
      </c>
      <c r="F61" s="1608"/>
      <c r="G61" s="1693"/>
      <c r="H61" s="1696"/>
      <c r="I61" s="1379" t="s">
        <v>342</v>
      </c>
      <c r="J61" s="1303">
        <f>SUMIF($L$9:$AP$9,"&lt;="&amp;$G$7,L61:AP61)</f>
        <v>3882</v>
      </c>
      <c r="K61" s="1380">
        <f t="shared" ref="K61" si="53">IFERROR((J61-J60)/J60,0)</f>
        <v>0.32040816326530613</v>
      </c>
      <c r="L61" s="1305">
        <v>73</v>
      </c>
      <c r="M61" s="1303">
        <f>70+35</f>
        <v>105</v>
      </c>
      <c r="N61" s="1303">
        <f>74+34</f>
        <v>108</v>
      </c>
      <c r="O61" s="1303">
        <f>81+40</f>
        <v>121</v>
      </c>
      <c r="P61" s="1303">
        <f>84+35</f>
        <v>119</v>
      </c>
      <c r="Q61" s="1303">
        <f>109+47</f>
        <v>156</v>
      </c>
      <c r="R61" s="1303">
        <f>124+42</f>
        <v>166</v>
      </c>
      <c r="S61" s="1303">
        <f>105+33</f>
        <v>138</v>
      </c>
      <c r="T61" s="1303">
        <f>120+30</f>
        <v>150</v>
      </c>
      <c r="U61" s="1303">
        <f>106+35</f>
        <v>141</v>
      </c>
      <c r="V61" s="1303">
        <f>113+39</f>
        <v>152</v>
      </c>
      <c r="W61" s="1303">
        <f>35+36+30+40</f>
        <v>141</v>
      </c>
      <c r="X61" s="1303">
        <v>232</v>
      </c>
      <c r="Y61" s="1303">
        <v>221</v>
      </c>
      <c r="Z61" s="1303">
        <v>221</v>
      </c>
      <c r="AA61" s="1303">
        <v>221</v>
      </c>
      <c r="AB61" s="1303">
        <v>220</v>
      </c>
      <c r="AC61" s="1303">
        <v>219</v>
      </c>
      <c r="AD61" s="1303">
        <v>159</v>
      </c>
      <c r="AE61" s="1303">
        <v>77</v>
      </c>
      <c r="AF61" s="1303">
        <v>104</v>
      </c>
      <c r="AG61" s="1303">
        <f>72+26</f>
        <v>98</v>
      </c>
      <c r="AH61" s="1303">
        <v>183</v>
      </c>
      <c r="AI61" s="1303">
        <v>142</v>
      </c>
      <c r="AJ61" s="1303">
        <v>95</v>
      </c>
      <c r="AK61" s="1303">
        <v>120</v>
      </c>
      <c r="AL61" s="1303"/>
      <c r="AM61" s="1303"/>
      <c r="AN61" s="1303"/>
      <c r="AO61" s="1303"/>
      <c r="AP61" s="1303"/>
      <c r="AQ61" s="323"/>
      <c r="AR61" s="308"/>
      <c r="AS61" s="1754"/>
      <c r="AU61" s="226">
        <f>L61</f>
        <v>73</v>
      </c>
      <c r="AV61" s="298">
        <f>AU61+M61</f>
        <v>178</v>
      </c>
      <c r="AW61" s="298">
        <f>AV61+N61</f>
        <v>286</v>
      </c>
      <c r="AX61" s="298">
        <f t="shared" si="51"/>
        <v>407</v>
      </c>
      <c r="AY61" s="298">
        <f t="shared" si="51"/>
        <v>526</v>
      </c>
      <c r="AZ61" s="298">
        <f t="shared" si="51"/>
        <v>682</v>
      </c>
      <c r="BA61" s="298">
        <f t="shared" si="51"/>
        <v>848</v>
      </c>
      <c r="BB61" s="298">
        <f t="shared" si="51"/>
        <v>986</v>
      </c>
      <c r="BC61" s="298">
        <f t="shared" si="51"/>
        <v>1136</v>
      </c>
      <c r="BD61" s="298">
        <f t="shared" si="51"/>
        <v>1277</v>
      </c>
      <c r="BE61" s="298">
        <f t="shared" si="51"/>
        <v>1429</v>
      </c>
      <c r="BF61" s="298">
        <f t="shared" si="51"/>
        <v>1570</v>
      </c>
      <c r="BG61" s="298">
        <f t="shared" si="51"/>
        <v>1802</v>
      </c>
      <c r="BH61" s="298">
        <f t="shared" si="51"/>
        <v>2023</v>
      </c>
      <c r="BI61" s="298">
        <f t="shared" si="51"/>
        <v>2244</v>
      </c>
      <c r="BJ61" s="298">
        <f t="shared" si="51"/>
        <v>2465</v>
      </c>
      <c r="BK61" s="298">
        <f t="shared" si="51"/>
        <v>2685</v>
      </c>
      <c r="BL61" s="298">
        <f t="shared" si="51"/>
        <v>2904</v>
      </c>
      <c r="BM61" s="298">
        <f t="shared" si="51"/>
        <v>3063</v>
      </c>
      <c r="BN61" s="298">
        <f t="shared" si="52"/>
        <v>3140</v>
      </c>
      <c r="BO61" s="298">
        <f t="shared" si="52"/>
        <v>3244</v>
      </c>
      <c r="BP61" s="298">
        <f t="shared" si="52"/>
        <v>3342</v>
      </c>
      <c r="BQ61" s="298">
        <f t="shared" si="52"/>
        <v>3525</v>
      </c>
      <c r="BR61" s="298">
        <f t="shared" si="52"/>
        <v>3667</v>
      </c>
      <c r="BS61" s="298">
        <f t="shared" si="52"/>
        <v>3762</v>
      </c>
      <c r="BT61" s="298">
        <f t="shared" si="52"/>
        <v>3882</v>
      </c>
    </row>
    <row r="62" spans="1:74" ht="14.25" thickBot="1" x14ac:dyDescent="0.3">
      <c r="A62" s="1753"/>
      <c r="B62" s="194">
        <f>'February 25 D_R (Tramming)'!F62</f>
        <v>0</v>
      </c>
      <c r="F62" s="1608"/>
      <c r="G62" s="1693"/>
      <c r="H62" s="1696"/>
      <c r="I62" s="1389" t="s">
        <v>312</v>
      </c>
      <c r="J62" s="1390"/>
      <c r="K62" s="1391"/>
      <c r="L62" s="203"/>
      <c r="M62" s="203" t="s">
        <v>551</v>
      </c>
      <c r="N62" s="203"/>
      <c r="O62" s="203"/>
      <c r="P62" s="203"/>
      <c r="Q62" s="203"/>
      <c r="R62" s="203"/>
      <c r="S62" s="203"/>
      <c r="T62" s="204"/>
      <c r="U62" s="203"/>
      <c r="V62" s="203"/>
      <c r="W62" s="203"/>
      <c r="X62" s="203"/>
      <c r="Y62" s="203"/>
      <c r="Z62" s="203"/>
      <c r="AA62" s="203"/>
      <c r="AB62" s="203"/>
      <c r="AC62" s="203" t="s">
        <v>552</v>
      </c>
      <c r="AD62" s="203"/>
      <c r="AE62" s="203"/>
      <c r="AF62" s="203"/>
      <c r="AG62" s="203" t="s">
        <v>553</v>
      </c>
      <c r="AH62" s="203" t="s">
        <v>554</v>
      </c>
      <c r="AI62" s="203"/>
      <c r="AJ62" s="203"/>
      <c r="AK62" s="203"/>
      <c r="AL62" s="203"/>
      <c r="AM62" s="203"/>
      <c r="AN62" s="203"/>
      <c r="AO62" s="203"/>
      <c r="AP62" s="205"/>
      <c r="AQ62" s="324"/>
      <c r="AR62" s="309"/>
      <c r="AS62" s="1754"/>
      <c r="AT62" s="333"/>
      <c r="AU62" s="227"/>
      <c r="AV62" s="227"/>
      <c r="BL62" s="299"/>
      <c r="BM62" s="299"/>
      <c r="BN62" s="299"/>
      <c r="BO62" s="299"/>
      <c r="BP62" s="299"/>
      <c r="BQ62" s="299"/>
      <c r="BR62" s="299"/>
      <c r="BS62" s="299"/>
      <c r="BT62" s="299"/>
      <c r="BU62" s="299">
        <f>BT61+AL60</f>
        <v>3987</v>
      </c>
      <c r="BV62" s="299">
        <f t="shared" ref="BV62" si="54">BU62+AM60</f>
        <v>4092</v>
      </c>
    </row>
    <row r="63" spans="1:74" ht="14.25" thickBot="1" x14ac:dyDescent="0.3">
      <c r="A63" s="1753"/>
      <c r="B63" s="194" t="str">
        <f>'February 25 D_R (Tramming)'!F63</f>
        <v xml:space="preserve">-   </v>
      </c>
      <c r="F63" s="1608"/>
      <c r="G63" s="1693"/>
      <c r="H63" s="1686" t="s">
        <v>343</v>
      </c>
      <c r="I63" s="1384" t="s">
        <v>344</v>
      </c>
      <c r="J63" s="1310">
        <f t="shared" ref="J63:J64" si="55">IFERROR(J65*1000/J60,0)</f>
        <v>3.2300000000000004</v>
      </c>
      <c r="K63" s="1385"/>
      <c r="L63" s="1312">
        <v>3.23</v>
      </c>
      <c r="M63" s="1312">
        <v>3.23</v>
      </c>
      <c r="N63" s="1312">
        <v>3.23</v>
      </c>
      <c r="O63" s="1333">
        <v>3.23</v>
      </c>
      <c r="P63" s="1333">
        <v>3.23</v>
      </c>
      <c r="Q63" s="1333">
        <v>3.23</v>
      </c>
      <c r="R63" s="1333">
        <v>3.23</v>
      </c>
      <c r="S63" s="1333">
        <v>3.23</v>
      </c>
      <c r="T63" s="1334">
        <v>3.23</v>
      </c>
      <c r="U63" s="1333">
        <v>3.23</v>
      </c>
      <c r="V63" s="1333">
        <v>3.23</v>
      </c>
      <c r="W63" s="1333">
        <v>3.23</v>
      </c>
      <c r="X63" s="1333">
        <v>3.23</v>
      </c>
      <c r="Y63" s="1333">
        <v>3.23</v>
      </c>
      <c r="Z63" s="1333">
        <v>3.23</v>
      </c>
      <c r="AA63" s="1333">
        <v>3.23</v>
      </c>
      <c r="AB63" s="1333">
        <v>3.23</v>
      </c>
      <c r="AC63" s="1333">
        <v>3.23</v>
      </c>
      <c r="AD63" s="1333">
        <v>3.23</v>
      </c>
      <c r="AE63" s="1333">
        <v>3.23</v>
      </c>
      <c r="AF63" s="1333">
        <v>3.23</v>
      </c>
      <c r="AG63" s="1333">
        <v>3.23</v>
      </c>
      <c r="AH63" s="1333">
        <v>3.23</v>
      </c>
      <c r="AI63" s="1333">
        <v>3.23</v>
      </c>
      <c r="AJ63" s="1333">
        <v>3.23</v>
      </c>
      <c r="AK63" s="1333">
        <v>3.23</v>
      </c>
      <c r="AL63" s="1333">
        <v>3.23</v>
      </c>
      <c r="AM63" s="1333">
        <v>3.23</v>
      </c>
      <c r="AN63" s="1333">
        <v>0</v>
      </c>
      <c r="AO63" s="1333">
        <v>0</v>
      </c>
      <c r="AP63" s="1335">
        <v>0</v>
      </c>
      <c r="AQ63" s="325"/>
      <c r="AR63" s="308"/>
      <c r="AS63" s="1754"/>
      <c r="AU63" s="226"/>
      <c r="AV63" s="226"/>
    </row>
    <row r="64" spans="1:74" ht="14.25" thickBot="1" x14ac:dyDescent="0.3">
      <c r="A64" s="1753"/>
      <c r="B64" s="194">
        <f>'February 25 D_R (Tramming)'!F64</f>
        <v>3.06</v>
      </c>
      <c r="C64" s="350">
        <f>C66*1000/C61</f>
        <v>3.0548398969451602</v>
      </c>
      <c r="F64" s="1608"/>
      <c r="G64" s="1693"/>
      <c r="H64" s="1686"/>
      <c r="I64" s="1386" t="s">
        <v>345</v>
      </c>
      <c r="J64" s="1314">
        <f t="shared" si="55"/>
        <v>3.4316383307573415</v>
      </c>
      <c r="K64" s="1380">
        <f t="shared" ref="K64" si="56">IFERROR((J64-J63)/J63,0)</f>
        <v>6.2426727788650473E-2</v>
      </c>
      <c r="L64" s="1315">
        <v>4.28</v>
      </c>
      <c r="M64" s="1314">
        <v>4.28</v>
      </c>
      <c r="N64" s="1314">
        <v>2.83</v>
      </c>
      <c r="O64" s="1314">
        <v>1.7</v>
      </c>
      <c r="P64" s="1314">
        <v>5.61</v>
      </c>
      <c r="Q64" s="1314">
        <v>3.73</v>
      </c>
      <c r="R64" s="1314">
        <v>5.71</v>
      </c>
      <c r="S64" s="1314">
        <v>6.76</v>
      </c>
      <c r="T64" s="1314">
        <v>6.76</v>
      </c>
      <c r="U64" s="1314">
        <v>4.13</v>
      </c>
      <c r="V64" s="1314">
        <v>6.88</v>
      </c>
      <c r="W64" s="1314">
        <v>2.14</v>
      </c>
      <c r="X64" s="1314">
        <v>4.51</v>
      </c>
      <c r="Y64" s="1314">
        <v>2.61</v>
      </c>
      <c r="Z64" s="1314">
        <v>2.44</v>
      </c>
      <c r="AA64" s="1314">
        <v>2.44</v>
      </c>
      <c r="AB64" s="1314">
        <v>3.57</v>
      </c>
      <c r="AC64" s="1314">
        <v>2.09</v>
      </c>
      <c r="AD64" s="1314">
        <v>2.69</v>
      </c>
      <c r="AE64" s="1314">
        <v>2.99</v>
      </c>
      <c r="AF64" s="1314">
        <v>2.89</v>
      </c>
      <c r="AG64" s="1314">
        <v>2.2000000000000002</v>
      </c>
      <c r="AH64" s="1314">
        <v>2.2000000000000002</v>
      </c>
      <c r="AI64" s="1314">
        <v>3.19</v>
      </c>
      <c r="AJ64" s="1314"/>
      <c r="AK64" s="1314"/>
      <c r="AL64" s="1314"/>
      <c r="AM64" s="1314"/>
      <c r="AN64" s="1314"/>
      <c r="AO64" s="1314"/>
      <c r="AP64" s="1314"/>
      <c r="AQ64" s="326"/>
      <c r="AR64" s="308"/>
      <c r="AS64" s="1754"/>
      <c r="AU64" s="226"/>
      <c r="AV64" s="226"/>
    </row>
    <row r="65" spans="1:74" ht="14.25" thickBot="1" x14ac:dyDescent="0.3">
      <c r="A65" s="1753"/>
      <c r="B65" s="194" t="str">
        <f>'February 25 D_R (Tramming)'!F65</f>
        <v xml:space="preserve">-   </v>
      </c>
      <c r="F65" s="1608"/>
      <c r="G65" s="1693"/>
      <c r="H65" s="1686" t="s">
        <v>47</v>
      </c>
      <c r="I65" s="1384" t="s">
        <v>346</v>
      </c>
      <c r="J65" s="206">
        <f>SUMIF($L$9:$AP$9,"&lt;="&amp;$G$7,L65:AP65)</f>
        <v>9.4962</v>
      </c>
      <c r="K65" s="1385"/>
      <c r="L65" s="1316">
        <f t="shared" ref="L65:AP66" si="57">+L63*L60/1000</f>
        <v>0.33914999999999995</v>
      </c>
      <c r="M65" s="1316">
        <f t="shared" si="57"/>
        <v>0.33914999999999995</v>
      </c>
      <c r="N65" s="1316">
        <f t="shared" si="57"/>
        <v>0.33914999999999995</v>
      </c>
      <c r="O65" s="1317">
        <f t="shared" si="57"/>
        <v>0.33914999999999995</v>
      </c>
      <c r="P65" s="1317">
        <f t="shared" si="57"/>
        <v>0.33914999999999995</v>
      </c>
      <c r="Q65" s="1317">
        <f t="shared" si="57"/>
        <v>0.33914999999999995</v>
      </c>
      <c r="R65" s="1317">
        <f t="shared" si="57"/>
        <v>0.33914999999999995</v>
      </c>
      <c r="S65" s="1317">
        <f t="shared" si="57"/>
        <v>0.33914999999999995</v>
      </c>
      <c r="T65" s="1318">
        <f t="shared" si="57"/>
        <v>0.33914999999999995</v>
      </c>
      <c r="U65" s="1317">
        <f t="shared" si="57"/>
        <v>0.33914999999999995</v>
      </c>
      <c r="V65" s="1317">
        <f t="shared" si="57"/>
        <v>0.33914999999999995</v>
      </c>
      <c r="W65" s="1317">
        <f t="shared" si="57"/>
        <v>0.33914999999999995</v>
      </c>
      <c r="X65" s="1317">
        <f t="shared" si="57"/>
        <v>0.33914999999999995</v>
      </c>
      <c r="Y65" s="1317">
        <f t="shared" si="57"/>
        <v>0.33914999999999995</v>
      </c>
      <c r="Z65" s="1317">
        <f t="shared" si="57"/>
        <v>0.33914999999999995</v>
      </c>
      <c r="AA65" s="1317">
        <f>+AA63*AA60/1000</f>
        <v>0.33914999999999995</v>
      </c>
      <c r="AB65" s="1317">
        <f t="shared" si="57"/>
        <v>0.33914999999999995</v>
      </c>
      <c r="AC65" s="1317">
        <f t="shared" si="57"/>
        <v>0.33914999999999995</v>
      </c>
      <c r="AD65" s="1317">
        <f t="shared" si="57"/>
        <v>0.33914999999999995</v>
      </c>
      <c r="AE65" s="1317">
        <f t="shared" si="57"/>
        <v>0.33914999999999995</v>
      </c>
      <c r="AF65" s="1317">
        <f t="shared" si="57"/>
        <v>0.33914999999999995</v>
      </c>
      <c r="AG65" s="1317">
        <f t="shared" si="57"/>
        <v>0.33914999999999995</v>
      </c>
      <c r="AH65" s="1317">
        <f t="shared" si="57"/>
        <v>0.33914999999999995</v>
      </c>
      <c r="AI65" s="1317">
        <f t="shared" si="57"/>
        <v>0.33914999999999995</v>
      </c>
      <c r="AJ65" s="1317">
        <f t="shared" si="57"/>
        <v>0.33914999999999995</v>
      </c>
      <c r="AK65" s="1317">
        <f t="shared" si="57"/>
        <v>0.33914999999999995</v>
      </c>
      <c r="AL65" s="1317">
        <f t="shared" si="57"/>
        <v>0.33914999999999995</v>
      </c>
      <c r="AM65" s="1317">
        <f t="shared" si="57"/>
        <v>0.33914999999999995</v>
      </c>
      <c r="AN65" s="1317">
        <f t="shared" si="57"/>
        <v>0</v>
      </c>
      <c r="AO65" s="1317">
        <f t="shared" si="57"/>
        <v>0</v>
      </c>
      <c r="AP65" s="1319">
        <f t="shared" si="57"/>
        <v>0</v>
      </c>
      <c r="AQ65" s="327"/>
      <c r="AR65" s="310"/>
      <c r="AS65" s="1754"/>
      <c r="AT65" s="332"/>
      <c r="AU65" s="226"/>
      <c r="AV65" s="226"/>
    </row>
    <row r="66" spans="1:74" ht="14.25" thickBot="1" x14ac:dyDescent="0.3">
      <c r="A66" s="1753"/>
      <c r="B66" s="194">
        <f>'February 25 D_R (Tramming)'!F66</f>
        <v>8.3000000000000007</v>
      </c>
      <c r="C66" s="350">
        <f>(J66/(J66))*B66</f>
        <v>8.3000000000000007</v>
      </c>
      <c r="F66" s="1609"/>
      <c r="G66" s="1694"/>
      <c r="H66" s="1687"/>
      <c r="I66" s="1387" t="s">
        <v>347</v>
      </c>
      <c r="J66" s="1321">
        <f>SUMIF($L$9:$AP$9,"&lt;="&amp;$G$7,L66:AP66)</f>
        <v>13.321619999999999</v>
      </c>
      <c r="K66" s="1388">
        <f t="shared" ref="K66" si="58">IFERROR((J66-J65)/J65,0)</f>
        <v>0.40283692424338152</v>
      </c>
      <c r="L66" s="1323">
        <f t="shared" si="57"/>
        <v>0.31244</v>
      </c>
      <c r="M66" s="1321">
        <f t="shared" si="57"/>
        <v>0.44940000000000002</v>
      </c>
      <c r="N66" s="1321">
        <f t="shared" si="57"/>
        <v>0.30563999999999997</v>
      </c>
      <c r="O66" s="1321">
        <f t="shared" si="57"/>
        <v>0.20569999999999999</v>
      </c>
      <c r="P66" s="1321">
        <f t="shared" si="57"/>
        <v>0.66759000000000002</v>
      </c>
      <c r="Q66" s="1321">
        <f t="shared" si="57"/>
        <v>0.58187999999999995</v>
      </c>
      <c r="R66" s="1321">
        <f t="shared" si="57"/>
        <v>0.94786000000000004</v>
      </c>
      <c r="S66" s="1321">
        <f t="shared" si="57"/>
        <v>0.93288000000000004</v>
      </c>
      <c r="T66" s="1321">
        <f t="shared" si="57"/>
        <v>1.014</v>
      </c>
      <c r="U66" s="1321">
        <f t="shared" si="57"/>
        <v>0.58233000000000001</v>
      </c>
      <c r="V66" s="1321">
        <f t="shared" si="57"/>
        <v>1.04576</v>
      </c>
      <c r="W66" s="1321">
        <f t="shared" si="57"/>
        <v>0.30174000000000001</v>
      </c>
      <c r="X66" s="1321">
        <f t="shared" si="57"/>
        <v>1.0463199999999999</v>
      </c>
      <c r="Y66" s="1321">
        <f t="shared" si="57"/>
        <v>0.57680999999999993</v>
      </c>
      <c r="Z66" s="1321">
        <f t="shared" si="57"/>
        <v>0.53924000000000005</v>
      </c>
      <c r="AA66" s="1321">
        <f>+AA64*AA61/1000</f>
        <v>0.53924000000000005</v>
      </c>
      <c r="AB66" s="1321">
        <f t="shared" si="57"/>
        <v>0.78539999999999999</v>
      </c>
      <c r="AC66" s="1321">
        <f t="shared" si="57"/>
        <v>0.45771000000000001</v>
      </c>
      <c r="AD66" s="1321">
        <f t="shared" si="57"/>
        <v>0.42770999999999998</v>
      </c>
      <c r="AE66" s="1321">
        <f t="shared" si="57"/>
        <v>0.23023000000000002</v>
      </c>
      <c r="AF66" s="1321">
        <f t="shared" si="57"/>
        <v>0.30055999999999999</v>
      </c>
      <c r="AG66" s="1321">
        <f t="shared" si="57"/>
        <v>0.21560000000000001</v>
      </c>
      <c r="AH66" s="1321">
        <f t="shared" si="57"/>
        <v>0.40260000000000001</v>
      </c>
      <c r="AI66" s="1321">
        <f t="shared" si="57"/>
        <v>0.45297999999999999</v>
      </c>
      <c r="AJ66" s="1321">
        <f t="shared" si="57"/>
        <v>0</v>
      </c>
      <c r="AK66" s="1321">
        <f t="shared" si="57"/>
        <v>0</v>
      </c>
      <c r="AL66" s="1321">
        <f t="shared" si="57"/>
        <v>0</v>
      </c>
      <c r="AM66" s="1321">
        <f t="shared" si="57"/>
        <v>0</v>
      </c>
      <c r="AN66" s="1321">
        <f t="shared" si="57"/>
        <v>0</v>
      </c>
      <c r="AO66" s="1321">
        <f t="shared" si="57"/>
        <v>0</v>
      </c>
      <c r="AP66" s="1321">
        <f t="shared" si="57"/>
        <v>0</v>
      </c>
      <c r="AQ66" s="328"/>
      <c r="AR66" s="311"/>
      <c r="AS66" s="1754"/>
      <c r="AU66" s="226"/>
      <c r="AV66" s="226"/>
    </row>
    <row r="67" spans="1:74" s="194" customFormat="1" ht="14.45" customHeight="1" thickBot="1" x14ac:dyDescent="0.3">
      <c r="A67" s="1753" t="s">
        <v>558</v>
      </c>
      <c r="B67" s="194" t="str">
        <f>'February 25 D_R (Tramming)'!F67</f>
        <v xml:space="preserve">-   </v>
      </c>
      <c r="E67" s="202"/>
      <c r="F67" s="1608"/>
      <c r="G67" s="1692" t="s">
        <v>556</v>
      </c>
      <c r="H67" s="1696" t="s">
        <v>340</v>
      </c>
      <c r="I67" s="293" t="s">
        <v>341</v>
      </c>
      <c r="J67" s="196">
        <f>SUMIF($L$9:$AP$9,"&lt;="&amp;$G$7,L67:AP67)</f>
        <v>980</v>
      </c>
      <c r="K67" s="197"/>
      <c r="L67" s="198">
        <v>35</v>
      </c>
      <c r="M67" s="198">
        <v>35</v>
      </c>
      <c r="N67" s="198">
        <v>35</v>
      </c>
      <c r="O67" s="199">
        <v>35</v>
      </c>
      <c r="P67" s="199">
        <v>35</v>
      </c>
      <c r="Q67" s="199">
        <v>35</v>
      </c>
      <c r="R67" s="199">
        <v>35</v>
      </c>
      <c r="S67" s="199">
        <v>35</v>
      </c>
      <c r="T67" s="200">
        <v>35</v>
      </c>
      <c r="U67" s="199">
        <v>35</v>
      </c>
      <c r="V67" s="199">
        <v>35</v>
      </c>
      <c r="W67" s="199">
        <v>35</v>
      </c>
      <c r="X67" s="199">
        <v>35</v>
      </c>
      <c r="Y67" s="199">
        <v>35</v>
      </c>
      <c r="Z67" s="199">
        <v>35</v>
      </c>
      <c r="AA67" s="199">
        <v>35</v>
      </c>
      <c r="AB67" s="199">
        <v>35</v>
      </c>
      <c r="AC67" s="199">
        <v>35</v>
      </c>
      <c r="AD67" s="199">
        <v>35</v>
      </c>
      <c r="AE67" s="199">
        <v>35</v>
      </c>
      <c r="AF67" s="199">
        <v>35</v>
      </c>
      <c r="AG67" s="199">
        <v>35</v>
      </c>
      <c r="AH67" s="199">
        <v>35</v>
      </c>
      <c r="AI67" s="199">
        <v>35</v>
      </c>
      <c r="AJ67" s="199">
        <v>35</v>
      </c>
      <c r="AK67" s="199">
        <v>35</v>
      </c>
      <c r="AL67" s="199">
        <v>35</v>
      </c>
      <c r="AM67" s="199">
        <v>35</v>
      </c>
      <c r="AN67" s="199">
        <v>0</v>
      </c>
      <c r="AO67" s="199">
        <v>0</v>
      </c>
      <c r="AP67" s="201">
        <v>0</v>
      </c>
      <c r="AQ67" s="322"/>
      <c r="AR67" s="307"/>
      <c r="AS67" s="1754" t="s">
        <v>559</v>
      </c>
      <c r="AT67" s="332"/>
      <c r="AU67" s="226">
        <f>L67</f>
        <v>35</v>
      </c>
      <c r="AV67" s="298">
        <f>AU67+M67</f>
        <v>70</v>
      </c>
      <c r="AW67" s="298">
        <f>AV67+N67</f>
        <v>105</v>
      </c>
      <c r="AX67" s="298">
        <f t="shared" ref="AX67:BM68" si="59">AW67+O67</f>
        <v>140</v>
      </c>
      <c r="AY67" s="298">
        <f t="shared" si="59"/>
        <v>175</v>
      </c>
      <c r="AZ67" s="298">
        <f t="shared" si="59"/>
        <v>210</v>
      </c>
      <c r="BA67" s="298">
        <f t="shared" si="59"/>
        <v>245</v>
      </c>
      <c r="BB67" s="298">
        <f t="shared" si="59"/>
        <v>280</v>
      </c>
      <c r="BC67" s="298">
        <f t="shared" si="59"/>
        <v>315</v>
      </c>
      <c r="BD67" s="298">
        <f t="shared" si="59"/>
        <v>350</v>
      </c>
      <c r="BE67" s="298">
        <f t="shared" si="59"/>
        <v>385</v>
      </c>
      <c r="BF67" s="298">
        <f t="shared" si="59"/>
        <v>420</v>
      </c>
      <c r="BG67" s="298">
        <f t="shared" si="59"/>
        <v>455</v>
      </c>
      <c r="BH67" s="298">
        <f t="shared" si="59"/>
        <v>490</v>
      </c>
      <c r="BI67" s="298">
        <f t="shared" si="59"/>
        <v>525</v>
      </c>
      <c r="BJ67" s="298">
        <f t="shared" si="59"/>
        <v>560</v>
      </c>
      <c r="BK67" s="298">
        <f t="shared" si="59"/>
        <v>595</v>
      </c>
      <c r="BL67" s="298">
        <f t="shared" si="59"/>
        <v>630</v>
      </c>
      <c r="BM67" s="298">
        <f t="shared" si="59"/>
        <v>665</v>
      </c>
      <c r="BN67" s="298">
        <f t="shared" ref="BN67:BV68" si="60">BM67+AE67</f>
        <v>700</v>
      </c>
      <c r="BO67" s="298">
        <f t="shared" si="60"/>
        <v>735</v>
      </c>
      <c r="BP67" s="298">
        <f t="shared" si="60"/>
        <v>770</v>
      </c>
      <c r="BQ67" s="298">
        <f t="shared" si="60"/>
        <v>805</v>
      </c>
      <c r="BR67" s="298">
        <f t="shared" si="60"/>
        <v>840</v>
      </c>
      <c r="BS67" s="298">
        <f t="shared" si="60"/>
        <v>875</v>
      </c>
      <c r="BT67" s="298">
        <f t="shared" si="60"/>
        <v>910</v>
      </c>
      <c r="BU67" s="298">
        <f t="shared" si="60"/>
        <v>945</v>
      </c>
      <c r="BV67" s="298">
        <f t="shared" si="60"/>
        <v>980</v>
      </c>
    </row>
    <row r="68" spans="1:74" ht="14.25" thickBot="1" x14ac:dyDescent="0.3">
      <c r="A68" s="1753"/>
      <c r="B68" s="194">
        <f>'February 25 D_R (Tramming)'!F68</f>
        <v>1103</v>
      </c>
      <c r="C68" s="352">
        <f>(J68/(J68))*B68</f>
        <v>1103</v>
      </c>
      <c r="D68" s="349">
        <f>(C68-J68)/C68</f>
        <v>-1.0208522212148685</v>
      </c>
      <c r="F68" s="1608"/>
      <c r="G68" s="1693"/>
      <c r="H68" s="1696"/>
      <c r="I68" s="1379" t="s">
        <v>342</v>
      </c>
      <c r="J68" s="1303">
        <f>SUMIF($L$9:$AP$9,"&lt;="&amp;$G$7,L68:AP68)</f>
        <v>2229</v>
      </c>
      <c r="K68" s="1380">
        <f t="shared" ref="K68" si="61">IFERROR((J68-J67)/J67,0)</f>
        <v>1.2744897959183674</v>
      </c>
      <c r="L68" s="1305">
        <f>37+40+39</f>
        <v>116</v>
      </c>
      <c r="M68" s="1303">
        <f>40+40+37</f>
        <v>117</v>
      </c>
      <c r="N68" s="1303">
        <f>35+35+44</f>
        <v>114</v>
      </c>
      <c r="O68" s="1303">
        <f>35+39+38</f>
        <v>112</v>
      </c>
      <c r="P68" s="1303">
        <f>39+44+34</f>
        <v>117</v>
      </c>
      <c r="Q68" s="1303">
        <f>39+44+42</f>
        <v>125</v>
      </c>
      <c r="R68" s="1303">
        <f>35+35+34</f>
        <v>104</v>
      </c>
      <c r="S68" s="1303">
        <f>35+80</f>
        <v>115</v>
      </c>
      <c r="T68" s="1303">
        <f>38+80</f>
        <v>118</v>
      </c>
      <c r="U68" s="1303">
        <f>35+76</f>
        <v>111</v>
      </c>
      <c r="V68" s="1303">
        <f>39+38</f>
        <v>77</v>
      </c>
      <c r="W68" s="1303">
        <f>36+40</f>
        <v>76</v>
      </c>
      <c r="X68" s="1303">
        <v>77</v>
      </c>
      <c r="Y68" s="1303">
        <v>35</v>
      </c>
      <c r="Z68" s="1303">
        <v>35</v>
      </c>
      <c r="AA68" s="1303">
        <v>35</v>
      </c>
      <c r="AB68" s="1303">
        <v>36</v>
      </c>
      <c r="AC68" s="1303">
        <v>36</v>
      </c>
      <c r="AD68" s="1303">
        <v>68</v>
      </c>
      <c r="AE68" s="1303">
        <v>21</v>
      </c>
      <c r="AF68" s="1303">
        <f>28+56</f>
        <v>84</v>
      </c>
      <c r="AG68" s="1303">
        <v>44</v>
      </c>
      <c r="AH68" s="1303">
        <f>74+57</f>
        <v>131</v>
      </c>
      <c r="AI68" s="1303">
        <v>50</v>
      </c>
      <c r="AJ68" s="1303">
        <f>48+54+23</f>
        <v>125</v>
      </c>
      <c r="AK68" s="1303">
        <v>150</v>
      </c>
      <c r="AL68" s="1303"/>
      <c r="AM68" s="1303"/>
      <c r="AN68" s="1303"/>
      <c r="AO68" s="1303"/>
      <c r="AP68" s="1303"/>
      <c r="AQ68" s="323"/>
      <c r="AR68" s="308"/>
      <c r="AS68" s="1754"/>
      <c r="AU68" s="226">
        <f>L68</f>
        <v>116</v>
      </c>
      <c r="AV68" s="298">
        <f>AU68+M68</f>
        <v>233</v>
      </c>
      <c r="AW68" s="298">
        <f>AV68+N68</f>
        <v>347</v>
      </c>
      <c r="AX68" s="298">
        <f t="shared" si="59"/>
        <v>459</v>
      </c>
      <c r="AY68" s="298">
        <f t="shared" si="59"/>
        <v>576</v>
      </c>
      <c r="AZ68" s="298">
        <f t="shared" si="59"/>
        <v>701</v>
      </c>
      <c r="BA68" s="298">
        <f t="shared" si="59"/>
        <v>805</v>
      </c>
      <c r="BB68" s="298">
        <f t="shared" si="59"/>
        <v>920</v>
      </c>
      <c r="BC68" s="298">
        <f t="shared" si="59"/>
        <v>1038</v>
      </c>
      <c r="BD68" s="298">
        <f t="shared" si="59"/>
        <v>1149</v>
      </c>
      <c r="BE68" s="298">
        <f t="shared" si="59"/>
        <v>1226</v>
      </c>
      <c r="BF68" s="298">
        <f t="shared" si="59"/>
        <v>1302</v>
      </c>
      <c r="BG68" s="298">
        <f t="shared" si="59"/>
        <v>1379</v>
      </c>
      <c r="BH68" s="298">
        <f t="shared" si="59"/>
        <v>1414</v>
      </c>
      <c r="BI68" s="298">
        <f t="shared" si="59"/>
        <v>1449</v>
      </c>
      <c r="BJ68" s="298">
        <f t="shared" si="59"/>
        <v>1484</v>
      </c>
      <c r="BK68" s="298">
        <f t="shared" si="59"/>
        <v>1520</v>
      </c>
      <c r="BL68" s="298">
        <f t="shared" si="59"/>
        <v>1556</v>
      </c>
      <c r="BM68" s="298">
        <f t="shared" si="59"/>
        <v>1624</v>
      </c>
      <c r="BN68" s="298">
        <f t="shared" si="60"/>
        <v>1645</v>
      </c>
      <c r="BO68" s="298">
        <f t="shared" si="60"/>
        <v>1729</v>
      </c>
      <c r="BP68" s="298">
        <f t="shared" si="60"/>
        <v>1773</v>
      </c>
      <c r="BQ68" s="298">
        <f t="shared" si="60"/>
        <v>1904</v>
      </c>
      <c r="BR68" s="298">
        <f t="shared" si="60"/>
        <v>1954</v>
      </c>
      <c r="BS68" s="298">
        <f t="shared" si="60"/>
        <v>2079</v>
      </c>
      <c r="BT68" s="298">
        <f t="shared" si="60"/>
        <v>2229</v>
      </c>
    </row>
    <row r="69" spans="1:74" ht="14.25" thickBot="1" x14ac:dyDescent="0.3">
      <c r="A69" s="1753"/>
      <c r="B69" s="194">
        <f>'February 25 D_R (Tramming)'!F69</f>
        <v>0</v>
      </c>
      <c r="F69" s="1608"/>
      <c r="G69" s="1693"/>
      <c r="H69" s="1696"/>
      <c r="I69" s="1389" t="s">
        <v>312</v>
      </c>
      <c r="J69" s="1390"/>
      <c r="K69" s="1391"/>
      <c r="L69" s="203"/>
      <c r="M69" s="203"/>
      <c r="N69" s="203"/>
      <c r="O69" s="203"/>
      <c r="P69" s="203"/>
      <c r="Q69" s="203"/>
      <c r="R69" s="203"/>
      <c r="S69" s="203"/>
      <c r="T69" s="204"/>
      <c r="U69" s="203"/>
      <c r="V69" s="203"/>
      <c r="W69" s="203"/>
      <c r="X69" s="203"/>
      <c r="Y69" s="203"/>
      <c r="Z69" s="203"/>
      <c r="AA69" s="203"/>
      <c r="AB69" s="203"/>
      <c r="AC69" s="203" t="s">
        <v>546</v>
      </c>
      <c r="AD69" s="203"/>
      <c r="AE69" s="203"/>
      <c r="AF69" s="203"/>
      <c r="AG69" s="203"/>
      <c r="AH69" s="203"/>
      <c r="AI69" s="203"/>
      <c r="AJ69" s="203"/>
      <c r="AK69" s="203"/>
      <c r="AL69" s="203"/>
      <c r="AM69" s="203"/>
      <c r="AN69" s="203"/>
      <c r="AO69" s="203"/>
      <c r="AP69" s="205"/>
      <c r="AQ69" s="324"/>
      <c r="AR69" s="309"/>
      <c r="AS69" s="1754"/>
      <c r="AT69" s="333"/>
      <c r="AU69" s="227"/>
      <c r="AV69" s="227"/>
      <c r="BL69" s="299"/>
      <c r="BM69" s="299"/>
      <c r="BN69" s="299"/>
      <c r="BO69" s="299"/>
      <c r="BP69" s="299"/>
      <c r="BQ69" s="299"/>
      <c r="BR69" s="299"/>
      <c r="BS69" s="299"/>
      <c r="BT69" s="299"/>
      <c r="BU69" s="299">
        <f>BT68+AL67</f>
        <v>2264</v>
      </c>
      <c r="BV69" s="299">
        <f t="shared" ref="BV69" si="62">BU69+AM67</f>
        <v>2299</v>
      </c>
    </row>
    <row r="70" spans="1:74" ht="14.25" thickBot="1" x14ac:dyDescent="0.3">
      <c r="A70" s="1753"/>
      <c r="B70" s="194" t="str">
        <f>'February 25 D_R (Tramming)'!F70</f>
        <v xml:space="preserve">-   </v>
      </c>
      <c r="F70" s="1608"/>
      <c r="G70" s="1693"/>
      <c r="H70" s="1686" t="s">
        <v>343</v>
      </c>
      <c r="I70" s="1384" t="s">
        <v>344</v>
      </c>
      <c r="J70" s="1310">
        <f t="shared" ref="J70" si="63">IFERROR(J72*1000/J67,0)</f>
        <v>2.9100000000000019</v>
      </c>
      <c r="K70" s="1385"/>
      <c r="L70" s="1312">
        <v>2.91</v>
      </c>
      <c r="M70" s="1312">
        <v>2.91</v>
      </c>
      <c r="N70" s="1312">
        <v>2.91</v>
      </c>
      <c r="O70" s="1333">
        <v>2.91</v>
      </c>
      <c r="P70" s="1333">
        <v>2.91</v>
      </c>
      <c r="Q70" s="1333">
        <v>2.91</v>
      </c>
      <c r="R70" s="1333">
        <v>2.91</v>
      </c>
      <c r="S70" s="1333">
        <v>2.91</v>
      </c>
      <c r="T70" s="1334">
        <v>2.91</v>
      </c>
      <c r="U70" s="1333">
        <v>2.91</v>
      </c>
      <c r="V70" s="1333">
        <v>2.91</v>
      </c>
      <c r="W70" s="1333">
        <v>2.91</v>
      </c>
      <c r="X70" s="1333">
        <v>2.91</v>
      </c>
      <c r="Y70" s="1333">
        <v>2.91</v>
      </c>
      <c r="Z70" s="1333">
        <v>2.91</v>
      </c>
      <c r="AA70" s="1333">
        <v>2.91</v>
      </c>
      <c r="AB70" s="1333">
        <v>2.91</v>
      </c>
      <c r="AC70" s="1333">
        <v>2.91</v>
      </c>
      <c r="AD70" s="1333">
        <v>2.91</v>
      </c>
      <c r="AE70" s="1333">
        <v>2.91</v>
      </c>
      <c r="AF70" s="1333">
        <v>2.91</v>
      </c>
      <c r="AG70" s="1333">
        <v>2.91</v>
      </c>
      <c r="AH70" s="1333">
        <v>2.91</v>
      </c>
      <c r="AI70" s="1333">
        <v>2.91</v>
      </c>
      <c r="AJ70" s="1333">
        <v>2.91</v>
      </c>
      <c r="AK70" s="1333">
        <v>2.91</v>
      </c>
      <c r="AL70" s="1333">
        <v>2.91</v>
      </c>
      <c r="AM70" s="1333">
        <v>2.91</v>
      </c>
      <c r="AN70" s="1333">
        <v>0</v>
      </c>
      <c r="AO70" s="1333">
        <v>0</v>
      </c>
      <c r="AP70" s="1335">
        <v>0</v>
      </c>
      <c r="AQ70" s="325"/>
      <c r="AR70" s="308"/>
      <c r="AS70" s="1754"/>
      <c r="AU70" s="226"/>
      <c r="AV70" s="226"/>
    </row>
    <row r="71" spans="1:74" ht="14.25" thickBot="1" x14ac:dyDescent="0.3">
      <c r="A71" s="1753"/>
      <c r="B71" s="194">
        <f>'February 25 D_R (Tramming)'!F71</f>
        <v>3.05</v>
      </c>
      <c r="C71" s="350">
        <f>C73*1000/C68</f>
        <v>3.0825022665457844</v>
      </c>
      <c r="F71" s="1608"/>
      <c r="G71" s="1693"/>
      <c r="H71" s="1686"/>
      <c r="I71" s="1386" t="s">
        <v>345</v>
      </c>
      <c r="J71" s="1314">
        <f>IFERROR(J73*1000/J68,0)</f>
        <v>3.7114535666218034</v>
      </c>
      <c r="K71" s="1380">
        <f t="shared" ref="K71" si="64">IFERROR((J71-J70)/J70,0)</f>
        <v>0.27541359677725119</v>
      </c>
      <c r="L71" s="1315">
        <v>6.42</v>
      </c>
      <c r="M71" s="1314">
        <v>6.42</v>
      </c>
      <c r="N71" s="1314">
        <v>2.75</v>
      </c>
      <c r="O71" s="1314">
        <v>1.99</v>
      </c>
      <c r="P71" s="1314">
        <v>3.51</v>
      </c>
      <c r="Q71" s="1314">
        <v>2.89</v>
      </c>
      <c r="R71" s="1314">
        <v>5.51</v>
      </c>
      <c r="S71" s="1314">
        <v>6.54</v>
      </c>
      <c r="T71" s="1314">
        <v>6.54</v>
      </c>
      <c r="U71" s="1314">
        <v>5.0999999999999996</v>
      </c>
      <c r="V71" s="1314">
        <v>4.68</v>
      </c>
      <c r="W71" s="1314"/>
      <c r="X71" s="1314">
        <v>4</v>
      </c>
      <c r="Y71" s="1314">
        <v>1.29</v>
      </c>
      <c r="Z71" s="1314">
        <v>3.18</v>
      </c>
      <c r="AA71" s="1314">
        <v>3.18</v>
      </c>
      <c r="AB71" s="1314">
        <v>1.63</v>
      </c>
      <c r="AC71" s="1314">
        <v>1.83</v>
      </c>
      <c r="AD71" s="1314">
        <v>1.07</v>
      </c>
      <c r="AE71" s="1314">
        <v>2.16</v>
      </c>
      <c r="AF71" s="1314">
        <v>5.13</v>
      </c>
      <c r="AG71" s="1314">
        <v>5.56</v>
      </c>
      <c r="AH71" s="1314">
        <v>5.56</v>
      </c>
      <c r="AI71" s="1314">
        <v>4.46</v>
      </c>
      <c r="AJ71" s="1314"/>
      <c r="AK71" s="1314"/>
      <c r="AL71" s="1314"/>
      <c r="AM71" s="1314"/>
      <c r="AN71" s="1314"/>
      <c r="AO71" s="1314"/>
      <c r="AP71" s="1314"/>
      <c r="AQ71" s="326"/>
      <c r="AR71" s="308"/>
      <c r="AS71" s="1754"/>
      <c r="AU71" s="226"/>
      <c r="AV71" s="226"/>
    </row>
    <row r="72" spans="1:74" ht="14.25" thickBot="1" x14ac:dyDescent="0.3">
      <c r="A72" s="1753"/>
      <c r="B72" s="194" t="str">
        <f>'February 25 D_R (Tramming)'!F72</f>
        <v xml:space="preserve">-   </v>
      </c>
      <c r="F72" s="1608"/>
      <c r="G72" s="1693"/>
      <c r="H72" s="1686" t="s">
        <v>47</v>
      </c>
      <c r="I72" s="1384" t="s">
        <v>346</v>
      </c>
      <c r="J72" s="206">
        <f>SUMIF($L$9:$AP$9,"&lt;="&amp;$G$7,L72:AP72)</f>
        <v>2.8518000000000021</v>
      </c>
      <c r="K72" s="1385"/>
      <c r="L72" s="1316">
        <f t="shared" ref="L72:AP73" si="65">+L70*L67/1000</f>
        <v>0.10185000000000001</v>
      </c>
      <c r="M72" s="1316">
        <f t="shared" si="65"/>
        <v>0.10185000000000001</v>
      </c>
      <c r="N72" s="1316">
        <f t="shared" si="65"/>
        <v>0.10185000000000001</v>
      </c>
      <c r="O72" s="1317">
        <f t="shared" si="65"/>
        <v>0.10185000000000001</v>
      </c>
      <c r="P72" s="1317">
        <f t="shared" si="65"/>
        <v>0.10185000000000001</v>
      </c>
      <c r="Q72" s="1317">
        <f t="shared" si="65"/>
        <v>0.10185000000000001</v>
      </c>
      <c r="R72" s="1317">
        <f t="shared" si="65"/>
        <v>0.10185000000000001</v>
      </c>
      <c r="S72" s="1317">
        <f t="shared" si="65"/>
        <v>0.10185000000000001</v>
      </c>
      <c r="T72" s="1318">
        <f t="shared" si="65"/>
        <v>0.10185000000000001</v>
      </c>
      <c r="U72" s="1317">
        <f t="shared" si="65"/>
        <v>0.10185000000000001</v>
      </c>
      <c r="V72" s="1317">
        <f t="shared" si="65"/>
        <v>0.10185000000000001</v>
      </c>
      <c r="W72" s="1317">
        <f t="shared" si="65"/>
        <v>0.10185000000000001</v>
      </c>
      <c r="X72" s="1317">
        <f t="shared" si="65"/>
        <v>0.10185000000000001</v>
      </c>
      <c r="Y72" s="1317">
        <f t="shared" si="65"/>
        <v>0.10185000000000001</v>
      </c>
      <c r="Z72" s="1317">
        <f t="shared" si="65"/>
        <v>0.10185000000000001</v>
      </c>
      <c r="AA72" s="1317">
        <f>+AA70*AA67/1000</f>
        <v>0.10185000000000001</v>
      </c>
      <c r="AB72" s="1317">
        <f t="shared" si="65"/>
        <v>0.10185000000000001</v>
      </c>
      <c r="AC72" s="1317">
        <f t="shared" si="65"/>
        <v>0.10185000000000001</v>
      </c>
      <c r="AD72" s="1317">
        <f t="shared" si="65"/>
        <v>0.10185000000000001</v>
      </c>
      <c r="AE72" s="1317">
        <f t="shared" si="65"/>
        <v>0.10185000000000001</v>
      </c>
      <c r="AF72" s="1317">
        <f t="shared" si="65"/>
        <v>0.10185000000000001</v>
      </c>
      <c r="AG72" s="1317">
        <f t="shared" si="65"/>
        <v>0.10185000000000001</v>
      </c>
      <c r="AH72" s="1317">
        <f t="shared" si="65"/>
        <v>0.10185000000000001</v>
      </c>
      <c r="AI72" s="1317">
        <f t="shared" si="65"/>
        <v>0.10185000000000001</v>
      </c>
      <c r="AJ72" s="1317">
        <f t="shared" si="65"/>
        <v>0.10185000000000001</v>
      </c>
      <c r="AK72" s="1317">
        <f t="shared" si="65"/>
        <v>0.10185000000000001</v>
      </c>
      <c r="AL72" s="1317">
        <f t="shared" si="65"/>
        <v>0.10185000000000001</v>
      </c>
      <c r="AM72" s="1317">
        <f t="shared" si="65"/>
        <v>0.10185000000000001</v>
      </c>
      <c r="AN72" s="1317">
        <f t="shared" si="65"/>
        <v>0</v>
      </c>
      <c r="AO72" s="1317">
        <f t="shared" si="65"/>
        <v>0</v>
      </c>
      <c r="AP72" s="1319">
        <f t="shared" si="65"/>
        <v>0</v>
      </c>
      <c r="AQ72" s="327"/>
      <c r="AR72" s="310"/>
      <c r="AS72" s="1754"/>
      <c r="AT72" s="332"/>
      <c r="AU72" s="226"/>
      <c r="AV72" s="226"/>
    </row>
    <row r="73" spans="1:74" ht="14.25" thickBot="1" x14ac:dyDescent="0.3">
      <c r="A73" s="1753"/>
      <c r="B73" s="194">
        <f>'February 25 D_R (Tramming)'!F73</f>
        <v>3.4</v>
      </c>
      <c r="C73" s="350">
        <f>(J73/(J73))*B73</f>
        <v>3.4</v>
      </c>
      <c r="F73" s="1609"/>
      <c r="G73" s="1694"/>
      <c r="H73" s="1687"/>
      <c r="I73" s="1387" t="s">
        <v>347</v>
      </c>
      <c r="J73" s="1321">
        <f>SUMIF($L$9:$AP$9,"&lt;="&amp;$G$7,L73:AP73)</f>
        <v>8.2728300000000008</v>
      </c>
      <c r="K73" s="1388">
        <f t="shared" ref="K73" si="66">IFERROR((J73-J72)/J72,0)</f>
        <v>1.9009152114454009</v>
      </c>
      <c r="L73" s="1323">
        <f t="shared" si="65"/>
        <v>0.74472000000000005</v>
      </c>
      <c r="M73" s="1321">
        <f t="shared" si="65"/>
        <v>0.75114000000000003</v>
      </c>
      <c r="N73" s="1321">
        <f t="shared" si="65"/>
        <v>0.3135</v>
      </c>
      <c r="O73" s="1321">
        <f t="shared" si="65"/>
        <v>0.22287999999999999</v>
      </c>
      <c r="P73" s="1321">
        <f t="shared" si="65"/>
        <v>0.41066999999999998</v>
      </c>
      <c r="Q73" s="1321">
        <f t="shared" si="65"/>
        <v>0.36125000000000002</v>
      </c>
      <c r="R73" s="1321">
        <f t="shared" si="65"/>
        <v>0.57303999999999999</v>
      </c>
      <c r="S73" s="1321">
        <f t="shared" si="65"/>
        <v>0.75209999999999999</v>
      </c>
      <c r="T73" s="1321">
        <f t="shared" si="65"/>
        <v>0.77172000000000007</v>
      </c>
      <c r="U73" s="1321">
        <f t="shared" si="65"/>
        <v>0.56609999999999994</v>
      </c>
      <c r="V73" s="1321">
        <f t="shared" si="65"/>
        <v>0.36035999999999996</v>
      </c>
      <c r="W73" s="1321">
        <f t="shared" si="65"/>
        <v>0</v>
      </c>
      <c r="X73" s="1321">
        <f t="shared" si="65"/>
        <v>0.308</v>
      </c>
      <c r="Y73" s="1321">
        <f t="shared" si="65"/>
        <v>4.5149999999999996E-2</v>
      </c>
      <c r="Z73" s="1321">
        <f t="shared" si="65"/>
        <v>0.11130000000000001</v>
      </c>
      <c r="AA73" s="1321">
        <f>+AA71*AA68/1000</f>
        <v>0.11130000000000001</v>
      </c>
      <c r="AB73" s="1321">
        <f t="shared" si="65"/>
        <v>5.8679999999999996E-2</v>
      </c>
      <c r="AC73" s="1321">
        <f t="shared" si="65"/>
        <v>6.5879999999999994E-2</v>
      </c>
      <c r="AD73" s="1321">
        <f t="shared" si="65"/>
        <v>7.2760000000000005E-2</v>
      </c>
      <c r="AE73" s="1321">
        <f t="shared" si="65"/>
        <v>4.5359999999999998E-2</v>
      </c>
      <c r="AF73" s="1321">
        <f t="shared" si="65"/>
        <v>0.43092000000000003</v>
      </c>
      <c r="AG73" s="1321">
        <f t="shared" si="65"/>
        <v>0.24464</v>
      </c>
      <c r="AH73" s="1321">
        <f t="shared" si="65"/>
        <v>0.7283599999999999</v>
      </c>
      <c r="AI73" s="1321">
        <f t="shared" si="65"/>
        <v>0.223</v>
      </c>
      <c r="AJ73" s="1321">
        <f t="shared" si="65"/>
        <v>0</v>
      </c>
      <c r="AK73" s="1321">
        <f t="shared" si="65"/>
        <v>0</v>
      </c>
      <c r="AL73" s="1321">
        <f t="shared" si="65"/>
        <v>0</v>
      </c>
      <c r="AM73" s="1321">
        <f t="shared" si="65"/>
        <v>0</v>
      </c>
      <c r="AN73" s="1321">
        <f t="shared" si="65"/>
        <v>0</v>
      </c>
      <c r="AO73" s="1321">
        <f t="shared" si="65"/>
        <v>0</v>
      </c>
      <c r="AP73" s="1321">
        <f t="shared" si="65"/>
        <v>0</v>
      </c>
      <c r="AQ73" s="328"/>
      <c r="AR73" s="311"/>
      <c r="AS73" s="1754"/>
      <c r="AU73" s="226"/>
      <c r="AV73" s="226"/>
    </row>
    <row r="74" spans="1:74" s="194" customFormat="1" ht="14.45" customHeight="1" thickBot="1" x14ac:dyDescent="0.3">
      <c r="A74" s="1753" t="s">
        <v>563</v>
      </c>
      <c r="B74" s="194" t="str">
        <f>'February 25 D_R (Tramming)'!F74</f>
        <v xml:space="preserve">-   </v>
      </c>
      <c r="E74" s="202"/>
      <c r="F74" s="1607"/>
      <c r="G74" s="1692" t="s">
        <v>477</v>
      </c>
      <c r="H74" s="1697" t="s">
        <v>340</v>
      </c>
      <c r="I74" s="195" t="s">
        <v>341</v>
      </c>
      <c r="J74" s="295">
        <f>SUMIF($L$9:$AP$9,"&lt;="&amp;$G$7,L74:AP74)</f>
        <v>1960</v>
      </c>
      <c r="K74" s="296"/>
      <c r="L74" s="198">
        <v>70</v>
      </c>
      <c r="M74" s="198">
        <v>70</v>
      </c>
      <c r="N74" s="198">
        <v>70</v>
      </c>
      <c r="O74" s="199">
        <v>70</v>
      </c>
      <c r="P74" s="199">
        <v>70</v>
      </c>
      <c r="Q74" s="199">
        <v>70</v>
      </c>
      <c r="R74" s="199">
        <v>70</v>
      </c>
      <c r="S74" s="199">
        <v>70</v>
      </c>
      <c r="T74" s="200">
        <v>70</v>
      </c>
      <c r="U74" s="199">
        <v>70</v>
      </c>
      <c r="V74" s="199">
        <v>70</v>
      </c>
      <c r="W74" s="199">
        <v>70</v>
      </c>
      <c r="X74" s="199">
        <v>70</v>
      </c>
      <c r="Y74" s="199">
        <v>70</v>
      </c>
      <c r="Z74" s="199">
        <v>70</v>
      </c>
      <c r="AA74" s="199">
        <v>70</v>
      </c>
      <c r="AB74" s="199">
        <v>70</v>
      </c>
      <c r="AC74" s="199">
        <v>70</v>
      </c>
      <c r="AD74" s="199">
        <v>70</v>
      </c>
      <c r="AE74" s="199">
        <v>70</v>
      </c>
      <c r="AF74" s="199">
        <v>70</v>
      </c>
      <c r="AG74" s="199">
        <v>70</v>
      </c>
      <c r="AH74" s="199">
        <v>70</v>
      </c>
      <c r="AI74" s="199">
        <v>70</v>
      </c>
      <c r="AJ74" s="199">
        <v>70</v>
      </c>
      <c r="AK74" s="199">
        <v>70</v>
      </c>
      <c r="AL74" s="199">
        <v>70</v>
      </c>
      <c r="AM74" s="199">
        <v>70</v>
      </c>
      <c r="AN74" s="199">
        <v>0</v>
      </c>
      <c r="AO74" s="199">
        <v>0</v>
      </c>
      <c r="AP74" s="201">
        <v>0</v>
      </c>
      <c r="AQ74" s="322"/>
      <c r="AR74" s="307"/>
      <c r="AS74" s="1754" t="s">
        <v>564</v>
      </c>
      <c r="AT74" s="332"/>
      <c r="AU74" s="226">
        <f>L74</f>
        <v>70</v>
      </c>
      <c r="AV74" s="298">
        <f>AU74+M74</f>
        <v>140</v>
      </c>
      <c r="AW74" s="298">
        <f>AV74+N74</f>
        <v>210</v>
      </c>
      <c r="AX74" s="298">
        <f t="shared" ref="AX74:BM75" si="67">AW74+O74</f>
        <v>280</v>
      </c>
      <c r="AY74" s="298">
        <f t="shared" si="67"/>
        <v>350</v>
      </c>
      <c r="AZ74" s="298">
        <f t="shared" si="67"/>
        <v>420</v>
      </c>
      <c r="BA74" s="298">
        <f t="shared" si="67"/>
        <v>490</v>
      </c>
      <c r="BB74" s="298">
        <f t="shared" si="67"/>
        <v>560</v>
      </c>
      <c r="BC74" s="298">
        <f t="shared" si="67"/>
        <v>630</v>
      </c>
      <c r="BD74" s="298">
        <f t="shared" si="67"/>
        <v>700</v>
      </c>
      <c r="BE74" s="298">
        <f t="shared" si="67"/>
        <v>770</v>
      </c>
      <c r="BF74" s="298">
        <f t="shared" si="67"/>
        <v>840</v>
      </c>
      <c r="BG74" s="298">
        <f t="shared" si="67"/>
        <v>910</v>
      </c>
      <c r="BH74" s="298">
        <f t="shared" si="67"/>
        <v>980</v>
      </c>
      <c r="BI74" s="298">
        <f t="shared" si="67"/>
        <v>1050</v>
      </c>
      <c r="BJ74" s="298">
        <f t="shared" si="67"/>
        <v>1120</v>
      </c>
      <c r="BK74" s="298">
        <f t="shared" si="67"/>
        <v>1190</v>
      </c>
      <c r="BL74" s="298">
        <f t="shared" si="67"/>
        <v>1260</v>
      </c>
      <c r="BM74" s="298">
        <f t="shared" si="67"/>
        <v>1330</v>
      </c>
      <c r="BN74" s="298">
        <f t="shared" ref="BN74:BV75" si="68">BM74+AE74</f>
        <v>1400</v>
      </c>
      <c r="BO74" s="298">
        <f t="shared" si="68"/>
        <v>1470</v>
      </c>
      <c r="BP74" s="298">
        <f t="shared" si="68"/>
        <v>1540</v>
      </c>
      <c r="BQ74" s="298">
        <f t="shared" si="68"/>
        <v>1610</v>
      </c>
      <c r="BR74" s="298">
        <f t="shared" si="68"/>
        <v>1680</v>
      </c>
      <c r="BS74" s="298">
        <f t="shared" si="68"/>
        <v>1750</v>
      </c>
      <c r="BT74" s="298">
        <f t="shared" si="68"/>
        <v>1820</v>
      </c>
      <c r="BU74" s="298">
        <f t="shared" si="68"/>
        <v>1890</v>
      </c>
      <c r="BV74" s="298">
        <f t="shared" si="68"/>
        <v>1960</v>
      </c>
    </row>
    <row r="75" spans="1:74" ht="14.25" thickBot="1" x14ac:dyDescent="0.3">
      <c r="A75" s="1753"/>
      <c r="B75" s="194">
        <f>'February 25 D_R (Tramming)'!F75</f>
        <v>90</v>
      </c>
      <c r="C75" s="352">
        <f>(J75/(J75))*B75</f>
        <v>90</v>
      </c>
      <c r="D75" s="349">
        <f>(C75-J75)/C75</f>
        <v>-2.9222222222222221</v>
      </c>
      <c r="F75" s="1608"/>
      <c r="G75" s="1693"/>
      <c r="H75" s="1696"/>
      <c r="I75" s="1379" t="s">
        <v>342</v>
      </c>
      <c r="J75" s="1303">
        <f>SUMIF($L$9:$AP$9,"&lt;="&amp;$G$7,L75:AP75)</f>
        <v>353</v>
      </c>
      <c r="K75" s="1380">
        <f t="shared" ref="K75" si="69">IFERROR((J75-J74)/J74,0)</f>
        <v>-0.81989795918367347</v>
      </c>
      <c r="L75" s="1305">
        <v>75</v>
      </c>
      <c r="M75" s="1303">
        <f>39+40</f>
        <v>79</v>
      </c>
      <c r="N75" s="1303">
        <v>72</v>
      </c>
      <c r="O75" s="1303"/>
      <c r="P75" s="1303">
        <v>42</v>
      </c>
      <c r="Q75" s="1303"/>
      <c r="R75" s="1303"/>
      <c r="S75" s="1303"/>
      <c r="T75" s="1303"/>
      <c r="U75" s="1303"/>
      <c r="V75" s="1303"/>
      <c r="W75" s="1303"/>
      <c r="X75" s="1303"/>
      <c r="Y75" s="1303"/>
      <c r="Z75" s="1303"/>
      <c r="AA75" s="1303"/>
      <c r="AB75" s="1303"/>
      <c r="AC75" s="1303"/>
      <c r="AD75" s="1303">
        <v>38</v>
      </c>
      <c r="AE75" s="1303">
        <v>47</v>
      </c>
      <c r="AF75" s="1303"/>
      <c r="AG75" s="1303"/>
      <c r="AH75" s="1303"/>
      <c r="AI75" s="1303"/>
      <c r="AJ75" s="1303"/>
      <c r="AK75" s="1303"/>
      <c r="AL75" s="1303"/>
      <c r="AM75" s="1303"/>
      <c r="AN75" s="1303"/>
      <c r="AO75" s="1303"/>
      <c r="AP75" s="1303"/>
      <c r="AQ75" s="323"/>
      <c r="AR75" s="308"/>
      <c r="AS75" s="1754"/>
      <c r="AU75" s="226">
        <f>L75</f>
        <v>75</v>
      </c>
      <c r="AV75" s="298">
        <f>AU75+M75</f>
        <v>154</v>
      </c>
      <c r="AW75" s="298">
        <f>AV75+N75</f>
        <v>226</v>
      </c>
      <c r="AX75" s="298">
        <f t="shared" si="67"/>
        <v>226</v>
      </c>
      <c r="AY75" s="298">
        <f t="shared" si="67"/>
        <v>268</v>
      </c>
      <c r="AZ75" s="298">
        <f t="shared" si="67"/>
        <v>268</v>
      </c>
      <c r="BA75" s="298">
        <f t="shared" si="67"/>
        <v>268</v>
      </c>
      <c r="BB75" s="298">
        <f t="shared" si="67"/>
        <v>268</v>
      </c>
      <c r="BC75" s="298">
        <f t="shared" si="67"/>
        <v>268</v>
      </c>
      <c r="BD75" s="298">
        <f t="shared" si="67"/>
        <v>268</v>
      </c>
      <c r="BE75" s="298">
        <f t="shared" si="67"/>
        <v>268</v>
      </c>
      <c r="BF75" s="298">
        <f t="shared" si="67"/>
        <v>268</v>
      </c>
      <c r="BG75" s="298">
        <f t="shared" si="67"/>
        <v>268</v>
      </c>
      <c r="BH75" s="298">
        <f t="shared" si="67"/>
        <v>268</v>
      </c>
      <c r="BI75" s="298">
        <f t="shared" si="67"/>
        <v>268</v>
      </c>
      <c r="BJ75" s="298">
        <f t="shared" si="67"/>
        <v>268</v>
      </c>
      <c r="BK75" s="298">
        <f t="shared" si="67"/>
        <v>268</v>
      </c>
      <c r="BL75" s="298">
        <f t="shared" si="67"/>
        <v>268</v>
      </c>
      <c r="BM75" s="298">
        <f t="shared" si="67"/>
        <v>306</v>
      </c>
      <c r="BN75" s="298">
        <f t="shared" si="68"/>
        <v>353</v>
      </c>
      <c r="BO75" s="298">
        <f t="shared" si="68"/>
        <v>353</v>
      </c>
      <c r="BP75" s="298">
        <f t="shared" si="68"/>
        <v>353</v>
      </c>
      <c r="BQ75" s="298">
        <f t="shared" si="68"/>
        <v>353</v>
      </c>
      <c r="BR75" s="298">
        <f t="shared" si="68"/>
        <v>353</v>
      </c>
      <c r="BS75" s="298">
        <f t="shared" si="68"/>
        <v>353</v>
      </c>
      <c r="BT75" s="298">
        <f t="shared" si="68"/>
        <v>353</v>
      </c>
    </row>
    <row r="76" spans="1:74" ht="14.25" thickBot="1" x14ac:dyDescent="0.3">
      <c r="A76" s="1753"/>
      <c r="B76" s="194">
        <f>'February 25 D_R (Tramming)'!F76</f>
        <v>0</v>
      </c>
      <c r="F76" s="1608"/>
      <c r="G76" s="1693"/>
      <c r="H76" s="1696"/>
      <c r="I76" s="1389" t="s">
        <v>312</v>
      </c>
      <c r="J76" s="1390"/>
      <c r="K76" s="1391"/>
      <c r="L76" s="203"/>
      <c r="M76" s="203"/>
      <c r="N76" s="203"/>
      <c r="O76" s="203"/>
      <c r="P76" s="203"/>
      <c r="Q76" s="203"/>
      <c r="R76" s="203"/>
      <c r="S76" s="203"/>
      <c r="T76" s="204"/>
      <c r="U76" s="203"/>
      <c r="V76" s="203"/>
      <c r="W76" s="203"/>
      <c r="X76" s="203"/>
      <c r="Y76" s="203"/>
      <c r="Z76" s="203"/>
      <c r="AA76" s="203"/>
      <c r="AB76" s="203"/>
      <c r="AC76" s="203"/>
      <c r="AD76" s="203" t="s">
        <v>560</v>
      </c>
      <c r="AE76" s="203" t="s">
        <v>594</v>
      </c>
      <c r="AF76" s="203"/>
      <c r="AG76" s="203"/>
      <c r="AH76" s="203" t="s">
        <v>562</v>
      </c>
      <c r="AI76" s="203"/>
      <c r="AJ76" s="203"/>
      <c r="AK76" s="203" t="s">
        <v>595</v>
      </c>
      <c r="AL76" s="203"/>
      <c r="AM76" s="203"/>
      <c r="AN76" s="203"/>
      <c r="AO76" s="203"/>
      <c r="AP76" s="205"/>
      <c r="AQ76" s="324"/>
      <c r="AR76" s="309"/>
      <c r="AS76" s="1754"/>
      <c r="AT76" s="333"/>
      <c r="AU76" s="227"/>
      <c r="AV76" s="227"/>
      <c r="BL76" s="299"/>
      <c r="BM76" s="299"/>
      <c r="BN76" s="299"/>
      <c r="BO76" s="299"/>
      <c r="BP76" s="299"/>
      <c r="BQ76" s="299"/>
      <c r="BR76" s="299"/>
      <c r="BS76" s="299"/>
      <c r="BT76" s="299"/>
      <c r="BU76" s="299">
        <f>BT75+AL74</f>
        <v>423</v>
      </c>
      <c r="BV76" s="299">
        <f t="shared" ref="BV76" si="70">BU76+AM74</f>
        <v>493</v>
      </c>
    </row>
    <row r="77" spans="1:74" ht="14.25" thickBot="1" x14ac:dyDescent="0.3">
      <c r="A77" s="1753"/>
      <c r="B77" s="194" t="str">
        <f>'February 25 D_R (Tramming)'!F77</f>
        <v xml:space="preserve">-   </v>
      </c>
      <c r="F77" s="1608"/>
      <c r="G77" s="1693"/>
      <c r="H77" s="1686" t="s">
        <v>343</v>
      </c>
      <c r="I77" s="1384" t="s">
        <v>344</v>
      </c>
      <c r="J77" s="1310">
        <f t="shared" ref="J77:J78" si="71">IFERROR(J79*1000/J74,0)</f>
        <v>2.600000000000001</v>
      </c>
      <c r="K77" s="1385"/>
      <c r="L77" s="1312">
        <v>2.6</v>
      </c>
      <c r="M77" s="1312">
        <v>2.6</v>
      </c>
      <c r="N77" s="1312">
        <v>2.6</v>
      </c>
      <c r="O77" s="1333">
        <v>2.6</v>
      </c>
      <c r="P77" s="1333">
        <v>2.6</v>
      </c>
      <c r="Q77" s="1333">
        <v>2.6</v>
      </c>
      <c r="R77" s="1333">
        <v>2.6</v>
      </c>
      <c r="S77" s="1333">
        <v>2.6</v>
      </c>
      <c r="T77" s="1334">
        <v>2.6</v>
      </c>
      <c r="U77" s="1333">
        <v>2.6</v>
      </c>
      <c r="V77" s="1333">
        <v>2.6</v>
      </c>
      <c r="W77" s="1333">
        <v>2.6</v>
      </c>
      <c r="X77" s="1333">
        <v>2.6</v>
      </c>
      <c r="Y77" s="1333">
        <v>2.6</v>
      </c>
      <c r="Z77" s="1333">
        <v>2.6</v>
      </c>
      <c r="AA77" s="1333">
        <v>2.6</v>
      </c>
      <c r="AB77" s="1333">
        <v>2.6</v>
      </c>
      <c r="AC77" s="1333">
        <v>2.6</v>
      </c>
      <c r="AD77" s="1333">
        <v>2.6</v>
      </c>
      <c r="AE77" s="1333">
        <v>2.6</v>
      </c>
      <c r="AF77" s="1333">
        <v>2.6</v>
      </c>
      <c r="AG77" s="1333">
        <v>2.6</v>
      </c>
      <c r="AH77" s="1333">
        <v>2.6</v>
      </c>
      <c r="AI77" s="1333">
        <v>2.6</v>
      </c>
      <c r="AJ77" s="1333">
        <v>2.6</v>
      </c>
      <c r="AK77" s="1333">
        <v>2.6</v>
      </c>
      <c r="AL77" s="1333">
        <v>2.6</v>
      </c>
      <c r="AM77" s="1333">
        <v>2.6</v>
      </c>
      <c r="AN77" s="1333">
        <v>0</v>
      </c>
      <c r="AO77" s="1333">
        <v>0</v>
      </c>
      <c r="AP77" s="1335">
        <v>0</v>
      </c>
      <c r="AQ77" s="325"/>
      <c r="AR77" s="308"/>
      <c r="AS77" s="1754"/>
      <c r="AU77" s="226"/>
      <c r="AV77" s="226"/>
    </row>
    <row r="78" spans="1:74" ht="14.25" thickBot="1" x14ac:dyDescent="0.3">
      <c r="A78" s="1753"/>
      <c r="B78" s="194">
        <f>'February 25 D_R (Tramming)'!F78</f>
        <v>4.4800000000000004</v>
      </c>
      <c r="C78" s="350">
        <f>C80*1000/C75</f>
        <v>4.4444444444444446</v>
      </c>
      <c r="F78" s="1608"/>
      <c r="G78" s="1693"/>
      <c r="H78" s="1686"/>
      <c r="I78" s="1386" t="s">
        <v>345</v>
      </c>
      <c r="J78" s="1314">
        <f t="shared" si="71"/>
        <v>2.5405665722379602</v>
      </c>
      <c r="K78" s="1380">
        <f t="shared" ref="K78" si="72">IFERROR((J78-J77)/J77,0)</f>
        <v>-2.2859010677707972E-2</v>
      </c>
      <c r="L78" s="1315">
        <v>3.66</v>
      </c>
      <c r="M78" s="1314">
        <v>3.66</v>
      </c>
      <c r="N78" s="1314">
        <v>2.86</v>
      </c>
      <c r="O78" s="1314"/>
      <c r="P78" s="1314">
        <v>3.03</v>
      </c>
      <c r="Q78" s="1314"/>
      <c r="R78" s="1314"/>
      <c r="S78" s="1314"/>
      <c r="T78" s="1314"/>
      <c r="U78" s="1314"/>
      <c r="V78" s="1314"/>
      <c r="W78" s="1314"/>
      <c r="X78" s="1314"/>
      <c r="Y78" s="1314"/>
      <c r="Z78" s="1314"/>
      <c r="AA78" s="1314"/>
      <c r="AB78" s="1314"/>
      <c r="AC78" s="1314"/>
      <c r="AD78" s="1314"/>
      <c r="AE78" s="1314"/>
      <c r="AF78" s="1314"/>
      <c r="AG78" s="1314"/>
      <c r="AH78" s="1314"/>
      <c r="AI78" s="1314"/>
      <c r="AJ78" s="1314"/>
      <c r="AK78" s="1314"/>
      <c r="AL78" s="1314"/>
      <c r="AM78" s="1314"/>
      <c r="AN78" s="1314"/>
      <c r="AO78" s="1314"/>
      <c r="AP78" s="1314"/>
      <c r="AQ78" s="326"/>
      <c r="AR78" s="308"/>
      <c r="AS78" s="1754"/>
      <c r="AU78" s="226"/>
      <c r="AV78" s="226"/>
    </row>
    <row r="79" spans="1:74" ht="14.25" thickBot="1" x14ac:dyDescent="0.3">
      <c r="A79" s="1753"/>
      <c r="B79" s="194" t="str">
        <f>'February 25 D_R (Tramming)'!F79</f>
        <v xml:space="preserve">-   </v>
      </c>
      <c r="F79" s="1608"/>
      <c r="G79" s="1693"/>
      <c r="H79" s="1686" t="s">
        <v>47</v>
      </c>
      <c r="I79" s="1384" t="s">
        <v>346</v>
      </c>
      <c r="J79" s="206">
        <f>SUMIF($L$9:$AP$9,"&lt;="&amp;$G$7,L79:AP79)</f>
        <v>5.0960000000000019</v>
      </c>
      <c r="K79" s="1385"/>
      <c r="L79" s="1316">
        <f t="shared" ref="L79:AP80" si="73">+L77*L74/1000</f>
        <v>0.182</v>
      </c>
      <c r="M79" s="1316">
        <f t="shared" si="73"/>
        <v>0.182</v>
      </c>
      <c r="N79" s="1316">
        <f t="shared" si="73"/>
        <v>0.182</v>
      </c>
      <c r="O79" s="1317">
        <f t="shared" si="73"/>
        <v>0.182</v>
      </c>
      <c r="P79" s="1317">
        <f t="shared" si="73"/>
        <v>0.182</v>
      </c>
      <c r="Q79" s="1317">
        <f t="shared" si="73"/>
        <v>0.182</v>
      </c>
      <c r="R79" s="1317">
        <f t="shared" si="73"/>
        <v>0.182</v>
      </c>
      <c r="S79" s="1317">
        <f t="shared" si="73"/>
        <v>0.182</v>
      </c>
      <c r="T79" s="1318">
        <f t="shared" si="73"/>
        <v>0.182</v>
      </c>
      <c r="U79" s="1317">
        <f t="shared" si="73"/>
        <v>0.182</v>
      </c>
      <c r="V79" s="1317">
        <f t="shared" si="73"/>
        <v>0.182</v>
      </c>
      <c r="W79" s="1317">
        <f t="shared" si="73"/>
        <v>0.182</v>
      </c>
      <c r="X79" s="1317">
        <f t="shared" si="73"/>
        <v>0.182</v>
      </c>
      <c r="Y79" s="1317">
        <f t="shared" si="73"/>
        <v>0.182</v>
      </c>
      <c r="Z79" s="1317">
        <f t="shared" si="73"/>
        <v>0.182</v>
      </c>
      <c r="AA79" s="1317">
        <f>+AA77*AA74/1000</f>
        <v>0.182</v>
      </c>
      <c r="AB79" s="1317">
        <f t="shared" si="73"/>
        <v>0.182</v>
      </c>
      <c r="AC79" s="1317">
        <f t="shared" si="73"/>
        <v>0.182</v>
      </c>
      <c r="AD79" s="1317">
        <f t="shared" si="73"/>
        <v>0.182</v>
      </c>
      <c r="AE79" s="1317">
        <f t="shared" si="73"/>
        <v>0.182</v>
      </c>
      <c r="AF79" s="1317">
        <f t="shared" si="73"/>
        <v>0.182</v>
      </c>
      <c r="AG79" s="1317">
        <f t="shared" si="73"/>
        <v>0.182</v>
      </c>
      <c r="AH79" s="1317">
        <f t="shared" si="73"/>
        <v>0.182</v>
      </c>
      <c r="AI79" s="1317">
        <f t="shared" si="73"/>
        <v>0.182</v>
      </c>
      <c r="AJ79" s="1317">
        <f t="shared" si="73"/>
        <v>0.182</v>
      </c>
      <c r="AK79" s="1317">
        <f t="shared" si="73"/>
        <v>0.182</v>
      </c>
      <c r="AL79" s="1317">
        <f t="shared" si="73"/>
        <v>0.182</v>
      </c>
      <c r="AM79" s="1317">
        <f t="shared" si="73"/>
        <v>0.182</v>
      </c>
      <c r="AN79" s="1317">
        <f t="shared" si="73"/>
        <v>0</v>
      </c>
      <c r="AO79" s="1317">
        <f t="shared" si="73"/>
        <v>0</v>
      </c>
      <c r="AP79" s="1319">
        <f t="shared" si="73"/>
        <v>0</v>
      </c>
      <c r="AQ79" s="327"/>
      <c r="AR79" s="310"/>
      <c r="AS79" s="1754"/>
      <c r="AT79" s="332"/>
      <c r="AU79" s="226"/>
      <c r="AV79" s="226"/>
    </row>
    <row r="80" spans="1:74" ht="14.25" thickBot="1" x14ac:dyDescent="0.3">
      <c r="A80" s="1753"/>
      <c r="B80" s="194">
        <f>'February 25 D_R (Tramming)'!F80</f>
        <v>0.4</v>
      </c>
      <c r="C80" s="350">
        <f>(J80/(J80))*B80</f>
        <v>0.4</v>
      </c>
      <c r="F80" s="1608"/>
      <c r="G80" s="1694"/>
      <c r="H80" s="1686"/>
      <c r="I80" s="1392" t="s">
        <v>347</v>
      </c>
      <c r="J80" s="1331">
        <f>SUMIF($L$9:$AP$9,"&lt;="&amp;$G$7,L80:AP80)</f>
        <v>0.89681999999999995</v>
      </c>
      <c r="K80" s="1552">
        <f t="shared" ref="K80" si="74">IFERROR((J80-J79)/J79,0)</f>
        <v>-0.82401491365777091</v>
      </c>
      <c r="L80" s="1323">
        <f t="shared" si="73"/>
        <v>0.27450000000000002</v>
      </c>
      <c r="M80" s="1321">
        <f t="shared" si="73"/>
        <v>0.28914000000000001</v>
      </c>
      <c r="N80" s="1321">
        <f t="shared" si="73"/>
        <v>0.20591999999999999</v>
      </c>
      <c r="O80" s="1321">
        <f t="shared" si="73"/>
        <v>0</v>
      </c>
      <c r="P80" s="1321">
        <f t="shared" si="73"/>
        <v>0.12725999999999998</v>
      </c>
      <c r="Q80" s="1321">
        <f t="shared" si="73"/>
        <v>0</v>
      </c>
      <c r="R80" s="1321">
        <f t="shared" si="73"/>
        <v>0</v>
      </c>
      <c r="S80" s="1321">
        <f t="shared" si="73"/>
        <v>0</v>
      </c>
      <c r="T80" s="1321">
        <f t="shared" si="73"/>
        <v>0</v>
      </c>
      <c r="U80" s="1321">
        <f t="shared" si="73"/>
        <v>0</v>
      </c>
      <c r="V80" s="1321">
        <f t="shared" si="73"/>
        <v>0</v>
      </c>
      <c r="W80" s="1321">
        <f t="shared" si="73"/>
        <v>0</v>
      </c>
      <c r="X80" s="1321">
        <f t="shared" si="73"/>
        <v>0</v>
      </c>
      <c r="Y80" s="1321">
        <f t="shared" si="73"/>
        <v>0</v>
      </c>
      <c r="Z80" s="1321">
        <f t="shared" si="73"/>
        <v>0</v>
      </c>
      <c r="AA80" s="1321">
        <f>+AA78*AA75/1000</f>
        <v>0</v>
      </c>
      <c r="AB80" s="1321">
        <f t="shared" si="73"/>
        <v>0</v>
      </c>
      <c r="AC80" s="1321">
        <f t="shared" si="73"/>
        <v>0</v>
      </c>
      <c r="AD80" s="1321">
        <f t="shared" si="73"/>
        <v>0</v>
      </c>
      <c r="AE80" s="1321">
        <f t="shared" si="73"/>
        <v>0</v>
      </c>
      <c r="AF80" s="1321">
        <f t="shared" si="73"/>
        <v>0</v>
      </c>
      <c r="AG80" s="1321">
        <f t="shared" si="73"/>
        <v>0</v>
      </c>
      <c r="AH80" s="1321">
        <f t="shared" si="73"/>
        <v>0</v>
      </c>
      <c r="AI80" s="1321">
        <f t="shared" si="73"/>
        <v>0</v>
      </c>
      <c r="AJ80" s="1321">
        <f t="shared" si="73"/>
        <v>0</v>
      </c>
      <c r="AK80" s="1321">
        <f t="shared" si="73"/>
        <v>0</v>
      </c>
      <c r="AL80" s="1321">
        <f t="shared" si="73"/>
        <v>0</v>
      </c>
      <c r="AM80" s="1321">
        <f t="shared" si="73"/>
        <v>0</v>
      </c>
      <c r="AN80" s="1321">
        <f t="shared" si="73"/>
        <v>0</v>
      </c>
      <c r="AO80" s="1321">
        <f t="shared" si="73"/>
        <v>0</v>
      </c>
      <c r="AP80" s="1321">
        <f t="shared" si="73"/>
        <v>0</v>
      </c>
      <c r="AQ80" s="328"/>
      <c r="AR80" s="311"/>
      <c r="AS80" s="1754"/>
      <c r="AU80" s="226"/>
      <c r="AV80" s="226"/>
    </row>
    <row r="81" spans="1:74" s="194" customFormat="1" ht="14.45" customHeight="1" thickBot="1" x14ac:dyDescent="0.3">
      <c r="A81" s="1753" t="s">
        <v>565</v>
      </c>
      <c r="B81" s="194" t="str">
        <f>'February 25 D_R (Tramming)'!F81</f>
        <v xml:space="preserve">-   </v>
      </c>
      <c r="E81" s="202"/>
      <c r="F81" s="1608"/>
      <c r="G81" s="1692" t="s">
        <v>478</v>
      </c>
      <c r="H81" s="1696" t="s">
        <v>340</v>
      </c>
      <c r="I81" s="293" t="s">
        <v>341</v>
      </c>
      <c r="J81" s="196">
        <f>SUMIF($L$9:$AP$9,"&lt;="&amp;$G$7,L81:AP81)</f>
        <v>2940</v>
      </c>
      <c r="K81" s="197"/>
      <c r="L81" s="198">
        <v>105</v>
      </c>
      <c r="M81" s="198">
        <v>105</v>
      </c>
      <c r="N81" s="198">
        <v>105</v>
      </c>
      <c r="O81" s="199">
        <v>105</v>
      </c>
      <c r="P81" s="199">
        <v>105</v>
      </c>
      <c r="Q81" s="199">
        <v>105</v>
      </c>
      <c r="R81" s="199">
        <v>105</v>
      </c>
      <c r="S81" s="199">
        <v>105</v>
      </c>
      <c r="T81" s="200">
        <v>105</v>
      </c>
      <c r="U81" s="199">
        <v>105</v>
      </c>
      <c r="V81" s="199">
        <v>105</v>
      </c>
      <c r="W81" s="199">
        <v>105</v>
      </c>
      <c r="X81" s="199">
        <v>105</v>
      </c>
      <c r="Y81" s="199">
        <v>105</v>
      </c>
      <c r="Z81" s="199">
        <v>105</v>
      </c>
      <c r="AA81" s="199">
        <v>105</v>
      </c>
      <c r="AB81" s="199">
        <v>105</v>
      </c>
      <c r="AC81" s="199">
        <v>105</v>
      </c>
      <c r="AD81" s="199">
        <v>105</v>
      </c>
      <c r="AE81" s="199">
        <v>105</v>
      </c>
      <c r="AF81" s="199">
        <v>105</v>
      </c>
      <c r="AG81" s="199">
        <v>105</v>
      </c>
      <c r="AH81" s="199">
        <v>105</v>
      </c>
      <c r="AI81" s="199">
        <v>105</v>
      </c>
      <c r="AJ81" s="199">
        <v>105</v>
      </c>
      <c r="AK81" s="199">
        <v>105</v>
      </c>
      <c r="AL81" s="199">
        <v>105</v>
      </c>
      <c r="AM81" s="199">
        <v>105</v>
      </c>
      <c r="AN81" s="199">
        <v>0</v>
      </c>
      <c r="AO81" s="199">
        <v>0</v>
      </c>
      <c r="AP81" s="201">
        <v>0</v>
      </c>
      <c r="AQ81" s="322"/>
      <c r="AR81" s="307"/>
      <c r="AS81" s="1754" t="s">
        <v>566</v>
      </c>
      <c r="AT81" s="332"/>
      <c r="AU81" s="226">
        <f>L81</f>
        <v>105</v>
      </c>
      <c r="AV81" s="298">
        <f>AU81+M81</f>
        <v>210</v>
      </c>
      <c r="AW81" s="298">
        <f>AV81+N81</f>
        <v>315</v>
      </c>
      <c r="AX81" s="298">
        <f t="shared" ref="AX81:BM82" si="75">AW81+O81</f>
        <v>420</v>
      </c>
      <c r="AY81" s="298">
        <f t="shared" si="75"/>
        <v>525</v>
      </c>
      <c r="AZ81" s="298">
        <f t="shared" si="75"/>
        <v>630</v>
      </c>
      <c r="BA81" s="298">
        <f t="shared" si="75"/>
        <v>735</v>
      </c>
      <c r="BB81" s="298">
        <f t="shared" si="75"/>
        <v>840</v>
      </c>
      <c r="BC81" s="298">
        <f t="shared" si="75"/>
        <v>945</v>
      </c>
      <c r="BD81" s="298">
        <f t="shared" si="75"/>
        <v>1050</v>
      </c>
      <c r="BE81" s="298">
        <f t="shared" si="75"/>
        <v>1155</v>
      </c>
      <c r="BF81" s="298">
        <f t="shared" si="75"/>
        <v>1260</v>
      </c>
      <c r="BG81" s="298">
        <f t="shared" si="75"/>
        <v>1365</v>
      </c>
      <c r="BH81" s="298">
        <f t="shared" si="75"/>
        <v>1470</v>
      </c>
      <c r="BI81" s="298">
        <f t="shared" si="75"/>
        <v>1575</v>
      </c>
      <c r="BJ81" s="298">
        <f t="shared" si="75"/>
        <v>1680</v>
      </c>
      <c r="BK81" s="298">
        <f t="shared" si="75"/>
        <v>1785</v>
      </c>
      <c r="BL81" s="298">
        <f t="shared" si="75"/>
        <v>1890</v>
      </c>
      <c r="BM81" s="298">
        <f t="shared" si="75"/>
        <v>1995</v>
      </c>
      <c r="BN81" s="298">
        <f t="shared" ref="BN81:BV82" si="76">BM81+AE81</f>
        <v>2100</v>
      </c>
      <c r="BO81" s="298">
        <f t="shared" si="76"/>
        <v>2205</v>
      </c>
      <c r="BP81" s="298">
        <f t="shared" si="76"/>
        <v>2310</v>
      </c>
      <c r="BQ81" s="298">
        <f t="shared" si="76"/>
        <v>2415</v>
      </c>
      <c r="BR81" s="298">
        <f t="shared" si="76"/>
        <v>2520</v>
      </c>
      <c r="BS81" s="298">
        <f t="shared" si="76"/>
        <v>2625</v>
      </c>
      <c r="BT81" s="298">
        <f t="shared" si="76"/>
        <v>2730</v>
      </c>
      <c r="BU81" s="298">
        <f t="shared" si="76"/>
        <v>2835</v>
      </c>
      <c r="BV81" s="298">
        <f t="shared" si="76"/>
        <v>2940</v>
      </c>
    </row>
    <row r="82" spans="1:74" ht="14.25" thickBot="1" x14ac:dyDescent="0.3">
      <c r="A82" s="1753"/>
      <c r="B82" s="194">
        <f>'February 25 D_R (Tramming)'!F82</f>
        <v>3353</v>
      </c>
      <c r="C82" s="352">
        <f>(J82/(J82))*B82</f>
        <v>3353</v>
      </c>
      <c r="D82" s="349">
        <f>(C82-J82)/C82</f>
        <v>-0.24903071875932001</v>
      </c>
      <c r="F82" s="1608"/>
      <c r="G82" s="1693"/>
      <c r="H82" s="1696"/>
      <c r="I82" s="1379" t="s">
        <v>342</v>
      </c>
      <c r="J82" s="1303">
        <f>SUMIF($L$9:$AP$9,"&lt;="&amp;$G$7,L82:AP82)</f>
        <v>4188</v>
      </c>
      <c r="K82" s="1380">
        <f t="shared" ref="K82" si="77">IFERROR((J82-J81)/J81,0)</f>
        <v>0.42448979591836733</v>
      </c>
      <c r="L82" s="1305">
        <v>125</v>
      </c>
      <c r="M82" s="1303">
        <v>114</v>
      </c>
      <c r="N82" s="1303">
        <v>139</v>
      </c>
      <c r="O82" s="1303">
        <v>232</v>
      </c>
      <c r="P82" s="1303">
        <v>144</v>
      </c>
      <c r="Q82" s="1303">
        <f>35+148</f>
        <v>183</v>
      </c>
      <c r="R82" s="1303">
        <f>38+134</f>
        <v>172</v>
      </c>
      <c r="S82" s="1303">
        <f>37+156</f>
        <v>193</v>
      </c>
      <c r="T82" s="1303">
        <f>37+140</f>
        <v>177</v>
      </c>
      <c r="U82" s="1303">
        <f>36+135</f>
        <v>171</v>
      </c>
      <c r="V82" s="1303">
        <v>153</v>
      </c>
      <c r="W82" s="1303">
        <f>36+30+30+35+40</f>
        <v>171</v>
      </c>
      <c r="X82" s="1303">
        <v>150</v>
      </c>
      <c r="Y82" s="1303">
        <v>239</v>
      </c>
      <c r="Z82" s="1303">
        <v>229</v>
      </c>
      <c r="AA82" s="1303">
        <v>229</v>
      </c>
      <c r="AB82" s="1303">
        <f>35*5</f>
        <v>175</v>
      </c>
      <c r="AC82" s="1303">
        <v>188</v>
      </c>
      <c r="AD82" s="1303">
        <v>114</v>
      </c>
      <c r="AE82" s="1303">
        <v>105</v>
      </c>
      <c r="AF82" s="1303">
        <v>136</v>
      </c>
      <c r="AG82" s="1303">
        <v>44</v>
      </c>
      <c r="AH82" s="1303">
        <v>154</v>
      </c>
      <c r="AI82" s="1303">
        <v>107</v>
      </c>
      <c r="AJ82" s="1303">
        <f>115+82</f>
        <v>197</v>
      </c>
      <c r="AK82" s="1303">
        <f>185-38</f>
        <v>147</v>
      </c>
      <c r="AL82" s="1303"/>
      <c r="AM82" s="1303"/>
      <c r="AN82" s="1303"/>
      <c r="AO82" s="1303"/>
      <c r="AP82" s="1303"/>
      <c r="AQ82" s="323"/>
      <c r="AR82" s="308"/>
      <c r="AS82" s="1754"/>
      <c r="AU82" s="226">
        <f>L82</f>
        <v>125</v>
      </c>
      <c r="AV82" s="298">
        <f>AU82+M82</f>
        <v>239</v>
      </c>
      <c r="AW82" s="298">
        <f>AV82+N82</f>
        <v>378</v>
      </c>
      <c r="AX82" s="298">
        <f t="shared" si="75"/>
        <v>610</v>
      </c>
      <c r="AY82" s="298">
        <f t="shared" si="75"/>
        <v>754</v>
      </c>
      <c r="AZ82" s="298">
        <f t="shared" si="75"/>
        <v>937</v>
      </c>
      <c r="BA82" s="298">
        <f t="shared" si="75"/>
        <v>1109</v>
      </c>
      <c r="BB82" s="298">
        <f t="shared" si="75"/>
        <v>1302</v>
      </c>
      <c r="BC82" s="298">
        <f t="shared" si="75"/>
        <v>1479</v>
      </c>
      <c r="BD82" s="298">
        <f t="shared" si="75"/>
        <v>1650</v>
      </c>
      <c r="BE82" s="298">
        <f t="shared" si="75"/>
        <v>1803</v>
      </c>
      <c r="BF82" s="298">
        <f t="shared" si="75"/>
        <v>1974</v>
      </c>
      <c r="BG82" s="298">
        <f t="shared" si="75"/>
        <v>2124</v>
      </c>
      <c r="BH82" s="298">
        <f t="shared" si="75"/>
        <v>2363</v>
      </c>
      <c r="BI82" s="298">
        <f t="shared" si="75"/>
        <v>2592</v>
      </c>
      <c r="BJ82" s="298">
        <f t="shared" si="75"/>
        <v>2821</v>
      </c>
      <c r="BK82" s="298">
        <f t="shared" si="75"/>
        <v>2996</v>
      </c>
      <c r="BL82" s="298">
        <f t="shared" si="75"/>
        <v>3184</v>
      </c>
      <c r="BM82" s="298">
        <f t="shared" si="75"/>
        <v>3298</v>
      </c>
      <c r="BN82" s="298">
        <f t="shared" si="76"/>
        <v>3403</v>
      </c>
      <c r="BO82" s="298">
        <f t="shared" si="76"/>
        <v>3539</v>
      </c>
      <c r="BP82" s="298">
        <f t="shared" si="76"/>
        <v>3583</v>
      </c>
      <c r="BQ82" s="298">
        <f t="shared" si="76"/>
        <v>3737</v>
      </c>
      <c r="BR82" s="298">
        <f t="shared" si="76"/>
        <v>3844</v>
      </c>
      <c r="BS82" s="298">
        <f t="shared" si="76"/>
        <v>4041</v>
      </c>
      <c r="BT82" s="298">
        <f t="shared" si="76"/>
        <v>4188</v>
      </c>
    </row>
    <row r="83" spans="1:74" ht="14.25" thickBot="1" x14ac:dyDescent="0.3">
      <c r="A83" s="1753"/>
      <c r="B83" s="194">
        <f>'February 25 D_R (Tramming)'!F83</f>
        <v>0</v>
      </c>
      <c r="F83" s="1608"/>
      <c r="G83" s="1693"/>
      <c r="H83" s="1696"/>
      <c r="I83" s="1389" t="s">
        <v>312</v>
      </c>
      <c r="J83" s="1390"/>
      <c r="K83" s="1391"/>
      <c r="L83" s="203"/>
      <c r="M83" s="203"/>
      <c r="N83" s="203"/>
      <c r="O83" s="203"/>
      <c r="P83" s="203"/>
      <c r="Q83" s="203"/>
      <c r="R83" s="203"/>
      <c r="S83" s="203"/>
      <c r="T83" s="204"/>
      <c r="U83" s="203"/>
      <c r="V83" s="203"/>
      <c r="W83" s="203"/>
      <c r="X83" s="203"/>
      <c r="Y83" s="203"/>
      <c r="Z83" s="203"/>
      <c r="AA83" s="203"/>
      <c r="AB83" s="203"/>
      <c r="AC83" s="203"/>
      <c r="AD83" s="203"/>
      <c r="AE83" s="203"/>
      <c r="AF83" s="203"/>
      <c r="AG83" s="203"/>
      <c r="AH83" s="203"/>
      <c r="AI83" s="203"/>
      <c r="AJ83" s="203"/>
      <c r="AK83" s="203"/>
      <c r="AL83" s="203"/>
      <c r="AM83" s="203"/>
      <c r="AN83" s="203"/>
      <c r="AO83" s="203"/>
      <c r="AP83" s="205"/>
      <c r="AQ83" s="324"/>
      <c r="AR83" s="309"/>
      <c r="AS83" s="1754"/>
      <c r="AT83" s="333"/>
      <c r="AU83" s="227"/>
      <c r="AV83" s="227"/>
      <c r="BL83" s="299"/>
      <c r="BM83" s="299"/>
      <c r="BN83" s="299"/>
      <c r="BO83" s="299"/>
      <c r="BP83" s="299"/>
      <c r="BQ83" s="299"/>
      <c r="BR83" s="299"/>
      <c r="BS83" s="299"/>
      <c r="BT83" s="299"/>
      <c r="BU83" s="299">
        <f>BT82+AL81</f>
        <v>4293</v>
      </c>
      <c r="BV83" s="299">
        <f t="shared" ref="BV83" si="78">BU83+AM81</f>
        <v>4398</v>
      </c>
    </row>
    <row r="84" spans="1:74" ht="14.25" thickBot="1" x14ac:dyDescent="0.3">
      <c r="A84" s="1753"/>
      <c r="B84" s="194" t="str">
        <f>'February 25 D_R (Tramming)'!F84</f>
        <v xml:space="preserve">-   </v>
      </c>
      <c r="F84" s="1608"/>
      <c r="G84" s="1693"/>
      <c r="H84" s="1686" t="s">
        <v>343</v>
      </c>
      <c r="I84" s="1384" t="s">
        <v>344</v>
      </c>
      <c r="J84" s="1310">
        <f t="shared" ref="J84:J85" si="79">IFERROR(J86*1000/J81,0)</f>
        <v>2.5299999999999998</v>
      </c>
      <c r="K84" s="1385"/>
      <c r="L84" s="1312">
        <v>2.5299999999999998</v>
      </c>
      <c r="M84" s="1312">
        <v>2.5299999999999998</v>
      </c>
      <c r="N84" s="1312">
        <v>2.5299999999999998</v>
      </c>
      <c r="O84" s="1333">
        <v>2.5299999999999998</v>
      </c>
      <c r="P84" s="1333">
        <v>2.5299999999999998</v>
      </c>
      <c r="Q84" s="1333">
        <v>2.5299999999999998</v>
      </c>
      <c r="R84" s="1333">
        <v>2.5299999999999998</v>
      </c>
      <c r="S84" s="1333">
        <v>2.5299999999999998</v>
      </c>
      <c r="T84" s="1334">
        <v>2.5299999999999998</v>
      </c>
      <c r="U84" s="1333">
        <v>2.5299999999999998</v>
      </c>
      <c r="V84" s="1333">
        <v>2.5299999999999998</v>
      </c>
      <c r="W84" s="1333">
        <v>2.5299999999999998</v>
      </c>
      <c r="X84" s="1333">
        <v>2.5299999999999998</v>
      </c>
      <c r="Y84" s="1333">
        <v>2.5299999999999998</v>
      </c>
      <c r="Z84" s="1333">
        <v>2.5299999999999998</v>
      </c>
      <c r="AA84" s="1333">
        <v>2.5299999999999998</v>
      </c>
      <c r="AB84" s="1333">
        <v>2.5299999999999998</v>
      </c>
      <c r="AC84" s="1333">
        <v>2.5299999999999998</v>
      </c>
      <c r="AD84" s="1333">
        <v>2.5299999999999998</v>
      </c>
      <c r="AE84" s="1333">
        <v>2.5299999999999998</v>
      </c>
      <c r="AF84" s="1333">
        <v>2.5299999999999998</v>
      </c>
      <c r="AG84" s="1333">
        <v>2.5299999999999998</v>
      </c>
      <c r="AH84" s="1333">
        <v>2.5299999999999998</v>
      </c>
      <c r="AI84" s="1333">
        <v>2.5299999999999998</v>
      </c>
      <c r="AJ84" s="1333">
        <v>2.5299999999999998</v>
      </c>
      <c r="AK84" s="1333">
        <v>2.5299999999999998</v>
      </c>
      <c r="AL84" s="1333">
        <v>2.5299999999999998</v>
      </c>
      <c r="AM84" s="1333">
        <v>2.5299999999999998</v>
      </c>
      <c r="AN84" s="1333">
        <v>0</v>
      </c>
      <c r="AO84" s="1333">
        <v>0</v>
      </c>
      <c r="AP84" s="1335">
        <v>0</v>
      </c>
      <c r="AQ84" s="325"/>
      <c r="AR84" s="308"/>
      <c r="AS84" s="1754"/>
      <c r="AU84" s="226"/>
      <c r="AV84" s="226"/>
    </row>
    <row r="85" spans="1:74" ht="14.25" thickBot="1" x14ac:dyDescent="0.3">
      <c r="A85" s="1753"/>
      <c r="B85" s="194">
        <f>'February 25 D_R (Tramming)'!F85</f>
        <v>2.57</v>
      </c>
      <c r="C85" s="350">
        <f>C87*1000/C82</f>
        <v>2.5648672830301225</v>
      </c>
      <c r="F85" s="1608"/>
      <c r="G85" s="1693"/>
      <c r="H85" s="1686"/>
      <c r="I85" s="1386" t="s">
        <v>345</v>
      </c>
      <c r="J85" s="1314">
        <f t="shared" si="79"/>
        <v>2.8114660936007647</v>
      </c>
      <c r="K85" s="1380">
        <f t="shared" ref="K85" si="80">IFERROR((J85-J84)/J84,0)</f>
        <v>0.11125142039555926</v>
      </c>
      <c r="L85" s="1315">
        <v>4.4400000000000004</v>
      </c>
      <c r="M85" s="1314">
        <v>4.4400000000000004</v>
      </c>
      <c r="N85" s="1314">
        <v>3.06</v>
      </c>
      <c r="O85" s="1314">
        <v>3.42</v>
      </c>
      <c r="P85" s="1314">
        <v>2.71</v>
      </c>
      <c r="Q85" s="1314">
        <v>3.09</v>
      </c>
      <c r="R85" s="1314">
        <v>3.82</v>
      </c>
      <c r="S85" s="1314">
        <v>3.08</v>
      </c>
      <c r="T85" s="1314">
        <v>3.08</v>
      </c>
      <c r="U85" s="1314">
        <v>3.17</v>
      </c>
      <c r="V85" s="1314">
        <v>4.41</v>
      </c>
      <c r="W85" s="1314">
        <v>4.83</v>
      </c>
      <c r="X85" s="1314">
        <v>3.4</v>
      </c>
      <c r="Y85" s="1314">
        <v>2.5099999999999998</v>
      </c>
      <c r="Z85" s="1314">
        <v>2.94</v>
      </c>
      <c r="AA85" s="1314">
        <v>2.94</v>
      </c>
      <c r="AB85" s="1314">
        <v>1.48</v>
      </c>
      <c r="AC85" s="1314">
        <v>2.2400000000000002</v>
      </c>
      <c r="AD85" s="1314">
        <v>1.88</v>
      </c>
      <c r="AE85" s="1314">
        <v>2.83</v>
      </c>
      <c r="AF85" s="1314">
        <v>2.2200000000000002</v>
      </c>
      <c r="AG85" s="1314">
        <v>2.11</v>
      </c>
      <c r="AH85" s="1314">
        <v>2.11</v>
      </c>
      <c r="AI85" s="1314">
        <v>3.1</v>
      </c>
      <c r="AJ85" s="1314"/>
      <c r="AK85" s="1314"/>
      <c r="AL85" s="1314"/>
      <c r="AM85" s="1314"/>
      <c r="AN85" s="1314"/>
      <c r="AO85" s="1314"/>
      <c r="AP85" s="1314"/>
      <c r="AQ85" s="326"/>
      <c r="AR85" s="308"/>
      <c r="AS85" s="1754"/>
      <c r="AU85" s="226"/>
      <c r="AV85" s="226"/>
    </row>
    <row r="86" spans="1:74" ht="14.25" thickBot="1" x14ac:dyDescent="0.3">
      <c r="A86" s="1753"/>
      <c r="B86" s="194" t="str">
        <f>'February 25 D_R (Tramming)'!F86</f>
        <v xml:space="preserve">-   </v>
      </c>
      <c r="F86" s="1608"/>
      <c r="G86" s="1693"/>
      <c r="H86" s="1686" t="s">
        <v>47</v>
      </c>
      <c r="I86" s="1384" t="s">
        <v>346</v>
      </c>
      <c r="J86" s="206">
        <f>SUMIF($L$9:$AP$9,"&lt;="&amp;$G$7,L86:AP86)</f>
        <v>7.4381999999999993</v>
      </c>
      <c r="K86" s="1385"/>
      <c r="L86" s="1316">
        <f t="shared" ref="L86:AP87" si="81">+L84*L81/1000</f>
        <v>0.26565</v>
      </c>
      <c r="M86" s="1316">
        <f t="shared" si="81"/>
        <v>0.26565</v>
      </c>
      <c r="N86" s="1316">
        <f t="shared" si="81"/>
        <v>0.26565</v>
      </c>
      <c r="O86" s="1317">
        <f t="shared" si="81"/>
        <v>0.26565</v>
      </c>
      <c r="P86" s="1317">
        <f t="shared" si="81"/>
        <v>0.26565</v>
      </c>
      <c r="Q86" s="1317">
        <f t="shared" si="81"/>
        <v>0.26565</v>
      </c>
      <c r="R86" s="1317">
        <f t="shared" si="81"/>
        <v>0.26565</v>
      </c>
      <c r="S86" s="1317">
        <f t="shared" si="81"/>
        <v>0.26565</v>
      </c>
      <c r="T86" s="1318">
        <f t="shared" si="81"/>
        <v>0.26565</v>
      </c>
      <c r="U86" s="1317">
        <f t="shared" si="81"/>
        <v>0.26565</v>
      </c>
      <c r="V86" s="1317">
        <f t="shared" si="81"/>
        <v>0.26565</v>
      </c>
      <c r="W86" s="1317">
        <f t="shared" si="81"/>
        <v>0.26565</v>
      </c>
      <c r="X86" s="1317">
        <f t="shared" si="81"/>
        <v>0.26565</v>
      </c>
      <c r="Y86" s="1317">
        <f t="shared" si="81"/>
        <v>0.26565</v>
      </c>
      <c r="Z86" s="1317">
        <f t="shared" si="81"/>
        <v>0.26565</v>
      </c>
      <c r="AA86" s="1317">
        <f>+AA84*AA81/1000</f>
        <v>0.26565</v>
      </c>
      <c r="AB86" s="1317">
        <f t="shared" si="81"/>
        <v>0.26565</v>
      </c>
      <c r="AC86" s="1317">
        <f t="shared" si="81"/>
        <v>0.26565</v>
      </c>
      <c r="AD86" s="1317">
        <f t="shared" si="81"/>
        <v>0.26565</v>
      </c>
      <c r="AE86" s="1317">
        <f t="shared" si="81"/>
        <v>0.26565</v>
      </c>
      <c r="AF86" s="1317">
        <f t="shared" si="81"/>
        <v>0.26565</v>
      </c>
      <c r="AG86" s="1317">
        <f t="shared" si="81"/>
        <v>0.26565</v>
      </c>
      <c r="AH86" s="1317">
        <f t="shared" si="81"/>
        <v>0.26565</v>
      </c>
      <c r="AI86" s="1317">
        <f t="shared" si="81"/>
        <v>0.26565</v>
      </c>
      <c r="AJ86" s="1317">
        <f t="shared" si="81"/>
        <v>0.26565</v>
      </c>
      <c r="AK86" s="1317">
        <f t="shared" si="81"/>
        <v>0.26565</v>
      </c>
      <c r="AL86" s="1317">
        <f t="shared" si="81"/>
        <v>0.26565</v>
      </c>
      <c r="AM86" s="1317">
        <f t="shared" si="81"/>
        <v>0.26565</v>
      </c>
      <c r="AN86" s="1317">
        <f t="shared" si="81"/>
        <v>0</v>
      </c>
      <c r="AO86" s="1317">
        <f t="shared" si="81"/>
        <v>0</v>
      </c>
      <c r="AP86" s="1319">
        <f t="shared" si="81"/>
        <v>0</v>
      </c>
      <c r="AQ86" s="327"/>
      <c r="AR86" s="310"/>
      <c r="AS86" s="1754"/>
      <c r="AT86" s="332"/>
      <c r="AU86" s="226"/>
      <c r="AV86" s="226"/>
    </row>
    <row r="87" spans="1:74" ht="14.25" thickBot="1" x14ac:dyDescent="0.3">
      <c r="A87" s="1753"/>
      <c r="B87" s="194">
        <f>'February 25 D_R (Tramming)'!F87</f>
        <v>8.6</v>
      </c>
      <c r="C87" s="350">
        <f>(J87/(J87))*B87</f>
        <v>8.6</v>
      </c>
      <c r="F87" s="1609"/>
      <c r="G87" s="1694"/>
      <c r="H87" s="1687"/>
      <c r="I87" s="1387" t="s">
        <v>347</v>
      </c>
      <c r="J87" s="1321">
        <f>SUMIF($L$9:$AP$9,"&lt;="&amp;$G$7,L87:AP87)</f>
        <v>11.774420000000003</v>
      </c>
      <c r="K87" s="1388">
        <f t="shared" ref="K87" si="82">IFERROR((J87-J86)/J86,0)</f>
        <v>0.58296630905326607</v>
      </c>
      <c r="L87" s="1323">
        <f t="shared" si="81"/>
        <v>0.55500000000000005</v>
      </c>
      <c r="M87" s="1321">
        <f t="shared" si="81"/>
        <v>0.50616000000000005</v>
      </c>
      <c r="N87" s="1321">
        <f t="shared" si="81"/>
        <v>0.42534000000000005</v>
      </c>
      <c r="O87" s="1321">
        <f t="shared" si="81"/>
        <v>0.79343999999999992</v>
      </c>
      <c r="P87" s="1321">
        <f t="shared" si="81"/>
        <v>0.39024000000000003</v>
      </c>
      <c r="Q87" s="1321">
        <f t="shared" si="81"/>
        <v>0.56547000000000003</v>
      </c>
      <c r="R87" s="1321">
        <f t="shared" si="81"/>
        <v>0.65703999999999996</v>
      </c>
      <c r="S87" s="1321">
        <f t="shared" si="81"/>
        <v>0.59444000000000008</v>
      </c>
      <c r="T87" s="1321">
        <f t="shared" si="81"/>
        <v>0.54515999999999998</v>
      </c>
      <c r="U87" s="1321">
        <f t="shared" si="81"/>
        <v>0.54206999999999994</v>
      </c>
      <c r="V87" s="1321">
        <f t="shared" si="81"/>
        <v>0.67473000000000005</v>
      </c>
      <c r="W87" s="1321">
        <f t="shared" si="81"/>
        <v>0.82593000000000005</v>
      </c>
      <c r="X87" s="1321">
        <f t="shared" si="81"/>
        <v>0.51</v>
      </c>
      <c r="Y87" s="1321">
        <f t="shared" si="81"/>
        <v>0.59989000000000003</v>
      </c>
      <c r="Z87" s="1321">
        <f t="shared" si="81"/>
        <v>0.67325999999999997</v>
      </c>
      <c r="AA87" s="1321">
        <f>+AA85*AA82/1000</f>
        <v>0.67325999999999997</v>
      </c>
      <c r="AB87" s="1321">
        <f t="shared" si="81"/>
        <v>0.25900000000000001</v>
      </c>
      <c r="AC87" s="1321">
        <f t="shared" si="81"/>
        <v>0.42112000000000005</v>
      </c>
      <c r="AD87" s="1321">
        <f t="shared" si="81"/>
        <v>0.21431999999999998</v>
      </c>
      <c r="AE87" s="1321">
        <f t="shared" si="81"/>
        <v>0.29715000000000003</v>
      </c>
      <c r="AF87" s="1321">
        <f t="shared" si="81"/>
        <v>0.30192000000000002</v>
      </c>
      <c r="AG87" s="1321">
        <f t="shared" si="81"/>
        <v>9.2839999999999992E-2</v>
      </c>
      <c r="AH87" s="1321">
        <f t="shared" si="81"/>
        <v>0.32494000000000001</v>
      </c>
      <c r="AI87" s="1321">
        <f t="shared" si="81"/>
        <v>0.33169999999999999</v>
      </c>
      <c r="AJ87" s="1321">
        <f t="shared" si="81"/>
        <v>0</v>
      </c>
      <c r="AK87" s="1321">
        <f t="shared" si="81"/>
        <v>0</v>
      </c>
      <c r="AL87" s="1321">
        <f t="shared" si="81"/>
        <v>0</v>
      </c>
      <c r="AM87" s="1321">
        <f t="shared" si="81"/>
        <v>0</v>
      </c>
      <c r="AN87" s="1321">
        <f t="shared" si="81"/>
        <v>0</v>
      </c>
      <c r="AO87" s="1321">
        <f t="shared" si="81"/>
        <v>0</v>
      </c>
      <c r="AP87" s="1321">
        <f t="shared" si="81"/>
        <v>0</v>
      </c>
      <c r="AQ87" s="328"/>
      <c r="AR87" s="311"/>
      <c r="AS87" s="1754"/>
      <c r="AU87" s="226"/>
      <c r="AV87" s="226"/>
    </row>
    <row r="88" spans="1:74" s="194" customFormat="1" ht="14.45" customHeight="1" thickBot="1" x14ac:dyDescent="0.3">
      <c r="A88" s="1753" t="s">
        <v>51</v>
      </c>
      <c r="B88" s="194" t="str">
        <f>'February 25 D_R (Tramming)'!F88</f>
        <v xml:space="preserve">-   </v>
      </c>
      <c r="E88" s="202"/>
      <c r="F88" s="1608"/>
      <c r="G88" s="1692" t="s">
        <v>479</v>
      </c>
      <c r="H88" s="1696" t="s">
        <v>340</v>
      </c>
      <c r="I88" s="293" t="s">
        <v>341</v>
      </c>
      <c r="J88" s="196">
        <f>SUMIF($L$9:$AP$9,"&lt;="&amp;$G$7,L88:AP88)</f>
        <v>980</v>
      </c>
      <c r="K88" s="197"/>
      <c r="L88" s="198">
        <v>35</v>
      </c>
      <c r="M88" s="198">
        <v>35</v>
      </c>
      <c r="N88" s="198">
        <v>35</v>
      </c>
      <c r="O88" s="199">
        <v>35</v>
      </c>
      <c r="P88" s="199">
        <v>35</v>
      </c>
      <c r="Q88" s="199">
        <v>35</v>
      </c>
      <c r="R88" s="199">
        <v>35</v>
      </c>
      <c r="S88" s="199">
        <v>35</v>
      </c>
      <c r="T88" s="200">
        <v>35</v>
      </c>
      <c r="U88" s="199">
        <v>35</v>
      </c>
      <c r="V88" s="199">
        <v>35</v>
      </c>
      <c r="W88" s="199">
        <v>35</v>
      </c>
      <c r="X88" s="199">
        <v>35</v>
      </c>
      <c r="Y88" s="199">
        <v>35</v>
      </c>
      <c r="Z88" s="199">
        <v>35</v>
      </c>
      <c r="AA88" s="199">
        <v>35</v>
      </c>
      <c r="AB88" s="199">
        <v>35</v>
      </c>
      <c r="AC88" s="199">
        <v>35</v>
      </c>
      <c r="AD88" s="199">
        <v>35</v>
      </c>
      <c r="AE88" s="199">
        <v>35</v>
      </c>
      <c r="AF88" s="199">
        <v>35</v>
      </c>
      <c r="AG88" s="199">
        <v>35</v>
      </c>
      <c r="AH88" s="199">
        <v>35</v>
      </c>
      <c r="AI88" s="199">
        <v>35</v>
      </c>
      <c r="AJ88" s="199">
        <v>35</v>
      </c>
      <c r="AK88" s="199">
        <v>35</v>
      </c>
      <c r="AL88" s="199">
        <v>35</v>
      </c>
      <c r="AM88" s="199">
        <v>35</v>
      </c>
      <c r="AN88" s="199">
        <v>0</v>
      </c>
      <c r="AO88" s="199">
        <v>0</v>
      </c>
      <c r="AP88" s="201">
        <v>0</v>
      </c>
      <c r="AQ88" s="322"/>
      <c r="AR88" s="307"/>
      <c r="AS88" s="1754" t="s">
        <v>569</v>
      </c>
      <c r="AT88" s="332"/>
      <c r="AU88" s="226">
        <f>L88</f>
        <v>35</v>
      </c>
      <c r="AV88" s="298">
        <f>AU88+M88</f>
        <v>70</v>
      </c>
      <c r="AW88" s="298">
        <f>AV88+N88</f>
        <v>105</v>
      </c>
      <c r="AX88" s="298">
        <f t="shared" ref="AX88:BM89" si="83">AW88+O88</f>
        <v>140</v>
      </c>
      <c r="AY88" s="298">
        <f t="shared" si="83"/>
        <v>175</v>
      </c>
      <c r="AZ88" s="298">
        <f t="shared" si="83"/>
        <v>210</v>
      </c>
      <c r="BA88" s="298">
        <f t="shared" si="83"/>
        <v>245</v>
      </c>
      <c r="BB88" s="298">
        <f t="shared" si="83"/>
        <v>280</v>
      </c>
      <c r="BC88" s="298">
        <f t="shared" si="83"/>
        <v>315</v>
      </c>
      <c r="BD88" s="298">
        <f t="shared" si="83"/>
        <v>350</v>
      </c>
      <c r="BE88" s="298">
        <f t="shared" si="83"/>
        <v>385</v>
      </c>
      <c r="BF88" s="298">
        <f t="shared" si="83"/>
        <v>420</v>
      </c>
      <c r="BG88" s="298">
        <f t="shared" si="83"/>
        <v>455</v>
      </c>
      <c r="BH88" s="298">
        <f t="shared" si="83"/>
        <v>490</v>
      </c>
      <c r="BI88" s="298">
        <f t="shared" si="83"/>
        <v>525</v>
      </c>
      <c r="BJ88" s="298">
        <f t="shared" si="83"/>
        <v>560</v>
      </c>
      <c r="BK88" s="298">
        <f t="shared" si="83"/>
        <v>595</v>
      </c>
      <c r="BL88" s="298">
        <f t="shared" si="83"/>
        <v>630</v>
      </c>
      <c r="BM88" s="298">
        <f t="shared" si="83"/>
        <v>665</v>
      </c>
      <c r="BN88" s="298">
        <f t="shared" ref="BN88:BV89" si="84">BM88+AE88</f>
        <v>700</v>
      </c>
      <c r="BO88" s="298">
        <f t="shared" si="84"/>
        <v>735</v>
      </c>
      <c r="BP88" s="298">
        <f t="shared" si="84"/>
        <v>770</v>
      </c>
      <c r="BQ88" s="298">
        <f t="shared" si="84"/>
        <v>805</v>
      </c>
      <c r="BR88" s="298">
        <f t="shared" si="84"/>
        <v>840</v>
      </c>
      <c r="BS88" s="298">
        <f t="shared" si="84"/>
        <v>875</v>
      </c>
      <c r="BT88" s="298">
        <f t="shared" si="84"/>
        <v>910</v>
      </c>
      <c r="BU88" s="298">
        <f t="shared" si="84"/>
        <v>945</v>
      </c>
      <c r="BV88" s="298">
        <f t="shared" si="84"/>
        <v>980</v>
      </c>
    </row>
    <row r="89" spans="1:74" ht="14.25" thickBot="1" x14ac:dyDescent="0.3">
      <c r="A89" s="1753"/>
      <c r="B89" s="194">
        <f>'February 25 D_R (Tramming)'!F89</f>
        <v>337</v>
      </c>
      <c r="C89" s="352">
        <f>(J89/(J89))*B89</f>
        <v>337</v>
      </c>
      <c r="D89" s="349">
        <f>(C89-J89)/C89</f>
        <v>-0.83679525222551931</v>
      </c>
      <c r="F89" s="1608"/>
      <c r="G89" s="1693"/>
      <c r="H89" s="1696"/>
      <c r="I89" s="1379" t="s">
        <v>342</v>
      </c>
      <c r="J89" s="1303">
        <f>SUMIF($L$9:$AP$9,"&lt;="&amp;$G$7,L89:AP89)</f>
        <v>619</v>
      </c>
      <c r="K89" s="1380">
        <f t="shared" ref="K89" si="85">IFERROR((J89-J88)/J88,0)</f>
        <v>-0.36836734693877549</v>
      </c>
      <c r="L89" s="1305">
        <v>41</v>
      </c>
      <c r="M89" s="1303">
        <v>41</v>
      </c>
      <c r="N89" s="1303"/>
      <c r="O89" s="1303"/>
      <c r="P89" s="1303">
        <v>38</v>
      </c>
      <c r="Q89" s="1303">
        <v>30</v>
      </c>
      <c r="R89" s="1303">
        <v>42</v>
      </c>
      <c r="S89" s="1303">
        <v>50</v>
      </c>
      <c r="T89" s="1303">
        <v>56</v>
      </c>
      <c r="U89" s="1303">
        <v>35</v>
      </c>
      <c r="V89" s="1303">
        <v>77</v>
      </c>
      <c r="W89" s="1303">
        <v>35</v>
      </c>
      <c r="X89" s="1303">
        <v>38</v>
      </c>
      <c r="Y89" s="1303"/>
      <c r="Z89" s="1303"/>
      <c r="AA89" s="1303"/>
      <c r="AB89" s="1303">
        <v>40</v>
      </c>
      <c r="AC89" s="1303"/>
      <c r="AD89" s="1303">
        <v>35</v>
      </c>
      <c r="AE89" s="1303">
        <v>23</v>
      </c>
      <c r="AF89" s="1303"/>
      <c r="AG89" s="1303"/>
      <c r="AH89" s="1303"/>
      <c r="AI89" s="1303"/>
      <c r="AJ89" s="1303"/>
      <c r="AK89" s="1303">
        <v>38</v>
      </c>
      <c r="AL89" s="1303"/>
      <c r="AM89" s="1303"/>
      <c r="AN89" s="1303"/>
      <c r="AO89" s="1303"/>
      <c r="AP89" s="1303"/>
      <c r="AQ89" s="323"/>
      <c r="AR89" s="308"/>
      <c r="AS89" s="1754"/>
      <c r="AU89" s="226">
        <f>L89</f>
        <v>41</v>
      </c>
      <c r="AV89" s="298">
        <f>AU89+M89</f>
        <v>82</v>
      </c>
      <c r="AW89" s="298">
        <f>AV89+N89</f>
        <v>82</v>
      </c>
      <c r="AX89" s="298">
        <f t="shared" si="83"/>
        <v>82</v>
      </c>
      <c r="AY89" s="298">
        <f t="shared" si="83"/>
        <v>120</v>
      </c>
      <c r="AZ89" s="298">
        <f t="shared" si="83"/>
        <v>150</v>
      </c>
      <c r="BA89" s="298">
        <f t="shared" si="83"/>
        <v>192</v>
      </c>
      <c r="BB89" s="298">
        <f t="shared" si="83"/>
        <v>242</v>
      </c>
      <c r="BC89" s="298">
        <f t="shared" si="83"/>
        <v>298</v>
      </c>
      <c r="BD89" s="298">
        <f t="shared" si="83"/>
        <v>333</v>
      </c>
      <c r="BE89" s="298">
        <f t="shared" si="83"/>
        <v>410</v>
      </c>
      <c r="BF89" s="298">
        <f t="shared" si="83"/>
        <v>445</v>
      </c>
      <c r="BG89" s="298">
        <f t="shared" si="83"/>
        <v>483</v>
      </c>
      <c r="BH89" s="298">
        <f t="shared" si="83"/>
        <v>483</v>
      </c>
      <c r="BI89" s="298">
        <f t="shared" si="83"/>
        <v>483</v>
      </c>
      <c r="BJ89" s="298">
        <f t="shared" si="83"/>
        <v>483</v>
      </c>
      <c r="BK89" s="298">
        <f t="shared" si="83"/>
        <v>523</v>
      </c>
      <c r="BL89" s="298">
        <f t="shared" si="83"/>
        <v>523</v>
      </c>
      <c r="BM89" s="298">
        <f t="shared" si="83"/>
        <v>558</v>
      </c>
      <c r="BN89" s="298">
        <f t="shared" si="84"/>
        <v>581</v>
      </c>
      <c r="BO89" s="298">
        <f t="shared" si="84"/>
        <v>581</v>
      </c>
      <c r="BP89" s="298">
        <f t="shared" si="84"/>
        <v>581</v>
      </c>
      <c r="BQ89" s="298">
        <f t="shared" si="84"/>
        <v>581</v>
      </c>
      <c r="BR89" s="298">
        <f t="shared" si="84"/>
        <v>581</v>
      </c>
      <c r="BS89" s="298">
        <f t="shared" si="84"/>
        <v>581</v>
      </c>
      <c r="BT89" s="298">
        <f t="shared" si="84"/>
        <v>619</v>
      </c>
    </row>
    <row r="90" spans="1:74" ht="14.25" thickBot="1" x14ac:dyDescent="0.3">
      <c r="A90" s="1753"/>
      <c r="B90" s="194">
        <f>'February 25 D_R (Tramming)'!F90</f>
        <v>0</v>
      </c>
      <c r="F90" s="1608"/>
      <c r="G90" s="1693"/>
      <c r="H90" s="1696"/>
      <c r="I90" s="1389" t="s">
        <v>312</v>
      </c>
      <c r="J90" s="1390"/>
      <c r="K90" s="1391"/>
      <c r="L90" s="203"/>
      <c r="M90" s="203"/>
      <c r="N90" s="203"/>
      <c r="O90" s="203"/>
      <c r="P90" s="203"/>
      <c r="Q90" s="203"/>
      <c r="R90" s="203"/>
      <c r="S90" s="203"/>
      <c r="T90" s="204"/>
      <c r="U90" s="203"/>
      <c r="V90" s="203"/>
      <c r="W90" s="203"/>
      <c r="X90" s="203"/>
      <c r="Y90" s="203"/>
      <c r="Z90" s="203"/>
      <c r="AA90" s="203"/>
      <c r="AB90" s="203"/>
      <c r="AC90" s="203" t="s">
        <v>567</v>
      </c>
      <c r="AD90" s="203"/>
      <c r="AE90" s="203"/>
      <c r="AF90" s="203"/>
      <c r="AG90" s="203"/>
      <c r="AH90" s="203" t="s">
        <v>568</v>
      </c>
      <c r="AI90" s="203"/>
      <c r="AJ90" s="203"/>
      <c r="AK90" s="203"/>
      <c r="AL90" s="203"/>
      <c r="AM90" s="203"/>
      <c r="AN90" s="203"/>
      <c r="AO90" s="203"/>
      <c r="AP90" s="205"/>
      <c r="AQ90" s="324"/>
      <c r="AR90" s="309"/>
      <c r="AS90" s="1754"/>
      <c r="AT90" s="333"/>
      <c r="AU90" s="227"/>
      <c r="AV90" s="227"/>
      <c r="BL90" s="299"/>
      <c r="BM90" s="299"/>
      <c r="BN90" s="299"/>
      <c r="BO90" s="299"/>
      <c r="BP90" s="299"/>
      <c r="BQ90" s="299"/>
      <c r="BR90" s="299"/>
      <c r="BS90" s="299"/>
      <c r="BT90" s="299"/>
      <c r="BU90" s="299">
        <f>BT89+AL88</f>
        <v>654</v>
      </c>
      <c r="BV90" s="299">
        <f t="shared" ref="BV90" si="86">BU90+AM88</f>
        <v>689</v>
      </c>
    </row>
    <row r="91" spans="1:74" ht="14.25" thickBot="1" x14ac:dyDescent="0.3">
      <c r="A91" s="1753"/>
      <c r="B91" s="194" t="str">
        <f>'February 25 D_R (Tramming)'!F91</f>
        <v xml:space="preserve">-   </v>
      </c>
      <c r="F91" s="1608"/>
      <c r="G91" s="1693"/>
      <c r="H91" s="1686" t="s">
        <v>343</v>
      </c>
      <c r="I91" s="1384" t="s">
        <v>344</v>
      </c>
      <c r="J91" s="1310">
        <f t="shared" ref="J91:J92" si="87">IFERROR(J93*1000/J88,0)</f>
        <v>2.7499999999999991</v>
      </c>
      <c r="K91" s="1385"/>
      <c r="L91" s="1312">
        <v>2.75</v>
      </c>
      <c r="M91" s="1312">
        <v>2.75</v>
      </c>
      <c r="N91" s="1312">
        <v>2.75</v>
      </c>
      <c r="O91" s="1333">
        <v>2.75</v>
      </c>
      <c r="P91" s="1333">
        <v>2.75</v>
      </c>
      <c r="Q91" s="1333">
        <v>2.75</v>
      </c>
      <c r="R91" s="1333">
        <v>2.75</v>
      </c>
      <c r="S91" s="1333">
        <v>2.75</v>
      </c>
      <c r="T91" s="1334">
        <v>2.75</v>
      </c>
      <c r="U91" s="1333">
        <v>2.75</v>
      </c>
      <c r="V91" s="1333">
        <v>2.75</v>
      </c>
      <c r="W91" s="1333">
        <v>2.75</v>
      </c>
      <c r="X91" s="1333">
        <v>2.75</v>
      </c>
      <c r="Y91" s="1333">
        <v>2.75</v>
      </c>
      <c r="Z91" s="1333">
        <v>2.75</v>
      </c>
      <c r="AA91" s="1333">
        <v>2.75</v>
      </c>
      <c r="AB91" s="1333">
        <v>2.75</v>
      </c>
      <c r="AC91" s="1333">
        <v>2.75</v>
      </c>
      <c r="AD91" s="1333">
        <v>2.75</v>
      </c>
      <c r="AE91" s="1333">
        <v>2.75</v>
      </c>
      <c r="AF91" s="1333">
        <v>2.75</v>
      </c>
      <c r="AG91" s="1333">
        <v>2.75</v>
      </c>
      <c r="AH91" s="1333">
        <v>2.75</v>
      </c>
      <c r="AI91" s="1333">
        <v>2.75</v>
      </c>
      <c r="AJ91" s="1333">
        <v>2.75</v>
      </c>
      <c r="AK91" s="1333">
        <v>2.75</v>
      </c>
      <c r="AL91" s="1333">
        <v>2.75</v>
      </c>
      <c r="AM91" s="1333">
        <v>2.75</v>
      </c>
      <c r="AN91" s="1333">
        <v>0</v>
      </c>
      <c r="AO91" s="1333">
        <v>0</v>
      </c>
      <c r="AP91" s="1335">
        <v>0</v>
      </c>
      <c r="AQ91" s="325"/>
      <c r="AR91" s="308"/>
      <c r="AS91" s="1754"/>
      <c r="AU91" s="226"/>
      <c r="AV91" s="226"/>
    </row>
    <row r="92" spans="1:74" ht="14.25" thickBot="1" x14ac:dyDescent="0.3">
      <c r="A92" s="1753"/>
      <c r="B92" s="194">
        <f>'February 25 D_R (Tramming)'!F92</f>
        <v>1.9</v>
      </c>
      <c r="C92" s="350">
        <f>C94*1000/C89</f>
        <v>1.7804154302670623</v>
      </c>
      <c r="F92" s="1608"/>
      <c r="G92" s="1693"/>
      <c r="H92" s="1686"/>
      <c r="I92" s="1386" t="s">
        <v>345</v>
      </c>
      <c r="J92" s="1314">
        <f t="shared" si="87"/>
        <v>1.2119386106623586</v>
      </c>
      <c r="K92" s="1380">
        <f t="shared" ref="K92" si="88">IFERROR((J92-J91)/J91,0)</f>
        <v>-0.55929505066823304</v>
      </c>
      <c r="L92" s="1315">
        <v>1.1200000000000001</v>
      </c>
      <c r="M92" s="1314">
        <v>1.01</v>
      </c>
      <c r="N92" s="1314"/>
      <c r="O92" s="1314"/>
      <c r="P92" s="1314">
        <v>1.1000000000000001</v>
      </c>
      <c r="Q92" s="1314">
        <v>1.76</v>
      </c>
      <c r="R92" s="1314">
        <v>1.84</v>
      </c>
      <c r="S92" s="1314">
        <v>1.01</v>
      </c>
      <c r="T92" s="1314">
        <v>1.84</v>
      </c>
      <c r="U92" s="1314">
        <v>2.63</v>
      </c>
      <c r="V92" s="1314">
        <v>1.03</v>
      </c>
      <c r="W92" s="1314"/>
      <c r="X92" s="1314">
        <v>1.18</v>
      </c>
      <c r="Y92" s="1314"/>
      <c r="Z92" s="1314"/>
      <c r="AA92" s="1314"/>
      <c r="AB92" s="1314">
        <v>0.88</v>
      </c>
      <c r="AC92" s="1314"/>
      <c r="AD92" s="1314">
        <v>1.42</v>
      </c>
      <c r="AE92" s="1314">
        <v>1.58</v>
      </c>
      <c r="AF92" s="1314"/>
      <c r="AG92" s="1314"/>
      <c r="AH92" s="1314"/>
      <c r="AI92" s="1314"/>
      <c r="AJ92" s="1314"/>
      <c r="AK92" s="1314"/>
      <c r="AL92" s="1314"/>
      <c r="AM92" s="1314"/>
      <c r="AN92" s="1314"/>
      <c r="AO92" s="1314"/>
      <c r="AP92" s="1314"/>
      <c r="AQ92" s="326"/>
      <c r="AR92" s="308"/>
      <c r="AS92" s="1754"/>
      <c r="AU92" s="226"/>
      <c r="AV92" s="226"/>
    </row>
    <row r="93" spans="1:74" ht="14.25" thickBot="1" x14ac:dyDescent="0.3">
      <c r="A93" s="1753"/>
      <c r="B93" s="194" t="str">
        <f>'February 25 D_R (Tramming)'!F93</f>
        <v xml:space="preserve">-   </v>
      </c>
      <c r="F93" s="1608"/>
      <c r="G93" s="1693"/>
      <c r="H93" s="1686" t="s">
        <v>47</v>
      </c>
      <c r="I93" s="1384" t="s">
        <v>346</v>
      </c>
      <c r="J93" s="206">
        <f>SUMIF($L$9:$AP$9,"&lt;="&amp;$G$7,L93:AP93)</f>
        <v>2.694999999999999</v>
      </c>
      <c r="K93" s="1385"/>
      <c r="L93" s="1316">
        <f t="shared" ref="L93:AP94" si="89">+L91*L88/1000</f>
        <v>9.6250000000000002E-2</v>
      </c>
      <c r="M93" s="1316">
        <f t="shared" si="89"/>
        <v>9.6250000000000002E-2</v>
      </c>
      <c r="N93" s="1316">
        <f t="shared" si="89"/>
        <v>9.6250000000000002E-2</v>
      </c>
      <c r="O93" s="1317">
        <f t="shared" si="89"/>
        <v>9.6250000000000002E-2</v>
      </c>
      <c r="P93" s="1317">
        <f t="shared" si="89"/>
        <v>9.6250000000000002E-2</v>
      </c>
      <c r="Q93" s="1317">
        <f t="shared" si="89"/>
        <v>9.6250000000000002E-2</v>
      </c>
      <c r="R93" s="1317">
        <f t="shared" si="89"/>
        <v>9.6250000000000002E-2</v>
      </c>
      <c r="S93" s="1317">
        <f t="shared" si="89"/>
        <v>9.6250000000000002E-2</v>
      </c>
      <c r="T93" s="1318">
        <f t="shared" si="89"/>
        <v>9.6250000000000002E-2</v>
      </c>
      <c r="U93" s="1317">
        <f t="shared" si="89"/>
        <v>9.6250000000000002E-2</v>
      </c>
      <c r="V93" s="1317">
        <f t="shared" si="89"/>
        <v>9.6250000000000002E-2</v>
      </c>
      <c r="W93" s="1317">
        <f t="shared" si="89"/>
        <v>9.6250000000000002E-2</v>
      </c>
      <c r="X93" s="1317">
        <f t="shared" si="89"/>
        <v>9.6250000000000002E-2</v>
      </c>
      <c r="Y93" s="1317">
        <f t="shared" si="89"/>
        <v>9.6250000000000002E-2</v>
      </c>
      <c r="Z93" s="1317">
        <f t="shared" si="89"/>
        <v>9.6250000000000002E-2</v>
      </c>
      <c r="AA93" s="1317">
        <f>+AA91*AA88/1000</f>
        <v>9.6250000000000002E-2</v>
      </c>
      <c r="AB93" s="1317">
        <f t="shared" si="89"/>
        <v>9.6250000000000002E-2</v>
      </c>
      <c r="AC93" s="1317">
        <f t="shared" si="89"/>
        <v>9.6250000000000002E-2</v>
      </c>
      <c r="AD93" s="1317">
        <f t="shared" si="89"/>
        <v>9.6250000000000002E-2</v>
      </c>
      <c r="AE93" s="1317">
        <f t="shared" si="89"/>
        <v>9.6250000000000002E-2</v>
      </c>
      <c r="AF93" s="1317">
        <f t="shared" si="89"/>
        <v>9.6250000000000002E-2</v>
      </c>
      <c r="AG93" s="1317">
        <f t="shared" si="89"/>
        <v>9.6250000000000002E-2</v>
      </c>
      <c r="AH93" s="1317">
        <f t="shared" si="89"/>
        <v>9.6250000000000002E-2</v>
      </c>
      <c r="AI93" s="1317">
        <f t="shared" si="89"/>
        <v>9.6250000000000002E-2</v>
      </c>
      <c r="AJ93" s="1317">
        <f t="shared" si="89"/>
        <v>9.6250000000000002E-2</v>
      </c>
      <c r="AK93" s="1317">
        <f t="shared" si="89"/>
        <v>9.6250000000000002E-2</v>
      </c>
      <c r="AL93" s="1317">
        <f t="shared" si="89"/>
        <v>9.6250000000000002E-2</v>
      </c>
      <c r="AM93" s="1317">
        <f t="shared" si="89"/>
        <v>9.6250000000000002E-2</v>
      </c>
      <c r="AN93" s="1317">
        <f t="shared" si="89"/>
        <v>0</v>
      </c>
      <c r="AO93" s="1317">
        <f t="shared" si="89"/>
        <v>0</v>
      </c>
      <c r="AP93" s="1319">
        <f t="shared" si="89"/>
        <v>0</v>
      </c>
      <c r="AQ93" s="327"/>
      <c r="AR93" s="310"/>
      <c r="AS93" s="1754"/>
      <c r="AT93" s="332"/>
      <c r="AU93" s="226"/>
      <c r="AV93" s="226"/>
    </row>
    <row r="94" spans="1:74" ht="14.25" thickBot="1" x14ac:dyDescent="0.3">
      <c r="A94" s="1753"/>
      <c r="B94" s="194">
        <f>'February 25 D_R (Tramming)'!F94</f>
        <v>0.6</v>
      </c>
      <c r="C94" s="350">
        <f>(J94/(J94))*B94</f>
        <v>0.6</v>
      </c>
      <c r="F94" s="1609"/>
      <c r="G94" s="1694"/>
      <c r="H94" s="1687"/>
      <c r="I94" s="1387" t="s">
        <v>347</v>
      </c>
      <c r="J94" s="1321">
        <f>SUMIF($L$9:$AP$9,"&lt;="&amp;$G$7,L94:AP94)</f>
        <v>0.75019000000000002</v>
      </c>
      <c r="K94" s="1388">
        <f t="shared" ref="K94" si="90">IFERROR((J94-J93)/J93,0)</f>
        <v>-0.72163636363636352</v>
      </c>
      <c r="L94" s="1323">
        <f t="shared" si="89"/>
        <v>4.5920000000000002E-2</v>
      </c>
      <c r="M94" s="1321">
        <f t="shared" si="89"/>
        <v>4.1410000000000002E-2</v>
      </c>
      <c r="N94" s="1321">
        <f t="shared" si="89"/>
        <v>0</v>
      </c>
      <c r="O94" s="1321">
        <f t="shared" si="89"/>
        <v>0</v>
      </c>
      <c r="P94" s="1321">
        <f t="shared" si="89"/>
        <v>4.1800000000000004E-2</v>
      </c>
      <c r="Q94" s="1321">
        <f t="shared" si="89"/>
        <v>5.28E-2</v>
      </c>
      <c r="R94" s="1321">
        <f t="shared" si="89"/>
        <v>7.7280000000000001E-2</v>
      </c>
      <c r="S94" s="1321">
        <f t="shared" si="89"/>
        <v>5.0500000000000003E-2</v>
      </c>
      <c r="T94" s="1321">
        <f t="shared" si="89"/>
        <v>0.10304000000000001</v>
      </c>
      <c r="U94" s="1321">
        <f t="shared" si="89"/>
        <v>9.2049999999999993E-2</v>
      </c>
      <c r="V94" s="1321">
        <f t="shared" si="89"/>
        <v>7.9310000000000005E-2</v>
      </c>
      <c r="W94" s="1321">
        <f t="shared" si="89"/>
        <v>0</v>
      </c>
      <c r="X94" s="1321">
        <f t="shared" si="89"/>
        <v>4.4839999999999998E-2</v>
      </c>
      <c r="Y94" s="1321">
        <f t="shared" si="89"/>
        <v>0</v>
      </c>
      <c r="Z94" s="1321">
        <f t="shared" si="89"/>
        <v>0</v>
      </c>
      <c r="AA94" s="1321">
        <f>+AA92*AA89/1000</f>
        <v>0</v>
      </c>
      <c r="AB94" s="1321">
        <f t="shared" si="89"/>
        <v>3.5200000000000002E-2</v>
      </c>
      <c r="AC94" s="1321">
        <f t="shared" si="89"/>
        <v>0</v>
      </c>
      <c r="AD94" s="1321">
        <f t="shared" si="89"/>
        <v>4.9699999999999994E-2</v>
      </c>
      <c r="AE94" s="1321">
        <f t="shared" si="89"/>
        <v>3.6340000000000004E-2</v>
      </c>
      <c r="AF94" s="1321">
        <f t="shared" si="89"/>
        <v>0</v>
      </c>
      <c r="AG94" s="1321">
        <f t="shared" si="89"/>
        <v>0</v>
      </c>
      <c r="AH94" s="1321">
        <f t="shared" si="89"/>
        <v>0</v>
      </c>
      <c r="AI94" s="1321">
        <f t="shared" si="89"/>
        <v>0</v>
      </c>
      <c r="AJ94" s="1321">
        <f t="shared" si="89"/>
        <v>0</v>
      </c>
      <c r="AK94" s="1321">
        <f t="shared" si="89"/>
        <v>0</v>
      </c>
      <c r="AL94" s="1321">
        <f t="shared" si="89"/>
        <v>0</v>
      </c>
      <c r="AM94" s="1321">
        <f t="shared" si="89"/>
        <v>0</v>
      </c>
      <c r="AN94" s="1321">
        <f t="shared" si="89"/>
        <v>0</v>
      </c>
      <c r="AO94" s="1321">
        <f t="shared" si="89"/>
        <v>0</v>
      </c>
      <c r="AP94" s="1321">
        <f t="shared" si="89"/>
        <v>0</v>
      </c>
      <c r="AQ94" s="328"/>
      <c r="AR94" s="311"/>
      <c r="AS94" s="1754"/>
      <c r="AU94" s="226"/>
      <c r="AV94" s="226"/>
    </row>
    <row r="95" spans="1:74" s="194" customFormat="1" ht="14.45" customHeight="1" thickBot="1" x14ac:dyDescent="0.3">
      <c r="A95" s="1753" t="s">
        <v>52</v>
      </c>
      <c r="B95" s="194" t="str">
        <f>'February 25 D_R (Tramming)'!F95</f>
        <v xml:space="preserve">-   </v>
      </c>
      <c r="E95" s="202"/>
      <c r="F95" s="1608"/>
      <c r="G95" s="1692" t="s">
        <v>508</v>
      </c>
      <c r="H95" s="1684" t="s">
        <v>340</v>
      </c>
      <c r="I95" s="293" t="s">
        <v>341</v>
      </c>
      <c r="J95" s="196">
        <f>SUMIF($L$9:$AP$9,"&lt;="&amp;$G$7,L95:AP95)</f>
        <v>1960</v>
      </c>
      <c r="K95" s="197"/>
      <c r="L95" s="198">
        <v>70</v>
      </c>
      <c r="M95" s="198">
        <v>70</v>
      </c>
      <c r="N95" s="198">
        <v>70</v>
      </c>
      <c r="O95" s="199">
        <v>70</v>
      </c>
      <c r="P95" s="199">
        <v>70</v>
      </c>
      <c r="Q95" s="199">
        <v>70</v>
      </c>
      <c r="R95" s="199">
        <v>70</v>
      </c>
      <c r="S95" s="199">
        <v>70</v>
      </c>
      <c r="T95" s="200">
        <v>70</v>
      </c>
      <c r="U95" s="199">
        <v>70</v>
      </c>
      <c r="V95" s="199">
        <v>70</v>
      </c>
      <c r="W95" s="199">
        <v>70</v>
      </c>
      <c r="X95" s="199">
        <v>70</v>
      </c>
      <c r="Y95" s="199">
        <v>70</v>
      </c>
      <c r="Z95" s="199">
        <v>70</v>
      </c>
      <c r="AA95" s="199">
        <v>70</v>
      </c>
      <c r="AB95" s="199">
        <v>70</v>
      </c>
      <c r="AC95" s="199">
        <v>70</v>
      </c>
      <c r="AD95" s="199">
        <v>70</v>
      </c>
      <c r="AE95" s="199">
        <v>70</v>
      </c>
      <c r="AF95" s="199">
        <v>70</v>
      </c>
      <c r="AG95" s="199">
        <v>70</v>
      </c>
      <c r="AH95" s="199">
        <v>70</v>
      </c>
      <c r="AI95" s="199">
        <v>70</v>
      </c>
      <c r="AJ95" s="199">
        <v>70</v>
      </c>
      <c r="AK95" s="199">
        <v>70</v>
      </c>
      <c r="AL95" s="199">
        <v>70</v>
      </c>
      <c r="AM95" s="199">
        <v>70</v>
      </c>
      <c r="AN95" s="199">
        <v>0</v>
      </c>
      <c r="AO95" s="199">
        <v>0</v>
      </c>
      <c r="AP95" s="201">
        <v>0</v>
      </c>
      <c r="AQ95" s="322"/>
      <c r="AR95" s="307"/>
      <c r="AS95" s="1754" t="s">
        <v>572</v>
      </c>
      <c r="AT95" s="332"/>
      <c r="AU95" s="226">
        <f>L95</f>
        <v>70</v>
      </c>
      <c r="AV95" s="298">
        <f>AU95+M95</f>
        <v>140</v>
      </c>
      <c r="AW95" s="298">
        <f>AV95+N95</f>
        <v>210</v>
      </c>
      <c r="AX95" s="298">
        <f t="shared" ref="AX95:BM96" si="91">AW95+O95</f>
        <v>280</v>
      </c>
      <c r="AY95" s="298">
        <f t="shared" si="91"/>
        <v>350</v>
      </c>
      <c r="AZ95" s="298">
        <f t="shared" si="91"/>
        <v>420</v>
      </c>
      <c r="BA95" s="298">
        <f t="shared" si="91"/>
        <v>490</v>
      </c>
      <c r="BB95" s="298">
        <f t="shared" si="91"/>
        <v>560</v>
      </c>
      <c r="BC95" s="298">
        <f t="shared" si="91"/>
        <v>630</v>
      </c>
      <c r="BD95" s="298">
        <f t="shared" si="91"/>
        <v>700</v>
      </c>
      <c r="BE95" s="298">
        <f t="shared" si="91"/>
        <v>770</v>
      </c>
      <c r="BF95" s="298">
        <f t="shared" si="91"/>
        <v>840</v>
      </c>
      <c r="BG95" s="298">
        <f t="shared" si="91"/>
        <v>910</v>
      </c>
      <c r="BH95" s="298">
        <f t="shared" si="91"/>
        <v>980</v>
      </c>
      <c r="BI95" s="298">
        <f t="shared" si="91"/>
        <v>1050</v>
      </c>
      <c r="BJ95" s="298">
        <f t="shared" si="91"/>
        <v>1120</v>
      </c>
      <c r="BK95" s="298">
        <f t="shared" si="91"/>
        <v>1190</v>
      </c>
      <c r="BL95" s="298">
        <f t="shared" si="91"/>
        <v>1260</v>
      </c>
      <c r="BM95" s="298">
        <f t="shared" si="91"/>
        <v>1330</v>
      </c>
      <c r="BN95" s="298">
        <f t="shared" ref="BN95:BV96" si="92">BM95+AE95</f>
        <v>1400</v>
      </c>
      <c r="BO95" s="298">
        <f t="shared" si="92"/>
        <v>1470</v>
      </c>
      <c r="BP95" s="298">
        <f t="shared" si="92"/>
        <v>1540</v>
      </c>
      <c r="BQ95" s="298">
        <f t="shared" si="92"/>
        <v>1610</v>
      </c>
      <c r="BR95" s="298">
        <f t="shared" si="92"/>
        <v>1680</v>
      </c>
      <c r="BS95" s="298">
        <f t="shared" si="92"/>
        <v>1750</v>
      </c>
      <c r="BT95" s="298">
        <f t="shared" si="92"/>
        <v>1820</v>
      </c>
      <c r="BU95" s="298">
        <f t="shared" si="92"/>
        <v>1890</v>
      </c>
      <c r="BV95" s="298">
        <f t="shared" si="92"/>
        <v>1960</v>
      </c>
    </row>
    <row r="96" spans="1:74" ht="14.25" thickBot="1" x14ac:dyDescent="0.3">
      <c r="A96" s="1753"/>
      <c r="B96" s="194">
        <f>'February 25 D_R (Tramming)'!F96</f>
        <v>35</v>
      </c>
      <c r="C96" s="352">
        <f>(J96/(J96))*B96</f>
        <v>35</v>
      </c>
      <c r="D96" s="349">
        <f>(C96-J96)/C96</f>
        <v>-0.94285714285714284</v>
      </c>
      <c r="F96" s="1608"/>
      <c r="G96" s="1693"/>
      <c r="H96" s="1684"/>
      <c r="I96" s="1379" t="s">
        <v>342</v>
      </c>
      <c r="J96" s="1303">
        <f>SUMIF($L$9:$AP$9,"&lt;="&amp;$G$7,L96:AP96)</f>
        <v>68</v>
      </c>
      <c r="K96" s="1380">
        <f t="shared" ref="K96" si="93">IFERROR((J96-J95)/J95,0)</f>
        <v>-0.96530612244897962</v>
      </c>
      <c r="L96" s="1305"/>
      <c r="M96" s="1303"/>
      <c r="N96" s="1303"/>
      <c r="O96" s="1303"/>
      <c r="P96" s="1303"/>
      <c r="Q96" s="1303"/>
      <c r="R96" s="1303"/>
      <c r="S96" s="1303"/>
      <c r="T96" s="1303"/>
      <c r="U96" s="1303"/>
      <c r="V96" s="1303"/>
      <c r="W96" s="1303"/>
      <c r="X96" s="1303"/>
      <c r="Y96" s="1303"/>
      <c r="Z96" s="1303"/>
      <c r="AA96" s="1303"/>
      <c r="AB96" s="1303"/>
      <c r="AC96" s="1303"/>
      <c r="AD96" s="1303">
        <v>30</v>
      </c>
      <c r="AE96" s="1303">
        <v>19</v>
      </c>
      <c r="AF96" s="1303">
        <v>19</v>
      </c>
      <c r="AG96" s="1303"/>
      <c r="AH96" s="1303"/>
      <c r="AI96" s="1303"/>
      <c r="AJ96" s="1303"/>
      <c r="AK96" s="1303"/>
      <c r="AL96" s="1303"/>
      <c r="AM96" s="1303"/>
      <c r="AN96" s="1303"/>
      <c r="AO96" s="1303"/>
      <c r="AP96" s="1303"/>
      <c r="AQ96" s="323"/>
      <c r="AR96" s="308"/>
      <c r="AS96" s="1754"/>
      <c r="AU96" s="226">
        <f>L96</f>
        <v>0</v>
      </c>
      <c r="AV96" s="298">
        <f>AU96+M96</f>
        <v>0</v>
      </c>
      <c r="AW96" s="298">
        <f>AV96+N96</f>
        <v>0</v>
      </c>
      <c r="AX96" s="298">
        <f t="shared" si="91"/>
        <v>0</v>
      </c>
      <c r="AY96" s="298">
        <f t="shared" si="91"/>
        <v>0</v>
      </c>
      <c r="AZ96" s="298">
        <f t="shared" si="91"/>
        <v>0</v>
      </c>
      <c r="BA96" s="298">
        <f t="shared" si="91"/>
        <v>0</v>
      </c>
      <c r="BB96" s="298">
        <f t="shared" si="91"/>
        <v>0</v>
      </c>
      <c r="BC96" s="298">
        <f t="shared" si="91"/>
        <v>0</v>
      </c>
      <c r="BD96" s="298">
        <f t="shared" si="91"/>
        <v>0</v>
      </c>
      <c r="BE96" s="298">
        <f t="shared" si="91"/>
        <v>0</v>
      </c>
      <c r="BF96" s="298">
        <f t="shared" si="91"/>
        <v>0</v>
      </c>
      <c r="BG96" s="298">
        <f t="shared" si="91"/>
        <v>0</v>
      </c>
      <c r="BH96" s="298">
        <f t="shared" si="91"/>
        <v>0</v>
      </c>
      <c r="BI96" s="298">
        <f t="shared" si="91"/>
        <v>0</v>
      </c>
      <c r="BJ96" s="298">
        <f t="shared" si="91"/>
        <v>0</v>
      </c>
      <c r="BK96" s="298">
        <f t="shared" si="91"/>
        <v>0</v>
      </c>
      <c r="BL96" s="298">
        <f t="shared" si="91"/>
        <v>0</v>
      </c>
      <c r="BM96" s="298">
        <f t="shared" si="91"/>
        <v>30</v>
      </c>
      <c r="BN96" s="298">
        <f t="shared" si="92"/>
        <v>49</v>
      </c>
      <c r="BO96" s="298">
        <f t="shared" si="92"/>
        <v>68</v>
      </c>
      <c r="BP96" s="298">
        <f t="shared" si="92"/>
        <v>68</v>
      </c>
      <c r="BQ96" s="298">
        <f t="shared" si="92"/>
        <v>68</v>
      </c>
      <c r="BR96" s="298">
        <f t="shared" si="92"/>
        <v>68</v>
      </c>
      <c r="BS96" s="298">
        <f t="shared" si="92"/>
        <v>68</v>
      </c>
      <c r="BT96" s="298">
        <f t="shared" si="92"/>
        <v>68</v>
      </c>
    </row>
    <row r="97" spans="1:74" ht="14.25" thickBot="1" x14ac:dyDescent="0.3">
      <c r="A97" s="1753"/>
      <c r="B97" s="194">
        <f>'February 25 D_R (Tramming)'!F97</f>
        <v>0</v>
      </c>
      <c r="F97" s="1608"/>
      <c r="G97" s="1693"/>
      <c r="H97" s="1684"/>
      <c r="I97" s="1389" t="s">
        <v>312</v>
      </c>
      <c r="J97" s="1390"/>
      <c r="K97" s="1391"/>
      <c r="L97" s="203"/>
      <c r="M97" s="203"/>
      <c r="N97" s="203"/>
      <c r="O97" s="203"/>
      <c r="P97" s="203"/>
      <c r="Q97" s="203"/>
      <c r="R97" s="203"/>
      <c r="S97" s="203"/>
      <c r="T97" s="204"/>
      <c r="U97" s="203"/>
      <c r="V97" s="203"/>
      <c r="W97" s="203"/>
      <c r="X97" s="203"/>
      <c r="Y97" s="203"/>
      <c r="Z97" s="203"/>
      <c r="AA97" s="203"/>
      <c r="AB97" s="203"/>
      <c r="AC97" s="203"/>
      <c r="AD97" s="203" t="s">
        <v>573</v>
      </c>
      <c r="AE97" s="203"/>
      <c r="AF97" s="203"/>
      <c r="AG97" s="203"/>
      <c r="AH97" s="203"/>
      <c r="AI97" s="203"/>
      <c r="AJ97" s="203"/>
      <c r="AK97" s="203"/>
      <c r="AL97" s="203"/>
      <c r="AM97" s="203"/>
      <c r="AN97" s="203"/>
      <c r="AO97" s="203"/>
      <c r="AP97" s="205"/>
      <c r="AQ97" s="324"/>
      <c r="AR97" s="309"/>
      <c r="AS97" s="1754"/>
      <c r="AT97" s="333"/>
      <c r="AU97" s="227"/>
      <c r="AV97" s="227"/>
      <c r="BL97" s="299"/>
      <c r="BM97" s="299"/>
      <c r="BN97" s="299"/>
      <c r="BO97" s="299"/>
      <c r="BP97" s="299"/>
      <c r="BQ97" s="299"/>
      <c r="BR97" s="299"/>
      <c r="BS97" s="299"/>
      <c r="BT97" s="299"/>
      <c r="BU97" s="299">
        <f>BT96+AL95</f>
        <v>138</v>
      </c>
      <c r="BV97" s="299">
        <f t="shared" ref="BV97" si="94">BU97+AM95</f>
        <v>208</v>
      </c>
    </row>
    <row r="98" spans="1:74" ht="14.25" thickBot="1" x14ac:dyDescent="0.3">
      <c r="A98" s="1753"/>
      <c r="B98" s="194" t="str">
        <f>'February 25 D_R (Tramming)'!F98</f>
        <v xml:space="preserve">-   </v>
      </c>
      <c r="F98" s="1608"/>
      <c r="G98" s="1693"/>
      <c r="H98" s="1685" t="s">
        <v>343</v>
      </c>
      <c r="I98" s="1384" t="s">
        <v>344</v>
      </c>
      <c r="J98" s="1310">
        <f t="shared" ref="J98:J99" si="95">IFERROR(J100*1000/J95,0)</f>
        <v>2.7499999999999991</v>
      </c>
      <c r="K98" s="1385"/>
      <c r="L98" s="1312">
        <v>2.75</v>
      </c>
      <c r="M98" s="1312">
        <v>2.75</v>
      </c>
      <c r="N98" s="1312">
        <v>2.75</v>
      </c>
      <c r="O98" s="1333">
        <v>2.75</v>
      </c>
      <c r="P98" s="1333">
        <v>2.75</v>
      </c>
      <c r="Q98" s="1333">
        <v>2.75</v>
      </c>
      <c r="R98" s="1333">
        <v>2.75</v>
      </c>
      <c r="S98" s="1333">
        <v>2.75</v>
      </c>
      <c r="T98" s="1334">
        <v>2.75</v>
      </c>
      <c r="U98" s="1333">
        <v>2.75</v>
      </c>
      <c r="V98" s="1333">
        <v>2.75</v>
      </c>
      <c r="W98" s="1333">
        <v>2.75</v>
      </c>
      <c r="X98" s="1333">
        <v>2.75</v>
      </c>
      <c r="Y98" s="1333">
        <v>2.75</v>
      </c>
      <c r="Z98" s="1333">
        <v>2.75</v>
      </c>
      <c r="AA98" s="1333">
        <v>2.75</v>
      </c>
      <c r="AB98" s="1333">
        <v>2.75</v>
      </c>
      <c r="AC98" s="1333">
        <v>2.75</v>
      </c>
      <c r="AD98" s="1333">
        <v>2.75</v>
      </c>
      <c r="AE98" s="1333">
        <v>2.75</v>
      </c>
      <c r="AF98" s="1333">
        <v>2.75</v>
      </c>
      <c r="AG98" s="1333">
        <v>2.75</v>
      </c>
      <c r="AH98" s="1333">
        <v>2.75</v>
      </c>
      <c r="AI98" s="1333">
        <v>2.75</v>
      </c>
      <c r="AJ98" s="1333">
        <v>2.75</v>
      </c>
      <c r="AK98" s="1333">
        <v>2.75</v>
      </c>
      <c r="AL98" s="1333">
        <v>2.75</v>
      </c>
      <c r="AM98" s="1333">
        <v>2.75</v>
      </c>
      <c r="AN98" s="1333">
        <v>0</v>
      </c>
      <c r="AO98" s="1333">
        <v>0</v>
      </c>
      <c r="AP98" s="1335">
        <v>0</v>
      </c>
      <c r="AQ98" s="325"/>
      <c r="AR98" s="308"/>
      <c r="AS98" s="1754"/>
      <c r="AU98" s="226"/>
      <c r="AV98" s="226"/>
    </row>
    <row r="99" spans="1:74" ht="14.25" thickBot="1" x14ac:dyDescent="0.3">
      <c r="A99" s="1753"/>
      <c r="B99" s="194">
        <f>'February 25 D_R (Tramming)'!F99</f>
        <v>1.65</v>
      </c>
      <c r="C99" s="350">
        <f>C101*1000/C96</f>
        <v>2.8571428571428572</v>
      </c>
      <c r="F99" s="1608"/>
      <c r="G99" s="1693"/>
      <c r="H99" s="1685"/>
      <c r="I99" s="1386" t="s">
        <v>345</v>
      </c>
      <c r="J99" s="1314">
        <f t="shared" si="95"/>
        <v>0.79352941176470582</v>
      </c>
      <c r="K99" s="1380">
        <f t="shared" ref="K99" si="96">IFERROR((J99-J98)/J98,0)</f>
        <v>-0.71144385026737966</v>
      </c>
      <c r="L99" s="1315"/>
      <c r="M99" s="1314"/>
      <c r="N99" s="1314"/>
      <c r="O99" s="1314"/>
      <c r="P99" s="1314"/>
      <c r="Q99" s="1314"/>
      <c r="R99" s="1314"/>
      <c r="S99" s="1314"/>
      <c r="T99" s="1314"/>
      <c r="U99" s="1314"/>
      <c r="V99" s="1314"/>
      <c r="W99" s="1314"/>
      <c r="X99" s="1314"/>
      <c r="Y99" s="1314"/>
      <c r="Z99" s="1314"/>
      <c r="AA99" s="1314"/>
      <c r="AB99" s="1314"/>
      <c r="AC99" s="1314"/>
      <c r="AD99" s="1314"/>
      <c r="AE99" s="1314">
        <v>1.42</v>
      </c>
      <c r="AF99" s="1314">
        <v>1.42</v>
      </c>
      <c r="AG99" s="1314"/>
      <c r="AH99" s="1314"/>
      <c r="AI99" s="1314"/>
      <c r="AJ99" s="1314"/>
      <c r="AK99" s="1314"/>
      <c r="AL99" s="1314"/>
      <c r="AM99" s="1314"/>
      <c r="AN99" s="1314"/>
      <c r="AO99" s="1314"/>
      <c r="AP99" s="1314"/>
      <c r="AQ99" s="326"/>
      <c r="AR99" s="308"/>
      <c r="AS99" s="1754"/>
      <c r="AU99" s="226"/>
      <c r="AV99" s="226"/>
    </row>
    <row r="100" spans="1:74" ht="14.25" thickBot="1" x14ac:dyDescent="0.3">
      <c r="A100" s="1753"/>
      <c r="B100" s="194" t="str">
        <f>'February 25 D_R (Tramming)'!F100</f>
        <v xml:space="preserve">-   </v>
      </c>
      <c r="F100" s="1608"/>
      <c r="G100" s="1693"/>
      <c r="H100" s="1685" t="s">
        <v>47</v>
      </c>
      <c r="I100" s="1384" t="s">
        <v>346</v>
      </c>
      <c r="J100" s="206">
        <f>SUMIF($L$9:$AP$9,"&lt;="&amp;$G$7,L100:AP100)</f>
        <v>5.3899999999999979</v>
      </c>
      <c r="K100" s="1385"/>
      <c r="L100" s="1316">
        <f t="shared" ref="L100:AP101" si="97">+L98*L95/1000</f>
        <v>0.1925</v>
      </c>
      <c r="M100" s="1316">
        <f t="shared" si="97"/>
        <v>0.1925</v>
      </c>
      <c r="N100" s="1316">
        <f t="shared" si="97"/>
        <v>0.1925</v>
      </c>
      <c r="O100" s="1317">
        <f t="shared" si="97"/>
        <v>0.1925</v>
      </c>
      <c r="P100" s="1317">
        <f t="shared" si="97"/>
        <v>0.1925</v>
      </c>
      <c r="Q100" s="1317">
        <f t="shared" si="97"/>
        <v>0.1925</v>
      </c>
      <c r="R100" s="1317">
        <f t="shared" si="97"/>
        <v>0.1925</v>
      </c>
      <c r="S100" s="1317">
        <f t="shared" si="97"/>
        <v>0.1925</v>
      </c>
      <c r="T100" s="1318">
        <f t="shared" si="97"/>
        <v>0.1925</v>
      </c>
      <c r="U100" s="1317">
        <f t="shared" si="97"/>
        <v>0.1925</v>
      </c>
      <c r="V100" s="1317">
        <f t="shared" si="97"/>
        <v>0.1925</v>
      </c>
      <c r="W100" s="1317">
        <f t="shared" si="97"/>
        <v>0.1925</v>
      </c>
      <c r="X100" s="1317">
        <f t="shared" si="97"/>
        <v>0.1925</v>
      </c>
      <c r="Y100" s="1317">
        <f t="shared" si="97"/>
        <v>0.1925</v>
      </c>
      <c r="Z100" s="1317">
        <f t="shared" si="97"/>
        <v>0.1925</v>
      </c>
      <c r="AA100" s="1317">
        <f>+AA98*AA95/1000</f>
        <v>0.1925</v>
      </c>
      <c r="AB100" s="1317">
        <f t="shared" si="97"/>
        <v>0.1925</v>
      </c>
      <c r="AC100" s="1317">
        <f t="shared" si="97"/>
        <v>0.1925</v>
      </c>
      <c r="AD100" s="1317">
        <f t="shared" si="97"/>
        <v>0.1925</v>
      </c>
      <c r="AE100" s="1317">
        <f t="shared" si="97"/>
        <v>0.1925</v>
      </c>
      <c r="AF100" s="1317">
        <f t="shared" si="97"/>
        <v>0.1925</v>
      </c>
      <c r="AG100" s="1317">
        <f t="shared" si="97"/>
        <v>0.1925</v>
      </c>
      <c r="AH100" s="1317">
        <f t="shared" si="97"/>
        <v>0.1925</v>
      </c>
      <c r="AI100" s="1317">
        <f t="shared" si="97"/>
        <v>0.1925</v>
      </c>
      <c r="AJ100" s="1317">
        <f t="shared" si="97"/>
        <v>0.1925</v>
      </c>
      <c r="AK100" s="1317">
        <f t="shared" si="97"/>
        <v>0.1925</v>
      </c>
      <c r="AL100" s="1317">
        <f t="shared" si="97"/>
        <v>0.1925</v>
      </c>
      <c r="AM100" s="1317">
        <f t="shared" si="97"/>
        <v>0.1925</v>
      </c>
      <c r="AN100" s="1317">
        <f t="shared" si="97"/>
        <v>0</v>
      </c>
      <c r="AO100" s="1317">
        <f t="shared" si="97"/>
        <v>0</v>
      </c>
      <c r="AP100" s="1319">
        <f t="shared" si="97"/>
        <v>0</v>
      </c>
      <c r="AQ100" s="327"/>
      <c r="AR100" s="310"/>
      <c r="AS100" s="1754"/>
      <c r="AT100" s="332"/>
      <c r="AU100" s="226"/>
      <c r="AV100" s="226"/>
    </row>
    <row r="101" spans="1:74" ht="14.25" thickBot="1" x14ac:dyDescent="0.3">
      <c r="A101" s="1753"/>
      <c r="B101" s="194">
        <f>'February 25 D_R (Tramming)'!F101</f>
        <v>0.1</v>
      </c>
      <c r="C101" s="350">
        <f>(J101/(J101))*B101</f>
        <v>0.1</v>
      </c>
      <c r="F101" s="1609"/>
      <c r="G101" s="1694"/>
      <c r="H101" s="1695"/>
      <c r="I101" s="1387" t="s">
        <v>347</v>
      </c>
      <c r="J101" s="1321">
        <f>SUMIF($L$9:$AP$9,"&lt;="&amp;$G$7,L101:AP101)</f>
        <v>5.3959999999999994E-2</v>
      </c>
      <c r="K101" s="1388">
        <f t="shared" ref="K101" si="98">IFERROR((J101-J100)/J100,0)</f>
        <v>-0.98998886827458255</v>
      </c>
      <c r="L101" s="1323">
        <f t="shared" si="97"/>
        <v>0</v>
      </c>
      <c r="M101" s="1321">
        <f t="shared" si="97"/>
        <v>0</v>
      </c>
      <c r="N101" s="1321">
        <f t="shared" si="97"/>
        <v>0</v>
      </c>
      <c r="O101" s="1321">
        <f t="shared" si="97"/>
        <v>0</v>
      </c>
      <c r="P101" s="1321">
        <f t="shared" si="97"/>
        <v>0</v>
      </c>
      <c r="Q101" s="1321">
        <f t="shared" si="97"/>
        <v>0</v>
      </c>
      <c r="R101" s="1321">
        <f t="shared" si="97"/>
        <v>0</v>
      </c>
      <c r="S101" s="1321">
        <f t="shared" si="97"/>
        <v>0</v>
      </c>
      <c r="T101" s="1321">
        <f t="shared" si="97"/>
        <v>0</v>
      </c>
      <c r="U101" s="1321">
        <f t="shared" si="97"/>
        <v>0</v>
      </c>
      <c r="V101" s="1321">
        <f t="shared" si="97"/>
        <v>0</v>
      </c>
      <c r="W101" s="1321">
        <f t="shared" si="97"/>
        <v>0</v>
      </c>
      <c r="X101" s="1321">
        <f t="shared" si="97"/>
        <v>0</v>
      </c>
      <c r="Y101" s="1321">
        <f t="shared" si="97"/>
        <v>0</v>
      </c>
      <c r="Z101" s="1321">
        <f t="shared" si="97"/>
        <v>0</v>
      </c>
      <c r="AA101" s="1321">
        <f>+AA99*AA96/1000</f>
        <v>0</v>
      </c>
      <c r="AB101" s="1321">
        <f t="shared" si="97"/>
        <v>0</v>
      </c>
      <c r="AC101" s="1321">
        <f t="shared" si="97"/>
        <v>0</v>
      </c>
      <c r="AD101" s="1321">
        <f t="shared" si="97"/>
        <v>0</v>
      </c>
      <c r="AE101" s="1321">
        <f t="shared" si="97"/>
        <v>2.6979999999999997E-2</v>
      </c>
      <c r="AF101" s="1321">
        <f t="shared" si="97"/>
        <v>2.6979999999999997E-2</v>
      </c>
      <c r="AG101" s="1321">
        <f t="shared" si="97"/>
        <v>0</v>
      </c>
      <c r="AH101" s="1321">
        <f>+AH99*AH96/1000</f>
        <v>0</v>
      </c>
      <c r="AI101" s="1321">
        <f t="shared" si="97"/>
        <v>0</v>
      </c>
      <c r="AJ101" s="1321">
        <f t="shared" si="97"/>
        <v>0</v>
      </c>
      <c r="AK101" s="1321">
        <f t="shared" si="97"/>
        <v>0</v>
      </c>
      <c r="AL101" s="1321">
        <f t="shared" si="97"/>
        <v>0</v>
      </c>
      <c r="AM101" s="1321">
        <f t="shared" si="97"/>
        <v>0</v>
      </c>
      <c r="AN101" s="1321">
        <f t="shared" si="97"/>
        <v>0</v>
      </c>
      <c r="AO101" s="1321">
        <f t="shared" si="97"/>
        <v>0</v>
      </c>
      <c r="AP101" s="1321">
        <f t="shared" si="97"/>
        <v>0</v>
      </c>
      <c r="AQ101" s="328"/>
      <c r="AR101" s="311"/>
      <c r="AS101" s="1754"/>
      <c r="AU101" s="226"/>
      <c r="AV101" s="226"/>
    </row>
    <row r="102" spans="1:74" s="194" customFormat="1" ht="14.45" customHeight="1" x14ac:dyDescent="0.25">
      <c r="A102" s="1753" t="s">
        <v>54</v>
      </c>
      <c r="B102" s="194" t="str">
        <f>'February 25 D_R (Tramming)'!F102</f>
        <v xml:space="preserve">-   </v>
      </c>
      <c r="F102" s="1608"/>
      <c r="G102" s="1704" t="s">
        <v>54</v>
      </c>
      <c r="H102" s="1684" t="s">
        <v>340</v>
      </c>
      <c r="I102" s="195" t="s">
        <v>341</v>
      </c>
      <c r="J102" s="196">
        <f>SUMIF($L$9:$AP$9,"&lt;="&amp;$G$7,L102:AP102)</f>
        <v>0</v>
      </c>
      <c r="K102" s="197"/>
      <c r="L102" s="198"/>
      <c r="M102" s="198"/>
      <c r="N102" s="198"/>
      <c r="O102" s="199"/>
      <c r="P102" s="199"/>
      <c r="Q102" s="199"/>
      <c r="R102" s="199"/>
      <c r="S102" s="199"/>
      <c r="T102" s="200"/>
      <c r="U102" s="199"/>
      <c r="V102" s="199"/>
      <c r="W102" s="199"/>
      <c r="X102" s="199"/>
      <c r="Y102" s="199"/>
      <c r="Z102" s="199"/>
      <c r="AA102" s="199"/>
      <c r="AB102" s="199"/>
      <c r="AC102" s="199"/>
      <c r="AD102" s="199"/>
      <c r="AE102" s="199"/>
      <c r="AF102" s="199"/>
      <c r="AG102" s="199"/>
      <c r="AH102" s="199"/>
      <c r="AI102" s="199"/>
      <c r="AJ102" s="199"/>
      <c r="AK102" s="199"/>
      <c r="AL102" s="199"/>
      <c r="AM102" s="199"/>
      <c r="AN102" s="199"/>
      <c r="AO102" s="199"/>
      <c r="AP102" s="201"/>
      <c r="AQ102" s="322"/>
      <c r="AR102" s="312"/>
      <c r="AS102" s="1754" t="s">
        <v>574</v>
      </c>
      <c r="AT102" s="334"/>
      <c r="AU102" s="226">
        <f>L102</f>
        <v>0</v>
      </c>
      <c r="AV102" s="298">
        <f>AU102+M102</f>
        <v>0</v>
      </c>
      <c r="AW102" s="298">
        <f>AV102+N102</f>
        <v>0</v>
      </c>
      <c r="AX102" s="298">
        <f t="shared" ref="AX102:BM103" si="99">AW102+O102</f>
        <v>0</v>
      </c>
      <c r="AY102" s="298">
        <f t="shared" si="99"/>
        <v>0</v>
      </c>
      <c r="AZ102" s="298">
        <f t="shared" si="99"/>
        <v>0</v>
      </c>
      <c r="BA102" s="298">
        <f t="shared" si="99"/>
        <v>0</v>
      </c>
      <c r="BB102" s="298">
        <f t="shared" si="99"/>
        <v>0</v>
      </c>
      <c r="BC102" s="298">
        <f t="shared" si="99"/>
        <v>0</v>
      </c>
      <c r="BD102" s="298">
        <f t="shared" si="99"/>
        <v>0</v>
      </c>
      <c r="BE102" s="298">
        <f t="shared" si="99"/>
        <v>0</v>
      </c>
      <c r="BF102" s="298">
        <f t="shared" si="99"/>
        <v>0</v>
      </c>
      <c r="BG102" s="298">
        <f t="shared" si="99"/>
        <v>0</v>
      </c>
      <c r="BH102" s="298">
        <f t="shared" si="99"/>
        <v>0</v>
      </c>
      <c r="BI102" s="298">
        <f t="shared" si="99"/>
        <v>0</v>
      </c>
      <c r="BJ102" s="298">
        <f t="shared" si="99"/>
        <v>0</v>
      </c>
      <c r="BK102" s="298">
        <f t="shared" si="99"/>
        <v>0</v>
      </c>
      <c r="BL102" s="298">
        <f t="shared" si="99"/>
        <v>0</v>
      </c>
      <c r="BM102" s="298">
        <f t="shared" si="99"/>
        <v>0</v>
      </c>
      <c r="BN102" s="298">
        <f t="shared" ref="BN102:BV103" si="100">BM102+AE102</f>
        <v>0</v>
      </c>
      <c r="BO102" s="298">
        <f t="shared" si="100"/>
        <v>0</v>
      </c>
      <c r="BP102" s="298">
        <f t="shared" si="100"/>
        <v>0</v>
      </c>
      <c r="BQ102" s="298">
        <f t="shared" si="100"/>
        <v>0</v>
      </c>
      <c r="BR102" s="298">
        <f t="shared" si="100"/>
        <v>0</v>
      </c>
      <c r="BS102" s="298">
        <f t="shared" si="100"/>
        <v>0</v>
      </c>
      <c r="BT102" s="298">
        <f t="shared" si="100"/>
        <v>0</v>
      </c>
      <c r="BU102" s="298">
        <f t="shared" si="100"/>
        <v>0</v>
      </c>
      <c r="BV102" s="298">
        <f t="shared" si="100"/>
        <v>0</v>
      </c>
    </row>
    <row r="103" spans="1:74" x14ac:dyDescent="0.25">
      <c r="A103" s="1753"/>
      <c r="B103" s="194">
        <f>'February 25 D_R (Tramming)'!F103</f>
        <v>779</v>
      </c>
      <c r="C103" s="352">
        <f>(J103/(J103))*B103</f>
        <v>779</v>
      </c>
      <c r="D103" s="349">
        <f>(C103-J103)/C103</f>
        <v>0.67201540436456997</v>
      </c>
      <c r="F103" s="1607"/>
      <c r="G103" s="1705"/>
      <c r="H103" s="1688"/>
      <c r="I103" s="1379" t="s">
        <v>342</v>
      </c>
      <c r="J103" s="1303">
        <f>SUMIF($L$9:$AP$9,"&lt;="&amp;$G$7,L103:AP103)</f>
        <v>255.5</v>
      </c>
      <c r="K103" s="1380">
        <f t="shared" ref="K103" si="101">IFERROR((J103-J102)/J102,0)</f>
        <v>0</v>
      </c>
      <c r="L103" s="1305"/>
      <c r="M103" s="1303"/>
      <c r="N103" s="1303"/>
      <c r="O103" s="1303">
        <v>19.5</v>
      </c>
      <c r="P103" s="1303"/>
      <c r="Q103" s="1303">
        <v>39</v>
      </c>
      <c r="R103" s="1303">
        <v>27</v>
      </c>
      <c r="S103" s="1303">
        <v>29</v>
      </c>
      <c r="T103" s="1303">
        <v>27</v>
      </c>
      <c r="U103" s="1303">
        <v>42</v>
      </c>
      <c r="V103" s="1303">
        <v>39</v>
      </c>
      <c r="W103" s="1303">
        <f>1.5+16.5+15</f>
        <v>33</v>
      </c>
      <c r="X103" s="1303"/>
      <c r="Y103" s="1303"/>
      <c r="Z103" s="1303"/>
      <c r="AA103" s="1303"/>
      <c r="AB103" s="1303"/>
      <c r="AC103" s="1303"/>
      <c r="AD103" s="1303"/>
      <c r="AE103" s="1303"/>
      <c r="AF103" s="1303"/>
      <c r="AG103" s="1303"/>
      <c r="AH103" s="1303"/>
      <c r="AI103" s="1303"/>
      <c r="AJ103" s="1303"/>
      <c r="AK103" s="1303"/>
      <c r="AL103" s="1303"/>
      <c r="AM103" s="1303"/>
      <c r="AN103" s="1303"/>
      <c r="AO103" s="1303"/>
      <c r="AP103" s="1303"/>
      <c r="AQ103" s="323"/>
      <c r="AR103" s="308"/>
      <c r="AS103" s="1754"/>
      <c r="AU103" s="226">
        <f>L103</f>
        <v>0</v>
      </c>
      <c r="AV103" s="298">
        <f>AU103+M103</f>
        <v>0</v>
      </c>
      <c r="AW103" s="298">
        <f>AV103+N103</f>
        <v>0</v>
      </c>
      <c r="AX103" s="298">
        <f t="shared" si="99"/>
        <v>19.5</v>
      </c>
      <c r="AY103" s="298">
        <f t="shared" si="99"/>
        <v>19.5</v>
      </c>
      <c r="AZ103" s="298">
        <f t="shared" si="99"/>
        <v>58.5</v>
      </c>
      <c r="BA103" s="298">
        <f t="shared" si="99"/>
        <v>85.5</v>
      </c>
      <c r="BB103" s="298">
        <f t="shared" si="99"/>
        <v>114.5</v>
      </c>
      <c r="BC103" s="298">
        <f t="shared" si="99"/>
        <v>141.5</v>
      </c>
      <c r="BD103" s="298">
        <f t="shared" si="99"/>
        <v>183.5</v>
      </c>
      <c r="BE103" s="298">
        <f t="shared" si="99"/>
        <v>222.5</v>
      </c>
      <c r="BF103" s="298">
        <f t="shared" si="99"/>
        <v>255.5</v>
      </c>
      <c r="BG103" s="298">
        <f t="shared" si="99"/>
        <v>255.5</v>
      </c>
      <c r="BH103" s="298">
        <f t="shared" si="99"/>
        <v>255.5</v>
      </c>
      <c r="BI103" s="298">
        <f t="shared" si="99"/>
        <v>255.5</v>
      </c>
      <c r="BJ103" s="298">
        <f t="shared" si="99"/>
        <v>255.5</v>
      </c>
      <c r="BK103" s="298">
        <f t="shared" si="99"/>
        <v>255.5</v>
      </c>
      <c r="BL103" s="298">
        <f t="shared" si="99"/>
        <v>255.5</v>
      </c>
      <c r="BM103" s="298">
        <f t="shared" si="99"/>
        <v>255.5</v>
      </c>
      <c r="BN103" s="298">
        <f t="shared" si="100"/>
        <v>255.5</v>
      </c>
      <c r="BO103" s="298">
        <f t="shared" si="100"/>
        <v>255.5</v>
      </c>
      <c r="BP103" s="298">
        <f t="shared" si="100"/>
        <v>255.5</v>
      </c>
      <c r="BQ103" s="298">
        <f t="shared" si="100"/>
        <v>255.5</v>
      </c>
      <c r="BR103" s="298">
        <f t="shared" si="100"/>
        <v>255.5</v>
      </c>
      <c r="BS103" s="298">
        <f t="shared" si="100"/>
        <v>255.5</v>
      </c>
      <c r="BT103" s="298">
        <f t="shared" si="100"/>
        <v>255.5</v>
      </c>
    </row>
    <row r="104" spans="1:74" x14ac:dyDescent="0.25">
      <c r="A104" s="1753"/>
      <c r="B104" s="194">
        <f>'February 25 D_R (Tramming)'!F104</f>
        <v>0</v>
      </c>
      <c r="F104" s="1607"/>
      <c r="G104" s="1705"/>
      <c r="H104" s="1688"/>
      <c r="I104" s="1389" t="s">
        <v>312</v>
      </c>
      <c r="J104" s="1382"/>
      <c r="K104" s="1383"/>
      <c r="L104" s="203"/>
      <c r="M104" s="203"/>
      <c r="N104" s="203"/>
      <c r="O104" s="203"/>
      <c r="P104" s="203"/>
      <c r="Q104" s="203"/>
      <c r="R104" s="203"/>
      <c r="S104" s="203"/>
      <c r="T104" s="204"/>
      <c r="U104" s="203"/>
      <c r="V104" s="203"/>
      <c r="W104" s="203"/>
      <c r="X104" s="203"/>
      <c r="Y104" s="203"/>
      <c r="Z104" s="203"/>
      <c r="AA104" s="203"/>
      <c r="AB104" s="203"/>
      <c r="AC104" s="203"/>
      <c r="AD104" s="203"/>
      <c r="AE104" s="203"/>
      <c r="AF104" s="203"/>
      <c r="AG104" s="203"/>
      <c r="AH104" s="203"/>
      <c r="AI104" s="203"/>
      <c r="AJ104" s="203"/>
      <c r="AK104" s="203"/>
      <c r="AL104" s="203"/>
      <c r="AM104" s="203"/>
      <c r="AN104" s="203"/>
      <c r="AO104" s="203"/>
      <c r="AP104" s="205"/>
      <c r="AQ104" s="324"/>
      <c r="AR104" s="308"/>
      <c r="AS104" s="1754"/>
      <c r="AU104" s="227"/>
      <c r="AV104" s="227"/>
      <c r="BL104" s="299"/>
      <c r="BM104" s="299"/>
      <c r="BN104" s="299"/>
      <c r="BO104" s="299"/>
      <c r="BP104" s="299"/>
      <c r="BQ104" s="299"/>
      <c r="BR104" s="299"/>
      <c r="BS104" s="299"/>
      <c r="BT104" s="299"/>
      <c r="BU104" s="299">
        <f>BT103+AL102</f>
        <v>255.5</v>
      </c>
      <c r="BV104" s="299">
        <f t="shared" ref="BV104" si="102">BU104+AM102</f>
        <v>255.5</v>
      </c>
    </row>
    <row r="105" spans="1:74" x14ac:dyDescent="0.25">
      <c r="A105" s="1753"/>
      <c r="B105" s="194" t="str">
        <f>'February 25 D_R (Tramming)'!F105</f>
        <v xml:space="preserve">-   </v>
      </c>
      <c r="F105" s="1607"/>
      <c r="G105" s="1705"/>
      <c r="H105" s="1685" t="s">
        <v>343</v>
      </c>
      <c r="I105" s="1384" t="s">
        <v>344</v>
      </c>
      <c r="J105" s="1310">
        <f t="shared" ref="J105:J106" si="103">IFERROR(J107*1000/J102,0)</f>
        <v>0</v>
      </c>
      <c r="K105" s="1385"/>
      <c r="L105" s="1312"/>
      <c r="M105" s="1312"/>
      <c r="N105" s="1312"/>
      <c r="O105" s="1333"/>
      <c r="P105" s="1333"/>
      <c r="Q105" s="1333"/>
      <c r="R105" s="1333"/>
      <c r="S105" s="1333"/>
      <c r="T105" s="1334"/>
      <c r="U105" s="1333"/>
      <c r="V105" s="1333"/>
      <c r="W105" s="1333"/>
      <c r="X105" s="1333"/>
      <c r="Y105" s="1333"/>
      <c r="Z105" s="1333"/>
      <c r="AA105" s="1333"/>
      <c r="AB105" s="1333"/>
      <c r="AC105" s="1333"/>
      <c r="AD105" s="1333"/>
      <c r="AE105" s="1333"/>
      <c r="AF105" s="1333"/>
      <c r="AG105" s="1333"/>
      <c r="AH105" s="1333"/>
      <c r="AI105" s="1333"/>
      <c r="AJ105" s="1333"/>
      <c r="AK105" s="1333"/>
      <c r="AL105" s="1333"/>
      <c r="AM105" s="1333"/>
      <c r="AN105" s="1333"/>
      <c r="AO105" s="1333"/>
      <c r="AP105" s="1335"/>
      <c r="AQ105" s="325"/>
      <c r="AR105" s="308"/>
      <c r="AS105" s="1754"/>
    </row>
    <row r="106" spans="1:74" x14ac:dyDescent="0.25">
      <c r="A106" s="1753"/>
      <c r="B106" s="194">
        <f>'February 25 D_R (Tramming)'!F106</f>
        <v>2.4900000000000002</v>
      </c>
      <c r="C106" s="350">
        <f>C108*1000/C103</f>
        <v>2.4390243902439024</v>
      </c>
      <c r="F106" s="1607"/>
      <c r="G106" s="1705"/>
      <c r="H106" s="1707"/>
      <c r="I106" s="1386" t="s">
        <v>345</v>
      </c>
      <c r="J106" s="1314">
        <f t="shared" si="103"/>
        <v>2.0745988258317025</v>
      </c>
      <c r="K106" s="1380">
        <f t="shared" ref="K106" si="104">IFERROR((J106-J105)/J105,0)</f>
        <v>0</v>
      </c>
      <c r="L106" s="1315"/>
      <c r="M106" s="1314"/>
      <c r="N106" s="1314"/>
      <c r="O106" s="1314">
        <v>0.66</v>
      </c>
      <c r="P106" s="1314"/>
      <c r="Q106" s="1314">
        <v>2.21</v>
      </c>
      <c r="R106" s="1314">
        <v>2.21</v>
      </c>
      <c r="S106" s="1314">
        <v>2.0499999999999998</v>
      </c>
      <c r="T106" s="1314">
        <v>2.41</v>
      </c>
      <c r="U106" s="1314">
        <v>2.3199999999999998</v>
      </c>
      <c r="V106" s="1314">
        <v>3.83</v>
      </c>
      <c r="W106" s="1314"/>
      <c r="X106" s="1314"/>
      <c r="Y106" s="1314"/>
      <c r="Z106" s="1314"/>
      <c r="AA106" s="1314"/>
      <c r="AB106" s="1314"/>
      <c r="AC106" s="1314"/>
      <c r="AD106" s="1314"/>
      <c r="AE106" s="1314"/>
      <c r="AF106" s="1314"/>
      <c r="AG106" s="1314"/>
      <c r="AH106" s="1314"/>
      <c r="AI106" s="1314"/>
      <c r="AJ106" s="1314"/>
      <c r="AK106" s="1314"/>
      <c r="AL106" s="1314"/>
      <c r="AM106" s="1314"/>
      <c r="AN106" s="1314"/>
      <c r="AO106" s="1314"/>
      <c r="AP106" s="1314"/>
      <c r="AQ106" s="326"/>
      <c r="AR106" s="308"/>
      <c r="AS106" s="1754"/>
    </row>
    <row r="107" spans="1:74" x14ac:dyDescent="0.25">
      <c r="A107" s="1753"/>
      <c r="B107" s="194" t="str">
        <f>'February 25 D_R (Tramming)'!F107</f>
        <v xml:space="preserve">-   </v>
      </c>
      <c r="F107" s="1607"/>
      <c r="G107" s="1705"/>
      <c r="H107" s="1685" t="s">
        <v>47</v>
      </c>
      <c r="I107" s="1384" t="s">
        <v>346</v>
      </c>
      <c r="J107" s="206">
        <f>SUMIF($L$9:$AP$9,"&lt;="&amp;$G$7,L107:AP107)</f>
        <v>0</v>
      </c>
      <c r="K107" s="1385"/>
      <c r="L107" s="1316">
        <f>+L105*L102/1000</f>
        <v>0</v>
      </c>
      <c r="M107" s="1316">
        <f t="shared" ref="M107:AP108" si="105">+M105*M102/1000</f>
        <v>0</v>
      </c>
      <c r="N107" s="1316">
        <f t="shared" si="105"/>
        <v>0</v>
      </c>
      <c r="O107" s="1316">
        <f t="shared" si="105"/>
        <v>0</v>
      </c>
      <c r="P107" s="1316">
        <f t="shared" si="105"/>
        <v>0</v>
      </c>
      <c r="Q107" s="1316">
        <f t="shared" si="105"/>
        <v>0</v>
      </c>
      <c r="R107" s="1316">
        <f t="shared" si="105"/>
        <v>0</v>
      </c>
      <c r="S107" s="1316">
        <f t="shared" si="105"/>
        <v>0</v>
      </c>
      <c r="T107" s="1316">
        <f t="shared" si="105"/>
        <v>0</v>
      </c>
      <c r="U107" s="1316">
        <f t="shared" si="105"/>
        <v>0</v>
      </c>
      <c r="V107" s="1316">
        <f t="shared" si="105"/>
        <v>0</v>
      </c>
      <c r="W107" s="1316">
        <f t="shared" si="105"/>
        <v>0</v>
      </c>
      <c r="X107" s="1316">
        <f t="shared" si="105"/>
        <v>0</v>
      </c>
      <c r="Y107" s="1316">
        <f t="shared" si="105"/>
        <v>0</v>
      </c>
      <c r="Z107" s="1316">
        <f t="shared" si="105"/>
        <v>0</v>
      </c>
      <c r="AA107" s="1316">
        <f t="shared" si="105"/>
        <v>0</v>
      </c>
      <c r="AB107" s="1316">
        <f t="shared" si="105"/>
        <v>0</v>
      </c>
      <c r="AC107" s="1316">
        <f t="shared" si="105"/>
        <v>0</v>
      </c>
      <c r="AD107" s="1316"/>
      <c r="AE107" s="1316"/>
      <c r="AF107" s="1316"/>
      <c r="AG107" s="1316"/>
      <c r="AH107" s="1316"/>
      <c r="AI107" s="1316"/>
      <c r="AJ107" s="1316"/>
      <c r="AK107" s="1316"/>
      <c r="AL107" s="1316"/>
      <c r="AM107" s="1316"/>
      <c r="AN107" s="1316">
        <f t="shared" si="105"/>
        <v>0</v>
      </c>
      <c r="AO107" s="1316">
        <f t="shared" si="105"/>
        <v>0</v>
      </c>
      <c r="AP107" s="1316">
        <f t="shared" si="105"/>
        <v>0</v>
      </c>
      <c r="AQ107" s="329"/>
      <c r="AR107" s="310"/>
      <c r="AS107" s="1754"/>
      <c r="AT107" s="332"/>
    </row>
    <row r="108" spans="1:74" ht="14.25" thickBot="1" x14ac:dyDescent="0.3">
      <c r="A108" s="1753"/>
      <c r="B108" s="194">
        <f>'February 25 D_R (Tramming)'!F108</f>
        <v>1.9</v>
      </c>
      <c r="C108" s="350">
        <f>(J108/(J108))*B108</f>
        <v>1.9</v>
      </c>
      <c r="F108" s="1660"/>
      <c r="G108" s="1706"/>
      <c r="H108" s="1708"/>
      <c r="I108" s="1387" t="s">
        <v>347</v>
      </c>
      <c r="J108" s="1321">
        <f>SUMIF($L$9:$AP$9,"&lt;="&amp;$G$7,L108:AP108)</f>
        <v>0.53005999999999998</v>
      </c>
      <c r="K108" s="1388">
        <f t="shared" ref="K108" si="106">IFERROR((J108-J107)/J107,0)</f>
        <v>0</v>
      </c>
      <c r="L108" s="1323">
        <f>+L106*L103/1000</f>
        <v>0</v>
      </c>
      <c r="M108" s="1323">
        <f t="shared" si="105"/>
        <v>0</v>
      </c>
      <c r="N108" s="1323">
        <f t="shared" si="105"/>
        <v>0</v>
      </c>
      <c r="O108" s="1323">
        <f t="shared" si="105"/>
        <v>1.2870000000000001E-2</v>
      </c>
      <c r="P108" s="1323">
        <f t="shared" si="105"/>
        <v>0</v>
      </c>
      <c r="Q108" s="1323">
        <f t="shared" si="105"/>
        <v>8.6190000000000003E-2</v>
      </c>
      <c r="R108" s="1323">
        <f t="shared" si="105"/>
        <v>5.9670000000000001E-2</v>
      </c>
      <c r="S108" s="1323">
        <f t="shared" si="105"/>
        <v>5.9449999999999996E-2</v>
      </c>
      <c r="T108" s="1323">
        <f t="shared" si="105"/>
        <v>6.5070000000000003E-2</v>
      </c>
      <c r="U108" s="1323">
        <f t="shared" si="105"/>
        <v>9.7439999999999999E-2</v>
      </c>
      <c r="V108" s="1323">
        <f t="shared" si="105"/>
        <v>0.14937</v>
      </c>
      <c r="W108" s="1323">
        <f t="shared" si="105"/>
        <v>0</v>
      </c>
      <c r="X108" s="1323">
        <f t="shared" si="105"/>
        <v>0</v>
      </c>
      <c r="Y108" s="1323">
        <f t="shared" si="105"/>
        <v>0</v>
      </c>
      <c r="Z108" s="1323">
        <f t="shared" si="105"/>
        <v>0</v>
      </c>
      <c r="AA108" s="1323">
        <f t="shared" si="105"/>
        <v>0</v>
      </c>
      <c r="AB108" s="1323">
        <f t="shared" si="105"/>
        <v>0</v>
      </c>
      <c r="AC108" s="1323">
        <f t="shared" si="105"/>
        <v>0</v>
      </c>
      <c r="AD108" s="1323"/>
      <c r="AE108" s="1323"/>
      <c r="AF108" s="1323"/>
      <c r="AG108" s="1323"/>
      <c r="AH108" s="1323"/>
      <c r="AI108" s="1323"/>
      <c r="AJ108" s="1323"/>
      <c r="AK108" s="1323"/>
      <c r="AL108" s="1323"/>
      <c r="AM108" s="1323"/>
      <c r="AN108" s="1323">
        <f t="shared" si="105"/>
        <v>0</v>
      </c>
      <c r="AO108" s="1323">
        <f t="shared" si="105"/>
        <v>0</v>
      </c>
      <c r="AP108" s="1323">
        <f t="shared" si="105"/>
        <v>0</v>
      </c>
      <c r="AQ108" s="328"/>
      <c r="AR108" s="311"/>
      <c r="AS108" s="1754"/>
    </row>
    <row r="109" spans="1:74" x14ac:dyDescent="0.25">
      <c r="A109" s="194"/>
    </row>
    <row r="110" spans="1:74" x14ac:dyDescent="0.25">
      <c r="A110" s="194"/>
    </row>
    <row r="111" spans="1:74" x14ac:dyDescent="0.25">
      <c r="A111" s="194"/>
    </row>
    <row r="112" spans="1:74" x14ac:dyDescent="0.25">
      <c r="A112" s="194"/>
    </row>
    <row r="113" spans="1:1" x14ac:dyDescent="0.25">
      <c r="A113" s="194"/>
    </row>
    <row r="114" spans="1:1" x14ac:dyDescent="0.25">
      <c r="A114" s="194"/>
    </row>
    <row r="115" spans="1:1" x14ac:dyDescent="0.25">
      <c r="A115" s="194"/>
    </row>
  </sheetData>
  <mergeCells count="99">
    <mergeCell ref="L2:M2"/>
    <mergeCell ref="O2:R2"/>
    <mergeCell ref="L3:M3"/>
    <mergeCell ref="O3:R3"/>
    <mergeCell ref="L4:M4"/>
    <mergeCell ref="O4:R4"/>
    <mergeCell ref="O5:R5"/>
    <mergeCell ref="O6:R6"/>
    <mergeCell ref="H17:I17"/>
    <mergeCell ref="A18:A24"/>
    <mergeCell ref="F18:G24"/>
    <mergeCell ref="H18:H20"/>
    <mergeCell ref="AS18:AS24"/>
    <mergeCell ref="H21:H22"/>
    <mergeCell ref="H23:H24"/>
    <mergeCell ref="A25:A31"/>
    <mergeCell ref="F25:F31"/>
    <mergeCell ref="G25:G31"/>
    <mergeCell ref="H25:H27"/>
    <mergeCell ref="AS25:AS31"/>
    <mergeCell ref="H28:H29"/>
    <mergeCell ref="H30:H31"/>
    <mergeCell ref="A32:A38"/>
    <mergeCell ref="F32:F38"/>
    <mergeCell ref="G32:G38"/>
    <mergeCell ref="H32:H34"/>
    <mergeCell ref="AS32:AS38"/>
    <mergeCell ref="H35:H36"/>
    <mergeCell ref="H37:H38"/>
    <mergeCell ref="A39:A45"/>
    <mergeCell ref="F39:F45"/>
    <mergeCell ref="G39:G45"/>
    <mergeCell ref="H39:H41"/>
    <mergeCell ref="AS39:AS45"/>
    <mergeCell ref="H42:H43"/>
    <mergeCell ref="H44:H45"/>
    <mergeCell ref="A46:A52"/>
    <mergeCell ref="F46:F52"/>
    <mergeCell ref="G46:G52"/>
    <mergeCell ref="H46:H48"/>
    <mergeCell ref="AS46:AS52"/>
    <mergeCell ref="H49:H50"/>
    <mergeCell ref="H51:H52"/>
    <mergeCell ref="A53:A59"/>
    <mergeCell ref="F53:F59"/>
    <mergeCell ref="G53:G59"/>
    <mergeCell ref="H53:H55"/>
    <mergeCell ref="AS53:AS59"/>
    <mergeCell ref="H56:H57"/>
    <mergeCell ref="H58:H59"/>
    <mergeCell ref="A60:A66"/>
    <mergeCell ref="F60:F66"/>
    <mergeCell ref="G60:G66"/>
    <mergeCell ref="H60:H62"/>
    <mergeCell ref="AS60:AS66"/>
    <mergeCell ref="H63:H64"/>
    <mergeCell ref="H65:H66"/>
    <mergeCell ref="A67:A73"/>
    <mergeCell ref="F67:F73"/>
    <mergeCell ref="G67:G73"/>
    <mergeCell ref="H67:H69"/>
    <mergeCell ref="AS67:AS73"/>
    <mergeCell ref="H70:H71"/>
    <mergeCell ref="H72:H73"/>
    <mergeCell ref="A74:A80"/>
    <mergeCell ref="F74:F80"/>
    <mergeCell ref="G74:G80"/>
    <mergeCell ref="H74:H76"/>
    <mergeCell ref="AS74:AS80"/>
    <mergeCell ref="H77:H78"/>
    <mergeCell ref="H79:H80"/>
    <mergeCell ref="A81:A87"/>
    <mergeCell ref="F81:F87"/>
    <mergeCell ref="G81:G87"/>
    <mergeCell ref="H81:H83"/>
    <mergeCell ref="AS81:AS87"/>
    <mergeCell ref="H84:H85"/>
    <mergeCell ref="H86:H87"/>
    <mergeCell ref="A88:A94"/>
    <mergeCell ref="F88:F94"/>
    <mergeCell ref="G88:G94"/>
    <mergeCell ref="H88:H90"/>
    <mergeCell ref="AS88:AS94"/>
    <mergeCell ref="H91:H92"/>
    <mergeCell ref="H93:H94"/>
    <mergeCell ref="A95:A101"/>
    <mergeCell ref="F95:F101"/>
    <mergeCell ref="G95:G101"/>
    <mergeCell ref="H95:H97"/>
    <mergeCell ref="AS95:AS101"/>
    <mergeCell ref="H98:H99"/>
    <mergeCell ref="H100:H101"/>
    <mergeCell ref="A102:A108"/>
    <mergeCell ref="F102:F108"/>
    <mergeCell ref="G102:G108"/>
    <mergeCell ref="H102:H104"/>
    <mergeCell ref="AS102:AS108"/>
    <mergeCell ref="H105:H106"/>
    <mergeCell ref="H107:H108"/>
  </mergeCells>
  <conditionalFormatting sqref="F25">
    <cfRule type="cellIs" dxfId="80" priority="46" operator="equal">
      <formula>1</formula>
    </cfRule>
    <cfRule type="cellIs" dxfId="79" priority="47" operator="equal">
      <formula>2</formula>
    </cfRule>
    <cfRule type="cellIs" dxfId="78" priority="45" operator="equal">
      <formula>3</formula>
    </cfRule>
  </conditionalFormatting>
  <conditionalFormatting sqref="F32 F39 F46 F53 F60 F67 F74 F81 F88 F95">
    <cfRule type="cellIs" dxfId="77" priority="42" operator="equal">
      <formula>3</formula>
    </cfRule>
    <cfRule type="cellIs" dxfId="76" priority="43" operator="equal">
      <formula>1</formula>
    </cfRule>
    <cfRule type="cellIs" dxfId="75" priority="44" operator="equal">
      <formula>2</formula>
    </cfRule>
  </conditionalFormatting>
  <conditionalFormatting sqref="F102">
    <cfRule type="cellIs" dxfId="74" priority="84" operator="equal">
      <formula>1</formula>
    </cfRule>
    <cfRule type="cellIs" dxfId="73" priority="83" operator="equal">
      <formula>3</formula>
    </cfRule>
    <cfRule type="cellIs" dxfId="72" priority="85" operator="equal">
      <formula>2</formula>
    </cfRule>
  </conditionalFormatting>
  <conditionalFormatting sqref="H10:H12">
    <cfRule type="cellIs" dxfId="71" priority="51" stopIfTrue="1" operator="greaterThanOrEqual">
      <formula>G10</formula>
    </cfRule>
    <cfRule type="cellIs" dxfId="70" priority="50" stopIfTrue="1" operator="lessThan">
      <formula>G10</formula>
    </cfRule>
  </conditionalFormatting>
  <conditionalFormatting sqref="I10:I12">
    <cfRule type="cellIs" dxfId="69" priority="49" stopIfTrue="1" operator="greaterThanOrEqual">
      <formula>0</formula>
    </cfRule>
    <cfRule type="cellIs" dxfId="68" priority="48" stopIfTrue="1" operator="lessThan">
      <formula>0</formula>
    </cfRule>
  </conditionalFormatting>
  <conditionalFormatting sqref="J19 J22 J24 J26 J29 J31 J33 J36 J38 J40 J43 J45 J47 J50 J52 J54 J57 J59 J61 J64 J66 J68 J71 J73 J75 J78 J80 J82 J85 J87 J89 J92 J94 J96 J99 J101">
    <cfRule type="cellIs" dxfId="67" priority="59" stopIfTrue="1" operator="greaterThanOrEqual">
      <formula>J18</formula>
    </cfRule>
    <cfRule type="cellIs" dxfId="66" priority="58" stopIfTrue="1" operator="lessThan">
      <formula>J18</formula>
    </cfRule>
  </conditionalFormatting>
  <conditionalFormatting sqref="J103">
    <cfRule type="cellIs" dxfId="65" priority="69" stopIfTrue="1" operator="greaterThanOrEqual">
      <formula>J102</formula>
    </cfRule>
    <cfRule type="cellIs" dxfId="64" priority="68" stopIfTrue="1" operator="lessThan">
      <formula>J102</formula>
    </cfRule>
  </conditionalFormatting>
  <conditionalFormatting sqref="J106 J108">
    <cfRule type="cellIs" dxfId="63" priority="65" stopIfTrue="1" operator="greaterThanOrEqual">
      <formula>J105</formula>
    </cfRule>
    <cfRule type="cellIs" dxfId="62" priority="64" stopIfTrue="1" operator="lessThan">
      <formula>J105</formula>
    </cfRule>
  </conditionalFormatting>
  <conditionalFormatting sqref="K19 K40 K61 K66:K73 K75 K82 K87 K89 K96">
    <cfRule type="cellIs" dxfId="61" priority="56" operator="greaterThan">
      <formula>0</formula>
    </cfRule>
    <cfRule type="cellIs" dxfId="60" priority="57" operator="lessThan">
      <formula>0</formula>
    </cfRule>
  </conditionalFormatting>
  <conditionalFormatting sqref="K22 K43 K64 K78 K85 K92 K99">
    <cfRule type="cellIs" dxfId="59" priority="54" operator="greaterThan">
      <formula>0</formula>
    </cfRule>
    <cfRule type="cellIs" dxfId="58" priority="55" operator="lessThan">
      <formula>0</formula>
    </cfRule>
  </conditionalFormatting>
  <conditionalFormatting sqref="K24:K38 K45:K59 K80 K94 K101">
    <cfRule type="cellIs" dxfId="57" priority="53" operator="lessThan">
      <formula>0</formula>
    </cfRule>
    <cfRule type="cellIs" dxfId="56" priority="52" operator="greaterThan">
      <formula>0</formula>
    </cfRule>
  </conditionalFormatting>
  <conditionalFormatting sqref="K103">
    <cfRule type="cellIs" dxfId="55" priority="67" operator="lessThan">
      <formula>0</formula>
    </cfRule>
    <cfRule type="cellIs" dxfId="54" priority="66" operator="greaterThan">
      <formula>0</formula>
    </cfRule>
  </conditionalFormatting>
  <conditionalFormatting sqref="K106">
    <cfRule type="cellIs" dxfId="53" priority="63" operator="lessThan">
      <formula>0</formula>
    </cfRule>
    <cfRule type="cellIs" dxfId="52" priority="62" operator="greaterThan">
      <formula>0</formula>
    </cfRule>
  </conditionalFormatting>
  <conditionalFormatting sqref="K108">
    <cfRule type="cellIs" dxfId="51" priority="60" operator="greaterThan">
      <formula>0</formula>
    </cfRule>
    <cfRule type="cellIs" dxfId="50" priority="61" operator="lessThan">
      <formula>0</formula>
    </cfRule>
  </conditionalFormatting>
  <conditionalFormatting sqref="L22:AM22 L29:AM29 L36:AM36 L43:AM43 L50:AM50 L57:AM57 L64:AM64 L71:AM71 L78:AM78 L85:AM85 L92:AM92 L99:AM99">
    <cfRule type="cellIs" dxfId="49" priority="10" operator="greaterThanOrEqual">
      <formula>L21</formula>
    </cfRule>
    <cfRule type="cellIs" dxfId="48" priority="6" operator="lessThan">
      <formula>L21</formula>
    </cfRule>
  </conditionalFormatting>
  <conditionalFormatting sqref="L24:AM24 L52:AM52 L66:AM66">
    <cfRule type="cellIs" dxfId="47" priority="3" operator="lessThan">
      <formula>L23</formula>
    </cfRule>
    <cfRule type="cellIs" dxfId="46" priority="4" operator="greaterThanOrEqual">
      <formula>L23</formula>
    </cfRule>
  </conditionalFormatting>
  <conditionalFormatting sqref="L31:AM31 L38:AM38 L45:AM45 L59:AM59 L73:AM73 L80:AM80 L87:AM87 L94:AM94 L101:AM101">
    <cfRule type="cellIs" dxfId="45" priority="8" operator="lessThan">
      <formula>L30</formula>
    </cfRule>
    <cfRule type="cellIs" dxfId="44" priority="9" operator="greaterThanOrEqual">
      <formula>L30</formula>
    </cfRule>
  </conditionalFormatting>
  <conditionalFormatting sqref="L11:AQ11 AN24:AQ24 AN52:AQ52 AN66:AQ66">
    <cfRule type="cellIs" dxfId="43" priority="22" operator="lessThan">
      <formula>L10</formula>
    </cfRule>
    <cfRule type="cellIs" dxfId="42" priority="29" operator="greaterThanOrEqual">
      <formula>L10</formula>
    </cfRule>
  </conditionalFormatting>
  <conditionalFormatting sqref="L11:AQ11">
    <cfRule type="expression" dxfId="41" priority="21">
      <formula>L10=""</formula>
    </cfRule>
  </conditionalFormatting>
  <conditionalFormatting sqref="L13:AQ13">
    <cfRule type="expression" dxfId="40" priority="23">
      <formula>L12=""</formula>
    </cfRule>
    <cfRule type="cellIs" dxfId="39" priority="27" operator="between">
      <formula>1.6</formula>
      <formula>2</formula>
    </cfRule>
    <cfRule type="cellIs" dxfId="38" priority="28" operator="greaterThanOrEqual">
      <formula>0.6</formula>
    </cfRule>
    <cfRule type="cellIs" dxfId="37" priority="26" operator="greaterThanOrEqual">
      <formula>2</formula>
    </cfRule>
    <cfRule type="cellIs" dxfId="36" priority="25" operator="greaterThanOrEqual">
      <formula>L12</formula>
    </cfRule>
    <cfRule type="cellIs" dxfId="35" priority="24" operator="lessThan">
      <formula>L12</formula>
    </cfRule>
  </conditionalFormatting>
  <conditionalFormatting sqref="L15:AQ15 L24:AQ31 L33:AQ33 L40:AQ40 L47:AQ47 L52:AQ59 L61:AQ61 L66:AQ73 L75:AQ75 L82:AQ82 L89:AQ89 L96:AQ96 L22:AQ22 L36:AQ36 L43:AQ43 L50:AQ50 L64:AQ64 L78:AQ78 L85:AQ85 L92:AQ92 L99:AQ99 L38:AQ38 L45:AQ45 L80:AQ80 L87:AQ87 L94:AQ94 L101:AQ101 L11:AQ11 L13:AQ13 L106:AQ106 L108:AQ108">
    <cfRule type="expression" dxfId="34" priority="20">
      <formula>L$9&gt;$G$7</formula>
    </cfRule>
  </conditionalFormatting>
  <conditionalFormatting sqref="L15:AQ15">
    <cfRule type="expression" dxfId="33" priority="17">
      <formula>L14=""</formula>
    </cfRule>
    <cfRule type="cellIs" dxfId="32" priority="19" operator="greaterThanOrEqual">
      <formula>L14</formula>
    </cfRule>
    <cfRule type="cellIs" dxfId="31" priority="18" operator="lessThan">
      <formula>L14</formula>
    </cfRule>
  </conditionalFormatting>
  <conditionalFormatting sqref="L19:AQ19 L26:AM26 L33:AM33 L40:AM40 L47:AM47 L54:AM54 L61:AM61 L68:AM68 L75:AM75 L82:AM82 L89:AM89 L96:AM96">
    <cfRule type="cellIs" dxfId="30" priority="16" operator="greaterThanOrEqual">
      <formula>L18</formula>
    </cfRule>
    <cfRule type="cellIs" dxfId="29" priority="15" operator="lessThan">
      <formula>L18</formula>
    </cfRule>
  </conditionalFormatting>
  <conditionalFormatting sqref="L19:AQ19 L26:AQ26 L33:AQ33 L40:AQ40 L47:AQ47 L54:AQ54 L61:AQ61 L68:AQ68 L75:AQ75 L82:AQ82 L89:AQ89 L96:AQ96">
    <cfRule type="expression" dxfId="28" priority="14">
      <formula>L18=""</formula>
    </cfRule>
  </conditionalFormatting>
  <conditionalFormatting sqref="L19:AQ19">
    <cfRule type="expression" dxfId="27" priority="1">
      <formula>L$9&gt;$G$7</formula>
    </cfRule>
  </conditionalFormatting>
  <conditionalFormatting sqref="L22:AQ22 L29:AQ29 L36:AQ36 L43:AQ43 L50:AQ50 L57:AQ57 L64:AQ64 L71:AQ71 L78:AQ78 L85:AQ85 L92:AQ92 L99:AQ99">
    <cfRule type="cellIs" dxfId="26" priority="13" operator="greaterThanOrEqual">
      <formula>0.6</formula>
    </cfRule>
    <cfRule type="cellIs" dxfId="25" priority="12" operator="between">
      <formula>1.6</formula>
      <formula>2</formula>
    </cfRule>
    <cfRule type="cellIs" dxfId="24" priority="11" operator="greaterThanOrEqual">
      <formula>2</formula>
    </cfRule>
    <cfRule type="expression" dxfId="23" priority="5">
      <formula>L21=""</formula>
    </cfRule>
  </conditionalFormatting>
  <conditionalFormatting sqref="L24:AQ24 L52:AQ52 L66:AQ66">
    <cfRule type="expression" dxfId="22" priority="2">
      <formula>L23=""</formula>
    </cfRule>
  </conditionalFormatting>
  <conditionalFormatting sqref="L31:AQ31 L38:AQ38 L45:AQ45 L59:AQ59 L73:AQ73 L80:AQ80 L87:AQ87 L94:AQ94 L101:AQ101">
    <cfRule type="expression" dxfId="21" priority="7">
      <formula>L30=""</formula>
    </cfRule>
  </conditionalFormatting>
  <conditionalFormatting sqref="L103:AQ103">
    <cfRule type="expression" dxfId="20" priority="70">
      <formula>L$9&gt;$G$7</formula>
    </cfRule>
    <cfRule type="expression" dxfId="19" priority="80">
      <formula>L102=""</formula>
    </cfRule>
    <cfRule type="cellIs" dxfId="18" priority="81" operator="lessThan">
      <formula>L102</formula>
    </cfRule>
    <cfRule type="cellIs" dxfId="17" priority="82" operator="greaterThanOrEqual">
      <formula>L102</formula>
    </cfRule>
  </conditionalFormatting>
  <conditionalFormatting sqref="L106:AQ106">
    <cfRule type="expression" dxfId="16" priority="71">
      <formula>L105=""</formula>
    </cfRule>
    <cfRule type="cellIs" dxfId="15" priority="79" operator="greaterThanOrEqual">
      <formula>0.6</formula>
    </cfRule>
    <cfRule type="cellIs" dxfId="14" priority="75" operator="lessThan">
      <formula>L105</formula>
    </cfRule>
    <cfRule type="cellIs" dxfId="13" priority="77" operator="greaterThanOrEqual">
      <formula>2</formula>
    </cfRule>
    <cfRule type="cellIs" dxfId="12" priority="78" operator="between">
      <formula>1.6</formula>
      <formula>2</formula>
    </cfRule>
    <cfRule type="cellIs" dxfId="11" priority="76" operator="greaterThanOrEqual">
      <formula>L105</formula>
    </cfRule>
  </conditionalFormatting>
  <conditionalFormatting sqref="L108:AQ108">
    <cfRule type="expression" dxfId="10" priority="72">
      <formula>L107=""</formula>
    </cfRule>
    <cfRule type="cellIs" dxfId="9" priority="74" operator="greaterThanOrEqual">
      <formula>L107</formula>
    </cfRule>
    <cfRule type="cellIs" dxfId="8" priority="73" operator="lessThan">
      <formula>L107</formula>
    </cfRule>
  </conditionalFormatting>
  <conditionalFormatting sqref="AN22:AQ22 AN29:AQ29 AN36:AQ36 AN43:AQ43 AN50:AQ50 AN57:AQ57 AN64:AQ64 AN71:AQ71 AN78:AQ78 AN85:AQ85 AN92:AQ92 AN99:AQ99">
    <cfRule type="cellIs" dxfId="7" priority="31" operator="lessThan">
      <formula>AN21</formula>
    </cfRule>
    <cfRule type="cellIs" dxfId="6" priority="35" operator="greaterThanOrEqual">
      <formula>AN21</formula>
    </cfRule>
  </conditionalFormatting>
  <conditionalFormatting sqref="AN26:AQ26 AN33:AQ33 AN40:AQ40 AN47:AQ47 AN54:AQ54 AN61:AQ61 AN68:AQ68 AN75:AQ75 AN82:AQ82 AN89:AQ89 AN96:AQ96">
    <cfRule type="cellIs" dxfId="5" priority="40" operator="lessThan">
      <formula>AN25</formula>
    </cfRule>
    <cfRule type="cellIs" dxfId="4" priority="41" operator="greaterThanOrEqual">
      <formula>AN25</formula>
    </cfRule>
  </conditionalFormatting>
  <conditionalFormatting sqref="AN31:AQ31 AN38:AQ38 AN45:AQ45 AN59:AQ59 AN73:AQ73 AN80:AQ80 AN87:AQ87 AN94:AQ94 AN101:AQ101">
    <cfRule type="cellIs" dxfId="3" priority="33" operator="lessThan">
      <formula>AN30</formula>
    </cfRule>
    <cfRule type="cellIs" dxfId="2" priority="34" operator="greaterThanOrEqual">
      <formula>AN30</formula>
    </cfRule>
  </conditionalFormatting>
  <pageMargins left="0.7" right="0.7" top="0.75" bottom="0.75" header="0.3" footer="0.3"/>
  <drawing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DD34F-ACAF-4DE4-AEDA-2633FCD18BF8}">
  <dimension ref="A1:S113"/>
  <sheetViews>
    <sheetView topLeftCell="A67" workbookViewId="0">
      <selection activeCell="D31" sqref="D31"/>
    </sheetView>
  </sheetViews>
  <sheetFormatPr defaultColWidth="8.7109375" defaultRowHeight="13.5" x14ac:dyDescent="0.25"/>
  <cols>
    <col min="1" max="1" width="4.42578125" style="947" customWidth="1"/>
    <col min="2" max="2" width="42" style="947" customWidth="1"/>
    <col min="3" max="3" width="4" style="947" customWidth="1"/>
    <col min="4" max="5" width="16.7109375" style="947" customWidth="1"/>
    <col min="6" max="6" width="1.7109375" style="252" customWidth="1"/>
    <col min="7" max="7" width="16.7109375" style="947" customWidth="1"/>
    <col min="8" max="8" width="1.7109375" style="252" customWidth="1"/>
    <col min="9" max="9" width="16.7109375" style="252" customWidth="1"/>
    <col min="10" max="10" width="1.7109375" style="252" customWidth="1"/>
    <col min="11" max="11" width="16.7109375" style="252" hidden="1" customWidth="1"/>
    <col min="12" max="12" width="8.7109375" style="252"/>
    <col min="13" max="13" width="14.7109375" style="252" customWidth="1"/>
    <col min="14" max="14" width="1.7109375" style="252" customWidth="1"/>
    <col min="15" max="15" width="11.42578125" style="252" customWidth="1"/>
    <col min="16" max="16384" width="8.7109375" style="252"/>
  </cols>
  <sheetData>
    <row r="1" spans="1:15" x14ac:dyDescent="0.25">
      <c r="A1" s="946" t="s">
        <v>221</v>
      </c>
    </row>
    <row r="2" spans="1:15" x14ac:dyDescent="0.25">
      <c r="A2" s="946" t="s">
        <v>402</v>
      </c>
      <c r="B2" s="948"/>
      <c r="C2" s="946"/>
    </row>
    <row r="3" spans="1:15" x14ac:dyDescent="0.25">
      <c r="A3" s="946" t="str">
        <f>[16]Dashboard!A4</f>
        <v>v2</v>
      </c>
      <c r="B3" s="946"/>
      <c r="C3" s="946"/>
      <c r="D3" s="252"/>
      <c r="E3" s="252"/>
      <c r="G3" s="252"/>
    </row>
    <row r="4" spans="1:15" x14ac:dyDescent="0.25">
      <c r="A4" s="946"/>
      <c r="B4" s="949"/>
      <c r="C4" s="949"/>
      <c r="D4" s="1394">
        <f>INDEX('[16]2025'!G6:R6,'[16]2025'!$S$5)</f>
        <v>45658</v>
      </c>
      <c r="E4" s="1394">
        <f>INDEX('[16]2025'!H6:S6,'[16]2025'!$S$5)</f>
        <v>45689</v>
      </c>
      <c r="G4" s="1394" t="str">
        <f>INDEX('[16]2025'!B6:E6,'[16]2025'!$F$5)</f>
        <v>2025 Q1</v>
      </c>
      <c r="I4" s="1395" t="s">
        <v>403</v>
      </c>
      <c r="K4" s="1395" t="s">
        <v>403</v>
      </c>
    </row>
    <row r="5" spans="1:15" x14ac:dyDescent="0.25">
      <c r="A5" s="946"/>
      <c r="B5" s="949"/>
      <c r="C5" s="949"/>
      <c r="D5" s="1008"/>
      <c r="E5" s="1008"/>
      <c r="G5" s="1008"/>
      <c r="I5" s="1009"/>
      <c r="K5" s="1009"/>
    </row>
    <row r="6" spans="1:15" x14ac:dyDescent="0.25">
      <c r="A6" s="950"/>
      <c r="B6" s="951" t="s">
        <v>404</v>
      </c>
      <c r="C6" s="949"/>
    </row>
    <row r="7" spans="1:15" x14ac:dyDescent="0.25">
      <c r="B7" s="952" t="s">
        <v>405</v>
      </c>
      <c r="D7" s="1396">
        <f>SUM(D8:D9)</f>
        <v>0</v>
      </c>
      <c r="E7" s="1396">
        <f>SUM(E8:E9)</f>
        <v>0</v>
      </c>
      <c r="G7" s="1396">
        <f>SUM(G8:G9)</f>
        <v>0</v>
      </c>
      <c r="I7" s="1396">
        <f>SUM(I8:I9)</f>
        <v>0</v>
      </c>
      <c r="K7" s="1396">
        <f>SUM(K8:K9)</f>
        <v>0</v>
      </c>
      <c r="M7" s="1010"/>
      <c r="O7" s="1010"/>
    </row>
    <row r="8" spans="1:15" s="185" customFormat="1" x14ac:dyDescent="0.25">
      <c r="A8" s="953"/>
      <c r="B8" s="1397" t="s">
        <v>406</v>
      </c>
      <c r="C8" s="953"/>
      <c r="D8" s="1398">
        <f>D11</f>
        <v>0</v>
      </c>
      <c r="E8" s="1398">
        <f>E11</f>
        <v>0</v>
      </c>
      <c r="F8" s="185">
        <f t="shared" ref="F8" si="0">F11</f>
        <v>0</v>
      </c>
      <c r="G8" s="1398">
        <f>G11</f>
        <v>0</v>
      </c>
      <c r="I8" s="1398">
        <f>I11</f>
        <v>0</v>
      </c>
      <c r="K8" s="1398">
        <f t="shared" ref="K8" si="1">K11</f>
        <v>0</v>
      </c>
      <c r="M8" s="1011"/>
      <c r="O8" s="1011"/>
    </row>
    <row r="9" spans="1:15" s="185" customFormat="1" x14ac:dyDescent="0.25">
      <c r="A9" s="953"/>
      <c r="B9" s="954" t="s">
        <v>407</v>
      </c>
      <c r="C9" s="953"/>
      <c r="D9" s="955">
        <f>INDEX('[16]2025'!G29:R29,'[16]2025'!$S$5)</f>
        <v>0</v>
      </c>
      <c r="E9" s="955">
        <f>INDEX('[16]2025'!H29:S29,'[16]2025'!$S$5)</f>
        <v>0</v>
      </c>
      <c r="G9" s="955">
        <f>INDEX('[16]2025'!B29:E29,'[16]2025'!$F$5)</f>
        <v>0</v>
      </c>
      <c r="I9" s="955">
        <f>'[16]2025'!S29</f>
        <v>0</v>
      </c>
      <c r="K9" s="955">
        <f>'[16]2025'!U29</f>
        <v>0</v>
      </c>
      <c r="M9" s="1011"/>
      <c r="O9" s="1011"/>
    </row>
    <row r="10" spans="1:15" x14ac:dyDescent="0.25">
      <c r="B10" s="956"/>
      <c r="M10" s="1010"/>
      <c r="O10" s="1010"/>
    </row>
    <row r="11" spans="1:15" x14ac:dyDescent="0.25">
      <c r="B11" s="952" t="s">
        <v>408</v>
      </c>
      <c r="D11" s="1399">
        <f>SUM(D12:D13)</f>
        <v>0</v>
      </c>
      <c r="E11" s="1399">
        <f>SUM(E12:E13)</f>
        <v>0</v>
      </c>
      <c r="G11" s="1399">
        <f>SUM(G12:G13)</f>
        <v>0</v>
      </c>
      <c r="I11" s="1399">
        <f>SUM(I12:I13)</f>
        <v>0</v>
      </c>
      <c r="K11" s="1399">
        <f>SUM(K12:K13)</f>
        <v>0</v>
      </c>
      <c r="M11" s="1010"/>
      <c r="O11" s="1010"/>
    </row>
    <row r="12" spans="1:15" s="185" customFormat="1" x14ac:dyDescent="0.25">
      <c r="A12" s="953"/>
      <c r="B12" s="1400" t="s">
        <v>409</v>
      </c>
      <c r="C12" s="953"/>
      <c r="D12" s="1401">
        <f>INDEX('[16]2025'!G9:R9,'[16]2025'!$S$5)</f>
        <v>0</v>
      </c>
      <c r="E12" s="1401">
        <f>INDEX('[16]2025'!H9:S9,'[16]2025'!$S$5)</f>
        <v>0</v>
      </c>
      <c r="G12" s="1401">
        <f>INDEX('[16]2025'!B9:E9,'[16]2025'!$F$5)</f>
        <v>0</v>
      </c>
      <c r="I12" s="1401">
        <f>'[16]2025'!S9</f>
        <v>0</v>
      </c>
      <c r="K12" s="1401">
        <f>'[16]2025'!U9</f>
        <v>0</v>
      </c>
      <c r="M12" s="1011"/>
      <c r="O12" s="1011"/>
    </row>
    <row r="13" spans="1:15" s="185" customFormat="1" x14ac:dyDescent="0.25">
      <c r="A13" s="953"/>
      <c r="B13" s="954" t="s">
        <v>410</v>
      </c>
      <c r="C13" s="953"/>
      <c r="D13" s="957">
        <f>INDEX('[16]2025'!G14:R14,'[16]2025'!$S$5)</f>
        <v>0</v>
      </c>
      <c r="E13" s="957">
        <f>INDEX('[16]2025'!H14:S14,'[16]2025'!$S$5)</f>
        <v>0</v>
      </c>
      <c r="G13" s="957">
        <f>INDEX('[16]2025'!B14:E14,'[16]2025'!$F$5)</f>
        <v>0</v>
      </c>
      <c r="I13" s="957">
        <f>'[16]2025'!S14</f>
        <v>0</v>
      </c>
      <c r="K13" s="957">
        <f>'[16]2025'!U14</f>
        <v>0</v>
      </c>
      <c r="M13" s="1011"/>
      <c r="O13" s="1011"/>
    </row>
    <row r="14" spans="1:15" x14ac:dyDescent="0.25">
      <c r="B14" s="956"/>
      <c r="M14" s="1010"/>
      <c r="O14" s="1010"/>
    </row>
    <row r="15" spans="1:15" x14ac:dyDescent="0.25">
      <c r="B15" s="952" t="s">
        <v>411</v>
      </c>
      <c r="D15" s="958"/>
      <c r="E15" s="958"/>
      <c r="G15" s="958"/>
      <c r="I15" s="958"/>
      <c r="K15" s="958"/>
      <c r="M15" s="1010"/>
      <c r="O15" s="1010"/>
    </row>
    <row r="16" spans="1:15" s="185" customFormat="1" x14ac:dyDescent="0.25">
      <c r="A16" s="953"/>
      <c r="B16" s="1402" t="s">
        <v>412</v>
      </c>
      <c r="C16" s="953"/>
      <c r="D16" s="1403">
        <f>IFERROR(D8/D9,0)</f>
        <v>0</v>
      </c>
      <c r="E16" s="1403">
        <f>IFERROR(E8/E9,0)</f>
        <v>0</v>
      </c>
      <c r="F16" s="959"/>
      <c r="G16" s="1403">
        <f>IFERROR(G8/G9,0)</f>
        <v>0</v>
      </c>
      <c r="H16" s="959"/>
      <c r="I16" s="1403">
        <f>IFERROR(I8/I9,0)</f>
        <v>0</v>
      </c>
      <c r="J16" s="959"/>
      <c r="K16" s="1403">
        <f>IFERROR(K8/K9,0)</f>
        <v>0</v>
      </c>
      <c r="L16" s="185" t="s">
        <v>348</v>
      </c>
      <c r="M16" s="1011"/>
      <c r="O16" s="1011"/>
    </row>
    <row r="17" spans="1:19" x14ac:dyDescent="0.25">
      <c r="B17" s="956"/>
      <c r="M17" s="1010"/>
      <c r="O17" s="1010"/>
    </row>
    <row r="18" spans="1:19" x14ac:dyDescent="0.25">
      <c r="B18" s="952" t="s">
        <v>413</v>
      </c>
      <c r="D18" s="1399">
        <f>SUM(D19:D20)</f>
        <v>0</v>
      </c>
      <c r="E18" s="1399">
        <f>SUM(E19:E20)</f>
        <v>0</v>
      </c>
      <c r="G18" s="1399">
        <f>SUM(G19:G20)</f>
        <v>0</v>
      </c>
      <c r="I18" s="1396">
        <f>SUM(I19:I20)</f>
        <v>0</v>
      </c>
      <c r="K18" s="1396">
        <f>SUM(K19:K20)</f>
        <v>0</v>
      </c>
      <c r="L18" s="1004"/>
      <c r="M18" s="1004"/>
      <c r="N18" s="1004"/>
      <c r="O18" s="1004"/>
      <c r="P18" s="1004"/>
      <c r="Q18" s="1004"/>
      <c r="R18" s="1004"/>
      <c r="S18" s="1004"/>
    </row>
    <row r="19" spans="1:19" s="185" customFormat="1" x14ac:dyDescent="0.25">
      <c r="A19" s="953"/>
      <c r="B19" s="1400" t="s">
        <v>409</v>
      </c>
      <c r="C19" s="953"/>
      <c r="D19" s="1398">
        <f>INDEX('[16]2025'!G19:R19,'[16]2025'!$S$5)</f>
        <v>0</v>
      </c>
      <c r="E19" s="1398">
        <f>INDEX('[16]2025'!H19:S19,'[16]2025'!$S$5)</f>
        <v>0</v>
      </c>
      <c r="G19" s="1398">
        <f>INDEX('[16]2025'!B19:E19,'[16]2025'!$F$5)</f>
        <v>0</v>
      </c>
      <c r="I19" s="1401">
        <f>+'[16]2025'!S19</f>
        <v>0</v>
      </c>
      <c r="K19" s="1401">
        <f>+'[16]2025'!U19</f>
        <v>0</v>
      </c>
      <c r="M19" s="1011"/>
      <c r="O19" s="1011"/>
    </row>
    <row r="20" spans="1:19" s="185" customFormat="1" x14ac:dyDescent="0.25">
      <c r="A20" s="953"/>
      <c r="B20" s="954" t="s">
        <v>410</v>
      </c>
      <c r="C20" s="953"/>
      <c r="D20" s="960">
        <f>INDEX('[16]2025'!G24:R24,'[16]2025'!$S$5)</f>
        <v>0</v>
      </c>
      <c r="E20" s="960">
        <f>INDEX('[16]2025'!H24:S24,'[16]2025'!$S$5)</f>
        <v>0</v>
      </c>
      <c r="G20" s="960">
        <f>INDEX('[16]2025'!B24:E24,'[16]2025'!$F$5)</f>
        <v>0</v>
      </c>
      <c r="I20" s="957">
        <f>+'[16]2025'!S24</f>
        <v>0</v>
      </c>
      <c r="K20" s="957">
        <f>+'[16]2025'!U24</f>
        <v>0</v>
      </c>
      <c r="M20" s="1011"/>
      <c r="O20" s="1011"/>
    </row>
    <row r="21" spans="1:19" x14ac:dyDescent="0.25">
      <c r="B21" s="956"/>
      <c r="M21" s="1010"/>
      <c r="O21" s="1010"/>
      <c r="P21" s="1010"/>
      <c r="Q21" s="1010"/>
      <c r="R21" s="1010"/>
    </row>
    <row r="22" spans="1:19" x14ac:dyDescent="0.25">
      <c r="B22" s="952" t="s">
        <v>414</v>
      </c>
      <c r="D22" s="1399">
        <f>SUM(D23:D25)</f>
        <v>21457.727999999999</v>
      </c>
      <c r="E22" s="1399">
        <f>SUM(E23:E25)</f>
        <v>0</v>
      </c>
      <c r="G22" s="1399">
        <f>SUM(G23:G25)</f>
        <v>21457.727999999999</v>
      </c>
      <c r="I22" s="1399">
        <f>SUM(I23:I25)</f>
        <v>21457.727999999999</v>
      </c>
      <c r="K22" s="1399">
        <f>SUM(K23:K25)</f>
        <v>0</v>
      </c>
      <c r="M22" s="1010"/>
      <c r="O22" s="1010"/>
    </row>
    <row r="23" spans="1:19" s="185" customFormat="1" x14ac:dyDescent="0.25">
      <c r="A23" s="953"/>
      <c r="B23" s="1397" t="s">
        <v>412</v>
      </c>
      <c r="C23" s="953"/>
      <c r="D23" s="1398">
        <f>INDEX('[16]2025'!G34:R34,'[16]2025'!$S$5)</f>
        <v>0</v>
      </c>
      <c r="E23" s="1398">
        <f>INDEX('[16]2025'!H34:S34,'[16]2025'!$S$5)</f>
        <v>0</v>
      </c>
      <c r="G23" s="1398">
        <f>INDEX('[16]2025'!B34:E34,'[16]2025'!$F$5)</f>
        <v>0</v>
      </c>
      <c r="I23" s="1401">
        <f>+'[16]2025'!S34</f>
        <v>0</v>
      </c>
      <c r="K23" s="1401">
        <f>+'[16]2025'!U34</f>
        <v>0</v>
      </c>
      <c r="M23" s="1011"/>
      <c r="O23" s="1011"/>
    </row>
    <row r="24" spans="1:19" s="185" customFormat="1" x14ac:dyDescent="0.25">
      <c r="A24" s="953"/>
      <c r="B24" s="961" t="s">
        <v>415</v>
      </c>
      <c r="C24" s="953"/>
      <c r="D24" s="962">
        <f>INDEX('[16]2025'!G50:R50,'[16]2025'!$S$5)</f>
        <v>21223.727999999999</v>
      </c>
      <c r="E24" s="962">
        <f>INDEX('[16]2025'!H50:S50,'[16]2025'!$S$5)</f>
        <v>0</v>
      </c>
      <c r="G24" s="962">
        <f>INDEX('[16]2025'!B50:E50,'[16]2025'!$F$5)</f>
        <v>21223.727999999999</v>
      </c>
      <c r="I24" s="962">
        <f>+'[16]2025'!S50</f>
        <v>21223.727999999999</v>
      </c>
      <c r="K24" s="962">
        <f>+'[16]2025'!U50</f>
        <v>0</v>
      </c>
      <c r="M24" s="1011"/>
      <c r="O24" s="1011"/>
      <c r="P24" s="1011"/>
      <c r="Q24" s="1011"/>
      <c r="R24" s="1011"/>
    </row>
    <row r="25" spans="1:19" s="185" customFormat="1" x14ac:dyDescent="0.25">
      <c r="A25" s="953"/>
      <c r="B25" s="954" t="s">
        <v>416</v>
      </c>
      <c r="C25" s="953"/>
      <c r="D25" s="960">
        <f>INDEX('[16]2025'!G76:R76,'[16]2025'!$S$5)</f>
        <v>234</v>
      </c>
      <c r="E25" s="960">
        <f>INDEX('[16]2025'!H76:S76,'[16]2025'!$S$5)</f>
        <v>0</v>
      </c>
      <c r="G25" s="960">
        <f>INDEX('[16]2025'!B76:E76,'[16]2025'!$F$5)</f>
        <v>234</v>
      </c>
      <c r="I25" s="957">
        <f>+'[16]2025'!S76</f>
        <v>234</v>
      </c>
      <c r="K25" s="957">
        <f>+'[16]2025'!U76</f>
        <v>0</v>
      </c>
      <c r="M25" s="1011"/>
      <c r="O25" s="1011"/>
    </row>
    <row r="26" spans="1:19" x14ac:dyDescent="0.25">
      <c r="B26" s="956"/>
      <c r="M26" s="1010"/>
      <c r="O26" s="1010"/>
      <c r="P26" s="1010"/>
      <c r="Q26" s="1010"/>
      <c r="R26" s="1010"/>
    </row>
    <row r="27" spans="1:19" x14ac:dyDescent="0.25">
      <c r="B27" s="952" t="s">
        <v>417</v>
      </c>
      <c r="D27" s="1404">
        <f>IFERROR(SUMPRODUCT(D23:D25,D28:D30)/D22,0)</f>
        <v>2.0600763025796578</v>
      </c>
      <c r="E27" s="1404">
        <f>IFERROR(SUMPRODUCT(E23:E25,E28:E30)/E22,0)</f>
        <v>0</v>
      </c>
      <c r="G27" s="1404">
        <f>IFERROR(SUMPRODUCT(G23:G25,G28:G30)/G22,0)</f>
        <v>2.0600763025796578</v>
      </c>
      <c r="I27" s="1404">
        <f>IFERROR(SUMPRODUCT(I23:I25,I28:I30)/I22,0)</f>
        <v>2.0600763025796578</v>
      </c>
      <c r="K27" s="1404">
        <f>IFERROR(SUMPRODUCT(K23:K25,K28:K30)/K22,0)</f>
        <v>0</v>
      </c>
      <c r="M27" s="1010"/>
      <c r="O27" s="1010"/>
      <c r="P27" s="1010"/>
      <c r="Q27" s="1010"/>
      <c r="R27" s="1010"/>
    </row>
    <row r="28" spans="1:19" s="185" customFormat="1" x14ac:dyDescent="0.25">
      <c r="A28" s="953"/>
      <c r="B28" s="1397" t="s">
        <v>412</v>
      </c>
      <c r="C28" s="953"/>
      <c r="D28" s="1405">
        <f>INDEX('[16]2025'!G39:R39,'[16]2025'!$S$5)</f>
        <v>0</v>
      </c>
      <c r="E28" s="1405">
        <f>INDEX('[16]2025'!H39:S39,'[16]2025'!$S$5)</f>
        <v>0</v>
      </c>
      <c r="G28" s="1405">
        <f>INDEX('[16]2025'!B39:E39,'[16]2025'!$F$5)</f>
        <v>0</v>
      </c>
      <c r="I28" s="1406">
        <f>+'[16]2025'!S39</f>
        <v>0</v>
      </c>
      <c r="K28" s="1406">
        <f>+'[16]2025'!U39</f>
        <v>0</v>
      </c>
      <c r="M28" s="1011"/>
      <c r="O28" s="1011"/>
      <c r="P28" s="1011"/>
      <c r="Q28" s="1011"/>
      <c r="R28" s="1011"/>
    </row>
    <row r="29" spans="1:19" s="185" customFormat="1" x14ac:dyDescent="0.25">
      <c r="A29" s="953"/>
      <c r="B29" s="961" t="s">
        <v>415</v>
      </c>
      <c r="C29" s="953"/>
      <c r="D29" s="963">
        <f>INDEX('[16]2025'!G55:R55,'[16]2025'!$S$5)</f>
        <v>2.0699999999999998</v>
      </c>
      <c r="E29" s="963">
        <f>INDEX('[16]2025'!H55:S55,'[16]2025'!$S$5)</f>
        <v>0</v>
      </c>
      <c r="F29" s="964"/>
      <c r="G29" s="963">
        <f>INDEX('[16]2025'!B55:E55,'[16]2025'!$F$5)</f>
        <v>2.0699999999999998</v>
      </c>
      <c r="H29" s="964"/>
      <c r="I29" s="963">
        <f>+'[16]2025'!S55</f>
        <v>2.0699999999999998</v>
      </c>
      <c r="J29" s="964"/>
      <c r="K29" s="963">
        <f>+'[16]2025'!U55</f>
        <v>0</v>
      </c>
      <c r="M29" s="1011"/>
      <c r="O29" s="1011"/>
      <c r="P29" s="1011"/>
      <c r="Q29" s="1011"/>
      <c r="R29" s="1011"/>
    </row>
    <row r="30" spans="1:19" s="185" customFormat="1" x14ac:dyDescent="0.25">
      <c r="A30" s="953"/>
      <c r="B30" s="954" t="s">
        <v>416</v>
      </c>
      <c r="C30" s="953"/>
      <c r="D30" s="965">
        <f>INDEX('[16]2025'!G81:R81,'[16]2025'!$S$5)</f>
        <v>1.1599999999999999</v>
      </c>
      <c r="E30" s="965">
        <f>INDEX('[16]2025'!H81:S81,'[16]2025'!$S$5)</f>
        <v>0</v>
      </c>
      <c r="F30" s="964"/>
      <c r="G30" s="965">
        <f>INDEX('[16]2025'!B81:E81,'[16]2025'!$F$5)</f>
        <v>1.1599999999999999</v>
      </c>
      <c r="H30" s="964"/>
      <c r="I30" s="966">
        <f>+'[16]2025'!S81</f>
        <v>1.1599999999999999</v>
      </c>
      <c r="J30" s="964"/>
      <c r="K30" s="966">
        <f>+'[16]2025'!U81</f>
        <v>0</v>
      </c>
      <c r="M30" s="1011"/>
      <c r="O30" s="1011"/>
    </row>
    <row r="31" spans="1:19" x14ac:dyDescent="0.25">
      <c r="F31" s="947"/>
      <c r="H31" s="947"/>
      <c r="J31" s="947"/>
      <c r="L31" s="947"/>
      <c r="M31" s="947"/>
      <c r="O31" s="1010"/>
      <c r="P31" s="1010"/>
      <c r="Q31" s="1010"/>
      <c r="R31" s="1010"/>
    </row>
    <row r="32" spans="1:19" x14ac:dyDescent="0.25">
      <c r="B32" s="952" t="s">
        <v>418</v>
      </c>
      <c r="D32" s="1407">
        <f>SUM(D33:D35)</f>
        <v>44.204556959999991</v>
      </c>
      <c r="E32" s="1407">
        <f>SUM(E33:E35)</f>
        <v>0</v>
      </c>
      <c r="G32" s="1407">
        <f>SUM(G33:G35)</f>
        <v>44.204556959999991</v>
      </c>
      <c r="I32" s="1407">
        <f>SUM(I33:I35)</f>
        <v>44.204556959999991</v>
      </c>
      <c r="K32" s="1407">
        <f>SUM(K33:K35)</f>
        <v>0</v>
      </c>
      <c r="M32" s="1010"/>
      <c r="O32" s="1010"/>
      <c r="P32" s="1010"/>
      <c r="Q32" s="1010"/>
      <c r="R32" s="1010"/>
    </row>
    <row r="33" spans="1:18" s="185" customFormat="1" x14ac:dyDescent="0.25">
      <c r="A33" s="953"/>
      <c r="B33" s="1397" t="s">
        <v>412</v>
      </c>
      <c r="C33" s="953"/>
      <c r="D33" s="1408">
        <f>INDEX('[16]2025'!G44:R44,'[16]2025'!$S$5)</f>
        <v>0</v>
      </c>
      <c r="E33" s="1408">
        <f>INDEX('[16]2025'!H44:S44,'[16]2025'!$S$5)</f>
        <v>0</v>
      </c>
      <c r="G33" s="1408">
        <f>INDEX('[16]2025'!B44:E44,'[16]2025'!$F$5)</f>
        <v>0</v>
      </c>
      <c r="I33" s="1409">
        <f>+'[16]2025'!S44</f>
        <v>0</v>
      </c>
      <c r="K33" s="1409">
        <f>+'[16]2025'!U44</f>
        <v>0</v>
      </c>
      <c r="M33" s="1011"/>
      <c r="O33" s="1011"/>
      <c r="P33" s="1011"/>
      <c r="Q33" s="1011"/>
      <c r="R33" s="1011"/>
    </row>
    <row r="34" spans="1:18" s="185" customFormat="1" x14ac:dyDescent="0.25">
      <c r="A34" s="953"/>
      <c r="B34" s="961" t="s">
        <v>415</v>
      </c>
      <c r="C34" s="953"/>
      <c r="D34" s="967">
        <f>INDEX('[16]2025'!G60:R60,'[16]2025'!$S$5)</f>
        <v>43.933116959999992</v>
      </c>
      <c r="E34" s="967">
        <f>INDEX('[16]2025'!H60:S60,'[16]2025'!$S$5)</f>
        <v>0</v>
      </c>
      <c r="F34" s="968"/>
      <c r="G34" s="967">
        <f>INDEX('[16]2025'!B60:E60,'[16]2025'!$F$5)</f>
        <v>43.933116959999992</v>
      </c>
      <c r="H34" s="968"/>
      <c r="I34" s="967">
        <f>+'[16]2025'!S60</f>
        <v>43.933116959999992</v>
      </c>
      <c r="J34" s="968"/>
      <c r="K34" s="967">
        <f>+'[16]2025'!U60</f>
        <v>0</v>
      </c>
      <c r="M34" s="1011"/>
      <c r="O34" s="1011"/>
      <c r="P34" s="1011"/>
      <c r="Q34" s="1011"/>
      <c r="R34" s="1011"/>
    </row>
    <row r="35" spans="1:18" s="185" customFormat="1" x14ac:dyDescent="0.25">
      <c r="A35" s="953"/>
      <c r="B35" s="954" t="s">
        <v>416</v>
      </c>
      <c r="C35" s="953"/>
      <c r="D35" s="969">
        <f>INDEX('[16]2025'!G86:R86,'[16]2025'!$S$5)</f>
        <v>0.27144000000000001</v>
      </c>
      <c r="E35" s="969">
        <f>INDEX('[16]2025'!H86:S86,'[16]2025'!$S$5)</f>
        <v>0</v>
      </c>
      <c r="F35" s="968"/>
      <c r="G35" s="969">
        <f>INDEX('[16]2025'!B86:E86,'[16]2025'!$F$5)</f>
        <v>0.27144000000000001</v>
      </c>
      <c r="H35" s="968"/>
      <c r="I35" s="970">
        <f>+'[16]2025'!S86</f>
        <v>0.27144000000000001</v>
      </c>
      <c r="J35" s="968"/>
      <c r="K35" s="970">
        <f>+'[16]2025'!U86</f>
        <v>0</v>
      </c>
      <c r="M35" s="1011"/>
      <c r="O35" s="1011"/>
    </row>
    <row r="36" spans="1:18" x14ac:dyDescent="0.25">
      <c r="F36" s="947"/>
      <c r="H36" s="947"/>
      <c r="J36" s="947"/>
      <c r="L36" s="947"/>
      <c r="M36" s="947"/>
      <c r="O36" s="1010"/>
      <c r="P36" s="1010"/>
      <c r="Q36" s="1010"/>
      <c r="R36" s="1010"/>
    </row>
    <row r="37" spans="1:18" x14ac:dyDescent="0.25">
      <c r="B37" s="952" t="s">
        <v>419</v>
      </c>
      <c r="D37" s="1396">
        <f>SUM(D38:D39)</f>
        <v>597.19999999999993</v>
      </c>
      <c r="E37" s="1396">
        <f>SUM(E38:E39)</f>
        <v>0</v>
      </c>
      <c r="G37" s="1396">
        <f>SUM(G38:G39)</f>
        <v>597.19999999999993</v>
      </c>
      <c r="I37" s="1396">
        <f>SUM(I38:I39)</f>
        <v>597.19999999999993</v>
      </c>
      <c r="K37" s="1396">
        <f>SUM(K38:K39)</f>
        <v>0</v>
      </c>
      <c r="M37" s="1010"/>
      <c r="O37" s="1010"/>
      <c r="P37" s="1010"/>
      <c r="Q37" s="1010"/>
      <c r="R37" s="1010"/>
    </row>
    <row r="38" spans="1:18" s="185" customFormat="1" x14ac:dyDescent="0.25">
      <c r="A38" s="953"/>
      <c r="B38" s="1397" t="s">
        <v>420</v>
      </c>
      <c r="C38" s="953"/>
      <c r="D38" s="1398">
        <f>INDEX('[16]2025'!G65:R65,'[16]2025'!$S$5)</f>
        <v>597.19999999999993</v>
      </c>
      <c r="E38" s="1398">
        <f>INDEX('[16]2025'!H65:S65,'[16]2025'!$S$5)</f>
        <v>0</v>
      </c>
      <c r="G38" s="1398">
        <f>INDEX('[16]2025'!B65:E65,'[16]2025'!$F$5)</f>
        <v>597.19999999999993</v>
      </c>
      <c r="I38" s="1398">
        <f>+'[16]2025'!S65</f>
        <v>597.19999999999993</v>
      </c>
      <c r="K38" s="1398">
        <f>+'[16]2025'!U65</f>
        <v>0</v>
      </c>
      <c r="M38" s="1011"/>
      <c r="O38" s="1011"/>
      <c r="P38" s="1011"/>
      <c r="Q38" s="1011"/>
      <c r="R38" s="1011"/>
    </row>
    <row r="39" spans="1:18" s="185" customFormat="1" x14ac:dyDescent="0.25">
      <c r="A39" s="953"/>
      <c r="B39" s="954" t="s">
        <v>421</v>
      </c>
      <c r="C39" s="953"/>
      <c r="D39" s="960">
        <f>INDEX('[16]2025'!G70:R70,'[16]2025'!$S$5)</f>
        <v>0</v>
      </c>
      <c r="E39" s="960">
        <f>INDEX('[16]2025'!H70:S70,'[16]2025'!$S$5)</f>
        <v>0</v>
      </c>
      <c r="G39" s="960">
        <f>INDEX('[16]2025'!B70:E70,'[16]2025'!$F$5)</f>
        <v>0</v>
      </c>
      <c r="I39" s="955">
        <f>+'[16]2025'!S70</f>
        <v>0</v>
      </c>
      <c r="K39" s="955">
        <f>+'[16]2025'!U70</f>
        <v>0</v>
      </c>
      <c r="M39" s="1011"/>
      <c r="O39" s="1011"/>
      <c r="P39" s="1011"/>
      <c r="Q39" s="1011"/>
      <c r="R39" s="1011"/>
    </row>
    <row r="40" spans="1:18" x14ac:dyDescent="0.25">
      <c r="F40" s="947"/>
      <c r="H40" s="947"/>
      <c r="J40" s="947"/>
      <c r="L40" s="947"/>
      <c r="M40" s="947"/>
      <c r="O40" s="1010"/>
      <c r="P40" s="1010"/>
      <c r="Q40" s="1010"/>
      <c r="R40" s="1010"/>
    </row>
    <row r="41" spans="1:18" x14ac:dyDescent="0.25">
      <c r="A41" s="950"/>
      <c r="B41" s="951" t="s">
        <v>422</v>
      </c>
      <c r="C41" s="949"/>
      <c r="O41" s="1010"/>
      <c r="P41" s="1010"/>
      <c r="Q41" s="1010"/>
      <c r="R41" s="1010"/>
    </row>
    <row r="42" spans="1:18" x14ac:dyDescent="0.25">
      <c r="B42" s="952" t="s">
        <v>423</v>
      </c>
      <c r="D42" s="1396">
        <f>SUM(D45:D46)</f>
        <v>2203</v>
      </c>
      <c r="E42" s="1396">
        <f>SUM(E45:E46)</f>
        <v>0</v>
      </c>
      <c r="G42" s="1396">
        <f>SUM(G45:G46)</f>
        <v>2203</v>
      </c>
      <c r="I42" s="1396">
        <f>SUM(I45:I46)</f>
        <v>2203</v>
      </c>
      <c r="K42" s="1396">
        <f>SUM(K45:K46)</f>
        <v>0</v>
      </c>
      <c r="M42" s="1010"/>
      <c r="O42" s="1010"/>
      <c r="P42" s="1010"/>
      <c r="Q42" s="1010"/>
      <c r="R42" s="1010"/>
    </row>
    <row r="43" spans="1:18" s="185" customFormat="1" x14ac:dyDescent="0.25">
      <c r="A43" s="953"/>
      <c r="B43" s="1397" t="s">
        <v>424</v>
      </c>
      <c r="C43" s="953"/>
      <c r="D43" s="1398">
        <f>INDEX('[16]2025'!G133:R133,'[16]2025'!$S$5)</f>
        <v>1273</v>
      </c>
      <c r="E43" s="1398">
        <f>INDEX('[16]2025'!H133:S133,'[16]2025'!$S$5)</f>
        <v>0</v>
      </c>
      <c r="G43" s="1398">
        <f>INDEX('[16]2025'!B133:E133,'[16]2025'!$F$5)</f>
        <v>1273</v>
      </c>
      <c r="I43" s="1398">
        <f>+'[16]2025'!S133</f>
        <v>1273</v>
      </c>
      <c r="K43" s="1398">
        <f>+'[16]2025'!U133</f>
        <v>0</v>
      </c>
      <c r="M43" s="1011"/>
      <c r="O43" s="1011"/>
      <c r="P43" s="1011"/>
      <c r="Q43" s="1011"/>
      <c r="R43" s="1011"/>
    </row>
    <row r="44" spans="1:18" s="185" customFormat="1" x14ac:dyDescent="0.25">
      <c r="A44" s="953"/>
      <c r="B44" s="961" t="s">
        <v>425</v>
      </c>
      <c r="C44" s="953"/>
      <c r="D44" s="962">
        <f>INDEX('[16]2025'!G138:R138,'[16]2025'!$S$5)</f>
        <v>506</v>
      </c>
      <c r="E44" s="962">
        <f>INDEX('[16]2025'!H138:S138,'[16]2025'!$S$5)</f>
        <v>0</v>
      </c>
      <c r="G44" s="962">
        <f>INDEX('[16]2025'!B138:E138,'[16]2025'!$F$5)</f>
        <v>506</v>
      </c>
      <c r="I44" s="962">
        <f>+'[16]2025'!S138</f>
        <v>506</v>
      </c>
      <c r="K44" s="962">
        <f>+'[16]2025'!U138</f>
        <v>0</v>
      </c>
      <c r="M44" s="1011"/>
      <c r="O44" s="1011"/>
      <c r="P44" s="1011"/>
      <c r="Q44" s="1011"/>
      <c r="R44" s="1011"/>
    </row>
    <row r="45" spans="1:18" s="185" customFormat="1" x14ac:dyDescent="0.25">
      <c r="A45" s="953"/>
      <c r="B45" s="971" t="s">
        <v>426</v>
      </c>
      <c r="C45" s="972"/>
      <c r="D45" s="973">
        <f>SUM(D43:D44)</f>
        <v>1779</v>
      </c>
      <c r="E45" s="973">
        <f>SUM(E43:E44)</f>
        <v>0</v>
      </c>
      <c r="F45" s="974"/>
      <c r="G45" s="973">
        <f>SUM(G43:G44)</f>
        <v>1779</v>
      </c>
      <c r="H45" s="974"/>
      <c r="I45" s="973">
        <f>SUM(I43:I44)</f>
        <v>1779</v>
      </c>
      <c r="J45" s="974"/>
      <c r="K45" s="973">
        <f>SUM(K43:K44)</f>
        <v>0</v>
      </c>
      <c r="M45" s="1011"/>
      <c r="O45" s="1011"/>
      <c r="P45" s="1011"/>
      <c r="Q45" s="1011"/>
      <c r="R45" s="1011"/>
    </row>
    <row r="46" spans="1:18" s="185" customFormat="1" x14ac:dyDescent="0.25">
      <c r="A46" s="953"/>
      <c r="B46" s="954" t="s">
        <v>427</v>
      </c>
      <c r="C46" s="953"/>
      <c r="D46" s="960">
        <f>INDEX('[16]2025'!G128:R128,'[16]2025'!$S$5)</f>
        <v>424</v>
      </c>
      <c r="E46" s="960">
        <f>INDEX('[16]2025'!H128:S128,'[16]2025'!$S$5)</f>
        <v>0</v>
      </c>
      <c r="G46" s="960">
        <f>INDEX('[16]2025'!B128:E128,'[16]2025'!$F$5)</f>
        <v>424</v>
      </c>
      <c r="I46" s="955">
        <f>+'[16]2025'!S128</f>
        <v>424</v>
      </c>
      <c r="K46" s="955">
        <f>+'[16]2025'!U128</f>
        <v>0</v>
      </c>
      <c r="M46" s="1011"/>
      <c r="O46" s="1011"/>
      <c r="P46" s="1011"/>
      <c r="Q46" s="1011"/>
      <c r="R46" s="1011"/>
    </row>
    <row r="47" spans="1:18" x14ac:dyDescent="0.25">
      <c r="F47" s="947"/>
      <c r="H47" s="947"/>
      <c r="J47" s="947"/>
      <c r="L47" s="947"/>
      <c r="M47" s="947"/>
      <c r="O47" s="1010"/>
      <c r="P47" s="1010"/>
      <c r="Q47" s="1010"/>
      <c r="R47" s="1010"/>
    </row>
    <row r="48" spans="1:18" x14ac:dyDescent="0.25">
      <c r="B48" s="952" t="s">
        <v>428</v>
      </c>
      <c r="D48" s="1396">
        <f>SUM(D51:D52)</f>
        <v>558</v>
      </c>
      <c r="E48" s="1396">
        <f>SUM(E51:E52)</f>
        <v>0</v>
      </c>
      <c r="G48" s="1396">
        <f>SUM(G51:G52)</f>
        <v>558</v>
      </c>
      <c r="I48" s="1396">
        <f>SUM(I51:I52)</f>
        <v>558</v>
      </c>
      <c r="K48" s="1396">
        <f>SUM(K51:K52)</f>
        <v>0</v>
      </c>
      <c r="M48" s="1010"/>
      <c r="O48" s="1010"/>
      <c r="P48" s="1010"/>
      <c r="Q48" s="1010"/>
      <c r="R48" s="1010"/>
    </row>
    <row r="49" spans="1:18" s="185" customFormat="1" x14ac:dyDescent="0.25">
      <c r="A49" s="953"/>
      <c r="B49" s="1397" t="s">
        <v>429</v>
      </c>
      <c r="C49" s="953"/>
      <c r="D49" s="1398">
        <f>INDEX('[16]2025'!G118:R118,'[16]2025'!$S$5)</f>
        <v>0</v>
      </c>
      <c r="E49" s="1398">
        <f>INDEX('[16]2025'!H118:S118,'[16]2025'!$S$5)</f>
        <v>0</v>
      </c>
      <c r="G49" s="1398">
        <f>INDEX('[16]2025'!B118:E118,'[16]2025'!$F$5)</f>
        <v>0</v>
      </c>
      <c r="I49" s="1398">
        <f>+'[16]2025'!S118</f>
        <v>0</v>
      </c>
      <c r="K49" s="1398">
        <f>+'[16]2025'!U118</f>
        <v>0</v>
      </c>
      <c r="M49" s="1011"/>
      <c r="O49" s="1011"/>
      <c r="P49" s="1011"/>
      <c r="Q49" s="1011"/>
      <c r="R49" s="1011"/>
    </row>
    <row r="50" spans="1:18" s="185" customFormat="1" x14ac:dyDescent="0.25">
      <c r="A50" s="953"/>
      <c r="B50" s="961" t="s">
        <v>430</v>
      </c>
      <c r="C50" s="953"/>
      <c r="D50" s="962">
        <f>INDEX('[16]2025'!G123:R123,'[16]2025'!$S$5)</f>
        <v>134</v>
      </c>
      <c r="E50" s="962">
        <f>INDEX('[16]2025'!H123:S123,'[16]2025'!$S$5)</f>
        <v>0</v>
      </c>
      <c r="G50" s="962">
        <f>INDEX('[16]2025'!B123:E123,'[16]2025'!$F$5)</f>
        <v>134</v>
      </c>
      <c r="I50" s="962">
        <f>+'[16]2025'!S123</f>
        <v>134</v>
      </c>
      <c r="K50" s="962">
        <f>+'[16]2025'!U123</f>
        <v>0</v>
      </c>
      <c r="M50" s="1011"/>
      <c r="O50" s="1011"/>
      <c r="P50" s="1011"/>
      <c r="Q50" s="1011"/>
      <c r="R50" s="1011"/>
    </row>
    <row r="51" spans="1:18" s="185" customFormat="1" x14ac:dyDescent="0.25">
      <c r="A51" s="953"/>
      <c r="B51" s="971" t="s">
        <v>431</v>
      </c>
      <c r="C51" s="972"/>
      <c r="D51" s="973">
        <f>SUM(D49:D50)</f>
        <v>134</v>
      </c>
      <c r="E51" s="973">
        <f>SUM(E49:E50)</f>
        <v>0</v>
      </c>
      <c r="F51" s="974"/>
      <c r="G51" s="973">
        <f>SUM(G49:G50)</f>
        <v>134</v>
      </c>
      <c r="H51" s="974"/>
      <c r="I51" s="973">
        <f>SUM(I49:I50)</f>
        <v>134</v>
      </c>
      <c r="J51" s="974"/>
      <c r="K51" s="973">
        <f>SUM(K49:K50)</f>
        <v>0</v>
      </c>
      <c r="M51" s="1011"/>
      <c r="O51" s="1011"/>
      <c r="P51" s="1011"/>
      <c r="Q51" s="1011"/>
      <c r="R51" s="1011"/>
    </row>
    <row r="52" spans="1:18" s="185" customFormat="1" x14ac:dyDescent="0.25">
      <c r="A52" s="953"/>
      <c r="B52" s="954" t="s">
        <v>432</v>
      </c>
      <c r="C52" s="953"/>
      <c r="D52" s="960">
        <f>INDEX('[16]2025'!G128:R128,'[16]2025'!$S$5)</f>
        <v>424</v>
      </c>
      <c r="E52" s="960">
        <f>INDEX('[16]2025'!H128:S128,'[16]2025'!$S$5)</f>
        <v>0</v>
      </c>
      <c r="G52" s="960">
        <f>INDEX('[16]2025'!B128:E128,'[16]2025'!$F$5)</f>
        <v>424</v>
      </c>
      <c r="I52" s="955">
        <f>+'[16]2025'!S128</f>
        <v>424</v>
      </c>
      <c r="K52" s="955">
        <f>+'[16]2025'!U128</f>
        <v>0</v>
      </c>
      <c r="M52" s="1011"/>
      <c r="O52" s="1011"/>
      <c r="P52" s="1011"/>
      <c r="Q52" s="1011"/>
      <c r="R52" s="1011"/>
    </row>
    <row r="53" spans="1:18" x14ac:dyDescent="0.25">
      <c r="F53" s="947"/>
      <c r="H53" s="947"/>
      <c r="J53" s="947"/>
      <c r="L53" s="947"/>
      <c r="M53" s="947"/>
      <c r="O53" s="1010"/>
      <c r="P53" s="1010"/>
      <c r="Q53" s="1010"/>
      <c r="R53" s="1010"/>
    </row>
    <row r="54" spans="1:18" x14ac:dyDescent="0.25">
      <c r="B54" s="952" t="s">
        <v>433</v>
      </c>
      <c r="D54" s="1396">
        <f>SUM(D55:D56)</f>
        <v>1645</v>
      </c>
      <c r="E54" s="1396">
        <f>SUM(E55:E56)</f>
        <v>0</v>
      </c>
      <c r="G54" s="1396">
        <f>SUM(G55:G56)</f>
        <v>1645</v>
      </c>
      <c r="I54" s="1396">
        <f>SUM(I55:I56)</f>
        <v>1645</v>
      </c>
      <c r="K54" s="1396">
        <f>SUM(K55:K56)</f>
        <v>0</v>
      </c>
      <c r="M54" s="1010"/>
      <c r="O54" s="1010"/>
      <c r="P54" s="1010"/>
      <c r="Q54" s="1010"/>
      <c r="R54" s="1010"/>
    </row>
    <row r="55" spans="1:18" s="185" customFormat="1" x14ac:dyDescent="0.25">
      <c r="A55" s="953"/>
      <c r="B55" s="1397" t="s">
        <v>434</v>
      </c>
      <c r="C55" s="953"/>
      <c r="D55" s="1398">
        <f>INDEX('[16]2025'!G108:R108,'[16]2025'!$S$5)</f>
        <v>1273</v>
      </c>
      <c r="E55" s="1398">
        <f>INDEX('[16]2025'!H108:S108,'[16]2025'!$S$5)</f>
        <v>0</v>
      </c>
      <c r="G55" s="1398">
        <f>INDEX('[16]2025'!B108:E108,'[16]2025'!$F$5)</f>
        <v>1273</v>
      </c>
      <c r="I55" s="1398">
        <f>+'[16]2025'!S108</f>
        <v>1273</v>
      </c>
      <c r="K55" s="1398">
        <f>+'[16]2025'!U108</f>
        <v>0</v>
      </c>
      <c r="M55" s="1011"/>
      <c r="O55" s="1011"/>
      <c r="P55" s="1011"/>
      <c r="Q55" s="1011"/>
      <c r="R55" s="1011"/>
    </row>
    <row r="56" spans="1:18" s="185" customFormat="1" x14ac:dyDescent="0.25">
      <c r="A56" s="953"/>
      <c r="B56" s="954" t="s">
        <v>435</v>
      </c>
      <c r="C56" s="953"/>
      <c r="D56" s="960">
        <f>INDEX('[16]2025'!G113:R113,'[16]2025'!$S$5)</f>
        <v>372</v>
      </c>
      <c r="E56" s="960">
        <f>INDEX('[16]2025'!H113:S113,'[16]2025'!$S$5)</f>
        <v>0</v>
      </c>
      <c r="G56" s="960">
        <f>INDEX('[16]2025'!B113:E113,'[16]2025'!$F$5)</f>
        <v>372</v>
      </c>
      <c r="I56" s="955">
        <f>+'[16]2025'!S113</f>
        <v>372</v>
      </c>
      <c r="K56" s="955">
        <f>+'[16]2025'!U113</f>
        <v>0</v>
      </c>
      <c r="M56" s="1011"/>
      <c r="O56" s="1011"/>
      <c r="P56" s="1011"/>
      <c r="Q56" s="1011"/>
      <c r="R56" s="1011"/>
    </row>
    <row r="57" spans="1:18" x14ac:dyDescent="0.25">
      <c r="F57" s="947"/>
      <c r="H57" s="947"/>
      <c r="J57" s="947"/>
      <c r="L57" s="947"/>
      <c r="M57" s="947"/>
      <c r="O57" s="1010"/>
      <c r="P57" s="1010"/>
      <c r="Q57" s="1010"/>
      <c r="R57" s="1010"/>
    </row>
    <row r="58" spans="1:18" x14ac:dyDescent="0.25">
      <c r="A58" s="950"/>
      <c r="B58" s="951" t="s">
        <v>436</v>
      </c>
      <c r="C58" s="949"/>
      <c r="O58" s="1010"/>
      <c r="P58" s="1010"/>
      <c r="Q58" s="1010"/>
      <c r="R58" s="1010"/>
    </row>
    <row r="59" spans="1:18" x14ac:dyDescent="0.25">
      <c r="B59" s="952" t="s">
        <v>437</v>
      </c>
      <c r="F59" s="947"/>
      <c r="H59" s="947"/>
      <c r="I59" s="947"/>
      <c r="J59" s="947"/>
      <c r="K59" s="947"/>
      <c r="M59" s="1010"/>
      <c r="O59" s="1010"/>
      <c r="P59" s="1010"/>
      <c r="Q59" s="1010"/>
      <c r="R59" s="1010"/>
    </row>
    <row r="60" spans="1:18" x14ac:dyDescent="0.25">
      <c r="B60" s="1410" t="s">
        <v>1</v>
      </c>
      <c r="D60" s="1411">
        <f>INDEX('[16]2025'!G150:R150,'[16]2025'!$S$5)</f>
        <v>35396.111617000002</v>
      </c>
      <c r="E60" s="1411">
        <f>INDEX('[16]2025'!H150:S150,'[16]2025'!$S$5)</f>
        <v>0</v>
      </c>
      <c r="G60" s="1411">
        <f>INDEX('[16]2025'!B150:E150,'[16]2025'!$F$5)</f>
        <v>35396.111617000002</v>
      </c>
      <c r="I60" s="1411">
        <f>+'[16]2025'!S150</f>
        <v>35396.111617000002</v>
      </c>
      <c r="K60" s="1411">
        <f>+'[16]2025'!U150</f>
        <v>0</v>
      </c>
      <c r="M60" s="1010"/>
      <c r="O60" s="1010"/>
      <c r="P60" s="1010"/>
      <c r="Q60" s="1010"/>
      <c r="R60" s="1010"/>
    </row>
    <row r="61" spans="1:18" x14ac:dyDescent="0.25">
      <c r="B61" s="975" t="s">
        <v>438</v>
      </c>
      <c r="D61" s="976">
        <f>INDEX('[16]2025'!G155:R155,'[16]2025'!$S$5)</f>
        <v>1.6005882921591601</v>
      </c>
      <c r="E61" s="976">
        <f>INDEX('[16]2025'!H155:S155,'[16]2025'!$S$5)</f>
        <v>0</v>
      </c>
      <c r="G61" s="977">
        <f>INDEX('[16]2025'!B155:E155,'[16]2025'!$F$5)</f>
        <v>1.6005882921591601</v>
      </c>
      <c r="I61" s="976">
        <f>+'[16]2025'!S155</f>
        <v>1.6005882921591601</v>
      </c>
      <c r="K61" s="976">
        <f>+'[16]2025'!U155</f>
        <v>0</v>
      </c>
      <c r="M61" s="1010"/>
      <c r="O61" s="1010"/>
      <c r="P61" s="1010"/>
      <c r="Q61" s="1010"/>
      <c r="R61" s="1010"/>
    </row>
    <row r="62" spans="1:18" x14ac:dyDescent="0.25">
      <c r="F62" s="947"/>
      <c r="H62" s="947"/>
      <c r="J62" s="947"/>
      <c r="L62" s="947"/>
      <c r="M62" s="947"/>
      <c r="O62" s="1010"/>
      <c r="P62" s="1010"/>
      <c r="Q62" s="1010"/>
      <c r="R62" s="1010"/>
    </row>
    <row r="63" spans="1:18" x14ac:dyDescent="0.25">
      <c r="B63" s="952" t="s">
        <v>439</v>
      </c>
      <c r="D63" s="1399">
        <f>INDEX('[16]2025'!G165:R165,'[16]2025'!$S$5)</f>
        <v>36077.331617000003</v>
      </c>
      <c r="E63" s="1399">
        <f>INDEX('[16]2025'!H165:S165,'[16]2025'!$S$5)</f>
        <v>0</v>
      </c>
      <c r="G63" s="1399">
        <f>INDEX('[16]2025'!B165:E165,'[16]2025'!$F$5)</f>
        <v>36077.331617000003</v>
      </c>
      <c r="I63" s="1399">
        <f>+'[16]2025'!S165</f>
        <v>36077.331617000003</v>
      </c>
      <c r="K63" s="1399">
        <f>+'[16]2025'!U165</f>
        <v>0</v>
      </c>
      <c r="M63" s="1010"/>
      <c r="O63" s="1010"/>
      <c r="P63" s="1010"/>
      <c r="Q63" s="1010"/>
      <c r="R63" s="1010"/>
    </row>
    <row r="64" spans="1:18" s="185" customFormat="1" x14ac:dyDescent="0.25">
      <c r="A64" s="953"/>
      <c r="B64" s="1397" t="s">
        <v>440</v>
      </c>
      <c r="C64" s="953"/>
      <c r="D64" s="1398">
        <f>INDEX('[16]2025'!G180:R180,'[16]2025'!$S$5)</f>
        <v>234</v>
      </c>
      <c r="E64" s="1398">
        <f>INDEX('[16]2025'!H180:S180,'[16]2025'!$S$5)</f>
        <v>0</v>
      </c>
      <c r="G64" s="1398">
        <f>INDEX('[16]2025'!B180:E180,'[16]2025'!$F$5)</f>
        <v>234</v>
      </c>
      <c r="I64" s="1401">
        <f>+'[16]2025'!S180</f>
        <v>234</v>
      </c>
      <c r="K64" s="1401">
        <f>+'[16]2025'!U180</f>
        <v>0</v>
      </c>
      <c r="M64" s="1011"/>
      <c r="O64" s="1011"/>
      <c r="P64" s="1011"/>
      <c r="Q64" s="1011"/>
      <c r="R64" s="1011"/>
    </row>
    <row r="65" spans="1:18" s="185" customFormat="1" x14ac:dyDescent="0.25">
      <c r="A65" s="953"/>
      <c r="B65" s="961" t="s">
        <v>415</v>
      </c>
      <c r="C65" s="953"/>
      <c r="D65" s="962">
        <f>INDEX('[16]2025'!G195:R195,'[16]2025'!$S$5)</f>
        <v>20721</v>
      </c>
      <c r="E65" s="962">
        <f>INDEX('[16]2025'!H195:S195,'[16]2025'!$S$5)</f>
        <v>0</v>
      </c>
      <c r="G65" s="962">
        <f>INDEX('[16]2025'!B195:E195,'[16]2025'!$F$5)</f>
        <v>20721</v>
      </c>
      <c r="I65" s="978">
        <f>+'[16]2025'!S195</f>
        <v>20721</v>
      </c>
      <c r="K65" s="978">
        <f>+'[16]2025'!U195</f>
        <v>0</v>
      </c>
      <c r="M65" s="1011"/>
      <c r="O65" s="1011"/>
      <c r="P65" s="1011"/>
      <c r="Q65" s="1011"/>
      <c r="R65" s="1011"/>
    </row>
    <row r="66" spans="1:18" s="185" customFormat="1" x14ac:dyDescent="0.25">
      <c r="A66" s="953"/>
      <c r="B66" s="954" t="s">
        <v>441</v>
      </c>
      <c r="C66" s="953"/>
      <c r="D66" s="960">
        <f>INDEX('[16]2025'!G210:R210,'[16]2025'!$S$5)</f>
        <v>15122</v>
      </c>
      <c r="E66" s="960">
        <f>INDEX('[16]2025'!H210:S210,'[16]2025'!$S$5)</f>
        <v>0</v>
      </c>
      <c r="G66" s="960">
        <f>INDEX('[16]2025'!B210:E210,'[16]2025'!$F$5)</f>
        <v>15122</v>
      </c>
      <c r="I66" s="957">
        <f>+'[16]2025'!S210</f>
        <v>15122</v>
      </c>
      <c r="K66" s="957">
        <f>+'[16]2025'!U210</f>
        <v>0</v>
      </c>
      <c r="M66" s="1011"/>
      <c r="O66" s="1011"/>
      <c r="P66" s="1011"/>
      <c r="Q66" s="1011"/>
      <c r="R66" s="1011"/>
    </row>
    <row r="67" spans="1:18" x14ac:dyDescent="0.25">
      <c r="B67" s="956"/>
      <c r="M67" s="1010"/>
      <c r="O67" s="1010"/>
      <c r="P67" s="1010"/>
      <c r="Q67" s="1010"/>
      <c r="R67" s="1010"/>
    </row>
    <row r="68" spans="1:18" x14ac:dyDescent="0.25">
      <c r="B68" s="952" t="s">
        <v>442</v>
      </c>
      <c r="D68" s="1404">
        <f>INDEX('[16]2025'!G170:R170,'[16]2025'!$S$5)</f>
        <v>1.6005882921591601</v>
      </c>
      <c r="E68" s="1404">
        <f>INDEX('[16]2025'!H170:S170,'[16]2025'!$S$5)</f>
        <v>0</v>
      </c>
      <c r="G68" s="1404">
        <f>INDEX('[16]2025'!B170:E170,'[16]2025'!$F$5)</f>
        <v>1.6005882921591601</v>
      </c>
      <c r="I68" s="1404">
        <f t="shared" ref="I68:K68" si="2">IFERROR(SUMPRODUCT(I64:I66,I69:I71)/I63,0)</f>
        <v>1.5988164150371951</v>
      </c>
      <c r="K68" s="1404">
        <f t="shared" si="2"/>
        <v>0</v>
      </c>
      <c r="M68" s="1010"/>
      <c r="O68" s="1010"/>
    </row>
    <row r="69" spans="1:18" s="185" customFormat="1" x14ac:dyDescent="0.25">
      <c r="A69" s="953"/>
      <c r="B69" s="1397" t="s">
        <v>440</v>
      </c>
      <c r="C69" s="953"/>
      <c r="D69" s="1405">
        <f>INDEX('[16]2025'!G185:R185,'[16]2025'!$S$5)</f>
        <v>1.1599999999999999</v>
      </c>
      <c r="E69" s="1405">
        <f>INDEX('[16]2025'!H185:S185,'[16]2025'!$S$5)</f>
        <v>0</v>
      </c>
      <c r="G69" s="1405">
        <f>INDEX('[16]2025'!B185:E185,'[16]2025'!$F$5)</f>
        <v>1.1599999999999999</v>
      </c>
      <c r="I69" s="1406">
        <f>+'[16]2025'!S185</f>
        <v>1.1599999999999999</v>
      </c>
      <c r="K69" s="1406">
        <f>+'[16]2025'!U185</f>
        <v>0</v>
      </c>
      <c r="M69" s="1011"/>
      <c r="O69" s="1011"/>
    </row>
    <row r="70" spans="1:18" s="185" customFormat="1" x14ac:dyDescent="0.25">
      <c r="A70" s="953"/>
      <c r="B70" s="961" t="s">
        <v>415</v>
      </c>
      <c r="C70" s="953"/>
      <c r="D70" s="963">
        <f>INDEX('[16]2025'!G200:R200,'[16]2025'!$S$5)</f>
        <v>2.0699999999999998</v>
      </c>
      <c r="E70" s="963">
        <f>INDEX('[16]2025'!H200:S200,'[16]2025'!$S$5)</f>
        <v>0</v>
      </c>
      <c r="G70" s="963">
        <f>INDEX('[16]2025'!B200:E200,'[16]2025'!$F$5)</f>
        <v>2.0699999999999998</v>
      </c>
      <c r="I70" s="979">
        <f>+'[16]2025'!S200</f>
        <v>2.0699999999999998</v>
      </c>
      <c r="K70" s="979">
        <f>+'[16]2025'!U200</f>
        <v>0</v>
      </c>
      <c r="M70" s="1011"/>
      <c r="O70" s="1011"/>
    </row>
    <row r="71" spans="1:18" s="185" customFormat="1" x14ac:dyDescent="0.25">
      <c r="A71" s="953"/>
      <c r="B71" s="954" t="s">
        <v>441</v>
      </c>
      <c r="C71" s="953"/>
      <c r="D71" s="965">
        <f>INDEX('[16]2025'!G215:R215,'[16]2025'!$S$5)</f>
        <v>0.96</v>
      </c>
      <c r="E71" s="965">
        <f>INDEX('[16]2025'!H215:S215,'[16]2025'!$S$5)</f>
        <v>0</v>
      </c>
      <c r="G71" s="965">
        <f>INDEX('[16]2025'!B215:E215,'[16]2025'!$F$5)</f>
        <v>0.96</v>
      </c>
      <c r="I71" s="966">
        <f>+'[16]2025'!S215</f>
        <v>0.96</v>
      </c>
      <c r="K71" s="966">
        <f>+'[16]2025'!U215</f>
        <v>0</v>
      </c>
      <c r="M71" s="1011"/>
      <c r="O71" s="1011"/>
    </row>
    <row r="72" spans="1:18" x14ac:dyDescent="0.25">
      <c r="B72" s="956"/>
      <c r="M72" s="1010"/>
      <c r="O72" s="1010"/>
    </row>
    <row r="73" spans="1:18" x14ac:dyDescent="0.25">
      <c r="B73" s="952" t="s">
        <v>443</v>
      </c>
      <c r="D73" s="1407">
        <f>SUM(D74:D76)</f>
        <v>57.681029999999993</v>
      </c>
      <c r="E73" s="1407">
        <f>SUM(E74:E76)</f>
        <v>0</v>
      </c>
      <c r="F73" s="980"/>
      <c r="G73" s="1407">
        <f>SUM(G74:G76)</f>
        <v>57.681029999999993</v>
      </c>
      <c r="H73" s="980"/>
      <c r="I73" s="1407">
        <f>SUM(I74:I75)</f>
        <v>43.163909999999994</v>
      </c>
      <c r="J73" s="980"/>
      <c r="K73" s="1407">
        <f>SUM(K74:K75)</f>
        <v>0</v>
      </c>
    </row>
    <row r="74" spans="1:18" s="185" customFormat="1" x14ac:dyDescent="0.25">
      <c r="A74" s="953"/>
      <c r="B74" s="1397" t="s">
        <v>440</v>
      </c>
      <c r="C74" s="953"/>
      <c r="D74" s="1412">
        <f>INDEX('[16]2025'!G190:R190,'[16]2025'!$S$5)</f>
        <v>0.27144000000000001</v>
      </c>
      <c r="E74" s="1412">
        <f>INDEX('[16]2025'!H190:S190,'[16]2025'!$S$5)</f>
        <v>0</v>
      </c>
      <c r="F74" s="968"/>
      <c r="G74" s="1412">
        <f>INDEX('[16]2025'!B190:E190,'[16]2025'!$F$5)</f>
        <v>0.27144000000000001</v>
      </c>
      <c r="H74" s="968"/>
      <c r="I74" s="1409">
        <f>+'[16]2025'!S190</f>
        <v>0.27144000000000001</v>
      </c>
      <c r="J74" s="968"/>
      <c r="K74" s="1409">
        <f>+'[16]2025'!U190</f>
        <v>0</v>
      </c>
      <c r="M74" s="1011"/>
      <c r="O74" s="1011"/>
    </row>
    <row r="75" spans="1:18" s="185" customFormat="1" x14ac:dyDescent="0.25">
      <c r="A75" s="953"/>
      <c r="B75" s="961" t="s">
        <v>415</v>
      </c>
      <c r="C75" s="953"/>
      <c r="D75" s="981">
        <f>INDEX('[16]2025'!G205:R205,'[16]2025'!$S$5)</f>
        <v>42.892469999999996</v>
      </c>
      <c r="E75" s="981">
        <f>INDEX('[16]2025'!H205:S205,'[16]2025'!$S$5)</f>
        <v>0</v>
      </c>
      <c r="F75" s="968"/>
      <c r="G75" s="981">
        <f>INDEX('[16]2025'!B205:E205,'[16]2025'!$F$5)</f>
        <v>42.892469999999996</v>
      </c>
      <c r="H75" s="968"/>
      <c r="I75" s="982">
        <f>+'[16]2025'!S205</f>
        <v>42.892469999999996</v>
      </c>
      <c r="J75" s="968"/>
      <c r="K75" s="982">
        <f>+'[16]2025'!U205</f>
        <v>0</v>
      </c>
      <c r="M75" s="1011"/>
      <c r="O75" s="1011"/>
    </row>
    <row r="76" spans="1:18" s="185" customFormat="1" x14ac:dyDescent="0.25">
      <c r="A76" s="953"/>
      <c r="B76" s="954" t="s">
        <v>441</v>
      </c>
      <c r="C76" s="953"/>
      <c r="D76" s="969">
        <f>INDEX('[16]2025'!G220:R220,'[16]2025'!$S$5)</f>
        <v>14.517119999999998</v>
      </c>
      <c r="E76" s="969">
        <f>INDEX('[16]2025'!H220:S220,'[16]2025'!$S$5)</f>
        <v>0</v>
      </c>
      <c r="F76" s="968"/>
      <c r="G76" s="969">
        <f>INDEX('[16]2025'!B220:E220,'[16]2025'!$F$5)</f>
        <v>14.517119999999998</v>
      </c>
      <c r="H76" s="968"/>
      <c r="I76" s="970">
        <f>+'[16]2025'!S220</f>
        <v>14.517119999999998</v>
      </c>
      <c r="J76" s="968"/>
      <c r="K76" s="970">
        <f>+'[16]2025'!U220</f>
        <v>0</v>
      </c>
      <c r="M76" s="1011"/>
      <c r="O76" s="1011"/>
    </row>
    <row r="77" spans="1:18" x14ac:dyDescent="0.25">
      <c r="B77" s="956"/>
      <c r="D77" s="983"/>
      <c r="E77" s="983"/>
      <c r="G77" s="983"/>
      <c r="M77" s="1010"/>
      <c r="O77" s="1010"/>
    </row>
    <row r="78" spans="1:18" x14ac:dyDescent="0.25">
      <c r="B78" s="952" t="s">
        <v>444</v>
      </c>
    </row>
    <row r="79" spans="1:18" x14ac:dyDescent="0.25">
      <c r="B79" s="1410" t="s">
        <v>445</v>
      </c>
      <c r="D79" s="1413">
        <f>INDEX('[16]2025'!G225:R225,'[16]2025'!$S$5)</f>
        <v>0.25524049726300146</v>
      </c>
      <c r="E79" s="1413">
        <f>INDEX('[16]2025'!H225:S225,'[16]2025'!$S$5)</f>
        <v>0</v>
      </c>
      <c r="F79" s="984"/>
      <c r="G79" s="1413">
        <f>INDEX('[16]2025'!B225:E225,'[16]2025'!$F$5)</f>
        <v>0.25524049726300208</v>
      </c>
      <c r="H79" s="984"/>
      <c r="I79" s="1414">
        <f>+'[16]2025'!S225</f>
        <v>0</v>
      </c>
      <c r="J79" s="984"/>
      <c r="K79" s="1414">
        <f>+'[16]2025'!U225</f>
        <v>0</v>
      </c>
      <c r="L79" s="252" t="s">
        <v>348</v>
      </c>
      <c r="M79" s="1010"/>
      <c r="O79" s="1010"/>
    </row>
    <row r="80" spans="1:18" x14ac:dyDescent="0.25">
      <c r="B80" s="975" t="s">
        <v>446</v>
      </c>
      <c r="D80" s="985">
        <f>INDEX('[16]2025'!G230:R230,'[16]2025'!$S$5)</f>
        <v>0.84053332233319822</v>
      </c>
      <c r="E80" s="985">
        <f>INDEX('[16]2025'!H230:S230,'[16]2025'!$S$5)</f>
        <v>0</v>
      </c>
      <c r="G80" s="985">
        <f>INDEX('[16]2025'!B230:E230,'[16]2025'!$F$5)</f>
        <v>0.84053332233319789</v>
      </c>
      <c r="I80" s="986">
        <f>+'[16]2025'!S230</f>
        <v>0</v>
      </c>
      <c r="K80" s="986">
        <f>+'[16]2025'!U230</f>
        <v>0</v>
      </c>
    </row>
    <row r="81" spans="1:11" x14ac:dyDescent="0.25">
      <c r="A81" s="252"/>
      <c r="B81" s="252"/>
      <c r="C81" s="252"/>
      <c r="D81" s="252"/>
      <c r="E81" s="252"/>
      <c r="G81" s="252"/>
    </row>
    <row r="82" spans="1:11" x14ac:dyDescent="0.25">
      <c r="B82" s="952" t="s">
        <v>447</v>
      </c>
      <c r="D82" s="1415">
        <f>INDEX('[16]2025'!G240:R240,'[16]2025'!$S$5)</f>
        <v>49.893434499999998</v>
      </c>
      <c r="E82" s="1415">
        <f>INDEX('[16]2025'!H240:S240,'[16]2025'!$S$5)</f>
        <v>0</v>
      </c>
      <c r="G82" s="1415">
        <f>INDEX('[16]2025'!B240:E240,'[16]2025'!$F$5)</f>
        <v>49.893434499999998</v>
      </c>
      <c r="I82" s="1416">
        <f>SUM(I83:I84)</f>
        <v>49.893434499999998</v>
      </c>
      <c r="K82" s="1416">
        <f>SUM(K83:K84)</f>
        <v>0</v>
      </c>
    </row>
    <row r="83" spans="1:11" x14ac:dyDescent="0.25">
      <c r="B83" s="1397" t="s">
        <v>448</v>
      </c>
      <c r="C83" s="953"/>
      <c r="D83" s="1412">
        <f>INDEX('[16]2025'!G235:R235,'[16]2025'!$S$5)</f>
        <v>48.536558536668402</v>
      </c>
      <c r="E83" s="1412">
        <f>INDEX('[16]2025'!H235:S235,'[16]2025'!$S$5)</f>
        <v>0</v>
      </c>
      <c r="F83" s="968"/>
      <c r="G83" s="1412">
        <f>INDEX('[16]2025'!B235:E235,'[16]2025'!$F$5)</f>
        <v>48.536558536668402</v>
      </c>
      <c r="H83" s="968"/>
      <c r="I83" s="1409">
        <f>+'[16]2025'!S235</f>
        <v>48.536558536668402</v>
      </c>
      <c r="J83" s="968"/>
      <c r="K83" s="1409">
        <f>+'[16]2025'!U235</f>
        <v>0</v>
      </c>
    </row>
    <row r="84" spans="1:11" x14ac:dyDescent="0.25">
      <c r="B84" s="961" t="s">
        <v>449</v>
      </c>
      <c r="C84" s="953"/>
      <c r="D84" s="981">
        <f>INDEX('[16]2025'!G245:R245,'[16]2025'!$S$5)</f>
        <v>1.3568759633315963</v>
      </c>
      <c r="E84" s="981">
        <f>INDEX('[16]2025'!H245:S245,'[16]2025'!$S$5)</f>
        <v>0</v>
      </c>
      <c r="F84" s="968"/>
      <c r="G84" s="981">
        <f>INDEX('[16]2025'!B245:E245,'[16]2025'!$F$5)</f>
        <v>1.3568759633315963</v>
      </c>
      <c r="H84" s="968"/>
      <c r="I84" s="982">
        <f>+'[16]2025'!S245</f>
        <v>1.3568759633315963</v>
      </c>
      <c r="J84" s="968"/>
      <c r="K84" s="982">
        <f>+'[16]2025'!U245</f>
        <v>0</v>
      </c>
    </row>
    <row r="85" spans="1:11" x14ac:dyDescent="0.25">
      <c r="B85" s="975" t="s">
        <v>450</v>
      </c>
      <c r="D85" s="987">
        <f>INDEX('[16]2025'!G246:R246,'[16]2025'!$S$5)</f>
        <v>7.1707426887719903</v>
      </c>
      <c r="E85" s="987">
        <f>INDEX('[16]2025'!H246:S246,'[16]2025'!$S$5)</f>
        <v>13.138</v>
      </c>
      <c r="F85" s="980"/>
      <c r="G85" s="987">
        <f>INDEX('[16]2025'!B246:E246,'[16]2025'!$F$5)</f>
        <v>7.1707426887719903</v>
      </c>
      <c r="H85" s="980"/>
      <c r="I85" s="988">
        <f>+'[16]2025'!S246</f>
        <v>7.1707426887719903</v>
      </c>
      <c r="J85" s="980"/>
      <c r="K85" s="988">
        <f>+'[16]2025'!U246</f>
        <v>0</v>
      </c>
    </row>
    <row r="86" spans="1:11" x14ac:dyDescent="0.25">
      <c r="B86" s="989"/>
    </row>
    <row r="87" spans="1:11" x14ac:dyDescent="0.25">
      <c r="B87" s="951" t="s">
        <v>451</v>
      </c>
    </row>
    <row r="88" spans="1:11" x14ac:dyDescent="0.25">
      <c r="B88" s="952" t="s">
        <v>452</v>
      </c>
      <c r="D88" s="1396">
        <f>SUM(D89:D90)</f>
        <v>39123.42</v>
      </c>
      <c r="E88" s="1396">
        <f>SUM(E89:E90)</f>
        <v>0</v>
      </c>
      <c r="G88" s="1417">
        <f>SUM(G89:G90)</f>
        <v>39123.42</v>
      </c>
      <c r="I88" s="1417">
        <f>SUM(I89:I90)</f>
        <v>0</v>
      </c>
      <c r="K88" s="1417">
        <f>SUM(K89:K90)</f>
        <v>0</v>
      </c>
    </row>
    <row r="89" spans="1:11" s="185" customFormat="1" x14ac:dyDescent="0.25">
      <c r="A89" s="953"/>
      <c r="B89" s="1397" t="s">
        <v>453</v>
      </c>
      <c r="C89" s="953"/>
      <c r="D89" s="1418">
        <f>INDEX('[16]2025'!G255:R255,'[16]2025'!$S$5)</f>
        <v>39123.42</v>
      </c>
      <c r="E89" s="1418">
        <f>INDEX('[16]2025'!H255:S255,'[16]2025'!$S$5)</f>
        <v>0</v>
      </c>
      <c r="G89" s="1418">
        <f>INDEX('[16]2025'!B255:E255,'[16]2025'!$F$5)</f>
        <v>39123.42</v>
      </c>
      <c r="I89" s="1419">
        <f>+'[16]2025'!S255</f>
        <v>0</v>
      </c>
      <c r="K89" s="1419">
        <f>+'[16]2025'!U255</f>
        <v>0</v>
      </c>
    </row>
    <row r="90" spans="1:11" s="185" customFormat="1" x14ac:dyDescent="0.25">
      <c r="A90" s="953"/>
      <c r="B90" s="954" t="s">
        <v>454</v>
      </c>
      <c r="C90" s="953"/>
      <c r="D90" s="990">
        <f>INDEX('[16]2025'!G270:R270,'[16]2025'!$S$5)</f>
        <v>0</v>
      </c>
      <c r="E90" s="990">
        <f>INDEX('[16]2025'!H270:S270,'[16]2025'!$S$5)</f>
        <v>0</v>
      </c>
      <c r="G90" s="990">
        <f>INDEX('[16]2025'!B270:E270,'[16]2025'!$F$5)</f>
        <v>0</v>
      </c>
      <c r="I90" s="991">
        <f>+'[16]2025'!S270</f>
        <v>0</v>
      </c>
      <c r="K90" s="991">
        <f>+'[16]2025'!U270</f>
        <v>0</v>
      </c>
    </row>
    <row r="91" spans="1:11" x14ac:dyDescent="0.25">
      <c r="B91" s="989"/>
    </row>
    <row r="92" spans="1:11" x14ac:dyDescent="0.25">
      <c r="B92" s="952" t="s">
        <v>455</v>
      </c>
      <c r="D92" s="1404">
        <f>IFERROR(SUMPRODUCT(D89:D90,D93:D94)/D88,0)</f>
        <v>0.75724201457848006</v>
      </c>
      <c r="E92" s="1404">
        <f>IFERROR(SUMPRODUCT(E89:E90,E93:E94)/E88,0)</f>
        <v>0</v>
      </c>
      <c r="G92" s="1404">
        <f>IFERROR(SUMPRODUCT(G89:G90,G93:G94)/G88,0)</f>
        <v>0.75724201457848006</v>
      </c>
      <c r="I92" s="1404">
        <f>IFERROR(SUMPRODUCT(I89:I90,I93:I94)/I88,0)</f>
        <v>0</v>
      </c>
      <c r="K92" s="1404">
        <f>IFERROR(SUMPRODUCT(K89:K90,K93:K94)/K88,0)</f>
        <v>0</v>
      </c>
    </row>
    <row r="93" spans="1:11" s="185" customFormat="1" x14ac:dyDescent="0.25">
      <c r="A93" s="953"/>
      <c r="B93" s="1397" t="s">
        <v>453</v>
      </c>
      <c r="C93" s="953"/>
      <c r="D93" s="1420">
        <f>INDEX('[16]2025'!G260:R260,'[16]2025'!$S$5)</f>
        <v>0.75724201457848006</v>
      </c>
      <c r="E93" s="1420">
        <f>INDEX('[16]2025'!H260:S260,'[16]2025'!$S$5)</f>
        <v>0</v>
      </c>
      <c r="F93" s="964"/>
      <c r="G93" s="1420">
        <f>INDEX('[16]2025'!B260:E260,'[16]2025'!$F$5)</f>
        <v>0.75724201457848006</v>
      </c>
      <c r="H93" s="964"/>
      <c r="I93" s="1421">
        <f>+'[16]2025'!S260</f>
        <v>0</v>
      </c>
      <c r="J93" s="964"/>
      <c r="K93" s="1421">
        <f>+'[16]2025'!U260</f>
        <v>0</v>
      </c>
    </row>
    <row r="94" spans="1:11" s="185" customFormat="1" x14ac:dyDescent="0.25">
      <c r="A94" s="953"/>
      <c r="B94" s="954" t="s">
        <v>454</v>
      </c>
      <c r="C94" s="953"/>
      <c r="D94" s="992">
        <f>INDEX('[16]2025'!G275:R275,'[16]2025'!$S$5)</f>
        <v>1.6430579910964358</v>
      </c>
      <c r="E94" s="992">
        <f>INDEX('[16]2025'!H275:S275,'[16]2025'!$S$5)</f>
        <v>0</v>
      </c>
      <c r="F94" s="964"/>
      <c r="G94" s="992">
        <f>INDEX('[16]2025'!B275:E275,'[16]2025'!$F$5)</f>
        <v>1.6430579910964358</v>
      </c>
      <c r="H94" s="964"/>
      <c r="I94" s="993">
        <f>+'[16]2025'!S275</f>
        <v>0</v>
      </c>
      <c r="J94" s="964"/>
      <c r="K94" s="993">
        <f>+'[16]2025'!U275</f>
        <v>0</v>
      </c>
    </row>
    <row r="95" spans="1:11" x14ac:dyDescent="0.25">
      <c r="B95" s="989"/>
    </row>
    <row r="96" spans="1:11" x14ac:dyDescent="0.25">
      <c r="B96" s="952" t="s">
        <v>456</v>
      </c>
      <c r="D96" s="1416">
        <f>SUM(D97:D98)</f>
        <v>30.629053289999998</v>
      </c>
      <c r="E96" s="1416">
        <f>SUM(E97:E98)</f>
        <v>0</v>
      </c>
      <c r="F96" s="994"/>
      <c r="G96" s="1416">
        <f>SUM(G97:G98)</f>
        <v>30.629053289999998</v>
      </c>
      <c r="H96" s="994"/>
      <c r="I96" s="1416">
        <f>SUM(I97:I98)</f>
        <v>0</v>
      </c>
      <c r="J96" s="994"/>
      <c r="K96" s="1416">
        <f>SUM(K97:K98)</f>
        <v>0</v>
      </c>
    </row>
    <row r="97" spans="1:11" s="185" customFormat="1" x14ac:dyDescent="0.25">
      <c r="A97" s="953"/>
      <c r="B97" s="1397" t="s">
        <v>453</v>
      </c>
      <c r="C97" s="953"/>
      <c r="D97" s="1422">
        <f>INDEX('[16]2025'!G265:R265,'[16]2025'!$S$5)</f>
        <v>29.625897377999998</v>
      </c>
      <c r="E97" s="1422">
        <f>INDEX('[16]2025'!H265:S265,'[16]2025'!$S$5)</f>
        <v>0</v>
      </c>
      <c r="F97" s="995"/>
      <c r="G97" s="1422">
        <f>INDEX('[16]2025'!B265:E265,'[16]2025'!$F$5)</f>
        <v>29.625897377999998</v>
      </c>
      <c r="H97" s="995"/>
      <c r="I97" s="1423">
        <f>+'[16]2025'!S265</f>
        <v>0</v>
      </c>
      <c r="J97" s="995"/>
      <c r="K97" s="1423">
        <f>+'[16]2025'!U265</f>
        <v>0</v>
      </c>
    </row>
    <row r="98" spans="1:11" s="185" customFormat="1" x14ac:dyDescent="0.25">
      <c r="A98" s="953"/>
      <c r="B98" s="954" t="s">
        <v>454</v>
      </c>
      <c r="C98" s="953"/>
      <c r="D98" s="996">
        <f>INDEX('[16]2025'!G280:R280,'[16]2025'!$S$5)</f>
        <v>1.0031559120000002</v>
      </c>
      <c r="E98" s="996">
        <f>INDEX('[16]2025'!H280:S280,'[16]2025'!$S$5)</f>
        <v>0</v>
      </c>
      <c r="F98" s="995"/>
      <c r="G98" s="996">
        <f>INDEX('[16]2025'!B280:E280,'[16]2025'!$F$5)</f>
        <v>1.0031559120000002</v>
      </c>
      <c r="H98" s="995"/>
      <c r="I98" s="997">
        <f>+'[16]2025'!S280</f>
        <v>0</v>
      </c>
      <c r="J98" s="995"/>
      <c r="K98" s="997">
        <f>+'[16]2025'!U280</f>
        <v>0</v>
      </c>
    </row>
    <row r="100" spans="1:11" x14ac:dyDescent="0.25">
      <c r="B100" s="951" t="s">
        <v>457</v>
      </c>
    </row>
    <row r="101" spans="1:11" x14ac:dyDescent="0.25">
      <c r="B101" s="952" t="s">
        <v>458</v>
      </c>
      <c r="D101" s="1424">
        <f>AVERAGE(D102:D107)</f>
        <v>0.96</v>
      </c>
      <c r="E101" s="1424">
        <f>AVERAGE(E102:E107)</f>
        <v>0</v>
      </c>
      <c r="F101" s="998"/>
      <c r="G101" s="1424">
        <f>AVERAGE(G102:G107)</f>
        <v>0.96</v>
      </c>
      <c r="H101" s="998"/>
      <c r="I101" s="1424">
        <f>AVERAGE(I102:I107)</f>
        <v>0</v>
      </c>
      <c r="J101" s="998"/>
      <c r="K101" s="1424">
        <f>AVERAGE(K102:K107)</f>
        <v>0</v>
      </c>
    </row>
    <row r="102" spans="1:11" s="185" customFormat="1" x14ac:dyDescent="0.25">
      <c r="A102" s="953"/>
      <c r="B102" s="1397" t="s">
        <v>459</v>
      </c>
      <c r="C102" s="953"/>
      <c r="D102" s="1425">
        <f>INDEX('[16]2025'!G291:R291,'[16]2025'!$S$5)</f>
        <v>0.89</v>
      </c>
      <c r="E102" s="1425">
        <f>INDEX('[16]2025'!H291:S291,'[16]2025'!$S$5)</f>
        <v>0</v>
      </c>
      <c r="F102" s="999"/>
      <c r="G102" s="1425">
        <f>INDEX('[16]2025'!B291:E291,'[16]2025'!$F$5)</f>
        <v>0.89</v>
      </c>
      <c r="H102" s="999"/>
      <c r="I102" s="1426">
        <f>+'[16]2025'!S291</f>
        <v>0</v>
      </c>
      <c r="J102" s="999"/>
      <c r="K102" s="1426">
        <f>+'[16]2025'!U291</f>
        <v>0</v>
      </c>
    </row>
    <row r="103" spans="1:11" s="185" customFormat="1" x14ac:dyDescent="0.25">
      <c r="A103" s="953"/>
      <c r="B103" s="961" t="s">
        <v>460</v>
      </c>
      <c r="C103" s="953"/>
      <c r="D103" s="1000">
        <f>INDEX('[16]2025'!G295:R295,'[16]2025'!$S$5)</f>
        <v>0.97</v>
      </c>
      <c r="E103" s="1000">
        <f>INDEX('[16]2025'!H295:S295,'[16]2025'!$S$5)</f>
        <v>0</v>
      </c>
      <c r="F103" s="999"/>
      <c r="G103" s="1000">
        <f>INDEX('[16]2025'!B295:E295,'[16]2025'!$F$5)</f>
        <v>0.97</v>
      </c>
      <c r="H103" s="999"/>
      <c r="I103" s="1001">
        <f>+'[16]2025'!S295</f>
        <v>0</v>
      </c>
      <c r="J103" s="999"/>
      <c r="K103" s="1001">
        <f>+'[16]2025'!U295</f>
        <v>0</v>
      </c>
    </row>
    <row r="104" spans="1:11" s="185" customFormat="1" x14ac:dyDescent="0.25">
      <c r="A104" s="953"/>
      <c r="B104" s="961" t="s">
        <v>461</v>
      </c>
      <c r="C104" s="953"/>
      <c r="D104" s="1000">
        <f>INDEX('[16]2025'!G299:R299,'[16]2025'!$S$5)</f>
        <v>1</v>
      </c>
      <c r="E104" s="1000">
        <f>INDEX('[16]2025'!H299:S299,'[16]2025'!$S$5)</f>
        <v>0</v>
      </c>
      <c r="F104" s="999"/>
      <c r="G104" s="1000">
        <f>INDEX('[16]2025'!B299:E299,'[16]2025'!$F$5)</f>
        <v>1</v>
      </c>
      <c r="H104" s="999"/>
      <c r="I104" s="1001">
        <f>+'[16]2025'!S299</f>
        <v>0</v>
      </c>
      <c r="J104" s="999"/>
      <c r="K104" s="1001">
        <f>+'[16]2025'!U299</f>
        <v>0</v>
      </c>
    </row>
    <row r="105" spans="1:11" s="185" customFormat="1" x14ac:dyDescent="0.25">
      <c r="A105" s="953"/>
      <c r="B105" s="961" t="s">
        <v>462</v>
      </c>
      <c r="C105" s="953"/>
      <c r="D105" s="1000">
        <f>INDEX('[16]2025'!G303:R303,'[16]2025'!$S$5)</f>
        <v>1</v>
      </c>
      <c r="E105" s="1000">
        <f>INDEX('[16]2025'!H303:S303,'[16]2025'!$S$5)</f>
        <v>0</v>
      </c>
      <c r="F105" s="999"/>
      <c r="G105" s="1000">
        <f>INDEX('[16]2025'!B303:E303,'[16]2025'!$F$5)</f>
        <v>1</v>
      </c>
      <c r="H105" s="999"/>
      <c r="I105" s="1001">
        <f>+'[16]2025'!S303</f>
        <v>0</v>
      </c>
      <c r="J105" s="999"/>
      <c r="K105" s="1001">
        <f>+'[16]2025'!U303</f>
        <v>0</v>
      </c>
    </row>
    <row r="106" spans="1:11" s="185" customFormat="1" x14ac:dyDescent="0.25">
      <c r="A106" s="953"/>
      <c r="B106" s="961" t="s">
        <v>463</v>
      </c>
      <c r="C106" s="953"/>
      <c r="D106" s="1000">
        <f>INDEX('[16]2025'!G307:R307,'[16]2025'!$S$5)</f>
        <v>0.9</v>
      </c>
      <c r="E106" s="1000">
        <f>INDEX('[16]2025'!H307:S307,'[16]2025'!$S$5)</f>
        <v>0</v>
      </c>
      <c r="F106" s="999"/>
      <c r="G106" s="1000">
        <f>INDEX('[16]2025'!B307:E307,'[16]2025'!$F$5)</f>
        <v>0.9</v>
      </c>
      <c r="H106" s="999"/>
      <c r="I106" s="1001">
        <f>+'[16]2025'!S307</f>
        <v>0</v>
      </c>
      <c r="J106" s="999"/>
      <c r="K106" s="1001">
        <f>+'[16]2025'!U307</f>
        <v>0</v>
      </c>
    </row>
    <row r="107" spans="1:11" s="185" customFormat="1" x14ac:dyDescent="0.25">
      <c r="A107" s="953"/>
      <c r="B107" s="954" t="s">
        <v>464</v>
      </c>
      <c r="C107" s="953"/>
      <c r="D107" s="1002">
        <f>INDEX('[16]2025'!G311:R311,'[16]2025'!$S$5)</f>
        <v>1</v>
      </c>
      <c r="E107" s="1002">
        <f>INDEX('[16]2025'!H311:S311,'[16]2025'!$S$5)</f>
        <v>0</v>
      </c>
      <c r="F107" s="999"/>
      <c r="G107" s="1002">
        <f>INDEX('[16]2025'!B311:E311,'[16]2025'!$F$5)</f>
        <v>1</v>
      </c>
      <c r="H107" s="999"/>
      <c r="I107" s="1003">
        <f>+'[16]2025'!S311</f>
        <v>0</v>
      </c>
      <c r="J107" s="999"/>
      <c r="K107" s="1003">
        <f>+'[16]2025'!U311</f>
        <v>0</v>
      </c>
    </row>
    <row r="108" spans="1:11" x14ac:dyDescent="0.25">
      <c r="B108" s="1004"/>
    </row>
    <row r="109" spans="1:11" x14ac:dyDescent="0.25">
      <c r="B109" s="951" t="s">
        <v>465</v>
      </c>
    </row>
    <row r="110" spans="1:11" x14ac:dyDescent="0.25">
      <c r="B110" s="952" t="s">
        <v>466</v>
      </c>
      <c r="D110" s="1424">
        <f>AVERAGE(D111:D112)</f>
        <v>0.77265220316178951</v>
      </c>
      <c r="E110" s="1424">
        <f>AVERAGE(E111:E112)</f>
        <v>0</v>
      </c>
      <c r="F110" s="998"/>
      <c r="G110" s="1424">
        <f>AVERAGE(G111:G112)</f>
        <v>0.77265220316178951</v>
      </c>
      <c r="H110" s="998"/>
      <c r="I110" s="1424">
        <f>AVERAGE(I111:I112)</f>
        <v>0</v>
      </c>
      <c r="J110" s="998"/>
      <c r="K110" s="1424">
        <f>AVERAGE(K111:K112)</f>
        <v>0</v>
      </c>
    </row>
    <row r="111" spans="1:11" s="185" customFormat="1" x14ac:dyDescent="0.25">
      <c r="A111" s="953"/>
      <c r="B111" s="1397" t="s">
        <v>459</v>
      </c>
      <c r="C111" s="953"/>
      <c r="D111" s="1425">
        <f>INDEX('[16]2025'!G317:R317,'[16]2025'!$S$5)</f>
        <v>0.66530440632357901</v>
      </c>
      <c r="E111" s="1425">
        <f>INDEX('[16]2025'!H317:S317,'[16]2025'!$S$5)</f>
        <v>0</v>
      </c>
      <c r="F111" s="999"/>
      <c r="G111" s="1425">
        <f>INDEX('[16]2025'!B317:E317,'[16]2025'!$F$5)</f>
        <v>0.66530440632357901</v>
      </c>
      <c r="H111" s="999"/>
      <c r="I111" s="1426">
        <f>+'[16]2025'!S317</f>
        <v>0</v>
      </c>
      <c r="J111" s="999"/>
      <c r="K111" s="1426">
        <f>+'[16]2025'!U317</f>
        <v>0</v>
      </c>
    </row>
    <row r="112" spans="1:11" s="185" customFormat="1" x14ac:dyDescent="0.25">
      <c r="A112" s="953"/>
      <c r="B112" s="954" t="s">
        <v>460</v>
      </c>
      <c r="C112" s="953"/>
      <c r="D112" s="1002">
        <f>INDEX('[16]2025'!G321:R321,'[16]2025'!$S$5)</f>
        <v>0.88</v>
      </c>
      <c r="E112" s="1002">
        <f>INDEX('[16]2025'!H321:S321,'[16]2025'!$S$5)</f>
        <v>0</v>
      </c>
      <c r="F112" s="999"/>
      <c r="G112" s="1002">
        <f>INDEX('[16]2025'!B321:E321,'[16]2025'!$F$5)</f>
        <v>0.88</v>
      </c>
      <c r="H112" s="999"/>
      <c r="I112" s="1003">
        <f>+'[16]2025'!S321</f>
        <v>0</v>
      </c>
      <c r="J112" s="999"/>
      <c r="K112" s="1003">
        <f>+'[16]2025'!U321</f>
        <v>0</v>
      </c>
    </row>
    <row r="113" spans="2:2" x14ac:dyDescent="0.25">
      <c r="B113" s="100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CF206-ECF2-4FE4-A412-C28DBD849F3D}">
  <sheetPr codeName="Sheet7"/>
  <dimension ref="B1:G17"/>
  <sheetViews>
    <sheetView workbookViewId="0">
      <selection activeCell="G7" sqref="G7"/>
    </sheetView>
  </sheetViews>
  <sheetFormatPr defaultRowHeight="15" x14ac:dyDescent="0.25"/>
  <cols>
    <col min="2" max="2" width="22.5703125" bestFit="1" customWidth="1"/>
    <col min="3" max="3" width="4.85546875" bestFit="1" customWidth="1"/>
    <col min="6" max="6" width="12.140625" bestFit="1" customWidth="1"/>
    <col min="7" max="7" width="5.7109375" bestFit="1" customWidth="1"/>
  </cols>
  <sheetData>
    <row r="1" spans="2:7" x14ac:dyDescent="0.25">
      <c r="B1" s="71" t="s">
        <v>221</v>
      </c>
    </row>
    <row r="2" spans="2:7" x14ac:dyDescent="0.25">
      <c r="B2" s="71" t="s">
        <v>596</v>
      </c>
    </row>
    <row r="3" spans="2:7" ht="15.75" thickBot="1" x14ac:dyDescent="0.3"/>
    <row r="4" spans="2:7" ht="15.75" thickBot="1" x14ac:dyDescent="0.3">
      <c r="B4" s="4" t="s">
        <v>597</v>
      </c>
      <c r="C4" s="5"/>
      <c r="D4" s="8" t="s">
        <v>598</v>
      </c>
      <c r="F4" s="1794" t="s">
        <v>599</v>
      </c>
      <c r="G4" s="1795"/>
    </row>
    <row r="5" spans="2:7" ht="15.75" thickBot="1" x14ac:dyDescent="0.3">
      <c r="B5" s="2" t="s">
        <v>600</v>
      </c>
      <c r="C5" s="3" t="s">
        <v>601</v>
      </c>
      <c r="D5" s="9">
        <v>15.80995779825991</v>
      </c>
      <c r="F5" s="72" t="s">
        <v>444</v>
      </c>
      <c r="G5" s="73">
        <v>0.88</v>
      </c>
    </row>
    <row r="6" spans="2:7" x14ac:dyDescent="0.25">
      <c r="B6" s="1517" t="s">
        <v>602</v>
      </c>
      <c r="C6" s="1518" t="s">
        <v>601</v>
      </c>
      <c r="D6" s="1519">
        <v>27.995285419068171</v>
      </c>
    </row>
    <row r="7" spans="2:7" x14ac:dyDescent="0.25">
      <c r="B7" s="1517" t="s">
        <v>603</v>
      </c>
      <c r="C7" s="1518" t="s">
        <v>601</v>
      </c>
      <c r="D7" s="1519">
        <v>4.9731778806331368</v>
      </c>
      <c r="F7" t="s">
        <v>604</v>
      </c>
      <c r="G7">
        <v>72000</v>
      </c>
    </row>
    <row r="8" spans="2:7" ht="15.75" thickBot="1" x14ac:dyDescent="0.3">
      <c r="B8" s="1520" t="s">
        <v>605</v>
      </c>
      <c r="C8" s="1521" t="s">
        <v>601</v>
      </c>
      <c r="D8" s="1522">
        <v>48.778421097961221</v>
      </c>
    </row>
    <row r="9" spans="2:7" ht="15.75" thickBot="1" x14ac:dyDescent="0.3">
      <c r="B9" s="4" t="s">
        <v>606</v>
      </c>
      <c r="C9" s="6"/>
      <c r="D9" s="7"/>
    </row>
    <row r="10" spans="2:7" x14ac:dyDescent="0.25">
      <c r="B10" s="2" t="s">
        <v>607</v>
      </c>
      <c r="C10" s="3" t="s">
        <v>601</v>
      </c>
      <c r="D10" s="9">
        <v>6.8702510264780612</v>
      </c>
    </row>
    <row r="11" spans="2:7" x14ac:dyDescent="0.25">
      <c r="B11" s="1517" t="s">
        <v>608</v>
      </c>
      <c r="C11" s="3" t="s">
        <v>601</v>
      </c>
      <c r="D11" s="1519">
        <v>19.842478895349206</v>
      </c>
    </row>
    <row r="12" spans="2:7" x14ac:dyDescent="0.25">
      <c r="B12" s="1517" t="s">
        <v>609</v>
      </c>
      <c r="C12" s="3" t="s">
        <v>601</v>
      </c>
      <c r="D12" s="1519">
        <v>15.470313256815496</v>
      </c>
    </row>
    <row r="13" spans="2:7" x14ac:dyDescent="0.25">
      <c r="B13" s="1523" t="s">
        <v>610</v>
      </c>
      <c r="C13" s="3" t="s">
        <v>601</v>
      </c>
      <c r="D13" s="1519">
        <v>1.875294115205814</v>
      </c>
    </row>
    <row r="14" spans="2:7" x14ac:dyDescent="0.25">
      <c r="B14" s="2" t="s">
        <v>611</v>
      </c>
      <c r="C14" s="3" t="s">
        <v>601</v>
      </c>
      <c r="D14" s="1519">
        <v>20.844355080624581</v>
      </c>
    </row>
    <row r="15" spans="2:7" ht="15.75" thickBot="1" x14ac:dyDescent="0.3">
      <c r="B15" s="1517" t="s">
        <v>612</v>
      </c>
      <c r="C15" s="3" t="s">
        <v>601</v>
      </c>
      <c r="D15" s="1524">
        <v>3.2037626621788067</v>
      </c>
    </row>
    <row r="16" spans="2:7" ht="15.75" thickBot="1" x14ac:dyDescent="0.3">
      <c r="B16" s="1" t="s">
        <v>613</v>
      </c>
      <c r="C16" s="3" t="s">
        <v>601</v>
      </c>
      <c r="D16" s="10">
        <f>SUM(D5:D7,D10)</f>
        <v>55.64867212443928</v>
      </c>
    </row>
    <row r="17" spans="2:4" ht="15.75" thickBot="1" x14ac:dyDescent="0.3">
      <c r="B17" s="1" t="s">
        <v>605</v>
      </c>
      <c r="C17" s="3" t="s">
        <v>601</v>
      </c>
      <c r="D17" s="10">
        <f>SUM(D8,D10:D15)</f>
        <v>116.88487613461319</v>
      </c>
    </row>
  </sheetData>
  <mergeCells count="1">
    <mergeCell ref="F4:G4"/>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52236-563D-46CB-A37E-D21562FB8330}">
  <sheetPr codeName="Sheet2"/>
  <dimension ref="A1:AQ117"/>
  <sheetViews>
    <sheetView workbookViewId="0">
      <pane xSplit="1" ySplit="4" topLeftCell="AK5" activePane="bottomRight" state="frozen"/>
      <selection pane="topRight" activeCell="B1" sqref="B1"/>
      <selection pane="bottomLeft" activeCell="A5" sqref="A5"/>
      <selection pane="bottomRight" activeCell="H27" sqref="H27"/>
    </sheetView>
  </sheetViews>
  <sheetFormatPr defaultRowHeight="15" x14ac:dyDescent="0.25"/>
  <cols>
    <col min="1" max="1" width="27" style="56" bestFit="1" customWidth="1"/>
    <col min="2" max="7" width="12.5703125" style="56" customWidth="1"/>
    <col min="8" max="9" width="12.5703125" style="59" customWidth="1"/>
    <col min="10" max="11" width="12.5703125" style="56" customWidth="1"/>
    <col min="12" max="15" width="12.5703125" customWidth="1"/>
    <col min="16" max="17" width="12.5703125" style="59" customWidth="1"/>
    <col min="18" max="23" width="12.5703125" customWidth="1"/>
    <col min="24" max="25" width="12.5703125" style="36" customWidth="1"/>
    <col min="26" max="31" width="12.5703125" customWidth="1"/>
    <col min="32" max="33" width="12.5703125" style="36" customWidth="1"/>
    <col min="34" max="34" width="3.5703125" style="37" customWidth="1"/>
    <col min="35" max="36" width="12.5703125" style="77" customWidth="1"/>
    <col min="37" max="37" width="3.5703125" style="32" customWidth="1"/>
    <col min="38" max="43" width="12.5703125" customWidth="1"/>
  </cols>
  <sheetData>
    <row r="1" spans="1:43" ht="14.25" customHeight="1" x14ac:dyDescent="0.25">
      <c r="A1" s="11" t="s">
        <v>208</v>
      </c>
      <c r="B1" s="1797">
        <v>45292</v>
      </c>
      <c r="C1" s="1798"/>
      <c r="D1" s="1797">
        <v>45323</v>
      </c>
      <c r="E1" s="1798"/>
      <c r="F1" s="1797">
        <v>45352</v>
      </c>
      <c r="G1" s="1798"/>
      <c r="H1" s="1799" t="s">
        <v>212</v>
      </c>
      <c r="I1" s="1799"/>
      <c r="J1" s="1797">
        <v>45383</v>
      </c>
      <c r="K1" s="1798"/>
      <c r="L1" s="1797">
        <v>45413</v>
      </c>
      <c r="M1" s="1798"/>
      <c r="N1" s="1797">
        <v>45444</v>
      </c>
      <c r="O1" s="1798"/>
      <c r="P1" s="1799" t="s">
        <v>213</v>
      </c>
      <c r="Q1" s="1799"/>
      <c r="R1" s="1797">
        <v>45474</v>
      </c>
      <c r="S1" s="1798"/>
      <c r="T1" s="1797">
        <v>45505</v>
      </c>
      <c r="U1" s="1798"/>
      <c r="V1" s="1797">
        <v>45536</v>
      </c>
      <c r="W1" s="1798"/>
      <c r="X1" s="1796" t="s">
        <v>214</v>
      </c>
      <c r="Y1" s="1796"/>
      <c r="Z1" s="1797">
        <v>45566</v>
      </c>
      <c r="AA1" s="1798"/>
      <c r="AB1" s="1797">
        <v>45597</v>
      </c>
      <c r="AC1" s="1798"/>
      <c r="AD1" s="1797">
        <v>45627</v>
      </c>
      <c r="AE1" s="1798"/>
      <c r="AF1" s="1796" t="s">
        <v>215</v>
      </c>
      <c r="AG1" s="1796"/>
      <c r="AH1" s="14"/>
      <c r="AI1" s="1800" t="s">
        <v>216</v>
      </c>
      <c r="AJ1" s="1800"/>
      <c r="AK1" s="15"/>
      <c r="AL1" s="125">
        <v>45658</v>
      </c>
      <c r="AM1" s="125">
        <v>45658</v>
      </c>
      <c r="AN1" s="125">
        <v>45658</v>
      </c>
      <c r="AO1" s="1797">
        <v>45689</v>
      </c>
      <c r="AP1" s="1797"/>
      <c r="AQ1" s="1797"/>
    </row>
    <row r="2" spans="1:43" x14ac:dyDescent="0.25">
      <c r="A2" s="11"/>
      <c r="B2" s="11" t="s">
        <v>211</v>
      </c>
      <c r="C2" s="11" t="s">
        <v>5</v>
      </c>
      <c r="D2" s="11" t="s">
        <v>211</v>
      </c>
      <c r="E2" s="11" t="s">
        <v>5</v>
      </c>
      <c r="F2" s="11" t="s">
        <v>211</v>
      </c>
      <c r="G2" s="11" t="s">
        <v>5</v>
      </c>
      <c r="H2" s="12" t="s">
        <v>211</v>
      </c>
      <c r="I2" s="12" t="s">
        <v>5</v>
      </c>
      <c r="J2" s="11" t="s">
        <v>211</v>
      </c>
      <c r="K2" s="11" t="s">
        <v>5</v>
      </c>
      <c r="L2" s="11" t="s">
        <v>211</v>
      </c>
      <c r="M2" s="11" t="s">
        <v>5</v>
      </c>
      <c r="N2" s="11" t="s">
        <v>211</v>
      </c>
      <c r="O2" s="11" t="s">
        <v>5</v>
      </c>
      <c r="P2" s="12" t="s">
        <v>211</v>
      </c>
      <c r="Q2" s="12" t="s">
        <v>5</v>
      </c>
      <c r="R2" s="11" t="s">
        <v>211</v>
      </c>
      <c r="S2" s="11" t="s">
        <v>5</v>
      </c>
      <c r="T2" s="11" t="s">
        <v>211</v>
      </c>
      <c r="U2" s="11" t="s">
        <v>5</v>
      </c>
      <c r="V2" s="16" t="s">
        <v>211</v>
      </c>
      <c r="W2" s="16" t="s">
        <v>5</v>
      </c>
      <c r="X2" s="13" t="s">
        <v>211</v>
      </c>
      <c r="Y2" s="13" t="s">
        <v>5</v>
      </c>
      <c r="Z2" s="11" t="s">
        <v>211</v>
      </c>
      <c r="AA2" s="11" t="s">
        <v>5</v>
      </c>
      <c r="AB2" s="11" t="s">
        <v>211</v>
      </c>
      <c r="AC2" s="11" t="s">
        <v>5</v>
      </c>
      <c r="AD2" s="11" t="s">
        <v>211</v>
      </c>
      <c r="AE2" s="11" t="s">
        <v>5</v>
      </c>
      <c r="AF2" s="13" t="s">
        <v>211</v>
      </c>
      <c r="AG2" s="13" t="s">
        <v>5</v>
      </c>
      <c r="AH2" s="14"/>
      <c r="AI2" s="74" t="s">
        <v>211</v>
      </c>
      <c r="AJ2" s="74" t="s">
        <v>5</v>
      </c>
      <c r="AK2" s="17"/>
      <c r="AL2" s="11" t="s">
        <v>218</v>
      </c>
      <c r="AM2" s="11" t="s">
        <v>211</v>
      </c>
      <c r="AN2" s="11" t="s">
        <v>5</v>
      </c>
      <c r="AO2" s="11" t="s">
        <v>218</v>
      </c>
      <c r="AP2" s="11" t="s">
        <v>211</v>
      </c>
      <c r="AQ2" s="11" t="s">
        <v>5</v>
      </c>
    </row>
    <row r="3" spans="1:43" x14ac:dyDescent="0.25">
      <c r="A3" s="18" t="s">
        <v>209</v>
      </c>
      <c r="B3" s="19" cm="1">
        <f t="array" ref="B3">SUM(_xlfn._xlws.FILTER(B7:B124, MOD(ROW(B7:B124),2)=1))</f>
        <v>22890</v>
      </c>
      <c r="C3" s="19" cm="1">
        <f t="array" ref="C3">SUM(_xlfn._xlws.FILTER(C7:C124, MOD(ROW(C7:C124),2)=1))</f>
        <v>23142.194</v>
      </c>
      <c r="D3" s="19" cm="1">
        <f t="array" ref="D3">SUM(_xlfn._xlws.FILTER(D7:D124, MOD(ROW(D7:D124),2)=1))</f>
        <v>19880</v>
      </c>
      <c r="E3" s="19" cm="1">
        <f t="array" ref="E3">SUM(_xlfn._xlws.FILTER(E7:E124, MOD(ROW(E7:E124),2)=1))</f>
        <v>16820</v>
      </c>
      <c r="F3" s="19" cm="1">
        <f t="array" ref="F3">SUM(_xlfn._xlws.FILTER(F7:F124, MOD(ROW(F7:F124),2)=1))</f>
        <v>22330</v>
      </c>
      <c r="G3" s="19" cm="1">
        <f t="array" ref="G3">SUM(_xlfn._xlws.FILTER(G7:G124, MOD(ROW(G7:G124),2)=1))</f>
        <v>25336</v>
      </c>
      <c r="H3" s="20">
        <f>B3+D3+F3</f>
        <v>65100</v>
      </c>
      <c r="I3" s="21">
        <f>C3+E3+G3</f>
        <v>65298.194000000003</v>
      </c>
      <c r="J3" s="19" cm="1">
        <f t="array" ref="J3">SUM(_xlfn._xlws.FILTER(J7:J124, MOD(ROW(J7:J124),2)=1))</f>
        <v>21560</v>
      </c>
      <c r="K3" s="19" cm="1">
        <f t="array" ref="K3">SUM(_xlfn._xlws.FILTER(K7:K124, MOD(ROW(K7:K124),2)=1))</f>
        <v>23286</v>
      </c>
      <c r="L3" s="19" cm="1">
        <f t="array" ref="L3">SUM(_xlfn._xlws.FILTER(L7:L124, MOD(ROW(L7:L124),2)=1))</f>
        <v>22330</v>
      </c>
      <c r="M3" s="19" cm="1">
        <f t="array" ref="M3">SUM(_xlfn._xlws.FILTER(M7:M124, MOD(ROW(M7:M124),2)=1))</f>
        <v>18970.8</v>
      </c>
      <c r="N3" s="19" cm="1">
        <f t="array" ref="N3">SUM(_xlfn._xlws.FILTER(N7:N124, MOD(ROW(N7:N124),2)=1))</f>
        <v>23100</v>
      </c>
      <c r="O3" s="19" cm="1">
        <f t="array" ref="O3">SUM(_xlfn._xlws.FILTER(O7:O124, MOD(ROW(O7:O124),2)=1))</f>
        <v>14404.779999999999</v>
      </c>
      <c r="P3" s="20">
        <f>J3+L3+N3</f>
        <v>66990</v>
      </c>
      <c r="Q3" s="21">
        <f>K3+M3+O3</f>
        <v>56661.58</v>
      </c>
      <c r="R3" s="19" cm="1">
        <f t="array" ref="R3">SUM(_xlfn._xlws.FILTER(R7:R124, MOD(ROW(R7:R124),2)=1))</f>
        <v>23870</v>
      </c>
      <c r="S3" s="19" cm="1">
        <f t="array" ref="S3">SUM(_xlfn._xlws.FILTER(S7:S124, MOD(ROW(S7:S124),2)=1))</f>
        <v>19576.2</v>
      </c>
      <c r="T3" s="19" cm="1">
        <f t="array" ref="T3">SUM(_xlfn._xlws.FILTER(T7:T124, MOD(ROW(T7:T124),2)=1))</f>
        <v>22348</v>
      </c>
      <c r="U3" s="19" cm="1">
        <f t="array" ref="U3">SUM(_xlfn._xlws.FILTER(U7:U124, MOD(ROW(U7:U124),2)=1))</f>
        <v>15887.6</v>
      </c>
      <c r="V3" s="22">
        <v>23396.93</v>
      </c>
      <c r="W3" s="22">
        <v>15200</v>
      </c>
      <c r="X3" s="20">
        <f>R3+T3+V3</f>
        <v>69614.929999999993</v>
      </c>
      <c r="Y3" s="21">
        <f>S3+U3+W3</f>
        <v>50663.8</v>
      </c>
      <c r="Z3" s="19" cm="1">
        <f t="array" ref="Z3">SUM(_xlfn._xlws.FILTER(Z7:Z124, MOD(ROW(Z7:Z124),2)=1))</f>
        <v>22180</v>
      </c>
      <c r="AA3" s="19" cm="1">
        <f t="array" ref="AA3">SUM(_xlfn._xlws.FILTER(AA7:AA124, MOD(ROW(AA7:AA124),2)=1))</f>
        <v>20423.100000000002</v>
      </c>
      <c r="AB3" s="19" cm="1">
        <f t="array" ref="AB3">SUM(_xlfn._xlws.FILTER(AB7:AB124, MOD(ROW(AB7:AB124),2)=1))</f>
        <v>19950</v>
      </c>
      <c r="AC3" s="19" cm="1">
        <f t="array" ref="AC3">SUM(_xlfn._xlws.FILTER(AC7:AC124, MOD(ROW(AC7:AC124),2)=1))</f>
        <v>18891.7</v>
      </c>
      <c r="AD3" s="19" cm="1">
        <f t="array" ref="AD3">SUM(_xlfn._xlws.FILTER(AD7:AD124, MOD(ROW(AD7:AD124),2)=1))</f>
        <v>26110</v>
      </c>
      <c r="AE3" s="19" cm="1">
        <f t="array" ref="AE3">SUM(_xlfn._xlws.FILTER(AE7:AE124, MOD(ROW(AE7:AE124),2)=1))</f>
        <v>20366</v>
      </c>
      <c r="AF3" s="20">
        <f>Z3+AB3+AD3</f>
        <v>68240</v>
      </c>
      <c r="AG3" s="21">
        <f>AA3+AC3+AE3</f>
        <v>59680.800000000003</v>
      </c>
      <c r="AH3" s="23"/>
      <c r="AI3" s="75">
        <f>H3+P3+X3+AF3</f>
        <v>269944.93</v>
      </c>
      <c r="AJ3" s="75">
        <f>I3+Q3+Y3+AG3</f>
        <v>232304.37400000001</v>
      </c>
      <c r="AK3" s="24"/>
      <c r="AL3" s="19" cm="1">
        <f t="array" ref="AL3">SUM(_xlfn._xlws.FILTER(AL7:AL124, MOD(ROW(AL7:AL124),2)=1))</f>
        <v>26210</v>
      </c>
      <c r="AM3" s="19" cm="1">
        <f t="array" ref="AM3">SUM(_xlfn._xlws.FILTER(AM7:AM124, MOD(ROW(AM7:AM124),2)=1))</f>
        <v>24395</v>
      </c>
      <c r="AN3" s="19" cm="1">
        <f t="array" ref="AN3">SUM(_xlfn._xlws.FILTER(AN7:AN124, MOD(ROW(AN7:AN124),2)=1))</f>
        <v>23871.200000000001</v>
      </c>
      <c r="AO3" s="19" cm="1">
        <f t="array" ref="AO3">SUM(_xlfn._xlws.FILTER(AO7:AO124, MOD(ROW(AO7:AO124),2)=1))</f>
        <v>0</v>
      </c>
      <c r="AP3" s="19" cm="1">
        <f t="array" ref="AP3">SUM(_xlfn._xlws.FILTER(AP7:AP124, MOD(ROW(AP7:AP124),2)=1))</f>
        <v>25480</v>
      </c>
      <c r="AQ3" s="19" cm="1">
        <f t="array" ref="AQ3">SUM(_xlfn._xlws.FILTER(AQ7:AQ124, MOD(ROW(AQ7:AQ124),2)=1))</f>
        <v>0</v>
      </c>
    </row>
    <row r="4" spans="1:43" ht="15.75" thickBot="1" x14ac:dyDescent="0.3">
      <c r="A4" s="25" t="s">
        <v>2</v>
      </c>
      <c r="B4" s="26" cm="1">
        <f t="array" ref="B4">SUMPRODUCT(_xlfn._xlws.FILTER(B7:B124,MOD(ROW(B7:B124),2)=1),_xlfn._xlws.FILTER(B7:B124,MOD(ROW(B7:B124),2)=0))/B3</f>
        <v>2.7522018348623853</v>
      </c>
      <c r="C4" s="26" cm="1">
        <f t="array" ref="C4">SUMPRODUCT(_xlfn._xlws.FILTER(C7:C124,MOD(ROW(C7:C124),2)=1),_xlfn._xlws.FILTER(C7:C124,MOD(ROW(C7:C124),2)=0))/C3</f>
        <v>2.7246320357525304</v>
      </c>
      <c r="D4" s="26" cm="1">
        <f t="array" ref="D4">SUMPRODUCT(_xlfn._xlws.FILTER(D7:D124,MOD(ROW(D7:D124),2)=1),_xlfn._xlws.FILTER(D7:D124,MOD(ROW(D7:D124),2)=0))/D3</f>
        <v>2.5936971830985911</v>
      </c>
      <c r="E4" s="26" cm="1">
        <f t="array" ref="E4">SUMPRODUCT(_xlfn._xlws.FILTER(E7:E124,MOD(ROW(E7:E124),2)=1),_xlfn._xlws.FILTER(E7:E124,MOD(ROW(E7:E124),2)=0))/E3</f>
        <v>2.5813073721759814</v>
      </c>
      <c r="F4" s="26" cm="1">
        <f t="array" ref="F4">SUMPRODUCT(_xlfn._xlws.FILTER(F7:F124,MOD(ROW(F7:F124),2)=1),_xlfn._xlws.FILTER(F7:F124,MOD(ROW(F7:F124),2)=0))/F3</f>
        <v>2.6759090909090912</v>
      </c>
      <c r="G4" s="26" cm="1">
        <f t="array" ref="G4">SUMPRODUCT(_xlfn._xlws.FILTER(G7:G124,MOD(ROW(G7:G124),2)=1),_xlfn._xlws.FILTER(G7:G124,MOD(ROW(G7:G124),2)=0))/G3</f>
        <v>2.0696799021155665</v>
      </c>
      <c r="H4" s="27">
        <f>(B3*B4+D3*D4+F3*F4)/H3</f>
        <v>2.6776290322580643</v>
      </c>
      <c r="I4" s="28">
        <f>(C3*C4+E3*E4+G3*G4)/I3</f>
        <v>2.4335889465794414</v>
      </c>
      <c r="J4" s="26" cm="1">
        <f t="array" ref="J4">SUMPRODUCT(_xlfn._xlws.FILTER(J7:J124,MOD(ROW(J7:J124),2)=1),_xlfn._xlws.FILTER(J7:J124,MOD(ROW(J7:J124),2)=0))/J3</f>
        <v>2.1927272727272733</v>
      </c>
      <c r="K4" s="26" cm="1">
        <f t="array" ref="K4">SUMPRODUCT(_xlfn._xlws.FILTER(K7:K124,MOD(ROW(K7:K124),2)=1),_xlfn._xlws.FILTER(K7:K124,MOD(ROW(K7:K124),2)=0))/K3</f>
        <v>1.8405037361504768</v>
      </c>
      <c r="L4" s="26" cm="1">
        <f t="array" ref="L4">SUMPRODUCT(_xlfn._xlws.FILTER(L7:L124,MOD(ROW(L7:L124),2)=1),_xlfn._xlws.FILTER(L7:L124,MOD(ROW(L7:L124),2)=0))/L3</f>
        <v>2.1909090909090914</v>
      </c>
      <c r="M4" s="26" cm="1">
        <f t="array" ref="M4">SUMPRODUCT(_xlfn._xlws.FILTER(M7:M124,MOD(ROW(M7:M124),2)=1),_xlfn._xlws.FILTER(M7:M124,MOD(ROW(M7:M124),2)=0))/M3</f>
        <v>1.840004209311763</v>
      </c>
      <c r="N4" s="26" cm="1">
        <f t="array" ref="N4">SUMPRODUCT(_xlfn._xlws.FILTER(N7:N124,MOD(ROW(N7:N124),2)=1),_xlfn._xlws.FILTER(N7:N124,MOD(ROW(N7:N124),2)=0))/N3</f>
        <v>2.370454545454546</v>
      </c>
      <c r="O4" s="26" cm="1">
        <f t="array" ref="O4">SUMPRODUCT(_xlfn._xlws.FILTER(O7:O124,MOD(ROW(O7:O124),2)=1),_xlfn._xlws.FILTER(O7:O124,MOD(ROW(O7:O124),2)=0))/O3</f>
        <v>1.7100861638764591</v>
      </c>
      <c r="P4" s="27">
        <f>(J3*J4+L3*L4+N3*N4)/P3</f>
        <v>2.2534064785788925</v>
      </c>
      <c r="Q4" s="28">
        <f>(K3*K4+M3*M4+O3*O4)/Q3</f>
        <v>1.8071811062398178</v>
      </c>
      <c r="R4" s="26" cm="1">
        <f t="array" ref="R4">SUMPRODUCT(_xlfn._xlws.FILTER(R7:R124,MOD(ROW(R7:R124),2)=1),_xlfn._xlws.FILTER(R7:R124,MOD(ROW(R7:R124),2)=0))/R3</f>
        <v>1.6786363636363637</v>
      </c>
      <c r="S4" s="26" cm="1">
        <f t="array" ref="S4">SUMPRODUCT(_xlfn._xlws.FILTER(S7:S124,MOD(ROW(S7:S124),2)=1),_xlfn._xlws.FILTER(S7:S124,MOD(ROW(S7:S124),2)=0))/S3</f>
        <v>1.3782462743688708</v>
      </c>
      <c r="T4" s="26" cm="1">
        <f t="array" ref="T4">SUMPRODUCT(_xlfn._xlws.FILTER(T7:T124,MOD(ROW(T7:T124),2)=1),_xlfn._xlws.FILTER(T7:T124,MOD(ROW(T7:T124),2)=0))/T3</f>
        <v>1.8181640415249687</v>
      </c>
      <c r="U4" s="26" cm="1">
        <f t="array" ref="U4">SUMPRODUCT(_xlfn._xlws.FILTER(U7:U124,MOD(ROW(U7:U124),2)=1),_xlfn._xlws.FILTER(U7:U124,MOD(ROW(U7:U124),2)=0))/U3</f>
        <v>2.1995803400887919</v>
      </c>
      <c r="V4" s="29">
        <v>2.0345551446279493</v>
      </c>
      <c r="W4" s="30">
        <v>1.75</v>
      </c>
      <c r="X4" s="27">
        <f>(R3*R4+T3*T4+V3*V4)/X3</f>
        <v>1.8430489594688957</v>
      </c>
      <c r="Y4" s="28">
        <f>(S3*S4+U3*U4+W3*W4)/Y3</f>
        <v>1.7473398625348786</v>
      </c>
      <c r="Z4" s="26" cm="1">
        <f t="array" ref="Z4">SUMPRODUCT(_xlfn._xlws.FILTER(Z7:Z124,MOD(ROW(Z7:Z124),2)=1),_xlfn._xlws.FILTER(Z7:Z124,MOD(ROW(Z7:Z124),2)=0))/Z3</f>
        <v>1.9532754733994591</v>
      </c>
      <c r="AA4" s="26" cm="1">
        <f t="array" ref="AA4">SUMPRODUCT(_xlfn._xlws.FILTER(AA7:AA124,MOD(ROW(AA7:AA124),2)=1),_xlfn._xlws.FILTER(AA7:AA124,MOD(ROW(AA7:AA124),2)=0))/AA3</f>
        <v>2.8604722524995001</v>
      </c>
      <c r="AB4" s="26" cm="1">
        <f t="array" ref="AB4">SUMPRODUCT(_xlfn._xlws.FILTER(AB7:AB124,MOD(ROW(AB7:AB124),2)=1),_xlfn._xlws.FILTER(AB7:AB124,MOD(ROW(AB7:AB124),2)=0))/AB3</f>
        <v>2.0694736842105264</v>
      </c>
      <c r="AC4" s="26" cm="1">
        <f t="array" ref="AC4">SUMPRODUCT(_xlfn._xlws.FILTER(AC7:AC124,MOD(ROW(AC7:AC124),2)=1),_xlfn._xlws.FILTER(AC7:AC124,MOD(ROW(AC7:AC124),2)=0))/AC3</f>
        <v>1.9859109394566945</v>
      </c>
      <c r="AD4" s="26" cm="1">
        <f t="array" ref="AD4">SUMPRODUCT(_xlfn._xlws.FILTER(AD7:AD124,MOD(ROW(AD7:AD124),2)=1),_xlfn._xlws.FILTER(AD7:AD124,MOD(ROW(AD7:AD124),2)=0))/AD3</f>
        <v>2.1249061662198394</v>
      </c>
      <c r="AE4" s="26" cm="1">
        <f t="array" ref="AE4">SUMPRODUCT(_xlfn._xlws.FILTER(AE7:AE124,MOD(ROW(AE7:AE124),2)=1),_xlfn._xlws.FILTER(AE7:AE124,MOD(ROW(AE7:AE124),2)=0))/AE3</f>
        <v>1.8504428950211138</v>
      </c>
      <c r="AF4" s="27">
        <f>(Z3*Z4+AB3*AB4+AD3*AD4)/AF3</f>
        <v>2.0529154454865184</v>
      </c>
      <c r="AG4" s="28">
        <f>(AA3*AA4+AC3*AC4+AE3*AE4)/AG3</f>
        <v>2.2389623556479905</v>
      </c>
      <c r="AH4" s="31"/>
      <c r="AI4" s="76">
        <f>(H3*H4+P3*P4+X3*X4+AF3*AF4)/AI3</f>
        <v>2.1992042017607072</v>
      </c>
      <c r="AJ4" s="76">
        <f>(I3*I4+Q3*Q4+Y3*Y4+AG3*AG4)/AJ3</f>
        <v>2.0811344768658859</v>
      </c>
      <c r="AL4" s="60" cm="1">
        <f t="array" ref="AL4">SUMPRODUCT(_xlfn._xlws.FILTER(AL7:AL124,MOD(ROW(AL7:AL124),2)=1),_xlfn._xlws.FILTER(AL7:AL124,MOD(ROW(AL7:AL124),2)=0))/AL3</f>
        <v>2.2263113315528424</v>
      </c>
      <c r="AM4" s="60" cm="1">
        <f t="array" ref="AM4">SUMPRODUCT(_xlfn._xlws.FILTER(AM7:AM124,MOD(ROW(AM7:AM124),2)=1),_xlfn._xlws.FILTER(AM7:AM124,MOD(ROW(AM7:AM124),2)=0))/AM3</f>
        <v>2.2554734576757522</v>
      </c>
      <c r="AN4" s="60" cm="1">
        <f t="array" ref="AN4">SUMPRODUCT(_xlfn._xlws.FILTER(AN7:AN124,MOD(ROW(AN7:AN124),2)=1),_xlfn._xlws.FILTER(AN7:AN124,MOD(ROW(AN7:AN124),2)=0))/AN3</f>
        <v>2.470122155568216</v>
      </c>
      <c r="AO4" s="60" t="e" cm="1">
        <f t="array" ref="AO4">SUMPRODUCT(_xlfn._xlws.FILTER(AO7:AO124,MOD(ROW(AO7:AO124),2)=1),_xlfn._xlws.FILTER(AO7:AO124,MOD(ROW(AO7:AO124),2)=0))/AO3</f>
        <v>#DIV/0!</v>
      </c>
      <c r="AP4" s="60" cm="1">
        <f t="array" ref="AP4">SUMPRODUCT(_xlfn._xlws.FILTER(AP7:AP124,MOD(ROW(AP7:AP124),2)=1),_xlfn._xlws.FILTER(AP7:AP124,MOD(ROW(AP7:AP124),2)=0))/AP3</f>
        <v>2.6557692307692307</v>
      </c>
      <c r="AQ4" s="60" t="e" cm="1">
        <f t="array" ref="AQ4">SUMPRODUCT(_xlfn._xlws.FILTER(AQ7:AQ124,MOD(ROW(AQ7:AQ124),2)=1),_xlfn._xlws.FILTER(AQ7:AQ124,MOD(ROW(AQ7:AQ124),2)=0))/AQ3</f>
        <v>#DIV/0!</v>
      </c>
    </row>
    <row r="5" spans="1:43" ht="15.75" thickTop="1" x14ac:dyDescent="0.25">
      <c r="A5" s="33"/>
      <c r="B5" s="34"/>
      <c r="C5" s="34"/>
      <c r="D5" s="34"/>
      <c r="E5" s="34"/>
      <c r="F5" s="34"/>
      <c r="G5" s="34"/>
      <c r="H5" s="35"/>
      <c r="I5" s="35"/>
      <c r="J5" s="34"/>
      <c r="K5" s="34"/>
      <c r="L5" s="34"/>
      <c r="M5" s="34"/>
      <c r="N5" s="34"/>
      <c r="O5" s="34"/>
      <c r="P5" s="35"/>
      <c r="Q5" s="35"/>
      <c r="V5" s="30"/>
      <c r="W5" s="30"/>
    </row>
    <row r="6" spans="1:43" x14ac:dyDescent="0.25">
      <c r="A6" s="95"/>
      <c r="B6" s="38"/>
      <c r="C6" s="38"/>
      <c r="D6" s="38"/>
      <c r="E6" s="38"/>
      <c r="F6" s="38"/>
      <c r="G6" s="38"/>
      <c r="H6" s="39"/>
      <c r="I6" s="39"/>
      <c r="J6" s="38"/>
      <c r="K6" s="38"/>
      <c r="L6" s="38"/>
      <c r="M6" s="38"/>
      <c r="N6" s="38"/>
      <c r="O6" s="38"/>
      <c r="P6" s="39"/>
      <c r="Q6" s="39"/>
      <c r="V6" s="30"/>
      <c r="W6" s="30"/>
    </row>
    <row r="7" spans="1:43" s="58" customFormat="1" x14ac:dyDescent="0.25">
      <c r="A7" s="1801" t="s">
        <v>84</v>
      </c>
      <c r="B7" s="92">
        <v>0</v>
      </c>
      <c r="C7" s="83"/>
      <c r="D7" s="82"/>
      <c r="E7" s="83"/>
      <c r="F7" s="82"/>
      <c r="G7" s="83"/>
      <c r="H7" s="57">
        <v>0</v>
      </c>
      <c r="I7" s="57">
        <v>0</v>
      </c>
      <c r="J7" s="82">
        <v>0</v>
      </c>
      <c r="K7" s="83">
        <v>1783</v>
      </c>
      <c r="L7" s="82">
        <v>2030</v>
      </c>
      <c r="M7" s="83">
        <v>4343.8</v>
      </c>
      <c r="N7" s="82">
        <v>4200</v>
      </c>
      <c r="O7" s="83">
        <v>1643</v>
      </c>
      <c r="P7" s="57">
        <v>6230</v>
      </c>
      <c r="Q7" s="57">
        <v>7769.8</v>
      </c>
      <c r="R7" s="82">
        <v>0</v>
      </c>
      <c r="S7" s="83">
        <v>0</v>
      </c>
      <c r="T7" s="82">
        <v>0</v>
      </c>
      <c r="U7" s="83">
        <v>0</v>
      </c>
      <c r="V7" s="84"/>
      <c r="W7" s="84"/>
      <c r="X7" s="57">
        <v>0</v>
      </c>
      <c r="Y7" s="57">
        <v>0</v>
      </c>
      <c r="Z7" s="82"/>
      <c r="AA7" s="83"/>
      <c r="AB7" s="82"/>
      <c r="AC7" s="83"/>
      <c r="AD7" s="82"/>
      <c r="AE7" s="83"/>
      <c r="AF7" s="57">
        <v>0</v>
      </c>
      <c r="AG7" s="57">
        <v>0</v>
      </c>
      <c r="AH7" s="85"/>
      <c r="AI7" s="80">
        <v>6230</v>
      </c>
      <c r="AJ7" s="80">
        <v>7769.8</v>
      </c>
      <c r="AK7" s="24"/>
      <c r="AL7" s="119"/>
      <c r="AM7" s="82"/>
      <c r="AN7" s="83"/>
      <c r="AO7" s="119"/>
      <c r="AP7" s="82"/>
      <c r="AQ7" s="83"/>
    </row>
    <row r="8" spans="1:43" x14ac:dyDescent="0.25">
      <c r="A8" s="1801"/>
      <c r="B8" s="93">
        <v>0</v>
      </c>
      <c r="C8" s="47"/>
      <c r="D8" s="46"/>
      <c r="E8" s="47"/>
      <c r="F8" s="46"/>
      <c r="G8" s="47"/>
      <c r="H8" s="48"/>
      <c r="I8" s="48"/>
      <c r="J8" s="46">
        <v>0</v>
      </c>
      <c r="K8" s="47">
        <v>0.9</v>
      </c>
      <c r="L8" s="46">
        <v>2.9</v>
      </c>
      <c r="M8" s="47">
        <v>1.4562093762346915</v>
      </c>
      <c r="N8" s="46">
        <v>2.9</v>
      </c>
      <c r="O8" s="47">
        <v>1.2369255589036321</v>
      </c>
      <c r="P8" s="48">
        <v>2.9</v>
      </c>
      <c r="Q8" s="48">
        <v>1.2822017274275941</v>
      </c>
      <c r="R8" s="40">
        <v>0</v>
      </c>
      <c r="S8" s="47">
        <v>0</v>
      </c>
      <c r="T8" s="40">
        <v>0</v>
      </c>
      <c r="U8" s="47">
        <v>0</v>
      </c>
      <c r="V8" s="30"/>
      <c r="W8" s="30"/>
      <c r="X8" s="48" t="s">
        <v>217</v>
      </c>
      <c r="Y8" s="48" t="s">
        <v>217</v>
      </c>
      <c r="Z8" s="40"/>
      <c r="AA8" s="47"/>
      <c r="AB8" s="40"/>
      <c r="AC8" s="47"/>
      <c r="AD8" s="40"/>
      <c r="AE8" s="47"/>
      <c r="AF8" s="48" t="s">
        <v>217</v>
      </c>
      <c r="AG8" s="48" t="s">
        <v>217</v>
      </c>
      <c r="AI8" s="79">
        <v>2.9</v>
      </c>
      <c r="AJ8" s="79">
        <v>1.2822017274275941</v>
      </c>
      <c r="AK8" s="45"/>
      <c r="AL8" s="120"/>
      <c r="AM8" s="40"/>
      <c r="AN8" s="47"/>
      <c r="AO8" s="120"/>
      <c r="AP8" s="40"/>
      <c r="AQ8" s="47"/>
    </row>
    <row r="9" spans="1:43" s="58" customFormat="1" x14ac:dyDescent="0.25">
      <c r="A9" s="1801" t="s">
        <v>85</v>
      </c>
      <c r="B9" s="92"/>
      <c r="C9" s="83"/>
      <c r="D9" s="82"/>
      <c r="E9" s="83"/>
      <c r="F9" s="82"/>
      <c r="G9" s="83"/>
      <c r="H9" s="57"/>
      <c r="I9" s="57"/>
      <c r="J9" s="82"/>
      <c r="K9" s="83"/>
      <c r="L9" s="82"/>
      <c r="M9" s="83"/>
      <c r="N9" s="82"/>
      <c r="O9" s="83"/>
      <c r="P9" s="57"/>
      <c r="Q9" s="57"/>
      <c r="R9" s="82"/>
      <c r="S9" s="83"/>
      <c r="T9" s="82"/>
      <c r="U9" s="83"/>
      <c r="V9" s="84"/>
      <c r="W9" s="84"/>
      <c r="X9" s="57">
        <v>0</v>
      </c>
      <c r="Y9" s="57">
        <v>0</v>
      </c>
      <c r="Z9" s="82">
        <v>2100</v>
      </c>
      <c r="AA9" s="83">
        <v>0</v>
      </c>
      <c r="AB9" s="82">
        <v>2100</v>
      </c>
      <c r="AC9" s="83">
        <v>0</v>
      </c>
      <c r="AD9" s="82"/>
      <c r="AE9" s="83"/>
      <c r="AF9" s="57">
        <v>4200</v>
      </c>
      <c r="AG9" s="57">
        <v>0</v>
      </c>
      <c r="AH9" s="85"/>
      <c r="AI9" s="80">
        <v>4200</v>
      </c>
      <c r="AJ9" s="80">
        <v>0</v>
      </c>
      <c r="AK9" s="24"/>
      <c r="AL9" s="119"/>
      <c r="AM9" s="82"/>
      <c r="AN9" s="83"/>
      <c r="AO9" s="119"/>
      <c r="AP9" s="82"/>
      <c r="AQ9" s="83"/>
    </row>
    <row r="10" spans="1:43" x14ac:dyDescent="0.25">
      <c r="A10" s="1801"/>
      <c r="B10" s="94"/>
      <c r="C10" s="41"/>
      <c r="D10" s="40"/>
      <c r="E10" s="41"/>
      <c r="F10" s="40"/>
      <c r="G10" s="41"/>
      <c r="H10" s="42"/>
      <c r="I10" s="42"/>
      <c r="J10" s="40"/>
      <c r="K10" s="41"/>
      <c r="L10" s="40"/>
      <c r="M10" s="41"/>
      <c r="N10" s="40"/>
      <c r="O10" s="41"/>
      <c r="P10" s="42"/>
      <c r="Q10" s="42"/>
      <c r="R10" s="40"/>
      <c r="S10" s="41"/>
      <c r="T10" s="40"/>
      <c r="U10" s="41"/>
      <c r="V10" s="30"/>
      <c r="W10" s="30"/>
      <c r="X10" s="48" t="s">
        <v>217</v>
      </c>
      <c r="Y10" s="48" t="s">
        <v>217</v>
      </c>
      <c r="Z10" s="40">
        <v>1.8</v>
      </c>
      <c r="AA10" s="41">
        <v>0</v>
      </c>
      <c r="AB10" s="40">
        <v>1.8</v>
      </c>
      <c r="AC10" s="41">
        <v>0</v>
      </c>
      <c r="AD10" s="40"/>
      <c r="AE10" s="41"/>
      <c r="AF10" s="48">
        <v>1.8</v>
      </c>
      <c r="AG10" s="48" t="s">
        <v>217</v>
      </c>
      <c r="AI10" s="79">
        <v>1.8</v>
      </c>
      <c r="AJ10" s="79" t="s">
        <v>217</v>
      </c>
      <c r="AK10" s="45"/>
      <c r="AL10" s="120"/>
      <c r="AM10" s="40"/>
      <c r="AN10" s="41"/>
      <c r="AO10" s="120"/>
      <c r="AP10" s="40"/>
      <c r="AQ10" s="41"/>
    </row>
    <row r="11" spans="1:43" s="58" customFormat="1" x14ac:dyDescent="0.25">
      <c r="A11" s="1801" t="s">
        <v>86</v>
      </c>
      <c r="B11" s="92">
        <v>2100</v>
      </c>
      <c r="C11" s="83">
        <v>2258</v>
      </c>
      <c r="D11" s="82"/>
      <c r="E11" s="83">
        <v>866</v>
      </c>
      <c r="F11" s="82"/>
      <c r="G11" s="83">
        <v>390</v>
      </c>
      <c r="H11" s="57">
        <v>2100</v>
      </c>
      <c r="I11" s="57">
        <v>3514</v>
      </c>
      <c r="J11" s="82">
        <v>1960</v>
      </c>
      <c r="K11" s="83">
        <v>2025</v>
      </c>
      <c r="L11" s="82"/>
      <c r="M11" s="83">
        <v>1787.6</v>
      </c>
      <c r="N11" s="82"/>
      <c r="O11" s="83">
        <v>1635.6000000000001</v>
      </c>
      <c r="P11" s="57">
        <v>1960</v>
      </c>
      <c r="Q11" s="57">
        <v>5448.2</v>
      </c>
      <c r="R11" s="82">
        <v>0</v>
      </c>
      <c r="S11" s="83">
        <v>0</v>
      </c>
      <c r="T11" s="82">
        <v>0</v>
      </c>
      <c r="U11" s="83">
        <v>0</v>
      </c>
      <c r="V11" s="84"/>
      <c r="W11" s="84"/>
      <c r="X11" s="57">
        <v>0</v>
      </c>
      <c r="Y11" s="57">
        <v>0</v>
      </c>
      <c r="Z11" s="82"/>
      <c r="AA11" s="83"/>
      <c r="AB11" s="82"/>
      <c r="AC11" s="83"/>
      <c r="AD11" s="82"/>
      <c r="AE11" s="83"/>
      <c r="AF11" s="57">
        <v>0</v>
      </c>
      <c r="AG11" s="57">
        <v>0</v>
      </c>
      <c r="AH11" s="85"/>
      <c r="AI11" s="80">
        <v>4060</v>
      </c>
      <c r="AJ11" s="80">
        <v>8962.2000000000007</v>
      </c>
      <c r="AK11" s="24"/>
      <c r="AL11" s="119"/>
      <c r="AM11" s="82"/>
      <c r="AN11" s="83"/>
      <c r="AO11" s="119"/>
      <c r="AP11" s="82"/>
      <c r="AQ11" s="83"/>
    </row>
    <row r="12" spans="1:43" x14ac:dyDescent="0.25">
      <c r="A12" s="1801" t="s">
        <v>86</v>
      </c>
      <c r="B12" s="93">
        <v>2.9</v>
      </c>
      <c r="C12" s="47">
        <v>3.11</v>
      </c>
      <c r="D12" s="46"/>
      <c r="E12" s="47">
        <v>3.26</v>
      </c>
      <c r="F12" s="46"/>
      <c r="G12" s="47">
        <v>2.37</v>
      </c>
      <c r="H12" s="48">
        <v>2.9</v>
      </c>
      <c r="I12" s="48">
        <v>3.0648377916903815</v>
      </c>
      <c r="J12" s="46">
        <v>1.5200000000000009</v>
      </c>
      <c r="K12" s="47">
        <v>1.83</v>
      </c>
      <c r="L12" s="46"/>
      <c r="M12" s="47">
        <v>1.7682542425706969</v>
      </c>
      <c r="N12" s="46"/>
      <c r="O12" s="47">
        <v>1.4707461371394124</v>
      </c>
      <c r="P12" s="48">
        <v>1.5200000000000009</v>
      </c>
      <c r="Q12" s="48">
        <v>1.7018893700533391</v>
      </c>
      <c r="R12" s="40">
        <v>0</v>
      </c>
      <c r="S12" s="47">
        <v>0</v>
      </c>
      <c r="T12" s="40">
        <v>0</v>
      </c>
      <c r="U12" s="47">
        <v>0</v>
      </c>
      <c r="V12" s="30"/>
      <c r="W12" s="30"/>
      <c r="X12" s="48" t="s">
        <v>217</v>
      </c>
      <c r="Y12" s="48" t="s">
        <v>217</v>
      </c>
      <c r="Z12" s="40"/>
      <c r="AA12" s="47"/>
      <c r="AB12" s="40"/>
      <c r="AC12" s="47"/>
      <c r="AD12" s="40"/>
      <c r="AE12" s="47"/>
      <c r="AF12" s="48" t="s">
        <v>217</v>
      </c>
      <c r="AG12" s="48" t="s">
        <v>217</v>
      </c>
      <c r="AI12" s="79">
        <v>2.2337931034482761</v>
      </c>
      <c r="AJ12" s="79">
        <v>2.2362894898489882</v>
      </c>
      <c r="AK12" s="45"/>
      <c r="AL12" s="120"/>
      <c r="AM12" s="40"/>
      <c r="AN12" s="47"/>
      <c r="AO12" s="120"/>
      <c r="AP12" s="40"/>
      <c r="AQ12" s="47"/>
    </row>
    <row r="13" spans="1:43" s="58" customFormat="1" x14ac:dyDescent="0.25">
      <c r="A13" s="1801" t="s">
        <v>87</v>
      </c>
      <c r="B13" s="92"/>
      <c r="C13" s="83"/>
      <c r="D13" s="82"/>
      <c r="E13" s="83"/>
      <c r="F13" s="82"/>
      <c r="G13" s="83"/>
      <c r="H13" s="57"/>
      <c r="I13" s="57"/>
      <c r="J13" s="82"/>
      <c r="K13" s="83"/>
      <c r="L13" s="82"/>
      <c r="M13" s="83"/>
      <c r="N13" s="82"/>
      <c r="O13" s="83"/>
      <c r="P13" s="57"/>
      <c r="Q13" s="57"/>
      <c r="R13" s="82">
        <v>2170</v>
      </c>
      <c r="S13" s="83">
        <v>0</v>
      </c>
      <c r="T13" s="82">
        <v>2030</v>
      </c>
      <c r="U13" s="83">
        <v>0</v>
      </c>
      <c r="V13" s="84"/>
      <c r="W13" s="84"/>
      <c r="X13" s="57">
        <v>4200</v>
      </c>
      <c r="Y13" s="57">
        <v>0</v>
      </c>
      <c r="Z13" s="82">
        <v>2170</v>
      </c>
      <c r="AA13" s="83">
        <v>0</v>
      </c>
      <c r="AB13" s="82">
        <v>0</v>
      </c>
      <c r="AC13" s="83">
        <v>259</v>
      </c>
      <c r="AD13" s="82">
        <v>4060</v>
      </c>
      <c r="AE13" s="83">
        <v>0</v>
      </c>
      <c r="AF13" s="57">
        <v>6230</v>
      </c>
      <c r="AG13" s="57">
        <v>259</v>
      </c>
      <c r="AH13" s="85"/>
      <c r="AI13" s="80">
        <v>10430</v>
      </c>
      <c r="AJ13" s="80">
        <v>259</v>
      </c>
      <c r="AK13" s="24"/>
      <c r="AL13" s="119"/>
      <c r="AM13" s="82"/>
      <c r="AN13" s="83"/>
      <c r="AO13" s="119"/>
      <c r="AP13" s="82"/>
      <c r="AQ13" s="83"/>
    </row>
    <row r="14" spans="1:43" x14ac:dyDescent="0.25">
      <c r="A14" s="1801" t="s">
        <v>86</v>
      </c>
      <c r="B14" s="94"/>
      <c r="C14" s="41"/>
      <c r="D14" s="40"/>
      <c r="E14" s="41"/>
      <c r="F14" s="40"/>
      <c r="G14" s="41"/>
      <c r="H14" s="42"/>
      <c r="I14" s="42"/>
      <c r="J14" s="40"/>
      <c r="K14" s="41"/>
      <c r="L14" s="40"/>
      <c r="M14" s="41"/>
      <c r="N14" s="40"/>
      <c r="O14" s="41"/>
      <c r="P14" s="42"/>
      <c r="Q14" s="42"/>
      <c r="R14" s="40">
        <v>1.49</v>
      </c>
      <c r="S14" s="41">
        <v>0</v>
      </c>
      <c r="T14" s="40">
        <v>1.59</v>
      </c>
      <c r="U14" s="41">
        <v>0</v>
      </c>
      <c r="V14" s="30"/>
      <c r="W14" s="30"/>
      <c r="X14" s="48">
        <v>1.5383333333333333</v>
      </c>
      <c r="Y14" s="48" t="s">
        <v>217</v>
      </c>
      <c r="Z14" s="40">
        <v>1.1299999999999992</v>
      </c>
      <c r="AA14" s="41">
        <v>0</v>
      </c>
      <c r="AB14" s="40">
        <v>0</v>
      </c>
      <c r="AC14" s="41">
        <v>1.7470859077380949</v>
      </c>
      <c r="AD14" s="40">
        <v>2.0299999999999998</v>
      </c>
      <c r="AE14" s="41">
        <v>0</v>
      </c>
      <c r="AF14" s="48">
        <v>1.7165168539325839</v>
      </c>
      <c r="AG14" s="48">
        <v>1.7470859077380949</v>
      </c>
      <c r="AI14" s="79">
        <v>1.6447651006711408</v>
      </c>
      <c r="AJ14" s="79">
        <v>1.7470859077380949</v>
      </c>
      <c r="AK14" s="45"/>
      <c r="AL14" s="120"/>
      <c r="AM14" s="40"/>
      <c r="AN14" s="41"/>
      <c r="AO14" s="120"/>
      <c r="AP14" s="40"/>
      <c r="AQ14" s="41"/>
    </row>
    <row r="15" spans="1:43" s="58" customFormat="1" x14ac:dyDescent="0.25">
      <c r="A15" s="1801" t="s">
        <v>88</v>
      </c>
      <c r="B15" s="92"/>
      <c r="C15" s="83"/>
      <c r="D15" s="82"/>
      <c r="E15" s="83"/>
      <c r="F15" s="82"/>
      <c r="G15" s="83"/>
      <c r="H15" s="57"/>
      <c r="I15" s="57"/>
      <c r="J15" s="82"/>
      <c r="K15" s="83"/>
      <c r="L15" s="82"/>
      <c r="M15" s="83"/>
      <c r="N15" s="82"/>
      <c r="O15" s="83"/>
      <c r="P15" s="57"/>
      <c r="Q15" s="57"/>
      <c r="R15" s="82">
        <v>3255</v>
      </c>
      <c r="S15" s="83">
        <v>3289.2</v>
      </c>
      <c r="T15" s="82">
        <v>3045</v>
      </c>
      <c r="U15" s="83">
        <v>3149.7999999999997</v>
      </c>
      <c r="V15" s="84"/>
      <c r="W15" s="84"/>
      <c r="X15" s="57">
        <v>6300</v>
      </c>
      <c r="Y15" s="57">
        <v>6439</v>
      </c>
      <c r="Z15" s="82">
        <v>3255</v>
      </c>
      <c r="AA15" s="83">
        <v>4939.3</v>
      </c>
      <c r="AB15" s="82">
        <v>4200</v>
      </c>
      <c r="AC15" s="83">
        <v>2757</v>
      </c>
      <c r="AD15" s="82">
        <v>0</v>
      </c>
      <c r="AE15" s="83">
        <v>2822</v>
      </c>
      <c r="AF15" s="57">
        <v>7455</v>
      </c>
      <c r="AG15" s="57">
        <v>10518.3</v>
      </c>
      <c r="AH15" s="85"/>
      <c r="AI15" s="80">
        <v>13755</v>
      </c>
      <c r="AJ15" s="80">
        <v>16957.3</v>
      </c>
      <c r="AK15" s="24"/>
      <c r="AL15" s="119">
        <f>'STOPE SUMMARY PIVOT'!D1546</f>
        <v>521</v>
      </c>
      <c r="AM15" s="82"/>
      <c r="AN15" s="83"/>
      <c r="AO15" s="119"/>
      <c r="AP15" s="82"/>
      <c r="AQ15" s="83"/>
    </row>
    <row r="16" spans="1:43" x14ac:dyDescent="0.25">
      <c r="A16" s="1801" t="s">
        <v>86</v>
      </c>
      <c r="B16" s="94"/>
      <c r="C16" s="41"/>
      <c r="D16" s="40"/>
      <c r="E16" s="41"/>
      <c r="F16" s="40"/>
      <c r="G16" s="41"/>
      <c r="H16" s="42"/>
      <c r="I16" s="42"/>
      <c r="J16" s="40"/>
      <c r="K16" s="41"/>
      <c r="L16" s="40"/>
      <c r="M16" s="41"/>
      <c r="N16" s="40"/>
      <c r="O16" s="41"/>
      <c r="P16" s="42"/>
      <c r="Q16" s="42"/>
      <c r="R16" s="40">
        <v>1.49</v>
      </c>
      <c r="S16" s="41">
        <v>1.2739732816225988</v>
      </c>
      <c r="T16" s="40">
        <v>2.0099999999999998</v>
      </c>
      <c r="U16" s="41">
        <v>1.2903291541489252</v>
      </c>
      <c r="V16" s="30"/>
      <c r="W16" s="30"/>
      <c r="X16" s="48">
        <v>1.741333333333333</v>
      </c>
      <c r="Y16" s="48">
        <v>1.2819741710904389</v>
      </c>
      <c r="Z16" s="40">
        <v>1.1600000000000006</v>
      </c>
      <c r="AA16" s="41">
        <v>2.729374863475261</v>
      </c>
      <c r="AB16" s="40">
        <v>1.86</v>
      </c>
      <c r="AC16" s="41">
        <v>2.0504720833333332</v>
      </c>
      <c r="AD16" s="40">
        <v>0</v>
      </c>
      <c r="AE16" s="41">
        <v>3.15</v>
      </c>
      <c r="AF16" s="48">
        <v>1.5543661971830989</v>
      </c>
      <c r="AG16" s="48">
        <v>2.6642758617755113</v>
      </c>
      <c r="AI16" s="79">
        <v>1.6400000000000001</v>
      </c>
      <c r="AJ16" s="79">
        <v>2.1393903796338267</v>
      </c>
      <c r="AK16" s="45"/>
      <c r="AL16" s="120">
        <f>'STOPE SUMMARY PIVOT'!E1546</f>
        <v>3.11</v>
      </c>
      <c r="AM16" s="40"/>
      <c r="AN16" s="41"/>
      <c r="AO16" s="120"/>
      <c r="AP16" s="40"/>
      <c r="AQ16" s="41"/>
    </row>
    <row r="17" spans="1:43" s="58" customFormat="1" x14ac:dyDescent="0.25">
      <c r="A17" s="1801" t="s">
        <v>89</v>
      </c>
      <c r="B17" s="92"/>
      <c r="C17" s="83"/>
      <c r="D17" s="82"/>
      <c r="E17" s="83"/>
      <c r="F17" s="82"/>
      <c r="G17" s="83"/>
      <c r="H17" s="57"/>
      <c r="I17" s="57"/>
      <c r="J17" s="82"/>
      <c r="K17" s="83"/>
      <c r="L17" s="82"/>
      <c r="M17" s="83"/>
      <c r="N17" s="82"/>
      <c r="O17" s="83"/>
      <c r="P17" s="57"/>
      <c r="Q17" s="57"/>
      <c r="R17" s="82"/>
      <c r="S17" s="83"/>
      <c r="T17" s="82"/>
      <c r="U17" s="83"/>
      <c r="V17" s="84"/>
      <c r="W17" s="84"/>
      <c r="X17" s="57">
        <v>0</v>
      </c>
      <c r="Y17" s="57">
        <v>0</v>
      </c>
      <c r="Z17" s="82"/>
      <c r="AA17" s="83"/>
      <c r="AB17" s="82">
        <v>2100</v>
      </c>
      <c r="AC17" s="83">
        <v>1546.7</v>
      </c>
      <c r="AD17" s="82"/>
      <c r="AE17" s="83"/>
      <c r="AF17" s="57">
        <v>2100</v>
      </c>
      <c r="AG17" s="57">
        <v>1546.7</v>
      </c>
      <c r="AH17" s="85"/>
      <c r="AI17" s="80">
        <v>2100</v>
      </c>
      <c r="AJ17" s="80">
        <v>1546.7</v>
      </c>
      <c r="AK17" s="24"/>
      <c r="AL17" s="119"/>
      <c r="AM17" s="82"/>
      <c r="AN17" s="83"/>
      <c r="AO17" s="119"/>
      <c r="AP17" s="82"/>
      <c r="AQ17" s="83"/>
    </row>
    <row r="18" spans="1:43" x14ac:dyDescent="0.25">
      <c r="A18" s="1801" t="s">
        <v>86</v>
      </c>
      <c r="B18" s="94"/>
      <c r="C18" s="41"/>
      <c r="D18" s="40"/>
      <c r="E18" s="41"/>
      <c r="F18" s="40"/>
      <c r="G18" s="41"/>
      <c r="H18" s="42"/>
      <c r="I18" s="42"/>
      <c r="J18" s="40"/>
      <c r="K18" s="41"/>
      <c r="L18" s="40"/>
      <c r="M18" s="41"/>
      <c r="N18" s="40"/>
      <c r="O18" s="41"/>
      <c r="P18" s="42"/>
      <c r="Q18" s="42"/>
      <c r="R18" s="40"/>
      <c r="S18" s="41"/>
      <c r="T18" s="40"/>
      <c r="U18" s="41"/>
      <c r="V18" s="30"/>
      <c r="W18" s="30"/>
      <c r="X18" s="48" t="s">
        <v>217</v>
      </c>
      <c r="Y18" s="48" t="s">
        <v>217</v>
      </c>
      <c r="Z18" s="40"/>
      <c r="AA18" s="41"/>
      <c r="AB18" s="40">
        <v>1.59</v>
      </c>
      <c r="AC18" s="41">
        <v>1.0024969040515581</v>
      </c>
      <c r="AD18" s="40"/>
      <c r="AE18" s="41"/>
      <c r="AF18" s="48">
        <v>1.59</v>
      </c>
      <c r="AG18" s="48">
        <v>1.0024969040515581</v>
      </c>
      <c r="AI18" s="79">
        <v>1.59</v>
      </c>
      <c r="AJ18" s="79">
        <v>1.0024969040515581</v>
      </c>
      <c r="AK18" s="45"/>
      <c r="AL18" s="120"/>
      <c r="AM18" s="40"/>
      <c r="AN18" s="41"/>
      <c r="AO18" s="120"/>
      <c r="AP18" s="40"/>
      <c r="AQ18" s="41"/>
    </row>
    <row r="19" spans="1:43" s="58" customFormat="1" x14ac:dyDescent="0.25">
      <c r="A19" s="1801" t="s">
        <v>90</v>
      </c>
      <c r="B19" s="92"/>
      <c r="C19" s="83"/>
      <c r="D19" s="82"/>
      <c r="E19" s="83"/>
      <c r="F19" s="82"/>
      <c r="G19" s="83"/>
      <c r="H19" s="57"/>
      <c r="I19" s="57"/>
      <c r="J19" s="82"/>
      <c r="K19" s="83"/>
      <c r="L19" s="82"/>
      <c r="M19" s="83"/>
      <c r="N19" s="82"/>
      <c r="O19" s="83"/>
      <c r="P19" s="57"/>
      <c r="Q19" s="57"/>
      <c r="R19" s="82"/>
      <c r="S19" s="83"/>
      <c r="T19" s="82"/>
      <c r="U19" s="83"/>
      <c r="V19" s="84"/>
      <c r="W19" s="84"/>
      <c r="X19" s="57"/>
      <c r="Y19" s="57"/>
      <c r="Z19" s="82"/>
      <c r="AA19" s="83"/>
      <c r="AB19" s="82"/>
      <c r="AC19" s="83"/>
      <c r="AD19" s="82"/>
      <c r="AE19" s="83"/>
      <c r="AF19" s="57"/>
      <c r="AG19" s="57"/>
      <c r="AH19" s="85"/>
      <c r="AI19" s="80"/>
      <c r="AJ19" s="80"/>
      <c r="AK19" s="24"/>
      <c r="AL19" s="119">
        <f>'STOPE SUMMARY PIVOT'!D1548</f>
        <v>658</v>
      </c>
      <c r="AM19" s="82"/>
      <c r="AN19" s="83"/>
      <c r="AO19" s="119"/>
      <c r="AP19" s="82">
        <v>1960</v>
      </c>
      <c r="AQ19" s="83"/>
    </row>
    <row r="20" spans="1:43" x14ac:dyDescent="0.25">
      <c r="A20" s="1801" t="s">
        <v>86</v>
      </c>
      <c r="B20" s="94"/>
      <c r="C20" s="41"/>
      <c r="D20" s="40"/>
      <c r="E20" s="41"/>
      <c r="F20" s="40"/>
      <c r="G20" s="41"/>
      <c r="H20" s="42"/>
      <c r="I20" s="42"/>
      <c r="J20" s="40"/>
      <c r="K20" s="41"/>
      <c r="L20" s="40"/>
      <c r="M20" s="41"/>
      <c r="N20" s="40"/>
      <c r="O20" s="41"/>
      <c r="P20" s="42"/>
      <c r="Q20" s="42"/>
      <c r="R20" s="40"/>
      <c r="S20" s="41"/>
      <c r="T20" s="40"/>
      <c r="U20" s="41"/>
      <c r="V20" s="30"/>
      <c r="W20" s="30"/>
      <c r="X20" s="42"/>
      <c r="Y20" s="42"/>
      <c r="Z20" s="40"/>
      <c r="AA20" s="41"/>
      <c r="AB20" s="40"/>
      <c r="AC20" s="41"/>
      <c r="AD20" s="40"/>
      <c r="AE20" s="41"/>
      <c r="AF20" s="42"/>
      <c r="AG20" s="42"/>
      <c r="AI20" s="78"/>
      <c r="AJ20" s="78"/>
      <c r="AK20" s="45"/>
      <c r="AL20" s="120">
        <f>'STOPE SUMMARY PIVOT'!E1548</f>
        <v>2.5499999999999998</v>
      </c>
      <c r="AM20" s="40"/>
      <c r="AN20" s="41"/>
      <c r="AO20" s="120"/>
      <c r="AP20" s="40">
        <v>2.85</v>
      </c>
      <c r="AQ20" s="41"/>
    </row>
    <row r="21" spans="1:43" s="58" customFormat="1" x14ac:dyDescent="0.25">
      <c r="A21" s="1801" t="s">
        <v>238</v>
      </c>
      <c r="B21" s="92"/>
      <c r="C21" s="83"/>
      <c r="D21" s="82"/>
      <c r="E21" s="83"/>
      <c r="F21" s="82"/>
      <c r="G21" s="83"/>
      <c r="H21" s="57"/>
      <c r="I21" s="57"/>
      <c r="J21" s="82"/>
      <c r="K21" s="83"/>
      <c r="L21" s="82"/>
      <c r="M21" s="83"/>
      <c r="N21" s="82"/>
      <c r="O21" s="83"/>
      <c r="P21" s="57"/>
      <c r="Q21" s="57"/>
      <c r="R21" s="82"/>
      <c r="S21" s="83"/>
      <c r="T21" s="82"/>
      <c r="U21" s="83"/>
      <c r="V21" s="84"/>
      <c r="W21" s="84"/>
      <c r="X21" s="57"/>
      <c r="Y21" s="57"/>
      <c r="Z21" s="82"/>
      <c r="AA21" s="83"/>
      <c r="AB21" s="82"/>
      <c r="AC21" s="83"/>
      <c r="AD21" s="82"/>
      <c r="AE21" s="83"/>
      <c r="AF21" s="57"/>
      <c r="AG21" s="57"/>
      <c r="AH21" s="85"/>
      <c r="AI21" s="80"/>
      <c r="AJ21" s="80"/>
      <c r="AK21" s="24"/>
      <c r="AL21" s="119"/>
      <c r="AM21" s="82"/>
      <c r="AN21" s="83"/>
      <c r="AO21" s="119"/>
      <c r="AP21" s="82">
        <v>980</v>
      </c>
      <c r="AQ21" s="83"/>
    </row>
    <row r="22" spans="1:43" x14ac:dyDescent="0.25">
      <c r="A22" s="1801" t="s">
        <v>86</v>
      </c>
      <c r="B22" s="94"/>
      <c r="C22" s="41"/>
      <c r="D22" s="40"/>
      <c r="E22" s="41"/>
      <c r="F22" s="40"/>
      <c r="G22" s="41"/>
      <c r="H22" s="42"/>
      <c r="I22" s="42"/>
      <c r="J22" s="40"/>
      <c r="K22" s="41"/>
      <c r="L22" s="40"/>
      <c r="M22" s="41"/>
      <c r="N22" s="40"/>
      <c r="O22" s="41"/>
      <c r="P22" s="42"/>
      <c r="Q22" s="42"/>
      <c r="R22" s="40"/>
      <c r="S22" s="41"/>
      <c r="T22" s="40"/>
      <c r="U22" s="41"/>
      <c r="V22" s="30"/>
      <c r="W22" s="30"/>
      <c r="X22" s="42"/>
      <c r="Y22" s="42"/>
      <c r="Z22" s="40"/>
      <c r="AA22" s="41"/>
      <c r="AB22" s="40"/>
      <c r="AC22" s="41"/>
      <c r="AD22" s="40"/>
      <c r="AE22" s="41"/>
      <c r="AF22" s="42"/>
      <c r="AG22" s="42"/>
      <c r="AI22" s="78"/>
      <c r="AJ22" s="78"/>
      <c r="AK22" s="45"/>
      <c r="AL22" s="120"/>
      <c r="AM22" s="40"/>
      <c r="AN22" s="41"/>
      <c r="AO22" s="120"/>
      <c r="AP22" s="40">
        <v>1.81</v>
      </c>
      <c r="AQ22" s="41"/>
    </row>
    <row r="23" spans="1:43" s="58" customFormat="1" x14ac:dyDescent="0.25">
      <c r="A23" s="1801" t="s">
        <v>98</v>
      </c>
      <c r="B23" s="92">
        <v>0</v>
      </c>
      <c r="C23" s="83">
        <v>2471.9389999999999</v>
      </c>
      <c r="D23" s="82"/>
      <c r="E23" s="83"/>
      <c r="F23" s="82"/>
      <c r="G23" s="83"/>
      <c r="H23" s="57"/>
      <c r="I23" s="57">
        <v>2471.9389999999999</v>
      </c>
      <c r="J23" s="82"/>
      <c r="K23" s="83"/>
      <c r="L23" s="82"/>
      <c r="M23" s="83"/>
      <c r="N23" s="82"/>
      <c r="O23" s="83"/>
      <c r="P23" s="57"/>
      <c r="Q23" s="57"/>
      <c r="R23" s="82"/>
      <c r="S23" s="83"/>
      <c r="T23" s="82"/>
      <c r="U23" s="83"/>
      <c r="V23" s="84"/>
      <c r="W23" s="84"/>
      <c r="X23" s="57">
        <v>0</v>
      </c>
      <c r="Y23" s="57">
        <v>0</v>
      </c>
      <c r="Z23" s="82"/>
      <c r="AA23" s="83"/>
      <c r="AB23" s="82"/>
      <c r="AC23" s="83"/>
      <c r="AD23" s="82"/>
      <c r="AE23" s="83"/>
      <c r="AF23" s="57">
        <v>0</v>
      </c>
      <c r="AG23" s="57">
        <v>0</v>
      </c>
      <c r="AH23" s="85"/>
      <c r="AI23" s="80">
        <v>0</v>
      </c>
      <c r="AJ23" s="80">
        <v>2471.9389999999999</v>
      </c>
      <c r="AK23" s="24"/>
      <c r="AL23" s="119"/>
      <c r="AM23" s="82"/>
      <c r="AN23" s="83"/>
      <c r="AO23" s="119"/>
      <c r="AP23" s="82"/>
      <c r="AQ23" s="83"/>
    </row>
    <row r="24" spans="1:43" x14ac:dyDescent="0.25">
      <c r="A24" s="1801"/>
      <c r="B24" s="94">
        <v>0</v>
      </c>
      <c r="C24" s="41">
        <v>2.35</v>
      </c>
      <c r="D24" s="40"/>
      <c r="E24" s="41"/>
      <c r="F24" s="40"/>
      <c r="G24" s="41"/>
      <c r="H24" s="42"/>
      <c r="I24" s="48">
        <v>2.35</v>
      </c>
      <c r="J24" s="40"/>
      <c r="K24" s="41"/>
      <c r="L24" s="40"/>
      <c r="M24" s="41"/>
      <c r="N24" s="40"/>
      <c r="O24" s="41"/>
      <c r="P24" s="42"/>
      <c r="Q24" s="48"/>
      <c r="R24" s="40"/>
      <c r="S24" s="41"/>
      <c r="T24" s="40"/>
      <c r="U24" s="41"/>
      <c r="V24" s="30"/>
      <c r="W24" s="30"/>
      <c r="X24" s="48" t="s">
        <v>217</v>
      </c>
      <c r="Y24" s="48" t="s">
        <v>217</v>
      </c>
      <c r="Z24" s="40"/>
      <c r="AA24" s="41"/>
      <c r="AB24" s="40"/>
      <c r="AC24" s="41"/>
      <c r="AD24" s="40"/>
      <c r="AE24" s="41"/>
      <c r="AF24" s="48" t="s">
        <v>217</v>
      </c>
      <c r="AG24" s="48" t="s">
        <v>217</v>
      </c>
      <c r="AI24" s="79" t="s">
        <v>217</v>
      </c>
      <c r="AJ24" s="79">
        <v>2.35</v>
      </c>
      <c r="AK24" s="45"/>
      <c r="AL24" s="120"/>
      <c r="AM24" s="40"/>
      <c r="AN24" s="41"/>
      <c r="AO24" s="120"/>
      <c r="AP24" s="40"/>
      <c r="AQ24" s="41"/>
    </row>
    <row r="25" spans="1:43" s="58" customFormat="1" x14ac:dyDescent="0.25">
      <c r="A25" s="1801" t="s">
        <v>99</v>
      </c>
      <c r="B25" s="92"/>
      <c r="C25" s="83">
        <v>1027.2550000000001</v>
      </c>
      <c r="D25" s="82"/>
      <c r="E25" s="83"/>
      <c r="F25" s="82"/>
      <c r="G25" s="83"/>
      <c r="H25" s="57"/>
      <c r="I25" s="57">
        <v>1027.2550000000001</v>
      </c>
      <c r="J25" s="82"/>
      <c r="K25" s="83"/>
      <c r="L25" s="82"/>
      <c r="M25" s="83"/>
      <c r="N25" s="82"/>
      <c r="O25" s="83"/>
      <c r="P25" s="57"/>
      <c r="Q25" s="57"/>
      <c r="R25" s="82"/>
      <c r="S25" s="83"/>
      <c r="T25" s="82"/>
      <c r="U25" s="83"/>
      <c r="V25" s="84"/>
      <c r="W25" s="84"/>
      <c r="X25" s="57">
        <v>0</v>
      </c>
      <c r="Y25" s="57">
        <v>0</v>
      </c>
      <c r="Z25" s="82"/>
      <c r="AA25" s="83"/>
      <c r="AB25" s="82"/>
      <c r="AC25" s="83"/>
      <c r="AD25" s="82"/>
      <c r="AE25" s="83"/>
      <c r="AF25" s="57">
        <v>0</v>
      </c>
      <c r="AG25" s="57">
        <v>0</v>
      </c>
      <c r="AH25" s="85"/>
      <c r="AI25" s="80">
        <v>0</v>
      </c>
      <c r="AJ25" s="80">
        <v>1027.2550000000001</v>
      </c>
      <c r="AK25" s="24"/>
      <c r="AL25" s="119"/>
      <c r="AM25" s="82"/>
      <c r="AN25" s="83"/>
      <c r="AO25" s="119"/>
      <c r="AP25" s="82"/>
      <c r="AQ25" s="83"/>
    </row>
    <row r="26" spans="1:43" x14ac:dyDescent="0.25">
      <c r="A26" s="1801"/>
      <c r="B26" s="94"/>
      <c r="C26" s="41">
        <v>2.2999999999999998</v>
      </c>
      <c r="D26" s="40"/>
      <c r="E26" s="41"/>
      <c r="F26" s="40"/>
      <c r="G26" s="41"/>
      <c r="H26" s="42"/>
      <c r="I26" s="48">
        <v>2.2999999999999998</v>
      </c>
      <c r="J26" s="40"/>
      <c r="K26" s="41"/>
      <c r="L26" s="40"/>
      <c r="M26" s="41"/>
      <c r="N26" s="40"/>
      <c r="O26" s="41"/>
      <c r="P26" s="42"/>
      <c r="Q26" s="48"/>
      <c r="R26" s="40"/>
      <c r="S26" s="41"/>
      <c r="T26" s="40"/>
      <c r="U26" s="41"/>
      <c r="V26" s="30"/>
      <c r="W26" s="30"/>
      <c r="X26" s="48" t="s">
        <v>217</v>
      </c>
      <c r="Y26" s="48" t="s">
        <v>217</v>
      </c>
      <c r="Z26" s="40"/>
      <c r="AA26" s="41"/>
      <c r="AB26" s="40"/>
      <c r="AC26" s="41"/>
      <c r="AD26" s="40"/>
      <c r="AE26" s="41"/>
      <c r="AF26" s="48" t="s">
        <v>217</v>
      </c>
      <c r="AG26" s="48" t="s">
        <v>217</v>
      </c>
      <c r="AI26" s="79" t="s">
        <v>217</v>
      </c>
      <c r="AJ26" s="79">
        <v>2.2999999999999998</v>
      </c>
      <c r="AK26" s="45"/>
      <c r="AL26" s="120"/>
      <c r="AM26" s="40"/>
      <c r="AN26" s="41"/>
      <c r="AO26" s="120"/>
      <c r="AP26" s="40"/>
      <c r="AQ26" s="41"/>
    </row>
    <row r="27" spans="1:43" s="58" customFormat="1" x14ac:dyDescent="0.25">
      <c r="A27" s="1801" t="s">
        <v>100</v>
      </c>
      <c r="B27" s="92">
        <v>1890</v>
      </c>
      <c r="C27" s="83"/>
      <c r="D27" s="82">
        <v>1820</v>
      </c>
      <c r="E27" s="83"/>
      <c r="F27" s="82">
        <v>2030</v>
      </c>
      <c r="G27" s="83">
        <v>1492</v>
      </c>
      <c r="H27" s="57">
        <v>5740</v>
      </c>
      <c r="I27" s="57">
        <v>1492</v>
      </c>
      <c r="J27" s="82"/>
      <c r="K27" s="83"/>
      <c r="L27" s="82"/>
      <c r="M27" s="83">
        <v>1075</v>
      </c>
      <c r="N27" s="82"/>
      <c r="O27" s="83"/>
      <c r="P27" s="57">
        <v>0</v>
      </c>
      <c r="Q27" s="57">
        <v>1075</v>
      </c>
      <c r="R27" s="82"/>
      <c r="S27" s="83"/>
      <c r="T27" s="82"/>
      <c r="U27" s="83"/>
      <c r="V27" s="84"/>
      <c r="W27" s="84"/>
      <c r="X27" s="57">
        <v>0</v>
      </c>
      <c r="Y27" s="57">
        <v>0</v>
      </c>
      <c r="Z27" s="82"/>
      <c r="AA27" s="83"/>
      <c r="AB27" s="82"/>
      <c r="AC27" s="83"/>
      <c r="AD27" s="82"/>
      <c r="AE27" s="83"/>
      <c r="AF27" s="57">
        <v>0</v>
      </c>
      <c r="AG27" s="57">
        <v>0</v>
      </c>
      <c r="AH27" s="85"/>
      <c r="AI27" s="80">
        <v>5740</v>
      </c>
      <c r="AJ27" s="80">
        <v>2567</v>
      </c>
      <c r="AK27" s="24"/>
      <c r="AL27" s="119"/>
      <c r="AM27" s="82"/>
      <c r="AN27" s="83"/>
      <c r="AO27" s="119"/>
      <c r="AP27" s="82"/>
      <c r="AQ27" s="83"/>
    </row>
    <row r="28" spans="1:43" x14ac:dyDescent="0.25">
      <c r="A28" s="1801" t="s">
        <v>100</v>
      </c>
      <c r="B28" s="94">
        <v>2.4</v>
      </c>
      <c r="C28" s="41"/>
      <c r="D28" s="40">
        <v>2.0400000000000009</v>
      </c>
      <c r="E28" s="41"/>
      <c r="F28" s="40">
        <v>2.4</v>
      </c>
      <c r="G28" s="41">
        <v>1.75</v>
      </c>
      <c r="H28" s="42">
        <v>2.2858536585365856</v>
      </c>
      <c r="I28" s="48">
        <v>1.75</v>
      </c>
      <c r="J28" s="40"/>
      <c r="K28" s="41"/>
      <c r="L28" s="40"/>
      <c r="M28" s="41">
        <v>3.3388800697952568</v>
      </c>
      <c r="N28" s="40"/>
      <c r="O28" s="41"/>
      <c r="P28" s="42" t="e">
        <v>#DIV/0!</v>
      </c>
      <c r="Q28" s="48">
        <v>3.3388800697952568</v>
      </c>
      <c r="R28" s="40"/>
      <c r="S28" s="41"/>
      <c r="T28" s="40"/>
      <c r="U28" s="41"/>
      <c r="V28" s="30"/>
      <c r="W28" s="30"/>
      <c r="X28" s="48" t="s">
        <v>217</v>
      </c>
      <c r="Y28" s="48" t="s">
        <v>217</v>
      </c>
      <c r="Z28" s="40"/>
      <c r="AA28" s="41"/>
      <c r="AB28" s="40"/>
      <c r="AC28" s="41"/>
      <c r="AD28" s="40"/>
      <c r="AE28" s="41"/>
      <c r="AF28" s="48" t="s">
        <v>217</v>
      </c>
      <c r="AG28" s="48" t="s">
        <v>217</v>
      </c>
      <c r="AI28" s="79">
        <v>2.2858536585365856</v>
      </c>
      <c r="AJ28" s="79">
        <v>2.4153860829878848</v>
      </c>
      <c r="AK28" s="45"/>
      <c r="AL28" s="120"/>
      <c r="AM28" s="40"/>
      <c r="AN28" s="41"/>
      <c r="AO28" s="120"/>
      <c r="AP28" s="40"/>
      <c r="AQ28" s="41"/>
    </row>
    <row r="29" spans="1:43" s="58" customFormat="1" x14ac:dyDescent="0.25">
      <c r="A29" s="1801" t="s">
        <v>101</v>
      </c>
      <c r="B29" s="92">
        <v>1050</v>
      </c>
      <c r="C29" s="83">
        <v>747</v>
      </c>
      <c r="D29" s="82">
        <v>2030</v>
      </c>
      <c r="E29" s="83"/>
      <c r="F29" s="82">
        <v>2030</v>
      </c>
      <c r="G29" s="83">
        <v>1685</v>
      </c>
      <c r="H29" s="57">
        <v>5110</v>
      </c>
      <c r="I29" s="57">
        <v>2432</v>
      </c>
      <c r="J29" s="82"/>
      <c r="K29" s="83"/>
      <c r="L29" s="82">
        <v>4060</v>
      </c>
      <c r="M29" s="83"/>
      <c r="N29" s="82">
        <v>1050</v>
      </c>
      <c r="O29" s="83"/>
      <c r="P29" s="57">
        <v>5110</v>
      </c>
      <c r="Q29" s="57">
        <v>0</v>
      </c>
      <c r="R29" s="82">
        <v>2170</v>
      </c>
      <c r="S29" s="83">
        <v>2480</v>
      </c>
      <c r="T29" s="82">
        <v>2030</v>
      </c>
      <c r="U29" s="83">
        <v>2264</v>
      </c>
      <c r="V29" s="84"/>
      <c r="W29" s="84"/>
      <c r="X29" s="57">
        <v>4200</v>
      </c>
      <c r="Y29" s="57">
        <v>4744</v>
      </c>
      <c r="Z29" s="82"/>
      <c r="AA29" s="83"/>
      <c r="AB29" s="82"/>
      <c r="AC29" s="83"/>
      <c r="AD29" s="82"/>
      <c r="AE29" s="83"/>
      <c r="AF29" s="57">
        <v>0</v>
      </c>
      <c r="AG29" s="57">
        <v>0</v>
      </c>
      <c r="AH29" s="85"/>
      <c r="AI29" s="80">
        <v>14420</v>
      </c>
      <c r="AJ29" s="80">
        <v>7176</v>
      </c>
      <c r="AK29" s="24"/>
      <c r="AL29" s="119"/>
      <c r="AM29" s="82"/>
      <c r="AN29" s="83"/>
      <c r="AO29" s="119"/>
      <c r="AP29" s="82"/>
      <c r="AQ29" s="83"/>
    </row>
    <row r="30" spans="1:43" x14ac:dyDescent="0.25">
      <c r="A30" s="1801" t="s">
        <v>101</v>
      </c>
      <c r="B30" s="93">
        <v>2.15</v>
      </c>
      <c r="C30" s="47">
        <v>2.38</v>
      </c>
      <c r="D30" s="46">
        <v>2.3900000000000015</v>
      </c>
      <c r="E30" s="47"/>
      <c r="F30" s="46">
        <v>2.1</v>
      </c>
      <c r="G30" s="47">
        <v>1.81</v>
      </c>
      <c r="H30" s="48">
        <v>2.2254794520547949</v>
      </c>
      <c r="I30" s="48">
        <v>1.985078125</v>
      </c>
      <c r="J30" s="46"/>
      <c r="K30" s="47"/>
      <c r="L30" s="46">
        <v>1.5200000000000009</v>
      </c>
      <c r="M30" s="47"/>
      <c r="N30" s="46">
        <v>1.5200000000000009</v>
      </c>
      <c r="O30" s="47"/>
      <c r="P30" s="48">
        <v>1.5200000000000009</v>
      </c>
      <c r="Q30" s="48"/>
      <c r="R30" s="40">
        <v>1.33</v>
      </c>
      <c r="S30" s="47">
        <v>1.2980105133513273</v>
      </c>
      <c r="T30" s="40">
        <v>1.3</v>
      </c>
      <c r="U30" s="47">
        <v>1.4864591855795619</v>
      </c>
      <c r="V30" s="30"/>
      <c r="W30" s="30"/>
      <c r="X30" s="48">
        <v>1.3155000000000001</v>
      </c>
      <c r="Y30" s="48">
        <v>1.3879447026271963</v>
      </c>
      <c r="Z30" s="40"/>
      <c r="AA30" s="47"/>
      <c r="AB30" s="40"/>
      <c r="AC30" s="47"/>
      <c r="AD30" s="40"/>
      <c r="AE30" s="47"/>
      <c r="AF30" s="48" t="s">
        <v>217</v>
      </c>
      <c r="AG30" s="48" t="s">
        <v>217</v>
      </c>
      <c r="AI30" s="79">
        <v>1.710436893203884</v>
      </c>
      <c r="AJ30" s="79">
        <v>1.5903176796632414</v>
      </c>
      <c r="AK30" s="45"/>
      <c r="AL30" s="120"/>
      <c r="AM30" s="40"/>
      <c r="AN30" s="47"/>
      <c r="AO30" s="120"/>
      <c r="AP30" s="40"/>
      <c r="AQ30" s="47"/>
    </row>
    <row r="31" spans="1:43" s="58" customFormat="1" x14ac:dyDescent="0.25">
      <c r="A31" s="1801" t="s">
        <v>103</v>
      </c>
      <c r="B31" s="92">
        <v>3150</v>
      </c>
      <c r="C31" s="83">
        <v>1122</v>
      </c>
      <c r="D31" s="82">
        <v>3045</v>
      </c>
      <c r="E31" s="83"/>
      <c r="F31" s="82"/>
      <c r="G31" s="83">
        <v>612</v>
      </c>
      <c r="H31" s="57">
        <v>6195</v>
      </c>
      <c r="I31" s="57">
        <v>1734</v>
      </c>
      <c r="J31" s="82"/>
      <c r="K31" s="83"/>
      <c r="L31" s="82">
        <v>2030</v>
      </c>
      <c r="M31" s="83"/>
      <c r="N31" s="82">
        <v>2100</v>
      </c>
      <c r="O31" s="83"/>
      <c r="P31" s="57">
        <v>4130</v>
      </c>
      <c r="Q31" s="57"/>
      <c r="R31" s="82"/>
      <c r="S31" s="83"/>
      <c r="T31" s="82"/>
      <c r="U31" s="83"/>
      <c r="V31" s="84"/>
      <c r="W31" s="84"/>
      <c r="X31" s="57">
        <v>0</v>
      </c>
      <c r="Y31" s="57">
        <v>0</v>
      </c>
      <c r="Z31" s="82"/>
      <c r="AA31" s="83"/>
      <c r="AB31" s="82"/>
      <c r="AC31" s="83"/>
      <c r="AD31" s="82"/>
      <c r="AE31" s="83"/>
      <c r="AF31" s="57">
        <v>0</v>
      </c>
      <c r="AG31" s="57">
        <v>0</v>
      </c>
      <c r="AH31" s="85"/>
      <c r="AI31" s="80">
        <v>10325</v>
      </c>
      <c r="AJ31" s="80">
        <v>1734</v>
      </c>
      <c r="AK31" s="24"/>
      <c r="AL31" s="119"/>
      <c r="AM31" s="82"/>
      <c r="AN31" s="83"/>
      <c r="AO31" s="119"/>
      <c r="AP31" s="82"/>
      <c r="AQ31" s="83"/>
    </row>
    <row r="32" spans="1:43" x14ac:dyDescent="0.25">
      <c r="A32" s="1801" t="s">
        <v>210</v>
      </c>
      <c r="B32" s="94">
        <v>2.2399999999999989</v>
      </c>
      <c r="C32" s="41">
        <v>2.5299999999999998</v>
      </c>
      <c r="D32" s="40">
        <v>2.5</v>
      </c>
      <c r="E32" s="41"/>
      <c r="F32" s="40"/>
      <c r="G32" s="41">
        <v>0.98</v>
      </c>
      <c r="H32" s="42">
        <v>2.3677966101694907</v>
      </c>
      <c r="I32" s="48">
        <v>1.9829411764705882</v>
      </c>
      <c r="J32" s="40"/>
      <c r="K32" s="41"/>
      <c r="L32" s="40">
        <v>2.23</v>
      </c>
      <c r="M32" s="41"/>
      <c r="N32" s="40">
        <v>2.23</v>
      </c>
      <c r="O32" s="41"/>
      <c r="P32" s="42">
        <v>2.23</v>
      </c>
      <c r="Q32" s="48"/>
      <c r="R32" s="40"/>
      <c r="S32" s="41"/>
      <c r="T32" s="40"/>
      <c r="U32" s="41"/>
      <c r="V32" s="30"/>
      <c r="W32" s="30"/>
      <c r="X32" s="48" t="s">
        <v>217</v>
      </c>
      <c r="Y32" s="48" t="s">
        <v>217</v>
      </c>
      <c r="Z32" s="40"/>
      <c r="AA32" s="41"/>
      <c r="AB32" s="40"/>
      <c r="AC32" s="41"/>
      <c r="AD32" s="40"/>
      <c r="AE32" s="41"/>
      <c r="AF32" s="48" t="s">
        <v>217</v>
      </c>
      <c r="AG32" s="48" t="s">
        <v>217</v>
      </c>
      <c r="AI32" s="79">
        <v>2.3126779661016945</v>
      </c>
      <c r="AJ32" s="79">
        <v>1.9829411764705882</v>
      </c>
      <c r="AK32" s="45"/>
      <c r="AL32" s="120"/>
      <c r="AM32" s="40"/>
      <c r="AN32" s="41"/>
      <c r="AO32" s="120"/>
      <c r="AP32" s="40"/>
      <c r="AQ32" s="41"/>
    </row>
    <row r="33" spans="1:43" s="58" customFormat="1" x14ac:dyDescent="0.25">
      <c r="A33" s="1801" t="s">
        <v>104</v>
      </c>
      <c r="B33" s="92"/>
      <c r="C33" s="83">
        <v>463</v>
      </c>
      <c r="D33" s="82"/>
      <c r="E33" s="83"/>
      <c r="F33" s="82"/>
      <c r="G33" s="83"/>
      <c r="H33" s="57"/>
      <c r="I33" s="57">
        <v>463</v>
      </c>
      <c r="J33" s="82"/>
      <c r="K33" s="83"/>
      <c r="L33" s="82"/>
      <c r="M33" s="83"/>
      <c r="N33" s="82"/>
      <c r="O33" s="83">
        <v>66</v>
      </c>
      <c r="P33" s="57"/>
      <c r="Q33" s="57">
        <v>66</v>
      </c>
      <c r="R33" s="82"/>
      <c r="S33" s="83"/>
      <c r="T33" s="82"/>
      <c r="U33" s="83"/>
      <c r="V33" s="84"/>
      <c r="W33" s="84"/>
      <c r="X33" s="57">
        <v>0</v>
      </c>
      <c r="Y33" s="57">
        <v>0</v>
      </c>
      <c r="Z33" s="82">
        <v>1085</v>
      </c>
      <c r="AA33" s="83">
        <v>0</v>
      </c>
      <c r="AB33" s="82">
        <v>0</v>
      </c>
      <c r="AC33" s="83">
        <v>597</v>
      </c>
      <c r="AD33" s="82"/>
      <c r="AE33" s="83"/>
      <c r="AF33" s="57">
        <v>1085</v>
      </c>
      <c r="AG33" s="57">
        <v>597</v>
      </c>
      <c r="AH33" s="85"/>
      <c r="AI33" s="80">
        <v>1085</v>
      </c>
      <c r="AJ33" s="80">
        <v>1126</v>
      </c>
      <c r="AK33" s="24"/>
      <c r="AL33" s="119"/>
      <c r="AM33" s="82"/>
      <c r="AN33" s="83"/>
      <c r="AO33" s="119"/>
      <c r="AP33" s="82"/>
      <c r="AQ33" s="83"/>
    </row>
    <row r="34" spans="1:43" x14ac:dyDescent="0.25">
      <c r="A34" s="1801" t="s">
        <v>210</v>
      </c>
      <c r="B34" s="94"/>
      <c r="C34" s="41">
        <v>1.69</v>
      </c>
      <c r="D34" s="40"/>
      <c r="E34" s="41"/>
      <c r="F34" s="40"/>
      <c r="G34" s="41"/>
      <c r="H34" s="42"/>
      <c r="I34" s="48">
        <v>1.6900000000000002</v>
      </c>
      <c r="J34" s="40"/>
      <c r="K34" s="41"/>
      <c r="L34" s="40"/>
      <c r="M34" s="41"/>
      <c r="N34" s="40"/>
      <c r="O34" s="41">
        <v>2.061818181818182</v>
      </c>
      <c r="P34" s="42"/>
      <c r="Q34" s="48">
        <v>2.061818181818182</v>
      </c>
      <c r="R34" s="40"/>
      <c r="S34" s="41"/>
      <c r="T34" s="40"/>
      <c r="U34" s="41"/>
      <c r="V34" s="30"/>
      <c r="W34" s="30"/>
      <c r="X34" s="48" t="s">
        <v>217</v>
      </c>
      <c r="Y34" s="48" t="s">
        <v>217</v>
      </c>
      <c r="Z34" s="40">
        <v>1.39</v>
      </c>
      <c r="AA34" s="41">
        <v>0</v>
      </c>
      <c r="AB34" s="40">
        <v>0</v>
      </c>
      <c r="AC34" s="41">
        <v>1.4855461011904763</v>
      </c>
      <c r="AD34" s="40"/>
      <c r="AE34" s="41"/>
      <c r="AF34" s="48">
        <v>1.39</v>
      </c>
      <c r="AG34" s="48">
        <v>1.4855461011904763</v>
      </c>
      <c r="AI34" s="79">
        <v>1.39</v>
      </c>
      <c r="AJ34" s="79">
        <v>1.6033934479668868</v>
      </c>
      <c r="AK34" s="45"/>
      <c r="AL34" s="120"/>
      <c r="AM34" s="40"/>
      <c r="AN34" s="41"/>
      <c r="AO34" s="120"/>
      <c r="AP34" s="40"/>
      <c r="AQ34" s="41"/>
    </row>
    <row r="35" spans="1:43" s="58" customFormat="1" x14ac:dyDescent="0.25">
      <c r="A35" s="1801" t="s">
        <v>105</v>
      </c>
      <c r="B35" s="92"/>
      <c r="C35" s="83">
        <v>211</v>
      </c>
      <c r="D35" s="82"/>
      <c r="E35" s="83"/>
      <c r="F35" s="82"/>
      <c r="G35" s="83"/>
      <c r="H35" s="57"/>
      <c r="I35" s="57">
        <v>211</v>
      </c>
      <c r="J35" s="82"/>
      <c r="K35" s="83"/>
      <c r="L35" s="82"/>
      <c r="M35" s="83"/>
      <c r="N35" s="82"/>
      <c r="O35" s="83"/>
      <c r="P35" s="57">
        <v>0</v>
      </c>
      <c r="Q35" s="57">
        <v>0</v>
      </c>
      <c r="R35" s="82"/>
      <c r="S35" s="83"/>
      <c r="T35" s="82"/>
      <c r="U35" s="83"/>
      <c r="V35" s="84"/>
      <c r="W35" s="84"/>
      <c r="X35" s="57">
        <v>0</v>
      </c>
      <c r="Y35" s="57">
        <v>0</v>
      </c>
      <c r="Z35" s="82"/>
      <c r="AA35" s="83"/>
      <c r="AB35" s="82"/>
      <c r="AC35" s="83"/>
      <c r="AD35" s="82"/>
      <c r="AE35" s="83"/>
      <c r="AF35" s="57">
        <v>0</v>
      </c>
      <c r="AG35" s="57">
        <v>0</v>
      </c>
      <c r="AH35" s="85"/>
      <c r="AI35" s="80">
        <v>0</v>
      </c>
      <c r="AJ35" s="80">
        <v>211</v>
      </c>
      <c r="AK35" s="24"/>
      <c r="AL35" s="119"/>
      <c r="AM35" s="82"/>
      <c r="AN35" s="83"/>
      <c r="AO35" s="119"/>
      <c r="AP35" s="82"/>
      <c r="AQ35" s="83"/>
    </row>
    <row r="36" spans="1:43" x14ac:dyDescent="0.25">
      <c r="A36" s="1801" t="s">
        <v>210</v>
      </c>
      <c r="B36" s="94"/>
      <c r="C36" s="41">
        <v>2.6</v>
      </c>
      <c r="D36" s="40"/>
      <c r="E36" s="41"/>
      <c r="F36" s="40"/>
      <c r="G36" s="41"/>
      <c r="H36" s="42"/>
      <c r="I36" s="48">
        <v>2.6</v>
      </c>
      <c r="J36" s="40"/>
      <c r="K36" s="41"/>
      <c r="L36" s="40"/>
      <c r="M36" s="41"/>
      <c r="N36" s="40"/>
      <c r="O36" s="41"/>
      <c r="P36" s="42" t="e">
        <v>#DIV/0!</v>
      </c>
      <c r="Q36" s="48" t="e">
        <v>#DIV/0!</v>
      </c>
      <c r="R36" s="40"/>
      <c r="S36" s="41"/>
      <c r="T36" s="40"/>
      <c r="U36" s="41"/>
      <c r="V36" s="30"/>
      <c r="W36" s="30"/>
      <c r="X36" s="48" t="s">
        <v>217</v>
      </c>
      <c r="Y36" s="48" t="s">
        <v>217</v>
      </c>
      <c r="Z36" s="40"/>
      <c r="AA36" s="41"/>
      <c r="AB36" s="40"/>
      <c r="AC36" s="41"/>
      <c r="AD36" s="40"/>
      <c r="AE36" s="41"/>
      <c r="AF36" s="48" t="s">
        <v>217</v>
      </c>
      <c r="AG36" s="48" t="s">
        <v>217</v>
      </c>
      <c r="AI36" s="79" t="s">
        <v>217</v>
      </c>
      <c r="AJ36" s="79">
        <v>2.6</v>
      </c>
      <c r="AK36" s="45"/>
      <c r="AL36" s="120"/>
      <c r="AM36" s="40"/>
      <c r="AN36" s="41"/>
      <c r="AO36" s="120"/>
      <c r="AP36" s="40"/>
      <c r="AQ36" s="41"/>
    </row>
    <row r="37" spans="1:43" s="58" customFormat="1" x14ac:dyDescent="0.25">
      <c r="A37" s="1801" t="s">
        <v>106</v>
      </c>
      <c r="B37" s="92">
        <v>2100</v>
      </c>
      <c r="C37" s="83">
        <v>436</v>
      </c>
      <c r="D37" s="82">
        <v>1015</v>
      </c>
      <c r="E37" s="83">
        <v>1192</v>
      </c>
      <c r="F37" s="82">
        <v>3045</v>
      </c>
      <c r="G37" s="83">
        <v>2150</v>
      </c>
      <c r="H37" s="57">
        <v>6160</v>
      </c>
      <c r="I37" s="57">
        <v>3778</v>
      </c>
      <c r="J37" s="82">
        <v>3920</v>
      </c>
      <c r="K37" s="83">
        <v>3065</v>
      </c>
      <c r="L37" s="82"/>
      <c r="M37" s="83">
        <v>130</v>
      </c>
      <c r="N37" s="82"/>
      <c r="O37" s="83">
        <v>108</v>
      </c>
      <c r="P37" s="57"/>
      <c r="Q37" s="57">
        <v>3303</v>
      </c>
      <c r="R37" s="82"/>
      <c r="S37" s="83"/>
      <c r="T37" s="82"/>
      <c r="U37" s="83"/>
      <c r="V37" s="84"/>
      <c r="W37" s="84"/>
      <c r="X37" s="57">
        <v>0</v>
      </c>
      <c r="Y37" s="57">
        <v>0</v>
      </c>
      <c r="Z37" s="82"/>
      <c r="AA37" s="83"/>
      <c r="AB37" s="82"/>
      <c r="AC37" s="83"/>
      <c r="AD37" s="82"/>
      <c r="AE37" s="83"/>
      <c r="AF37" s="57">
        <v>0</v>
      </c>
      <c r="AG37" s="57">
        <v>0</v>
      </c>
      <c r="AH37" s="85"/>
      <c r="AI37" s="80">
        <v>10080</v>
      </c>
      <c r="AJ37" s="80">
        <v>7081</v>
      </c>
      <c r="AK37" s="24"/>
      <c r="AL37" s="119"/>
      <c r="AM37" s="82"/>
      <c r="AN37" s="83"/>
      <c r="AO37" s="119"/>
      <c r="AP37" s="82"/>
      <c r="AQ37" s="83"/>
    </row>
    <row r="38" spans="1:43" x14ac:dyDescent="0.25">
      <c r="A38" s="1801" t="s">
        <v>106</v>
      </c>
      <c r="B38" s="93">
        <v>2.3400000000000012</v>
      </c>
      <c r="C38" s="47">
        <v>1.84</v>
      </c>
      <c r="D38" s="46">
        <v>1.7799999999999991</v>
      </c>
      <c r="E38" s="47">
        <v>1.75</v>
      </c>
      <c r="F38" s="46">
        <v>2.339999999999999</v>
      </c>
      <c r="G38" s="47">
        <v>1.1000000000000001</v>
      </c>
      <c r="H38" s="48">
        <v>2.2477272727272726</v>
      </c>
      <c r="I38" s="48">
        <v>1.390481736368449</v>
      </c>
      <c r="J38" s="46">
        <v>1.9700000000000009</v>
      </c>
      <c r="K38" s="47">
        <v>1.58</v>
      </c>
      <c r="L38" s="40"/>
      <c r="M38" s="41">
        <v>1.695443773758962</v>
      </c>
      <c r="N38" s="40"/>
      <c r="O38" s="41">
        <v>1.0472409231488971</v>
      </c>
      <c r="P38" s="48"/>
      <c r="Q38" s="48">
        <v>1.5671237391125479</v>
      </c>
      <c r="R38" s="40"/>
      <c r="S38" s="41"/>
      <c r="T38" s="40"/>
      <c r="U38" s="41"/>
      <c r="V38" s="30"/>
      <c r="W38" s="30"/>
      <c r="X38" s="48" t="s">
        <v>217</v>
      </c>
      <c r="Y38" s="48" t="s">
        <v>217</v>
      </c>
      <c r="Z38" s="40"/>
      <c r="AA38" s="41"/>
      <c r="AB38" s="40"/>
      <c r="AC38" s="41"/>
      <c r="AD38" s="40"/>
      <c r="AE38" s="41"/>
      <c r="AF38" s="48" t="s">
        <v>217</v>
      </c>
      <c r="AG38" s="48" t="s">
        <v>217</v>
      </c>
      <c r="AI38" s="79">
        <v>2.1397222222222223</v>
      </c>
      <c r="AJ38" s="79">
        <v>1.4728780836447881</v>
      </c>
      <c r="AK38" s="45"/>
      <c r="AL38" s="120"/>
      <c r="AM38" s="40"/>
      <c r="AN38" s="41"/>
      <c r="AO38" s="120"/>
      <c r="AP38" s="40"/>
      <c r="AQ38" s="41"/>
    </row>
    <row r="39" spans="1:43" s="58" customFormat="1" x14ac:dyDescent="0.25">
      <c r="A39" s="1801" t="s">
        <v>107</v>
      </c>
      <c r="B39" s="92"/>
      <c r="C39" s="83"/>
      <c r="D39" s="82"/>
      <c r="E39" s="83"/>
      <c r="F39" s="82"/>
      <c r="G39" s="83"/>
      <c r="H39" s="57"/>
      <c r="I39" s="57"/>
      <c r="J39" s="82"/>
      <c r="K39" s="83"/>
      <c r="L39" s="82"/>
      <c r="M39" s="83"/>
      <c r="N39" s="82"/>
      <c r="O39" s="83"/>
      <c r="P39" s="57"/>
      <c r="Q39" s="57"/>
      <c r="R39" s="82">
        <v>2170</v>
      </c>
      <c r="S39" s="83">
        <v>1878</v>
      </c>
      <c r="T39" s="82">
        <v>0</v>
      </c>
      <c r="U39" s="83">
        <v>850</v>
      </c>
      <c r="V39" s="84"/>
      <c r="W39" s="84"/>
      <c r="X39" s="57">
        <v>2170</v>
      </c>
      <c r="Y39" s="57">
        <v>2728</v>
      </c>
      <c r="Z39" s="82">
        <v>0</v>
      </c>
      <c r="AA39" s="83">
        <v>1913.8</v>
      </c>
      <c r="AB39" s="82"/>
      <c r="AC39" s="83"/>
      <c r="AD39" s="82"/>
      <c r="AE39" s="83"/>
      <c r="AF39" s="57">
        <v>0</v>
      </c>
      <c r="AG39" s="57">
        <v>1913.8</v>
      </c>
      <c r="AH39" s="85"/>
      <c r="AI39" s="80">
        <v>2170</v>
      </c>
      <c r="AJ39" s="80">
        <v>4641.8</v>
      </c>
      <c r="AK39" s="24"/>
      <c r="AL39" s="119"/>
      <c r="AM39" s="82"/>
      <c r="AN39" s="83"/>
      <c r="AO39" s="119"/>
      <c r="AP39" s="82"/>
      <c r="AQ39" s="83"/>
    </row>
    <row r="40" spans="1:43" x14ac:dyDescent="0.25">
      <c r="A40" s="1801" t="s">
        <v>106</v>
      </c>
      <c r="B40" s="94"/>
      <c r="C40" s="41"/>
      <c r="D40" s="40"/>
      <c r="E40" s="41"/>
      <c r="F40" s="40"/>
      <c r="G40" s="41"/>
      <c r="H40" s="42"/>
      <c r="I40" s="42"/>
      <c r="J40" s="40"/>
      <c r="K40" s="41"/>
      <c r="L40" s="40"/>
      <c r="M40" s="41"/>
      <c r="N40" s="40"/>
      <c r="O40" s="41"/>
      <c r="P40" s="42"/>
      <c r="Q40" s="42"/>
      <c r="R40" s="40">
        <v>1.54</v>
      </c>
      <c r="S40" s="41">
        <v>1.2579484604701134</v>
      </c>
      <c r="T40" s="40">
        <v>0</v>
      </c>
      <c r="U40" s="41">
        <v>1.4245233861804134</v>
      </c>
      <c r="V40" s="30"/>
      <c r="W40" s="30"/>
      <c r="X40" s="48">
        <v>1.54</v>
      </c>
      <c r="Y40" s="48">
        <v>1.3098504717801409</v>
      </c>
      <c r="Z40" s="40">
        <v>0</v>
      </c>
      <c r="AA40" s="41">
        <v>1.155806702390034</v>
      </c>
      <c r="AB40" s="40"/>
      <c r="AC40" s="41"/>
      <c r="AD40" s="40"/>
      <c r="AE40" s="41"/>
      <c r="AF40" s="48" t="s">
        <v>217</v>
      </c>
      <c r="AG40" s="48">
        <v>1.155806702390034</v>
      </c>
      <c r="AI40" s="79">
        <v>1.54</v>
      </c>
      <c r="AJ40" s="79">
        <v>1.2463386949136694</v>
      </c>
      <c r="AK40" s="45"/>
      <c r="AL40" s="120"/>
      <c r="AM40" s="40"/>
      <c r="AN40" s="41"/>
      <c r="AO40" s="120"/>
      <c r="AP40" s="40"/>
      <c r="AQ40" s="41"/>
    </row>
    <row r="41" spans="1:43" s="58" customFormat="1" x14ac:dyDescent="0.25">
      <c r="A41" s="1801" t="s">
        <v>108</v>
      </c>
      <c r="B41" s="92"/>
      <c r="C41" s="83">
        <v>223</v>
      </c>
      <c r="D41" s="82"/>
      <c r="E41" s="83"/>
      <c r="F41" s="82"/>
      <c r="G41" s="83"/>
      <c r="H41" s="57"/>
      <c r="I41" s="57">
        <v>223</v>
      </c>
      <c r="J41" s="82"/>
      <c r="K41" s="83"/>
      <c r="L41" s="82">
        <v>2030</v>
      </c>
      <c r="M41" s="86">
        <v>2245.8000000000002</v>
      </c>
      <c r="N41" s="82">
        <v>1050</v>
      </c>
      <c r="O41" s="83">
        <v>846</v>
      </c>
      <c r="P41" s="57">
        <v>3080</v>
      </c>
      <c r="Q41" s="57">
        <v>3091.8</v>
      </c>
      <c r="R41" s="82"/>
      <c r="S41" s="83"/>
      <c r="T41" s="82"/>
      <c r="U41" s="83"/>
      <c r="V41" s="84"/>
      <c r="W41" s="84"/>
      <c r="X41" s="57">
        <v>0</v>
      </c>
      <c r="Y41" s="57">
        <v>0</v>
      </c>
      <c r="Z41" s="82"/>
      <c r="AA41" s="83"/>
      <c r="AB41" s="82"/>
      <c r="AC41" s="83"/>
      <c r="AD41" s="82"/>
      <c r="AE41" s="83"/>
      <c r="AF41" s="57">
        <v>0</v>
      </c>
      <c r="AG41" s="57">
        <v>0</v>
      </c>
      <c r="AH41" s="85"/>
      <c r="AI41" s="80">
        <v>3080</v>
      </c>
      <c r="AJ41" s="80">
        <v>3314.8</v>
      </c>
      <c r="AK41" s="24"/>
      <c r="AL41" s="119"/>
      <c r="AM41" s="82"/>
      <c r="AN41" s="83"/>
      <c r="AO41" s="119"/>
      <c r="AP41" s="82"/>
      <c r="AQ41" s="83"/>
    </row>
    <row r="42" spans="1:43" x14ac:dyDescent="0.25">
      <c r="A42" s="1801" t="s">
        <v>106</v>
      </c>
      <c r="B42" s="94"/>
      <c r="C42" s="41">
        <v>3.01</v>
      </c>
      <c r="D42" s="40"/>
      <c r="E42" s="41"/>
      <c r="F42" s="40"/>
      <c r="G42" s="41"/>
      <c r="H42" s="42"/>
      <c r="I42" s="48">
        <v>3.01</v>
      </c>
      <c r="J42" s="40"/>
      <c r="K42" s="41"/>
      <c r="L42" s="46">
        <v>1.9700000000000009</v>
      </c>
      <c r="M42" s="41">
        <v>1.7266482603925628</v>
      </c>
      <c r="N42" s="46">
        <v>1.9700000000000009</v>
      </c>
      <c r="O42" s="47">
        <v>1.5525913395417199</v>
      </c>
      <c r="P42" s="42">
        <v>1.9700000000000006</v>
      </c>
      <c r="Q42" s="48">
        <v>1.6790215849802423</v>
      </c>
      <c r="R42" s="40"/>
      <c r="S42" s="47"/>
      <c r="T42" s="40"/>
      <c r="U42" s="47"/>
      <c r="V42" s="30"/>
      <c r="W42" s="30"/>
      <c r="X42" s="48" t="s">
        <v>217</v>
      </c>
      <c r="Y42" s="48" t="s">
        <v>217</v>
      </c>
      <c r="Z42" s="40"/>
      <c r="AA42" s="47"/>
      <c r="AB42" s="40"/>
      <c r="AC42" s="47"/>
      <c r="AD42" s="40"/>
      <c r="AE42" s="47"/>
      <c r="AF42" s="48" t="s">
        <v>217</v>
      </c>
      <c r="AG42" s="48" t="s">
        <v>217</v>
      </c>
      <c r="AI42" s="79">
        <v>1.9700000000000006</v>
      </c>
      <c r="AJ42" s="79">
        <v>1.7685618850132474</v>
      </c>
      <c r="AK42" s="45"/>
      <c r="AL42" s="120"/>
      <c r="AM42" s="40"/>
      <c r="AN42" s="47"/>
      <c r="AO42" s="120"/>
      <c r="AP42" s="40"/>
      <c r="AQ42" s="47"/>
    </row>
    <row r="43" spans="1:43" s="58" customFormat="1" x14ac:dyDescent="0.25">
      <c r="A43" s="1801" t="s">
        <v>97</v>
      </c>
      <c r="B43" s="92"/>
      <c r="C43" s="83"/>
      <c r="D43" s="82"/>
      <c r="E43" s="83"/>
      <c r="F43" s="82"/>
      <c r="G43" s="83"/>
      <c r="H43" s="57"/>
      <c r="I43" s="57"/>
      <c r="J43" s="82"/>
      <c r="K43" s="83"/>
      <c r="L43" s="82"/>
      <c r="M43" s="87"/>
      <c r="N43" s="82"/>
      <c r="O43" s="83"/>
      <c r="P43" s="57"/>
      <c r="Q43" s="57"/>
      <c r="R43" s="82">
        <v>0</v>
      </c>
      <c r="S43" s="83">
        <v>549.39999999999986</v>
      </c>
      <c r="T43" s="82">
        <v>0</v>
      </c>
      <c r="U43" s="83">
        <v>35</v>
      </c>
      <c r="V43" s="84"/>
      <c r="W43" s="84"/>
      <c r="X43" s="57">
        <v>0</v>
      </c>
      <c r="Y43" s="57">
        <v>584.39999999999986</v>
      </c>
      <c r="Z43" s="82"/>
      <c r="AA43" s="83"/>
      <c r="AB43" s="82"/>
      <c r="AC43" s="83"/>
      <c r="AD43" s="82"/>
      <c r="AE43" s="83"/>
      <c r="AF43" s="57">
        <v>0</v>
      </c>
      <c r="AG43" s="57">
        <v>0</v>
      </c>
      <c r="AH43" s="85"/>
      <c r="AI43" s="80">
        <v>0</v>
      </c>
      <c r="AJ43" s="80">
        <v>584.39999999999986</v>
      </c>
      <c r="AK43" s="24"/>
      <c r="AL43" s="119"/>
      <c r="AM43" s="82"/>
      <c r="AN43" s="83"/>
      <c r="AO43" s="119"/>
      <c r="AP43" s="82"/>
      <c r="AQ43" s="83"/>
    </row>
    <row r="44" spans="1:43" x14ac:dyDescent="0.25">
      <c r="A44" s="1801" t="s">
        <v>106</v>
      </c>
      <c r="B44" s="94"/>
      <c r="C44" s="41"/>
      <c r="D44" s="40"/>
      <c r="E44" s="41"/>
      <c r="F44" s="40"/>
      <c r="G44" s="41"/>
      <c r="H44" s="42"/>
      <c r="I44" s="42"/>
      <c r="J44" s="40"/>
      <c r="K44" s="41"/>
      <c r="L44" s="40"/>
      <c r="M44" s="55"/>
      <c r="N44" s="40"/>
      <c r="O44" s="41"/>
      <c r="P44" s="42"/>
      <c r="Q44" s="42"/>
      <c r="R44" s="40">
        <v>0</v>
      </c>
      <c r="S44" s="41">
        <v>1.1537871229789576</v>
      </c>
      <c r="T44" s="40">
        <v>0</v>
      </c>
      <c r="U44" s="41">
        <v>0.8361332918885036</v>
      </c>
      <c r="V44" s="30"/>
      <c r="W44" s="30"/>
      <c r="X44" s="48" t="s">
        <v>217</v>
      </c>
      <c r="Y44" s="48">
        <v>1.1347626806651898</v>
      </c>
      <c r="Z44" s="40"/>
      <c r="AA44" s="41"/>
      <c r="AB44" s="40"/>
      <c r="AC44" s="41"/>
      <c r="AD44" s="40"/>
      <c r="AE44" s="41"/>
      <c r="AF44" s="48" t="s">
        <v>217</v>
      </c>
      <c r="AG44" s="48" t="s">
        <v>217</v>
      </c>
      <c r="AI44" s="79" t="s">
        <v>217</v>
      </c>
      <c r="AJ44" s="79">
        <v>1.1347626806651898</v>
      </c>
      <c r="AK44" s="45"/>
      <c r="AL44" s="120"/>
      <c r="AM44" s="40"/>
      <c r="AN44" s="41"/>
      <c r="AO44" s="120"/>
      <c r="AP44" s="40"/>
      <c r="AQ44" s="41"/>
    </row>
    <row r="45" spans="1:43" s="58" customFormat="1" x14ac:dyDescent="0.25">
      <c r="A45" s="1801" t="s">
        <v>109</v>
      </c>
      <c r="B45" s="92">
        <v>3150</v>
      </c>
      <c r="C45" s="83">
        <v>1105</v>
      </c>
      <c r="D45" s="82">
        <v>4060</v>
      </c>
      <c r="E45" s="83">
        <v>5606</v>
      </c>
      <c r="F45" s="82">
        <v>4060</v>
      </c>
      <c r="G45" s="83">
        <v>5282</v>
      </c>
      <c r="H45" s="57">
        <v>11270</v>
      </c>
      <c r="I45" s="57">
        <v>11993</v>
      </c>
      <c r="J45" s="82">
        <v>1960</v>
      </c>
      <c r="K45" s="83"/>
      <c r="L45" s="82">
        <v>2030</v>
      </c>
      <c r="M45" s="88"/>
      <c r="N45" s="82">
        <v>2100</v>
      </c>
      <c r="O45" s="83">
        <v>746.8</v>
      </c>
      <c r="P45" s="57">
        <v>6090</v>
      </c>
      <c r="Q45" s="57">
        <v>746.8</v>
      </c>
      <c r="R45" s="82">
        <v>3255</v>
      </c>
      <c r="S45" s="83">
        <v>3222.6</v>
      </c>
      <c r="T45" s="82">
        <v>2030</v>
      </c>
      <c r="U45" s="83">
        <v>1464.6</v>
      </c>
      <c r="V45" s="84"/>
      <c r="W45" s="84"/>
      <c r="X45" s="57">
        <v>5285</v>
      </c>
      <c r="Y45" s="57">
        <v>4687.2</v>
      </c>
      <c r="Z45" s="82"/>
      <c r="AA45" s="83"/>
      <c r="AB45" s="82"/>
      <c r="AC45" s="83"/>
      <c r="AD45" s="82"/>
      <c r="AE45" s="83"/>
      <c r="AF45" s="57">
        <v>0</v>
      </c>
      <c r="AG45" s="57">
        <v>0</v>
      </c>
      <c r="AH45" s="85"/>
      <c r="AI45" s="80">
        <v>22645</v>
      </c>
      <c r="AJ45" s="80">
        <v>17427</v>
      </c>
      <c r="AK45" s="24"/>
      <c r="AL45" s="119"/>
      <c r="AM45" s="82"/>
      <c r="AN45" s="83"/>
      <c r="AO45" s="119"/>
      <c r="AP45" s="82"/>
      <c r="AQ45" s="83"/>
    </row>
    <row r="46" spans="1:43" x14ac:dyDescent="0.25">
      <c r="A46" s="1801" t="s">
        <v>109</v>
      </c>
      <c r="B46" s="93">
        <v>2.3899999999999988</v>
      </c>
      <c r="C46" s="47">
        <v>2.39</v>
      </c>
      <c r="D46" s="46">
        <v>2.2599999999999989</v>
      </c>
      <c r="E46" s="47">
        <v>2.5099999999999998</v>
      </c>
      <c r="F46" s="46">
        <v>3.2900000000000018</v>
      </c>
      <c r="G46" s="47">
        <v>2.86</v>
      </c>
      <c r="H46" s="48">
        <v>2.6673913043478259</v>
      </c>
      <c r="I46" s="42">
        <v>2.6530918035520719</v>
      </c>
      <c r="J46" s="46">
        <v>2.1799999999999997</v>
      </c>
      <c r="K46" s="47"/>
      <c r="L46" s="40">
        <v>2.1799999999999997</v>
      </c>
      <c r="M46" s="41"/>
      <c r="N46" s="40">
        <v>2.1800000000000002</v>
      </c>
      <c r="O46" s="41">
        <v>1.4487568701195914</v>
      </c>
      <c r="P46" s="48">
        <v>2.1799999999999997</v>
      </c>
      <c r="Q46" s="42">
        <v>1.4487568701195914</v>
      </c>
      <c r="R46" s="40">
        <v>2.15</v>
      </c>
      <c r="S46" s="41">
        <v>1.5063331883336391</v>
      </c>
      <c r="T46" s="40">
        <v>1.99</v>
      </c>
      <c r="U46" s="41">
        <v>2.384528276867214</v>
      </c>
      <c r="V46" s="30"/>
      <c r="W46" s="30"/>
      <c r="X46" s="48">
        <v>2.088543046357616</v>
      </c>
      <c r="Y46" s="48">
        <v>1.7807410494588893</v>
      </c>
      <c r="Z46" s="40"/>
      <c r="AA46" s="41"/>
      <c r="AB46" s="40"/>
      <c r="AC46" s="41"/>
      <c r="AD46" s="40"/>
      <c r="AE46" s="41"/>
      <c r="AF46" s="48" t="s">
        <v>217</v>
      </c>
      <c r="AG46" s="48" t="s">
        <v>217</v>
      </c>
      <c r="AI46" s="79">
        <v>2.401221020092736</v>
      </c>
      <c r="AJ46" s="79">
        <v>2.3668532207281237</v>
      </c>
      <c r="AK46" s="45"/>
      <c r="AL46" s="120"/>
      <c r="AM46" s="40"/>
      <c r="AN46" s="41"/>
      <c r="AO46" s="120"/>
      <c r="AP46" s="40"/>
      <c r="AQ46" s="41"/>
    </row>
    <row r="47" spans="1:43" s="58" customFormat="1" x14ac:dyDescent="0.25">
      <c r="A47" s="1801" t="s">
        <v>110</v>
      </c>
      <c r="B47" s="92"/>
      <c r="C47" s="83">
        <v>2209</v>
      </c>
      <c r="D47" s="82"/>
      <c r="E47" s="83"/>
      <c r="F47" s="82"/>
      <c r="G47" s="83"/>
      <c r="H47" s="57"/>
      <c r="I47" s="57">
        <v>2209</v>
      </c>
      <c r="J47" s="82">
        <v>1960</v>
      </c>
      <c r="K47" s="83">
        <v>4174</v>
      </c>
      <c r="L47" s="82"/>
      <c r="M47" s="83">
        <v>684</v>
      </c>
      <c r="N47" s="82"/>
      <c r="O47" s="83"/>
      <c r="P47" s="57">
        <v>1960</v>
      </c>
      <c r="Q47" s="57">
        <v>4858</v>
      </c>
      <c r="R47" s="82">
        <v>0</v>
      </c>
      <c r="S47" s="83">
        <v>144</v>
      </c>
      <c r="T47" s="82">
        <v>3045</v>
      </c>
      <c r="U47" s="83">
        <v>2252</v>
      </c>
      <c r="V47" s="84"/>
      <c r="W47" s="84"/>
      <c r="X47" s="57">
        <v>3045</v>
      </c>
      <c r="Y47" s="57">
        <v>2396</v>
      </c>
      <c r="Z47" s="82">
        <v>2480</v>
      </c>
      <c r="AA47" s="83">
        <v>1406</v>
      </c>
      <c r="AB47" s="82"/>
      <c r="AC47" s="83"/>
      <c r="AD47" s="82"/>
      <c r="AE47" s="83"/>
      <c r="AF47" s="57">
        <v>2480</v>
      </c>
      <c r="AG47" s="57">
        <v>1406</v>
      </c>
      <c r="AH47" s="85"/>
      <c r="AI47" s="80">
        <v>7485</v>
      </c>
      <c r="AJ47" s="80">
        <v>10869</v>
      </c>
      <c r="AK47" s="24"/>
      <c r="AL47" s="119"/>
      <c r="AM47" s="82"/>
      <c r="AN47" s="83"/>
      <c r="AO47" s="119"/>
      <c r="AP47" s="82"/>
      <c r="AQ47" s="83"/>
    </row>
    <row r="48" spans="1:43" x14ac:dyDescent="0.25">
      <c r="A48" s="1801" t="s">
        <v>109</v>
      </c>
      <c r="B48" s="94"/>
      <c r="C48" s="41">
        <v>2.33</v>
      </c>
      <c r="D48" s="40"/>
      <c r="E48" s="41"/>
      <c r="F48" s="40"/>
      <c r="G48" s="41"/>
      <c r="H48" s="42"/>
      <c r="I48" s="48">
        <v>2.33</v>
      </c>
      <c r="J48" s="40">
        <v>1.8</v>
      </c>
      <c r="K48" s="41">
        <v>1.44</v>
      </c>
      <c r="L48" s="46"/>
      <c r="M48" s="47">
        <v>1.3417929252448231</v>
      </c>
      <c r="N48" s="46"/>
      <c r="O48" s="47"/>
      <c r="P48" s="42">
        <v>1.8</v>
      </c>
      <c r="Q48" s="48">
        <v>1.4261725732539026</v>
      </c>
      <c r="R48" s="40">
        <v>0</v>
      </c>
      <c r="S48" s="47">
        <v>0</v>
      </c>
      <c r="T48" s="40">
        <v>2.87</v>
      </c>
      <c r="U48" s="47">
        <v>1.7032344834765811</v>
      </c>
      <c r="V48" s="30"/>
      <c r="W48" s="30"/>
      <c r="X48" s="48">
        <v>2.8699999999999997</v>
      </c>
      <c r="Y48" s="48">
        <v>1.6008698066733142</v>
      </c>
      <c r="Z48" s="40">
        <v>2.84</v>
      </c>
      <c r="AA48" s="47">
        <v>2.019180383693433</v>
      </c>
      <c r="AB48" s="40"/>
      <c r="AC48" s="47"/>
      <c r="AD48" s="40"/>
      <c r="AE48" s="47"/>
      <c r="AF48" s="48">
        <v>2.84</v>
      </c>
      <c r="AG48" s="48">
        <v>2.019180383693433</v>
      </c>
      <c r="AI48" s="79">
        <v>2.5798730794923177</v>
      </c>
      <c r="AJ48" s="79">
        <v>1.7250867639276553</v>
      </c>
      <c r="AK48" s="45"/>
      <c r="AL48" s="120"/>
      <c r="AM48" s="40"/>
      <c r="AN48" s="47"/>
      <c r="AO48" s="120"/>
      <c r="AP48" s="40"/>
      <c r="AQ48" s="47"/>
    </row>
    <row r="49" spans="1:43" s="58" customFormat="1" x14ac:dyDescent="0.25">
      <c r="A49" s="1801" t="s">
        <v>111</v>
      </c>
      <c r="B49" s="92">
        <v>1050</v>
      </c>
      <c r="C49" s="83">
        <v>2266</v>
      </c>
      <c r="D49" s="82"/>
      <c r="E49" s="83"/>
      <c r="F49" s="82"/>
      <c r="G49" s="83"/>
      <c r="H49" s="57">
        <v>1050</v>
      </c>
      <c r="I49" s="57">
        <v>2266</v>
      </c>
      <c r="J49" s="82">
        <v>1960</v>
      </c>
      <c r="K49" s="83">
        <v>141</v>
      </c>
      <c r="L49" s="82"/>
      <c r="M49" s="83">
        <v>276.8</v>
      </c>
      <c r="N49" s="82"/>
      <c r="O49" s="83">
        <v>2100.3999999999996</v>
      </c>
      <c r="P49" s="57"/>
      <c r="Q49" s="57">
        <v>2518.1999999999998</v>
      </c>
      <c r="R49" s="82"/>
      <c r="S49" s="83"/>
      <c r="T49" s="82"/>
      <c r="U49" s="83"/>
      <c r="V49" s="84"/>
      <c r="W49" s="84"/>
      <c r="X49" s="57">
        <v>0</v>
      </c>
      <c r="Y49" s="57">
        <v>0</v>
      </c>
      <c r="Z49" s="82">
        <v>2170</v>
      </c>
      <c r="AA49" s="83">
        <v>0</v>
      </c>
      <c r="AB49" s="82">
        <v>2100</v>
      </c>
      <c r="AC49" s="83">
        <v>1715</v>
      </c>
      <c r="AD49" s="82">
        <v>2030</v>
      </c>
      <c r="AE49" s="83">
        <v>1516</v>
      </c>
      <c r="AF49" s="57">
        <v>6300</v>
      </c>
      <c r="AG49" s="57">
        <v>3231</v>
      </c>
      <c r="AH49" s="85"/>
      <c r="AI49" s="80">
        <v>9310</v>
      </c>
      <c r="AJ49" s="80">
        <v>8015.2</v>
      </c>
      <c r="AK49" s="24"/>
      <c r="AL49" s="119"/>
      <c r="AM49" s="82"/>
      <c r="AN49" s="83"/>
      <c r="AO49" s="119"/>
      <c r="AP49" s="82"/>
      <c r="AQ49" s="83"/>
    </row>
    <row r="50" spans="1:43" x14ac:dyDescent="0.25">
      <c r="A50" s="1801"/>
      <c r="B50" s="93">
        <v>2.3900000000000015</v>
      </c>
      <c r="C50" s="47">
        <v>2.35</v>
      </c>
      <c r="D50" s="46"/>
      <c r="E50" s="47"/>
      <c r="F50" s="46"/>
      <c r="G50" s="47"/>
      <c r="H50" s="48">
        <v>2.3900000000000015</v>
      </c>
      <c r="I50" s="48">
        <v>2.35</v>
      </c>
      <c r="J50" s="46">
        <v>1.8799999999999992</v>
      </c>
      <c r="K50" s="47">
        <v>1.72</v>
      </c>
      <c r="L50" s="40"/>
      <c r="M50" s="41">
        <v>1.6330348004917614</v>
      </c>
      <c r="N50" s="40"/>
      <c r="O50" s="41">
        <v>2.0633848980057983</v>
      </c>
      <c r="P50" s="48"/>
      <c r="Q50" s="48">
        <v>1.9968539721020959</v>
      </c>
      <c r="R50" s="40"/>
      <c r="S50" s="41"/>
      <c r="T50" s="40"/>
      <c r="U50" s="41"/>
      <c r="V50" s="30"/>
      <c r="W50" s="30"/>
      <c r="X50" s="48" t="s">
        <v>217</v>
      </c>
      <c r="Y50" s="48" t="s">
        <v>217</v>
      </c>
      <c r="Z50" s="40">
        <v>2.84</v>
      </c>
      <c r="AA50" s="41">
        <v>0</v>
      </c>
      <c r="AB50" s="40">
        <v>1.4</v>
      </c>
      <c r="AC50" s="41">
        <v>1.8307786458333333</v>
      </c>
      <c r="AD50" s="40">
        <v>1.4</v>
      </c>
      <c r="AE50" s="41">
        <v>0.78</v>
      </c>
      <c r="AF50" s="48">
        <v>1.8959999999999999</v>
      </c>
      <c r="AG50" s="48">
        <v>1.3377484919851954</v>
      </c>
      <c r="AI50" s="79">
        <v>1.948345864661654</v>
      </c>
      <c r="AJ50" s="79">
        <v>1.8310014784598843</v>
      </c>
      <c r="AK50" s="45"/>
      <c r="AL50" s="120"/>
      <c r="AM50" s="40"/>
      <c r="AN50" s="41"/>
      <c r="AO50" s="120"/>
      <c r="AP50" s="40"/>
      <c r="AQ50" s="41"/>
    </row>
    <row r="51" spans="1:43" s="58" customFormat="1" x14ac:dyDescent="0.25">
      <c r="A51" s="1801" t="s">
        <v>112</v>
      </c>
      <c r="B51" s="92">
        <v>2100</v>
      </c>
      <c r="C51" s="83"/>
      <c r="D51" s="82">
        <v>1015</v>
      </c>
      <c r="E51" s="83"/>
      <c r="F51" s="82">
        <v>2030</v>
      </c>
      <c r="G51" s="83">
        <v>715</v>
      </c>
      <c r="H51" s="57">
        <v>5145</v>
      </c>
      <c r="I51" s="57">
        <v>715</v>
      </c>
      <c r="J51" s="82">
        <v>1960</v>
      </c>
      <c r="K51" s="83">
        <v>6902</v>
      </c>
      <c r="L51" s="82">
        <v>2030</v>
      </c>
      <c r="M51" s="83">
        <v>2547.8000000000002</v>
      </c>
      <c r="N51" s="82">
        <v>2100</v>
      </c>
      <c r="O51" s="83">
        <v>351.6</v>
      </c>
      <c r="P51" s="57">
        <v>6090</v>
      </c>
      <c r="Q51" s="57">
        <v>9801.4</v>
      </c>
      <c r="R51" s="82"/>
      <c r="S51" s="83"/>
      <c r="T51" s="82"/>
      <c r="U51" s="83"/>
      <c r="V51" s="84"/>
      <c r="W51" s="84"/>
      <c r="X51" s="57">
        <v>0</v>
      </c>
      <c r="Y51" s="57">
        <v>0</v>
      </c>
      <c r="Z51" s="82"/>
      <c r="AA51" s="83"/>
      <c r="AB51" s="82"/>
      <c r="AC51" s="83"/>
      <c r="AD51" s="82"/>
      <c r="AE51" s="83"/>
      <c r="AF51" s="57">
        <v>0</v>
      </c>
      <c r="AG51" s="57">
        <v>0</v>
      </c>
      <c r="AH51" s="85"/>
      <c r="AI51" s="80">
        <v>11235</v>
      </c>
      <c r="AJ51" s="80">
        <v>10516.4</v>
      </c>
      <c r="AK51" s="24"/>
      <c r="AL51" s="119"/>
      <c r="AM51" s="82"/>
      <c r="AN51" s="83"/>
      <c r="AO51" s="119"/>
      <c r="AP51" s="82"/>
      <c r="AQ51" s="83"/>
    </row>
    <row r="52" spans="1:43" x14ac:dyDescent="0.25">
      <c r="A52" s="1801" t="s">
        <v>115</v>
      </c>
      <c r="B52" s="94">
        <v>3.1620000000000013</v>
      </c>
      <c r="C52" s="41"/>
      <c r="D52" s="40">
        <v>2.7800000000000007</v>
      </c>
      <c r="E52" s="41"/>
      <c r="F52" s="40">
        <v>2.4</v>
      </c>
      <c r="G52" s="41">
        <v>1.38</v>
      </c>
      <c r="H52" s="48">
        <v>2.7859863945578236</v>
      </c>
      <c r="I52" s="48">
        <v>1.38</v>
      </c>
      <c r="J52" s="40">
        <v>2.3400000000000012</v>
      </c>
      <c r="K52" s="41">
        <v>1.91</v>
      </c>
      <c r="L52" s="40">
        <v>1.8</v>
      </c>
      <c r="M52" s="41">
        <v>2.2883290197973722</v>
      </c>
      <c r="N52" s="40">
        <v>1.8</v>
      </c>
      <c r="O52" s="41">
        <v>1.6873037542662117</v>
      </c>
      <c r="P52" s="48">
        <v>1.9737931034482761</v>
      </c>
      <c r="Q52" s="48">
        <v>2.0003551203542096</v>
      </c>
      <c r="R52" s="40"/>
      <c r="S52" s="41"/>
      <c r="T52" s="40"/>
      <c r="U52" s="41"/>
      <c r="V52" s="30"/>
      <c r="W52" s="30"/>
      <c r="X52" s="48" t="s">
        <v>217</v>
      </c>
      <c r="Y52" s="48" t="s">
        <v>217</v>
      </c>
      <c r="Z52" s="40"/>
      <c r="AA52" s="41"/>
      <c r="AB52" s="40"/>
      <c r="AC52" s="41"/>
      <c r="AD52" s="40"/>
      <c r="AE52" s="41"/>
      <c r="AF52" s="48" t="s">
        <v>217</v>
      </c>
      <c r="AG52" s="48" t="s">
        <v>217</v>
      </c>
      <c r="AI52" s="79">
        <v>2.345732087227415</v>
      </c>
      <c r="AJ52" s="79">
        <v>1.958177767737985</v>
      </c>
      <c r="AK52" s="45"/>
      <c r="AL52" s="120"/>
      <c r="AM52" s="40"/>
      <c r="AN52" s="41"/>
      <c r="AO52" s="120"/>
      <c r="AP52" s="40"/>
      <c r="AQ52" s="41"/>
    </row>
    <row r="53" spans="1:43" s="58" customFormat="1" x14ac:dyDescent="0.25">
      <c r="A53" s="1801" t="s">
        <v>113</v>
      </c>
      <c r="B53" s="92">
        <v>2100</v>
      </c>
      <c r="C53" s="83"/>
      <c r="D53" s="82"/>
      <c r="E53" s="83"/>
      <c r="F53" s="82"/>
      <c r="G53" s="83"/>
      <c r="H53" s="57">
        <v>2100</v>
      </c>
      <c r="I53" s="57">
        <v>0</v>
      </c>
      <c r="J53" s="82">
        <v>1960</v>
      </c>
      <c r="K53" s="83"/>
      <c r="L53" s="82">
        <v>2030</v>
      </c>
      <c r="M53" s="83"/>
      <c r="N53" s="82">
        <v>2100</v>
      </c>
      <c r="O53" s="83"/>
      <c r="P53" s="57">
        <v>6090</v>
      </c>
      <c r="Q53" s="57">
        <v>0</v>
      </c>
      <c r="R53" s="82"/>
      <c r="S53" s="83"/>
      <c r="T53" s="82"/>
      <c r="U53" s="83"/>
      <c r="V53" s="84"/>
      <c r="W53" s="84"/>
      <c r="X53" s="57">
        <v>0</v>
      </c>
      <c r="Y53" s="57">
        <v>0</v>
      </c>
      <c r="Z53" s="82"/>
      <c r="AA53" s="83"/>
      <c r="AB53" s="82"/>
      <c r="AC53" s="83"/>
      <c r="AD53" s="82"/>
      <c r="AE53" s="83"/>
      <c r="AF53" s="57">
        <v>0</v>
      </c>
      <c r="AG53" s="57">
        <v>0</v>
      </c>
      <c r="AH53" s="85"/>
      <c r="AI53" s="80">
        <v>8190</v>
      </c>
      <c r="AJ53" s="80">
        <v>0</v>
      </c>
      <c r="AK53" s="24"/>
      <c r="AL53" s="119">
        <f>'STOPE SUMMARY PIVOT'!D1571</f>
        <v>2921</v>
      </c>
      <c r="AM53" s="82"/>
      <c r="AN53" s="83"/>
      <c r="AO53" s="119"/>
      <c r="AP53" s="82"/>
      <c r="AQ53" s="83"/>
    </row>
    <row r="54" spans="1:43" x14ac:dyDescent="0.25">
      <c r="A54" s="1801"/>
      <c r="B54" s="93">
        <v>3.1620000000000013</v>
      </c>
      <c r="C54" s="47"/>
      <c r="D54" s="46"/>
      <c r="E54" s="47"/>
      <c r="F54" s="46"/>
      <c r="G54" s="47"/>
      <c r="H54" s="48">
        <v>3.1620000000000013</v>
      </c>
      <c r="I54" s="48" t="e">
        <v>#DIV/0!</v>
      </c>
      <c r="J54" s="46">
        <v>2.8800000000000003</v>
      </c>
      <c r="K54" s="47"/>
      <c r="L54" s="46">
        <v>1.8799999999999992</v>
      </c>
      <c r="M54" s="47"/>
      <c r="N54" s="46">
        <v>1.8799999999999992</v>
      </c>
      <c r="O54" s="47"/>
      <c r="P54" s="48">
        <v>2.2018390804597696</v>
      </c>
      <c r="Q54" s="48" t="e">
        <v>#DIV/0!</v>
      </c>
      <c r="R54" s="40"/>
      <c r="S54" s="47"/>
      <c r="T54" s="40"/>
      <c r="U54" s="47"/>
      <c r="V54" s="30"/>
      <c r="W54" s="30"/>
      <c r="X54" s="48" t="s">
        <v>217</v>
      </c>
      <c r="Y54" s="48" t="s">
        <v>217</v>
      </c>
      <c r="Z54" s="40"/>
      <c r="AA54" s="47"/>
      <c r="AB54" s="40"/>
      <c r="AC54" s="47"/>
      <c r="AD54" s="40"/>
      <c r="AE54" s="47"/>
      <c r="AF54" s="48" t="s">
        <v>217</v>
      </c>
      <c r="AG54" s="48" t="s">
        <v>217</v>
      </c>
      <c r="AI54" s="79">
        <v>2.448034188034188</v>
      </c>
      <c r="AJ54" s="79" t="s">
        <v>217</v>
      </c>
      <c r="AK54" s="45"/>
      <c r="AL54" s="120">
        <f>'STOPE SUMMARY PIVOT'!E1571</f>
        <v>2.71</v>
      </c>
      <c r="AM54" s="40"/>
      <c r="AN54" s="47"/>
      <c r="AO54" s="120"/>
      <c r="AP54" s="40"/>
      <c r="AQ54" s="47"/>
    </row>
    <row r="55" spans="1:43" s="58" customFormat="1" x14ac:dyDescent="0.25">
      <c r="A55" s="1801" t="s">
        <v>114</v>
      </c>
      <c r="B55" s="92"/>
      <c r="C55" s="83">
        <v>1622</v>
      </c>
      <c r="D55" s="82"/>
      <c r="E55" s="83"/>
      <c r="F55" s="82"/>
      <c r="G55" s="83"/>
      <c r="H55" s="57"/>
      <c r="I55" s="57">
        <v>1622</v>
      </c>
      <c r="J55" s="82">
        <v>1960</v>
      </c>
      <c r="K55" s="83">
        <v>1369</v>
      </c>
      <c r="L55" s="82">
        <v>2030</v>
      </c>
      <c r="M55" s="83">
        <v>2600.0000000000005</v>
      </c>
      <c r="N55" s="82">
        <v>4200</v>
      </c>
      <c r="O55" s="83">
        <v>2715.6</v>
      </c>
      <c r="P55" s="57">
        <v>8190</v>
      </c>
      <c r="Q55" s="57">
        <v>6684.6</v>
      </c>
      <c r="R55" s="82"/>
      <c r="S55" s="83"/>
      <c r="T55" s="82"/>
      <c r="U55" s="83"/>
      <c r="V55" s="84"/>
      <c r="W55" s="84"/>
      <c r="X55" s="57">
        <v>0</v>
      </c>
      <c r="Y55" s="57">
        <v>0</v>
      </c>
      <c r="Z55" s="82"/>
      <c r="AA55" s="83"/>
      <c r="AB55" s="82"/>
      <c r="AC55" s="83"/>
      <c r="AD55" s="82"/>
      <c r="AE55" s="83"/>
      <c r="AF55" s="57">
        <v>0</v>
      </c>
      <c r="AG55" s="57">
        <v>0</v>
      </c>
      <c r="AH55" s="85"/>
      <c r="AI55" s="80">
        <v>8190</v>
      </c>
      <c r="AJ55" s="80">
        <v>8306.6</v>
      </c>
      <c r="AK55" s="24"/>
      <c r="AL55" s="119">
        <f>'STOPE SUMMARY PIVOT'!D1572</f>
        <v>1947</v>
      </c>
      <c r="AM55" s="82"/>
      <c r="AN55" s="83"/>
      <c r="AO55" s="119"/>
      <c r="AP55" s="82"/>
      <c r="AQ55" s="83"/>
    </row>
    <row r="56" spans="1:43" x14ac:dyDescent="0.25">
      <c r="A56" s="1801"/>
      <c r="B56" s="94"/>
      <c r="C56" s="41">
        <v>3.4</v>
      </c>
      <c r="D56" s="40"/>
      <c r="E56" s="41"/>
      <c r="F56" s="40"/>
      <c r="G56" s="41"/>
      <c r="H56" s="42"/>
      <c r="I56" s="42">
        <v>3.4</v>
      </c>
      <c r="J56" s="40">
        <v>2.2299999999999995</v>
      </c>
      <c r="K56" s="41">
        <v>1.31</v>
      </c>
      <c r="L56" s="40">
        <v>2.3400000000000012</v>
      </c>
      <c r="M56" s="41">
        <v>1.5810273227690934</v>
      </c>
      <c r="N56" s="40">
        <v>2.3400000000000012</v>
      </c>
      <c r="O56" s="41">
        <v>1.6474812196199735</v>
      </c>
      <c r="P56" s="42">
        <v>2.3136752136752148</v>
      </c>
      <c r="Q56" s="42">
        <v>1.5525178827752808</v>
      </c>
      <c r="R56" s="40"/>
      <c r="S56" s="41"/>
      <c r="T56" s="40"/>
      <c r="U56" s="41"/>
      <c r="V56" s="30"/>
      <c r="W56" s="30"/>
      <c r="X56" s="48" t="s">
        <v>217</v>
      </c>
      <c r="Y56" s="48" t="s">
        <v>217</v>
      </c>
      <c r="Z56" s="40"/>
      <c r="AA56" s="41"/>
      <c r="AB56" s="40"/>
      <c r="AC56" s="41"/>
      <c r="AD56" s="40"/>
      <c r="AE56" s="41"/>
      <c r="AF56" s="48" t="s">
        <v>217</v>
      </c>
      <c r="AG56" s="48" t="s">
        <v>217</v>
      </c>
      <c r="AI56" s="79">
        <v>2.3136752136752148</v>
      </c>
      <c r="AJ56" s="79">
        <v>1.9132690919509359</v>
      </c>
      <c r="AK56" s="45"/>
      <c r="AL56" s="120">
        <f>'STOPE SUMMARY PIVOT'!E1572</f>
        <v>1.4</v>
      </c>
      <c r="AM56" s="40"/>
      <c r="AN56" s="41"/>
      <c r="AO56" s="120"/>
      <c r="AP56" s="40"/>
      <c r="AQ56" s="41"/>
    </row>
    <row r="57" spans="1:43" s="58" customFormat="1" x14ac:dyDescent="0.25">
      <c r="A57" s="1801" t="s">
        <v>115</v>
      </c>
      <c r="B57" s="92"/>
      <c r="C57" s="83">
        <v>326</v>
      </c>
      <c r="D57" s="82">
        <v>3045</v>
      </c>
      <c r="E57" s="83">
        <v>3795</v>
      </c>
      <c r="F57" s="82">
        <v>4060</v>
      </c>
      <c r="G57" s="83">
        <v>5812</v>
      </c>
      <c r="H57" s="57">
        <v>7105</v>
      </c>
      <c r="I57" s="57">
        <v>9933</v>
      </c>
      <c r="J57" s="82"/>
      <c r="K57" s="83"/>
      <c r="L57" s="82">
        <v>4060</v>
      </c>
      <c r="M57" s="83">
        <v>2052</v>
      </c>
      <c r="N57" s="82">
        <v>4200</v>
      </c>
      <c r="O57" s="83">
        <v>2508.8000000000002</v>
      </c>
      <c r="P57" s="57">
        <v>8260</v>
      </c>
      <c r="Q57" s="57">
        <v>4560.8</v>
      </c>
      <c r="R57" s="82">
        <v>4340</v>
      </c>
      <c r="S57" s="83">
        <v>3566</v>
      </c>
      <c r="T57" s="82">
        <v>3063</v>
      </c>
      <c r="U57" s="83">
        <v>1636</v>
      </c>
      <c r="V57" s="84"/>
      <c r="W57" s="84"/>
      <c r="X57" s="57">
        <v>7403</v>
      </c>
      <c r="Y57" s="57">
        <v>5202</v>
      </c>
      <c r="Z57" s="82"/>
      <c r="AA57" s="83"/>
      <c r="AB57" s="82"/>
      <c r="AC57" s="83"/>
      <c r="AD57" s="82"/>
      <c r="AE57" s="83"/>
      <c r="AF57" s="57">
        <v>0</v>
      </c>
      <c r="AG57" s="57">
        <v>0</v>
      </c>
      <c r="AH57" s="85"/>
      <c r="AI57" s="80">
        <v>22768</v>
      </c>
      <c r="AJ57" s="80">
        <v>19695.8</v>
      </c>
      <c r="AK57" s="24"/>
      <c r="AL57" s="119"/>
      <c r="AM57" s="82"/>
      <c r="AN57" s="83"/>
      <c r="AO57" s="119"/>
      <c r="AP57" s="82"/>
      <c r="AQ57" s="83"/>
    </row>
    <row r="58" spans="1:43" x14ac:dyDescent="0.25">
      <c r="A58" s="1801"/>
      <c r="B58" s="94"/>
      <c r="C58" s="41">
        <v>2.2000000000000002</v>
      </c>
      <c r="D58" s="40">
        <v>1.9</v>
      </c>
      <c r="E58" s="47">
        <v>1.82</v>
      </c>
      <c r="F58" s="40">
        <v>2.5</v>
      </c>
      <c r="G58" s="41">
        <v>1.76</v>
      </c>
      <c r="H58" s="48">
        <v>2.2428571428571429</v>
      </c>
      <c r="I58" s="48">
        <v>1.7973643410852715</v>
      </c>
      <c r="J58" s="40"/>
      <c r="K58" s="41"/>
      <c r="L58" s="46">
        <v>2.8800000000000008</v>
      </c>
      <c r="M58" s="47">
        <v>2.1635110732629701</v>
      </c>
      <c r="N58" s="46">
        <v>2.8800000000000008</v>
      </c>
      <c r="O58" s="47">
        <v>2.0065481505102039</v>
      </c>
      <c r="P58" s="48">
        <v>2.8800000000000008</v>
      </c>
      <c r="Q58" s="48">
        <v>2.0771690761128783</v>
      </c>
      <c r="R58" s="40">
        <v>1.87</v>
      </c>
      <c r="S58" s="47">
        <v>1.4983207777573964</v>
      </c>
      <c r="T58" s="40">
        <v>2.36</v>
      </c>
      <c r="U58" s="47">
        <v>1.9509776810731752</v>
      </c>
      <c r="V58" s="30"/>
      <c r="W58" s="30"/>
      <c r="X58" s="48">
        <v>2.0727380791570984</v>
      </c>
      <c r="Y58" s="48">
        <v>1.6406788503880412</v>
      </c>
      <c r="Z58" s="40"/>
      <c r="AA58" s="47"/>
      <c r="AB58" s="40"/>
      <c r="AC58" s="47"/>
      <c r="AD58" s="40"/>
      <c r="AE58" s="47"/>
      <c r="AF58" s="48" t="s">
        <v>217</v>
      </c>
      <c r="AG58" s="48" t="s">
        <v>217</v>
      </c>
      <c r="AI58" s="79">
        <v>2.4186920238931835</v>
      </c>
      <c r="AJ58" s="79">
        <v>1.8207731649414698</v>
      </c>
      <c r="AK58" s="45"/>
      <c r="AL58" s="120"/>
      <c r="AM58" s="40"/>
      <c r="AN58" s="47"/>
      <c r="AO58" s="120"/>
      <c r="AP58" s="40"/>
      <c r="AQ58" s="47"/>
    </row>
    <row r="59" spans="1:43" s="58" customFormat="1" x14ac:dyDescent="0.25">
      <c r="A59" s="1801" t="s">
        <v>116</v>
      </c>
      <c r="B59" s="92"/>
      <c r="C59" s="83"/>
      <c r="D59" s="82"/>
      <c r="E59" s="83"/>
      <c r="F59" s="82"/>
      <c r="G59" s="83"/>
      <c r="H59" s="57"/>
      <c r="I59" s="57"/>
      <c r="J59" s="82"/>
      <c r="K59" s="83"/>
      <c r="L59" s="82"/>
      <c r="M59" s="83"/>
      <c r="N59" s="82"/>
      <c r="O59" s="83"/>
      <c r="P59" s="57"/>
      <c r="Q59" s="57"/>
      <c r="R59" s="82"/>
      <c r="S59" s="83"/>
      <c r="T59" s="82">
        <v>3045</v>
      </c>
      <c r="U59" s="83">
        <v>3288.6000000000004</v>
      </c>
      <c r="V59" s="84"/>
      <c r="W59" s="84"/>
      <c r="X59" s="57">
        <v>3045</v>
      </c>
      <c r="Y59" s="57">
        <v>3288.6000000000004</v>
      </c>
      <c r="Z59" s="82">
        <v>0</v>
      </c>
      <c r="AA59" s="83">
        <v>2258.6</v>
      </c>
      <c r="AB59" s="82">
        <v>0</v>
      </c>
      <c r="AC59" s="83">
        <v>895</v>
      </c>
      <c r="AD59" s="82">
        <v>1015</v>
      </c>
      <c r="AE59" s="83">
        <v>1341</v>
      </c>
      <c r="AF59" s="57">
        <v>1015</v>
      </c>
      <c r="AG59" s="57">
        <v>4494.6000000000004</v>
      </c>
      <c r="AH59" s="85"/>
      <c r="AI59" s="80">
        <v>4060</v>
      </c>
      <c r="AJ59" s="80">
        <v>7783.2000000000007</v>
      </c>
      <c r="AK59" s="24"/>
      <c r="AL59" s="119">
        <f>'STOPE SUMMARY PIVOT'!D1574</f>
        <v>408</v>
      </c>
      <c r="AM59" s="82"/>
      <c r="AN59" s="83"/>
      <c r="AO59" s="119"/>
      <c r="AP59" s="82"/>
      <c r="AQ59" s="83"/>
    </row>
    <row r="60" spans="1:43" x14ac:dyDescent="0.25">
      <c r="A60" s="1801"/>
      <c r="B60" s="94"/>
      <c r="C60" s="41"/>
      <c r="D60" s="40"/>
      <c r="E60" s="41"/>
      <c r="F60" s="40"/>
      <c r="G60" s="41"/>
      <c r="H60" s="42"/>
      <c r="I60" s="42"/>
      <c r="J60" s="40"/>
      <c r="K60" s="41"/>
      <c r="L60" s="40"/>
      <c r="M60" s="41"/>
      <c r="N60" s="40"/>
      <c r="O60" s="41"/>
      <c r="P60" s="42"/>
      <c r="Q60" s="42"/>
      <c r="R60" s="40"/>
      <c r="S60" s="41"/>
      <c r="T60" s="40">
        <v>1.9299999999999995</v>
      </c>
      <c r="U60" s="41">
        <v>4.2838927917744325</v>
      </c>
      <c r="V60" s="30"/>
      <c r="W60" s="30"/>
      <c r="X60" s="48">
        <v>1.9299999999999995</v>
      </c>
      <c r="Y60" s="48">
        <v>4.2838927917744325</v>
      </c>
      <c r="Z60" s="40">
        <v>0</v>
      </c>
      <c r="AA60" s="41">
        <v>1.7824488904328233</v>
      </c>
      <c r="AB60" s="40">
        <v>0</v>
      </c>
      <c r="AC60" s="41">
        <v>2.0400104910714285</v>
      </c>
      <c r="AD60" s="40">
        <v>2.35</v>
      </c>
      <c r="AE60" s="41">
        <v>0.89</v>
      </c>
      <c r="AF60" s="48">
        <v>2.35</v>
      </c>
      <c r="AG60" s="48">
        <v>1.567467283727251</v>
      </c>
      <c r="AI60" s="79">
        <v>2.0349999999999997</v>
      </c>
      <c r="AJ60" s="79">
        <v>2.7152261651338661</v>
      </c>
      <c r="AK60" s="45"/>
      <c r="AL60" s="120">
        <f>'STOPE SUMMARY PIVOT'!E1574</f>
        <v>1.28</v>
      </c>
      <c r="AM60" s="40"/>
      <c r="AN60" s="41"/>
      <c r="AO60" s="120"/>
      <c r="AP60" s="40"/>
      <c r="AQ60" s="41"/>
    </row>
    <row r="61" spans="1:43" s="58" customFormat="1" x14ac:dyDescent="0.25">
      <c r="A61" s="1801" t="s">
        <v>117</v>
      </c>
      <c r="B61" s="92"/>
      <c r="C61" s="83">
        <v>1615</v>
      </c>
      <c r="D61" s="82"/>
      <c r="E61" s="83"/>
      <c r="F61" s="82"/>
      <c r="G61" s="83"/>
      <c r="H61" s="57"/>
      <c r="I61" s="57">
        <v>1615</v>
      </c>
      <c r="J61" s="82">
        <v>1960</v>
      </c>
      <c r="K61" s="83">
        <v>317</v>
      </c>
      <c r="L61" s="82"/>
      <c r="M61" s="83">
        <v>151</v>
      </c>
      <c r="N61" s="82"/>
      <c r="O61" s="83">
        <v>702.4</v>
      </c>
      <c r="P61" s="57">
        <v>1960</v>
      </c>
      <c r="Q61" s="57">
        <v>1170.4000000000001</v>
      </c>
      <c r="R61" s="82">
        <v>3255</v>
      </c>
      <c r="S61" s="83">
        <v>3110.2</v>
      </c>
      <c r="T61" s="82"/>
      <c r="U61" s="83"/>
      <c r="V61" s="84"/>
      <c r="W61" s="84"/>
      <c r="X61" s="57">
        <v>3255</v>
      </c>
      <c r="Y61" s="57">
        <v>3110.2</v>
      </c>
      <c r="Z61" s="82">
        <v>1240</v>
      </c>
      <c r="AA61" s="83">
        <v>2636.7</v>
      </c>
      <c r="AB61" s="82">
        <v>2100</v>
      </c>
      <c r="AC61" s="83">
        <v>4371</v>
      </c>
      <c r="AD61" s="82">
        <v>3045</v>
      </c>
      <c r="AE61" s="83">
        <v>2008</v>
      </c>
      <c r="AF61" s="57">
        <v>6385</v>
      </c>
      <c r="AG61" s="57">
        <v>9015.7000000000007</v>
      </c>
      <c r="AH61" s="85"/>
      <c r="AI61" s="80">
        <v>11600</v>
      </c>
      <c r="AJ61" s="80">
        <v>14911.3</v>
      </c>
      <c r="AK61" s="24"/>
      <c r="AL61" s="119"/>
      <c r="AM61" s="82"/>
      <c r="AN61" s="83"/>
      <c r="AO61" s="119"/>
      <c r="AP61" s="82"/>
      <c r="AQ61" s="83"/>
    </row>
    <row r="62" spans="1:43" x14ac:dyDescent="0.25">
      <c r="A62" s="1801"/>
      <c r="B62" s="94"/>
      <c r="C62" s="41">
        <v>2.68</v>
      </c>
      <c r="D62" s="40"/>
      <c r="E62" s="41"/>
      <c r="F62" s="40"/>
      <c r="G62" s="41"/>
      <c r="H62" s="42"/>
      <c r="I62" s="48">
        <v>2.6799999999999997</v>
      </c>
      <c r="J62" s="40">
        <v>2.4</v>
      </c>
      <c r="K62" s="41">
        <v>4.09</v>
      </c>
      <c r="L62" s="40"/>
      <c r="M62" s="41">
        <v>0.73850618366187926</v>
      </c>
      <c r="N62" s="40"/>
      <c r="O62" s="41">
        <v>1.5485706150341685</v>
      </c>
      <c r="P62" s="42">
        <v>2.4</v>
      </c>
      <c r="Q62" s="48">
        <v>2.1323995503528228</v>
      </c>
      <c r="R62" s="40">
        <v>1.82</v>
      </c>
      <c r="S62" s="41">
        <v>1.4582587248761827</v>
      </c>
      <c r="T62" s="40"/>
      <c r="U62" s="41"/>
      <c r="V62" s="30"/>
      <c r="W62" s="30"/>
      <c r="X62" s="48">
        <v>1.82</v>
      </c>
      <c r="Y62" s="48">
        <v>1.4582587248761827</v>
      </c>
      <c r="Z62" s="40">
        <v>2.98</v>
      </c>
      <c r="AA62" s="41">
        <v>2.5622702799971844</v>
      </c>
      <c r="AB62" s="40">
        <v>1.4</v>
      </c>
      <c r="AC62" s="41">
        <v>1.8307786458333333</v>
      </c>
      <c r="AD62" s="40">
        <v>2.85</v>
      </c>
      <c r="AE62" s="41">
        <v>0.95</v>
      </c>
      <c r="AF62" s="48">
        <v>2.3983476898981988</v>
      </c>
      <c r="AG62" s="48">
        <v>1.8485388276235979</v>
      </c>
      <c r="AI62" s="79">
        <v>2.2363405172413793</v>
      </c>
      <c r="AJ62" s="79">
        <v>1.8794678014692834</v>
      </c>
      <c r="AK62" s="45"/>
      <c r="AL62" s="120"/>
      <c r="AM62" s="40"/>
      <c r="AN62" s="41"/>
      <c r="AO62" s="120"/>
      <c r="AP62" s="40"/>
      <c r="AQ62" s="41"/>
    </row>
    <row r="63" spans="1:43" s="58" customFormat="1" x14ac:dyDescent="0.25">
      <c r="A63" s="1801" t="s">
        <v>118</v>
      </c>
      <c r="B63" s="92"/>
      <c r="C63" s="83"/>
      <c r="D63" s="82"/>
      <c r="E63" s="83"/>
      <c r="F63" s="82">
        <v>2030</v>
      </c>
      <c r="G63" s="83">
        <v>2196</v>
      </c>
      <c r="H63" s="57">
        <v>2030</v>
      </c>
      <c r="I63" s="57">
        <v>2196</v>
      </c>
      <c r="J63" s="82">
        <v>1960</v>
      </c>
      <c r="K63" s="83">
        <v>3510</v>
      </c>
      <c r="L63" s="82"/>
      <c r="M63" s="83">
        <v>1077</v>
      </c>
      <c r="N63" s="82"/>
      <c r="O63" s="83">
        <v>610.79999999999995</v>
      </c>
      <c r="P63" s="57"/>
      <c r="Q63" s="57">
        <v>5197.8</v>
      </c>
      <c r="R63" s="82">
        <v>1085</v>
      </c>
      <c r="S63" s="83">
        <v>0</v>
      </c>
      <c r="T63" s="82"/>
      <c r="U63" s="83"/>
      <c r="V63" s="84"/>
      <c r="W63" s="84"/>
      <c r="X63" s="57">
        <v>1085</v>
      </c>
      <c r="Y63" s="57">
        <v>0</v>
      </c>
      <c r="Z63" s="82"/>
      <c r="AA63" s="83"/>
      <c r="AB63" s="82"/>
      <c r="AC63" s="83"/>
      <c r="AD63" s="82"/>
      <c r="AE63" s="83"/>
      <c r="AF63" s="57">
        <v>0</v>
      </c>
      <c r="AG63" s="57">
        <v>0</v>
      </c>
      <c r="AH63" s="85"/>
      <c r="AI63" s="80">
        <v>5075</v>
      </c>
      <c r="AJ63" s="80">
        <v>7393.8</v>
      </c>
      <c r="AK63" s="24"/>
      <c r="AL63" s="119"/>
      <c r="AM63" s="82"/>
      <c r="AN63" s="83"/>
      <c r="AO63" s="119"/>
      <c r="AP63" s="82"/>
      <c r="AQ63" s="83"/>
    </row>
    <row r="64" spans="1:43" x14ac:dyDescent="0.25">
      <c r="A64" s="1801"/>
      <c r="B64" s="94"/>
      <c r="C64" s="41"/>
      <c r="D64" s="40"/>
      <c r="E64" s="41"/>
      <c r="F64" s="40">
        <v>2.4800000000000004</v>
      </c>
      <c r="G64" s="41">
        <v>1.94</v>
      </c>
      <c r="H64" s="48">
        <v>2.4800000000000004</v>
      </c>
      <c r="I64" s="48">
        <v>1.94</v>
      </c>
      <c r="J64" s="40">
        <v>2.95</v>
      </c>
      <c r="K64" s="41">
        <v>2.9</v>
      </c>
      <c r="L64" s="40"/>
      <c r="M64" s="41">
        <v>1.7370497559370961</v>
      </c>
      <c r="N64" s="40"/>
      <c r="O64" s="41">
        <v>2.5716502946954813</v>
      </c>
      <c r="P64" s="48"/>
      <c r="Q64" s="48">
        <v>2.6204483795344671</v>
      </c>
      <c r="R64" s="40">
        <v>0.91</v>
      </c>
      <c r="S64" s="41">
        <v>0</v>
      </c>
      <c r="T64" s="40"/>
      <c r="U64" s="41"/>
      <c r="V64" s="30"/>
      <c r="W64" s="30"/>
      <c r="X64" s="48">
        <v>0.91</v>
      </c>
      <c r="Y64" s="48" t="s">
        <v>217</v>
      </c>
      <c r="Z64" s="40"/>
      <c r="AA64" s="41"/>
      <c r="AB64" s="40"/>
      <c r="AC64" s="41"/>
      <c r="AD64" s="40"/>
      <c r="AE64" s="41"/>
      <c r="AF64" s="48" t="s">
        <v>217</v>
      </c>
      <c r="AG64" s="48" t="s">
        <v>217</v>
      </c>
      <c r="AI64" s="79">
        <v>2.3258620689655176</v>
      </c>
      <c r="AJ64" s="79">
        <v>2.4183514007877212</v>
      </c>
      <c r="AK64" s="45"/>
      <c r="AL64" s="120"/>
      <c r="AM64" s="40"/>
      <c r="AN64" s="41"/>
      <c r="AO64" s="120"/>
      <c r="AP64" s="40"/>
      <c r="AQ64" s="41"/>
    </row>
    <row r="65" spans="1:43" s="58" customFormat="1" x14ac:dyDescent="0.25">
      <c r="A65" s="1801" t="s">
        <v>119</v>
      </c>
      <c r="B65" s="92"/>
      <c r="C65" s="83"/>
      <c r="D65" s="82"/>
      <c r="E65" s="83"/>
      <c r="F65" s="82"/>
      <c r="G65" s="83"/>
      <c r="H65" s="57"/>
      <c r="I65" s="57"/>
      <c r="J65" s="82"/>
      <c r="K65" s="83"/>
      <c r="L65" s="82"/>
      <c r="M65" s="83"/>
      <c r="N65" s="82"/>
      <c r="O65" s="83"/>
      <c r="P65" s="57"/>
      <c r="Q65" s="57"/>
      <c r="R65" s="82">
        <v>2170</v>
      </c>
      <c r="S65" s="83">
        <v>1336.8000000000002</v>
      </c>
      <c r="T65" s="82">
        <v>2030</v>
      </c>
      <c r="U65" s="83">
        <v>300</v>
      </c>
      <c r="V65" s="84"/>
      <c r="W65" s="84"/>
      <c r="X65" s="57">
        <v>4200</v>
      </c>
      <c r="Y65" s="57">
        <v>1636.8000000000002</v>
      </c>
      <c r="Z65" s="82"/>
      <c r="AA65" s="83"/>
      <c r="AB65" s="82"/>
      <c r="AC65" s="83"/>
      <c r="AD65" s="82"/>
      <c r="AE65" s="83"/>
      <c r="AF65" s="57">
        <v>0</v>
      </c>
      <c r="AG65" s="57">
        <v>0</v>
      </c>
      <c r="AH65" s="85"/>
      <c r="AI65" s="80">
        <v>4200</v>
      </c>
      <c r="AJ65" s="80">
        <v>1636.8000000000002</v>
      </c>
      <c r="AK65" s="24"/>
      <c r="AL65" s="119"/>
      <c r="AM65" s="82"/>
      <c r="AN65" s="83"/>
      <c r="AO65" s="119"/>
      <c r="AP65" s="82"/>
      <c r="AQ65" s="83"/>
    </row>
    <row r="66" spans="1:43" x14ac:dyDescent="0.25">
      <c r="A66" s="1801"/>
      <c r="B66" s="94"/>
      <c r="C66" s="41"/>
      <c r="D66" s="40"/>
      <c r="E66" s="41"/>
      <c r="F66" s="40"/>
      <c r="G66" s="41"/>
      <c r="H66" s="42"/>
      <c r="I66" s="42"/>
      <c r="J66" s="40"/>
      <c r="K66" s="41"/>
      <c r="L66" s="40"/>
      <c r="M66" s="41"/>
      <c r="N66" s="40"/>
      <c r="O66" s="41"/>
      <c r="P66" s="42"/>
      <c r="Q66" s="42"/>
      <c r="R66" s="40">
        <v>1.72</v>
      </c>
      <c r="S66" s="41">
        <v>1.3781346191137549</v>
      </c>
      <c r="T66" s="40">
        <v>1.36</v>
      </c>
      <c r="U66" s="41">
        <v>1.6619439505438158</v>
      </c>
      <c r="V66" s="30"/>
      <c r="W66" s="30"/>
      <c r="X66" s="48">
        <v>1.5460000000000003</v>
      </c>
      <c r="Y66" s="48">
        <v>1.4301524584521093</v>
      </c>
      <c r="Z66" s="40"/>
      <c r="AA66" s="41"/>
      <c r="AB66" s="40"/>
      <c r="AC66" s="41"/>
      <c r="AD66" s="40"/>
      <c r="AE66" s="41"/>
      <c r="AF66" s="48" t="s">
        <v>217</v>
      </c>
      <c r="AG66" s="48" t="s">
        <v>217</v>
      </c>
      <c r="AI66" s="79">
        <v>1.5460000000000003</v>
      </c>
      <c r="AJ66" s="79">
        <v>1.4301524584521093</v>
      </c>
      <c r="AK66" s="45"/>
      <c r="AL66" s="120"/>
      <c r="AM66" s="40"/>
      <c r="AN66" s="41"/>
      <c r="AO66" s="120"/>
      <c r="AP66" s="40"/>
      <c r="AQ66" s="41"/>
    </row>
    <row r="67" spans="1:43" s="58" customFormat="1" x14ac:dyDescent="0.25">
      <c r="A67" s="1801" t="s">
        <v>120</v>
      </c>
      <c r="B67" s="92"/>
      <c r="C67" s="83"/>
      <c r="D67" s="82"/>
      <c r="E67" s="83"/>
      <c r="F67" s="82"/>
      <c r="G67" s="83"/>
      <c r="H67" s="57"/>
      <c r="I67" s="57"/>
      <c r="J67" s="82"/>
      <c r="K67" s="83"/>
      <c r="L67" s="82"/>
      <c r="M67" s="83"/>
      <c r="N67" s="82"/>
      <c r="O67" s="83"/>
      <c r="P67" s="57"/>
      <c r="Q67" s="57"/>
      <c r="R67" s="82"/>
      <c r="S67" s="83"/>
      <c r="T67" s="82"/>
      <c r="U67" s="83"/>
      <c r="V67" s="84"/>
      <c r="W67" s="84"/>
      <c r="X67" s="57">
        <v>0</v>
      </c>
      <c r="Y67" s="57">
        <v>0</v>
      </c>
      <c r="Z67" s="82">
        <v>1240</v>
      </c>
      <c r="AA67" s="83">
        <v>1587</v>
      </c>
      <c r="AB67" s="82">
        <v>1050</v>
      </c>
      <c r="AC67" s="83">
        <v>295</v>
      </c>
      <c r="AD67" s="82"/>
      <c r="AE67" s="83"/>
      <c r="AF67" s="57">
        <v>2290</v>
      </c>
      <c r="AG67" s="57">
        <v>1882</v>
      </c>
      <c r="AH67" s="85"/>
      <c r="AI67" s="80">
        <v>2290</v>
      </c>
      <c r="AJ67" s="80">
        <v>1882</v>
      </c>
      <c r="AK67" s="24"/>
      <c r="AL67" s="119"/>
      <c r="AM67" s="82"/>
      <c r="AN67" s="83"/>
      <c r="AO67" s="119"/>
      <c r="AP67" s="82"/>
      <c r="AQ67" s="83"/>
    </row>
    <row r="68" spans="1:43" x14ac:dyDescent="0.25">
      <c r="A68" s="1801"/>
      <c r="B68" s="94"/>
      <c r="C68" s="41"/>
      <c r="D68" s="40"/>
      <c r="E68" s="41"/>
      <c r="F68" s="40"/>
      <c r="G68" s="41"/>
      <c r="H68" s="42"/>
      <c r="I68" s="42"/>
      <c r="J68" s="40"/>
      <c r="K68" s="41"/>
      <c r="L68" s="40"/>
      <c r="M68" s="41"/>
      <c r="N68" s="40"/>
      <c r="O68" s="41"/>
      <c r="P68" s="42"/>
      <c r="Q68" s="42"/>
      <c r="R68" s="40"/>
      <c r="S68" s="41"/>
      <c r="T68" s="40"/>
      <c r="U68" s="41"/>
      <c r="V68" s="30"/>
      <c r="W68" s="30"/>
      <c r="X68" s="48" t="s">
        <v>217</v>
      </c>
      <c r="Y68" s="48" t="s">
        <v>217</v>
      </c>
      <c r="Z68" s="40">
        <v>2.98</v>
      </c>
      <c r="AA68" s="41">
        <v>3.328166287605038</v>
      </c>
      <c r="AB68" s="40">
        <v>2.48</v>
      </c>
      <c r="AC68" s="41">
        <v>1.6006236160714287</v>
      </c>
      <c r="AD68" s="40"/>
      <c r="AE68" s="41"/>
      <c r="AF68" s="48">
        <v>2.7507423580786026</v>
      </c>
      <c r="AG68" s="48">
        <v>3.0573771865941906</v>
      </c>
      <c r="AI68" s="79">
        <v>2.7507423580786026</v>
      </c>
      <c r="AJ68" s="79">
        <v>3.0573771865941906</v>
      </c>
      <c r="AK68" s="45"/>
      <c r="AL68" s="120"/>
      <c r="AM68" s="40"/>
      <c r="AN68" s="41"/>
      <c r="AO68" s="120"/>
      <c r="AP68" s="40"/>
      <c r="AQ68" s="41"/>
    </row>
    <row r="69" spans="1:43" s="58" customFormat="1" x14ac:dyDescent="0.25">
      <c r="A69" s="1801" t="s">
        <v>123</v>
      </c>
      <c r="B69" s="92"/>
      <c r="C69" s="83"/>
      <c r="D69" s="82"/>
      <c r="E69" s="83"/>
      <c r="F69" s="82"/>
      <c r="G69" s="83"/>
      <c r="H69" s="57"/>
      <c r="I69" s="57"/>
      <c r="J69" s="82"/>
      <c r="K69" s="83"/>
      <c r="L69" s="82"/>
      <c r="M69" s="83"/>
      <c r="N69" s="82"/>
      <c r="O69" s="83"/>
      <c r="P69" s="57"/>
      <c r="Q69" s="57"/>
      <c r="R69" s="82"/>
      <c r="S69" s="83"/>
      <c r="T69" s="82">
        <v>2030</v>
      </c>
      <c r="U69" s="83">
        <v>0</v>
      </c>
      <c r="V69" s="84"/>
      <c r="W69" s="84"/>
      <c r="X69" s="57">
        <v>2030</v>
      </c>
      <c r="Y69" s="57">
        <v>0</v>
      </c>
      <c r="Z69" s="82">
        <v>2170</v>
      </c>
      <c r="AA69" s="83">
        <v>926</v>
      </c>
      <c r="AB69" s="82">
        <v>0</v>
      </c>
      <c r="AC69" s="83">
        <v>581</v>
      </c>
      <c r="AD69" s="82"/>
      <c r="AE69" s="83"/>
      <c r="AF69" s="57">
        <v>2170</v>
      </c>
      <c r="AG69" s="57">
        <v>1507</v>
      </c>
      <c r="AH69" s="85"/>
      <c r="AI69" s="80">
        <v>4200</v>
      </c>
      <c r="AJ69" s="80">
        <v>1507</v>
      </c>
      <c r="AK69" s="24"/>
      <c r="AL69" s="119"/>
      <c r="AM69" s="82"/>
      <c r="AN69" s="83"/>
      <c r="AO69" s="119"/>
      <c r="AP69" s="82"/>
      <c r="AQ69" s="83"/>
    </row>
    <row r="70" spans="1:43" x14ac:dyDescent="0.25">
      <c r="A70" s="1801"/>
      <c r="B70" s="94"/>
      <c r="C70" s="41"/>
      <c r="D70" s="40"/>
      <c r="E70" s="41"/>
      <c r="F70" s="40"/>
      <c r="G70" s="41"/>
      <c r="H70" s="42"/>
      <c r="I70" s="42"/>
      <c r="J70" s="40"/>
      <c r="K70" s="41"/>
      <c r="L70" s="40"/>
      <c r="M70" s="41"/>
      <c r="N70" s="40"/>
      <c r="O70" s="41"/>
      <c r="P70" s="42"/>
      <c r="Q70" s="42"/>
      <c r="R70" s="40"/>
      <c r="S70" s="41"/>
      <c r="T70" s="40">
        <v>0</v>
      </c>
      <c r="U70" s="41">
        <v>0</v>
      </c>
      <c r="V70" s="30"/>
      <c r="W70" s="30"/>
      <c r="X70" s="48">
        <v>0</v>
      </c>
      <c r="Y70" s="48" t="s">
        <v>217</v>
      </c>
      <c r="Z70" s="40">
        <v>1.92</v>
      </c>
      <c r="AA70" s="41">
        <v>3.2585393778225051</v>
      </c>
      <c r="AB70" s="40">
        <v>0</v>
      </c>
      <c r="AC70" s="41">
        <v>1.5587772470238095</v>
      </c>
      <c r="AD70" s="40"/>
      <c r="AE70" s="41"/>
      <c r="AF70" s="48">
        <v>1.92</v>
      </c>
      <c r="AG70" s="48">
        <v>2.6032229889744345</v>
      </c>
      <c r="AI70" s="79">
        <v>0.99199999999999988</v>
      </c>
      <c r="AJ70" s="79">
        <v>2.6032229889744345</v>
      </c>
      <c r="AK70" s="45"/>
      <c r="AL70" s="120"/>
      <c r="AM70" s="40"/>
      <c r="AN70" s="41"/>
      <c r="AO70" s="120"/>
      <c r="AP70" s="40"/>
      <c r="AQ70" s="41"/>
    </row>
    <row r="71" spans="1:43" s="58" customFormat="1" x14ac:dyDescent="0.25">
      <c r="A71" s="1801" t="s">
        <v>124</v>
      </c>
      <c r="B71" s="92"/>
      <c r="C71" s="83"/>
      <c r="D71" s="82"/>
      <c r="E71" s="83"/>
      <c r="F71" s="82"/>
      <c r="G71" s="83"/>
      <c r="H71" s="57"/>
      <c r="I71" s="57"/>
      <c r="J71" s="82"/>
      <c r="K71" s="83"/>
      <c r="L71" s="82"/>
      <c r="M71" s="83"/>
      <c r="N71" s="82"/>
      <c r="O71" s="83"/>
      <c r="P71" s="57"/>
      <c r="Q71" s="57"/>
      <c r="R71" s="82"/>
      <c r="S71" s="83"/>
      <c r="T71" s="82">
        <v>0</v>
      </c>
      <c r="U71" s="83">
        <v>647.59999999999991</v>
      </c>
      <c r="V71" s="84"/>
      <c r="W71" s="84"/>
      <c r="X71" s="57">
        <v>0</v>
      </c>
      <c r="Y71" s="57">
        <v>647.59999999999991</v>
      </c>
      <c r="Z71" s="82"/>
      <c r="AA71" s="83"/>
      <c r="AB71" s="82"/>
      <c r="AC71" s="83"/>
      <c r="AD71" s="82"/>
      <c r="AE71" s="83"/>
      <c r="AF71" s="57">
        <v>0</v>
      </c>
      <c r="AG71" s="57">
        <v>0</v>
      </c>
      <c r="AH71" s="85"/>
      <c r="AI71" s="80">
        <v>0</v>
      </c>
      <c r="AJ71" s="80">
        <v>647.59999999999991</v>
      </c>
      <c r="AK71" s="24"/>
      <c r="AL71" s="119"/>
      <c r="AM71" s="82"/>
      <c r="AN71" s="83"/>
      <c r="AO71" s="119"/>
      <c r="AP71" s="82"/>
      <c r="AQ71" s="83"/>
    </row>
    <row r="72" spans="1:43" x14ac:dyDescent="0.25">
      <c r="A72" s="1801"/>
      <c r="B72" s="94"/>
      <c r="C72" s="41"/>
      <c r="D72" s="40"/>
      <c r="E72" s="41"/>
      <c r="F72" s="40"/>
      <c r="G72" s="41"/>
      <c r="H72" s="42"/>
      <c r="I72" s="42"/>
      <c r="J72" s="40"/>
      <c r="K72" s="41"/>
      <c r="L72" s="40"/>
      <c r="M72" s="41"/>
      <c r="N72" s="40"/>
      <c r="O72" s="41"/>
      <c r="P72" s="42"/>
      <c r="Q72" s="42"/>
      <c r="R72" s="40"/>
      <c r="S72" s="41"/>
      <c r="T72" s="40">
        <v>0</v>
      </c>
      <c r="U72" s="41">
        <v>1.8064608158084954</v>
      </c>
      <c r="V72" s="30"/>
      <c r="W72" s="30"/>
      <c r="X72" s="48" t="s">
        <v>217</v>
      </c>
      <c r="Y72" s="48">
        <v>1.8064608158084954</v>
      </c>
      <c r="Z72" s="40"/>
      <c r="AA72" s="41"/>
      <c r="AB72" s="40"/>
      <c r="AC72" s="41"/>
      <c r="AD72" s="40"/>
      <c r="AE72" s="41"/>
      <c r="AF72" s="48" t="s">
        <v>217</v>
      </c>
      <c r="AG72" s="48" t="s">
        <v>217</v>
      </c>
      <c r="AI72" s="79" t="s">
        <v>217</v>
      </c>
      <c r="AJ72" s="79">
        <v>1.8064608158084954</v>
      </c>
      <c r="AK72" s="45"/>
      <c r="AL72" s="120"/>
      <c r="AM72" s="40"/>
      <c r="AN72" s="41"/>
      <c r="AO72" s="120"/>
      <c r="AP72" s="40"/>
      <c r="AQ72" s="41"/>
    </row>
    <row r="73" spans="1:43" s="58" customFormat="1" x14ac:dyDescent="0.25">
      <c r="A73" s="1801" t="s">
        <v>125</v>
      </c>
      <c r="B73" s="92"/>
      <c r="C73" s="83"/>
      <c r="D73" s="82"/>
      <c r="E73" s="83"/>
      <c r="F73" s="82"/>
      <c r="G73" s="83"/>
      <c r="H73" s="57"/>
      <c r="I73" s="57"/>
      <c r="J73" s="82"/>
      <c r="K73" s="83"/>
      <c r="L73" s="82"/>
      <c r="M73" s="83"/>
      <c r="N73" s="82"/>
      <c r="O73" s="83"/>
      <c r="P73" s="57"/>
      <c r="Q73" s="57"/>
      <c r="R73" s="82"/>
      <c r="S73" s="83"/>
      <c r="T73" s="82"/>
      <c r="U73" s="83"/>
      <c r="V73" s="84"/>
      <c r="W73" s="84"/>
      <c r="X73" s="57">
        <v>0</v>
      </c>
      <c r="Y73" s="57">
        <v>0</v>
      </c>
      <c r="Z73" s="82">
        <v>2170</v>
      </c>
      <c r="AA73" s="83">
        <v>3500.7</v>
      </c>
      <c r="AB73" s="82">
        <v>4200</v>
      </c>
      <c r="AC73" s="83">
        <v>4385</v>
      </c>
      <c r="AD73" s="82">
        <v>5075</v>
      </c>
      <c r="AE73" s="83">
        <v>6166</v>
      </c>
      <c r="AF73" s="57">
        <v>11445</v>
      </c>
      <c r="AG73" s="57">
        <v>14051.7</v>
      </c>
      <c r="AH73" s="85"/>
      <c r="AI73" s="80">
        <v>11445</v>
      </c>
      <c r="AJ73" s="80">
        <v>14051.7</v>
      </c>
      <c r="AK73" s="24"/>
      <c r="AL73" s="119">
        <f>'STOPE SUMMARY PIVOT'!D1583</f>
        <v>3033</v>
      </c>
      <c r="AM73" s="82">
        <v>6510</v>
      </c>
      <c r="AN73" s="83">
        <v>6179</v>
      </c>
      <c r="AO73" s="119"/>
      <c r="AP73" s="82">
        <v>2940</v>
      </c>
      <c r="AQ73" s="83"/>
    </row>
    <row r="74" spans="1:43" x14ac:dyDescent="0.25">
      <c r="A74" s="1801"/>
      <c r="B74" s="94"/>
      <c r="C74" s="41"/>
      <c r="D74" s="40"/>
      <c r="E74" s="41"/>
      <c r="F74" s="40"/>
      <c r="G74" s="41"/>
      <c r="H74" s="42"/>
      <c r="I74" s="42"/>
      <c r="J74" s="40"/>
      <c r="K74" s="41"/>
      <c r="L74" s="40"/>
      <c r="M74" s="41"/>
      <c r="N74" s="40"/>
      <c r="O74" s="41"/>
      <c r="P74" s="42"/>
      <c r="Q74" s="42"/>
      <c r="R74" s="40"/>
      <c r="S74" s="41"/>
      <c r="T74" s="40"/>
      <c r="U74" s="41"/>
      <c r="V74" s="30"/>
      <c r="W74" s="30"/>
      <c r="X74" s="48" t="s">
        <v>217</v>
      </c>
      <c r="Y74" s="48" t="s">
        <v>217</v>
      </c>
      <c r="Z74" s="40">
        <v>1.64</v>
      </c>
      <c r="AA74" s="41">
        <v>4.5257491358645909</v>
      </c>
      <c r="AB74" s="40">
        <v>3.17</v>
      </c>
      <c r="AC74" s="41">
        <v>2.6677060267857144</v>
      </c>
      <c r="AD74" s="40">
        <v>2.44</v>
      </c>
      <c r="AE74" s="41">
        <v>1.98</v>
      </c>
      <c r="AF74" s="48">
        <v>2.5562079510703364</v>
      </c>
      <c r="AG74" s="48">
        <v>2.8288293179740909</v>
      </c>
      <c r="AI74" s="79">
        <v>2.5562079510703364</v>
      </c>
      <c r="AJ74" s="79">
        <v>2.8288293179740909</v>
      </c>
      <c r="AK74" s="45"/>
      <c r="AL74" s="120">
        <f>'STOPE SUMMARY PIVOT'!E1583</f>
        <v>1.81</v>
      </c>
      <c r="AM74" s="40">
        <v>2.4399999999999982</v>
      </c>
      <c r="AN74" s="41">
        <v>3.2601958245670826</v>
      </c>
      <c r="AO74" s="120"/>
      <c r="AP74" s="40">
        <v>3.54</v>
      </c>
      <c r="AQ74" s="41"/>
    </row>
    <row r="75" spans="1:43" s="58" customFormat="1" x14ac:dyDescent="0.25">
      <c r="A75" s="1801" t="s">
        <v>129</v>
      </c>
      <c r="B75" s="92"/>
      <c r="C75" s="83"/>
      <c r="D75" s="82"/>
      <c r="E75" s="83"/>
      <c r="F75" s="82"/>
      <c r="G75" s="83"/>
      <c r="H75" s="57"/>
      <c r="I75" s="57"/>
      <c r="J75" s="82"/>
      <c r="K75" s="83"/>
      <c r="L75" s="82"/>
      <c r="M75" s="83"/>
      <c r="N75" s="82"/>
      <c r="O75" s="83"/>
      <c r="P75" s="57"/>
      <c r="Q75" s="57"/>
      <c r="R75" s="82"/>
      <c r="S75" s="83"/>
      <c r="T75" s="82"/>
      <c r="U75" s="83"/>
      <c r="V75" s="84"/>
      <c r="W75" s="84"/>
      <c r="X75" s="57"/>
      <c r="Y75" s="57"/>
      <c r="Z75" s="82"/>
      <c r="AA75" s="83"/>
      <c r="AB75" s="82"/>
      <c r="AC75" s="83"/>
      <c r="AD75" s="82"/>
      <c r="AE75" s="83"/>
      <c r="AF75" s="57"/>
      <c r="AG75" s="57"/>
      <c r="AH75" s="85"/>
      <c r="AI75" s="80"/>
      <c r="AJ75" s="80"/>
      <c r="AK75" s="24"/>
      <c r="AL75" s="119"/>
      <c r="AM75" s="82">
        <v>1085</v>
      </c>
      <c r="AN75" s="83">
        <v>1458</v>
      </c>
      <c r="AO75" s="119"/>
      <c r="AP75" s="82">
        <v>1960</v>
      </c>
      <c r="AQ75" s="83"/>
    </row>
    <row r="76" spans="1:43" x14ac:dyDescent="0.25">
      <c r="A76" s="1801"/>
      <c r="B76" s="94"/>
      <c r="C76" s="41"/>
      <c r="D76" s="40"/>
      <c r="E76" s="41"/>
      <c r="F76" s="40"/>
      <c r="G76" s="41"/>
      <c r="H76" s="42"/>
      <c r="I76" s="42"/>
      <c r="J76" s="40"/>
      <c r="K76" s="41"/>
      <c r="L76" s="40"/>
      <c r="M76" s="41"/>
      <c r="N76" s="40"/>
      <c r="O76" s="41"/>
      <c r="P76" s="42"/>
      <c r="Q76" s="42"/>
      <c r="R76" s="40"/>
      <c r="S76" s="41"/>
      <c r="T76" s="40"/>
      <c r="U76" s="41"/>
      <c r="V76" s="30"/>
      <c r="W76" s="30"/>
      <c r="X76" s="42"/>
      <c r="Y76" s="42"/>
      <c r="Z76" s="40"/>
      <c r="AA76" s="41"/>
      <c r="AB76" s="40"/>
      <c r="AC76" s="41"/>
      <c r="AD76" s="40"/>
      <c r="AE76" s="41"/>
      <c r="AF76" s="42"/>
      <c r="AG76" s="42"/>
      <c r="AI76" s="78"/>
      <c r="AJ76" s="78"/>
      <c r="AK76" s="45"/>
      <c r="AL76" s="120"/>
      <c r="AM76" s="40">
        <v>2.1199999999999997</v>
      </c>
      <c r="AN76" s="41">
        <v>1.2119204389574763</v>
      </c>
      <c r="AO76" s="120"/>
      <c r="AP76" s="40">
        <v>1.31</v>
      </c>
      <c r="AQ76" s="41"/>
    </row>
    <row r="77" spans="1:43" s="58" customFormat="1" x14ac:dyDescent="0.25">
      <c r="A77" s="1801" t="s">
        <v>130</v>
      </c>
      <c r="B77" s="92">
        <v>1050</v>
      </c>
      <c r="C77" s="83">
        <v>1628</v>
      </c>
      <c r="D77" s="82">
        <v>2030</v>
      </c>
      <c r="E77" s="83"/>
      <c r="F77" s="82"/>
      <c r="G77" s="83"/>
      <c r="H77" s="57">
        <v>3080</v>
      </c>
      <c r="I77" s="57">
        <v>1628</v>
      </c>
      <c r="J77" s="82"/>
      <c r="K77" s="83"/>
      <c r="L77" s="82"/>
      <c r="M77" s="83"/>
      <c r="N77" s="82"/>
      <c r="O77" s="83">
        <v>369.78</v>
      </c>
      <c r="P77" s="57"/>
      <c r="Q77" s="57">
        <v>369.78</v>
      </c>
      <c r="R77" s="82"/>
      <c r="S77" s="83"/>
      <c r="T77" s="82"/>
      <c r="U77" s="83"/>
      <c r="V77" s="84"/>
      <c r="W77" s="84"/>
      <c r="X77" s="57">
        <v>0</v>
      </c>
      <c r="Y77" s="57">
        <v>0</v>
      </c>
      <c r="Z77" s="82"/>
      <c r="AA77" s="83"/>
      <c r="AB77" s="82"/>
      <c r="AC77" s="83"/>
      <c r="AD77" s="82"/>
      <c r="AE77" s="83"/>
      <c r="AF77" s="57">
        <v>0</v>
      </c>
      <c r="AG77" s="57">
        <v>0</v>
      </c>
      <c r="AH77" s="85"/>
      <c r="AI77" s="80">
        <v>3080</v>
      </c>
      <c r="AJ77" s="80">
        <v>1997.78</v>
      </c>
      <c r="AK77" s="24"/>
      <c r="AL77" s="119"/>
      <c r="AM77" s="82"/>
      <c r="AN77" s="83"/>
      <c r="AO77" s="119"/>
      <c r="AP77" s="82"/>
      <c r="AQ77" s="83"/>
    </row>
    <row r="78" spans="1:43" x14ac:dyDescent="0.25">
      <c r="A78" s="1801"/>
      <c r="B78" s="94">
        <v>3.5300000000000016</v>
      </c>
      <c r="C78" s="41">
        <v>2.9</v>
      </c>
      <c r="D78" s="40">
        <v>3.4599999999999982</v>
      </c>
      <c r="E78" s="41"/>
      <c r="F78" s="40"/>
      <c r="G78" s="41"/>
      <c r="H78" s="42">
        <v>3.4838636363636359</v>
      </c>
      <c r="I78" s="48">
        <v>2.9</v>
      </c>
      <c r="J78" s="40"/>
      <c r="K78" s="41"/>
      <c r="L78" s="40"/>
      <c r="M78" s="41"/>
      <c r="N78" s="40"/>
      <c r="O78" s="41">
        <v>1.2369255589036321</v>
      </c>
      <c r="P78" s="42"/>
      <c r="Q78" s="48">
        <v>1.2369255589036321</v>
      </c>
      <c r="R78" s="40"/>
      <c r="S78" s="41"/>
      <c r="T78" s="40"/>
      <c r="U78" s="41"/>
      <c r="V78" s="30"/>
      <c r="W78" s="30"/>
      <c r="X78" s="48" t="s">
        <v>217</v>
      </c>
      <c r="Y78" s="48" t="s">
        <v>217</v>
      </c>
      <c r="Z78" s="40"/>
      <c r="AA78" s="41"/>
      <c r="AB78" s="40"/>
      <c r="AC78" s="41"/>
      <c r="AD78" s="40"/>
      <c r="AE78" s="41"/>
      <c r="AF78" s="48" t="s">
        <v>217</v>
      </c>
      <c r="AG78" s="48" t="s">
        <v>217</v>
      </c>
      <c r="AI78" s="79">
        <v>3.4838636363636359</v>
      </c>
      <c r="AJ78" s="79">
        <v>2.5921724780363129</v>
      </c>
      <c r="AK78" s="45"/>
      <c r="AL78" s="120"/>
      <c r="AM78" s="40"/>
      <c r="AN78" s="41"/>
      <c r="AO78" s="120"/>
      <c r="AP78" s="40"/>
      <c r="AQ78" s="41"/>
    </row>
    <row r="79" spans="1:43" s="58" customFormat="1" x14ac:dyDescent="0.25">
      <c r="A79" s="1801" t="s">
        <v>131</v>
      </c>
      <c r="B79" s="92">
        <v>3150</v>
      </c>
      <c r="C79" s="83">
        <v>3412</v>
      </c>
      <c r="D79" s="82">
        <v>1820</v>
      </c>
      <c r="E79" s="83">
        <v>5361</v>
      </c>
      <c r="F79" s="82">
        <v>3045</v>
      </c>
      <c r="G79" s="83">
        <v>5002</v>
      </c>
      <c r="H79" s="57">
        <v>8015</v>
      </c>
      <c r="I79" s="57">
        <v>13775</v>
      </c>
      <c r="J79" s="82"/>
      <c r="K79" s="83"/>
      <c r="L79" s="82"/>
      <c r="M79" s="83"/>
      <c r="N79" s="82"/>
      <c r="O79" s="83"/>
      <c r="P79" s="57"/>
      <c r="Q79" s="57"/>
      <c r="R79" s="82"/>
      <c r="S79" s="83"/>
      <c r="T79" s="82"/>
      <c r="U79" s="83"/>
      <c r="V79" s="84"/>
      <c r="W79" s="84"/>
      <c r="X79" s="57">
        <v>0</v>
      </c>
      <c r="Y79" s="57">
        <v>0</v>
      </c>
      <c r="Z79" s="82"/>
      <c r="AA79" s="83"/>
      <c r="AB79" s="82"/>
      <c r="AC79" s="83"/>
      <c r="AD79" s="82"/>
      <c r="AE79" s="83"/>
      <c r="AF79" s="57">
        <v>0</v>
      </c>
      <c r="AG79" s="57">
        <v>0</v>
      </c>
      <c r="AH79" s="85"/>
      <c r="AI79" s="80">
        <v>8015</v>
      </c>
      <c r="AJ79" s="80">
        <v>13775</v>
      </c>
      <c r="AK79" s="24"/>
      <c r="AL79" s="119"/>
      <c r="AM79" s="82"/>
      <c r="AN79" s="83"/>
      <c r="AO79" s="119"/>
      <c r="AP79" s="82"/>
      <c r="AQ79" s="83"/>
    </row>
    <row r="80" spans="1:43" x14ac:dyDescent="0.25">
      <c r="A80" s="1801" t="s">
        <v>131</v>
      </c>
      <c r="B80" s="94">
        <v>3.5299999999999985</v>
      </c>
      <c r="C80" s="41">
        <v>3.53</v>
      </c>
      <c r="D80" s="40">
        <v>4.8199999999999976</v>
      </c>
      <c r="E80" s="47">
        <v>3.27</v>
      </c>
      <c r="F80" s="40">
        <v>3.3099999999999996</v>
      </c>
      <c r="G80" s="41">
        <v>2.46</v>
      </c>
      <c r="H80" s="42">
        <v>3.7393449781659376</v>
      </c>
      <c r="I80" s="48">
        <v>3.0402722323049001</v>
      </c>
      <c r="J80" s="40"/>
      <c r="K80" s="41"/>
      <c r="L80" s="40"/>
      <c r="M80" s="41"/>
      <c r="N80" s="40"/>
      <c r="O80" s="41"/>
      <c r="P80" s="42"/>
      <c r="Q80" s="48"/>
      <c r="R80" s="40"/>
      <c r="S80" s="41"/>
      <c r="T80" s="40"/>
      <c r="U80" s="41"/>
      <c r="V80" s="30"/>
      <c r="W80" s="30"/>
      <c r="X80" s="48" t="s">
        <v>217</v>
      </c>
      <c r="Y80" s="48" t="s">
        <v>217</v>
      </c>
      <c r="Z80" s="40"/>
      <c r="AA80" s="41"/>
      <c r="AB80" s="40"/>
      <c r="AC80" s="41"/>
      <c r="AD80" s="40"/>
      <c r="AE80" s="41"/>
      <c r="AF80" s="48" t="s">
        <v>217</v>
      </c>
      <c r="AG80" s="48" t="s">
        <v>217</v>
      </c>
      <c r="AI80" s="79">
        <v>3.7393449781659376</v>
      </c>
      <c r="AJ80" s="79">
        <v>3.0402722323049001</v>
      </c>
      <c r="AK80" s="45"/>
      <c r="AL80" s="120"/>
      <c r="AM80" s="40"/>
      <c r="AN80" s="41"/>
      <c r="AO80" s="120"/>
      <c r="AP80" s="40"/>
      <c r="AQ80" s="41"/>
    </row>
    <row r="81" spans="1:43" s="58" customFormat="1" x14ac:dyDescent="0.25">
      <c r="A81" s="1801" t="s">
        <v>132</v>
      </c>
      <c r="B81" s="92"/>
      <c r="C81" s="83"/>
      <c r="D81" s="82"/>
      <c r="E81" s="83"/>
      <c r="F81" s="82"/>
      <c r="G81" s="83"/>
      <c r="H81" s="57"/>
      <c r="I81" s="57"/>
      <c r="J81" s="82"/>
      <c r="K81" s="83"/>
      <c r="L81" s="82"/>
      <c r="M81" s="83"/>
      <c r="N81" s="82"/>
      <c r="O81" s="83"/>
      <c r="P81" s="57"/>
      <c r="Q81" s="57"/>
      <c r="R81" s="82"/>
      <c r="S81" s="83"/>
      <c r="T81" s="82"/>
      <c r="U81" s="83"/>
      <c r="V81" s="84"/>
      <c r="W81" s="84"/>
      <c r="X81" s="57">
        <v>0</v>
      </c>
      <c r="Y81" s="57">
        <v>0</v>
      </c>
      <c r="Z81" s="82">
        <v>2100</v>
      </c>
      <c r="AA81" s="83">
        <v>1255</v>
      </c>
      <c r="AB81" s="82">
        <v>2100</v>
      </c>
      <c r="AC81" s="83">
        <v>1490</v>
      </c>
      <c r="AD81" s="82">
        <v>980</v>
      </c>
      <c r="AE81" s="83">
        <v>999</v>
      </c>
      <c r="AF81" s="57">
        <v>5180</v>
      </c>
      <c r="AG81" s="57">
        <v>3744</v>
      </c>
      <c r="AH81" s="85"/>
      <c r="AI81" s="80">
        <v>5180</v>
      </c>
      <c r="AJ81" s="80">
        <v>3744</v>
      </c>
      <c r="AK81" s="24"/>
      <c r="AL81" s="119"/>
      <c r="AM81" s="82">
        <v>1085</v>
      </c>
      <c r="AN81" s="83">
        <v>754</v>
      </c>
      <c r="AO81" s="119"/>
      <c r="AP81" s="82"/>
      <c r="AQ81" s="83"/>
    </row>
    <row r="82" spans="1:43" x14ac:dyDescent="0.25">
      <c r="A82" s="1801" t="s">
        <v>131</v>
      </c>
      <c r="B82" s="94"/>
      <c r="C82" s="41"/>
      <c r="D82" s="40"/>
      <c r="E82" s="41"/>
      <c r="F82" s="40"/>
      <c r="G82" s="41"/>
      <c r="H82" s="42"/>
      <c r="I82" s="42"/>
      <c r="J82" s="40"/>
      <c r="K82" s="41"/>
      <c r="L82" s="40"/>
      <c r="M82" s="41"/>
      <c r="N82" s="40"/>
      <c r="O82" s="41"/>
      <c r="P82" s="42"/>
      <c r="Q82" s="42"/>
      <c r="R82" s="40"/>
      <c r="S82" s="41"/>
      <c r="T82" s="40"/>
      <c r="U82" s="41"/>
      <c r="V82" s="30"/>
      <c r="W82" s="30"/>
      <c r="X82" s="48" t="s">
        <v>217</v>
      </c>
      <c r="Y82" s="48" t="s">
        <v>217</v>
      </c>
      <c r="Z82" s="40">
        <v>1.66</v>
      </c>
      <c r="AA82" s="41">
        <v>3.9548084756478263</v>
      </c>
      <c r="AB82" s="40">
        <v>2.17</v>
      </c>
      <c r="AC82" s="41">
        <v>1.9667793452380951</v>
      </c>
      <c r="AD82" s="40">
        <v>1.86</v>
      </c>
      <c r="AE82" s="41">
        <v>1.83</v>
      </c>
      <c r="AF82" s="48">
        <v>1.9045945945945943</v>
      </c>
      <c r="AG82" s="48">
        <v>2.5966762450167691</v>
      </c>
      <c r="AI82" s="79">
        <v>1.9045945945945943</v>
      </c>
      <c r="AJ82" s="79">
        <v>2.5966762450167691</v>
      </c>
      <c r="AK82" s="45"/>
      <c r="AL82" s="120"/>
      <c r="AM82" s="40">
        <v>1.8599999999999994</v>
      </c>
      <c r="AN82" s="41">
        <v>0.46722811671087527</v>
      </c>
      <c r="AO82" s="120"/>
      <c r="AP82" s="40"/>
      <c r="AQ82" s="41"/>
    </row>
    <row r="83" spans="1:43" x14ac:dyDescent="0.25">
      <c r="A83" s="1801" t="s">
        <v>133</v>
      </c>
      <c r="B83" s="94"/>
      <c r="C83" s="41"/>
      <c r="D83" s="40"/>
      <c r="E83" s="41"/>
      <c r="F83" s="40"/>
      <c r="G83" s="41"/>
      <c r="H83" s="42"/>
      <c r="I83" s="42"/>
      <c r="J83" s="40"/>
      <c r="K83" s="41"/>
      <c r="L83" s="40"/>
      <c r="M83" s="41"/>
      <c r="N83" s="40"/>
      <c r="O83" s="41"/>
      <c r="P83" s="42"/>
      <c r="Q83" s="42"/>
      <c r="R83" s="40"/>
      <c r="S83" s="41"/>
      <c r="T83" s="40"/>
      <c r="U83" s="41"/>
      <c r="V83" s="30"/>
      <c r="W83" s="30"/>
      <c r="X83" s="42"/>
      <c r="Y83" s="42"/>
      <c r="Z83" s="40"/>
      <c r="AA83" s="41"/>
      <c r="AB83" s="40"/>
      <c r="AC83" s="41"/>
      <c r="AD83" s="40"/>
      <c r="AE83" s="41"/>
      <c r="AF83" s="42"/>
      <c r="AG83" s="42"/>
      <c r="AI83" s="78"/>
      <c r="AJ83" s="78"/>
      <c r="AK83" s="45"/>
      <c r="AL83" s="120">
        <f>'STOPE SUMMARY PIVOT'!D1591</f>
        <v>351</v>
      </c>
      <c r="AM83" s="40"/>
      <c r="AN83" s="41"/>
      <c r="AO83" s="120"/>
      <c r="AP83" s="40"/>
      <c r="AQ83" s="41"/>
    </row>
    <row r="84" spans="1:43" x14ac:dyDescent="0.25">
      <c r="A84" s="1801" t="s">
        <v>131</v>
      </c>
      <c r="B84" s="94"/>
      <c r="C84" s="41"/>
      <c r="D84" s="40"/>
      <c r="E84" s="41"/>
      <c r="F84" s="40"/>
      <c r="G84" s="41"/>
      <c r="H84" s="42"/>
      <c r="I84" s="42"/>
      <c r="J84" s="40"/>
      <c r="K84" s="41"/>
      <c r="L84" s="40"/>
      <c r="M84" s="41"/>
      <c r="N84" s="40"/>
      <c r="O84" s="41"/>
      <c r="P84" s="42"/>
      <c r="Q84" s="42"/>
      <c r="R84" s="40"/>
      <c r="S84" s="41"/>
      <c r="T84" s="40"/>
      <c r="U84" s="41"/>
      <c r="V84" s="30"/>
      <c r="W84" s="30"/>
      <c r="X84" s="42"/>
      <c r="Y84" s="42"/>
      <c r="Z84" s="40"/>
      <c r="AA84" s="41"/>
      <c r="AB84" s="40"/>
      <c r="AC84" s="41"/>
      <c r="AD84" s="40"/>
      <c r="AE84" s="41"/>
      <c r="AF84" s="42"/>
      <c r="AG84" s="42"/>
      <c r="AI84" s="78"/>
      <c r="AJ84" s="78"/>
      <c r="AK84" s="45"/>
      <c r="AL84" s="120">
        <f>'STOPE SUMMARY PIVOT'!E1591</f>
        <v>1.82</v>
      </c>
      <c r="AM84" s="40"/>
      <c r="AN84" s="41"/>
      <c r="AO84" s="120"/>
      <c r="AP84" s="40"/>
      <c r="AQ84" s="41"/>
    </row>
    <row r="85" spans="1:43" x14ac:dyDescent="0.25">
      <c r="A85" s="1801" t="s">
        <v>134</v>
      </c>
      <c r="B85" s="94"/>
      <c r="C85" s="41"/>
      <c r="D85" s="40"/>
      <c r="E85" s="41"/>
      <c r="F85" s="40"/>
      <c r="G85" s="41"/>
      <c r="H85" s="42"/>
      <c r="I85" s="42"/>
      <c r="J85" s="40"/>
      <c r="K85" s="41"/>
      <c r="L85" s="40"/>
      <c r="M85" s="41"/>
      <c r="N85" s="40"/>
      <c r="O85" s="41"/>
      <c r="P85" s="42"/>
      <c r="Q85" s="42"/>
      <c r="R85" s="40"/>
      <c r="S85" s="41"/>
      <c r="T85" s="40"/>
      <c r="U85" s="41"/>
      <c r="V85" s="30"/>
      <c r="W85" s="30"/>
      <c r="X85" s="42"/>
      <c r="Y85" s="42"/>
      <c r="Z85" s="40"/>
      <c r="AA85" s="41"/>
      <c r="AB85" s="40"/>
      <c r="AC85" s="41"/>
      <c r="AD85" s="40"/>
      <c r="AE85" s="41"/>
      <c r="AF85" s="42"/>
      <c r="AG85" s="42"/>
      <c r="AI85" s="78"/>
      <c r="AJ85" s="78"/>
      <c r="AK85" s="45"/>
      <c r="AL85" s="120"/>
      <c r="AM85" s="40"/>
      <c r="AN85" s="41"/>
      <c r="AO85" s="120"/>
      <c r="AP85" s="40"/>
      <c r="AQ85" s="41"/>
    </row>
    <row r="86" spans="1:43" x14ac:dyDescent="0.25">
      <c r="A86" s="1801" t="s">
        <v>131</v>
      </c>
      <c r="B86" s="94"/>
      <c r="C86" s="41"/>
      <c r="D86" s="40"/>
      <c r="E86" s="41"/>
      <c r="F86" s="40"/>
      <c r="G86" s="41"/>
      <c r="H86" s="42"/>
      <c r="I86" s="42"/>
      <c r="J86" s="40"/>
      <c r="K86" s="41"/>
      <c r="L86" s="40"/>
      <c r="M86" s="41"/>
      <c r="N86" s="40"/>
      <c r="O86" s="41"/>
      <c r="P86" s="42"/>
      <c r="Q86" s="42"/>
      <c r="R86" s="40"/>
      <c r="S86" s="41"/>
      <c r="T86" s="40"/>
      <c r="U86" s="41"/>
      <c r="V86" s="30"/>
      <c r="W86" s="30"/>
      <c r="X86" s="42"/>
      <c r="Y86" s="42"/>
      <c r="Z86" s="40"/>
      <c r="AA86" s="41"/>
      <c r="AB86" s="40"/>
      <c r="AC86" s="41"/>
      <c r="AD86" s="40"/>
      <c r="AE86" s="41"/>
      <c r="AF86" s="42"/>
      <c r="AG86" s="42"/>
      <c r="AI86" s="78"/>
      <c r="AJ86" s="78"/>
      <c r="AK86" s="45"/>
      <c r="AL86" s="120"/>
      <c r="AM86" s="40"/>
      <c r="AN86" s="41"/>
      <c r="AO86" s="120"/>
      <c r="AP86" s="40"/>
      <c r="AQ86" s="41"/>
    </row>
    <row r="87" spans="1:43" x14ac:dyDescent="0.25">
      <c r="A87" s="1801" t="s">
        <v>135</v>
      </c>
      <c r="B87" s="94"/>
      <c r="C87" s="41"/>
      <c r="D87" s="40"/>
      <c r="E87" s="41"/>
      <c r="F87" s="40"/>
      <c r="G87" s="41"/>
      <c r="H87" s="42"/>
      <c r="I87" s="42"/>
      <c r="J87" s="40"/>
      <c r="K87" s="41"/>
      <c r="L87" s="40"/>
      <c r="M87" s="41"/>
      <c r="N87" s="40"/>
      <c r="O87" s="41"/>
      <c r="P87" s="42"/>
      <c r="Q87" s="42"/>
      <c r="R87" s="40"/>
      <c r="S87" s="41"/>
      <c r="T87" s="40"/>
      <c r="U87" s="41"/>
      <c r="V87" s="30"/>
      <c r="W87" s="30"/>
      <c r="X87" s="42"/>
      <c r="Y87" s="42"/>
      <c r="Z87" s="40"/>
      <c r="AA87" s="41"/>
      <c r="AB87" s="40"/>
      <c r="AC87" s="41"/>
      <c r="AD87" s="40"/>
      <c r="AE87" s="41"/>
      <c r="AF87" s="42"/>
      <c r="AG87" s="42"/>
      <c r="AI87" s="78"/>
      <c r="AJ87" s="78"/>
      <c r="AK87" s="45"/>
      <c r="AL87" s="120"/>
      <c r="AM87" s="40"/>
      <c r="AN87" s="41"/>
      <c r="AO87" s="120"/>
      <c r="AP87" s="40"/>
      <c r="AQ87" s="41"/>
    </row>
    <row r="88" spans="1:43" x14ac:dyDescent="0.25">
      <c r="A88" s="1801" t="s">
        <v>131</v>
      </c>
      <c r="B88" s="94"/>
      <c r="C88" s="41"/>
      <c r="D88" s="40"/>
      <c r="E88" s="41"/>
      <c r="F88" s="40"/>
      <c r="G88" s="41"/>
      <c r="H88" s="42"/>
      <c r="I88" s="42"/>
      <c r="J88" s="40"/>
      <c r="K88" s="41"/>
      <c r="L88" s="40"/>
      <c r="M88" s="41"/>
      <c r="N88" s="40"/>
      <c r="O88" s="41"/>
      <c r="P88" s="42"/>
      <c r="Q88" s="42"/>
      <c r="R88" s="40"/>
      <c r="S88" s="41"/>
      <c r="T88" s="40"/>
      <c r="U88" s="41"/>
      <c r="V88" s="30"/>
      <c r="W88" s="30"/>
      <c r="X88" s="42"/>
      <c r="Y88" s="42"/>
      <c r="Z88" s="40"/>
      <c r="AA88" s="41"/>
      <c r="AB88" s="40"/>
      <c r="AC88" s="41"/>
      <c r="AD88" s="40"/>
      <c r="AE88" s="41"/>
      <c r="AF88" s="42"/>
      <c r="AG88" s="42"/>
      <c r="AI88" s="78"/>
      <c r="AJ88" s="78"/>
      <c r="AK88" s="45"/>
      <c r="AL88" s="120"/>
      <c r="AM88" s="40"/>
      <c r="AN88" s="41"/>
      <c r="AO88" s="120"/>
      <c r="AP88" s="40"/>
      <c r="AQ88" s="41"/>
    </row>
    <row r="89" spans="1:43" x14ac:dyDescent="0.25">
      <c r="A89" s="1801" t="s">
        <v>136</v>
      </c>
      <c r="B89" s="94"/>
      <c r="C89" s="41"/>
      <c r="D89" s="40"/>
      <c r="E89" s="41"/>
      <c r="F89" s="40"/>
      <c r="G89" s="41"/>
      <c r="H89" s="42"/>
      <c r="I89" s="42"/>
      <c r="J89" s="40"/>
      <c r="K89" s="41"/>
      <c r="L89" s="40"/>
      <c r="M89" s="41"/>
      <c r="N89" s="40"/>
      <c r="O89" s="41"/>
      <c r="P89" s="42"/>
      <c r="Q89" s="42"/>
      <c r="R89" s="40"/>
      <c r="S89" s="41"/>
      <c r="T89" s="40"/>
      <c r="U89" s="41"/>
      <c r="V89" s="30"/>
      <c r="W89" s="30"/>
      <c r="X89" s="42"/>
      <c r="Y89" s="42"/>
      <c r="Z89" s="40"/>
      <c r="AA89" s="41"/>
      <c r="AB89" s="40"/>
      <c r="AC89" s="41"/>
      <c r="AD89" s="40"/>
      <c r="AE89" s="41"/>
      <c r="AF89" s="42"/>
      <c r="AG89" s="42"/>
      <c r="AI89" s="78"/>
      <c r="AJ89" s="78"/>
      <c r="AK89" s="45"/>
      <c r="AL89" s="120">
        <f>'STOPE SUMMARY PIVOT'!D1594</f>
        <v>1908</v>
      </c>
      <c r="AM89" s="40"/>
      <c r="AN89" s="41"/>
      <c r="AO89" s="120"/>
      <c r="AP89" s="40"/>
      <c r="AQ89" s="41"/>
    </row>
    <row r="90" spans="1:43" x14ac:dyDescent="0.25">
      <c r="A90" s="1801" t="s">
        <v>131</v>
      </c>
      <c r="B90" s="94"/>
      <c r="C90" s="41"/>
      <c r="D90" s="40"/>
      <c r="E90" s="41"/>
      <c r="F90" s="40"/>
      <c r="G90" s="41"/>
      <c r="H90" s="42"/>
      <c r="I90" s="42"/>
      <c r="J90" s="40"/>
      <c r="K90" s="41"/>
      <c r="L90" s="40"/>
      <c r="M90" s="41"/>
      <c r="N90" s="40"/>
      <c r="O90" s="41"/>
      <c r="P90" s="42"/>
      <c r="Q90" s="42"/>
      <c r="R90" s="40"/>
      <c r="S90" s="41"/>
      <c r="T90" s="40"/>
      <c r="U90" s="41"/>
      <c r="V90" s="30"/>
      <c r="W90" s="30"/>
      <c r="X90" s="42"/>
      <c r="Y90" s="42"/>
      <c r="Z90" s="40"/>
      <c r="AA90" s="41"/>
      <c r="AB90" s="40"/>
      <c r="AC90" s="41"/>
      <c r="AD90" s="40"/>
      <c r="AE90" s="41"/>
      <c r="AF90" s="42"/>
      <c r="AG90" s="42"/>
      <c r="AI90" s="78"/>
      <c r="AJ90" s="78"/>
      <c r="AK90" s="45"/>
      <c r="AL90" s="120">
        <f>'STOPE SUMMARY PIVOT'!E1594</f>
        <v>0.92</v>
      </c>
      <c r="AM90" s="40"/>
      <c r="AN90" s="41"/>
      <c r="AO90" s="120"/>
      <c r="AP90" s="40"/>
      <c r="AQ90" s="41"/>
    </row>
    <row r="91" spans="1:43" x14ac:dyDescent="0.25">
      <c r="A91" s="1801" t="s">
        <v>137</v>
      </c>
      <c r="B91" s="94"/>
      <c r="C91" s="41"/>
      <c r="D91" s="40"/>
      <c r="E91" s="41"/>
      <c r="F91" s="40"/>
      <c r="G91" s="41"/>
      <c r="H91" s="42"/>
      <c r="I91" s="42"/>
      <c r="J91" s="40"/>
      <c r="K91" s="41"/>
      <c r="L91" s="40"/>
      <c r="M91" s="41"/>
      <c r="N91" s="40"/>
      <c r="O91" s="41"/>
      <c r="P91" s="42"/>
      <c r="Q91" s="42"/>
      <c r="R91" s="40"/>
      <c r="S91" s="41"/>
      <c r="T91" s="40"/>
      <c r="U91" s="41"/>
      <c r="V91" s="30"/>
      <c r="W91" s="30"/>
      <c r="X91" s="42"/>
      <c r="Y91" s="42"/>
      <c r="Z91" s="40"/>
      <c r="AA91" s="41"/>
      <c r="AB91" s="40"/>
      <c r="AC91" s="41"/>
      <c r="AD91" s="40"/>
      <c r="AE91" s="41"/>
      <c r="AF91" s="42"/>
      <c r="AG91" s="42"/>
      <c r="AI91" s="78"/>
      <c r="AJ91" s="78"/>
      <c r="AK91" s="45"/>
      <c r="AL91" s="119">
        <f>'STOPE SUMMARY PIVOT'!D1595</f>
        <v>1947</v>
      </c>
      <c r="AM91" s="82">
        <v>4060</v>
      </c>
      <c r="AN91" s="83">
        <v>4555</v>
      </c>
      <c r="AO91" s="119"/>
      <c r="AP91" s="40"/>
      <c r="AQ91" s="41"/>
    </row>
    <row r="92" spans="1:43" x14ac:dyDescent="0.25">
      <c r="A92" s="1801" t="s">
        <v>131</v>
      </c>
      <c r="B92" s="94"/>
      <c r="C92" s="41"/>
      <c r="D92" s="40"/>
      <c r="E92" s="41"/>
      <c r="F92" s="40"/>
      <c r="G92" s="41"/>
      <c r="H92" s="42"/>
      <c r="I92" s="42"/>
      <c r="J92" s="40"/>
      <c r="K92" s="41"/>
      <c r="L92" s="40"/>
      <c r="M92" s="41"/>
      <c r="N92" s="40"/>
      <c r="O92" s="41"/>
      <c r="P92" s="42"/>
      <c r="Q92" s="42"/>
      <c r="R92" s="40"/>
      <c r="S92" s="41"/>
      <c r="T92" s="40"/>
      <c r="U92" s="41"/>
      <c r="V92" s="30"/>
      <c r="W92" s="30"/>
      <c r="X92" s="42"/>
      <c r="Y92" s="42"/>
      <c r="Z92" s="40"/>
      <c r="AA92" s="41"/>
      <c r="AB92" s="40"/>
      <c r="AC92" s="41"/>
      <c r="AD92" s="40"/>
      <c r="AE92" s="41"/>
      <c r="AF92" s="42"/>
      <c r="AG92" s="42"/>
      <c r="AI92" s="78"/>
      <c r="AJ92" s="78"/>
      <c r="AK92" s="45"/>
      <c r="AL92" s="120">
        <f>'STOPE SUMMARY PIVOT'!E1595</f>
        <v>0.53</v>
      </c>
      <c r="AM92" s="40">
        <v>2.0099999999999993</v>
      </c>
      <c r="AN92" s="41">
        <v>1.8785049396267839</v>
      </c>
      <c r="AO92" s="120"/>
      <c r="AP92" s="40"/>
      <c r="AQ92" s="41"/>
    </row>
    <row r="93" spans="1:43" s="58" customFormat="1" x14ac:dyDescent="0.25">
      <c r="A93" s="1801" t="s">
        <v>138</v>
      </c>
      <c r="B93" s="92"/>
      <c r="C93" s="83"/>
      <c r="D93" s="82"/>
      <c r="E93" s="83"/>
      <c r="F93" s="82"/>
      <c r="G93" s="83"/>
      <c r="H93" s="57"/>
      <c r="I93" s="57"/>
      <c r="J93" s="82"/>
      <c r="K93" s="83"/>
      <c r="L93" s="82"/>
      <c r="M93" s="83"/>
      <c r="N93" s="82"/>
      <c r="O93" s="83"/>
      <c r="P93" s="57"/>
      <c r="Q93" s="57"/>
      <c r="R93" s="82"/>
      <c r="S93" s="83"/>
      <c r="T93" s="82"/>
      <c r="U93" s="83"/>
      <c r="V93" s="84"/>
      <c r="W93" s="84"/>
      <c r="X93" s="57">
        <v>0</v>
      </c>
      <c r="Y93" s="57">
        <v>0</v>
      </c>
      <c r="Z93" s="82"/>
      <c r="AA93" s="83"/>
      <c r="AB93" s="82"/>
      <c r="AC93" s="83"/>
      <c r="AD93" s="82">
        <v>3920</v>
      </c>
      <c r="AE93" s="83">
        <v>2601</v>
      </c>
      <c r="AF93" s="57">
        <v>3920</v>
      </c>
      <c r="AG93" s="57">
        <v>2601</v>
      </c>
      <c r="AH93" s="85"/>
      <c r="AI93" s="80">
        <v>3920</v>
      </c>
      <c r="AJ93" s="80">
        <v>2601</v>
      </c>
      <c r="AK93" s="24"/>
      <c r="AL93" s="119"/>
      <c r="AM93" s="82"/>
      <c r="AO93" s="119"/>
      <c r="AP93" s="82">
        <v>1960</v>
      </c>
      <c r="AQ93" s="83"/>
    </row>
    <row r="94" spans="1:43" x14ac:dyDescent="0.25">
      <c r="A94" s="1801" t="s">
        <v>131</v>
      </c>
      <c r="B94" s="94"/>
      <c r="C94" s="41"/>
      <c r="D94" s="40"/>
      <c r="E94" s="41"/>
      <c r="F94" s="40"/>
      <c r="G94" s="41"/>
      <c r="H94" s="42"/>
      <c r="I94" s="42"/>
      <c r="J94" s="40"/>
      <c r="K94" s="41"/>
      <c r="L94" s="40"/>
      <c r="M94" s="41"/>
      <c r="N94" s="40"/>
      <c r="O94" s="41"/>
      <c r="P94" s="42"/>
      <c r="Q94" s="42"/>
      <c r="R94" s="40"/>
      <c r="S94" s="41"/>
      <c r="T94" s="40"/>
      <c r="U94" s="41"/>
      <c r="V94" s="30"/>
      <c r="W94" s="30"/>
      <c r="X94" s="48" t="s">
        <v>217</v>
      </c>
      <c r="Y94" s="48" t="s">
        <v>217</v>
      </c>
      <c r="Z94" s="40"/>
      <c r="AA94" s="41"/>
      <c r="AB94" s="40"/>
      <c r="AC94" s="41"/>
      <c r="AD94" s="40">
        <v>1.86</v>
      </c>
      <c r="AE94" s="41">
        <v>1.68</v>
      </c>
      <c r="AF94" s="48">
        <v>1.86</v>
      </c>
      <c r="AG94" s="48">
        <v>1.6800000000000002</v>
      </c>
      <c r="AI94" s="79">
        <v>1.86</v>
      </c>
      <c r="AJ94" s="79">
        <v>1.6800000000000002</v>
      </c>
      <c r="AK94" s="45"/>
      <c r="AL94" s="120"/>
      <c r="AM94" s="40"/>
      <c r="AO94" s="120"/>
      <c r="AP94" s="40">
        <v>1.69</v>
      </c>
      <c r="AQ94" s="41"/>
    </row>
    <row r="95" spans="1:43" x14ac:dyDescent="0.25">
      <c r="A95" s="1801" t="s">
        <v>139</v>
      </c>
      <c r="B95" s="94"/>
      <c r="C95" s="41"/>
      <c r="D95" s="40"/>
      <c r="E95" s="41"/>
      <c r="F95" s="40"/>
      <c r="G95" s="41"/>
      <c r="H95" s="42"/>
      <c r="I95" s="42"/>
      <c r="J95" s="40"/>
      <c r="K95" s="41"/>
      <c r="L95" s="40"/>
      <c r="M95" s="41"/>
      <c r="N95" s="40"/>
      <c r="O95" s="41"/>
      <c r="P95" s="42"/>
      <c r="Q95" s="42"/>
      <c r="R95" s="40"/>
      <c r="S95" s="41"/>
      <c r="T95" s="40"/>
      <c r="U95" s="41"/>
      <c r="V95" s="30"/>
      <c r="W95" s="30"/>
      <c r="X95" s="42"/>
      <c r="Y95" s="42"/>
      <c r="Z95" s="40"/>
      <c r="AA95" s="41"/>
      <c r="AB95" s="40"/>
      <c r="AC95" s="41"/>
      <c r="AD95" s="40"/>
      <c r="AE95" s="41"/>
      <c r="AF95" s="42"/>
      <c r="AG95" s="42"/>
      <c r="AI95" s="78"/>
      <c r="AJ95" s="78"/>
      <c r="AK95" s="45"/>
      <c r="AL95" s="120"/>
      <c r="AM95" s="40"/>
      <c r="AN95" s="41"/>
      <c r="AO95" s="120"/>
      <c r="AP95" s="40"/>
      <c r="AQ95" s="41"/>
    </row>
    <row r="96" spans="1:43" x14ac:dyDescent="0.25">
      <c r="A96" s="1801" t="s">
        <v>131</v>
      </c>
      <c r="B96" s="94"/>
      <c r="C96" s="41"/>
      <c r="D96" s="40"/>
      <c r="E96" s="41"/>
      <c r="F96" s="40"/>
      <c r="G96" s="41"/>
      <c r="H96" s="42"/>
      <c r="I96" s="42"/>
      <c r="J96" s="40"/>
      <c r="K96" s="41"/>
      <c r="L96" s="40"/>
      <c r="M96" s="41"/>
      <c r="N96" s="40"/>
      <c r="O96" s="41"/>
      <c r="P96" s="42"/>
      <c r="Q96" s="42"/>
      <c r="R96" s="40"/>
      <c r="S96" s="41"/>
      <c r="T96" s="40"/>
      <c r="U96" s="41"/>
      <c r="V96" s="30"/>
      <c r="W96" s="30"/>
      <c r="X96" s="42"/>
      <c r="Y96" s="42"/>
      <c r="Z96" s="40"/>
      <c r="AA96" s="41"/>
      <c r="AB96" s="40"/>
      <c r="AC96" s="41"/>
      <c r="AD96" s="40"/>
      <c r="AE96" s="41"/>
      <c r="AF96" s="42"/>
      <c r="AG96" s="42"/>
      <c r="AI96" s="78"/>
      <c r="AJ96" s="78"/>
      <c r="AK96" s="45"/>
      <c r="AL96" s="120"/>
      <c r="AM96" s="40"/>
      <c r="AN96" s="41"/>
      <c r="AO96" s="120"/>
      <c r="AP96" s="40"/>
      <c r="AQ96" s="41"/>
    </row>
    <row r="97" spans="1:43" s="58" customFormat="1" x14ac:dyDescent="0.25">
      <c r="A97" s="1801" t="s">
        <v>140</v>
      </c>
      <c r="B97" s="92"/>
      <c r="C97" s="83"/>
      <c r="D97" s="82"/>
      <c r="E97" s="83"/>
      <c r="F97" s="82"/>
      <c r="G97" s="83"/>
      <c r="H97" s="57"/>
      <c r="I97" s="57"/>
      <c r="J97" s="82"/>
      <c r="K97" s="83"/>
      <c r="L97" s="82"/>
      <c r="M97" s="83"/>
      <c r="N97" s="82"/>
      <c r="O97" s="83"/>
      <c r="P97" s="57"/>
      <c r="Q97" s="57"/>
      <c r="R97" s="82"/>
      <c r="S97" s="83"/>
      <c r="T97" s="82"/>
      <c r="U97" s="83"/>
      <c r="V97" s="84"/>
      <c r="W97" s="84"/>
      <c r="X97" s="57">
        <v>0</v>
      </c>
      <c r="Y97" s="57">
        <v>0</v>
      </c>
      <c r="Z97" s="82"/>
      <c r="AA97" s="83"/>
      <c r="AB97" s="82"/>
      <c r="AC97" s="83"/>
      <c r="AD97" s="82">
        <v>0</v>
      </c>
      <c r="AE97" s="83">
        <v>227</v>
      </c>
      <c r="AF97" s="57">
        <v>0</v>
      </c>
      <c r="AG97" s="57">
        <v>227</v>
      </c>
      <c r="AH97" s="85"/>
      <c r="AI97" s="80">
        <v>0</v>
      </c>
      <c r="AJ97" s="80">
        <v>227</v>
      </c>
      <c r="AK97" s="24"/>
      <c r="AL97" s="119"/>
      <c r="AM97" s="82">
        <v>3255</v>
      </c>
      <c r="AN97" s="83">
        <v>2609.5</v>
      </c>
      <c r="AO97" s="119"/>
      <c r="AP97" s="82">
        <v>3920</v>
      </c>
      <c r="AQ97" s="83"/>
    </row>
    <row r="98" spans="1:43" x14ac:dyDescent="0.25">
      <c r="A98" s="1801" t="s">
        <v>131</v>
      </c>
      <c r="B98" s="94"/>
      <c r="C98" s="41"/>
      <c r="D98" s="40"/>
      <c r="E98" s="41"/>
      <c r="F98" s="40"/>
      <c r="G98" s="41"/>
      <c r="H98" s="42"/>
      <c r="I98" s="42"/>
      <c r="J98" s="40"/>
      <c r="K98" s="41"/>
      <c r="L98" s="40"/>
      <c r="M98" s="41"/>
      <c r="N98" s="40"/>
      <c r="O98" s="41"/>
      <c r="P98" s="42"/>
      <c r="Q98" s="42"/>
      <c r="R98" s="40"/>
      <c r="S98" s="41"/>
      <c r="T98" s="40"/>
      <c r="U98" s="41"/>
      <c r="V98" s="30"/>
      <c r="W98" s="30"/>
      <c r="X98" s="48" t="s">
        <v>217</v>
      </c>
      <c r="Y98" s="48" t="s">
        <v>217</v>
      </c>
      <c r="Z98" s="40"/>
      <c r="AA98" s="41"/>
      <c r="AB98" s="40"/>
      <c r="AC98" s="41"/>
      <c r="AD98" s="40">
        <v>0</v>
      </c>
      <c r="AE98" s="41">
        <v>3.02</v>
      </c>
      <c r="AF98" s="48" t="s">
        <v>217</v>
      </c>
      <c r="AG98" s="48">
        <v>3.02</v>
      </c>
      <c r="AI98" s="79" t="s">
        <v>217</v>
      </c>
      <c r="AJ98" s="79">
        <v>3.02</v>
      </c>
      <c r="AK98" s="45"/>
      <c r="AL98" s="120"/>
      <c r="AM98" s="40">
        <v>1.8000000000000003</v>
      </c>
      <c r="AN98" s="41">
        <v>2.4268116497413295</v>
      </c>
      <c r="AO98" s="120"/>
      <c r="AP98" s="40">
        <v>2.87</v>
      </c>
      <c r="AQ98" s="41"/>
    </row>
    <row r="99" spans="1:43" s="58" customFormat="1" x14ac:dyDescent="0.25">
      <c r="A99" s="1801" t="s">
        <v>150</v>
      </c>
      <c r="B99" s="92"/>
      <c r="C99" s="83"/>
      <c r="D99" s="82"/>
      <c r="E99" s="83"/>
      <c r="F99" s="82"/>
      <c r="G99" s="83"/>
      <c r="H99" s="57"/>
      <c r="I99" s="57"/>
      <c r="J99" s="82"/>
      <c r="K99" s="83"/>
      <c r="L99" s="82"/>
      <c r="M99" s="83"/>
      <c r="N99" s="82"/>
      <c r="O99" s="83"/>
      <c r="P99" s="57"/>
      <c r="Q99" s="57"/>
      <c r="R99" s="82"/>
      <c r="S99" s="83"/>
      <c r="T99" s="82"/>
      <c r="U99" s="83"/>
      <c r="X99" s="57">
        <v>0</v>
      </c>
      <c r="Y99" s="57">
        <v>0</v>
      </c>
      <c r="Z99" s="82"/>
      <c r="AA99" s="83"/>
      <c r="AB99" s="82"/>
      <c r="AC99" s="83"/>
      <c r="AD99" s="82">
        <v>1330</v>
      </c>
      <c r="AE99" s="83">
        <v>732</v>
      </c>
      <c r="AF99" s="57">
        <v>1330</v>
      </c>
      <c r="AG99" s="57">
        <v>732</v>
      </c>
      <c r="AH99" s="85"/>
      <c r="AI99" s="80">
        <v>1330</v>
      </c>
      <c r="AJ99" s="80">
        <v>732</v>
      </c>
      <c r="AK99" s="24"/>
      <c r="AL99" s="119">
        <f>'STOPE SUMMARY PIVOT'!D1608</f>
        <v>2921</v>
      </c>
      <c r="AM99" s="82">
        <v>2100</v>
      </c>
      <c r="AN99" s="83">
        <v>2028.2</v>
      </c>
      <c r="AO99" s="119"/>
      <c r="AP99" s="82">
        <v>2940</v>
      </c>
      <c r="AQ99" s="83"/>
    </row>
    <row r="100" spans="1:43" x14ac:dyDescent="0.25">
      <c r="A100" s="1801"/>
      <c r="B100" s="94"/>
      <c r="D100" s="40"/>
      <c r="F100" s="40"/>
      <c r="J100" s="40"/>
      <c r="L100" s="40"/>
      <c r="M100" s="41"/>
      <c r="N100" s="40"/>
      <c r="O100" s="41"/>
      <c r="R100" s="40"/>
      <c r="S100" s="41"/>
      <c r="T100" s="40"/>
      <c r="U100" s="41"/>
      <c r="X100" s="48" t="s">
        <v>217</v>
      </c>
      <c r="Y100" s="48" t="s">
        <v>217</v>
      </c>
      <c r="Z100" s="40"/>
      <c r="AA100" s="41"/>
      <c r="AB100" s="40"/>
      <c r="AC100" s="41"/>
      <c r="AD100" s="40">
        <v>2.12</v>
      </c>
      <c r="AE100" s="41">
        <v>1.56</v>
      </c>
      <c r="AF100" s="48">
        <v>2.12</v>
      </c>
      <c r="AG100" s="48">
        <v>1.56</v>
      </c>
      <c r="AI100" s="79">
        <v>2.12</v>
      </c>
      <c r="AJ100" s="79">
        <v>1.56</v>
      </c>
      <c r="AK100" s="45"/>
      <c r="AL100" s="120">
        <f>'STOPE SUMMARY PIVOT'!E1608</f>
        <v>2.83</v>
      </c>
      <c r="AM100" s="40">
        <v>3.1619999999999986</v>
      </c>
      <c r="AN100" s="41">
        <v>3.1833892121092591</v>
      </c>
      <c r="AO100" s="120"/>
      <c r="AP100" s="40">
        <v>3.23</v>
      </c>
      <c r="AQ100" s="41"/>
    </row>
    <row r="101" spans="1:43" s="58" customFormat="1" x14ac:dyDescent="0.25">
      <c r="A101" s="1801" t="s">
        <v>151</v>
      </c>
      <c r="B101" s="92"/>
      <c r="C101" s="88"/>
      <c r="D101" s="82"/>
      <c r="E101" s="88"/>
      <c r="F101" s="82"/>
      <c r="G101" s="88"/>
      <c r="H101" s="89"/>
      <c r="I101" s="89"/>
      <c r="J101" s="82"/>
      <c r="K101" s="88"/>
      <c r="L101" s="82"/>
      <c r="M101" s="83"/>
      <c r="N101" s="82"/>
      <c r="O101" s="83"/>
      <c r="P101" s="89"/>
      <c r="Q101" s="89"/>
      <c r="R101" s="82"/>
      <c r="S101" s="83"/>
      <c r="T101" s="82"/>
      <c r="U101" s="83"/>
      <c r="X101" s="57">
        <v>0</v>
      </c>
      <c r="Y101" s="57">
        <v>0</v>
      </c>
      <c r="Z101" s="82"/>
      <c r="AA101" s="83"/>
      <c r="AB101" s="82"/>
      <c r="AC101" s="83"/>
      <c r="AD101" s="82">
        <v>665</v>
      </c>
      <c r="AE101" s="83">
        <v>0</v>
      </c>
      <c r="AF101" s="57">
        <v>665</v>
      </c>
      <c r="AG101" s="57">
        <v>0</v>
      </c>
      <c r="AH101" s="85"/>
      <c r="AI101" s="80">
        <v>665</v>
      </c>
      <c r="AJ101" s="80">
        <v>0</v>
      </c>
      <c r="AK101" s="24"/>
      <c r="AL101" s="119"/>
      <c r="AM101" s="82">
        <v>1050</v>
      </c>
      <c r="AN101" s="83">
        <v>0</v>
      </c>
      <c r="AO101" s="119"/>
      <c r="AP101" s="82"/>
      <c r="AQ101" s="83"/>
    </row>
    <row r="102" spans="1:43" x14ac:dyDescent="0.25">
      <c r="A102" s="1801"/>
      <c r="B102" s="94"/>
      <c r="D102" s="40"/>
      <c r="F102" s="40"/>
      <c r="J102" s="40"/>
      <c r="L102" s="40"/>
      <c r="M102" s="41"/>
      <c r="N102" s="40"/>
      <c r="O102" s="41"/>
      <c r="R102" s="40"/>
      <c r="S102" s="41"/>
      <c r="T102" s="40"/>
      <c r="U102" s="41"/>
      <c r="X102" s="48" t="s">
        <v>217</v>
      </c>
      <c r="Y102" s="48" t="s">
        <v>217</v>
      </c>
      <c r="Z102" s="40"/>
      <c r="AA102" s="41"/>
      <c r="AB102" s="40"/>
      <c r="AC102" s="41"/>
      <c r="AD102" s="40">
        <v>2.0499999999999998</v>
      </c>
      <c r="AE102" s="41">
        <v>0</v>
      </c>
      <c r="AF102" s="48">
        <v>2.0499999999999998</v>
      </c>
      <c r="AG102" s="48" t="s">
        <v>217</v>
      </c>
      <c r="AI102" s="79">
        <v>2.0499999999999998</v>
      </c>
      <c r="AJ102" s="79" t="s">
        <v>217</v>
      </c>
      <c r="AK102" s="45"/>
      <c r="AL102" s="120"/>
      <c r="AM102" s="40">
        <v>1.0499999999999994</v>
      </c>
      <c r="AN102" s="41">
        <v>0</v>
      </c>
      <c r="AO102" s="120"/>
      <c r="AP102" s="40"/>
      <c r="AQ102" s="41"/>
    </row>
    <row r="103" spans="1:43" s="58" customFormat="1" x14ac:dyDescent="0.25">
      <c r="A103" s="1801" t="s">
        <v>156</v>
      </c>
      <c r="B103" s="92"/>
      <c r="C103" s="88"/>
      <c r="D103" s="82"/>
      <c r="E103" s="88"/>
      <c r="F103" s="82"/>
      <c r="G103" s="88"/>
      <c r="H103" s="89"/>
      <c r="I103" s="89"/>
      <c r="J103" s="82"/>
      <c r="K103" s="88"/>
      <c r="L103" s="82"/>
      <c r="M103" s="83"/>
      <c r="N103" s="82"/>
      <c r="O103" s="83"/>
      <c r="P103" s="89"/>
      <c r="Q103" s="89"/>
      <c r="R103" s="82"/>
      <c r="S103" s="83"/>
      <c r="T103" s="82"/>
      <c r="U103" s="83"/>
      <c r="X103" s="57"/>
      <c r="Y103" s="57"/>
      <c r="Z103" s="82"/>
      <c r="AA103" s="83"/>
      <c r="AB103" s="82"/>
      <c r="AC103" s="83"/>
      <c r="AD103" s="82"/>
      <c r="AE103" s="83"/>
      <c r="AF103" s="57"/>
      <c r="AG103" s="57"/>
      <c r="AH103" s="85"/>
      <c r="AI103" s="80"/>
      <c r="AJ103" s="80"/>
      <c r="AK103" s="24"/>
      <c r="AL103" s="119">
        <f>'STOPE SUMMARY PIVOT'!D1616</f>
        <v>1947</v>
      </c>
      <c r="AM103" s="82">
        <v>1050</v>
      </c>
      <c r="AN103" s="83">
        <v>1949</v>
      </c>
      <c r="AO103" s="119"/>
      <c r="AP103" s="82">
        <v>980</v>
      </c>
      <c r="AQ103" s="83"/>
    </row>
    <row r="104" spans="1:43" x14ac:dyDescent="0.25">
      <c r="A104" s="1801"/>
      <c r="B104" s="94"/>
      <c r="D104" s="40"/>
      <c r="F104" s="40"/>
      <c r="J104" s="40"/>
      <c r="L104" s="40"/>
      <c r="M104" s="41"/>
      <c r="N104" s="40"/>
      <c r="O104" s="41"/>
      <c r="R104" s="40"/>
      <c r="S104" s="41"/>
      <c r="T104" s="40"/>
      <c r="U104" s="41"/>
      <c r="X104" s="42"/>
      <c r="Y104" s="42"/>
      <c r="Z104" s="40"/>
      <c r="AA104" s="41"/>
      <c r="AB104" s="40"/>
      <c r="AC104" s="41"/>
      <c r="AD104" s="40"/>
      <c r="AE104" s="41"/>
      <c r="AF104" s="42"/>
      <c r="AG104" s="42"/>
      <c r="AI104" s="78"/>
      <c r="AJ104" s="78"/>
      <c r="AK104" s="45"/>
      <c r="AL104" s="120">
        <f>'STOPE SUMMARY PIVOT'!E1616</f>
        <v>3.06</v>
      </c>
      <c r="AM104" s="40">
        <v>2.7284999999999999</v>
      </c>
      <c r="AN104" s="41">
        <v>2.7855515649050795</v>
      </c>
      <c r="AO104" s="120"/>
      <c r="AP104" s="40">
        <v>2.91</v>
      </c>
      <c r="AQ104" s="41"/>
    </row>
    <row r="105" spans="1:43" s="58" customFormat="1" x14ac:dyDescent="0.25">
      <c r="A105" s="1801" t="s">
        <v>157</v>
      </c>
      <c r="B105" s="92"/>
      <c r="C105" s="88"/>
      <c r="D105" s="82"/>
      <c r="E105" s="88"/>
      <c r="F105" s="82"/>
      <c r="G105" s="88"/>
      <c r="H105" s="89"/>
      <c r="I105" s="89"/>
      <c r="J105" s="82"/>
      <c r="K105" s="88"/>
      <c r="L105" s="82"/>
      <c r="M105" s="83"/>
      <c r="N105" s="82"/>
      <c r="O105" s="83"/>
      <c r="P105" s="89"/>
      <c r="Q105" s="89"/>
      <c r="R105" s="82"/>
      <c r="S105" s="83"/>
      <c r="T105" s="82"/>
      <c r="U105" s="83"/>
      <c r="X105" s="57">
        <v>0</v>
      </c>
      <c r="Y105" s="57">
        <v>0</v>
      </c>
      <c r="Z105" s="82"/>
      <c r="AA105" s="83"/>
      <c r="AB105" s="82"/>
      <c r="AC105" s="83"/>
      <c r="AD105" s="82">
        <v>665</v>
      </c>
      <c r="AE105" s="83">
        <v>0</v>
      </c>
      <c r="AF105" s="57">
        <v>665</v>
      </c>
      <c r="AG105" s="57">
        <v>0</v>
      </c>
      <c r="AH105" s="85"/>
      <c r="AI105" s="80">
        <v>665</v>
      </c>
      <c r="AJ105" s="80">
        <v>0</v>
      </c>
      <c r="AK105" s="24"/>
      <c r="AL105" s="119">
        <f>'STOPE SUMMARY PIVOT'!D1617</f>
        <v>1807</v>
      </c>
      <c r="AM105" s="82">
        <v>2100</v>
      </c>
      <c r="AN105" s="83">
        <v>804</v>
      </c>
      <c r="AO105" s="119"/>
      <c r="AP105" s="82">
        <v>1960</v>
      </c>
      <c r="AQ105" s="83"/>
    </row>
    <row r="106" spans="1:43" x14ac:dyDescent="0.25">
      <c r="A106" s="1801"/>
      <c r="B106" s="94"/>
      <c r="D106" s="40"/>
      <c r="F106" s="40"/>
      <c r="J106" s="40"/>
      <c r="L106" s="40"/>
      <c r="M106" s="41"/>
      <c r="N106" s="40"/>
      <c r="O106" s="41"/>
      <c r="R106" s="40"/>
      <c r="S106" s="41"/>
      <c r="T106" s="40"/>
      <c r="U106" s="41"/>
      <c r="X106" s="48" t="s">
        <v>217</v>
      </c>
      <c r="Y106" s="48" t="s">
        <v>217</v>
      </c>
      <c r="Z106" s="40"/>
      <c r="AA106" s="41"/>
      <c r="AB106" s="40"/>
      <c r="AC106" s="41"/>
      <c r="AD106" s="40">
        <v>1.66</v>
      </c>
      <c r="AE106" s="41">
        <v>0</v>
      </c>
      <c r="AF106" s="48">
        <v>1.6599999999999997</v>
      </c>
      <c r="AG106" s="48" t="s">
        <v>217</v>
      </c>
      <c r="AI106" s="79">
        <v>1.6599999999999997</v>
      </c>
      <c r="AJ106" s="79" t="s">
        <v>217</v>
      </c>
      <c r="AK106" s="45"/>
      <c r="AL106" s="120">
        <f>'STOPE SUMMARY PIVOT'!E1617</f>
        <v>1.57</v>
      </c>
      <c r="AM106" s="40">
        <v>2.1929999999999987</v>
      </c>
      <c r="AN106" s="41">
        <v>2.6023756218905474</v>
      </c>
      <c r="AO106" s="120"/>
      <c r="AP106" s="40">
        <v>2.6</v>
      </c>
      <c r="AQ106" s="41"/>
    </row>
    <row r="107" spans="1:43" s="58" customFormat="1" x14ac:dyDescent="0.25">
      <c r="A107" s="1801" t="s">
        <v>158</v>
      </c>
      <c r="B107" s="92"/>
      <c r="C107" s="88"/>
      <c r="D107" s="82"/>
      <c r="E107" s="88"/>
      <c r="F107" s="82"/>
      <c r="G107" s="88"/>
      <c r="H107" s="89"/>
      <c r="I107" s="89"/>
      <c r="J107" s="82"/>
      <c r="K107" s="88"/>
      <c r="L107" s="82"/>
      <c r="M107" s="83"/>
      <c r="N107" s="82"/>
      <c r="O107" s="83"/>
      <c r="P107" s="89"/>
      <c r="Q107" s="89"/>
      <c r="R107" s="82"/>
      <c r="S107" s="83"/>
      <c r="T107" s="82"/>
      <c r="U107" s="83"/>
      <c r="X107" s="57">
        <v>0</v>
      </c>
      <c r="Y107" s="57">
        <v>0</v>
      </c>
      <c r="Z107" s="82"/>
      <c r="AA107" s="83"/>
      <c r="AB107" s="82"/>
      <c r="AC107" s="83"/>
      <c r="AD107" s="82">
        <v>1330</v>
      </c>
      <c r="AE107" s="83">
        <v>1954</v>
      </c>
      <c r="AF107" s="57">
        <v>1330</v>
      </c>
      <c r="AG107" s="57">
        <v>1954</v>
      </c>
      <c r="AH107" s="85"/>
      <c r="AI107" s="80">
        <v>1330</v>
      </c>
      <c r="AJ107" s="80">
        <v>1954</v>
      </c>
      <c r="AK107" s="24"/>
      <c r="AL107" s="119">
        <f>'STOPE SUMMARY PIVOT'!D1618</f>
        <v>1947</v>
      </c>
      <c r="AM107" s="82">
        <v>2100</v>
      </c>
      <c r="AN107" s="83">
        <v>3534.5</v>
      </c>
      <c r="AO107" s="119"/>
      <c r="AP107" s="82">
        <v>2940</v>
      </c>
      <c r="AQ107" s="83"/>
    </row>
    <row r="108" spans="1:43" x14ac:dyDescent="0.25">
      <c r="A108" s="1801"/>
      <c r="B108" s="94"/>
      <c r="D108" s="40"/>
      <c r="F108" s="40"/>
      <c r="J108" s="40"/>
      <c r="L108" s="40"/>
      <c r="M108" s="61"/>
      <c r="N108" s="40"/>
      <c r="O108" s="62"/>
      <c r="R108" s="40"/>
      <c r="S108" s="62"/>
      <c r="T108" s="40"/>
      <c r="U108" s="62"/>
      <c r="X108" s="48" t="s">
        <v>217</v>
      </c>
      <c r="Y108" s="48" t="s">
        <v>217</v>
      </c>
      <c r="Z108" s="40"/>
      <c r="AA108" s="62"/>
      <c r="AB108" s="40"/>
      <c r="AC108" s="62"/>
      <c r="AD108" s="40">
        <v>2.1800000000000002</v>
      </c>
      <c r="AE108" s="62">
        <v>2.19</v>
      </c>
      <c r="AF108" s="48">
        <v>2.1800000000000002</v>
      </c>
      <c r="AG108" s="48">
        <v>2.19</v>
      </c>
      <c r="AI108" s="79">
        <v>2.1800000000000002</v>
      </c>
      <c r="AJ108" s="79">
        <v>2.19</v>
      </c>
      <c r="AK108" s="45"/>
      <c r="AL108" s="120">
        <f>'STOPE SUMMARY PIVOT'!E1618</f>
        <v>2.7</v>
      </c>
      <c r="AM108" s="40">
        <v>2.6604999999999994</v>
      </c>
      <c r="AN108" s="62">
        <v>2.2162979204979485</v>
      </c>
      <c r="AO108" s="120"/>
      <c r="AP108" s="40">
        <v>2.5299999999999998</v>
      </c>
      <c r="AQ108" s="62"/>
    </row>
    <row r="109" spans="1:43" s="58" customFormat="1" x14ac:dyDescent="0.25">
      <c r="A109" s="1801" t="s">
        <v>159</v>
      </c>
      <c r="B109" s="92"/>
      <c r="C109" s="88"/>
      <c r="D109" s="82"/>
      <c r="E109" s="88"/>
      <c r="F109" s="82"/>
      <c r="G109" s="88"/>
      <c r="H109" s="89"/>
      <c r="I109" s="89"/>
      <c r="J109" s="82"/>
      <c r="K109" s="88"/>
      <c r="L109" s="82"/>
      <c r="M109" s="90"/>
      <c r="N109" s="82"/>
      <c r="O109" s="91"/>
      <c r="P109" s="89"/>
      <c r="Q109" s="89"/>
      <c r="R109" s="82"/>
      <c r="S109" s="91"/>
      <c r="T109" s="82"/>
      <c r="U109" s="91"/>
      <c r="X109" s="57"/>
      <c r="Y109" s="57"/>
      <c r="Z109" s="82"/>
      <c r="AA109" s="91"/>
      <c r="AB109" s="82"/>
      <c r="AC109" s="91"/>
      <c r="AD109" s="82"/>
      <c r="AE109" s="91"/>
      <c r="AF109" s="57"/>
      <c r="AG109" s="57"/>
      <c r="AH109" s="85"/>
      <c r="AI109" s="80"/>
      <c r="AJ109" s="80"/>
      <c r="AK109" s="24"/>
      <c r="AL109" s="119"/>
      <c r="AM109" s="82"/>
      <c r="AN109" s="91"/>
      <c r="AO109" s="119"/>
      <c r="AP109" s="82">
        <v>980</v>
      </c>
      <c r="AQ109" s="91"/>
    </row>
    <row r="110" spans="1:43" x14ac:dyDescent="0.25">
      <c r="A110" s="1801"/>
      <c r="B110" s="94"/>
      <c r="D110" s="40"/>
      <c r="F110" s="40"/>
      <c r="J110" s="40"/>
      <c r="L110" s="40"/>
      <c r="M110" s="61"/>
      <c r="N110" s="40"/>
      <c r="O110" s="62"/>
      <c r="R110" s="40"/>
      <c r="S110" s="62"/>
      <c r="T110" s="40"/>
      <c r="U110" s="62"/>
      <c r="X110" s="42"/>
      <c r="Y110" s="42"/>
      <c r="Z110" s="40"/>
      <c r="AA110" s="62"/>
      <c r="AB110" s="40"/>
      <c r="AC110" s="62"/>
      <c r="AD110" s="40"/>
      <c r="AE110" s="62"/>
      <c r="AF110" s="42"/>
      <c r="AG110" s="42"/>
      <c r="AI110" s="78"/>
      <c r="AJ110" s="78"/>
      <c r="AK110" s="45"/>
      <c r="AL110" s="120"/>
      <c r="AM110" s="40"/>
      <c r="AN110" s="62"/>
      <c r="AO110" s="120"/>
      <c r="AP110" s="40">
        <v>2.75</v>
      </c>
      <c r="AQ110" s="62"/>
    </row>
    <row r="111" spans="1:43" s="58" customFormat="1" x14ac:dyDescent="0.25">
      <c r="A111" s="1801" t="s">
        <v>160</v>
      </c>
      <c r="B111" s="92"/>
      <c r="C111" s="88"/>
      <c r="D111" s="82"/>
      <c r="E111" s="88"/>
      <c r="F111" s="82"/>
      <c r="G111" s="88"/>
      <c r="H111" s="89"/>
      <c r="I111" s="89"/>
      <c r="J111" s="82"/>
      <c r="K111" s="88"/>
      <c r="L111" s="82"/>
      <c r="M111" s="90"/>
      <c r="N111" s="82"/>
      <c r="O111" s="91"/>
      <c r="P111" s="89"/>
      <c r="Q111" s="89"/>
      <c r="R111" s="82"/>
      <c r="S111" s="91"/>
      <c r="T111" s="82"/>
      <c r="U111" s="91"/>
      <c r="X111" s="57">
        <v>0</v>
      </c>
      <c r="Y111" s="57">
        <v>0</v>
      </c>
      <c r="Z111" s="82"/>
      <c r="AA111" s="91"/>
      <c r="AB111" s="82"/>
      <c r="AC111" s="91"/>
      <c r="AD111" s="82">
        <v>1330</v>
      </c>
      <c r="AE111" s="91">
        <v>0</v>
      </c>
      <c r="AF111" s="57">
        <v>1330</v>
      </c>
      <c r="AG111" s="57">
        <v>0</v>
      </c>
      <c r="AH111" s="85"/>
      <c r="AI111" s="80">
        <v>1330</v>
      </c>
      <c r="AJ111" s="80">
        <v>0</v>
      </c>
      <c r="AK111" s="24"/>
      <c r="AL111" s="119">
        <f>'STOPE SUMMARY PIVOT'!D1620</f>
        <v>1947</v>
      </c>
      <c r="AM111" s="82"/>
      <c r="AN111" s="91"/>
      <c r="AO111" s="119"/>
      <c r="AP111" s="82"/>
      <c r="AQ111" s="91"/>
    </row>
    <row r="112" spans="1:43" x14ac:dyDescent="0.25">
      <c r="A112" s="1801"/>
      <c r="B112" s="94"/>
      <c r="D112" s="40"/>
      <c r="F112" s="40"/>
      <c r="J112" s="40"/>
      <c r="L112" s="40"/>
      <c r="N112" s="40"/>
      <c r="R112" s="40"/>
      <c r="T112" s="40"/>
      <c r="X112" s="48" t="s">
        <v>217</v>
      </c>
      <c r="Y112" s="48" t="s">
        <v>217</v>
      </c>
      <c r="Z112" s="40"/>
      <c r="AB112" s="40"/>
      <c r="AD112" s="40">
        <v>1.85</v>
      </c>
      <c r="AE112">
        <v>0</v>
      </c>
      <c r="AF112" s="48">
        <v>1.85</v>
      </c>
      <c r="AG112" s="48" t="s">
        <v>217</v>
      </c>
      <c r="AI112" s="79">
        <v>1.85</v>
      </c>
      <c r="AJ112" s="79" t="s">
        <v>217</v>
      </c>
      <c r="AK112" s="45"/>
      <c r="AL112" s="120">
        <f>'STOPE SUMMARY PIVOT'!E1620</f>
        <v>3.63</v>
      </c>
      <c r="AM112" s="40"/>
      <c r="AO112" s="120"/>
      <c r="AP112" s="40"/>
    </row>
    <row r="113" spans="1:42" x14ac:dyDescent="0.25">
      <c r="A113" s="1801" t="s">
        <v>161</v>
      </c>
      <c r="B113" s="94"/>
      <c r="D113" s="40"/>
      <c r="F113" s="40"/>
      <c r="J113" s="40"/>
      <c r="L113" s="40"/>
      <c r="N113" s="40"/>
      <c r="R113" s="40"/>
      <c r="T113" s="40"/>
      <c r="X113" s="42"/>
      <c r="Y113" s="42"/>
      <c r="Z113" s="40"/>
      <c r="AB113" s="40"/>
      <c r="AD113" s="40"/>
      <c r="AF113" s="42"/>
      <c r="AG113" s="42"/>
      <c r="AI113" s="78"/>
      <c r="AJ113" s="78"/>
      <c r="AK113" s="45"/>
      <c r="AL113" s="119">
        <f>'STOPE SUMMARY PIVOT'!D1621</f>
        <v>1947</v>
      </c>
      <c r="AM113" s="40"/>
      <c r="AO113" s="119"/>
      <c r="AP113" s="82">
        <v>1960</v>
      </c>
    </row>
    <row r="114" spans="1:42" x14ac:dyDescent="0.25">
      <c r="A114" s="1801"/>
      <c r="B114" s="94"/>
      <c r="D114" s="40"/>
      <c r="F114" s="40"/>
      <c r="J114" s="40"/>
      <c r="L114" s="40"/>
      <c r="N114" s="40"/>
      <c r="R114" s="40"/>
      <c r="T114" s="40"/>
      <c r="X114" s="42"/>
      <c r="Y114" s="42"/>
      <c r="Z114" s="40"/>
      <c r="AB114" s="40"/>
      <c r="AD114" s="40"/>
      <c r="AF114" s="42"/>
      <c r="AG114" s="42"/>
      <c r="AI114" s="78"/>
      <c r="AJ114" s="78"/>
      <c r="AK114" s="45"/>
      <c r="AL114" s="120">
        <f>'STOPE SUMMARY PIVOT'!E1621</f>
        <v>2.87</v>
      </c>
      <c r="AM114" s="40"/>
      <c r="AO114" s="120"/>
      <c r="AP114" s="40">
        <v>2.65</v>
      </c>
    </row>
    <row r="115" spans="1:42" s="58" customFormat="1" x14ac:dyDescent="0.25">
      <c r="A115" s="1801" t="s">
        <v>614</v>
      </c>
      <c r="B115" s="92"/>
      <c r="C115" s="88"/>
      <c r="D115" s="82"/>
      <c r="E115" s="88"/>
      <c r="F115" s="82"/>
      <c r="G115" s="88"/>
      <c r="H115" s="89"/>
      <c r="I115" s="89"/>
      <c r="J115" s="82"/>
      <c r="K115" s="88"/>
      <c r="L115" s="82"/>
      <c r="N115" s="82"/>
      <c r="P115" s="89"/>
      <c r="Q115" s="89"/>
      <c r="R115" s="82"/>
      <c r="T115" s="82"/>
      <c r="X115" s="57">
        <v>0</v>
      </c>
      <c r="Y115" s="57">
        <v>0</v>
      </c>
      <c r="Z115" s="82"/>
      <c r="AB115" s="82"/>
      <c r="AD115" s="82">
        <v>665</v>
      </c>
      <c r="AE115" s="58">
        <v>0</v>
      </c>
      <c r="AF115" s="57">
        <v>665</v>
      </c>
      <c r="AG115" s="57">
        <v>0</v>
      </c>
      <c r="AH115" s="85"/>
      <c r="AI115" s="80">
        <v>665</v>
      </c>
      <c r="AJ115" s="80">
        <v>0</v>
      </c>
      <c r="AK115" s="24"/>
      <c r="AL115" s="119"/>
      <c r="AM115" s="82"/>
      <c r="AO115" s="119"/>
      <c r="AP115" s="82"/>
    </row>
    <row r="116" spans="1:42" x14ac:dyDescent="0.25">
      <c r="A116" s="1801"/>
      <c r="B116" s="94"/>
      <c r="D116" s="40"/>
      <c r="F116" s="40"/>
      <c r="J116" s="40"/>
      <c r="L116" s="40"/>
      <c r="N116" s="40"/>
      <c r="R116" s="40"/>
      <c r="T116" s="40"/>
      <c r="X116" s="48" t="s">
        <v>217</v>
      </c>
      <c r="Y116" s="48" t="s">
        <v>217</v>
      </c>
      <c r="Z116" s="40"/>
      <c r="AB116" s="40"/>
      <c r="AD116" s="40">
        <v>1.79</v>
      </c>
      <c r="AE116">
        <v>0</v>
      </c>
      <c r="AF116" s="48">
        <v>1.7900000000000003</v>
      </c>
      <c r="AG116" s="48" t="s">
        <v>217</v>
      </c>
      <c r="AI116" s="79">
        <v>1.7900000000000003</v>
      </c>
      <c r="AJ116" s="79" t="s">
        <v>217</v>
      </c>
      <c r="AK116" s="45"/>
      <c r="AL116" s="120"/>
      <c r="AM116" s="40"/>
      <c r="AO116" s="120"/>
      <c r="AP116" s="82"/>
    </row>
    <row r="117" spans="1:42" x14ac:dyDescent="0.25">
      <c r="AI117" s="81"/>
      <c r="AJ117" s="81"/>
    </row>
  </sheetData>
  <autoFilter ref="AL1:AL117" xr:uid="{91E52236-563D-46CB-A37E-D21562FB8330}"/>
  <mergeCells count="73">
    <mergeCell ref="A113:A114"/>
    <mergeCell ref="AO1:AQ1"/>
    <mergeCell ref="A83:A84"/>
    <mergeCell ref="A85:A86"/>
    <mergeCell ref="A87:A88"/>
    <mergeCell ref="A89:A90"/>
    <mergeCell ref="A91:A92"/>
    <mergeCell ref="A105:A106"/>
    <mergeCell ref="A107:A108"/>
    <mergeCell ref="A111:A112"/>
    <mergeCell ref="A81:A82"/>
    <mergeCell ref="A93:A94"/>
    <mergeCell ref="A69:A70"/>
    <mergeCell ref="A71:A72"/>
    <mergeCell ref="A73:A74"/>
    <mergeCell ref="A75:A76"/>
    <mergeCell ref="A43:A44"/>
    <mergeCell ref="A115:A116"/>
    <mergeCell ref="A19:A20"/>
    <mergeCell ref="A21:A22"/>
    <mergeCell ref="A109:A110"/>
    <mergeCell ref="A95:A96"/>
    <mergeCell ref="A97:A98"/>
    <mergeCell ref="A23:A24"/>
    <mergeCell ref="A25:A26"/>
    <mergeCell ref="A99:A100"/>
    <mergeCell ref="A101:A102"/>
    <mergeCell ref="A103:A104"/>
    <mergeCell ref="A35:A36"/>
    <mergeCell ref="A27:A28"/>
    <mergeCell ref="A77:A78"/>
    <mergeCell ref="A79:A80"/>
    <mergeCell ref="A63:A64"/>
    <mergeCell ref="A65:A66"/>
    <mergeCell ref="A67:A68"/>
    <mergeCell ref="A45:A46"/>
    <mergeCell ref="A47:A48"/>
    <mergeCell ref="A49:A50"/>
    <mergeCell ref="A51:A52"/>
    <mergeCell ref="A53:A54"/>
    <mergeCell ref="A55:A56"/>
    <mergeCell ref="A57:A58"/>
    <mergeCell ref="A59:A60"/>
    <mergeCell ref="A61:A62"/>
    <mergeCell ref="A17:A18"/>
    <mergeCell ref="A29:A30"/>
    <mergeCell ref="A37:A38"/>
    <mergeCell ref="A39:A40"/>
    <mergeCell ref="A41:A42"/>
    <mergeCell ref="A31:A32"/>
    <mergeCell ref="A33:A34"/>
    <mergeCell ref="A7:A8"/>
    <mergeCell ref="A9:A10"/>
    <mergeCell ref="A11:A12"/>
    <mergeCell ref="A13:A14"/>
    <mergeCell ref="A15:A16"/>
    <mergeCell ref="Z1:AA1"/>
    <mergeCell ref="AB1:AC1"/>
    <mergeCell ref="AD1:AE1"/>
    <mergeCell ref="AF1:AG1"/>
    <mergeCell ref="AI1:AJ1"/>
    <mergeCell ref="X1:Y1"/>
    <mergeCell ref="B1:C1"/>
    <mergeCell ref="D1:E1"/>
    <mergeCell ref="F1:G1"/>
    <mergeCell ref="H1:I1"/>
    <mergeCell ref="J1:K1"/>
    <mergeCell ref="L1:M1"/>
    <mergeCell ref="N1:O1"/>
    <mergeCell ref="P1:Q1"/>
    <mergeCell ref="R1:S1"/>
    <mergeCell ref="T1:U1"/>
    <mergeCell ref="V1:W1"/>
  </mergeCells>
  <conditionalFormatting sqref="AK8 AK12 AK14 AK16 AK18:AK28 AK30:AK36 AK38 AK40 AK42 AK46 AK48 AK50 AK52 AK56 AK58 AK60 AK62 AK64 AK66 AK68 AK70 AK73:AK76 AK78 AK80 AK82:AK92 AK94:AK96 AK100 AK108:AK110">
    <cfRule type="cellIs" priority="1" operator="equal">
      <formula>0</formula>
    </cfRule>
    <cfRule type="cellIs" dxfId="1" priority="2" operator="lessThan">
      <formula>0</formula>
    </cfRule>
    <cfRule type="cellIs" dxfId="0" priority="3" operator="greaterThan">
      <formula>0.001</formula>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D25ED-8D31-4A80-8F3F-58A17F891232}">
  <sheetPr codeName="Sheet4"/>
  <dimension ref="A3:G11"/>
  <sheetViews>
    <sheetView workbookViewId="0">
      <selection activeCell="B29" sqref="B29"/>
    </sheetView>
  </sheetViews>
  <sheetFormatPr defaultRowHeight="15" x14ac:dyDescent="0.25"/>
  <cols>
    <col min="1" max="1" width="12" bestFit="1" customWidth="1"/>
    <col min="2" max="2" width="28.28515625" bestFit="1" customWidth="1"/>
    <col min="3" max="3" width="28.85546875" bestFit="1" customWidth="1"/>
    <col min="4" max="4" width="21" bestFit="1" customWidth="1"/>
    <col min="5" max="5" width="26.5703125" bestFit="1" customWidth="1"/>
    <col min="6" max="6" width="27.140625" bestFit="1" customWidth="1"/>
    <col min="7" max="7" width="19.28515625" bestFit="1" customWidth="1"/>
  </cols>
  <sheetData>
    <row r="3" spans="1:7" x14ac:dyDescent="0.25">
      <c r="A3" s="122" t="s">
        <v>615</v>
      </c>
      <c r="B3" t="s">
        <v>616</v>
      </c>
      <c r="C3" t="s">
        <v>617</v>
      </c>
      <c r="D3" t="s">
        <v>618</v>
      </c>
      <c r="E3" t="s">
        <v>619</v>
      </c>
      <c r="F3" t="s">
        <v>620</v>
      </c>
      <c r="G3" t="s">
        <v>621</v>
      </c>
    </row>
    <row r="4" spans="1:7" x14ac:dyDescent="0.25">
      <c r="A4" s="123" t="s">
        <v>622</v>
      </c>
      <c r="C4">
        <v>246548</v>
      </c>
      <c r="D4">
        <v>217104.37400000004</v>
      </c>
      <c r="F4" s="99">
        <v>546.06167999999991</v>
      </c>
      <c r="G4" s="99">
        <v>456.85664185814721</v>
      </c>
    </row>
    <row r="5" spans="1:7" x14ac:dyDescent="0.25">
      <c r="A5" s="123" t="s">
        <v>623</v>
      </c>
      <c r="B5">
        <v>283491</v>
      </c>
      <c r="C5">
        <v>134750</v>
      </c>
      <c r="D5">
        <v>97279.6</v>
      </c>
      <c r="E5">
        <v>685.16080999999997</v>
      </c>
      <c r="F5" s="99">
        <v>338.13874042056068</v>
      </c>
      <c r="G5" s="99">
        <v>240.91033024352328</v>
      </c>
    </row>
    <row r="6" spans="1:7" x14ac:dyDescent="0.25">
      <c r="A6" s="124" t="s">
        <v>624</v>
      </c>
      <c r="B6">
        <v>70397</v>
      </c>
      <c r="C6">
        <v>79765</v>
      </c>
      <c r="D6">
        <v>70903</v>
      </c>
      <c r="E6">
        <v>145.64276999999998</v>
      </c>
      <c r="F6" s="99">
        <v>192.56814042056072</v>
      </c>
      <c r="G6" s="99">
        <v>187.5103302435233</v>
      </c>
    </row>
    <row r="7" spans="1:7" x14ac:dyDescent="0.25">
      <c r="A7" s="124" t="s">
        <v>625</v>
      </c>
      <c r="B7">
        <v>65893</v>
      </c>
      <c r="C7">
        <v>54985</v>
      </c>
      <c r="D7">
        <v>26376.6</v>
      </c>
      <c r="E7">
        <v>159.95991999999998</v>
      </c>
      <c r="F7" s="99">
        <v>145.57059999999996</v>
      </c>
      <c r="G7" s="99">
        <v>53.399999999999991</v>
      </c>
    </row>
    <row r="8" spans="1:7" x14ac:dyDescent="0.25">
      <c r="A8" s="124" t="s">
        <v>626</v>
      </c>
      <c r="B8">
        <v>58947</v>
      </c>
      <c r="E8">
        <v>149.93260000000004</v>
      </c>
      <c r="F8" s="99">
        <v>0</v>
      </c>
      <c r="G8" s="99">
        <v>0</v>
      </c>
    </row>
    <row r="9" spans="1:7" x14ac:dyDescent="0.25">
      <c r="A9" s="124" t="s">
        <v>627</v>
      </c>
      <c r="B9">
        <v>88254</v>
      </c>
      <c r="E9">
        <v>229.62551999999997</v>
      </c>
      <c r="F9" s="99">
        <v>0</v>
      </c>
      <c r="G9" s="99">
        <v>0</v>
      </c>
    </row>
    <row r="10" spans="1:7" x14ac:dyDescent="0.25">
      <c r="A10" s="123" t="s">
        <v>628</v>
      </c>
      <c r="E10">
        <v>0</v>
      </c>
      <c r="F10" s="99">
        <v>0</v>
      </c>
      <c r="G10" s="99">
        <v>0</v>
      </c>
    </row>
    <row r="11" spans="1:7" x14ac:dyDescent="0.25">
      <c r="A11" s="123" t="s">
        <v>399</v>
      </c>
      <c r="B11">
        <v>283491</v>
      </c>
      <c r="C11">
        <v>381298</v>
      </c>
      <c r="D11">
        <v>314383.97400000005</v>
      </c>
      <c r="E11">
        <v>685.16080999999997</v>
      </c>
      <c r="F11" s="99">
        <v>884.2004204205607</v>
      </c>
      <c r="G11" s="99">
        <v>697.76697210167049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886B1-1514-4F1E-8354-1C766D08436F}">
  <dimension ref="B1:T86"/>
  <sheetViews>
    <sheetView zoomScale="55" zoomScaleNormal="55" workbookViewId="0">
      <selection activeCell="S21" sqref="S21"/>
    </sheetView>
  </sheetViews>
  <sheetFormatPr defaultRowHeight="15" x14ac:dyDescent="0.25"/>
  <cols>
    <col min="1" max="1" width="3" customWidth="1"/>
    <col min="2" max="2" width="14.28515625" bestFit="1" customWidth="1"/>
    <col min="3" max="3" width="8" style="64" bestFit="1" customWidth="1"/>
    <col min="4" max="4" width="8.85546875" style="389" customWidth="1"/>
    <col min="5" max="5" width="11" hidden="1" customWidth="1"/>
    <col min="6" max="6" width="11" customWidth="1"/>
    <col min="7" max="7" width="11" hidden="1" customWidth="1"/>
    <col min="8" max="8" width="11" customWidth="1"/>
    <col min="9" max="9" width="8.7109375" style="513" customWidth="1"/>
    <col min="10" max="14" width="8.7109375" customWidth="1"/>
    <col min="15" max="15" width="1.28515625" customWidth="1"/>
    <col min="18" max="18" width="11" style="513" bestFit="1" customWidth="1"/>
    <col min="19" max="19" width="69.5703125" customWidth="1"/>
  </cols>
  <sheetData>
    <row r="1" spans="2:20" x14ac:dyDescent="0.25">
      <c r="F1" t="s">
        <v>629</v>
      </c>
      <c r="H1" s="513" t="s">
        <v>630</v>
      </c>
      <c r="I1" s="513" t="s">
        <v>32</v>
      </c>
      <c r="J1" s="513"/>
      <c r="K1" s="513"/>
      <c r="L1" s="513"/>
      <c r="M1" s="513"/>
      <c r="N1" s="513"/>
      <c r="P1" s="514" t="s">
        <v>377</v>
      </c>
      <c r="Q1" s="513" t="s">
        <v>631</v>
      </c>
      <c r="R1" s="513" t="s">
        <v>632</v>
      </c>
      <c r="T1" s="515"/>
    </row>
    <row r="2" spans="2:20" x14ac:dyDescent="0.25">
      <c r="B2" s="513" t="s">
        <v>633</v>
      </c>
      <c r="C2" s="516"/>
      <c r="D2" s="517" t="s">
        <v>634</v>
      </c>
      <c r="E2" s="513" t="s">
        <v>629</v>
      </c>
      <c r="F2" s="513" t="s">
        <v>635</v>
      </c>
      <c r="G2" s="513" t="s">
        <v>630</v>
      </c>
      <c r="H2" s="513" t="s">
        <v>636</v>
      </c>
      <c r="I2" s="513" t="s">
        <v>317</v>
      </c>
      <c r="J2" s="518">
        <v>45566</v>
      </c>
      <c r="K2" s="518">
        <v>45597</v>
      </c>
      <c r="L2" s="518">
        <v>45627</v>
      </c>
      <c r="M2" s="518">
        <v>45658</v>
      </c>
      <c r="N2" s="518">
        <v>45689</v>
      </c>
      <c r="P2" s="519">
        <v>45717</v>
      </c>
      <c r="Q2" s="518"/>
      <c r="R2" s="517" t="s">
        <v>637</v>
      </c>
      <c r="S2" s="513" t="s">
        <v>339</v>
      </c>
      <c r="T2" s="515" t="s">
        <v>638</v>
      </c>
    </row>
    <row r="3" spans="2:20" x14ac:dyDescent="0.25">
      <c r="B3" t="s">
        <v>291</v>
      </c>
      <c r="C3" s="516" t="s">
        <v>340</v>
      </c>
      <c r="D3" s="517" t="s">
        <v>639</v>
      </c>
      <c r="E3" s="520">
        <f t="shared" ref="E3:N3" si="0">SUMIF($C$6:$C$85,"Tonnes",E6:E85)</f>
        <v>125636.44859813082</v>
      </c>
      <c r="F3" s="520">
        <f t="shared" si="0"/>
        <v>134431</v>
      </c>
      <c r="G3" s="520">
        <f t="shared" si="0"/>
        <v>0</v>
      </c>
      <c r="H3" s="521">
        <f t="shared" si="0"/>
        <v>0</v>
      </c>
      <c r="I3" s="520">
        <f t="shared" si="0"/>
        <v>72027.8</v>
      </c>
      <c r="J3" s="520">
        <f t="shared" si="0"/>
        <v>4606</v>
      </c>
      <c r="K3" s="520">
        <f t="shared" si="0"/>
        <v>5875.2</v>
      </c>
      <c r="L3" s="520">
        <f t="shared" si="0"/>
        <v>12678.4</v>
      </c>
      <c r="M3" s="520">
        <f t="shared" si="0"/>
        <v>23871.200000000001</v>
      </c>
      <c r="N3" s="520">
        <f t="shared" si="0"/>
        <v>24997</v>
      </c>
      <c r="O3" s="520"/>
      <c r="P3" s="522">
        <f>SUMIF($C$6:$C$85,"Tonnes",P6:P85)</f>
        <v>28910</v>
      </c>
      <c r="Q3" s="520">
        <f>F3-I3</f>
        <v>62403.199999999997</v>
      </c>
      <c r="T3" s="515"/>
    </row>
    <row r="4" spans="2:20" x14ac:dyDescent="0.25">
      <c r="C4" s="516" t="s">
        <v>343</v>
      </c>
      <c r="D4" s="517" t="s">
        <v>640</v>
      </c>
      <c r="E4" s="516">
        <f t="shared" ref="E4:N4" si="1">IFERROR(E5*1000/E3,0)</f>
        <v>2.8885633058201301</v>
      </c>
      <c r="F4" s="516">
        <f t="shared" si="1"/>
        <v>2.294653093408515</v>
      </c>
      <c r="G4" s="516">
        <f t="shared" si="1"/>
        <v>0</v>
      </c>
      <c r="H4" s="523">
        <f t="shared" si="1"/>
        <v>0</v>
      </c>
      <c r="I4" s="516">
        <f t="shared" si="1"/>
        <v>2.5723090384815466</v>
      </c>
      <c r="J4" s="516">
        <f t="shared" si="1"/>
        <v>3.1411621715026459</v>
      </c>
      <c r="K4" s="516">
        <f t="shared" si="1"/>
        <v>2.3809296704793033</v>
      </c>
      <c r="L4" s="516">
        <f t="shared" si="1"/>
        <v>2.0486086572438165</v>
      </c>
      <c r="M4" s="516">
        <f t="shared" si="1"/>
        <v>2.4701221555682165</v>
      </c>
      <c r="N4" s="516">
        <f t="shared" si="1"/>
        <v>2.8756758811057321</v>
      </c>
      <c r="O4" s="516"/>
      <c r="P4" s="524">
        <f>IFERROR(P5*1000/P3,0)</f>
        <v>2.4611160643569954</v>
      </c>
      <c r="Q4" s="516">
        <f>F4</f>
        <v>2.294653093408515</v>
      </c>
      <c r="R4" s="525">
        <f>IFERROR(P4/I4,0)</f>
        <v>0.95677308890140611</v>
      </c>
      <c r="T4" s="515"/>
    </row>
    <row r="5" spans="2:20" x14ac:dyDescent="0.25">
      <c r="C5" s="516" t="s">
        <v>47</v>
      </c>
      <c r="D5" s="517" t="s">
        <v>641</v>
      </c>
      <c r="E5" s="526">
        <f t="shared" ref="E5:N5" si="2">SUMIF($C$6:$C$85,"Gold",E6:E85)</f>
        <v>362.90883529411764</v>
      </c>
      <c r="F5" s="526">
        <f t="shared" si="2"/>
        <v>308.47251000000006</v>
      </c>
      <c r="G5" s="526">
        <f t="shared" si="2"/>
        <v>0</v>
      </c>
      <c r="H5" s="527">
        <f t="shared" si="2"/>
        <v>0</v>
      </c>
      <c r="I5" s="526">
        <f t="shared" si="2"/>
        <v>185.27776096194114</v>
      </c>
      <c r="J5" s="526">
        <f t="shared" si="2"/>
        <v>14.468192961941188</v>
      </c>
      <c r="K5" s="526">
        <f t="shared" si="2"/>
        <v>13.988438000000002</v>
      </c>
      <c r="L5" s="526">
        <f t="shared" si="2"/>
        <v>25.973080000000003</v>
      </c>
      <c r="M5" s="526">
        <f t="shared" si="2"/>
        <v>58.964780000000005</v>
      </c>
      <c r="N5" s="526">
        <f t="shared" si="2"/>
        <v>71.883269999999996</v>
      </c>
      <c r="O5" s="526"/>
      <c r="P5" s="528">
        <f>SUMIF($C$6:$C$85,"Gold",P6:P85)</f>
        <v>71.150865420560734</v>
      </c>
      <c r="Q5" s="520">
        <f>F5-I5</f>
        <v>123.19474903805892</v>
      </c>
      <c r="T5" s="515"/>
    </row>
    <row r="6" spans="2:20" x14ac:dyDescent="0.25">
      <c r="B6" s="529" t="s">
        <v>642</v>
      </c>
      <c r="C6" s="523" t="s">
        <v>340</v>
      </c>
      <c r="D6" s="389" t="s">
        <v>639</v>
      </c>
      <c r="E6" s="530">
        <f t="shared" ref="E6" si="3">F6/1.07</f>
        <v>0</v>
      </c>
      <c r="F6" s="530">
        <v>0</v>
      </c>
      <c r="I6" s="520">
        <f>SUM(J6:N6)</f>
        <v>0</v>
      </c>
      <c r="J6" s="531"/>
      <c r="K6" s="531"/>
      <c r="L6" s="531"/>
      <c r="M6" s="98"/>
      <c r="N6" s="531"/>
      <c r="P6" s="532">
        <v>1085</v>
      </c>
      <c r="Q6" s="520">
        <f>F6-I6</f>
        <v>0</v>
      </c>
      <c r="T6" s="533">
        <v>1.3</v>
      </c>
    </row>
    <row r="7" spans="2:20" hidden="1" x14ac:dyDescent="0.25">
      <c r="C7" s="523"/>
      <c r="D7" s="389" t="s">
        <v>344</v>
      </c>
      <c r="H7" s="523"/>
      <c r="J7" s="64"/>
      <c r="K7" s="64"/>
      <c r="L7" s="64"/>
      <c r="M7" s="98"/>
      <c r="N7" s="64"/>
      <c r="P7" s="534">
        <v>1.8271028037383188</v>
      </c>
      <c r="Q7" s="516">
        <f>F7</f>
        <v>0</v>
      </c>
      <c r="T7" s="535"/>
    </row>
    <row r="8" spans="2:20" x14ac:dyDescent="0.25">
      <c r="C8" s="523" t="s">
        <v>343</v>
      </c>
      <c r="D8" s="389" t="s">
        <v>640</v>
      </c>
      <c r="E8" s="536">
        <v>0</v>
      </c>
      <c r="F8" s="536">
        <f>IFERROR(F9*1000/F6,0)</f>
        <v>0</v>
      </c>
      <c r="H8" s="523">
        <f>IFERROR(SUMPRODUCT(J6:N6,J7:N7)/I6,0)</f>
        <v>0</v>
      </c>
      <c r="I8" s="516">
        <f>IFERROR(SUMPRODUCT(J6:N6,J8:N8)/I6,0)</f>
        <v>0</v>
      </c>
      <c r="J8" s="64"/>
      <c r="K8" s="64"/>
      <c r="L8" s="64"/>
      <c r="M8" s="98"/>
      <c r="N8" s="64"/>
      <c r="P8" s="537">
        <f>P7</f>
        <v>1.8271028037383188</v>
      </c>
      <c r="Q8" s="520">
        <f>F8-I8</f>
        <v>0</v>
      </c>
      <c r="R8" s="525">
        <f>IFERROR(P8/I8,0)</f>
        <v>0</v>
      </c>
      <c r="S8" t="s">
        <v>643</v>
      </c>
      <c r="T8" s="535"/>
    </row>
    <row r="9" spans="2:20" x14ac:dyDescent="0.25">
      <c r="C9" s="523" t="s">
        <v>47</v>
      </c>
      <c r="D9" s="389" t="s">
        <v>641</v>
      </c>
      <c r="E9" s="538">
        <f t="shared" ref="E9" si="4">E6*E8/1000</f>
        <v>0</v>
      </c>
      <c r="F9" s="536">
        <f t="shared" ref="F9" si="5">E9*0.85</f>
        <v>0</v>
      </c>
      <c r="I9" s="526">
        <f>SUM(J9:N9)</f>
        <v>0</v>
      </c>
      <c r="J9" s="539">
        <f>J6*J8/1000</f>
        <v>0</v>
      </c>
      <c r="K9" s="539">
        <f>K6*K8/1000</f>
        <v>0</v>
      </c>
      <c r="L9" s="539">
        <f>L6*L8/1000</f>
        <v>0</v>
      </c>
      <c r="M9" s="539">
        <f>M6*M8/1000</f>
        <v>0</v>
      </c>
      <c r="N9" s="539">
        <f>N6*N8/1000</f>
        <v>0</v>
      </c>
      <c r="O9" s="539"/>
      <c r="P9" s="540">
        <f t="shared" ref="P9" si="6">P6*P8/1000</f>
        <v>1.9824065420560759</v>
      </c>
      <c r="Q9" s="539"/>
      <c r="T9" s="535"/>
    </row>
    <row r="10" spans="2:20" ht="14.65" customHeight="1" x14ac:dyDescent="0.25">
      <c r="B10" t="s">
        <v>527</v>
      </c>
      <c r="C10" s="523" t="s">
        <v>340</v>
      </c>
      <c r="D10" s="389" t="s">
        <v>639</v>
      </c>
      <c r="E10" s="530">
        <f>F10/1.07</f>
        <v>8795.3271028037379</v>
      </c>
      <c r="F10" s="530">
        <v>9411</v>
      </c>
      <c r="I10" s="520">
        <f>SUM(J10:N10)</f>
        <v>1564</v>
      </c>
      <c r="J10" s="539"/>
      <c r="K10" s="539"/>
      <c r="L10" s="531"/>
      <c r="M10" s="539"/>
      <c r="N10" s="531">
        <v>1564</v>
      </c>
      <c r="P10" s="532">
        <v>1260</v>
      </c>
      <c r="Q10" s="520">
        <f>F10-I10</f>
        <v>7847</v>
      </c>
      <c r="T10" s="535">
        <v>5</v>
      </c>
    </row>
    <row r="11" spans="2:20" ht="14.65" hidden="1" customHeight="1" x14ac:dyDescent="0.25">
      <c r="C11" s="523"/>
      <c r="D11" s="389" t="s">
        <v>344</v>
      </c>
      <c r="I11" s="516">
        <f>IFERROR(SUMPRODUCT(J10:N10,J11:N11)/I10,0)</f>
        <v>2.8500000000000023</v>
      </c>
      <c r="J11" s="539"/>
      <c r="K11" s="539"/>
      <c r="L11" s="64"/>
      <c r="M11" s="539"/>
      <c r="N11" s="64">
        <v>2.8500000000000019</v>
      </c>
      <c r="P11" s="534">
        <v>3.0584112149532694</v>
      </c>
      <c r="Q11" s="523"/>
      <c r="T11" s="535"/>
    </row>
    <row r="12" spans="2:20" ht="14.65" customHeight="1" x14ac:dyDescent="0.25">
      <c r="C12" s="523" t="s">
        <v>343</v>
      </c>
      <c r="D12" s="389" t="s">
        <v>640</v>
      </c>
      <c r="E12" s="536">
        <v>2.0267058823529416</v>
      </c>
      <c r="F12" s="536">
        <f>IFERROR(F13*1000/F10,0)</f>
        <v>1.61</v>
      </c>
      <c r="H12" s="523">
        <f>IFERROR(SUMPRODUCT(J10:N10,J11:N11)/I10,0)</f>
        <v>2.8500000000000023</v>
      </c>
      <c r="I12" s="516">
        <f>IFERROR(SUMPRODUCT(J10:N10,J12:N12)/I10,0)</f>
        <v>1.9371099744245526</v>
      </c>
      <c r="J12" s="539"/>
      <c r="K12" s="539"/>
      <c r="L12" s="64"/>
      <c r="M12" s="539"/>
      <c r="N12" s="64">
        <v>1.9371099744245526</v>
      </c>
      <c r="P12" s="537">
        <f>P11</f>
        <v>3.0584112149532694</v>
      </c>
      <c r="Q12" s="516">
        <f>F12</f>
        <v>1.61</v>
      </c>
      <c r="R12" s="525">
        <f>IFERROR(P12/I12,0)</f>
        <v>1.5788526492213308</v>
      </c>
      <c r="S12" t="s">
        <v>644</v>
      </c>
      <c r="T12" s="535"/>
    </row>
    <row r="13" spans="2:20" ht="14.65" customHeight="1" x14ac:dyDescent="0.25">
      <c r="C13" s="523" t="s">
        <v>47</v>
      </c>
      <c r="D13" s="389" t="s">
        <v>641</v>
      </c>
      <c r="E13" s="538">
        <f>E10*E12/1000</f>
        <v>17.82554117647059</v>
      </c>
      <c r="F13" s="536">
        <f>E13*0.85</f>
        <v>15.151710000000001</v>
      </c>
      <c r="I13" s="526">
        <f>SUM(J13:N13)</f>
        <v>3.0296400000000001</v>
      </c>
      <c r="J13" s="539">
        <f>J10*J12/1000</f>
        <v>0</v>
      </c>
      <c r="K13" s="539">
        <f>K10*K12/1000</f>
        <v>0</v>
      </c>
      <c r="L13" s="539">
        <f>L10*L12/1000</f>
        <v>0</v>
      </c>
      <c r="M13" s="539">
        <f>M10*M12/1000</f>
        <v>0</v>
      </c>
      <c r="N13" s="539">
        <f>N10*N12/1000</f>
        <v>3.0296400000000001</v>
      </c>
      <c r="O13" s="539"/>
      <c r="P13" s="540">
        <f t="shared" ref="P13" si="7">P10*P12/1000</f>
        <v>3.8535981308411196</v>
      </c>
      <c r="Q13" s="520">
        <f>F13-I13</f>
        <v>12.122070000000001</v>
      </c>
      <c r="T13" s="535"/>
    </row>
    <row r="14" spans="2:20" ht="14.65" hidden="1" customHeight="1" x14ac:dyDescent="0.25">
      <c r="B14" t="s">
        <v>588</v>
      </c>
      <c r="C14" s="523" t="s">
        <v>340</v>
      </c>
      <c r="D14" s="389" t="s">
        <v>639</v>
      </c>
      <c r="E14" s="530">
        <f t="shared" ref="E14" si="8">F14/1.07</f>
        <v>6351.4018691588781</v>
      </c>
      <c r="F14" s="530">
        <v>6796</v>
      </c>
      <c r="I14" s="520">
        <f>SUM(J14:N14)</f>
        <v>0</v>
      </c>
      <c r="J14" s="539"/>
      <c r="K14" s="539"/>
      <c r="L14" s="531"/>
      <c r="M14" s="539"/>
      <c r="N14" s="531"/>
      <c r="P14" s="541"/>
      <c r="T14" s="535"/>
    </row>
    <row r="15" spans="2:20" ht="14.65" hidden="1" customHeight="1" x14ac:dyDescent="0.25">
      <c r="C15" s="523"/>
      <c r="D15" s="389" t="s">
        <v>344</v>
      </c>
      <c r="I15" s="516">
        <f>IFERROR(SUMPRODUCT(J14:N14,J15:N15)/I14,0)</f>
        <v>0</v>
      </c>
      <c r="J15" s="539"/>
      <c r="K15" s="539"/>
      <c r="L15" s="64"/>
      <c r="M15" s="539"/>
      <c r="N15" s="64"/>
      <c r="P15" s="541"/>
      <c r="T15" s="535"/>
    </row>
    <row r="16" spans="2:20" ht="14.65" hidden="1" customHeight="1" x14ac:dyDescent="0.25">
      <c r="C16" s="523" t="s">
        <v>343</v>
      </c>
      <c r="D16" s="389" t="s">
        <v>640</v>
      </c>
      <c r="E16" s="536">
        <v>1.8756470588235294</v>
      </c>
      <c r="F16" s="536">
        <f>IFERROR(F17*1000/F14,0)</f>
        <v>1.4899999999999998</v>
      </c>
      <c r="H16" s="523">
        <f>IFERROR(SUMPRODUCT(J14:N14,J15:N15)/I14,0)</f>
        <v>0</v>
      </c>
      <c r="I16" s="516">
        <f>IFERROR(SUMPRODUCT(J14:N14,J16:N16)/I14,0)</f>
        <v>0</v>
      </c>
      <c r="J16" s="539"/>
      <c r="K16" s="539"/>
      <c r="L16" s="64"/>
      <c r="M16" s="539"/>
      <c r="N16" s="64"/>
      <c r="P16" s="541"/>
      <c r="R16" s="525">
        <f>IFERROR(P16/I16,0)</f>
        <v>0</v>
      </c>
      <c r="T16" s="535"/>
    </row>
    <row r="17" spans="2:20" ht="14.65" hidden="1" customHeight="1" x14ac:dyDescent="0.25">
      <c r="C17" s="523" t="s">
        <v>47</v>
      </c>
      <c r="D17" s="389" t="s">
        <v>641</v>
      </c>
      <c r="E17" s="538">
        <f t="shared" ref="E17" si="9">E14*E16/1000</f>
        <v>11.912988235294117</v>
      </c>
      <c r="F17" s="536">
        <f t="shared" ref="F17" si="10">E17*0.85</f>
        <v>10.12604</v>
      </c>
      <c r="I17" s="526">
        <f>SUM(J17:N17)</f>
        <v>0</v>
      </c>
      <c r="J17" s="539">
        <f>J14*J16/1000</f>
        <v>0</v>
      </c>
      <c r="K17" s="539">
        <f>K14*K16/1000</f>
        <v>0</v>
      </c>
      <c r="L17" s="539">
        <f>L14*L16/1000</f>
        <v>0</v>
      </c>
      <c r="M17" s="539">
        <f>M14*M16/1000</f>
        <v>0</v>
      </c>
      <c r="N17" s="539">
        <f>N14*N16/1000</f>
        <v>0</v>
      </c>
      <c r="P17" s="541"/>
      <c r="T17" s="535"/>
    </row>
    <row r="18" spans="2:20" x14ac:dyDescent="0.25">
      <c r="B18" t="s">
        <v>470</v>
      </c>
      <c r="C18" s="523" t="s">
        <v>340</v>
      </c>
      <c r="D18" s="389" t="s">
        <v>639</v>
      </c>
      <c r="E18" s="530">
        <f t="shared" ref="E18" si="11">F18/1.07</f>
        <v>8264.4859813084113</v>
      </c>
      <c r="F18" s="530">
        <v>8843</v>
      </c>
      <c r="I18" s="520">
        <f>SUM(J18:N18)</f>
        <v>25876</v>
      </c>
      <c r="J18" s="531">
        <v>3352</v>
      </c>
      <c r="K18" s="531">
        <v>4385</v>
      </c>
      <c r="L18" s="531">
        <v>6166</v>
      </c>
      <c r="M18" s="531">
        <v>6179</v>
      </c>
      <c r="N18" s="531">
        <v>5794</v>
      </c>
      <c r="P18" s="532">
        <v>2660</v>
      </c>
      <c r="Q18" s="520">
        <f t="shared" ref="Q18" si="12">F18-I18</f>
        <v>-17033</v>
      </c>
      <c r="T18" s="542">
        <v>12</v>
      </c>
    </row>
    <row r="19" spans="2:20" hidden="1" x14ac:dyDescent="0.25">
      <c r="C19" s="523"/>
      <c r="D19" s="389" t="s">
        <v>344</v>
      </c>
      <c r="I19" s="516">
        <f t="shared" ref="I19" si="13">IFERROR(SUMPRODUCT(J18:N18,J19:N19)/I18,0)</f>
        <v>2.7063800432833505</v>
      </c>
      <c r="J19" s="64">
        <v>1.6400000000000003</v>
      </c>
      <c r="K19" s="64">
        <v>3.17</v>
      </c>
      <c r="L19" s="64">
        <v>2.4399999999999986</v>
      </c>
      <c r="M19" s="64">
        <v>2.4399999999999982</v>
      </c>
      <c r="N19" s="64">
        <v>3.54</v>
      </c>
      <c r="P19" s="534">
        <v>2.8121495327102815</v>
      </c>
      <c r="Q19" s="523"/>
      <c r="T19" s="535"/>
    </row>
    <row r="20" spans="2:20" x14ac:dyDescent="0.25">
      <c r="C20" s="523" t="s">
        <v>343</v>
      </c>
      <c r="D20" s="389" t="s">
        <v>640</v>
      </c>
      <c r="E20" s="536">
        <v>2.3162352941176474</v>
      </c>
      <c r="F20" s="536">
        <f>IFERROR(F21*1000/F18,0)</f>
        <v>1.8399999999999999</v>
      </c>
      <c r="H20" s="523">
        <f>IFERROR(SUMPRODUCT(J18:N18,J19:N19)/I18,0)</f>
        <v>2.7063800432833505</v>
      </c>
      <c r="I20" s="516">
        <f>IFERROR(SUMPRODUCT(J18:N18,J20:N20)/I18,0)</f>
        <v>2.7902399041023904</v>
      </c>
      <c r="J20" s="64">
        <v>3.2528931260600977</v>
      </c>
      <c r="K20" s="64">
        <v>2.5513911060433294</v>
      </c>
      <c r="L20" s="64">
        <v>2.0825186506649369</v>
      </c>
      <c r="M20" s="64">
        <v>3.2601958245670826</v>
      </c>
      <c r="N20" s="64">
        <v>2.9553227476700035</v>
      </c>
      <c r="P20" s="537">
        <f>P19</f>
        <v>2.8121495327102815</v>
      </c>
      <c r="Q20" s="516">
        <f t="shared" ref="Q20" si="14">F20</f>
        <v>1.8399999999999999</v>
      </c>
      <c r="R20" s="525">
        <f>IFERROR(P20/I20,0)</f>
        <v>1.007852238288069</v>
      </c>
      <c r="S20" t="s">
        <v>645</v>
      </c>
      <c r="T20" s="535"/>
    </row>
    <row r="21" spans="2:20" x14ac:dyDescent="0.25">
      <c r="C21" s="64" t="s">
        <v>47</v>
      </c>
      <c r="D21" s="389" t="s">
        <v>641</v>
      </c>
      <c r="E21" s="538">
        <f t="shared" ref="E21" si="15">E18*E20/1000</f>
        <v>19.142494117647061</v>
      </c>
      <c r="F21" s="536">
        <f t="shared" ref="F21" si="16">E21*0.85</f>
        <v>16.27112</v>
      </c>
      <c r="I21" s="526">
        <f>SUM(J21:N21)</f>
        <v>72.200247758553445</v>
      </c>
      <c r="J21" s="539">
        <f>J18*J20/1000</f>
        <v>10.903697758553447</v>
      </c>
      <c r="K21" s="539">
        <f t="shared" ref="K21:N21" si="17">K18*K20/1000</f>
        <v>11.187850000000001</v>
      </c>
      <c r="L21" s="539">
        <f t="shared" si="17"/>
        <v>12.840810000000001</v>
      </c>
      <c r="M21" s="539">
        <f t="shared" si="17"/>
        <v>20.144750000000002</v>
      </c>
      <c r="N21" s="539">
        <f t="shared" si="17"/>
        <v>17.123139999999999</v>
      </c>
      <c r="P21" s="540">
        <f t="shared" ref="P21" si="18">P18*P20/1000</f>
        <v>7.4803177570093489</v>
      </c>
      <c r="Q21" s="520">
        <f t="shared" ref="Q21:Q22" si="19">F21-I21</f>
        <v>-55.929127758553449</v>
      </c>
      <c r="T21" s="535"/>
    </row>
    <row r="22" spans="2:20" x14ac:dyDescent="0.25">
      <c r="B22" t="s">
        <v>365</v>
      </c>
      <c r="C22" s="523" t="s">
        <v>340</v>
      </c>
      <c r="D22" s="389" t="s">
        <v>639</v>
      </c>
      <c r="E22" s="530">
        <f t="shared" ref="E22" si="20">F22/1.07</f>
        <v>8264.4859813084113</v>
      </c>
      <c r="F22" s="530">
        <v>8843</v>
      </c>
      <c r="I22" s="520">
        <f t="shared" ref="I22" si="21">SUM(J22:N22)</f>
        <v>0</v>
      </c>
      <c r="J22" s="531"/>
      <c r="K22" s="531"/>
      <c r="L22" s="531"/>
      <c r="M22" s="531"/>
      <c r="N22" s="531"/>
      <c r="P22" s="532">
        <v>4340</v>
      </c>
      <c r="Q22" s="520">
        <f t="shared" si="19"/>
        <v>8843</v>
      </c>
      <c r="T22" s="535"/>
    </row>
    <row r="23" spans="2:20" hidden="1" x14ac:dyDescent="0.25">
      <c r="C23" s="523"/>
      <c r="D23" s="389" t="s">
        <v>344</v>
      </c>
      <c r="I23" s="516">
        <f t="shared" ref="I23" si="22">IFERROR(SUMPRODUCT(J22:N22,J23:N23)/I22,0)</f>
        <v>0</v>
      </c>
      <c r="J23" s="64"/>
      <c r="K23" s="64"/>
      <c r="L23" s="64"/>
      <c r="M23" s="539"/>
      <c r="N23" s="64"/>
      <c r="P23" s="534">
        <v>3.0584112149532698</v>
      </c>
      <c r="Q23" s="523"/>
      <c r="T23" s="535"/>
    </row>
    <row r="24" spans="2:20" x14ac:dyDescent="0.25">
      <c r="C24" s="523" t="s">
        <v>343</v>
      </c>
      <c r="D24" s="389" t="s">
        <v>640</v>
      </c>
      <c r="E24" s="536">
        <v>2.3162352941176474</v>
      </c>
      <c r="F24" s="536">
        <f>IFERROR(F25*1000/F22,0)</f>
        <v>1.8399999999999999</v>
      </c>
      <c r="H24" s="523">
        <f>IFERROR(SUMPRODUCT(J22:N22,J23:N23)/I22,0)</f>
        <v>0</v>
      </c>
      <c r="I24" s="516">
        <f>IFERROR(SUMPRODUCT(J22:N22,J24:N24)/I22,0)</f>
        <v>0</v>
      </c>
      <c r="J24" s="64"/>
      <c r="K24" s="64"/>
      <c r="L24" s="64"/>
      <c r="M24" s="539"/>
      <c r="N24" s="64"/>
      <c r="P24" s="537">
        <f>P23</f>
        <v>3.0584112149532698</v>
      </c>
      <c r="Q24" s="516">
        <f t="shared" ref="Q24" si="23">F24</f>
        <v>1.8399999999999999</v>
      </c>
      <c r="R24" s="525">
        <f>IFERROR(P24/I24,0)</f>
        <v>0</v>
      </c>
      <c r="S24" t="s">
        <v>646</v>
      </c>
      <c r="T24" s="535"/>
    </row>
    <row r="25" spans="2:20" x14ac:dyDescent="0.25">
      <c r="C25" s="64" t="s">
        <v>47</v>
      </c>
      <c r="D25" s="389" t="s">
        <v>641</v>
      </c>
      <c r="E25" s="538">
        <f t="shared" ref="E25" si="24">E22*E24/1000</f>
        <v>19.142494117647061</v>
      </c>
      <c r="F25" s="536">
        <f t="shared" ref="F25" si="25">E25*0.85</f>
        <v>16.27112</v>
      </c>
      <c r="I25" s="526">
        <f t="shared" ref="I25" si="26">SUM(J25:N25)</f>
        <v>0</v>
      </c>
      <c r="J25" s="539">
        <f>J22*J24/1000</f>
        <v>0</v>
      </c>
      <c r="K25" s="539">
        <f t="shared" ref="K25:N25" si="27">K22*K24/1000</f>
        <v>0</v>
      </c>
      <c r="L25" s="539">
        <f t="shared" si="27"/>
        <v>0</v>
      </c>
      <c r="M25" s="539">
        <f t="shared" si="27"/>
        <v>0</v>
      </c>
      <c r="N25" s="539">
        <f t="shared" si="27"/>
        <v>0</v>
      </c>
      <c r="P25" s="540">
        <f t="shared" ref="P25" si="28">P22*P24/1000</f>
        <v>13.273504672897191</v>
      </c>
      <c r="Q25" s="520">
        <f t="shared" ref="Q25:Q26" si="29">F25-I25</f>
        <v>16.27112</v>
      </c>
      <c r="T25" s="535"/>
    </row>
    <row r="26" spans="2:20" x14ac:dyDescent="0.25">
      <c r="B26" t="s">
        <v>471</v>
      </c>
      <c r="C26" s="523" t="s">
        <v>340</v>
      </c>
      <c r="D26" s="389" t="s">
        <v>639</v>
      </c>
      <c r="E26" s="530">
        <f t="shared" ref="E26" si="30">F26/1.07</f>
        <v>2378.5046728971961</v>
      </c>
      <c r="F26" s="530">
        <v>2545</v>
      </c>
      <c r="I26" s="520">
        <f>SUM(J26:N26)</f>
        <v>2563</v>
      </c>
      <c r="J26" s="539"/>
      <c r="K26" s="539"/>
      <c r="L26" s="531"/>
      <c r="M26" s="531">
        <v>1458</v>
      </c>
      <c r="N26" s="531">
        <v>1105</v>
      </c>
      <c r="P26" s="532">
        <v>1085</v>
      </c>
      <c r="Q26" s="520">
        <f t="shared" si="29"/>
        <v>-18</v>
      </c>
      <c r="T26" s="535">
        <v>2.4</v>
      </c>
    </row>
    <row r="27" spans="2:20" hidden="1" x14ac:dyDescent="0.25">
      <c r="C27" s="523"/>
      <c r="D27" s="389" t="s">
        <v>344</v>
      </c>
      <c r="I27" s="516">
        <f t="shared" ref="I27" si="31">IFERROR(SUMPRODUCT(J26:N26,J27:N27)/I26,0)</f>
        <v>1.7707803355442835</v>
      </c>
      <c r="J27" s="539"/>
      <c r="K27" s="539"/>
      <c r="L27" s="64"/>
      <c r="M27" s="64">
        <v>2.1199999999999997</v>
      </c>
      <c r="N27" s="64">
        <v>1.3099999999999992</v>
      </c>
      <c r="P27" s="534">
        <v>1.6841121495327112</v>
      </c>
      <c r="Q27" s="523"/>
      <c r="T27" s="535"/>
    </row>
    <row r="28" spans="2:20" x14ac:dyDescent="0.25">
      <c r="C28" s="64" t="s">
        <v>343</v>
      </c>
      <c r="D28" s="389" t="s">
        <v>640</v>
      </c>
      <c r="E28" s="536">
        <v>0.503529411764706</v>
      </c>
      <c r="F28" s="536">
        <f>IFERROR(F29*1000/F26,0)</f>
        <v>0.4</v>
      </c>
      <c r="H28" s="523">
        <f>IFERROR(SUMPRODUCT(J26:N26,J27:N27)/I26,0)</f>
        <v>1.7707803355442835</v>
      </c>
      <c r="I28" s="516">
        <f>IFERROR(SUMPRODUCT(J26:N26,J28:N28)/I26,0)</f>
        <v>1.1345454545454545</v>
      </c>
      <c r="J28" s="539"/>
      <c r="K28" s="539"/>
      <c r="L28" s="64"/>
      <c r="M28" s="64">
        <v>1.2119204389574763</v>
      </c>
      <c r="N28" s="64">
        <v>1.0324524886877826</v>
      </c>
      <c r="P28" s="537">
        <f>P27</f>
        <v>1.6841121495327112</v>
      </c>
      <c r="Q28" s="516">
        <f t="shared" ref="Q28" si="32">F28</f>
        <v>0.4</v>
      </c>
      <c r="R28" s="525">
        <f>IFERROR(P28/I28,0)</f>
        <v>1.484393721543255</v>
      </c>
      <c r="S28" t="s">
        <v>647</v>
      </c>
      <c r="T28" s="535"/>
    </row>
    <row r="29" spans="2:20" x14ac:dyDescent="0.25">
      <c r="C29" s="64" t="s">
        <v>47</v>
      </c>
      <c r="D29" s="389" t="s">
        <v>641</v>
      </c>
      <c r="E29" s="538">
        <f t="shared" ref="E29" si="33">E26*E28/1000</f>
        <v>1.1976470588235295</v>
      </c>
      <c r="F29" s="536">
        <f t="shared" ref="F29" si="34">E29*0.85</f>
        <v>1.018</v>
      </c>
      <c r="I29" s="526">
        <f>SUM(J29:N29)</f>
        <v>2.9078400000000002</v>
      </c>
      <c r="J29" s="539">
        <f t="shared" ref="J29:N29" si="35">J26*J28/1000</f>
        <v>0</v>
      </c>
      <c r="K29" s="539">
        <f t="shared" si="35"/>
        <v>0</v>
      </c>
      <c r="L29" s="539">
        <f t="shared" si="35"/>
        <v>0</v>
      </c>
      <c r="M29" s="539">
        <f t="shared" si="35"/>
        <v>1.7669800000000004</v>
      </c>
      <c r="N29" s="539">
        <f t="shared" si="35"/>
        <v>1.1408599999999998</v>
      </c>
      <c r="P29" s="540">
        <f t="shared" ref="P29" si="36">P26*P28/1000</f>
        <v>1.8272616822429917</v>
      </c>
      <c r="Q29" s="520">
        <f t="shared" ref="Q29:Q30" si="37">F29-I29</f>
        <v>-1.8898400000000002</v>
      </c>
      <c r="T29" s="535"/>
    </row>
    <row r="30" spans="2:20" hidden="1" x14ac:dyDescent="0.25">
      <c r="B30" s="529" t="s">
        <v>505</v>
      </c>
      <c r="C30" s="523" t="s">
        <v>340</v>
      </c>
      <c r="D30" s="389" t="s">
        <v>639</v>
      </c>
      <c r="E30" s="530">
        <f t="shared" ref="E30" si="38">F30/1.07</f>
        <v>0</v>
      </c>
      <c r="F30" s="530">
        <v>0</v>
      </c>
      <c r="I30" s="520">
        <f>SUM(J30:N30)</f>
        <v>4497.2</v>
      </c>
      <c r="J30" s="531">
        <v>1254</v>
      </c>
      <c r="K30" s="531">
        <v>1490.2</v>
      </c>
      <c r="L30" s="531">
        <v>999</v>
      </c>
      <c r="M30" s="531">
        <v>754</v>
      </c>
      <c r="N30" s="531"/>
      <c r="P30" s="541"/>
      <c r="Q30" s="520">
        <f t="shared" si="37"/>
        <v>-4497.2</v>
      </c>
      <c r="T30" s="535">
        <v>2.5</v>
      </c>
    </row>
    <row r="31" spans="2:20" hidden="1" x14ac:dyDescent="0.25">
      <c r="C31" s="523"/>
      <c r="D31" s="389" t="s">
        <v>344</v>
      </c>
      <c r="I31" s="516">
        <f t="shared" ref="I31" si="39">IFERROR(SUMPRODUCT(J30:N30,J31:N31)/I30,0)</f>
        <v>1.9069541047763048</v>
      </c>
      <c r="J31" s="64">
        <v>1.6599999999999986</v>
      </c>
      <c r="K31" s="64">
        <v>2.17</v>
      </c>
      <c r="L31" s="64">
        <v>1.8599999999999994</v>
      </c>
      <c r="M31" s="64">
        <v>1.8599999999999994</v>
      </c>
      <c r="N31" s="64"/>
      <c r="P31" s="541"/>
      <c r="Q31" s="523"/>
      <c r="T31" s="535"/>
    </row>
    <row r="32" spans="2:20" hidden="1" x14ac:dyDescent="0.25">
      <c r="C32" s="523" t="s">
        <v>343</v>
      </c>
      <c r="D32" s="389" t="s">
        <v>640</v>
      </c>
      <c r="E32" s="536">
        <v>0</v>
      </c>
      <c r="F32" s="536">
        <f>IFERROR(F33*1000/F30,0)</f>
        <v>0</v>
      </c>
      <c r="H32" s="523">
        <f>IFERROR(SUMPRODUCT(J30:N30,J31:N31)/I30,0)</f>
        <v>1.9069541047763048</v>
      </c>
      <c r="I32" s="516">
        <f>IFERROR(SUMPRODUCT(J30:N30,J32:N32)/I30,0)</f>
        <v>1.940141244193663</v>
      </c>
      <c r="J32" s="64">
        <v>2.8425001621911821</v>
      </c>
      <c r="K32" s="64">
        <v>1.8793370017447324</v>
      </c>
      <c r="L32" s="64">
        <v>2.0098398398398394</v>
      </c>
      <c r="M32" s="64">
        <v>0.46722811671087527</v>
      </c>
      <c r="N32" s="64"/>
      <c r="P32" s="541"/>
      <c r="Q32" s="516">
        <f t="shared" ref="Q32" si="40">F32</f>
        <v>0</v>
      </c>
      <c r="R32" s="525">
        <f>IFERROR(P32/I32,0)</f>
        <v>0</v>
      </c>
      <c r="S32" t="s">
        <v>648</v>
      </c>
      <c r="T32" s="535"/>
    </row>
    <row r="33" spans="2:20" hidden="1" x14ac:dyDescent="0.25">
      <c r="C33" s="523" t="s">
        <v>47</v>
      </c>
      <c r="D33" s="389" t="s">
        <v>641</v>
      </c>
      <c r="E33" s="538">
        <f t="shared" ref="E33" si="41">E30*E32/1000</f>
        <v>0</v>
      </c>
      <c r="F33" s="536">
        <f t="shared" ref="F33" si="42">E33*0.85</f>
        <v>0</v>
      </c>
      <c r="I33" s="526">
        <f>SUM(J33:N33)</f>
        <v>8.7252032033877427</v>
      </c>
      <c r="J33" s="539">
        <f>J30*J32/1000</f>
        <v>3.5644952033877422</v>
      </c>
      <c r="K33" s="539">
        <f t="shared" ref="K33:N33" si="43">K30*K32/1000</f>
        <v>2.8005880000000003</v>
      </c>
      <c r="L33" s="539">
        <f t="shared" si="43"/>
        <v>2.0078299999999993</v>
      </c>
      <c r="M33" s="539">
        <f t="shared" si="43"/>
        <v>0.35228999999999994</v>
      </c>
      <c r="N33" s="539">
        <f t="shared" si="43"/>
        <v>0</v>
      </c>
      <c r="P33" s="541"/>
      <c r="Q33" s="520">
        <f t="shared" ref="Q33:Q34" si="44">F33-I33</f>
        <v>-8.7252032033877427</v>
      </c>
      <c r="T33" s="535"/>
    </row>
    <row r="34" spans="2:20" x14ac:dyDescent="0.25">
      <c r="B34" t="s">
        <v>472</v>
      </c>
      <c r="C34" s="64" t="s">
        <v>340</v>
      </c>
      <c r="D34" s="389" t="s">
        <v>639</v>
      </c>
      <c r="E34" s="530">
        <f t="shared" ref="E34" si="45">F34/1.07</f>
        <v>2806.5420560747662</v>
      </c>
      <c r="F34" s="530">
        <v>3003</v>
      </c>
      <c r="I34" s="520">
        <f>SUM(J34:N34)</f>
        <v>9845</v>
      </c>
      <c r="J34" s="531"/>
      <c r="K34" s="531"/>
      <c r="L34" s="531">
        <v>2601</v>
      </c>
      <c r="M34" s="531">
        <v>4555</v>
      </c>
      <c r="N34" s="531">
        <v>2689</v>
      </c>
      <c r="P34" s="532">
        <v>2170</v>
      </c>
      <c r="Q34" s="520">
        <f t="shared" si="44"/>
        <v>-6842</v>
      </c>
      <c r="T34" s="535">
        <v>3</v>
      </c>
    </row>
    <row r="35" spans="2:20" hidden="1" x14ac:dyDescent="0.25">
      <c r="D35" s="389" t="s">
        <v>344</v>
      </c>
      <c r="I35" s="516">
        <f t="shared" ref="I35" si="46">IFERROR(SUMPRODUCT(J34:N34,J35:N35)/I34,0)</f>
        <v>1.8829680040629762</v>
      </c>
      <c r="J35" s="64"/>
      <c r="K35" s="64"/>
      <c r="L35" s="64">
        <v>1.8599999999999994</v>
      </c>
      <c r="M35" s="64">
        <v>2.0099999999999993</v>
      </c>
      <c r="N35" s="64">
        <v>1.6900000000000006</v>
      </c>
      <c r="P35" s="534">
        <v>1.6900000000000008</v>
      </c>
      <c r="Q35" s="523"/>
      <c r="T35" s="535"/>
    </row>
    <row r="36" spans="2:20" x14ac:dyDescent="0.25">
      <c r="C36" s="64" t="s">
        <v>343</v>
      </c>
      <c r="D36" s="389" t="s">
        <v>640</v>
      </c>
      <c r="E36" s="536">
        <v>0.66717647058823537</v>
      </c>
      <c r="F36" s="536">
        <f>IFERROR(F37*1000/F34,0)</f>
        <v>0.53</v>
      </c>
      <c r="H36" s="523">
        <f>IFERROR(SUMPRODUCT(J34:N34,J35:N35)/I34,0)</f>
        <v>1.8829680040629762</v>
      </c>
      <c r="I36" s="516">
        <f>IFERROR(SUMPRODUCT(J34:N34,J36:N36)/I34,0)</f>
        <v>1.9172361604875574</v>
      </c>
      <c r="J36" s="64"/>
      <c r="K36" s="64"/>
      <c r="L36" s="64">
        <v>1.7308073817762399</v>
      </c>
      <c r="M36" s="64">
        <v>1.8785049396267839</v>
      </c>
      <c r="N36" s="64">
        <v>2.1631721829676462</v>
      </c>
      <c r="P36" s="537">
        <f>P35</f>
        <v>1.6900000000000008</v>
      </c>
      <c r="Q36" s="516">
        <f t="shared" ref="Q36" si="47">F36</f>
        <v>0.53</v>
      </c>
      <c r="R36" s="525">
        <f>IFERROR(P36/I36,0)</f>
        <v>0.8814772195670616</v>
      </c>
      <c r="S36" t="s">
        <v>649</v>
      </c>
      <c r="T36" s="535"/>
    </row>
    <row r="37" spans="2:20" x14ac:dyDescent="0.25">
      <c r="C37" s="64" t="s">
        <v>47</v>
      </c>
      <c r="D37" s="389" t="s">
        <v>641</v>
      </c>
      <c r="E37" s="538">
        <f t="shared" ref="E37" si="48">E34*E36/1000</f>
        <v>1.8724588235294117</v>
      </c>
      <c r="F37" s="536">
        <f t="shared" ref="F37" si="49">E37*0.85</f>
        <v>1.5915899999999998</v>
      </c>
      <c r="I37" s="526">
        <f>SUM(J37:N37)</f>
        <v>18.87519</v>
      </c>
      <c r="J37" s="539">
        <f>J34*J36/1000</f>
        <v>0</v>
      </c>
      <c r="K37" s="539">
        <f t="shared" ref="K37:N37" si="50">K34*K36/1000</f>
        <v>0</v>
      </c>
      <c r="L37" s="539">
        <f t="shared" si="50"/>
        <v>4.50183</v>
      </c>
      <c r="M37" s="539">
        <f t="shared" si="50"/>
        <v>8.5565899999999999</v>
      </c>
      <c r="N37" s="539">
        <f t="shared" si="50"/>
        <v>5.81677</v>
      </c>
      <c r="P37" s="540">
        <f t="shared" ref="P37" si="51">P34*P36/1000</f>
        <v>3.6673000000000018</v>
      </c>
      <c r="Q37" s="520">
        <f t="shared" ref="Q37:Q38" si="52">F37-I37</f>
        <v>-17.2836</v>
      </c>
      <c r="T37" s="535"/>
    </row>
    <row r="38" spans="2:20" x14ac:dyDescent="0.25">
      <c r="B38" t="s">
        <v>366</v>
      </c>
      <c r="C38" s="64" t="s">
        <v>340</v>
      </c>
      <c r="D38" s="389" t="s">
        <v>639</v>
      </c>
      <c r="E38" s="530">
        <f t="shared" ref="E38" si="53">F38/1.07</f>
        <v>4451.4018691588781</v>
      </c>
      <c r="F38" s="530">
        <v>4763</v>
      </c>
      <c r="I38" s="520">
        <f>SUM(J38:N38)</f>
        <v>4439.5</v>
      </c>
      <c r="J38" s="531"/>
      <c r="K38" s="531"/>
      <c r="L38" s="531">
        <v>227</v>
      </c>
      <c r="M38" s="531">
        <v>2609.5</v>
      </c>
      <c r="N38" s="531">
        <v>1603</v>
      </c>
      <c r="P38" s="532">
        <v>1120</v>
      </c>
      <c r="Q38" s="520">
        <f t="shared" si="52"/>
        <v>323.5</v>
      </c>
      <c r="T38" s="535"/>
    </row>
    <row r="39" spans="2:20" hidden="1" x14ac:dyDescent="0.25">
      <c r="D39" s="389" t="s">
        <v>344</v>
      </c>
      <c r="I39" s="516">
        <f t="shared" ref="I39" si="54">IFERROR(SUMPRODUCT(J38:N38,J39:N39)/I38,0)</f>
        <v>2.094314675076022</v>
      </c>
      <c r="J39" s="64"/>
      <c r="K39" s="64"/>
      <c r="L39" s="64">
        <v>0</v>
      </c>
      <c r="M39" s="64">
        <v>1.8000000000000003</v>
      </c>
      <c r="N39" s="64">
        <v>2.8699999999999988</v>
      </c>
      <c r="P39" s="534">
        <v>1.604672897196262</v>
      </c>
      <c r="Q39" s="523"/>
      <c r="T39" s="535"/>
    </row>
    <row r="40" spans="2:20" x14ac:dyDescent="0.25">
      <c r="C40" s="64" t="s">
        <v>343</v>
      </c>
      <c r="D40" s="389" t="s">
        <v>640</v>
      </c>
      <c r="E40" s="536">
        <v>4.1415294117647061</v>
      </c>
      <c r="F40" s="536">
        <f>IFERROR(F41*1000/F38,0)</f>
        <v>3.29</v>
      </c>
      <c r="H40" s="523">
        <f>IFERROR(SUMPRODUCT(J38:N38,J39:N39)/I38,0)</f>
        <v>2.094314675076022</v>
      </c>
      <c r="I40" s="516">
        <f>IFERROR(SUMPRODUCT(J38:N38,J40:N40)/I38,0)</f>
        <v>2.397660772609528</v>
      </c>
      <c r="J40" s="64"/>
      <c r="K40" s="64"/>
      <c r="L40" s="64">
        <v>3.1389427312775329</v>
      </c>
      <c r="M40" s="64">
        <v>2.4268116497413295</v>
      </c>
      <c r="N40" s="64">
        <v>2.2452339363693072</v>
      </c>
      <c r="P40" s="537">
        <f>P39</f>
        <v>1.604672897196262</v>
      </c>
      <c r="Q40" s="516">
        <f t="shared" ref="Q40" si="55">F40</f>
        <v>3.29</v>
      </c>
      <c r="R40" s="525">
        <f>IFERROR(P40/I40,0)</f>
        <v>0.66926602609000174</v>
      </c>
      <c r="S40" t="s">
        <v>650</v>
      </c>
      <c r="T40" s="535">
        <v>5.5</v>
      </c>
    </row>
    <row r="41" spans="2:20" x14ac:dyDescent="0.25">
      <c r="C41" s="64" t="s">
        <v>47</v>
      </c>
      <c r="D41" s="389" t="s">
        <v>641</v>
      </c>
      <c r="E41" s="538">
        <f t="shared" ref="E41" si="56">E38*E40/1000</f>
        <v>18.435611764705882</v>
      </c>
      <c r="F41" s="536">
        <f t="shared" ref="F41" si="57">E41*0.85</f>
        <v>15.67027</v>
      </c>
      <c r="I41" s="526">
        <f>SUM(J41:N41)</f>
        <v>10.644414999999999</v>
      </c>
      <c r="J41" s="539">
        <f>J38*J40/1000</f>
        <v>0</v>
      </c>
      <c r="K41" s="539">
        <f t="shared" ref="K41:N41" si="58">K38*K40/1000</f>
        <v>0</v>
      </c>
      <c r="L41" s="539">
        <f t="shared" si="58"/>
        <v>0.71253999999999995</v>
      </c>
      <c r="M41" s="539">
        <f t="shared" si="58"/>
        <v>6.3327649999999993</v>
      </c>
      <c r="N41" s="539">
        <f t="shared" si="58"/>
        <v>3.5991099999999996</v>
      </c>
      <c r="P41" s="540">
        <f t="shared" ref="P41" si="59">P38*P40/1000</f>
        <v>1.7972336448598134</v>
      </c>
      <c r="Q41" s="520">
        <f t="shared" ref="Q41:Q42" si="60">F41-I41</f>
        <v>5.0258550000000017</v>
      </c>
      <c r="T41" s="535"/>
    </row>
    <row r="42" spans="2:20" x14ac:dyDescent="0.25">
      <c r="B42" t="s">
        <v>474</v>
      </c>
      <c r="C42" s="64" t="s">
        <v>340</v>
      </c>
      <c r="D42" s="389" t="s">
        <v>639</v>
      </c>
      <c r="E42" s="530">
        <f t="shared" ref="E42" si="61">F42/1.07</f>
        <v>40908.411214953267</v>
      </c>
      <c r="F42" s="530">
        <v>43772</v>
      </c>
      <c r="I42" s="520">
        <f>SUM(J42:N42)</f>
        <v>7103</v>
      </c>
      <c r="K42" s="531"/>
      <c r="L42" s="531">
        <v>731.8</v>
      </c>
      <c r="M42" s="531">
        <v>2028.2</v>
      </c>
      <c r="N42" s="531">
        <v>4343</v>
      </c>
      <c r="P42" s="532">
        <v>2170</v>
      </c>
      <c r="Q42" s="520">
        <f t="shared" si="60"/>
        <v>36669</v>
      </c>
      <c r="T42" s="535">
        <v>3.6</v>
      </c>
    </row>
    <row r="43" spans="2:20" hidden="1" x14ac:dyDescent="0.25">
      <c r="D43" s="389" t="s">
        <v>344</v>
      </c>
      <c r="I43" s="516">
        <f t="shared" ref="I43" si="62">IFERROR(SUMPRODUCT(J42:N42,J43:N43)/I42,0)</f>
        <v>3.0962233422497536</v>
      </c>
      <c r="K43" s="64"/>
      <c r="L43" s="64">
        <v>2.1200000000000006</v>
      </c>
      <c r="M43" s="64">
        <v>3.1619999999999986</v>
      </c>
      <c r="N43" s="64">
        <v>3.2300000000000004</v>
      </c>
      <c r="P43" s="534">
        <v>3.0901869158878492</v>
      </c>
      <c r="Q43" s="523"/>
      <c r="T43" s="535"/>
    </row>
    <row r="44" spans="2:20" x14ac:dyDescent="0.25">
      <c r="C44" s="64" t="s">
        <v>343</v>
      </c>
      <c r="D44" s="389" t="s">
        <v>640</v>
      </c>
      <c r="E44" s="536">
        <v>3.5372941176470594</v>
      </c>
      <c r="F44" s="536">
        <f>IFERROR(F45*1000/F42,0)</f>
        <v>2.81</v>
      </c>
      <c r="H44" s="523">
        <f>IFERROR(SUMPRODUCT(J42:N42,J43:N43)/I42,0)</f>
        <v>3.0962233422497536</v>
      </c>
      <c r="I44" s="516">
        <f>IFERROR(SUMPRODUCT(J42:N42,J44:N44)/I42,0)</f>
        <v>3.3553236660565955</v>
      </c>
      <c r="K44" s="64"/>
      <c r="L44" s="64">
        <v>1.8545285597157695</v>
      </c>
      <c r="M44" s="64">
        <v>3.1833892121092591</v>
      </c>
      <c r="N44" s="64">
        <v>3.6885033387059631</v>
      </c>
      <c r="P44" s="537">
        <v>3.0901869158878492</v>
      </c>
      <c r="Q44" s="516">
        <f t="shared" ref="Q44" si="63">F44</f>
        <v>2.81</v>
      </c>
      <c r="R44" s="525">
        <f>IFERROR(P44/I44,0)</f>
        <v>0.92098027595640186</v>
      </c>
      <c r="S44" t="s">
        <v>651</v>
      </c>
      <c r="T44" s="535"/>
    </row>
    <row r="45" spans="2:20" x14ac:dyDescent="0.25">
      <c r="C45" s="64" t="s">
        <v>47</v>
      </c>
      <c r="D45" s="389" t="s">
        <v>641</v>
      </c>
      <c r="E45" s="538">
        <f t="shared" ref="E45" si="64">E42*E44/1000</f>
        <v>144.70508235294119</v>
      </c>
      <c r="F45" s="536">
        <f t="shared" ref="F45" si="65">E45*0.85</f>
        <v>122.99932000000001</v>
      </c>
      <c r="I45" s="526">
        <f>SUM(J45:N45)</f>
        <v>23.832863999999997</v>
      </c>
      <c r="J45" s="539">
        <f>J42*J44/1000</f>
        <v>0</v>
      </c>
      <c r="K45" s="539">
        <f t="shared" ref="K45:N45" si="66">K42*K44/1000</f>
        <v>0</v>
      </c>
      <c r="L45" s="539">
        <f t="shared" si="66"/>
        <v>1.3571439999999999</v>
      </c>
      <c r="M45" s="539">
        <f t="shared" si="66"/>
        <v>6.4565499999999991</v>
      </c>
      <c r="N45" s="539">
        <f t="shared" si="66"/>
        <v>16.019169999999999</v>
      </c>
      <c r="P45" s="540">
        <f t="shared" ref="P45" si="67">P42*P44/1000</f>
        <v>6.7057056074766326</v>
      </c>
      <c r="Q45" s="520">
        <f t="shared" ref="Q45:Q46" si="68">F45-I45</f>
        <v>99.166456000000011</v>
      </c>
      <c r="T45" s="535"/>
    </row>
    <row r="46" spans="2:20" x14ac:dyDescent="0.25">
      <c r="B46" s="529" t="s">
        <v>475</v>
      </c>
      <c r="C46" s="64" t="s">
        <v>340</v>
      </c>
      <c r="D46" s="389" t="s">
        <v>639</v>
      </c>
      <c r="E46" s="530">
        <f t="shared" ref="E46" si="69">F46/1.07</f>
        <v>0</v>
      </c>
      <c r="F46" s="530">
        <v>0</v>
      </c>
      <c r="I46" s="520">
        <f t="shared" ref="I46" si="70">SUM(J46:N46)</f>
        <v>0</v>
      </c>
      <c r="K46" s="531"/>
      <c r="L46" s="539"/>
      <c r="M46" s="531"/>
      <c r="N46" s="531"/>
      <c r="P46" s="532">
        <v>3255</v>
      </c>
      <c r="Q46" s="520">
        <f t="shared" si="68"/>
        <v>0</v>
      </c>
      <c r="T46" s="535">
        <v>4</v>
      </c>
    </row>
    <row r="47" spans="2:20" hidden="1" x14ac:dyDescent="0.25">
      <c r="D47" s="389" t="s">
        <v>344</v>
      </c>
      <c r="I47" s="516">
        <f t="shared" ref="I47" si="71">IFERROR(SUMPRODUCT(J46:N46,J47:N47)/I46,0)</f>
        <v>0</v>
      </c>
      <c r="K47" s="64"/>
      <c r="L47" s="539"/>
      <c r="M47" s="64"/>
      <c r="N47" s="64"/>
      <c r="P47" s="534">
        <v>3.0901869158878479</v>
      </c>
      <c r="Q47" s="523"/>
      <c r="T47" s="535"/>
    </row>
    <row r="48" spans="2:20" x14ac:dyDescent="0.25">
      <c r="C48" s="64" t="s">
        <v>343</v>
      </c>
      <c r="D48" s="389" t="s">
        <v>640</v>
      </c>
      <c r="E48" s="536">
        <v>0</v>
      </c>
      <c r="F48" s="536">
        <f>IFERROR(F49*1000/F46,0)</f>
        <v>0</v>
      </c>
      <c r="H48" s="523">
        <f>IFERROR(SUMPRODUCT(J46:N46,J47:N47)/I46,0)</f>
        <v>0</v>
      </c>
      <c r="I48" s="516">
        <f>IFERROR(SUMPRODUCT(J46:N46,J48:N48)/I46,0)</f>
        <v>0</v>
      </c>
      <c r="K48" s="64"/>
      <c r="L48" s="539"/>
      <c r="M48" s="64"/>
      <c r="N48" s="64"/>
      <c r="P48" s="537">
        <v>3.0901869158878479</v>
      </c>
      <c r="Q48" s="516">
        <f t="shared" ref="Q48" si="72">F48</f>
        <v>0</v>
      </c>
      <c r="R48" s="525">
        <f>IFERROR(P48/I48,0)</f>
        <v>0</v>
      </c>
      <c r="S48" t="s">
        <v>652</v>
      </c>
      <c r="T48" s="535"/>
    </row>
    <row r="49" spans="2:20" x14ac:dyDescent="0.25">
      <c r="C49" s="64" t="s">
        <v>47</v>
      </c>
      <c r="D49" s="389" t="s">
        <v>641</v>
      </c>
      <c r="E49" s="538">
        <f t="shared" ref="E49" si="73">E46*E48/1000</f>
        <v>0</v>
      </c>
      <c r="F49" s="536">
        <f t="shared" ref="F49" si="74">E49*0.85</f>
        <v>0</v>
      </c>
      <c r="I49" s="526">
        <f t="shared" ref="I49:I50" si="75">SUM(J49:N49)</f>
        <v>0</v>
      </c>
      <c r="J49" s="539">
        <f>J46*J48/1000</f>
        <v>0</v>
      </c>
      <c r="K49" s="539">
        <f t="shared" ref="K49:N49" si="76">K46*K48/1000</f>
        <v>0</v>
      </c>
      <c r="L49" s="539">
        <f t="shared" si="76"/>
        <v>0</v>
      </c>
      <c r="M49" s="539">
        <f t="shared" si="76"/>
        <v>0</v>
      </c>
      <c r="N49" s="539">
        <f t="shared" si="76"/>
        <v>0</v>
      </c>
      <c r="P49" s="540">
        <f t="shared" ref="P49" si="77">P46*P48/1000</f>
        <v>10.058558411214944</v>
      </c>
      <c r="Q49" s="520">
        <f t="shared" ref="Q49:Q50" si="78">F49-I49</f>
        <v>0</v>
      </c>
      <c r="T49" s="535"/>
    </row>
    <row r="50" spans="2:20" x14ac:dyDescent="0.25">
      <c r="B50" s="529" t="s">
        <v>476</v>
      </c>
      <c r="C50" s="64" t="s">
        <v>340</v>
      </c>
      <c r="D50" s="389" t="s">
        <v>639</v>
      </c>
      <c r="E50" s="530">
        <f t="shared" ref="E50" si="79">F50/1.07</f>
        <v>0</v>
      </c>
      <c r="F50" s="530">
        <v>0</v>
      </c>
      <c r="I50" s="520">
        <f t="shared" si="75"/>
        <v>0</v>
      </c>
      <c r="K50" s="531"/>
      <c r="L50" s="539"/>
      <c r="M50" s="531"/>
      <c r="N50" s="531"/>
      <c r="P50" s="532">
        <v>2170</v>
      </c>
      <c r="Q50" s="520">
        <f t="shared" si="78"/>
        <v>0</v>
      </c>
      <c r="T50" s="535"/>
    </row>
    <row r="51" spans="2:20" hidden="1" x14ac:dyDescent="0.25">
      <c r="D51" s="389" t="s">
        <v>344</v>
      </c>
      <c r="I51" s="516">
        <f t="shared" ref="I51" si="80">IFERROR(SUMPRODUCT(J50:N50,J51:N51)/I50,0)</f>
        <v>0</v>
      </c>
      <c r="K51" s="64"/>
      <c r="L51" s="539"/>
      <c r="M51" s="64"/>
      <c r="N51" s="64"/>
      <c r="P51" s="534">
        <v>2.3116822429906541</v>
      </c>
      <c r="Q51" s="523"/>
      <c r="T51" s="535"/>
    </row>
    <row r="52" spans="2:20" x14ac:dyDescent="0.25">
      <c r="C52" s="64" t="s">
        <v>343</v>
      </c>
      <c r="D52" s="389" t="s">
        <v>640</v>
      </c>
      <c r="E52" s="536">
        <v>0</v>
      </c>
      <c r="F52" s="536">
        <f>IFERROR(F53*1000/F50,0)</f>
        <v>0</v>
      </c>
      <c r="H52" s="523">
        <f>IFERROR(SUMPRODUCT(J50:N50,J51:N51)/I50,0)</f>
        <v>0</v>
      </c>
      <c r="I52" s="516">
        <f>IFERROR(SUMPRODUCT(J50:N50,J52:N52)/I50,0)</f>
        <v>0</v>
      </c>
      <c r="K52" s="64"/>
      <c r="L52" s="539"/>
      <c r="M52" s="64"/>
      <c r="N52" s="64"/>
      <c r="P52" s="537">
        <v>2.3116822429906541</v>
      </c>
      <c r="Q52" s="516">
        <f t="shared" ref="Q52" si="81">F52</f>
        <v>0</v>
      </c>
      <c r="R52" s="525">
        <f>IFERROR(P52/I52,0)</f>
        <v>0</v>
      </c>
      <c r="S52" t="s">
        <v>652</v>
      </c>
      <c r="T52" s="535"/>
    </row>
    <row r="53" spans="2:20" x14ac:dyDescent="0.25">
      <c r="C53" s="64" t="s">
        <v>47</v>
      </c>
      <c r="D53" s="389" t="s">
        <v>641</v>
      </c>
      <c r="E53" s="538">
        <f t="shared" ref="E53" si="82">E50*E52/1000</f>
        <v>0</v>
      </c>
      <c r="F53" s="536">
        <f t="shared" ref="F53" si="83">E53*0.85</f>
        <v>0</v>
      </c>
      <c r="I53" s="526">
        <f t="shared" ref="I53" si="84">SUM(J53:N53)</f>
        <v>0</v>
      </c>
      <c r="J53" s="539">
        <f>J50*J52/1000</f>
        <v>0</v>
      </c>
      <c r="K53" s="539">
        <f t="shared" ref="K53:N53" si="85">K50*K52/1000</f>
        <v>0</v>
      </c>
      <c r="L53" s="539">
        <f t="shared" si="85"/>
        <v>0</v>
      </c>
      <c r="M53" s="539">
        <f t="shared" si="85"/>
        <v>0</v>
      </c>
      <c r="N53" s="539">
        <f t="shared" si="85"/>
        <v>0</v>
      </c>
      <c r="P53" s="540">
        <f t="shared" ref="P53" si="86">P50*P52/1000</f>
        <v>5.0163504672897199</v>
      </c>
      <c r="Q53" s="520">
        <f t="shared" ref="Q53:Q54" si="87">F53-I53</f>
        <v>0</v>
      </c>
      <c r="T53" s="535"/>
    </row>
    <row r="54" spans="2:20" hidden="1" x14ac:dyDescent="0.25">
      <c r="B54" t="s">
        <v>556</v>
      </c>
      <c r="C54" s="64" t="s">
        <v>340</v>
      </c>
      <c r="D54" s="389" t="s">
        <v>639</v>
      </c>
      <c r="E54" s="530">
        <f t="shared" ref="E54" si="88">F54/1.07</f>
        <v>27456.074766355137</v>
      </c>
      <c r="F54" s="530">
        <v>29378</v>
      </c>
      <c r="I54" s="520">
        <f>SUM(J54:N54)</f>
        <v>2329</v>
      </c>
      <c r="K54" s="531"/>
      <c r="L54" s="539"/>
      <c r="M54" s="531"/>
      <c r="N54" s="531">
        <v>2329</v>
      </c>
      <c r="P54" s="541"/>
      <c r="Q54" s="520">
        <f t="shared" si="87"/>
        <v>27049</v>
      </c>
      <c r="T54" s="535">
        <v>4</v>
      </c>
    </row>
    <row r="55" spans="2:20" hidden="1" x14ac:dyDescent="0.25">
      <c r="D55" s="389" t="s">
        <v>344</v>
      </c>
      <c r="I55" s="516">
        <f t="shared" ref="I55" si="89">IFERROR(SUMPRODUCT(J54:N54,J55:N55)/I54,0)</f>
        <v>2.9100000000000019</v>
      </c>
      <c r="K55" s="64"/>
      <c r="L55" s="539"/>
      <c r="M55" s="64"/>
      <c r="N55" s="64">
        <v>2.9100000000000019</v>
      </c>
      <c r="P55" s="541"/>
      <c r="Q55" s="523"/>
      <c r="T55" s="535"/>
    </row>
    <row r="56" spans="2:20" hidden="1" x14ac:dyDescent="0.25">
      <c r="C56" s="64" t="s">
        <v>343</v>
      </c>
      <c r="D56" s="389" t="s">
        <v>640</v>
      </c>
      <c r="E56" s="536">
        <v>2.9204705882352942</v>
      </c>
      <c r="F56" s="536">
        <f>IFERROR(F57*1000/F54,0)</f>
        <v>2.3199999999999998</v>
      </c>
      <c r="H56" s="523">
        <f>IFERROR(SUMPRODUCT(J54:N54,J55:N55)/I54,0)</f>
        <v>2.9100000000000019</v>
      </c>
      <c r="I56" s="516">
        <f>IFERROR(SUMPRODUCT(J54:N54,J56:N56)/I54,0)</f>
        <v>4.1762516101331046</v>
      </c>
      <c r="K56" s="64"/>
      <c r="L56" s="539"/>
      <c r="M56" s="64"/>
      <c r="N56" s="64">
        <v>4.1762516101331046</v>
      </c>
      <c r="P56" s="541"/>
      <c r="Q56" s="516">
        <f t="shared" ref="Q56" si="90">F56</f>
        <v>2.3199999999999998</v>
      </c>
      <c r="R56" s="525">
        <f>IFERROR(P56/I56,0)</f>
        <v>0</v>
      </c>
      <c r="T56" s="535"/>
    </row>
    <row r="57" spans="2:20" hidden="1" x14ac:dyDescent="0.25">
      <c r="C57" s="64" t="s">
        <v>47</v>
      </c>
      <c r="D57" s="389" t="s">
        <v>641</v>
      </c>
      <c r="E57" s="538">
        <f t="shared" ref="E57" si="91">E54*E56/1000</f>
        <v>80.184658823529404</v>
      </c>
      <c r="F57" s="536">
        <f t="shared" ref="F57" si="92">E57*0.85</f>
        <v>68.156959999999998</v>
      </c>
      <c r="I57" s="526">
        <f>SUM(J57:N57)</f>
        <v>9.7264900000000019</v>
      </c>
      <c r="J57" s="539">
        <f>J54*J56/1000</f>
        <v>0</v>
      </c>
      <c r="K57" s="539">
        <f t="shared" ref="K57:N57" si="93">K54*K56/1000</f>
        <v>0</v>
      </c>
      <c r="L57" s="539">
        <f t="shared" si="93"/>
        <v>0</v>
      </c>
      <c r="M57" s="539">
        <f t="shared" si="93"/>
        <v>0</v>
      </c>
      <c r="N57" s="539">
        <f t="shared" si="93"/>
        <v>9.7264900000000019</v>
      </c>
      <c r="P57" s="541"/>
      <c r="Q57" s="520">
        <f t="shared" ref="Q57:Q58" si="94">F57-I57</f>
        <v>58.43047</v>
      </c>
      <c r="T57" s="535"/>
    </row>
    <row r="58" spans="2:20" hidden="1" x14ac:dyDescent="0.25">
      <c r="B58" s="529" t="s">
        <v>507</v>
      </c>
      <c r="C58" s="523" t="s">
        <v>340</v>
      </c>
      <c r="D58" s="389" t="s">
        <v>639</v>
      </c>
      <c r="E58" s="530">
        <f t="shared" ref="E58" si="95">F58/1.07</f>
        <v>0</v>
      </c>
      <c r="F58" s="530">
        <v>0</v>
      </c>
      <c r="I58" s="520">
        <f>SUM(J58:N58)</f>
        <v>0</v>
      </c>
      <c r="K58" s="531"/>
      <c r="L58" s="531">
        <v>0</v>
      </c>
      <c r="M58" s="531"/>
      <c r="N58" s="531"/>
      <c r="P58" s="541"/>
      <c r="Q58" s="520">
        <f t="shared" si="94"/>
        <v>0</v>
      </c>
      <c r="T58" s="535"/>
    </row>
    <row r="59" spans="2:20" hidden="1" x14ac:dyDescent="0.25">
      <c r="C59" s="523"/>
      <c r="D59" s="389" t="s">
        <v>344</v>
      </c>
      <c r="I59" s="516">
        <f t="shared" ref="I59" si="96">IFERROR(SUMPRODUCT(J58:N58,J59:N59)/I58,0)</f>
        <v>0</v>
      </c>
      <c r="K59" s="64"/>
      <c r="L59" s="64">
        <v>1.6600000000000006</v>
      </c>
      <c r="M59" s="64"/>
      <c r="N59" s="64"/>
      <c r="P59" s="541"/>
      <c r="Q59" s="523"/>
      <c r="T59" s="535"/>
    </row>
    <row r="60" spans="2:20" hidden="1" x14ac:dyDescent="0.25">
      <c r="C60" s="523" t="s">
        <v>343</v>
      </c>
      <c r="D60" s="389" t="s">
        <v>640</v>
      </c>
      <c r="E60" s="536">
        <v>0</v>
      </c>
      <c r="F60" s="536">
        <f>IFERROR(F61*1000/F58,0)</f>
        <v>0</v>
      </c>
      <c r="H60" s="523">
        <f>IFERROR(SUMPRODUCT(J58:N58,J59:N59)/I58,0)</f>
        <v>0</v>
      </c>
      <c r="I60" s="516">
        <f>IFERROR(SUMPRODUCT(J58:N58,J60:N60)/I58,0)</f>
        <v>0</v>
      </c>
      <c r="K60" s="64"/>
      <c r="L60" s="64">
        <v>0</v>
      </c>
      <c r="M60" s="64"/>
      <c r="N60" s="64"/>
      <c r="P60" s="541"/>
      <c r="Q60" s="516">
        <f t="shared" ref="Q60" si="97">F60</f>
        <v>0</v>
      </c>
      <c r="R60" s="525">
        <f>IFERROR(P60/I60,0)</f>
        <v>0</v>
      </c>
      <c r="T60" s="535"/>
    </row>
    <row r="61" spans="2:20" hidden="1" x14ac:dyDescent="0.25">
      <c r="C61" s="523" t="s">
        <v>47</v>
      </c>
      <c r="D61" s="389" t="s">
        <v>641</v>
      </c>
      <c r="E61" s="538">
        <f t="shared" ref="E61" si="98">E58*E60/1000</f>
        <v>0</v>
      </c>
      <c r="F61" s="536">
        <f t="shared" ref="F61" si="99">E61*0.85</f>
        <v>0</v>
      </c>
      <c r="I61" s="526">
        <f>SUM(J61:N61)</f>
        <v>0</v>
      </c>
      <c r="J61" s="539">
        <f>J58*J60/1000</f>
        <v>0</v>
      </c>
      <c r="K61" s="539">
        <f t="shared" ref="K61:N61" si="100">K58*K60/1000</f>
        <v>0</v>
      </c>
      <c r="L61" s="539">
        <f t="shared" si="100"/>
        <v>0</v>
      </c>
      <c r="M61" s="539">
        <f t="shared" si="100"/>
        <v>0</v>
      </c>
      <c r="N61" s="539">
        <f t="shared" si="100"/>
        <v>0</v>
      </c>
      <c r="P61" s="541"/>
      <c r="Q61" s="520">
        <f t="shared" ref="Q61:Q62" si="101">F61-I61</f>
        <v>0</v>
      </c>
      <c r="T61" s="535"/>
    </row>
    <row r="62" spans="2:20" hidden="1" x14ac:dyDescent="0.25">
      <c r="B62" t="s">
        <v>653</v>
      </c>
      <c r="C62" s="523" t="s">
        <v>340</v>
      </c>
      <c r="D62" s="389" t="s">
        <v>639</v>
      </c>
      <c r="E62" s="530">
        <f t="shared" ref="E62" si="102">F62/1.07</f>
        <v>3085.0467289719622</v>
      </c>
      <c r="F62" s="530">
        <v>3301</v>
      </c>
      <c r="I62" s="520">
        <f>SUM(J62:N62)</f>
        <v>1949</v>
      </c>
      <c r="K62" s="531"/>
      <c r="L62" s="531"/>
      <c r="M62" s="531">
        <v>1949</v>
      </c>
      <c r="N62" s="531"/>
      <c r="P62" s="541"/>
      <c r="Q62" s="520">
        <f t="shared" si="101"/>
        <v>1352</v>
      </c>
      <c r="T62" s="535"/>
    </row>
    <row r="63" spans="2:20" hidden="1" x14ac:dyDescent="0.25">
      <c r="C63" s="523"/>
      <c r="D63" s="389" t="s">
        <v>344</v>
      </c>
      <c r="I63" s="516">
        <f t="shared" ref="I63" si="103">IFERROR(SUMPRODUCT(J62:N62,J63:N63)/I62,0)</f>
        <v>2.7284999999999999</v>
      </c>
      <c r="K63" s="64"/>
      <c r="L63" s="64"/>
      <c r="M63" s="64">
        <v>2.7284999999999999</v>
      </c>
      <c r="N63" s="64"/>
      <c r="P63" s="541"/>
      <c r="Q63" s="523"/>
      <c r="T63" s="535"/>
    </row>
    <row r="64" spans="2:20" hidden="1" x14ac:dyDescent="0.25">
      <c r="C64" s="523" t="s">
        <v>343</v>
      </c>
      <c r="D64" s="389" t="s">
        <v>640</v>
      </c>
      <c r="E64" s="536">
        <v>1.6616470588235295</v>
      </c>
      <c r="F64" s="536">
        <f>IFERROR(F65*1000/F62,0)</f>
        <v>1.3199999999999998</v>
      </c>
      <c r="H64" s="523">
        <f>IFERROR(SUMPRODUCT(J62:N62,J63:N63)/I62,0)</f>
        <v>2.7284999999999999</v>
      </c>
      <c r="I64" s="516">
        <f>IFERROR(SUMPRODUCT(J62:N62,J64:N64)/I62,0)</f>
        <v>2.7855515649050795</v>
      </c>
      <c r="K64" s="64"/>
      <c r="L64" s="64"/>
      <c r="M64" s="64">
        <v>2.7855515649050795</v>
      </c>
      <c r="N64" s="64"/>
      <c r="P64" s="541"/>
      <c r="Q64" s="516">
        <f t="shared" ref="Q64" si="104">F64</f>
        <v>1.3199999999999998</v>
      </c>
      <c r="R64" s="525">
        <f>IFERROR(P64/I64,0)</f>
        <v>0</v>
      </c>
      <c r="T64" s="535"/>
    </row>
    <row r="65" spans="2:20" hidden="1" x14ac:dyDescent="0.25">
      <c r="C65" s="523" t="s">
        <v>47</v>
      </c>
      <c r="D65" s="389" t="s">
        <v>641</v>
      </c>
      <c r="E65" s="538">
        <f t="shared" ref="E65" si="105">E62*E64/1000</f>
        <v>5.1262588235294118</v>
      </c>
      <c r="F65" s="536">
        <f t="shared" ref="F65" si="106">E65*0.85</f>
        <v>4.3573199999999996</v>
      </c>
      <c r="I65" s="526">
        <f>SUM(J65:N65)</f>
        <v>5.4290399999999996</v>
      </c>
      <c r="J65" s="539">
        <f>J62*J64/1000</f>
        <v>0</v>
      </c>
      <c r="K65" s="539">
        <f t="shared" ref="K65:N65" si="107">K62*K64/1000</f>
        <v>0</v>
      </c>
      <c r="L65" s="539">
        <f t="shared" si="107"/>
        <v>0</v>
      </c>
      <c r="M65" s="539">
        <f t="shared" si="107"/>
        <v>5.4290399999999996</v>
      </c>
      <c r="N65" s="539">
        <f t="shared" si="107"/>
        <v>0</v>
      </c>
      <c r="P65" s="541"/>
      <c r="Q65" s="520">
        <f t="shared" ref="Q65:Q66" si="108">F65-I65</f>
        <v>-1.07172</v>
      </c>
      <c r="T65" s="535"/>
    </row>
    <row r="66" spans="2:20" x14ac:dyDescent="0.25">
      <c r="B66" t="s">
        <v>477</v>
      </c>
      <c r="C66" s="64" t="s">
        <v>340</v>
      </c>
      <c r="D66" s="389" t="s">
        <v>639</v>
      </c>
      <c r="E66" s="530">
        <f t="shared" ref="E66" si="109">F66/1.07</f>
        <v>2528.9719626168221</v>
      </c>
      <c r="F66" s="530">
        <v>2706</v>
      </c>
      <c r="I66" s="520">
        <f>SUM(J66:N66)</f>
        <v>1157</v>
      </c>
      <c r="K66" s="531"/>
      <c r="L66" s="539"/>
      <c r="M66" s="531">
        <v>804</v>
      </c>
      <c r="N66" s="531">
        <v>353</v>
      </c>
      <c r="P66" s="532">
        <v>2170</v>
      </c>
      <c r="Q66" s="520">
        <f t="shared" si="108"/>
        <v>1549</v>
      </c>
      <c r="T66" s="535">
        <v>3.6</v>
      </c>
    </row>
    <row r="67" spans="2:20" hidden="1" x14ac:dyDescent="0.25">
      <c r="D67" s="389" t="s">
        <v>344</v>
      </c>
      <c r="I67" s="516">
        <f t="shared" ref="I67" si="110">IFERROR(SUMPRODUCT(J66:N66,J67:N67)/I66,0)</f>
        <v>2.3171754537597229</v>
      </c>
      <c r="K67" s="64"/>
      <c r="L67" s="539"/>
      <c r="M67" s="64">
        <v>2.1929999999999987</v>
      </c>
      <c r="N67" s="64">
        <v>2.600000000000001</v>
      </c>
      <c r="P67" s="534">
        <v>2.2560747663551406</v>
      </c>
      <c r="Q67" s="523"/>
      <c r="T67" s="535"/>
    </row>
    <row r="68" spans="2:20" x14ac:dyDescent="0.25">
      <c r="C68" s="64" t="s">
        <v>343</v>
      </c>
      <c r="D68" s="389" t="s">
        <v>640</v>
      </c>
      <c r="E68" s="536">
        <v>1.9763529411764709</v>
      </c>
      <c r="F68" s="536">
        <f>IFERROR(F69*1000/F66,0)</f>
        <v>1.5699999999999996</v>
      </c>
      <c r="H68" s="523">
        <f>IFERROR(SUMPRODUCT(J66:N66,J67:N67)/I66,0)</f>
        <v>2.3171754537597229</v>
      </c>
      <c r="I68" s="516">
        <f>IFERROR(SUMPRODUCT(J66:N66,J68:N68)/I66,0)</f>
        <v>2.5835177182368194</v>
      </c>
      <c r="K68" s="64"/>
      <c r="L68" s="539"/>
      <c r="M68" s="64">
        <v>2.6023756218905474</v>
      </c>
      <c r="N68" s="64">
        <v>2.5405665722379602</v>
      </c>
      <c r="P68" s="537">
        <v>2.2560747663551406</v>
      </c>
      <c r="Q68" s="516">
        <f t="shared" ref="Q68" si="111">F68</f>
        <v>1.5699999999999996</v>
      </c>
      <c r="R68" s="525">
        <f>IFERROR(P68/I68,0)</f>
        <v>0.87325693585521458</v>
      </c>
      <c r="S68" t="s">
        <v>647</v>
      </c>
      <c r="T68" s="535"/>
    </row>
    <row r="69" spans="2:20" x14ac:dyDescent="0.25">
      <c r="C69" s="64" t="s">
        <v>47</v>
      </c>
      <c r="D69" s="389" t="s">
        <v>641</v>
      </c>
      <c r="E69" s="538">
        <f t="shared" ref="E69" si="112">E66*E68/1000</f>
        <v>4.9981411764705879</v>
      </c>
      <c r="F69" s="536">
        <f t="shared" ref="F69" si="113">E69*0.85</f>
        <v>4.2484199999999994</v>
      </c>
      <c r="I69" s="526">
        <f>SUM(J69:N69)</f>
        <v>2.9891299999999998</v>
      </c>
      <c r="J69" s="539">
        <f>J66*J68/1000</f>
        <v>0</v>
      </c>
      <c r="K69" s="539">
        <f t="shared" ref="K69:N69" si="114">K66*K68/1000</f>
        <v>0</v>
      </c>
      <c r="L69" s="539">
        <f t="shared" si="114"/>
        <v>0</v>
      </c>
      <c r="M69" s="539">
        <f t="shared" si="114"/>
        <v>2.0923099999999999</v>
      </c>
      <c r="N69" s="539">
        <f t="shared" si="114"/>
        <v>0.89681999999999995</v>
      </c>
      <c r="P69" s="540">
        <f t="shared" ref="P69" si="115">P66*P68/1000</f>
        <v>4.895682242990655</v>
      </c>
      <c r="Q69" s="520">
        <f t="shared" ref="Q69:Q70" si="116">F69-I69</f>
        <v>1.2592899999999996</v>
      </c>
      <c r="T69" s="535"/>
    </row>
    <row r="70" spans="2:20" x14ac:dyDescent="0.25">
      <c r="B70" t="s">
        <v>478</v>
      </c>
      <c r="C70" s="64" t="s">
        <v>340</v>
      </c>
      <c r="D70" s="389" t="s">
        <v>639</v>
      </c>
      <c r="E70" s="530">
        <f t="shared" ref="E70" si="117">F70/1.07</f>
        <v>4383.1775700934577</v>
      </c>
      <c r="F70" s="530">
        <v>4690</v>
      </c>
      <c r="I70" s="520">
        <f t="shared" ref="I70" si="118">SUM(J70:N70)</f>
        <v>9977.1</v>
      </c>
      <c r="K70" s="531"/>
      <c r="L70" s="531">
        <v>1953.6</v>
      </c>
      <c r="M70" s="531">
        <v>3534.5</v>
      </c>
      <c r="N70" s="531">
        <v>4489</v>
      </c>
      <c r="P70" s="532">
        <v>4340</v>
      </c>
      <c r="Q70" s="520">
        <f t="shared" si="116"/>
        <v>-5287.1</v>
      </c>
      <c r="T70" s="535"/>
    </row>
    <row r="71" spans="2:20" hidden="1" x14ac:dyDescent="0.25">
      <c r="C71" s="64" t="s">
        <v>343</v>
      </c>
      <c r="D71" s="389" t="s">
        <v>344</v>
      </c>
      <c r="I71" s="516">
        <f t="shared" ref="I71" si="119">IFERROR(SUMPRODUCT(J70:N70,J71:N71)/I70,0)</f>
        <v>2.5076981537721377</v>
      </c>
      <c r="K71" s="64"/>
      <c r="L71" s="64">
        <v>2.1800000000000006</v>
      </c>
      <c r="M71" s="64">
        <v>2.6604999999999994</v>
      </c>
      <c r="N71" s="64">
        <v>2.5299999999999998</v>
      </c>
      <c r="P71" s="534">
        <v>2.0098130841121482</v>
      </c>
      <c r="Q71" s="523"/>
      <c r="T71" s="535"/>
    </row>
    <row r="72" spans="2:20" x14ac:dyDescent="0.25">
      <c r="D72" s="389" t="s">
        <v>640</v>
      </c>
      <c r="E72" s="536">
        <v>3.3988235294117652</v>
      </c>
      <c r="F72" s="536">
        <f>IFERROR(F73*1000/F70,0)</f>
        <v>2.7</v>
      </c>
      <c r="H72" s="523">
        <f>IFERROR(SUMPRODUCT(J70:N70,J71:N71)/I70,0)</f>
        <v>2.5076981537721377</v>
      </c>
      <c r="I72" s="516">
        <f>IFERROR(SUMPRODUCT(J70:N70,J72:N72)/I70,0)</f>
        <v>2.6100360826292208</v>
      </c>
      <c r="K72" s="64"/>
      <c r="L72" s="64">
        <v>2.330531326781327</v>
      </c>
      <c r="M72" s="64">
        <v>2.2162979204979485</v>
      </c>
      <c r="N72" s="64">
        <v>3.0416930274003122</v>
      </c>
      <c r="P72" s="537">
        <f>P71</f>
        <v>2.0098130841121482</v>
      </c>
      <c r="Q72" s="516">
        <f t="shared" ref="Q72" si="120">F72</f>
        <v>2.7</v>
      </c>
      <c r="R72" s="525">
        <f>IFERROR(P72/I72,0)</f>
        <v>0.77003268172735839</v>
      </c>
      <c r="S72" t="s">
        <v>654</v>
      </c>
      <c r="T72" s="535">
        <v>3.8</v>
      </c>
    </row>
    <row r="73" spans="2:20" x14ac:dyDescent="0.25">
      <c r="C73" s="64" t="s">
        <v>47</v>
      </c>
      <c r="D73" s="389" t="s">
        <v>641</v>
      </c>
      <c r="E73" s="538">
        <f t="shared" ref="E73" si="121">E70*E72/1000</f>
        <v>14.897647058823532</v>
      </c>
      <c r="F73" s="536">
        <f t="shared" ref="F73" si="122">E73*0.85</f>
        <v>12.663000000000002</v>
      </c>
      <c r="I73" s="526">
        <f t="shared" ref="I73:I85" si="123">SUM(J73:N73)</f>
        <v>26.040590999999999</v>
      </c>
      <c r="J73" s="539">
        <f>J70*J72/1000</f>
        <v>0</v>
      </c>
      <c r="K73" s="539">
        <f t="shared" ref="K73:N73" si="124">K70*K72/1000</f>
        <v>0</v>
      </c>
      <c r="L73" s="539">
        <f t="shared" si="124"/>
        <v>4.5529260000000003</v>
      </c>
      <c r="M73" s="539">
        <f t="shared" si="124"/>
        <v>7.8335049999999988</v>
      </c>
      <c r="N73" s="539">
        <f t="shared" si="124"/>
        <v>13.654160000000001</v>
      </c>
      <c r="P73" s="540">
        <f t="shared" ref="P73" si="125">P70*P72/1000</f>
        <v>8.7225887850467227</v>
      </c>
      <c r="Q73" s="520">
        <f t="shared" ref="Q73:Q74" si="126">F73-I73</f>
        <v>-13.377590999999997</v>
      </c>
      <c r="T73" s="535"/>
    </row>
    <row r="74" spans="2:20" x14ac:dyDescent="0.25">
      <c r="B74" s="529" t="s">
        <v>479</v>
      </c>
      <c r="C74" s="64" t="s">
        <v>340</v>
      </c>
      <c r="D74" s="389" t="s">
        <v>639</v>
      </c>
      <c r="E74" s="530">
        <f t="shared" ref="E74" si="127">F74/1.07</f>
        <v>0</v>
      </c>
      <c r="F74" s="530">
        <v>0</v>
      </c>
      <c r="I74" s="520">
        <f t="shared" si="123"/>
        <v>660</v>
      </c>
      <c r="K74" s="531"/>
      <c r="L74" s="531">
        <v>0</v>
      </c>
      <c r="M74" s="531"/>
      <c r="N74" s="531">
        <v>660</v>
      </c>
      <c r="P74" s="532">
        <v>1085</v>
      </c>
      <c r="Q74" s="520">
        <f t="shared" si="126"/>
        <v>-660</v>
      </c>
      <c r="T74" s="535">
        <v>6</v>
      </c>
    </row>
    <row r="75" spans="2:20" hidden="1" x14ac:dyDescent="0.25">
      <c r="D75" s="389" t="s">
        <v>344</v>
      </c>
      <c r="I75" s="516">
        <f t="shared" ref="I75" si="128">IFERROR(SUMPRODUCT(J74:N74,J75:N75)/I74,0)</f>
        <v>2.7499999999999991</v>
      </c>
      <c r="K75" s="64"/>
      <c r="L75" s="64">
        <v>1.7900000000000003</v>
      </c>
      <c r="M75" s="64"/>
      <c r="N75" s="64">
        <v>2.7499999999999991</v>
      </c>
      <c r="P75" s="534">
        <v>1.7238317757009356</v>
      </c>
      <c r="Q75" s="523"/>
      <c r="T75" s="535"/>
    </row>
    <row r="76" spans="2:20" x14ac:dyDescent="0.25">
      <c r="C76" s="64" t="s">
        <v>343</v>
      </c>
      <c r="D76" s="389" t="s">
        <v>640</v>
      </c>
      <c r="E76" s="536">
        <v>0</v>
      </c>
      <c r="F76" s="536">
        <f>IFERROR(F77*1000/F74,0)</f>
        <v>0</v>
      </c>
      <c r="H76" s="523">
        <f>IFERROR(SUMPRODUCT(J74:N74,J75:N75)/I74,0)</f>
        <v>2.7499999999999991</v>
      </c>
      <c r="I76" s="516">
        <f>IFERROR(SUMPRODUCT(J74:N74,J76:N76)/I74,0)</f>
        <v>1.2471969696969698</v>
      </c>
      <c r="K76" s="64"/>
      <c r="L76" s="64">
        <v>0</v>
      </c>
      <c r="M76" s="64"/>
      <c r="N76" s="64">
        <v>1.2471969696969698</v>
      </c>
      <c r="P76" s="537">
        <f>P75</f>
        <v>1.7238317757009356</v>
      </c>
      <c r="Q76" s="516">
        <f t="shared" ref="Q76" si="129">F76</f>
        <v>0</v>
      </c>
      <c r="R76" s="525">
        <f>IFERROR(P76/I76,0)</f>
        <v>1.3821648204611765</v>
      </c>
      <c r="S76" t="s">
        <v>655</v>
      </c>
      <c r="T76" s="535"/>
    </row>
    <row r="77" spans="2:20" x14ac:dyDescent="0.25">
      <c r="C77" s="64" t="s">
        <v>47</v>
      </c>
      <c r="D77" s="389" t="s">
        <v>641</v>
      </c>
      <c r="E77" s="538">
        <f t="shared" ref="E77" si="130">E74*E76/1000</f>
        <v>0</v>
      </c>
      <c r="F77" s="536">
        <f t="shared" ref="F77" si="131">E77*0.85</f>
        <v>0</v>
      </c>
      <c r="I77" s="526">
        <f t="shared" si="123"/>
        <v>0.82315000000000005</v>
      </c>
      <c r="J77" s="539">
        <f>J74*J76/1000</f>
        <v>0</v>
      </c>
      <c r="K77" s="539">
        <f t="shared" ref="K77:N77" si="132">K74*K76/1000</f>
        <v>0</v>
      </c>
      <c r="L77" s="539">
        <f t="shared" si="132"/>
        <v>0</v>
      </c>
      <c r="M77" s="539">
        <f t="shared" si="132"/>
        <v>0</v>
      </c>
      <c r="N77" s="539">
        <f t="shared" si="132"/>
        <v>0.82315000000000005</v>
      </c>
      <c r="P77" s="540">
        <f t="shared" ref="P77" si="133">P74*P76/1000</f>
        <v>1.8703574766355151</v>
      </c>
      <c r="Q77" s="520">
        <f t="shared" ref="Q77" si="134">F77-I77</f>
        <v>-0.82315000000000005</v>
      </c>
      <c r="T77" s="535"/>
    </row>
    <row r="78" spans="2:20" hidden="1" x14ac:dyDescent="0.25">
      <c r="B78" t="s">
        <v>656</v>
      </c>
      <c r="C78" s="64" t="s">
        <v>340</v>
      </c>
      <c r="D78" s="389" t="s">
        <v>639</v>
      </c>
      <c r="E78" s="530">
        <f t="shared" ref="E78" si="135">F78/1.07</f>
        <v>2013.0841121495325</v>
      </c>
      <c r="F78" s="530">
        <v>2154</v>
      </c>
      <c r="I78" s="520">
        <f t="shared" si="123"/>
        <v>0</v>
      </c>
      <c r="M78" s="531"/>
      <c r="N78" s="531"/>
      <c r="T78" s="535"/>
    </row>
    <row r="79" spans="2:20" hidden="1" x14ac:dyDescent="0.25">
      <c r="D79" s="389" t="s">
        <v>344</v>
      </c>
      <c r="I79" s="516">
        <f t="shared" ref="I79" si="136">IFERROR(SUMPRODUCT(J78:N78,J79:N79)/I78,0)</f>
        <v>0</v>
      </c>
      <c r="M79" s="64"/>
      <c r="N79" s="64"/>
      <c r="T79" s="535"/>
    </row>
    <row r="80" spans="2:20" hidden="1" x14ac:dyDescent="0.25">
      <c r="C80" s="64" t="s">
        <v>343</v>
      </c>
      <c r="D80" s="389" t="s">
        <v>640</v>
      </c>
      <c r="E80" s="536">
        <v>4.5695294117647061</v>
      </c>
      <c r="F80" s="536">
        <f>IFERROR(F81*1000/F78,0)</f>
        <v>3.6299999999999994</v>
      </c>
      <c r="H80" s="523">
        <f>IFERROR(SUMPRODUCT(J78:N78,J79:N79)/I78,0)</f>
        <v>0</v>
      </c>
      <c r="I80" s="516">
        <f>IFERROR(SUMPRODUCT(J78:N78,J80:N80)/I78,0)</f>
        <v>0</v>
      </c>
      <c r="M80" s="64"/>
      <c r="N80" s="64"/>
      <c r="R80" s="525">
        <f>IFERROR(P80/I80,0)</f>
        <v>0</v>
      </c>
      <c r="T80" s="535"/>
    </row>
    <row r="81" spans="2:20" hidden="1" x14ac:dyDescent="0.25">
      <c r="C81" s="64" t="s">
        <v>47</v>
      </c>
      <c r="D81" s="389" t="s">
        <v>641</v>
      </c>
      <c r="E81" s="538">
        <f t="shared" ref="E81" si="137">E78*E80/1000</f>
        <v>9.198847058823528</v>
      </c>
      <c r="F81" s="536">
        <f t="shared" ref="F81" si="138">E81*0.85</f>
        <v>7.8190199999999983</v>
      </c>
      <c r="I81" s="526">
        <f t="shared" si="123"/>
        <v>0</v>
      </c>
      <c r="J81" s="539">
        <f>J78*J80/1000</f>
        <v>0</v>
      </c>
      <c r="K81" s="539">
        <f t="shared" ref="K81:N81" si="139">K78*K80/1000</f>
        <v>0</v>
      </c>
      <c r="L81" s="539">
        <f t="shared" si="139"/>
        <v>0</v>
      </c>
      <c r="M81" s="539">
        <f t="shared" si="139"/>
        <v>0</v>
      </c>
      <c r="N81" s="539">
        <f t="shared" si="139"/>
        <v>0</v>
      </c>
      <c r="T81" s="535"/>
    </row>
    <row r="82" spans="2:20" hidden="1" x14ac:dyDescent="0.25">
      <c r="B82" t="s">
        <v>508</v>
      </c>
      <c r="C82" s="64" t="s">
        <v>340</v>
      </c>
      <c r="D82" s="389" t="s">
        <v>639</v>
      </c>
      <c r="E82" s="530">
        <f t="shared" ref="E82" si="140">F82/1.07</f>
        <v>3949.5327102803735</v>
      </c>
      <c r="F82" s="530">
        <v>4226</v>
      </c>
      <c r="G82" s="513"/>
      <c r="I82" s="520">
        <f t="shared" si="123"/>
        <v>68</v>
      </c>
      <c r="M82" s="531"/>
      <c r="N82" s="531">
        <v>68</v>
      </c>
      <c r="T82" s="535"/>
    </row>
    <row r="83" spans="2:20" hidden="1" x14ac:dyDescent="0.25">
      <c r="D83" s="389" t="s">
        <v>344</v>
      </c>
      <c r="G83" s="513"/>
      <c r="I83" s="516">
        <f t="shared" ref="I83" si="141">IFERROR(SUMPRODUCT(J82:N82,J83:N83)/I82,0)</f>
        <v>2.7499999999999991</v>
      </c>
      <c r="M83" s="64"/>
      <c r="N83" s="64">
        <v>2.7499999999999991</v>
      </c>
      <c r="T83" s="535"/>
    </row>
    <row r="84" spans="2:20" hidden="1" x14ac:dyDescent="0.25">
      <c r="C84" s="64" t="s">
        <v>343</v>
      </c>
      <c r="D84" s="389" t="s">
        <v>640</v>
      </c>
      <c r="E84" s="536">
        <v>3.6128235294117648</v>
      </c>
      <c r="F84" s="536">
        <f>IFERROR(F85*1000/F82,0)</f>
        <v>2.8699999999999997</v>
      </c>
      <c r="G84" s="513"/>
      <c r="H84" s="523">
        <f>IFERROR(SUMPRODUCT(J82:N82,J83:N83)/I82,0)</f>
        <v>2.7499999999999991</v>
      </c>
      <c r="I84" s="516">
        <f>IFERROR(SUMPRODUCT(J82:N82,J84:N84)/I82,0)</f>
        <v>0.79352941176470582</v>
      </c>
      <c r="M84" s="64"/>
      <c r="N84" s="64">
        <v>0.79352941176470582</v>
      </c>
      <c r="R84" s="525">
        <f>IFERROR(P84/I84,0)</f>
        <v>0</v>
      </c>
      <c r="T84" s="535">
        <v>2.7</v>
      </c>
    </row>
    <row r="85" spans="2:20" hidden="1" x14ac:dyDescent="0.25">
      <c r="C85" s="64" t="s">
        <v>47</v>
      </c>
      <c r="D85" s="389" t="s">
        <v>641</v>
      </c>
      <c r="E85" s="539">
        <f t="shared" ref="E85" si="142">E82*E84/1000</f>
        <v>14.268964705882352</v>
      </c>
      <c r="F85" s="536">
        <f t="shared" ref="F85" si="143">E85*0.85</f>
        <v>12.12862</v>
      </c>
      <c r="G85" s="513"/>
      <c r="I85" s="526">
        <f t="shared" si="123"/>
        <v>5.3959999999999994E-2</v>
      </c>
      <c r="J85" s="539">
        <f>J82*J84/1000</f>
        <v>0</v>
      </c>
      <c r="K85" s="539">
        <f t="shared" ref="K85:N85" si="144">K82*K84/1000</f>
        <v>0</v>
      </c>
      <c r="L85" s="539">
        <f t="shared" si="144"/>
        <v>0</v>
      </c>
      <c r="M85" s="539">
        <f t="shared" si="144"/>
        <v>0</v>
      </c>
      <c r="N85" s="539">
        <f t="shared" si="144"/>
        <v>5.3959999999999994E-2</v>
      </c>
    </row>
    <row r="86" spans="2:20" x14ac:dyDescent="0.25">
      <c r="G86" s="513"/>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C286A-B89E-42BD-9FED-10542B43BBD2}">
  <dimension ref="A1:BO29"/>
  <sheetViews>
    <sheetView zoomScale="70" zoomScaleNormal="70" workbookViewId="0">
      <selection activeCell="K3" sqref="K3:M12"/>
    </sheetView>
  </sheetViews>
  <sheetFormatPr defaultRowHeight="15" x14ac:dyDescent="0.25"/>
  <cols>
    <col min="1" max="1" width="33" bestFit="1" customWidth="1"/>
    <col min="2" max="4" width="22.7109375" customWidth="1"/>
    <col min="5" max="46" width="10.42578125" bestFit="1" customWidth="1"/>
    <col min="47" max="50" width="9.42578125" bestFit="1" customWidth="1"/>
    <col min="51" max="51" width="7.85546875" bestFit="1" customWidth="1"/>
    <col min="52" max="67" width="5" bestFit="1" customWidth="1"/>
  </cols>
  <sheetData>
    <row r="1" spans="1:67" ht="16.5" x14ac:dyDescent="0.3">
      <c r="C1" t="s">
        <v>657</v>
      </c>
      <c r="D1" t="s">
        <v>658</v>
      </c>
      <c r="E1" s="1525">
        <v>45566</v>
      </c>
      <c r="F1" s="1526">
        <v>45597</v>
      </c>
      <c r="G1" s="1527">
        <v>45627</v>
      </c>
      <c r="H1" s="1526">
        <v>45658</v>
      </c>
      <c r="I1" s="1526">
        <v>45689</v>
      </c>
      <c r="J1" s="1526">
        <v>45717</v>
      </c>
      <c r="K1" s="1526">
        <v>45748</v>
      </c>
      <c r="L1" s="1526">
        <v>45778</v>
      </c>
      <c r="M1" s="1526">
        <v>45809</v>
      </c>
      <c r="N1" s="1526">
        <v>45839</v>
      </c>
      <c r="O1" s="1526">
        <v>45870</v>
      </c>
      <c r="P1" s="1526">
        <v>45901</v>
      </c>
      <c r="Q1" s="1526">
        <v>45931</v>
      </c>
      <c r="R1" s="1526">
        <v>45962</v>
      </c>
      <c r="S1" s="1527">
        <v>45992</v>
      </c>
      <c r="T1" s="1526">
        <v>46023</v>
      </c>
      <c r="U1" s="1526">
        <v>46054</v>
      </c>
      <c r="V1" s="1526">
        <v>46082</v>
      </c>
      <c r="W1" s="1526">
        <v>46113</v>
      </c>
      <c r="X1" s="1526">
        <v>46143</v>
      </c>
      <c r="Y1" s="1526">
        <v>46174</v>
      </c>
      <c r="Z1" s="1526">
        <v>46204</v>
      </c>
      <c r="AA1" s="1526">
        <v>46235</v>
      </c>
      <c r="AB1" s="1526">
        <v>46266</v>
      </c>
      <c r="AC1" s="1526">
        <v>46296</v>
      </c>
      <c r="AD1" s="1526">
        <v>46327</v>
      </c>
      <c r="AE1" s="1526">
        <v>46357</v>
      </c>
      <c r="AF1" s="1526">
        <v>46388</v>
      </c>
      <c r="AG1" s="1526">
        <v>46419</v>
      </c>
      <c r="AH1" s="1526">
        <v>46447</v>
      </c>
      <c r="AI1" s="1526">
        <v>46478</v>
      </c>
      <c r="AJ1" s="1526">
        <v>46508</v>
      </c>
      <c r="AK1" s="1526">
        <v>46539</v>
      </c>
      <c r="AL1" s="1526">
        <v>46569</v>
      </c>
      <c r="AM1" s="1526">
        <v>46600</v>
      </c>
      <c r="AN1" s="1526">
        <v>46631</v>
      </c>
      <c r="AO1" s="1526">
        <v>46661</v>
      </c>
      <c r="AP1" s="1526">
        <v>46692</v>
      </c>
      <c r="AQ1" s="1526">
        <v>46722</v>
      </c>
      <c r="AR1" s="1526">
        <v>46753</v>
      </c>
      <c r="AS1" s="1526">
        <v>46784</v>
      </c>
      <c r="AT1" s="1526">
        <v>46813</v>
      </c>
      <c r="AU1" s="1526">
        <v>46844</v>
      </c>
      <c r="AV1" s="1526">
        <v>46874</v>
      </c>
      <c r="AW1" s="1526">
        <v>46905</v>
      </c>
      <c r="AX1" s="1526">
        <v>46935</v>
      </c>
      <c r="AY1" s="1526">
        <v>46966</v>
      </c>
      <c r="AZ1" s="1526">
        <v>46997</v>
      </c>
      <c r="BA1" s="1526">
        <v>47027</v>
      </c>
      <c r="BB1" s="1526">
        <v>47058</v>
      </c>
      <c r="BC1" s="1526">
        <v>47088</v>
      </c>
      <c r="BD1" s="1526">
        <v>47119</v>
      </c>
      <c r="BE1" s="1526">
        <v>47150</v>
      </c>
      <c r="BF1" s="1526">
        <v>47178</v>
      </c>
      <c r="BG1" s="1526">
        <v>47209</v>
      </c>
      <c r="BH1" s="1526">
        <v>47239</v>
      </c>
      <c r="BI1" s="1526">
        <v>47270</v>
      </c>
      <c r="BJ1" s="1526">
        <v>47300</v>
      </c>
      <c r="BK1" s="1526">
        <v>47331</v>
      </c>
      <c r="BL1" s="1526">
        <v>47362</v>
      </c>
      <c r="BM1" s="1526">
        <v>47392</v>
      </c>
      <c r="BN1" s="1526">
        <v>47423</v>
      </c>
      <c r="BO1" s="1526">
        <v>47453</v>
      </c>
    </row>
    <row r="2" spans="1:67" x14ac:dyDescent="0.25">
      <c r="A2" s="1528" t="s">
        <v>659</v>
      </c>
      <c r="B2" s="1528"/>
      <c r="C2" s="1528"/>
      <c r="D2" s="1528"/>
      <c r="E2" s="1529"/>
      <c r="F2" s="1530"/>
      <c r="G2" s="1531"/>
      <c r="H2" s="1530"/>
      <c r="I2" s="1530"/>
      <c r="J2" s="1530"/>
      <c r="K2" s="1530"/>
      <c r="L2" s="1530"/>
      <c r="M2" s="1530"/>
      <c r="N2" s="1530"/>
      <c r="O2" s="1530"/>
      <c r="P2" s="1530"/>
      <c r="Q2" s="1530"/>
      <c r="R2" s="1530"/>
      <c r="S2" s="1531"/>
      <c r="T2" s="1530"/>
      <c r="U2" s="1530"/>
      <c r="V2" s="1530"/>
      <c r="W2" s="1530"/>
      <c r="X2" s="1530"/>
      <c r="Y2" s="1530"/>
      <c r="Z2" s="1530"/>
      <c r="AA2" s="1530"/>
      <c r="AB2" s="1530"/>
      <c r="AC2" s="1530"/>
      <c r="AD2" s="1530"/>
      <c r="AE2" s="1530"/>
      <c r="AF2" s="1530"/>
      <c r="AG2" s="1530"/>
      <c r="AH2" s="1530"/>
      <c r="AI2" s="1530"/>
      <c r="AJ2" s="1530"/>
      <c r="AK2" s="1530"/>
      <c r="AL2" s="1530"/>
      <c r="AM2" s="1530"/>
      <c r="AN2" s="1530"/>
      <c r="AO2" s="1530"/>
      <c r="AP2" s="1530"/>
      <c r="AQ2" s="1530"/>
      <c r="AR2" s="1530"/>
      <c r="AS2" s="1530"/>
      <c r="AT2" s="1530"/>
      <c r="AU2" s="1530"/>
      <c r="AV2" s="1530"/>
      <c r="AW2" s="1530"/>
      <c r="AX2" s="1530"/>
      <c r="AY2" s="1530"/>
      <c r="AZ2" s="1530"/>
      <c r="BA2" s="1530"/>
      <c r="BB2" s="1530"/>
      <c r="BC2" s="1530"/>
      <c r="BD2" s="1530"/>
      <c r="BE2" s="1530"/>
      <c r="BF2" s="1530"/>
      <c r="BG2" s="1530"/>
      <c r="BH2" s="1530"/>
      <c r="BI2" s="1530"/>
      <c r="BJ2" s="1530"/>
      <c r="BK2" s="1530"/>
      <c r="BL2" s="1530"/>
      <c r="BM2" s="1530"/>
      <c r="BN2" s="1530"/>
      <c r="BO2" s="1531"/>
    </row>
    <row r="3" spans="1:67" x14ac:dyDescent="0.25">
      <c r="A3" s="237" t="s">
        <v>660</v>
      </c>
      <c r="B3" s="237"/>
      <c r="C3" s="755">
        <f>SUM(H3:S3)</f>
        <v>70664.31</v>
      </c>
      <c r="D3" s="755">
        <f>SUM(K3:S3)</f>
        <v>69234.84</v>
      </c>
      <c r="E3" s="756">
        <v>0</v>
      </c>
      <c r="F3" s="757">
        <v>0</v>
      </c>
      <c r="G3" s="758">
        <v>0</v>
      </c>
      <c r="H3" s="757">
        <v>31.47</v>
      </c>
      <c r="I3" s="757">
        <v>1398</v>
      </c>
      <c r="J3" s="757"/>
      <c r="K3" s="768">
        <v>4046</v>
      </c>
      <c r="L3" s="768">
        <v>7543</v>
      </c>
      <c r="M3" s="768">
        <v>8322</v>
      </c>
      <c r="N3" s="757">
        <v>12798.37</v>
      </c>
      <c r="O3" s="757">
        <v>11624.4</v>
      </c>
      <c r="P3" s="757">
        <v>9046.9500000000007</v>
      </c>
      <c r="Q3" s="757">
        <v>7886.67</v>
      </c>
      <c r="R3" s="757">
        <v>5839.45</v>
      </c>
      <c r="S3" s="758">
        <v>2128</v>
      </c>
      <c r="T3" s="757">
        <v>0</v>
      </c>
      <c r="U3" s="757">
        <v>0</v>
      </c>
      <c r="V3" s="757">
        <v>0</v>
      </c>
      <c r="W3" s="757">
        <v>0</v>
      </c>
      <c r="X3" s="757">
        <v>0</v>
      </c>
      <c r="Y3" s="757">
        <v>0</v>
      </c>
      <c r="Z3" s="757">
        <v>0</v>
      </c>
      <c r="AA3" s="757">
        <v>0</v>
      </c>
      <c r="AB3" s="757">
        <v>0</v>
      </c>
      <c r="AC3" s="757">
        <v>0</v>
      </c>
      <c r="AD3" s="757">
        <v>0</v>
      </c>
      <c r="AE3" s="757">
        <v>0</v>
      </c>
      <c r="AF3" s="757">
        <v>0</v>
      </c>
      <c r="AG3" s="757">
        <v>0</v>
      </c>
      <c r="AH3" s="757">
        <v>0</v>
      </c>
      <c r="AI3" s="757">
        <v>0</v>
      </c>
      <c r="AJ3" s="757">
        <v>0</v>
      </c>
      <c r="AK3" s="757">
        <v>0</v>
      </c>
      <c r="AL3" s="757">
        <v>0</v>
      </c>
      <c r="AM3" s="757">
        <v>0</v>
      </c>
      <c r="AN3" s="757">
        <v>0</v>
      </c>
      <c r="AO3" s="757">
        <v>0</v>
      </c>
      <c r="AP3" s="757">
        <v>0</v>
      </c>
      <c r="AQ3" s="757">
        <v>0</v>
      </c>
      <c r="AR3" s="757">
        <v>0</v>
      </c>
      <c r="AS3" s="757">
        <v>0</v>
      </c>
      <c r="AT3" s="757">
        <v>0</v>
      </c>
      <c r="AU3" s="757">
        <v>0</v>
      </c>
      <c r="AV3" s="757">
        <v>0</v>
      </c>
      <c r="AW3" s="757">
        <v>0</v>
      </c>
      <c r="AX3" s="757">
        <v>0</v>
      </c>
      <c r="AY3" s="757">
        <v>0</v>
      </c>
      <c r="AZ3" s="757">
        <v>0</v>
      </c>
      <c r="BA3" s="757">
        <v>0</v>
      </c>
      <c r="BB3" s="757">
        <v>0</v>
      </c>
      <c r="BC3" s="757">
        <v>0</v>
      </c>
      <c r="BD3" s="757">
        <v>0</v>
      </c>
      <c r="BE3" s="757">
        <v>0</v>
      </c>
      <c r="BF3" s="757">
        <v>0</v>
      </c>
      <c r="BG3" s="757">
        <v>0</v>
      </c>
      <c r="BH3" s="757">
        <v>0</v>
      </c>
      <c r="BI3" s="757">
        <v>0</v>
      </c>
      <c r="BJ3" s="757">
        <v>0</v>
      </c>
      <c r="BK3" s="757">
        <v>0</v>
      </c>
      <c r="BL3" s="757">
        <v>0</v>
      </c>
      <c r="BM3" s="757">
        <v>0</v>
      </c>
      <c r="BN3" s="757">
        <v>0</v>
      </c>
      <c r="BO3" s="758">
        <v>0</v>
      </c>
    </row>
    <row r="4" spans="1:67" x14ac:dyDescent="0.25">
      <c r="A4" s="237" t="s">
        <v>661</v>
      </c>
      <c r="B4" s="237"/>
      <c r="C4" s="237">
        <f>+SUMPRODUCT(H3:S3,H4:S4)/C3</f>
        <v>2.2883118677589853</v>
      </c>
      <c r="D4" s="237">
        <f>+SUMPRODUCT(K3:S3,K4:S4)/D3</f>
        <v>2.2993690575438603</v>
      </c>
      <c r="E4" s="756">
        <v>0</v>
      </c>
      <c r="F4" s="757">
        <v>0</v>
      </c>
      <c r="G4" s="758">
        <v>0</v>
      </c>
      <c r="H4" s="757">
        <v>2.3199999999999998</v>
      </c>
      <c r="I4" s="757">
        <v>1.74</v>
      </c>
      <c r="J4" s="757"/>
      <c r="K4" s="769">
        <v>2.9</v>
      </c>
      <c r="L4" s="769">
        <v>1.7</v>
      </c>
      <c r="M4" s="769">
        <v>1.88</v>
      </c>
      <c r="N4" s="757">
        <v>2.1269473456385457</v>
      </c>
      <c r="O4" s="757">
        <v>2.348635938198961</v>
      </c>
      <c r="P4" s="757">
        <v>2.4294235073698869</v>
      </c>
      <c r="Q4" s="757">
        <v>2.7317587270673171</v>
      </c>
      <c r="R4" s="757">
        <v>2.6289553810718473</v>
      </c>
      <c r="S4" s="758">
        <v>2.63</v>
      </c>
      <c r="T4" s="757">
        <v>0</v>
      </c>
      <c r="U4" s="757">
        <v>0</v>
      </c>
      <c r="V4" s="757">
        <v>0</v>
      </c>
      <c r="W4" s="757">
        <v>0</v>
      </c>
      <c r="X4" s="757">
        <v>0</v>
      </c>
      <c r="Y4" s="757">
        <v>0</v>
      </c>
      <c r="Z4" s="757">
        <v>0</v>
      </c>
      <c r="AA4" s="757">
        <v>0</v>
      </c>
      <c r="AB4" s="757">
        <v>0</v>
      </c>
      <c r="AC4" s="757">
        <v>0</v>
      </c>
      <c r="AD4" s="757">
        <v>0</v>
      </c>
      <c r="AE4" s="757">
        <v>0</v>
      </c>
      <c r="AF4" s="757">
        <v>0</v>
      </c>
      <c r="AG4" s="757">
        <v>0</v>
      </c>
      <c r="AH4" s="757">
        <v>0</v>
      </c>
      <c r="AI4" s="757">
        <v>0</v>
      </c>
      <c r="AJ4" s="757">
        <v>0</v>
      </c>
      <c r="AK4" s="757">
        <v>0</v>
      </c>
      <c r="AL4" s="757">
        <v>0</v>
      </c>
      <c r="AM4" s="757">
        <v>0</v>
      </c>
      <c r="AN4" s="757">
        <v>0</v>
      </c>
      <c r="AO4" s="757">
        <v>0</v>
      </c>
      <c r="AP4" s="757">
        <v>0</v>
      </c>
      <c r="AQ4" s="757">
        <v>0</v>
      </c>
      <c r="AR4" s="757">
        <v>0</v>
      </c>
      <c r="AS4" s="757">
        <v>0</v>
      </c>
      <c r="AT4" s="757">
        <v>0</v>
      </c>
      <c r="AU4" s="757">
        <v>0</v>
      </c>
      <c r="AV4" s="757">
        <v>0</v>
      </c>
      <c r="AW4" s="757">
        <v>0</v>
      </c>
      <c r="AX4" s="757">
        <v>0</v>
      </c>
      <c r="AY4" s="757">
        <v>0</v>
      </c>
      <c r="AZ4" s="757">
        <v>0</v>
      </c>
      <c r="BA4" s="757">
        <v>0</v>
      </c>
      <c r="BB4" s="757">
        <v>0</v>
      </c>
      <c r="BC4" s="757">
        <v>0</v>
      </c>
      <c r="BD4" s="757">
        <v>0</v>
      </c>
      <c r="BE4" s="757">
        <v>0</v>
      </c>
      <c r="BF4" s="757">
        <v>0</v>
      </c>
      <c r="BG4" s="757">
        <v>0</v>
      </c>
      <c r="BH4" s="757">
        <v>0</v>
      </c>
      <c r="BI4" s="757">
        <v>0</v>
      </c>
      <c r="BJ4" s="757">
        <v>0</v>
      </c>
      <c r="BK4" s="757">
        <v>0</v>
      </c>
      <c r="BL4" s="757">
        <v>0</v>
      </c>
      <c r="BM4" s="757">
        <v>0</v>
      </c>
      <c r="BN4" s="757">
        <v>0</v>
      </c>
      <c r="BO4" s="758">
        <v>0</v>
      </c>
    </row>
    <row r="5" spans="1:67" x14ac:dyDescent="0.25">
      <c r="A5" s="237" t="s">
        <v>662</v>
      </c>
      <c r="B5" s="237"/>
      <c r="C5" s="755">
        <f t="shared" ref="C5" si="0">SUM(H5:S5)</f>
        <v>26928</v>
      </c>
      <c r="D5" s="755">
        <f>SUM(K5:S5)</f>
        <v>5880</v>
      </c>
      <c r="E5" s="756">
        <v>0</v>
      </c>
      <c r="F5" s="757">
        <v>0</v>
      </c>
      <c r="G5" s="758">
        <v>0</v>
      </c>
      <c r="H5" s="757">
        <v>5555</v>
      </c>
      <c r="I5" s="757">
        <v>6813</v>
      </c>
      <c r="J5" s="757">
        <v>8680</v>
      </c>
      <c r="K5" s="768">
        <v>5880</v>
      </c>
      <c r="L5" s="769">
        <v>0</v>
      </c>
      <c r="M5" s="769">
        <v>0</v>
      </c>
      <c r="N5" s="757">
        <v>0</v>
      </c>
      <c r="O5" s="757">
        <v>0</v>
      </c>
      <c r="P5" s="757">
        <v>0</v>
      </c>
      <c r="Q5" s="757">
        <v>0</v>
      </c>
      <c r="R5" s="757">
        <v>0</v>
      </c>
      <c r="S5" s="758">
        <v>0</v>
      </c>
      <c r="T5" s="757">
        <v>0</v>
      </c>
      <c r="U5" s="757">
        <v>0</v>
      </c>
      <c r="V5" s="757">
        <v>0</v>
      </c>
      <c r="W5" s="757">
        <v>0</v>
      </c>
      <c r="X5" s="757">
        <v>0</v>
      </c>
      <c r="Y5" s="757">
        <v>0</v>
      </c>
      <c r="Z5" s="757">
        <v>0</v>
      </c>
      <c r="AA5" s="757">
        <v>0</v>
      </c>
      <c r="AB5" s="757">
        <v>0</v>
      </c>
      <c r="AC5" s="757">
        <v>0</v>
      </c>
      <c r="AD5" s="757">
        <v>0</v>
      </c>
      <c r="AE5" s="757">
        <v>0</v>
      </c>
      <c r="AF5" s="757">
        <v>0</v>
      </c>
      <c r="AG5" s="757">
        <v>0</v>
      </c>
      <c r="AH5" s="757">
        <v>0</v>
      </c>
      <c r="AI5" s="757">
        <v>0</v>
      </c>
      <c r="AJ5" s="757">
        <v>0</v>
      </c>
      <c r="AK5" s="757">
        <v>0</v>
      </c>
      <c r="AL5" s="757">
        <v>0</v>
      </c>
      <c r="AM5" s="757">
        <v>0</v>
      </c>
      <c r="AN5" s="757">
        <v>0</v>
      </c>
      <c r="AO5" s="757">
        <v>0</v>
      </c>
      <c r="AP5" s="757">
        <v>0</v>
      </c>
      <c r="AQ5" s="757">
        <v>0</v>
      </c>
      <c r="AR5" s="757">
        <v>0</v>
      </c>
      <c r="AS5" s="757">
        <v>0</v>
      </c>
      <c r="AT5" s="757">
        <v>0</v>
      </c>
      <c r="AU5" s="757">
        <v>0</v>
      </c>
      <c r="AV5" s="757">
        <v>0</v>
      </c>
      <c r="AW5" s="757">
        <v>0</v>
      </c>
      <c r="AX5" s="757">
        <v>0</v>
      </c>
      <c r="AY5" s="757">
        <v>0</v>
      </c>
      <c r="AZ5" s="757">
        <v>0</v>
      </c>
      <c r="BA5" s="757">
        <v>0</v>
      </c>
      <c r="BB5" s="757">
        <v>0</v>
      </c>
      <c r="BC5" s="757">
        <v>0</v>
      </c>
      <c r="BD5" s="757">
        <v>0</v>
      </c>
      <c r="BE5" s="757">
        <v>0</v>
      </c>
      <c r="BF5" s="757">
        <v>0</v>
      </c>
      <c r="BG5" s="757">
        <v>0</v>
      </c>
      <c r="BH5" s="757">
        <v>0</v>
      </c>
      <c r="BI5" s="757">
        <v>0</v>
      </c>
      <c r="BJ5" s="757">
        <v>0</v>
      </c>
      <c r="BK5" s="757">
        <v>0</v>
      </c>
      <c r="BL5" s="757">
        <v>0</v>
      </c>
      <c r="BM5" s="757">
        <v>0</v>
      </c>
      <c r="BN5" s="757">
        <v>0</v>
      </c>
      <c r="BO5" s="758">
        <v>0</v>
      </c>
    </row>
    <row r="6" spans="1:67" x14ac:dyDescent="0.25">
      <c r="A6" s="237" t="s">
        <v>661</v>
      </c>
      <c r="B6" s="237"/>
      <c r="C6" s="237">
        <f>+SUMPRODUCT(H5:S5,H6:S6)/C5</f>
        <v>2.431091428995841</v>
      </c>
      <c r="D6" s="237">
        <f>+SUMPRODUCT(K5:S5,K6:S6)/D5</f>
        <v>2.6</v>
      </c>
      <c r="E6" s="756">
        <v>0</v>
      </c>
      <c r="F6" s="757">
        <v>0</v>
      </c>
      <c r="G6" s="758">
        <v>0</v>
      </c>
      <c r="H6" s="757">
        <v>1.8400000000000003</v>
      </c>
      <c r="I6" s="757">
        <v>2.31</v>
      </c>
      <c r="J6" s="757">
        <v>2.79</v>
      </c>
      <c r="K6" s="769">
        <v>2.6</v>
      </c>
      <c r="L6" s="769">
        <v>0</v>
      </c>
      <c r="M6" s="769">
        <v>0</v>
      </c>
      <c r="N6" s="757">
        <v>0</v>
      </c>
      <c r="O6" s="757">
        <v>0</v>
      </c>
      <c r="P6" s="757">
        <v>0</v>
      </c>
      <c r="Q6" s="757">
        <v>0</v>
      </c>
      <c r="R6" s="757">
        <v>0</v>
      </c>
      <c r="S6" s="758">
        <v>0</v>
      </c>
      <c r="T6" s="757">
        <v>0</v>
      </c>
      <c r="U6" s="757">
        <v>0</v>
      </c>
      <c r="V6" s="757">
        <v>0</v>
      </c>
      <c r="W6" s="757">
        <v>0</v>
      </c>
      <c r="X6" s="757">
        <v>0</v>
      </c>
      <c r="Y6" s="757">
        <v>0</v>
      </c>
      <c r="Z6" s="757">
        <v>0</v>
      </c>
      <c r="AA6" s="757">
        <v>0</v>
      </c>
      <c r="AB6" s="757">
        <v>0</v>
      </c>
      <c r="AC6" s="757">
        <v>0</v>
      </c>
      <c r="AD6" s="757">
        <v>0</v>
      </c>
      <c r="AE6" s="757">
        <v>0</v>
      </c>
      <c r="AF6" s="757">
        <v>0</v>
      </c>
      <c r="AG6" s="757">
        <v>0</v>
      </c>
      <c r="AH6" s="757">
        <v>0</v>
      </c>
      <c r="AI6" s="757">
        <v>0</v>
      </c>
      <c r="AJ6" s="757">
        <v>0</v>
      </c>
      <c r="AK6" s="757">
        <v>0</v>
      </c>
      <c r="AL6" s="757">
        <v>0</v>
      </c>
      <c r="AM6" s="757">
        <v>0</v>
      </c>
      <c r="AN6" s="757">
        <v>0</v>
      </c>
      <c r="AO6" s="757">
        <v>0</v>
      </c>
      <c r="AP6" s="757">
        <v>0</v>
      </c>
      <c r="AQ6" s="757">
        <v>0</v>
      </c>
      <c r="AR6" s="757">
        <v>0</v>
      </c>
      <c r="AS6" s="757">
        <v>0</v>
      </c>
      <c r="AT6" s="757">
        <v>0</v>
      </c>
      <c r="AU6" s="757">
        <v>0</v>
      </c>
      <c r="AV6" s="757">
        <v>0</v>
      </c>
      <c r="AW6" s="757">
        <v>0</v>
      </c>
      <c r="AX6" s="757">
        <v>0</v>
      </c>
      <c r="AY6" s="757">
        <v>0</v>
      </c>
      <c r="AZ6" s="757">
        <v>0</v>
      </c>
      <c r="BA6" s="757">
        <v>0</v>
      </c>
      <c r="BB6" s="757">
        <v>0</v>
      </c>
      <c r="BC6" s="757">
        <v>0</v>
      </c>
      <c r="BD6" s="757">
        <v>0</v>
      </c>
      <c r="BE6" s="757">
        <v>0</v>
      </c>
      <c r="BF6" s="757">
        <v>0</v>
      </c>
      <c r="BG6" s="757">
        <v>0</v>
      </c>
      <c r="BH6" s="757">
        <v>0</v>
      </c>
      <c r="BI6" s="757">
        <v>0</v>
      </c>
      <c r="BJ6" s="757">
        <v>0</v>
      </c>
      <c r="BK6" s="757">
        <v>0</v>
      </c>
      <c r="BL6" s="757">
        <v>0</v>
      </c>
      <c r="BM6" s="757">
        <v>0</v>
      </c>
      <c r="BN6" s="757">
        <v>0</v>
      </c>
      <c r="BO6" s="758">
        <v>0</v>
      </c>
    </row>
    <row r="7" spans="1:67" x14ac:dyDescent="0.25">
      <c r="A7" s="237" t="s">
        <v>663</v>
      </c>
      <c r="B7" s="237"/>
      <c r="C7" s="755">
        <f t="shared" ref="C7" si="1">SUM(H7:S7)</f>
        <v>49217.359999999993</v>
      </c>
      <c r="D7" s="755">
        <f t="shared" ref="D7" si="2">SUM(K7:S7)</f>
        <v>35638.36</v>
      </c>
      <c r="E7" s="756">
        <v>0</v>
      </c>
      <c r="F7" s="757">
        <v>0</v>
      </c>
      <c r="G7" s="758">
        <v>0</v>
      </c>
      <c r="H7" s="757">
        <v>5851</v>
      </c>
      <c r="I7" s="757">
        <v>4473</v>
      </c>
      <c r="J7" s="757">
        <v>3255</v>
      </c>
      <c r="K7" s="768">
        <v>2520</v>
      </c>
      <c r="L7" s="768">
        <v>4474</v>
      </c>
      <c r="M7" s="768">
        <v>4205</v>
      </c>
      <c r="N7" s="757">
        <v>5345.9</v>
      </c>
      <c r="O7" s="757">
        <v>3294.17</v>
      </c>
      <c r="P7" s="757">
        <v>5008.66</v>
      </c>
      <c r="Q7" s="757">
        <v>4475.6099999999997</v>
      </c>
      <c r="R7" s="757">
        <v>2247</v>
      </c>
      <c r="S7" s="758">
        <v>4068.02</v>
      </c>
      <c r="T7" s="757">
        <v>3611.71</v>
      </c>
      <c r="U7" s="757">
        <v>679.3</v>
      </c>
      <c r="V7" s="757">
        <v>508.37</v>
      </c>
      <c r="W7" s="757">
        <v>643.48</v>
      </c>
      <c r="X7" s="757">
        <v>4859.26</v>
      </c>
      <c r="Y7" s="757">
        <v>5940.92</v>
      </c>
      <c r="Z7" s="757">
        <v>6010</v>
      </c>
      <c r="AA7" s="757">
        <v>4344</v>
      </c>
      <c r="AB7" s="757">
        <v>157</v>
      </c>
      <c r="AC7" s="757">
        <v>0</v>
      </c>
      <c r="AD7" s="757">
        <v>0</v>
      </c>
      <c r="AE7" s="757">
        <v>0</v>
      </c>
      <c r="AF7" s="757">
        <v>0</v>
      </c>
      <c r="AG7" s="757">
        <v>0</v>
      </c>
      <c r="AH7" s="757">
        <v>0</v>
      </c>
      <c r="AI7" s="757">
        <v>0</v>
      </c>
      <c r="AJ7" s="757">
        <v>0</v>
      </c>
      <c r="AK7" s="757">
        <v>0</v>
      </c>
      <c r="AL7" s="757">
        <v>0</v>
      </c>
      <c r="AM7" s="757">
        <v>0</v>
      </c>
      <c r="AN7" s="757">
        <v>0</v>
      </c>
      <c r="AO7" s="757">
        <v>0</v>
      </c>
      <c r="AP7" s="757">
        <v>0</v>
      </c>
      <c r="AQ7" s="757">
        <v>0</v>
      </c>
      <c r="AR7" s="757">
        <v>0</v>
      </c>
      <c r="AS7" s="757">
        <v>0</v>
      </c>
      <c r="AT7" s="757">
        <v>0</v>
      </c>
      <c r="AU7" s="757">
        <v>0</v>
      </c>
      <c r="AV7" s="757">
        <v>0</v>
      </c>
      <c r="AW7" s="757">
        <v>0</v>
      </c>
      <c r="AX7" s="757">
        <v>0</v>
      </c>
      <c r="AY7" s="757">
        <v>0</v>
      </c>
      <c r="AZ7" s="757">
        <v>0</v>
      </c>
      <c r="BA7" s="757">
        <v>0</v>
      </c>
      <c r="BB7" s="757">
        <v>0</v>
      </c>
      <c r="BC7" s="757">
        <v>0</v>
      </c>
      <c r="BD7" s="757">
        <v>0</v>
      </c>
      <c r="BE7" s="757">
        <v>0</v>
      </c>
      <c r="BF7" s="757">
        <v>0</v>
      </c>
      <c r="BG7" s="757">
        <v>0</v>
      </c>
      <c r="BH7" s="757">
        <v>0</v>
      </c>
      <c r="BI7" s="757">
        <v>0</v>
      </c>
      <c r="BJ7" s="757">
        <v>0</v>
      </c>
      <c r="BK7" s="757">
        <v>0</v>
      </c>
      <c r="BL7" s="757">
        <v>0</v>
      </c>
      <c r="BM7" s="757">
        <v>0</v>
      </c>
      <c r="BN7" s="757">
        <v>0</v>
      </c>
      <c r="BO7" s="758">
        <v>0</v>
      </c>
    </row>
    <row r="8" spans="1:67" x14ac:dyDescent="0.25">
      <c r="A8" s="237" t="s">
        <v>661</v>
      </c>
      <c r="B8" s="237"/>
      <c r="C8" s="237">
        <f t="shared" ref="C8" si="3">+SUMPRODUCT(H7:S7,H8:S8)/C7</f>
        <v>2.5121334667280002</v>
      </c>
      <c r="D8" s="237">
        <f t="shared" ref="D8" si="4">+SUMPRODUCT(K7:S7,K8:S8)/D7</f>
        <v>2.7567611753178314</v>
      </c>
      <c r="E8" s="756">
        <v>0</v>
      </c>
      <c r="F8" s="757">
        <v>0</v>
      </c>
      <c r="G8" s="758">
        <v>0</v>
      </c>
      <c r="H8" s="757">
        <v>2.0099999999999998</v>
      </c>
      <c r="I8" s="757">
        <v>1.84</v>
      </c>
      <c r="J8" s="757">
        <v>1.66</v>
      </c>
      <c r="K8" s="769">
        <v>1.64</v>
      </c>
      <c r="L8" s="769">
        <v>3.3</v>
      </c>
      <c r="M8" s="769">
        <v>2.93</v>
      </c>
      <c r="N8" s="757">
        <v>2.3330941469163284</v>
      </c>
      <c r="O8" s="757">
        <v>2.1489019995932206</v>
      </c>
      <c r="P8" s="757">
        <v>2.4629316423953713</v>
      </c>
      <c r="Q8" s="757">
        <v>2.8652242487616215</v>
      </c>
      <c r="R8" s="757">
        <v>3.23</v>
      </c>
      <c r="S8" s="758">
        <v>3.7020558404334292</v>
      </c>
      <c r="T8" s="757">
        <v>3.9097684199451233</v>
      </c>
      <c r="U8" s="757">
        <v>3.4485293684675407</v>
      </c>
      <c r="V8" s="757">
        <v>2.7</v>
      </c>
      <c r="W8" s="757">
        <v>3.02</v>
      </c>
      <c r="X8" s="757">
        <v>1.7219381140338239</v>
      </c>
      <c r="Y8" s="757">
        <v>1.930004511085825</v>
      </c>
      <c r="Z8" s="757">
        <v>2.69</v>
      </c>
      <c r="AA8" s="757">
        <v>3.04</v>
      </c>
      <c r="AB8" s="757">
        <v>3.21</v>
      </c>
      <c r="AC8" s="757">
        <v>0</v>
      </c>
      <c r="AD8" s="757">
        <v>0</v>
      </c>
      <c r="AE8" s="757">
        <v>0</v>
      </c>
      <c r="AF8" s="757">
        <v>0</v>
      </c>
      <c r="AG8" s="757">
        <v>0</v>
      </c>
      <c r="AH8" s="757">
        <v>0</v>
      </c>
      <c r="AI8" s="757">
        <v>0</v>
      </c>
      <c r="AJ8" s="757">
        <v>0</v>
      </c>
      <c r="AK8" s="757">
        <v>0</v>
      </c>
      <c r="AL8" s="757">
        <v>0</v>
      </c>
      <c r="AM8" s="757">
        <v>0</v>
      </c>
      <c r="AN8" s="757">
        <v>0</v>
      </c>
      <c r="AO8" s="757">
        <v>0</v>
      </c>
      <c r="AP8" s="757">
        <v>0</v>
      </c>
      <c r="AQ8" s="757">
        <v>0</v>
      </c>
      <c r="AR8" s="757">
        <v>0</v>
      </c>
      <c r="AS8" s="757">
        <v>0</v>
      </c>
      <c r="AT8" s="757">
        <v>0</v>
      </c>
      <c r="AU8" s="757">
        <v>0</v>
      </c>
      <c r="AV8" s="757">
        <v>0</v>
      </c>
      <c r="AW8" s="757">
        <v>0</v>
      </c>
      <c r="AX8" s="757">
        <v>0</v>
      </c>
      <c r="AY8" s="757">
        <v>0</v>
      </c>
      <c r="AZ8" s="757">
        <v>0</v>
      </c>
      <c r="BA8" s="757">
        <v>0</v>
      </c>
      <c r="BB8" s="757">
        <v>0</v>
      </c>
      <c r="BC8" s="757">
        <v>0</v>
      </c>
      <c r="BD8" s="757">
        <v>0</v>
      </c>
      <c r="BE8" s="757">
        <v>0</v>
      </c>
      <c r="BF8" s="757">
        <v>0</v>
      </c>
      <c r="BG8" s="757">
        <v>0</v>
      </c>
      <c r="BH8" s="757">
        <v>0</v>
      </c>
      <c r="BI8" s="757">
        <v>0</v>
      </c>
      <c r="BJ8" s="757">
        <v>0</v>
      </c>
      <c r="BK8" s="757">
        <v>0</v>
      </c>
      <c r="BL8" s="757">
        <v>0</v>
      </c>
      <c r="BM8" s="757">
        <v>0</v>
      </c>
      <c r="BN8" s="757">
        <v>0</v>
      </c>
      <c r="BO8" s="758">
        <v>0</v>
      </c>
    </row>
    <row r="9" spans="1:67" x14ac:dyDescent="0.25">
      <c r="A9" s="237" t="s">
        <v>664</v>
      </c>
      <c r="B9" s="237"/>
      <c r="C9" s="755">
        <f t="shared" ref="C9" si="5">SUM(H9:S9)</f>
        <v>144353.06</v>
      </c>
      <c r="D9" s="755">
        <f t="shared" ref="D9" si="6">SUM(K9:S9)</f>
        <v>112047.26</v>
      </c>
      <c r="E9" s="756">
        <v>0</v>
      </c>
      <c r="F9" s="757">
        <v>0</v>
      </c>
      <c r="G9" s="758">
        <v>0</v>
      </c>
      <c r="H9" s="757">
        <v>9786.7999999999993</v>
      </c>
      <c r="I9" s="757">
        <v>8414</v>
      </c>
      <c r="J9" s="757">
        <v>14105</v>
      </c>
      <c r="K9" s="768">
        <v>13200</v>
      </c>
      <c r="L9" s="768">
        <v>13781</v>
      </c>
      <c r="M9" s="768">
        <v>13597</v>
      </c>
      <c r="N9" s="757">
        <v>13932</v>
      </c>
      <c r="O9" s="757">
        <v>13032</v>
      </c>
      <c r="P9" s="757">
        <v>12575</v>
      </c>
      <c r="Q9" s="757">
        <v>12458.529999999999</v>
      </c>
      <c r="R9" s="757">
        <v>12253.42</v>
      </c>
      <c r="S9" s="758">
        <v>7218.31</v>
      </c>
      <c r="T9" s="757">
        <v>3480.03</v>
      </c>
      <c r="U9" s="757">
        <v>964.61</v>
      </c>
      <c r="V9" s="757">
        <v>367.54</v>
      </c>
      <c r="W9" s="757">
        <v>1727.38</v>
      </c>
      <c r="X9" s="757">
        <v>131</v>
      </c>
      <c r="Y9" s="757">
        <v>0</v>
      </c>
      <c r="Z9" s="757">
        <v>834</v>
      </c>
      <c r="AA9" s="757">
        <v>1255</v>
      </c>
      <c r="AB9" s="757">
        <v>0</v>
      </c>
      <c r="AC9" s="757">
        <v>0</v>
      </c>
      <c r="AD9" s="757">
        <v>0</v>
      </c>
      <c r="AE9" s="757">
        <v>0</v>
      </c>
      <c r="AF9" s="757">
        <v>0</v>
      </c>
      <c r="AG9" s="757">
        <v>0</v>
      </c>
      <c r="AH9" s="757">
        <v>0</v>
      </c>
      <c r="AI9" s="757">
        <v>0</v>
      </c>
      <c r="AJ9" s="757">
        <v>0</v>
      </c>
      <c r="AK9" s="757">
        <v>0</v>
      </c>
      <c r="AL9" s="757">
        <v>0</v>
      </c>
      <c r="AM9" s="757">
        <v>0</v>
      </c>
      <c r="AN9" s="757">
        <v>0</v>
      </c>
      <c r="AO9" s="757">
        <v>0</v>
      </c>
      <c r="AP9" s="757">
        <v>0</v>
      </c>
      <c r="AQ9" s="757">
        <v>0</v>
      </c>
      <c r="AR9" s="757">
        <v>0</v>
      </c>
      <c r="AS9" s="757">
        <v>0</v>
      </c>
      <c r="AT9" s="757">
        <v>0</v>
      </c>
      <c r="AU9" s="757">
        <v>0</v>
      </c>
      <c r="AV9" s="757">
        <v>0</v>
      </c>
      <c r="AW9" s="757">
        <v>0</v>
      </c>
      <c r="AX9" s="757">
        <v>0</v>
      </c>
      <c r="AY9" s="757">
        <v>0</v>
      </c>
      <c r="AZ9" s="757">
        <v>0</v>
      </c>
      <c r="BA9" s="757">
        <v>0</v>
      </c>
      <c r="BB9" s="757">
        <v>0</v>
      </c>
      <c r="BC9" s="757">
        <v>0</v>
      </c>
      <c r="BD9" s="757">
        <v>0</v>
      </c>
      <c r="BE9" s="757">
        <v>0</v>
      </c>
      <c r="BF9" s="757">
        <v>0</v>
      </c>
      <c r="BG9" s="757">
        <v>0</v>
      </c>
      <c r="BH9" s="757">
        <v>0</v>
      </c>
      <c r="BI9" s="757">
        <v>0</v>
      </c>
      <c r="BJ9" s="757">
        <v>0</v>
      </c>
      <c r="BK9" s="757">
        <v>0</v>
      </c>
      <c r="BL9" s="757">
        <v>0</v>
      </c>
      <c r="BM9" s="757">
        <v>0</v>
      </c>
      <c r="BN9" s="757">
        <v>0</v>
      </c>
      <c r="BO9" s="758">
        <v>0</v>
      </c>
    </row>
    <row r="10" spans="1:67" x14ac:dyDescent="0.25">
      <c r="A10" s="237" t="s">
        <v>661</v>
      </c>
      <c r="B10" s="237"/>
      <c r="C10" s="237">
        <f t="shared" ref="C10" si="7">+SUMPRODUCT(H9:S9,H10:S10)/C9</f>
        <v>2.5042044290574785</v>
      </c>
      <c r="D10" s="237">
        <f t="shared" ref="D10" si="8">+SUMPRODUCT(K9:S9,K10:S10)/D9</f>
        <v>2.5067149183299979</v>
      </c>
      <c r="E10" s="756">
        <v>0</v>
      </c>
      <c r="F10" s="757">
        <v>0</v>
      </c>
      <c r="G10" s="758">
        <v>0</v>
      </c>
      <c r="H10" s="757">
        <v>2.23</v>
      </c>
      <c r="I10" s="757">
        <v>2.78</v>
      </c>
      <c r="J10" s="757">
        <v>2.5099999999999998</v>
      </c>
      <c r="K10" s="769">
        <v>2.29</v>
      </c>
      <c r="L10" s="769">
        <v>2.5499999999999998</v>
      </c>
      <c r="M10" s="769">
        <v>2.5</v>
      </c>
      <c r="N10" s="757">
        <v>2.5088996554694227</v>
      </c>
      <c r="O10" s="757">
        <v>2.2766666666666664</v>
      </c>
      <c r="P10" s="757">
        <v>2.4168874751491054</v>
      </c>
      <c r="Q10" s="757">
        <v>2.6801592081890884</v>
      </c>
      <c r="R10" s="757">
        <v>2.909009827460415</v>
      </c>
      <c r="S10" s="758">
        <v>2.4183576349588751</v>
      </c>
      <c r="T10" s="757">
        <v>2.8435145961385393</v>
      </c>
      <c r="U10" s="757">
        <v>2.921003618042525</v>
      </c>
      <c r="V10" s="757">
        <v>3.92</v>
      </c>
      <c r="W10" s="757">
        <v>3.5635847352638095</v>
      </c>
      <c r="X10" s="757">
        <v>3.97</v>
      </c>
      <c r="Y10" s="757">
        <v>0</v>
      </c>
      <c r="Z10" s="757">
        <v>1.55</v>
      </c>
      <c r="AA10" s="757">
        <v>1.55</v>
      </c>
      <c r="AB10" s="757">
        <v>0</v>
      </c>
      <c r="AC10" s="757">
        <v>0</v>
      </c>
      <c r="AD10" s="757">
        <v>0</v>
      </c>
      <c r="AE10" s="757">
        <v>0</v>
      </c>
      <c r="AF10" s="757">
        <v>0</v>
      </c>
      <c r="AG10" s="757">
        <v>0</v>
      </c>
      <c r="AH10" s="757">
        <v>0</v>
      </c>
      <c r="AI10" s="757">
        <v>0</v>
      </c>
      <c r="AJ10" s="757">
        <v>0</v>
      </c>
      <c r="AK10" s="757">
        <v>0</v>
      </c>
      <c r="AL10" s="757">
        <v>0</v>
      </c>
      <c r="AM10" s="757">
        <v>0</v>
      </c>
      <c r="AN10" s="757">
        <v>0</v>
      </c>
      <c r="AO10" s="757">
        <v>0</v>
      </c>
      <c r="AP10" s="757">
        <v>0</v>
      </c>
      <c r="AQ10" s="757">
        <v>0</v>
      </c>
      <c r="AR10" s="757">
        <v>0</v>
      </c>
      <c r="AS10" s="757">
        <v>0</v>
      </c>
      <c r="AT10" s="757">
        <v>0</v>
      </c>
      <c r="AU10" s="757">
        <v>0</v>
      </c>
      <c r="AV10" s="757">
        <v>0</v>
      </c>
      <c r="AW10" s="757">
        <v>0</v>
      </c>
      <c r="AX10" s="757">
        <v>0</v>
      </c>
      <c r="AY10" s="757">
        <v>0</v>
      </c>
      <c r="AZ10" s="757">
        <v>0</v>
      </c>
      <c r="BA10" s="757">
        <v>0</v>
      </c>
      <c r="BB10" s="757">
        <v>0</v>
      </c>
      <c r="BC10" s="757">
        <v>0</v>
      </c>
      <c r="BD10" s="757">
        <v>0</v>
      </c>
      <c r="BE10" s="757">
        <v>0</v>
      </c>
      <c r="BF10" s="757">
        <v>0</v>
      </c>
      <c r="BG10" s="757">
        <v>0</v>
      </c>
      <c r="BH10" s="757">
        <v>0</v>
      </c>
      <c r="BI10" s="757">
        <v>0</v>
      </c>
      <c r="BJ10" s="757">
        <v>0</v>
      </c>
      <c r="BK10" s="757">
        <v>0</v>
      </c>
      <c r="BL10" s="757">
        <v>0</v>
      </c>
      <c r="BM10" s="757">
        <v>0</v>
      </c>
      <c r="BN10" s="757">
        <v>0</v>
      </c>
      <c r="BO10" s="758">
        <v>0</v>
      </c>
    </row>
    <row r="11" spans="1:67" x14ac:dyDescent="0.25">
      <c r="A11" s="237" t="s">
        <v>665</v>
      </c>
      <c r="B11" s="237"/>
      <c r="C11" s="755">
        <f>SUM(H11:S11)</f>
        <v>28876</v>
      </c>
      <c r="D11" s="755">
        <f t="shared" ref="D11" si="9">SUM(K11:S11)</f>
        <v>27791</v>
      </c>
      <c r="E11" s="756">
        <v>0</v>
      </c>
      <c r="F11" s="757">
        <v>0</v>
      </c>
      <c r="G11" s="758">
        <v>0</v>
      </c>
      <c r="H11" s="757">
        <v>0</v>
      </c>
      <c r="I11" s="757">
        <v>0</v>
      </c>
      <c r="J11" s="757">
        <v>1085</v>
      </c>
      <c r="K11" s="768">
        <v>1890</v>
      </c>
      <c r="L11" s="768">
        <v>2247</v>
      </c>
      <c r="M11" s="769">
        <v>647</v>
      </c>
      <c r="N11" s="757">
        <v>0</v>
      </c>
      <c r="O11" s="757">
        <v>0</v>
      </c>
      <c r="P11" s="757">
        <v>2281</v>
      </c>
      <c r="Q11" s="757">
        <v>6149</v>
      </c>
      <c r="R11" s="757">
        <v>6741</v>
      </c>
      <c r="S11" s="758">
        <v>7836</v>
      </c>
      <c r="T11" s="757">
        <v>7221</v>
      </c>
      <c r="U11" s="757">
        <v>3380</v>
      </c>
      <c r="V11" s="757">
        <v>946</v>
      </c>
      <c r="W11" s="757">
        <v>0</v>
      </c>
      <c r="X11" s="757">
        <v>0</v>
      </c>
      <c r="Y11" s="757">
        <v>0</v>
      </c>
      <c r="Z11" s="757">
        <v>0</v>
      </c>
      <c r="AA11" s="757">
        <v>0</v>
      </c>
      <c r="AB11" s="757">
        <v>0</v>
      </c>
      <c r="AC11" s="757">
        <v>0</v>
      </c>
      <c r="AD11" s="757">
        <v>0</v>
      </c>
      <c r="AE11" s="757">
        <v>0</v>
      </c>
      <c r="AF11" s="757">
        <v>0</v>
      </c>
      <c r="AG11" s="757">
        <v>0</v>
      </c>
      <c r="AH11" s="757">
        <v>0</v>
      </c>
      <c r="AI11" s="757">
        <v>0</v>
      </c>
      <c r="AJ11" s="757">
        <v>0</v>
      </c>
      <c r="AK11" s="757">
        <v>0</v>
      </c>
      <c r="AL11" s="757">
        <v>0</v>
      </c>
      <c r="AM11" s="757">
        <v>0</v>
      </c>
      <c r="AN11" s="757">
        <v>0</v>
      </c>
      <c r="AO11" s="757">
        <v>0</v>
      </c>
      <c r="AP11" s="757">
        <v>0</v>
      </c>
      <c r="AQ11" s="757">
        <v>0</v>
      </c>
      <c r="AR11" s="757">
        <v>0</v>
      </c>
      <c r="AS11" s="757">
        <v>0</v>
      </c>
      <c r="AT11" s="757">
        <v>0</v>
      </c>
      <c r="AU11" s="757">
        <v>0</v>
      </c>
      <c r="AV11" s="757">
        <v>0</v>
      </c>
      <c r="AW11" s="757">
        <v>0</v>
      </c>
      <c r="AX11" s="757">
        <v>0</v>
      </c>
      <c r="AY11" s="757">
        <v>0</v>
      </c>
      <c r="AZ11" s="757">
        <v>0</v>
      </c>
      <c r="BA11" s="757">
        <v>0</v>
      </c>
      <c r="BB11" s="757">
        <v>0</v>
      </c>
      <c r="BC11" s="757">
        <v>0</v>
      </c>
      <c r="BD11" s="757">
        <v>0</v>
      </c>
      <c r="BE11" s="757">
        <v>0</v>
      </c>
      <c r="BF11" s="757">
        <v>0</v>
      </c>
      <c r="BG11" s="757">
        <v>0</v>
      </c>
      <c r="BH11" s="757">
        <v>0</v>
      </c>
      <c r="BI11" s="757">
        <v>0</v>
      </c>
      <c r="BJ11" s="757">
        <v>0</v>
      </c>
      <c r="BK11" s="757">
        <v>0</v>
      </c>
      <c r="BL11" s="757">
        <v>0</v>
      </c>
      <c r="BM11" s="757">
        <v>0</v>
      </c>
      <c r="BN11" s="757">
        <v>0</v>
      </c>
      <c r="BO11" s="758">
        <v>0</v>
      </c>
    </row>
    <row r="12" spans="1:67" x14ac:dyDescent="0.25">
      <c r="A12" s="237" t="s">
        <v>661</v>
      </c>
      <c r="B12" s="237"/>
      <c r="C12" s="237">
        <f t="shared" ref="C12" si="10">+SUMPRODUCT(H11:S11,H12:S12)/C11</f>
        <v>1.9555762570993214</v>
      </c>
      <c r="D12" s="237">
        <f t="shared" ref="D12" si="11">+SUMPRODUCT(K11:S11,K12:S12)/D11</f>
        <v>1.9604789320283544</v>
      </c>
      <c r="E12" s="756">
        <v>0</v>
      </c>
      <c r="F12" s="757">
        <v>0</v>
      </c>
      <c r="G12" s="758">
        <v>0</v>
      </c>
      <c r="H12" s="757">
        <v>0</v>
      </c>
      <c r="I12" s="757">
        <v>0</v>
      </c>
      <c r="J12" s="757">
        <v>1.83</v>
      </c>
      <c r="K12" s="769">
        <v>1.83</v>
      </c>
      <c r="L12" s="769">
        <v>1.97</v>
      </c>
      <c r="M12" s="769">
        <v>1.97</v>
      </c>
      <c r="N12" s="757">
        <v>0</v>
      </c>
      <c r="O12" s="757">
        <v>0</v>
      </c>
      <c r="P12" s="757">
        <v>1.97</v>
      </c>
      <c r="Q12" s="757">
        <v>1.9700000000000002</v>
      </c>
      <c r="R12" s="757">
        <v>1.97</v>
      </c>
      <c r="S12" s="758">
        <v>1.97</v>
      </c>
      <c r="T12" s="757">
        <v>1.9699999999999998</v>
      </c>
      <c r="U12" s="757">
        <v>1.9700000000000002</v>
      </c>
      <c r="V12" s="757">
        <v>1.97</v>
      </c>
      <c r="W12" s="757">
        <v>0</v>
      </c>
      <c r="X12" s="757">
        <v>0</v>
      </c>
      <c r="Y12" s="757">
        <v>0</v>
      </c>
      <c r="Z12" s="757">
        <v>0</v>
      </c>
      <c r="AA12" s="757">
        <v>0</v>
      </c>
      <c r="AB12" s="757">
        <v>0</v>
      </c>
      <c r="AC12" s="757">
        <v>0</v>
      </c>
      <c r="AD12" s="757">
        <v>0</v>
      </c>
      <c r="AE12" s="757">
        <v>0</v>
      </c>
      <c r="AF12" s="757">
        <v>0</v>
      </c>
      <c r="AG12" s="757">
        <v>0</v>
      </c>
      <c r="AH12" s="757">
        <v>0</v>
      </c>
      <c r="AI12" s="757">
        <v>0</v>
      </c>
      <c r="AJ12" s="757">
        <v>0</v>
      </c>
      <c r="AK12" s="757">
        <v>0</v>
      </c>
      <c r="AL12" s="757">
        <v>0</v>
      </c>
      <c r="AM12" s="757">
        <v>0</v>
      </c>
      <c r="AN12" s="757">
        <v>0</v>
      </c>
      <c r="AO12" s="757">
        <v>0</v>
      </c>
      <c r="AP12" s="757">
        <v>0</v>
      </c>
      <c r="AQ12" s="757">
        <v>0</v>
      </c>
      <c r="AR12" s="757">
        <v>0</v>
      </c>
      <c r="AS12" s="757">
        <v>0</v>
      </c>
      <c r="AT12" s="757">
        <v>0</v>
      </c>
      <c r="AU12" s="757">
        <v>0</v>
      </c>
      <c r="AV12" s="757">
        <v>0</v>
      </c>
      <c r="AW12" s="757">
        <v>0</v>
      </c>
      <c r="AX12" s="757">
        <v>0</v>
      </c>
      <c r="AY12" s="757">
        <v>0</v>
      </c>
      <c r="AZ12" s="757">
        <v>0</v>
      </c>
      <c r="BA12" s="757">
        <v>0</v>
      </c>
      <c r="BB12" s="757">
        <v>0</v>
      </c>
      <c r="BC12" s="757">
        <v>0</v>
      </c>
      <c r="BD12" s="757">
        <v>0</v>
      </c>
      <c r="BE12" s="757">
        <v>0</v>
      </c>
      <c r="BF12" s="757">
        <v>0</v>
      </c>
      <c r="BG12" s="757">
        <v>0</v>
      </c>
      <c r="BH12" s="757">
        <v>0</v>
      </c>
      <c r="BI12" s="757">
        <v>0</v>
      </c>
      <c r="BJ12" s="757">
        <v>0</v>
      </c>
      <c r="BK12" s="757">
        <v>0</v>
      </c>
      <c r="BL12" s="757">
        <v>0</v>
      </c>
      <c r="BM12" s="757">
        <v>0</v>
      </c>
      <c r="BN12" s="757">
        <v>0</v>
      </c>
      <c r="BO12" s="758">
        <v>0</v>
      </c>
    </row>
    <row r="13" spans="1:67" x14ac:dyDescent="0.25">
      <c r="A13" s="237" t="s">
        <v>666</v>
      </c>
      <c r="B13" s="237"/>
      <c r="C13" s="755">
        <f t="shared" ref="C13" si="12">SUM(H13:S13)</f>
        <v>8190</v>
      </c>
      <c r="D13" s="755">
        <f t="shared" ref="D13:D16" si="13">SUM(K13:S13)</f>
        <v>8190</v>
      </c>
      <c r="E13" s="756">
        <v>0</v>
      </c>
      <c r="F13" s="757">
        <v>0</v>
      </c>
      <c r="G13" s="758">
        <v>0</v>
      </c>
      <c r="H13" s="757">
        <v>0</v>
      </c>
      <c r="I13" s="757">
        <v>0</v>
      </c>
      <c r="J13" s="757">
        <v>0</v>
      </c>
      <c r="K13" s="757">
        <v>0</v>
      </c>
      <c r="L13" s="757"/>
      <c r="M13" s="757"/>
      <c r="N13" s="757">
        <v>2730</v>
      </c>
      <c r="O13" s="757">
        <v>2730</v>
      </c>
      <c r="P13" s="757">
        <v>2730</v>
      </c>
      <c r="Q13" s="757">
        <v>0</v>
      </c>
      <c r="R13" s="757">
        <v>0</v>
      </c>
      <c r="S13" s="758">
        <v>0</v>
      </c>
      <c r="T13" s="757"/>
      <c r="U13" s="757"/>
      <c r="V13" s="757"/>
      <c r="W13" s="757"/>
      <c r="X13" s="757"/>
      <c r="Y13" s="757"/>
      <c r="Z13" s="757"/>
      <c r="AA13" s="757"/>
      <c r="AB13" s="757"/>
      <c r="AC13" s="757"/>
      <c r="AD13" s="757"/>
      <c r="AE13" s="757"/>
      <c r="AF13" s="757"/>
      <c r="AG13" s="757"/>
      <c r="AH13" s="757"/>
      <c r="AI13" s="757"/>
      <c r="AJ13" s="757"/>
      <c r="AK13" s="757"/>
      <c r="AL13" s="757"/>
      <c r="AM13" s="757"/>
      <c r="AN13" s="757"/>
      <c r="AO13" s="757"/>
      <c r="AP13" s="757"/>
      <c r="AQ13" s="757"/>
      <c r="AR13" s="757"/>
      <c r="AS13" s="757"/>
      <c r="AT13" s="757"/>
      <c r="AU13" s="757"/>
      <c r="AV13" s="757"/>
      <c r="AW13" s="757"/>
      <c r="AX13" s="757"/>
      <c r="AY13" s="757"/>
      <c r="AZ13" s="757"/>
      <c r="BA13" s="757"/>
      <c r="BB13" s="757"/>
      <c r="BC13" s="757"/>
      <c r="BD13" s="757"/>
      <c r="BE13" s="757"/>
      <c r="BF13" s="757"/>
      <c r="BG13" s="757"/>
      <c r="BH13" s="757"/>
      <c r="BI13" s="757"/>
      <c r="BJ13" s="757"/>
      <c r="BK13" s="757"/>
      <c r="BL13" s="757"/>
      <c r="BM13" s="757"/>
      <c r="BN13" s="757"/>
      <c r="BO13" s="758"/>
    </row>
    <row r="14" spans="1:67" x14ac:dyDescent="0.25">
      <c r="A14" s="237" t="s">
        <v>661</v>
      </c>
      <c r="B14" s="237"/>
      <c r="C14" s="237">
        <f>+SUMPRODUCT(H13:S13,H14:S14)/C13</f>
        <v>2.5</v>
      </c>
      <c r="D14" s="237">
        <f t="shared" ref="D14" si="14">+SUMPRODUCT(K13:S13,K14:S14)/D13</f>
        <v>2.5</v>
      </c>
      <c r="E14" s="756">
        <v>0</v>
      </c>
      <c r="F14" s="757">
        <v>0</v>
      </c>
      <c r="G14" s="758">
        <v>0</v>
      </c>
      <c r="H14" s="757">
        <v>0</v>
      </c>
      <c r="I14" s="757">
        <v>0</v>
      </c>
      <c r="J14" s="757">
        <v>0</v>
      </c>
      <c r="K14" s="757">
        <v>0</v>
      </c>
      <c r="L14" s="757"/>
      <c r="M14" s="757"/>
      <c r="N14" s="757">
        <v>2.5</v>
      </c>
      <c r="O14" s="757">
        <v>2.5</v>
      </c>
      <c r="P14" s="757">
        <v>2.5</v>
      </c>
      <c r="Q14" s="757">
        <v>0</v>
      </c>
      <c r="R14" s="757">
        <v>0</v>
      </c>
      <c r="S14" s="758">
        <v>0</v>
      </c>
      <c r="T14" s="757"/>
      <c r="U14" s="757"/>
      <c r="V14" s="757"/>
      <c r="W14" s="757"/>
      <c r="X14" s="757"/>
      <c r="Y14" s="757"/>
      <c r="Z14" s="757"/>
      <c r="AA14" s="757"/>
      <c r="AB14" s="757"/>
      <c r="AC14" s="757"/>
      <c r="AD14" s="757"/>
      <c r="AE14" s="757"/>
      <c r="AF14" s="757"/>
      <c r="AG14" s="757"/>
      <c r="AH14" s="757"/>
      <c r="AI14" s="757"/>
      <c r="AJ14" s="757"/>
      <c r="AK14" s="757"/>
      <c r="AL14" s="757"/>
      <c r="AM14" s="757"/>
      <c r="AN14" s="757"/>
      <c r="AO14" s="757"/>
      <c r="AP14" s="757"/>
      <c r="AQ14" s="757"/>
      <c r="AR14" s="757"/>
      <c r="AS14" s="757"/>
      <c r="AT14" s="757"/>
      <c r="AU14" s="757"/>
      <c r="AV14" s="757"/>
      <c r="AW14" s="757"/>
      <c r="AX14" s="757"/>
      <c r="AY14" s="757"/>
      <c r="AZ14" s="757"/>
      <c r="BA14" s="757"/>
      <c r="BB14" s="757"/>
      <c r="BC14" s="757"/>
      <c r="BD14" s="757"/>
      <c r="BE14" s="757"/>
      <c r="BF14" s="757"/>
      <c r="BG14" s="757"/>
      <c r="BH14" s="757"/>
      <c r="BI14" s="757"/>
      <c r="BJ14" s="757"/>
      <c r="BK14" s="757"/>
      <c r="BL14" s="757"/>
      <c r="BM14" s="757"/>
      <c r="BN14" s="757"/>
      <c r="BO14" s="758"/>
    </row>
    <row r="15" spans="1:67" x14ac:dyDescent="0.25">
      <c r="A15" s="237"/>
      <c r="B15" s="237"/>
      <c r="C15" s="237"/>
      <c r="D15" s="237"/>
      <c r="E15" s="756"/>
      <c r="F15" s="757"/>
      <c r="G15" s="758"/>
      <c r="H15" s="757"/>
      <c r="I15" s="757"/>
      <c r="J15" s="757"/>
      <c r="K15" s="757"/>
      <c r="L15" s="757"/>
      <c r="M15" s="757"/>
      <c r="N15" s="757"/>
      <c r="O15" s="757"/>
      <c r="P15" s="757"/>
      <c r="Q15" s="757"/>
      <c r="R15" s="757"/>
      <c r="S15" s="758"/>
      <c r="T15" s="757"/>
      <c r="U15" s="757"/>
      <c r="V15" s="757"/>
      <c r="W15" s="757"/>
      <c r="X15" s="757"/>
      <c r="Y15" s="757"/>
      <c r="Z15" s="757"/>
      <c r="AA15" s="757"/>
      <c r="AB15" s="757"/>
      <c r="AC15" s="757"/>
      <c r="AD15" s="757"/>
      <c r="AE15" s="757"/>
      <c r="AF15" s="757"/>
      <c r="AG15" s="757"/>
      <c r="AH15" s="757"/>
      <c r="AI15" s="757"/>
      <c r="AJ15" s="757"/>
      <c r="AK15" s="757"/>
      <c r="AL15" s="757"/>
      <c r="AM15" s="757"/>
      <c r="AN15" s="757"/>
      <c r="AO15" s="757"/>
      <c r="AP15" s="757"/>
      <c r="AQ15" s="757"/>
      <c r="AR15" s="757"/>
      <c r="AS15" s="757"/>
      <c r="AT15" s="757"/>
      <c r="AU15" s="757"/>
      <c r="AV15" s="757"/>
      <c r="AW15" s="757"/>
      <c r="AX15" s="757"/>
      <c r="AY15" s="757"/>
      <c r="AZ15" s="757"/>
      <c r="BA15" s="757"/>
      <c r="BB15" s="757"/>
      <c r="BC15" s="757"/>
      <c r="BD15" s="757"/>
      <c r="BE15" s="757"/>
      <c r="BF15" s="757"/>
      <c r="BG15" s="757"/>
      <c r="BH15" s="757"/>
      <c r="BI15" s="757"/>
      <c r="BJ15" s="757"/>
      <c r="BK15" s="757"/>
      <c r="BL15" s="757"/>
      <c r="BM15" s="757"/>
      <c r="BN15" s="757"/>
      <c r="BO15" s="758"/>
    </row>
    <row r="16" spans="1:67" x14ac:dyDescent="0.25">
      <c r="A16" s="237" t="s">
        <v>667</v>
      </c>
      <c r="B16" s="237"/>
      <c r="C16" s="755">
        <f t="shared" ref="C16" si="15">SUM(H16:S16)</f>
        <v>19921.11</v>
      </c>
      <c r="D16" s="755">
        <f t="shared" si="13"/>
        <v>19921.11</v>
      </c>
      <c r="E16" s="756">
        <v>0</v>
      </c>
      <c r="F16" s="757">
        <v>0</v>
      </c>
      <c r="G16" s="758">
        <v>0</v>
      </c>
      <c r="H16" s="757">
        <v>0</v>
      </c>
      <c r="I16" s="757">
        <v>0</v>
      </c>
      <c r="J16" s="757">
        <v>0</v>
      </c>
      <c r="K16" s="757">
        <v>0</v>
      </c>
      <c r="L16" s="757">
        <v>0</v>
      </c>
      <c r="M16" s="757">
        <v>0</v>
      </c>
      <c r="N16" s="757">
        <v>0</v>
      </c>
      <c r="O16" s="757">
        <v>0</v>
      </c>
      <c r="P16" s="757">
        <v>0</v>
      </c>
      <c r="Q16" s="757">
        <v>0</v>
      </c>
      <c r="R16" s="757">
        <v>7119.5499999999993</v>
      </c>
      <c r="S16" s="758">
        <v>12801.56</v>
      </c>
      <c r="T16" s="757">
        <v>16350.859999999999</v>
      </c>
      <c r="U16" s="757">
        <v>18893.86</v>
      </c>
      <c r="V16" s="757">
        <v>28340.36</v>
      </c>
      <c r="W16" s="757">
        <v>33976.869999999995</v>
      </c>
      <c r="X16" s="757">
        <v>30673.759999999998</v>
      </c>
      <c r="Y16" s="757">
        <v>31773.74</v>
      </c>
      <c r="Z16" s="757">
        <v>29509.57</v>
      </c>
      <c r="AA16" s="757">
        <v>25580.41</v>
      </c>
      <c r="AB16" s="757">
        <v>33706.03</v>
      </c>
      <c r="AC16" s="757">
        <v>40291.879999999997</v>
      </c>
      <c r="AD16" s="757">
        <v>36839.58</v>
      </c>
      <c r="AE16" s="757">
        <v>35412.120000000003</v>
      </c>
      <c r="AF16" s="757">
        <v>34691.18</v>
      </c>
      <c r="AG16" s="757">
        <v>32789.58</v>
      </c>
      <c r="AH16" s="757">
        <v>33769.010000000009</v>
      </c>
      <c r="AI16" s="757">
        <v>36299.050000000003</v>
      </c>
      <c r="AJ16" s="757">
        <v>34357.040000000001</v>
      </c>
      <c r="AK16" s="757">
        <v>34934.959999999999</v>
      </c>
      <c r="AL16" s="757">
        <v>36463.440000000002</v>
      </c>
      <c r="AM16" s="757">
        <v>31646.82</v>
      </c>
      <c r="AN16" s="757">
        <v>25325.43</v>
      </c>
      <c r="AO16" s="757">
        <v>39173.14</v>
      </c>
      <c r="AP16" s="757">
        <v>37926.69</v>
      </c>
      <c r="AQ16" s="757">
        <v>34689.599999999999</v>
      </c>
      <c r="AR16" s="757">
        <v>34210.89</v>
      </c>
      <c r="AS16" s="757">
        <v>32094.6</v>
      </c>
      <c r="AT16" s="757">
        <v>26719.7</v>
      </c>
      <c r="AU16" s="757">
        <v>22487.809999999998</v>
      </c>
      <c r="AV16" s="757">
        <v>14364.46</v>
      </c>
      <c r="AW16" s="757">
        <v>9606.65</v>
      </c>
      <c r="AX16" s="757">
        <v>3825.44</v>
      </c>
      <c r="AY16" s="757">
        <v>5180</v>
      </c>
      <c r="AZ16" s="757">
        <v>3812</v>
      </c>
      <c r="BA16" s="757">
        <v>2322</v>
      </c>
      <c r="BB16" s="757">
        <v>2247</v>
      </c>
      <c r="BC16" s="757">
        <v>2097</v>
      </c>
      <c r="BD16" s="757">
        <v>2247</v>
      </c>
      <c r="BE16" s="757">
        <v>2022</v>
      </c>
      <c r="BF16" s="757">
        <v>2097</v>
      </c>
      <c r="BG16" s="757">
        <v>2247</v>
      </c>
      <c r="BH16" s="757">
        <v>2172</v>
      </c>
      <c r="BI16" s="757">
        <v>2247</v>
      </c>
      <c r="BJ16" s="757">
        <v>0</v>
      </c>
      <c r="BK16" s="757">
        <v>0</v>
      </c>
      <c r="BL16" s="757">
        <v>0</v>
      </c>
      <c r="BM16" s="757">
        <v>0</v>
      </c>
      <c r="BN16" s="757">
        <v>0</v>
      </c>
      <c r="BO16" s="758">
        <v>0</v>
      </c>
    </row>
    <row r="17" spans="1:67" x14ac:dyDescent="0.25">
      <c r="A17" s="237" t="s">
        <v>661</v>
      </c>
      <c r="B17" s="237"/>
      <c r="C17" s="237">
        <f>+SUMPRODUCT(H16:S16,H17:S17)/C16</f>
        <v>2.8690383266795876</v>
      </c>
      <c r="D17" s="237">
        <f t="shared" ref="D17" si="16">+SUMPRODUCT(K16:S16,K17:S17)/D16</f>
        <v>2.8690383266795876</v>
      </c>
      <c r="E17" s="756">
        <v>0</v>
      </c>
      <c r="F17" s="757">
        <v>0</v>
      </c>
      <c r="G17" s="758">
        <v>0</v>
      </c>
      <c r="H17" s="757">
        <v>0</v>
      </c>
      <c r="I17" s="757">
        <v>0</v>
      </c>
      <c r="J17" s="757">
        <v>0</v>
      </c>
      <c r="K17" s="757">
        <v>0</v>
      </c>
      <c r="L17" s="757">
        <v>0</v>
      </c>
      <c r="M17" s="757">
        <v>0</v>
      </c>
      <c r="N17" s="757">
        <v>0</v>
      </c>
      <c r="O17" s="757">
        <v>0</v>
      </c>
      <c r="P17" s="757">
        <v>0</v>
      </c>
      <c r="Q17" s="757">
        <v>0</v>
      </c>
      <c r="R17" s="757">
        <v>3.0268701954477462</v>
      </c>
      <c r="S17" s="758">
        <v>2.7812605963648185</v>
      </c>
      <c r="T17" s="757">
        <v>2.493021981718393</v>
      </c>
      <c r="U17" s="757">
        <v>2.5306014334815643</v>
      </c>
      <c r="V17" s="757">
        <v>2.6164800305994702</v>
      </c>
      <c r="W17" s="757">
        <v>2.7134414676808079</v>
      </c>
      <c r="X17" s="757">
        <v>2.8443665041390429</v>
      </c>
      <c r="Y17" s="757">
        <v>2.6653476392769622</v>
      </c>
      <c r="Z17" s="757">
        <v>2.7291176557299885</v>
      </c>
      <c r="AA17" s="757">
        <v>2.6962193647404402</v>
      </c>
      <c r="AB17" s="757">
        <v>2.6146936913068672</v>
      </c>
      <c r="AC17" s="757">
        <v>2.6023326064705845</v>
      </c>
      <c r="AD17" s="757">
        <v>2.6667485568510818</v>
      </c>
      <c r="AE17" s="757">
        <v>2.8900119761256877</v>
      </c>
      <c r="AF17" s="757">
        <v>3.0495463919071071</v>
      </c>
      <c r="AG17" s="757">
        <v>2.8472625632899233</v>
      </c>
      <c r="AH17" s="757">
        <v>2.8303698450147032</v>
      </c>
      <c r="AI17" s="757">
        <v>2.8773936645724887</v>
      </c>
      <c r="AJ17" s="757">
        <v>2.8206626269317732</v>
      </c>
      <c r="AK17" s="757">
        <v>2.657014517835429</v>
      </c>
      <c r="AL17" s="757">
        <v>2.6967584709506287</v>
      </c>
      <c r="AM17" s="757">
        <v>2.7694122695424062</v>
      </c>
      <c r="AN17" s="757">
        <v>3.0287918112347945</v>
      </c>
      <c r="AO17" s="757">
        <v>3.1065189004506664</v>
      </c>
      <c r="AP17" s="757">
        <v>2.9982986493152977</v>
      </c>
      <c r="AQ17" s="757">
        <v>3.0163491449886997</v>
      </c>
      <c r="AR17" s="757">
        <v>3.0946384089978367</v>
      </c>
      <c r="AS17" s="757">
        <v>3.271955332049628</v>
      </c>
      <c r="AT17" s="757">
        <v>3.1292618554849043</v>
      </c>
      <c r="AU17" s="757">
        <v>2.8521179652442816</v>
      </c>
      <c r="AV17" s="757">
        <v>2.5669134516716952</v>
      </c>
      <c r="AW17" s="757">
        <v>3.0166887000150937</v>
      </c>
      <c r="AX17" s="757">
        <v>2.6993567275921202</v>
      </c>
      <c r="AY17" s="757">
        <v>2.5545559845559844</v>
      </c>
      <c r="AZ17" s="757">
        <v>2.2254800629590763</v>
      </c>
      <c r="BA17" s="757">
        <v>2.19</v>
      </c>
      <c r="BB17" s="757">
        <v>2.42</v>
      </c>
      <c r="BC17" s="757">
        <v>2.42</v>
      </c>
      <c r="BD17" s="757">
        <v>2.42</v>
      </c>
      <c r="BE17" s="757">
        <v>2.42</v>
      </c>
      <c r="BF17" s="757">
        <v>2.42</v>
      </c>
      <c r="BG17" s="757">
        <v>2.42</v>
      </c>
      <c r="BH17" s="757">
        <v>2.42</v>
      </c>
      <c r="BI17" s="757">
        <v>2.42</v>
      </c>
      <c r="BJ17" s="757">
        <v>0</v>
      </c>
      <c r="BK17" s="757">
        <v>0</v>
      </c>
      <c r="BL17" s="757">
        <v>0</v>
      </c>
      <c r="BM17" s="757">
        <v>0</v>
      </c>
      <c r="BN17" s="757">
        <v>0</v>
      </c>
      <c r="BO17" s="758">
        <v>0</v>
      </c>
    </row>
    <row r="18" spans="1:67" x14ac:dyDescent="0.25">
      <c r="A18" s="237"/>
      <c r="B18" s="237"/>
      <c r="C18" s="237"/>
      <c r="D18" s="237"/>
      <c r="E18" s="756"/>
      <c r="F18" s="757"/>
      <c r="G18" s="758"/>
      <c r="H18" s="757"/>
      <c r="I18" s="757"/>
      <c r="J18" s="757"/>
      <c r="K18" s="757"/>
      <c r="L18" s="757"/>
      <c r="M18" s="757"/>
      <c r="N18" s="757"/>
      <c r="O18" s="757"/>
      <c r="P18" s="757"/>
      <c r="Q18" s="757"/>
      <c r="R18" s="757"/>
      <c r="S18" s="758"/>
      <c r="T18" s="757"/>
      <c r="U18" s="757"/>
      <c r="V18" s="757"/>
      <c r="W18" s="757"/>
      <c r="X18" s="757"/>
      <c r="Y18" s="757"/>
      <c r="Z18" s="757"/>
      <c r="AA18" s="757"/>
      <c r="AB18" s="757"/>
      <c r="AC18" s="757"/>
      <c r="AD18" s="757"/>
      <c r="AE18" s="757"/>
      <c r="AF18" s="757"/>
      <c r="AG18" s="757"/>
      <c r="AH18" s="757"/>
      <c r="AI18" s="757"/>
      <c r="AJ18" s="757"/>
      <c r="AK18" s="757"/>
      <c r="AL18" s="757"/>
      <c r="AM18" s="757"/>
      <c r="AN18" s="757"/>
      <c r="AO18" s="757"/>
      <c r="AP18" s="757"/>
      <c r="AQ18" s="757"/>
      <c r="AR18" s="757"/>
      <c r="AS18" s="757"/>
      <c r="AT18" s="757"/>
      <c r="AU18" s="757"/>
      <c r="AV18" s="757"/>
      <c r="AW18" s="757"/>
      <c r="AX18" s="757"/>
      <c r="AY18" s="757"/>
      <c r="AZ18" s="757"/>
      <c r="BA18" s="757"/>
      <c r="BB18" s="757"/>
      <c r="BC18" s="757"/>
      <c r="BD18" s="757"/>
      <c r="BE18" s="757"/>
      <c r="BF18" s="757"/>
      <c r="BG18" s="757"/>
      <c r="BH18" s="757"/>
      <c r="BI18" s="757"/>
      <c r="BJ18" s="757"/>
      <c r="BK18" s="757"/>
      <c r="BL18" s="757"/>
      <c r="BM18" s="757"/>
      <c r="BN18" s="757"/>
      <c r="BO18" s="758"/>
    </row>
    <row r="19" spans="1:67" x14ac:dyDescent="0.25">
      <c r="A19" s="237"/>
      <c r="B19" s="237"/>
      <c r="C19" s="237"/>
      <c r="D19" s="237"/>
      <c r="E19" s="756"/>
      <c r="F19" s="757"/>
      <c r="G19" s="758"/>
      <c r="H19" s="757"/>
      <c r="I19" s="757"/>
      <c r="J19" s="757"/>
      <c r="K19" s="757"/>
      <c r="L19" s="757"/>
      <c r="M19" s="757"/>
      <c r="N19" s="757"/>
      <c r="O19" s="757"/>
      <c r="P19" s="757"/>
      <c r="Q19" s="757"/>
      <c r="R19" s="757"/>
      <c r="S19" s="758"/>
      <c r="T19" s="757"/>
      <c r="U19" s="757"/>
      <c r="V19" s="757"/>
      <c r="W19" s="757"/>
      <c r="X19" s="757"/>
      <c r="Y19" s="757"/>
      <c r="Z19" s="757"/>
      <c r="AA19" s="757"/>
      <c r="AB19" s="757"/>
      <c r="AC19" s="757"/>
      <c r="AD19" s="757"/>
      <c r="AE19" s="757"/>
      <c r="AF19" s="757"/>
      <c r="AG19" s="757"/>
      <c r="AH19" s="757"/>
      <c r="AI19" s="757"/>
      <c r="AJ19" s="757"/>
      <c r="AK19" s="757"/>
      <c r="AL19" s="757"/>
      <c r="AM19" s="757"/>
      <c r="AN19" s="757"/>
      <c r="AO19" s="757"/>
      <c r="AP19" s="757"/>
      <c r="AQ19" s="757"/>
      <c r="AR19" s="757"/>
      <c r="AS19" s="757"/>
      <c r="AT19" s="757"/>
      <c r="AU19" s="757"/>
      <c r="AV19" s="757"/>
      <c r="AW19" s="757"/>
      <c r="AX19" s="757"/>
      <c r="AY19" s="757"/>
      <c r="AZ19" s="757"/>
      <c r="BA19" s="757"/>
      <c r="BB19" s="757"/>
      <c r="BC19" s="757"/>
      <c r="BD19" s="757"/>
      <c r="BE19" s="757"/>
      <c r="BF19" s="757"/>
      <c r="BG19" s="757"/>
      <c r="BH19" s="757"/>
      <c r="BI19" s="757"/>
      <c r="BJ19" s="757"/>
      <c r="BK19" s="757"/>
      <c r="BL19" s="757"/>
      <c r="BM19" s="757"/>
      <c r="BN19" s="757"/>
      <c r="BO19" s="758"/>
    </row>
    <row r="20" spans="1:67" s="759" customFormat="1" x14ac:dyDescent="0.25">
      <c r="A20" s="1532" t="s">
        <v>668</v>
      </c>
      <c r="B20" s="1532"/>
      <c r="C20" s="1533">
        <f>SUM(H20:S20)</f>
        <v>348149.84</v>
      </c>
      <c r="D20" s="1533">
        <f>SUM(K20:S20)</f>
        <v>278702.57</v>
      </c>
      <c r="E20" s="1534">
        <f>+E3+E5+E7+E9+E11+E16</f>
        <v>0</v>
      </c>
      <c r="F20" s="1535">
        <f>+F3+F5+F7+F9+F11+F16</f>
        <v>0</v>
      </c>
      <c r="G20" s="1536">
        <f>+G3+G5+G7+G9+G11+G16</f>
        <v>0</v>
      </c>
      <c r="H20" s="1535">
        <f>+H3+H5+H7+H9+H11+H13+H16</f>
        <v>21224.27</v>
      </c>
      <c r="I20" s="1535">
        <f t="shared" ref="I20:BO20" si="17">+I3+I5+I7+I9+I11+I13+I16</f>
        <v>21098</v>
      </c>
      <c r="J20" s="1535">
        <f t="shared" si="17"/>
        <v>27125</v>
      </c>
      <c r="K20" s="1535">
        <f t="shared" si="17"/>
        <v>27536</v>
      </c>
      <c r="L20" s="1535">
        <f t="shared" si="17"/>
        <v>28045</v>
      </c>
      <c r="M20" s="1535">
        <f t="shared" si="17"/>
        <v>26771</v>
      </c>
      <c r="N20" s="1535">
        <f t="shared" si="17"/>
        <v>34806.270000000004</v>
      </c>
      <c r="O20" s="1535">
        <f t="shared" si="17"/>
        <v>30680.57</v>
      </c>
      <c r="P20" s="1535">
        <f t="shared" si="17"/>
        <v>31641.61</v>
      </c>
      <c r="Q20" s="1535">
        <f t="shared" si="17"/>
        <v>30969.809999999998</v>
      </c>
      <c r="R20" s="1535">
        <f>+R3+R5+R7+R9+R11+R13+R16</f>
        <v>34200.42</v>
      </c>
      <c r="S20" s="1536">
        <f t="shared" si="17"/>
        <v>34051.89</v>
      </c>
      <c r="T20" s="1535">
        <f>+T3+T5+T7+T9+T11+T13+T16</f>
        <v>30663.599999999999</v>
      </c>
      <c r="U20" s="1535">
        <f t="shared" si="17"/>
        <v>23917.77</v>
      </c>
      <c r="V20" s="1535">
        <f t="shared" si="17"/>
        <v>30162.27</v>
      </c>
      <c r="W20" s="1535">
        <f t="shared" si="17"/>
        <v>36347.729999999996</v>
      </c>
      <c r="X20" s="1535">
        <f t="shared" si="17"/>
        <v>35664.019999999997</v>
      </c>
      <c r="Y20" s="1535">
        <f t="shared" si="17"/>
        <v>37714.660000000003</v>
      </c>
      <c r="Z20" s="1535">
        <f t="shared" si="17"/>
        <v>36353.57</v>
      </c>
      <c r="AA20" s="1535">
        <f t="shared" si="17"/>
        <v>31179.41</v>
      </c>
      <c r="AB20" s="1535">
        <f t="shared" si="17"/>
        <v>33863.03</v>
      </c>
      <c r="AC20" s="1535">
        <f t="shared" si="17"/>
        <v>40291.879999999997</v>
      </c>
      <c r="AD20" s="1535">
        <f t="shared" si="17"/>
        <v>36839.58</v>
      </c>
      <c r="AE20" s="1535">
        <f t="shared" si="17"/>
        <v>35412.120000000003</v>
      </c>
      <c r="AF20" s="1535">
        <f t="shared" si="17"/>
        <v>34691.18</v>
      </c>
      <c r="AG20" s="1535">
        <f t="shared" si="17"/>
        <v>32789.58</v>
      </c>
      <c r="AH20" s="1535">
        <f t="shared" si="17"/>
        <v>33769.010000000009</v>
      </c>
      <c r="AI20" s="1535">
        <f t="shared" si="17"/>
        <v>36299.050000000003</v>
      </c>
      <c r="AJ20" s="1535">
        <f t="shared" si="17"/>
        <v>34357.040000000001</v>
      </c>
      <c r="AK20" s="1535">
        <f t="shared" si="17"/>
        <v>34934.959999999999</v>
      </c>
      <c r="AL20" s="1535">
        <f t="shared" si="17"/>
        <v>36463.440000000002</v>
      </c>
      <c r="AM20" s="1535">
        <f t="shared" si="17"/>
        <v>31646.82</v>
      </c>
      <c r="AN20" s="1535">
        <f t="shared" si="17"/>
        <v>25325.43</v>
      </c>
      <c r="AO20" s="1535">
        <f t="shared" si="17"/>
        <v>39173.14</v>
      </c>
      <c r="AP20" s="1535">
        <f t="shared" si="17"/>
        <v>37926.69</v>
      </c>
      <c r="AQ20" s="1535">
        <f t="shared" si="17"/>
        <v>34689.599999999999</v>
      </c>
      <c r="AR20" s="1535">
        <f t="shared" si="17"/>
        <v>34210.89</v>
      </c>
      <c r="AS20" s="1535">
        <f t="shared" si="17"/>
        <v>32094.6</v>
      </c>
      <c r="AT20" s="1535">
        <f t="shared" si="17"/>
        <v>26719.7</v>
      </c>
      <c r="AU20" s="1535">
        <f t="shared" si="17"/>
        <v>22487.809999999998</v>
      </c>
      <c r="AV20" s="1535">
        <f t="shared" si="17"/>
        <v>14364.46</v>
      </c>
      <c r="AW20" s="1535">
        <f t="shared" si="17"/>
        <v>9606.65</v>
      </c>
      <c r="AX20" s="1535">
        <f t="shared" si="17"/>
        <v>3825.44</v>
      </c>
      <c r="AY20" s="1535">
        <f t="shared" si="17"/>
        <v>5180</v>
      </c>
      <c r="AZ20" s="1535">
        <f t="shared" si="17"/>
        <v>3812</v>
      </c>
      <c r="BA20" s="1535">
        <f t="shared" si="17"/>
        <v>2322</v>
      </c>
      <c r="BB20" s="1535">
        <f t="shared" si="17"/>
        <v>2247</v>
      </c>
      <c r="BC20" s="1535">
        <f t="shared" si="17"/>
        <v>2097</v>
      </c>
      <c r="BD20" s="1535">
        <f t="shared" si="17"/>
        <v>2247</v>
      </c>
      <c r="BE20" s="1535">
        <f t="shared" si="17"/>
        <v>2022</v>
      </c>
      <c r="BF20" s="1535">
        <f t="shared" si="17"/>
        <v>2097</v>
      </c>
      <c r="BG20" s="1535">
        <f t="shared" si="17"/>
        <v>2247</v>
      </c>
      <c r="BH20" s="1535">
        <f t="shared" si="17"/>
        <v>2172</v>
      </c>
      <c r="BI20" s="1535">
        <f t="shared" si="17"/>
        <v>2247</v>
      </c>
      <c r="BJ20" s="1535">
        <f t="shared" si="17"/>
        <v>0</v>
      </c>
      <c r="BK20" s="1535">
        <f t="shared" si="17"/>
        <v>0</v>
      </c>
      <c r="BL20" s="1535">
        <f t="shared" si="17"/>
        <v>0</v>
      </c>
      <c r="BM20" s="1535">
        <f t="shared" si="17"/>
        <v>0</v>
      </c>
      <c r="BN20" s="1535">
        <f t="shared" si="17"/>
        <v>0</v>
      </c>
      <c r="BO20" s="1536">
        <f t="shared" si="17"/>
        <v>0</v>
      </c>
    </row>
    <row r="21" spans="1:67" s="759" customFormat="1" ht="15.75" thickBot="1" x14ac:dyDescent="0.3">
      <c r="A21" s="760" t="s">
        <v>661</v>
      </c>
      <c r="B21" s="760"/>
      <c r="C21" s="760">
        <f>+SUMPRODUCT(H20:S20,H21:S21)/C20</f>
        <v>2.4311233539558703</v>
      </c>
      <c r="D21" s="760">
        <f>+SUMPRODUCT(K20:S20,K21:S21)/D20</f>
        <v>2.4603810876232677</v>
      </c>
      <c r="E21" s="761">
        <f>IFERROR((E3*E4+E5*E6+E7*E8+E9*E10+E11*E12+E16*E17)/E20,0)</f>
        <v>0</v>
      </c>
      <c r="F21" s="762">
        <f>IFERROR((F3*F4+F5*F6+F7*F8+F9*F10+F11*F12+F16*F17)/F20,0)</f>
        <v>0</v>
      </c>
      <c r="G21" s="763">
        <f>IFERROR((G3*G4+G5*G6+G7*G8+G9*G10+G11*G12+G16*G17)/G20,0)</f>
        <v>0</v>
      </c>
      <c r="H21" s="762">
        <f>IFERROR((H3*H4+H5*H6+H7*H8+H9*H10+H11*H12+H16*H17+H13*H14)/H20,0)</f>
        <v>2.0674107707826934</v>
      </c>
      <c r="I21" s="762">
        <f t="shared" ref="I21:BO21" si="18">IFERROR((I3*I4+I5*I6+I7*I8+I9*I10+I11*I12+I16*I17+I13*I14)/I20,0)</f>
        <v>2.3600241729073841</v>
      </c>
      <c r="J21" s="762">
        <f t="shared" si="18"/>
        <v>2.4703999999999997</v>
      </c>
      <c r="K21" s="762">
        <f t="shared" si="18"/>
        <v>2.3547683033120275</v>
      </c>
      <c r="L21" s="762">
        <f t="shared" si="18"/>
        <v>2.3945601711535027</v>
      </c>
      <c r="M21" s="762">
        <f t="shared" si="18"/>
        <v>2.3619999252922939</v>
      </c>
      <c r="N21" s="762">
        <f t="shared" si="18"/>
        <v>2.3407546140393665</v>
      </c>
      <c r="O21" s="762">
        <f t="shared" si="18"/>
        <v>2.3100891574048328</v>
      </c>
      <c r="P21" s="762">
        <f t="shared" si="18"/>
        <v>2.4027156077076985</v>
      </c>
      <c r="Q21" s="762">
        <f t="shared" si="18"/>
        <v>2.579043261808839</v>
      </c>
      <c r="R21" s="762">
        <f t="shared" si="18"/>
        <v>2.7217357681572332</v>
      </c>
      <c r="S21" s="763">
        <f t="shared" si="18"/>
        <v>2.6181961324320033</v>
      </c>
      <c r="T21" s="762">
        <f t="shared" si="18"/>
        <v>2.5765040373602579</v>
      </c>
      <c r="U21" s="762">
        <f t="shared" si="18"/>
        <v>2.4931941606596264</v>
      </c>
      <c r="V21" s="762">
        <f t="shared" si="18"/>
        <v>2.6134956619644343</v>
      </c>
      <c r="W21" s="762">
        <f t="shared" si="18"/>
        <v>2.7592705954402104</v>
      </c>
      <c r="X21" s="762">
        <f t="shared" si="18"/>
        <v>2.6955691057822424</v>
      </c>
      <c r="Y21" s="762">
        <f t="shared" si="18"/>
        <v>2.5495143082292131</v>
      </c>
      <c r="Z21" s="762">
        <f t="shared" si="18"/>
        <v>2.6956001432596577</v>
      </c>
      <c r="AA21" s="762">
        <f t="shared" si="18"/>
        <v>2.6979794293734232</v>
      </c>
      <c r="AB21" s="762">
        <f t="shared" si="18"/>
        <v>2.6174537246076328</v>
      </c>
      <c r="AC21" s="762">
        <f t="shared" si="18"/>
        <v>2.6023326064705845</v>
      </c>
      <c r="AD21" s="762">
        <f t="shared" si="18"/>
        <v>2.6667485568510818</v>
      </c>
      <c r="AE21" s="762">
        <f t="shared" si="18"/>
        <v>2.8900119761256877</v>
      </c>
      <c r="AF21" s="762">
        <f t="shared" si="18"/>
        <v>3.0495463919071071</v>
      </c>
      <c r="AG21" s="762">
        <f t="shared" si="18"/>
        <v>2.8472625632899233</v>
      </c>
      <c r="AH21" s="762">
        <f t="shared" si="18"/>
        <v>2.8303698450147032</v>
      </c>
      <c r="AI21" s="762">
        <f t="shared" si="18"/>
        <v>2.8773936645724887</v>
      </c>
      <c r="AJ21" s="762">
        <f t="shared" si="18"/>
        <v>2.8206626269317732</v>
      </c>
      <c r="AK21" s="762">
        <f t="shared" si="18"/>
        <v>2.657014517835429</v>
      </c>
      <c r="AL21" s="762">
        <f t="shared" si="18"/>
        <v>2.6967584709506287</v>
      </c>
      <c r="AM21" s="762">
        <f t="shared" si="18"/>
        <v>2.7694122695424062</v>
      </c>
      <c r="AN21" s="762">
        <f t="shared" si="18"/>
        <v>3.0287918112347945</v>
      </c>
      <c r="AO21" s="762">
        <f t="shared" si="18"/>
        <v>3.1065189004506664</v>
      </c>
      <c r="AP21" s="762">
        <f t="shared" si="18"/>
        <v>2.9982986493152977</v>
      </c>
      <c r="AQ21" s="762">
        <f t="shared" si="18"/>
        <v>3.0163491449886997</v>
      </c>
      <c r="AR21" s="762">
        <f t="shared" si="18"/>
        <v>3.0946384089978367</v>
      </c>
      <c r="AS21" s="762">
        <f t="shared" si="18"/>
        <v>3.271955332049628</v>
      </c>
      <c r="AT21" s="762">
        <f t="shared" si="18"/>
        <v>3.1292618554849043</v>
      </c>
      <c r="AU21" s="762">
        <f t="shared" si="18"/>
        <v>2.8521179652442816</v>
      </c>
      <c r="AV21" s="762">
        <f t="shared" si="18"/>
        <v>2.5669134516716952</v>
      </c>
      <c r="AW21" s="762">
        <f t="shared" si="18"/>
        <v>3.0166887000150937</v>
      </c>
      <c r="AX21" s="762">
        <f t="shared" si="18"/>
        <v>2.6993567275921202</v>
      </c>
      <c r="AY21" s="762">
        <f t="shared" si="18"/>
        <v>2.5545559845559844</v>
      </c>
      <c r="AZ21" s="762">
        <f t="shared" si="18"/>
        <v>2.2254800629590763</v>
      </c>
      <c r="BA21" s="762">
        <f t="shared" si="18"/>
        <v>2.19</v>
      </c>
      <c r="BB21" s="762">
        <f t="shared" si="18"/>
        <v>2.42</v>
      </c>
      <c r="BC21" s="762">
        <f t="shared" si="18"/>
        <v>2.42</v>
      </c>
      <c r="BD21" s="762">
        <f t="shared" si="18"/>
        <v>2.42</v>
      </c>
      <c r="BE21" s="762">
        <f t="shared" si="18"/>
        <v>2.42</v>
      </c>
      <c r="BF21" s="762">
        <f t="shared" si="18"/>
        <v>2.42</v>
      </c>
      <c r="BG21" s="762">
        <f t="shared" si="18"/>
        <v>2.42</v>
      </c>
      <c r="BH21" s="762">
        <f t="shared" si="18"/>
        <v>2.42</v>
      </c>
      <c r="BI21" s="762">
        <f t="shared" si="18"/>
        <v>2.42</v>
      </c>
      <c r="BJ21" s="762">
        <f t="shared" si="18"/>
        <v>0</v>
      </c>
      <c r="BK21" s="762">
        <f t="shared" si="18"/>
        <v>0</v>
      </c>
      <c r="BL21" s="762">
        <f t="shared" si="18"/>
        <v>0</v>
      </c>
      <c r="BM21" s="762">
        <f t="shared" si="18"/>
        <v>0</v>
      </c>
      <c r="BN21" s="762">
        <f t="shared" si="18"/>
        <v>0</v>
      </c>
      <c r="BO21" s="763">
        <f t="shared" si="18"/>
        <v>0</v>
      </c>
    </row>
    <row r="22" spans="1:67" ht="15.75" thickTop="1" x14ac:dyDescent="0.25">
      <c r="E22" s="49"/>
      <c r="F22" s="49"/>
      <c r="G22" s="49"/>
      <c r="H22" s="49"/>
      <c r="I22" s="49"/>
      <c r="J22" s="49"/>
      <c r="K22" s="49"/>
      <c r="L22" s="49"/>
      <c r="M22" s="49"/>
      <c r="N22" s="49"/>
      <c r="O22" s="49"/>
      <c r="P22" s="49"/>
      <c r="Q22" s="49"/>
      <c r="R22" s="49"/>
      <c r="S22" s="49"/>
      <c r="T22" s="49"/>
      <c r="U22" s="49"/>
      <c r="V22" s="49"/>
      <c r="W22" s="49"/>
      <c r="X22" s="49"/>
      <c r="Y22" s="49"/>
      <c r="Z22" s="49"/>
    </row>
    <row r="23" spans="1:67" x14ac:dyDescent="0.25">
      <c r="A23" s="1528" t="s">
        <v>669</v>
      </c>
      <c r="B23" s="1537"/>
      <c r="C23" s="1537"/>
      <c r="D23" s="1537"/>
      <c r="E23" s="1529"/>
      <c r="F23" s="1530"/>
      <c r="G23" s="1531"/>
      <c r="H23" s="1530"/>
      <c r="I23" s="1530"/>
      <c r="J23" s="1530"/>
      <c r="K23" s="1530"/>
      <c r="L23" s="1530"/>
      <c r="M23" s="1530"/>
      <c r="N23" s="1530"/>
      <c r="O23" s="1530"/>
      <c r="P23" s="1530"/>
      <c r="Q23" s="1530"/>
      <c r="R23" s="1530"/>
      <c r="S23" s="1531"/>
      <c r="T23" s="1530"/>
      <c r="U23" s="1530"/>
      <c r="V23" s="1530"/>
      <c r="W23" s="1530"/>
      <c r="X23" s="1530"/>
      <c r="Y23" s="1530"/>
      <c r="Z23" s="1530"/>
      <c r="AA23" s="1530"/>
      <c r="AB23" s="1530"/>
      <c r="AC23" s="1530"/>
      <c r="AD23" s="1530"/>
      <c r="AE23" s="1530"/>
      <c r="AF23" s="1530"/>
      <c r="AG23" s="1530"/>
      <c r="AH23" s="1530"/>
      <c r="AI23" s="1530"/>
      <c r="AJ23" s="1530"/>
      <c r="AK23" s="1530"/>
      <c r="AL23" s="1530"/>
      <c r="AM23" s="1530"/>
      <c r="AN23" s="1530"/>
      <c r="AO23" s="1530"/>
      <c r="AP23" s="1530"/>
      <c r="AQ23" s="1530"/>
      <c r="AR23" s="1530"/>
      <c r="AS23" s="1530"/>
      <c r="AT23" s="1530"/>
      <c r="AU23" s="1530"/>
      <c r="AV23" s="1530"/>
      <c r="AW23" s="1530"/>
      <c r="AX23" s="1530"/>
      <c r="AY23" s="1530"/>
      <c r="AZ23" s="1530"/>
      <c r="BA23" s="1530"/>
      <c r="BB23" s="1530"/>
      <c r="BC23" s="1530"/>
      <c r="BD23" s="1530"/>
      <c r="BE23" s="1530"/>
      <c r="BF23" s="1530"/>
      <c r="BG23" s="1530"/>
      <c r="BH23" s="1530"/>
      <c r="BI23" s="1530"/>
      <c r="BJ23" s="1530"/>
      <c r="BK23" s="1530"/>
      <c r="BL23" s="1530"/>
      <c r="BM23" s="1530"/>
      <c r="BN23" s="1530"/>
      <c r="BO23" s="1531"/>
    </row>
    <row r="24" spans="1:67" x14ac:dyDescent="0.25">
      <c r="A24" s="237" t="s">
        <v>45</v>
      </c>
      <c r="B24" s="237"/>
      <c r="C24" s="755">
        <f t="shared" ref="C24" si="19">SUM(H24:S24)</f>
        <v>0</v>
      </c>
      <c r="D24" s="755"/>
      <c r="E24" s="756"/>
      <c r="F24" s="757"/>
      <c r="G24" s="758"/>
      <c r="H24" s="757">
        <v>0</v>
      </c>
      <c r="I24" s="757">
        <v>0</v>
      </c>
      <c r="J24" s="757">
        <v>0</v>
      </c>
      <c r="K24" s="757">
        <v>0</v>
      </c>
      <c r="L24" s="757">
        <v>0</v>
      </c>
      <c r="M24" s="757">
        <v>0</v>
      </c>
      <c r="N24" s="757">
        <v>0</v>
      </c>
      <c r="O24" s="757">
        <v>0</v>
      </c>
      <c r="P24" s="757">
        <v>0</v>
      </c>
      <c r="Q24" s="757">
        <v>0</v>
      </c>
      <c r="R24" s="757">
        <v>0</v>
      </c>
      <c r="S24" s="758">
        <v>0</v>
      </c>
      <c r="T24" s="757"/>
      <c r="U24" s="757"/>
      <c r="V24" s="757"/>
      <c r="W24" s="757"/>
      <c r="X24" s="757"/>
      <c r="Y24" s="757"/>
      <c r="Z24" s="757"/>
      <c r="AA24" s="757"/>
      <c r="AB24" s="757"/>
      <c r="AC24" s="757"/>
      <c r="AD24" s="757"/>
      <c r="AE24" s="757"/>
      <c r="AF24" s="757"/>
      <c r="AG24" s="757"/>
      <c r="AH24" s="757"/>
      <c r="AI24" s="757"/>
      <c r="AJ24" s="757"/>
      <c r="AK24" s="757"/>
      <c r="AL24" s="757"/>
      <c r="AM24" s="757"/>
      <c r="AN24" s="757"/>
      <c r="AO24" s="757"/>
      <c r="AP24" s="757"/>
      <c r="AQ24" s="757"/>
      <c r="AR24" s="757"/>
      <c r="AS24" s="757"/>
      <c r="AT24" s="757"/>
      <c r="AU24" s="757"/>
      <c r="AV24" s="757"/>
      <c r="AW24" s="757"/>
      <c r="AX24" s="757"/>
      <c r="AY24" s="757"/>
      <c r="AZ24" s="757"/>
      <c r="BA24" s="757"/>
      <c r="BB24" s="757"/>
      <c r="BC24" s="757"/>
      <c r="BD24" s="757"/>
      <c r="BE24" s="757"/>
      <c r="BF24" s="757"/>
      <c r="BG24" s="757"/>
      <c r="BH24" s="757"/>
      <c r="BI24" s="757"/>
      <c r="BJ24" s="757"/>
      <c r="BK24" s="757"/>
      <c r="BL24" s="757"/>
      <c r="BM24" s="757"/>
      <c r="BN24" s="757"/>
      <c r="BO24" s="758"/>
    </row>
    <row r="25" spans="1:67" x14ac:dyDescent="0.25">
      <c r="A25" s="764" t="s">
        <v>661</v>
      </c>
      <c r="B25" s="764"/>
      <c r="C25" s="764" t="e">
        <f t="shared" ref="C25" si="20">+SUMPRODUCT(H24:S24,H25:S25)/C24</f>
        <v>#DIV/0!</v>
      </c>
      <c r="D25" s="764"/>
      <c r="E25" s="765"/>
      <c r="F25" s="766"/>
      <c r="G25" s="767"/>
      <c r="H25" s="766">
        <v>0</v>
      </c>
      <c r="I25" s="766">
        <v>0</v>
      </c>
      <c r="J25" s="766">
        <v>0</v>
      </c>
      <c r="K25" s="766">
        <v>0</v>
      </c>
      <c r="L25" s="766">
        <v>0</v>
      </c>
      <c r="M25" s="766">
        <v>0</v>
      </c>
      <c r="N25" s="766">
        <v>0</v>
      </c>
      <c r="O25" s="766">
        <v>0</v>
      </c>
      <c r="P25" s="766">
        <v>0</v>
      </c>
      <c r="Q25" s="766">
        <v>0</v>
      </c>
      <c r="R25" s="766">
        <v>0</v>
      </c>
      <c r="S25" s="767">
        <v>0</v>
      </c>
      <c r="T25" s="766"/>
      <c r="U25" s="766"/>
      <c r="V25" s="766"/>
      <c r="W25" s="766"/>
      <c r="X25" s="766"/>
      <c r="Y25" s="766"/>
      <c r="Z25" s="766"/>
      <c r="AA25" s="766"/>
      <c r="AB25" s="766"/>
      <c r="AC25" s="766"/>
      <c r="AD25" s="766"/>
      <c r="AE25" s="766"/>
      <c r="AF25" s="766"/>
      <c r="AG25" s="766"/>
      <c r="AH25" s="766"/>
      <c r="AI25" s="766"/>
      <c r="AJ25" s="766"/>
      <c r="AK25" s="766"/>
      <c r="AL25" s="766"/>
      <c r="AM25" s="766"/>
      <c r="AN25" s="766"/>
      <c r="AO25" s="766"/>
      <c r="AP25" s="766"/>
      <c r="AQ25" s="766"/>
      <c r="AR25" s="766"/>
      <c r="AS25" s="766"/>
      <c r="AT25" s="766"/>
      <c r="AU25" s="766"/>
      <c r="AV25" s="766"/>
      <c r="AW25" s="766"/>
      <c r="AX25" s="766"/>
      <c r="AY25" s="766"/>
      <c r="AZ25" s="766"/>
      <c r="BA25" s="766"/>
      <c r="BB25" s="766"/>
      <c r="BC25" s="766"/>
      <c r="BD25" s="766"/>
      <c r="BE25" s="766"/>
      <c r="BF25" s="766"/>
      <c r="BG25" s="766"/>
      <c r="BH25" s="766"/>
      <c r="BI25" s="766"/>
      <c r="BJ25" s="766"/>
      <c r="BK25" s="766"/>
      <c r="BL25" s="766"/>
      <c r="BM25" s="766"/>
      <c r="BN25" s="766"/>
      <c r="BO25" s="767"/>
    </row>
    <row r="26" spans="1:67" x14ac:dyDescent="0.25">
      <c r="H26" s="536"/>
      <c r="I26" s="536"/>
      <c r="J26" s="536"/>
      <c r="K26" s="536"/>
      <c r="L26" s="536"/>
      <c r="M26" s="536"/>
      <c r="N26" s="536"/>
      <c r="O26" s="536"/>
      <c r="P26" s="536"/>
      <c r="Q26" s="536"/>
      <c r="R26" s="536"/>
      <c r="S26" s="536"/>
    </row>
    <row r="27" spans="1:67" x14ac:dyDescent="0.25">
      <c r="A27" s="1532" t="s">
        <v>670</v>
      </c>
      <c r="B27" s="1532"/>
      <c r="C27" s="1533">
        <f>SUM(H27:S27)</f>
        <v>348149.84</v>
      </c>
      <c r="D27" s="1533"/>
      <c r="E27" s="1534">
        <f t="shared" ref="E27:G27" si="21">E20+E24</f>
        <v>0</v>
      </c>
      <c r="F27" s="1535">
        <f t="shared" si="21"/>
        <v>0</v>
      </c>
      <c r="G27" s="1536">
        <f t="shared" si="21"/>
        <v>0</v>
      </c>
      <c r="H27" s="1535">
        <f>H20+H24</f>
        <v>21224.27</v>
      </c>
      <c r="I27" s="1535">
        <f t="shared" ref="I27:BO27" si="22">I20+I24</f>
        <v>21098</v>
      </c>
      <c r="J27" s="1535">
        <f t="shared" si="22"/>
        <v>27125</v>
      </c>
      <c r="K27" s="1535">
        <f t="shared" si="22"/>
        <v>27536</v>
      </c>
      <c r="L27" s="1535">
        <f>L20+L24</f>
        <v>28045</v>
      </c>
      <c r="M27" s="1535">
        <f t="shared" si="22"/>
        <v>26771</v>
      </c>
      <c r="N27" s="1535">
        <f t="shared" si="22"/>
        <v>34806.270000000004</v>
      </c>
      <c r="O27" s="1535">
        <f t="shared" si="22"/>
        <v>30680.57</v>
      </c>
      <c r="P27" s="1535">
        <f t="shared" si="22"/>
        <v>31641.61</v>
      </c>
      <c r="Q27" s="1535">
        <f t="shared" si="22"/>
        <v>30969.809999999998</v>
      </c>
      <c r="R27" s="1535">
        <f>R20+R24</f>
        <v>34200.42</v>
      </c>
      <c r="S27" s="1536">
        <f t="shared" si="22"/>
        <v>34051.89</v>
      </c>
      <c r="T27" s="1535">
        <f t="shared" si="22"/>
        <v>30663.599999999999</v>
      </c>
      <c r="U27" s="1535">
        <f t="shared" si="22"/>
        <v>23917.77</v>
      </c>
      <c r="V27" s="1535">
        <f t="shared" si="22"/>
        <v>30162.27</v>
      </c>
      <c r="W27" s="1535">
        <f t="shared" si="22"/>
        <v>36347.729999999996</v>
      </c>
      <c r="X27" s="1535">
        <f t="shared" si="22"/>
        <v>35664.019999999997</v>
      </c>
      <c r="Y27" s="1535">
        <f t="shared" si="22"/>
        <v>37714.660000000003</v>
      </c>
      <c r="Z27" s="1535">
        <f t="shared" si="22"/>
        <v>36353.57</v>
      </c>
      <c r="AA27" s="1535">
        <f t="shared" si="22"/>
        <v>31179.41</v>
      </c>
      <c r="AB27" s="1535">
        <f t="shared" si="22"/>
        <v>33863.03</v>
      </c>
      <c r="AC27" s="1535">
        <f t="shared" si="22"/>
        <v>40291.879999999997</v>
      </c>
      <c r="AD27" s="1535">
        <f t="shared" si="22"/>
        <v>36839.58</v>
      </c>
      <c r="AE27" s="1535">
        <f t="shared" si="22"/>
        <v>35412.120000000003</v>
      </c>
      <c r="AF27" s="1535">
        <f t="shared" si="22"/>
        <v>34691.18</v>
      </c>
      <c r="AG27" s="1535">
        <f t="shared" si="22"/>
        <v>32789.58</v>
      </c>
      <c r="AH27" s="1535">
        <f t="shared" si="22"/>
        <v>33769.010000000009</v>
      </c>
      <c r="AI27" s="1535">
        <f t="shared" si="22"/>
        <v>36299.050000000003</v>
      </c>
      <c r="AJ27" s="1535">
        <f t="shared" si="22"/>
        <v>34357.040000000001</v>
      </c>
      <c r="AK27" s="1535">
        <f t="shared" si="22"/>
        <v>34934.959999999999</v>
      </c>
      <c r="AL27" s="1535">
        <f t="shared" si="22"/>
        <v>36463.440000000002</v>
      </c>
      <c r="AM27" s="1535">
        <f t="shared" si="22"/>
        <v>31646.82</v>
      </c>
      <c r="AN27" s="1535">
        <f t="shared" si="22"/>
        <v>25325.43</v>
      </c>
      <c r="AO27" s="1535">
        <f t="shared" si="22"/>
        <v>39173.14</v>
      </c>
      <c r="AP27" s="1535">
        <f t="shared" si="22"/>
        <v>37926.69</v>
      </c>
      <c r="AQ27" s="1535">
        <f t="shared" si="22"/>
        <v>34689.599999999999</v>
      </c>
      <c r="AR27" s="1535">
        <f t="shared" si="22"/>
        <v>34210.89</v>
      </c>
      <c r="AS27" s="1535">
        <f t="shared" si="22"/>
        <v>32094.6</v>
      </c>
      <c r="AT27" s="1535">
        <f t="shared" si="22"/>
        <v>26719.7</v>
      </c>
      <c r="AU27" s="1535">
        <f t="shared" si="22"/>
        <v>22487.809999999998</v>
      </c>
      <c r="AV27" s="1535">
        <f t="shared" si="22"/>
        <v>14364.46</v>
      </c>
      <c r="AW27" s="1535">
        <f t="shared" si="22"/>
        <v>9606.65</v>
      </c>
      <c r="AX27" s="1535">
        <f t="shared" si="22"/>
        <v>3825.44</v>
      </c>
      <c r="AY27" s="1535">
        <f t="shared" si="22"/>
        <v>5180</v>
      </c>
      <c r="AZ27" s="1535">
        <f t="shared" si="22"/>
        <v>3812</v>
      </c>
      <c r="BA27" s="1535">
        <f t="shared" si="22"/>
        <v>2322</v>
      </c>
      <c r="BB27" s="1535">
        <f t="shared" si="22"/>
        <v>2247</v>
      </c>
      <c r="BC27" s="1535">
        <f t="shared" si="22"/>
        <v>2097</v>
      </c>
      <c r="BD27" s="1535">
        <f t="shared" si="22"/>
        <v>2247</v>
      </c>
      <c r="BE27" s="1535">
        <f t="shared" si="22"/>
        <v>2022</v>
      </c>
      <c r="BF27" s="1535">
        <f t="shared" si="22"/>
        <v>2097</v>
      </c>
      <c r="BG27" s="1535">
        <f t="shared" si="22"/>
        <v>2247</v>
      </c>
      <c r="BH27" s="1535">
        <f t="shared" si="22"/>
        <v>2172</v>
      </c>
      <c r="BI27" s="1535">
        <f t="shared" si="22"/>
        <v>2247</v>
      </c>
      <c r="BJ27" s="1535">
        <f t="shared" si="22"/>
        <v>0</v>
      </c>
      <c r="BK27" s="1535">
        <f t="shared" si="22"/>
        <v>0</v>
      </c>
      <c r="BL27" s="1535">
        <f t="shared" si="22"/>
        <v>0</v>
      </c>
      <c r="BM27" s="1535">
        <f t="shared" si="22"/>
        <v>0</v>
      </c>
      <c r="BN27" s="1535">
        <f t="shared" si="22"/>
        <v>0</v>
      </c>
      <c r="BO27" s="1536">
        <f t="shared" si="22"/>
        <v>0</v>
      </c>
    </row>
    <row r="28" spans="1:67" ht="15.75" thickBot="1" x14ac:dyDescent="0.3">
      <c r="A28" s="760" t="s">
        <v>661</v>
      </c>
      <c r="B28" s="760"/>
      <c r="C28" s="760">
        <f>+SUMPRODUCT(H27:S27,H28:S28)/C27</f>
        <v>2.4311233539558703</v>
      </c>
      <c r="D28" s="760"/>
      <c r="E28" s="761">
        <f t="shared" ref="E28:G28" si="23">IFERROR((E20*E21+E24*E25)/E27,0)</f>
        <v>0</v>
      </c>
      <c r="F28" s="762">
        <f t="shared" si="23"/>
        <v>0</v>
      </c>
      <c r="G28" s="763">
        <f t="shared" si="23"/>
        <v>0</v>
      </c>
      <c r="H28" s="762">
        <f>IFERROR((H20*H21+H24*H25)/H27,0)</f>
        <v>2.0674107707826934</v>
      </c>
      <c r="I28" s="762">
        <f t="shared" ref="I28:BO28" si="24">IFERROR((I20*I21+I24*I25)/I27,0)</f>
        <v>2.3600241729073841</v>
      </c>
      <c r="J28" s="762">
        <f t="shared" si="24"/>
        <v>2.4703999999999997</v>
      </c>
      <c r="K28" s="762">
        <f t="shared" si="24"/>
        <v>2.3547683033120275</v>
      </c>
      <c r="L28" s="762">
        <f t="shared" si="24"/>
        <v>2.3945601711535027</v>
      </c>
      <c r="M28" s="762">
        <f t="shared" si="24"/>
        <v>2.3619999252922939</v>
      </c>
      <c r="N28" s="762">
        <f t="shared" si="24"/>
        <v>2.3407546140393665</v>
      </c>
      <c r="O28" s="762">
        <f t="shared" si="24"/>
        <v>2.3100891574048328</v>
      </c>
      <c r="P28" s="762">
        <f t="shared" si="24"/>
        <v>2.4027156077076985</v>
      </c>
      <c r="Q28" s="762">
        <f t="shared" si="24"/>
        <v>2.579043261808839</v>
      </c>
      <c r="R28" s="762">
        <f t="shared" si="24"/>
        <v>2.7217357681572332</v>
      </c>
      <c r="S28" s="763">
        <f t="shared" si="24"/>
        <v>2.6181961324320033</v>
      </c>
      <c r="T28" s="762">
        <f t="shared" si="24"/>
        <v>2.5765040373602579</v>
      </c>
      <c r="U28" s="762">
        <f t="shared" si="24"/>
        <v>2.4931941606596264</v>
      </c>
      <c r="V28" s="762">
        <f t="shared" si="24"/>
        <v>2.6134956619644343</v>
      </c>
      <c r="W28" s="762">
        <f t="shared" si="24"/>
        <v>2.7592705954402104</v>
      </c>
      <c r="X28" s="762">
        <f t="shared" si="24"/>
        <v>2.6955691057822424</v>
      </c>
      <c r="Y28" s="762">
        <f t="shared" si="24"/>
        <v>2.5495143082292131</v>
      </c>
      <c r="Z28" s="762">
        <f t="shared" si="24"/>
        <v>2.6956001432596577</v>
      </c>
      <c r="AA28" s="762">
        <f t="shared" si="24"/>
        <v>2.6979794293734232</v>
      </c>
      <c r="AB28" s="762">
        <f t="shared" si="24"/>
        <v>2.6174537246076328</v>
      </c>
      <c r="AC28" s="762">
        <f t="shared" si="24"/>
        <v>2.6023326064705845</v>
      </c>
      <c r="AD28" s="762">
        <f t="shared" si="24"/>
        <v>2.6667485568510818</v>
      </c>
      <c r="AE28" s="762">
        <f t="shared" si="24"/>
        <v>2.8900119761256877</v>
      </c>
      <c r="AF28" s="762">
        <f t="shared" si="24"/>
        <v>3.0495463919071071</v>
      </c>
      <c r="AG28" s="762">
        <f t="shared" si="24"/>
        <v>2.8472625632899233</v>
      </c>
      <c r="AH28" s="762">
        <f t="shared" si="24"/>
        <v>2.8303698450147032</v>
      </c>
      <c r="AI28" s="762">
        <f t="shared" si="24"/>
        <v>2.8773936645724887</v>
      </c>
      <c r="AJ28" s="762">
        <f t="shared" si="24"/>
        <v>2.8206626269317732</v>
      </c>
      <c r="AK28" s="762">
        <f t="shared" si="24"/>
        <v>2.657014517835429</v>
      </c>
      <c r="AL28" s="762">
        <f t="shared" si="24"/>
        <v>2.6967584709506287</v>
      </c>
      <c r="AM28" s="762">
        <f t="shared" si="24"/>
        <v>2.7694122695424062</v>
      </c>
      <c r="AN28" s="762">
        <f t="shared" si="24"/>
        <v>3.0287918112347945</v>
      </c>
      <c r="AO28" s="762">
        <f t="shared" si="24"/>
        <v>3.1065189004506664</v>
      </c>
      <c r="AP28" s="762">
        <f t="shared" si="24"/>
        <v>2.9982986493152977</v>
      </c>
      <c r="AQ28" s="762">
        <f t="shared" si="24"/>
        <v>3.0163491449886997</v>
      </c>
      <c r="AR28" s="762">
        <f t="shared" si="24"/>
        <v>3.0946384089978367</v>
      </c>
      <c r="AS28" s="762">
        <f t="shared" si="24"/>
        <v>3.271955332049628</v>
      </c>
      <c r="AT28" s="762">
        <f t="shared" si="24"/>
        <v>3.1292618554849043</v>
      </c>
      <c r="AU28" s="762">
        <f t="shared" si="24"/>
        <v>2.8521179652442816</v>
      </c>
      <c r="AV28" s="762">
        <f t="shared" si="24"/>
        <v>2.5669134516716952</v>
      </c>
      <c r="AW28" s="762">
        <f t="shared" si="24"/>
        <v>3.0166887000150937</v>
      </c>
      <c r="AX28" s="762">
        <f t="shared" si="24"/>
        <v>2.6993567275921202</v>
      </c>
      <c r="AY28" s="762">
        <f t="shared" si="24"/>
        <v>2.5545559845559844</v>
      </c>
      <c r="AZ28" s="762">
        <f t="shared" si="24"/>
        <v>2.2254800629590763</v>
      </c>
      <c r="BA28" s="762">
        <f t="shared" si="24"/>
        <v>2.19</v>
      </c>
      <c r="BB28" s="762">
        <f t="shared" si="24"/>
        <v>2.42</v>
      </c>
      <c r="BC28" s="762">
        <f t="shared" si="24"/>
        <v>2.42</v>
      </c>
      <c r="BD28" s="762">
        <f t="shared" si="24"/>
        <v>2.42</v>
      </c>
      <c r="BE28" s="762">
        <f t="shared" si="24"/>
        <v>2.42</v>
      </c>
      <c r="BF28" s="762">
        <f t="shared" si="24"/>
        <v>2.42</v>
      </c>
      <c r="BG28" s="762">
        <f t="shared" si="24"/>
        <v>2.42</v>
      </c>
      <c r="BH28" s="762">
        <f t="shared" si="24"/>
        <v>2.42</v>
      </c>
      <c r="BI28" s="762">
        <f t="shared" si="24"/>
        <v>2.42</v>
      </c>
      <c r="BJ28" s="762">
        <f t="shared" si="24"/>
        <v>0</v>
      </c>
      <c r="BK28" s="762">
        <f t="shared" si="24"/>
        <v>0</v>
      </c>
      <c r="BL28" s="762">
        <f t="shared" si="24"/>
        <v>0</v>
      </c>
      <c r="BM28" s="762">
        <f t="shared" si="24"/>
        <v>0</v>
      </c>
      <c r="BN28" s="762">
        <f t="shared" si="24"/>
        <v>0</v>
      </c>
      <c r="BO28" s="763">
        <f t="shared" si="24"/>
        <v>0</v>
      </c>
    </row>
    <row r="29" spans="1:67" ht="15.75" thickTop="1"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96FD3D9DD96194DB52BEDC543C5D058" ma:contentTypeVersion="19" ma:contentTypeDescription="Create a new document." ma:contentTypeScope="" ma:versionID="70640e1d6b137e63600dff6404cf8d73">
  <xsd:schema xmlns:xsd="http://www.w3.org/2001/XMLSchema" xmlns:xs="http://www.w3.org/2001/XMLSchema" xmlns:p="http://schemas.microsoft.com/office/2006/metadata/properties" xmlns:ns3="b1610d9b-d4c9-40f5-8913-16023cc95569" xmlns:ns4="10d43fa4-fce0-400d-a891-42cbceb69c74" targetNamespace="http://schemas.microsoft.com/office/2006/metadata/properties" ma:root="true" ma:fieldsID="bd736facf33d378ae04670faf53ad3b7" ns3:_="" ns4:_="">
    <xsd:import namespace="b1610d9b-d4c9-40f5-8913-16023cc95569"/>
    <xsd:import namespace="10d43fa4-fce0-400d-a891-42cbceb69c74"/>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Location" minOccurs="0"/>
                <xsd:element ref="ns3:MediaLengthInSeconds" minOccurs="0"/>
                <xsd:element ref="ns3:_activity" minOccurs="0"/>
                <xsd:element ref="ns3:MediaServiceObjectDetectorVersions" minOccurs="0"/>
                <xsd:element ref="ns3:MediaServiceSystemTag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1610d9b-d4c9-40f5-8913-16023cc955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LengthInSeconds" ma:index="21" nillable="true" ma:displayName="Length (seconds)" ma:internalName="MediaLengthInSeconds" ma:readOnly="true">
      <xsd:simpleType>
        <xsd:restriction base="dms:Unknown"/>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0d43fa4-fce0-400d-a891-42cbceb69c74"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b1610d9b-d4c9-40f5-8913-16023cc95569" xsi:nil="true"/>
  </documentManagement>
</p:properties>
</file>

<file path=customXml/itemProps1.xml><?xml version="1.0" encoding="utf-8"?>
<ds:datastoreItem xmlns:ds="http://schemas.openxmlformats.org/officeDocument/2006/customXml" ds:itemID="{1342B8DA-D99C-4294-B5E1-59A3437C8014}">
  <ds:schemaRefs>
    <ds:schemaRef ds:uri="http://schemas.microsoft.com/sharepoint/v3/contenttype/forms"/>
  </ds:schemaRefs>
</ds:datastoreItem>
</file>

<file path=customXml/itemProps2.xml><?xml version="1.0" encoding="utf-8"?>
<ds:datastoreItem xmlns:ds="http://schemas.openxmlformats.org/officeDocument/2006/customXml" ds:itemID="{B42B77C3-6DB8-4F4B-BE40-F343C53DB4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1610d9b-d4c9-40f5-8913-16023cc95569"/>
    <ds:schemaRef ds:uri="10d43fa4-fce0-400d-a891-42cbceb69c7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14096E5-E48E-4A22-89C2-A1EBF1547211}">
  <ds:schemaRefs>
    <ds:schemaRef ds:uri="http://purl.org/dc/terms/"/>
    <ds:schemaRef ds:uri="http://schemas.microsoft.com/office/2006/metadata/properties"/>
    <ds:schemaRef ds:uri="http://schemas.microsoft.com/office/infopath/2007/PartnerControls"/>
    <ds:schemaRef ds:uri="http://schemas.microsoft.com/office/2006/documentManagement/types"/>
    <ds:schemaRef ds:uri="b1610d9b-d4c9-40f5-8913-16023cc95569"/>
    <ds:schemaRef ds:uri="http://schemas.openxmlformats.org/package/2006/metadata/core-properties"/>
    <ds:schemaRef ds:uri="10d43fa4-fce0-400d-a891-42cbceb69c74"/>
    <ds:schemaRef ds:uri="http://www.w3.org/XML/1998/namespace"/>
    <ds:schemaRef ds:uri="http://purl.org/dc/dcmityp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SUMMARY</vt:lpstr>
      <vt:lpstr>Yearly Forecast</vt:lpstr>
      <vt:lpstr>Sheet4</vt:lpstr>
      <vt:lpstr>Rough Working</vt:lpstr>
      <vt:lpstr>Stopes PNM &amp; MNP</vt:lpstr>
      <vt:lpstr>STOPE SUMMARY PIVOT</vt:lpstr>
      <vt:lpstr>STOPE SUMMARY</vt:lpstr>
      <vt:lpstr>Monthly Stope Performance</vt:lpstr>
      <vt:lpstr>Monthly Stope Performance_HH</vt:lpstr>
      <vt:lpstr>July 25 D_R (Stoping)</vt:lpstr>
      <vt:lpstr>July 25 D_R (Tramming)</vt:lpstr>
      <vt:lpstr>June 25 D_R (Stoping)</vt:lpstr>
      <vt:lpstr>June 25 D_R (Tramming)</vt:lpstr>
      <vt:lpstr>Sheet2</vt:lpstr>
      <vt:lpstr>May 25 D_R (Stoping)</vt:lpstr>
      <vt:lpstr>May 25 D_R (Tramming)</vt:lpstr>
      <vt:lpstr>April Physicals</vt:lpstr>
      <vt:lpstr>April 25 D_R (Stoping)</vt:lpstr>
      <vt:lpstr>April 25 D_R (Tramming)</vt:lpstr>
      <vt:lpstr>April 25 Tramming Plan</vt:lpstr>
      <vt:lpstr>March 25 D_R (Tramming)</vt:lpstr>
      <vt:lpstr>March Physicals</vt:lpstr>
      <vt:lpstr>March 25 Forecast</vt:lpstr>
      <vt:lpstr>March UG breaking plan</vt:lpstr>
      <vt:lpstr>February 25 D_R (Stoping)</vt:lpstr>
      <vt:lpstr>February 25 D_R (Tramming)</vt:lpstr>
      <vt:lpstr>February Physicals</vt:lpstr>
      <vt:lpstr>February 25 D_R (Stoping) (2)</vt:lpstr>
      <vt:lpstr>January Physicals</vt:lpstr>
      <vt:lpstr>Assumptions</vt:lpstr>
      <vt:lpstr>STOPE SUMMARY (OLD)</vt:lpstr>
      <vt:lpstr>Pivot</vt:lpstr>
      <vt:lpstr>Stope History</vt:lpstr>
      <vt:lpstr>UG Ore 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Timothy Jones</dc:creator>
  <cp:keywords/>
  <dc:description/>
  <cp:lastModifiedBy>Geographic Information Systems</cp:lastModifiedBy>
  <cp:revision/>
  <dcterms:created xsi:type="dcterms:W3CDTF">2025-02-06T09:35:21Z</dcterms:created>
  <dcterms:modified xsi:type="dcterms:W3CDTF">2025-08-05T06:21:16Z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0x010100596FD3D9DD96194DB52BEDC543C5D058</vt:lpwstr>
  </property>
</Properties>
</file>